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2020\2020_07_articolo_RSS_Maurizio_e_Vincenza\revisione_cubi\"/>
    </mc:Choice>
  </mc:AlternateContent>
  <bookViews>
    <workbookView xWindow="0" yWindow="0" windowWidth="13125" windowHeight="6105"/>
  </bookViews>
  <sheets>
    <sheet name="Tabella" sheetId="1" r:id="rId1"/>
    <sheet name="Definizioni" sheetId="2" r:id="rId2"/>
    <sheet name="Informazioni" sheetId="3" r:id="rId3"/>
    <sheet name="formazione2" sheetId="4" r:id="rId4"/>
  </sheets>
  <calcPr calcId="162913"/>
</workbook>
</file>

<file path=xl/calcChain.xml><?xml version="1.0" encoding="utf-8"?>
<calcChain xmlns="http://schemas.openxmlformats.org/spreadsheetml/2006/main">
  <c r="A3" i="3" l="1"/>
  <c r="A36" i="2"/>
  <c r="A35" i="2"/>
  <c r="A34" i="2"/>
  <c r="A30" i="2"/>
  <c r="M15751" i="1"/>
  <c r="L15751" i="1"/>
  <c r="K15751" i="1"/>
  <c r="J15751" i="1"/>
  <c r="I15751" i="1"/>
  <c r="H15751" i="1"/>
  <c r="G15751" i="1"/>
  <c r="M15750" i="1"/>
  <c r="L15750" i="1"/>
  <c r="K15750" i="1"/>
  <c r="J15750" i="1"/>
  <c r="I15750" i="1"/>
  <c r="H15750" i="1"/>
  <c r="G15750" i="1"/>
  <c r="M15749" i="1"/>
  <c r="L15749" i="1"/>
  <c r="K15749" i="1"/>
  <c r="J15749" i="1"/>
  <c r="I15749" i="1"/>
  <c r="H15749" i="1"/>
  <c r="G15749" i="1"/>
  <c r="M15748" i="1"/>
  <c r="L15748" i="1"/>
  <c r="K15748" i="1"/>
  <c r="J15748" i="1"/>
  <c r="I15748" i="1"/>
  <c r="H15748" i="1"/>
  <c r="G15748" i="1"/>
  <c r="M15747" i="1"/>
  <c r="L15747" i="1"/>
  <c r="K15747" i="1"/>
  <c r="J15747" i="1"/>
  <c r="I15747" i="1"/>
  <c r="H15747" i="1"/>
  <c r="G15747" i="1"/>
  <c r="M15746" i="1"/>
  <c r="L15746" i="1"/>
  <c r="K15746" i="1"/>
  <c r="J15746" i="1"/>
  <c r="I15746" i="1"/>
  <c r="H15746" i="1"/>
  <c r="G15746" i="1"/>
  <c r="M15745" i="1"/>
  <c r="L15745" i="1"/>
  <c r="K15745" i="1"/>
  <c r="J15745" i="1"/>
  <c r="I15745" i="1"/>
  <c r="H15745" i="1"/>
  <c r="G15745" i="1"/>
  <c r="M15744" i="1"/>
  <c r="L15744" i="1"/>
  <c r="K15744" i="1"/>
  <c r="J15744" i="1"/>
  <c r="I15744" i="1"/>
  <c r="H15744" i="1"/>
  <c r="G15744" i="1"/>
  <c r="M15743" i="1"/>
  <c r="L15743" i="1"/>
  <c r="K15743" i="1"/>
  <c r="J15743" i="1"/>
  <c r="I15743" i="1"/>
  <c r="H15743" i="1"/>
  <c r="G15743" i="1"/>
  <c r="M15742" i="1"/>
  <c r="L15742" i="1"/>
  <c r="K15742" i="1"/>
  <c r="J15742" i="1"/>
  <c r="I15742" i="1"/>
  <c r="H15742" i="1"/>
  <c r="G15742" i="1"/>
  <c r="M15741" i="1"/>
  <c r="L15741" i="1"/>
  <c r="K15741" i="1"/>
  <c r="J15741" i="1"/>
  <c r="I15741" i="1"/>
  <c r="H15741" i="1"/>
  <c r="G15741" i="1"/>
  <c r="M15740" i="1"/>
  <c r="L15740" i="1"/>
  <c r="K15740" i="1"/>
  <c r="J15740" i="1"/>
  <c r="I15740" i="1"/>
  <c r="H15740" i="1"/>
  <c r="G15740" i="1"/>
  <c r="M15739" i="1"/>
  <c r="L15739" i="1"/>
  <c r="K15739" i="1"/>
  <c r="J15739" i="1"/>
  <c r="I15739" i="1"/>
  <c r="H15739" i="1"/>
  <c r="G15739" i="1"/>
  <c r="M15738" i="1"/>
  <c r="L15738" i="1"/>
  <c r="K15738" i="1"/>
  <c r="J15738" i="1"/>
  <c r="I15738" i="1"/>
  <c r="H15738" i="1"/>
  <c r="G15738" i="1"/>
  <c r="M15737" i="1"/>
  <c r="L15737" i="1"/>
  <c r="K15737" i="1"/>
  <c r="J15737" i="1"/>
  <c r="I15737" i="1"/>
  <c r="H15737" i="1"/>
  <c r="G15737" i="1"/>
  <c r="M15736" i="1"/>
  <c r="L15736" i="1"/>
  <c r="K15736" i="1"/>
  <c r="J15736" i="1"/>
  <c r="I15736" i="1"/>
  <c r="H15736" i="1"/>
  <c r="G15736" i="1"/>
  <c r="M15735" i="1"/>
  <c r="L15735" i="1"/>
  <c r="K15735" i="1"/>
  <c r="J15735" i="1"/>
  <c r="I15735" i="1"/>
  <c r="H15735" i="1"/>
  <c r="G15735" i="1"/>
  <c r="M15734" i="1"/>
  <c r="L15734" i="1"/>
  <c r="K15734" i="1"/>
  <c r="J15734" i="1"/>
  <c r="I15734" i="1"/>
  <c r="H15734" i="1"/>
  <c r="G15734" i="1"/>
  <c r="M15733" i="1"/>
  <c r="L15733" i="1"/>
  <c r="K15733" i="1"/>
  <c r="J15733" i="1"/>
  <c r="I15733" i="1"/>
  <c r="H15733" i="1"/>
  <c r="G15733" i="1"/>
  <c r="M15732" i="1"/>
  <c r="L15732" i="1"/>
  <c r="K15732" i="1"/>
  <c r="J15732" i="1"/>
  <c r="I15732" i="1"/>
  <c r="H15732" i="1"/>
  <c r="G15732" i="1"/>
  <c r="M15731" i="1"/>
  <c r="L15731" i="1"/>
  <c r="K15731" i="1"/>
  <c r="J15731" i="1"/>
  <c r="I15731" i="1"/>
  <c r="H15731" i="1"/>
  <c r="G15731" i="1"/>
  <c r="M15730" i="1"/>
  <c r="L15730" i="1"/>
  <c r="K15730" i="1"/>
  <c r="J15730" i="1"/>
  <c r="I15730" i="1"/>
  <c r="H15730" i="1"/>
  <c r="G15730" i="1"/>
  <c r="M15729" i="1"/>
  <c r="L15729" i="1"/>
  <c r="K15729" i="1"/>
  <c r="J15729" i="1"/>
  <c r="I15729" i="1"/>
  <c r="H15729" i="1"/>
  <c r="G15729" i="1"/>
  <c r="M15728" i="1"/>
  <c r="L15728" i="1"/>
  <c r="K15728" i="1"/>
  <c r="J15728" i="1"/>
  <c r="I15728" i="1"/>
  <c r="H15728" i="1"/>
  <c r="G15728" i="1"/>
  <c r="M15727" i="1"/>
  <c r="L15727" i="1"/>
  <c r="K15727" i="1"/>
  <c r="J15727" i="1"/>
  <c r="I15727" i="1"/>
  <c r="H15727" i="1"/>
  <c r="G15727" i="1"/>
  <c r="M15726" i="1"/>
  <c r="L15726" i="1"/>
  <c r="K15726" i="1"/>
  <c r="J15726" i="1"/>
  <c r="I15726" i="1"/>
  <c r="H15726" i="1"/>
  <c r="G15726" i="1"/>
  <c r="M15725" i="1"/>
  <c r="L15725" i="1"/>
  <c r="K15725" i="1"/>
  <c r="J15725" i="1"/>
  <c r="I15725" i="1"/>
  <c r="H15725" i="1"/>
  <c r="G15725" i="1"/>
  <c r="M15724" i="1"/>
  <c r="L15724" i="1"/>
  <c r="K15724" i="1"/>
  <c r="J15724" i="1"/>
  <c r="I15724" i="1"/>
  <c r="H15724" i="1"/>
  <c r="G15724" i="1"/>
  <c r="M15723" i="1"/>
  <c r="L15723" i="1"/>
  <c r="K15723" i="1"/>
  <c r="J15723" i="1"/>
  <c r="I15723" i="1"/>
  <c r="H15723" i="1"/>
  <c r="G15723" i="1"/>
  <c r="M15722" i="1"/>
  <c r="L15722" i="1"/>
  <c r="K15722" i="1"/>
  <c r="J15722" i="1"/>
  <c r="I15722" i="1"/>
  <c r="H15722" i="1"/>
  <c r="G15722" i="1"/>
  <c r="M15721" i="1"/>
  <c r="L15721" i="1"/>
  <c r="K15721" i="1"/>
  <c r="J15721" i="1"/>
  <c r="I15721" i="1"/>
  <c r="H15721" i="1"/>
  <c r="G15721" i="1"/>
  <c r="M15720" i="1"/>
  <c r="L15720" i="1"/>
  <c r="K15720" i="1"/>
  <c r="J15720" i="1"/>
  <c r="I15720" i="1"/>
  <c r="H15720" i="1"/>
  <c r="G15720" i="1"/>
  <c r="M15719" i="1"/>
  <c r="L15719" i="1"/>
  <c r="K15719" i="1"/>
  <c r="J15719" i="1"/>
  <c r="I15719" i="1"/>
  <c r="H15719" i="1"/>
  <c r="G15719" i="1"/>
  <c r="M15718" i="1"/>
  <c r="L15718" i="1"/>
  <c r="K15718" i="1"/>
  <c r="J15718" i="1"/>
  <c r="I15718" i="1"/>
  <c r="H15718" i="1"/>
  <c r="G15718" i="1"/>
  <c r="M15717" i="1"/>
  <c r="L15717" i="1"/>
  <c r="K15717" i="1"/>
  <c r="J15717" i="1"/>
  <c r="I15717" i="1"/>
  <c r="H15717" i="1"/>
  <c r="G15717" i="1"/>
  <c r="M15716" i="1"/>
  <c r="L15716" i="1"/>
  <c r="K15716" i="1"/>
  <c r="J15716" i="1"/>
  <c r="I15716" i="1"/>
  <c r="H15716" i="1"/>
  <c r="G15716" i="1"/>
  <c r="M15715" i="1"/>
  <c r="L15715" i="1"/>
  <c r="K15715" i="1"/>
  <c r="J15715" i="1"/>
  <c r="I15715" i="1"/>
  <c r="H15715" i="1"/>
  <c r="G15715" i="1"/>
  <c r="M15714" i="1"/>
  <c r="L15714" i="1"/>
  <c r="K15714" i="1"/>
  <c r="J15714" i="1"/>
  <c r="I15714" i="1"/>
  <c r="H15714" i="1"/>
  <c r="G15714" i="1"/>
  <c r="M15713" i="1"/>
  <c r="L15713" i="1"/>
  <c r="K15713" i="1"/>
  <c r="J15713" i="1"/>
  <c r="I15713" i="1"/>
  <c r="H15713" i="1"/>
  <c r="G15713" i="1"/>
  <c r="M15712" i="1"/>
  <c r="L15712" i="1"/>
  <c r="K15712" i="1"/>
  <c r="J15712" i="1"/>
  <c r="I15712" i="1"/>
  <c r="H15712" i="1"/>
  <c r="G15712" i="1"/>
  <c r="M15711" i="1"/>
  <c r="L15711" i="1"/>
  <c r="K15711" i="1"/>
  <c r="J15711" i="1"/>
  <c r="I15711" i="1"/>
  <c r="H15711" i="1"/>
  <c r="G15711" i="1"/>
  <c r="M15710" i="1"/>
  <c r="L15710" i="1"/>
  <c r="K15710" i="1"/>
  <c r="J15710" i="1"/>
  <c r="I15710" i="1"/>
  <c r="H15710" i="1"/>
  <c r="G15710" i="1"/>
  <c r="M15709" i="1"/>
  <c r="L15709" i="1"/>
  <c r="K15709" i="1"/>
  <c r="J15709" i="1"/>
  <c r="I15709" i="1"/>
  <c r="H15709" i="1"/>
  <c r="G15709" i="1"/>
  <c r="M15708" i="1"/>
  <c r="L15708" i="1"/>
  <c r="K15708" i="1"/>
  <c r="J15708" i="1"/>
  <c r="I15708" i="1"/>
  <c r="H15708" i="1"/>
  <c r="G15708" i="1"/>
  <c r="M15707" i="1"/>
  <c r="L15707" i="1"/>
  <c r="K15707" i="1"/>
  <c r="J15707" i="1"/>
  <c r="I15707" i="1"/>
  <c r="H15707" i="1"/>
  <c r="G15707" i="1"/>
  <c r="M15706" i="1"/>
  <c r="L15706" i="1"/>
  <c r="K15706" i="1"/>
  <c r="J15706" i="1"/>
  <c r="I15706" i="1"/>
  <c r="H15706" i="1"/>
  <c r="G15706" i="1"/>
  <c r="M15705" i="1"/>
  <c r="L15705" i="1"/>
  <c r="K15705" i="1"/>
  <c r="J15705" i="1"/>
  <c r="I15705" i="1"/>
  <c r="H15705" i="1"/>
  <c r="G15705" i="1"/>
  <c r="M15704" i="1"/>
  <c r="L15704" i="1"/>
  <c r="K15704" i="1"/>
  <c r="J15704" i="1"/>
  <c r="I15704" i="1"/>
  <c r="H15704" i="1"/>
  <c r="G15704" i="1"/>
  <c r="M15703" i="1"/>
  <c r="L15703" i="1"/>
  <c r="K15703" i="1"/>
  <c r="J15703" i="1"/>
  <c r="I15703" i="1"/>
  <c r="H15703" i="1"/>
  <c r="G15703" i="1"/>
  <c r="M15702" i="1"/>
  <c r="L15702" i="1"/>
  <c r="K15702" i="1"/>
  <c r="J15702" i="1"/>
  <c r="I15702" i="1"/>
  <c r="H15702" i="1"/>
  <c r="G15702" i="1"/>
  <c r="M15701" i="1"/>
  <c r="L15701" i="1"/>
  <c r="K15701" i="1"/>
  <c r="J15701" i="1"/>
  <c r="I15701" i="1"/>
  <c r="H15701" i="1"/>
  <c r="G15701" i="1"/>
  <c r="M15700" i="1"/>
  <c r="L15700" i="1"/>
  <c r="K15700" i="1"/>
  <c r="J15700" i="1"/>
  <c r="I15700" i="1"/>
  <c r="H15700" i="1"/>
  <c r="G15700" i="1"/>
  <c r="M15699" i="1"/>
  <c r="L15699" i="1"/>
  <c r="K15699" i="1"/>
  <c r="J15699" i="1"/>
  <c r="I15699" i="1"/>
  <c r="H15699" i="1"/>
  <c r="G15699" i="1"/>
  <c r="M15698" i="1"/>
  <c r="L15698" i="1"/>
  <c r="K15698" i="1"/>
  <c r="J15698" i="1"/>
  <c r="I15698" i="1"/>
  <c r="H15698" i="1"/>
  <c r="G15698" i="1"/>
  <c r="M15697" i="1"/>
  <c r="L15697" i="1"/>
  <c r="K15697" i="1"/>
  <c r="J15697" i="1"/>
  <c r="I15697" i="1"/>
  <c r="H15697" i="1"/>
  <c r="G15697" i="1"/>
  <c r="M15696" i="1"/>
  <c r="L15696" i="1"/>
  <c r="K15696" i="1"/>
  <c r="J15696" i="1"/>
  <c r="I15696" i="1"/>
  <c r="H15696" i="1"/>
  <c r="G15696" i="1"/>
  <c r="M15695" i="1"/>
  <c r="L15695" i="1"/>
  <c r="K15695" i="1"/>
  <c r="J15695" i="1"/>
  <c r="I15695" i="1"/>
  <c r="H15695" i="1"/>
  <c r="G15695" i="1"/>
  <c r="M15694" i="1"/>
  <c r="L15694" i="1"/>
  <c r="K15694" i="1"/>
  <c r="J15694" i="1"/>
  <c r="I15694" i="1"/>
  <c r="H15694" i="1"/>
  <c r="G15694" i="1"/>
  <c r="M15693" i="1"/>
  <c r="L15693" i="1"/>
  <c r="K15693" i="1"/>
  <c r="J15693" i="1"/>
  <c r="I15693" i="1"/>
  <c r="H15693" i="1"/>
  <c r="G15693" i="1"/>
  <c r="M15692" i="1"/>
  <c r="L15692" i="1"/>
  <c r="K15692" i="1"/>
  <c r="J15692" i="1"/>
  <c r="I15692" i="1"/>
  <c r="H15692" i="1"/>
  <c r="G15692" i="1"/>
  <c r="M15691" i="1"/>
  <c r="L15691" i="1"/>
  <c r="K15691" i="1"/>
  <c r="J15691" i="1"/>
  <c r="I15691" i="1"/>
  <c r="H15691" i="1"/>
  <c r="G15691" i="1"/>
  <c r="M15690" i="1"/>
  <c r="L15690" i="1"/>
  <c r="K15690" i="1"/>
  <c r="J15690" i="1"/>
  <c r="I15690" i="1"/>
  <c r="H15690" i="1"/>
  <c r="G15690" i="1"/>
  <c r="M15689" i="1"/>
  <c r="L15689" i="1"/>
  <c r="K15689" i="1"/>
  <c r="J15689" i="1"/>
  <c r="I15689" i="1"/>
  <c r="H15689" i="1"/>
  <c r="G15689" i="1"/>
  <c r="M15688" i="1"/>
  <c r="L15688" i="1"/>
  <c r="K15688" i="1"/>
  <c r="J15688" i="1"/>
  <c r="I15688" i="1"/>
  <c r="H15688" i="1"/>
  <c r="G15688" i="1"/>
  <c r="M15687" i="1"/>
  <c r="L15687" i="1"/>
  <c r="K15687" i="1"/>
  <c r="J15687" i="1"/>
  <c r="I15687" i="1"/>
  <c r="H15687" i="1"/>
  <c r="G15687" i="1"/>
  <c r="M15686" i="1"/>
  <c r="L15686" i="1"/>
  <c r="K15686" i="1"/>
  <c r="J15686" i="1"/>
  <c r="I15686" i="1"/>
  <c r="H15686" i="1"/>
  <c r="G15686" i="1"/>
  <c r="M15685" i="1"/>
  <c r="L15685" i="1"/>
  <c r="K15685" i="1"/>
  <c r="J15685" i="1"/>
  <c r="I15685" i="1"/>
  <c r="H15685" i="1"/>
  <c r="G15685" i="1"/>
  <c r="M15684" i="1"/>
  <c r="L15684" i="1"/>
  <c r="K15684" i="1"/>
  <c r="J15684" i="1"/>
  <c r="I15684" i="1"/>
  <c r="H15684" i="1"/>
  <c r="G15684" i="1"/>
  <c r="M15683" i="1"/>
  <c r="L15683" i="1"/>
  <c r="K15683" i="1"/>
  <c r="J15683" i="1"/>
  <c r="I15683" i="1"/>
  <c r="H15683" i="1"/>
  <c r="G15683" i="1"/>
  <c r="M15682" i="1"/>
  <c r="L15682" i="1"/>
  <c r="K15682" i="1"/>
  <c r="J15682" i="1"/>
  <c r="I15682" i="1"/>
  <c r="H15682" i="1"/>
  <c r="G15682" i="1"/>
  <c r="M15681" i="1"/>
  <c r="L15681" i="1"/>
  <c r="K15681" i="1"/>
  <c r="J15681" i="1"/>
  <c r="I15681" i="1"/>
  <c r="H15681" i="1"/>
  <c r="G15681" i="1"/>
  <c r="M15680" i="1"/>
  <c r="L15680" i="1"/>
  <c r="K15680" i="1"/>
  <c r="J15680" i="1"/>
  <c r="I15680" i="1"/>
  <c r="H15680" i="1"/>
  <c r="G15680" i="1"/>
  <c r="M15679" i="1"/>
  <c r="L15679" i="1"/>
  <c r="K15679" i="1"/>
  <c r="J15679" i="1"/>
  <c r="I15679" i="1"/>
  <c r="H15679" i="1"/>
  <c r="G15679" i="1"/>
  <c r="M15678" i="1"/>
  <c r="L15678" i="1"/>
  <c r="K15678" i="1"/>
  <c r="J15678" i="1"/>
  <c r="I15678" i="1"/>
  <c r="H15678" i="1"/>
  <c r="G15678" i="1"/>
  <c r="M15677" i="1"/>
  <c r="L15677" i="1"/>
  <c r="K15677" i="1"/>
  <c r="J15677" i="1"/>
  <c r="I15677" i="1"/>
  <c r="H15677" i="1"/>
  <c r="G15677" i="1"/>
  <c r="M15676" i="1"/>
  <c r="L15676" i="1"/>
  <c r="K15676" i="1"/>
  <c r="J15676" i="1"/>
  <c r="I15676" i="1"/>
  <c r="H15676" i="1"/>
  <c r="G15676" i="1"/>
  <c r="M15675" i="1"/>
  <c r="L15675" i="1"/>
  <c r="K15675" i="1"/>
  <c r="J15675" i="1"/>
  <c r="I15675" i="1"/>
  <c r="H15675" i="1"/>
  <c r="G15675" i="1"/>
  <c r="M15674" i="1"/>
  <c r="L15674" i="1"/>
  <c r="K15674" i="1"/>
  <c r="J15674" i="1"/>
  <c r="I15674" i="1"/>
  <c r="H15674" i="1"/>
  <c r="G15674" i="1"/>
  <c r="M15673" i="1"/>
  <c r="L15673" i="1"/>
  <c r="K15673" i="1"/>
  <c r="J15673" i="1"/>
  <c r="I15673" i="1"/>
  <c r="H15673" i="1"/>
  <c r="G15673" i="1"/>
  <c r="M15672" i="1"/>
  <c r="L15672" i="1"/>
  <c r="K15672" i="1"/>
  <c r="J15672" i="1"/>
  <c r="I15672" i="1"/>
  <c r="H15672" i="1"/>
  <c r="G15672" i="1"/>
  <c r="M15671" i="1"/>
  <c r="L15671" i="1"/>
  <c r="K15671" i="1"/>
  <c r="J15671" i="1"/>
  <c r="I15671" i="1"/>
  <c r="H15671" i="1"/>
  <c r="G15671" i="1"/>
  <c r="M15670" i="1"/>
  <c r="L15670" i="1"/>
  <c r="K15670" i="1"/>
  <c r="J15670" i="1"/>
  <c r="I15670" i="1"/>
  <c r="H15670" i="1"/>
  <c r="G15670" i="1"/>
  <c r="M15669" i="1"/>
  <c r="L15669" i="1"/>
  <c r="K15669" i="1"/>
  <c r="J15669" i="1"/>
  <c r="I15669" i="1"/>
  <c r="H15669" i="1"/>
  <c r="G15669" i="1"/>
  <c r="M15668" i="1"/>
  <c r="L15668" i="1"/>
  <c r="K15668" i="1"/>
  <c r="J15668" i="1"/>
  <c r="I15668" i="1"/>
  <c r="H15668" i="1"/>
  <c r="G15668" i="1"/>
  <c r="M15667" i="1"/>
  <c r="L15667" i="1"/>
  <c r="K15667" i="1"/>
  <c r="J15667" i="1"/>
  <c r="I15667" i="1"/>
  <c r="H15667" i="1"/>
  <c r="G15667" i="1"/>
  <c r="M15666" i="1"/>
  <c r="L15666" i="1"/>
  <c r="K15666" i="1"/>
  <c r="J15666" i="1"/>
  <c r="I15666" i="1"/>
  <c r="H15666" i="1"/>
  <c r="G15666" i="1"/>
  <c r="M15665" i="1"/>
  <c r="L15665" i="1"/>
  <c r="K15665" i="1"/>
  <c r="J15665" i="1"/>
  <c r="I15665" i="1"/>
  <c r="H15665" i="1"/>
  <c r="G15665" i="1"/>
  <c r="M15664" i="1"/>
  <c r="L15664" i="1"/>
  <c r="K15664" i="1"/>
  <c r="J15664" i="1"/>
  <c r="I15664" i="1"/>
  <c r="H15664" i="1"/>
  <c r="G15664" i="1"/>
  <c r="M15663" i="1"/>
  <c r="L15663" i="1"/>
  <c r="K15663" i="1"/>
  <c r="J15663" i="1"/>
  <c r="I15663" i="1"/>
  <c r="H15663" i="1"/>
  <c r="G15663" i="1"/>
  <c r="M15662" i="1"/>
  <c r="L15662" i="1"/>
  <c r="K15662" i="1"/>
  <c r="J15662" i="1"/>
  <c r="I15662" i="1"/>
  <c r="H15662" i="1"/>
  <c r="G15662" i="1"/>
  <c r="M15661" i="1"/>
  <c r="L15661" i="1"/>
  <c r="K15661" i="1"/>
  <c r="J15661" i="1"/>
  <c r="I15661" i="1"/>
  <c r="H15661" i="1"/>
  <c r="G15661" i="1"/>
  <c r="M15660" i="1"/>
  <c r="L15660" i="1"/>
  <c r="K15660" i="1"/>
  <c r="J15660" i="1"/>
  <c r="I15660" i="1"/>
  <c r="H15660" i="1"/>
  <c r="G15660" i="1"/>
  <c r="M15659" i="1"/>
  <c r="L15659" i="1"/>
  <c r="K15659" i="1"/>
  <c r="J15659" i="1"/>
  <c r="I15659" i="1"/>
  <c r="H15659" i="1"/>
  <c r="G15659" i="1"/>
  <c r="M15658" i="1"/>
  <c r="L15658" i="1"/>
  <c r="K15658" i="1"/>
  <c r="J15658" i="1"/>
  <c r="I15658" i="1"/>
  <c r="H15658" i="1"/>
  <c r="G15658" i="1"/>
  <c r="M15657" i="1"/>
  <c r="L15657" i="1"/>
  <c r="K15657" i="1"/>
  <c r="J15657" i="1"/>
  <c r="I15657" i="1"/>
  <c r="H15657" i="1"/>
  <c r="G15657" i="1"/>
  <c r="M15656" i="1"/>
  <c r="L15656" i="1"/>
  <c r="K15656" i="1"/>
  <c r="J15656" i="1"/>
  <c r="I15656" i="1"/>
  <c r="H15656" i="1"/>
  <c r="G15656" i="1"/>
  <c r="M15655" i="1"/>
  <c r="L15655" i="1"/>
  <c r="K15655" i="1"/>
  <c r="J15655" i="1"/>
  <c r="I15655" i="1"/>
  <c r="H15655" i="1"/>
  <c r="G15655" i="1"/>
  <c r="M15654" i="1"/>
  <c r="L15654" i="1"/>
  <c r="K15654" i="1"/>
  <c r="J15654" i="1"/>
  <c r="I15654" i="1"/>
  <c r="H15654" i="1"/>
  <c r="G15654" i="1"/>
  <c r="M15653" i="1"/>
  <c r="L15653" i="1"/>
  <c r="K15653" i="1"/>
  <c r="J15653" i="1"/>
  <c r="I15653" i="1"/>
  <c r="H15653" i="1"/>
  <c r="G15653" i="1"/>
  <c r="M15652" i="1"/>
  <c r="L15652" i="1"/>
  <c r="K15652" i="1"/>
  <c r="J15652" i="1"/>
  <c r="I15652" i="1"/>
  <c r="H15652" i="1"/>
  <c r="G15652" i="1"/>
  <c r="M15651" i="1"/>
  <c r="L15651" i="1"/>
  <c r="K15651" i="1"/>
  <c r="J15651" i="1"/>
  <c r="I15651" i="1"/>
  <c r="H15651" i="1"/>
  <c r="G15651" i="1"/>
  <c r="M15650" i="1"/>
  <c r="L15650" i="1"/>
  <c r="K15650" i="1"/>
  <c r="J15650" i="1"/>
  <c r="I15650" i="1"/>
  <c r="H15650" i="1"/>
  <c r="G15650" i="1"/>
  <c r="M15649" i="1"/>
  <c r="L15649" i="1"/>
  <c r="K15649" i="1"/>
  <c r="J15649" i="1"/>
  <c r="I15649" i="1"/>
  <c r="H15649" i="1"/>
  <c r="G15649" i="1"/>
  <c r="M15648" i="1"/>
  <c r="L15648" i="1"/>
  <c r="K15648" i="1"/>
  <c r="J15648" i="1"/>
  <c r="I15648" i="1"/>
  <c r="H15648" i="1"/>
  <c r="G15648" i="1"/>
  <c r="M15647" i="1"/>
  <c r="L15647" i="1"/>
  <c r="K15647" i="1"/>
  <c r="J15647" i="1"/>
  <c r="I15647" i="1"/>
  <c r="H15647" i="1"/>
  <c r="G15647" i="1"/>
  <c r="M15646" i="1"/>
  <c r="L15646" i="1"/>
  <c r="K15646" i="1"/>
  <c r="J15646" i="1"/>
  <c r="I15646" i="1"/>
  <c r="H15646" i="1"/>
  <c r="G15646" i="1"/>
  <c r="M15645" i="1"/>
  <c r="L15645" i="1"/>
  <c r="K15645" i="1"/>
  <c r="J15645" i="1"/>
  <c r="I15645" i="1"/>
  <c r="H15645" i="1"/>
  <c r="G15645" i="1"/>
  <c r="M15644" i="1"/>
  <c r="L15644" i="1"/>
  <c r="K15644" i="1"/>
  <c r="J15644" i="1"/>
  <c r="I15644" i="1"/>
  <c r="H15644" i="1"/>
  <c r="G15644" i="1"/>
  <c r="M15643" i="1"/>
  <c r="L15643" i="1"/>
  <c r="K15643" i="1"/>
  <c r="J15643" i="1"/>
  <c r="I15643" i="1"/>
  <c r="H15643" i="1"/>
  <c r="G15643" i="1"/>
  <c r="M15642" i="1"/>
  <c r="L15642" i="1"/>
  <c r="K15642" i="1"/>
  <c r="J15642" i="1"/>
  <c r="I15642" i="1"/>
  <c r="H15642" i="1"/>
  <c r="G15642" i="1"/>
  <c r="M15641" i="1"/>
  <c r="L15641" i="1"/>
  <c r="K15641" i="1"/>
  <c r="J15641" i="1"/>
  <c r="I15641" i="1"/>
  <c r="H15641" i="1"/>
  <c r="G15641" i="1"/>
  <c r="M15640" i="1"/>
  <c r="L15640" i="1"/>
  <c r="K15640" i="1"/>
  <c r="J15640" i="1"/>
  <c r="I15640" i="1"/>
  <c r="H15640" i="1"/>
  <c r="G15640" i="1"/>
  <c r="M15639" i="1"/>
  <c r="L15639" i="1"/>
  <c r="K15639" i="1"/>
  <c r="J15639" i="1"/>
  <c r="I15639" i="1"/>
  <c r="H15639" i="1"/>
  <c r="G15639" i="1"/>
  <c r="M15638" i="1"/>
  <c r="L15638" i="1"/>
  <c r="K15638" i="1"/>
  <c r="J15638" i="1"/>
  <c r="I15638" i="1"/>
  <c r="H15638" i="1"/>
  <c r="G15638" i="1"/>
  <c r="M15637" i="1"/>
  <c r="L15637" i="1"/>
  <c r="K15637" i="1"/>
  <c r="J15637" i="1"/>
  <c r="I15637" i="1"/>
  <c r="H15637" i="1"/>
  <c r="G15637" i="1"/>
  <c r="M15636" i="1"/>
  <c r="L15636" i="1"/>
  <c r="K15636" i="1"/>
  <c r="J15636" i="1"/>
  <c r="I15636" i="1"/>
  <c r="H15636" i="1"/>
  <c r="G15636" i="1"/>
  <c r="M15635" i="1"/>
  <c r="L15635" i="1"/>
  <c r="K15635" i="1"/>
  <c r="J15635" i="1"/>
  <c r="I15635" i="1"/>
  <c r="H15635" i="1"/>
  <c r="G15635" i="1"/>
  <c r="M15634" i="1"/>
  <c r="L15634" i="1"/>
  <c r="K15634" i="1"/>
  <c r="J15634" i="1"/>
  <c r="I15634" i="1"/>
  <c r="H15634" i="1"/>
  <c r="G15634" i="1"/>
  <c r="M15633" i="1"/>
  <c r="L15633" i="1"/>
  <c r="K15633" i="1"/>
  <c r="J15633" i="1"/>
  <c r="I15633" i="1"/>
  <c r="H15633" i="1"/>
  <c r="G15633" i="1"/>
  <c r="M15632" i="1"/>
  <c r="L15632" i="1"/>
  <c r="K15632" i="1"/>
  <c r="J15632" i="1"/>
  <c r="I15632" i="1"/>
  <c r="H15632" i="1"/>
  <c r="G15632" i="1"/>
  <c r="M15631" i="1"/>
  <c r="L15631" i="1"/>
  <c r="K15631" i="1"/>
  <c r="J15631" i="1"/>
  <c r="I15631" i="1"/>
  <c r="H15631" i="1"/>
  <c r="G15631" i="1"/>
  <c r="M15630" i="1"/>
  <c r="L15630" i="1"/>
  <c r="K15630" i="1"/>
  <c r="J15630" i="1"/>
  <c r="I15630" i="1"/>
  <c r="H15630" i="1"/>
  <c r="G15630" i="1"/>
  <c r="M15629" i="1"/>
  <c r="L15629" i="1"/>
  <c r="K15629" i="1"/>
  <c r="J15629" i="1"/>
  <c r="I15629" i="1"/>
  <c r="H15629" i="1"/>
  <c r="G15629" i="1"/>
  <c r="M15628" i="1"/>
  <c r="L15628" i="1"/>
  <c r="K15628" i="1"/>
  <c r="J15628" i="1"/>
  <c r="I15628" i="1"/>
  <c r="H15628" i="1"/>
  <c r="G15628" i="1"/>
  <c r="M15627" i="1"/>
  <c r="L15627" i="1"/>
  <c r="K15627" i="1"/>
  <c r="J15627" i="1"/>
  <c r="I15627" i="1"/>
  <c r="H15627" i="1"/>
  <c r="G15627" i="1"/>
  <c r="M15626" i="1"/>
  <c r="L15626" i="1"/>
  <c r="K15626" i="1"/>
  <c r="J15626" i="1"/>
  <c r="I15626" i="1"/>
  <c r="H15626" i="1"/>
  <c r="G15626" i="1"/>
  <c r="M15625" i="1"/>
  <c r="L15625" i="1"/>
  <c r="K15625" i="1"/>
  <c r="J15625" i="1"/>
  <c r="I15625" i="1"/>
  <c r="H15625" i="1"/>
  <c r="G15625" i="1"/>
  <c r="M15624" i="1"/>
  <c r="L15624" i="1"/>
  <c r="K15624" i="1"/>
  <c r="J15624" i="1"/>
  <c r="I15624" i="1"/>
  <c r="H15624" i="1"/>
  <c r="G15624" i="1"/>
  <c r="M15623" i="1"/>
  <c r="L15623" i="1"/>
  <c r="K15623" i="1"/>
  <c r="J15623" i="1"/>
  <c r="I15623" i="1"/>
  <c r="H15623" i="1"/>
  <c r="G15623" i="1"/>
  <c r="M15622" i="1"/>
  <c r="L15622" i="1"/>
  <c r="K15622" i="1"/>
  <c r="J15622" i="1"/>
  <c r="I15622" i="1"/>
  <c r="H15622" i="1"/>
  <c r="G15622" i="1"/>
  <c r="M15621" i="1"/>
  <c r="L15621" i="1"/>
  <c r="K15621" i="1"/>
  <c r="J15621" i="1"/>
  <c r="I15621" i="1"/>
  <c r="H15621" i="1"/>
  <c r="G15621" i="1"/>
  <c r="M15620" i="1"/>
  <c r="L15620" i="1"/>
  <c r="K15620" i="1"/>
  <c r="J15620" i="1"/>
  <c r="I15620" i="1"/>
  <c r="H15620" i="1"/>
  <c r="G15620" i="1"/>
  <c r="M15619" i="1"/>
  <c r="L15619" i="1"/>
  <c r="K15619" i="1"/>
  <c r="J15619" i="1"/>
  <c r="I15619" i="1"/>
  <c r="H15619" i="1"/>
  <c r="G15619" i="1"/>
  <c r="M15618" i="1"/>
  <c r="L15618" i="1"/>
  <c r="K15618" i="1"/>
  <c r="J15618" i="1"/>
  <c r="I15618" i="1"/>
  <c r="H15618" i="1"/>
  <c r="G15618" i="1"/>
  <c r="M15617" i="1"/>
  <c r="L15617" i="1"/>
  <c r="K15617" i="1"/>
  <c r="J15617" i="1"/>
  <c r="I15617" i="1"/>
  <c r="H15617" i="1"/>
  <c r="G15617" i="1"/>
  <c r="M15616" i="1"/>
  <c r="L15616" i="1"/>
  <c r="K15616" i="1"/>
  <c r="J15616" i="1"/>
  <c r="I15616" i="1"/>
  <c r="H15616" i="1"/>
  <c r="G15616" i="1"/>
  <c r="M15615" i="1"/>
  <c r="L15615" i="1"/>
  <c r="K15615" i="1"/>
  <c r="J15615" i="1"/>
  <c r="I15615" i="1"/>
  <c r="H15615" i="1"/>
  <c r="G15615" i="1"/>
  <c r="M15614" i="1"/>
  <c r="L15614" i="1"/>
  <c r="K15614" i="1"/>
  <c r="J15614" i="1"/>
  <c r="I15614" i="1"/>
  <c r="H15614" i="1"/>
  <c r="G15614" i="1"/>
  <c r="M15613" i="1"/>
  <c r="L15613" i="1"/>
  <c r="K15613" i="1"/>
  <c r="J15613" i="1"/>
  <c r="I15613" i="1"/>
  <c r="H15613" i="1"/>
  <c r="G15613" i="1"/>
  <c r="M15612" i="1"/>
  <c r="L15612" i="1"/>
  <c r="K15612" i="1"/>
  <c r="J15612" i="1"/>
  <c r="I15612" i="1"/>
  <c r="H15612" i="1"/>
  <c r="G15612" i="1"/>
  <c r="M15611" i="1"/>
  <c r="L15611" i="1"/>
  <c r="K15611" i="1"/>
  <c r="J15611" i="1"/>
  <c r="I15611" i="1"/>
  <c r="H15611" i="1"/>
  <c r="G15611" i="1"/>
  <c r="M15610" i="1"/>
  <c r="L15610" i="1"/>
  <c r="K15610" i="1"/>
  <c r="J15610" i="1"/>
  <c r="I15610" i="1"/>
  <c r="H15610" i="1"/>
  <c r="G15610" i="1"/>
  <c r="M15609" i="1"/>
  <c r="L15609" i="1"/>
  <c r="K15609" i="1"/>
  <c r="J15609" i="1"/>
  <c r="I15609" i="1"/>
  <c r="H15609" i="1"/>
  <c r="G15609" i="1"/>
  <c r="M15608" i="1"/>
  <c r="L15608" i="1"/>
  <c r="K15608" i="1"/>
  <c r="J15608" i="1"/>
  <c r="I15608" i="1"/>
  <c r="H15608" i="1"/>
  <c r="G15608" i="1"/>
  <c r="M15607" i="1"/>
  <c r="L15607" i="1"/>
  <c r="K15607" i="1"/>
  <c r="J15607" i="1"/>
  <c r="I15607" i="1"/>
  <c r="H15607" i="1"/>
  <c r="G15607" i="1"/>
  <c r="M15606" i="1"/>
  <c r="L15606" i="1"/>
  <c r="K15606" i="1"/>
  <c r="J15606" i="1"/>
  <c r="I15606" i="1"/>
  <c r="H15606" i="1"/>
  <c r="G15606" i="1"/>
  <c r="M15605" i="1"/>
  <c r="L15605" i="1"/>
  <c r="K15605" i="1"/>
  <c r="J15605" i="1"/>
  <c r="I15605" i="1"/>
  <c r="H15605" i="1"/>
  <c r="G15605" i="1"/>
  <c r="M15604" i="1"/>
  <c r="L15604" i="1"/>
  <c r="K15604" i="1"/>
  <c r="J15604" i="1"/>
  <c r="I15604" i="1"/>
  <c r="H15604" i="1"/>
  <c r="G15604" i="1"/>
  <c r="M15603" i="1"/>
  <c r="L15603" i="1"/>
  <c r="K15603" i="1"/>
  <c r="J15603" i="1"/>
  <c r="I15603" i="1"/>
  <c r="H15603" i="1"/>
  <c r="G15603" i="1"/>
  <c r="M15602" i="1"/>
  <c r="L15602" i="1"/>
  <c r="K15602" i="1"/>
  <c r="J15602" i="1"/>
  <c r="I15602" i="1"/>
  <c r="H15602" i="1"/>
  <c r="G15602" i="1"/>
  <c r="M15601" i="1"/>
  <c r="L15601" i="1"/>
  <c r="K15601" i="1"/>
  <c r="J15601" i="1"/>
  <c r="I15601" i="1"/>
  <c r="H15601" i="1"/>
  <c r="G15601" i="1"/>
  <c r="M15600" i="1"/>
  <c r="L15600" i="1"/>
  <c r="K15600" i="1"/>
  <c r="J15600" i="1"/>
  <c r="I15600" i="1"/>
  <c r="H15600" i="1"/>
  <c r="G15600" i="1"/>
  <c r="M15599" i="1"/>
  <c r="L15599" i="1"/>
  <c r="K15599" i="1"/>
  <c r="J15599" i="1"/>
  <c r="I15599" i="1"/>
  <c r="H15599" i="1"/>
  <c r="G15599" i="1"/>
  <c r="M15598" i="1"/>
  <c r="L15598" i="1"/>
  <c r="K15598" i="1"/>
  <c r="J15598" i="1"/>
  <c r="I15598" i="1"/>
  <c r="H15598" i="1"/>
  <c r="G15598" i="1"/>
  <c r="M15597" i="1"/>
  <c r="L15597" i="1"/>
  <c r="K15597" i="1"/>
  <c r="J15597" i="1"/>
  <c r="I15597" i="1"/>
  <c r="H15597" i="1"/>
  <c r="G15597" i="1"/>
  <c r="M15596" i="1"/>
  <c r="L15596" i="1"/>
  <c r="K15596" i="1"/>
  <c r="J15596" i="1"/>
  <c r="I15596" i="1"/>
  <c r="H15596" i="1"/>
  <c r="G15596" i="1"/>
  <c r="M15595" i="1"/>
  <c r="L15595" i="1"/>
  <c r="K15595" i="1"/>
  <c r="J15595" i="1"/>
  <c r="I15595" i="1"/>
  <c r="H15595" i="1"/>
  <c r="G15595" i="1"/>
  <c r="M15594" i="1"/>
  <c r="L15594" i="1"/>
  <c r="K15594" i="1"/>
  <c r="J15594" i="1"/>
  <c r="I15594" i="1"/>
  <c r="H15594" i="1"/>
  <c r="G15594" i="1"/>
  <c r="M15593" i="1"/>
  <c r="L15593" i="1"/>
  <c r="K15593" i="1"/>
  <c r="J15593" i="1"/>
  <c r="I15593" i="1"/>
  <c r="H15593" i="1"/>
  <c r="G15593" i="1"/>
  <c r="M15592" i="1"/>
  <c r="L15592" i="1"/>
  <c r="K15592" i="1"/>
  <c r="J15592" i="1"/>
  <c r="I15592" i="1"/>
  <c r="H15592" i="1"/>
  <c r="G15592" i="1"/>
  <c r="M15591" i="1"/>
  <c r="L15591" i="1"/>
  <c r="K15591" i="1"/>
  <c r="J15591" i="1"/>
  <c r="I15591" i="1"/>
  <c r="H15591" i="1"/>
  <c r="G15591" i="1"/>
  <c r="M15590" i="1"/>
  <c r="L15590" i="1"/>
  <c r="K15590" i="1"/>
  <c r="J15590" i="1"/>
  <c r="I15590" i="1"/>
  <c r="H15590" i="1"/>
  <c r="G15590" i="1"/>
  <c r="M15589" i="1"/>
  <c r="L15589" i="1"/>
  <c r="K15589" i="1"/>
  <c r="J15589" i="1"/>
  <c r="I15589" i="1"/>
  <c r="H15589" i="1"/>
  <c r="G15589" i="1"/>
  <c r="M15588" i="1"/>
  <c r="L15588" i="1"/>
  <c r="K15588" i="1"/>
  <c r="J15588" i="1"/>
  <c r="I15588" i="1"/>
  <c r="H15588" i="1"/>
  <c r="G15588" i="1"/>
  <c r="M15587" i="1"/>
  <c r="L15587" i="1"/>
  <c r="K15587" i="1"/>
  <c r="J15587" i="1"/>
  <c r="I15587" i="1"/>
  <c r="H15587" i="1"/>
  <c r="G15587" i="1"/>
  <c r="M15586" i="1"/>
  <c r="L15586" i="1"/>
  <c r="K15586" i="1"/>
  <c r="J15586" i="1"/>
  <c r="I15586" i="1"/>
  <c r="H15586" i="1"/>
  <c r="G15586" i="1"/>
  <c r="M15585" i="1"/>
  <c r="L15585" i="1"/>
  <c r="K15585" i="1"/>
  <c r="J15585" i="1"/>
  <c r="I15585" i="1"/>
  <c r="H15585" i="1"/>
  <c r="G15585" i="1"/>
  <c r="M15584" i="1"/>
  <c r="L15584" i="1"/>
  <c r="K15584" i="1"/>
  <c r="J15584" i="1"/>
  <c r="I15584" i="1"/>
  <c r="H15584" i="1"/>
  <c r="G15584" i="1"/>
  <c r="M15583" i="1"/>
  <c r="L15583" i="1"/>
  <c r="K15583" i="1"/>
  <c r="J15583" i="1"/>
  <c r="I15583" i="1"/>
  <c r="H15583" i="1"/>
  <c r="G15583" i="1"/>
  <c r="M15582" i="1"/>
  <c r="L15582" i="1"/>
  <c r="K15582" i="1"/>
  <c r="J15582" i="1"/>
  <c r="I15582" i="1"/>
  <c r="H15582" i="1"/>
  <c r="G15582" i="1"/>
  <c r="M15581" i="1"/>
  <c r="L15581" i="1"/>
  <c r="K15581" i="1"/>
  <c r="J15581" i="1"/>
  <c r="I15581" i="1"/>
  <c r="H15581" i="1"/>
  <c r="G15581" i="1"/>
  <c r="M15580" i="1"/>
  <c r="L15580" i="1"/>
  <c r="K15580" i="1"/>
  <c r="J15580" i="1"/>
  <c r="I15580" i="1"/>
  <c r="H15580" i="1"/>
  <c r="G15580" i="1"/>
  <c r="M15579" i="1"/>
  <c r="L15579" i="1"/>
  <c r="K15579" i="1"/>
  <c r="J15579" i="1"/>
  <c r="I15579" i="1"/>
  <c r="H15579" i="1"/>
  <c r="G15579" i="1"/>
  <c r="M15578" i="1"/>
  <c r="L15578" i="1"/>
  <c r="K15578" i="1"/>
  <c r="J15578" i="1"/>
  <c r="I15578" i="1"/>
  <c r="H15578" i="1"/>
  <c r="G15578" i="1"/>
  <c r="M15577" i="1"/>
  <c r="L15577" i="1"/>
  <c r="K15577" i="1"/>
  <c r="J15577" i="1"/>
  <c r="I15577" i="1"/>
  <c r="H15577" i="1"/>
  <c r="G15577" i="1"/>
  <c r="M15576" i="1"/>
  <c r="L15576" i="1"/>
  <c r="K15576" i="1"/>
  <c r="J15576" i="1"/>
  <c r="I15576" i="1"/>
  <c r="H15576" i="1"/>
  <c r="G15576" i="1"/>
  <c r="M15575" i="1"/>
  <c r="L15575" i="1"/>
  <c r="K15575" i="1"/>
  <c r="J15575" i="1"/>
  <c r="I15575" i="1"/>
  <c r="H15575" i="1"/>
  <c r="G15575" i="1"/>
  <c r="M15574" i="1"/>
  <c r="L15574" i="1"/>
  <c r="K15574" i="1"/>
  <c r="J15574" i="1"/>
  <c r="I15574" i="1"/>
  <c r="H15574" i="1"/>
  <c r="G15574" i="1"/>
  <c r="M15573" i="1"/>
  <c r="L15573" i="1"/>
  <c r="K15573" i="1"/>
  <c r="J15573" i="1"/>
  <c r="I15573" i="1"/>
  <c r="H15573" i="1"/>
  <c r="G15573" i="1"/>
  <c r="M15572" i="1"/>
  <c r="L15572" i="1"/>
  <c r="K15572" i="1"/>
  <c r="J15572" i="1"/>
  <c r="I15572" i="1"/>
  <c r="H15572" i="1"/>
  <c r="G15572" i="1"/>
  <c r="M15571" i="1"/>
  <c r="L15571" i="1"/>
  <c r="K15571" i="1"/>
  <c r="J15571" i="1"/>
  <c r="I15571" i="1"/>
  <c r="H15571" i="1"/>
  <c r="G15571" i="1"/>
  <c r="M15570" i="1"/>
  <c r="L15570" i="1"/>
  <c r="K15570" i="1"/>
  <c r="J15570" i="1"/>
  <c r="I15570" i="1"/>
  <c r="H15570" i="1"/>
  <c r="G15570" i="1"/>
  <c r="M15569" i="1"/>
  <c r="L15569" i="1"/>
  <c r="K15569" i="1"/>
  <c r="J15569" i="1"/>
  <c r="I15569" i="1"/>
  <c r="H15569" i="1"/>
  <c r="G15569" i="1"/>
  <c r="M15568" i="1"/>
  <c r="L15568" i="1"/>
  <c r="K15568" i="1"/>
  <c r="J15568" i="1"/>
  <c r="I15568" i="1"/>
  <c r="H15568" i="1"/>
  <c r="G15568" i="1"/>
  <c r="M15567" i="1"/>
  <c r="L15567" i="1"/>
  <c r="K15567" i="1"/>
  <c r="J15567" i="1"/>
  <c r="I15567" i="1"/>
  <c r="H15567" i="1"/>
  <c r="G15567" i="1"/>
  <c r="M15566" i="1"/>
  <c r="L15566" i="1"/>
  <c r="K15566" i="1"/>
  <c r="J15566" i="1"/>
  <c r="I15566" i="1"/>
  <c r="H15566" i="1"/>
  <c r="G15566" i="1"/>
  <c r="M15565" i="1"/>
  <c r="L15565" i="1"/>
  <c r="K15565" i="1"/>
  <c r="J15565" i="1"/>
  <c r="I15565" i="1"/>
  <c r="H15565" i="1"/>
  <c r="G15565" i="1"/>
  <c r="M15564" i="1"/>
  <c r="L15564" i="1"/>
  <c r="K15564" i="1"/>
  <c r="J15564" i="1"/>
  <c r="I15564" i="1"/>
  <c r="H15564" i="1"/>
  <c r="G15564" i="1"/>
  <c r="M15563" i="1"/>
  <c r="L15563" i="1"/>
  <c r="K15563" i="1"/>
  <c r="J15563" i="1"/>
  <c r="I15563" i="1"/>
  <c r="H15563" i="1"/>
  <c r="G15563" i="1"/>
  <c r="M15562" i="1"/>
  <c r="L15562" i="1"/>
  <c r="K15562" i="1"/>
  <c r="J15562" i="1"/>
  <c r="I15562" i="1"/>
  <c r="H15562" i="1"/>
  <c r="G15562" i="1"/>
  <c r="M15561" i="1"/>
  <c r="L15561" i="1"/>
  <c r="K15561" i="1"/>
  <c r="J15561" i="1"/>
  <c r="I15561" i="1"/>
  <c r="H15561" i="1"/>
  <c r="G15561" i="1"/>
  <c r="M15560" i="1"/>
  <c r="L15560" i="1"/>
  <c r="K15560" i="1"/>
  <c r="J15560" i="1"/>
  <c r="I15560" i="1"/>
  <c r="H15560" i="1"/>
  <c r="G15560" i="1"/>
  <c r="M15559" i="1"/>
  <c r="L15559" i="1"/>
  <c r="K15559" i="1"/>
  <c r="J15559" i="1"/>
  <c r="I15559" i="1"/>
  <c r="H15559" i="1"/>
  <c r="G15559" i="1"/>
  <c r="M15558" i="1"/>
  <c r="L15558" i="1"/>
  <c r="K15558" i="1"/>
  <c r="J15558" i="1"/>
  <c r="I15558" i="1"/>
  <c r="H15558" i="1"/>
  <c r="G15558" i="1"/>
  <c r="M15557" i="1"/>
  <c r="L15557" i="1"/>
  <c r="K15557" i="1"/>
  <c r="J15557" i="1"/>
  <c r="I15557" i="1"/>
  <c r="H15557" i="1"/>
  <c r="G15557" i="1"/>
  <c r="M15556" i="1"/>
  <c r="L15556" i="1"/>
  <c r="K15556" i="1"/>
  <c r="J15556" i="1"/>
  <c r="I15556" i="1"/>
  <c r="H15556" i="1"/>
  <c r="G15556" i="1"/>
  <c r="M15555" i="1"/>
  <c r="L15555" i="1"/>
  <c r="K15555" i="1"/>
  <c r="J15555" i="1"/>
  <c r="I15555" i="1"/>
  <c r="H15555" i="1"/>
  <c r="G15555" i="1"/>
  <c r="M15554" i="1"/>
  <c r="L15554" i="1"/>
  <c r="K15554" i="1"/>
  <c r="J15554" i="1"/>
  <c r="I15554" i="1"/>
  <c r="H15554" i="1"/>
  <c r="G15554" i="1"/>
  <c r="M15553" i="1"/>
  <c r="L15553" i="1"/>
  <c r="K15553" i="1"/>
  <c r="J15553" i="1"/>
  <c r="I15553" i="1"/>
  <c r="H15553" i="1"/>
  <c r="G15553" i="1"/>
  <c r="M15552" i="1"/>
  <c r="L15552" i="1"/>
  <c r="K15552" i="1"/>
  <c r="J15552" i="1"/>
  <c r="I15552" i="1"/>
  <c r="H15552" i="1"/>
  <c r="G15552" i="1"/>
  <c r="M15551" i="1"/>
  <c r="L15551" i="1"/>
  <c r="K15551" i="1"/>
  <c r="J15551" i="1"/>
  <c r="I15551" i="1"/>
  <c r="H15551" i="1"/>
  <c r="G15551" i="1"/>
  <c r="M15550" i="1"/>
  <c r="L15550" i="1"/>
  <c r="K15550" i="1"/>
  <c r="J15550" i="1"/>
  <c r="I15550" i="1"/>
  <c r="H15550" i="1"/>
  <c r="G15550" i="1"/>
  <c r="M15549" i="1"/>
  <c r="L15549" i="1"/>
  <c r="K15549" i="1"/>
  <c r="J15549" i="1"/>
  <c r="I15549" i="1"/>
  <c r="H15549" i="1"/>
  <c r="G15549" i="1"/>
  <c r="M15548" i="1"/>
  <c r="L15548" i="1"/>
  <c r="K15548" i="1"/>
  <c r="J15548" i="1"/>
  <c r="I15548" i="1"/>
  <c r="H15548" i="1"/>
  <c r="G15548" i="1"/>
  <c r="M15547" i="1"/>
  <c r="L15547" i="1"/>
  <c r="K15547" i="1"/>
  <c r="J15547" i="1"/>
  <c r="I15547" i="1"/>
  <c r="H15547" i="1"/>
  <c r="G15547" i="1"/>
  <c r="M15546" i="1"/>
  <c r="L15546" i="1"/>
  <c r="K15546" i="1"/>
  <c r="J15546" i="1"/>
  <c r="I15546" i="1"/>
  <c r="H15546" i="1"/>
  <c r="G15546" i="1"/>
  <c r="M15545" i="1"/>
  <c r="L15545" i="1"/>
  <c r="K15545" i="1"/>
  <c r="J15545" i="1"/>
  <c r="I15545" i="1"/>
  <c r="H15545" i="1"/>
  <c r="G15545" i="1"/>
  <c r="M15544" i="1"/>
  <c r="L15544" i="1"/>
  <c r="K15544" i="1"/>
  <c r="J15544" i="1"/>
  <c r="I15544" i="1"/>
  <c r="H15544" i="1"/>
  <c r="G15544" i="1"/>
  <c r="M15543" i="1"/>
  <c r="L15543" i="1"/>
  <c r="K15543" i="1"/>
  <c r="J15543" i="1"/>
  <c r="I15543" i="1"/>
  <c r="H15543" i="1"/>
  <c r="G15543" i="1"/>
  <c r="M15542" i="1"/>
  <c r="L15542" i="1"/>
  <c r="K15542" i="1"/>
  <c r="J15542" i="1"/>
  <c r="I15542" i="1"/>
  <c r="H15542" i="1"/>
  <c r="G15542" i="1"/>
  <c r="M15541" i="1"/>
  <c r="L15541" i="1"/>
  <c r="K15541" i="1"/>
  <c r="J15541" i="1"/>
  <c r="I15541" i="1"/>
  <c r="H15541" i="1"/>
  <c r="G15541" i="1"/>
  <c r="M15540" i="1"/>
  <c r="L15540" i="1"/>
  <c r="K15540" i="1"/>
  <c r="J15540" i="1"/>
  <c r="I15540" i="1"/>
  <c r="H15540" i="1"/>
  <c r="G15540" i="1"/>
  <c r="M15539" i="1"/>
  <c r="L15539" i="1"/>
  <c r="K15539" i="1"/>
  <c r="J15539" i="1"/>
  <c r="I15539" i="1"/>
  <c r="H15539" i="1"/>
  <c r="G15539" i="1"/>
  <c r="M15538" i="1"/>
  <c r="L15538" i="1"/>
  <c r="K15538" i="1"/>
  <c r="J15538" i="1"/>
  <c r="I15538" i="1"/>
  <c r="H15538" i="1"/>
  <c r="G15538" i="1"/>
  <c r="M15537" i="1"/>
  <c r="L15537" i="1"/>
  <c r="K15537" i="1"/>
  <c r="J15537" i="1"/>
  <c r="I15537" i="1"/>
  <c r="H15537" i="1"/>
  <c r="G15537" i="1"/>
  <c r="M15536" i="1"/>
  <c r="L15536" i="1"/>
  <c r="K15536" i="1"/>
  <c r="J15536" i="1"/>
  <c r="I15536" i="1"/>
  <c r="H15536" i="1"/>
  <c r="G15536" i="1"/>
  <c r="M15535" i="1"/>
  <c r="L15535" i="1"/>
  <c r="K15535" i="1"/>
  <c r="J15535" i="1"/>
  <c r="I15535" i="1"/>
  <c r="H15535" i="1"/>
  <c r="G15535" i="1"/>
  <c r="M15534" i="1"/>
  <c r="L15534" i="1"/>
  <c r="K15534" i="1"/>
  <c r="J15534" i="1"/>
  <c r="I15534" i="1"/>
  <c r="H15534" i="1"/>
  <c r="G15534" i="1"/>
  <c r="M15533" i="1"/>
  <c r="L15533" i="1"/>
  <c r="K15533" i="1"/>
  <c r="J15533" i="1"/>
  <c r="I15533" i="1"/>
  <c r="H15533" i="1"/>
  <c r="G15533" i="1"/>
  <c r="M15532" i="1"/>
  <c r="L15532" i="1"/>
  <c r="K15532" i="1"/>
  <c r="J15532" i="1"/>
  <c r="I15532" i="1"/>
  <c r="H15532" i="1"/>
  <c r="G15532" i="1"/>
  <c r="M15531" i="1"/>
  <c r="L15531" i="1"/>
  <c r="K15531" i="1"/>
  <c r="J15531" i="1"/>
  <c r="I15531" i="1"/>
  <c r="H15531" i="1"/>
  <c r="G15531" i="1"/>
  <c r="M15530" i="1"/>
  <c r="L15530" i="1"/>
  <c r="K15530" i="1"/>
  <c r="J15530" i="1"/>
  <c r="I15530" i="1"/>
  <c r="H15530" i="1"/>
  <c r="G15530" i="1"/>
  <c r="M15529" i="1"/>
  <c r="L15529" i="1"/>
  <c r="K15529" i="1"/>
  <c r="J15529" i="1"/>
  <c r="I15529" i="1"/>
  <c r="H15529" i="1"/>
  <c r="G15529" i="1"/>
  <c r="M15528" i="1"/>
  <c r="L15528" i="1"/>
  <c r="K15528" i="1"/>
  <c r="J15528" i="1"/>
  <c r="I15528" i="1"/>
  <c r="H15528" i="1"/>
  <c r="G15528" i="1"/>
  <c r="M15527" i="1"/>
  <c r="L15527" i="1"/>
  <c r="K15527" i="1"/>
  <c r="J15527" i="1"/>
  <c r="I15527" i="1"/>
  <c r="H15527" i="1"/>
  <c r="G15527" i="1"/>
  <c r="M15526" i="1"/>
  <c r="L15526" i="1"/>
  <c r="K15526" i="1"/>
  <c r="J15526" i="1"/>
  <c r="I15526" i="1"/>
  <c r="H15526" i="1"/>
  <c r="G15526" i="1"/>
  <c r="M15525" i="1"/>
  <c r="L15525" i="1"/>
  <c r="K15525" i="1"/>
  <c r="J15525" i="1"/>
  <c r="I15525" i="1"/>
  <c r="H15525" i="1"/>
  <c r="G15525" i="1"/>
  <c r="M15524" i="1"/>
  <c r="L15524" i="1"/>
  <c r="K15524" i="1"/>
  <c r="J15524" i="1"/>
  <c r="I15524" i="1"/>
  <c r="H15524" i="1"/>
  <c r="G15524" i="1"/>
  <c r="M15523" i="1"/>
  <c r="L15523" i="1"/>
  <c r="K15523" i="1"/>
  <c r="J15523" i="1"/>
  <c r="I15523" i="1"/>
  <c r="H15523" i="1"/>
  <c r="G15523" i="1"/>
  <c r="M15522" i="1"/>
  <c r="L15522" i="1"/>
  <c r="K15522" i="1"/>
  <c r="J15522" i="1"/>
  <c r="I15522" i="1"/>
  <c r="H15522" i="1"/>
  <c r="G15522" i="1"/>
  <c r="M15521" i="1"/>
  <c r="L15521" i="1"/>
  <c r="K15521" i="1"/>
  <c r="J15521" i="1"/>
  <c r="I15521" i="1"/>
  <c r="H15521" i="1"/>
  <c r="G15521" i="1"/>
  <c r="M15520" i="1"/>
  <c r="L15520" i="1"/>
  <c r="K15520" i="1"/>
  <c r="J15520" i="1"/>
  <c r="I15520" i="1"/>
  <c r="H15520" i="1"/>
  <c r="G15520" i="1"/>
  <c r="M15519" i="1"/>
  <c r="L15519" i="1"/>
  <c r="K15519" i="1"/>
  <c r="J15519" i="1"/>
  <c r="I15519" i="1"/>
  <c r="H15519" i="1"/>
  <c r="G15519" i="1"/>
  <c r="M15518" i="1"/>
  <c r="L15518" i="1"/>
  <c r="K15518" i="1"/>
  <c r="J15518" i="1"/>
  <c r="I15518" i="1"/>
  <c r="H15518" i="1"/>
  <c r="G15518" i="1"/>
  <c r="M15517" i="1"/>
  <c r="L15517" i="1"/>
  <c r="K15517" i="1"/>
  <c r="J15517" i="1"/>
  <c r="I15517" i="1"/>
  <c r="H15517" i="1"/>
  <c r="G15517" i="1"/>
  <c r="M15516" i="1"/>
  <c r="L15516" i="1"/>
  <c r="K15516" i="1"/>
  <c r="J15516" i="1"/>
  <c r="I15516" i="1"/>
  <c r="H15516" i="1"/>
  <c r="G15516" i="1"/>
  <c r="M15515" i="1"/>
  <c r="L15515" i="1"/>
  <c r="K15515" i="1"/>
  <c r="J15515" i="1"/>
  <c r="I15515" i="1"/>
  <c r="H15515" i="1"/>
  <c r="G15515" i="1"/>
  <c r="M15514" i="1"/>
  <c r="L15514" i="1"/>
  <c r="K15514" i="1"/>
  <c r="J15514" i="1"/>
  <c r="I15514" i="1"/>
  <c r="H15514" i="1"/>
  <c r="G15514" i="1"/>
  <c r="M15513" i="1"/>
  <c r="L15513" i="1"/>
  <c r="K15513" i="1"/>
  <c r="J15513" i="1"/>
  <c r="I15513" i="1"/>
  <c r="H15513" i="1"/>
  <c r="G15513" i="1"/>
  <c r="M15512" i="1"/>
  <c r="L15512" i="1"/>
  <c r="K15512" i="1"/>
  <c r="J15512" i="1"/>
  <c r="I15512" i="1"/>
  <c r="H15512" i="1"/>
  <c r="G15512" i="1"/>
  <c r="M15511" i="1"/>
  <c r="L15511" i="1"/>
  <c r="K15511" i="1"/>
  <c r="J15511" i="1"/>
  <c r="I15511" i="1"/>
  <c r="H15511" i="1"/>
  <c r="G15511" i="1"/>
  <c r="M15510" i="1"/>
  <c r="L15510" i="1"/>
  <c r="K15510" i="1"/>
  <c r="J15510" i="1"/>
  <c r="I15510" i="1"/>
  <c r="H15510" i="1"/>
  <c r="G15510" i="1"/>
  <c r="M15509" i="1"/>
  <c r="L15509" i="1"/>
  <c r="K15509" i="1"/>
  <c r="J15509" i="1"/>
  <c r="I15509" i="1"/>
  <c r="H15509" i="1"/>
  <c r="G15509" i="1"/>
  <c r="M15508" i="1"/>
  <c r="L15508" i="1"/>
  <c r="K15508" i="1"/>
  <c r="J15508" i="1"/>
  <c r="I15508" i="1"/>
  <c r="H15508" i="1"/>
  <c r="G15508" i="1"/>
  <c r="M15507" i="1"/>
  <c r="L15507" i="1"/>
  <c r="K15507" i="1"/>
  <c r="J15507" i="1"/>
  <c r="I15507" i="1"/>
  <c r="H15507" i="1"/>
  <c r="G15507" i="1"/>
  <c r="M15506" i="1"/>
  <c r="L15506" i="1"/>
  <c r="K15506" i="1"/>
  <c r="J15506" i="1"/>
  <c r="I15506" i="1"/>
  <c r="H15506" i="1"/>
  <c r="G15506" i="1"/>
  <c r="M15505" i="1"/>
  <c r="L15505" i="1"/>
  <c r="K15505" i="1"/>
  <c r="J15505" i="1"/>
  <c r="I15505" i="1"/>
  <c r="H15505" i="1"/>
  <c r="G15505" i="1"/>
  <c r="M15504" i="1"/>
  <c r="L15504" i="1"/>
  <c r="K15504" i="1"/>
  <c r="J15504" i="1"/>
  <c r="I15504" i="1"/>
  <c r="H15504" i="1"/>
  <c r="G15504" i="1"/>
  <c r="M15503" i="1"/>
  <c r="L15503" i="1"/>
  <c r="K15503" i="1"/>
  <c r="J15503" i="1"/>
  <c r="I15503" i="1"/>
  <c r="H15503" i="1"/>
  <c r="G15503" i="1"/>
  <c r="M15502" i="1"/>
  <c r="L15502" i="1"/>
  <c r="K15502" i="1"/>
  <c r="J15502" i="1"/>
  <c r="I15502" i="1"/>
  <c r="H15502" i="1"/>
  <c r="G15502" i="1"/>
  <c r="M15501" i="1"/>
  <c r="L15501" i="1"/>
  <c r="K15501" i="1"/>
  <c r="J15501" i="1"/>
  <c r="I15501" i="1"/>
  <c r="H15501" i="1"/>
  <c r="G15501" i="1"/>
  <c r="M15500" i="1"/>
  <c r="L15500" i="1"/>
  <c r="K15500" i="1"/>
  <c r="J15500" i="1"/>
  <c r="I15500" i="1"/>
  <c r="H15500" i="1"/>
  <c r="G15500" i="1"/>
  <c r="M15499" i="1"/>
  <c r="L15499" i="1"/>
  <c r="K15499" i="1"/>
  <c r="J15499" i="1"/>
  <c r="I15499" i="1"/>
  <c r="H15499" i="1"/>
  <c r="G15499" i="1"/>
  <c r="M15498" i="1"/>
  <c r="L15498" i="1"/>
  <c r="K15498" i="1"/>
  <c r="J15498" i="1"/>
  <c r="I15498" i="1"/>
  <c r="H15498" i="1"/>
  <c r="G15498" i="1"/>
  <c r="M15497" i="1"/>
  <c r="L15497" i="1"/>
  <c r="K15497" i="1"/>
  <c r="J15497" i="1"/>
  <c r="I15497" i="1"/>
  <c r="H15497" i="1"/>
  <c r="G15497" i="1"/>
  <c r="M15496" i="1"/>
  <c r="L15496" i="1"/>
  <c r="K15496" i="1"/>
  <c r="J15496" i="1"/>
  <c r="I15496" i="1"/>
  <c r="H15496" i="1"/>
  <c r="G15496" i="1"/>
  <c r="M15495" i="1"/>
  <c r="L15495" i="1"/>
  <c r="K15495" i="1"/>
  <c r="J15495" i="1"/>
  <c r="I15495" i="1"/>
  <c r="H15495" i="1"/>
  <c r="G15495" i="1"/>
  <c r="M15494" i="1"/>
  <c r="L15494" i="1"/>
  <c r="K15494" i="1"/>
  <c r="J15494" i="1"/>
  <c r="I15494" i="1"/>
  <c r="H15494" i="1"/>
  <c r="G15494" i="1"/>
  <c r="M15493" i="1"/>
  <c r="L15493" i="1"/>
  <c r="K15493" i="1"/>
  <c r="J15493" i="1"/>
  <c r="I15493" i="1"/>
  <c r="H15493" i="1"/>
  <c r="G15493" i="1"/>
  <c r="M15492" i="1"/>
  <c r="L15492" i="1"/>
  <c r="K15492" i="1"/>
  <c r="J15492" i="1"/>
  <c r="I15492" i="1"/>
  <c r="H15492" i="1"/>
  <c r="G15492" i="1"/>
  <c r="M15491" i="1"/>
  <c r="L15491" i="1"/>
  <c r="K15491" i="1"/>
  <c r="J15491" i="1"/>
  <c r="I15491" i="1"/>
  <c r="H15491" i="1"/>
  <c r="G15491" i="1"/>
  <c r="M15490" i="1"/>
  <c r="L15490" i="1"/>
  <c r="K15490" i="1"/>
  <c r="J15490" i="1"/>
  <c r="I15490" i="1"/>
  <c r="H15490" i="1"/>
  <c r="G15490" i="1"/>
  <c r="M15489" i="1"/>
  <c r="L15489" i="1"/>
  <c r="K15489" i="1"/>
  <c r="J15489" i="1"/>
  <c r="I15489" i="1"/>
  <c r="H15489" i="1"/>
  <c r="G15489" i="1"/>
  <c r="M15488" i="1"/>
  <c r="L15488" i="1"/>
  <c r="K15488" i="1"/>
  <c r="J15488" i="1"/>
  <c r="I15488" i="1"/>
  <c r="H15488" i="1"/>
  <c r="G15488" i="1"/>
  <c r="M15487" i="1"/>
  <c r="L15487" i="1"/>
  <c r="K15487" i="1"/>
  <c r="J15487" i="1"/>
  <c r="I15487" i="1"/>
  <c r="H15487" i="1"/>
  <c r="G15487" i="1"/>
  <c r="M15486" i="1"/>
  <c r="L15486" i="1"/>
  <c r="K15486" i="1"/>
  <c r="J15486" i="1"/>
  <c r="I15486" i="1"/>
  <c r="H15486" i="1"/>
  <c r="G15486" i="1"/>
  <c r="M15485" i="1"/>
  <c r="L15485" i="1"/>
  <c r="K15485" i="1"/>
  <c r="J15485" i="1"/>
  <c r="I15485" i="1"/>
  <c r="H15485" i="1"/>
  <c r="G15485" i="1"/>
  <c r="M15484" i="1"/>
  <c r="L15484" i="1"/>
  <c r="K15484" i="1"/>
  <c r="J15484" i="1"/>
  <c r="I15484" i="1"/>
  <c r="H15484" i="1"/>
  <c r="G15484" i="1"/>
  <c r="M15483" i="1"/>
  <c r="L15483" i="1"/>
  <c r="K15483" i="1"/>
  <c r="J15483" i="1"/>
  <c r="I15483" i="1"/>
  <c r="H15483" i="1"/>
  <c r="G15483" i="1"/>
  <c r="M15482" i="1"/>
  <c r="L15482" i="1"/>
  <c r="K15482" i="1"/>
  <c r="J15482" i="1"/>
  <c r="I15482" i="1"/>
  <c r="H15482" i="1"/>
  <c r="G15482" i="1"/>
  <c r="M15481" i="1"/>
  <c r="L15481" i="1"/>
  <c r="K15481" i="1"/>
  <c r="J15481" i="1"/>
  <c r="I15481" i="1"/>
  <c r="H15481" i="1"/>
  <c r="G15481" i="1"/>
  <c r="M15480" i="1"/>
  <c r="L15480" i="1"/>
  <c r="K15480" i="1"/>
  <c r="J15480" i="1"/>
  <c r="I15480" i="1"/>
  <c r="H15480" i="1"/>
  <c r="G15480" i="1"/>
  <c r="M15479" i="1"/>
  <c r="L15479" i="1"/>
  <c r="K15479" i="1"/>
  <c r="J15479" i="1"/>
  <c r="I15479" i="1"/>
  <c r="H15479" i="1"/>
  <c r="G15479" i="1"/>
  <c r="M15478" i="1"/>
  <c r="L15478" i="1"/>
  <c r="K15478" i="1"/>
  <c r="J15478" i="1"/>
  <c r="I15478" i="1"/>
  <c r="H15478" i="1"/>
  <c r="G15478" i="1"/>
  <c r="M15477" i="1"/>
  <c r="L15477" i="1"/>
  <c r="K15477" i="1"/>
  <c r="J15477" i="1"/>
  <c r="I15477" i="1"/>
  <c r="H15477" i="1"/>
  <c r="G15477" i="1"/>
  <c r="M15476" i="1"/>
  <c r="L15476" i="1"/>
  <c r="K15476" i="1"/>
  <c r="J15476" i="1"/>
  <c r="I15476" i="1"/>
  <c r="H15476" i="1"/>
  <c r="G15476" i="1"/>
  <c r="M15475" i="1"/>
  <c r="L15475" i="1"/>
  <c r="K15475" i="1"/>
  <c r="J15475" i="1"/>
  <c r="I15475" i="1"/>
  <c r="H15475" i="1"/>
  <c r="G15475" i="1"/>
  <c r="M15474" i="1"/>
  <c r="L15474" i="1"/>
  <c r="K15474" i="1"/>
  <c r="J15474" i="1"/>
  <c r="I15474" i="1"/>
  <c r="H15474" i="1"/>
  <c r="G15474" i="1"/>
  <c r="M15473" i="1"/>
  <c r="L15473" i="1"/>
  <c r="K15473" i="1"/>
  <c r="J15473" i="1"/>
  <c r="I15473" i="1"/>
  <c r="H15473" i="1"/>
  <c r="G15473" i="1"/>
  <c r="M15472" i="1"/>
  <c r="L15472" i="1"/>
  <c r="K15472" i="1"/>
  <c r="J15472" i="1"/>
  <c r="I15472" i="1"/>
  <c r="H15472" i="1"/>
  <c r="G15472" i="1"/>
  <c r="M15471" i="1"/>
  <c r="L15471" i="1"/>
  <c r="K15471" i="1"/>
  <c r="J15471" i="1"/>
  <c r="I15471" i="1"/>
  <c r="H15471" i="1"/>
  <c r="G15471" i="1"/>
  <c r="M15470" i="1"/>
  <c r="L15470" i="1"/>
  <c r="K15470" i="1"/>
  <c r="J15470" i="1"/>
  <c r="I15470" i="1"/>
  <c r="H15470" i="1"/>
  <c r="G15470" i="1"/>
  <c r="M15469" i="1"/>
  <c r="L15469" i="1"/>
  <c r="K15469" i="1"/>
  <c r="J15469" i="1"/>
  <c r="I15469" i="1"/>
  <c r="H15469" i="1"/>
  <c r="G15469" i="1"/>
  <c r="M15468" i="1"/>
  <c r="L15468" i="1"/>
  <c r="K15468" i="1"/>
  <c r="J15468" i="1"/>
  <c r="I15468" i="1"/>
  <c r="H15468" i="1"/>
  <c r="G15468" i="1"/>
  <c r="M15467" i="1"/>
  <c r="L15467" i="1"/>
  <c r="K15467" i="1"/>
  <c r="J15467" i="1"/>
  <c r="I15467" i="1"/>
  <c r="H15467" i="1"/>
  <c r="G15467" i="1"/>
  <c r="M15466" i="1"/>
  <c r="L15466" i="1"/>
  <c r="K15466" i="1"/>
  <c r="J15466" i="1"/>
  <c r="I15466" i="1"/>
  <c r="H15466" i="1"/>
  <c r="G15466" i="1"/>
  <c r="M15465" i="1"/>
  <c r="L15465" i="1"/>
  <c r="K15465" i="1"/>
  <c r="J15465" i="1"/>
  <c r="I15465" i="1"/>
  <c r="H15465" i="1"/>
  <c r="G15465" i="1"/>
  <c r="M15464" i="1"/>
  <c r="L15464" i="1"/>
  <c r="K15464" i="1"/>
  <c r="J15464" i="1"/>
  <c r="I15464" i="1"/>
  <c r="H15464" i="1"/>
  <c r="G15464" i="1"/>
  <c r="M15463" i="1"/>
  <c r="L15463" i="1"/>
  <c r="K15463" i="1"/>
  <c r="J15463" i="1"/>
  <c r="I15463" i="1"/>
  <c r="H15463" i="1"/>
  <c r="G15463" i="1"/>
  <c r="M15462" i="1"/>
  <c r="L15462" i="1"/>
  <c r="K15462" i="1"/>
  <c r="J15462" i="1"/>
  <c r="I15462" i="1"/>
  <c r="H15462" i="1"/>
  <c r="G15462" i="1"/>
  <c r="M15461" i="1"/>
  <c r="L15461" i="1"/>
  <c r="K15461" i="1"/>
  <c r="J15461" i="1"/>
  <c r="I15461" i="1"/>
  <c r="H15461" i="1"/>
  <c r="G15461" i="1"/>
  <c r="M15460" i="1"/>
  <c r="L15460" i="1"/>
  <c r="K15460" i="1"/>
  <c r="J15460" i="1"/>
  <c r="I15460" i="1"/>
  <c r="H15460" i="1"/>
  <c r="G15460" i="1"/>
  <c r="M15459" i="1"/>
  <c r="L15459" i="1"/>
  <c r="K15459" i="1"/>
  <c r="J15459" i="1"/>
  <c r="I15459" i="1"/>
  <c r="H15459" i="1"/>
  <c r="G15459" i="1"/>
  <c r="M15458" i="1"/>
  <c r="L15458" i="1"/>
  <c r="K15458" i="1"/>
  <c r="J15458" i="1"/>
  <c r="I15458" i="1"/>
  <c r="H15458" i="1"/>
  <c r="G15458" i="1"/>
  <c r="M15457" i="1"/>
  <c r="L15457" i="1"/>
  <c r="K15457" i="1"/>
  <c r="J15457" i="1"/>
  <c r="I15457" i="1"/>
  <c r="H15457" i="1"/>
  <c r="G15457" i="1"/>
  <c r="M15456" i="1"/>
  <c r="L15456" i="1"/>
  <c r="K15456" i="1"/>
  <c r="J15456" i="1"/>
  <c r="I15456" i="1"/>
  <c r="H15456" i="1"/>
  <c r="G15456" i="1"/>
  <c r="M15455" i="1"/>
  <c r="L15455" i="1"/>
  <c r="K15455" i="1"/>
  <c r="J15455" i="1"/>
  <c r="I15455" i="1"/>
  <c r="H15455" i="1"/>
  <c r="G15455" i="1"/>
  <c r="M15454" i="1"/>
  <c r="L15454" i="1"/>
  <c r="K15454" i="1"/>
  <c r="J15454" i="1"/>
  <c r="I15454" i="1"/>
  <c r="H15454" i="1"/>
  <c r="G15454" i="1"/>
  <c r="M15453" i="1"/>
  <c r="L15453" i="1"/>
  <c r="K15453" i="1"/>
  <c r="J15453" i="1"/>
  <c r="I15453" i="1"/>
  <c r="H15453" i="1"/>
  <c r="G15453" i="1"/>
  <c r="M15452" i="1"/>
  <c r="L15452" i="1"/>
  <c r="K15452" i="1"/>
  <c r="J15452" i="1"/>
  <c r="I15452" i="1"/>
  <c r="H15452" i="1"/>
  <c r="G15452" i="1"/>
  <c r="M15451" i="1"/>
  <c r="L15451" i="1"/>
  <c r="K15451" i="1"/>
  <c r="J15451" i="1"/>
  <c r="I15451" i="1"/>
  <c r="H15451" i="1"/>
  <c r="G15451" i="1"/>
  <c r="M15450" i="1"/>
  <c r="L15450" i="1"/>
  <c r="K15450" i="1"/>
  <c r="J15450" i="1"/>
  <c r="I15450" i="1"/>
  <c r="H15450" i="1"/>
  <c r="G15450" i="1"/>
  <c r="M15449" i="1"/>
  <c r="L15449" i="1"/>
  <c r="K15449" i="1"/>
  <c r="J15449" i="1"/>
  <c r="I15449" i="1"/>
  <c r="H15449" i="1"/>
  <c r="G15449" i="1"/>
  <c r="M15448" i="1"/>
  <c r="L15448" i="1"/>
  <c r="K15448" i="1"/>
  <c r="J15448" i="1"/>
  <c r="I15448" i="1"/>
  <c r="H15448" i="1"/>
  <c r="G15448" i="1"/>
  <c r="M15447" i="1"/>
  <c r="L15447" i="1"/>
  <c r="K15447" i="1"/>
  <c r="J15447" i="1"/>
  <c r="I15447" i="1"/>
  <c r="H15447" i="1"/>
  <c r="G15447" i="1"/>
  <c r="M15446" i="1"/>
  <c r="L15446" i="1"/>
  <c r="K15446" i="1"/>
  <c r="J15446" i="1"/>
  <c r="I15446" i="1"/>
  <c r="H15446" i="1"/>
  <c r="G15446" i="1"/>
  <c r="M15445" i="1"/>
  <c r="L15445" i="1"/>
  <c r="K15445" i="1"/>
  <c r="J15445" i="1"/>
  <c r="I15445" i="1"/>
  <c r="H15445" i="1"/>
  <c r="G15445" i="1"/>
  <c r="M15444" i="1"/>
  <c r="L15444" i="1"/>
  <c r="K15444" i="1"/>
  <c r="J15444" i="1"/>
  <c r="I15444" i="1"/>
  <c r="H15444" i="1"/>
  <c r="G15444" i="1"/>
  <c r="M15443" i="1"/>
  <c r="L15443" i="1"/>
  <c r="K15443" i="1"/>
  <c r="J15443" i="1"/>
  <c r="I15443" i="1"/>
  <c r="H15443" i="1"/>
  <c r="G15443" i="1"/>
  <c r="M15442" i="1"/>
  <c r="L15442" i="1"/>
  <c r="K15442" i="1"/>
  <c r="J15442" i="1"/>
  <c r="I15442" i="1"/>
  <c r="H15442" i="1"/>
  <c r="G15442" i="1"/>
  <c r="M15441" i="1"/>
  <c r="L15441" i="1"/>
  <c r="K15441" i="1"/>
  <c r="J15441" i="1"/>
  <c r="I15441" i="1"/>
  <c r="H15441" i="1"/>
  <c r="G15441" i="1"/>
  <c r="M15440" i="1"/>
  <c r="L15440" i="1"/>
  <c r="K15440" i="1"/>
  <c r="J15440" i="1"/>
  <c r="I15440" i="1"/>
  <c r="H15440" i="1"/>
  <c r="G15440" i="1"/>
  <c r="M15439" i="1"/>
  <c r="L15439" i="1"/>
  <c r="K15439" i="1"/>
  <c r="J15439" i="1"/>
  <c r="I15439" i="1"/>
  <c r="H15439" i="1"/>
  <c r="G15439" i="1"/>
  <c r="M15438" i="1"/>
  <c r="L15438" i="1"/>
  <c r="K15438" i="1"/>
  <c r="J15438" i="1"/>
  <c r="I15438" i="1"/>
  <c r="H15438" i="1"/>
  <c r="G15438" i="1"/>
  <c r="M15437" i="1"/>
  <c r="L15437" i="1"/>
  <c r="K15437" i="1"/>
  <c r="J15437" i="1"/>
  <c r="I15437" i="1"/>
  <c r="H15437" i="1"/>
  <c r="G15437" i="1"/>
  <c r="M15436" i="1"/>
  <c r="L15436" i="1"/>
  <c r="K15436" i="1"/>
  <c r="J15436" i="1"/>
  <c r="I15436" i="1"/>
  <c r="H15436" i="1"/>
  <c r="G15436" i="1"/>
  <c r="M15435" i="1"/>
  <c r="L15435" i="1"/>
  <c r="K15435" i="1"/>
  <c r="J15435" i="1"/>
  <c r="I15435" i="1"/>
  <c r="H15435" i="1"/>
  <c r="G15435" i="1"/>
  <c r="M15434" i="1"/>
  <c r="L15434" i="1"/>
  <c r="K15434" i="1"/>
  <c r="J15434" i="1"/>
  <c r="I15434" i="1"/>
  <c r="H15434" i="1"/>
  <c r="G15434" i="1"/>
  <c r="M15433" i="1"/>
  <c r="L15433" i="1"/>
  <c r="K15433" i="1"/>
  <c r="J15433" i="1"/>
  <c r="I15433" i="1"/>
  <c r="H15433" i="1"/>
  <c r="G15433" i="1"/>
  <c r="M15432" i="1"/>
  <c r="L15432" i="1"/>
  <c r="K15432" i="1"/>
  <c r="J15432" i="1"/>
  <c r="I15432" i="1"/>
  <c r="H15432" i="1"/>
  <c r="G15432" i="1"/>
  <c r="M15431" i="1"/>
  <c r="L15431" i="1"/>
  <c r="K15431" i="1"/>
  <c r="J15431" i="1"/>
  <c r="I15431" i="1"/>
  <c r="H15431" i="1"/>
  <c r="G15431" i="1"/>
  <c r="M15430" i="1"/>
  <c r="L15430" i="1"/>
  <c r="K15430" i="1"/>
  <c r="J15430" i="1"/>
  <c r="I15430" i="1"/>
  <c r="H15430" i="1"/>
  <c r="G15430" i="1"/>
  <c r="M15429" i="1"/>
  <c r="L15429" i="1"/>
  <c r="K15429" i="1"/>
  <c r="J15429" i="1"/>
  <c r="I15429" i="1"/>
  <c r="H15429" i="1"/>
  <c r="G15429" i="1"/>
  <c r="M15428" i="1"/>
  <c r="L15428" i="1"/>
  <c r="K15428" i="1"/>
  <c r="J15428" i="1"/>
  <c r="I15428" i="1"/>
  <c r="H15428" i="1"/>
  <c r="G15428" i="1"/>
  <c r="M15427" i="1"/>
  <c r="L15427" i="1"/>
  <c r="K15427" i="1"/>
  <c r="J15427" i="1"/>
  <c r="I15427" i="1"/>
  <c r="H15427" i="1"/>
  <c r="G15427" i="1"/>
  <c r="M15426" i="1"/>
  <c r="L15426" i="1"/>
  <c r="K15426" i="1"/>
  <c r="J15426" i="1"/>
  <c r="I15426" i="1"/>
  <c r="H15426" i="1"/>
  <c r="G15426" i="1"/>
  <c r="M15425" i="1"/>
  <c r="L15425" i="1"/>
  <c r="K15425" i="1"/>
  <c r="J15425" i="1"/>
  <c r="I15425" i="1"/>
  <c r="H15425" i="1"/>
  <c r="G15425" i="1"/>
  <c r="M15424" i="1"/>
  <c r="L15424" i="1"/>
  <c r="K15424" i="1"/>
  <c r="J15424" i="1"/>
  <c r="I15424" i="1"/>
  <c r="H15424" i="1"/>
  <c r="G15424" i="1"/>
  <c r="M15423" i="1"/>
  <c r="L15423" i="1"/>
  <c r="K15423" i="1"/>
  <c r="J15423" i="1"/>
  <c r="I15423" i="1"/>
  <c r="H15423" i="1"/>
  <c r="G15423" i="1"/>
  <c r="M15422" i="1"/>
  <c r="L15422" i="1"/>
  <c r="K15422" i="1"/>
  <c r="J15422" i="1"/>
  <c r="I15422" i="1"/>
  <c r="H15422" i="1"/>
  <c r="G15422" i="1"/>
  <c r="M15421" i="1"/>
  <c r="L15421" i="1"/>
  <c r="K15421" i="1"/>
  <c r="J15421" i="1"/>
  <c r="I15421" i="1"/>
  <c r="H15421" i="1"/>
  <c r="G15421" i="1"/>
  <c r="M15420" i="1"/>
  <c r="L15420" i="1"/>
  <c r="K15420" i="1"/>
  <c r="J15420" i="1"/>
  <c r="I15420" i="1"/>
  <c r="H15420" i="1"/>
  <c r="G15420" i="1"/>
  <c r="M15419" i="1"/>
  <c r="L15419" i="1"/>
  <c r="K15419" i="1"/>
  <c r="J15419" i="1"/>
  <c r="I15419" i="1"/>
  <c r="H15419" i="1"/>
  <c r="G15419" i="1"/>
  <c r="M15418" i="1"/>
  <c r="L15418" i="1"/>
  <c r="K15418" i="1"/>
  <c r="J15418" i="1"/>
  <c r="I15418" i="1"/>
  <c r="H15418" i="1"/>
  <c r="G15418" i="1"/>
  <c r="M15417" i="1"/>
  <c r="L15417" i="1"/>
  <c r="K15417" i="1"/>
  <c r="J15417" i="1"/>
  <c r="I15417" i="1"/>
  <c r="H15417" i="1"/>
  <c r="G15417" i="1"/>
  <c r="M15416" i="1"/>
  <c r="L15416" i="1"/>
  <c r="K15416" i="1"/>
  <c r="J15416" i="1"/>
  <c r="I15416" i="1"/>
  <c r="H15416" i="1"/>
  <c r="G15416" i="1"/>
  <c r="M15415" i="1"/>
  <c r="L15415" i="1"/>
  <c r="K15415" i="1"/>
  <c r="J15415" i="1"/>
  <c r="I15415" i="1"/>
  <c r="H15415" i="1"/>
  <c r="G15415" i="1"/>
  <c r="M15414" i="1"/>
  <c r="L15414" i="1"/>
  <c r="K15414" i="1"/>
  <c r="J15414" i="1"/>
  <c r="I15414" i="1"/>
  <c r="H15414" i="1"/>
  <c r="G15414" i="1"/>
  <c r="M15413" i="1"/>
  <c r="L15413" i="1"/>
  <c r="K15413" i="1"/>
  <c r="J15413" i="1"/>
  <c r="I15413" i="1"/>
  <c r="H15413" i="1"/>
  <c r="G15413" i="1"/>
  <c r="M15412" i="1"/>
  <c r="L15412" i="1"/>
  <c r="K15412" i="1"/>
  <c r="J15412" i="1"/>
  <c r="I15412" i="1"/>
  <c r="H15412" i="1"/>
  <c r="G15412" i="1"/>
  <c r="M15411" i="1"/>
  <c r="L15411" i="1"/>
  <c r="K15411" i="1"/>
  <c r="J15411" i="1"/>
  <c r="I15411" i="1"/>
  <c r="H15411" i="1"/>
  <c r="G15411" i="1"/>
  <c r="M15410" i="1"/>
  <c r="L15410" i="1"/>
  <c r="K15410" i="1"/>
  <c r="J15410" i="1"/>
  <c r="I15410" i="1"/>
  <c r="H15410" i="1"/>
  <c r="G15410" i="1"/>
  <c r="M15409" i="1"/>
  <c r="L15409" i="1"/>
  <c r="K15409" i="1"/>
  <c r="J15409" i="1"/>
  <c r="I15409" i="1"/>
  <c r="H15409" i="1"/>
  <c r="G15409" i="1"/>
  <c r="M15408" i="1"/>
  <c r="L15408" i="1"/>
  <c r="K15408" i="1"/>
  <c r="J15408" i="1"/>
  <c r="I15408" i="1"/>
  <c r="H15408" i="1"/>
  <c r="G15408" i="1"/>
  <c r="M15407" i="1"/>
  <c r="L15407" i="1"/>
  <c r="K15407" i="1"/>
  <c r="J15407" i="1"/>
  <c r="I15407" i="1"/>
  <c r="H15407" i="1"/>
  <c r="G15407" i="1"/>
  <c r="M15406" i="1"/>
  <c r="L15406" i="1"/>
  <c r="K15406" i="1"/>
  <c r="J15406" i="1"/>
  <c r="I15406" i="1"/>
  <c r="H15406" i="1"/>
  <c r="G15406" i="1"/>
  <c r="M15405" i="1"/>
  <c r="L15405" i="1"/>
  <c r="K15405" i="1"/>
  <c r="J15405" i="1"/>
  <c r="I15405" i="1"/>
  <c r="H15405" i="1"/>
  <c r="G15405" i="1"/>
  <c r="M15404" i="1"/>
  <c r="L15404" i="1"/>
  <c r="K15404" i="1"/>
  <c r="J15404" i="1"/>
  <c r="I15404" i="1"/>
  <c r="H15404" i="1"/>
  <c r="G15404" i="1"/>
  <c r="M15403" i="1"/>
  <c r="L15403" i="1"/>
  <c r="K15403" i="1"/>
  <c r="J15403" i="1"/>
  <c r="I15403" i="1"/>
  <c r="H15403" i="1"/>
  <c r="G15403" i="1"/>
  <c r="M15402" i="1"/>
  <c r="L15402" i="1"/>
  <c r="K15402" i="1"/>
  <c r="J15402" i="1"/>
  <c r="I15402" i="1"/>
  <c r="H15402" i="1"/>
  <c r="G15402" i="1"/>
  <c r="M15401" i="1"/>
  <c r="L15401" i="1"/>
  <c r="K15401" i="1"/>
  <c r="J15401" i="1"/>
  <c r="I15401" i="1"/>
  <c r="H15401" i="1"/>
  <c r="G15401" i="1"/>
  <c r="M15400" i="1"/>
  <c r="L15400" i="1"/>
  <c r="K15400" i="1"/>
  <c r="J15400" i="1"/>
  <c r="I15400" i="1"/>
  <c r="H15400" i="1"/>
  <c r="G15400" i="1"/>
  <c r="M15399" i="1"/>
  <c r="L15399" i="1"/>
  <c r="K15399" i="1"/>
  <c r="J15399" i="1"/>
  <c r="I15399" i="1"/>
  <c r="H15399" i="1"/>
  <c r="G15399" i="1"/>
  <c r="M15398" i="1"/>
  <c r="L15398" i="1"/>
  <c r="K15398" i="1"/>
  <c r="J15398" i="1"/>
  <c r="I15398" i="1"/>
  <c r="H15398" i="1"/>
  <c r="G15398" i="1"/>
  <c r="M15397" i="1"/>
  <c r="L15397" i="1"/>
  <c r="K15397" i="1"/>
  <c r="J15397" i="1"/>
  <c r="I15397" i="1"/>
  <c r="H15397" i="1"/>
  <c r="G15397" i="1"/>
  <c r="M15396" i="1"/>
  <c r="L15396" i="1"/>
  <c r="K15396" i="1"/>
  <c r="J15396" i="1"/>
  <c r="I15396" i="1"/>
  <c r="H15396" i="1"/>
  <c r="G15396" i="1"/>
  <c r="M15395" i="1"/>
  <c r="L15395" i="1"/>
  <c r="K15395" i="1"/>
  <c r="J15395" i="1"/>
  <c r="I15395" i="1"/>
  <c r="H15395" i="1"/>
  <c r="G15395" i="1"/>
  <c r="M15394" i="1"/>
  <c r="L15394" i="1"/>
  <c r="K15394" i="1"/>
  <c r="J15394" i="1"/>
  <c r="I15394" i="1"/>
  <c r="H15394" i="1"/>
  <c r="G15394" i="1"/>
  <c r="M15393" i="1"/>
  <c r="L15393" i="1"/>
  <c r="K15393" i="1"/>
  <c r="J15393" i="1"/>
  <c r="I15393" i="1"/>
  <c r="H15393" i="1"/>
  <c r="G15393" i="1"/>
  <c r="M15392" i="1"/>
  <c r="L15392" i="1"/>
  <c r="K15392" i="1"/>
  <c r="J15392" i="1"/>
  <c r="I15392" i="1"/>
  <c r="H15392" i="1"/>
  <c r="G15392" i="1"/>
  <c r="M15391" i="1"/>
  <c r="L15391" i="1"/>
  <c r="K15391" i="1"/>
  <c r="J15391" i="1"/>
  <c r="I15391" i="1"/>
  <c r="H15391" i="1"/>
  <c r="G15391" i="1"/>
  <c r="M15390" i="1"/>
  <c r="L15390" i="1"/>
  <c r="K15390" i="1"/>
  <c r="J15390" i="1"/>
  <c r="I15390" i="1"/>
  <c r="H15390" i="1"/>
  <c r="G15390" i="1"/>
  <c r="M15389" i="1"/>
  <c r="L15389" i="1"/>
  <c r="K15389" i="1"/>
  <c r="J15389" i="1"/>
  <c r="I15389" i="1"/>
  <c r="H15389" i="1"/>
  <c r="G15389" i="1"/>
  <c r="M15388" i="1"/>
  <c r="L15388" i="1"/>
  <c r="K15388" i="1"/>
  <c r="J15388" i="1"/>
  <c r="I15388" i="1"/>
  <c r="H15388" i="1"/>
  <c r="G15388" i="1"/>
  <c r="M15387" i="1"/>
  <c r="L15387" i="1"/>
  <c r="K15387" i="1"/>
  <c r="J15387" i="1"/>
  <c r="I15387" i="1"/>
  <c r="H15387" i="1"/>
  <c r="G15387" i="1"/>
  <c r="M15386" i="1"/>
  <c r="L15386" i="1"/>
  <c r="K15386" i="1"/>
  <c r="J15386" i="1"/>
  <c r="I15386" i="1"/>
  <c r="H15386" i="1"/>
  <c r="G15386" i="1"/>
  <c r="M15385" i="1"/>
  <c r="L15385" i="1"/>
  <c r="K15385" i="1"/>
  <c r="J15385" i="1"/>
  <c r="I15385" i="1"/>
  <c r="H15385" i="1"/>
  <c r="G15385" i="1"/>
  <c r="M15384" i="1"/>
  <c r="L15384" i="1"/>
  <c r="K15384" i="1"/>
  <c r="J15384" i="1"/>
  <c r="I15384" i="1"/>
  <c r="H15384" i="1"/>
  <c r="G15384" i="1"/>
  <c r="M15383" i="1"/>
  <c r="L15383" i="1"/>
  <c r="K15383" i="1"/>
  <c r="J15383" i="1"/>
  <c r="I15383" i="1"/>
  <c r="H15383" i="1"/>
  <c r="G15383" i="1"/>
  <c r="M15382" i="1"/>
  <c r="L15382" i="1"/>
  <c r="K15382" i="1"/>
  <c r="J15382" i="1"/>
  <c r="I15382" i="1"/>
  <c r="H15382" i="1"/>
  <c r="G15382" i="1"/>
  <c r="M15381" i="1"/>
  <c r="L15381" i="1"/>
  <c r="K15381" i="1"/>
  <c r="J15381" i="1"/>
  <c r="I15381" i="1"/>
  <c r="H15381" i="1"/>
  <c r="G15381" i="1"/>
  <c r="M15380" i="1"/>
  <c r="L15380" i="1"/>
  <c r="K15380" i="1"/>
  <c r="J15380" i="1"/>
  <c r="I15380" i="1"/>
  <c r="H15380" i="1"/>
  <c r="G15380" i="1"/>
  <c r="M15379" i="1"/>
  <c r="L15379" i="1"/>
  <c r="K15379" i="1"/>
  <c r="J15379" i="1"/>
  <c r="I15379" i="1"/>
  <c r="H15379" i="1"/>
  <c r="G15379" i="1"/>
  <c r="M15378" i="1"/>
  <c r="L15378" i="1"/>
  <c r="K15378" i="1"/>
  <c r="J15378" i="1"/>
  <c r="I15378" i="1"/>
  <c r="H15378" i="1"/>
  <c r="G15378" i="1"/>
  <c r="M15377" i="1"/>
  <c r="L15377" i="1"/>
  <c r="K15377" i="1"/>
  <c r="J15377" i="1"/>
  <c r="I15377" i="1"/>
  <c r="H15377" i="1"/>
  <c r="G15377" i="1"/>
  <c r="M15376" i="1"/>
  <c r="L15376" i="1"/>
  <c r="K15376" i="1"/>
  <c r="J15376" i="1"/>
  <c r="I15376" i="1"/>
  <c r="H15376" i="1"/>
  <c r="G15376" i="1"/>
  <c r="M15375" i="1"/>
  <c r="L15375" i="1"/>
  <c r="K15375" i="1"/>
  <c r="J15375" i="1"/>
  <c r="I15375" i="1"/>
  <c r="H15375" i="1"/>
  <c r="G15375" i="1"/>
  <c r="M15374" i="1"/>
  <c r="L15374" i="1"/>
  <c r="K15374" i="1"/>
  <c r="J15374" i="1"/>
  <c r="I15374" i="1"/>
  <c r="H15374" i="1"/>
  <c r="G15374" i="1"/>
  <c r="M15373" i="1"/>
  <c r="L15373" i="1"/>
  <c r="K15373" i="1"/>
  <c r="J15373" i="1"/>
  <c r="I15373" i="1"/>
  <c r="H15373" i="1"/>
  <c r="G15373" i="1"/>
  <c r="M15372" i="1"/>
  <c r="L15372" i="1"/>
  <c r="K15372" i="1"/>
  <c r="J15372" i="1"/>
  <c r="I15372" i="1"/>
  <c r="H15372" i="1"/>
  <c r="G15372" i="1"/>
  <c r="M15371" i="1"/>
  <c r="L15371" i="1"/>
  <c r="K15371" i="1"/>
  <c r="J15371" i="1"/>
  <c r="I15371" i="1"/>
  <c r="H15371" i="1"/>
  <c r="G15371" i="1"/>
  <c r="M15370" i="1"/>
  <c r="L15370" i="1"/>
  <c r="K15370" i="1"/>
  <c r="J15370" i="1"/>
  <c r="I15370" i="1"/>
  <c r="H15370" i="1"/>
  <c r="G15370" i="1"/>
  <c r="M15369" i="1"/>
  <c r="L15369" i="1"/>
  <c r="K15369" i="1"/>
  <c r="J15369" i="1"/>
  <c r="I15369" i="1"/>
  <c r="H15369" i="1"/>
  <c r="G15369" i="1"/>
  <c r="M15368" i="1"/>
  <c r="L15368" i="1"/>
  <c r="K15368" i="1"/>
  <c r="J15368" i="1"/>
  <c r="I15368" i="1"/>
  <c r="H15368" i="1"/>
  <c r="G15368" i="1"/>
  <c r="M15367" i="1"/>
  <c r="L15367" i="1"/>
  <c r="K15367" i="1"/>
  <c r="J15367" i="1"/>
  <c r="I15367" i="1"/>
  <c r="H15367" i="1"/>
  <c r="G15367" i="1"/>
  <c r="M15366" i="1"/>
  <c r="L15366" i="1"/>
  <c r="K15366" i="1"/>
  <c r="J15366" i="1"/>
  <c r="I15366" i="1"/>
  <c r="H15366" i="1"/>
  <c r="G15366" i="1"/>
  <c r="M15365" i="1"/>
  <c r="L15365" i="1"/>
  <c r="K15365" i="1"/>
  <c r="J15365" i="1"/>
  <c r="I15365" i="1"/>
  <c r="H15365" i="1"/>
  <c r="G15365" i="1"/>
  <c r="M15364" i="1"/>
  <c r="L15364" i="1"/>
  <c r="K15364" i="1"/>
  <c r="J15364" i="1"/>
  <c r="I15364" i="1"/>
  <c r="H15364" i="1"/>
  <c r="G15364" i="1"/>
  <c r="M15363" i="1"/>
  <c r="L15363" i="1"/>
  <c r="K15363" i="1"/>
  <c r="J15363" i="1"/>
  <c r="I15363" i="1"/>
  <c r="H15363" i="1"/>
  <c r="G15363" i="1"/>
  <c r="M15362" i="1"/>
  <c r="L15362" i="1"/>
  <c r="K15362" i="1"/>
  <c r="J15362" i="1"/>
  <c r="I15362" i="1"/>
  <c r="H15362" i="1"/>
  <c r="G15362" i="1"/>
  <c r="M15361" i="1"/>
  <c r="L15361" i="1"/>
  <c r="K15361" i="1"/>
  <c r="J15361" i="1"/>
  <c r="I15361" i="1"/>
  <c r="H15361" i="1"/>
  <c r="G15361" i="1"/>
  <c r="M15360" i="1"/>
  <c r="L15360" i="1"/>
  <c r="K15360" i="1"/>
  <c r="J15360" i="1"/>
  <c r="I15360" i="1"/>
  <c r="H15360" i="1"/>
  <c r="G15360" i="1"/>
  <c r="M15359" i="1"/>
  <c r="L15359" i="1"/>
  <c r="K15359" i="1"/>
  <c r="J15359" i="1"/>
  <c r="I15359" i="1"/>
  <c r="H15359" i="1"/>
  <c r="G15359" i="1"/>
  <c r="M15358" i="1"/>
  <c r="L15358" i="1"/>
  <c r="K15358" i="1"/>
  <c r="J15358" i="1"/>
  <c r="I15358" i="1"/>
  <c r="H15358" i="1"/>
  <c r="G15358" i="1"/>
  <c r="M15357" i="1"/>
  <c r="L15357" i="1"/>
  <c r="K15357" i="1"/>
  <c r="J15357" i="1"/>
  <c r="I15357" i="1"/>
  <c r="H15357" i="1"/>
  <c r="G15357" i="1"/>
  <c r="M15356" i="1"/>
  <c r="L15356" i="1"/>
  <c r="K15356" i="1"/>
  <c r="J15356" i="1"/>
  <c r="I15356" i="1"/>
  <c r="H15356" i="1"/>
  <c r="G15356" i="1"/>
  <c r="M15355" i="1"/>
  <c r="L15355" i="1"/>
  <c r="K15355" i="1"/>
  <c r="J15355" i="1"/>
  <c r="I15355" i="1"/>
  <c r="H15355" i="1"/>
  <c r="G15355" i="1"/>
  <c r="M15354" i="1"/>
  <c r="L15354" i="1"/>
  <c r="K15354" i="1"/>
  <c r="J15354" i="1"/>
  <c r="I15354" i="1"/>
  <c r="H15354" i="1"/>
  <c r="G15354" i="1"/>
  <c r="M15353" i="1"/>
  <c r="L15353" i="1"/>
  <c r="K15353" i="1"/>
  <c r="J15353" i="1"/>
  <c r="I15353" i="1"/>
  <c r="H15353" i="1"/>
  <c r="G15353" i="1"/>
  <c r="M15352" i="1"/>
  <c r="L15352" i="1"/>
  <c r="K15352" i="1"/>
  <c r="J15352" i="1"/>
  <c r="I15352" i="1"/>
  <c r="H15352" i="1"/>
  <c r="G15352" i="1"/>
  <c r="M15351" i="1"/>
  <c r="L15351" i="1"/>
  <c r="K15351" i="1"/>
  <c r="J15351" i="1"/>
  <c r="I15351" i="1"/>
  <c r="H15351" i="1"/>
  <c r="G15351" i="1"/>
  <c r="M15350" i="1"/>
  <c r="L15350" i="1"/>
  <c r="K15350" i="1"/>
  <c r="J15350" i="1"/>
  <c r="I15350" i="1"/>
  <c r="H15350" i="1"/>
  <c r="G15350" i="1"/>
  <c r="M15349" i="1"/>
  <c r="L15349" i="1"/>
  <c r="K15349" i="1"/>
  <c r="J15349" i="1"/>
  <c r="I15349" i="1"/>
  <c r="H15349" i="1"/>
  <c r="G15349" i="1"/>
  <c r="M15348" i="1"/>
  <c r="L15348" i="1"/>
  <c r="K15348" i="1"/>
  <c r="J15348" i="1"/>
  <c r="I15348" i="1"/>
  <c r="H15348" i="1"/>
  <c r="G15348" i="1"/>
  <c r="M15347" i="1"/>
  <c r="L15347" i="1"/>
  <c r="K15347" i="1"/>
  <c r="J15347" i="1"/>
  <c r="I15347" i="1"/>
  <c r="H15347" i="1"/>
  <c r="G15347" i="1"/>
  <c r="M15346" i="1"/>
  <c r="L15346" i="1"/>
  <c r="K15346" i="1"/>
  <c r="J15346" i="1"/>
  <c r="I15346" i="1"/>
  <c r="H15346" i="1"/>
  <c r="G15346" i="1"/>
  <c r="M15345" i="1"/>
  <c r="L15345" i="1"/>
  <c r="K15345" i="1"/>
  <c r="J15345" i="1"/>
  <c r="I15345" i="1"/>
  <c r="H15345" i="1"/>
  <c r="G15345" i="1"/>
  <c r="M15344" i="1"/>
  <c r="L15344" i="1"/>
  <c r="K15344" i="1"/>
  <c r="J15344" i="1"/>
  <c r="I15344" i="1"/>
  <c r="H15344" i="1"/>
  <c r="G15344" i="1"/>
  <c r="M15343" i="1"/>
  <c r="L15343" i="1"/>
  <c r="K15343" i="1"/>
  <c r="J15343" i="1"/>
  <c r="I15343" i="1"/>
  <c r="H15343" i="1"/>
  <c r="G15343" i="1"/>
  <c r="M15342" i="1"/>
  <c r="L15342" i="1"/>
  <c r="K15342" i="1"/>
  <c r="J15342" i="1"/>
  <c r="I15342" i="1"/>
  <c r="H15342" i="1"/>
  <c r="G15342" i="1"/>
  <c r="M15341" i="1"/>
  <c r="L15341" i="1"/>
  <c r="K15341" i="1"/>
  <c r="J15341" i="1"/>
  <c r="I15341" i="1"/>
  <c r="H15341" i="1"/>
  <c r="G15341" i="1"/>
  <c r="M15340" i="1"/>
  <c r="L15340" i="1"/>
  <c r="K15340" i="1"/>
  <c r="J15340" i="1"/>
  <c r="I15340" i="1"/>
  <c r="H15340" i="1"/>
  <c r="G15340" i="1"/>
  <c r="M15339" i="1"/>
  <c r="L15339" i="1"/>
  <c r="K15339" i="1"/>
  <c r="J15339" i="1"/>
  <c r="I15339" i="1"/>
  <c r="H15339" i="1"/>
  <c r="G15339" i="1"/>
  <c r="M15338" i="1"/>
  <c r="L15338" i="1"/>
  <c r="K15338" i="1"/>
  <c r="J15338" i="1"/>
  <c r="I15338" i="1"/>
  <c r="H15338" i="1"/>
  <c r="G15338" i="1"/>
  <c r="M15337" i="1"/>
  <c r="L15337" i="1"/>
  <c r="K15337" i="1"/>
  <c r="J15337" i="1"/>
  <c r="I15337" i="1"/>
  <c r="H15337" i="1"/>
  <c r="G15337" i="1"/>
  <c r="M15336" i="1"/>
  <c r="L15336" i="1"/>
  <c r="K15336" i="1"/>
  <c r="J15336" i="1"/>
  <c r="I15336" i="1"/>
  <c r="H15336" i="1"/>
  <c r="G15336" i="1"/>
  <c r="M15335" i="1"/>
  <c r="L15335" i="1"/>
  <c r="K15335" i="1"/>
  <c r="J15335" i="1"/>
  <c r="I15335" i="1"/>
  <c r="H15335" i="1"/>
  <c r="G15335" i="1"/>
  <c r="M15334" i="1"/>
  <c r="L15334" i="1"/>
  <c r="K15334" i="1"/>
  <c r="J15334" i="1"/>
  <c r="I15334" i="1"/>
  <c r="H15334" i="1"/>
  <c r="G15334" i="1"/>
  <c r="M15333" i="1"/>
  <c r="L15333" i="1"/>
  <c r="K15333" i="1"/>
  <c r="J15333" i="1"/>
  <c r="I15333" i="1"/>
  <c r="H15333" i="1"/>
  <c r="G15333" i="1"/>
  <c r="M15332" i="1"/>
  <c r="L15332" i="1"/>
  <c r="K15332" i="1"/>
  <c r="J15332" i="1"/>
  <c r="I15332" i="1"/>
  <c r="H15332" i="1"/>
  <c r="G15332" i="1"/>
  <c r="M15331" i="1"/>
  <c r="L15331" i="1"/>
  <c r="K15331" i="1"/>
  <c r="J15331" i="1"/>
  <c r="I15331" i="1"/>
  <c r="H15331" i="1"/>
  <c r="G15331" i="1"/>
  <c r="M15330" i="1"/>
  <c r="L15330" i="1"/>
  <c r="K15330" i="1"/>
  <c r="J15330" i="1"/>
  <c r="I15330" i="1"/>
  <c r="H15330" i="1"/>
  <c r="G15330" i="1"/>
  <c r="M15329" i="1"/>
  <c r="L15329" i="1"/>
  <c r="K15329" i="1"/>
  <c r="J15329" i="1"/>
  <c r="I15329" i="1"/>
  <c r="H15329" i="1"/>
  <c r="G15329" i="1"/>
  <c r="M15328" i="1"/>
  <c r="L15328" i="1"/>
  <c r="K15328" i="1"/>
  <c r="J15328" i="1"/>
  <c r="I15328" i="1"/>
  <c r="H15328" i="1"/>
  <c r="G15328" i="1"/>
  <c r="M15327" i="1"/>
  <c r="L15327" i="1"/>
  <c r="K15327" i="1"/>
  <c r="J15327" i="1"/>
  <c r="I15327" i="1"/>
  <c r="H15327" i="1"/>
  <c r="G15327" i="1"/>
  <c r="M15326" i="1"/>
  <c r="L15326" i="1"/>
  <c r="K15326" i="1"/>
  <c r="J15326" i="1"/>
  <c r="I15326" i="1"/>
  <c r="H15326" i="1"/>
  <c r="G15326" i="1"/>
  <c r="M15325" i="1"/>
  <c r="L15325" i="1"/>
  <c r="K15325" i="1"/>
  <c r="J15325" i="1"/>
  <c r="I15325" i="1"/>
  <c r="H15325" i="1"/>
  <c r="G15325" i="1"/>
  <c r="M15324" i="1"/>
  <c r="L15324" i="1"/>
  <c r="K15324" i="1"/>
  <c r="J15324" i="1"/>
  <c r="I15324" i="1"/>
  <c r="H15324" i="1"/>
  <c r="G15324" i="1"/>
  <c r="M15323" i="1"/>
  <c r="L15323" i="1"/>
  <c r="K15323" i="1"/>
  <c r="J15323" i="1"/>
  <c r="I15323" i="1"/>
  <c r="H15323" i="1"/>
  <c r="G15323" i="1"/>
  <c r="M15322" i="1"/>
  <c r="L15322" i="1"/>
  <c r="K15322" i="1"/>
  <c r="J15322" i="1"/>
  <c r="I15322" i="1"/>
  <c r="H15322" i="1"/>
  <c r="G15322" i="1"/>
  <c r="M15321" i="1"/>
  <c r="L15321" i="1"/>
  <c r="K15321" i="1"/>
  <c r="J15321" i="1"/>
  <c r="I15321" i="1"/>
  <c r="H15321" i="1"/>
  <c r="G15321" i="1"/>
  <c r="M15320" i="1"/>
  <c r="L15320" i="1"/>
  <c r="K15320" i="1"/>
  <c r="J15320" i="1"/>
  <c r="I15320" i="1"/>
  <c r="H15320" i="1"/>
  <c r="G15320" i="1"/>
  <c r="M15319" i="1"/>
  <c r="L15319" i="1"/>
  <c r="K15319" i="1"/>
  <c r="J15319" i="1"/>
  <c r="I15319" i="1"/>
  <c r="H15319" i="1"/>
  <c r="G15319" i="1"/>
  <c r="M15318" i="1"/>
  <c r="L15318" i="1"/>
  <c r="K15318" i="1"/>
  <c r="J15318" i="1"/>
  <c r="I15318" i="1"/>
  <c r="H15318" i="1"/>
  <c r="G15318" i="1"/>
  <c r="M15317" i="1"/>
  <c r="L15317" i="1"/>
  <c r="K15317" i="1"/>
  <c r="J15317" i="1"/>
  <c r="I15317" i="1"/>
  <c r="H15317" i="1"/>
  <c r="G15317" i="1"/>
  <c r="M15316" i="1"/>
  <c r="L15316" i="1"/>
  <c r="K15316" i="1"/>
  <c r="J15316" i="1"/>
  <c r="I15316" i="1"/>
  <c r="H15316" i="1"/>
  <c r="G15316" i="1"/>
  <c r="M15315" i="1"/>
  <c r="L15315" i="1"/>
  <c r="K15315" i="1"/>
  <c r="J15315" i="1"/>
  <c r="I15315" i="1"/>
  <c r="H15315" i="1"/>
  <c r="G15315" i="1"/>
  <c r="M15314" i="1"/>
  <c r="L15314" i="1"/>
  <c r="K15314" i="1"/>
  <c r="J15314" i="1"/>
  <c r="I15314" i="1"/>
  <c r="H15314" i="1"/>
  <c r="G15314" i="1"/>
  <c r="M15313" i="1"/>
  <c r="L15313" i="1"/>
  <c r="K15313" i="1"/>
  <c r="J15313" i="1"/>
  <c r="I15313" i="1"/>
  <c r="H15313" i="1"/>
  <c r="G15313" i="1"/>
  <c r="M15312" i="1"/>
  <c r="L15312" i="1"/>
  <c r="K15312" i="1"/>
  <c r="J15312" i="1"/>
  <c r="I15312" i="1"/>
  <c r="H15312" i="1"/>
  <c r="G15312" i="1"/>
  <c r="M15311" i="1"/>
  <c r="L15311" i="1"/>
  <c r="K15311" i="1"/>
  <c r="J15311" i="1"/>
  <c r="I15311" i="1"/>
  <c r="H15311" i="1"/>
  <c r="G15311" i="1"/>
  <c r="M15310" i="1"/>
  <c r="L15310" i="1"/>
  <c r="K15310" i="1"/>
  <c r="J15310" i="1"/>
  <c r="I15310" i="1"/>
  <c r="H15310" i="1"/>
  <c r="G15310" i="1"/>
  <c r="M15309" i="1"/>
  <c r="L15309" i="1"/>
  <c r="K15309" i="1"/>
  <c r="J15309" i="1"/>
  <c r="I15309" i="1"/>
  <c r="H15309" i="1"/>
  <c r="G15309" i="1"/>
  <c r="M15308" i="1"/>
  <c r="L15308" i="1"/>
  <c r="K15308" i="1"/>
  <c r="J15308" i="1"/>
  <c r="I15308" i="1"/>
  <c r="H15308" i="1"/>
  <c r="G15308" i="1"/>
  <c r="M15307" i="1"/>
  <c r="L15307" i="1"/>
  <c r="K15307" i="1"/>
  <c r="J15307" i="1"/>
  <c r="I15307" i="1"/>
  <c r="H15307" i="1"/>
  <c r="G15307" i="1"/>
  <c r="M15306" i="1"/>
  <c r="L15306" i="1"/>
  <c r="K15306" i="1"/>
  <c r="J15306" i="1"/>
  <c r="I15306" i="1"/>
  <c r="H15306" i="1"/>
  <c r="G15306" i="1"/>
  <c r="M15305" i="1"/>
  <c r="L15305" i="1"/>
  <c r="K15305" i="1"/>
  <c r="J15305" i="1"/>
  <c r="I15305" i="1"/>
  <c r="H15305" i="1"/>
  <c r="G15305" i="1"/>
  <c r="M15304" i="1"/>
  <c r="L15304" i="1"/>
  <c r="K15304" i="1"/>
  <c r="J15304" i="1"/>
  <c r="I15304" i="1"/>
  <c r="H15304" i="1"/>
  <c r="G15304" i="1"/>
  <c r="M15303" i="1"/>
  <c r="L15303" i="1"/>
  <c r="K15303" i="1"/>
  <c r="J15303" i="1"/>
  <c r="I15303" i="1"/>
  <c r="H15303" i="1"/>
  <c r="G15303" i="1"/>
  <c r="M15302" i="1"/>
  <c r="L15302" i="1"/>
  <c r="K15302" i="1"/>
  <c r="J15302" i="1"/>
  <c r="I15302" i="1"/>
  <c r="H15302" i="1"/>
  <c r="G15302" i="1"/>
  <c r="M15301" i="1"/>
  <c r="L15301" i="1"/>
  <c r="K15301" i="1"/>
  <c r="J15301" i="1"/>
  <c r="I15301" i="1"/>
  <c r="H15301" i="1"/>
  <c r="G15301" i="1"/>
  <c r="M15300" i="1"/>
  <c r="L15300" i="1"/>
  <c r="K15300" i="1"/>
  <c r="J15300" i="1"/>
  <c r="I15300" i="1"/>
  <c r="H15300" i="1"/>
  <c r="G15300" i="1"/>
  <c r="M15299" i="1"/>
  <c r="L15299" i="1"/>
  <c r="K15299" i="1"/>
  <c r="J15299" i="1"/>
  <c r="I15299" i="1"/>
  <c r="H15299" i="1"/>
  <c r="G15299" i="1"/>
  <c r="M15298" i="1"/>
  <c r="L15298" i="1"/>
  <c r="K15298" i="1"/>
  <c r="J15298" i="1"/>
  <c r="I15298" i="1"/>
  <c r="H15298" i="1"/>
  <c r="G15298" i="1"/>
  <c r="M15297" i="1"/>
  <c r="L15297" i="1"/>
  <c r="K15297" i="1"/>
  <c r="J15297" i="1"/>
  <c r="I15297" i="1"/>
  <c r="H15297" i="1"/>
  <c r="G15297" i="1"/>
  <c r="M15296" i="1"/>
  <c r="L15296" i="1"/>
  <c r="K15296" i="1"/>
  <c r="J15296" i="1"/>
  <c r="I15296" i="1"/>
  <c r="H15296" i="1"/>
  <c r="G15296" i="1"/>
  <c r="M15295" i="1"/>
  <c r="L15295" i="1"/>
  <c r="K15295" i="1"/>
  <c r="J15295" i="1"/>
  <c r="I15295" i="1"/>
  <c r="H15295" i="1"/>
  <c r="G15295" i="1"/>
  <c r="M15294" i="1"/>
  <c r="L15294" i="1"/>
  <c r="K15294" i="1"/>
  <c r="J15294" i="1"/>
  <c r="I15294" i="1"/>
  <c r="H15294" i="1"/>
  <c r="G15294" i="1"/>
  <c r="M15293" i="1"/>
  <c r="L15293" i="1"/>
  <c r="K15293" i="1"/>
  <c r="J15293" i="1"/>
  <c r="I15293" i="1"/>
  <c r="H15293" i="1"/>
  <c r="G15293" i="1"/>
  <c r="M15292" i="1"/>
  <c r="L15292" i="1"/>
  <c r="K15292" i="1"/>
  <c r="J15292" i="1"/>
  <c r="I15292" i="1"/>
  <c r="H15292" i="1"/>
  <c r="G15292" i="1"/>
  <c r="M15291" i="1"/>
  <c r="L15291" i="1"/>
  <c r="K15291" i="1"/>
  <c r="J15291" i="1"/>
  <c r="I15291" i="1"/>
  <c r="H15291" i="1"/>
  <c r="G15291" i="1"/>
  <c r="M15290" i="1"/>
  <c r="L15290" i="1"/>
  <c r="K15290" i="1"/>
  <c r="J15290" i="1"/>
  <c r="I15290" i="1"/>
  <c r="H15290" i="1"/>
  <c r="G15290" i="1"/>
  <c r="M15289" i="1"/>
  <c r="L15289" i="1"/>
  <c r="K15289" i="1"/>
  <c r="J15289" i="1"/>
  <c r="I15289" i="1"/>
  <c r="H15289" i="1"/>
  <c r="G15289" i="1"/>
  <c r="M15288" i="1"/>
  <c r="L15288" i="1"/>
  <c r="K15288" i="1"/>
  <c r="J15288" i="1"/>
  <c r="I15288" i="1"/>
  <c r="H15288" i="1"/>
  <c r="G15288" i="1"/>
  <c r="M15287" i="1"/>
  <c r="L15287" i="1"/>
  <c r="K15287" i="1"/>
  <c r="J15287" i="1"/>
  <c r="I15287" i="1"/>
  <c r="H15287" i="1"/>
  <c r="G15287" i="1"/>
  <c r="M15286" i="1"/>
  <c r="L15286" i="1"/>
  <c r="K15286" i="1"/>
  <c r="J15286" i="1"/>
  <c r="I15286" i="1"/>
  <c r="H15286" i="1"/>
  <c r="G15286" i="1"/>
  <c r="M15285" i="1"/>
  <c r="L15285" i="1"/>
  <c r="K15285" i="1"/>
  <c r="J15285" i="1"/>
  <c r="I15285" i="1"/>
  <c r="H15285" i="1"/>
  <c r="G15285" i="1"/>
  <c r="M15284" i="1"/>
  <c r="L15284" i="1"/>
  <c r="K15284" i="1"/>
  <c r="J15284" i="1"/>
  <c r="I15284" i="1"/>
  <c r="H15284" i="1"/>
  <c r="G15284" i="1"/>
  <c r="M15283" i="1"/>
  <c r="L15283" i="1"/>
  <c r="K15283" i="1"/>
  <c r="J15283" i="1"/>
  <c r="I15283" i="1"/>
  <c r="H15283" i="1"/>
  <c r="G15283" i="1"/>
  <c r="M15282" i="1"/>
  <c r="L15282" i="1"/>
  <c r="K15282" i="1"/>
  <c r="J15282" i="1"/>
  <c r="I15282" i="1"/>
  <c r="H15282" i="1"/>
  <c r="G15282" i="1"/>
  <c r="M15281" i="1"/>
  <c r="L15281" i="1"/>
  <c r="K15281" i="1"/>
  <c r="J15281" i="1"/>
  <c r="I15281" i="1"/>
  <c r="H15281" i="1"/>
  <c r="G15281" i="1"/>
  <c r="M15280" i="1"/>
  <c r="L15280" i="1"/>
  <c r="K15280" i="1"/>
  <c r="J15280" i="1"/>
  <c r="I15280" i="1"/>
  <c r="H15280" i="1"/>
  <c r="G15280" i="1"/>
  <c r="M15279" i="1"/>
  <c r="L15279" i="1"/>
  <c r="K15279" i="1"/>
  <c r="J15279" i="1"/>
  <c r="I15279" i="1"/>
  <c r="H15279" i="1"/>
  <c r="G15279" i="1"/>
  <c r="M15278" i="1"/>
  <c r="L15278" i="1"/>
  <c r="K15278" i="1"/>
  <c r="J15278" i="1"/>
  <c r="I15278" i="1"/>
  <c r="H15278" i="1"/>
  <c r="G15278" i="1"/>
  <c r="M15277" i="1"/>
  <c r="L15277" i="1"/>
  <c r="K15277" i="1"/>
  <c r="J15277" i="1"/>
  <c r="I15277" i="1"/>
  <c r="H15277" i="1"/>
  <c r="G15277" i="1"/>
  <c r="M15276" i="1"/>
  <c r="L15276" i="1"/>
  <c r="K15276" i="1"/>
  <c r="J15276" i="1"/>
  <c r="I15276" i="1"/>
  <c r="H15276" i="1"/>
  <c r="G15276" i="1"/>
  <c r="M15275" i="1"/>
  <c r="L15275" i="1"/>
  <c r="K15275" i="1"/>
  <c r="J15275" i="1"/>
  <c r="I15275" i="1"/>
  <c r="H15275" i="1"/>
  <c r="G15275" i="1"/>
  <c r="M15274" i="1"/>
  <c r="L15274" i="1"/>
  <c r="K15274" i="1"/>
  <c r="J15274" i="1"/>
  <c r="I15274" i="1"/>
  <c r="H15274" i="1"/>
  <c r="G15274" i="1"/>
  <c r="M15273" i="1"/>
  <c r="L15273" i="1"/>
  <c r="K15273" i="1"/>
  <c r="J15273" i="1"/>
  <c r="I15273" i="1"/>
  <c r="H15273" i="1"/>
  <c r="G15273" i="1"/>
  <c r="M15272" i="1"/>
  <c r="L15272" i="1"/>
  <c r="K15272" i="1"/>
  <c r="J15272" i="1"/>
  <c r="I15272" i="1"/>
  <c r="H15272" i="1"/>
  <c r="G15272" i="1"/>
  <c r="M15271" i="1"/>
  <c r="L15271" i="1"/>
  <c r="K15271" i="1"/>
  <c r="J15271" i="1"/>
  <c r="I15271" i="1"/>
  <c r="H15271" i="1"/>
  <c r="G15271" i="1"/>
  <c r="M15270" i="1"/>
  <c r="L15270" i="1"/>
  <c r="K15270" i="1"/>
  <c r="J15270" i="1"/>
  <c r="I15270" i="1"/>
  <c r="H15270" i="1"/>
  <c r="G15270" i="1"/>
  <c r="M15269" i="1"/>
  <c r="L15269" i="1"/>
  <c r="K15269" i="1"/>
  <c r="J15269" i="1"/>
  <c r="I15269" i="1"/>
  <c r="H15269" i="1"/>
  <c r="G15269" i="1"/>
  <c r="M15268" i="1"/>
  <c r="L15268" i="1"/>
  <c r="K15268" i="1"/>
  <c r="J15268" i="1"/>
  <c r="I15268" i="1"/>
  <c r="H15268" i="1"/>
  <c r="G15268" i="1"/>
  <c r="M15267" i="1"/>
  <c r="L15267" i="1"/>
  <c r="K15267" i="1"/>
  <c r="J15267" i="1"/>
  <c r="I15267" i="1"/>
  <c r="H15267" i="1"/>
  <c r="G15267" i="1"/>
  <c r="M15266" i="1"/>
  <c r="L15266" i="1"/>
  <c r="K15266" i="1"/>
  <c r="J15266" i="1"/>
  <c r="I15266" i="1"/>
  <c r="H15266" i="1"/>
  <c r="G15266" i="1"/>
  <c r="M15265" i="1"/>
  <c r="L15265" i="1"/>
  <c r="K15265" i="1"/>
  <c r="J15265" i="1"/>
  <c r="I15265" i="1"/>
  <c r="H15265" i="1"/>
  <c r="G15265" i="1"/>
  <c r="M15264" i="1"/>
  <c r="L15264" i="1"/>
  <c r="K15264" i="1"/>
  <c r="J15264" i="1"/>
  <c r="I15264" i="1"/>
  <c r="H15264" i="1"/>
  <c r="G15264" i="1"/>
  <c r="M15263" i="1"/>
  <c r="L15263" i="1"/>
  <c r="K15263" i="1"/>
  <c r="J15263" i="1"/>
  <c r="I15263" i="1"/>
  <c r="H15263" i="1"/>
  <c r="G15263" i="1"/>
  <c r="M15262" i="1"/>
  <c r="L15262" i="1"/>
  <c r="K15262" i="1"/>
  <c r="J15262" i="1"/>
  <c r="I15262" i="1"/>
  <c r="H15262" i="1"/>
  <c r="G15262" i="1"/>
  <c r="M15261" i="1"/>
  <c r="L15261" i="1"/>
  <c r="K15261" i="1"/>
  <c r="J15261" i="1"/>
  <c r="I15261" i="1"/>
  <c r="H15261" i="1"/>
  <c r="G15261" i="1"/>
  <c r="M15260" i="1"/>
  <c r="L15260" i="1"/>
  <c r="K15260" i="1"/>
  <c r="J15260" i="1"/>
  <c r="I15260" i="1"/>
  <c r="H15260" i="1"/>
  <c r="G15260" i="1"/>
  <c r="M15259" i="1"/>
  <c r="L15259" i="1"/>
  <c r="K15259" i="1"/>
  <c r="J15259" i="1"/>
  <c r="I15259" i="1"/>
  <c r="H15259" i="1"/>
  <c r="G15259" i="1"/>
  <c r="M15258" i="1"/>
  <c r="L15258" i="1"/>
  <c r="K15258" i="1"/>
  <c r="J15258" i="1"/>
  <c r="I15258" i="1"/>
  <c r="H15258" i="1"/>
  <c r="G15258" i="1"/>
  <c r="M15257" i="1"/>
  <c r="L15257" i="1"/>
  <c r="K15257" i="1"/>
  <c r="J15257" i="1"/>
  <c r="I15257" i="1"/>
  <c r="H15257" i="1"/>
  <c r="G15257" i="1"/>
  <c r="M15256" i="1"/>
  <c r="L15256" i="1"/>
  <c r="K15256" i="1"/>
  <c r="J15256" i="1"/>
  <c r="I15256" i="1"/>
  <c r="H15256" i="1"/>
  <c r="G15256" i="1"/>
  <c r="M15255" i="1"/>
  <c r="L15255" i="1"/>
  <c r="K15255" i="1"/>
  <c r="J15255" i="1"/>
  <c r="I15255" i="1"/>
  <c r="H15255" i="1"/>
  <c r="G15255" i="1"/>
  <c r="M15254" i="1"/>
  <c r="L15254" i="1"/>
  <c r="K15254" i="1"/>
  <c r="J15254" i="1"/>
  <c r="I15254" i="1"/>
  <c r="H15254" i="1"/>
  <c r="G15254" i="1"/>
  <c r="M15253" i="1"/>
  <c r="L15253" i="1"/>
  <c r="K15253" i="1"/>
  <c r="J15253" i="1"/>
  <c r="I15253" i="1"/>
  <c r="H15253" i="1"/>
  <c r="G15253" i="1"/>
  <c r="M15252" i="1"/>
  <c r="L15252" i="1"/>
  <c r="K15252" i="1"/>
  <c r="J15252" i="1"/>
  <c r="I15252" i="1"/>
  <c r="H15252" i="1"/>
  <c r="G15252" i="1"/>
  <c r="M15251" i="1"/>
  <c r="L15251" i="1"/>
  <c r="K15251" i="1"/>
  <c r="J15251" i="1"/>
  <c r="I15251" i="1"/>
  <c r="H15251" i="1"/>
  <c r="G15251" i="1"/>
  <c r="M15250" i="1"/>
  <c r="L15250" i="1"/>
  <c r="K15250" i="1"/>
  <c r="J15250" i="1"/>
  <c r="I15250" i="1"/>
  <c r="H15250" i="1"/>
  <c r="G15250" i="1"/>
  <c r="M15249" i="1"/>
  <c r="L15249" i="1"/>
  <c r="K15249" i="1"/>
  <c r="J15249" i="1"/>
  <c r="I15249" i="1"/>
  <c r="H15249" i="1"/>
  <c r="G15249" i="1"/>
  <c r="M15248" i="1"/>
  <c r="L15248" i="1"/>
  <c r="K15248" i="1"/>
  <c r="J15248" i="1"/>
  <c r="I15248" i="1"/>
  <c r="H15248" i="1"/>
  <c r="G15248" i="1"/>
  <c r="M15247" i="1"/>
  <c r="L15247" i="1"/>
  <c r="K15247" i="1"/>
  <c r="J15247" i="1"/>
  <c r="I15247" i="1"/>
  <c r="H15247" i="1"/>
  <c r="G15247" i="1"/>
  <c r="M15246" i="1"/>
  <c r="L15246" i="1"/>
  <c r="K15246" i="1"/>
  <c r="J15246" i="1"/>
  <c r="I15246" i="1"/>
  <c r="H15246" i="1"/>
  <c r="G15246" i="1"/>
  <c r="M15245" i="1"/>
  <c r="L15245" i="1"/>
  <c r="K15245" i="1"/>
  <c r="J15245" i="1"/>
  <c r="I15245" i="1"/>
  <c r="H15245" i="1"/>
  <c r="G15245" i="1"/>
  <c r="M15244" i="1"/>
  <c r="L15244" i="1"/>
  <c r="K15244" i="1"/>
  <c r="J15244" i="1"/>
  <c r="I15244" i="1"/>
  <c r="H15244" i="1"/>
  <c r="G15244" i="1"/>
  <c r="M15243" i="1"/>
  <c r="L15243" i="1"/>
  <c r="K15243" i="1"/>
  <c r="J15243" i="1"/>
  <c r="I15243" i="1"/>
  <c r="H15243" i="1"/>
  <c r="G15243" i="1"/>
  <c r="M15242" i="1"/>
  <c r="L15242" i="1"/>
  <c r="K15242" i="1"/>
  <c r="J15242" i="1"/>
  <c r="I15242" i="1"/>
  <c r="H15242" i="1"/>
  <c r="G15242" i="1"/>
  <c r="M15241" i="1"/>
  <c r="L15241" i="1"/>
  <c r="K15241" i="1"/>
  <c r="J15241" i="1"/>
  <c r="I15241" i="1"/>
  <c r="H15241" i="1"/>
  <c r="G15241" i="1"/>
  <c r="M15240" i="1"/>
  <c r="L15240" i="1"/>
  <c r="K15240" i="1"/>
  <c r="J15240" i="1"/>
  <c r="I15240" i="1"/>
  <c r="H15240" i="1"/>
  <c r="G15240" i="1"/>
  <c r="M15239" i="1"/>
  <c r="L15239" i="1"/>
  <c r="K15239" i="1"/>
  <c r="J15239" i="1"/>
  <c r="I15239" i="1"/>
  <c r="H15239" i="1"/>
  <c r="G15239" i="1"/>
  <c r="M15238" i="1"/>
  <c r="L15238" i="1"/>
  <c r="K15238" i="1"/>
  <c r="J15238" i="1"/>
  <c r="I15238" i="1"/>
  <c r="H15238" i="1"/>
  <c r="G15238" i="1"/>
  <c r="M15237" i="1"/>
  <c r="L15237" i="1"/>
  <c r="K15237" i="1"/>
  <c r="J15237" i="1"/>
  <c r="I15237" i="1"/>
  <c r="H15237" i="1"/>
  <c r="G15237" i="1"/>
  <c r="M15236" i="1"/>
  <c r="L15236" i="1"/>
  <c r="K15236" i="1"/>
  <c r="J15236" i="1"/>
  <c r="I15236" i="1"/>
  <c r="H15236" i="1"/>
  <c r="G15236" i="1"/>
  <c r="M15235" i="1"/>
  <c r="L15235" i="1"/>
  <c r="K15235" i="1"/>
  <c r="J15235" i="1"/>
  <c r="I15235" i="1"/>
  <c r="H15235" i="1"/>
  <c r="G15235" i="1"/>
  <c r="M15234" i="1"/>
  <c r="L15234" i="1"/>
  <c r="K15234" i="1"/>
  <c r="J15234" i="1"/>
  <c r="I15234" i="1"/>
  <c r="H15234" i="1"/>
  <c r="G15234" i="1"/>
  <c r="M15233" i="1"/>
  <c r="L15233" i="1"/>
  <c r="K15233" i="1"/>
  <c r="J15233" i="1"/>
  <c r="I15233" i="1"/>
  <c r="H15233" i="1"/>
  <c r="G15233" i="1"/>
  <c r="M15232" i="1"/>
  <c r="L15232" i="1"/>
  <c r="K15232" i="1"/>
  <c r="J15232" i="1"/>
  <c r="I15232" i="1"/>
  <c r="H15232" i="1"/>
  <c r="G15232" i="1"/>
  <c r="M15231" i="1"/>
  <c r="L15231" i="1"/>
  <c r="K15231" i="1"/>
  <c r="J15231" i="1"/>
  <c r="I15231" i="1"/>
  <c r="H15231" i="1"/>
  <c r="G15231" i="1"/>
  <c r="M15230" i="1"/>
  <c r="L15230" i="1"/>
  <c r="K15230" i="1"/>
  <c r="J15230" i="1"/>
  <c r="I15230" i="1"/>
  <c r="H15230" i="1"/>
  <c r="G15230" i="1"/>
  <c r="M15229" i="1"/>
  <c r="L15229" i="1"/>
  <c r="K15229" i="1"/>
  <c r="J15229" i="1"/>
  <c r="I15229" i="1"/>
  <c r="H15229" i="1"/>
  <c r="G15229" i="1"/>
  <c r="M15228" i="1"/>
  <c r="L15228" i="1"/>
  <c r="K15228" i="1"/>
  <c r="J15228" i="1"/>
  <c r="I15228" i="1"/>
  <c r="H15228" i="1"/>
  <c r="G15228" i="1"/>
  <c r="M15227" i="1"/>
  <c r="L15227" i="1"/>
  <c r="K15227" i="1"/>
  <c r="J15227" i="1"/>
  <c r="I15227" i="1"/>
  <c r="H15227" i="1"/>
  <c r="G15227" i="1"/>
  <c r="M15226" i="1"/>
  <c r="L15226" i="1"/>
  <c r="K15226" i="1"/>
  <c r="J15226" i="1"/>
  <c r="I15226" i="1"/>
  <c r="H15226" i="1"/>
  <c r="G15226" i="1"/>
  <c r="M15225" i="1"/>
  <c r="L15225" i="1"/>
  <c r="K15225" i="1"/>
  <c r="J15225" i="1"/>
  <c r="I15225" i="1"/>
  <c r="H15225" i="1"/>
  <c r="G15225" i="1"/>
  <c r="M15224" i="1"/>
  <c r="L15224" i="1"/>
  <c r="K15224" i="1"/>
  <c r="J15224" i="1"/>
  <c r="I15224" i="1"/>
  <c r="H15224" i="1"/>
  <c r="G15224" i="1"/>
  <c r="M15223" i="1"/>
  <c r="L15223" i="1"/>
  <c r="K15223" i="1"/>
  <c r="J15223" i="1"/>
  <c r="I15223" i="1"/>
  <c r="H15223" i="1"/>
  <c r="G15223" i="1"/>
  <c r="M15222" i="1"/>
  <c r="L15222" i="1"/>
  <c r="K15222" i="1"/>
  <c r="J15222" i="1"/>
  <c r="I15222" i="1"/>
  <c r="H15222" i="1"/>
  <c r="G15222" i="1"/>
  <c r="M15221" i="1"/>
  <c r="L15221" i="1"/>
  <c r="K15221" i="1"/>
  <c r="J15221" i="1"/>
  <c r="I15221" i="1"/>
  <c r="H15221" i="1"/>
  <c r="G15221" i="1"/>
  <c r="M15220" i="1"/>
  <c r="L15220" i="1"/>
  <c r="K15220" i="1"/>
  <c r="J15220" i="1"/>
  <c r="I15220" i="1"/>
  <c r="H15220" i="1"/>
  <c r="G15220" i="1"/>
  <c r="M15219" i="1"/>
  <c r="L15219" i="1"/>
  <c r="K15219" i="1"/>
  <c r="J15219" i="1"/>
  <c r="I15219" i="1"/>
  <c r="H15219" i="1"/>
  <c r="G15219" i="1"/>
  <c r="M15218" i="1"/>
  <c r="L15218" i="1"/>
  <c r="K15218" i="1"/>
  <c r="J15218" i="1"/>
  <c r="I15218" i="1"/>
  <c r="H15218" i="1"/>
  <c r="G15218" i="1"/>
  <c r="M15217" i="1"/>
  <c r="L15217" i="1"/>
  <c r="K15217" i="1"/>
  <c r="J15217" i="1"/>
  <c r="I15217" i="1"/>
  <c r="H15217" i="1"/>
  <c r="G15217" i="1"/>
  <c r="M15216" i="1"/>
  <c r="L15216" i="1"/>
  <c r="K15216" i="1"/>
  <c r="J15216" i="1"/>
  <c r="I15216" i="1"/>
  <c r="H15216" i="1"/>
  <c r="G15216" i="1"/>
  <c r="M15215" i="1"/>
  <c r="L15215" i="1"/>
  <c r="K15215" i="1"/>
  <c r="J15215" i="1"/>
  <c r="I15215" i="1"/>
  <c r="H15215" i="1"/>
  <c r="G15215" i="1"/>
  <c r="M15214" i="1"/>
  <c r="L15214" i="1"/>
  <c r="K15214" i="1"/>
  <c r="J15214" i="1"/>
  <c r="I15214" i="1"/>
  <c r="H15214" i="1"/>
  <c r="G15214" i="1"/>
  <c r="M15213" i="1"/>
  <c r="L15213" i="1"/>
  <c r="K15213" i="1"/>
  <c r="J15213" i="1"/>
  <c r="I15213" i="1"/>
  <c r="H15213" i="1"/>
  <c r="G15213" i="1"/>
  <c r="M15212" i="1"/>
  <c r="L15212" i="1"/>
  <c r="K15212" i="1"/>
  <c r="J15212" i="1"/>
  <c r="I15212" i="1"/>
  <c r="H15212" i="1"/>
  <c r="G15212" i="1"/>
  <c r="M15211" i="1"/>
  <c r="L15211" i="1"/>
  <c r="K15211" i="1"/>
  <c r="J15211" i="1"/>
  <c r="I15211" i="1"/>
  <c r="H15211" i="1"/>
  <c r="G15211" i="1"/>
  <c r="M15210" i="1"/>
  <c r="L15210" i="1"/>
  <c r="K15210" i="1"/>
  <c r="J15210" i="1"/>
  <c r="I15210" i="1"/>
  <c r="H15210" i="1"/>
  <c r="G15210" i="1"/>
  <c r="M15209" i="1"/>
  <c r="L15209" i="1"/>
  <c r="K15209" i="1"/>
  <c r="J15209" i="1"/>
  <c r="I15209" i="1"/>
  <c r="H15209" i="1"/>
  <c r="G15209" i="1"/>
  <c r="M15208" i="1"/>
  <c r="L15208" i="1"/>
  <c r="K15208" i="1"/>
  <c r="J15208" i="1"/>
  <c r="I15208" i="1"/>
  <c r="H15208" i="1"/>
  <c r="G15208" i="1"/>
  <c r="M15207" i="1"/>
  <c r="L15207" i="1"/>
  <c r="K15207" i="1"/>
  <c r="J15207" i="1"/>
  <c r="I15207" i="1"/>
  <c r="H15207" i="1"/>
  <c r="G15207" i="1"/>
  <c r="M15206" i="1"/>
  <c r="L15206" i="1"/>
  <c r="K15206" i="1"/>
  <c r="J15206" i="1"/>
  <c r="I15206" i="1"/>
  <c r="H15206" i="1"/>
  <c r="G15206" i="1"/>
  <c r="M15205" i="1"/>
  <c r="L15205" i="1"/>
  <c r="K15205" i="1"/>
  <c r="J15205" i="1"/>
  <c r="I15205" i="1"/>
  <c r="H15205" i="1"/>
  <c r="G15205" i="1"/>
  <c r="M15204" i="1"/>
  <c r="L15204" i="1"/>
  <c r="K15204" i="1"/>
  <c r="J15204" i="1"/>
  <c r="I15204" i="1"/>
  <c r="H15204" i="1"/>
  <c r="G15204" i="1"/>
  <c r="M15203" i="1"/>
  <c r="L15203" i="1"/>
  <c r="K15203" i="1"/>
  <c r="J15203" i="1"/>
  <c r="I15203" i="1"/>
  <c r="H15203" i="1"/>
  <c r="G15203" i="1"/>
  <c r="M15202" i="1"/>
  <c r="L15202" i="1"/>
  <c r="K15202" i="1"/>
  <c r="J15202" i="1"/>
  <c r="I15202" i="1"/>
  <c r="H15202" i="1"/>
  <c r="G15202" i="1"/>
  <c r="M15201" i="1"/>
  <c r="L15201" i="1"/>
  <c r="K15201" i="1"/>
  <c r="J15201" i="1"/>
  <c r="I15201" i="1"/>
  <c r="H15201" i="1"/>
  <c r="G15201" i="1"/>
  <c r="M15200" i="1"/>
  <c r="L15200" i="1"/>
  <c r="K15200" i="1"/>
  <c r="J15200" i="1"/>
  <c r="I15200" i="1"/>
  <c r="H15200" i="1"/>
  <c r="G15200" i="1"/>
  <c r="M15199" i="1"/>
  <c r="L15199" i="1"/>
  <c r="K15199" i="1"/>
  <c r="J15199" i="1"/>
  <c r="I15199" i="1"/>
  <c r="H15199" i="1"/>
  <c r="G15199" i="1"/>
  <c r="M15198" i="1"/>
  <c r="L15198" i="1"/>
  <c r="K15198" i="1"/>
  <c r="J15198" i="1"/>
  <c r="I15198" i="1"/>
  <c r="H15198" i="1"/>
  <c r="G15198" i="1"/>
  <c r="M15197" i="1"/>
  <c r="L15197" i="1"/>
  <c r="K15197" i="1"/>
  <c r="J15197" i="1"/>
  <c r="I15197" i="1"/>
  <c r="H15197" i="1"/>
  <c r="G15197" i="1"/>
  <c r="M15196" i="1"/>
  <c r="L15196" i="1"/>
  <c r="K15196" i="1"/>
  <c r="J15196" i="1"/>
  <c r="I15196" i="1"/>
  <c r="H15196" i="1"/>
  <c r="G15196" i="1"/>
  <c r="M15195" i="1"/>
  <c r="L15195" i="1"/>
  <c r="K15195" i="1"/>
  <c r="J15195" i="1"/>
  <c r="I15195" i="1"/>
  <c r="H15195" i="1"/>
  <c r="G15195" i="1"/>
  <c r="M15194" i="1"/>
  <c r="L15194" i="1"/>
  <c r="K15194" i="1"/>
  <c r="J15194" i="1"/>
  <c r="I15194" i="1"/>
  <c r="H15194" i="1"/>
  <c r="G15194" i="1"/>
  <c r="M15193" i="1"/>
  <c r="L15193" i="1"/>
  <c r="K15193" i="1"/>
  <c r="J15193" i="1"/>
  <c r="I15193" i="1"/>
  <c r="H15193" i="1"/>
  <c r="G15193" i="1"/>
  <c r="M15192" i="1"/>
  <c r="L15192" i="1"/>
  <c r="K15192" i="1"/>
  <c r="J15192" i="1"/>
  <c r="I15192" i="1"/>
  <c r="H15192" i="1"/>
  <c r="G15192" i="1"/>
  <c r="M15191" i="1"/>
  <c r="L15191" i="1"/>
  <c r="K15191" i="1"/>
  <c r="J15191" i="1"/>
  <c r="I15191" i="1"/>
  <c r="H15191" i="1"/>
  <c r="G15191" i="1"/>
  <c r="M15190" i="1"/>
  <c r="L15190" i="1"/>
  <c r="K15190" i="1"/>
  <c r="J15190" i="1"/>
  <c r="I15190" i="1"/>
  <c r="H15190" i="1"/>
  <c r="G15190" i="1"/>
  <c r="M15189" i="1"/>
  <c r="L15189" i="1"/>
  <c r="K15189" i="1"/>
  <c r="J15189" i="1"/>
  <c r="I15189" i="1"/>
  <c r="H15189" i="1"/>
  <c r="G15189" i="1"/>
  <c r="M15188" i="1"/>
  <c r="L15188" i="1"/>
  <c r="K15188" i="1"/>
  <c r="J15188" i="1"/>
  <c r="I15188" i="1"/>
  <c r="H15188" i="1"/>
  <c r="G15188" i="1"/>
  <c r="M15187" i="1"/>
  <c r="L15187" i="1"/>
  <c r="K15187" i="1"/>
  <c r="J15187" i="1"/>
  <c r="I15187" i="1"/>
  <c r="H15187" i="1"/>
  <c r="G15187" i="1"/>
  <c r="M15186" i="1"/>
  <c r="L15186" i="1"/>
  <c r="K15186" i="1"/>
  <c r="J15186" i="1"/>
  <c r="I15186" i="1"/>
  <c r="H15186" i="1"/>
  <c r="G15186" i="1"/>
  <c r="M15185" i="1"/>
  <c r="L15185" i="1"/>
  <c r="K15185" i="1"/>
  <c r="J15185" i="1"/>
  <c r="I15185" i="1"/>
  <c r="H15185" i="1"/>
  <c r="G15185" i="1"/>
  <c r="M15184" i="1"/>
  <c r="L15184" i="1"/>
  <c r="K15184" i="1"/>
  <c r="J15184" i="1"/>
  <c r="I15184" i="1"/>
  <c r="H15184" i="1"/>
  <c r="G15184" i="1"/>
  <c r="M15183" i="1"/>
  <c r="L15183" i="1"/>
  <c r="K15183" i="1"/>
  <c r="J15183" i="1"/>
  <c r="I15183" i="1"/>
  <c r="H15183" i="1"/>
  <c r="G15183" i="1"/>
  <c r="M15182" i="1"/>
  <c r="L15182" i="1"/>
  <c r="K15182" i="1"/>
  <c r="J15182" i="1"/>
  <c r="I15182" i="1"/>
  <c r="H15182" i="1"/>
  <c r="G15182" i="1"/>
  <c r="M15181" i="1"/>
  <c r="L15181" i="1"/>
  <c r="K15181" i="1"/>
  <c r="J15181" i="1"/>
  <c r="I15181" i="1"/>
  <c r="H15181" i="1"/>
  <c r="G15181" i="1"/>
  <c r="M15180" i="1"/>
  <c r="L15180" i="1"/>
  <c r="K15180" i="1"/>
  <c r="J15180" i="1"/>
  <c r="I15180" i="1"/>
  <c r="H15180" i="1"/>
  <c r="G15180" i="1"/>
  <c r="M15179" i="1"/>
  <c r="L15179" i="1"/>
  <c r="K15179" i="1"/>
  <c r="J15179" i="1"/>
  <c r="I15179" i="1"/>
  <c r="H15179" i="1"/>
  <c r="G15179" i="1"/>
  <c r="M15178" i="1"/>
  <c r="L15178" i="1"/>
  <c r="K15178" i="1"/>
  <c r="J15178" i="1"/>
  <c r="I15178" i="1"/>
  <c r="H15178" i="1"/>
  <c r="G15178" i="1"/>
  <c r="M15177" i="1"/>
  <c r="L15177" i="1"/>
  <c r="K15177" i="1"/>
  <c r="J15177" i="1"/>
  <c r="I15177" i="1"/>
  <c r="H15177" i="1"/>
  <c r="G15177" i="1"/>
  <c r="M15176" i="1"/>
  <c r="L15176" i="1"/>
  <c r="K15176" i="1"/>
  <c r="J15176" i="1"/>
  <c r="I15176" i="1"/>
  <c r="H15176" i="1"/>
  <c r="G15176" i="1"/>
  <c r="M15175" i="1"/>
  <c r="L15175" i="1"/>
  <c r="K15175" i="1"/>
  <c r="J15175" i="1"/>
  <c r="I15175" i="1"/>
  <c r="H15175" i="1"/>
  <c r="G15175" i="1"/>
  <c r="M15174" i="1"/>
  <c r="L15174" i="1"/>
  <c r="K15174" i="1"/>
  <c r="J15174" i="1"/>
  <c r="I15174" i="1"/>
  <c r="H15174" i="1"/>
  <c r="G15174" i="1"/>
  <c r="M15173" i="1"/>
  <c r="L15173" i="1"/>
  <c r="K15173" i="1"/>
  <c r="J15173" i="1"/>
  <c r="I15173" i="1"/>
  <c r="H15173" i="1"/>
  <c r="G15173" i="1"/>
  <c r="M15172" i="1"/>
  <c r="L15172" i="1"/>
  <c r="K15172" i="1"/>
  <c r="J15172" i="1"/>
  <c r="I15172" i="1"/>
  <c r="H15172" i="1"/>
  <c r="G15172" i="1"/>
  <c r="M15171" i="1"/>
  <c r="L15171" i="1"/>
  <c r="K15171" i="1"/>
  <c r="J15171" i="1"/>
  <c r="I15171" i="1"/>
  <c r="H15171" i="1"/>
  <c r="G15171" i="1"/>
  <c r="M15170" i="1"/>
  <c r="L15170" i="1"/>
  <c r="K15170" i="1"/>
  <c r="J15170" i="1"/>
  <c r="I15170" i="1"/>
  <c r="H15170" i="1"/>
  <c r="G15170" i="1"/>
  <c r="M15169" i="1"/>
  <c r="L15169" i="1"/>
  <c r="K15169" i="1"/>
  <c r="J15169" i="1"/>
  <c r="I15169" i="1"/>
  <c r="H15169" i="1"/>
  <c r="G15169" i="1"/>
  <c r="M15168" i="1"/>
  <c r="L15168" i="1"/>
  <c r="K15168" i="1"/>
  <c r="J15168" i="1"/>
  <c r="I15168" i="1"/>
  <c r="H15168" i="1"/>
  <c r="G15168" i="1"/>
  <c r="M15167" i="1"/>
  <c r="L15167" i="1"/>
  <c r="K15167" i="1"/>
  <c r="J15167" i="1"/>
  <c r="I15167" i="1"/>
  <c r="H15167" i="1"/>
  <c r="G15167" i="1"/>
  <c r="M15166" i="1"/>
  <c r="L15166" i="1"/>
  <c r="K15166" i="1"/>
  <c r="J15166" i="1"/>
  <c r="I15166" i="1"/>
  <c r="H15166" i="1"/>
  <c r="G15166" i="1"/>
  <c r="M15165" i="1"/>
  <c r="L15165" i="1"/>
  <c r="K15165" i="1"/>
  <c r="J15165" i="1"/>
  <c r="I15165" i="1"/>
  <c r="H15165" i="1"/>
  <c r="G15165" i="1"/>
  <c r="M15164" i="1"/>
  <c r="L15164" i="1"/>
  <c r="K15164" i="1"/>
  <c r="J15164" i="1"/>
  <c r="I15164" i="1"/>
  <c r="H15164" i="1"/>
  <c r="G15164" i="1"/>
  <c r="M15163" i="1"/>
  <c r="L15163" i="1"/>
  <c r="K15163" i="1"/>
  <c r="J15163" i="1"/>
  <c r="I15163" i="1"/>
  <c r="H15163" i="1"/>
  <c r="G15163" i="1"/>
  <c r="M15162" i="1"/>
  <c r="L15162" i="1"/>
  <c r="K15162" i="1"/>
  <c r="J15162" i="1"/>
  <c r="I15162" i="1"/>
  <c r="H15162" i="1"/>
  <c r="G15162" i="1"/>
  <c r="M15161" i="1"/>
  <c r="L15161" i="1"/>
  <c r="K15161" i="1"/>
  <c r="J15161" i="1"/>
  <c r="I15161" i="1"/>
  <c r="H15161" i="1"/>
  <c r="G15161" i="1"/>
  <c r="M15160" i="1"/>
  <c r="L15160" i="1"/>
  <c r="K15160" i="1"/>
  <c r="J15160" i="1"/>
  <c r="I15160" i="1"/>
  <c r="H15160" i="1"/>
  <c r="G15160" i="1"/>
  <c r="M15159" i="1"/>
  <c r="L15159" i="1"/>
  <c r="K15159" i="1"/>
  <c r="J15159" i="1"/>
  <c r="I15159" i="1"/>
  <c r="H15159" i="1"/>
  <c r="G15159" i="1"/>
  <c r="M15158" i="1"/>
  <c r="L15158" i="1"/>
  <c r="K15158" i="1"/>
  <c r="J15158" i="1"/>
  <c r="I15158" i="1"/>
  <c r="H15158" i="1"/>
  <c r="G15158" i="1"/>
  <c r="M15157" i="1"/>
  <c r="L15157" i="1"/>
  <c r="K15157" i="1"/>
  <c r="J15157" i="1"/>
  <c r="I15157" i="1"/>
  <c r="H15157" i="1"/>
  <c r="G15157" i="1"/>
  <c r="M15156" i="1"/>
  <c r="L15156" i="1"/>
  <c r="K15156" i="1"/>
  <c r="J15156" i="1"/>
  <c r="I15156" i="1"/>
  <c r="H15156" i="1"/>
  <c r="G15156" i="1"/>
  <c r="M15155" i="1"/>
  <c r="L15155" i="1"/>
  <c r="K15155" i="1"/>
  <c r="J15155" i="1"/>
  <c r="I15155" i="1"/>
  <c r="H15155" i="1"/>
  <c r="G15155" i="1"/>
  <c r="M15154" i="1"/>
  <c r="L15154" i="1"/>
  <c r="K15154" i="1"/>
  <c r="J15154" i="1"/>
  <c r="I15154" i="1"/>
  <c r="H15154" i="1"/>
  <c r="G15154" i="1"/>
  <c r="M15153" i="1"/>
  <c r="L15153" i="1"/>
  <c r="K15153" i="1"/>
  <c r="J15153" i="1"/>
  <c r="I15153" i="1"/>
  <c r="H15153" i="1"/>
  <c r="G15153" i="1"/>
  <c r="M15152" i="1"/>
  <c r="L15152" i="1"/>
  <c r="K15152" i="1"/>
  <c r="J15152" i="1"/>
  <c r="I15152" i="1"/>
  <c r="H15152" i="1"/>
  <c r="G15152" i="1"/>
  <c r="M15151" i="1"/>
  <c r="L15151" i="1"/>
  <c r="K15151" i="1"/>
  <c r="J15151" i="1"/>
  <c r="I15151" i="1"/>
  <c r="H15151" i="1"/>
  <c r="G15151" i="1"/>
  <c r="M15150" i="1"/>
  <c r="L15150" i="1"/>
  <c r="K15150" i="1"/>
  <c r="J15150" i="1"/>
  <c r="I15150" i="1"/>
  <c r="H15150" i="1"/>
  <c r="G15150" i="1"/>
  <c r="M15149" i="1"/>
  <c r="L15149" i="1"/>
  <c r="K15149" i="1"/>
  <c r="J15149" i="1"/>
  <c r="I15149" i="1"/>
  <c r="H15149" i="1"/>
  <c r="G15149" i="1"/>
  <c r="M15148" i="1"/>
  <c r="L15148" i="1"/>
  <c r="K15148" i="1"/>
  <c r="J15148" i="1"/>
  <c r="I15148" i="1"/>
  <c r="H15148" i="1"/>
  <c r="G15148" i="1"/>
  <c r="M15147" i="1"/>
  <c r="L15147" i="1"/>
  <c r="K15147" i="1"/>
  <c r="J15147" i="1"/>
  <c r="I15147" i="1"/>
  <c r="H15147" i="1"/>
  <c r="G15147" i="1"/>
  <c r="M15146" i="1"/>
  <c r="L15146" i="1"/>
  <c r="K15146" i="1"/>
  <c r="J15146" i="1"/>
  <c r="I15146" i="1"/>
  <c r="H15146" i="1"/>
  <c r="G15146" i="1"/>
  <c r="M15145" i="1"/>
  <c r="L15145" i="1"/>
  <c r="K15145" i="1"/>
  <c r="J15145" i="1"/>
  <c r="I15145" i="1"/>
  <c r="H15145" i="1"/>
  <c r="G15145" i="1"/>
  <c r="M15144" i="1"/>
  <c r="L15144" i="1"/>
  <c r="K15144" i="1"/>
  <c r="J15144" i="1"/>
  <c r="I15144" i="1"/>
  <c r="H15144" i="1"/>
  <c r="G15144" i="1"/>
  <c r="M15143" i="1"/>
  <c r="L15143" i="1"/>
  <c r="K15143" i="1"/>
  <c r="J15143" i="1"/>
  <c r="I15143" i="1"/>
  <c r="H15143" i="1"/>
  <c r="G15143" i="1"/>
  <c r="M15142" i="1"/>
  <c r="L15142" i="1"/>
  <c r="K15142" i="1"/>
  <c r="J15142" i="1"/>
  <c r="I15142" i="1"/>
  <c r="H15142" i="1"/>
  <c r="G15142" i="1"/>
  <c r="M15141" i="1"/>
  <c r="L15141" i="1"/>
  <c r="K15141" i="1"/>
  <c r="J15141" i="1"/>
  <c r="I15141" i="1"/>
  <c r="H15141" i="1"/>
  <c r="G15141" i="1"/>
  <c r="M15140" i="1"/>
  <c r="L15140" i="1"/>
  <c r="K15140" i="1"/>
  <c r="J15140" i="1"/>
  <c r="I15140" i="1"/>
  <c r="H15140" i="1"/>
  <c r="G15140" i="1"/>
  <c r="M15139" i="1"/>
  <c r="L15139" i="1"/>
  <c r="K15139" i="1"/>
  <c r="J15139" i="1"/>
  <c r="I15139" i="1"/>
  <c r="H15139" i="1"/>
  <c r="G15139" i="1"/>
  <c r="M15138" i="1"/>
  <c r="L15138" i="1"/>
  <c r="K15138" i="1"/>
  <c r="J15138" i="1"/>
  <c r="I15138" i="1"/>
  <c r="H15138" i="1"/>
  <c r="G15138" i="1"/>
  <c r="M15137" i="1"/>
  <c r="L15137" i="1"/>
  <c r="K15137" i="1"/>
  <c r="J15137" i="1"/>
  <c r="I15137" i="1"/>
  <c r="H15137" i="1"/>
  <c r="G15137" i="1"/>
  <c r="M15136" i="1"/>
  <c r="L15136" i="1"/>
  <c r="K15136" i="1"/>
  <c r="J15136" i="1"/>
  <c r="I15136" i="1"/>
  <c r="H15136" i="1"/>
  <c r="G15136" i="1"/>
  <c r="M15135" i="1"/>
  <c r="L15135" i="1"/>
  <c r="K15135" i="1"/>
  <c r="J15135" i="1"/>
  <c r="I15135" i="1"/>
  <c r="H15135" i="1"/>
  <c r="G15135" i="1"/>
  <c r="M15134" i="1"/>
  <c r="L15134" i="1"/>
  <c r="K15134" i="1"/>
  <c r="J15134" i="1"/>
  <c r="I15134" i="1"/>
  <c r="H15134" i="1"/>
  <c r="G15134" i="1"/>
  <c r="M15133" i="1"/>
  <c r="L15133" i="1"/>
  <c r="K15133" i="1"/>
  <c r="J15133" i="1"/>
  <c r="I15133" i="1"/>
  <c r="H15133" i="1"/>
  <c r="G15133" i="1"/>
  <c r="M15132" i="1"/>
  <c r="L15132" i="1"/>
  <c r="K15132" i="1"/>
  <c r="J15132" i="1"/>
  <c r="I15132" i="1"/>
  <c r="H15132" i="1"/>
  <c r="G15132" i="1"/>
  <c r="M15131" i="1"/>
  <c r="L15131" i="1"/>
  <c r="K15131" i="1"/>
  <c r="J15131" i="1"/>
  <c r="I15131" i="1"/>
  <c r="H15131" i="1"/>
  <c r="G15131" i="1"/>
  <c r="M15130" i="1"/>
  <c r="L15130" i="1"/>
  <c r="K15130" i="1"/>
  <c r="J15130" i="1"/>
  <c r="I15130" i="1"/>
  <c r="H15130" i="1"/>
  <c r="G15130" i="1"/>
  <c r="M15129" i="1"/>
  <c r="L15129" i="1"/>
  <c r="K15129" i="1"/>
  <c r="J15129" i="1"/>
  <c r="I15129" i="1"/>
  <c r="H15129" i="1"/>
  <c r="G15129" i="1"/>
  <c r="M15128" i="1"/>
  <c r="L15128" i="1"/>
  <c r="K15128" i="1"/>
  <c r="J15128" i="1"/>
  <c r="I15128" i="1"/>
  <c r="H15128" i="1"/>
  <c r="G15128" i="1"/>
  <c r="M15127" i="1"/>
  <c r="L15127" i="1"/>
  <c r="K15127" i="1"/>
  <c r="J15127" i="1"/>
  <c r="I15127" i="1"/>
  <c r="H15127" i="1"/>
  <c r="G15127" i="1"/>
  <c r="M15126" i="1"/>
  <c r="L15126" i="1"/>
  <c r="K15126" i="1"/>
  <c r="J15126" i="1"/>
  <c r="I15126" i="1"/>
  <c r="H15126" i="1"/>
  <c r="G15126" i="1"/>
  <c r="M15125" i="1"/>
  <c r="L15125" i="1"/>
  <c r="K15125" i="1"/>
  <c r="J15125" i="1"/>
  <c r="I15125" i="1"/>
  <c r="H15125" i="1"/>
  <c r="G15125" i="1"/>
  <c r="M15124" i="1"/>
  <c r="L15124" i="1"/>
  <c r="K15124" i="1"/>
  <c r="J15124" i="1"/>
  <c r="I15124" i="1"/>
  <c r="H15124" i="1"/>
  <c r="G15124" i="1"/>
  <c r="M15123" i="1"/>
  <c r="L15123" i="1"/>
  <c r="K15123" i="1"/>
  <c r="J15123" i="1"/>
  <c r="I15123" i="1"/>
  <c r="H15123" i="1"/>
  <c r="G15123" i="1"/>
  <c r="M15122" i="1"/>
  <c r="L15122" i="1"/>
  <c r="K15122" i="1"/>
  <c r="J15122" i="1"/>
  <c r="I15122" i="1"/>
  <c r="H15122" i="1"/>
  <c r="G15122" i="1"/>
  <c r="M15121" i="1"/>
  <c r="L15121" i="1"/>
  <c r="K15121" i="1"/>
  <c r="J15121" i="1"/>
  <c r="I15121" i="1"/>
  <c r="H15121" i="1"/>
  <c r="G15121" i="1"/>
  <c r="M15120" i="1"/>
  <c r="L15120" i="1"/>
  <c r="K15120" i="1"/>
  <c r="J15120" i="1"/>
  <c r="I15120" i="1"/>
  <c r="H15120" i="1"/>
  <c r="G15120" i="1"/>
  <c r="M15119" i="1"/>
  <c r="L15119" i="1"/>
  <c r="K15119" i="1"/>
  <c r="J15119" i="1"/>
  <c r="I15119" i="1"/>
  <c r="H15119" i="1"/>
  <c r="G15119" i="1"/>
  <c r="M15118" i="1"/>
  <c r="L15118" i="1"/>
  <c r="K15118" i="1"/>
  <c r="J15118" i="1"/>
  <c r="I15118" i="1"/>
  <c r="H15118" i="1"/>
  <c r="G15118" i="1"/>
  <c r="M15117" i="1"/>
  <c r="L15117" i="1"/>
  <c r="K15117" i="1"/>
  <c r="J15117" i="1"/>
  <c r="I15117" i="1"/>
  <c r="H15117" i="1"/>
  <c r="G15117" i="1"/>
  <c r="M15116" i="1"/>
  <c r="L15116" i="1"/>
  <c r="K15116" i="1"/>
  <c r="J15116" i="1"/>
  <c r="I15116" i="1"/>
  <c r="H15116" i="1"/>
  <c r="G15116" i="1"/>
  <c r="M15115" i="1"/>
  <c r="L15115" i="1"/>
  <c r="K15115" i="1"/>
  <c r="J15115" i="1"/>
  <c r="I15115" i="1"/>
  <c r="H15115" i="1"/>
  <c r="G15115" i="1"/>
  <c r="M15114" i="1"/>
  <c r="L15114" i="1"/>
  <c r="K15114" i="1"/>
  <c r="J15114" i="1"/>
  <c r="I15114" i="1"/>
  <c r="H15114" i="1"/>
  <c r="G15114" i="1"/>
  <c r="M15113" i="1"/>
  <c r="L15113" i="1"/>
  <c r="K15113" i="1"/>
  <c r="J15113" i="1"/>
  <c r="I15113" i="1"/>
  <c r="H15113" i="1"/>
  <c r="G15113" i="1"/>
  <c r="M15112" i="1"/>
  <c r="L15112" i="1"/>
  <c r="K15112" i="1"/>
  <c r="J15112" i="1"/>
  <c r="I15112" i="1"/>
  <c r="H15112" i="1"/>
  <c r="G15112" i="1"/>
  <c r="M15111" i="1"/>
  <c r="L15111" i="1"/>
  <c r="K15111" i="1"/>
  <c r="J15111" i="1"/>
  <c r="I15111" i="1"/>
  <c r="H15111" i="1"/>
  <c r="G15111" i="1"/>
  <c r="M15110" i="1"/>
  <c r="L15110" i="1"/>
  <c r="K15110" i="1"/>
  <c r="J15110" i="1"/>
  <c r="I15110" i="1"/>
  <c r="H15110" i="1"/>
  <c r="G15110" i="1"/>
  <c r="M15109" i="1"/>
  <c r="L15109" i="1"/>
  <c r="K15109" i="1"/>
  <c r="J15109" i="1"/>
  <c r="I15109" i="1"/>
  <c r="H15109" i="1"/>
  <c r="G15109" i="1"/>
  <c r="M15108" i="1"/>
  <c r="L15108" i="1"/>
  <c r="K15108" i="1"/>
  <c r="J15108" i="1"/>
  <c r="I15108" i="1"/>
  <c r="H15108" i="1"/>
  <c r="G15108" i="1"/>
  <c r="M15107" i="1"/>
  <c r="L15107" i="1"/>
  <c r="K15107" i="1"/>
  <c r="J15107" i="1"/>
  <c r="I15107" i="1"/>
  <c r="H15107" i="1"/>
  <c r="G15107" i="1"/>
  <c r="M15106" i="1"/>
  <c r="L15106" i="1"/>
  <c r="K15106" i="1"/>
  <c r="J15106" i="1"/>
  <c r="I15106" i="1"/>
  <c r="H15106" i="1"/>
  <c r="G15106" i="1"/>
  <c r="M15105" i="1"/>
  <c r="L15105" i="1"/>
  <c r="K15105" i="1"/>
  <c r="J15105" i="1"/>
  <c r="I15105" i="1"/>
  <c r="H15105" i="1"/>
  <c r="G15105" i="1"/>
  <c r="M15104" i="1"/>
  <c r="L15104" i="1"/>
  <c r="K15104" i="1"/>
  <c r="J15104" i="1"/>
  <c r="I15104" i="1"/>
  <c r="H15104" i="1"/>
  <c r="G15104" i="1"/>
  <c r="M15103" i="1"/>
  <c r="L15103" i="1"/>
  <c r="K15103" i="1"/>
  <c r="J15103" i="1"/>
  <c r="I15103" i="1"/>
  <c r="H15103" i="1"/>
  <c r="G15103" i="1"/>
  <c r="M15102" i="1"/>
  <c r="L15102" i="1"/>
  <c r="K15102" i="1"/>
  <c r="J15102" i="1"/>
  <c r="I15102" i="1"/>
  <c r="H15102" i="1"/>
  <c r="G15102" i="1"/>
  <c r="M15101" i="1"/>
  <c r="L15101" i="1"/>
  <c r="K15101" i="1"/>
  <c r="J15101" i="1"/>
  <c r="I15101" i="1"/>
  <c r="H15101" i="1"/>
  <c r="G15101" i="1"/>
  <c r="M15100" i="1"/>
  <c r="L15100" i="1"/>
  <c r="K15100" i="1"/>
  <c r="J15100" i="1"/>
  <c r="I15100" i="1"/>
  <c r="H15100" i="1"/>
  <c r="G15100" i="1"/>
  <c r="M15099" i="1"/>
  <c r="L15099" i="1"/>
  <c r="K15099" i="1"/>
  <c r="J15099" i="1"/>
  <c r="I15099" i="1"/>
  <c r="H15099" i="1"/>
  <c r="G15099" i="1"/>
  <c r="M15098" i="1"/>
  <c r="L15098" i="1"/>
  <c r="K15098" i="1"/>
  <c r="J15098" i="1"/>
  <c r="I15098" i="1"/>
  <c r="H15098" i="1"/>
  <c r="G15098" i="1"/>
  <c r="M15097" i="1"/>
  <c r="L15097" i="1"/>
  <c r="K15097" i="1"/>
  <c r="J15097" i="1"/>
  <c r="I15097" i="1"/>
  <c r="H15097" i="1"/>
  <c r="G15097" i="1"/>
  <c r="M15096" i="1"/>
  <c r="L15096" i="1"/>
  <c r="K15096" i="1"/>
  <c r="J15096" i="1"/>
  <c r="I15096" i="1"/>
  <c r="H15096" i="1"/>
  <c r="G15096" i="1"/>
  <c r="M15095" i="1"/>
  <c r="L15095" i="1"/>
  <c r="K15095" i="1"/>
  <c r="J15095" i="1"/>
  <c r="I15095" i="1"/>
  <c r="H15095" i="1"/>
  <c r="G15095" i="1"/>
  <c r="M15094" i="1"/>
  <c r="L15094" i="1"/>
  <c r="K15094" i="1"/>
  <c r="J15094" i="1"/>
  <c r="I15094" i="1"/>
  <c r="H15094" i="1"/>
  <c r="G15094" i="1"/>
  <c r="M15093" i="1"/>
  <c r="L15093" i="1"/>
  <c r="K15093" i="1"/>
  <c r="J15093" i="1"/>
  <c r="I15093" i="1"/>
  <c r="H15093" i="1"/>
  <c r="G15093" i="1"/>
  <c r="M15092" i="1"/>
  <c r="L15092" i="1"/>
  <c r="K15092" i="1"/>
  <c r="J15092" i="1"/>
  <c r="I15092" i="1"/>
  <c r="H15092" i="1"/>
  <c r="G15092" i="1"/>
  <c r="M15091" i="1"/>
  <c r="L15091" i="1"/>
  <c r="K15091" i="1"/>
  <c r="J15091" i="1"/>
  <c r="I15091" i="1"/>
  <c r="H15091" i="1"/>
  <c r="G15091" i="1"/>
  <c r="M15090" i="1"/>
  <c r="L15090" i="1"/>
  <c r="K15090" i="1"/>
  <c r="J15090" i="1"/>
  <c r="I15090" i="1"/>
  <c r="H15090" i="1"/>
  <c r="G15090" i="1"/>
  <c r="M15089" i="1"/>
  <c r="L15089" i="1"/>
  <c r="K15089" i="1"/>
  <c r="J15089" i="1"/>
  <c r="I15089" i="1"/>
  <c r="H15089" i="1"/>
  <c r="G15089" i="1"/>
  <c r="M15088" i="1"/>
  <c r="L15088" i="1"/>
  <c r="K15088" i="1"/>
  <c r="J15088" i="1"/>
  <c r="I15088" i="1"/>
  <c r="H15088" i="1"/>
  <c r="G15088" i="1"/>
  <c r="M15087" i="1"/>
  <c r="L15087" i="1"/>
  <c r="K15087" i="1"/>
  <c r="J15087" i="1"/>
  <c r="I15087" i="1"/>
  <c r="H15087" i="1"/>
  <c r="G15087" i="1"/>
  <c r="M15086" i="1"/>
  <c r="L15086" i="1"/>
  <c r="K15086" i="1"/>
  <c r="J15086" i="1"/>
  <c r="I15086" i="1"/>
  <c r="H15086" i="1"/>
  <c r="G15086" i="1"/>
  <c r="M15085" i="1"/>
  <c r="L15085" i="1"/>
  <c r="K15085" i="1"/>
  <c r="J15085" i="1"/>
  <c r="I15085" i="1"/>
  <c r="H15085" i="1"/>
  <c r="G15085" i="1"/>
  <c r="M15084" i="1"/>
  <c r="L15084" i="1"/>
  <c r="K15084" i="1"/>
  <c r="J15084" i="1"/>
  <c r="I15084" i="1"/>
  <c r="H15084" i="1"/>
  <c r="G15084" i="1"/>
  <c r="M15083" i="1"/>
  <c r="L15083" i="1"/>
  <c r="K15083" i="1"/>
  <c r="J15083" i="1"/>
  <c r="I15083" i="1"/>
  <c r="H15083" i="1"/>
  <c r="G15083" i="1"/>
  <c r="M15082" i="1"/>
  <c r="L15082" i="1"/>
  <c r="K15082" i="1"/>
  <c r="J15082" i="1"/>
  <c r="I15082" i="1"/>
  <c r="H15082" i="1"/>
  <c r="G15082" i="1"/>
  <c r="M15081" i="1"/>
  <c r="L15081" i="1"/>
  <c r="K15081" i="1"/>
  <c r="J15081" i="1"/>
  <c r="I15081" i="1"/>
  <c r="H15081" i="1"/>
  <c r="G15081" i="1"/>
  <c r="M15080" i="1"/>
  <c r="L15080" i="1"/>
  <c r="K15080" i="1"/>
  <c r="J15080" i="1"/>
  <c r="I15080" i="1"/>
  <c r="H15080" i="1"/>
  <c r="G15080" i="1"/>
  <c r="M15079" i="1"/>
  <c r="L15079" i="1"/>
  <c r="K15079" i="1"/>
  <c r="J15079" i="1"/>
  <c r="I15079" i="1"/>
  <c r="H15079" i="1"/>
  <c r="G15079" i="1"/>
  <c r="M15078" i="1"/>
  <c r="L15078" i="1"/>
  <c r="K15078" i="1"/>
  <c r="J15078" i="1"/>
  <c r="I15078" i="1"/>
  <c r="H15078" i="1"/>
  <c r="G15078" i="1"/>
  <c r="M15077" i="1"/>
  <c r="L15077" i="1"/>
  <c r="K15077" i="1"/>
  <c r="J15077" i="1"/>
  <c r="I15077" i="1"/>
  <c r="H15077" i="1"/>
  <c r="G15077" i="1"/>
  <c r="M15076" i="1"/>
  <c r="L15076" i="1"/>
  <c r="K15076" i="1"/>
  <c r="J15076" i="1"/>
  <c r="I15076" i="1"/>
  <c r="H15076" i="1"/>
  <c r="G15076" i="1"/>
  <c r="M15075" i="1"/>
  <c r="L15075" i="1"/>
  <c r="K15075" i="1"/>
  <c r="J15075" i="1"/>
  <c r="I15075" i="1"/>
  <c r="H15075" i="1"/>
  <c r="G15075" i="1"/>
  <c r="M15074" i="1"/>
  <c r="L15074" i="1"/>
  <c r="K15074" i="1"/>
  <c r="J15074" i="1"/>
  <c r="I15074" i="1"/>
  <c r="H15074" i="1"/>
  <c r="G15074" i="1"/>
  <c r="M15073" i="1"/>
  <c r="L15073" i="1"/>
  <c r="K15073" i="1"/>
  <c r="J15073" i="1"/>
  <c r="I15073" i="1"/>
  <c r="H15073" i="1"/>
  <c r="G15073" i="1"/>
  <c r="M15072" i="1"/>
  <c r="L15072" i="1"/>
  <c r="K15072" i="1"/>
  <c r="J15072" i="1"/>
  <c r="I15072" i="1"/>
  <c r="H15072" i="1"/>
  <c r="G15072" i="1"/>
  <c r="M15071" i="1"/>
  <c r="L15071" i="1"/>
  <c r="K15071" i="1"/>
  <c r="J15071" i="1"/>
  <c r="I15071" i="1"/>
  <c r="H15071" i="1"/>
  <c r="G15071" i="1"/>
  <c r="M15070" i="1"/>
  <c r="L15070" i="1"/>
  <c r="K15070" i="1"/>
  <c r="J15070" i="1"/>
  <c r="I15070" i="1"/>
  <c r="H15070" i="1"/>
  <c r="G15070" i="1"/>
  <c r="M15069" i="1"/>
  <c r="L15069" i="1"/>
  <c r="K15069" i="1"/>
  <c r="J15069" i="1"/>
  <c r="I15069" i="1"/>
  <c r="H15069" i="1"/>
  <c r="G15069" i="1"/>
  <c r="M15068" i="1"/>
  <c r="L15068" i="1"/>
  <c r="K15068" i="1"/>
  <c r="J15068" i="1"/>
  <c r="I15068" i="1"/>
  <c r="H15068" i="1"/>
  <c r="G15068" i="1"/>
  <c r="M15067" i="1"/>
  <c r="L15067" i="1"/>
  <c r="K15067" i="1"/>
  <c r="J15067" i="1"/>
  <c r="I15067" i="1"/>
  <c r="H15067" i="1"/>
  <c r="G15067" i="1"/>
  <c r="M15066" i="1"/>
  <c r="L15066" i="1"/>
  <c r="K15066" i="1"/>
  <c r="J15066" i="1"/>
  <c r="I15066" i="1"/>
  <c r="H15066" i="1"/>
  <c r="G15066" i="1"/>
  <c r="M15065" i="1"/>
  <c r="L15065" i="1"/>
  <c r="K15065" i="1"/>
  <c r="J15065" i="1"/>
  <c r="I15065" i="1"/>
  <c r="H15065" i="1"/>
  <c r="G15065" i="1"/>
  <c r="M15064" i="1"/>
  <c r="L15064" i="1"/>
  <c r="K15064" i="1"/>
  <c r="J15064" i="1"/>
  <c r="I15064" i="1"/>
  <c r="H15064" i="1"/>
  <c r="G15064" i="1"/>
  <c r="M15063" i="1"/>
  <c r="L15063" i="1"/>
  <c r="K15063" i="1"/>
  <c r="J15063" i="1"/>
  <c r="I15063" i="1"/>
  <c r="H15063" i="1"/>
  <c r="G15063" i="1"/>
  <c r="M15062" i="1"/>
  <c r="L15062" i="1"/>
  <c r="K15062" i="1"/>
  <c r="J15062" i="1"/>
  <c r="I15062" i="1"/>
  <c r="H15062" i="1"/>
  <c r="G15062" i="1"/>
  <c r="M15061" i="1"/>
  <c r="L15061" i="1"/>
  <c r="K15061" i="1"/>
  <c r="J15061" i="1"/>
  <c r="I15061" i="1"/>
  <c r="H15061" i="1"/>
  <c r="G15061" i="1"/>
  <c r="M15060" i="1"/>
  <c r="L15060" i="1"/>
  <c r="K15060" i="1"/>
  <c r="J15060" i="1"/>
  <c r="I15060" i="1"/>
  <c r="H15060" i="1"/>
  <c r="G15060" i="1"/>
  <c r="M15059" i="1"/>
  <c r="L15059" i="1"/>
  <c r="K15059" i="1"/>
  <c r="J15059" i="1"/>
  <c r="I15059" i="1"/>
  <c r="H15059" i="1"/>
  <c r="G15059" i="1"/>
  <c r="M15058" i="1"/>
  <c r="L15058" i="1"/>
  <c r="K15058" i="1"/>
  <c r="J15058" i="1"/>
  <c r="I15058" i="1"/>
  <c r="H15058" i="1"/>
  <c r="G15058" i="1"/>
  <c r="M15057" i="1"/>
  <c r="L15057" i="1"/>
  <c r="K15057" i="1"/>
  <c r="J15057" i="1"/>
  <c r="I15057" i="1"/>
  <c r="H15057" i="1"/>
  <c r="G15057" i="1"/>
  <c r="M15056" i="1"/>
  <c r="L15056" i="1"/>
  <c r="K15056" i="1"/>
  <c r="J15056" i="1"/>
  <c r="I15056" i="1"/>
  <c r="H15056" i="1"/>
  <c r="G15056" i="1"/>
  <c r="M15055" i="1"/>
  <c r="L15055" i="1"/>
  <c r="K15055" i="1"/>
  <c r="J15055" i="1"/>
  <c r="I15055" i="1"/>
  <c r="H15055" i="1"/>
  <c r="G15055" i="1"/>
  <c r="M15054" i="1"/>
  <c r="L15054" i="1"/>
  <c r="K15054" i="1"/>
  <c r="J15054" i="1"/>
  <c r="I15054" i="1"/>
  <c r="H15054" i="1"/>
  <c r="G15054" i="1"/>
  <c r="M15053" i="1"/>
  <c r="L15053" i="1"/>
  <c r="K15053" i="1"/>
  <c r="J15053" i="1"/>
  <c r="I15053" i="1"/>
  <c r="H15053" i="1"/>
  <c r="G15053" i="1"/>
  <c r="M15052" i="1"/>
  <c r="L15052" i="1"/>
  <c r="K15052" i="1"/>
  <c r="J15052" i="1"/>
  <c r="I15052" i="1"/>
  <c r="H15052" i="1"/>
  <c r="G15052" i="1"/>
  <c r="M15051" i="1"/>
  <c r="L15051" i="1"/>
  <c r="K15051" i="1"/>
  <c r="J15051" i="1"/>
  <c r="I15051" i="1"/>
  <c r="H15051" i="1"/>
  <c r="G15051" i="1"/>
  <c r="M15050" i="1"/>
  <c r="L15050" i="1"/>
  <c r="K15050" i="1"/>
  <c r="J15050" i="1"/>
  <c r="I15050" i="1"/>
  <c r="H15050" i="1"/>
  <c r="G15050" i="1"/>
  <c r="M15049" i="1"/>
  <c r="L15049" i="1"/>
  <c r="K15049" i="1"/>
  <c r="J15049" i="1"/>
  <c r="I15049" i="1"/>
  <c r="H15049" i="1"/>
  <c r="G15049" i="1"/>
  <c r="M15048" i="1"/>
  <c r="L15048" i="1"/>
  <c r="K15048" i="1"/>
  <c r="J15048" i="1"/>
  <c r="I15048" i="1"/>
  <c r="H15048" i="1"/>
  <c r="G15048" i="1"/>
  <c r="M15047" i="1"/>
  <c r="L15047" i="1"/>
  <c r="K15047" i="1"/>
  <c r="J15047" i="1"/>
  <c r="I15047" i="1"/>
  <c r="H15047" i="1"/>
  <c r="G15047" i="1"/>
  <c r="M15046" i="1"/>
  <c r="L15046" i="1"/>
  <c r="K15046" i="1"/>
  <c r="J15046" i="1"/>
  <c r="I15046" i="1"/>
  <c r="H15046" i="1"/>
  <c r="G15046" i="1"/>
  <c r="M15045" i="1"/>
  <c r="L15045" i="1"/>
  <c r="K15045" i="1"/>
  <c r="J15045" i="1"/>
  <c r="I15045" i="1"/>
  <c r="H15045" i="1"/>
  <c r="G15045" i="1"/>
  <c r="M15044" i="1"/>
  <c r="L15044" i="1"/>
  <c r="K15044" i="1"/>
  <c r="J15044" i="1"/>
  <c r="I15044" i="1"/>
  <c r="H15044" i="1"/>
  <c r="G15044" i="1"/>
  <c r="M15043" i="1"/>
  <c r="L15043" i="1"/>
  <c r="K15043" i="1"/>
  <c r="J15043" i="1"/>
  <c r="I15043" i="1"/>
  <c r="H15043" i="1"/>
  <c r="G15043" i="1"/>
  <c r="M15042" i="1"/>
  <c r="L15042" i="1"/>
  <c r="K15042" i="1"/>
  <c r="J15042" i="1"/>
  <c r="I15042" i="1"/>
  <c r="H15042" i="1"/>
  <c r="G15042" i="1"/>
  <c r="M15041" i="1"/>
  <c r="L15041" i="1"/>
  <c r="K15041" i="1"/>
  <c r="J15041" i="1"/>
  <c r="I15041" i="1"/>
  <c r="H15041" i="1"/>
  <c r="G15041" i="1"/>
  <c r="M15040" i="1"/>
  <c r="L15040" i="1"/>
  <c r="K15040" i="1"/>
  <c r="J15040" i="1"/>
  <c r="I15040" i="1"/>
  <c r="H15040" i="1"/>
  <c r="G15040" i="1"/>
  <c r="M15039" i="1"/>
  <c r="L15039" i="1"/>
  <c r="K15039" i="1"/>
  <c r="J15039" i="1"/>
  <c r="I15039" i="1"/>
  <c r="H15039" i="1"/>
  <c r="G15039" i="1"/>
  <c r="M15038" i="1"/>
  <c r="L15038" i="1"/>
  <c r="K15038" i="1"/>
  <c r="J15038" i="1"/>
  <c r="I15038" i="1"/>
  <c r="H15038" i="1"/>
  <c r="G15038" i="1"/>
  <c r="M15037" i="1"/>
  <c r="L15037" i="1"/>
  <c r="K15037" i="1"/>
  <c r="J15037" i="1"/>
  <c r="I15037" i="1"/>
  <c r="H15037" i="1"/>
  <c r="G15037" i="1"/>
  <c r="M15036" i="1"/>
  <c r="L15036" i="1"/>
  <c r="K15036" i="1"/>
  <c r="J15036" i="1"/>
  <c r="I15036" i="1"/>
  <c r="H15036" i="1"/>
  <c r="G15036" i="1"/>
  <c r="M15035" i="1"/>
  <c r="L15035" i="1"/>
  <c r="K15035" i="1"/>
  <c r="J15035" i="1"/>
  <c r="I15035" i="1"/>
  <c r="H15035" i="1"/>
  <c r="G15035" i="1"/>
  <c r="M15034" i="1"/>
  <c r="L15034" i="1"/>
  <c r="K15034" i="1"/>
  <c r="J15034" i="1"/>
  <c r="I15034" i="1"/>
  <c r="H15034" i="1"/>
  <c r="G15034" i="1"/>
  <c r="M15033" i="1"/>
  <c r="L15033" i="1"/>
  <c r="K15033" i="1"/>
  <c r="J15033" i="1"/>
  <c r="I15033" i="1"/>
  <c r="H15033" i="1"/>
  <c r="G15033" i="1"/>
  <c r="M15032" i="1"/>
  <c r="L15032" i="1"/>
  <c r="K15032" i="1"/>
  <c r="J15032" i="1"/>
  <c r="I15032" i="1"/>
  <c r="H15032" i="1"/>
  <c r="G15032" i="1"/>
  <c r="M15031" i="1"/>
  <c r="L15031" i="1"/>
  <c r="K15031" i="1"/>
  <c r="J15031" i="1"/>
  <c r="I15031" i="1"/>
  <c r="H15031" i="1"/>
  <c r="G15031" i="1"/>
  <c r="M15030" i="1"/>
  <c r="L15030" i="1"/>
  <c r="K15030" i="1"/>
  <c r="J15030" i="1"/>
  <c r="I15030" i="1"/>
  <c r="H15030" i="1"/>
  <c r="G15030" i="1"/>
  <c r="M15029" i="1"/>
  <c r="L15029" i="1"/>
  <c r="K15029" i="1"/>
  <c r="J15029" i="1"/>
  <c r="I15029" i="1"/>
  <c r="H15029" i="1"/>
  <c r="G15029" i="1"/>
  <c r="M15028" i="1"/>
  <c r="L15028" i="1"/>
  <c r="K15028" i="1"/>
  <c r="J15028" i="1"/>
  <c r="I15028" i="1"/>
  <c r="H15028" i="1"/>
  <c r="G15028" i="1"/>
  <c r="M15027" i="1"/>
  <c r="L15027" i="1"/>
  <c r="K15027" i="1"/>
  <c r="J15027" i="1"/>
  <c r="I15027" i="1"/>
  <c r="H15027" i="1"/>
  <c r="G15027" i="1"/>
  <c r="M15026" i="1"/>
  <c r="L15026" i="1"/>
  <c r="K15026" i="1"/>
  <c r="J15026" i="1"/>
  <c r="I15026" i="1"/>
  <c r="H15026" i="1"/>
  <c r="G15026" i="1"/>
  <c r="M15025" i="1"/>
  <c r="L15025" i="1"/>
  <c r="K15025" i="1"/>
  <c r="J15025" i="1"/>
  <c r="I15025" i="1"/>
  <c r="H15025" i="1"/>
  <c r="G15025" i="1"/>
  <c r="M15024" i="1"/>
  <c r="L15024" i="1"/>
  <c r="K15024" i="1"/>
  <c r="J15024" i="1"/>
  <c r="I15024" i="1"/>
  <c r="H15024" i="1"/>
  <c r="G15024" i="1"/>
  <c r="M15023" i="1"/>
  <c r="L15023" i="1"/>
  <c r="K15023" i="1"/>
  <c r="J15023" i="1"/>
  <c r="I15023" i="1"/>
  <c r="H15023" i="1"/>
  <c r="G15023" i="1"/>
  <c r="M15022" i="1"/>
  <c r="L15022" i="1"/>
  <c r="K15022" i="1"/>
  <c r="J15022" i="1"/>
  <c r="I15022" i="1"/>
  <c r="H15022" i="1"/>
  <c r="G15022" i="1"/>
  <c r="M15021" i="1"/>
  <c r="L15021" i="1"/>
  <c r="K15021" i="1"/>
  <c r="J15021" i="1"/>
  <c r="I15021" i="1"/>
  <c r="H15021" i="1"/>
  <c r="G15021" i="1"/>
  <c r="M15020" i="1"/>
  <c r="L15020" i="1"/>
  <c r="K15020" i="1"/>
  <c r="J15020" i="1"/>
  <c r="I15020" i="1"/>
  <c r="H15020" i="1"/>
  <c r="G15020" i="1"/>
  <c r="M15019" i="1"/>
  <c r="L15019" i="1"/>
  <c r="K15019" i="1"/>
  <c r="J15019" i="1"/>
  <c r="I15019" i="1"/>
  <c r="H15019" i="1"/>
  <c r="G15019" i="1"/>
  <c r="M15018" i="1"/>
  <c r="L15018" i="1"/>
  <c r="K15018" i="1"/>
  <c r="J15018" i="1"/>
  <c r="I15018" i="1"/>
  <c r="H15018" i="1"/>
  <c r="G15018" i="1"/>
  <c r="M15017" i="1"/>
  <c r="L15017" i="1"/>
  <c r="K15017" i="1"/>
  <c r="J15017" i="1"/>
  <c r="I15017" i="1"/>
  <c r="H15017" i="1"/>
  <c r="G15017" i="1"/>
  <c r="M15016" i="1"/>
  <c r="L15016" i="1"/>
  <c r="K15016" i="1"/>
  <c r="J15016" i="1"/>
  <c r="I15016" i="1"/>
  <c r="H15016" i="1"/>
  <c r="G15016" i="1"/>
  <c r="M15015" i="1"/>
  <c r="L15015" i="1"/>
  <c r="K15015" i="1"/>
  <c r="J15015" i="1"/>
  <c r="I15015" i="1"/>
  <c r="H15015" i="1"/>
  <c r="G15015" i="1"/>
  <c r="M15014" i="1"/>
  <c r="L15014" i="1"/>
  <c r="K15014" i="1"/>
  <c r="J15014" i="1"/>
  <c r="I15014" i="1"/>
  <c r="H15014" i="1"/>
  <c r="G15014" i="1"/>
  <c r="M15013" i="1"/>
  <c r="L15013" i="1"/>
  <c r="K15013" i="1"/>
  <c r="J15013" i="1"/>
  <c r="I15013" i="1"/>
  <c r="H15013" i="1"/>
  <c r="G15013" i="1"/>
  <c r="M15012" i="1"/>
  <c r="L15012" i="1"/>
  <c r="K15012" i="1"/>
  <c r="J15012" i="1"/>
  <c r="I15012" i="1"/>
  <c r="H15012" i="1"/>
  <c r="G15012" i="1"/>
  <c r="M15011" i="1"/>
  <c r="L15011" i="1"/>
  <c r="K15011" i="1"/>
  <c r="J15011" i="1"/>
  <c r="I15011" i="1"/>
  <c r="H15011" i="1"/>
  <c r="G15011" i="1"/>
  <c r="M15010" i="1"/>
  <c r="L15010" i="1"/>
  <c r="K15010" i="1"/>
  <c r="J15010" i="1"/>
  <c r="I15010" i="1"/>
  <c r="H15010" i="1"/>
  <c r="G15010" i="1"/>
  <c r="M15009" i="1"/>
  <c r="L15009" i="1"/>
  <c r="K15009" i="1"/>
  <c r="J15009" i="1"/>
  <c r="I15009" i="1"/>
  <c r="H15009" i="1"/>
  <c r="G15009" i="1"/>
  <c r="M15008" i="1"/>
  <c r="L15008" i="1"/>
  <c r="K15008" i="1"/>
  <c r="J15008" i="1"/>
  <c r="I15008" i="1"/>
  <c r="H15008" i="1"/>
  <c r="G15008" i="1"/>
  <c r="M15007" i="1"/>
  <c r="L15007" i="1"/>
  <c r="K15007" i="1"/>
  <c r="J15007" i="1"/>
  <c r="I15007" i="1"/>
  <c r="H15007" i="1"/>
  <c r="G15007" i="1"/>
  <c r="M15006" i="1"/>
  <c r="L15006" i="1"/>
  <c r="K15006" i="1"/>
  <c r="J15006" i="1"/>
  <c r="I15006" i="1"/>
  <c r="H15006" i="1"/>
  <c r="G15006" i="1"/>
  <c r="M15005" i="1"/>
  <c r="L15005" i="1"/>
  <c r="K15005" i="1"/>
  <c r="J15005" i="1"/>
  <c r="I15005" i="1"/>
  <c r="H15005" i="1"/>
  <c r="G15005" i="1"/>
  <c r="M15004" i="1"/>
  <c r="L15004" i="1"/>
  <c r="K15004" i="1"/>
  <c r="J15004" i="1"/>
  <c r="I15004" i="1"/>
  <c r="H15004" i="1"/>
  <c r="G15004" i="1"/>
  <c r="M15003" i="1"/>
  <c r="L15003" i="1"/>
  <c r="K15003" i="1"/>
  <c r="J15003" i="1"/>
  <c r="I15003" i="1"/>
  <c r="H15003" i="1"/>
  <c r="G15003" i="1"/>
  <c r="M15002" i="1"/>
  <c r="L15002" i="1"/>
  <c r="K15002" i="1"/>
  <c r="J15002" i="1"/>
  <c r="I15002" i="1"/>
  <c r="H15002" i="1"/>
  <c r="G15002" i="1"/>
  <c r="M15001" i="1"/>
  <c r="L15001" i="1"/>
  <c r="K15001" i="1"/>
  <c r="J15001" i="1"/>
  <c r="I15001" i="1"/>
  <c r="H15001" i="1"/>
  <c r="G15001" i="1"/>
  <c r="M15000" i="1"/>
  <c r="L15000" i="1"/>
  <c r="K15000" i="1"/>
  <c r="J15000" i="1"/>
  <c r="I15000" i="1"/>
  <c r="H15000" i="1"/>
  <c r="G15000" i="1"/>
  <c r="M14999" i="1"/>
  <c r="L14999" i="1"/>
  <c r="K14999" i="1"/>
  <c r="J14999" i="1"/>
  <c r="I14999" i="1"/>
  <c r="H14999" i="1"/>
  <c r="G14999" i="1"/>
  <c r="M14998" i="1"/>
  <c r="L14998" i="1"/>
  <c r="K14998" i="1"/>
  <c r="J14998" i="1"/>
  <c r="I14998" i="1"/>
  <c r="H14998" i="1"/>
  <c r="G14998" i="1"/>
  <c r="M14997" i="1"/>
  <c r="L14997" i="1"/>
  <c r="K14997" i="1"/>
  <c r="J14997" i="1"/>
  <c r="I14997" i="1"/>
  <c r="H14997" i="1"/>
  <c r="G14997" i="1"/>
  <c r="M14996" i="1"/>
  <c r="L14996" i="1"/>
  <c r="K14996" i="1"/>
  <c r="J14996" i="1"/>
  <c r="I14996" i="1"/>
  <c r="H14996" i="1"/>
  <c r="G14996" i="1"/>
  <c r="M14995" i="1"/>
  <c r="L14995" i="1"/>
  <c r="K14995" i="1"/>
  <c r="J14995" i="1"/>
  <c r="I14995" i="1"/>
  <c r="H14995" i="1"/>
  <c r="G14995" i="1"/>
  <c r="M14994" i="1"/>
  <c r="L14994" i="1"/>
  <c r="K14994" i="1"/>
  <c r="J14994" i="1"/>
  <c r="I14994" i="1"/>
  <c r="H14994" i="1"/>
  <c r="G14994" i="1"/>
  <c r="M14993" i="1"/>
  <c r="L14993" i="1"/>
  <c r="K14993" i="1"/>
  <c r="J14993" i="1"/>
  <c r="I14993" i="1"/>
  <c r="H14993" i="1"/>
  <c r="G14993" i="1"/>
  <c r="M14992" i="1"/>
  <c r="L14992" i="1"/>
  <c r="K14992" i="1"/>
  <c r="J14992" i="1"/>
  <c r="I14992" i="1"/>
  <c r="H14992" i="1"/>
  <c r="G14992" i="1"/>
  <c r="M14991" i="1"/>
  <c r="L14991" i="1"/>
  <c r="K14991" i="1"/>
  <c r="J14991" i="1"/>
  <c r="I14991" i="1"/>
  <c r="H14991" i="1"/>
  <c r="G14991" i="1"/>
  <c r="M14990" i="1"/>
  <c r="L14990" i="1"/>
  <c r="K14990" i="1"/>
  <c r="J14990" i="1"/>
  <c r="I14990" i="1"/>
  <c r="H14990" i="1"/>
  <c r="G14990" i="1"/>
  <c r="M14989" i="1"/>
  <c r="L14989" i="1"/>
  <c r="K14989" i="1"/>
  <c r="J14989" i="1"/>
  <c r="I14989" i="1"/>
  <c r="H14989" i="1"/>
  <c r="G14989" i="1"/>
  <c r="M14988" i="1"/>
  <c r="L14988" i="1"/>
  <c r="K14988" i="1"/>
  <c r="J14988" i="1"/>
  <c r="I14988" i="1"/>
  <c r="H14988" i="1"/>
  <c r="G14988" i="1"/>
  <c r="M14987" i="1"/>
  <c r="L14987" i="1"/>
  <c r="K14987" i="1"/>
  <c r="J14987" i="1"/>
  <c r="I14987" i="1"/>
  <c r="H14987" i="1"/>
  <c r="G14987" i="1"/>
  <c r="M14986" i="1"/>
  <c r="L14986" i="1"/>
  <c r="K14986" i="1"/>
  <c r="J14986" i="1"/>
  <c r="I14986" i="1"/>
  <c r="H14986" i="1"/>
  <c r="G14986" i="1"/>
  <c r="M14985" i="1"/>
  <c r="L14985" i="1"/>
  <c r="K14985" i="1"/>
  <c r="J14985" i="1"/>
  <c r="I14985" i="1"/>
  <c r="H14985" i="1"/>
  <c r="G14985" i="1"/>
  <c r="M14984" i="1"/>
  <c r="L14984" i="1"/>
  <c r="K14984" i="1"/>
  <c r="J14984" i="1"/>
  <c r="I14984" i="1"/>
  <c r="H14984" i="1"/>
  <c r="G14984" i="1"/>
  <c r="M14983" i="1"/>
  <c r="L14983" i="1"/>
  <c r="K14983" i="1"/>
  <c r="J14983" i="1"/>
  <c r="I14983" i="1"/>
  <c r="H14983" i="1"/>
  <c r="G14983" i="1"/>
  <c r="M14982" i="1"/>
  <c r="L14982" i="1"/>
  <c r="K14982" i="1"/>
  <c r="J14982" i="1"/>
  <c r="I14982" i="1"/>
  <c r="H14982" i="1"/>
  <c r="G14982" i="1"/>
  <c r="M14981" i="1"/>
  <c r="L14981" i="1"/>
  <c r="K14981" i="1"/>
  <c r="J14981" i="1"/>
  <c r="I14981" i="1"/>
  <c r="H14981" i="1"/>
  <c r="G14981" i="1"/>
  <c r="M14980" i="1"/>
  <c r="L14980" i="1"/>
  <c r="K14980" i="1"/>
  <c r="J14980" i="1"/>
  <c r="I14980" i="1"/>
  <c r="H14980" i="1"/>
  <c r="G14980" i="1"/>
  <c r="M14979" i="1"/>
  <c r="L14979" i="1"/>
  <c r="K14979" i="1"/>
  <c r="J14979" i="1"/>
  <c r="I14979" i="1"/>
  <c r="H14979" i="1"/>
  <c r="G14979" i="1"/>
  <c r="M14978" i="1"/>
  <c r="L14978" i="1"/>
  <c r="K14978" i="1"/>
  <c r="J14978" i="1"/>
  <c r="I14978" i="1"/>
  <c r="H14978" i="1"/>
  <c r="G14978" i="1"/>
  <c r="M14977" i="1"/>
  <c r="L14977" i="1"/>
  <c r="K14977" i="1"/>
  <c r="J14977" i="1"/>
  <c r="I14977" i="1"/>
  <c r="H14977" i="1"/>
  <c r="G14977" i="1"/>
  <c r="M14976" i="1"/>
  <c r="L14976" i="1"/>
  <c r="K14976" i="1"/>
  <c r="J14976" i="1"/>
  <c r="I14976" i="1"/>
  <c r="H14976" i="1"/>
  <c r="G14976" i="1"/>
  <c r="M14975" i="1"/>
  <c r="L14975" i="1"/>
  <c r="K14975" i="1"/>
  <c r="J14975" i="1"/>
  <c r="I14975" i="1"/>
  <c r="H14975" i="1"/>
  <c r="G14975" i="1"/>
  <c r="M14974" i="1"/>
  <c r="L14974" i="1"/>
  <c r="K14974" i="1"/>
  <c r="J14974" i="1"/>
  <c r="I14974" i="1"/>
  <c r="H14974" i="1"/>
  <c r="G14974" i="1"/>
  <c r="M14973" i="1"/>
  <c r="L14973" i="1"/>
  <c r="K14973" i="1"/>
  <c r="J14973" i="1"/>
  <c r="I14973" i="1"/>
  <c r="H14973" i="1"/>
  <c r="G14973" i="1"/>
  <c r="M14972" i="1"/>
  <c r="L14972" i="1"/>
  <c r="K14972" i="1"/>
  <c r="J14972" i="1"/>
  <c r="I14972" i="1"/>
  <c r="H14972" i="1"/>
  <c r="G14972" i="1"/>
  <c r="M14971" i="1"/>
  <c r="L14971" i="1"/>
  <c r="K14971" i="1"/>
  <c r="J14971" i="1"/>
  <c r="I14971" i="1"/>
  <c r="H14971" i="1"/>
  <c r="G14971" i="1"/>
  <c r="M14970" i="1"/>
  <c r="L14970" i="1"/>
  <c r="K14970" i="1"/>
  <c r="J14970" i="1"/>
  <c r="I14970" i="1"/>
  <c r="H14970" i="1"/>
  <c r="G14970" i="1"/>
  <c r="M14969" i="1"/>
  <c r="L14969" i="1"/>
  <c r="K14969" i="1"/>
  <c r="J14969" i="1"/>
  <c r="I14969" i="1"/>
  <c r="H14969" i="1"/>
  <c r="G14969" i="1"/>
  <c r="M14968" i="1"/>
  <c r="L14968" i="1"/>
  <c r="K14968" i="1"/>
  <c r="J14968" i="1"/>
  <c r="I14968" i="1"/>
  <c r="H14968" i="1"/>
  <c r="G14968" i="1"/>
  <c r="M14967" i="1"/>
  <c r="L14967" i="1"/>
  <c r="K14967" i="1"/>
  <c r="J14967" i="1"/>
  <c r="I14967" i="1"/>
  <c r="H14967" i="1"/>
  <c r="G14967" i="1"/>
  <c r="M14966" i="1"/>
  <c r="L14966" i="1"/>
  <c r="K14966" i="1"/>
  <c r="J14966" i="1"/>
  <c r="I14966" i="1"/>
  <c r="H14966" i="1"/>
  <c r="G14966" i="1"/>
  <c r="M14965" i="1"/>
  <c r="L14965" i="1"/>
  <c r="K14965" i="1"/>
  <c r="J14965" i="1"/>
  <c r="I14965" i="1"/>
  <c r="H14965" i="1"/>
  <c r="G14965" i="1"/>
  <c r="M14964" i="1"/>
  <c r="L14964" i="1"/>
  <c r="K14964" i="1"/>
  <c r="J14964" i="1"/>
  <c r="I14964" i="1"/>
  <c r="H14964" i="1"/>
  <c r="G14964" i="1"/>
  <c r="M14963" i="1"/>
  <c r="L14963" i="1"/>
  <c r="K14963" i="1"/>
  <c r="J14963" i="1"/>
  <c r="I14963" i="1"/>
  <c r="H14963" i="1"/>
  <c r="G14963" i="1"/>
  <c r="M14962" i="1"/>
  <c r="L14962" i="1"/>
  <c r="K14962" i="1"/>
  <c r="J14962" i="1"/>
  <c r="I14962" i="1"/>
  <c r="H14962" i="1"/>
  <c r="G14962" i="1"/>
  <c r="M14961" i="1"/>
  <c r="L14961" i="1"/>
  <c r="K14961" i="1"/>
  <c r="J14961" i="1"/>
  <c r="I14961" i="1"/>
  <c r="H14961" i="1"/>
  <c r="G14961" i="1"/>
  <c r="M14960" i="1"/>
  <c r="L14960" i="1"/>
  <c r="K14960" i="1"/>
  <c r="J14960" i="1"/>
  <c r="I14960" i="1"/>
  <c r="H14960" i="1"/>
  <c r="G14960" i="1"/>
  <c r="M14959" i="1"/>
  <c r="L14959" i="1"/>
  <c r="K14959" i="1"/>
  <c r="J14959" i="1"/>
  <c r="I14959" i="1"/>
  <c r="H14959" i="1"/>
  <c r="G14959" i="1"/>
  <c r="M14958" i="1"/>
  <c r="L14958" i="1"/>
  <c r="K14958" i="1"/>
  <c r="J14958" i="1"/>
  <c r="I14958" i="1"/>
  <c r="H14958" i="1"/>
  <c r="G14958" i="1"/>
  <c r="M14957" i="1"/>
  <c r="L14957" i="1"/>
  <c r="K14957" i="1"/>
  <c r="J14957" i="1"/>
  <c r="I14957" i="1"/>
  <c r="H14957" i="1"/>
  <c r="G14957" i="1"/>
  <c r="M14956" i="1"/>
  <c r="L14956" i="1"/>
  <c r="K14956" i="1"/>
  <c r="J14956" i="1"/>
  <c r="I14956" i="1"/>
  <c r="H14956" i="1"/>
  <c r="G14956" i="1"/>
  <c r="M14955" i="1"/>
  <c r="L14955" i="1"/>
  <c r="K14955" i="1"/>
  <c r="J14955" i="1"/>
  <c r="I14955" i="1"/>
  <c r="H14955" i="1"/>
  <c r="G14955" i="1"/>
  <c r="M14954" i="1"/>
  <c r="L14954" i="1"/>
  <c r="K14954" i="1"/>
  <c r="J14954" i="1"/>
  <c r="I14954" i="1"/>
  <c r="H14954" i="1"/>
  <c r="G14954" i="1"/>
  <c r="M14953" i="1"/>
  <c r="L14953" i="1"/>
  <c r="K14953" i="1"/>
  <c r="J14953" i="1"/>
  <c r="I14953" i="1"/>
  <c r="H14953" i="1"/>
  <c r="G14953" i="1"/>
  <c r="M14952" i="1"/>
  <c r="L14952" i="1"/>
  <c r="K14952" i="1"/>
  <c r="J14952" i="1"/>
  <c r="I14952" i="1"/>
  <c r="H14952" i="1"/>
  <c r="G14952" i="1"/>
  <c r="M14951" i="1"/>
  <c r="L14951" i="1"/>
  <c r="K14951" i="1"/>
  <c r="J14951" i="1"/>
  <c r="I14951" i="1"/>
  <c r="H14951" i="1"/>
  <c r="G14951" i="1"/>
  <c r="M14950" i="1"/>
  <c r="L14950" i="1"/>
  <c r="K14950" i="1"/>
  <c r="J14950" i="1"/>
  <c r="I14950" i="1"/>
  <c r="H14950" i="1"/>
  <c r="G14950" i="1"/>
  <c r="M14949" i="1"/>
  <c r="L14949" i="1"/>
  <c r="K14949" i="1"/>
  <c r="J14949" i="1"/>
  <c r="I14949" i="1"/>
  <c r="H14949" i="1"/>
  <c r="G14949" i="1"/>
  <c r="M14948" i="1"/>
  <c r="L14948" i="1"/>
  <c r="K14948" i="1"/>
  <c r="J14948" i="1"/>
  <c r="I14948" i="1"/>
  <c r="H14948" i="1"/>
  <c r="G14948" i="1"/>
  <c r="M14947" i="1"/>
  <c r="L14947" i="1"/>
  <c r="K14947" i="1"/>
  <c r="J14947" i="1"/>
  <c r="I14947" i="1"/>
  <c r="H14947" i="1"/>
  <c r="G14947" i="1"/>
  <c r="M14946" i="1"/>
  <c r="L14946" i="1"/>
  <c r="K14946" i="1"/>
  <c r="J14946" i="1"/>
  <c r="I14946" i="1"/>
  <c r="H14946" i="1"/>
  <c r="G14946" i="1"/>
  <c r="M14945" i="1"/>
  <c r="L14945" i="1"/>
  <c r="K14945" i="1"/>
  <c r="J14945" i="1"/>
  <c r="I14945" i="1"/>
  <c r="H14945" i="1"/>
  <c r="G14945" i="1"/>
  <c r="M14944" i="1"/>
  <c r="L14944" i="1"/>
  <c r="K14944" i="1"/>
  <c r="J14944" i="1"/>
  <c r="I14944" i="1"/>
  <c r="H14944" i="1"/>
  <c r="G14944" i="1"/>
  <c r="M14943" i="1"/>
  <c r="L14943" i="1"/>
  <c r="K14943" i="1"/>
  <c r="J14943" i="1"/>
  <c r="I14943" i="1"/>
  <c r="H14943" i="1"/>
  <c r="G14943" i="1"/>
  <c r="M14942" i="1"/>
  <c r="L14942" i="1"/>
  <c r="K14942" i="1"/>
  <c r="J14942" i="1"/>
  <c r="I14942" i="1"/>
  <c r="H14942" i="1"/>
  <c r="G14942" i="1"/>
  <c r="M14941" i="1"/>
  <c r="L14941" i="1"/>
  <c r="K14941" i="1"/>
  <c r="J14941" i="1"/>
  <c r="I14941" i="1"/>
  <c r="H14941" i="1"/>
  <c r="G14941" i="1"/>
  <c r="M14940" i="1"/>
  <c r="L14940" i="1"/>
  <c r="K14940" i="1"/>
  <c r="J14940" i="1"/>
  <c r="I14940" i="1"/>
  <c r="H14940" i="1"/>
  <c r="G14940" i="1"/>
  <c r="M14939" i="1"/>
  <c r="L14939" i="1"/>
  <c r="K14939" i="1"/>
  <c r="J14939" i="1"/>
  <c r="I14939" i="1"/>
  <c r="H14939" i="1"/>
  <c r="G14939" i="1"/>
  <c r="M14938" i="1"/>
  <c r="L14938" i="1"/>
  <c r="K14938" i="1"/>
  <c r="J14938" i="1"/>
  <c r="I14938" i="1"/>
  <c r="H14938" i="1"/>
  <c r="G14938" i="1"/>
  <c r="M14937" i="1"/>
  <c r="L14937" i="1"/>
  <c r="K14937" i="1"/>
  <c r="J14937" i="1"/>
  <c r="I14937" i="1"/>
  <c r="H14937" i="1"/>
  <c r="G14937" i="1"/>
  <c r="M14936" i="1"/>
  <c r="L14936" i="1"/>
  <c r="K14936" i="1"/>
  <c r="J14936" i="1"/>
  <c r="I14936" i="1"/>
  <c r="H14936" i="1"/>
  <c r="G14936" i="1"/>
  <c r="M14935" i="1"/>
  <c r="L14935" i="1"/>
  <c r="K14935" i="1"/>
  <c r="J14935" i="1"/>
  <c r="I14935" i="1"/>
  <c r="H14935" i="1"/>
  <c r="G14935" i="1"/>
  <c r="M14934" i="1"/>
  <c r="L14934" i="1"/>
  <c r="K14934" i="1"/>
  <c r="J14934" i="1"/>
  <c r="I14934" i="1"/>
  <c r="H14934" i="1"/>
  <c r="G14934" i="1"/>
  <c r="M14933" i="1"/>
  <c r="L14933" i="1"/>
  <c r="K14933" i="1"/>
  <c r="J14933" i="1"/>
  <c r="I14933" i="1"/>
  <c r="H14933" i="1"/>
  <c r="G14933" i="1"/>
  <c r="M14932" i="1"/>
  <c r="L14932" i="1"/>
  <c r="K14932" i="1"/>
  <c r="J14932" i="1"/>
  <c r="I14932" i="1"/>
  <c r="H14932" i="1"/>
  <c r="G14932" i="1"/>
  <c r="M14931" i="1"/>
  <c r="L14931" i="1"/>
  <c r="K14931" i="1"/>
  <c r="J14931" i="1"/>
  <c r="I14931" i="1"/>
  <c r="H14931" i="1"/>
  <c r="G14931" i="1"/>
  <c r="M14930" i="1"/>
  <c r="L14930" i="1"/>
  <c r="K14930" i="1"/>
  <c r="J14930" i="1"/>
  <c r="I14930" i="1"/>
  <c r="H14930" i="1"/>
  <c r="G14930" i="1"/>
  <c r="M14929" i="1"/>
  <c r="L14929" i="1"/>
  <c r="K14929" i="1"/>
  <c r="J14929" i="1"/>
  <c r="I14929" i="1"/>
  <c r="H14929" i="1"/>
  <c r="G14929" i="1"/>
  <c r="M14928" i="1"/>
  <c r="L14928" i="1"/>
  <c r="K14928" i="1"/>
  <c r="J14928" i="1"/>
  <c r="I14928" i="1"/>
  <c r="H14928" i="1"/>
  <c r="G14928" i="1"/>
  <c r="M14927" i="1"/>
  <c r="L14927" i="1"/>
  <c r="K14927" i="1"/>
  <c r="J14927" i="1"/>
  <c r="I14927" i="1"/>
  <c r="H14927" i="1"/>
  <c r="G14927" i="1"/>
  <c r="M14926" i="1"/>
  <c r="L14926" i="1"/>
  <c r="K14926" i="1"/>
  <c r="J14926" i="1"/>
  <c r="I14926" i="1"/>
  <c r="H14926" i="1"/>
  <c r="G14926" i="1"/>
  <c r="M14925" i="1"/>
  <c r="L14925" i="1"/>
  <c r="K14925" i="1"/>
  <c r="J14925" i="1"/>
  <c r="I14925" i="1"/>
  <c r="H14925" i="1"/>
  <c r="G14925" i="1"/>
  <c r="M14924" i="1"/>
  <c r="L14924" i="1"/>
  <c r="K14924" i="1"/>
  <c r="J14924" i="1"/>
  <c r="I14924" i="1"/>
  <c r="H14924" i="1"/>
  <c r="G14924" i="1"/>
  <c r="M14923" i="1"/>
  <c r="L14923" i="1"/>
  <c r="K14923" i="1"/>
  <c r="J14923" i="1"/>
  <c r="I14923" i="1"/>
  <c r="H14923" i="1"/>
  <c r="G14923" i="1"/>
  <c r="M14922" i="1"/>
  <c r="L14922" i="1"/>
  <c r="K14922" i="1"/>
  <c r="J14922" i="1"/>
  <c r="I14922" i="1"/>
  <c r="H14922" i="1"/>
  <c r="G14922" i="1"/>
  <c r="M14921" i="1"/>
  <c r="L14921" i="1"/>
  <c r="K14921" i="1"/>
  <c r="J14921" i="1"/>
  <c r="I14921" i="1"/>
  <c r="H14921" i="1"/>
  <c r="G14921" i="1"/>
  <c r="M14920" i="1"/>
  <c r="L14920" i="1"/>
  <c r="K14920" i="1"/>
  <c r="J14920" i="1"/>
  <c r="I14920" i="1"/>
  <c r="H14920" i="1"/>
  <c r="G14920" i="1"/>
  <c r="M14919" i="1"/>
  <c r="L14919" i="1"/>
  <c r="K14919" i="1"/>
  <c r="J14919" i="1"/>
  <c r="I14919" i="1"/>
  <c r="H14919" i="1"/>
  <c r="G14919" i="1"/>
  <c r="M14918" i="1"/>
  <c r="L14918" i="1"/>
  <c r="K14918" i="1"/>
  <c r="J14918" i="1"/>
  <c r="I14918" i="1"/>
  <c r="H14918" i="1"/>
  <c r="G14918" i="1"/>
  <c r="M14917" i="1"/>
  <c r="L14917" i="1"/>
  <c r="K14917" i="1"/>
  <c r="J14917" i="1"/>
  <c r="I14917" i="1"/>
  <c r="H14917" i="1"/>
  <c r="G14917" i="1"/>
  <c r="M14916" i="1"/>
  <c r="L14916" i="1"/>
  <c r="K14916" i="1"/>
  <c r="J14916" i="1"/>
  <c r="I14916" i="1"/>
  <c r="H14916" i="1"/>
  <c r="G14916" i="1"/>
  <c r="M14915" i="1"/>
  <c r="L14915" i="1"/>
  <c r="K14915" i="1"/>
  <c r="J14915" i="1"/>
  <c r="I14915" i="1"/>
  <c r="H14915" i="1"/>
  <c r="G14915" i="1"/>
  <c r="M14914" i="1"/>
  <c r="L14914" i="1"/>
  <c r="K14914" i="1"/>
  <c r="J14914" i="1"/>
  <c r="I14914" i="1"/>
  <c r="H14914" i="1"/>
  <c r="G14914" i="1"/>
  <c r="M14913" i="1"/>
  <c r="L14913" i="1"/>
  <c r="K14913" i="1"/>
  <c r="J14913" i="1"/>
  <c r="I14913" i="1"/>
  <c r="H14913" i="1"/>
  <c r="G14913" i="1"/>
  <c r="M14912" i="1"/>
  <c r="L14912" i="1"/>
  <c r="K14912" i="1"/>
  <c r="J14912" i="1"/>
  <c r="I14912" i="1"/>
  <c r="H14912" i="1"/>
  <c r="G14912" i="1"/>
  <c r="M14911" i="1"/>
  <c r="L14911" i="1"/>
  <c r="K14911" i="1"/>
  <c r="J14911" i="1"/>
  <c r="I14911" i="1"/>
  <c r="H14911" i="1"/>
  <c r="G14911" i="1"/>
  <c r="M14910" i="1"/>
  <c r="L14910" i="1"/>
  <c r="K14910" i="1"/>
  <c r="J14910" i="1"/>
  <c r="I14910" i="1"/>
  <c r="H14910" i="1"/>
  <c r="G14910" i="1"/>
  <c r="M14909" i="1"/>
  <c r="L14909" i="1"/>
  <c r="K14909" i="1"/>
  <c r="J14909" i="1"/>
  <c r="I14909" i="1"/>
  <c r="H14909" i="1"/>
  <c r="G14909" i="1"/>
  <c r="M14908" i="1"/>
  <c r="L14908" i="1"/>
  <c r="K14908" i="1"/>
  <c r="J14908" i="1"/>
  <c r="I14908" i="1"/>
  <c r="H14908" i="1"/>
  <c r="G14908" i="1"/>
  <c r="M14907" i="1"/>
  <c r="L14907" i="1"/>
  <c r="K14907" i="1"/>
  <c r="J14907" i="1"/>
  <c r="I14907" i="1"/>
  <c r="H14907" i="1"/>
  <c r="G14907" i="1"/>
  <c r="M14906" i="1"/>
  <c r="L14906" i="1"/>
  <c r="K14906" i="1"/>
  <c r="J14906" i="1"/>
  <c r="I14906" i="1"/>
  <c r="H14906" i="1"/>
  <c r="G14906" i="1"/>
  <c r="M14905" i="1"/>
  <c r="L14905" i="1"/>
  <c r="K14905" i="1"/>
  <c r="J14905" i="1"/>
  <c r="I14905" i="1"/>
  <c r="H14905" i="1"/>
  <c r="G14905" i="1"/>
  <c r="M14904" i="1"/>
  <c r="L14904" i="1"/>
  <c r="K14904" i="1"/>
  <c r="J14904" i="1"/>
  <c r="I14904" i="1"/>
  <c r="H14904" i="1"/>
  <c r="G14904" i="1"/>
  <c r="M14903" i="1"/>
  <c r="L14903" i="1"/>
  <c r="K14903" i="1"/>
  <c r="J14903" i="1"/>
  <c r="I14903" i="1"/>
  <c r="H14903" i="1"/>
  <c r="G14903" i="1"/>
  <c r="M14902" i="1"/>
  <c r="L14902" i="1"/>
  <c r="K14902" i="1"/>
  <c r="J14902" i="1"/>
  <c r="I14902" i="1"/>
  <c r="H14902" i="1"/>
  <c r="G14902" i="1"/>
  <c r="M14901" i="1"/>
  <c r="L14901" i="1"/>
  <c r="K14901" i="1"/>
  <c r="J14901" i="1"/>
  <c r="I14901" i="1"/>
  <c r="H14901" i="1"/>
  <c r="G14901" i="1"/>
  <c r="M14900" i="1"/>
  <c r="L14900" i="1"/>
  <c r="K14900" i="1"/>
  <c r="J14900" i="1"/>
  <c r="I14900" i="1"/>
  <c r="H14900" i="1"/>
  <c r="G14900" i="1"/>
  <c r="M14899" i="1"/>
  <c r="L14899" i="1"/>
  <c r="K14899" i="1"/>
  <c r="J14899" i="1"/>
  <c r="I14899" i="1"/>
  <c r="H14899" i="1"/>
  <c r="G14899" i="1"/>
  <c r="M14898" i="1"/>
  <c r="L14898" i="1"/>
  <c r="K14898" i="1"/>
  <c r="J14898" i="1"/>
  <c r="I14898" i="1"/>
  <c r="H14898" i="1"/>
  <c r="G14898" i="1"/>
  <c r="M14897" i="1"/>
  <c r="L14897" i="1"/>
  <c r="K14897" i="1"/>
  <c r="J14897" i="1"/>
  <c r="I14897" i="1"/>
  <c r="H14897" i="1"/>
  <c r="G14897" i="1"/>
  <c r="M14896" i="1"/>
  <c r="L14896" i="1"/>
  <c r="K14896" i="1"/>
  <c r="J14896" i="1"/>
  <c r="I14896" i="1"/>
  <c r="H14896" i="1"/>
  <c r="G14896" i="1"/>
  <c r="M14895" i="1"/>
  <c r="L14895" i="1"/>
  <c r="K14895" i="1"/>
  <c r="J14895" i="1"/>
  <c r="I14895" i="1"/>
  <c r="H14895" i="1"/>
  <c r="G14895" i="1"/>
  <c r="M14894" i="1"/>
  <c r="L14894" i="1"/>
  <c r="K14894" i="1"/>
  <c r="J14894" i="1"/>
  <c r="I14894" i="1"/>
  <c r="H14894" i="1"/>
  <c r="G14894" i="1"/>
  <c r="M14893" i="1"/>
  <c r="L14893" i="1"/>
  <c r="K14893" i="1"/>
  <c r="J14893" i="1"/>
  <c r="I14893" i="1"/>
  <c r="H14893" i="1"/>
  <c r="G14893" i="1"/>
  <c r="M14892" i="1"/>
  <c r="L14892" i="1"/>
  <c r="K14892" i="1"/>
  <c r="J14892" i="1"/>
  <c r="I14892" i="1"/>
  <c r="H14892" i="1"/>
  <c r="G14892" i="1"/>
  <c r="M14891" i="1"/>
  <c r="L14891" i="1"/>
  <c r="K14891" i="1"/>
  <c r="J14891" i="1"/>
  <c r="I14891" i="1"/>
  <c r="H14891" i="1"/>
  <c r="G14891" i="1"/>
  <c r="M14890" i="1"/>
  <c r="L14890" i="1"/>
  <c r="K14890" i="1"/>
  <c r="J14890" i="1"/>
  <c r="I14890" i="1"/>
  <c r="H14890" i="1"/>
  <c r="G14890" i="1"/>
  <c r="M14889" i="1"/>
  <c r="L14889" i="1"/>
  <c r="K14889" i="1"/>
  <c r="J14889" i="1"/>
  <c r="I14889" i="1"/>
  <c r="H14889" i="1"/>
  <c r="G14889" i="1"/>
  <c r="M14888" i="1"/>
  <c r="L14888" i="1"/>
  <c r="K14888" i="1"/>
  <c r="J14888" i="1"/>
  <c r="I14888" i="1"/>
  <c r="H14888" i="1"/>
  <c r="G14888" i="1"/>
  <c r="M14887" i="1"/>
  <c r="L14887" i="1"/>
  <c r="K14887" i="1"/>
  <c r="J14887" i="1"/>
  <c r="I14887" i="1"/>
  <c r="H14887" i="1"/>
  <c r="G14887" i="1"/>
  <c r="M14886" i="1"/>
  <c r="L14886" i="1"/>
  <c r="K14886" i="1"/>
  <c r="J14886" i="1"/>
  <c r="I14886" i="1"/>
  <c r="H14886" i="1"/>
  <c r="G14886" i="1"/>
  <c r="M14885" i="1"/>
  <c r="L14885" i="1"/>
  <c r="K14885" i="1"/>
  <c r="J14885" i="1"/>
  <c r="I14885" i="1"/>
  <c r="H14885" i="1"/>
  <c r="G14885" i="1"/>
  <c r="M14884" i="1"/>
  <c r="L14884" i="1"/>
  <c r="K14884" i="1"/>
  <c r="J14884" i="1"/>
  <c r="I14884" i="1"/>
  <c r="H14884" i="1"/>
  <c r="G14884" i="1"/>
  <c r="M14883" i="1"/>
  <c r="L14883" i="1"/>
  <c r="K14883" i="1"/>
  <c r="J14883" i="1"/>
  <c r="I14883" i="1"/>
  <c r="H14883" i="1"/>
  <c r="G14883" i="1"/>
  <c r="M14882" i="1"/>
  <c r="L14882" i="1"/>
  <c r="K14882" i="1"/>
  <c r="J14882" i="1"/>
  <c r="I14882" i="1"/>
  <c r="H14882" i="1"/>
  <c r="G14882" i="1"/>
  <c r="M14881" i="1"/>
  <c r="L14881" i="1"/>
  <c r="K14881" i="1"/>
  <c r="J14881" i="1"/>
  <c r="I14881" i="1"/>
  <c r="H14881" i="1"/>
  <c r="G14881" i="1"/>
  <c r="M14880" i="1"/>
  <c r="L14880" i="1"/>
  <c r="K14880" i="1"/>
  <c r="J14880" i="1"/>
  <c r="I14880" i="1"/>
  <c r="H14880" i="1"/>
  <c r="G14880" i="1"/>
  <c r="M14879" i="1"/>
  <c r="L14879" i="1"/>
  <c r="K14879" i="1"/>
  <c r="J14879" i="1"/>
  <c r="I14879" i="1"/>
  <c r="H14879" i="1"/>
  <c r="G14879" i="1"/>
  <c r="M14878" i="1"/>
  <c r="L14878" i="1"/>
  <c r="K14878" i="1"/>
  <c r="J14878" i="1"/>
  <c r="I14878" i="1"/>
  <c r="H14878" i="1"/>
  <c r="G14878" i="1"/>
  <c r="M14877" i="1"/>
  <c r="L14877" i="1"/>
  <c r="K14877" i="1"/>
  <c r="J14877" i="1"/>
  <c r="I14877" i="1"/>
  <c r="H14877" i="1"/>
  <c r="G14877" i="1"/>
  <c r="M14876" i="1"/>
  <c r="L14876" i="1"/>
  <c r="K14876" i="1"/>
  <c r="J14876" i="1"/>
  <c r="I14876" i="1"/>
  <c r="H14876" i="1"/>
  <c r="G14876" i="1"/>
  <c r="M14875" i="1"/>
  <c r="L14875" i="1"/>
  <c r="K14875" i="1"/>
  <c r="J14875" i="1"/>
  <c r="I14875" i="1"/>
  <c r="H14875" i="1"/>
  <c r="G14875" i="1"/>
  <c r="M14874" i="1"/>
  <c r="L14874" i="1"/>
  <c r="K14874" i="1"/>
  <c r="J14874" i="1"/>
  <c r="I14874" i="1"/>
  <c r="H14874" i="1"/>
  <c r="G14874" i="1"/>
  <c r="M14873" i="1"/>
  <c r="L14873" i="1"/>
  <c r="K14873" i="1"/>
  <c r="J14873" i="1"/>
  <c r="I14873" i="1"/>
  <c r="H14873" i="1"/>
  <c r="G14873" i="1"/>
  <c r="M14872" i="1"/>
  <c r="L14872" i="1"/>
  <c r="K14872" i="1"/>
  <c r="J14872" i="1"/>
  <c r="I14872" i="1"/>
  <c r="H14872" i="1"/>
  <c r="G14872" i="1"/>
  <c r="M14871" i="1"/>
  <c r="L14871" i="1"/>
  <c r="K14871" i="1"/>
  <c r="J14871" i="1"/>
  <c r="I14871" i="1"/>
  <c r="H14871" i="1"/>
  <c r="G14871" i="1"/>
  <c r="M14870" i="1"/>
  <c r="L14870" i="1"/>
  <c r="K14870" i="1"/>
  <c r="J14870" i="1"/>
  <c r="I14870" i="1"/>
  <c r="H14870" i="1"/>
  <c r="G14870" i="1"/>
  <c r="M14869" i="1"/>
  <c r="L14869" i="1"/>
  <c r="K14869" i="1"/>
  <c r="J14869" i="1"/>
  <c r="I14869" i="1"/>
  <c r="H14869" i="1"/>
  <c r="G14869" i="1"/>
  <c r="M14868" i="1"/>
  <c r="L14868" i="1"/>
  <c r="K14868" i="1"/>
  <c r="J14868" i="1"/>
  <c r="I14868" i="1"/>
  <c r="H14868" i="1"/>
  <c r="G14868" i="1"/>
  <c r="M14867" i="1"/>
  <c r="L14867" i="1"/>
  <c r="K14867" i="1"/>
  <c r="J14867" i="1"/>
  <c r="I14867" i="1"/>
  <c r="H14867" i="1"/>
  <c r="G14867" i="1"/>
  <c r="M14866" i="1"/>
  <c r="L14866" i="1"/>
  <c r="K14866" i="1"/>
  <c r="J14866" i="1"/>
  <c r="I14866" i="1"/>
  <c r="H14866" i="1"/>
  <c r="G14866" i="1"/>
  <c r="M14865" i="1"/>
  <c r="L14865" i="1"/>
  <c r="K14865" i="1"/>
  <c r="J14865" i="1"/>
  <c r="I14865" i="1"/>
  <c r="H14865" i="1"/>
  <c r="G14865" i="1"/>
  <c r="M14864" i="1"/>
  <c r="L14864" i="1"/>
  <c r="K14864" i="1"/>
  <c r="J14864" i="1"/>
  <c r="I14864" i="1"/>
  <c r="H14864" i="1"/>
  <c r="G14864" i="1"/>
  <c r="M14863" i="1"/>
  <c r="L14863" i="1"/>
  <c r="K14863" i="1"/>
  <c r="J14863" i="1"/>
  <c r="I14863" i="1"/>
  <c r="H14863" i="1"/>
  <c r="G14863" i="1"/>
  <c r="M14862" i="1"/>
  <c r="L14862" i="1"/>
  <c r="K14862" i="1"/>
  <c r="J14862" i="1"/>
  <c r="I14862" i="1"/>
  <c r="H14862" i="1"/>
  <c r="G14862" i="1"/>
  <c r="M14861" i="1"/>
  <c r="L14861" i="1"/>
  <c r="K14861" i="1"/>
  <c r="J14861" i="1"/>
  <c r="I14861" i="1"/>
  <c r="H14861" i="1"/>
  <c r="G14861" i="1"/>
  <c r="M14860" i="1"/>
  <c r="L14860" i="1"/>
  <c r="K14860" i="1"/>
  <c r="J14860" i="1"/>
  <c r="I14860" i="1"/>
  <c r="H14860" i="1"/>
  <c r="G14860" i="1"/>
  <c r="M14859" i="1"/>
  <c r="L14859" i="1"/>
  <c r="K14859" i="1"/>
  <c r="J14859" i="1"/>
  <c r="I14859" i="1"/>
  <c r="H14859" i="1"/>
  <c r="G14859" i="1"/>
  <c r="M14858" i="1"/>
  <c r="L14858" i="1"/>
  <c r="K14858" i="1"/>
  <c r="J14858" i="1"/>
  <c r="I14858" i="1"/>
  <c r="H14858" i="1"/>
  <c r="G14858" i="1"/>
  <c r="M14857" i="1"/>
  <c r="L14857" i="1"/>
  <c r="K14857" i="1"/>
  <c r="J14857" i="1"/>
  <c r="I14857" i="1"/>
  <c r="H14857" i="1"/>
  <c r="G14857" i="1"/>
  <c r="M14856" i="1"/>
  <c r="L14856" i="1"/>
  <c r="K14856" i="1"/>
  <c r="J14856" i="1"/>
  <c r="I14856" i="1"/>
  <c r="H14856" i="1"/>
  <c r="G14856" i="1"/>
  <c r="M14855" i="1"/>
  <c r="L14855" i="1"/>
  <c r="K14855" i="1"/>
  <c r="J14855" i="1"/>
  <c r="I14855" i="1"/>
  <c r="H14855" i="1"/>
  <c r="G14855" i="1"/>
  <c r="M14854" i="1"/>
  <c r="L14854" i="1"/>
  <c r="K14854" i="1"/>
  <c r="J14854" i="1"/>
  <c r="I14854" i="1"/>
  <c r="H14854" i="1"/>
  <c r="G14854" i="1"/>
  <c r="M14853" i="1"/>
  <c r="L14853" i="1"/>
  <c r="K14853" i="1"/>
  <c r="J14853" i="1"/>
  <c r="I14853" i="1"/>
  <c r="H14853" i="1"/>
  <c r="G14853" i="1"/>
  <c r="M14852" i="1"/>
  <c r="L14852" i="1"/>
  <c r="K14852" i="1"/>
  <c r="J14852" i="1"/>
  <c r="I14852" i="1"/>
  <c r="H14852" i="1"/>
  <c r="G14852" i="1"/>
  <c r="M14851" i="1"/>
  <c r="L14851" i="1"/>
  <c r="K14851" i="1"/>
  <c r="J14851" i="1"/>
  <c r="I14851" i="1"/>
  <c r="H14851" i="1"/>
  <c r="G14851" i="1"/>
  <c r="M14850" i="1"/>
  <c r="L14850" i="1"/>
  <c r="K14850" i="1"/>
  <c r="J14850" i="1"/>
  <c r="I14850" i="1"/>
  <c r="H14850" i="1"/>
  <c r="G14850" i="1"/>
  <c r="M14849" i="1"/>
  <c r="L14849" i="1"/>
  <c r="K14849" i="1"/>
  <c r="J14849" i="1"/>
  <c r="I14849" i="1"/>
  <c r="H14849" i="1"/>
  <c r="G14849" i="1"/>
  <c r="M14848" i="1"/>
  <c r="L14848" i="1"/>
  <c r="K14848" i="1"/>
  <c r="J14848" i="1"/>
  <c r="I14848" i="1"/>
  <c r="H14848" i="1"/>
  <c r="G14848" i="1"/>
  <c r="M14847" i="1"/>
  <c r="L14847" i="1"/>
  <c r="K14847" i="1"/>
  <c r="J14847" i="1"/>
  <c r="I14847" i="1"/>
  <c r="H14847" i="1"/>
  <c r="G14847" i="1"/>
  <c r="M14846" i="1"/>
  <c r="L14846" i="1"/>
  <c r="K14846" i="1"/>
  <c r="J14846" i="1"/>
  <c r="I14846" i="1"/>
  <c r="H14846" i="1"/>
  <c r="G14846" i="1"/>
  <c r="M14845" i="1"/>
  <c r="L14845" i="1"/>
  <c r="K14845" i="1"/>
  <c r="J14845" i="1"/>
  <c r="I14845" i="1"/>
  <c r="H14845" i="1"/>
  <c r="G14845" i="1"/>
  <c r="M14844" i="1"/>
  <c r="L14844" i="1"/>
  <c r="K14844" i="1"/>
  <c r="J14844" i="1"/>
  <c r="I14844" i="1"/>
  <c r="H14844" i="1"/>
  <c r="G14844" i="1"/>
  <c r="M14843" i="1"/>
  <c r="L14843" i="1"/>
  <c r="K14843" i="1"/>
  <c r="J14843" i="1"/>
  <c r="I14843" i="1"/>
  <c r="H14843" i="1"/>
  <c r="G14843" i="1"/>
  <c r="M14842" i="1"/>
  <c r="L14842" i="1"/>
  <c r="K14842" i="1"/>
  <c r="J14842" i="1"/>
  <c r="I14842" i="1"/>
  <c r="H14842" i="1"/>
  <c r="G14842" i="1"/>
  <c r="M14841" i="1"/>
  <c r="L14841" i="1"/>
  <c r="K14841" i="1"/>
  <c r="J14841" i="1"/>
  <c r="I14841" i="1"/>
  <c r="H14841" i="1"/>
  <c r="G14841" i="1"/>
  <c r="M14840" i="1"/>
  <c r="L14840" i="1"/>
  <c r="K14840" i="1"/>
  <c r="J14840" i="1"/>
  <c r="I14840" i="1"/>
  <c r="H14840" i="1"/>
  <c r="G14840" i="1"/>
  <c r="M14839" i="1"/>
  <c r="L14839" i="1"/>
  <c r="K14839" i="1"/>
  <c r="J14839" i="1"/>
  <c r="I14839" i="1"/>
  <c r="H14839" i="1"/>
  <c r="G14839" i="1"/>
  <c r="M14838" i="1"/>
  <c r="L14838" i="1"/>
  <c r="K14838" i="1"/>
  <c r="J14838" i="1"/>
  <c r="I14838" i="1"/>
  <c r="H14838" i="1"/>
  <c r="G14838" i="1"/>
  <c r="M14837" i="1"/>
  <c r="L14837" i="1"/>
  <c r="K14837" i="1"/>
  <c r="J14837" i="1"/>
  <c r="I14837" i="1"/>
  <c r="H14837" i="1"/>
  <c r="G14837" i="1"/>
  <c r="M14836" i="1"/>
  <c r="L14836" i="1"/>
  <c r="K14836" i="1"/>
  <c r="J14836" i="1"/>
  <c r="I14836" i="1"/>
  <c r="H14836" i="1"/>
  <c r="G14836" i="1"/>
  <c r="M14835" i="1"/>
  <c r="L14835" i="1"/>
  <c r="K14835" i="1"/>
  <c r="J14835" i="1"/>
  <c r="I14835" i="1"/>
  <c r="H14835" i="1"/>
  <c r="G14835" i="1"/>
  <c r="M14834" i="1"/>
  <c r="L14834" i="1"/>
  <c r="K14834" i="1"/>
  <c r="J14834" i="1"/>
  <c r="I14834" i="1"/>
  <c r="H14834" i="1"/>
  <c r="G14834" i="1"/>
  <c r="M14833" i="1"/>
  <c r="L14833" i="1"/>
  <c r="K14833" i="1"/>
  <c r="J14833" i="1"/>
  <c r="I14833" i="1"/>
  <c r="H14833" i="1"/>
  <c r="G14833" i="1"/>
  <c r="M14832" i="1"/>
  <c r="L14832" i="1"/>
  <c r="K14832" i="1"/>
  <c r="J14832" i="1"/>
  <c r="I14832" i="1"/>
  <c r="H14832" i="1"/>
  <c r="G14832" i="1"/>
  <c r="M14831" i="1"/>
  <c r="L14831" i="1"/>
  <c r="K14831" i="1"/>
  <c r="J14831" i="1"/>
  <c r="I14831" i="1"/>
  <c r="H14831" i="1"/>
  <c r="G14831" i="1"/>
  <c r="M14830" i="1"/>
  <c r="L14830" i="1"/>
  <c r="K14830" i="1"/>
  <c r="J14830" i="1"/>
  <c r="I14830" i="1"/>
  <c r="H14830" i="1"/>
  <c r="G14830" i="1"/>
  <c r="M14829" i="1"/>
  <c r="L14829" i="1"/>
  <c r="K14829" i="1"/>
  <c r="J14829" i="1"/>
  <c r="I14829" i="1"/>
  <c r="H14829" i="1"/>
  <c r="G14829" i="1"/>
  <c r="M14828" i="1"/>
  <c r="L14828" i="1"/>
  <c r="K14828" i="1"/>
  <c r="J14828" i="1"/>
  <c r="I14828" i="1"/>
  <c r="H14828" i="1"/>
  <c r="G14828" i="1"/>
  <c r="M14827" i="1"/>
  <c r="L14827" i="1"/>
  <c r="K14827" i="1"/>
  <c r="J14827" i="1"/>
  <c r="I14827" i="1"/>
  <c r="H14827" i="1"/>
  <c r="G14827" i="1"/>
  <c r="M14826" i="1"/>
  <c r="L14826" i="1"/>
  <c r="K14826" i="1"/>
  <c r="J14826" i="1"/>
  <c r="I14826" i="1"/>
  <c r="H14826" i="1"/>
  <c r="G14826" i="1"/>
  <c r="M14825" i="1"/>
  <c r="L14825" i="1"/>
  <c r="K14825" i="1"/>
  <c r="J14825" i="1"/>
  <c r="I14825" i="1"/>
  <c r="H14825" i="1"/>
  <c r="G14825" i="1"/>
  <c r="M14824" i="1"/>
  <c r="L14824" i="1"/>
  <c r="K14824" i="1"/>
  <c r="J14824" i="1"/>
  <c r="I14824" i="1"/>
  <c r="H14824" i="1"/>
  <c r="G14824" i="1"/>
  <c r="M14823" i="1"/>
  <c r="L14823" i="1"/>
  <c r="K14823" i="1"/>
  <c r="J14823" i="1"/>
  <c r="I14823" i="1"/>
  <c r="H14823" i="1"/>
  <c r="G14823" i="1"/>
  <c r="M14822" i="1"/>
  <c r="L14822" i="1"/>
  <c r="K14822" i="1"/>
  <c r="J14822" i="1"/>
  <c r="I14822" i="1"/>
  <c r="H14822" i="1"/>
  <c r="G14822" i="1"/>
  <c r="M14821" i="1"/>
  <c r="L14821" i="1"/>
  <c r="K14821" i="1"/>
  <c r="J14821" i="1"/>
  <c r="I14821" i="1"/>
  <c r="H14821" i="1"/>
  <c r="G14821" i="1"/>
  <c r="M14820" i="1"/>
  <c r="L14820" i="1"/>
  <c r="K14820" i="1"/>
  <c r="J14820" i="1"/>
  <c r="I14820" i="1"/>
  <c r="H14820" i="1"/>
  <c r="G14820" i="1"/>
  <c r="M14819" i="1"/>
  <c r="L14819" i="1"/>
  <c r="K14819" i="1"/>
  <c r="J14819" i="1"/>
  <c r="I14819" i="1"/>
  <c r="H14819" i="1"/>
  <c r="G14819" i="1"/>
  <c r="M14818" i="1"/>
  <c r="L14818" i="1"/>
  <c r="K14818" i="1"/>
  <c r="J14818" i="1"/>
  <c r="I14818" i="1"/>
  <c r="H14818" i="1"/>
  <c r="G14818" i="1"/>
  <c r="M14817" i="1"/>
  <c r="L14817" i="1"/>
  <c r="K14817" i="1"/>
  <c r="J14817" i="1"/>
  <c r="I14817" i="1"/>
  <c r="H14817" i="1"/>
  <c r="G14817" i="1"/>
  <c r="M14816" i="1"/>
  <c r="L14816" i="1"/>
  <c r="K14816" i="1"/>
  <c r="J14816" i="1"/>
  <c r="I14816" i="1"/>
  <c r="H14816" i="1"/>
  <c r="G14816" i="1"/>
  <c r="M14815" i="1"/>
  <c r="L14815" i="1"/>
  <c r="K14815" i="1"/>
  <c r="J14815" i="1"/>
  <c r="I14815" i="1"/>
  <c r="H14815" i="1"/>
  <c r="G14815" i="1"/>
  <c r="M14814" i="1"/>
  <c r="L14814" i="1"/>
  <c r="K14814" i="1"/>
  <c r="J14814" i="1"/>
  <c r="I14814" i="1"/>
  <c r="H14814" i="1"/>
  <c r="G14814" i="1"/>
  <c r="M14813" i="1"/>
  <c r="L14813" i="1"/>
  <c r="K14813" i="1"/>
  <c r="J14813" i="1"/>
  <c r="I14813" i="1"/>
  <c r="H14813" i="1"/>
  <c r="G14813" i="1"/>
  <c r="M14812" i="1"/>
  <c r="L14812" i="1"/>
  <c r="K14812" i="1"/>
  <c r="J14812" i="1"/>
  <c r="I14812" i="1"/>
  <c r="H14812" i="1"/>
  <c r="G14812" i="1"/>
  <c r="M14811" i="1"/>
  <c r="L14811" i="1"/>
  <c r="K14811" i="1"/>
  <c r="J14811" i="1"/>
  <c r="I14811" i="1"/>
  <c r="H14811" i="1"/>
  <c r="G14811" i="1"/>
  <c r="M14810" i="1"/>
  <c r="L14810" i="1"/>
  <c r="K14810" i="1"/>
  <c r="J14810" i="1"/>
  <c r="I14810" i="1"/>
  <c r="H14810" i="1"/>
  <c r="G14810" i="1"/>
  <c r="M14809" i="1"/>
  <c r="L14809" i="1"/>
  <c r="K14809" i="1"/>
  <c r="J14809" i="1"/>
  <c r="I14809" i="1"/>
  <c r="H14809" i="1"/>
  <c r="G14809" i="1"/>
  <c r="M14808" i="1"/>
  <c r="L14808" i="1"/>
  <c r="K14808" i="1"/>
  <c r="J14808" i="1"/>
  <c r="I14808" i="1"/>
  <c r="H14808" i="1"/>
  <c r="G14808" i="1"/>
  <c r="M14807" i="1"/>
  <c r="L14807" i="1"/>
  <c r="K14807" i="1"/>
  <c r="J14807" i="1"/>
  <c r="I14807" i="1"/>
  <c r="H14807" i="1"/>
  <c r="G14807" i="1"/>
  <c r="M14806" i="1"/>
  <c r="L14806" i="1"/>
  <c r="K14806" i="1"/>
  <c r="J14806" i="1"/>
  <c r="I14806" i="1"/>
  <c r="H14806" i="1"/>
  <c r="G14806" i="1"/>
  <c r="M14805" i="1"/>
  <c r="L14805" i="1"/>
  <c r="K14805" i="1"/>
  <c r="J14805" i="1"/>
  <c r="I14805" i="1"/>
  <c r="H14805" i="1"/>
  <c r="G14805" i="1"/>
  <c r="M14804" i="1"/>
  <c r="L14804" i="1"/>
  <c r="K14804" i="1"/>
  <c r="J14804" i="1"/>
  <c r="I14804" i="1"/>
  <c r="H14804" i="1"/>
  <c r="G14804" i="1"/>
  <c r="M14803" i="1"/>
  <c r="L14803" i="1"/>
  <c r="K14803" i="1"/>
  <c r="J14803" i="1"/>
  <c r="I14803" i="1"/>
  <c r="H14803" i="1"/>
  <c r="G14803" i="1"/>
  <c r="M14802" i="1"/>
  <c r="L14802" i="1"/>
  <c r="K14802" i="1"/>
  <c r="J14802" i="1"/>
  <c r="I14802" i="1"/>
  <c r="H14802" i="1"/>
  <c r="G14802" i="1"/>
  <c r="M14801" i="1"/>
  <c r="L14801" i="1"/>
  <c r="K14801" i="1"/>
  <c r="J14801" i="1"/>
  <c r="I14801" i="1"/>
  <c r="H14801" i="1"/>
  <c r="G14801" i="1"/>
  <c r="M14800" i="1"/>
  <c r="L14800" i="1"/>
  <c r="K14800" i="1"/>
  <c r="J14800" i="1"/>
  <c r="I14800" i="1"/>
  <c r="H14800" i="1"/>
  <c r="G14800" i="1"/>
  <c r="M14799" i="1"/>
  <c r="L14799" i="1"/>
  <c r="K14799" i="1"/>
  <c r="J14799" i="1"/>
  <c r="I14799" i="1"/>
  <c r="H14799" i="1"/>
  <c r="G14799" i="1"/>
  <c r="M14798" i="1"/>
  <c r="L14798" i="1"/>
  <c r="K14798" i="1"/>
  <c r="J14798" i="1"/>
  <c r="I14798" i="1"/>
  <c r="H14798" i="1"/>
  <c r="G14798" i="1"/>
  <c r="M14797" i="1"/>
  <c r="L14797" i="1"/>
  <c r="K14797" i="1"/>
  <c r="J14797" i="1"/>
  <c r="I14797" i="1"/>
  <c r="H14797" i="1"/>
  <c r="G14797" i="1"/>
  <c r="M14796" i="1"/>
  <c r="L14796" i="1"/>
  <c r="K14796" i="1"/>
  <c r="J14796" i="1"/>
  <c r="I14796" i="1"/>
  <c r="H14796" i="1"/>
  <c r="G14796" i="1"/>
  <c r="M14795" i="1"/>
  <c r="L14795" i="1"/>
  <c r="K14795" i="1"/>
  <c r="J14795" i="1"/>
  <c r="I14795" i="1"/>
  <c r="H14795" i="1"/>
  <c r="G14795" i="1"/>
  <c r="M14794" i="1"/>
  <c r="L14794" i="1"/>
  <c r="K14794" i="1"/>
  <c r="J14794" i="1"/>
  <c r="I14794" i="1"/>
  <c r="H14794" i="1"/>
  <c r="G14794" i="1"/>
  <c r="M14793" i="1"/>
  <c r="L14793" i="1"/>
  <c r="K14793" i="1"/>
  <c r="J14793" i="1"/>
  <c r="I14793" i="1"/>
  <c r="H14793" i="1"/>
  <c r="G14793" i="1"/>
  <c r="M14792" i="1"/>
  <c r="L14792" i="1"/>
  <c r="K14792" i="1"/>
  <c r="J14792" i="1"/>
  <c r="I14792" i="1"/>
  <c r="H14792" i="1"/>
  <c r="G14792" i="1"/>
  <c r="M14791" i="1"/>
  <c r="L14791" i="1"/>
  <c r="K14791" i="1"/>
  <c r="J14791" i="1"/>
  <c r="I14791" i="1"/>
  <c r="H14791" i="1"/>
  <c r="G14791" i="1"/>
  <c r="M14790" i="1"/>
  <c r="L14790" i="1"/>
  <c r="K14790" i="1"/>
  <c r="J14790" i="1"/>
  <c r="I14790" i="1"/>
  <c r="H14790" i="1"/>
  <c r="G14790" i="1"/>
  <c r="M14789" i="1"/>
  <c r="L14789" i="1"/>
  <c r="K14789" i="1"/>
  <c r="J14789" i="1"/>
  <c r="I14789" i="1"/>
  <c r="H14789" i="1"/>
  <c r="G14789" i="1"/>
  <c r="M14788" i="1"/>
  <c r="L14788" i="1"/>
  <c r="K14788" i="1"/>
  <c r="J14788" i="1"/>
  <c r="I14788" i="1"/>
  <c r="H14788" i="1"/>
  <c r="G14788" i="1"/>
  <c r="M14787" i="1"/>
  <c r="L14787" i="1"/>
  <c r="K14787" i="1"/>
  <c r="J14787" i="1"/>
  <c r="I14787" i="1"/>
  <c r="H14787" i="1"/>
  <c r="G14787" i="1"/>
  <c r="M14786" i="1"/>
  <c r="L14786" i="1"/>
  <c r="K14786" i="1"/>
  <c r="J14786" i="1"/>
  <c r="I14786" i="1"/>
  <c r="H14786" i="1"/>
  <c r="G14786" i="1"/>
  <c r="M14785" i="1"/>
  <c r="L14785" i="1"/>
  <c r="K14785" i="1"/>
  <c r="J14785" i="1"/>
  <c r="I14785" i="1"/>
  <c r="H14785" i="1"/>
  <c r="G14785" i="1"/>
  <c r="M14784" i="1"/>
  <c r="L14784" i="1"/>
  <c r="K14784" i="1"/>
  <c r="J14784" i="1"/>
  <c r="I14784" i="1"/>
  <c r="H14784" i="1"/>
  <c r="G14784" i="1"/>
  <c r="M14783" i="1"/>
  <c r="L14783" i="1"/>
  <c r="K14783" i="1"/>
  <c r="J14783" i="1"/>
  <c r="I14783" i="1"/>
  <c r="H14783" i="1"/>
  <c r="G14783" i="1"/>
  <c r="M14782" i="1"/>
  <c r="L14782" i="1"/>
  <c r="K14782" i="1"/>
  <c r="J14782" i="1"/>
  <c r="I14782" i="1"/>
  <c r="H14782" i="1"/>
  <c r="G14782" i="1"/>
  <c r="M14781" i="1"/>
  <c r="L14781" i="1"/>
  <c r="K14781" i="1"/>
  <c r="J14781" i="1"/>
  <c r="I14781" i="1"/>
  <c r="H14781" i="1"/>
  <c r="G14781" i="1"/>
  <c r="M14780" i="1"/>
  <c r="L14780" i="1"/>
  <c r="K14780" i="1"/>
  <c r="J14780" i="1"/>
  <c r="I14780" i="1"/>
  <c r="H14780" i="1"/>
  <c r="G14780" i="1"/>
  <c r="M14779" i="1"/>
  <c r="L14779" i="1"/>
  <c r="K14779" i="1"/>
  <c r="J14779" i="1"/>
  <c r="I14779" i="1"/>
  <c r="H14779" i="1"/>
  <c r="G14779" i="1"/>
  <c r="M14778" i="1"/>
  <c r="L14778" i="1"/>
  <c r="K14778" i="1"/>
  <c r="J14778" i="1"/>
  <c r="I14778" i="1"/>
  <c r="H14778" i="1"/>
  <c r="G14778" i="1"/>
  <c r="M14777" i="1"/>
  <c r="L14777" i="1"/>
  <c r="K14777" i="1"/>
  <c r="J14777" i="1"/>
  <c r="I14777" i="1"/>
  <c r="H14777" i="1"/>
  <c r="G14777" i="1"/>
  <c r="M14776" i="1"/>
  <c r="L14776" i="1"/>
  <c r="K14776" i="1"/>
  <c r="J14776" i="1"/>
  <c r="I14776" i="1"/>
  <c r="H14776" i="1"/>
  <c r="G14776" i="1"/>
  <c r="M14775" i="1"/>
  <c r="L14775" i="1"/>
  <c r="K14775" i="1"/>
  <c r="J14775" i="1"/>
  <c r="I14775" i="1"/>
  <c r="H14775" i="1"/>
  <c r="G14775" i="1"/>
  <c r="M14774" i="1"/>
  <c r="L14774" i="1"/>
  <c r="K14774" i="1"/>
  <c r="J14774" i="1"/>
  <c r="I14774" i="1"/>
  <c r="H14774" i="1"/>
  <c r="G14774" i="1"/>
  <c r="M14773" i="1"/>
  <c r="L14773" i="1"/>
  <c r="K14773" i="1"/>
  <c r="J14773" i="1"/>
  <c r="I14773" i="1"/>
  <c r="H14773" i="1"/>
  <c r="G14773" i="1"/>
  <c r="M14772" i="1"/>
  <c r="L14772" i="1"/>
  <c r="K14772" i="1"/>
  <c r="J14772" i="1"/>
  <c r="I14772" i="1"/>
  <c r="H14772" i="1"/>
  <c r="G14772" i="1"/>
  <c r="M14771" i="1"/>
  <c r="L14771" i="1"/>
  <c r="K14771" i="1"/>
  <c r="J14771" i="1"/>
  <c r="I14771" i="1"/>
  <c r="H14771" i="1"/>
  <c r="G14771" i="1"/>
  <c r="M14770" i="1"/>
  <c r="L14770" i="1"/>
  <c r="K14770" i="1"/>
  <c r="J14770" i="1"/>
  <c r="I14770" i="1"/>
  <c r="H14770" i="1"/>
  <c r="G14770" i="1"/>
  <c r="M14769" i="1"/>
  <c r="L14769" i="1"/>
  <c r="K14769" i="1"/>
  <c r="J14769" i="1"/>
  <c r="I14769" i="1"/>
  <c r="H14769" i="1"/>
  <c r="G14769" i="1"/>
  <c r="M14768" i="1"/>
  <c r="L14768" i="1"/>
  <c r="K14768" i="1"/>
  <c r="J14768" i="1"/>
  <c r="I14768" i="1"/>
  <c r="H14768" i="1"/>
  <c r="G14768" i="1"/>
  <c r="M14767" i="1"/>
  <c r="L14767" i="1"/>
  <c r="K14767" i="1"/>
  <c r="J14767" i="1"/>
  <c r="I14767" i="1"/>
  <c r="H14767" i="1"/>
  <c r="G14767" i="1"/>
  <c r="M14766" i="1"/>
  <c r="L14766" i="1"/>
  <c r="K14766" i="1"/>
  <c r="J14766" i="1"/>
  <c r="I14766" i="1"/>
  <c r="H14766" i="1"/>
  <c r="G14766" i="1"/>
  <c r="M14765" i="1"/>
  <c r="L14765" i="1"/>
  <c r="K14765" i="1"/>
  <c r="J14765" i="1"/>
  <c r="I14765" i="1"/>
  <c r="H14765" i="1"/>
  <c r="G14765" i="1"/>
  <c r="M14764" i="1"/>
  <c r="L14764" i="1"/>
  <c r="K14764" i="1"/>
  <c r="J14764" i="1"/>
  <c r="I14764" i="1"/>
  <c r="H14764" i="1"/>
  <c r="G14764" i="1"/>
  <c r="M14763" i="1"/>
  <c r="L14763" i="1"/>
  <c r="K14763" i="1"/>
  <c r="J14763" i="1"/>
  <c r="I14763" i="1"/>
  <c r="H14763" i="1"/>
  <c r="G14763" i="1"/>
  <c r="M14762" i="1"/>
  <c r="L14762" i="1"/>
  <c r="K14762" i="1"/>
  <c r="J14762" i="1"/>
  <c r="I14762" i="1"/>
  <c r="H14762" i="1"/>
  <c r="G14762" i="1"/>
  <c r="M14761" i="1"/>
  <c r="L14761" i="1"/>
  <c r="K14761" i="1"/>
  <c r="J14761" i="1"/>
  <c r="I14761" i="1"/>
  <c r="H14761" i="1"/>
  <c r="G14761" i="1"/>
  <c r="M14760" i="1"/>
  <c r="L14760" i="1"/>
  <c r="K14760" i="1"/>
  <c r="J14760" i="1"/>
  <c r="I14760" i="1"/>
  <c r="H14760" i="1"/>
  <c r="G14760" i="1"/>
  <c r="M14759" i="1"/>
  <c r="L14759" i="1"/>
  <c r="K14759" i="1"/>
  <c r="J14759" i="1"/>
  <c r="I14759" i="1"/>
  <c r="H14759" i="1"/>
  <c r="G14759" i="1"/>
  <c r="M14758" i="1"/>
  <c r="L14758" i="1"/>
  <c r="K14758" i="1"/>
  <c r="J14758" i="1"/>
  <c r="I14758" i="1"/>
  <c r="H14758" i="1"/>
  <c r="G14758" i="1"/>
  <c r="M14757" i="1"/>
  <c r="L14757" i="1"/>
  <c r="K14757" i="1"/>
  <c r="J14757" i="1"/>
  <c r="I14757" i="1"/>
  <c r="H14757" i="1"/>
  <c r="G14757" i="1"/>
  <c r="M14756" i="1"/>
  <c r="L14756" i="1"/>
  <c r="K14756" i="1"/>
  <c r="J14756" i="1"/>
  <c r="I14756" i="1"/>
  <c r="H14756" i="1"/>
  <c r="G14756" i="1"/>
  <c r="M14755" i="1"/>
  <c r="L14755" i="1"/>
  <c r="K14755" i="1"/>
  <c r="J14755" i="1"/>
  <c r="I14755" i="1"/>
  <c r="H14755" i="1"/>
  <c r="G14755" i="1"/>
  <c r="M14754" i="1"/>
  <c r="L14754" i="1"/>
  <c r="K14754" i="1"/>
  <c r="J14754" i="1"/>
  <c r="I14754" i="1"/>
  <c r="H14754" i="1"/>
  <c r="G14754" i="1"/>
  <c r="M14753" i="1"/>
  <c r="L14753" i="1"/>
  <c r="K14753" i="1"/>
  <c r="J14753" i="1"/>
  <c r="I14753" i="1"/>
  <c r="H14753" i="1"/>
  <c r="G14753" i="1"/>
  <c r="M14752" i="1"/>
  <c r="L14752" i="1"/>
  <c r="K14752" i="1"/>
  <c r="J14752" i="1"/>
  <c r="I14752" i="1"/>
  <c r="H14752" i="1"/>
  <c r="G14752" i="1"/>
  <c r="M14751" i="1"/>
  <c r="L14751" i="1"/>
  <c r="K14751" i="1"/>
  <c r="J14751" i="1"/>
  <c r="I14751" i="1"/>
  <c r="H14751" i="1"/>
  <c r="G14751" i="1"/>
  <c r="M14750" i="1"/>
  <c r="L14750" i="1"/>
  <c r="K14750" i="1"/>
  <c r="J14750" i="1"/>
  <c r="I14750" i="1"/>
  <c r="H14750" i="1"/>
  <c r="G14750" i="1"/>
  <c r="M14749" i="1"/>
  <c r="L14749" i="1"/>
  <c r="K14749" i="1"/>
  <c r="J14749" i="1"/>
  <c r="I14749" i="1"/>
  <c r="H14749" i="1"/>
  <c r="G14749" i="1"/>
  <c r="M14748" i="1"/>
  <c r="L14748" i="1"/>
  <c r="K14748" i="1"/>
  <c r="J14748" i="1"/>
  <c r="I14748" i="1"/>
  <c r="H14748" i="1"/>
  <c r="G14748" i="1"/>
  <c r="M14747" i="1"/>
  <c r="L14747" i="1"/>
  <c r="K14747" i="1"/>
  <c r="J14747" i="1"/>
  <c r="I14747" i="1"/>
  <c r="H14747" i="1"/>
  <c r="G14747" i="1"/>
  <c r="M14746" i="1"/>
  <c r="L14746" i="1"/>
  <c r="K14746" i="1"/>
  <c r="J14746" i="1"/>
  <c r="I14746" i="1"/>
  <c r="H14746" i="1"/>
  <c r="G14746" i="1"/>
  <c r="M14745" i="1"/>
  <c r="L14745" i="1"/>
  <c r="K14745" i="1"/>
  <c r="J14745" i="1"/>
  <c r="I14745" i="1"/>
  <c r="H14745" i="1"/>
  <c r="G14745" i="1"/>
  <c r="M14744" i="1"/>
  <c r="L14744" i="1"/>
  <c r="K14744" i="1"/>
  <c r="J14744" i="1"/>
  <c r="I14744" i="1"/>
  <c r="H14744" i="1"/>
  <c r="G14744" i="1"/>
  <c r="M14743" i="1"/>
  <c r="L14743" i="1"/>
  <c r="K14743" i="1"/>
  <c r="J14743" i="1"/>
  <c r="I14743" i="1"/>
  <c r="H14743" i="1"/>
  <c r="G14743" i="1"/>
  <c r="M14742" i="1"/>
  <c r="L14742" i="1"/>
  <c r="K14742" i="1"/>
  <c r="J14742" i="1"/>
  <c r="I14742" i="1"/>
  <c r="H14742" i="1"/>
  <c r="G14742" i="1"/>
  <c r="M14741" i="1"/>
  <c r="L14741" i="1"/>
  <c r="K14741" i="1"/>
  <c r="J14741" i="1"/>
  <c r="I14741" i="1"/>
  <c r="H14741" i="1"/>
  <c r="G14741" i="1"/>
  <c r="M14740" i="1"/>
  <c r="L14740" i="1"/>
  <c r="K14740" i="1"/>
  <c r="J14740" i="1"/>
  <c r="I14740" i="1"/>
  <c r="H14740" i="1"/>
  <c r="G14740" i="1"/>
  <c r="M14739" i="1"/>
  <c r="L14739" i="1"/>
  <c r="K14739" i="1"/>
  <c r="J14739" i="1"/>
  <c r="I14739" i="1"/>
  <c r="H14739" i="1"/>
  <c r="G14739" i="1"/>
  <c r="M14738" i="1"/>
  <c r="L14738" i="1"/>
  <c r="K14738" i="1"/>
  <c r="J14738" i="1"/>
  <c r="I14738" i="1"/>
  <c r="H14738" i="1"/>
  <c r="G14738" i="1"/>
  <c r="M14737" i="1"/>
  <c r="L14737" i="1"/>
  <c r="K14737" i="1"/>
  <c r="J14737" i="1"/>
  <c r="I14737" i="1"/>
  <c r="H14737" i="1"/>
  <c r="G14737" i="1"/>
  <c r="M14736" i="1"/>
  <c r="L14736" i="1"/>
  <c r="K14736" i="1"/>
  <c r="J14736" i="1"/>
  <c r="I14736" i="1"/>
  <c r="H14736" i="1"/>
  <c r="G14736" i="1"/>
  <c r="M14735" i="1"/>
  <c r="L14735" i="1"/>
  <c r="K14735" i="1"/>
  <c r="J14735" i="1"/>
  <c r="I14735" i="1"/>
  <c r="H14735" i="1"/>
  <c r="G14735" i="1"/>
  <c r="M14734" i="1"/>
  <c r="L14734" i="1"/>
  <c r="K14734" i="1"/>
  <c r="J14734" i="1"/>
  <c r="I14734" i="1"/>
  <c r="H14734" i="1"/>
  <c r="G14734" i="1"/>
  <c r="M14733" i="1"/>
  <c r="L14733" i="1"/>
  <c r="K14733" i="1"/>
  <c r="J14733" i="1"/>
  <c r="I14733" i="1"/>
  <c r="H14733" i="1"/>
  <c r="G14733" i="1"/>
  <c r="M14732" i="1"/>
  <c r="L14732" i="1"/>
  <c r="K14732" i="1"/>
  <c r="J14732" i="1"/>
  <c r="I14732" i="1"/>
  <c r="H14732" i="1"/>
  <c r="G14732" i="1"/>
  <c r="M14731" i="1"/>
  <c r="L14731" i="1"/>
  <c r="K14731" i="1"/>
  <c r="J14731" i="1"/>
  <c r="I14731" i="1"/>
  <c r="H14731" i="1"/>
  <c r="G14731" i="1"/>
  <c r="M14730" i="1"/>
  <c r="L14730" i="1"/>
  <c r="K14730" i="1"/>
  <c r="J14730" i="1"/>
  <c r="I14730" i="1"/>
  <c r="H14730" i="1"/>
  <c r="G14730" i="1"/>
  <c r="M14729" i="1"/>
  <c r="L14729" i="1"/>
  <c r="K14729" i="1"/>
  <c r="J14729" i="1"/>
  <c r="I14729" i="1"/>
  <c r="H14729" i="1"/>
  <c r="G14729" i="1"/>
  <c r="M14728" i="1"/>
  <c r="L14728" i="1"/>
  <c r="K14728" i="1"/>
  <c r="J14728" i="1"/>
  <c r="I14728" i="1"/>
  <c r="H14728" i="1"/>
  <c r="G14728" i="1"/>
  <c r="M14727" i="1"/>
  <c r="L14727" i="1"/>
  <c r="K14727" i="1"/>
  <c r="J14727" i="1"/>
  <c r="I14727" i="1"/>
  <c r="H14727" i="1"/>
  <c r="G14727" i="1"/>
  <c r="M14726" i="1"/>
  <c r="L14726" i="1"/>
  <c r="K14726" i="1"/>
  <c r="J14726" i="1"/>
  <c r="I14726" i="1"/>
  <c r="H14726" i="1"/>
  <c r="G14726" i="1"/>
  <c r="M14725" i="1"/>
  <c r="L14725" i="1"/>
  <c r="K14725" i="1"/>
  <c r="J14725" i="1"/>
  <c r="I14725" i="1"/>
  <c r="H14725" i="1"/>
  <c r="G14725" i="1"/>
  <c r="M14724" i="1"/>
  <c r="L14724" i="1"/>
  <c r="K14724" i="1"/>
  <c r="J14724" i="1"/>
  <c r="I14724" i="1"/>
  <c r="H14724" i="1"/>
  <c r="G14724" i="1"/>
  <c r="M14723" i="1"/>
  <c r="L14723" i="1"/>
  <c r="K14723" i="1"/>
  <c r="J14723" i="1"/>
  <c r="I14723" i="1"/>
  <c r="H14723" i="1"/>
  <c r="G14723" i="1"/>
  <c r="M14722" i="1"/>
  <c r="L14722" i="1"/>
  <c r="K14722" i="1"/>
  <c r="J14722" i="1"/>
  <c r="I14722" i="1"/>
  <c r="H14722" i="1"/>
  <c r="G14722" i="1"/>
  <c r="M14721" i="1"/>
  <c r="L14721" i="1"/>
  <c r="K14721" i="1"/>
  <c r="J14721" i="1"/>
  <c r="I14721" i="1"/>
  <c r="H14721" i="1"/>
  <c r="G14721" i="1"/>
  <c r="M14720" i="1"/>
  <c r="L14720" i="1"/>
  <c r="K14720" i="1"/>
  <c r="J14720" i="1"/>
  <c r="I14720" i="1"/>
  <c r="H14720" i="1"/>
  <c r="G14720" i="1"/>
  <c r="M14719" i="1"/>
  <c r="L14719" i="1"/>
  <c r="K14719" i="1"/>
  <c r="J14719" i="1"/>
  <c r="I14719" i="1"/>
  <c r="H14719" i="1"/>
  <c r="G14719" i="1"/>
  <c r="M14718" i="1"/>
  <c r="L14718" i="1"/>
  <c r="K14718" i="1"/>
  <c r="J14718" i="1"/>
  <c r="I14718" i="1"/>
  <c r="H14718" i="1"/>
  <c r="G14718" i="1"/>
  <c r="M14717" i="1"/>
  <c r="L14717" i="1"/>
  <c r="K14717" i="1"/>
  <c r="J14717" i="1"/>
  <c r="I14717" i="1"/>
  <c r="H14717" i="1"/>
  <c r="G14717" i="1"/>
  <c r="M14716" i="1"/>
  <c r="L14716" i="1"/>
  <c r="K14716" i="1"/>
  <c r="J14716" i="1"/>
  <c r="I14716" i="1"/>
  <c r="H14716" i="1"/>
  <c r="G14716" i="1"/>
  <c r="M14715" i="1"/>
  <c r="L14715" i="1"/>
  <c r="K14715" i="1"/>
  <c r="J14715" i="1"/>
  <c r="I14715" i="1"/>
  <c r="H14715" i="1"/>
  <c r="G14715" i="1"/>
  <c r="M14714" i="1"/>
  <c r="L14714" i="1"/>
  <c r="K14714" i="1"/>
  <c r="J14714" i="1"/>
  <c r="I14714" i="1"/>
  <c r="H14714" i="1"/>
  <c r="G14714" i="1"/>
  <c r="M14713" i="1"/>
  <c r="L14713" i="1"/>
  <c r="K14713" i="1"/>
  <c r="J14713" i="1"/>
  <c r="I14713" i="1"/>
  <c r="H14713" i="1"/>
  <c r="G14713" i="1"/>
  <c r="M14712" i="1"/>
  <c r="L14712" i="1"/>
  <c r="K14712" i="1"/>
  <c r="J14712" i="1"/>
  <c r="I14712" i="1"/>
  <c r="H14712" i="1"/>
  <c r="G14712" i="1"/>
  <c r="M14711" i="1"/>
  <c r="L14711" i="1"/>
  <c r="K14711" i="1"/>
  <c r="J14711" i="1"/>
  <c r="I14711" i="1"/>
  <c r="H14711" i="1"/>
  <c r="G14711" i="1"/>
  <c r="M14710" i="1"/>
  <c r="L14710" i="1"/>
  <c r="K14710" i="1"/>
  <c r="J14710" i="1"/>
  <c r="I14710" i="1"/>
  <c r="H14710" i="1"/>
  <c r="G14710" i="1"/>
  <c r="M14709" i="1"/>
  <c r="L14709" i="1"/>
  <c r="K14709" i="1"/>
  <c r="J14709" i="1"/>
  <c r="I14709" i="1"/>
  <c r="H14709" i="1"/>
  <c r="G14709" i="1"/>
  <c r="M14708" i="1"/>
  <c r="L14708" i="1"/>
  <c r="K14708" i="1"/>
  <c r="J14708" i="1"/>
  <c r="I14708" i="1"/>
  <c r="H14708" i="1"/>
  <c r="G14708" i="1"/>
  <c r="M14707" i="1"/>
  <c r="L14707" i="1"/>
  <c r="K14707" i="1"/>
  <c r="J14707" i="1"/>
  <c r="I14707" i="1"/>
  <c r="H14707" i="1"/>
  <c r="G14707" i="1"/>
  <c r="M14706" i="1"/>
  <c r="L14706" i="1"/>
  <c r="K14706" i="1"/>
  <c r="J14706" i="1"/>
  <c r="I14706" i="1"/>
  <c r="H14706" i="1"/>
  <c r="G14706" i="1"/>
  <c r="M14705" i="1"/>
  <c r="L14705" i="1"/>
  <c r="K14705" i="1"/>
  <c r="J14705" i="1"/>
  <c r="I14705" i="1"/>
  <c r="H14705" i="1"/>
  <c r="G14705" i="1"/>
  <c r="M14704" i="1"/>
  <c r="L14704" i="1"/>
  <c r="K14704" i="1"/>
  <c r="J14704" i="1"/>
  <c r="I14704" i="1"/>
  <c r="H14704" i="1"/>
  <c r="G14704" i="1"/>
  <c r="M14703" i="1"/>
  <c r="L14703" i="1"/>
  <c r="K14703" i="1"/>
  <c r="J14703" i="1"/>
  <c r="I14703" i="1"/>
  <c r="H14703" i="1"/>
  <c r="G14703" i="1"/>
  <c r="M14702" i="1"/>
  <c r="L14702" i="1"/>
  <c r="K14702" i="1"/>
  <c r="J14702" i="1"/>
  <c r="I14702" i="1"/>
  <c r="H14702" i="1"/>
  <c r="G14702" i="1"/>
  <c r="M14701" i="1"/>
  <c r="L14701" i="1"/>
  <c r="K14701" i="1"/>
  <c r="J14701" i="1"/>
  <c r="I14701" i="1"/>
  <c r="H14701" i="1"/>
  <c r="G14701" i="1"/>
  <c r="M14700" i="1"/>
  <c r="L14700" i="1"/>
  <c r="K14700" i="1"/>
  <c r="J14700" i="1"/>
  <c r="I14700" i="1"/>
  <c r="H14700" i="1"/>
  <c r="G14700" i="1"/>
  <c r="M14699" i="1"/>
  <c r="L14699" i="1"/>
  <c r="K14699" i="1"/>
  <c r="J14699" i="1"/>
  <c r="I14699" i="1"/>
  <c r="H14699" i="1"/>
  <c r="G14699" i="1"/>
  <c r="M14698" i="1"/>
  <c r="L14698" i="1"/>
  <c r="K14698" i="1"/>
  <c r="J14698" i="1"/>
  <c r="I14698" i="1"/>
  <c r="H14698" i="1"/>
  <c r="G14698" i="1"/>
  <c r="M14697" i="1"/>
  <c r="L14697" i="1"/>
  <c r="K14697" i="1"/>
  <c r="J14697" i="1"/>
  <c r="I14697" i="1"/>
  <c r="H14697" i="1"/>
  <c r="G14697" i="1"/>
  <c r="M14696" i="1"/>
  <c r="L14696" i="1"/>
  <c r="K14696" i="1"/>
  <c r="J14696" i="1"/>
  <c r="I14696" i="1"/>
  <c r="H14696" i="1"/>
  <c r="G14696" i="1"/>
  <c r="M14695" i="1"/>
  <c r="L14695" i="1"/>
  <c r="K14695" i="1"/>
  <c r="J14695" i="1"/>
  <c r="I14695" i="1"/>
  <c r="H14695" i="1"/>
  <c r="G14695" i="1"/>
  <c r="M14694" i="1"/>
  <c r="L14694" i="1"/>
  <c r="K14694" i="1"/>
  <c r="J14694" i="1"/>
  <c r="I14694" i="1"/>
  <c r="H14694" i="1"/>
  <c r="G14694" i="1"/>
  <c r="M14693" i="1"/>
  <c r="L14693" i="1"/>
  <c r="K14693" i="1"/>
  <c r="J14693" i="1"/>
  <c r="I14693" i="1"/>
  <c r="H14693" i="1"/>
  <c r="G14693" i="1"/>
  <c r="M14692" i="1"/>
  <c r="L14692" i="1"/>
  <c r="K14692" i="1"/>
  <c r="J14692" i="1"/>
  <c r="I14692" i="1"/>
  <c r="H14692" i="1"/>
  <c r="G14692" i="1"/>
  <c r="M14691" i="1"/>
  <c r="L14691" i="1"/>
  <c r="K14691" i="1"/>
  <c r="J14691" i="1"/>
  <c r="I14691" i="1"/>
  <c r="H14691" i="1"/>
  <c r="G14691" i="1"/>
  <c r="M14690" i="1"/>
  <c r="L14690" i="1"/>
  <c r="K14690" i="1"/>
  <c r="J14690" i="1"/>
  <c r="I14690" i="1"/>
  <c r="H14690" i="1"/>
  <c r="G14690" i="1"/>
  <c r="M14689" i="1"/>
  <c r="L14689" i="1"/>
  <c r="K14689" i="1"/>
  <c r="J14689" i="1"/>
  <c r="I14689" i="1"/>
  <c r="H14689" i="1"/>
  <c r="G14689" i="1"/>
  <c r="M14688" i="1"/>
  <c r="L14688" i="1"/>
  <c r="K14688" i="1"/>
  <c r="J14688" i="1"/>
  <c r="I14688" i="1"/>
  <c r="H14688" i="1"/>
  <c r="G14688" i="1"/>
  <c r="M14687" i="1"/>
  <c r="L14687" i="1"/>
  <c r="K14687" i="1"/>
  <c r="J14687" i="1"/>
  <c r="I14687" i="1"/>
  <c r="H14687" i="1"/>
  <c r="G14687" i="1"/>
  <c r="M14686" i="1"/>
  <c r="L14686" i="1"/>
  <c r="K14686" i="1"/>
  <c r="J14686" i="1"/>
  <c r="I14686" i="1"/>
  <c r="H14686" i="1"/>
  <c r="G14686" i="1"/>
  <c r="M14685" i="1"/>
  <c r="L14685" i="1"/>
  <c r="K14685" i="1"/>
  <c r="J14685" i="1"/>
  <c r="I14685" i="1"/>
  <c r="H14685" i="1"/>
  <c r="G14685" i="1"/>
  <c r="M14684" i="1"/>
  <c r="L14684" i="1"/>
  <c r="K14684" i="1"/>
  <c r="J14684" i="1"/>
  <c r="I14684" i="1"/>
  <c r="H14684" i="1"/>
  <c r="G14684" i="1"/>
  <c r="M14683" i="1"/>
  <c r="L14683" i="1"/>
  <c r="K14683" i="1"/>
  <c r="J14683" i="1"/>
  <c r="I14683" i="1"/>
  <c r="H14683" i="1"/>
  <c r="G14683" i="1"/>
  <c r="M14682" i="1"/>
  <c r="L14682" i="1"/>
  <c r="K14682" i="1"/>
  <c r="J14682" i="1"/>
  <c r="I14682" i="1"/>
  <c r="H14682" i="1"/>
  <c r="G14682" i="1"/>
  <c r="M14681" i="1"/>
  <c r="L14681" i="1"/>
  <c r="K14681" i="1"/>
  <c r="J14681" i="1"/>
  <c r="I14681" i="1"/>
  <c r="H14681" i="1"/>
  <c r="G14681" i="1"/>
  <c r="M14680" i="1"/>
  <c r="L14680" i="1"/>
  <c r="K14680" i="1"/>
  <c r="J14680" i="1"/>
  <c r="I14680" i="1"/>
  <c r="H14680" i="1"/>
  <c r="G14680" i="1"/>
  <c r="M14679" i="1"/>
  <c r="L14679" i="1"/>
  <c r="K14679" i="1"/>
  <c r="J14679" i="1"/>
  <c r="I14679" i="1"/>
  <c r="H14679" i="1"/>
  <c r="G14679" i="1"/>
  <c r="M14678" i="1"/>
  <c r="L14678" i="1"/>
  <c r="K14678" i="1"/>
  <c r="J14678" i="1"/>
  <c r="I14678" i="1"/>
  <c r="H14678" i="1"/>
  <c r="G14678" i="1"/>
  <c r="M14677" i="1"/>
  <c r="L14677" i="1"/>
  <c r="K14677" i="1"/>
  <c r="J14677" i="1"/>
  <c r="I14677" i="1"/>
  <c r="H14677" i="1"/>
  <c r="G14677" i="1"/>
  <c r="M14676" i="1"/>
  <c r="L14676" i="1"/>
  <c r="K14676" i="1"/>
  <c r="J14676" i="1"/>
  <c r="I14676" i="1"/>
  <c r="H14676" i="1"/>
  <c r="G14676" i="1"/>
  <c r="M14675" i="1"/>
  <c r="L14675" i="1"/>
  <c r="K14675" i="1"/>
  <c r="J14675" i="1"/>
  <c r="I14675" i="1"/>
  <c r="H14675" i="1"/>
  <c r="G14675" i="1"/>
  <c r="M14674" i="1"/>
  <c r="L14674" i="1"/>
  <c r="K14674" i="1"/>
  <c r="J14674" i="1"/>
  <c r="I14674" i="1"/>
  <c r="H14674" i="1"/>
  <c r="G14674" i="1"/>
  <c r="M14673" i="1"/>
  <c r="L14673" i="1"/>
  <c r="K14673" i="1"/>
  <c r="J14673" i="1"/>
  <c r="I14673" i="1"/>
  <c r="H14673" i="1"/>
  <c r="G14673" i="1"/>
  <c r="M14672" i="1"/>
  <c r="L14672" i="1"/>
  <c r="K14672" i="1"/>
  <c r="J14672" i="1"/>
  <c r="I14672" i="1"/>
  <c r="H14672" i="1"/>
  <c r="G14672" i="1"/>
  <c r="M14671" i="1"/>
  <c r="L14671" i="1"/>
  <c r="K14671" i="1"/>
  <c r="J14671" i="1"/>
  <c r="I14671" i="1"/>
  <c r="H14671" i="1"/>
  <c r="G14671" i="1"/>
  <c r="M14670" i="1"/>
  <c r="L14670" i="1"/>
  <c r="K14670" i="1"/>
  <c r="J14670" i="1"/>
  <c r="I14670" i="1"/>
  <c r="H14670" i="1"/>
  <c r="G14670" i="1"/>
  <c r="M14669" i="1"/>
  <c r="L14669" i="1"/>
  <c r="K14669" i="1"/>
  <c r="J14669" i="1"/>
  <c r="I14669" i="1"/>
  <c r="H14669" i="1"/>
  <c r="G14669" i="1"/>
  <c r="M14668" i="1"/>
  <c r="L14668" i="1"/>
  <c r="K14668" i="1"/>
  <c r="J14668" i="1"/>
  <c r="I14668" i="1"/>
  <c r="H14668" i="1"/>
  <c r="G14668" i="1"/>
  <c r="M14667" i="1"/>
  <c r="L14667" i="1"/>
  <c r="K14667" i="1"/>
  <c r="J14667" i="1"/>
  <c r="I14667" i="1"/>
  <c r="H14667" i="1"/>
  <c r="G14667" i="1"/>
  <c r="M14666" i="1"/>
  <c r="L14666" i="1"/>
  <c r="K14666" i="1"/>
  <c r="J14666" i="1"/>
  <c r="I14666" i="1"/>
  <c r="H14666" i="1"/>
  <c r="G14666" i="1"/>
  <c r="M14665" i="1"/>
  <c r="L14665" i="1"/>
  <c r="K14665" i="1"/>
  <c r="J14665" i="1"/>
  <c r="I14665" i="1"/>
  <c r="H14665" i="1"/>
  <c r="G14665" i="1"/>
  <c r="M14664" i="1"/>
  <c r="L14664" i="1"/>
  <c r="K14664" i="1"/>
  <c r="J14664" i="1"/>
  <c r="I14664" i="1"/>
  <c r="H14664" i="1"/>
  <c r="G14664" i="1"/>
  <c r="M14663" i="1"/>
  <c r="L14663" i="1"/>
  <c r="K14663" i="1"/>
  <c r="J14663" i="1"/>
  <c r="I14663" i="1"/>
  <c r="H14663" i="1"/>
  <c r="G14663" i="1"/>
  <c r="M14662" i="1"/>
  <c r="L14662" i="1"/>
  <c r="K14662" i="1"/>
  <c r="J14662" i="1"/>
  <c r="I14662" i="1"/>
  <c r="H14662" i="1"/>
  <c r="G14662" i="1"/>
  <c r="M14661" i="1"/>
  <c r="L14661" i="1"/>
  <c r="K14661" i="1"/>
  <c r="J14661" i="1"/>
  <c r="I14661" i="1"/>
  <c r="H14661" i="1"/>
  <c r="G14661" i="1"/>
  <c r="M14660" i="1"/>
  <c r="L14660" i="1"/>
  <c r="K14660" i="1"/>
  <c r="J14660" i="1"/>
  <c r="I14660" i="1"/>
  <c r="H14660" i="1"/>
  <c r="G14660" i="1"/>
  <c r="M14659" i="1"/>
  <c r="L14659" i="1"/>
  <c r="K14659" i="1"/>
  <c r="J14659" i="1"/>
  <c r="I14659" i="1"/>
  <c r="H14659" i="1"/>
  <c r="G14659" i="1"/>
  <c r="M14658" i="1"/>
  <c r="L14658" i="1"/>
  <c r="K14658" i="1"/>
  <c r="J14658" i="1"/>
  <c r="I14658" i="1"/>
  <c r="H14658" i="1"/>
  <c r="G14658" i="1"/>
  <c r="M14657" i="1"/>
  <c r="L14657" i="1"/>
  <c r="K14657" i="1"/>
  <c r="J14657" i="1"/>
  <c r="I14657" i="1"/>
  <c r="H14657" i="1"/>
  <c r="G14657" i="1"/>
  <c r="M14656" i="1"/>
  <c r="L14656" i="1"/>
  <c r="K14656" i="1"/>
  <c r="J14656" i="1"/>
  <c r="I14656" i="1"/>
  <c r="H14656" i="1"/>
  <c r="G14656" i="1"/>
  <c r="M14655" i="1"/>
  <c r="L14655" i="1"/>
  <c r="K14655" i="1"/>
  <c r="J14655" i="1"/>
  <c r="I14655" i="1"/>
  <c r="H14655" i="1"/>
  <c r="G14655" i="1"/>
  <c r="M14654" i="1"/>
  <c r="L14654" i="1"/>
  <c r="K14654" i="1"/>
  <c r="J14654" i="1"/>
  <c r="I14654" i="1"/>
  <c r="H14654" i="1"/>
  <c r="G14654" i="1"/>
  <c r="M14653" i="1"/>
  <c r="L14653" i="1"/>
  <c r="K14653" i="1"/>
  <c r="J14653" i="1"/>
  <c r="I14653" i="1"/>
  <c r="H14653" i="1"/>
  <c r="G14653" i="1"/>
  <c r="M14652" i="1"/>
  <c r="L14652" i="1"/>
  <c r="K14652" i="1"/>
  <c r="J14652" i="1"/>
  <c r="I14652" i="1"/>
  <c r="H14652" i="1"/>
  <c r="G14652" i="1"/>
  <c r="M14651" i="1"/>
  <c r="L14651" i="1"/>
  <c r="K14651" i="1"/>
  <c r="J14651" i="1"/>
  <c r="I14651" i="1"/>
  <c r="H14651" i="1"/>
  <c r="G14651" i="1"/>
  <c r="M14650" i="1"/>
  <c r="L14650" i="1"/>
  <c r="K14650" i="1"/>
  <c r="J14650" i="1"/>
  <c r="I14650" i="1"/>
  <c r="H14650" i="1"/>
  <c r="G14650" i="1"/>
  <c r="M14649" i="1"/>
  <c r="L14649" i="1"/>
  <c r="K14649" i="1"/>
  <c r="J14649" i="1"/>
  <c r="I14649" i="1"/>
  <c r="H14649" i="1"/>
  <c r="G14649" i="1"/>
  <c r="M14648" i="1"/>
  <c r="L14648" i="1"/>
  <c r="K14648" i="1"/>
  <c r="J14648" i="1"/>
  <c r="I14648" i="1"/>
  <c r="H14648" i="1"/>
  <c r="G14648" i="1"/>
  <c r="M14647" i="1"/>
  <c r="L14647" i="1"/>
  <c r="K14647" i="1"/>
  <c r="J14647" i="1"/>
  <c r="I14647" i="1"/>
  <c r="H14647" i="1"/>
  <c r="G14647" i="1"/>
  <c r="M14646" i="1"/>
  <c r="L14646" i="1"/>
  <c r="K14646" i="1"/>
  <c r="J14646" i="1"/>
  <c r="I14646" i="1"/>
  <c r="H14646" i="1"/>
  <c r="G14646" i="1"/>
  <c r="M14645" i="1"/>
  <c r="L14645" i="1"/>
  <c r="K14645" i="1"/>
  <c r="J14645" i="1"/>
  <c r="I14645" i="1"/>
  <c r="H14645" i="1"/>
  <c r="G14645" i="1"/>
  <c r="M14644" i="1"/>
  <c r="L14644" i="1"/>
  <c r="K14644" i="1"/>
  <c r="J14644" i="1"/>
  <c r="I14644" i="1"/>
  <c r="H14644" i="1"/>
  <c r="G14644" i="1"/>
  <c r="M14643" i="1"/>
  <c r="L14643" i="1"/>
  <c r="K14643" i="1"/>
  <c r="J14643" i="1"/>
  <c r="I14643" i="1"/>
  <c r="H14643" i="1"/>
  <c r="G14643" i="1"/>
  <c r="M14642" i="1"/>
  <c r="L14642" i="1"/>
  <c r="K14642" i="1"/>
  <c r="J14642" i="1"/>
  <c r="I14642" i="1"/>
  <c r="H14642" i="1"/>
  <c r="G14642" i="1"/>
  <c r="M14641" i="1"/>
  <c r="L14641" i="1"/>
  <c r="K14641" i="1"/>
  <c r="J14641" i="1"/>
  <c r="I14641" i="1"/>
  <c r="H14641" i="1"/>
  <c r="G14641" i="1"/>
  <c r="M14640" i="1"/>
  <c r="L14640" i="1"/>
  <c r="K14640" i="1"/>
  <c r="J14640" i="1"/>
  <c r="I14640" i="1"/>
  <c r="H14640" i="1"/>
  <c r="G14640" i="1"/>
  <c r="M14639" i="1"/>
  <c r="L14639" i="1"/>
  <c r="K14639" i="1"/>
  <c r="J14639" i="1"/>
  <c r="I14639" i="1"/>
  <c r="H14639" i="1"/>
  <c r="G14639" i="1"/>
  <c r="M14638" i="1"/>
  <c r="L14638" i="1"/>
  <c r="K14638" i="1"/>
  <c r="J14638" i="1"/>
  <c r="I14638" i="1"/>
  <c r="H14638" i="1"/>
  <c r="G14638" i="1"/>
  <c r="M14637" i="1"/>
  <c r="L14637" i="1"/>
  <c r="K14637" i="1"/>
  <c r="J14637" i="1"/>
  <c r="I14637" i="1"/>
  <c r="H14637" i="1"/>
  <c r="G14637" i="1"/>
  <c r="M14636" i="1"/>
  <c r="L14636" i="1"/>
  <c r="K14636" i="1"/>
  <c r="J14636" i="1"/>
  <c r="I14636" i="1"/>
  <c r="H14636" i="1"/>
  <c r="G14636" i="1"/>
  <c r="M14635" i="1"/>
  <c r="L14635" i="1"/>
  <c r="K14635" i="1"/>
  <c r="J14635" i="1"/>
  <c r="I14635" i="1"/>
  <c r="H14635" i="1"/>
  <c r="G14635" i="1"/>
  <c r="M14634" i="1"/>
  <c r="L14634" i="1"/>
  <c r="K14634" i="1"/>
  <c r="J14634" i="1"/>
  <c r="I14634" i="1"/>
  <c r="H14634" i="1"/>
  <c r="G14634" i="1"/>
  <c r="M14633" i="1"/>
  <c r="L14633" i="1"/>
  <c r="K14633" i="1"/>
  <c r="J14633" i="1"/>
  <c r="I14633" i="1"/>
  <c r="H14633" i="1"/>
  <c r="G14633" i="1"/>
  <c r="M14632" i="1"/>
  <c r="L14632" i="1"/>
  <c r="K14632" i="1"/>
  <c r="J14632" i="1"/>
  <c r="I14632" i="1"/>
  <c r="H14632" i="1"/>
  <c r="G14632" i="1"/>
  <c r="M14631" i="1"/>
  <c r="L14631" i="1"/>
  <c r="K14631" i="1"/>
  <c r="J14631" i="1"/>
  <c r="I14631" i="1"/>
  <c r="H14631" i="1"/>
  <c r="G14631" i="1"/>
  <c r="M14630" i="1"/>
  <c r="L14630" i="1"/>
  <c r="K14630" i="1"/>
  <c r="J14630" i="1"/>
  <c r="I14630" i="1"/>
  <c r="H14630" i="1"/>
  <c r="G14630" i="1"/>
  <c r="M14629" i="1"/>
  <c r="L14629" i="1"/>
  <c r="K14629" i="1"/>
  <c r="J14629" i="1"/>
  <c r="I14629" i="1"/>
  <c r="H14629" i="1"/>
  <c r="G14629" i="1"/>
  <c r="M14628" i="1"/>
  <c r="L14628" i="1"/>
  <c r="K14628" i="1"/>
  <c r="J14628" i="1"/>
  <c r="I14628" i="1"/>
  <c r="H14628" i="1"/>
  <c r="G14628" i="1"/>
  <c r="M14627" i="1"/>
  <c r="L14627" i="1"/>
  <c r="K14627" i="1"/>
  <c r="J14627" i="1"/>
  <c r="I14627" i="1"/>
  <c r="H14627" i="1"/>
  <c r="G14627" i="1"/>
  <c r="M14626" i="1"/>
  <c r="L14626" i="1"/>
  <c r="K14626" i="1"/>
  <c r="J14626" i="1"/>
  <c r="I14626" i="1"/>
  <c r="H14626" i="1"/>
  <c r="G14626" i="1"/>
  <c r="M14625" i="1"/>
  <c r="L14625" i="1"/>
  <c r="K14625" i="1"/>
  <c r="J14625" i="1"/>
  <c r="I14625" i="1"/>
  <c r="H14625" i="1"/>
  <c r="G14625" i="1"/>
  <c r="M14624" i="1"/>
  <c r="L14624" i="1"/>
  <c r="K14624" i="1"/>
  <c r="J14624" i="1"/>
  <c r="I14624" i="1"/>
  <c r="H14624" i="1"/>
  <c r="G14624" i="1"/>
  <c r="M14623" i="1"/>
  <c r="L14623" i="1"/>
  <c r="K14623" i="1"/>
  <c r="J14623" i="1"/>
  <c r="I14623" i="1"/>
  <c r="H14623" i="1"/>
  <c r="G14623" i="1"/>
  <c r="M14622" i="1"/>
  <c r="L14622" i="1"/>
  <c r="K14622" i="1"/>
  <c r="J14622" i="1"/>
  <c r="I14622" i="1"/>
  <c r="H14622" i="1"/>
  <c r="G14622" i="1"/>
  <c r="M14621" i="1"/>
  <c r="L14621" i="1"/>
  <c r="K14621" i="1"/>
  <c r="J14621" i="1"/>
  <c r="I14621" i="1"/>
  <c r="H14621" i="1"/>
  <c r="G14621" i="1"/>
  <c r="M14620" i="1"/>
  <c r="L14620" i="1"/>
  <c r="K14620" i="1"/>
  <c r="J14620" i="1"/>
  <c r="I14620" i="1"/>
  <c r="H14620" i="1"/>
  <c r="G14620" i="1"/>
  <c r="M14619" i="1"/>
  <c r="L14619" i="1"/>
  <c r="K14619" i="1"/>
  <c r="J14619" i="1"/>
  <c r="I14619" i="1"/>
  <c r="H14619" i="1"/>
  <c r="G14619" i="1"/>
  <c r="M14618" i="1"/>
  <c r="L14618" i="1"/>
  <c r="K14618" i="1"/>
  <c r="J14618" i="1"/>
  <c r="I14618" i="1"/>
  <c r="H14618" i="1"/>
  <c r="G14618" i="1"/>
  <c r="M14617" i="1"/>
  <c r="L14617" i="1"/>
  <c r="K14617" i="1"/>
  <c r="J14617" i="1"/>
  <c r="I14617" i="1"/>
  <c r="H14617" i="1"/>
  <c r="G14617" i="1"/>
  <c r="M14616" i="1"/>
  <c r="L14616" i="1"/>
  <c r="K14616" i="1"/>
  <c r="J14616" i="1"/>
  <c r="I14616" i="1"/>
  <c r="H14616" i="1"/>
  <c r="G14616" i="1"/>
  <c r="M14615" i="1"/>
  <c r="L14615" i="1"/>
  <c r="K14615" i="1"/>
  <c r="J14615" i="1"/>
  <c r="I14615" i="1"/>
  <c r="H14615" i="1"/>
  <c r="G14615" i="1"/>
  <c r="M14614" i="1"/>
  <c r="L14614" i="1"/>
  <c r="K14614" i="1"/>
  <c r="J14614" i="1"/>
  <c r="I14614" i="1"/>
  <c r="H14614" i="1"/>
  <c r="G14614" i="1"/>
  <c r="M14613" i="1"/>
  <c r="L14613" i="1"/>
  <c r="K14613" i="1"/>
  <c r="J14613" i="1"/>
  <c r="I14613" i="1"/>
  <c r="H14613" i="1"/>
  <c r="G14613" i="1"/>
  <c r="M14612" i="1"/>
  <c r="L14612" i="1"/>
  <c r="K14612" i="1"/>
  <c r="J14612" i="1"/>
  <c r="I14612" i="1"/>
  <c r="H14612" i="1"/>
  <c r="G14612" i="1"/>
  <c r="M14611" i="1"/>
  <c r="L14611" i="1"/>
  <c r="K14611" i="1"/>
  <c r="J14611" i="1"/>
  <c r="I14611" i="1"/>
  <c r="H14611" i="1"/>
  <c r="G14611" i="1"/>
  <c r="M14610" i="1"/>
  <c r="L14610" i="1"/>
  <c r="K14610" i="1"/>
  <c r="J14610" i="1"/>
  <c r="I14610" i="1"/>
  <c r="H14610" i="1"/>
  <c r="G14610" i="1"/>
  <c r="M14609" i="1"/>
  <c r="L14609" i="1"/>
  <c r="K14609" i="1"/>
  <c r="J14609" i="1"/>
  <c r="I14609" i="1"/>
  <c r="H14609" i="1"/>
  <c r="G14609" i="1"/>
  <c r="M14608" i="1"/>
  <c r="L14608" i="1"/>
  <c r="K14608" i="1"/>
  <c r="J14608" i="1"/>
  <c r="I14608" i="1"/>
  <c r="H14608" i="1"/>
  <c r="G14608" i="1"/>
  <c r="M14607" i="1"/>
  <c r="L14607" i="1"/>
  <c r="K14607" i="1"/>
  <c r="J14607" i="1"/>
  <c r="I14607" i="1"/>
  <c r="H14607" i="1"/>
  <c r="G14607" i="1"/>
  <c r="M14606" i="1"/>
  <c r="L14606" i="1"/>
  <c r="K14606" i="1"/>
  <c r="J14606" i="1"/>
  <c r="I14606" i="1"/>
  <c r="H14606" i="1"/>
  <c r="G14606" i="1"/>
  <c r="M14605" i="1"/>
  <c r="L14605" i="1"/>
  <c r="K14605" i="1"/>
  <c r="J14605" i="1"/>
  <c r="I14605" i="1"/>
  <c r="H14605" i="1"/>
  <c r="G14605" i="1"/>
  <c r="M14604" i="1"/>
  <c r="L14604" i="1"/>
  <c r="K14604" i="1"/>
  <c r="J14604" i="1"/>
  <c r="I14604" i="1"/>
  <c r="H14604" i="1"/>
  <c r="G14604" i="1"/>
  <c r="M14603" i="1"/>
  <c r="L14603" i="1"/>
  <c r="K14603" i="1"/>
  <c r="J14603" i="1"/>
  <c r="I14603" i="1"/>
  <c r="H14603" i="1"/>
  <c r="G14603" i="1"/>
  <c r="M14602" i="1"/>
  <c r="L14602" i="1"/>
  <c r="K14602" i="1"/>
  <c r="J14602" i="1"/>
  <c r="I14602" i="1"/>
  <c r="H14602" i="1"/>
  <c r="G14602" i="1"/>
  <c r="M14601" i="1"/>
  <c r="L14601" i="1"/>
  <c r="K14601" i="1"/>
  <c r="J14601" i="1"/>
  <c r="I14601" i="1"/>
  <c r="H14601" i="1"/>
  <c r="G14601" i="1"/>
  <c r="M14600" i="1"/>
  <c r="L14600" i="1"/>
  <c r="K14600" i="1"/>
  <c r="J14600" i="1"/>
  <c r="I14600" i="1"/>
  <c r="H14600" i="1"/>
  <c r="G14600" i="1"/>
  <c r="M14599" i="1"/>
  <c r="L14599" i="1"/>
  <c r="K14599" i="1"/>
  <c r="J14599" i="1"/>
  <c r="I14599" i="1"/>
  <c r="H14599" i="1"/>
  <c r="G14599" i="1"/>
  <c r="M14598" i="1"/>
  <c r="L14598" i="1"/>
  <c r="K14598" i="1"/>
  <c r="J14598" i="1"/>
  <c r="I14598" i="1"/>
  <c r="H14598" i="1"/>
  <c r="G14598" i="1"/>
  <c r="M14597" i="1"/>
  <c r="L14597" i="1"/>
  <c r="K14597" i="1"/>
  <c r="J14597" i="1"/>
  <c r="I14597" i="1"/>
  <c r="H14597" i="1"/>
  <c r="G14597" i="1"/>
  <c r="M14596" i="1"/>
  <c r="L14596" i="1"/>
  <c r="K14596" i="1"/>
  <c r="J14596" i="1"/>
  <c r="I14596" i="1"/>
  <c r="H14596" i="1"/>
  <c r="G14596" i="1"/>
  <c r="M14595" i="1"/>
  <c r="L14595" i="1"/>
  <c r="K14595" i="1"/>
  <c r="J14595" i="1"/>
  <c r="I14595" i="1"/>
  <c r="H14595" i="1"/>
  <c r="G14595" i="1"/>
  <c r="M14594" i="1"/>
  <c r="L14594" i="1"/>
  <c r="K14594" i="1"/>
  <c r="J14594" i="1"/>
  <c r="I14594" i="1"/>
  <c r="H14594" i="1"/>
  <c r="G14594" i="1"/>
  <c r="M14593" i="1"/>
  <c r="L14593" i="1"/>
  <c r="K14593" i="1"/>
  <c r="J14593" i="1"/>
  <c r="I14593" i="1"/>
  <c r="H14593" i="1"/>
  <c r="G14593" i="1"/>
  <c r="M14592" i="1"/>
  <c r="L14592" i="1"/>
  <c r="K14592" i="1"/>
  <c r="J14592" i="1"/>
  <c r="I14592" i="1"/>
  <c r="H14592" i="1"/>
  <c r="G14592" i="1"/>
  <c r="M14591" i="1"/>
  <c r="L14591" i="1"/>
  <c r="K14591" i="1"/>
  <c r="J14591" i="1"/>
  <c r="I14591" i="1"/>
  <c r="H14591" i="1"/>
  <c r="G14591" i="1"/>
  <c r="M14590" i="1"/>
  <c r="L14590" i="1"/>
  <c r="K14590" i="1"/>
  <c r="J14590" i="1"/>
  <c r="I14590" i="1"/>
  <c r="H14590" i="1"/>
  <c r="G14590" i="1"/>
  <c r="M14589" i="1"/>
  <c r="L14589" i="1"/>
  <c r="K14589" i="1"/>
  <c r="J14589" i="1"/>
  <c r="I14589" i="1"/>
  <c r="H14589" i="1"/>
  <c r="G14589" i="1"/>
  <c r="M14588" i="1"/>
  <c r="L14588" i="1"/>
  <c r="K14588" i="1"/>
  <c r="J14588" i="1"/>
  <c r="I14588" i="1"/>
  <c r="H14588" i="1"/>
  <c r="G14588" i="1"/>
  <c r="M14587" i="1"/>
  <c r="L14587" i="1"/>
  <c r="K14587" i="1"/>
  <c r="J14587" i="1"/>
  <c r="I14587" i="1"/>
  <c r="H14587" i="1"/>
  <c r="G14587" i="1"/>
  <c r="M14586" i="1"/>
  <c r="L14586" i="1"/>
  <c r="K14586" i="1"/>
  <c r="J14586" i="1"/>
  <c r="I14586" i="1"/>
  <c r="H14586" i="1"/>
  <c r="G14586" i="1"/>
  <c r="M14585" i="1"/>
  <c r="L14585" i="1"/>
  <c r="K14585" i="1"/>
  <c r="J14585" i="1"/>
  <c r="I14585" i="1"/>
  <c r="H14585" i="1"/>
  <c r="G14585" i="1"/>
  <c r="M14584" i="1"/>
  <c r="L14584" i="1"/>
  <c r="K14584" i="1"/>
  <c r="J14584" i="1"/>
  <c r="I14584" i="1"/>
  <c r="H14584" i="1"/>
  <c r="G14584" i="1"/>
  <c r="M14583" i="1"/>
  <c r="L14583" i="1"/>
  <c r="K14583" i="1"/>
  <c r="J14583" i="1"/>
  <c r="I14583" i="1"/>
  <c r="H14583" i="1"/>
  <c r="G14583" i="1"/>
  <c r="M14582" i="1"/>
  <c r="L14582" i="1"/>
  <c r="K14582" i="1"/>
  <c r="J14582" i="1"/>
  <c r="I14582" i="1"/>
  <c r="H14582" i="1"/>
  <c r="G14582" i="1"/>
  <c r="M14581" i="1"/>
  <c r="L14581" i="1"/>
  <c r="K14581" i="1"/>
  <c r="J14581" i="1"/>
  <c r="I14581" i="1"/>
  <c r="H14581" i="1"/>
  <c r="G14581" i="1"/>
  <c r="M14580" i="1"/>
  <c r="L14580" i="1"/>
  <c r="K14580" i="1"/>
  <c r="J14580" i="1"/>
  <c r="I14580" i="1"/>
  <c r="H14580" i="1"/>
  <c r="G14580" i="1"/>
  <c r="M14579" i="1"/>
  <c r="L14579" i="1"/>
  <c r="K14579" i="1"/>
  <c r="J14579" i="1"/>
  <c r="I14579" i="1"/>
  <c r="H14579" i="1"/>
  <c r="G14579" i="1"/>
  <c r="M14578" i="1"/>
  <c r="L14578" i="1"/>
  <c r="K14578" i="1"/>
  <c r="J14578" i="1"/>
  <c r="I14578" i="1"/>
  <c r="H14578" i="1"/>
  <c r="G14578" i="1"/>
  <c r="M14577" i="1"/>
  <c r="L14577" i="1"/>
  <c r="K14577" i="1"/>
  <c r="J14577" i="1"/>
  <c r="I14577" i="1"/>
  <c r="H14577" i="1"/>
  <c r="G14577" i="1"/>
  <c r="M14576" i="1"/>
  <c r="L14576" i="1"/>
  <c r="K14576" i="1"/>
  <c r="J14576" i="1"/>
  <c r="I14576" i="1"/>
  <c r="H14576" i="1"/>
  <c r="G14576" i="1"/>
  <c r="M14575" i="1"/>
  <c r="L14575" i="1"/>
  <c r="K14575" i="1"/>
  <c r="J14575" i="1"/>
  <c r="I14575" i="1"/>
  <c r="H14575" i="1"/>
  <c r="G14575" i="1"/>
  <c r="M14574" i="1"/>
  <c r="L14574" i="1"/>
  <c r="K14574" i="1"/>
  <c r="J14574" i="1"/>
  <c r="I14574" i="1"/>
  <c r="H14574" i="1"/>
  <c r="G14574" i="1"/>
  <c r="M14573" i="1"/>
  <c r="L14573" i="1"/>
  <c r="K14573" i="1"/>
  <c r="J14573" i="1"/>
  <c r="I14573" i="1"/>
  <c r="H14573" i="1"/>
  <c r="G14573" i="1"/>
  <c r="M14572" i="1"/>
  <c r="L14572" i="1"/>
  <c r="K14572" i="1"/>
  <c r="J14572" i="1"/>
  <c r="I14572" i="1"/>
  <c r="H14572" i="1"/>
  <c r="G14572" i="1"/>
  <c r="M14571" i="1"/>
  <c r="L14571" i="1"/>
  <c r="K14571" i="1"/>
  <c r="J14571" i="1"/>
  <c r="I14571" i="1"/>
  <c r="H14571" i="1"/>
  <c r="G14571" i="1"/>
  <c r="M14570" i="1"/>
  <c r="L14570" i="1"/>
  <c r="K14570" i="1"/>
  <c r="J14570" i="1"/>
  <c r="I14570" i="1"/>
  <c r="H14570" i="1"/>
  <c r="G14570" i="1"/>
  <c r="M14569" i="1"/>
  <c r="L14569" i="1"/>
  <c r="K14569" i="1"/>
  <c r="J14569" i="1"/>
  <c r="I14569" i="1"/>
  <c r="H14569" i="1"/>
  <c r="G14569" i="1"/>
  <c r="M14568" i="1"/>
  <c r="L14568" i="1"/>
  <c r="K14568" i="1"/>
  <c r="J14568" i="1"/>
  <c r="I14568" i="1"/>
  <c r="H14568" i="1"/>
  <c r="G14568" i="1"/>
  <c r="M14567" i="1"/>
  <c r="L14567" i="1"/>
  <c r="K14567" i="1"/>
  <c r="J14567" i="1"/>
  <c r="I14567" i="1"/>
  <c r="H14567" i="1"/>
  <c r="G14567" i="1"/>
  <c r="M14566" i="1"/>
  <c r="L14566" i="1"/>
  <c r="K14566" i="1"/>
  <c r="J14566" i="1"/>
  <c r="I14566" i="1"/>
  <c r="H14566" i="1"/>
  <c r="G14566" i="1"/>
  <c r="M14565" i="1"/>
  <c r="L14565" i="1"/>
  <c r="K14565" i="1"/>
  <c r="J14565" i="1"/>
  <c r="I14565" i="1"/>
  <c r="H14565" i="1"/>
  <c r="G14565" i="1"/>
  <c r="M14564" i="1"/>
  <c r="L14564" i="1"/>
  <c r="K14564" i="1"/>
  <c r="J14564" i="1"/>
  <c r="I14564" i="1"/>
  <c r="H14564" i="1"/>
  <c r="G14564" i="1"/>
  <c r="M14563" i="1"/>
  <c r="L14563" i="1"/>
  <c r="K14563" i="1"/>
  <c r="J14563" i="1"/>
  <c r="I14563" i="1"/>
  <c r="H14563" i="1"/>
  <c r="G14563" i="1"/>
  <c r="M14562" i="1"/>
  <c r="L14562" i="1"/>
  <c r="K14562" i="1"/>
  <c r="J14562" i="1"/>
  <c r="I14562" i="1"/>
  <c r="H14562" i="1"/>
  <c r="G14562" i="1"/>
  <c r="M14561" i="1"/>
  <c r="L14561" i="1"/>
  <c r="K14561" i="1"/>
  <c r="J14561" i="1"/>
  <c r="I14561" i="1"/>
  <c r="H14561" i="1"/>
  <c r="G14561" i="1"/>
  <c r="M14560" i="1"/>
  <c r="L14560" i="1"/>
  <c r="K14560" i="1"/>
  <c r="J14560" i="1"/>
  <c r="I14560" i="1"/>
  <c r="H14560" i="1"/>
  <c r="G14560" i="1"/>
  <c r="M14559" i="1"/>
  <c r="L14559" i="1"/>
  <c r="K14559" i="1"/>
  <c r="J14559" i="1"/>
  <c r="I14559" i="1"/>
  <c r="H14559" i="1"/>
  <c r="G14559" i="1"/>
  <c r="M14558" i="1"/>
  <c r="L14558" i="1"/>
  <c r="K14558" i="1"/>
  <c r="J14558" i="1"/>
  <c r="I14558" i="1"/>
  <c r="H14558" i="1"/>
  <c r="G14558" i="1"/>
  <c r="M14557" i="1"/>
  <c r="L14557" i="1"/>
  <c r="K14557" i="1"/>
  <c r="J14557" i="1"/>
  <c r="I14557" i="1"/>
  <c r="H14557" i="1"/>
  <c r="G14557" i="1"/>
  <c r="M14556" i="1"/>
  <c r="L14556" i="1"/>
  <c r="K14556" i="1"/>
  <c r="J14556" i="1"/>
  <c r="I14556" i="1"/>
  <c r="H14556" i="1"/>
  <c r="G14556" i="1"/>
  <c r="M14555" i="1"/>
  <c r="L14555" i="1"/>
  <c r="K14555" i="1"/>
  <c r="J14555" i="1"/>
  <c r="I14555" i="1"/>
  <c r="H14555" i="1"/>
  <c r="G14555" i="1"/>
  <c r="M14554" i="1"/>
  <c r="L14554" i="1"/>
  <c r="K14554" i="1"/>
  <c r="J14554" i="1"/>
  <c r="I14554" i="1"/>
  <c r="H14554" i="1"/>
  <c r="G14554" i="1"/>
  <c r="M14553" i="1"/>
  <c r="L14553" i="1"/>
  <c r="K14553" i="1"/>
  <c r="J14553" i="1"/>
  <c r="I14553" i="1"/>
  <c r="H14553" i="1"/>
  <c r="G14553" i="1"/>
  <c r="M14552" i="1"/>
  <c r="L14552" i="1"/>
  <c r="K14552" i="1"/>
  <c r="J14552" i="1"/>
  <c r="I14552" i="1"/>
  <c r="H14552" i="1"/>
  <c r="G14552" i="1"/>
  <c r="M14551" i="1"/>
  <c r="L14551" i="1"/>
  <c r="K14551" i="1"/>
  <c r="J14551" i="1"/>
  <c r="I14551" i="1"/>
  <c r="H14551" i="1"/>
  <c r="G14551" i="1"/>
  <c r="M14550" i="1"/>
  <c r="L14550" i="1"/>
  <c r="K14550" i="1"/>
  <c r="J14550" i="1"/>
  <c r="I14550" i="1"/>
  <c r="H14550" i="1"/>
  <c r="G14550" i="1"/>
  <c r="M14549" i="1"/>
  <c r="L14549" i="1"/>
  <c r="K14549" i="1"/>
  <c r="J14549" i="1"/>
  <c r="I14549" i="1"/>
  <c r="H14549" i="1"/>
  <c r="G14549" i="1"/>
  <c r="M14548" i="1"/>
  <c r="L14548" i="1"/>
  <c r="K14548" i="1"/>
  <c r="J14548" i="1"/>
  <c r="I14548" i="1"/>
  <c r="H14548" i="1"/>
  <c r="G14548" i="1"/>
  <c r="M14547" i="1"/>
  <c r="L14547" i="1"/>
  <c r="K14547" i="1"/>
  <c r="J14547" i="1"/>
  <c r="I14547" i="1"/>
  <c r="H14547" i="1"/>
  <c r="G14547" i="1"/>
  <c r="M14546" i="1"/>
  <c r="L14546" i="1"/>
  <c r="K14546" i="1"/>
  <c r="J14546" i="1"/>
  <c r="I14546" i="1"/>
  <c r="H14546" i="1"/>
  <c r="G14546" i="1"/>
  <c r="M14545" i="1"/>
  <c r="L14545" i="1"/>
  <c r="K14545" i="1"/>
  <c r="J14545" i="1"/>
  <c r="I14545" i="1"/>
  <c r="H14545" i="1"/>
  <c r="G14545" i="1"/>
  <c r="M14544" i="1"/>
  <c r="L14544" i="1"/>
  <c r="K14544" i="1"/>
  <c r="J14544" i="1"/>
  <c r="I14544" i="1"/>
  <c r="H14544" i="1"/>
  <c r="G14544" i="1"/>
  <c r="M14543" i="1"/>
  <c r="L14543" i="1"/>
  <c r="K14543" i="1"/>
  <c r="J14543" i="1"/>
  <c r="I14543" i="1"/>
  <c r="H14543" i="1"/>
  <c r="G14543" i="1"/>
  <c r="M14542" i="1"/>
  <c r="L14542" i="1"/>
  <c r="K14542" i="1"/>
  <c r="J14542" i="1"/>
  <c r="I14542" i="1"/>
  <c r="H14542" i="1"/>
  <c r="G14542" i="1"/>
  <c r="M14541" i="1"/>
  <c r="L14541" i="1"/>
  <c r="K14541" i="1"/>
  <c r="J14541" i="1"/>
  <c r="I14541" i="1"/>
  <c r="H14541" i="1"/>
  <c r="G14541" i="1"/>
  <c r="M14540" i="1"/>
  <c r="L14540" i="1"/>
  <c r="K14540" i="1"/>
  <c r="J14540" i="1"/>
  <c r="I14540" i="1"/>
  <c r="H14540" i="1"/>
  <c r="G14540" i="1"/>
  <c r="M14539" i="1"/>
  <c r="L14539" i="1"/>
  <c r="K14539" i="1"/>
  <c r="J14539" i="1"/>
  <c r="I14539" i="1"/>
  <c r="H14539" i="1"/>
  <c r="G14539" i="1"/>
  <c r="M14538" i="1"/>
  <c r="L14538" i="1"/>
  <c r="K14538" i="1"/>
  <c r="J14538" i="1"/>
  <c r="I14538" i="1"/>
  <c r="H14538" i="1"/>
  <c r="G14538" i="1"/>
  <c r="M14537" i="1"/>
  <c r="L14537" i="1"/>
  <c r="K14537" i="1"/>
  <c r="J14537" i="1"/>
  <c r="I14537" i="1"/>
  <c r="H14537" i="1"/>
  <c r="G14537" i="1"/>
  <c r="M14536" i="1"/>
  <c r="L14536" i="1"/>
  <c r="K14536" i="1"/>
  <c r="J14536" i="1"/>
  <c r="I14536" i="1"/>
  <c r="H14536" i="1"/>
  <c r="G14536" i="1"/>
  <c r="M14535" i="1"/>
  <c r="L14535" i="1"/>
  <c r="K14535" i="1"/>
  <c r="J14535" i="1"/>
  <c r="I14535" i="1"/>
  <c r="H14535" i="1"/>
  <c r="G14535" i="1"/>
  <c r="M14534" i="1"/>
  <c r="L14534" i="1"/>
  <c r="K14534" i="1"/>
  <c r="J14534" i="1"/>
  <c r="I14534" i="1"/>
  <c r="H14534" i="1"/>
  <c r="G14534" i="1"/>
  <c r="M14533" i="1"/>
  <c r="L14533" i="1"/>
  <c r="K14533" i="1"/>
  <c r="J14533" i="1"/>
  <c r="I14533" i="1"/>
  <c r="H14533" i="1"/>
  <c r="G14533" i="1"/>
  <c r="M14532" i="1"/>
  <c r="L14532" i="1"/>
  <c r="K14532" i="1"/>
  <c r="J14532" i="1"/>
  <c r="I14532" i="1"/>
  <c r="H14532" i="1"/>
  <c r="G14532" i="1"/>
  <c r="M14531" i="1"/>
  <c r="L14531" i="1"/>
  <c r="K14531" i="1"/>
  <c r="J14531" i="1"/>
  <c r="I14531" i="1"/>
  <c r="H14531" i="1"/>
  <c r="G14531" i="1"/>
  <c r="M14530" i="1"/>
  <c r="L14530" i="1"/>
  <c r="K14530" i="1"/>
  <c r="J14530" i="1"/>
  <c r="I14530" i="1"/>
  <c r="H14530" i="1"/>
  <c r="G14530" i="1"/>
  <c r="M14529" i="1"/>
  <c r="L14529" i="1"/>
  <c r="K14529" i="1"/>
  <c r="J14529" i="1"/>
  <c r="I14529" i="1"/>
  <c r="H14529" i="1"/>
  <c r="G14529" i="1"/>
  <c r="M14528" i="1"/>
  <c r="L14528" i="1"/>
  <c r="K14528" i="1"/>
  <c r="J14528" i="1"/>
  <c r="I14528" i="1"/>
  <c r="H14528" i="1"/>
  <c r="G14528" i="1"/>
  <c r="M14527" i="1"/>
  <c r="L14527" i="1"/>
  <c r="K14527" i="1"/>
  <c r="J14527" i="1"/>
  <c r="I14527" i="1"/>
  <c r="H14527" i="1"/>
  <c r="G14527" i="1"/>
  <c r="M14526" i="1"/>
  <c r="L14526" i="1"/>
  <c r="K14526" i="1"/>
  <c r="J14526" i="1"/>
  <c r="I14526" i="1"/>
  <c r="H14526" i="1"/>
  <c r="G14526" i="1"/>
  <c r="M14525" i="1"/>
  <c r="L14525" i="1"/>
  <c r="K14525" i="1"/>
  <c r="J14525" i="1"/>
  <c r="I14525" i="1"/>
  <c r="H14525" i="1"/>
  <c r="G14525" i="1"/>
  <c r="M14524" i="1"/>
  <c r="L14524" i="1"/>
  <c r="K14524" i="1"/>
  <c r="J14524" i="1"/>
  <c r="I14524" i="1"/>
  <c r="H14524" i="1"/>
  <c r="G14524" i="1"/>
  <c r="M14523" i="1"/>
  <c r="L14523" i="1"/>
  <c r="K14523" i="1"/>
  <c r="J14523" i="1"/>
  <c r="I14523" i="1"/>
  <c r="H14523" i="1"/>
  <c r="G14523" i="1"/>
  <c r="M14522" i="1"/>
  <c r="L14522" i="1"/>
  <c r="K14522" i="1"/>
  <c r="J14522" i="1"/>
  <c r="I14522" i="1"/>
  <c r="H14522" i="1"/>
  <c r="G14522" i="1"/>
  <c r="M14521" i="1"/>
  <c r="L14521" i="1"/>
  <c r="K14521" i="1"/>
  <c r="J14521" i="1"/>
  <c r="I14521" i="1"/>
  <c r="H14521" i="1"/>
  <c r="G14521" i="1"/>
  <c r="M14520" i="1"/>
  <c r="L14520" i="1"/>
  <c r="K14520" i="1"/>
  <c r="J14520" i="1"/>
  <c r="I14520" i="1"/>
  <c r="H14520" i="1"/>
  <c r="G14520" i="1"/>
  <c r="M14519" i="1"/>
  <c r="L14519" i="1"/>
  <c r="K14519" i="1"/>
  <c r="J14519" i="1"/>
  <c r="I14519" i="1"/>
  <c r="H14519" i="1"/>
  <c r="G14519" i="1"/>
  <c r="M14518" i="1"/>
  <c r="L14518" i="1"/>
  <c r="K14518" i="1"/>
  <c r="J14518" i="1"/>
  <c r="I14518" i="1"/>
  <c r="H14518" i="1"/>
  <c r="G14518" i="1"/>
  <c r="M14517" i="1"/>
  <c r="L14517" i="1"/>
  <c r="K14517" i="1"/>
  <c r="J14517" i="1"/>
  <c r="I14517" i="1"/>
  <c r="H14517" i="1"/>
  <c r="G14517" i="1"/>
  <c r="M14516" i="1"/>
  <c r="L14516" i="1"/>
  <c r="K14516" i="1"/>
  <c r="J14516" i="1"/>
  <c r="I14516" i="1"/>
  <c r="H14516" i="1"/>
  <c r="G14516" i="1"/>
  <c r="M14515" i="1"/>
  <c r="L14515" i="1"/>
  <c r="K14515" i="1"/>
  <c r="J14515" i="1"/>
  <c r="I14515" i="1"/>
  <c r="H14515" i="1"/>
  <c r="G14515" i="1"/>
  <c r="M14514" i="1"/>
  <c r="L14514" i="1"/>
  <c r="K14514" i="1"/>
  <c r="J14514" i="1"/>
  <c r="I14514" i="1"/>
  <c r="H14514" i="1"/>
  <c r="G14514" i="1"/>
  <c r="M14513" i="1"/>
  <c r="L14513" i="1"/>
  <c r="K14513" i="1"/>
  <c r="J14513" i="1"/>
  <c r="I14513" i="1"/>
  <c r="H14513" i="1"/>
  <c r="G14513" i="1"/>
  <c r="M14512" i="1"/>
  <c r="L14512" i="1"/>
  <c r="K14512" i="1"/>
  <c r="J14512" i="1"/>
  <c r="I14512" i="1"/>
  <c r="H14512" i="1"/>
  <c r="G14512" i="1"/>
  <c r="M14511" i="1"/>
  <c r="L14511" i="1"/>
  <c r="K14511" i="1"/>
  <c r="J14511" i="1"/>
  <c r="I14511" i="1"/>
  <c r="H14511" i="1"/>
  <c r="G14511" i="1"/>
  <c r="M14510" i="1"/>
  <c r="L14510" i="1"/>
  <c r="K14510" i="1"/>
  <c r="J14510" i="1"/>
  <c r="I14510" i="1"/>
  <c r="H14510" i="1"/>
  <c r="G14510" i="1"/>
  <c r="M14509" i="1"/>
  <c r="L14509" i="1"/>
  <c r="K14509" i="1"/>
  <c r="J14509" i="1"/>
  <c r="I14509" i="1"/>
  <c r="H14509" i="1"/>
  <c r="G14509" i="1"/>
  <c r="M14508" i="1"/>
  <c r="L14508" i="1"/>
  <c r="K14508" i="1"/>
  <c r="J14508" i="1"/>
  <c r="I14508" i="1"/>
  <c r="H14508" i="1"/>
  <c r="G14508" i="1"/>
  <c r="M14507" i="1"/>
  <c r="L14507" i="1"/>
  <c r="K14507" i="1"/>
  <c r="J14507" i="1"/>
  <c r="I14507" i="1"/>
  <c r="H14507" i="1"/>
  <c r="G14507" i="1"/>
  <c r="M14506" i="1"/>
  <c r="L14506" i="1"/>
  <c r="K14506" i="1"/>
  <c r="J14506" i="1"/>
  <c r="I14506" i="1"/>
  <c r="H14506" i="1"/>
  <c r="G14506" i="1"/>
  <c r="M14505" i="1"/>
  <c r="L14505" i="1"/>
  <c r="K14505" i="1"/>
  <c r="J14505" i="1"/>
  <c r="I14505" i="1"/>
  <c r="H14505" i="1"/>
  <c r="G14505" i="1"/>
  <c r="M14504" i="1"/>
  <c r="L14504" i="1"/>
  <c r="K14504" i="1"/>
  <c r="J14504" i="1"/>
  <c r="I14504" i="1"/>
  <c r="H14504" i="1"/>
  <c r="G14504" i="1"/>
  <c r="M14503" i="1"/>
  <c r="L14503" i="1"/>
  <c r="K14503" i="1"/>
  <c r="J14503" i="1"/>
  <c r="I14503" i="1"/>
  <c r="H14503" i="1"/>
  <c r="G14503" i="1"/>
  <c r="M14502" i="1"/>
  <c r="L14502" i="1"/>
  <c r="K14502" i="1"/>
  <c r="J14502" i="1"/>
  <c r="I14502" i="1"/>
  <c r="H14502" i="1"/>
  <c r="G14502" i="1"/>
  <c r="M14501" i="1"/>
  <c r="L14501" i="1"/>
  <c r="K14501" i="1"/>
  <c r="J14501" i="1"/>
  <c r="I14501" i="1"/>
  <c r="H14501" i="1"/>
  <c r="G14501" i="1"/>
  <c r="M14500" i="1"/>
  <c r="L14500" i="1"/>
  <c r="K14500" i="1"/>
  <c r="J14500" i="1"/>
  <c r="I14500" i="1"/>
  <c r="H14500" i="1"/>
  <c r="G14500" i="1"/>
  <c r="M14499" i="1"/>
  <c r="L14499" i="1"/>
  <c r="K14499" i="1"/>
  <c r="J14499" i="1"/>
  <c r="I14499" i="1"/>
  <c r="H14499" i="1"/>
  <c r="G14499" i="1"/>
  <c r="M14498" i="1"/>
  <c r="L14498" i="1"/>
  <c r="K14498" i="1"/>
  <c r="J14498" i="1"/>
  <c r="I14498" i="1"/>
  <c r="H14498" i="1"/>
  <c r="G14498" i="1"/>
  <c r="M14497" i="1"/>
  <c r="L14497" i="1"/>
  <c r="K14497" i="1"/>
  <c r="J14497" i="1"/>
  <c r="I14497" i="1"/>
  <c r="H14497" i="1"/>
  <c r="G14497" i="1"/>
  <c r="M14496" i="1"/>
  <c r="L14496" i="1"/>
  <c r="K14496" i="1"/>
  <c r="J14496" i="1"/>
  <c r="I14496" i="1"/>
  <c r="H14496" i="1"/>
  <c r="G14496" i="1"/>
  <c r="M14495" i="1"/>
  <c r="L14495" i="1"/>
  <c r="K14495" i="1"/>
  <c r="J14495" i="1"/>
  <c r="I14495" i="1"/>
  <c r="H14495" i="1"/>
  <c r="G14495" i="1"/>
  <c r="M14494" i="1"/>
  <c r="L14494" i="1"/>
  <c r="K14494" i="1"/>
  <c r="J14494" i="1"/>
  <c r="I14494" i="1"/>
  <c r="H14494" i="1"/>
  <c r="G14494" i="1"/>
  <c r="M14493" i="1"/>
  <c r="L14493" i="1"/>
  <c r="K14493" i="1"/>
  <c r="J14493" i="1"/>
  <c r="I14493" i="1"/>
  <c r="H14493" i="1"/>
  <c r="G14493" i="1"/>
  <c r="M14492" i="1"/>
  <c r="L14492" i="1"/>
  <c r="K14492" i="1"/>
  <c r="J14492" i="1"/>
  <c r="I14492" i="1"/>
  <c r="H14492" i="1"/>
  <c r="G14492" i="1"/>
  <c r="M14491" i="1"/>
  <c r="L14491" i="1"/>
  <c r="K14491" i="1"/>
  <c r="J14491" i="1"/>
  <c r="I14491" i="1"/>
  <c r="H14491" i="1"/>
  <c r="G14491" i="1"/>
  <c r="M14490" i="1"/>
  <c r="L14490" i="1"/>
  <c r="K14490" i="1"/>
  <c r="J14490" i="1"/>
  <c r="I14490" i="1"/>
  <c r="H14490" i="1"/>
  <c r="G14490" i="1"/>
  <c r="M14489" i="1"/>
  <c r="L14489" i="1"/>
  <c r="K14489" i="1"/>
  <c r="J14489" i="1"/>
  <c r="I14489" i="1"/>
  <c r="H14489" i="1"/>
  <c r="G14489" i="1"/>
  <c r="M14488" i="1"/>
  <c r="L14488" i="1"/>
  <c r="K14488" i="1"/>
  <c r="J14488" i="1"/>
  <c r="I14488" i="1"/>
  <c r="H14488" i="1"/>
  <c r="G14488" i="1"/>
  <c r="M14487" i="1"/>
  <c r="L14487" i="1"/>
  <c r="K14487" i="1"/>
  <c r="J14487" i="1"/>
  <c r="I14487" i="1"/>
  <c r="H14487" i="1"/>
  <c r="G14487" i="1"/>
  <c r="M14486" i="1"/>
  <c r="L14486" i="1"/>
  <c r="K14486" i="1"/>
  <c r="J14486" i="1"/>
  <c r="I14486" i="1"/>
  <c r="H14486" i="1"/>
  <c r="G14486" i="1"/>
  <c r="M14485" i="1"/>
  <c r="L14485" i="1"/>
  <c r="K14485" i="1"/>
  <c r="J14485" i="1"/>
  <c r="I14485" i="1"/>
  <c r="H14485" i="1"/>
  <c r="G14485" i="1"/>
  <c r="M14484" i="1"/>
  <c r="L14484" i="1"/>
  <c r="K14484" i="1"/>
  <c r="J14484" i="1"/>
  <c r="I14484" i="1"/>
  <c r="H14484" i="1"/>
  <c r="G14484" i="1"/>
  <c r="M14483" i="1"/>
  <c r="L14483" i="1"/>
  <c r="K14483" i="1"/>
  <c r="J14483" i="1"/>
  <c r="I14483" i="1"/>
  <c r="H14483" i="1"/>
  <c r="G14483" i="1"/>
  <c r="M14482" i="1"/>
  <c r="L14482" i="1"/>
  <c r="K14482" i="1"/>
  <c r="J14482" i="1"/>
  <c r="I14482" i="1"/>
  <c r="H14482" i="1"/>
  <c r="G14482" i="1"/>
  <c r="M14481" i="1"/>
  <c r="L14481" i="1"/>
  <c r="K14481" i="1"/>
  <c r="J14481" i="1"/>
  <c r="I14481" i="1"/>
  <c r="H14481" i="1"/>
  <c r="G14481" i="1"/>
  <c r="M14480" i="1"/>
  <c r="L14480" i="1"/>
  <c r="K14480" i="1"/>
  <c r="J14480" i="1"/>
  <c r="I14480" i="1"/>
  <c r="H14480" i="1"/>
  <c r="G14480" i="1"/>
  <c r="M14479" i="1"/>
  <c r="L14479" i="1"/>
  <c r="K14479" i="1"/>
  <c r="J14479" i="1"/>
  <c r="I14479" i="1"/>
  <c r="H14479" i="1"/>
  <c r="G14479" i="1"/>
  <c r="M14478" i="1"/>
  <c r="L14478" i="1"/>
  <c r="K14478" i="1"/>
  <c r="J14478" i="1"/>
  <c r="I14478" i="1"/>
  <c r="H14478" i="1"/>
  <c r="G14478" i="1"/>
  <c r="M14477" i="1"/>
  <c r="L14477" i="1"/>
  <c r="K14477" i="1"/>
  <c r="J14477" i="1"/>
  <c r="I14477" i="1"/>
  <c r="H14477" i="1"/>
  <c r="G14477" i="1"/>
  <c r="M14476" i="1"/>
  <c r="L14476" i="1"/>
  <c r="K14476" i="1"/>
  <c r="J14476" i="1"/>
  <c r="I14476" i="1"/>
  <c r="H14476" i="1"/>
  <c r="G14476" i="1"/>
  <c r="M14475" i="1"/>
  <c r="L14475" i="1"/>
  <c r="K14475" i="1"/>
  <c r="J14475" i="1"/>
  <c r="I14475" i="1"/>
  <c r="H14475" i="1"/>
  <c r="G14475" i="1"/>
  <c r="M14474" i="1"/>
  <c r="L14474" i="1"/>
  <c r="K14474" i="1"/>
  <c r="J14474" i="1"/>
  <c r="I14474" i="1"/>
  <c r="H14474" i="1"/>
  <c r="G14474" i="1"/>
  <c r="M14473" i="1"/>
  <c r="L14473" i="1"/>
  <c r="K14473" i="1"/>
  <c r="J14473" i="1"/>
  <c r="I14473" i="1"/>
  <c r="H14473" i="1"/>
  <c r="G14473" i="1"/>
  <c r="M14472" i="1"/>
  <c r="L14472" i="1"/>
  <c r="K14472" i="1"/>
  <c r="J14472" i="1"/>
  <c r="I14472" i="1"/>
  <c r="H14472" i="1"/>
  <c r="G14472" i="1"/>
  <c r="M14471" i="1"/>
  <c r="L14471" i="1"/>
  <c r="K14471" i="1"/>
  <c r="J14471" i="1"/>
  <c r="I14471" i="1"/>
  <c r="H14471" i="1"/>
  <c r="G14471" i="1"/>
  <c r="M14470" i="1"/>
  <c r="L14470" i="1"/>
  <c r="K14470" i="1"/>
  <c r="J14470" i="1"/>
  <c r="I14470" i="1"/>
  <c r="H14470" i="1"/>
  <c r="G14470" i="1"/>
  <c r="M14469" i="1"/>
  <c r="L14469" i="1"/>
  <c r="K14469" i="1"/>
  <c r="J14469" i="1"/>
  <c r="I14469" i="1"/>
  <c r="H14469" i="1"/>
  <c r="G14469" i="1"/>
  <c r="M14468" i="1"/>
  <c r="L14468" i="1"/>
  <c r="K14468" i="1"/>
  <c r="J14468" i="1"/>
  <c r="I14468" i="1"/>
  <c r="H14468" i="1"/>
  <c r="G14468" i="1"/>
  <c r="M14467" i="1"/>
  <c r="L14467" i="1"/>
  <c r="K14467" i="1"/>
  <c r="J14467" i="1"/>
  <c r="I14467" i="1"/>
  <c r="H14467" i="1"/>
  <c r="G14467" i="1"/>
  <c r="M14466" i="1"/>
  <c r="L14466" i="1"/>
  <c r="K14466" i="1"/>
  <c r="J14466" i="1"/>
  <c r="I14466" i="1"/>
  <c r="H14466" i="1"/>
  <c r="G14466" i="1"/>
  <c r="M14465" i="1"/>
  <c r="L14465" i="1"/>
  <c r="K14465" i="1"/>
  <c r="J14465" i="1"/>
  <c r="I14465" i="1"/>
  <c r="H14465" i="1"/>
  <c r="G14465" i="1"/>
  <c r="M14464" i="1"/>
  <c r="L14464" i="1"/>
  <c r="K14464" i="1"/>
  <c r="J14464" i="1"/>
  <c r="I14464" i="1"/>
  <c r="H14464" i="1"/>
  <c r="G14464" i="1"/>
  <c r="M14463" i="1"/>
  <c r="L14463" i="1"/>
  <c r="K14463" i="1"/>
  <c r="J14463" i="1"/>
  <c r="I14463" i="1"/>
  <c r="H14463" i="1"/>
  <c r="G14463" i="1"/>
  <c r="M14462" i="1"/>
  <c r="L14462" i="1"/>
  <c r="K14462" i="1"/>
  <c r="J14462" i="1"/>
  <c r="I14462" i="1"/>
  <c r="H14462" i="1"/>
  <c r="G14462" i="1"/>
  <c r="M14461" i="1"/>
  <c r="L14461" i="1"/>
  <c r="K14461" i="1"/>
  <c r="J14461" i="1"/>
  <c r="I14461" i="1"/>
  <c r="H14461" i="1"/>
  <c r="G14461" i="1"/>
  <c r="M14460" i="1"/>
  <c r="L14460" i="1"/>
  <c r="K14460" i="1"/>
  <c r="J14460" i="1"/>
  <c r="I14460" i="1"/>
  <c r="H14460" i="1"/>
  <c r="G14460" i="1"/>
  <c r="M14459" i="1"/>
  <c r="L14459" i="1"/>
  <c r="K14459" i="1"/>
  <c r="J14459" i="1"/>
  <c r="I14459" i="1"/>
  <c r="H14459" i="1"/>
  <c r="G14459" i="1"/>
  <c r="M14458" i="1"/>
  <c r="L14458" i="1"/>
  <c r="K14458" i="1"/>
  <c r="J14458" i="1"/>
  <c r="I14458" i="1"/>
  <c r="H14458" i="1"/>
  <c r="G14458" i="1"/>
  <c r="M14457" i="1"/>
  <c r="L14457" i="1"/>
  <c r="K14457" i="1"/>
  <c r="J14457" i="1"/>
  <c r="I14457" i="1"/>
  <c r="H14457" i="1"/>
  <c r="G14457" i="1"/>
  <c r="M14456" i="1"/>
  <c r="L14456" i="1"/>
  <c r="K14456" i="1"/>
  <c r="J14456" i="1"/>
  <c r="I14456" i="1"/>
  <c r="H14456" i="1"/>
  <c r="G14456" i="1"/>
  <c r="M14455" i="1"/>
  <c r="L14455" i="1"/>
  <c r="K14455" i="1"/>
  <c r="J14455" i="1"/>
  <c r="I14455" i="1"/>
  <c r="H14455" i="1"/>
  <c r="G14455" i="1"/>
  <c r="M14454" i="1"/>
  <c r="L14454" i="1"/>
  <c r="K14454" i="1"/>
  <c r="J14454" i="1"/>
  <c r="I14454" i="1"/>
  <c r="H14454" i="1"/>
  <c r="G14454" i="1"/>
  <c r="M14453" i="1"/>
  <c r="L14453" i="1"/>
  <c r="K14453" i="1"/>
  <c r="J14453" i="1"/>
  <c r="I14453" i="1"/>
  <c r="H14453" i="1"/>
  <c r="G14453" i="1"/>
  <c r="M14452" i="1"/>
  <c r="L14452" i="1"/>
  <c r="K14452" i="1"/>
  <c r="J14452" i="1"/>
  <c r="I14452" i="1"/>
  <c r="H14452" i="1"/>
  <c r="G14452" i="1"/>
  <c r="M14451" i="1"/>
  <c r="L14451" i="1"/>
  <c r="K14451" i="1"/>
  <c r="J14451" i="1"/>
  <c r="I14451" i="1"/>
  <c r="H14451" i="1"/>
  <c r="G14451" i="1"/>
  <c r="M14450" i="1"/>
  <c r="L14450" i="1"/>
  <c r="K14450" i="1"/>
  <c r="J14450" i="1"/>
  <c r="I14450" i="1"/>
  <c r="H14450" i="1"/>
  <c r="G14450" i="1"/>
  <c r="M14449" i="1"/>
  <c r="L14449" i="1"/>
  <c r="K14449" i="1"/>
  <c r="J14449" i="1"/>
  <c r="I14449" i="1"/>
  <c r="H14449" i="1"/>
  <c r="G14449" i="1"/>
  <c r="M14448" i="1"/>
  <c r="L14448" i="1"/>
  <c r="K14448" i="1"/>
  <c r="J14448" i="1"/>
  <c r="I14448" i="1"/>
  <c r="H14448" i="1"/>
  <c r="G14448" i="1"/>
  <c r="M14447" i="1"/>
  <c r="L14447" i="1"/>
  <c r="K14447" i="1"/>
  <c r="J14447" i="1"/>
  <c r="I14447" i="1"/>
  <c r="H14447" i="1"/>
  <c r="G14447" i="1"/>
  <c r="M14446" i="1"/>
  <c r="L14446" i="1"/>
  <c r="K14446" i="1"/>
  <c r="J14446" i="1"/>
  <c r="I14446" i="1"/>
  <c r="H14446" i="1"/>
  <c r="G14446" i="1"/>
  <c r="M14445" i="1"/>
  <c r="L14445" i="1"/>
  <c r="K14445" i="1"/>
  <c r="J14445" i="1"/>
  <c r="I14445" i="1"/>
  <c r="H14445" i="1"/>
  <c r="G14445" i="1"/>
  <c r="M14444" i="1"/>
  <c r="L14444" i="1"/>
  <c r="K14444" i="1"/>
  <c r="J14444" i="1"/>
  <c r="I14444" i="1"/>
  <c r="H14444" i="1"/>
  <c r="G14444" i="1"/>
  <c r="M14443" i="1"/>
  <c r="L14443" i="1"/>
  <c r="K14443" i="1"/>
  <c r="J14443" i="1"/>
  <c r="I14443" i="1"/>
  <c r="H14443" i="1"/>
  <c r="G14443" i="1"/>
  <c r="M14442" i="1"/>
  <c r="L14442" i="1"/>
  <c r="K14442" i="1"/>
  <c r="J14442" i="1"/>
  <c r="I14442" i="1"/>
  <c r="H14442" i="1"/>
  <c r="G14442" i="1"/>
  <c r="M14441" i="1"/>
  <c r="L14441" i="1"/>
  <c r="K14441" i="1"/>
  <c r="J14441" i="1"/>
  <c r="I14441" i="1"/>
  <c r="H14441" i="1"/>
  <c r="G14441" i="1"/>
  <c r="M14440" i="1"/>
  <c r="L14440" i="1"/>
  <c r="K14440" i="1"/>
  <c r="J14440" i="1"/>
  <c r="I14440" i="1"/>
  <c r="H14440" i="1"/>
  <c r="G14440" i="1"/>
  <c r="M14439" i="1"/>
  <c r="L14439" i="1"/>
  <c r="K14439" i="1"/>
  <c r="J14439" i="1"/>
  <c r="I14439" i="1"/>
  <c r="H14439" i="1"/>
  <c r="G14439" i="1"/>
  <c r="M14438" i="1"/>
  <c r="L14438" i="1"/>
  <c r="K14438" i="1"/>
  <c r="J14438" i="1"/>
  <c r="I14438" i="1"/>
  <c r="H14438" i="1"/>
  <c r="G14438" i="1"/>
  <c r="M14437" i="1"/>
  <c r="L14437" i="1"/>
  <c r="K14437" i="1"/>
  <c r="J14437" i="1"/>
  <c r="I14437" i="1"/>
  <c r="H14437" i="1"/>
  <c r="G14437" i="1"/>
  <c r="M14436" i="1"/>
  <c r="L14436" i="1"/>
  <c r="K14436" i="1"/>
  <c r="J14436" i="1"/>
  <c r="I14436" i="1"/>
  <c r="H14436" i="1"/>
  <c r="G14436" i="1"/>
  <c r="M14435" i="1"/>
  <c r="L14435" i="1"/>
  <c r="K14435" i="1"/>
  <c r="J14435" i="1"/>
  <c r="I14435" i="1"/>
  <c r="H14435" i="1"/>
  <c r="G14435" i="1"/>
  <c r="M14434" i="1"/>
  <c r="L14434" i="1"/>
  <c r="K14434" i="1"/>
  <c r="J14434" i="1"/>
  <c r="I14434" i="1"/>
  <c r="H14434" i="1"/>
  <c r="G14434" i="1"/>
  <c r="M14433" i="1"/>
  <c r="L14433" i="1"/>
  <c r="K14433" i="1"/>
  <c r="J14433" i="1"/>
  <c r="I14433" i="1"/>
  <c r="H14433" i="1"/>
  <c r="G14433" i="1"/>
  <c r="M14432" i="1"/>
  <c r="L14432" i="1"/>
  <c r="K14432" i="1"/>
  <c r="J14432" i="1"/>
  <c r="I14432" i="1"/>
  <c r="H14432" i="1"/>
  <c r="G14432" i="1"/>
  <c r="M14431" i="1"/>
  <c r="L14431" i="1"/>
  <c r="K14431" i="1"/>
  <c r="J14431" i="1"/>
  <c r="I14431" i="1"/>
  <c r="H14431" i="1"/>
  <c r="G14431" i="1"/>
  <c r="M14430" i="1"/>
  <c r="L14430" i="1"/>
  <c r="K14430" i="1"/>
  <c r="J14430" i="1"/>
  <c r="I14430" i="1"/>
  <c r="H14430" i="1"/>
  <c r="G14430" i="1"/>
  <c r="M14429" i="1"/>
  <c r="L14429" i="1"/>
  <c r="K14429" i="1"/>
  <c r="J14429" i="1"/>
  <c r="I14429" i="1"/>
  <c r="H14429" i="1"/>
  <c r="G14429" i="1"/>
  <c r="M14428" i="1"/>
  <c r="L14428" i="1"/>
  <c r="K14428" i="1"/>
  <c r="J14428" i="1"/>
  <c r="I14428" i="1"/>
  <c r="H14428" i="1"/>
  <c r="G14428" i="1"/>
  <c r="M14427" i="1"/>
  <c r="L14427" i="1"/>
  <c r="K14427" i="1"/>
  <c r="J14427" i="1"/>
  <c r="I14427" i="1"/>
  <c r="H14427" i="1"/>
  <c r="G14427" i="1"/>
  <c r="M14426" i="1"/>
  <c r="L14426" i="1"/>
  <c r="K14426" i="1"/>
  <c r="J14426" i="1"/>
  <c r="I14426" i="1"/>
  <c r="H14426" i="1"/>
  <c r="G14426" i="1"/>
  <c r="M14425" i="1"/>
  <c r="L14425" i="1"/>
  <c r="K14425" i="1"/>
  <c r="J14425" i="1"/>
  <c r="I14425" i="1"/>
  <c r="H14425" i="1"/>
  <c r="G14425" i="1"/>
  <c r="M14424" i="1"/>
  <c r="L14424" i="1"/>
  <c r="K14424" i="1"/>
  <c r="J14424" i="1"/>
  <c r="I14424" i="1"/>
  <c r="H14424" i="1"/>
  <c r="G14424" i="1"/>
  <c r="M14423" i="1"/>
  <c r="L14423" i="1"/>
  <c r="K14423" i="1"/>
  <c r="J14423" i="1"/>
  <c r="I14423" i="1"/>
  <c r="H14423" i="1"/>
  <c r="G14423" i="1"/>
  <c r="M14422" i="1"/>
  <c r="L14422" i="1"/>
  <c r="K14422" i="1"/>
  <c r="J14422" i="1"/>
  <c r="I14422" i="1"/>
  <c r="H14422" i="1"/>
  <c r="G14422" i="1"/>
  <c r="M14421" i="1"/>
  <c r="L14421" i="1"/>
  <c r="K14421" i="1"/>
  <c r="J14421" i="1"/>
  <c r="I14421" i="1"/>
  <c r="H14421" i="1"/>
  <c r="G14421" i="1"/>
  <c r="M14420" i="1"/>
  <c r="L14420" i="1"/>
  <c r="K14420" i="1"/>
  <c r="J14420" i="1"/>
  <c r="I14420" i="1"/>
  <c r="H14420" i="1"/>
  <c r="G14420" i="1"/>
  <c r="M14419" i="1"/>
  <c r="L14419" i="1"/>
  <c r="K14419" i="1"/>
  <c r="J14419" i="1"/>
  <c r="I14419" i="1"/>
  <c r="H14419" i="1"/>
  <c r="G14419" i="1"/>
  <c r="M14418" i="1"/>
  <c r="L14418" i="1"/>
  <c r="K14418" i="1"/>
  <c r="J14418" i="1"/>
  <c r="I14418" i="1"/>
  <c r="H14418" i="1"/>
  <c r="G14418" i="1"/>
  <c r="M14417" i="1"/>
  <c r="L14417" i="1"/>
  <c r="K14417" i="1"/>
  <c r="J14417" i="1"/>
  <c r="I14417" i="1"/>
  <c r="H14417" i="1"/>
  <c r="G14417" i="1"/>
  <c r="M14416" i="1"/>
  <c r="L14416" i="1"/>
  <c r="K14416" i="1"/>
  <c r="J14416" i="1"/>
  <c r="I14416" i="1"/>
  <c r="H14416" i="1"/>
  <c r="G14416" i="1"/>
  <c r="M14415" i="1"/>
  <c r="L14415" i="1"/>
  <c r="K14415" i="1"/>
  <c r="J14415" i="1"/>
  <c r="I14415" i="1"/>
  <c r="H14415" i="1"/>
  <c r="G14415" i="1"/>
  <c r="M14414" i="1"/>
  <c r="L14414" i="1"/>
  <c r="K14414" i="1"/>
  <c r="J14414" i="1"/>
  <c r="I14414" i="1"/>
  <c r="H14414" i="1"/>
  <c r="G14414" i="1"/>
  <c r="M14413" i="1"/>
  <c r="L14413" i="1"/>
  <c r="K14413" i="1"/>
  <c r="J14413" i="1"/>
  <c r="I14413" i="1"/>
  <c r="H14413" i="1"/>
  <c r="G14413" i="1"/>
  <c r="M14412" i="1"/>
  <c r="L14412" i="1"/>
  <c r="K14412" i="1"/>
  <c r="J14412" i="1"/>
  <c r="I14412" i="1"/>
  <c r="H14412" i="1"/>
  <c r="G14412" i="1"/>
  <c r="M14411" i="1"/>
  <c r="L14411" i="1"/>
  <c r="K14411" i="1"/>
  <c r="J14411" i="1"/>
  <c r="I14411" i="1"/>
  <c r="H14411" i="1"/>
  <c r="G14411" i="1"/>
  <c r="M14410" i="1"/>
  <c r="L14410" i="1"/>
  <c r="K14410" i="1"/>
  <c r="J14410" i="1"/>
  <c r="I14410" i="1"/>
  <c r="H14410" i="1"/>
  <c r="G14410" i="1"/>
  <c r="M14409" i="1"/>
  <c r="L14409" i="1"/>
  <c r="K14409" i="1"/>
  <c r="J14409" i="1"/>
  <c r="I14409" i="1"/>
  <c r="H14409" i="1"/>
  <c r="G14409" i="1"/>
  <c r="M14408" i="1"/>
  <c r="L14408" i="1"/>
  <c r="K14408" i="1"/>
  <c r="J14408" i="1"/>
  <c r="I14408" i="1"/>
  <c r="H14408" i="1"/>
  <c r="G14408" i="1"/>
  <c r="M14407" i="1"/>
  <c r="L14407" i="1"/>
  <c r="K14407" i="1"/>
  <c r="J14407" i="1"/>
  <c r="I14407" i="1"/>
  <c r="H14407" i="1"/>
  <c r="G14407" i="1"/>
  <c r="M14406" i="1"/>
  <c r="L14406" i="1"/>
  <c r="K14406" i="1"/>
  <c r="J14406" i="1"/>
  <c r="I14406" i="1"/>
  <c r="H14406" i="1"/>
  <c r="G14406" i="1"/>
  <c r="M14405" i="1"/>
  <c r="L14405" i="1"/>
  <c r="K14405" i="1"/>
  <c r="J14405" i="1"/>
  <c r="I14405" i="1"/>
  <c r="H14405" i="1"/>
  <c r="G14405" i="1"/>
  <c r="M14404" i="1"/>
  <c r="L14404" i="1"/>
  <c r="K14404" i="1"/>
  <c r="J14404" i="1"/>
  <c r="I14404" i="1"/>
  <c r="H14404" i="1"/>
  <c r="G14404" i="1"/>
  <c r="M14403" i="1"/>
  <c r="L14403" i="1"/>
  <c r="K14403" i="1"/>
  <c r="J14403" i="1"/>
  <c r="I14403" i="1"/>
  <c r="H14403" i="1"/>
  <c r="G14403" i="1"/>
  <c r="M14402" i="1"/>
  <c r="L14402" i="1"/>
  <c r="K14402" i="1"/>
  <c r="J14402" i="1"/>
  <c r="I14402" i="1"/>
  <c r="H14402" i="1"/>
  <c r="G14402" i="1"/>
  <c r="M14401" i="1"/>
  <c r="L14401" i="1"/>
  <c r="K14401" i="1"/>
  <c r="J14401" i="1"/>
  <c r="I14401" i="1"/>
  <c r="H14401" i="1"/>
  <c r="G14401" i="1"/>
  <c r="M14400" i="1"/>
  <c r="L14400" i="1"/>
  <c r="K14400" i="1"/>
  <c r="J14400" i="1"/>
  <c r="I14400" i="1"/>
  <c r="H14400" i="1"/>
  <c r="G14400" i="1"/>
  <c r="M14399" i="1"/>
  <c r="L14399" i="1"/>
  <c r="K14399" i="1"/>
  <c r="J14399" i="1"/>
  <c r="I14399" i="1"/>
  <c r="H14399" i="1"/>
  <c r="G14399" i="1"/>
  <c r="M14398" i="1"/>
  <c r="L14398" i="1"/>
  <c r="K14398" i="1"/>
  <c r="J14398" i="1"/>
  <c r="I14398" i="1"/>
  <c r="H14398" i="1"/>
  <c r="G14398" i="1"/>
  <c r="M14397" i="1"/>
  <c r="L14397" i="1"/>
  <c r="K14397" i="1"/>
  <c r="J14397" i="1"/>
  <c r="I14397" i="1"/>
  <c r="H14397" i="1"/>
  <c r="G14397" i="1"/>
  <c r="M14396" i="1"/>
  <c r="L14396" i="1"/>
  <c r="K14396" i="1"/>
  <c r="J14396" i="1"/>
  <c r="I14396" i="1"/>
  <c r="H14396" i="1"/>
  <c r="G14396" i="1"/>
  <c r="M14395" i="1"/>
  <c r="L14395" i="1"/>
  <c r="K14395" i="1"/>
  <c r="J14395" i="1"/>
  <c r="I14395" i="1"/>
  <c r="H14395" i="1"/>
  <c r="G14395" i="1"/>
  <c r="M14394" i="1"/>
  <c r="L14394" i="1"/>
  <c r="K14394" i="1"/>
  <c r="J14394" i="1"/>
  <c r="I14394" i="1"/>
  <c r="H14394" i="1"/>
  <c r="G14394" i="1"/>
  <c r="M14393" i="1"/>
  <c r="L14393" i="1"/>
  <c r="K14393" i="1"/>
  <c r="J14393" i="1"/>
  <c r="I14393" i="1"/>
  <c r="H14393" i="1"/>
  <c r="G14393" i="1"/>
  <c r="M14392" i="1"/>
  <c r="L14392" i="1"/>
  <c r="K14392" i="1"/>
  <c r="J14392" i="1"/>
  <c r="I14392" i="1"/>
  <c r="H14392" i="1"/>
  <c r="G14392" i="1"/>
  <c r="M14391" i="1"/>
  <c r="L14391" i="1"/>
  <c r="K14391" i="1"/>
  <c r="J14391" i="1"/>
  <c r="I14391" i="1"/>
  <c r="H14391" i="1"/>
  <c r="G14391" i="1"/>
  <c r="M14390" i="1"/>
  <c r="L14390" i="1"/>
  <c r="K14390" i="1"/>
  <c r="J14390" i="1"/>
  <c r="I14390" i="1"/>
  <c r="H14390" i="1"/>
  <c r="G14390" i="1"/>
  <c r="M14389" i="1"/>
  <c r="L14389" i="1"/>
  <c r="K14389" i="1"/>
  <c r="J14389" i="1"/>
  <c r="I14389" i="1"/>
  <c r="H14389" i="1"/>
  <c r="G14389" i="1"/>
  <c r="M14388" i="1"/>
  <c r="L14388" i="1"/>
  <c r="K14388" i="1"/>
  <c r="J14388" i="1"/>
  <c r="I14388" i="1"/>
  <c r="H14388" i="1"/>
  <c r="G14388" i="1"/>
  <c r="M14387" i="1"/>
  <c r="L14387" i="1"/>
  <c r="K14387" i="1"/>
  <c r="J14387" i="1"/>
  <c r="I14387" i="1"/>
  <c r="H14387" i="1"/>
  <c r="G14387" i="1"/>
  <c r="M14386" i="1"/>
  <c r="L14386" i="1"/>
  <c r="K14386" i="1"/>
  <c r="J14386" i="1"/>
  <c r="I14386" i="1"/>
  <c r="H14386" i="1"/>
  <c r="G14386" i="1"/>
  <c r="M14385" i="1"/>
  <c r="L14385" i="1"/>
  <c r="K14385" i="1"/>
  <c r="J14385" i="1"/>
  <c r="I14385" i="1"/>
  <c r="H14385" i="1"/>
  <c r="G14385" i="1"/>
  <c r="M14384" i="1"/>
  <c r="L14384" i="1"/>
  <c r="K14384" i="1"/>
  <c r="J14384" i="1"/>
  <c r="I14384" i="1"/>
  <c r="H14384" i="1"/>
  <c r="G14384" i="1"/>
  <c r="M14383" i="1"/>
  <c r="L14383" i="1"/>
  <c r="K14383" i="1"/>
  <c r="J14383" i="1"/>
  <c r="I14383" i="1"/>
  <c r="H14383" i="1"/>
  <c r="G14383" i="1"/>
  <c r="M14382" i="1"/>
  <c r="L14382" i="1"/>
  <c r="K14382" i="1"/>
  <c r="J14382" i="1"/>
  <c r="I14382" i="1"/>
  <c r="H14382" i="1"/>
  <c r="G14382" i="1"/>
  <c r="M14381" i="1"/>
  <c r="L14381" i="1"/>
  <c r="K14381" i="1"/>
  <c r="J14381" i="1"/>
  <c r="I14381" i="1"/>
  <c r="H14381" i="1"/>
  <c r="G14381" i="1"/>
  <c r="M14380" i="1"/>
  <c r="L14380" i="1"/>
  <c r="K14380" i="1"/>
  <c r="J14380" i="1"/>
  <c r="I14380" i="1"/>
  <c r="H14380" i="1"/>
  <c r="G14380" i="1"/>
  <c r="M14379" i="1"/>
  <c r="L14379" i="1"/>
  <c r="K14379" i="1"/>
  <c r="J14379" i="1"/>
  <c r="I14379" i="1"/>
  <c r="H14379" i="1"/>
  <c r="G14379" i="1"/>
  <c r="M14378" i="1"/>
  <c r="L14378" i="1"/>
  <c r="K14378" i="1"/>
  <c r="J14378" i="1"/>
  <c r="I14378" i="1"/>
  <c r="H14378" i="1"/>
  <c r="G14378" i="1"/>
  <c r="M14377" i="1"/>
  <c r="L14377" i="1"/>
  <c r="K14377" i="1"/>
  <c r="J14377" i="1"/>
  <c r="I14377" i="1"/>
  <c r="H14377" i="1"/>
  <c r="G14377" i="1"/>
  <c r="M14376" i="1"/>
  <c r="L14376" i="1"/>
  <c r="K14376" i="1"/>
  <c r="J14376" i="1"/>
  <c r="I14376" i="1"/>
  <c r="H14376" i="1"/>
  <c r="G14376" i="1"/>
  <c r="M14375" i="1"/>
  <c r="L14375" i="1"/>
  <c r="K14375" i="1"/>
  <c r="J14375" i="1"/>
  <c r="I14375" i="1"/>
  <c r="H14375" i="1"/>
  <c r="G14375" i="1"/>
  <c r="M14374" i="1"/>
  <c r="L14374" i="1"/>
  <c r="K14374" i="1"/>
  <c r="J14374" i="1"/>
  <c r="I14374" i="1"/>
  <c r="H14374" i="1"/>
  <c r="G14374" i="1"/>
  <c r="M14373" i="1"/>
  <c r="L14373" i="1"/>
  <c r="K14373" i="1"/>
  <c r="J14373" i="1"/>
  <c r="I14373" i="1"/>
  <c r="H14373" i="1"/>
  <c r="G14373" i="1"/>
  <c r="M14372" i="1"/>
  <c r="L14372" i="1"/>
  <c r="K14372" i="1"/>
  <c r="J14372" i="1"/>
  <c r="I14372" i="1"/>
  <c r="H14372" i="1"/>
  <c r="G14372" i="1"/>
  <c r="M14371" i="1"/>
  <c r="L14371" i="1"/>
  <c r="K14371" i="1"/>
  <c r="J14371" i="1"/>
  <c r="I14371" i="1"/>
  <c r="H14371" i="1"/>
  <c r="G14371" i="1"/>
  <c r="M14370" i="1"/>
  <c r="L14370" i="1"/>
  <c r="K14370" i="1"/>
  <c r="J14370" i="1"/>
  <c r="I14370" i="1"/>
  <c r="H14370" i="1"/>
  <c r="G14370" i="1"/>
  <c r="M14369" i="1"/>
  <c r="L14369" i="1"/>
  <c r="K14369" i="1"/>
  <c r="J14369" i="1"/>
  <c r="I14369" i="1"/>
  <c r="H14369" i="1"/>
  <c r="G14369" i="1"/>
  <c r="M14368" i="1"/>
  <c r="L14368" i="1"/>
  <c r="K14368" i="1"/>
  <c r="J14368" i="1"/>
  <c r="I14368" i="1"/>
  <c r="H14368" i="1"/>
  <c r="G14368" i="1"/>
  <c r="M14367" i="1"/>
  <c r="L14367" i="1"/>
  <c r="K14367" i="1"/>
  <c r="J14367" i="1"/>
  <c r="I14367" i="1"/>
  <c r="H14367" i="1"/>
  <c r="G14367" i="1"/>
  <c r="M14366" i="1"/>
  <c r="L14366" i="1"/>
  <c r="K14366" i="1"/>
  <c r="J14366" i="1"/>
  <c r="I14366" i="1"/>
  <c r="H14366" i="1"/>
  <c r="G14366" i="1"/>
  <c r="M14365" i="1"/>
  <c r="L14365" i="1"/>
  <c r="K14365" i="1"/>
  <c r="J14365" i="1"/>
  <c r="I14365" i="1"/>
  <c r="H14365" i="1"/>
  <c r="G14365" i="1"/>
  <c r="M14364" i="1"/>
  <c r="L14364" i="1"/>
  <c r="K14364" i="1"/>
  <c r="J14364" i="1"/>
  <c r="I14364" i="1"/>
  <c r="H14364" i="1"/>
  <c r="G14364" i="1"/>
  <c r="M14363" i="1"/>
  <c r="L14363" i="1"/>
  <c r="K14363" i="1"/>
  <c r="J14363" i="1"/>
  <c r="I14363" i="1"/>
  <c r="H14363" i="1"/>
  <c r="G14363" i="1"/>
  <c r="M14362" i="1"/>
  <c r="L14362" i="1"/>
  <c r="K14362" i="1"/>
  <c r="J14362" i="1"/>
  <c r="I14362" i="1"/>
  <c r="H14362" i="1"/>
  <c r="G14362" i="1"/>
  <c r="M14361" i="1"/>
  <c r="L14361" i="1"/>
  <c r="K14361" i="1"/>
  <c r="J14361" i="1"/>
  <c r="I14361" i="1"/>
  <c r="H14361" i="1"/>
  <c r="G14361" i="1"/>
  <c r="M14360" i="1"/>
  <c r="L14360" i="1"/>
  <c r="K14360" i="1"/>
  <c r="J14360" i="1"/>
  <c r="I14360" i="1"/>
  <c r="H14360" i="1"/>
  <c r="G14360" i="1"/>
  <c r="M14359" i="1"/>
  <c r="L14359" i="1"/>
  <c r="K14359" i="1"/>
  <c r="J14359" i="1"/>
  <c r="I14359" i="1"/>
  <c r="H14359" i="1"/>
  <c r="G14359" i="1"/>
  <c r="M14358" i="1"/>
  <c r="L14358" i="1"/>
  <c r="K14358" i="1"/>
  <c r="J14358" i="1"/>
  <c r="I14358" i="1"/>
  <c r="H14358" i="1"/>
  <c r="G14358" i="1"/>
  <c r="M14357" i="1"/>
  <c r="L14357" i="1"/>
  <c r="K14357" i="1"/>
  <c r="J14357" i="1"/>
  <c r="I14357" i="1"/>
  <c r="H14357" i="1"/>
  <c r="G14357" i="1"/>
  <c r="M14356" i="1"/>
  <c r="L14356" i="1"/>
  <c r="K14356" i="1"/>
  <c r="J14356" i="1"/>
  <c r="I14356" i="1"/>
  <c r="H14356" i="1"/>
  <c r="G14356" i="1"/>
  <c r="M14355" i="1"/>
  <c r="L14355" i="1"/>
  <c r="K14355" i="1"/>
  <c r="J14355" i="1"/>
  <c r="I14355" i="1"/>
  <c r="H14355" i="1"/>
  <c r="G14355" i="1"/>
  <c r="M14354" i="1"/>
  <c r="L14354" i="1"/>
  <c r="K14354" i="1"/>
  <c r="J14354" i="1"/>
  <c r="I14354" i="1"/>
  <c r="H14354" i="1"/>
  <c r="G14354" i="1"/>
  <c r="M14353" i="1"/>
  <c r="L14353" i="1"/>
  <c r="K14353" i="1"/>
  <c r="J14353" i="1"/>
  <c r="I14353" i="1"/>
  <c r="H14353" i="1"/>
  <c r="G14353" i="1"/>
  <c r="M14352" i="1"/>
  <c r="L14352" i="1"/>
  <c r="K14352" i="1"/>
  <c r="J14352" i="1"/>
  <c r="I14352" i="1"/>
  <c r="H14352" i="1"/>
  <c r="G14352" i="1"/>
  <c r="M14351" i="1"/>
  <c r="L14351" i="1"/>
  <c r="K14351" i="1"/>
  <c r="J14351" i="1"/>
  <c r="I14351" i="1"/>
  <c r="H14351" i="1"/>
  <c r="G14351" i="1"/>
  <c r="M14350" i="1"/>
  <c r="L14350" i="1"/>
  <c r="K14350" i="1"/>
  <c r="J14350" i="1"/>
  <c r="I14350" i="1"/>
  <c r="H14350" i="1"/>
  <c r="G14350" i="1"/>
  <c r="M14349" i="1"/>
  <c r="L14349" i="1"/>
  <c r="K14349" i="1"/>
  <c r="J14349" i="1"/>
  <c r="I14349" i="1"/>
  <c r="H14349" i="1"/>
  <c r="G14349" i="1"/>
  <c r="M14348" i="1"/>
  <c r="L14348" i="1"/>
  <c r="K14348" i="1"/>
  <c r="J14348" i="1"/>
  <c r="I14348" i="1"/>
  <c r="H14348" i="1"/>
  <c r="G14348" i="1"/>
  <c r="M14347" i="1"/>
  <c r="L14347" i="1"/>
  <c r="K14347" i="1"/>
  <c r="J14347" i="1"/>
  <c r="I14347" i="1"/>
  <c r="H14347" i="1"/>
  <c r="G14347" i="1"/>
  <c r="M14346" i="1"/>
  <c r="L14346" i="1"/>
  <c r="K14346" i="1"/>
  <c r="J14346" i="1"/>
  <c r="I14346" i="1"/>
  <c r="H14346" i="1"/>
  <c r="G14346" i="1"/>
  <c r="M14345" i="1"/>
  <c r="L14345" i="1"/>
  <c r="K14345" i="1"/>
  <c r="J14345" i="1"/>
  <c r="I14345" i="1"/>
  <c r="H14345" i="1"/>
  <c r="G14345" i="1"/>
  <c r="M14344" i="1"/>
  <c r="L14344" i="1"/>
  <c r="K14344" i="1"/>
  <c r="J14344" i="1"/>
  <c r="I14344" i="1"/>
  <c r="H14344" i="1"/>
  <c r="G14344" i="1"/>
  <c r="M14343" i="1"/>
  <c r="L14343" i="1"/>
  <c r="K14343" i="1"/>
  <c r="J14343" i="1"/>
  <c r="I14343" i="1"/>
  <c r="H14343" i="1"/>
  <c r="G14343" i="1"/>
  <c r="M14342" i="1"/>
  <c r="L14342" i="1"/>
  <c r="K14342" i="1"/>
  <c r="J14342" i="1"/>
  <c r="I14342" i="1"/>
  <c r="H14342" i="1"/>
  <c r="G14342" i="1"/>
  <c r="M14341" i="1"/>
  <c r="L14341" i="1"/>
  <c r="K14341" i="1"/>
  <c r="J14341" i="1"/>
  <c r="I14341" i="1"/>
  <c r="H14341" i="1"/>
  <c r="G14341" i="1"/>
  <c r="M14340" i="1"/>
  <c r="L14340" i="1"/>
  <c r="K14340" i="1"/>
  <c r="J14340" i="1"/>
  <c r="I14340" i="1"/>
  <c r="H14340" i="1"/>
  <c r="G14340" i="1"/>
  <c r="M14339" i="1"/>
  <c r="L14339" i="1"/>
  <c r="K14339" i="1"/>
  <c r="J14339" i="1"/>
  <c r="I14339" i="1"/>
  <c r="H14339" i="1"/>
  <c r="G14339" i="1"/>
  <c r="M14338" i="1"/>
  <c r="L14338" i="1"/>
  <c r="K14338" i="1"/>
  <c r="J14338" i="1"/>
  <c r="I14338" i="1"/>
  <c r="H14338" i="1"/>
  <c r="G14338" i="1"/>
  <c r="M14337" i="1"/>
  <c r="L14337" i="1"/>
  <c r="K14337" i="1"/>
  <c r="J14337" i="1"/>
  <c r="I14337" i="1"/>
  <c r="H14337" i="1"/>
  <c r="G14337" i="1"/>
  <c r="M14336" i="1"/>
  <c r="L14336" i="1"/>
  <c r="K14336" i="1"/>
  <c r="J14336" i="1"/>
  <c r="I14336" i="1"/>
  <c r="H14336" i="1"/>
  <c r="G14336" i="1"/>
  <c r="M14335" i="1"/>
  <c r="L14335" i="1"/>
  <c r="K14335" i="1"/>
  <c r="J14335" i="1"/>
  <c r="I14335" i="1"/>
  <c r="H14335" i="1"/>
  <c r="G14335" i="1"/>
  <c r="M14334" i="1"/>
  <c r="L14334" i="1"/>
  <c r="K14334" i="1"/>
  <c r="J14334" i="1"/>
  <c r="I14334" i="1"/>
  <c r="H14334" i="1"/>
  <c r="G14334" i="1"/>
  <c r="M14333" i="1"/>
  <c r="L14333" i="1"/>
  <c r="K14333" i="1"/>
  <c r="J14333" i="1"/>
  <c r="I14333" i="1"/>
  <c r="H14333" i="1"/>
  <c r="G14333" i="1"/>
  <c r="M14332" i="1"/>
  <c r="L14332" i="1"/>
  <c r="K14332" i="1"/>
  <c r="J14332" i="1"/>
  <c r="I14332" i="1"/>
  <c r="H14332" i="1"/>
  <c r="G14332" i="1"/>
  <c r="M14331" i="1"/>
  <c r="L14331" i="1"/>
  <c r="K14331" i="1"/>
  <c r="J14331" i="1"/>
  <c r="I14331" i="1"/>
  <c r="H14331" i="1"/>
  <c r="G14331" i="1"/>
  <c r="M14330" i="1"/>
  <c r="L14330" i="1"/>
  <c r="K14330" i="1"/>
  <c r="J14330" i="1"/>
  <c r="I14330" i="1"/>
  <c r="H14330" i="1"/>
  <c r="G14330" i="1"/>
  <c r="M14329" i="1"/>
  <c r="L14329" i="1"/>
  <c r="K14329" i="1"/>
  <c r="J14329" i="1"/>
  <c r="I14329" i="1"/>
  <c r="H14329" i="1"/>
  <c r="G14329" i="1"/>
  <c r="M14328" i="1"/>
  <c r="L14328" i="1"/>
  <c r="K14328" i="1"/>
  <c r="J14328" i="1"/>
  <c r="I14328" i="1"/>
  <c r="H14328" i="1"/>
  <c r="G14328" i="1"/>
  <c r="M14327" i="1"/>
  <c r="L14327" i="1"/>
  <c r="K14327" i="1"/>
  <c r="J14327" i="1"/>
  <c r="I14327" i="1"/>
  <c r="H14327" i="1"/>
  <c r="G14327" i="1"/>
  <c r="M14326" i="1"/>
  <c r="L14326" i="1"/>
  <c r="K14326" i="1"/>
  <c r="J14326" i="1"/>
  <c r="I14326" i="1"/>
  <c r="H14326" i="1"/>
  <c r="G14326" i="1"/>
  <c r="M14325" i="1"/>
  <c r="L14325" i="1"/>
  <c r="K14325" i="1"/>
  <c r="J14325" i="1"/>
  <c r="I14325" i="1"/>
  <c r="H14325" i="1"/>
  <c r="G14325" i="1"/>
  <c r="M14324" i="1"/>
  <c r="L14324" i="1"/>
  <c r="K14324" i="1"/>
  <c r="J14324" i="1"/>
  <c r="I14324" i="1"/>
  <c r="H14324" i="1"/>
  <c r="G14324" i="1"/>
  <c r="M14323" i="1"/>
  <c r="L14323" i="1"/>
  <c r="K14323" i="1"/>
  <c r="J14323" i="1"/>
  <c r="I14323" i="1"/>
  <c r="H14323" i="1"/>
  <c r="G14323" i="1"/>
  <c r="M14322" i="1"/>
  <c r="L14322" i="1"/>
  <c r="K14322" i="1"/>
  <c r="J14322" i="1"/>
  <c r="I14322" i="1"/>
  <c r="H14322" i="1"/>
  <c r="G14322" i="1"/>
  <c r="M14321" i="1"/>
  <c r="L14321" i="1"/>
  <c r="K14321" i="1"/>
  <c r="J14321" i="1"/>
  <c r="I14321" i="1"/>
  <c r="H14321" i="1"/>
  <c r="G14321" i="1"/>
  <c r="M14320" i="1"/>
  <c r="L14320" i="1"/>
  <c r="K14320" i="1"/>
  <c r="J14320" i="1"/>
  <c r="I14320" i="1"/>
  <c r="H14320" i="1"/>
  <c r="G14320" i="1"/>
  <c r="M14319" i="1"/>
  <c r="L14319" i="1"/>
  <c r="K14319" i="1"/>
  <c r="J14319" i="1"/>
  <c r="I14319" i="1"/>
  <c r="H14319" i="1"/>
  <c r="G14319" i="1"/>
  <c r="M14318" i="1"/>
  <c r="L14318" i="1"/>
  <c r="K14318" i="1"/>
  <c r="J14318" i="1"/>
  <c r="I14318" i="1"/>
  <c r="H14318" i="1"/>
  <c r="G14318" i="1"/>
  <c r="M14317" i="1"/>
  <c r="L14317" i="1"/>
  <c r="K14317" i="1"/>
  <c r="J14317" i="1"/>
  <c r="I14317" i="1"/>
  <c r="H14317" i="1"/>
  <c r="G14317" i="1"/>
  <c r="M14316" i="1"/>
  <c r="L14316" i="1"/>
  <c r="K14316" i="1"/>
  <c r="J14316" i="1"/>
  <c r="I14316" i="1"/>
  <c r="H14316" i="1"/>
  <c r="G14316" i="1"/>
  <c r="M14315" i="1"/>
  <c r="L14315" i="1"/>
  <c r="K14315" i="1"/>
  <c r="J14315" i="1"/>
  <c r="I14315" i="1"/>
  <c r="H14315" i="1"/>
  <c r="G14315" i="1"/>
  <c r="M14314" i="1"/>
  <c r="L14314" i="1"/>
  <c r="K14314" i="1"/>
  <c r="J14314" i="1"/>
  <c r="I14314" i="1"/>
  <c r="H14314" i="1"/>
  <c r="G14314" i="1"/>
  <c r="M14313" i="1"/>
  <c r="L14313" i="1"/>
  <c r="K14313" i="1"/>
  <c r="J14313" i="1"/>
  <c r="I14313" i="1"/>
  <c r="H14313" i="1"/>
  <c r="G14313" i="1"/>
  <c r="M14312" i="1"/>
  <c r="L14312" i="1"/>
  <c r="K14312" i="1"/>
  <c r="J14312" i="1"/>
  <c r="I14312" i="1"/>
  <c r="H14312" i="1"/>
  <c r="G14312" i="1"/>
  <c r="M14311" i="1"/>
  <c r="L14311" i="1"/>
  <c r="K14311" i="1"/>
  <c r="J14311" i="1"/>
  <c r="I14311" i="1"/>
  <c r="H14311" i="1"/>
  <c r="G14311" i="1"/>
  <c r="M14310" i="1"/>
  <c r="L14310" i="1"/>
  <c r="K14310" i="1"/>
  <c r="J14310" i="1"/>
  <c r="I14310" i="1"/>
  <c r="H14310" i="1"/>
  <c r="G14310" i="1"/>
  <c r="M14309" i="1"/>
  <c r="L14309" i="1"/>
  <c r="K14309" i="1"/>
  <c r="J14309" i="1"/>
  <c r="I14309" i="1"/>
  <c r="H14309" i="1"/>
  <c r="G14309" i="1"/>
  <c r="M14308" i="1"/>
  <c r="L14308" i="1"/>
  <c r="K14308" i="1"/>
  <c r="J14308" i="1"/>
  <c r="I14308" i="1"/>
  <c r="H14308" i="1"/>
  <c r="G14308" i="1"/>
  <c r="M14307" i="1"/>
  <c r="L14307" i="1"/>
  <c r="K14307" i="1"/>
  <c r="J14307" i="1"/>
  <c r="I14307" i="1"/>
  <c r="H14307" i="1"/>
  <c r="G14307" i="1"/>
  <c r="M14306" i="1"/>
  <c r="L14306" i="1"/>
  <c r="K14306" i="1"/>
  <c r="J14306" i="1"/>
  <c r="I14306" i="1"/>
  <c r="H14306" i="1"/>
  <c r="G14306" i="1"/>
  <c r="M14305" i="1"/>
  <c r="L14305" i="1"/>
  <c r="K14305" i="1"/>
  <c r="J14305" i="1"/>
  <c r="I14305" i="1"/>
  <c r="H14305" i="1"/>
  <c r="G14305" i="1"/>
  <c r="M14304" i="1"/>
  <c r="L14304" i="1"/>
  <c r="K14304" i="1"/>
  <c r="J14304" i="1"/>
  <c r="I14304" i="1"/>
  <c r="H14304" i="1"/>
  <c r="G14304" i="1"/>
  <c r="M14303" i="1"/>
  <c r="L14303" i="1"/>
  <c r="K14303" i="1"/>
  <c r="J14303" i="1"/>
  <c r="I14303" i="1"/>
  <c r="H14303" i="1"/>
  <c r="G14303" i="1"/>
  <c r="M14302" i="1"/>
  <c r="L14302" i="1"/>
  <c r="K14302" i="1"/>
  <c r="J14302" i="1"/>
  <c r="I14302" i="1"/>
  <c r="H14302" i="1"/>
  <c r="G14302" i="1"/>
  <c r="M14301" i="1"/>
  <c r="L14301" i="1"/>
  <c r="K14301" i="1"/>
  <c r="J14301" i="1"/>
  <c r="I14301" i="1"/>
  <c r="H14301" i="1"/>
  <c r="G14301" i="1"/>
  <c r="M14300" i="1"/>
  <c r="L14300" i="1"/>
  <c r="K14300" i="1"/>
  <c r="J14300" i="1"/>
  <c r="I14300" i="1"/>
  <c r="H14300" i="1"/>
  <c r="G14300" i="1"/>
  <c r="M14299" i="1"/>
  <c r="L14299" i="1"/>
  <c r="K14299" i="1"/>
  <c r="J14299" i="1"/>
  <c r="I14299" i="1"/>
  <c r="H14299" i="1"/>
  <c r="G14299" i="1"/>
  <c r="M14298" i="1"/>
  <c r="L14298" i="1"/>
  <c r="K14298" i="1"/>
  <c r="J14298" i="1"/>
  <c r="I14298" i="1"/>
  <c r="H14298" i="1"/>
  <c r="G14298" i="1"/>
  <c r="M14297" i="1"/>
  <c r="L14297" i="1"/>
  <c r="K14297" i="1"/>
  <c r="J14297" i="1"/>
  <c r="I14297" i="1"/>
  <c r="H14297" i="1"/>
  <c r="G14297" i="1"/>
  <c r="M14296" i="1"/>
  <c r="L14296" i="1"/>
  <c r="K14296" i="1"/>
  <c r="J14296" i="1"/>
  <c r="I14296" i="1"/>
  <c r="H14296" i="1"/>
  <c r="G14296" i="1"/>
  <c r="M14295" i="1"/>
  <c r="L14295" i="1"/>
  <c r="K14295" i="1"/>
  <c r="J14295" i="1"/>
  <c r="I14295" i="1"/>
  <c r="H14295" i="1"/>
  <c r="G14295" i="1"/>
  <c r="M14294" i="1"/>
  <c r="L14294" i="1"/>
  <c r="K14294" i="1"/>
  <c r="J14294" i="1"/>
  <c r="I14294" i="1"/>
  <c r="H14294" i="1"/>
  <c r="G14294" i="1"/>
  <c r="M14293" i="1"/>
  <c r="L14293" i="1"/>
  <c r="K14293" i="1"/>
  <c r="J14293" i="1"/>
  <c r="I14293" i="1"/>
  <c r="H14293" i="1"/>
  <c r="G14293" i="1"/>
  <c r="M14292" i="1"/>
  <c r="L14292" i="1"/>
  <c r="K14292" i="1"/>
  <c r="J14292" i="1"/>
  <c r="I14292" i="1"/>
  <c r="H14292" i="1"/>
  <c r="G14292" i="1"/>
  <c r="M14291" i="1"/>
  <c r="L14291" i="1"/>
  <c r="K14291" i="1"/>
  <c r="J14291" i="1"/>
  <c r="I14291" i="1"/>
  <c r="H14291" i="1"/>
  <c r="G14291" i="1"/>
  <c r="M14290" i="1"/>
  <c r="L14290" i="1"/>
  <c r="K14290" i="1"/>
  <c r="J14290" i="1"/>
  <c r="I14290" i="1"/>
  <c r="H14290" i="1"/>
  <c r="G14290" i="1"/>
  <c r="M14289" i="1"/>
  <c r="L14289" i="1"/>
  <c r="K14289" i="1"/>
  <c r="J14289" i="1"/>
  <c r="I14289" i="1"/>
  <c r="H14289" i="1"/>
  <c r="G14289" i="1"/>
  <c r="M14288" i="1"/>
  <c r="L14288" i="1"/>
  <c r="K14288" i="1"/>
  <c r="J14288" i="1"/>
  <c r="I14288" i="1"/>
  <c r="H14288" i="1"/>
  <c r="G14288" i="1"/>
  <c r="M14287" i="1"/>
  <c r="L14287" i="1"/>
  <c r="K14287" i="1"/>
  <c r="J14287" i="1"/>
  <c r="I14287" i="1"/>
  <c r="H14287" i="1"/>
  <c r="G14287" i="1"/>
  <c r="M14286" i="1"/>
  <c r="L14286" i="1"/>
  <c r="K14286" i="1"/>
  <c r="J14286" i="1"/>
  <c r="I14286" i="1"/>
  <c r="H14286" i="1"/>
  <c r="G14286" i="1"/>
  <c r="M14285" i="1"/>
  <c r="L14285" i="1"/>
  <c r="K14285" i="1"/>
  <c r="J14285" i="1"/>
  <c r="I14285" i="1"/>
  <c r="H14285" i="1"/>
  <c r="G14285" i="1"/>
  <c r="M14284" i="1"/>
  <c r="L14284" i="1"/>
  <c r="K14284" i="1"/>
  <c r="J14284" i="1"/>
  <c r="I14284" i="1"/>
  <c r="H14284" i="1"/>
  <c r="G14284" i="1"/>
  <c r="M14283" i="1"/>
  <c r="L14283" i="1"/>
  <c r="K14283" i="1"/>
  <c r="J14283" i="1"/>
  <c r="I14283" i="1"/>
  <c r="H14283" i="1"/>
  <c r="G14283" i="1"/>
  <c r="M14282" i="1"/>
  <c r="L14282" i="1"/>
  <c r="K14282" i="1"/>
  <c r="J14282" i="1"/>
  <c r="I14282" i="1"/>
  <c r="H14282" i="1"/>
  <c r="G14282" i="1"/>
  <c r="M14281" i="1"/>
  <c r="L14281" i="1"/>
  <c r="K14281" i="1"/>
  <c r="J14281" i="1"/>
  <c r="I14281" i="1"/>
  <c r="H14281" i="1"/>
  <c r="G14281" i="1"/>
  <c r="M14280" i="1"/>
  <c r="L14280" i="1"/>
  <c r="K14280" i="1"/>
  <c r="J14280" i="1"/>
  <c r="I14280" i="1"/>
  <c r="H14280" i="1"/>
  <c r="G14280" i="1"/>
  <c r="M14279" i="1"/>
  <c r="L14279" i="1"/>
  <c r="K14279" i="1"/>
  <c r="J14279" i="1"/>
  <c r="I14279" i="1"/>
  <c r="H14279" i="1"/>
  <c r="G14279" i="1"/>
  <c r="M14278" i="1"/>
  <c r="L14278" i="1"/>
  <c r="K14278" i="1"/>
  <c r="J14278" i="1"/>
  <c r="I14278" i="1"/>
  <c r="H14278" i="1"/>
  <c r="G14278" i="1"/>
  <c r="M14277" i="1"/>
  <c r="L14277" i="1"/>
  <c r="K14277" i="1"/>
  <c r="J14277" i="1"/>
  <c r="I14277" i="1"/>
  <c r="H14277" i="1"/>
  <c r="G14277" i="1"/>
  <c r="M14276" i="1"/>
  <c r="L14276" i="1"/>
  <c r="K14276" i="1"/>
  <c r="J14276" i="1"/>
  <c r="I14276" i="1"/>
  <c r="H14276" i="1"/>
  <c r="G14276" i="1"/>
  <c r="M14275" i="1"/>
  <c r="L14275" i="1"/>
  <c r="K14275" i="1"/>
  <c r="J14275" i="1"/>
  <c r="I14275" i="1"/>
  <c r="H14275" i="1"/>
  <c r="G14275" i="1"/>
  <c r="M14274" i="1"/>
  <c r="L14274" i="1"/>
  <c r="K14274" i="1"/>
  <c r="J14274" i="1"/>
  <c r="I14274" i="1"/>
  <c r="H14274" i="1"/>
  <c r="G14274" i="1"/>
  <c r="M14273" i="1"/>
  <c r="L14273" i="1"/>
  <c r="K14273" i="1"/>
  <c r="J14273" i="1"/>
  <c r="I14273" i="1"/>
  <c r="H14273" i="1"/>
  <c r="G14273" i="1"/>
  <c r="M14272" i="1"/>
  <c r="L14272" i="1"/>
  <c r="K14272" i="1"/>
  <c r="J14272" i="1"/>
  <c r="I14272" i="1"/>
  <c r="H14272" i="1"/>
  <c r="G14272" i="1"/>
  <c r="M14271" i="1"/>
  <c r="L14271" i="1"/>
  <c r="K14271" i="1"/>
  <c r="J14271" i="1"/>
  <c r="I14271" i="1"/>
  <c r="H14271" i="1"/>
  <c r="G14271" i="1"/>
  <c r="M14270" i="1"/>
  <c r="L14270" i="1"/>
  <c r="K14270" i="1"/>
  <c r="J14270" i="1"/>
  <c r="I14270" i="1"/>
  <c r="H14270" i="1"/>
  <c r="G14270" i="1"/>
  <c r="M14269" i="1"/>
  <c r="L14269" i="1"/>
  <c r="K14269" i="1"/>
  <c r="J14269" i="1"/>
  <c r="I14269" i="1"/>
  <c r="H14269" i="1"/>
  <c r="G14269" i="1"/>
  <c r="M14268" i="1"/>
  <c r="L14268" i="1"/>
  <c r="K14268" i="1"/>
  <c r="J14268" i="1"/>
  <c r="I14268" i="1"/>
  <c r="H14268" i="1"/>
  <c r="G14268" i="1"/>
  <c r="M14267" i="1"/>
  <c r="L14267" i="1"/>
  <c r="K14267" i="1"/>
  <c r="J14267" i="1"/>
  <c r="I14267" i="1"/>
  <c r="H14267" i="1"/>
  <c r="G14267" i="1"/>
  <c r="M14266" i="1"/>
  <c r="L14266" i="1"/>
  <c r="K14266" i="1"/>
  <c r="J14266" i="1"/>
  <c r="I14266" i="1"/>
  <c r="H14266" i="1"/>
  <c r="G14266" i="1"/>
  <c r="M14265" i="1"/>
  <c r="L14265" i="1"/>
  <c r="K14265" i="1"/>
  <c r="J14265" i="1"/>
  <c r="I14265" i="1"/>
  <c r="H14265" i="1"/>
  <c r="G14265" i="1"/>
  <c r="M14264" i="1"/>
  <c r="L14264" i="1"/>
  <c r="K14264" i="1"/>
  <c r="J14264" i="1"/>
  <c r="I14264" i="1"/>
  <c r="H14264" i="1"/>
  <c r="G14264" i="1"/>
  <c r="M14263" i="1"/>
  <c r="L14263" i="1"/>
  <c r="K14263" i="1"/>
  <c r="J14263" i="1"/>
  <c r="I14263" i="1"/>
  <c r="H14263" i="1"/>
  <c r="G14263" i="1"/>
  <c r="M14262" i="1"/>
  <c r="L14262" i="1"/>
  <c r="K14262" i="1"/>
  <c r="J14262" i="1"/>
  <c r="I14262" i="1"/>
  <c r="H14262" i="1"/>
  <c r="G14262" i="1"/>
  <c r="M14261" i="1"/>
  <c r="L14261" i="1"/>
  <c r="K14261" i="1"/>
  <c r="J14261" i="1"/>
  <c r="I14261" i="1"/>
  <c r="H14261" i="1"/>
  <c r="G14261" i="1"/>
  <c r="M14260" i="1"/>
  <c r="L14260" i="1"/>
  <c r="K14260" i="1"/>
  <c r="J14260" i="1"/>
  <c r="I14260" i="1"/>
  <c r="H14260" i="1"/>
  <c r="G14260" i="1"/>
  <c r="M14259" i="1"/>
  <c r="L14259" i="1"/>
  <c r="K14259" i="1"/>
  <c r="J14259" i="1"/>
  <c r="I14259" i="1"/>
  <c r="H14259" i="1"/>
  <c r="G14259" i="1"/>
  <c r="M14258" i="1"/>
  <c r="L14258" i="1"/>
  <c r="K14258" i="1"/>
  <c r="J14258" i="1"/>
  <c r="I14258" i="1"/>
  <c r="H14258" i="1"/>
  <c r="G14258" i="1"/>
  <c r="M14257" i="1"/>
  <c r="L14257" i="1"/>
  <c r="K14257" i="1"/>
  <c r="J14257" i="1"/>
  <c r="I14257" i="1"/>
  <c r="H14257" i="1"/>
  <c r="G14257" i="1"/>
  <c r="M14256" i="1"/>
  <c r="L14256" i="1"/>
  <c r="K14256" i="1"/>
  <c r="J14256" i="1"/>
  <c r="I14256" i="1"/>
  <c r="H14256" i="1"/>
  <c r="G14256" i="1"/>
  <c r="M14255" i="1"/>
  <c r="L14255" i="1"/>
  <c r="K14255" i="1"/>
  <c r="J14255" i="1"/>
  <c r="I14255" i="1"/>
  <c r="H14255" i="1"/>
  <c r="G14255" i="1"/>
  <c r="M14254" i="1"/>
  <c r="L14254" i="1"/>
  <c r="K14254" i="1"/>
  <c r="J14254" i="1"/>
  <c r="I14254" i="1"/>
  <c r="H14254" i="1"/>
  <c r="G14254" i="1"/>
  <c r="M14253" i="1"/>
  <c r="L14253" i="1"/>
  <c r="K14253" i="1"/>
  <c r="J14253" i="1"/>
  <c r="I14253" i="1"/>
  <c r="H14253" i="1"/>
  <c r="G14253" i="1"/>
  <c r="M14252" i="1"/>
  <c r="L14252" i="1"/>
  <c r="K14252" i="1"/>
  <c r="J14252" i="1"/>
  <c r="I14252" i="1"/>
  <c r="H14252" i="1"/>
  <c r="G14252" i="1"/>
  <c r="M14251" i="1"/>
  <c r="L14251" i="1"/>
  <c r="K14251" i="1"/>
  <c r="J14251" i="1"/>
  <c r="I14251" i="1"/>
  <c r="H14251" i="1"/>
  <c r="G14251" i="1"/>
  <c r="M14250" i="1"/>
  <c r="L14250" i="1"/>
  <c r="K14250" i="1"/>
  <c r="J14250" i="1"/>
  <c r="I14250" i="1"/>
  <c r="H14250" i="1"/>
  <c r="G14250" i="1"/>
  <c r="M14249" i="1"/>
  <c r="L14249" i="1"/>
  <c r="K14249" i="1"/>
  <c r="J14249" i="1"/>
  <c r="I14249" i="1"/>
  <c r="H14249" i="1"/>
  <c r="G14249" i="1"/>
  <c r="M14248" i="1"/>
  <c r="L14248" i="1"/>
  <c r="K14248" i="1"/>
  <c r="J14248" i="1"/>
  <c r="I14248" i="1"/>
  <c r="H14248" i="1"/>
  <c r="G14248" i="1"/>
  <c r="M14247" i="1"/>
  <c r="L14247" i="1"/>
  <c r="K14247" i="1"/>
  <c r="J14247" i="1"/>
  <c r="I14247" i="1"/>
  <c r="H14247" i="1"/>
  <c r="G14247" i="1"/>
  <c r="M14246" i="1"/>
  <c r="L14246" i="1"/>
  <c r="K14246" i="1"/>
  <c r="J14246" i="1"/>
  <c r="I14246" i="1"/>
  <c r="H14246" i="1"/>
  <c r="G14246" i="1"/>
  <c r="M14245" i="1"/>
  <c r="L14245" i="1"/>
  <c r="K14245" i="1"/>
  <c r="J14245" i="1"/>
  <c r="I14245" i="1"/>
  <c r="H14245" i="1"/>
  <c r="G14245" i="1"/>
  <c r="M14244" i="1"/>
  <c r="L14244" i="1"/>
  <c r="K14244" i="1"/>
  <c r="J14244" i="1"/>
  <c r="I14244" i="1"/>
  <c r="H14244" i="1"/>
  <c r="G14244" i="1"/>
  <c r="M14243" i="1"/>
  <c r="L14243" i="1"/>
  <c r="K14243" i="1"/>
  <c r="J14243" i="1"/>
  <c r="I14243" i="1"/>
  <c r="H14243" i="1"/>
  <c r="G14243" i="1"/>
  <c r="M14242" i="1"/>
  <c r="L14242" i="1"/>
  <c r="K14242" i="1"/>
  <c r="J14242" i="1"/>
  <c r="I14242" i="1"/>
  <c r="H14242" i="1"/>
  <c r="G14242" i="1"/>
  <c r="M14241" i="1"/>
  <c r="L14241" i="1"/>
  <c r="K14241" i="1"/>
  <c r="J14241" i="1"/>
  <c r="I14241" i="1"/>
  <c r="H14241" i="1"/>
  <c r="G14241" i="1"/>
  <c r="M14240" i="1"/>
  <c r="L14240" i="1"/>
  <c r="K14240" i="1"/>
  <c r="J14240" i="1"/>
  <c r="I14240" i="1"/>
  <c r="H14240" i="1"/>
  <c r="G14240" i="1"/>
  <c r="M14239" i="1"/>
  <c r="L14239" i="1"/>
  <c r="K14239" i="1"/>
  <c r="J14239" i="1"/>
  <c r="I14239" i="1"/>
  <c r="H14239" i="1"/>
  <c r="G14239" i="1"/>
  <c r="M14238" i="1"/>
  <c r="L14238" i="1"/>
  <c r="K14238" i="1"/>
  <c r="J14238" i="1"/>
  <c r="I14238" i="1"/>
  <c r="H14238" i="1"/>
  <c r="G14238" i="1"/>
  <c r="M14237" i="1"/>
  <c r="L14237" i="1"/>
  <c r="K14237" i="1"/>
  <c r="J14237" i="1"/>
  <c r="I14237" i="1"/>
  <c r="H14237" i="1"/>
  <c r="G14237" i="1"/>
  <c r="M14236" i="1"/>
  <c r="L14236" i="1"/>
  <c r="K14236" i="1"/>
  <c r="J14236" i="1"/>
  <c r="I14236" i="1"/>
  <c r="H14236" i="1"/>
  <c r="G14236" i="1"/>
  <c r="M14235" i="1"/>
  <c r="L14235" i="1"/>
  <c r="K14235" i="1"/>
  <c r="J14235" i="1"/>
  <c r="I14235" i="1"/>
  <c r="H14235" i="1"/>
  <c r="G14235" i="1"/>
  <c r="M14234" i="1"/>
  <c r="L14234" i="1"/>
  <c r="K14234" i="1"/>
  <c r="J14234" i="1"/>
  <c r="I14234" i="1"/>
  <c r="H14234" i="1"/>
  <c r="G14234" i="1"/>
  <c r="M14233" i="1"/>
  <c r="L14233" i="1"/>
  <c r="K14233" i="1"/>
  <c r="J14233" i="1"/>
  <c r="I14233" i="1"/>
  <c r="H14233" i="1"/>
  <c r="G14233" i="1"/>
  <c r="M14232" i="1"/>
  <c r="L14232" i="1"/>
  <c r="K14232" i="1"/>
  <c r="J14232" i="1"/>
  <c r="I14232" i="1"/>
  <c r="H14232" i="1"/>
  <c r="G14232" i="1"/>
  <c r="M14231" i="1"/>
  <c r="L14231" i="1"/>
  <c r="K14231" i="1"/>
  <c r="J14231" i="1"/>
  <c r="I14231" i="1"/>
  <c r="H14231" i="1"/>
  <c r="G14231" i="1"/>
  <c r="M14230" i="1"/>
  <c r="L14230" i="1"/>
  <c r="K14230" i="1"/>
  <c r="J14230" i="1"/>
  <c r="I14230" i="1"/>
  <c r="H14230" i="1"/>
  <c r="G14230" i="1"/>
  <c r="M14229" i="1"/>
  <c r="L14229" i="1"/>
  <c r="K14229" i="1"/>
  <c r="J14229" i="1"/>
  <c r="I14229" i="1"/>
  <c r="H14229" i="1"/>
  <c r="G14229" i="1"/>
  <c r="M14228" i="1"/>
  <c r="L14228" i="1"/>
  <c r="K14228" i="1"/>
  <c r="J14228" i="1"/>
  <c r="I14228" i="1"/>
  <c r="H14228" i="1"/>
  <c r="G14228" i="1"/>
  <c r="M14227" i="1"/>
  <c r="L14227" i="1"/>
  <c r="K14227" i="1"/>
  <c r="J14227" i="1"/>
  <c r="I14227" i="1"/>
  <c r="H14227" i="1"/>
  <c r="G14227" i="1"/>
  <c r="M14226" i="1"/>
  <c r="L14226" i="1"/>
  <c r="K14226" i="1"/>
  <c r="J14226" i="1"/>
  <c r="I14226" i="1"/>
  <c r="H14226" i="1"/>
  <c r="G14226" i="1"/>
  <c r="M14225" i="1"/>
  <c r="L14225" i="1"/>
  <c r="K14225" i="1"/>
  <c r="J14225" i="1"/>
  <c r="I14225" i="1"/>
  <c r="H14225" i="1"/>
  <c r="G14225" i="1"/>
  <c r="M14224" i="1"/>
  <c r="L14224" i="1"/>
  <c r="K14224" i="1"/>
  <c r="J14224" i="1"/>
  <c r="I14224" i="1"/>
  <c r="H14224" i="1"/>
  <c r="G14224" i="1"/>
  <c r="M14223" i="1"/>
  <c r="L14223" i="1"/>
  <c r="K14223" i="1"/>
  <c r="J14223" i="1"/>
  <c r="I14223" i="1"/>
  <c r="H14223" i="1"/>
  <c r="G14223" i="1"/>
  <c r="M14222" i="1"/>
  <c r="L14222" i="1"/>
  <c r="K14222" i="1"/>
  <c r="J14222" i="1"/>
  <c r="I14222" i="1"/>
  <c r="H14222" i="1"/>
  <c r="G14222" i="1"/>
  <c r="M14221" i="1"/>
  <c r="L14221" i="1"/>
  <c r="K14221" i="1"/>
  <c r="J14221" i="1"/>
  <c r="I14221" i="1"/>
  <c r="H14221" i="1"/>
  <c r="G14221" i="1"/>
  <c r="M14220" i="1"/>
  <c r="L14220" i="1"/>
  <c r="K14220" i="1"/>
  <c r="J14220" i="1"/>
  <c r="I14220" i="1"/>
  <c r="H14220" i="1"/>
  <c r="G14220" i="1"/>
  <c r="M14219" i="1"/>
  <c r="L14219" i="1"/>
  <c r="K14219" i="1"/>
  <c r="J14219" i="1"/>
  <c r="I14219" i="1"/>
  <c r="H14219" i="1"/>
  <c r="G14219" i="1"/>
  <c r="M14218" i="1"/>
  <c r="L14218" i="1"/>
  <c r="K14218" i="1"/>
  <c r="J14218" i="1"/>
  <c r="I14218" i="1"/>
  <c r="H14218" i="1"/>
  <c r="G14218" i="1"/>
  <c r="M14217" i="1"/>
  <c r="L14217" i="1"/>
  <c r="K14217" i="1"/>
  <c r="J14217" i="1"/>
  <c r="I14217" i="1"/>
  <c r="H14217" i="1"/>
  <c r="G14217" i="1"/>
  <c r="M14216" i="1"/>
  <c r="L14216" i="1"/>
  <c r="K14216" i="1"/>
  <c r="J14216" i="1"/>
  <c r="I14216" i="1"/>
  <c r="H14216" i="1"/>
  <c r="G14216" i="1"/>
  <c r="M14215" i="1"/>
  <c r="L14215" i="1"/>
  <c r="K14215" i="1"/>
  <c r="J14215" i="1"/>
  <c r="I14215" i="1"/>
  <c r="H14215" i="1"/>
  <c r="G14215" i="1"/>
  <c r="M14214" i="1"/>
  <c r="L14214" i="1"/>
  <c r="K14214" i="1"/>
  <c r="J14214" i="1"/>
  <c r="I14214" i="1"/>
  <c r="H14214" i="1"/>
  <c r="G14214" i="1"/>
  <c r="M14213" i="1"/>
  <c r="L14213" i="1"/>
  <c r="K14213" i="1"/>
  <c r="J14213" i="1"/>
  <c r="I14213" i="1"/>
  <c r="H14213" i="1"/>
  <c r="G14213" i="1"/>
  <c r="M14212" i="1"/>
  <c r="L14212" i="1"/>
  <c r="K14212" i="1"/>
  <c r="J14212" i="1"/>
  <c r="I14212" i="1"/>
  <c r="H14212" i="1"/>
  <c r="G14212" i="1"/>
  <c r="M14211" i="1"/>
  <c r="L14211" i="1"/>
  <c r="K14211" i="1"/>
  <c r="J14211" i="1"/>
  <c r="I14211" i="1"/>
  <c r="H14211" i="1"/>
  <c r="G14211" i="1"/>
  <c r="M14210" i="1"/>
  <c r="L14210" i="1"/>
  <c r="K14210" i="1"/>
  <c r="J14210" i="1"/>
  <c r="I14210" i="1"/>
  <c r="H14210" i="1"/>
  <c r="G14210" i="1"/>
  <c r="M14209" i="1"/>
  <c r="L14209" i="1"/>
  <c r="K14209" i="1"/>
  <c r="J14209" i="1"/>
  <c r="I14209" i="1"/>
  <c r="H14209" i="1"/>
  <c r="G14209" i="1"/>
  <c r="M14208" i="1"/>
  <c r="L14208" i="1"/>
  <c r="K14208" i="1"/>
  <c r="J14208" i="1"/>
  <c r="I14208" i="1"/>
  <c r="H14208" i="1"/>
  <c r="G14208" i="1"/>
  <c r="M14207" i="1"/>
  <c r="L14207" i="1"/>
  <c r="K14207" i="1"/>
  <c r="J14207" i="1"/>
  <c r="I14207" i="1"/>
  <c r="H14207" i="1"/>
  <c r="G14207" i="1"/>
  <c r="M14206" i="1"/>
  <c r="L14206" i="1"/>
  <c r="K14206" i="1"/>
  <c r="J14206" i="1"/>
  <c r="I14206" i="1"/>
  <c r="H14206" i="1"/>
  <c r="G14206" i="1"/>
  <c r="M14205" i="1"/>
  <c r="L14205" i="1"/>
  <c r="K14205" i="1"/>
  <c r="J14205" i="1"/>
  <c r="I14205" i="1"/>
  <c r="H14205" i="1"/>
  <c r="G14205" i="1"/>
  <c r="M14204" i="1"/>
  <c r="L14204" i="1"/>
  <c r="K14204" i="1"/>
  <c r="J14204" i="1"/>
  <c r="I14204" i="1"/>
  <c r="H14204" i="1"/>
  <c r="G14204" i="1"/>
  <c r="M14203" i="1"/>
  <c r="L14203" i="1"/>
  <c r="K14203" i="1"/>
  <c r="J14203" i="1"/>
  <c r="I14203" i="1"/>
  <c r="H14203" i="1"/>
  <c r="G14203" i="1"/>
  <c r="M14202" i="1"/>
  <c r="L14202" i="1"/>
  <c r="K14202" i="1"/>
  <c r="J14202" i="1"/>
  <c r="I14202" i="1"/>
  <c r="H14202" i="1"/>
  <c r="G14202" i="1"/>
  <c r="M14201" i="1"/>
  <c r="L14201" i="1"/>
  <c r="K14201" i="1"/>
  <c r="J14201" i="1"/>
  <c r="I14201" i="1"/>
  <c r="H14201" i="1"/>
  <c r="G14201" i="1"/>
  <c r="M14200" i="1"/>
  <c r="L14200" i="1"/>
  <c r="K14200" i="1"/>
  <c r="J14200" i="1"/>
  <c r="I14200" i="1"/>
  <c r="H14200" i="1"/>
  <c r="G14200" i="1"/>
  <c r="M14199" i="1"/>
  <c r="L14199" i="1"/>
  <c r="K14199" i="1"/>
  <c r="J14199" i="1"/>
  <c r="I14199" i="1"/>
  <c r="H14199" i="1"/>
  <c r="G14199" i="1"/>
  <c r="M14198" i="1"/>
  <c r="L14198" i="1"/>
  <c r="K14198" i="1"/>
  <c r="J14198" i="1"/>
  <c r="I14198" i="1"/>
  <c r="H14198" i="1"/>
  <c r="G14198" i="1"/>
  <c r="M14197" i="1"/>
  <c r="L14197" i="1"/>
  <c r="K14197" i="1"/>
  <c r="J14197" i="1"/>
  <c r="I14197" i="1"/>
  <c r="H14197" i="1"/>
  <c r="G14197" i="1"/>
  <c r="M14196" i="1"/>
  <c r="L14196" i="1"/>
  <c r="K14196" i="1"/>
  <c r="J14196" i="1"/>
  <c r="I14196" i="1"/>
  <c r="H14196" i="1"/>
  <c r="G14196" i="1"/>
  <c r="M14195" i="1"/>
  <c r="L14195" i="1"/>
  <c r="K14195" i="1"/>
  <c r="J14195" i="1"/>
  <c r="I14195" i="1"/>
  <c r="H14195" i="1"/>
  <c r="G14195" i="1"/>
  <c r="M14194" i="1"/>
  <c r="L14194" i="1"/>
  <c r="K14194" i="1"/>
  <c r="J14194" i="1"/>
  <c r="I14194" i="1"/>
  <c r="H14194" i="1"/>
  <c r="G14194" i="1"/>
  <c r="M14193" i="1"/>
  <c r="L14193" i="1"/>
  <c r="K14193" i="1"/>
  <c r="J14193" i="1"/>
  <c r="I14193" i="1"/>
  <c r="H14193" i="1"/>
  <c r="G14193" i="1"/>
  <c r="M14192" i="1"/>
  <c r="L14192" i="1"/>
  <c r="K14192" i="1"/>
  <c r="J14192" i="1"/>
  <c r="I14192" i="1"/>
  <c r="H14192" i="1"/>
  <c r="G14192" i="1"/>
  <c r="M14191" i="1"/>
  <c r="L14191" i="1"/>
  <c r="K14191" i="1"/>
  <c r="J14191" i="1"/>
  <c r="I14191" i="1"/>
  <c r="H14191" i="1"/>
  <c r="G14191" i="1"/>
  <c r="M14190" i="1"/>
  <c r="L14190" i="1"/>
  <c r="K14190" i="1"/>
  <c r="J14190" i="1"/>
  <c r="I14190" i="1"/>
  <c r="H14190" i="1"/>
  <c r="G14190" i="1"/>
  <c r="M14189" i="1"/>
  <c r="L14189" i="1"/>
  <c r="K14189" i="1"/>
  <c r="J14189" i="1"/>
  <c r="I14189" i="1"/>
  <c r="H14189" i="1"/>
  <c r="G14189" i="1"/>
  <c r="M14188" i="1"/>
  <c r="L14188" i="1"/>
  <c r="K14188" i="1"/>
  <c r="J14188" i="1"/>
  <c r="I14188" i="1"/>
  <c r="H14188" i="1"/>
  <c r="G14188" i="1"/>
  <c r="M14187" i="1"/>
  <c r="L14187" i="1"/>
  <c r="K14187" i="1"/>
  <c r="J14187" i="1"/>
  <c r="I14187" i="1"/>
  <c r="H14187" i="1"/>
  <c r="G14187" i="1"/>
  <c r="M14186" i="1"/>
  <c r="L14186" i="1"/>
  <c r="K14186" i="1"/>
  <c r="J14186" i="1"/>
  <c r="I14186" i="1"/>
  <c r="H14186" i="1"/>
  <c r="G14186" i="1"/>
  <c r="M14185" i="1"/>
  <c r="L14185" i="1"/>
  <c r="K14185" i="1"/>
  <c r="J14185" i="1"/>
  <c r="I14185" i="1"/>
  <c r="H14185" i="1"/>
  <c r="G14185" i="1"/>
  <c r="M14184" i="1"/>
  <c r="L14184" i="1"/>
  <c r="K14184" i="1"/>
  <c r="J14184" i="1"/>
  <c r="I14184" i="1"/>
  <c r="H14184" i="1"/>
  <c r="G14184" i="1"/>
  <c r="M14183" i="1"/>
  <c r="L14183" i="1"/>
  <c r="K14183" i="1"/>
  <c r="J14183" i="1"/>
  <c r="I14183" i="1"/>
  <c r="H14183" i="1"/>
  <c r="G14183" i="1"/>
  <c r="M14182" i="1"/>
  <c r="L14182" i="1"/>
  <c r="K14182" i="1"/>
  <c r="J14182" i="1"/>
  <c r="I14182" i="1"/>
  <c r="H14182" i="1"/>
  <c r="G14182" i="1"/>
  <c r="M14181" i="1"/>
  <c r="L14181" i="1"/>
  <c r="K14181" i="1"/>
  <c r="J14181" i="1"/>
  <c r="I14181" i="1"/>
  <c r="H14181" i="1"/>
  <c r="G14181" i="1"/>
  <c r="M14180" i="1"/>
  <c r="L14180" i="1"/>
  <c r="K14180" i="1"/>
  <c r="J14180" i="1"/>
  <c r="I14180" i="1"/>
  <c r="H14180" i="1"/>
  <c r="G14180" i="1"/>
  <c r="M14179" i="1"/>
  <c r="L14179" i="1"/>
  <c r="K14179" i="1"/>
  <c r="J14179" i="1"/>
  <c r="I14179" i="1"/>
  <c r="H14179" i="1"/>
  <c r="G14179" i="1"/>
  <c r="M14178" i="1"/>
  <c r="L14178" i="1"/>
  <c r="K14178" i="1"/>
  <c r="J14178" i="1"/>
  <c r="I14178" i="1"/>
  <c r="H14178" i="1"/>
  <c r="G14178" i="1"/>
  <c r="M14177" i="1"/>
  <c r="L14177" i="1"/>
  <c r="K14177" i="1"/>
  <c r="J14177" i="1"/>
  <c r="I14177" i="1"/>
  <c r="H14177" i="1"/>
  <c r="G14177" i="1"/>
  <c r="M14176" i="1"/>
  <c r="L14176" i="1"/>
  <c r="K14176" i="1"/>
  <c r="J14176" i="1"/>
  <c r="I14176" i="1"/>
  <c r="H14176" i="1"/>
  <c r="G14176" i="1"/>
  <c r="M14175" i="1"/>
  <c r="L14175" i="1"/>
  <c r="K14175" i="1"/>
  <c r="J14175" i="1"/>
  <c r="I14175" i="1"/>
  <c r="H14175" i="1"/>
  <c r="G14175" i="1"/>
  <c r="M14174" i="1"/>
  <c r="L14174" i="1"/>
  <c r="K14174" i="1"/>
  <c r="J14174" i="1"/>
  <c r="I14174" i="1"/>
  <c r="H14174" i="1"/>
  <c r="G14174" i="1"/>
  <c r="M14173" i="1"/>
  <c r="L14173" i="1"/>
  <c r="K14173" i="1"/>
  <c r="J14173" i="1"/>
  <c r="I14173" i="1"/>
  <c r="H14173" i="1"/>
  <c r="G14173" i="1"/>
  <c r="M14172" i="1"/>
  <c r="L14172" i="1"/>
  <c r="K14172" i="1"/>
  <c r="J14172" i="1"/>
  <c r="I14172" i="1"/>
  <c r="H14172" i="1"/>
  <c r="G14172" i="1"/>
  <c r="M14171" i="1"/>
  <c r="L14171" i="1"/>
  <c r="K14171" i="1"/>
  <c r="J14171" i="1"/>
  <c r="I14171" i="1"/>
  <c r="H14171" i="1"/>
  <c r="G14171" i="1"/>
  <c r="M14170" i="1"/>
  <c r="L14170" i="1"/>
  <c r="K14170" i="1"/>
  <c r="J14170" i="1"/>
  <c r="I14170" i="1"/>
  <c r="H14170" i="1"/>
  <c r="G14170" i="1"/>
  <c r="M14169" i="1"/>
  <c r="L14169" i="1"/>
  <c r="K14169" i="1"/>
  <c r="J14169" i="1"/>
  <c r="I14169" i="1"/>
  <c r="H14169" i="1"/>
  <c r="G14169" i="1"/>
  <c r="M14168" i="1"/>
  <c r="L14168" i="1"/>
  <c r="K14168" i="1"/>
  <c r="J14168" i="1"/>
  <c r="I14168" i="1"/>
  <c r="H14168" i="1"/>
  <c r="G14168" i="1"/>
  <c r="M14167" i="1"/>
  <c r="L14167" i="1"/>
  <c r="K14167" i="1"/>
  <c r="J14167" i="1"/>
  <c r="I14167" i="1"/>
  <c r="H14167" i="1"/>
  <c r="G14167" i="1"/>
  <c r="M14166" i="1"/>
  <c r="L14166" i="1"/>
  <c r="K14166" i="1"/>
  <c r="J14166" i="1"/>
  <c r="I14166" i="1"/>
  <c r="H14166" i="1"/>
  <c r="G14166" i="1"/>
  <c r="M14165" i="1"/>
  <c r="L14165" i="1"/>
  <c r="K14165" i="1"/>
  <c r="J14165" i="1"/>
  <c r="I14165" i="1"/>
  <c r="H14165" i="1"/>
  <c r="G14165" i="1"/>
  <c r="M14164" i="1"/>
  <c r="L14164" i="1"/>
  <c r="K14164" i="1"/>
  <c r="J14164" i="1"/>
  <c r="I14164" i="1"/>
  <c r="H14164" i="1"/>
  <c r="G14164" i="1"/>
  <c r="M14163" i="1"/>
  <c r="L14163" i="1"/>
  <c r="K14163" i="1"/>
  <c r="J14163" i="1"/>
  <c r="I14163" i="1"/>
  <c r="H14163" i="1"/>
  <c r="G14163" i="1"/>
  <c r="M14162" i="1"/>
  <c r="L14162" i="1"/>
  <c r="K14162" i="1"/>
  <c r="J14162" i="1"/>
  <c r="I14162" i="1"/>
  <c r="H14162" i="1"/>
  <c r="G14162" i="1"/>
  <c r="M14161" i="1"/>
  <c r="L14161" i="1"/>
  <c r="K14161" i="1"/>
  <c r="J14161" i="1"/>
  <c r="I14161" i="1"/>
  <c r="H14161" i="1"/>
  <c r="G14161" i="1"/>
  <c r="M14160" i="1"/>
  <c r="L14160" i="1"/>
  <c r="K14160" i="1"/>
  <c r="J14160" i="1"/>
  <c r="I14160" i="1"/>
  <c r="H14160" i="1"/>
  <c r="G14160" i="1"/>
  <c r="M14159" i="1"/>
  <c r="L14159" i="1"/>
  <c r="K14159" i="1"/>
  <c r="J14159" i="1"/>
  <c r="I14159" i="1"/>
  <c r="H14159" i="1"/>
  <c r="G14159" i="1"/>
  <c r="M14158" i="1"/>
  <c r="L14158" i="1"/>
  <c r="K14158" i="1"/>
  <c r="J14158" i="1"/>
  <c r="I14158" i="1"/>
  <c r="H14158" i="1"/>
  <c r="G14158" i="1"/>
  <c r="M14157" i="1"/>
  <c r="L14157" i="1"/>
  <c r="K14157" i="1"/>
  <c r="J14157" i="1"/>
  <c r="I14157" i="1"/>
  <c r="H14157" i="1"/>
  <c r="G14157" i="1"/>
  <c r="M14156" i="1"/>
  <c r="L14156" i="1"/>
  <c r="K14156" i="1"/>
  <c r="J14156" i="1"/>
  <c r="I14156" i="1"/>
  <c r="H14156" i="1"/>
  <c r="G14156" i="1"/>
  <c r="M14155" i="1"/>
  <c r="L14155" i="1"/>
  <c r="K14155" i="1"/>
  <c r="J14155" i="1"/>
  <c r="I14155" i="1"/>
  <c r="H14155" i="1"/>
  <c r="G14155" i="1"/>
  <c r="M14154" i="1"/>
  <c r="L14154" i="1"/>
  <c r="K14154" i="1"/>
  <c r="J14154" i="1"/>
  <c r="I14154" i="1"/>
  <c r="H14154" i="1"/>
  <c r="G14154" i="1"/>
  <c r="M14153" i="1"/>
  <c r="L14153" i="1"/>
  <c r="K14153" i="1"/>
  <c r="J14153" i="1"/>
  <c r="I14153" i="1"/>
  <c r="H14153" i="1"/>
  <c r="G14153" i="1"/>
  <c r="M14152" i="1"/>
  <c r="L14152" i="1"/>
  <c r="K14152" i="1"/>
  <c r="J14152" i="1"/>
  <c r="I14152" i="1"/>
  <c r="H14152" i="1"/>
  <c r="G14152" i="1"/>
  <c r="M14151" i="1"/>
  <c r="L14151" i="1"/>
  <c r="K14151" i="1"/>
  <c r="J14151" i="1"/>
  <c r="I14151" i="1"/>
  <c r="H14151" i="1"/>
  <c r="G14151" i="1"/>
  <c r="M14150" i="1"/>
  <c r="L14150" i="1"/>
  <c r="K14150" i="1"/>
  <c r="J14150" i="1"/>
  <c r="I14150" i="1"/>
  <c r="H14150" i="1"/>
  <c r="G14150" i="1"/>
  <c r="M14149" i="1"/>
  <c r="L14149" i="1"/>
  <c r="K14149" i="1"/>
  <c r="J14149" i="1"/>
  <c r="I14149" i="1"/>
  <c r="H14149" i="1"/>
  <c r="G14149" i="1"/>
  <c r="M14148" i="1"/>
  <c r="L14148" i="1"/>
  <c r="K14148" i="1"/>
  <c r="J14148" i="1"/>
  <c r="I14148" i="1"/>
  <c r="H14148" i="1"/>
  <c r="G14148" i="1"/>
  <c r="M14147" i="1"/>
  <c r="L14147" i="1"/>
  <c r="K14147" i="1"/>
  <c r="J14147" i="1"/>
  <c r="I14147" i="1"/>
  <c r="H14147" i="1"/>
  <c r="G14147" i="1"/>
  <c r="M14146" i="1"/>
  <c r="L14146" i="1"/>
  <c r="K14146" i="1"/>
  <c r="J14146" i="1"/>
  <c r="I14146" i="1"/>
  <c r="H14146" i="1"/>
  <c r="G14146" i="1"/>
  <c r="M14145" i="1"/>
  <c r="L14145" i="1"/>
  <c r="K14145" i="1"/>
  <c r="J14145" i="1"/>
  <c r="I14145" i="1"/>
  <c r="H14145" i="1"/>
  <c r="G14145" i="1"/>
  <c r="M14144" i="1"/>
  <c r="L14144" i="1"/>
  <c r="K14144" i="1"/>
  <c r="J14144" i="1"/>
  <c r="I14144" i="1"/>
  <c r="H14144" i="1"/>
  <c r="G14144" i="1"/>
  <c r="M14143" i="1"/>
  <c r="L14143" i="1"/>
  <c r="K14143" i="1"/>
  <c r="J14143" i="1"/>
  <c r="I14143" i="1"/>
  <c r="H14143" i="1"/>
  <c r="G14143" i="1"/>
  <c r="M14142" i="1"/>
  <c r="L14142" i="1"/>
  <c r="K14142" i="1"/>
  <c r="J14142" i="1"/>
  <c r="I14142" i="1"/>
  <c r="H14142" i="1"/>
  <c r="G14142" i="1"/>
  <c r="M14141" i="1"/>
  <c r="L14141" i="1"/>
  <c r="K14141" i="1"/>
  <c r="J14141" i="1"/>
  <c r="I14141" i="1"/>
  <c r="H14141" i="1"/>
  <c r="G14141" i="1"/>
  <c r="M14140" i="1"/>
  <c r="L14140" i="1"/>
  <c r="K14140" i="1"/>
  <c r="J14140" i="1"/>
  <c r="I14140" i="1"/>
  <c r="H14140" i="1"/>
  <c r="G14140" i="1"/>
  <c r="M14139" i="1"/>
  <c r="L14139" i="1"/>
  <c r="K14139" i="1"/>
  <c r="J14139" i="1"/>
  <c r="I14139" i="1"/>
  <c r="H14139" i="1"/>
  <c r="G14139" i="1"/>
  <c r="M14138" i="1"/>
  <c r="L14138" i="1"/>
  <c r="K14138" i="1"/>
  <c r="J14138" i="1"/>
  <c r="I14138" i="1"/>
  <c r="H14138" i="1"/>
  <c r="G14138" i="1"/>
  <c r="M14137" i="1"/>
  <c r="L14137" i="1"/>
  <c r="K14137" i="1"/>
  <c r="J14137" i="1"/>
  <c r="I14137" i="1"/>
  <c r="H14137" i="1"/>
  <c r="G14137" i="1"/>
  <c r="M14136" i="1"/>
  <c r="L14136" i="1"/>
  <c r="K14136" i="1"/>
  <c r="J14136" i="1"/>
  <c r="I14136" i="1"/>
  <c r="H14136" i="1"/>
  <c r="G14136" i="1"/>
  <c r="M14135" i="1"/>
  <c r="L14135" i="1"/>
  <c r="K14135" i="1"/>
  <c r="J14135" i="1"/>
  <c r="I14135" i="1"/>
  <c r="H14135" i="1"/>
  <c r="G14135" i="1"/>
  <c r="M14134" i="1"/>
  <c r="L14134" i="1"/>
  <c r="K14134" i="1"/>
  <c r="J14134" i="1"/>
  <c r="I14134" i="1"/>
  <c r="H14134" i="1"/>
  <c r="G14134" i="1"/>
  <c r="M14133" i="1"/>
  <c r="L14133" i="1"/>
  <c r="K14133" i="1"/>
  <c r="J14133" i="1"/>
  <c r="I14133" i="1"/>
  <c r="H14133" i="1"/>
  <c r="G14133" i="1"/>
  <c r="M14132" i="1"/>
  <c r="L14132" i="1"/>
  <c r="K14132" i="1"/>
  <c r="J14132" i="1"/>
  <c r="I14132" i="1"/>
  <c r="H14132" i="1"/>
  <c r="G14132" i="1"/>
  <c r="M14131" i="1"/>
  <c r="L14131" i="1"/>
  <c r="K14131" i="1"/>
  <c r="J14131" i="1"/>
  <c r="I14131" i="1"/>
  <c r="H14131" i="1"/>
  <c r="G14131" i="1"/>
  <c r="M14130" i="1"/>
  <c r="L14130" i="1"/>
  <c r="K14130" i="1"/>
  <c r="J14130" i="1"/>
  <c r="I14130" i="1"/>
  <c r="H14130" i="1"/>
  <c r="G14130" i="1"/>
  <c r="M14129" i="1"/>
  <c r="L14129" i="1"/>
  <c r="K14129" i="1"/>
  <c r="J14129" i="1"/>
  <c r="I14129" i="1"/>
  <c r="H14129" i="1"/>
  <c r="G14129" i="1"/>
  <c r="M14128" i="1"/>
  <c r="L14128" i="1"/>
  <c r="K14128" i="1"/>
  <c r="J14128" i="1"/>
  <c r="I14128" i="1"/>
  <c r="H14128" i="1"/>
  <c r="G14128" i="1"/>
  <c r="M14127" i="1"/>
  <c r="L14127" i="1"/>
  <c r="K14127" i="1"/>
  <c r="J14127" i="1"/>
  <c r="I14127" i="1"/>
  <c r="H14127" i="1"/>
  <c r="G14127" i="1"/>
  <c r="M14126" i="1"/>
  <c r="L14126" i="1"/>
  <c r="K14126" i="1"/>
  <c r="J14126" i="1"/>
  <c r="I14126" i="1"/>
  <c r="H14126" i="1"/>
  <c r="G14126" i="1"/>
  <c r="M14125" i="1"/>
  <c r="L14125" i="1"/>
  <c r="K14125" i="1"/>
  <c r="J14125" i="1"/>
  <c r="I14125" i="1"/>
  <c r="H14125" i="1"/>
  <c r="G14125" i="1"/>
  <c r="M14124" i="1"/>
  <c r="L14124" i="1"/>
  <c r="K14124" i="1"/>
  <c r="J14124" i="1"/>
  <c r="I14124" i="1"/>
  <c r="H14124" i="1"/>
  <c r="G14124" i="1"/>
  <c r="M14123" i="1"/>
  <c r="L14123" i="1"/>
  <c r="K14123" i="1"/>
  <c r="J14123" i="1"/>
  <c r="I14123" i="1"/>
  <c r="H14123" i="1"/>
  <c r="G14123" i="1"/>
  <c r="M14122" i="1"/>
  <c r="L14122" i="1"/>
  <c r="K14122" i="1"/>
  <c r="J14122" i="1"/>
  <c r="I14122" i="1"/>
  <c r="H14122" i="1"/>
  <c r="G14122" i="1"/>
  <c r="M14121" i="1"/>
  <c r="L14121" i="1"/>
  <c r="K14121" i="1"/>
  <c r="J14121" i="1"/>
  <c r="I14121" i="1"/>
  <c r="H14121" i="1"/>
  <c r="G14121" i="1"/>
  <c r="M14120" i="1"/>
  <c r="L14120" i="1"/>
  <c r="K14120" i="1"/>
  <c r="J14120" i="1"/>
  <c r="I14120" i="1"/>
  <c r="H14120" i="1"/>
  <c r="G14120" i="1"/>
  <c r="M14119" i="1"/>
  <c r="L14119" i="1"/>
  <c r="K14119" i="1"/>
  <c r="J14119" i="1"/>
  <c r="I14119" i="1"/>
  <c r="H14119" i="1"/>
  <c r="G14119" i="1"/>
  <c r="M14118" i="1"/>
  <c r="L14118" i="1"/>
  <c r="K14118" i="1"/>
  <c r="J14118" i="1"/>
  <c r="I14118" i="1"/>
  <c r="H14118" i="1"/>
  <c r="G14118" i="1"/>
  <c r="M14117" i="1"/>
  <c r="L14117" i="1"/>
  <c r="K14117" i="1"/>
  <c r="J14117" i="1"/>
  <c r="I14117" i="1"/>
  <c r="H14117" i="1"/>
  <c r="G14117" i="1"/>
  <c r="M14116" i="1"/>
  <c r="L14116" i="1"/>
  <c r="K14116" i="1"/>
  <c r="J14116" i="1"/>
  <c r="I14116" i="1"/>
  <c r="H14116" i="1"/>
  <c r="G14116" i="1"/>
  <c r="M14115" i="1"/>
  <c r="L14115" i="1"/>
  <c r="K14115" i="1"/>
  <c r="J14115" i="1"/>
  <c r="I14115" i="1"/>
  <c r="H14115" i="1"/>
  <c r="G14115" i="1"/>
  <c r="M14114" i="1"/>
  <c r="L14114" i="1"/>
  <c r="K14114" i="1"/>
  <c r="J14114" i="1"/>
  <c r="I14114" i="1"/>
  <c r="H14114" i="1"/>
  <c r="G14114" i="1"/>
  <c r="M14113" i="1"/>
  <c r="L14113" i="1"/>
  <c r="K14113" i="1"/>
  <c r="J14113" i="1"/>
  <c r="I14113" i="1"/>
  <c r="H14113" i="1"/>
  <c r="G14113" i="1"/>
  <c r="M14112" i="1"/>
  <c r="L14112" i="1"/>
  <c r="K14112" i="1"/>
  <c r="J14112" i="1"/>
  <c r="I14112" i="1"/>
  <c r="H14112" i="1"/>
  <c r="G14112" i="1"/>
  <c r="M14111" i="1"/>
  <c r="L14111" i="1"/>
  <c r="K14111" i="1"/>
  <c r="J14111" i="1"/>
  <c r="I14111" i="1"/>
  <c r="H14111" i="1"/>
  <c r="G14111" i="1"/>
  <c r="M14110" i="1"/>
  <c r="L14110" i="1"/>
  <c r="K14110" i="1"/>
  <c r="J14110" i="1"/>
  <c r="I14110" i="1"/>
  <c r="H14110" i="1"/>
  <c r="G14110" i="1"/>
  <c r="M14109" i="1"/>
  <c r="L14109" i="1"/>
  <c r="K14109" i="1"/>
  <c r="J14109" i="1"/>
  <c r="I14109" i="1"/>
  <c r="H14109" i="1"/>
  <c r="G14109" i="1"/>
  <c r="M14108" i="1"/>
  <c r="L14108" i="1"/>
  <c r="K14108" i="1"/>
  <c r="J14108" i="1"/>
  <c r="I14108" i="1"/>
  <c r="H14108" i="1"/>
  <c r="G14108" i="1"/>
  <c r="M14107" i="1"/>
  <c r="L14107" i="1"/>
  <c r="K14107" i="1"/>
  <c r="J14107" i="1"/>
  <c r="I14107" i="1"/>
  <c r="H14107" i="1"/>
  <c r="G14107" i="1"/>
  <c r="M14106" i="1"/>
  <c r="L14106" i="1"/>
  <c r="K14106" i="1"/>
  <c r="J14106" i="1"/>
  <c r="I14106" i="1"/>
  <c r="H14106" i="1"/>
  <c r="G14106" i="1"/>
  <c r="M14105" i="1"/>
  <c r="L14105" i="1"/>
  <c r="K14105" i="1"/>
  <c r="J14105" i="1"/>
  <c r="I14105" i="1"/>
  <c r="H14105" i="1"/>
  <c r="G14105" i="1"/>
  <c r="M14104" i="1"/>
  <c r="L14104" i="1"/>
  <c r="K14104" i="1"/>
  <c r="J14104" i="1"/>
  <c r="I14104" i="1"/>
  <c r="H14104" i="1"/>
  <c r="G14104" i="1"/>
  <c r="M14103" i="1"/>
  <c r="L14103" i="1"/>
  <c r="K14103" i="1"/>
  <c r="J14103" i="1"/>
  <c r="I14103" i="1"/>
  <c r="H14103" i="1"/>
  <c r="G14103" i="1"/>
  <c r="M14102" i="1"/>
  <c r="L14102" i="1"/>
  <c r="K14102" i="1"/>
  <c r="J14102" i="1"/>
  <c r="I14102" i="1"/>
  <c r="H14102" i="1"/>
  <c r="G14102" i="1"/>
  <c r="M14101" i="1"/>
  <c r="L14101" i="1"/>
  <c r="K14101" i="1"/>
  <c r="J14101" i="1"/>
  <c r="I14101" i="1"/>
  <c r="H14101" i="1"/>
  <c r="G14101" i="1"/>
  <c r="M14100" i="1"/>
  <c r="L14100" i="1"/>
  <c r="K14100" i="1"/>
  <c r="J14100" i="1"/>
  <c r="I14100" i="1"/>
  <c r="H14100" i="1"/>
  <c r="G14100" i="1"/>
  <c r="M14099" i="1"/>
  <c r="L14099" i="1"/>
  <c r="K14099" i="1"/>
  <c r="J14099" i="1"/>
  <c r="I14099" i="1"/>
  <c r="H14099" i="1"/>
  <c r="G14099" i="1"/>
  <c r="M14098" i="1"/>
  <c r="L14098" i="1"/>
  <c r="K14098" i="1"/>
  <c r="J14098" i="1"/>
  <c r="I14098" i="1"/>
  <c r="H14098" i="1"/>
  <c r="G14098" i="1"/>
  <c r="M14097" i="1"/>
  <c r="L14097" i="1"/>
  <c r="K14097" i="1"/>
  <c r="J14097" i="1"/>
  <c r="I14097" i="1"/>
  <c r="H14097" i="1"/>
  <c r="G14097" i="1"/>
  <c r="M14096" i="1"/>
  <c r="L14096" i="1"/>
  <c r="K14096" i="1"/>
  <c r="J14096" i="1"/>
  <c r="I14096" i="1"/>
  <c r="H14096" i="1"/>
  <c r="G14096" i="1"/>
  <c r="M14095" i="1"/>
  <c r="L14095" i="1"/>
  <c r="K14095" i="1"/>
  <c r="J14095" i="1"/>
  <c r="I14095" i="1"/>
  <c r="H14095" i="1"/>
  <c r="G14095" i="1"/>
  <c r="M14094" i="1"/>
  <c r="L14094" i="1"/>
  <c r="K14094" i="1"/>
  <c r="J14094" i="1"/>
  <c r="I14094" i="1"/>
  <c r="H14094" i="1"/>
  <c r="G14094" i="1"/>
  <c r="M14093" i="1"/>
  <c r="L14093" i="1"/>
  <c r="K14093" i="1"/>
  <c r="J14093" i="1"/>
  <c r="I14093" i="1"/>
  <c r="H14093" i="1"/>
  <c r="G14093" i="1"/>
  <c r="M14092" i="1"/>
  <c r="L14092" i="1"/>
  <c r="K14092" i="1"/>
  <c r="J14092" i="1"/>
  <c r="I14092" i="1"/>
  <c r="H14092" i="1"/>
  <c r="G14092" i="1"/>
  <c r="M14091" i="1"/>
  <c r="L14091" i="1"/>
  <c r="K14091" i="1"/>
  <c r="J14091" i="1"/>
  <c r="I14091" i="1"/>
  <c r="H14091" i="1"/>
  <c r="G14091" i="1"/>
  <c r="M14090" i="1"/>
  <c r="L14090" i="1"/>
  <c r="K14090" i="1"/>
  <c r="J14090" i="1"/>
  <c r="I14090" i="1"/>
  <c r="H14090" i="1"/>
  <c r="G14090" i="1"/>
  <c r="M14089" i="1"/>
  <c r="L14089" i="1"/>
  <c r="K14089" i="1"/>
  <c r="J14089" i="1"/>
  <c r="I14089" i="1"/>
  <c r="H14089" i="1"/>
  <c r="G14089" i="1"/>
  <c r="M14088" i="1"/>
  <c r="L14088" i="1"/>
  <c r="K14088" i="1"/>
  <c r="J14088" i="1"/>
  <c r="I14088" i="1"/>
  <c r="H14088" i="1"/>
  <c r="G14088" i="1"/>
  <c r="M14087" i="1"/>
  <c r="L14087" i="1"/>
  <c r="K14087" i="1"/>
  <c r="J14087" i="1"/>
  <c r="I14087" i="1"/>
  <c r="H14087" i="1"/>
  <c r="G14087" i="1"/>
  <c r="M14086" i="1"/>
  <c r="L14086" i="1"/>
  <c r="K14086" i="1"/>
  <c r="J14086" i="1"/>
  <c r="I14086" i="1"/>
  <c r="H14086" i="1"/>
  <c r="G14086" i="1"/>
  <c r="M14085" i="1"/>
  <c r="L14085" i="1"/>
  <c r="K14085" i="1"/>
  <c r="J14085" i="1"/>
  <c r="I14085" i="1"/>
  <c r="H14085" i="1"/>
  <c r="G14085" i="1"/>
  <c r="M14084" i="1"/>
  <c r="L14084" i="1"/>
  <c r="K14084" i="1"/>
  <c r="J14084" i="1"/>
  <c r="I14084" i="1"/>
  <c r="H14084" i="1"/>
  <c r="G14084" i="1"/>
  <c r="M14083" i="1"/>
  <c r="L14083" i="1"/>
  <c r="K14083" i="1"/>
  <c r="J14083" i="1"/>
  <c r="I14083" i="1"/>
  <c r="H14083" i="1"/>
  <c r="G14083" i="1"/>
  <c r="M14082" i="1"/>
  <c r="L14082" i="1"/>
  <c r="K14082" i="1"/>
  <c r="J14082" i="1"/>
  <c r="I14082" i="1"/>
  <c r="H14082" i="1"/>
  <c r="G14082" i="1"/>
  <c r="M14081" i="1"/>
  <c r="L14081" i="1"/>
  <c r="K14081" i="1"/>
  <c r="J14081" i="1"/>
  <c r="I14081" i="1"/>
  <c r="H14081" i="1"/>
  <c r="G14081" i="1"/>
  <c r="M14080" i="1"/>
  <c r="L14080" i="1"/>
  <c r="K14080" i="1"/>
  <c r="J14080" i="1"/>
  <c r="I14080" i="1"/>
  <c r="H14080" i="1"/>
  <c r="G14080" i="1"/>
  <c r="M14079" i="1"/>
  <c r="L14079" i="1"/>
  <c r="K14079" i="1"/>
  <c r="J14079" i="1"/>
  <c r="I14079" i="1"/>
  <c r="H14079" i="1"/>
  <c r="G14079" i="1"/>
  <c r="M14078" i="1"/>
  <c r="L14078" i="1"/>
  <c r="K14078" i="1"/>
  <c r="J14078" i="1"/>
  <c r="I14078" i="1"/>
  <c r="H14078" i="1"/>
  <c r="G14078" i="1"/>
  <c r="M14077" i="1"/>
  <c r="L14077" i="1"/>
  <c r="K14077" i="1"/>
  <c r="J14077" i="1"/>
  <c r="I14077" i="1"/>
  <c r="H14077" i="1"/>
  <c r="G14077" i="1"/>
  <c r="M14076" i="1"/>
  <c r="L14076" i="1"/>
  <c r="K14076" i="1"/>
  <c r="J14076" i="1"/>
  <c r="I14076" i="1"/>
  <c r="H14076" i="1"/>
  <c r="G14076" i="1"/>
  <c r="M14075" i="1"/>
  <c r="L14075" i="1"/>
  <c r="K14075" i="1"/>
  <c r="J14075" i="1"/>
  <c r="I14075" i="1"/>
  <c r="H14075" i="1"/>
  <c r="G14075" i="1"/>
  <c r="M14074" i="1"/>
  <c r="L14074" i="1"/>
  <c r="K14074" i="1"/>
  <c r="J14074" i="1"/>
  <c r="I14074" i="1"/>
  <c r="H14074" i="1"/>
  <c r="G14074" i="1"/>
  <c r="M14073" i="1"/>
  <c r="L14073" i="1"/>
  <c r="K14073" i="1"/>
  <c r="J14073" i="1"/>
  <c r="I14073" i="1"/>
  <c r="H14073" i="1"/>
  <c r="G14073" i="1"/>
  <c r="M14072" i="1"/>
  <c r="L14072" i="1"/>
  <c r="K14072" i="1"/>
  <c r="J14072" i="1"/>
  <c r="I14072" i="1"/>
  <c r="H14072" i="1"/>
  <c r="G14072" i="1"/>
  <c r="M14071" i="1"/>
  <c r="L14071" i="1"/>
  <c r="K14071" i="1"/>
  <c r="J14071" i="1"/>
  <c r="I14071" i="1"/>
  <c r="H14071" i="1"/>
  <c r="G14071" i="1"/>
  <c r="M14070" i="1"/>
  <c r="L14070" i="1"/>
  <c r="K14070" i="1"/>
  <c r="J14070" i="1"/>
  <c r="I14070" i="1"/>
  <c r="H14070" i="1"/>
  <c r="G14070" i="1"/>
  <c r="M14069" i="1"/>
  <c r="L14069" i="1"/>
  <c r="K14069" i="1"/>
  <c r="J14069" i="1"/>
  <c r="I14069" i="1"/>
  <c r="H14069" i="1"/>
  <c r="G14069" i="1"/>
  <c r="M14068" i="1"/>
  <c r="L14068" i="1"/>
  <c r="K14068" i="1"/>
  <c r="J14068" i="1"/>
  <c r="I14068" i="1"/>
  <c r="H14068" i="1"/>
  <c r="G14068" i="1"/>
  <c r="M14067" i="1"/>
  <c r="L14067" i="1"/>
  <c r="K14067" i="1"/>
  <c r="J14067" i="1"/>
  <c r="I14067" i="1"/>
  <c r="H14067" i="1"/>
  <c r="G14067" i="1"/>
  <c r="M14066" i="1"/>
  <c r="L14066" i="1"/>
  <c r="K14066" i="1"/>
  <c r="J14066" i="1"/>
  <c r="I14066" i="1"/>
  <c r="H14066" i="1"/>
  <c r="G14066" i="1"/>
  <c r="M14065" i="1"/>
  <c r="L14065" i="1"/>
  <c r="K14065" i="1"/>
  <c r="J14065" i="1"/>
  <c r="I14065" i="1"/>
  <c r="H14065" i="1"/>
  <c r="G14065" i="1"/>
  <c r="M14064" i="1"/>
  <c r="L14064" i="1"/>
  <c r="K14064" i="1"/>
  <c r="J14064" i="1"/>
  <c r="I14064" i="1"/>
  <c r="H14064" i="1"/>
  <c r="G14064" i="1"/>
  <c r="M14063" i="1"/>
  <c r="L14063" i="1"/>
  <c r="K14063" i="1"/>
  <c r="J14063" i="1"/>
  <c r="I14063" i="1"/>
  <c r="H14063" i="1"/>
  <c r="G14063" i="1"/>
  <c r="M14062" i="1"/>
  <c r="L14062" i="1"/>
  <c r="K14062" i="1"/>
  <c r="J14062" i="1"/>
  <c r="I14062" i="1"/>
  <c r="H14062" i="1"/>
  <c r="G14062" i="1"/>
  <c r="M14061" i="1"/>
  <c r="L14061" i="1"/>
  <c r="K14061" i="1"/>
  <c r="J14061" i="1"/>
  <c r="I14061" i="1"/>
  <c r="H14061" i="1"/>
  <c r="G14061" i="1"/>
  <c r="M14060" i="1"/>
  <c r="L14060" i="1"/>
  <c r="K14060" i="1"/>
  <c r="J14060" i="1"/>
  <c r="I14060" i="1"/>
  <c r="H14060" i="1"/>
  <c r="G14060" i="1"/>
  <c r="M14059" i="1"/>
  <c r="L14059" i="1"/>
  <c r="K14059" i="1"/>
  <c r="J14059" i="1"/>
  <c r="I14059" i="1"/>
  <c r="H14059" i="1"/>
  <c r="G14059" i="1"/>
  <c r="M14058" i="1"/>
  <c r="L14058" i="1"/>
  <c r="K14058" i="1"/>
  <c r="J14058" i="1"/>
  <c r="I14058" i="1"/>
  <c r="H14058" i="1"/>
  <c r="G14058" i="1"/>
  <c r="M14057" i="1"/>
  <c r="L14057" i="1"/>
  <c r="K14057" i="1"/>
  <c r="J14057" i="1"/>
  <c r="I14057" i="1"/>
  <c r="H14057" i="1"/>
  <c r="G14057" i="1"/>
  <c r="M14056" i="1"/>
  <c r="L14056" i="1"/>
  <c r="K14056" i="1"/>
  <c r="J14056" i="1"/>
  <c r="I14056" i="1"/>
  <c r="H14056" i="1"/>
  <c r="G14056" i="1"/>
  <c r="M14055" i="1"/>
  <c r="L14055" i="1"/>
  <c r="K14055" i="1"/>
  <c r="J14055" i="1"/>
  <c r="I14055" i="1"/>
  <c r="H14055" i="1"/>
  <c r="G14055" i="1"/>
  <c r="M14054" i="1"/>
  <c r="L14054" i="1"/>
  <c r="K14054" i="1"/>
  <c r="J14054" i="1"/>
  <c r="I14054" i="1"/>
  <c r="H14054" i="1"/>
  <c r="G14054" i="1"/>
  <c r="M14053" i="1"/>
  <c r="L14053" i="1"/>
  <c r="K14053" i="1"/>
  <c r="J14053" i="1"/>
  <c r="I14053" i="1"/>
  <c r="H14053" i="1"/>
  <c r="G14053" i="1"/>
  <c r="M14052" i="1"/>
  <c r="L14052" i="1"/>
  <c r="K14052" i="1"/>
  <c r="J14052" i="1"/>
  <c r="I14052" i="1"/>
  <c r="H14052" i="1"/>
  <c r="G14052" i="1"/>
  <c r="M14051" i="1"/>
  <c r="L14051" i="1"/>
  <c r="K14051" i="1"/>
  <c r="J14051" i="1"/>
  <c r="I14051" i="1"/>
  <c r="H14051" i="1"/>
  <c r="G14051" i="1"/>
  <c r="M14050" i="1"/>
  <c r="L14050" i="1"/>
  <c r="K14050" i="1"/>
  <c r="J14050" i="1"/>
  <c r="I14050" i="1"/>
  <c r="H14050" i="1"/>
  <c r="G14050" i="1"/>
  <c r="M14049" i="1"/>
  <c r="L14049" i="1"/>
  <c r="K14049" i="1"/>
  <c r="J14049" i="1"/>
  <c r="I14049" i="1"/>
  <c r="H14049" i="1"/>
  <c r="G14049" i="1"/>
  <c r="M14048" i="1"/>
  <c r="L14048" i="1"/>
  <c r="K14048" i="1"/>
  <c r="J14048" i="1"/>
  <c r="I14048" i="1"/>
  <c r="H14048" i="1"/>
  <c r="G14048" i="1"/>
  <c r="M14047" i="1"/>
  <c r="L14047" i="1"/>
  <c r="K14047" i="1"/>
  <c r="J14047" i="1"/>
  <c r="I14047" i="1"/>
  <c r="H14047" i="1"/>
  <c r="G14047" i="1"/>
  <c r="M14046" i="1"/>
  <c r="L14046" i="1"/>
  <c r="K14046" i="1"/>
  <c r="J14046" i="1"/>
  <c r="I14046" i="1"/>
  <c r="H14046" i="1"/>
  <c r="G14046" i="1"/>
  <c r="M14045" i="1"/>
  <c r="L14045" i="1"/>
  <c r="K14045" i="1"/>
  <c r="J14045" i="1"/>
  <c r="I14045" i="1"/>
  <c r="H14045" i="1"/>
  <c r="G14045" i="1"/>
  <c r="M14044" i="1"/>
  <c r="L14044" i="1"/>
  <c r="K14044" i="1"/>
  <c r="J14044" i="1"/>
  <c r="I14044" i="1"/>
  <c r="H14044" i="1"/>
  <c r="G14044" i="1"/>
  <c r="M14043" i="1"/>
  <c r="L14043" i="1"/>
  <c r="K14043" i="1"/>
  <c r="J14043" i="1"/>
  <c r="I14043" i="1"/>
  <c r="H14043" i="1"/>
  <c r="G14043" i="1"/>
  <c r="M14042" i="1"/>
  <c r="L14042" i="1"/>
  <c r="K14042" i="1"/>
  <c r="J14042" i="1"/>
  <c r="I14042" i="1"/>
  <c r="H14042" i="1"/>
  <c r="G14042" i="1"/>
  <c r="M14041" i="1"/>
  <c r="L14041" i="1"/>
  <c r="K14041" i="1"/>
  <c r="J14041" i="1"/>
  <c r="I14041" i="1"/>
  <c r="H14041" i="1"/>
  <c r="G14041" i="1"/>
  <c r="M14040" i="1"/>
  <c r="L14040" i="1"/>
  <c r="K14040" i="1"/>
  <c r="J14040" i="1"/>
  <c r="I14040" i="1"/>
  <c r="H14040" i="1"/>
  <c r="G14040" i="1"/>
  <c r="M14039" i="1"/>
  <c r="L14039" i="1"/>
  <c r="K14039" i="1"/>
  <c r="J14039" i="1"/>
  <c r="I14039" i="1"/>
  <c r="H14039" i="1"/>
  <c r="G14039" i="1"/>
  <c r="M14038" i="1"/>
  <c r="L14038" i="1"/>
  <c r="K14038" i="1"/>
  <c r="J14038" i="1"/>
  <c r="I14038" i="1"/>
  <c r="H14038" i="1"/>
  <c r="G14038" i="1"/>
  <c r="M14037" i="1"/>
  <c r="L14037" i="1"/>
  <c r="K14037" i="1"/>
  <c r="J14037" i="1"/>
  <c r="I14037" i="1"/>
  <c r="H14037" i="1"/>
  <c r="G14037" i="1"/>
  <c r="M14036" i="1"/>
  <c r="L14036" i="1"/>
  <c r="K14036" i="1"/>
  <c r="J14036" i="1"/>
  <c r="I14036" i="1"/>
  <c r="H14036" i="1"/>
  <c r="G14036" i="1"/>
  <c r="M14035" i="1"/>
  <c r="L14035" i="1"/>
  <c r="K14035" i="1"/>
  <c r="J14035" i="1"/>
  <c r="I14035" i="1"/>
  <c r="H14035" i="1"/>
  <c r="G14035" i="1"/>
  <c r="M14034" i="1"/>
  <c r="L14034" i="1"/>
  <c r="K14034" i="1"/>
  <c r="J14034" i="1"/>
  <c r="I14034" i="1"/>
  <c r="H14034" i="1"/>
  <c r="G14034" i="1"/>
  <c r="M14033" i="1"/>
  <c r="L14033" i="1"/>
  <c r="K14033" i="1"/>
  <c r="J14033" i="1"/>
  <c r="I14033" i="1"/>
  <c r="H14033" i="1"/>
  <c r="G14033" i="1"/>
  <c r="M14032" i="1"/>
  <c r="L14032" i="1"/>
  <c r="K14032" i="1"/>
  <c r="J14032" i="1"/>
  <c r="I14032" i="1"/>
  <c r="H14032" i="1"/>
  <c r="G14032" i="1"/>
  <c r="M14031" i="1"/>
  <c r="L14031" i="1"/>
  <c r="K14031" i="1"/>
  <c r="J14031" i="1"/>
  <c r="I14031" i="1"/>
  <c r="H14031" i="1"/>
  <c r="G14031" i="1"/>
  <c r="M14030" i="1"/>
  <c r="L14030" i="1"/>
  <c r="K14030" i="1"/>
  <c r="J14030" i="1"/>
  <c r="I14030" i="1"/>
  <c r="H14030" i="1"/>
  <c r="G14030" i="1"/>
  <c r="M14029" i="1"/>
  <c r="L14029" i="1"/>
  <c r="K14029" i="1"/>
  <c r="J14029" i="1"/>
  <c r="I14029" i="1"/>
  <c r="H14029" i="1"/>
  <c r="G14029" i="1"/>
  <c r="M14028" i="1"/>
  <c r="L14028" i="1"/>
  <c r="K14028" i="1"/>
  <c r="J14028" i="1"/>
  <c r="I14028" i="1"/>
  <c r="H14028" i="1"/>
  <c r="G14028" i="1"/>
  <c r="M14027" i="1"/>
  <c r="L14027" i="1"/>
  <c r="K14027" i="1"/>
  <c r="J14027" i="1"/>
  <c r="I14027" i="1"/>
  <c r="H14027" i="1"/>
  <c r="G14027" i="1"/>
  <c r="M14026" i="1"/>
  <c r="L14026" i="1"/>
  <c r="K14026" i="1"/>
  <c r="J14026" i="1"/>
  <c r="I14026" i="1"/>
  <c r="H14026" i="1"/>
  <c r="G14026" i="1"/>
  <c r="M14025" i="1"/>
  <c r="L14025" i="1"/>
  <c r="K14025" i="1"/>
  <c r="J14025" i="1"/>
  <c r="I14025" i="1"/>
  <c r="H14025" i="1"/>
  <c r="G14025" i="1"/>
  <c r="M14024" i="1"/>
  <c r="L14024" i="1"/>
  <c r="K14024" i="1"/>
  <c r="J14024" i="1"/>
  <c r="I14024" i="1"/>
  <c r="H14024" i="1"/>
  <c r="G14024" i="1"/>
  <c r="M14023" i="1"/>
  <c r="L14023" i="1"/>
  <c r="K14023" i="1"/>
  <c r="J14023" i="1"/>
  <c r="I14023" i="1"/>
  <c r="H14023" i="1"/>
  <c r="G14023" i="1"/>
  <c r="M14022" i="1"/>
  <c r="L14022" i="1"/>
  <c r="K14022" i="1"/>
  <c r="J14022" i="1"/>
  <c r="I14022" i="1"/>
  <c r="H14022" i="1"/>
  <c r="G14022" i="1"/>
  <c r="M14021" i="1"/>
  <c r="L14021" i="1"/>
  <c r="K14021" i="1"/>
  <c r="J14021" i="1"/>
  <c r="I14021" i="1"/>
  <c r="H14021" i="1"/>
  <c r="G14021" i="1"/>
  <c r="M14020" i="1"/>
  <c r="L14020" i="1"/>
  <c r="K14020" i="1"/>
  <c r="J14020" i="1"/>
  <c r="I14020" i="1"/>
  <c r="H14020" i="1"/>
  <c r="G14020" i="1"/>
  <c r="M14019" i="1"/>
  <c r="L14019" i="1"/>
  <c r="K14019" i="1"/>
  <c r="J14019" i="1"/>
  <c r="I14019" i="1"/>
  <c r="H14019" i="1"/>
  <c r="G14019" i="1"/>
  <c r="M14018" i="1"/>
  <c r="L14018" i="1"/>
  <c r="K14018" i="1"/>
  <c r="J14018" i="1"/>
  <c r="I14018" i="1"/>
  <c r="H14018" i="1"/>
  <c r="G14018" i="1"/>
  <c r="M14017" i="1"/>
  <c r="L14017" i="1"/>
  <c r="K14017" i="1"/>
  <c r="J14017" i="1"/>
  <c r="I14017" i="1"/>
  <c r="H14017" i="1"/>
  <c r="G14017" i="1"/>
  <c r="M14016" i="1"/>
  <c r="L14016" i="1"/>
  <c r="K14016" i="1"/>
  <c r="J14016" i="1"/>
  <c r="I14016" i="1"/>
  <c r="H14016" i="1"/>
  <c r="G14016" i="1"/>
  <c r="M14015" i="1"/>
  <c r="L14015" i="1"/>
  <c r="K14015" i="1"/>
  <c r="J14015" i="1"/>
  <c r="I14015" i="1"/>
  <c r="H14015" i="1"/>
  <c r="G14015" i="1"/>
  <c r="M14014" i="1"/>
  <c r="L14014" i="1"/>
  <c r="K14014" i="1"/>
  <c r="J14014" i="1"/>
  <c r="I14014" i="1"/>
  <c r="H14014" i="1"/>
  <c r="G14014" i="1"/>
  <c r="M14013" i="1"/>
  <c r="L14013" i="1"/>
  <c r="K14013" i="1"/>
  <c r="J14013" i="1"/>
  <c r="I14013" i="1"/>
  <c r="H14013" i="1"/>
  <c r="G14013" i="1"/>
  <c r="M14012" i="1"/>
  <c r="L14012" i="1"/>
  <c r="K14012" i="1"/>
  <c r="J14012" i="1"/>
  <c r="I14012" i="1"/>
  <c r="H14012" i="1"/>
  <c r="G14012" i="1"/>
  <c r="M14011" i="1"/>
  <c r="L14011" i="1"/>
  <c r="K14011" i="1"/>
  <c r="J14011" i="1"/>
  <c r="I14011" i="1"/>
  <c r="H14011" i="1"/>
  <c r="G14011" i="1"/>
  <c r="M14010" i="1"/>
  <c r="L14010" i="1"/>
  <c r="K14010" i="1"/>
  <c r="J14010" i="1"/>
  <c r="I14010" i="1"/>
  <c r="H14010" i="1"/>
  <c r="G14010" i="1"/>
  <c r="M14009" i="1"/>
  <c r="L14009" i="1"/>
  <c r="K14009" i="1"/>
  <c r="J14009" i="1"/>
  <c r="I14009" i="1"/>
  <c r="H14009" i="1"/>
  <c r="G14009" i="1"/>
  <c r="M14008" i="1"/>
  <c r="L14008" i="1"/>
  <c r="K14008" i="1"/>
  <c r="J14008" i="1"/>
  <c r="I14008" i="1"/>
  <c r="H14008" i="1"/>
  <c r="G14008" i="1"/>
  <c r="M14007" i="1"/>
  <c r="L14007" i="1"/>
  <c r="K14007" i="1"/>
  <c r="J14007" i="1"/>
  <c r="I14007" i="1"/>
  <c r="H14007" i="1"/>
  <c r="G14007" i="1"/>
  <c r="M14006" i="1"/>
  <c r="L14006" i="1"/>
  <c r="K14006" i="1"/>
  <c r="J14006" i="1"/>
  <c r="I14006" i="1"/>
  <c r="H14006" i="1"/>
  <c r="G14006" i="1"/>
  <c r="M14005" i="1"/>
  <c r="L14005" i="1"/>
  <c r="K14005" i="1"/>
  <c r="J14005" i="1"/>
  <c r="I14005" i="1"/>
  <c r="H14005" i="1"/>
  <c r="G14005" i="1"/>
  <c r="M14004" i="1"/>
  <c r="L14004" i="1"/>
  <c r="K14004" i="1"/>
  <c r="J14004" i="1"/>
  <c r="I14004" i="1"/>
  <c r="H14004" i="1"/>
  <c r="G14004" i="1"/>
  <c r="M14003" i="1"/>
  <c r="L14003" i="1"/>
  <c r="K14003" i="1"/>
  <c r="J14003" i="1"/>
  <c r="I14003" i="1"/>
  <c r="H14003" i="1"/>
  <c r="G14003" i="1"/>
  <c r="M14002" i="1"/>
  <c r="L14002" i="1"/>
  <c r="K14002" i="1"/>
  <c r="J14002" i="1"/>
  <c r="I14002" i="1"/>
  <c r="H14002" i="1"/>
  <c r="G14002" i="1"/>
  <c r="M14001" i="1"/>
  <c r="L14001" i="1"/>
  <c r="K14001" i="1"/>
  <c r="J14001" i="1"/>
  <c r="I14001" i="1"/>
  <c r="H14001" i="1"/>
  <c r="G14001" i="1"/>
  <c r="M14000" i="1"/>
  <c r="L14000" i="1"/>
  <c r="K14000" i="1"/>
  <c r="J14000" i="1"/>
  <c r="I14000" i="1"/>
  <c r="H14000" i="1"/>
  <c r="G14000" i="1"/>
  <c r="M13999" i="1"/>
  <c r="L13999" i="1"/>
  <c r="K13999" i="1"/>
  <c r="J13999" i="1"/>
  <c r="I13999" i="1"/>
  <c r="H13999" i="1"/>
  <c r="G13999" i="1"/>
  <c r="M13998" i="1"/>
  <c r="L13998" i="1"/>
  <c r="K13998" i="1"/>
  <c r="J13998" i="1"/>
  <c r="I13998" i="1"/>
  <c r="H13998" i="1"/>
  <c r="G13998" i="1"/>
  <c r="M13997" i="1"/>
  <c r="L13997" i="1"/>
  <c r="K13997" i="1"/>
  <c r="J13997" i="1"/>
  <c r="I13997" i="1"/>
  <c r="H13997" i="1"/>
  <c r="G13997" i="1"/>
  <c r="M13996" i="1"/>
  <c r="L13996" i="1"/>
  <c r="K13996" i="1"/>
  <c r="J13996" i="1"/>
  <c r="I13996" i="1"/>
  <c r="H13996" i="1"/>
  <c r="G13996" i="1"/>
  <c r="M13995" i="1"/>
  <c r="L13995" i="1"/>
  <c r="K13995" i="1"/>
  <c r="J13995" i="1"/>
  <c r="I13995" i="1"/>
  <c r="H13995" i="1"/>
  <c r="G13995" i="1"/>
  <c r="M13994" i="1"/>
  <c r="L13994" i="1"/>
  <c r="K13994" i="1"/>
  <c r="J13994" i="1"/>
  <c r="I13994" i="1"/>
  <c r="H13994" i="1"/>
  <c r="G13994" i="1"/>
  <c r="M13993" i="1"/>
  <c r="L13993" i="1"/>
  <c r="K13993" i="1"/>
  <c r="J13993" i="1"/>
  <c r="I13993" i="1"/>
  <c r="H13993" i="1"/>
  <c r="G13993" i="1"/>
  <c r="M13992" i="1"/>
  <c r="L13992" i="1"/>
  <c r="K13992" i="1"/>
  <c r="J13992" i="1"/>
  <c r="I13992" i="1"/>
  <c r="H13992" i="1"/>
  <c r="G13992" i="1"/>
  <c r="M13991" i="1"/>
  <c r="L13991" i="1"/>
  <c r="K13991" i="1"/>
  <c r="J13991" i="1"/>
  <c r="I13991" i="1"/>
  <c r="H13991" i="1"/>
  <c r="G13991" i="1"/>
  <c r="M13990" i="1"/>
  <c r="L13990" i="1"/>
  <c r="K13990" i="1"/>
  <c r="J13990" i="1"/>
  <c r="I13990" i="1"/>
  <c r="H13990" i="1"/>
  <c r="G13990" i="1"/>
  <c r="M13989" i="1"/>
  <c r="L13989" i="1"/>
  <c r="K13989" i="1"/>
  <c r="J13989" i="1"/>
  <c r="I13989" i="1"/>
  <c r="H13989" i="1"/>
  <c r="G13989" i="1"/>
  <c r="M13988" i="1"/>
  <c r="L13988" i="1"/>
  <c r="K13988" i="1"/>
  <c r="J13988" i="1"/>
  <c r="I13988" i="1"/>
  <c r="H13988" i="1"/>
  <c r="G13988" i="1"/>
  <c r="M13987" i="1"/>
  <c r="L13987" i="1"/>
  <c r="K13987" i="1"/>
  <c r="J13987" i="1"/>
  <c r="I13987" i="1"/>
  <c r="H13987" i="1"/>
  <c r="G13987" i="1"/>
  <c r="M13986" i="1"/>
  <c r="L13986" i="1"/>
  <c r="K13986" i="1"/>
  <c r="J13986" i="1"/>
  <c r="I13986" i="1"/>
  <c r="H13986" i="1"/>
  <c r="G13986" i="1"/>
  <c r="M13985" i="1"/>
  <c r="L13985" i="1"/>
  <c r="K13985" i="1"/>
  <c r="J13985" i="1"/>
  <c r="I13985" i="1"/>
  <c r="H13985" i="1"/>
  <c r="G13985" i="1"/>
  <c r="M13984" i="1"/>
  <c r="L13984" i="1"/>
  <c r="K13984" i="1"/>
  <c r="J13984" i="1"/>
  <c r="I13984" i="1"/>
  <c r="H13984" i="1"/>
  <c r="G13984" i="1"/>
  <c r="M13983" i="1"/>
  <c r="L13983" i="1"/>
  <c r="K13983" i="1"/>
  <c r="J13983" i="1"/>
  <c r="I13983" i="1"/>
  <c r="H13983" i="1"/>
  <c r="G13983" i="1"/>
  <c r="M13982" i="1"/>
  <c r="L13982" i="1"/>
  <c r="K13982" i="1"/>
  <c r="J13982" i="1"/>
  <c r="I13982" i="1"/>
  <c r="H13982" i="1"/>
  <c r="G13982" i="1"/>
  <c r="M13981" i="1"/>
  <c r="L13981" i="1"/>
  <c r="K13981" i="1"/>
  <c r="J13981" i="1"/>
  <c r="I13981" i="1"/>
  <c r="H13981" i="1"/>
  <c r="G13981" i="1"/>
  <c r="M13980" i="1"/>
  <c r="L13980" i="1"/>
  <c r="K13980" i="1"/>
  <c r="J13980" i="1"/>
  <c r="I13980" i="1"/>
  <c r="H13980" i="1"/>
  <c r="G13980" i="1"/>
  <c r="M13979" i="1"/>
  <c r="L13979" i="1"/>
  <c r="K13979" i="1"/>
  <c r="J13979" i="1"/>
  <c r="I13979" i="1"/>
  <c r="H13979" i="1"/>
  <c r="G13979" i="1"/>
  <c r="M13978" i="1"/>
  <c r="L13978" i="1"/>
  <c r="K13978" i="1"/>
  <c r="J13978" i="1"/>
  <c r="I13978" i="1"/>
  <c r="H13978" i="1"/>
  <c r="G13978" i="1"/>
  <c r="M13977" i="1"/>
  <c r="L13977" i="1"/>
  <c r="K13977" i="1"/>
  <c r="J13977" i="1"/>
  <c r="I13977" i="1"/>
  <c r="H13977" i="1"/>
  <c r="G13977" i="1"/>
  <c r="M13976" i="1"/>
  <c r="L13976" i="1"/>
  <c r="K13976" i="1"/>
  <c r="J13976" i="1"/>
  <c r="I13976" i="1"/>
  <c r="H13976" i="1"/>
  <c r="G13976" i="1"/>
  <c r="M13975" i="1"/>
  <c r="L13975" i="1"/>
  <c r="K13975" i="1"/>
  <c r="J13975" i="1"/>
  <c r="I13975" i="1"/>
  <c r="H13975" i="1"/>
  <c r="G13975" i="1"/>
  <c r="M13974" i="1"/>
  <c r="L13974" i="1"/>
  <c r="K13974" i="1"/>
  <c r="J13974" i="1"/>
  <c r="I13974" i="1"/>
  <c r="H13974" i="1"/>
  <c r="G13974" i="1"/>
  <c r="M13973" i="1"/>
  <c r="L13973" i="1"/>
  <c r="K13973" i="1"/>
  <c r="J13973" i="1"/>
  <c r="I13973" i="1"/>
  <c r="H13973" i="1"/>
  <c r="G13973" i="1"/>
  <c r="M13972" i="1"/>
  <c r="L13972" i="1"/>
  <c r="K13972" i="1"/>
  <c r="J13972" i="1"/>
  <c r="I13972" i="1"/>
  <c r="H13972" i="1"/>
  <c r="G13972" i="1"/>
  <c r="M13971" i="1"/>
  <c r="L13971" i="1"/>
  <c r="K13971" i="1"/>
  <c r="J13971" i="1"/>
  <c r="I13971" i="1"/>
  <c r="H13971" i="1"/>
  <c r="G13971" i="1"/>
  <c r="M13970" i="1"/>
  <c r="L13970" i="1"/>
  <c r="K13970" i="1"/>
  <c r="J13970" i="1"/>
  <c r="I13970" i="1"/>
  <c r="H13970" i="1"/>
  <c r="G13970" i="1"/>
  <c r="M13969" i="1"/>
  <c r="L13969" i="1"/>
  <c r="K13969" i="1"/>
  <c r="J13969" i="1"/>
  <c r="I13969" i="1"/>
  <c r="H13969" i="1"/>
  <c r="G13969" i="1"/>
  <c r="M13968" i="1"/>
  <c r="L13968" i="1"/>
  <c r="K13968" i="1"/>
  <c r="J13968" i="1"/>
  <c r="I13968" i="1"/>
  <c r="H13968" i="1"/>
  <c r="G13968" i="1"/>
  <c r="M13967" i="1"/>
  <c r="L13967" i="1"/>
  <c r="K13967" i="1"/>
  <c r="J13967" i="1"/>
  <c r="I13967" i="1"/>
  <c r="H13967" i="1"/>
  <c r="G13967" i="1"/>
  <c r="M13966" i="1"/>
  <c r="L13966" i="1"/>
  <c r="K13966" i="1"/>
  <c r="J13966" i="1"/>
  <c r="I13966" i="1"/>
  <c r="H13966" i="1"/>
  <c r="G13966" i="1"/>
  <c r="M13965" i="1"/>
  <c r="L13965" i="1"/>
  <c r="K13965" i="1"/>
  <c r="J13965" i="1"/>
  <c r="I13965" i="1"/>
  <c r="H13965" i="1"/>
  <c r="G13965" i="1"/>
  <c r="M13964" i="1"/>
  <c r="L13964" i="1"/>
  <c r="K13964" i="1"/>
  <c r="J13964" i="1"/>
  <c r="I13964" i="1"/>
  <c r="H13964" i="1"/>
  <c r="G13964" i="1"/>
  <c r="M13963" i="1"/>
  <c r="L13963" i="1"/>
  <c r="K13963" i="1"/>
  <c r="J13963" i="1"/>
  <c r="I13963" i="1"/>
  <c r="H13963" i="1"/>
  <c r="G13963" i="1"/>
  <c r="M13962" i="1"/>
  <c r="L13962" i="1"/>
  <c r="K13962" i="1"/>
  <c r="J13962" i="1"/>
  <c r="I13962" i="1"/>
  <c r="H13962" i="1"/>
  <c r="G13962" i="1"/>
  <c r="M13961" i="1"/>
  <c r="L13961" i="1"/>
  <c r="K13961" i="1"/>
  <c r="J13961" i="1"/>
  <c r="I13961" i="1"/>
  <c r="H13961" i="1"/>
  <c r="G13961" i="1"/>
  <c r="M13960" i="1"/>
  <c r="L13960" i="1"/>
  <c r="K13960" i="1"/>
  <c r="J13960" i="1"/>
  <c r="I13960" i="1"/>
  <c r="H13960" i="1"/>
  <c r="G13960" i="1"/>
  <c r="M13959" i="1"/>
  <c r="L13959" i="1"/>
  <c r="K13959" i="1"/>
  <c r="J13959" i="1"/>
  <c r="I13959" i="1"/>
  <c r="H13959" i="1"/>
  <c r="G13959" i="1"/>
  <c r="M13958" i="1"/>
  <c r="L13958" i="1"/>
  <c r="K13958" i="1"/>
  <c r="J13958" i="1"/>
  <c r="I13958" i="1"/>
  <c r="H13958" i="1"/>
  <c r="G13958" i="1"/>
  <c r="M13957" i="1"/>
  <c r="L13957" i="1"/>
  <c r="K13957" i="1"/>
  <c r="J13957" i="1"/>
  <c r="I13957" i="1"/>
  <c r="H13957" i="1"/>
  <c r="G13957" i="1"/>
  <c r="M13956" i="1"/>
  <c r="L13956" i="1"/>
  <c r="K13956" i="1"/>
  <c r="J13956" i="1"/>
  <c r="I13956" i="1"/>
  <c r="H13956" i="1"/>
  <c r="G13956" i="1"/>
  <c r="M13955" i="1"/>
  <c r="L13955" i="1"/>
  <c r="K13955" i="1"/>
  <c r="J13955" i="1"/>
  <c r="I13955" i="1"/>
  <c r="H13955" i="1"/>
  <c r="G13955" i="1"/>
  <c r="M13954" i="1"/>
  <c r="L13954" i="1"/>
  <c r="K13954" i="1"/>
  <c r="J13954" i="1"/>
  <c r="I13954" i="1"/>
  <c r="H13954" i="1"/>
  <c r="G13954" i="1"/>
  <c r="M13953" i="1"/>
  <c r="L13953" i="1"/>
  <c r="K13953" i="1"/>
  <c r="J13953" i="1"/>
  <c r="I13953" i="1"/>
  <c r="H13953" i="1"/>
  <c r="G13953" i="1"/>
  <c r="M13952" i="1"/>
  <c r="L13952" i="1"/>
  <c r="K13952" i="1"/>
  <c r="J13952" i="1"/>
  <c r="I13952" i="1"/>
  <c r="H13952" i="1"/>
  <c r="G13952" i="1"/>
  <c r="M13951" i="1"/>
  <c r="L13951" i="1"/>
  <c r="K13951" i="1"/>
  <c r="J13951" i="1"/>
  <c r="I13951" i="1"/>
  <c r="H13951" i="1"/>
  <c r="G13951" i="1"/>
  <c r="M13950" i="1"/>
  <c r="L13950" i="1"/>
  <c r="K13950" i="1"/>
  <c r="J13950" i="1"/>
  <c r="I13950" i="1"/>
  <c r="H13950" i="1"/>
  <c r="G13950" i="1"/>
  <c r="M13949" i="1"/>
  <c r="L13949" i="1"/>
  <c r="K13949" i="1"/>
  <c r="J13949" i="1"/>
  <c r="I13949" i="1"/>
  <c r="H13949" i="1"/>
  <c r="G13949" i="1"/>
  <c r="M13948" i="1"/>
  <c r="L13948" i="1"/>
  <c r="K13948" i="1"/>
  <c r="J13948" i="1"/>
  <c r="I13948" i="1"/>
  <c r="H13948" i="1"/>
  <c r="G13948" i="1"/>
  <c r="M13947" i="1"/>
  <c r="L13947" i="1"/>
  <c r="K13947" i="1"/>
  <c r="J13947" i="1"/>
  <c r="I13947" i="1"/>
  <c r="H13947" i="1"/>
  <c r="G13947" i="1"/>
  <c r="M13946" i="1"/>
  <c r="L13946" i="1"/>
  <c r="K13946" i="1"/>
  <c r="J13946" i="1"/>
  <c r="I13946" i="1"/>
  <c r="H13946" i="1"/>
  <c r="G13946" i="1"/>
  <c r="M13945" i="1"/>
  <c r="L13945" i="1"/>
  <c r="K13945" i="1"/>
  <c r="J13945" i="1"/>
  <c r="I13945" i="1"/>
  <c r="H13945" i="1"/>
  <c r="G13945" i="1"/>
  <c r="M13944" i="1"/>
  <c r="L13944" i="1"/>
  <c r="K13944" i="1"/>
  <c r="J13944" i="1"/>
  <c r="I13944" i="1"/>
  <c r="H13944" i="1"/>
  <c r="G13944" i="1"/>
  <c r="M13943" i="1"/>
  <c r="L13943" i="1"/>
  <c r="K13943" i="1"/>
  <c r="J13943" i="1"/>
  <c r="I13943" i="1"/>
  <c r="H13943" i="1"/>
  <c r="G13943" i="1"/>
  <c r="M13942" i="1"/>
  <c r="L13942" i="1"/>
  <c r="K13942" i="1"/>
  <c r="J13942" i="1"/>
  <c r="I13942" i="1"/>
  <c r="H13942" i="1"/>
  <c r="G13942" i="1"/>
  <c r="M13941" i="1"/>
  <c r="L13941" i="1"/>
  <c r="K13941" i="1"/>
  <c r="J13941" i="1"/>
  <c r="I13941" i="1"/>
  <c r="H13941" i="1"/>
  <c r="G13941" i="1"/>
  <c r="M13940" i="1"/>
  <c r="L13940" i="1"/>
  <c r="K13940" i="1"/>
  <c r="J13940" i="1"/>
  <c r="I13940" i="1"/>
  <c r="H13940" i="1"/>
  <c r="G13940" i="1"/>
  <c r="M13939" i="1"/>
  <c r="L13939" i="1"/>
  <c r="K13939" i="1"/>
  <c r="J13939" i="1"/>
  <c r="I13939" i="1"/>
  <c r="H13939" i="1"/>
  <c r="G13939" i="1"/>
  <c r="M13938" i="1"/>
  <c r="L13938" i="1"/>
  <c r="K13938" i="1"/>
  <c r="J13938" i="1"/>
  <c r="I13938" i="1"/>
  <c r="H13938" i="1"/>
  <c r="G13938" i="1"/>
  <c r="M13937" i="1"/>
  <c r="L13937" i="1"/>
  <c r="K13937" i="1"/>
  <c r="J13937" i="1"/>
  <c r="I13937" i="1"/>
  <c r="H13937" i="1"/>
  <c r="G13937" i="1"/>
  <c r="M13936" i="1"/>
  <c r="L13936" i="1"/>
  <c r="K13936" i="1"/>
  <c r="J13936" i="1"/>
  <c r="I13936" i="1"/>
  <c r="H13936" i="1"/>
  <c r="G13936" i="1"/>
  <c r="M13935" i="1"/>
  <c r="L13935" i="1"/>
  <c r="K13935" i="1"/>
  <c r="J13935" i="1"/>
  <c r="I13935" i="1"/>
  <c r="H13935" i="1"/>
  <c r="G13935" i="1"/>
  <c r="M13934" i="1"/>
  <c r="L13934" i="1"/>
  <c r="K13934" i="1"/>
  <c r="J13934" i="1"/>
  <c r="I13934" i="1"/>
  <c r="H13934" i="1"/>
  <c r="G13934" i="1"/>
  <c r="M13933" i="1"/>
  <c r="L13933" i="1"/>
  <c r="K13933" i="1"/>
  <c r="J13933" i="1"/>
  <c r="I13933" i="1"/>
  <c r="H13933" i="1"/>
  <c r="G13933" i="1"/>
  <c r="M13932" i="1"/>
  <c r="L13932" i="1"/>
  <c r="K13932" i="1"/>
  <c r="J13932" i="1"/>
  <c r="I13932" i="1"/>
  <c r="H13932" i="1"/>
  <c r="G13932" i="1"/>
  <c r="M13931" i="1"/>
  <c r="L13931" i="1"/>
  <c r="K13931" i="1"/>
  <c r="J13931" i="1"/>
  <c r="I13931" i="1"/>
  <c r="H13931" i="1"/>
  <c r="G13931" i="1"/>
  <c r="M13930" i="1"/>
  <c r="L13930" i="1"/>
  <c r="K13930" i="1"/>
  <c r="J13930" i="1"/>
  <c r="I13930" i="1"/>
  <c r="H13930" i="1"/>
  <c r="G13930" i="1"/>
  <c r="M13929" i="1"/>
  <c r="L13929" i="1"/>
  <c r="K13929" i="1"/>
  <c r="J13929" i="1"/>
  <c r="I13929" i="1"/>
  <c r="H13929" i="1"/>
  <c r="G13929" i="1"/>
  <c r="M13928" i="1"/>
  <c r="L13928" i="1"/>
  <c r="K13928" i="1"/>
  <c r="J13928" i="1"/>
  <c r="I13928" i="1"/>
  <c r="H13928" i="1"/>
  <c r="G13928" i="1"/>
  <c r="M13927" i="1"/>
  <c r="L13927" i="1"/>
  <c r="K13927" i="1"/>
  <c r="J13927" i="1"/>
  <c r="I13927" i="1"/>
  <c r="H13927" i="1"/>
  <c r="G13927" i="1"/>
  <c r="M13926" i="1"/>
  <c r="L13926" i="1"/>
  <c r="K13926" i="1"/>
  <c r="J13926" i="1"/>
  <c r="I13926" i="1"/>
  <c r="H13926" i="1"/>
  <c r="G13926" i="1"/>
  <c r="M13925" i="1"/>
  <c r="L13925" i="1"/>
  <c r="K13925" i="1"/>
  <c r="J13925" i="1"/>
  <c r="I13925" i="1"/>
  <c r="H13925" i="1"/>
  <c r="G13925" i="1"/>
  <c r="M13924" i="1"/>
  <c r="L13924" i="1"/>
  <c r="K13924" i="1"/>
  <c r="J13924" i="1"/>
  <c r="I13924" i="1"/>
  <c r="H13924" i="1"/>
  <c r="G13924" i="1"/>
  <c r="M13923" i="1"/>
  <c r="L13923" i="1"/>
  <c r="K13923" i="1"/>
  <c r="J13923" i="1"/>
  <c r="I13923" i="1"/>
  <c r="H13923" i="1"/>
  <c r="G13923" i="1"/>
  <c r="M13922" i="1"/>
  <c r="L13922" i="1"/>
  <c r="K13922" i="1"/>
  <c r="J13922" i="1"/>
  <c r="I13922" i="1"/>
  <c r="H13922" i="1"/>
  <c r="G13922" i="1"/>
  <c r="M13921" i="1"/>
  <c r="L13921" i="1"/>
  <c r="K13921" i="1"/>
  <c r="J13921" i="1"/>
  <c r="I13921" i="1"/>
  <c r="H13921" i="1"/>
  <c r="G13921" i="1"/>
  <c r="M13920" i="1"/>
  <c r="L13920" i="1"/>
  <c r="K13920" i="1"/>
  <c r="J13920" i="1"/>
  <c r="I13920" i="1"/>
  <c r="H13920" i="1"/>
  <c r="G13920" i="1"/>
  <c r="M13919" i="1"/>
  <c r="L13919" i="1"/>
  <c r="K13919" i="1"/>
  <c r="J13919" i="1"/>
  <c r="I13919" i="1"/>
  <c r="H13919" i="1"/>
  <c r="G13919" i="1"/>
  <c r="M13918" i="1"/>
  <c r="L13918" i="1"/>
  <c r="K13918" i="1"/>
  <c r="J13918" i="1"/>
  <c r="I13918" i="1"/>
  <c r="H13918" i="1"/>
  <c r="G13918" i="1"/>
  <c r="M13917" i="1"/>
  <c r="L13917" i="1"/>
  <c r="K13917" i="1"/>
  <c r="J13917" i="1"/>
  <c r="I13917" i="1"/>
  <c r="H13917" i="1"/>
  <c r="G13917" i="1"/>
  <c r="M13916" i="1"/>
  <c r="L13916" i="1"/>
  <c r="K13916" i="1"/>
  <c r="J13916" i="1"/>
  <c r="I13916" i="1"/>
  <c r="H13916" i="1"/>
  <c r="G13916" i="1"/>
  <c r="M13915" i="1"/>
  <c r="L13915" i="1"/>
  <c r="K13915" i="1"/>
  <c r="J13915" i="1"/>
  <c r="I13915" i="1"/>
  <c r="H13915" i="1"/>
  <c r="G13915" i="1"/>
  <c r="M13914" i="1"/>
  <c r="L13914" i="1"/>
  <c r="K13914" i="1"/>
  <c r="J13914" i="1"/>
  <c r="I13914" i="1"/>
  <c r="H13914" i="1"/>
  <c r="G13914" i="1"/>
  <c r="M13913" i="1"/>
  <c r="L13913" i="1"/>
  <c r="K13913" i="1"/>
  <c r="J13913" i="1"/>
  <c r="I13913" i="1"/>
  <c r="H13913" i="1"/>
  <c r="G13913" i="1"/>
  <c r="M13912" i="1"/>
  <c r="L13912" i="1"/>
  <c r="K13912" i="1"/>
  <c r="J13912" i="1"/>
  <c r="I13912" i="1"/>
  <c r="H13912" i="1"/>
  <c r="G13912" i="1"/>
  <c r="M13911" i="1"/>
  <c r="L13911" i="1"/>
  <c r="K13911" i="1"/>
  <c r="J13911" i="1"/>
  <c r="I13911" i="1"/>
  <c r="H13911" i="1"/>
  <c r="G13911" i="1"/>
  <c r="M13910" i="1"/>
  <c r="L13910" i="1"/>
  <c r="K13910" i="1"/>
  <c r="J13910" i="1"/>
  <c r="I13910" i="1"/>
  <c r="H13910" i="1"/>
  <c r="G13910" i="1"/>
  <c r="M13909" i="1"/>
  <c r="L13909" i="1"/>
  <c r="K13909" i="1"/>
  <c r="J13909" i="1"/>
  <c r="I13909" i="1"/>
  <c r="H13909" i="1"/>
  <c r="G13909" i="1"/>
  <c r="M13908" i="1"/>
  <c r="L13908" i="1"/>
  <c r="K13908" i="1"/>
  <c r="J13908" i="1"/>
  <c r="I13908" i="1"/>
  <c r="H13908" i="1"/>
  <c r="G13908" i="1"/>
  <c r="M13907" i="1"/>
  <c r="L13907" i="1"/>
  <c r="K13907" i="1"/>
  <c r="J13907" i="1"/>
  <c r="I13907" i="1"/>
  <c r="H13907" i="1"/>
  <c r="G13907" i="1"/>
  <c r="M13906" i="1"/>
  <c r="L13906" i="1"/>
  <c r="K13906" i="1"/>
  <c r="J13906" i="1"/>
  <c r="I13906" i="1"/>
  <c r="H13906" i="1"/>
  <c r="G13906" i="1"/>
  <c r="M13905" i="1"/>
  <c r="L13905" i="1"/>
  <c r="K13905" i="1"/>
  <c r="J13905" i="1"/>
  <c r="I13905" i="1"/>
  <c r="H13905" i="1"/>
  <c r="G13905" i="1"/>
  <c r="M13904" i="1"/>
  <c r="L13904" i="1"/>
  <c r="K13904" i="1"/>
  <c r="J13904" i="1"/>
  <c r="I13904" i="1"/>
  <c r="H13904" i="1"/>
  <c r="G13904" i="1"/>
  <c r="M13903" i="1"/>
  <c r="L13903" i="1"/>
  <c r="K13903" i="1"/>
  <c r="J13903" i="1"/>
  <c r="I13903" i="1"/>
  <c r="H13903" i="1"/>
  <c r="G13903" i="1"/>
  <c r="M13902" i="1"/>
  <c r="L13902" i="1"/>
  <c r="K13902" i="1"/>
  <c r="J13902" i="1"/>
  <c r="I13902" i="1"/>
  <c r="H13902" i="1"/>
  <c r="G13902" i="1"/>
  <c r="M13901" i="1"/>
  <c r="L13901" i="1"/>
  <c r="K13901" i="1"/>
  <c r="J13901" i="1"/>
  <c r="I13901" i="1"/>
  <c r="H13901" i="1"/>
  <c r="G13901" i="1"/>
  <c r="M13900" i="1"/>
  <c r="L13900" i="1"/>
  <c r="K13900" i="1"/>
  <c r="J13900" i="1"/>
  <c r="I13900" i="1"/>
  <c r="H13900" i="1"/>
  <c r="G13900" i="1"/>
  <c r="M13899" i="1"/>
  <c r="L13899" i="1"/>
  <c r="K13899" i="1"/>
  <c r="J13899" i="1"/>
  <c r="I13899" i="1"/>
  <c r="H13899" i="1"/>
  <c r="G13899" i="1"/>
  <c r="M13898" i="1"/>
  <c r="L13898" i="1"/>
  <c r="K13898" i="1"/>
  <c r="J13898" i="1"/>
  <c r="I13898" i="1"/>
  <c r="H13898" i="1"/>
  <c r="G13898" i="1"/>
  <c r="M13897" i="1"/>
  <c r="L13897" i="1"/>
  <c r="K13897" i="1"/>
  <c r="J13897" i="1"/>
  <c r="I13897" i="1"/>
  <c r="H13897" i="1"/>
  <c r="G13897" i="1"/>
  <c r="M13896" i="1"/>
  <c r="L13896" i="1"/>
  <c r="K13896" i="1"/>
  <c r="J13896" i="1"/>
  <c r="I13896" i="1"/>
  <c r="H13896" i="1"/>
  <c r="G13896" i="1"/>
  <c r="M13895" i="1"/>
  <c r="L13895" i="1"/>
  <c r="K13895" i="1"/>
  <c r="J13895" i="1"/>
  <c r="I13895" i="1"/>
  <c r="H13895" i="1"/>
  <c r="G13895" i="1"/>
  <c r="M13894" i="1"/>
  <c r="L13894" i="1"/>
  <c r="K13894" i="1"/>
  <c r="J13894" i="1"/>
  <c r="I13894" i="1"/>
  <c r="H13894" i="1"/>
  <c r="G13894" i="1"/>
  <c r="M13893" i="1"/>
  <c r="L13893" i="1"/>
  <c r="K13893" i="1"/>
  <c r="J13893" i="1"/>
  <c r="I13893" i="1"/>
  <c r="H13893" i="1"/>
  <c r="G13893" i="1"/>
  <c r="M13892" i="1"/>
  <c r="L13892" i="1"/>
  <c r="K13892" i="1"/>
  <c r="J13892" i="1"/>
  <c r="I13892" i="1"/>
  <c r="H13892" i="1"/>
  <c r="G13892" i="1"/>
  <c r="M13891" i="1"/>
  <c r="L13891" i="1"/>
  <c r="K13891" i="1"/>
  <c r="J13891" i="1"/>
  <c r="I13891" i="1"/>
  <c r="H13891" i="1"/>
  <c r="G13891" i="1"/>
  <c r="M13890" i="1"/>
  <c r="L13890" i="1"/>
  <c r="K13890" i="1"/>
  <c r="J13890" i="1"/>
  <c r="I13890" i="1"/>
  <c r="H13890" i="1"/>
  <c r="G13890" i="1"/>
  <c r="M13889" i="1"/>
  <c r="L13889" i="1"/>
  <c r="K13889" i="1"/>
  <c r="J13889" i="1"/>
  <c r="I13889" i="1"/>
  <c r="H13889" i="1"/>
  <c r="G13889" i="1"/>
  <c r="M13888" i="1"/>
  <c r="L13888" i="1"/>
  <c r="K13888" i="1"/>
  <c r="J13888" i="1"/>
  <c r="I13888" i="1"/>
  <c r="H13888" i="1"/>
  <c r="G13888" i="1"/>
  <c r="M13887" i="1"/>
  <c r="L13887" i="1"/>
  <c r="K13887" i="1"/>
  <c r="J13887" i="1"/>
  <c r="I13887" i="1"/>
  <c r="H13887" i="1"/>
  <c r="G13887" i="1"/>
  <c r="M13886" i="1"/>
  <c r="L13886" i="1"/>
  <c r="K13886" i="1"/>
  <c r="J13886" i="1"/>
  <c r="I13886" i="1"/>
  <c r="H13886" i="1"/>
  <c r="G13886" i="1"/>
  <c r="M13885" i="1"/>
  <c r="L13885" i="1"/>
  <c r="K13885" i="1"/>
  <c r="J13885" i="1"/>
  <c r="I13885" i="1"/>
  <c r="H13885" i="1"/>
  <c r="G13885" i="1"/>
  <c r="M13884" i="1"/>
  <c r="L13884" i="1"/>
  <c r="K13884" i="1"/>
  <c r="J13884" i="1"/>
  <c r="I13884" i="1"/>
  <c r="H13884" i="1"/>
  <c r="G13884" i="1"/>
  <c r="M13883" i="1"/>
  <c r="L13883" i="1"/>
  <c r="K13883" i="1"/>
  <c r="J13883" i="1"/>
  <c r="I13883" i="1"/>
  <c r="H13883" i="1"/>
  <c r="G13883" i="1"/>
  <c r="M13882" i="1"/>
  <c r="L13882" i="1"/>
  <c r="K13882" i="1"/>
  <c r="J13882" i="1"/>
  <c r="I13882" i="1"/>
  <c r="H13882" i="1"/>
  <c r="G13882" i="1"/>
  <c r="M13881" i="1"/>
  <c r="L13881" i="1"/>
  <c r="K13881" i="1"/>
  <c r="J13881" i="1"/>
  <c r="I13881" i="1"/>
  <c r="H13881" i="1"/>
  <c r="G13881" i="1"/>
  <c r="M13880" i="1"/>
  <c r="L13880" i="1"/>
  <c r="K13880" i="1"/>
  <c r="J13880" i="1"/>
  <c r="I13880" i="1"/>
  <c r="H13880" i="1"/>
  <c r="G13880" i="1"/>
  <c r="M13879" i="1"/>
  <c r="L13879" i="1"/>
  <c r="K13879" i="1"/>
  <c r="J13879" i="1"/>
  <c r="I13879" i="1"/>
  <c r="H13879" i="1"/>
  <c r="G13879" i="1"/>
  <c r="M13878" i="1"/>
  <c r="L13878" i="1"/>
  <c r="K13878" i="1"/>
  <c r="J13878" i="1"/>
  <c r="I13878" i="1"/>
  <c r="H13878" i="1"/>
  <c r="G13878" i="1"/>
  <c r="M13877" i="1"/>
  <c r="L13877" i="1"/>
  <c r="K13877" i="1"/>
  <c r="J13877" i="1"/>
  <c r="I13877" i="1"/>
  <c r="H13877" i="1"/>
  <c r="G13877" i="1"/>
  <c r="M13876" i="1"/>
  <c r="L13876" i="1"/>
  <c r="K13876" i="1"/>
  <c r="J13876" i="1"/>
  <c r="I13876" i="1"/>
  <c r="H13876" i="1"/>
  <c r="G13876" i="1"/>
  <c r="M13875" i="1"/>
  <c r="L13875" i="1"/>
  <c r="K13875" i="1"/>
  <c r="J13875" i="1"/>
  <c r="I13875" i="1"/>
  <c r="H13875" i="1"/>
  <c r="G13875" i="1"/>
  <c r="M13874" i="1"/>
  <c r="L13874" i="1"/>
  <c r="K13874" i="1"/>
  <c r="J13874" i="1"/>
  <c r="I13874" i="1"/>
  <c r="H13874" i="1"/>
  <c r="G13874" i="1"/>
  <c r="M13873" i="1"/>
  <c r="L13873" i="1"/>
  <c r="K13873" i="1"/>
  <c r="J13873" i="1"/>
  <c r="I13873" i="1"/>
  <c r="H13873" i="1"/>
  <c r="G13873" i="1"/>
  <c r="M13872" i="1"/>
  <c r="L13872" i="1"/>
  <c r="K13872" i="1"/>
  <c r="J13872" i="1"/>
  <c r="I13872" i="1"/>
  <c r="H13872" i="1"/>
  <c r="G13872" i="1"/>
  <c r="M13871" i="1"/>
  <c r="L13871" i="1"/>
  <c r="K13871" i="1"/>
  <c r="J13871" i="1"/>
  <c r="I13871" i="1"/>
  <c r="H13871" i="1"/>
  <c r="G13871" i="1"/>
  <c r="M13870" i="1"/>
  <c r="L13870" i="1"/>
  <c r="K13870" i="1"/>
  <c r="J13870" i="1"/>
  <c r="I13870" i="1"/>
  <c r="H13870" i="1"/>
  <c r="G13870" i="1"/>
  <c r="M13869" i="1"/>
  <c r="L13869" i="1"/>
  <c r="K13869" i="1"/>
  <c r="J13869" i="1"/>
  <c r="I13869" i="1"/>
  <c r="H13869" i="1"/>
  <c r="G13869" i="1"/>
  <c r="M13868" i="1"/>
  <c r="L13868" i="1"/>
  <c r="K13868" i="1"/>
  <c r="J13868" i="1"/>
  <c r="I13868" i="1"/>
  <c r="H13868" i="1"/>
  <c r="G13868" i="1"/>
  <c r="M13867" i="1"/>
  <c r="L13867" i="1"/>
  <c r="K13867" i="1"/>
  <c r="J13867" i="1"/>
  <c r="I13867" i="1"/>
  <c r="H13867" i="1"/>
  <c r="G13867" i="1"/>
  <c r="M13866" i="1"/>
  <c r="L13866" i="1"/>
  <c r="K13866" i="1"/>
  <c r="J13866" i="1"/>
  <c r="I13866" i="1"/>
  <c r="H13866" i="1"/>
  <c r="G13866" i="1"/>
  <c r="M13865" i="1"/>
  <c r="L13865" i="1"/>
  <c r="K13865" i="1"/>
  <c r="J13865" i="1"/>
  <c r="I13865" i="1"/>
  <c r="H13865" i="1"/>
  <c r="G13865" i="1"/>
  <c r="M13864" i="1"/>
  <c r="L13864" i="1"/>
  <c r="K13864" i="1"/>
  <c r="J13864" i="1"/>
  <c r="I13864" i="1"/>
  <c r="H13864" i="1"/>
  <c r="G13864" i="1"/>
  <c r="M13863" i="1"/>
  <c r="L13863" i="1"/>
  <c r="K13863" i="1"/>
  <c r="J13863" i="1"/>
  <c r="I13863" i="1"/>
  <c r="H13863" i="1"/>
  <c r="G13863" i="1"/>
  <c r="M13862" i="1"/>
  <c r="L13862" i="1"/>
  <c r="K13862" i="1"/>
  <c r="J13862" i="1"/>
  <c r="I13862" i="1"/>
  <c r="H13862" i="1"/>
  <c r="G13862" i="1"/>
  <c r="M13861" i="1"/>
  <c r="L13861" i="1"/>
  <c r="K13861" i="1"/>
  <c r="J13861" i="1"/>
  <c r="I13861" i="1"/>
  <c r="H13861" i="1"/>
  <c r="G13861" i="1"/>
  <c r="M13860" i="1"/>
  <c r="L13860" i="1"/>
  <c r="K13860" i="1"/>
  <c r="J13860" i="1"/>
  <c r="I13860" i="1"/>
  <c r="H13860" i="1"/>
  <c r="G13860" i="1"/>
  <c r="M13859" i="1"/>
  <c r="L13859" i="1"/>
  <c r="K13859" i="1"/>
  <c r="J13859" i="1"/>
  <c r="I13859" i="1"/>
  <c r="H13859" i="1"/>
  <c r="G13859" i="1"/>
  <c r="M13858" i="1"/>
  <c r="L13858" i="1"/>
  <c r="K13858" i="1"/>
  <c r="J13858" i="1"/>
  <c r="I13858" i="1"/>
  <c r="H13858" i="1"/>
  <c r="G13858" i="1"/>
  <c r="M13857" i="1"/>
  <c r="L13857" i="1"/>
  <c r="K13857" i="1"/>
  <c r="J13857" i="1"/>
  <c r="I13857" i="1"/>
  <c r="H13857" i="1"/>
  <c r="G13857" i="1"/>
  <c r="M13856" i="1"/>
  <c r="L13856" i="1"/>
  <c r="K13856" i="1"/>
  <c r="J13856" i="1"/>
  <c r="I13856" i="1"/>
  <c r="H13856" i="1"/>
  <c r="G13856" i="1"/>
  <c r="M13855" i="1"/>
  <c r="L13855" i="1"/>
  <c r="K13855" i="1"/>
  <c r="J13855" i="1"/>
  <c r="I13855" i="1"/>
  <c r="H13855" i="1"/>
  <c r="G13855" i="1"/>
  <c r="M13854" i="1"/>
  <c r="L13854" i="1"/>
  <c r="K13854" i="1"/>
  <c r="J13854" i="1"/>
  <c r="I13854" i="1"/>
  <c r="H13854" i="1"/>
  <c r="G13854" i="1"/>
  <c r="M13853" i="1"/>
  <c r="L13853" i="1"/>
  <c r="K13853" i="1"/>
  <c r="J13853" i="1"/>
  <c r="I13853" i="1"/>
  <c r="H13853" i="1"/>
  <c r="G13853" i="1"/>
  <c r="M13852" i="1"/>
  <c r="L13852" i="1"/>
  <c r="K13852" i="1"/>
  <c r="J13852" i="1"/>
  <c r="I13852" i="1"/>
  <c r="H13852" i="1"/>
  <c r="G13852" i="1"/>
  <c r="M13851" i="1"/>
  <c r="L13851" i="1"/>
  <c r="K13851" i="1"/>
  <c r="J13851" i="1"/>
  <c r="I13851" i="1"/>
  <c r="H13851" i="1"/>
  <c r="G13851" i="1"/>
  <c r="M13850" i="1"/>
  <c r="L13850" i="1"/>
  <c r="K13850" i="1"/>
  <c r="J13850" i="1"/>
  <c r="I13850" i="1"/>
  <c r="H13850" i="1"/>
  <c r="G13850" i="1"/>
  <c r="M13849" i="1"/>
  <c r="L13849" i="1"/>
  <c r="K13849" i="1"/>
  <c r="J13849" i="1"/>
  <c r="I13849" i="1"/>
  <c r="H13849" i="1"/>
  <c r="G13849" i="1"/>
  <c r="M13848" i="1"/>
  <c r="L13848" i="1"/>
  <c r="K13848" i="1"/>
  <c r="J13848" i="1"/>
  <c r="I13848" i="1"/>
  <c r="H13848" i="1"/>
  <c r="G13848" i="1"/>
  <c r="M13847" i="1"/>
  <c r="L13847" i="1"/>
  <c r="K13847" i="1"/>
  <c r="J13847" i="1"/>
  <c r="I13847" i="1"/>
  <c r="H13847" i="1"/>
  <c r="G13847" i="1"/>
  <c r="M13846" i="1"/>
  <c r="L13846" i="1"/>
  <c r="K13846" i="1"/>
  <c r="J13846" i="1"/>
  <c r="I13846" i="1"/>
  <c r="H13846" i="1"/>
  <c r="G13846" i="1"/>
  <c r="M13845" i="1"/>
  <c r="L13845" i="1"/>
  <c r="K13845" i="1"/>
  <c r="J13845" i="1"/>
  <c r="I13845" i="1"/>
  <c r="H13845" i="1"/>
  <c r="G13845" i="1"/>
  <c r="M13844" i="1"/>
  <c r="L13844" i="1"/>
  <c r="K13844" i="1"/>
  <c r="J13844" i="1"/>
  <c r="I13844" i="1"/>
  <c r="H13844" i="1"/>
  <c r="G13844" i="1"/>
  <c r="M13843" i="1"/>
  <c r="L13843" i="1"/>
  <c r="K13843" i="1"/>
  <c r="J13843" i="1"/>
  <c r="I13843" i="1"/>
  <c r="H13843" i="1"/>
  <c r="G13843" i="1"/>
  <c r="M13842" i="1"/>
  <c r="L13842" i="1"/>
  <c r="K13842" i="1"/>
  <c r="J13842" i="1"/>
  <c r="I13842" i="1"/>
  <c r="H13842" i="1"/>
  <c r="G13842" i="1"/>
  <c r="M13841" i="1"/>
  <c r="L13841" i="1"/>
  <c r="K13841" i="1"/>
  <c r="J13841" i="1"/>
  <c r="I13841" i="1"/>
  <c r="H13841" i="1"/>
  <c r="G13841" i="1"/>
  <c r="M13840" i="1"/>
  <c r="L13840" i="1"/>
  <c r="K13840" i="1"/>
  <c r="J13840" i="1"/>
  <c r="I13840" i="1"/>
  <c r="H13840" i="1"/>
  <c r="G13840" i="1"/>
  <c r="M13839" i="1"/>
  <c r="L13839" i="1"/>
  <c r="K13839" i="1"/>
  <c r="J13839" i="1"/>
  <c r="I13839" i="1"/>
  <c r="H13839" i="1"/>
  <c r="G13839" i="1"/>
  <c r="M13838" i="1"/>
  <c r="L13838" i="1"/>
  <c r="K13838" i="1"/>
  <c r="J13838" i="1"/>
  <c r="I13838" i="1"/>
  <c r="H13838" i="1"/>
  <c r="G13838" i="1"/>
  <c r="M13837" i="1"/>
  <c r="L13837" i="1"/>
  <c r="K13837" i="1"/>
  <c r="J13837" i="1"/>
  <c r="I13837" i="1"/>
  <c r="H13837" i="1"/>
  <c r="G13837" i="1"/>
  <c r="M13836" i="1"/>
  <c r="L13836" i="1"/>
  <c r="K13836" i="1"/>
  <c r="J13836" i="1"/>
  <c r="I13836" i="1"/>
  <c r="H13836" i="1"/>
  <c r="G13836" i="1"/>
  <c r="M13835" i="1"/>
  <c r="L13835" i="1"/>
  <c r="K13835" i="1"/>
  <c r="J13835" i="1"/>
  <c r="I13835" i="1"/>
  <c r="H13835" i="1"/>
  <c r="G13835" i="1"/>
  <c r="M13834" i="1"/>
  <c r="L13834" i="1"/>
  <c r="K13834" i="1"/>
  <c r="J13834" i="1"/>
  <c r="I13834" i="1"/>
  <c r="H13834" i="1"/>
  <c r="G13834" i="1"/>
  <c r="M13833" i="1"/>
  <c r="L13833" i="1"/>
  <c r="K13833" i="1"/>
  <c r="J13833" i="1"/>
  <c r="I13833" i="1"/>
  <c r="H13833" i="1"/>
  <c r="G13833" i="1"/>
  <c r="M13832" i="1"/>
  <c r="L13832" i="1"/>
  <c r="K13832" i="1"/>
  <c r="J13832" i="1"/>
  <c r="I13832" i="1"/>
  <c r="H13832" i="1"/>
  <c r="G13832" i="1"/>
  <c r="M13831" i="1"/>
  <c r="L13831" i="1"/>
  <c r="K13831" i="1"/>
  <c r="J13831" i="1"/>
  <c r="I13831" i="1"/>
  <c r="H13831" i="1"/>
  <c r="G13831" i="1"/>
  <c r="M13830" i="1"/>
  <c r="L13830" i="1"/>
  <c r="K13830" i="1"/>
  <c r="J13830" i="1"/>
  <c r="I13830" i="1"/>
  <c r="H13830" i="1"/>
  <c r="G13830" i="1"/>
  <c r="M13829" i="1"/>
  <c r="L13829" i="1"/>
  <c r="K13829" i="1"/>
  <c r="J13829" i="1"/>
  <c r="I13829" i="1"/>
  <c r="H13829" i="1"/>
  <c r="G13829" i="1"/>
  <c r="M13828" i="1"/>
  <c r="L13828" i="1"/>
  <c r="K13828" i="1"/>
  <c r="J13828" i="1"/>
  <c r="I13828" i="1"/>
  <c r="H13828" i="1"/>
  <c r="G13828" i="1"/>
  <c r="M13827" i="1"/>
  <c r="L13827" i="1"/>
  <c r="K13827" i="1"/>
  <c r="J13827" i="1"/>
  <c r="I13827" i="1"/>
  <c r="H13827" i="1"/>
  <c r="G13827" i="1"/>
  <c r="M13826" i="1"/>
  <c r="L13826" i="1"/>
  <c r="K13826" i="1"/>
  <c r="J13826" i="1"/>
  <c r="I13826" i="1"/>
  <c r="H13826" i="1"/>
  <c r="G13826" i="1"/>
  <c r="M13825" i="1"/>
  <c r="L13825" i="1"/>
  <c r="K13825" i="1"/>
  <c r="J13825" i="1"/>
  <c r="I13825" i="1"/>
  <c r="H13825" i="1"/>
  <c r="G13825" i="1"/>
  <c r="M13824" i="1"/>
  <c r="L13824" i="1"/>
  <c r="K13824" i="1"/>
  <c r="J13824" i="1"/>
  <c r="I13824" i="1"/>
  <c r="H13824" i="1"/>
  <c r="G13824" i="1"/>
  <c r="M13823" i="1"/>
  <c r="L13823" i="1"/>
  <c r="K13823" i="1"/>
  <c r="J13823" i="1"/>
  <c r="I13823" i="1"/>
  <c r="H13823" i="1"/>
  <c r="G13823" i="1"/>
  <c r="M13822" i="1"/>
  <c r="L13822" i="1"/>
  <c r="K13822" i="1"/>
  <c r="J13822" i="1"/>
  <c r="I13822" i="1"/>
  <c r="H13822" i="1"/>
  <c r="G13822" i="1"/>
  <c r="M13821" i="1"/>
  <c r="L13821" i="1"/>
  <c r="K13821" i="1"/>
  <c r="J13821" i="1"/>
  <c r="I13821" i="1"/>
  <c r="H13821" i="1"/>
  <c r="G13821" i="1"/>
  <c r="M13820" i="1"/>
  <c r="L13820" i="1"/>
  <c r="K13820" i="1"/>
  <c r="J13820" i="1"/>
  <c r="I13820" i="1"/>
  <c r="H13820" i="1"/>
  <c r="G13820" i="1"/>
  <c r="M13819" i="1"/>
  <c r="L13819" i="1"/>
  <c r="K13819" i="1"/>
  <c r="J13819" i="1"/>
  <c r="I13819" i="1"/>
  <c r="H13819" i="1"/>
  <c r="G13819" i="1"/>
  <c r="M13818" i="1"/>
  <c r="L13818" i="1"/>
  <c r="K13818" i="1"/>
  <c r="J13818" i="1"/>
  <c r="I13818" i="1"/>
  <c r="H13818" i="1"/>
  <c r="G13818" i="1"/>
  <c r="M13817" i="1"/>
  <c r="L13817" i="1"/>
  <c r="K13817" i="1"/>
  <c r="J13817" i="1"/>
  <c r="I13817" i="1"/>
  <c r="H13817" i="1"/>
  <c r="G13817" i="1"/>
  <c r="M13816" i="1"/>
  <c r="L13816" i="1"/>
  <c r="K13816" i="1"/>
  <c r="J13816" i="1"/>
  <c r="I13816" i="1"/>
  <c r="H13816" i="1"/>
  <c r="G13816" i="1"/>
  <c r="M13815" i="1"/>
  <c r="L13815" i="1"/>
  <c r="K13815" i="1"/>
  <c r="J13815" i="1"/>
  <c r="I13815" i="1"/>
  <c r="H13815" i="1"/>
  <c r="G13815" i="1"/>
  <c r="M13814" i="1"/>
  <c r="L13814" i="1"/>
  <c r="K13814" i="1"/>
  <c r="J13814" i="1"/>
  <c r="I13814" i="1"/>
  <c r="H13814" i="1"/>
  <c r="G13814" i="1"/>
  <c r="M13813" i="1"/>
  <c r="L13813" i="1"/>
  <c r="K13813" i="1"/>
  <c r="J13813" i="1"/>
  <c r="I13813" i="1"/>
  <c r="H13813" i="1"/>
  <c r="G13813" i="1"/>
  <c r="M13812" i="1"/>
  <c r="L13812" i="1"/>
  <c r="K13812" i="1"/>
  <c r="J13812" i="1"/>
  <c r="I13812" i="1"/>
  <c r="H13812" i="1"/>
  <c r="G13812" i="1"/>
  <c r="M13811" i="1"/>
  <c r="L13811" i="1"/>
  <c r="K13811" i="1"/>
  <c r="J13811" i="1"/>
  <c r="I13811" i="1"/>
  <c r="H13811" i="1"/>
  <c r="G13811" i="1"/>
  <c r="M13810" i="1"/>
  <c r="L13810" i="1"/>
  <c r="K13810" i="1"/>
  <c r="J13810" i="1"/>
  <c r="I13810" i="1"/>
  <c r="H13810" i="1"/>
  <c r="G13810" i="1"/>
  <c r="M13809" i="1"/>
  <c r="L13809" i="1"/>
  <c r="K13809" i="1"/>
  <c r="J13809" i="1"/>
  <c r="I13809" i="1"/>
  <c r="H13809" i="1"/>
  <c r="G13809" i="1"/>
  <c r="M13808" i="1"/>
  <c r="L13808" i="1"/>
  <c r="K13808" i="1"/>
  <c r="J13808" i="1"/>
  <c r="I13808" i="1"/>
  <c r="H13808" i="1"/>
  <c r="G13808" i="1"/>
  <c r="M13807" i="1"/>
  <c r="L13807" i="1"/>
  <c r="K13807" i="1"/>
  <c r="J13807" i="1"/>
  <c r="I13807" i="1"/>
  <c r="H13807" i="1"/>
  <c r="G13807" i="1"/>
  <c r="M13806" i="1"/>
  <c r="L13806" i="1"/>
  <c r="K13806" i="1"/>
  <c r="J13806" i="1"/>
  <c r="I13806" i="1"/>
  <c r="H13806" i="1"/>
  <c r="G13806" i="1"/>
  <c r="M13805" i="1"/>
  <c r="L13805" i="1"/>
  <c r="K13805" i="1"/>
  <c r="J13805" i="1"/>
  <c r="I13805" i="1"/>
  <c r="H13805" i="1"/>
  <c r="G13805" i="1"/>
  <c r="M13804" i="1"/>
  <c r="L13804" i="1"/>
  <c r="K13804" i="1"/>
  <c r="J13804" i="1"/>
  <c r="I13804" i="1"/>
  <c r="H13804" i="1"/>
  <c r="G13804" i="1"/>
  <c r="M13803" i="1"/>
  <c r="L13803" i="1"/>
  <c r="K13803" i="1"/>
  <c r="J13803" i="1"/>
  <c r="I13803" i="1"/>
  <c r="H13803" i="1"/>
  <c r="G13803" i="1"/>
  <c r="M13802" i="1"/>
  <c r="L13802" i="1"/>
  <c r="K13802" i="1"/>
  <c r="J13802" i="1"/>
  <c r="I13802" i="1"/>
  <c r="H13802" i="1"/>
  <c r="G13802" i="1"/>
  <c r="M13801" i="1"/>
  <c r="L13801" i="1"/>
  <c r="K13801" i="1"/>
  <c r="J13801" i="1"/>
  <c r="I13801" i="1"/>
  <c r="H13801" i="1"/>
  <c r="G13801" i="1"/>
  <c r="M13800" i="1"/>
  <c r="L13800" i="1"/>
  <c r="K13800" i="1"/>
  <c r="J13800" i="1"/>
  <c r="I13800" i="1"/>
  <c r="H13800" i="1"/>
  <c r="G13800" i="1"/>
  <c r="M13799" i="1"/>
  <c r="L13799" i="1"/>
  <c r="K13799" i="1"/>
  <c r="J13799" i="1"/>
  <c r="I13799" i="1"/>
  <c r="H13799" i="1"/>
  <c r="G13799" i="1"/>
  <c r="M13798" i="1"/>
  <c r="L13798" i="1"/>
  <c r="K13798" i="1"/>
  <c r="J13798" i="1"/>
  <c r="I13798" i="1"/>
  <c r="H13798" i="1"/>
  <c r="G13798" i="1"/>
  <c r="M13797" i="1"/>
  <c r="L13797" i="1"/>
  <c r="K13797" i="1"/>
  <c r="J13797" i="1"/>
  <c r="I13797" i="1"/>
  <c r="H13797" i="1"/>
  <c r="G13797" i="1"/>
  <c r="M13796" i="1"/>
  <c r="L13796" i="1"/>
  <c r="K13796" i="1"/>
  <c r="J13796" i="1"/>
  <c r="I13796" i="1"/>
  <c r="H13796" i="1"/>
  <c r="G13796" i="1"/>
  <c r="M13795" i="1"/>
  <c r="L13795" i="1"/>
  <c r="K13795" i="1"/>
  <c r="J13795" i="1"/>
  <c r="I13795" i="1"/>
  <c r="H13795" i="1"/>
  <c r="G13795" i="1"/>
  <c r="M13794" i="1"/>
  <c r="L13794" i="1"/>
  <c r="K13794" i="1"/>
  <c r="J13794" i="1"/>
  <c r="I13794" i="1"/>
  <c r="H13794" i="1"/>
  <c r="G13794" i="1"/>
  <c r="M13793" i="1"/>
  <c r="L13793" i="1"/>
  <c r="K13793" i="1"/>
  <c r="J13793" i="1"/>
  <c r="I13793" i="1"/>
  <c r="H13793" i="1"/>
  <c r="G13793" i="1"/>
  <c r="M13792" i="1"/>
  <c r="L13792" i="1"/>
  <c r="K13792" i="1"/>
  <c r="J13792" i="1"/>
  <c r="I13792" i="1"/>
  <c r="H13792" i="1"/>
  <c r="G13792" i="1"/>
  <c r="M13791" i="1"/>
  <c r="L13791" i="1"/>
  <c r="K13791" i="1"/>
  <c r="J13791" i="1"/>
  <c r="I13791" i="1"/>
  <c r="H13791" i="1"/>
  <c r="G13791" i="1"/>
  <c r="M13790" i="1"/>
  <c r="L13790" i="1"/>
  <c r="K13790" i="1"/>
  <c r="J13790" i="1"/>
  <c r="I13790" i="1"/>
  <c r="H13790" i="1"/>
  <c r="G13790" i="1"/>
  <c r="M13789" i="1"/>
  <c r="L13789" i="1"/>
  <c r="K13789" i="1"/>
  <c r="J13789" i="1"/>
  <c r="I13789" i="1"/>
  <c r="H13789" i="1"/>
  <c r="G13789" i="1"/>
  <c r="M13788" i="1"/>
  <c r="L13788" i="1"/>
  <c r="K13788" i="1"/>
  <c r="J13788" i="1"/>
  <c r="I13788" i="1"/>
  <c r="H13788" i="1"/>
  <c r="G13788" i="1"/>
  <c r="M13787" i="1"/>
  <c r="L13787" i="1"/>
  <c r="K13787" i="1"/>
  <c r="J13787" i="1"/>
  <c r="I13787" i="1"/>
  <c r="H13787" i="1"/>
  <c r="G13787" i="1"/>
  <c r="M13786" i="1"/>
  <c r="L13786" i="1"/>
  <c r="K13786" i="1"/>
  <c r="J13786" i="1"/>
  <c r="I13786" i="1"/>
  <c r="H13786" i="1"/>
  <c r="G13786" i="1"/>
  <c r="M13785" i="1"/>
  <c r="L13785" i="1"/>
  <c r="K13785" i="1"/>
  <c r="J13785" i="1"/>
  <c r="I13785" i="1"/>
  <c r="H13785" i="1"/>
  <c r="G13785" i="1"/>
  <c r="M13784" i="1"/>
  <c r="L13784" i="1"/>
  <c r="K13784" i="1"/>
  <c r="J13784" i="1"/>
  <c r="I13784" i="1"/>
  <c r="H13784" i="1"/>
  <c r="G13784" i="1"/>
  <c r="M13783" i="1"/>
  <c r="L13783" i="1"/>
  <c r="K13783" i="1"/>
  <c r="J13783" i="1"/>
  <c r="I13783" i="1"/>
  <c r="H13783" i="1"/>
  <c r="G13783" i="1"/>
  <c r="M13782" i="1"/>
  <c r="L13782" i="1"/>
  <c r="K13782" i="1"/>
  <c r="J13782" i="1"/>
  <c r="I13782" i="1"/>
  <c r="H13782" i="1"/>
  <c r="G13782" i="1"/>
  <c r="M13781" i="1"/>
  <c r="L13781" i="1"/>
  <c r="K13781" i="1"/>
  <c r="J13781" i="1"/>
  <c r="I13781" i="1"/>
  <c r="H13781" i="1"/>
  <c r="G13781" i="1"/>
  <c r="M13780" i="1"/>
  <c r="L13780" i="1"/>
  <c r="K13780" i="1"/>
  <c r="J13780" i="1"/>
  <c r="I13780" i="1"/>
  <c r="H13780" i="1"/>
  <c r="G13780" i="1"/>
  <c r="M13779" i="1"/>
  <c r="L13779" i="1"/>
  <c r="K13779" i="1"/>
  <c r="J13779" i="1"/>
  <c r="I13779" i="1"/>
  <c r="H13779" i="1"/>
  <c r="G13779" i="1"/>
  <c r="M13778" i="1"/>
  <c r="L13778" i="1"/>
  <c r="K13778" i="1"/>
  <c r="J13778" i="1"/>
  <c r="I13778" i="1"/>
  <c r="H13778" i="1"/>
  <c r="G13778" i="1"/>
  <c r="M13777" i="1"/>
  <c r="L13777" i="1"/>
  <c r="K13777" i="1"/>
  <c r="J13777" i="1"/>
  <c r="I13777" i="1"/>
  <c r="H13777" i="1"/>
  <c r="G13777" i="1"/>
  <c r="M13776" i="1"/>
  <c r="L13776" i="1"/>
  <c r="K13776" i="1"/>
  <c r="J13776" i="1"/>
  <c r="I13776" i="1"/>
  <c r="H13776" i="1"/>
  <c r="G13776" i="1"/>
  <c r="M13775" i="1"/>
  <c r="L13775" i="1"/>
  <c r="K13775" i="1"/>
  <c r="J13775" i="1"/>
  <c r="I13775" i="1"/>
  <c r="H13775" i="1"/>
  <c r="G13775" i="1"/>
  <c r="M13774" i="1"/>
  <c r="L13774" i="1"/>
  <c r="K13774" i="1"/>
  <c r="J13774" i="1"/>
  <c r="I13774" i="1"/>
  <c r="H13774" i="1"/>
  <c r="G13774" i="1"/>
  <c r="M13773" i="1"/>
  <c r="L13773" i="1"/>
  <c r="K13773" i="1"/>
  <c r="J13773" i="1"/>
  <c r="I13773" i="1"/>
  <c r="H13773" i="1"/>
  <c r="G13773" i="1"/>
  <c r="M13772" i="1"/>
  <c r="L13772" i="1"/>
  <c r="K13772" i="1"/>
  <c r="J13772" i="1"/>
  <c r="I13772" i="1"/>
  <c r="H13772" i="1"/>
  <c r="G13772" i="1"/>
  <c r="M13771" i="1"/>
  <c r="L13771" i="1"/>
  <c r="K13771" i="1"/>
  <c r="J13771" i="1"/>
  <c r="I13771" i="1"/>
  <c r="H13771" i="1"/>
  <c r="G13771" i="1"/>
  <c r="M13770" i="1"/>
  <c r="L13770" i="1"/>
  <c r="K13770" i="1"/>
  <c r="J13770" i="1"/>
  <c r="I13770" i="1"/>
  <c r="H13770" i="1"/>
  <c r="G13770" i="1"/>
  <c r="M13769" i="1"/>
  <c r="L13769" i="1"/>
  <c r="K13769" i="1"/>
  <c r="J13769" i="1"/>
  <c r="I13769" i="1"/>
  <c r="H13769" i="1"/>
  <c r="G13769" i="1"/>
  <c r="M13768" i="1"/>
  <c r="L13768" i="1"/>
  <c r="K13768" i="1"/>
  <c r="J13768" i="1"/>
  <c r="I13768" i="1"/>
  <c r="H13768" i="1"/>
  <c r="G13768" i="1"/>
  <c r="M13767" i="1"/>
  <c r="L13767" i="1"/>
  <c r="K13767" i="1"/>
  <c r="J13767" i="1"/>
  <c r="I13767" i="1"/>
  <c r="H13767" i="1"/>
  <c r="G13767" i="1"/>
  <c r="M13766" i="1"/>
  <c r="L13766" i="1"/>
  <c r="K13766" i="1"/>
  <c r="J13766" i="1"/>
  <c r="I13766" i="1"/>
  <c r="H13766" i="1"/>
  <c r="G13766" i="1"/>
  <c r="M13765" i="1"/>
  <c r="L13765" i="1"/>
  <c r="K13765" i="1"/>
  <c r="J13765" i="1"/>
  <c r="I13765" i="1"/>
  <c r="H13765" i="1"/>
  <c r="G13765" i="1"/>
  <c r="M13764" i="1"/>
  <c r="L13764" i="1"/>
  <c r="K13764" i="1"/>
  <c r="J13764" i="1"/>
  <c r="I13764" i="1"/>
  <c r="H13764" i="1"/>
  <c r="G13764" i="1"/>
  <c r="M13763" i="1"/>
  <c r="L13763" i="1"/>
  <c r="K13763" i="1"/>
  <c r="J13763" i="1"/>
  <c r="I13763" i="1"/>
  <c r="H13763" i="1"/>
  <c r="G13763" i="1"/>
  <c r="M13762" i="1"/>
  <c r="L13762" i="1"/>
  <c r="K13762" i="1"/>
  <c r="J13762" i="1"/>
  <c r="I13762" i="1"/>
  <c r="H13762" i="1"/>
  <c r="G13762" i="1"/>
  <c r="M13761" i="1"/>
  <c r="L13761" i="1"/>
  <c r="K13761" i="1"/>
  <c r="J13761" i="1"/>
  <c r="I13761" i="1"/>
  <c r="H13761" i="1"/>
  <c r="G13761" i="1"/>
  <c r="M13760" i="1"/>
  <c r="L13760" i="1"/>
  <c r="K13760" i="1"/>
  <c r="J13760" i="1"/>
  <c r="I13760" i="1"/>
  <c r="H13760" i="1"/>
  <c r="G13760" i="1"/>
  <c r="M13759" i="1"/>
  <c r="L13759" i="1"/>
  <c r="K13759" i="1"/>
  <c r="J13759" i="1"/>
  <c r="I13759" i="1"/>
  <c r="H13759" i="1"/>
  <c r="G13759" i="1"/>
  <c r="M13758" i="1"/>
  <c r="L13758" i="1"/>
  <c r="K13758" i="1"/>
  <c r="J13758" i="1"/>
  <c r="I13758" i="1"/>
  <c r="H13758" i="1"/>
  <c r="G13758" i="1"/>
  <c r="M13757" i="1"/>
  <c r="L13757" i="1"/>
  <c r="K13757" i="1"/>
  <c r="J13757" i="1"/>
  <c r="I13757" i="1"/>
  <c r="H13757" i="1"/>
  <c r="G13757" i="1"/>
  <c r="M13756" i="1"/>
  <c r="L13756" i="1"/>
  <c r="K13756" i="1"/>
  <c r="J13756" i="1"/>
  <c r="I13756" i="1"/>
  <c r="H13756" i="1"/>
  <c r="G13756" i="1"/>
  <c r="M13755" i="1"/>
  <c r="L13755" i="1"/>
  <c r="K13755" i="1"/>
  <c r="J13755" i="1"/>
  <c r="I13755" i="1"/>
  <c r="H13755" i="1"/>
  <c r="G13755" i="1"/>
  <c r="M13754" i="1"/>
  <c r="L13754" i="1"/>
  <c r="K13754" i="1"/>
  <c r="J13754" i="1"/>
  <c r="I13754" i="1"/>
  <c r="H13754" i="1"/>
  <c r="G13754" i="1"/>
  <c r="M13753" i="1"/>
  <c r="L13753" i="1"/>
  <c r="K13753" i="1"/>
  <c r="J13753" i="1"/>
  <c r="I13753" i="1"/>
  <c r="H13753" i="1"/>
  <c r="G13753" i="1"/>
  <c r="M13752" i="1"/>
  <c r="L13752" i="1"/>
  <c r="K13752" i="1"/>
  <c r="J13752" i="1"/>
  <c r="I13752" i="1"/>
  <c r="H13752" i="1"/>
  <c r="G13752" i="1"/>
  <c r="M13751" i="1"/>
  <c r="L13751" i="1"/>
  <c r="K13751" i="1"/>
  <c r="J13751" i="1"/>
  <c r="I13751" i="1"/>
  <c r="H13751" i="1"/>
  <c r="G13751" i="1"/>
  <c r="M13750" i="1"/>
  <c r="L13750" i="1"/>
  <c r="K13750" i="1"/>
  <c r="J13750" i="1"/>
  <c r="I13750" i="1"/>
  <c r="H13750" i="1"/>
  <c r="G13750" i="1"/>
  <c r="M13749" i="1"/>
  <c r="L13749" i="1"/>
  <c r="K13749" i="1"/>
  <c r="J13749" i="1"/>
  <c r="I13749" i="1"/>
  <c r="H13749" i="1"/>
  <c r="G13749" i="1"/>
  <c r="M13748" i="1"/>
  <c r="L13748" i="1"/>
  <c r="K13748" i="1"/>
  <c r="J13748" i="1"/>
  <c r="I13748" i="1"/>
  <c r="H13748" i="1"/>
  <c r="G13748" i="1"/>
  <c r="M13747" i="1"/>
  <c r="L13747" i="1"/>
  <c r="K13747" i="1"/>
  <c r="J13747" i="1"/>
  <c r="I13747" i="1"/>
  <c r="H13747" i="1"/>
  <c r="G13747" i="1"/>
  <c r="M13746" i="1"/>
  <c r="L13746" i="1"/>
  <c r="K13746" i="1"/>
  <c r="J13746" i="1"/>
  <c r="I13746" i="1"/>
  <c r="H13746" i="1"/>
  <c r="G13746" i="1"/>
  <c r="M13745" i="1"/>
  <c r="L13745" i="1"/>
  <c r="K13745" i="1"/>
  <c r="J13745" i="1"/>
  <c r="I13745" i="1"/>
  <c r="H13745" i="1"/>
  <c r="G13745" i="1"/>
  <c r="M13744" i="1"/>
  <c r="L13744" i="1"/>
  <c r="K13744" i="1"/>
  <c r="J13744" i="1"/>
  <c r="I13744" i="1"/>
  <c r="H13744" i="1"/>
  <c r="G13744" i="1"/>
  <c r="M13743" i="1"/>
  <c r="L13743" i="1"/>
  <c r="K13743" i="1"/>
  <c r="J13743" i="1"/>
  <c r="I13743" i="1"/>
  <c r="H13743" i="1"/>
  <c r="G13743" i="1"/>
  <c r="M13742" i="1"/>
  <c r="L13742" i="1"/>
  <c r="K13742" i="1"/>
  <c r="J13742" i="1"/>
  <c r="I13742" i="1"/>
  <c r="H13742" i="1"/>
  <c r="G13742" i="1"/>
  <c r="M13741" i="1"/>
  <c r="L13741" i="1"/>
  <c r="K13741" i="1"/>
  <c r="J13741" i="1"/>
  <c r="I13741" i="1"/>
  <c r="H13741" i="1"/>
  <c r="G13741" i="1"/>
  <c r="M13740" i="1"/>
  <c r="L13740" i="1"/>
  <c r="K13740" i="1"/>
  <c r="J13740" i="1"/>
  <c r="I13740" i="1"/>
  <c r="H13740" i="1"/>
  <c r="G13740" i="1"/>
  <c r="M13739" i="1"/>
  <c r="L13739" i="1"/>
  <c r="K13739" i="1"/>
  <c r="J13739" i="1"/>
  <c r="I13739" i="1"/>
  <c r="H13739" i="1"/>
  <c r="G13739" i="1"/>
  <c r="M13738" i="1"/>
  <c r="L13738" i="1"/>
  <c r="K13738" i="1"/>
  <c r="J13738" i="1"/>
  <c r="I13738" i="1"/>
  <c r="H13738" i="1"/>
  <c r="G13738" i="1"/>
  <c r="M13737" i="1"/>
  <c r="L13737" i="1"/>
  <c r="K13737" i="1"/>
  <c r="J13737" i="1"/>
  <c r="I13737" i="1"/>
  <c r="H13737" i="1"/>
  <c r="G13737" i="1"/>
  <c r="M13736" i="1"/>
  <c r="L13736" i="1"/>
  <c r="K13736" i="1"/>
  <c r="J13736" i="1"/>
  <c r="I13736" i="1"/>
  <c r="H13736" i="1"/>
  <c r="G13736" i="1"/>
  <c r="M13735" i="1"/>
  <c r="L13735" i="1"/>
  <c r="K13735" i="1"/>
  <c r="J13735" i="1"/>
  <c r="I13735" i="1"/>
  <c r="H13735" i="1"/>
  <c r="G13735" i="1"/>
  <c r="M13734" i="1"/>
  <c r="L13734" i="1"/>
  <c r="K13734" i="1"/>
  <c r="J13734" i="1"/>
  <c r="I13734" i="1"/>
  <c r="H13734" i="1"/>
  <c r="G13734" i="1"/>
  <c r="M13733" i="1"/>
  <c r="L13733" i="1"/>
  <c r="K13733" i="1"/>
  <c r="J13733" i="1"/>
  <c r="I13733" i="1"/>
  <c r="H13733" i="1"/>
  <c r="G13733" i="1"/>
  <c r="M13732" i="1"/>
  <c r="L13732" i="1"/>
  <c r="K13732" i="1"/>
  <c r="J13732" i="1"/>
  <c r="I13732" i="1"/>
  <c r="H13732" i="1"/>
  <c r="G13732" i="1"/>
  <c r="M13731" i="1"/>
  <c r="L13731" i="1"/>
  <c r="K13731" i="1"/>
  <c r="J13731" i="1"/>
  <c r="I13731" i="1"/>
  <c r="H13731" i="1"/>
  <c r="G13731" i="1"/>
  <c r="M13730" i="1"/>
  <c r="L13730" i="1"/>
  <c r="K13730" i="1"/>
  <c r="J13730" i="1"/>
  <c r="I13730" i="1"/>
  <c r="H13730" i="1"/>
  <c r="G13730" i="1"/>
  <c r="M13729" i="1"/>
  <c r="L13729" i="1"/>
  <c r="K13729" i="1"/>
  <c r="J13729" i="1"/>
  <c r="I13729" i="1"/>
  <c r="H13729" i="1"/>
  <c r="G13729" i="1"/>
  <c r="M13728" i="1"/>
  <c r="L13728" i="1"/>
  <c r="K13728" i="1"/>
  <c r="J13728" i="1"/>
  <c r="I13728" i="1"/>
  <c r="H13728" i="1"/>
  <c r="G13728" i="1"/>
  <c r="M13727" i="1"/>
  <c r="L13727" i="1"/>
  <c r="K13727" i="1"/>
  <c r="J13727" i="1"/>
  <c r="I13727" i="1"/>
  <c r="H13727" i="1"/>
  <c r="G13727" i="1"/>
  <c r="M13726" i="1"/>
  <c r="L13726" i="1"/>
  <c r="K13726" i="1"/>
  <c r="J13726" i="1"/>
  <c r="I13726" i="1"/>
  <c r="H13726" i="1"/>
  <c r="G13726" i="1"/>
  <c r="M13725" i="1"/>
  <c r="L13725" i="1"/>
  <c r="K13725" i="1"/>
  <c r="J13725" i="1"/>
  <c r="I13725" i="1"/>
  <c r="H13725" i="1"/>
  <c r="G13725" i="1"/>
  <c r="M13724" i="1"/>
  <c r="L13724" i="1"/>
  <c r="K13724" i="1"/>
  <c r="J13724" i="1"/>
  <c r="I13724" i="1"/>
  <c r="H13724" i="1"/>
  <c r="G13724" i="1"/>
  <c r="M13723" i="1"/>
  <c r="L13723" i="1"/>
  <c r="K13723" i="1"/>
  <c r="J13723" i="1"/>
  <c r="I13723" i="1"/>
  <c r="H13723" i="1"/>
  <c r="G13723" i="1"/>
  <c r="M13722" i="1"/>
  <c r="L13722" i="1"/>
  <c r="K13722" i="1"/>
  <c r="J13722" i="1"/>
  <c r="I13722" i="1"/>
  <c r="H13722" i="1"/>
  <c r="G13722" i="1"/>
  <c r="M13721" i="1"/>
  <c r="L13721" i="1"/>
  <c r="K13721" i="1"/>
  <c r="J13721" i="1"/>
  <c r="I13721" i="1"/>
  <c r="H13721" i="1"/>
  <c r="G13721" i="1"/>
  <c r="M13720" i="1"/>
  <c r="L13720" i="1"/>
  <c r="K13720" i="1"/>
  <c r="J13720" i="1"/>
  <c r="I13720" i="1"/>
  <c r="H13720" i="1"/>
  <c r="G13720" i="1"/>
  <c r="M13719" i="1"/>
  <c r="L13719" i="1"/>
  <c r="K13719" i="1"/>
  <c r="J13719" i="1"/>
  <c r="I13719" i="1"/>
  <c r="H13719" i="1"/>
  <c r="G13719" i="1"/>
  <c r="M13718" i="1"/>
  <c r="L13718" i="1"/>
  <c r="K13718" i="1"/>
  <c r="J13718" i="1"/>
  <c r="I13718" i="1"/>
  <c r="H13718" i="1"/>
  <c r="G13718" i="1"/>
  <c r="M13717" i="1"/>
  <c r="L13717" i="1"/>
  <c r="K13717" i="1"/>
  <c r="J13717" i="1"/>
  <c r="I13717" i="1"/>
  <c r="H13717" i="1"/>
  <c r="G13717" i="1"/>
  <c r="M13716" i="1"/>
  <c r="L13716" i="1"/>
  <c r="K13716" i="1"/>
  <c r="J13716" i="1"/>
  <c r="I13716" i="1"/>
  <c r="H13716" i="1"/>
  <c r="G13716" i="1"/>
  <c r="M13715" i="1"/>
  <c r="L13715" i="1"/>
  <c r="K13715" i="1"/>
  <c r="J13715" i="1"/>
  <c r="I13715" i="1"/>
  <c r="H13715" i="1"/>
  <c r="G13715" i="1"/>
  <c r="M13714" i="1"/>
  <c r="L13714" i="1"/>
  <c r="K13714" i="1"/>
  <c r="J13714" i="1"/>
  <c r="I13714" i="1"/>
  <c r="H13714" i="1"/>
  <c r="G13714" i="1"/>
  <c r="M13713" i="1"/>
  <c r="L13713" i="1"/>
  <c r="K13713" i="1"/>
  <c r="J13713" i="1"/>
  <c r="I13713" i="1"/>
  <c r="H13713" i="1"/>
  <c r="G13713" i="1"/>
  <c r="M13712" i="1"/>
  <c r="L13712" i="1"/>
  <c r="K13712" i="1"/>
  <c r="J13712" i="1"/>
  <c r="I13712" i="1"/>
  <c r="H13712" i="1"/>
  <c r="G13712" i="1"/>
  <c r="M13711" i="1"/>
  <c r="L13711" i="1"/>
  <c r="K13711" i="1"/>
  <c r="J13711" i="1"/>
  <c r="I13711" i="1"/>
  <c r="H13711" i="1"/>
  <c r="G13711" i="1"/>
  <c r="M13710" i="1"/>
  <c r="L13710" i="1"/>
  <c r="K13710" i="1"/>
  <c r="J13710" i="1"/>
  <c r="I13710" i="1"/>
  <c r="H13710" i="1"/>
  <c r="G13710" i="1"/>
  <c r="M13709" i="1"/>
  <c r="L13709" i="1"/>
  <c r="K13709" i="1"/>
  <c r="J13709" i="1"/>
  <c r="I13709" i="1"/>
  <c r="H13709" i="1"/>
  <c r="G13709" i="1"/>
  <c r="M13708" i="1"/>
  <c r="L13708" i="1"/>
  <c r="K13708" i="1"/>
  <c r="J13708" i="1"/>
  <c r="I13708" i="1"/>
  <c r="H13708" i="1"/>
  <c r="G13708" i="1"/>
  <c r="M13707" i="1"/>
  <c r="L13707" i="1"/>
  <c r="K13707" i="1"/>
  <c r="J13707" i="1"/>
  <c r="I13707" i="1"/>
  <c r="H13707" i="1"/>
  <c r="G13707" i="1"/>
  <c r="M13706" i="1"/>
  <c r="L13706" i="1"/>
  <c r="K13706" i="1"/>
  <c r="J13706" i="1"/>
  <c r="I13706" i="1"/>
  <c r="H13706" i="1"/>
  <c r="G13706" i="1"/>
  <c r="M13705" i="1"/>
  <c r="L13705" i="1"/>
  <c r="K13705" i="1"/>
  <c r="J13705" i="1"/>
  <c r="I13705" i="1"/>
  <c r="H13705" i="1"/>
  <c r="G13705" i="1"/>
  <c r="M13704" i="1"/>
  <c r="L13704" i="1"/>
  <c r="K13704" i="1"/>
  <c r="J13704" i="1"/>
  <c r="I13704" i="1"/>
  <c r="H13704" i="1"/>
  <c r="G13704" i="1"/>
  <c r="M13703" i="1"/>
  <c r="L13703" i="1"/>
  <c r="K13703" i="1"/>
  <c r="J13703" i="1"/>
  <c r="I13703" i="1"/>
  <c r="H13703" i="1"/>
  <c r="G13703" i="1"/>
  <c r="M13702" i="1"/>
  <c r="L13702" i="1"/>
  <c r="K13702" i="1"/>
  <c r="J13702" i="1"/>
  <c r="I13702" i="1"/>
  <c r="H13702" i="1"/>
  <c r="G13702" i="1"/>
  <c r="M13701" i="1"/>
  <c r="L13701" i="1"/>
  <c r="K13701" i="1"/>
  <c r="J13701" i="1"/>
  <c r="I13701" i="1"/>
  <c r="H13701" i="1"/>
  <c r="G13701" i="1"/>
  <c r="M13700" i="1"/>
  <c r="L13700" i="1"/>
  <c r="K13700" i="1"/>
  <c r="J13700" i="1"/>
  <c r="I13700" i="1"/>
  <c r="H13700" i="1"/>
  <c r="G13700" i="1"/>
  <c r="M13699" i="1"/>
  <c r="L13699" i="1"/>
  <c r="K13699" i="1"/>
  <c r="J13699" i="1"/>
  <c r="I13699" i="1"/>
  <c r="H13699" i="1"/>
  <c r="G13699" i="1"/>
  <c r="M13698" i="1"/>
  <c r="L13698" i="1"/>
  <c r="K13698" i="1"/>
  <c r="J13698" i="1"/>
  <c r="I13698" i="1"/>
  <c r="H13698" i="1"/>
  <c r="G13698" i="1"/>
  <c r="M13697" i="1"/>
  <c r="L13697" i="1"/>
  <c r="K13697" i="1"/>
  <c r="J13697" i="1"/>
  <c r="I13697" i="1"/>
  <c r="H13697" i="1"/>
  <c r="G13697" i="1"/>
  <c r="M13696" i="1"/>
  <c r="L13696" i="1"/>
  <c r="K13696" i="1"/>
  <c r="J13696" i="1"/>
  <c r="I13696" i="1"/>
  <c r="H13696" i="1"/>
  <c r="G13696" i="1"/>
  <c r="M13695" i="1"/>
  <c r="L13695" i="1"/>
  <c r="K13695" i="1"/>
  <c r="J13695" i="1"/>
  <c r="I13695" i="1"/>
  <c r="H13695" i="1"/>
  <c r="G13695" i="1"/>
  <c r="M13694" i="1"/>
  <c r="L13694" i="1"/>
  <c r="K13694" i="1"/>
  <c r="J13694" i="1"/>
  <c r="I13694" i="1"/>
  <c r="H13694" i="1"/>
  <c r="G13694" i="1"/>
  <c r="M13693" i="1"/>
  <c r="L13693" i="1"/>
  <c r="K13693" i="1"/>
  <c r="J13693" i="1"/>
  <c r="I13693" i="1"/>
  <c r="H13693" i="1"/>
  <c r="G13693" i="1"/>
  <c r="M13692" i="1"/>
  <c r="L13692" i="1"/>
  <c r="K13692" i="1"/>
  <c r="J13692" i="1"/>
  <c r="I13692" i="1"/>
  <c r="H13692" i="1"/>
  <c r="G13692" i="1"/>
  <c r="M13691" i="1"/>
  <c r="L13691" i="1"/>
  <c r="K13691" i="1"/>
  <c r="J13691" i="1"/>
  <c r="I13691" i="1"/>
  <c r="H13691" i="1"/>
  <c r="G13691" i="1"/>
  <c r="M13690" i="1"/>
  <c r="L13690" i="1"/>
  <c r="K13690" i="1"/>
  <c r="J13690" i="1"/>
  <c r="I13690" i="1"/>
  <c r="H13690" i="1"/>
  <c r="G13690" i="1"/>
  <c r="M13689" i="1"/>
  <c r="L13689" i="1"/>
  <c r="K13689" i="1"/>
  <c r="J13689" i="1"/>
  <c r="I13689" i="1"/>
  <c r="H13689" i="1"/>
  <c r="G13689" i="1"/>
  <c r="M13688" i="1"/>
  <c r="L13688" i="1"/>
  <c r="K13688" i="1"/>
  <c r="J13688" i="1"/>
  <c r="I13688" i="1"/>
  <c r="H13688" i="1"/>
  <c r="G13688" i="1"/>
  <c r="M13687" i="1"/>
  <c r="L13687" i="1"/>
  <c r="K13687" i="1"/>
  <c r="J13687" i="1"/>
  <c r="I13687" i="1"/>
  <c r="H13687" i="1"/>
  <c r="G13687" i="1"/>
  <c r="M13686" i="1"/>
  <c r="L13686" i="1"/>
  <c r="K13686" i="1"/>
  <c r="J13686" i="1"/>
  <c r="I13686" i="1"/>
  <c r="H13686" i="1"/>
  <c r="G13686" i="1"/>
  <c r="M13685" i="1"/>
  <c r="L13685" i="1"/>
  <c r="K13685" i="1"/>
  <c r="J13685" i="1"/>
  <c r="I13685" i="1"/>
  <c r="H13685" i="1"/>
  <c r="G13685" i="1"/>
  <c r="M13684" i="1"/>
  <c r="L13684" i="1"/>
  <c r="K13684" i="1"/>
  <c r="J13684" i="1"/>
  <c r="I13684" i="1"/>
  <c r="H13684" i="1"/>
  <c r="G13684" i="1"/>
  <c r="M13683" i="1"/>
  <c r="L13683" i="1"/>
  <c r="K13683" i="1"/>
  <c r="J13683" i="1"/>
  <c r="I13683" i="1"/>
  <c r="H13683" i="1"/>
  <c r="G13683" i="1"/>
  <c r="M13682" i="1"/>
  <c r="L13682" i="1"/>
  <c r="K13682" i="1"/>
  <c r="J13682" i="1"/>
  <c r="I13682" i="1"/>
  <c r="H13682" i="1"/>
  <c r="G13682" i="1"/>
  <c r="M13681" i="1"/>
  <c r="L13681" i="1"/>
  <c r="K13681" i="1"/>
  <c r="J13681" i="1"/>
  <c r="I13681" i="1"/>
  <c r="H13681" i="1"/>
  <c r="G13681" i="1"/>
  <c r="M13680" i="1"/>
  <c r="L13680" i="1"/>
  <c r="K13680" i="1"/>
  <c r="J13680" i="1"/>
  <c r="I13680" i="1"/>
  <c r="H13680" i="1"/>
  <c r="G13680" i="1"/>
  <c r="M13679" i="1"/>
  <c r="L13679" i="1"/>
  <c r="K13679" i="1"/>
  <c r="J13679" i="1"/>
  <c r="I13679" i="1"/>
  <c r="H13679" i="1"/>
  <c r="G13679" i="1"/>
  <c r="M13678" i="1"/>
  <c r="L13678" i="1"/>
  <c r="K13678" i="1"/>
  <c r="J13678" i="1"/>
  <c r="I13678" i="1"/>
  <c r="H13678" i="1"/>
  <c r="G13678" i="1"/>
  <c r="M13677" i="1"/>
  <c r="L13677" i="1"/>
  <c r="K13677" i="1"/>
  <c r="J13677" i="1"/>
  <c r="I13677" i="1"/>
  <c r="H13677" i="1"/>
  <c r="G13677" i="1"/>
  <c r="M13676" i="1"/>
  <c r="L13676" i="1"/>
  <c r="K13676" i="1"/>
  <c r="J13676" i="1"/>
  <c r="I13676" i="1"/>
  <c r="H13676" i="1"/>
  <c r="G13676" i="1"/>
  <c r="M13675" i="1"/>
  <c r="L13675" i="1"/>
  <c r="K13675" i="1"/>
  <c r="J13675" i="1"/>
  <c r="I13675" i="1"/>
  <c r="H13675" i="1"/>
  <c r="G13675" i="1"/>
  <c r="M13674" i="1"/>
  <c r="L13674" i="1"/>
  <c r="K13674" i="1"/>
  <c r="J13674" i="1"/>
  <c r="I13674" i="1"/>
  <c r="H13674" i="1"/>
  <c r="G13674" i="1"/>
  <c r="M13673" i="1"/>
  <c r="L13673" i="1"/>
  <c r="K13673" i="1"/>
  <c r="J13673" i="1"/>
  <c r="I13673" i="1"/>
  <c r="H13673" i="1"/>
  <c r="G13673" i="1"/>
  <c r="M13672" i="1"/>
  <c r="L13672" i="1"/>
  <c r="K13672" i="1"/>
  <c r="J13672" i="1"/>
  <c r="I13672" i="1"/>
  <c r="H13672" i="1"/>
  <c r="G13672" i="1"/>
  <c r="M13671" i="1"/>
  <c r="L13671" i="1"/>
  <c r="K13671" i="1"/>
  <c r="J13671" i="1"/>
  <c r="I13671" i="1"/>
  <c r="H13671" i="1"/>
  <c r="G13671" i="1"/>
  <c r="M13670" i="1"/>
  <c r="L13670" i="1"/>
  <c r="K13670" i="1"/>
  <c r="J13670" i="1"/>
  <c r="I13670" i="1"/>
  <c r="H13670" i="1"/>
  <c r="G13670" i="1"/>
  <c r="M13669" i="1"/>
  <c r="L13669" i="1"/>
  <c r="K13669" i="1"/>
  <c r="J13669" i="1"/>
  <c r="I13669" i="1"/>
  <c r="H13669" i="1"/>
  <c r="G13669" i="1"/>
  <c r="M13668" i="1"/>
  <c r="L13668" i="1"/>
  <c r="K13668" i="1"/>
  <c r="J13668" i="1"/>
  <c r="I13668" i="1"/>
  <c r="H13668" i="1"/>
  <c r="G13668" i="1"/>
  <c r="M13667" i="1"/>
  <c r="L13667" i="1"/>
  <c r="K13667" i="1"/>
  <c r="J13667" i="1"/>
  <c r="I13667" i="1"/>
  <c r="H13667" i="1"/>
  <c r="G13667" i="1"/>
  <c r="M13666" i="1"/>
  <c r="L13666" i="1"/>
  <c r="K13666" i="1"/>
  <c r="J13666" i="1"/>
  <c r="I13666" i="1"/>
  <c r="H13666" i="1"/>
  <c r="G13666" i="1"/>
  <c r="M13665" i="1"/>
  <c r="L13665" i="1"/>
  <c r="K13665" i="1"/>
  <c r="J13665" i="1"/>
  <c r="I13665" i="1"/>
  <c r="H13665" i="1"/>
  <c r="G13665" i="1"/>
  <c r="M13664" i="1"/>
  <c r="L13664" i="1"/>
  <c r="K13664" i="1"/>
  <c r="J13664" i="1"/>
  <c r="I13664" i="1"/>
  <c r="H13664" i="1"/>
  <c r="G13664" i="1"/>
  <c r="M13663" i="1"/>
  <c r="L13663" i="1"/>
  <c r="K13663" i="1"/>
  <c r="J13663" i="1"/>
  <c r="I13663" i="1"/>
  <c r="H13663" i="1"/>
  <c r="G13663" i="1"/>
  <c r="M13662" i="1"/>
  <c r="L13662" i="1"/>
  <c r="K13662" i="1"/>
  <c r="J13662" i="1"/>
  <c r="I13662" i="1"/>
  <c r="H13662" i="1"/>
  <c r="G13662" i="1"/>
  <c r="M13661" i="1"/>
  <c r="L13661" i="1"/>
  <c r="K13661" i="1"/>
  <c r="J13661" i="1"/>
  <c r="I13661" i="1"/>
  <c r="H13661" i="1"/>
  <c r="G13661" i="1"/>
  <c r="M13660" i="1"/>
  <c r="L13660" i="1"/>
  <c r="K13660" i="1"/>
  <c r="J13660" i="1"/>
  <c r="I13660" i="1"/>
  <c r="H13660" i="1"/>
  <c r="G13660" i="1"/>
  <c r="M13659" i="1"/>
  <c r="L13659" i="1"/>
  <c r="K13659" i="1"/>
  <c r="J13659" i="1"/>
  <c r="I13659" i="1"/>
  <c r="H13659" i="1"/>
  <c r="G13659" i="1"/>
  <c r="M13658" i="1"/>
  <c r="L13658" i="1"/>
  <c r="K13658" i="1"/>
  <c r="J13658" i="1"/>
  <c r="I13658" i="1"/>
  <c r="H13658" i="1"/>
  <c r="G13658" i="1"/>
  <c r="M13657" i="1"/>
  <c r="L13657" i="1"/>
  <c r="K13657" i="1"/>
  <c r="J13657" i="1"/>
  <c r="I13657" i="1"/>
  <c r="H13657" i="1"/>
  <c r="G13657" i="1"/>
  <c r="M13656" i="1"/>
  <c r="L13656" i="1"/>
  <c r="K13656" i="1"/>
  <c r="J13656" i="1"/>
  <c r="I13656" i="1"/>
  <c r="H13656" i="1"/>
  <c r="G13656" i="1"/>
  <c r="M13655" i="1"/>
  <c r="L13655" i="1"/>
  <c r="K13655" i="1"/>
  <c r="J13655" i="1"/>
  <c r="I13655" i="1"/>
  <c r="H13655" i="1"/>
  <c r="G13655" i="1"/>
  <c r="M13654" i="1"/>
  <c r="L13654" i="1"/>
  <c r="K13654" i="1"/>
  <c r="J13654" i="1"/>
  <c r="I13654" i="1"/>
  <c r="H13654" i="1"/>
  <c r="G13654" i="1"/>
  <c r="M13653" i="1"/>
  <c r="L13653" i="1"/>
  <c r="K13653" i="1"/>
  <c r="J13653" i="1"/>
  <c r="I13653" i="1"/>
  <c r="H13653" i="1"/>
  <c r="G13653" i="1"/>
  <c r="M13652" i="1"/>
  <c r="L13652" i="1"/>
  <c r="K13652" i="1"/>
  <c r="J13652" i="1"/>
  <c r="I13652" i="1"/>
  <c r="H13652" i="1"/>
  <c r="G13652" i="1"/>
  <c r="M13651" i="1"/>
  <c r="L13651" i="1"/>
  <c r="K13651" i="1"/>
  <c r="J13651" i="1"/>
  <c r="I13651" i="1"/>
  <c r="H13651" i="1"/>
  <c r="G13651" i="1"/>
  <c r="M13650" i="1"/>
  <c r="L13650" i="1"/>
  <c r="K13650" i="1"/>
  <c r="J13650" i="1"/>
  <c r="I13650" i="1"/>
  <c r="H13650" i="1"/>
  <c r="G13650" i="1"/>
  <c r="M13649" i="1"/>
  <c r="L13649" i="1"/>
  <c r="K13649" i="1"/>
  <c r="J13649" i="1"/>
  <c r="I13649" i="1"/>
  <c r="H13649" i="1"/>
  <c r="G13649" i="1"/>
  <c r="M13648" i="1"/>
  <c r="L13648" i="1"/>
  <c r="K13648" i="1"/>
  <c r="J13648" i="1"/>
  <c r="I13648" i="1"/>
  <c r="H13648" i="1"/>
  <c r="G13648" i="1"/>
  <c r="M13647" i="1"/>
  <c r="L13647" i="1"/>
  <c r="K13647" i="1"/>
  <c r="J13647" i="1"/>
  <c r="I13647" i="1"/>
  <c r="H13647" i="1"/>
  <c r="G13647" i="1"/>
  <c r="M13646" i="1"/>
  <c r="L13646" i="1"/>
  <c r="K13646" i="1"/>
  <c r="J13646" i="1"/>
  <c r="I13646" i="1"/>
  <c r="H13646" i="1"/>
  <c r="G13646" i="1"/>
  <c r="M13645" i="1"/>
  <c r="L13645" i="1"/>
  <c r="K13645" i="1"/>
  <c r="J13645" i="1"/>
  <c r="I13645" i="1"/>
  <c r="H13645" i="1"/>
  <c r="G13645" i="1"/>
  <c r="M13644" i="1"/>
  <c r="L13644" i="1"/>
  <c r="K13644" i="1"/>
  <c r="J13644" i="1"/>
  <c r="I13644" i="1"/>
  <c r="H13644" i="1"/>
  <c r="G13644" i="1"/>
  <c r="M13643" i="1"/>
  <c r="L13643" i="1"/>
  <c r="K13643" i="1"/>
  <c r="J13643" i="1"/>
  <c r="I13643" i="1"/>
  <c r="H13643" i="1"/>
  <c r="G13643" i="1"/>
  <c r="M13642" i="1"/>
  <c r="L13642" i="1"/>
  <c r="K13642" i="1"/>
  <c r="J13642" i="1"/>
  <c r="I13642" i="1"/>
  <c r="H13642" i="1"/>
  <c r="G13642" i="1"/>
  <c r="M13641" i="1"/>
  <c r="L13641" i="1"/>
  <c r="K13641" i="1"/>
  <c r="J13641" i="1"/>
  <c r="I13641" i="1"/>
  <c r="H13641" i="1"/>
  <c r="G13641" i="1"/>
  <c r="M13640" i="1"/>
  <c r="L13640" i="1"/>
  <c r="K13640" i="1"/>
  <c r="J13640" i="1"/>
  <c r="I13640" i="1"/>
  <c r="H13640" i="1"/>
  <c r="G13640" i="1"/>
  <c r="M13639" i="1"/>
  <c r="L13639" i="1"/>
  <c r="K13639" i="1"/>
  <c r="J13639" i="1"/>
  <c r="I13639" i="1"/>
  <c r="H13639" i="1"/>
  <c r="G13639" i="1"/>
  <c r="M13638" i="1"/>
  <c r="L13638" i="1"/>
  <c r="K13638" i="1"/>
  <c r="J13638" i="1"/>
  <c r="I13638" i="1"/>
  <c r="H13638" i="1"/>
  <c r="G13638" i="1"/>
  <c r="M13637" i="1"/>
  <c r="L13637" i="1"/>
  <c r="K13637" i="1"/>
  <c r="J13637" i="1"/>
  <c r="I13637" i="1"/>
  <c r="H13637" i="1"/>
  <c r="G13637" i="1"/>
  <c r="M13636" i="1"/>
  <c r="L13636" i="1"/>
  <c r="K13636" i="1"/>
  <c r="J13636" i="1"/>
  <c r="I13636" i="1"/>
  <c r="H13636" i="1"/>
  <c r="G13636" i="1"/>
  <c r="M13635" i="1"/>
  <c r="L13635" i="1"/>
  <c r="K13635" i="1"/>
  <c r="J13635" i="1"/>
  <c r="I13635" i="1"/>
  <c r="H13635" i="1"/>
  <c r="G13635" i="1"/>
  <c r="M13634" i="1"/>
  <c r="L13634" i="1"/>
  <c r="K13634" i="1"/>
  <c r="J13634" i="1"/>
  <c r="I13634" i="1"/>
  <c r="H13634" i="1"/>
  <c r="G13634" i="1"/>
  <c r="M13633" i="1"/>
  <c r="L13633" i="1"/>
  <c r="K13633" i="1"/>
  <c r="J13633" i="1"/>
  <c r="I13633" i="1"/>
  <c r="H13633" i="1"/>
  <c r="G13633" i="1"/>
  <c r="M13632" i="1"/>
  <c r="L13632" i="1"/>
  <c r="K13632" i="1"/>
  <c r="J13632" i="1"/>
  <c r="I13632" i="1"/>
  <c r="H13632" i="1"/>
  <c r="G13632" i="1"/>
  <c r="M13631" i="1"/>
  <c r="L13631" i="1"/>
  <c r="K13631" i="1"/>
  <c r="J13631" i="1"/>
  <c r="I13631" i="1"/>
  <c r="H13631" i="1"/>
  <c r="G13631" i="1"/>
  <c r="M13630" i="1"/>
  <c r="L13630" i="1"/>
  <c r="K13630" i="1"/>
  <c r="J13630" i="1"/>
  <c r="I13630" i="1"/>
  <c r="H13630" i="1"/>
  <c r="G13630" i="1"/>
  <c r="M13629" i="1"/>
  <c r="L13629" i="1"/>
  <c r="K13629" i="1"/>
  <c r="J13629" i="1"/>
  <c r="I13629" i="1"/>
  <c r="H13629" i="1"/>
  <c r="G13629" i="1"/>
  <c r="M13628" i="1"/>
  <c r="L13628" i="1"/>
  <c r="K13628" i="1"/>
  <c r="J13628" i="1"/>
  <c r="I13628" i="1"/>
  <c r="H13628" i="1"/>
  <c r="G13628" i="1"/>
  <c r="M13627" i="1"/>
  <c r="L13627" i="1"/>
  <c r="K13627" i="1"/>
  <c r="J13627" i="1"/>
  <c r="I13627" i="1"/>
  <c r="H13627" i="1"/>
  <c r="G13627" i="1"/>
  <c r="M13626" i="1"/>
  <c r="L13626" i="1"/>
  <c r="K13626" i="1"/>
  <c r="J13626" i="1"/>
  <c r="I13626" i="1"/>
  <c r="H13626" i="1"/>
  <c r="G13626" i="1"/>
  <c r="M13625" i="1"/>
  <c r="L13625" i="1"/>
  <c r="K13625" i="1"/>
  <c r="J13625" i="1"/>
  <c r="I13625" i="1"/>
  <c r="H13625" i="1"/>
  <c r="G13625" i="1"/>
  <c r="M13624" i="1"/>
  <c r="L13624" i="1"/>
  <c r="K13624" i="1"/>
  <c r="J13624" i="1"/>
  <c r="I13624" i="1"/>
  <c r="H13624" i="1"/>
  <c r="G13624" i="1"/>
  <c r="M13623" i="1"/>
  <c r="L13623" i="1"/>
  <c r="K13623" i="1"/>
  <c r="J13623" i="1"/>
  <c r="I13623" i="1"/>
  <c r="H13623" i="1"/>
  <c r="G13623" i="1"/>
  <c r="M13622" i="1"/>
  <c r="L13622" i="1"/>
  <c r="K13622" i="1"/>
  <c r="J13622" i="1"/>
  <c r="I13622" i="1"/>
  <c r="H13622" i="1"/>
  <c r="G13622" i="1"/>
  <c r="M13621" i="1"/>
  <c r="L13621" i="1"/>
  <c r="K13621" i="1"/>
  <c r="J13621" i="1"/>
  <c r="I13621" i="1"/>
  <c r="H13621" i="1"/>
  <c r="G13621" i="1"/>
  <c r="M13620" i="1"/>
  <c r="L13620" i="1"/>
  <c r="K13620" i="1"/>
  <c r="J13620" i="1"/>
  <c r="I13620" i="1"/>
  <c r="H13620" i="1"/>
  <c r="G13620" i="1"/>
  <c r="M13619" i="1"/>
  <c r="L13619" i="1"/>
  <c r="K13619" i="1"/>
  <c r="J13619" i="1"/>
  <c r="I13619" i="1"/>
  <c r="H13619" i="1"/>
  <c r="G13619" i="1"/>
  <c r="M13618" i="1"/>
  <c r="L13618" i="1"/>
  <c r="K13618" i="1"/>
  <c r="J13618" i="1"/>
  <c r="I13618" i="1"/>
  <c r="H13618" i="1"/>
  <c r="G13618" i="1"/>
  <c r="M13617" i="1"/>
  <c r="L13617" i="1"/>
  <c r="K13617" i="1"/>
  <c r="J13617" i="1"/>
  <c r="I13617" i="1"/>
  <c r="H13617" i="1"/>
  <c r="G13617" i="1"/>
  <c r="M13616" i="1"/>
  <c r="L13616" i="1"/>
  <c r="K13616" i="1"/>
  <c r="J13616" i="1"/>
  <c r="I13616" i="1"/>
  <c r="H13616" i="1"/>
  <c r="G13616" i="1"/>
  <c r="M13615" i="1"/>
  <c r="L13615" i="1"/>
  <c r="K13615" i="1"/>
  <c r="J13615" i="1"/>
  <c r="I13615" i="1"/>
  <c r="H13615" i="1"/>
  <c r="G13615" i="1"/>
  <c r="M13614" i="1"/>
  <c r="L13614" i="1"/>
  <c r="K13614" i="1"/>
  <c r="J13614" i="1"/>
  <c r="I13614" i="1"/>
  <c r="H13614" i="1"/>
  <c r="G13614" i="1"/>
  <c r="M13613" i="1"/>
  <c r="L13613" i="1"/>
  <c r="K13613" i="1"/>
  <c r="J13613" i="1"/>
  <c r="I13613" i="1"/>
  <c r="H13613" i="1"/>
  <c r="G13613" i="1"/>
  <c r="M13612" i="1"/>
  <c r="L13612" i="1"/>
  <c r="K13612" i="1"/>
  <c r="J13612" i="1"/>
  <c r="I13612" i="1"/>
  <c r="H13612" i="1"/>
  <c r="G13612" i="1"/>
  <c r="M13611" i="1"/>
  <c r="L13611" i="1"/>
  <c r="K13611" i="1"/>
  <c r="J13611" i="1"/>
  <c r="I13611" i="1"/>
  <c r="H13611" i="1"/>
  <c r="G13611" i="1"/>
  <c r="M13610" i="1"/>
  <c r="L13610" i="1"/>
  <c r="K13610" i="1"/>
  <c r="J13610" i="1"/>
  <c r="I13610" i="1"/>
  <c r="H13610" i="1"/>
  <c r="G13610" i="1"/>
  <c r="M13609" i="1"/>
  <c r="L13609" i="1"/>
  <c r="K13609" i="1"/>
  <c r="J13609" i="1"/>
  <c r="I13609" i="1"/>
  <c r="H13609" i="1"/>
  <c r="G13609" i="1"/>
  <c r="M13608" i="1"/>
  <c r="L13608" i="1"/>
  <c r="K13608" i="1"/>
  <c r="J13608" i="1"/>
  <c r="I13608" i="1"/>
  <c r="H13608" i="1"/>
  <c r="G13608" i="1"/>
  <c r="M13607" i="1"/>
  <c r="L13607" i="1"/>
  <c r="K13607" i="1"/>
  <c r="J13607" i="1"/>
  <c r="I13607" i="1"/>
  <c r="H13607" i="1"/>
  <c r="G13607" i="1"/>
  <c r="M13606" i="1"/>
  <c r="L13606" i="1"/>
  <c r="K13606" i="1"/>
  <c r="J13606" i="1"/>
  <c r="I13606" i="1"/>
  <c r="H13606" i="1"/>
  <c r="G13606" i="1"/>
  <c r="M13605" i="1"/>
  <c r="L13605" i="1"/>
  <c r="K13605" i="1"/>
  <c r="J13605" i="1"/>
  <c r="I13605" i="1"/>
  <c r="H13605" i="1"/>
  <c r="G13605" i="1"/>
  <c r="M13604" i="1"/>
  <c r="L13604" i="1"/>
  <c r="K13604" i="1"/>
  <c r="J13604" i="1"/>
  <c r="I13604" i="1"/>
  <c r="H13604" i="1"/>
  <c r="G13604" i="1"/>
  <c r="M13603" i="1"/>
  <c r="L13603" i="1"/>
  <c r="K13603" i="1"/>
  <c r="J13603" i="1"/>
  <c r="I13603" i="1"/>
  <c r="H13603" i="1"/>
  <c r="G13603" i="1"/>
  <c r="M13602" i="1"/>
  <c r="L13602" i="1"/>
  <c r="K13602" i="1"/>
  <c r="J13602" i="1"/>
  <c r="I13602" i="1"/>
  <c r="H13602" i="1"/>
  <c r="G13602" i="1"/>
  <c r="M13601" i="1"/>
  <c r="L13601" i="1"/>
  <c r="K13601" i="1"/>
  <c r="J13601" i="1"/>
  <c r="I13601" i="1"/>
  <c r="H13601" i="1"/>
  <c r="G13601" i="1"/>
  <c r="M13600" i="1"/>
  <c r="L13600" i="1"/>
  <c r="K13600" i="1"/>
  <c r="J13600" i="1"/>
  <c r="I13600" i="1"/>
  <c r="H13600" i="1"/>
  <c r="G13600" i="1"/>
  <c r="M13599" i="1"/>
  <c r="L13599" i="1"/>
  <c r="K13599" i="1"/>
  <c r="J13599" i="1"/>
  <c r="I13599" i="1"/>
  <c r="H13599" i="1"/>
  <c r="G13599" i="1"/>
  <c r="M13598" i="1"/>
  <c r="L13598" i="1"/>
  <c r="K13598" i="1"/>
  <c r="J13598" i="1"/>
  <c r="I13598" i="1"/>
  <c r="H13598" i="1"/>
  <c r="G13598" i="1"/>
  <c r="M13597" i="1"/>
  <c r="L13597" i="1"/>
  <c r="K13597" i="1"/>
  <c r="J13597" i="1"/>
  <c r="I13597" i="1"/>
  <c r="H13597" i="1"/>
  <c r="G13597" i="1"/>
  <c r="M13596" i="1"/>
  <c r="L13596" i="1"/>
  <c r="K13596" i="1"/>
  <c r="J13596" i="1"/>
  <c r="I13596" i="1"/>
  <c r="H13596" i="1"/>
  <c r="G13596" i="1"/>
  <c r="M13595" i="1"/>
  <c r="L13595" i="1"/>
  <c r="K13595" i="1"/>
  <c r="J13595" i="1"/>
  <c r="I13595" i="1"/>
  <c r="H13595" i="1"/>
  <c r="G13595" i="1"/>
  <c r="M13594" i="1"/>
  <c r="L13594" i="1"/>
  <c r="K13594" i="1"/>
  <c r="J13594" i="1"/>
  <c r="I13594" i="1"/>
  <c r="H13594" i="1"/>
  <c r="G13594" i="1"/>
  <c r="M13593" i="1"/>
  <c r="L13593" i="1"/>
  <c r="K13593" i="1"/>
  <c r="J13593" i="1"/>
  <c r="I13593" i="1"/>
  <c r="H13593" i="1"/>
  <c r="G13593" i="1"/>
  <c r="M13592" i="1"/>
  <c r="L13592" i="1"/>
  <c r="K13592" i="1"/>
  <c r="J13592" i="1"/>
  <c r="I13592" i="1"/>
  <c r="H13592" i="1"/>
  <c r="G13592" i="1"/>
  <c r="M13591" i="1"/>
  <c r="L13591" i="1"/>
  <c r="K13591" i="1"/>
  <c r="J13591" i="1"/>
  <c r="I13591" i="1"/>
  <c r="H13591" i="1"/>
  <c r="G13591" i="1"/>
  <c r="M13590" i="1"/>
  <c r="L13590" i="1"/>
  <c r="K13590" i="1"/>
  <c r="J13590" i="1"/>
  <c r="I13590" i="1"/>
  <c r="H13590" i="1"/>
  <c r="G13590" i="1"/>
  <c r="M13589" i="1"/>
  <c r="L13589" i="1"/>
  <c r="K13589" i="1"/>
  <c r="J13589" i="1"/>
  <c r="I13589" i="1"/>
  <c r="H13589" i="1"/>
  <c r="G13589" i="1"/>
  <c r="M13588" i="1"/>
  <c r="L13588" i="1"/>
  <c r="K13588" i="1"/>
  <c r="J13588" i="1"/>
  <c r="I13588" i="1"/>
  <c r="H13588" i="1"/>
  <c r="G13588" i="1"/>
  <c r="M13587" i="1"/>
  <c r="L13587" i="1"/>
  <c r="K13587" i="1"/>
  <c r="J13587" i="1"/>
  <c r="I13587" i="1"/>
  <c r="H13587" i="1"/>
  <c r="G13587" i="1"/>
  <c r="M13586" i="1"/>
  <c r="L13586" i="1"/>
  <c r="K13586" i="1"/>
  <c r="J13586" i="1"/>
  <c r="I13586" i="1"/>
  <c r="H13586" i="1"/>
  <c r="G13586" i="1"/>
  <c r="M13585" i="1"/>
  <c r="L13585" i="1"/>
  <c r="K13585" i="1"/>
  <c r="J13585" i="1"/>
  <c r="I13585" i="1"/>
  <c r="H13585" i="1"/>
  <c r="G13585" i="1"/>
  <c r="M13584" i="1"/>
  <c r="L13584" i="1"/>
  <c r="K13584" i="1"/>
  <c r="J13584" i="1"/>
  <c r="I13584" i="1"/>
  <c r="H13584" i="1"/>
  <c r="G13584" i="1"/>
  <c r="M13583" i="1"/>
  <c r="L13583" i="1"/>
  <c r="K13583" i="1"/>
  <c r="J13583" i="1"/>
  <c r="I13583" i="1"/>
  <c r="H13583" i="1"/>
  <c r="G13583" i="1"/>
  <c r="M13582" i="1"/>
  <c r="L13582" i="1"/>
  <c r="K13582" i="1"/>
  <c r="J13582" i="1"/>
  <c r="I13582" i="1"/>
  <c r="H13582" i="1"/>
  <c r="G13582" i="1"/>
  <c r="M13581" i="1"/>
  <c r="L13581" i="1"/>
  <c r="K13581" i="1"/>
  <c r="J13581" i="1"/>
  <c r="I13581" i="1"/>
  <c r="H13581" i="1"/>
  <c r="G13581" i="1"/>
  <c r="M13580" i="1"/>
  <c r="L13580" i="1"/>
  <c r="K13580" i="1"/>
  <c r="J13580" i="1"/>
  <c r="I13580" i="1"/>
  <c r="H13580" i="1"/>
  <c r="G13580" i="1"/>
  <c r="M13579" i="1"/>
  <c r="L13579" i="1"/>
  <c r="K13579" i="1"/>
  <c r="J13579" i="1"/>
  <c r="I13579" i="1"/>
  <c r="H13579" i="1"/>
  <c r="G13579" i="1"/>
  <c r="M13578" i="1"/>
  <c r="L13578" i="1"/>
  <c r="K13578" i="1"/>
  <c r="J13578" i="1"/>
  <c r="I13578" i="1"/>
  <c r="H13578" i="1"/>
  <c r="G13578" i="1"/>
  <c r="M13577" i="1"/>
  <c r="L13577" i="1"/>
  <c r="K13577" i="1"/>
  <c r="J13577" i="1"/>
  <c r="I13577" i="1"/>
  <c r="H13577" i="1"/>
  <c r="G13577" i="1"/>
  <c r="M13576" i="1"/>
  <c r="L13576" i="1"/>
  <c r="K13576" i="1"/>
  <c r="J13576" i="1"/>
  <c r="I13576" i="1"/>
  <c r="H13576" i="1"/>
  <c r="G13576" i="1"/>
  <c r="M13575" i="1"/>
  <c r="L13575" i="1"/>
  <c r="K13575" i="1"/>
  <c r="J13575" i="1"/>
  <c r="I13575" i="1"/>
  <c r="H13575" i="1"/>
  <c r="G13575" i="1"/>
  <c r="M13574" i="1"/>
  <c r="L13574" i="1"/>
  <c r="K13574" i="1"/>
  <c r="J13574" i="1"/>
  <c r="I13574" i="1"/>
  <c r="H13574" i="1"/>
  <c r="G13574" i="1"/>
  <c r="M13573" i="1"/>
  <c r="L13573" i="1"/>
  <c r="K13573" i="1"/>
  <c r="J13573" i="1"/>
  <c r="I13573" i="1"/>
  <c r="H13573" i="1"/>
  <c r="G13573" i="1"/>
  <c r="M13572" i="1"/>
  <c r="L13572" i="1"/>
  <c r="K13572" i="1"/>
  <c r="J13572" i="1"/>
  <c r="I13572" i="1"/>
  <c r="H13572" i="1"/>
  <c r="G13572" i="1"/>
  <c r="M13571" i="1"/>
  <c r="L13571" i="1"/>
  <c r="K13571" i="1"/>
  <c r="J13571" i="1"/>
  <c r="I13571" i="1"/>
  <c r="H13571" i="1"/>
  <c r="G13571" i="1"/>
  <c r="M13570" i="1"/>
  <c r="L13570" i="1"/>
  <c r="K13570" i="1"/>
  <c r="J13570" i="1"/>
  <c r="I13570" i="1"/>
  <c r="H13570" i="1"/>
  <c r="G13570" i="1"/>
  <c r="M13569" i="1"/>
  <c r="L13569" i="1"/>
  <c r="K13569" i="1"/>
  <c r="J13569" i="1"/>
  <c r="I13569" i="1"/>
  <c r="H13569" i="1"/>
  <c r="G13569" i="1"/>
  <c r="M13568" i="1"/>
  <c r="L13568" i="1"/>
  <c r="K13568" i="1"/>
  <c r="J13568" i="1"/>
  <c r="I13568" i="1"/>
  <c r="H13568" i="1"/>
  <c r="G13568" i="1"/>
  <c r="M13567" i="1"/>
  <c r="L13567" i="1"/>
  <c r="K13567" i="1"/>
  <c r="J13567" i="1"/>
  <c r="I13567" i="1"/>
  <c r="H13567" i="1"/>
  <c r="G13567" i="1"/>
  <c r="M13566" i="1"/>
  <c r="L13566" i="1"/>
  <c r="K13566" i="1"/>
  <c r="J13566" i="1"/>
  <c r="I13566" i="1"/>
  <c r="H13566" i="1"/>
  <c r="G13566" i="1"/>
  <c r="M13565" i="1"/>
  <c r="L13565" i="1"/>
  <c r="K13565" i="1"/>
  <c r="J13565" i="1"/>
  <c r="I13565" i="1"/>
  <c r="H13565" i="1"/>
  <c r="G13565" i="1"/>
  <c r="M13564" i="1"/>
  <c r="L13564" i="1"/>
  <c r="K13564" i="1"/>
  <c r="J13564" i="1"/>
  <c r="I13564" i="1"/>
  <c r="H13564" i="1"/>
  <c r="G13564" i="1"/>
  <c r="M13563" i="1"/>
  <c r="L13563" i="1"/>
  <c r="K13563" i="1"/>
  <c r="J13563" i="1"/>
  <c r="I13563" i="1"/>
  <c r="H13563" i="1"/>
  <c r="G13563" i="1"/>
  <c r="M13562" i="1"/>
  <c r="L13562" i="1"/>
  <c r="K13562" i="1"/>
  <c r="J13562" i="1"/>
  <c r="I13562" i="1"/>
  <c r="H13562" i="1"/>
  <c r="G13562" i="1"/>
  <c r="M13561" i="1"/>
  <c r="L13561" i="1"/>
  <c r="K13561" i="1"/>
  <c r="J13561" i="1"/>
  <c r="I13561" i="1"/>
  <c r="H13561" i="1"/>
  <c r="G13561" i="1"/>
  <c r="M13560" i="1"/>
  <c r="L13560" i="1"/>
  <c r="K13560" i="1"/>
  <c r="J13560" i="1"/>
  <c r="I13560" i="1"/>
  <c r="H13560" i="1"/>
  <c r="G13560" i="1"/>
  <c r="M13559" i="1"/>
  <c r="L13559" i="1"/>
  <c r="K13559" i="1"/>
  <c r="J13559" i="1"/>
  <c r="I13559" i="1"/>
  <c r="H13559" i="1"/>
  <c r="G13559" i="1"/>
  <c r="M13558" i="1"/>
  <c r="L13558" i="1"/>
  <c r="K13558" i="1"/>
  <c r="J13558" i="1"/>
  <c r="I13558" i="1"/>
  <c r="H13558" i="1"/>
  <c r="G13558" i="1"/>
  <c r="M13557" i="1"/>
  <c r="L13557" i="1"/>
  <c r="K13557" i="1"/>
  <c r="J13557" i="1"/>
  <c r="I13557" i="1"/>
  <c r="H13557" i="1"/>
  <c r="G13557" i="1"/>
  <c r="M13556" i="1"/>
  <c r="L13556" i="1"/>
  <c r="K13556" i="1"/>
  <c r="J13556" i="1"/>
  <c r="I13556" i="1"/>
  <c r="H13556" i="1"/>
  <c r="G13556" i="1"/>
  <c r="M13555" i="1"/>
  <c r="L13555" i="1"/>
  <c r="K13555" i="1"/>
  <c r="J13555" i="1"/>
  <c r="I13555" i="1"/>
  <c r="H13555" i="1"/>
  <c r="G13555" i="1"/>
  <c r="M13554" i="1"/>
  <c r="L13554" i="1"/>
  <c r="K13554" i="1"/>
  <c r="J13554" i="1"/>
  <c r="I13554" i="1"/>
  <c r="H13554" i="1"/>
  <c r="G13554" i="1"/>
  <c r="M13553" i="1"/>
  <c r="L13553" i="1"/>
  <c r="K13553" i="1"/>
  <c r="J13553" i="1"/>
  <c r="I13553" i="1"/>
  <c r="H13553" i="1"/>
  <c r="G13553" i="1"/>
  <c r="M13552" i="1"/>
  <c r="L13552" i="1"/>
  <c r="K13552" i="1"/>
  <c r="J13552" i="1"/>
  <c r="I13552" i="1"/>
  <c r="H13552" i="1"/>
  <c r="G13552" i="1"/>
  <c r="M13551" i="1"/>
  <c r="L13551" i="1"/>
  <c r="K13551" i="1"/>
  <c r="J13551" i="1"/>
  <c r="I13551" i="1"/>
  <c r="H13551" i="1"/>
  <c r="G13551" i="1"/>
  <c r="M13550" i="1"/>
  <c r="L13550" i="1"/>
  <c r="K13550" i="1"/>
  <c r="J13550" i="1"/>
  <c r="I13550" i="1"/>
  <c r="H13550" i="1"/>
  <c r="G13550" i="1"/>
  <c r="M13549" i="1"/>
  <c r="L13549" i="1"/>
  <c r="K13549" i="1"/>
  <c r="J13549" i="1"/>
  <c r="I13549" i="1"/>
  <c r="H13549" i="1"/>
  <c r="G13549" i="1"/>
  <c r="M13548" i="1"/>
  <c r="L13548" i="1"/>
  <c r="K13548" i="1"/>
  <c r="J13548" i="1"/>
  <c r="I13548" i="1"/>
  <c r="H13548" i="1"/>
  <c r="G13548" i="1"/>
  <c r="M13547" i="1"/>
  <c r="L13547" i="1"/>
  <c r="K13547" i="1"/>
  <c r="J13547" i="1"/>
  <c r="I13547" i="1"/>
  <c r="H13547" i="1"/>
  <c r="G13547" i="1"/>
  <c r="M13546" i="1"/>
  <c r="L13546" i="1"/>
  <c r="K13546" i="1"/>
  <c r="J13546" i="1"/>
  <c r="I13546" i="1"/>
  <c r="H13546" i="1"/>
  <c r="G13546" i="1"/>
  <c r="M13545" i="1"/>
  <c r="L13545" i="1"/>
  <c r="K13545" i="1"/>
  <c r="J13545" i="1"/>
  <c r="I13545" i="1"/>
  <c r="H13545" i="1"/>
  <c r="G13545" i="1"/>
  <c r="M13544" i="1"/>
  <c r="L13544" i="1"/>
  <c r="K13544" i="1"/>
  <c r="J13544" i="1"/>
  <c r="I13544" i="1"/>
  <c r="H13544" i="1"/>
  <c r="G13544" i="1"/>
  <c r="M13543" i="1"/>
  <c r="L13543" i="1"/>
  <c r="K13543" i="1"/>
  <c r="J13543" i="1"/>
  <c r="I13543" i="1"/>
  <c r="H13543" i="1"/>
  <c r="G13543" i="1"/>
  <c r="M13542" i="1"/>
  <c r="L13542" i="1"/>
  <c r="K13542" i="1"/>
  <c r="J13542" i="1"/>
  <c r="I13542" i="1"/>
  <c r="H13542" i="1"/>
  <c r="G13542" i="1"/>
  <c r="M13541" i="1"/>
  <c r="L13541" i="1"/>
  <c r="K13541" i="1"/>
  <c r="J13541" i="1"/>
  <c r="I13541" i="1"/>
  <c r="H13541" i="1"/>
  <c r="G13541" i="1"/>
  <c r="M13540" i="1"/>
  <c r="L13540" i="1"/>
  <c r="K13540" i="1"/>
  <c r="J13540" i="1"/>
  <c r="I13540" i="1"/>
  <c r="H13540" i="1"/>
  <c r="G13540" i="1"/>
  <c r="M13539" i="1"/>
  <c r="L13539" i="1"/>
  <c r="K13539" i="1"/>
  <c r="J13539" i="1"/>
  <c r="I13539" i="1"/>
  <c r="H13539" i="1"/>
  <c r="G13539" i="1"/>
  <c r="M13538" i="1"/>
  <c r="L13538" i="1"/>
  <c r="K13538" i="1"/>
  <c r="J13538" i="1"/>
  <c r="I13538" i="1"/>
  <c r="H13538" i="1"/>
  <c r="G13538" i="1"/>
  <c r="M13537" i="1"/>
  <c r="L13537" i="1"/>
  <c r="K13537" i="1"/>
  <c r="J13537" i="1"/>
  <c r="I13537" i="1"/>
  <c r="H13537" i="1"/>
  <c r="G13537" i="1"/>
  <c r="M13536" i="1"/>
  <c r="L13536" i="1"/>
  <c r="K13536" i="1"/>
  <c r="J13536" i="1"/>
  <c r="I13536" i="1"/>
  <c r="H13536" i="1"/>
  <c r="G13536" i="1"/>
  <c r="M13535" i="1"/>
  <c r="L13535" i="1"/>
  <c r="K13535" i="1"/>
  <c r="J13535" i="1"/>
  <c r="I13535" i="1"/>
  <c r="H13535" i="1"/>
  <c r="G13535" i="1"/>
  <c r="M13534" i="1"/>
  <c r="L13534" i="1"/>
  <c r="K13534" i="1"/>
  <c r="J13534" i="1"/>
  <c r="I13534" i="1"/>
  <c r="H13534" i="1"/>
  <c r="G13534" i="1"/>
  <c r="M13533" i="1"/>
  <c r="L13533" i="1"/>
  <c r="K13533" i="1"/>
  <c r="J13533" i="1"/>
  <c r="I13533" i="1"/>
  <c r="H13533" i="1"/>
  <c r="G13533" i="1"/>
  <c r="M13532" i="1"/>
  <c r="L13532" i="1"/>
  <c r="K13532" i="1"/>
  <c r="J13532" i="1"/>
  <c r="I13532" i="1"/>
  <c r="H13532" i="1"/>
  <c r="G13532" i="1"/>
  <c r="M13531" i="1"/>
  <c r="L13531" i="1"/>
  <c r="K13531" i="1"/>
  <c r="J13531" i="1"/>
  <c r="I13531" i="1"/>
  <c r="H13531" i="1"/>
  <c r="G13531" i="1"/>
  <c r="M13530" i="1"/>
  <c r="L13530" i="1"/>
  <c r="K13530" i="1"/>
  <c r="J13530" i="1"/>
  <c r="I13530" i="1"/>
  <c r="H13530" i="1"/>
  <c r="G13530" i="1"/>
  <c r="M13529" i="1"/>
  <c r="L13529" i="1"/>
  <c r="K13529" i="1"/>
  <c r="J13529" i="1"/>
  <c r="I13529" i="1"/>
  <c r="H13529" i="1"/>
  <c r="G13529" i="1"/>
  <c r="M13528" i="1"/>
  <c r="L13528" i="1"/>
  <c r="K13528" i="1"/>
  <c r="J13528" i="1"/>
  <c r="I13528" i="1"/>
  <c r="H13528" i="1"/>
  <c r="G13528" i="1"/>
  <c r="M13527" i="1"/>
  <c r="L13527" i="1"/>
  <c r="K13527" i="1"/>
  <c r="J13527" i="1"/>
  <c r="I13527" i="1"/>
  <c r="H13527" i="1"/>
  <c r="G13527" i="1"/>
  <c r="M13526" i="1"/>
  <c r="L13526" i="1"/>
  <c r="K13526" i="1"/>
  <c r="J13526" i="1"/>
  <c r="I13526" i="1"/>
  <c r="H13526" i="1"/>
  <c r="G13526" i="1"/>
  <c r="M13525" i="1"/>
  <c r="L13525" i="1"/>
  <c r="K13525" i="1"/>
  <c r="J13525" i="1"/>
  <c r="I13525" i="1"/>
  <c r="H13525" i="1"/>
  <c r="G13525" i="1"/>
  <c r="M13524" i="1"/>
  <c r="L13524" i="1"/>
  <c r="K13524" i="1"/>
  <c r="J13524" i="1"/>
  <c r="I13524" i="1"/>
  <c r="H13524" i="1"/>
  <c r="G13524" i="1"/>
  <c r="M13523" i="1"/>
  <c r="L13523" i="1"/>
  <c r="K13523" i="1"/>
  <c r="J13523" i="1"/>
  <c r="I13523" i="1"/>
  <c r="H13523" i="1"/>
  <c r="G13523" i="1"/>
  <c r="M13522" i="1"/>
  <c r="L13522" i="1"/>
  <c r="K13522" i="1"/>
  <c r="J13522" i="1"/>
  <c r="I13522" i="1"/>
  <c r="H13522" i="1"/>
  <c r="G13522" i="1"/>
  <c r="M13521" i="1"/>
  <c r="L13521" i="1"/>
  <c r="K13521" i="1"/>
  <c r="J13521" i="1"/>
  <c r="I13521" i="1"/>
  <c r="H13521" i="1"/>
  <c r="G13521" i="1"/>
  <c r="M13520" i="1"/>
  <c r="L13520" i="1"/>
  <c r="K13520" i="1"/>
  <c r="J13520" i="1"/>
  <c r="I13520" i="1"/>
  <c r="H13520" i="1"/>
  <c r="G13520" i="1"/>
  <c r="M13519" i="1"/>
  <c r="L13519" i="1"/>
  <c r="K13519" i="1"/>
  <c r="J13519" i="1"/>
  <c r="I13519" i="1"/>
  <c r="H13519" i="1"/>
  <c r="G13519" i="1"/>
  <c r="M13518" i="1"/>
  <c r="L13518" i="1"/>
  <c r="K13518" i="1"/>
  <c r="J13518" i="1"/>
  <c r="I13518" i="1"/>
  <c r="H13518" i="1"/>
  <c r="G13518" i="1"/>
  <c r="M13517" i="1"/>
  <c r="L13517" i="1"/>
  <c r="K13517" i="1"/>
  <c r="J13517" i="1"/>
  <c r="I13517" i="1"/>
  <c r="H13517" i="1"/>
  <c r="G13517" i="1"/>
  <c r="M13516" i="1"/>
  <c r="L13516" i="1"/>
  <c r="K13516" i="1"/>
  <c r="J13516" i="1"/>
  <c r="I13516" i="1"/>
  <c r="H13516" i="1"/>
  <c r="G13516" i="1"/>
  <c r="M13515" i="1"/>
  <c r="L13515" i="1"/>
  <c r="K13515" i="1"/>
  <c r="J13515" i="1"/>
  <c r="I13515" i="1"/>
  <c r="H13515" i="1"/>
  <c r="G13515" i="1"/>
  <c r="M13514" i="1"/>
  <c r="L13514" i="1"/>
  <c r="K13514" i="1"/>
  <c r="J13514" i="1"/>
  <c r="I13514" i="1"/>
  <c r="H13514" i="1"/>
  <c r="G13514" i="1"/>
  <c r="M13513" i="1"/>
  <c r="L13513" i="1"/>
  <c r="K13513" i="1"/>
  <c r="J13513" i="1"/>
  <c r="I13513" i="1"/>
  <c r="H13513" i="1"/>
  <c r="G13513" i="1"/>
  <c r="M13512" i="1"/>
  <c r="L13512" i="1"/>
  <c r="K13512" i="1"/>
  <c r="J13512" i="1"/>
  <c r="I13512" i="1"/>
  <c r="H13512" i="1"/>
  <c r="G13512" i="1"/>
  <c r="M13511" i="1"/>
  <c r="L13511" i="1"/>
  <c r="K13511" i="1"/>
  <c r="J13511" i="1"/>
  <c r="I13511" i="1"/>
  <c r="H13511" i="1"/>
  <c r="G13511" i="1"/>
  <c r="M13510" i="1"/>
  <c r="L13510" i="1"/>
  <c r="K13510" i="1"/>
  <c r="J13510" i="1"/>
  <c r="I13510" i="1"/>
  <c r="H13510" i="1"/>
  <c r="G13510" i="1"/>
  <c r="M13509" i="1"/>
  <c r="L13509" i="1"/>
  <c r="K13509" i="1"/>
  <c r="J13509" i="1"/>
  <c r="I13509" i="1"/>
  <c r="H13509" i="1"/>
  <c r="G13509" i="1"/>
  <c r="M13508" i="1"/>
  <c r="L13508" i="1"/>
  <c r="K13508" i="1"/>
  <c r="J13508" i="1"/>
  <c r="I13508" i="1"/>
  <c r="H13508" i="1"/>
  <c r="G13508" i="1"/>
  <c r="M13507" i="1"/>
  <c r="L13507" i="1"/>
  <c r="K13507" i="1"/>
  <c r="J13507" i="1"/>
  <c r="I13507" i="1"/>
  <c r="H13507" i="1"/>
  <c r="G13507" i="1"/>
  <c r="M13506" i="1"/>
  <c r="L13506" i="1"/>
  <c r="K13506" i="1"/>
  <c r="J13506" i="1"/>
  <c r="I13506" i="1"/>
  <c r="H13506" i="1"/>
  <c r="G13506" i="1"/>
  <c r="M13505" i="1"/>
  <c r="L13505" i="1"/>
  <c r="K13505" i="1"/>
  <c r="J13505" i="1"/>
  <c r="I13505" i="1"/>
  <c r="H13505" i="1"/>
  <c r="G13505" i="1"/>
  <c r="M13504" i="1"/>
  <c r="L13504" i="1"/>
  <c r="K13504" i="1"/>
  <c r="J13504" i="1"/>
  <c r="I13504" i="1"/>
  <c r="H13504" i="1"/>
  <c r="G13504" i="1"/>
  <c r="M13503" i="1"/>
  <c r="L13503" i="1"/>
  <c r="K13503" i="1"/>
  <c r="J13503" i="1"/>
  <c r="I13503" i="1"/>
  <c r="H13503" i="1"/>
  <c r="G13503" i="1"/>
  <c r="M13502" i="1"/>
  <c r="L13502" i="1"/>
  <c r="K13502" i="1"/>
  <c r="J13502" i="1"/>
  <c r="I13502" i="1"/>
  <c r="H13502" i="1"/>
  <c r="G13502" i="1"/>
  <c r="M13501" i="1"/>
  <c r="L13501" i="1"/>
  <c r="K13501" i="1"/>
  <c r="J13501" i="1"/>
  <c r="I13501" i="1"/>
  <c r="H13501" i="1"/>
  <c r="G13501" i="1"/>
  <c r="M13500" i="1"/>
  <c r="L13500" i="1"/>
  <c r="K13500" i="1"/>
  <c r="J13500" i="1"/>
  <c r="I13500" i="1"/>
  <c r="H13500" i="1"/>
  <c r="G13500" i="1"/>
  <c r="M13499" i="1"/>
  <c r="L13499" i="1"/>
  <c r="K13499" i="1"/>
  <c r="J13499" i="1"/>
  <c r="I13499" i="1"/>
  <c r="H13499" i="1"/>
  <c r="G13499" i="1"/>
  <c r="M13498" i="1"/>
  <c r="L13498" i="1"/>
  <c r="K13498" i="1"/>
  <c r="J13498" i="1"/>
  <c r="I13498" i="1"/>
  <c r="H13498" i="1"/>
  <c r="G13498" i="1"/>
  <c r="M13497" i="1"/>
  <c r="L13497" i="1"/>
  <c r="K13497" i="1"/>
  <c r="J13497" i="1"/>
  <c r="I13497" i="1"/>
  <c r="H13497" i="1"/>
  <c r="G13497" i="1"/>
  <c r="M13496" i="1"/>
  <c r="L13496" i="1"/>
  <c r="K13496" i="1"/>
  <c r="J13496" i="1"/>
  <c r="I13496" i="1"/>
  <c r="H13496" i="1"/>
  <c r="G13496" i="1"/>
  <c r="M13495" i="1"/>
  <c r="L13495" i="1"/>
  <c r="K13495" i="1"/>
  <c r="J13495" i="1"/>
  <c r="I13495" i="1"/>
  <c r="H13495" i="1"/>
  <c r="G13495" i="1"/>
  <c r="M13494" i="1"/>
  <c r="L13494" i="1"/>
  <c r="K13494" i="1"/>
  <c r="J13494" i="1"/>
  <c r="I13494" i="1"/>
  <c r="H13494" i="1"/>
  <c r="G13494" i="1"/>
  <c r="M13493" i="1"/>
  <c r="L13493" i="1"/>
  <c r="K13493" i="1"/>
  <c r="J13493" i="1"/>
  <c r="I13493" i="1"/>
  <c r="H13493" i="1"/>
  <c r="G13493" i="1"/>
  <c r="M13492" i="1"/>
  <c r="L13492" i="1"/>
  <c r="K13492" i="1"/>
  <c r="J13492" i="1"/>
  <c r="I13492" i="1"/>
  <c r="H13492" i="1"/>
  <c r="G13492" i="1"/>
  <c r="M13491" i="1"/>
  <c r="L13491" i="1"/>
  <c r="K13491" i="1"/>
  <c r="J13491" i="1"/>
  <c r="I13491" i="1"/>
  <c r="H13491" i="1"/>
  <c r="G13491" i="1"/>
  <c r="M13490" i="1"/>
  <c r="L13490" i="1"/>
  <c r="K13490" i="1"/>
  <c r="J13490" i="1"/>
  <c r="I13490" i="1"/>
  <c r="H13490" i="1"/>
  <c r="G13490" i="1"/>
  <c r="M13489" i="1"/>
  <c r="L13489" i="1"/>
  <c r="K13489" i="1"/>
  <c r="J13489" i="1"/>
  <c r="I13489" i="1"/>
  <c r="H13489" i="1"/>
  <c r="G13489" i="1"/>
  <c r="M13488" i="1"/>
  <c r="L13488" i="1"/>
  <c r="K13488" i="1"/>
  <c r="J13488" i="1"/>
  <c r="I13488" i="1"/>
  <c r="H13488" i="1"/>
  <c r="G13488" i="1"/>
  <c r="M13487" i="1"/>
  <c r="L13487" i="1"/>
  <c r="K13487" i="1"/>
  <c r="J13487" i="1"/>
  <c r="I13487" i="1"/>
  <c r="H13487" i="1"/>
  <c r="G13487" i="1"/>
  <c r="M13486" i="1"/>
  <c r="L13486" i="1"/>
  <c r="K13486" i="1"/>
  <c r="J13486" i="1"/>
  <c r="I13486" i="1"/>
  <c r="H13486" i="1"/>
  <c r="G13486" i="1"/>
  <c r="M13485" i="1"/>
  <c r="L13485" i="1"/>
  <c r="K13485" i="1"/>
  <c r="J13485" i="1"/>
  <c r="I13485" i="1"/>
  <c r="H13485" i="1"/>
  <c r="G13485" i="1"/>
  <c r="M13484" i="1"/>
  <c r="L13484" i="1"/>
  <c r="K13484" i="1"/>
  <c r="J13484" i="1"/>
  <c r="I13484" i="1"/>
  <c r="H13484" i="1"/>
  <c r="G13484" i="1"/>
  <c r="M13483" i="1"/>
  <c r="L13483" i="1"/>
  <c r="K13483" i="1"/>
  <c r="J13483" i="1"/>
  <c r="I13483" i="1"/>
  <c r="H13483" i="1"/>
  <c r="G13483" i="1"/>
  <c r="M13482" i="1"/>
  <c r="L13482" i="1"/>
  <c r="K13482" i="1"/>
  <c r="J13482" i="1"/>
  <c r="I13482" i="1"/>
  <c r="H13482" i="1"/>
  <c r="G13482" i="1"/>
  <c r="M13481" i="1"/>
  <c r="L13481" i="1"/>
  <c r="K13481" i="1"/>
  <c r="J13481" i="1"/>
  <c r="I13481" i="1"/>
  <c r="H13481" i="1"/>
  <c r="G13481" i="1"/>
  <c r="M13480" i="1"/>
  <c r="L13480" i="1"/>
  <c r="K13480" i="1"/>
  <c r="J13480" i="1"/>
  <c r="I13480" i="1"/>
  <c r="H13480" i="1"/>
  <c r="G13480" i="1"/>
  <c r="M13479" i="1"/>
  <c r="L13479" i="1"/>
  <c r="K13479" i="1"/>
  <c r="J13479" i="1"/>
  <c r="I13479" i="1"/>
  <c r="H13479" i="1"/>
  <c r="G13479" i="1"/>
  <c r="M13478" i="1"/>
  <c r="L13478" i="1"/>
  <c r="K13478" i="1"/>
  <c r="J13478" i="1"/>
  <c r="I13478" i="1"/>
  <c r="H13478" i="1"/>
  <c r="G13478" i="1"/>
  <c r="M13477" i="1"/>
  <c r="L13477" i="1"/>
  <c r="K13477" i="1"/>
  <c r="J13477" i="1"/>
  <c r="I13477" i="1"/>
  <c r="H13477" i="1"/>
  <c r="G13477" i="1"/>
  <c r="M13476" i="1"/>
  <c r="L13476" i="1"/>
  <c r="K13476" i="1"/>
  <c r="J13476" i="1"/>
  <c r="I13476" i="1"/>
  <c r="H13476" i="1"/>
  <c r="G13476" i="1"/>
  <c r="M13475" i="1"/>
  <c r="L13475" i="1"/>
  <c r="K13475" i="1"/>
  <c r="J13475" i="1"/>
  <c r="I13475" i="1"/>
  <c r="H13475" i="1"/>
  <c r="G13475" i="1"/>
  <c r="M13474" i="1"/>
  <c r="L13474" i="1"/>
  <c r="K13474" i="1"/>
  <c r="J13474" i="1"/>
  <c r="I13474" i="1"/>
  <c r="H13474" i="1"/>
  <c r="G13474" i="1"/>
  <c r="M13473" i="1"/>
  <c r="L13473" i="1"/>
  <c r="K13473" i="1"/>
  <c r="J13473" i="1"/>
  <c r="I13473" i="1"/>
  <c r="H13473" i="1"/>
  <c r="G13473" i="1"/>
  <c r="M13472" i="1"/>
  <c r="L13472" i="1"/>
  <c r="K13472" i="1"/>
  <c r="J13472" i="1"/>
  <c r="I13472" i="1"/>
  <c r="H13472" i="1"/>
  <c r="G13472" i="1"/>
  <c r="M13471" i="1"/>
  <c r="L13471" i="1"/>
  <c r="K13471" i="1"/>
  <c r="J13471" i="1"/>
  <c r="I13471" i="1"/>
  <c r="H13471" i="1"/>
  <c r="G13471" i="1"/>
  <c r="M13470" i="1"/>
  <c r="L13470" i="1"/>
  <c r="K13470" i="1"/>
  <c r="J13470" i="1"/>
  <c r="I13470" i="1"/>
  <c r="H13470" i="1"/>
  <c r="G13470" i="1"/>
  <c r="M13469" i="1"/>
  <c r="L13469" i="1"/>
  <c r="K13469" i="1"/>
  <c r="J13469" i="1"/>
  <c r="I13469" i="1"/>
  <c r="H13469" i="1"/>
  <c r="G13469" i="1"/>
  <c r="M13468" i="1"/>
  <c r="L13468" i="1"/>
  <c r="K13468" i="1"/>
  <c r="J13468" i="1"/>
  <c r="I13468" i="1"/>
  <c r="H13468" i="1"/>
  <c r="G13468" i="1"/>
  <c r="M13467" i="1"/>
  <c r="L13467" i="1"/>
  <c r="K13467" i="1"/>
  <c r="J13467" i="1"/>
  <c r="I13467" i="1"/>
  <c r="H13467" i="1"/>
  <c r="G13467" i="1"/>
  <c r="M13466" i="1"/>
  <c r="L13466" i="1"/>
  <c r="K13466" i="1"/>
  <c r="J13466" i="1"/>
  <c r="I13466" i="1"/>
  <c r="H13466" i="1"/>
  <c r="G13466" i="1"/>
  <c r="M13465" i="1"/>
  <c r="L13465" i="1"/>
  <c r="K13465" i="1"/>
  <c r="J13465" i="1"/>
  <c r="I13465" i="1"/>
  <c r="H13465" i="1"/>
  <c r="G13465" i="1"/>
  <c r="M13464" i="1"/>
  <c r="L13464" i="1"/>
  <c r="K13464" i="1"/>
  <c r="J13464" i="1"/>
  <c r="I13464" i="1"/>
  <c r="H13464" i="1"/>
  <c r="G13464" i="1"/>
  <c r="M13463" i="1"/>
  <c r="L13463" i="1"/>
  <c r="K13463" i="1"/>
  <c r="J13463" i="1"/>
  <c r="I13463" i="1"/>
  <c r="H13463" i="1"/>
  <c r="G13463" i="1"/>
  <c r="M13462" i="1"/>
  <c r="L13462" i="1"/>
  <c r="K13462" i="1"/>
  <c r="J13462" i="1"/>
  <c r="I13462" i="1"/>
  <c r="H13462" i="1"/>
  <c r="G13462" i="1"/>
  <c r="M13461" i="1"/>
  <c r="L13461" i="1"/>
  <c r="K13461" i="1"/>
  <c r="J13461" i="1"/>
  <c r="I13461" i="1"/>
  <c r="H13461" i="1"/>
  <c r="G13461" i="1"/>
  <c r="M13460" i="1"/>
  <c r="L13460" i="1"/>
  <c r="K13460" i="1"/>
  <c r="J13460" i="1"/>
  <c r="I13460" i="1"/>
  <c r="H13460" i="1"/>
  <c r="G13460" i="1"/>
  <c r="M13459" i="1"/>
  <c r="L13459" i="1"/>
  <c r="K13459" i="1"/>
  <c r="J13459" i="1"/>
  <c r="I13459" i="1"/>
  <c r="H13459" i="1"/>
  <c r="G13459" i="1"/>
  <c r="M13458" i="1"/>
  <c r="L13458" i="1"/>
  <c r="K13458" i="1"/>
  <c r="J13458" i="1"/>
  <c r="I13458" i="1"/>
  <c r="H13458" i="1"/>
  <c r="G13458" i="1"/>
  <c r="M13457" i="1"/>
  <c r="L13457" i="1"/>
  <c r="K13457" i="1"/>
  <c r="J13457" i="1"/>
  <c r="I13457" i="1"/>
  <c r="H13457" i="1"/>
  <c r="G13457" i="1"/>
  <c r="M13456" i="1"/>
  <c r="L13456" i="1"/>
  <c r="K13456" i="1"/>
  <c r="J13456" i="1"/>
  <c r="I13456" i="1"/>
  <c r="H13456" i="1"/>
  <c r="G13456" i="1"/>
  <c r="M13455" i="1"/>
  <c r="L13455" i="1"/>
  <c r="K13455" i="1"/>
  <c r="J13455" i="1"/>
  <c r="I13455" i="1"/>
  <c r="H13455" i="1"/>
  <c r="G13455" i="1"/>
  <c r="M13454" i="1"/>
  <c r="L13454" i="1"/>
  <c r="K13454" i="1"/>
  <c r="J13454" i="1"/>
  <c r="I13454" i="1"/>
  <c r="H13454" i="1"/>
  <c r="G13454" i="1"/>
  <c r="M13453" i="1"/>
  <c r="L13453" i="1"/>
  <c r="K13453" i="1"/>
  <c r="J13453" i="1"/>
  <c r="I13453" i="1"/>
  <c r="H13453" i="1"/>
  <c r="G13453" i="1"/>
  <c r="M13452" i="1"/>
  <c r="L13452" i="1"/>
  <c r="K13452" i="1"/>
  <c r="J13452" i="1"/>
  <c r="I13452" i="1"/>
  <c r="H13452" i="1"/>
  <c r="G13452" i="1"/>
  <c r="M13451" i="1"/>
  <c r="L13451" i="1"/>
  <c r="K13451" i="1"/>
  <c r="J13451" i="1"/>
  <c r="I13451" i="1"/>
  <c r="H13451" i="1"/>
  <c r="G13451" i="1"/>
  <c r="M13450" i="1"/>
  <c r="L13450" i="1"/>
  <c r="K13450" i="1"/>
  <c r="J13450" i="1"/>
  <c r="I13450" i="1"/>
  <c r="H13450" i="1"/>
  <c r="G13450" i="1"/>
  <c r="M13449" i="1"/>
  <c r="L13449" i="1"/>
  <c r="K13449" i="1"/>
  <c r="J13449" i="1"/>
  <c r="I13449" i="1"/>
  <c r="H13449" i="1"/>
  <c r="G13449" i="1"/>
  <c r="M13448" i="1"/>
  <c r="L13448" i="1"/>
  <c r="K13448" i="1"/>
  <c r="J13448" i="1"/>
  <c r="I13448" i="1"/>
  <c r="H13448" i="1"/>
  <c r="G13448" i="1"/>
  <c r="M13447" i="1"/>
  <c r="L13447" i="1"/>
  <c r="K13447" i="1"/>
  <c r="J13447" i="1"/>
  <c r="I13447" i="1"/>
  <c r="H13447" i="1"/>
  <c r="G13447" i="1"/>
  <c r="M13446" i="1"/>
  <c r="L13446" i="1"/>
  <c r="K13446" i="1"/>
  <c r="J13446" i="1"/>
  <c r="I13446" i="1"/>
  <c r="H13446" i="1"/>
  <c r="G13446" i="1"/>
  <c r="M13445" i="1"/>
  <c r="L13445" i="1"/>
  <c r="K13445" i="1"/>
  <c r="J13445" i="1"/>
  <c r="I13445" i="1"/>
  <c r="H13445" i="1"/>
  <c r="G13445" i="1"/>
  <c r="M13444" i="1"/>
  <c r="L13444" i="1"/>
  <c r="K13444" i="1"/>
  <c r="J13444" i="1"/>
  <c r="I13444" i="1"/>
  <c r="H13444" i="1"/>
  <c r="G13444" i="1"/>
  <c r="M13443" i="1"/>
  <c r="L13443" i="1"/>
  <c r="K13443" i="1"/>
  <c r="J13443" i="1"/>
  <c r="I13443" i="1"/>
  <c r="H13443" i="1"/>
  <c r="G13443" i="1"/>
  <c r="M13442" i="1"/>
  <c r="L13442" i="1"/>
  <c r="K13442" i="1"/>
  <c r="J13442" i="1"/>
  <c r="I13442" i="1"/>
  <c r="H13442" i="1"/>
  <c r="G13442" i="1"/>
  <c r="M13441" i="1"/>
  <c r="L13441" i="1"/>
  <c r="K13441" i="1"/>
  <c r="J13441" i="1"/>
  <c r="I13441" i="1"/>
  <c r="H13441" i="1"/>
  <c r="G13441" i="1"/>
  <c r="M13440" i="1"/>
  <c r="L13440" i="1"/>
  <c r="K13440" i="1"/>
  <c r="J13440" i="1"/>
  <c r="I13440" i="1"/>
  <c r="H13440" i="1"/>
  <c r="G13440" i="1"/>
  <c r="M13439" i="1"/>
  <c r="L13439" i="1"/>
  <c r="K13439" i="1"/>
  <c r="J13439" i="1"/>
  <c r="I13439" i="1"/>
  <c r="H13439" i="1"/>
  <c r="G13439" i="1"/>
  <c r="M13438" i="1"/>
  <c r="L13438" i="1"/>
  <c r="K13438" i="1"/>
  <c r="J13438" i="1"/>
  <c r="I13438" i="1"/>
  <c r="H13438" i="1"/>
  <c r="G13438" i="1"/>
  <c r="M13437" i="1"/>
  <c r="L13437" i="1"/>
  <c r="K13437" i="1"/>
  <c r="J13437" i="1"/>
  <c r="I13437" i="1"/>
  <c r="H13437" i="1"/>
  <c r="G13437" i="1"/>
  <c r="M13436" i="1"/>
  <c r="L13436" i="1"/>
  <c r="K13436" i="1"/>
  <c r="J13436" i="1"/>
  <c r="I13436" i="1"/>
  <c r="H13436" i="1"/>
  <c r="G13436" i="1"/>
  <c r="M13435" i="1"/>
  <c r="L13435" i="1"/>
  <c r="K13435" i="1"/>
  <c r="J13435" i="1"/>
  <c r="I13435" i="1"/>
  <c r="H13435" i="1"/>
  <c r="G13435" i="1"/>
  <c r="M13434" i="1"/>
  <c r="L13434" i="1"/>
  <c r="K13434" i="1"/>
  <c r="J13434" i="1"/>
  <c r="I13434" i="1"/>
  <c r="H13434" i="1"/>
  <c r="G13434" i="1"/>
  <c r="M13433" i="1"/>
  <c r="L13433" i="1"/>
  <c r="K13433" i="1"/>
  <c r="J13433" i="1"/>
  <c r="I13433" i="1"/>
  <c r="H13433" i="1"/>
  <c r="G13433" i="1"/>
  <c r="M13432" i="1"/>
  <c r="L13432" i="1"/>
  <c r="K13432" i="1"/>
  <c r="J13432" i="1"/>
  <c r="I13432" i="1"/>
  <c r="H13432" i="1"/>
  <c r="G13432" i="1"/>
  <c r="M13431" i="1"/>
  <c r="L13431" i="1"/>
  <c r="K13431" i="1"/>
  <c r="J13431" i="1"/>
  <c r="I13431" i="1"/>
  <c r="H13431" i="1"/>
  <c r="G13431" i="1"/>
  <c r="M13430" i="1"/>
  <c r="L13430" i="1"/>
  <c r="K13430" i="1"/>
  <c r="J13430" i="1"/>
  <c r="I13430" i="1"/>
  <c r="H13430" i="1"/>
  <c r="G13430" i="1"/>
  <c r="M13429" i="1"/>
  <c r="L13429" i="1"/>
  <c r="K13429" i="1"/>
  <c r="J13429" i="1"/>
  <c r="I13429" i="1"/>
  <c r="H13429" i="1"/>
  <c r="G13429" i="1"/>
  <c r="M13428" i="1"/>
  <c r="L13428" i="1"/>
  <c r="K13428" i="1"/>
  <c r="J13428" i="1"/>
  <c r="I13428" i="1"/>
  <c r="H13428" i="1"/>
  <c r="G13428" i="1"/>
  <c r="M13427" i="1"/>
  <c r="L13427" i="1"/>
  <c r="K13427" i="1"/>
  <c r="J13427" i="1"/>
  <c r="I13427" i="1"/>
  <c r="H13427" i="1"/>
  <c r="G13427" i="1"/>
  <c r="M13426" i="1"/>
  <c r="L13426" i="1"/>
  <c r="K13426" i="1"/>
  <c r="J13426" i="1"/>
  <c r="I13426" i="1"/>
  <c r="H13426" i="1"/>
  <c r="G13426" i="1"/>
  <c r="M13425" i="1"/>
  <c r="L13425" i="1"/>
  <c r="K13425" i="1"/>
  <c r="J13425" i="1"/>
  <c r="I13425" i="1"/>
  <c r="H13425" i="1"/>
  <c r="G13425" i="1"/>
  <c r="M13424" i="1"/>
  <c r="L13424" i="1"/>
  <c r="K13424" i="1"/>
  <c r="J13424" i="1"/>
  <c r="I13424" i="1"/>
  <c r="H13424" i="1"/>
  <c r="G13424" i="1"/>
  <c r="M13423" i="1"/>
  <c r="L13423" i="1"/>
  <c r="K13423" i="1"/>
  <c r="J13423" i="1"/>
  <c r="I13423" i="1"/>
  <c r="H13423" i="1"/>
  <c r="G13423" i="1"/>
  <c r="M13422" i="1"/>
  <c r="L13422" i="1"/>
  <c r="K13422" i="1"/>
  <c r="J13422" i="1"/>
  <c r="I13422" i="1"/>
  <c r="H13422" i="1"/>
  <c r="G13422" i="1"/>
  <c r="M13421" i="1"/>
  <c r="L13421" i="1"/>
  <c r="K13421" i="1"/>
  <c r="J13421" i="1"/>
  <c r="I13421" i="1"/>
  <c r="H13421" i="1"/>
  <c r="G13421" i="1"/>
  <c r="M13420" i="1"/>
  <c r="L13420" i="1"/>
  <c r="K13420" i="1"/>
  <c r="J13420" i="1"/>
  <c r="I13420" i="1"/>
  <c r="H13420" i="1"/>
  <c r="G13420" i="1"/>
  <c r="M13419" i="1"/>
  <c r="L13419" i="1"/>
  <c r="K13419" i="1"/>
  <c r="J13419" i="1"/>
  <c r="I13419" i="1"/>
  <c r="H13419" i="1"/>
  <c r="G13419" i="1"/>
  <c r="M13418" i="1"/>
  <c r="L13418" i="1"/>
  <c r="K13418" i="1"/>
  <c r="J13418" i="1"/>
  <c r="I13418" i="1"/>
  <c r="H13418" i="1"/>
  <c r="G13418" i="1"/>
  <c r="M13417" i="1"/>
  <c r="L13417" i="1"/>
  <c r="K13417" i="1"/>
  <c r="J13417" i="1"/>
  <c r="I13417" i="1"/>
  <c r="H13417" i="1"/>
  <c r="G13417" i="1"/>
  <c r="M13416" i="1"/>
  <c r="L13416" i="1"/>
  <c r="K13416" i="1"/>
  <c r="J13416" i="1"/>
  <c r="I13416" i="1"/>
  <c r="H13416" i="1"/>
  <c r="G13416" i="1"/>
  <c r="M13415" i="1"/>
  <c r="L13415" i="1"/>
  <c r="K13415" i="1"/>
  <c r="J13415" i="1"/>
  <c r="I13415" i="1"/>
  <c r="H13415" i="1"/>
  <c r="G13415" i="1"/>
  <c r="M13414" i="1"/>
  <c r="L13414" i="1"/>
  <c r="K13414" i="1"/>
  <c r="J13414" i="1"/>
  <c r="I13414" i="1"/>
  <c r="H13414" i="1"/>
  <c r="G13414" i="1"/>
  <c r="M13413" i="1"/>
  <c r="L13413" i="1"/>
  <c r="K13413" i="1"/>
  <c r="J13413" i="1"/>
  <c r="I13413" i="1"/>
  <c r="H13413" i="1"/>
  <c r="G13413" i="1"/>
  <c r="M13412" i="1"/>
  <c r="L13412" i="1"/>
  <c r="K13412" i="1"/>
  <c r="J13412" i="1"/>
  <c r="I13412" i="1"/>
  <c r="H13412" i="1"/>
  <c r="G13412" i="1"/>
  <c r="M13411" i="1"/>
  <c r="L13411" i="1"/>
  <c r="K13411" i="1"/>
  <c r="J13411" i="1"/>
  <c r="I13411" i="1"/>
  <c r="H13411" i="1"/>
  <c r="G13411" i="1"/>
  <c r="M13410" i="1"/>
  <c r="L13410" i="1"/>
  <c r="K13410" i="1"/>
  <c r="J13410" i="1"/>
  <c r="I13410" i="1"/>
  <c r="H13410" i="1"/>
  <c r="G13410" i="1"/>
  <c r="M13409" i="1"/>
  <c r="L13409" i="1"/>
  <c r="K13409" i="1"/>
  <c r="J13409" i="1"/>
  <c r="I13409" i="1"/>
  <c r="H13409" i="1"/>
  <c r="G13409" i="1"/>
  <c r="M13408" i="1"/>
  <c r="L13408" i="1"/>
  <c r="K13408" i="1"/>
  <c r="J13408" i="1"/>
  <c r="I13408" i="1"/>
  <c r="H13408" i="1"/>
  <c r="G13408" i="1"/>
  <c r="M13407" i="1"/>
  <c r="L13407" i="1"/>
  <c r="K13407" i="1"/>
  <c r="J13407" i="1"/>
  <c r="I13407" i="1"/>
  <c r="H13407" i="1"/>
  <c r="G13407" i="1"/>
  <c r="M13406" i="1"/>
  <c r="L13406" i="1"/>
  <c r="K13406" i="1"/>
  <c r="J13406" i="1"/>
  <c r="I13406" i="1"/>
  <c r="H13406" i="1"/>
  <c r="G13406" i="1"/>
  <c r="M13405" i="1"/>
  <c r="L13405" i="1"/>
  <c r="K13405" i="1"/>
  <c r="J13405" i="1"/>
  <c r="I13405" i="1"/>
  <c r="H13405" i="1"/>
  <c r="G13405" i="1"/>
  <c r="M13404" i="1"/>
  <c r="L13404" i="1"/>
  <c r="K13404" i="1"/>
  <c r="J13404" i="1"/>
  <c r="I13404" i="1"/>
  <c r="H13404" i="1"/>
  <c r="G13404" i="1"/>
  <c r="M13403" i="1"/>
  <c r="L13403" i="1"/>
  <c r="K13403" i="1"/>
  <c r="J13403" i="1"/>
  <c r="I13403" i="1"/>
  <c r="H13403" i="1"/>
  <c r="G13403" i="1"/>
  <c r="M13402" i="1"/>
  <c r="L13402" i="1"/>
  <c r="K13402" i="1"/>
  <c r="J13402" i="1"/>
  <c r="I13402" i="1"/>
  <c r="H13402" i="1"/>
  <c r="G13402" i="1"/>
  <c r="M13401" i="1"/>
  <c r="L13401" i="1"/>
  <c r="K13401" i="1"/>
  <c r="J13401" i="1"/>
  <c r="I13401" i="1"/>
  <c r="H13401" i="1"/>
  <c r="G13401" i="1"/>
  <c r="M13400" i="1"/>
  <c r="L13400" i="1"/>
  <c r="K13400" i="1"/>
  <c r="J13400" i="1"/>
  <c r="I13400" i="1"/>
  <c r="H13400" i="1"/>
  <c r="G13400" i="1"/>
  <c r="M13399" i="1"/>
  <c r="L13399" i="1"/>
  <c r="K13399" i="1"/>
  <c r="J13399" i="1"/>
  <c r="I13399" i="1"/>
  <c r="H13399" i="1"/>
  <c r="G13399" i="1"/>
  <c r="M13398" i="1"/>
  <c r="L13398" i="1"/>
  <c r="K13398" i="1"/>
  <c r="J13398" i="1"/>
  <c r="I13398" i="1"/>
  <c r="H13398" i="1"/>
  <c r="G13398" i="1"/>
  <c r="M13397" i="1"/>
  <c r="L13397" i="1"/>
  <c r="K13397" i="1"/>
  <c r="J13397" i="1"/>
  <c r="I13397" i="1"/>
  <c r="H13397" i="1"/>
  <c r="G13397" i="1"/>
  <c r="M13396" i="1"/>
  <c r="L13396" i="1"/>
  <c r="K13396" i="1"/>
  <c r="J13396" i="1"/>
  <c r="I13396" i="1"/>
  <c r="H13396" i="1"/>
  <c r="G13396" i="1"/>
  <c r="M13395" i="1"/>
  <c r="L13395" i="1"/>
  <c r="K13395" i="1"/>
  <c r="J13395" i="1"/>
  <c r="I13395" i="1"/>
  <c r="H13395" i="1"/>
  <c r="G13395" i="1"/>
  <c r="M13394" i="1"/>
  <c r="L13394" i="1"/>
  <c r="K13394" i="1"/>
  <c r="J13394" i="1"/>
  <c r="I13394" i="1"/>
  <c r="H13394" i="1"/>
  <c r="G13394" i="1"/>
  <c r="M13393" i="1"/>
  <c r="L13393" i="1"/>
  <c r="K13393" i="1"/>
  <c r="J13393" i="1"/>
  <c r="I13393" i="1"/>
  <c r="H13393" i="1"/>
  <c r="G13393" i="1"/>
  <c r="M13392" i="1"/>
  <c r="L13392" i="1"/>
  <c r="K13392" i="1"/>
  <c r="J13392" i="1"/>
  <c r="I13392" i="1"/>
  <c r="H13392" i="1"/>
  <c r="G13392" i="1"/>
  <c r="M13391" i="1"/>
  <c r="L13391" i="1"/>
  <c r="K13391" i="1"/>
  <c r="J13391" i="1"/>
  <c r="I13391" i="1"/>
  <c r="H13391" i="1"/>
  <c r="G13391" i="1"/>
  <c r="M13390" i="1"/>
  <c r="L13390" i="1"/>
  <c r="K13390" i="1"/>
  <c r="J13390" i="1"/>
  <c r="I13390" i="1"/>
  <c r="H13390" i="1"/>
  <c r="G13390" i="1"/>
  <c r="M13389" i="1"/>
  <c r="L13389" i="1"/>
  <c r="K13389" i="1"/>
  <c r="J13389" i="1"/>
  <c r="I13389" i="1"/>
  <c r="H13389" i="1"/>
  <c r="G13389" i="1"/>
  <c r="M13388" i="1"/>
  <c r="L13388" i="1"/>
  <c r="K13388" i="1"/>
  <c r="J13388" i="1"/>
  <c r="I13388" i="1"/>
  <c r="H13388" i="1"/>
  <c r="G13388" i="1"/>
  <c r="M13387" i="1"/>
  <c r="L13387" i="1"/>
  <c r="K13387" i="1"/>
  <c r="J13387" i="1"/>
  <c r="I13387" i="1"/>
  <c r="H13387" i="1"/>
  <c r="G13387" i="1"/>
  <c r="M13386" i="1"/>
  <c r="L13386" i="1"/>
  <c r="K13386" i="1"/>
  <c r="J13386" i="1"/>
  <c r="I13386" i="1"/>
  <c r="H13386" i="1"/>
  <c r="G13386" i="1"/>
  <c r="M13385" i="1"/>
  <c r="L13385" i="1"/>
  <c r="K13385" i="1"/>
  <c r="J13385" i="1"/>
  <c r="I13385" i="1"/>
  <c r="H13385" i="1"/>
  <c r="G13385" i="1"/>
  <c r="M13384" i="1"/>
  <c r="L13384" i="1"/>
  <c r="K13384" i="1"/>
  <c r="J13384" i="1"/>
  <c r="I13384" i="1"/>
  <c r="H13384" i="1"/>
  <c r="G13384" i="1"/>
  <c r="M13383" i="1"/>
  <c r="L13383" i="1"/>
  <c r="K13383" i="1"/>
  <c r="J13383" i="1"/>
  <c r="I13383" i="1"/>
  <c r="H13383" i="1"/>
  <c r="G13383" i="1"/>
  <c r="M13382" i="1"/>
  <c r="L13382" i="1"/>
  <c r="K13382" i="1"/>
  <c r="J13382" i="1"/>
  <c r="I13382" i="1"/>
  <c r="H13382" i="1"/>
  <c r="G13382" i="1"/>
  <c r="M13381" i="1"/>
  <c r="L13381" i="1"/>
  <c r="K13381" i="1"/>
  <c r="J13381" i="1"/>
  <c r="I13381" i="1"/>
  <c r="H13381" i="1"/>
  <c r="G13381" i="1"/>
  <c r="M13380" i="1"/>
  <c r="L13380" i="1"/>
  <c r="K13380" i="1"/>
  <c r="J13380" i="1"/>
  <c r="I13380" i="1"/>
  <c r="H13380" i="1"/>
  <c r="G13380" i="1"/>
  <c r="M13379" i="1"/>
  <c r="L13379" i="1"/>
  <c r="K13379" i="1"/>
  <c r="J13379" i="1"/>
  <c r="I13379" i="1"/>
  <c r="H13379" i="1"/>
  <c r="G13379" i="1"/>
  <c r="M13378" i="1"/>
  <c r="L13378" i="1"/>
  <c r="K13378" i="1"/>
  <c r="J13378" i="1"/>
  <c r="I13378" i="1"/>
  <c r="H13378" i="1"/>
  <c r="G13378" i="1"/>
  <c r="M13377" i="1"/>
  <c r="L13377" i="1"/>
  <c r="K13377" i="1"/>
  <c r="J13377" i="1"/>
  <c r="I13377" i="1"/>
  <c r="H13377" i="1"/>
  <c r="G13377" i="1"/>
  <c r="M13376" i="1"/>
  <c r="L13376" i="1"/>
  <c r="K13376" i="1"/>
  <c r="J13376" i="1"/>
  <c r="I13376" i="1"/>
  <c r="H13376" i="1"/>
  <c r="G13376" i="1"/>
  <c r="M13375" i="1"/>
  <c r="L13375" i="1"/>
  <c r="K13375" i="1"/>
  <c r="J13375" i="1"/>
  <c r="I13375" i="1"/>
  <c r="H13375" i="1"/>
  <c r="G13375" i="1"/>
  <c r="M13374" i="1"/>
  <c r="L13374" i="1"/>
  <c r="K13374" i="1"/>
  <c r="J13374" i="1"/>
  <c r="I13374" i="1"/>
  <c r="H13374" i="1"/>
  <c r="G13374" i="1"/>
  <c r="M13373" i="1"/>
  <c r="L13373" i="1"/>
  <c r="K13373" i="1"/>
  <c r="J13373" i="1"/>
  <c r="I13373" i="1"/>
  <c r="H13373" i="1"/>
  <c r="G13373" i="1"/>
  <c r="M13372" i="1"/>
  <c r="L13372" i="1"/>
  <c r="K13372" i="1"/>
  <c r="J13372" i="1"/>
  <c r="I13372" i="1"/>
  <c r="H13372" i="1"/>
  <c r="G13372" i="1"/>
  <c r="M13371" i="1"/>
  <c r="L13371" i="1"/>
  <c r="K13371" i="1"/>
  <c r="J13371" i="1"/>
  <c r="I13371" i="1"/>
  <c r="H13371" i="1"/>
  <c r="G13371" i="1"/>
  <c r="M13370" i="1"/>
  <c r="L13370" i="1"/>
  <c r="K13370" i="1"/>
  <c r="J13370" i="1"/>
  <c r="I13370" i="1"/>
  <c r="H13370" i="1"/>
  <c r="G13370" i="1"/>
  <c r="M13369" i="1"/>
  <c r="L13369" i="1"/>
  <c r="K13369" i="1"/>
  <c r="J13369" i="1"/>
  <c r="I13369" i="1"/>
  <c r="H13369" i="1"/>
  <c r="G13369" i="1"/>
  <c r="M13368" i="1"/>
  <c r="L13368" i="1"/>
  <c r="K13368" i="1"/>
  <c r="J13368" i="1"/>
  <c r="I13368" i="1"/>
  <c r="H13368" i="1"/>
  <c r="G13368" i="1"/>
  <c r="M13367" i="1"/>
  <c r="L13367" i="1"/>
  <c r="K13367" i="1"/>
  <c r="J13367" i="1"/>
  <c r="I13367" i="1"/>
  <c r="H13367" i="1"/>
  <c r="G13367" i="1"/>
  <c r="M13366" i="1"/>
  <c r="L13366" i="1"/>
  <c r="K13366" i="1"/>
  <c r="J13366" i="1"/>
  <c r="I13366" i="1"/>
  <c r="H13366" i="1"/>
  <c r="G13366" i="1"/>
  <c r="M13365" i="1"/>
  <c r="L13365" i="1"/>
  <c r="K13365" i="1"/>
  <c r="J13365" i="1"/>
  <c r="I13365" i="1"/>
  <c r="H13365" i="1"/>
  <c r="G13365" i="1"/>
  <c r="M13364" i="1"/>
  <c r="L13364" i="1"/>
  <c r="K13364" i="1"/>
  <c r="J13364" i="1"/>
  <c r="I13364" i="1"/>
  <c r="H13364" i="1"/>
  <c r="G13364" i="1"/>
  <c r="M13363" i="1"/>
  <c r="L13363" i="1"/>
  <c r="K13363" i="1"/>
  <c r="J13363" i="1"/>
  <c r="I13363" i="1"/>
  <c r="H13363" i="1"/>
  <c r="G13363" i="1"/>
  <c r="M13362" i="1"/>
  <c r="L13362" i="1"/>
  <c r="K13362" i="1"/>
  <c r="J13362" i="1"/>
  <c r="I13362" i="1"/>
  <c r="H13362" i="1"/>
  <c r="G13362" i="1"/>
  <c r="M13361" i="1"/>
  <c r="L13361" i="1"/>
  <c r="K13361" i="1"/>
  <c r="J13361" i="1"/>
  <c r="I13361" i="1"/>
  <c r="H13361" i="1"/>
  <c r="G13361" i="1"/>
  <c r="M13360" i="1"/>
  <c r="L13360" i="1"/>
  <c r="K13360" i="1"/>
  <c r="J13360" i="1"/>
  <c r="I13360" i="1"/>
  <c r="H13360" i="1"/>
  <c r="G13360" i="1"/>
  <c r="M13359" i="1"/>
  <c r="L13359" i="1"/>
  <c r="K13359" i="1"/>
  <c r="J13359" i="1"/>
  <c r="I13359" i="1"/>
  <c r="H13359" i="1"/>
  <c r="G13359" i="1"/>
  <c r="M13358" i="1"/>
  <c r="L13358" i="1"/>
  <c r="K13358" i="1"/>
  <c r="J13358" i="1"/>
  <c r="I13358" i="1"/>
  <c r="H13358" i="1"/>
  <c r="G13358" i="1"/>
  <c r="M13357" i="1"/>
  <c r="L13357" i="1"/>
  <c r="K13357" i="1"/>
  <c r="J13357" i="1"/>
  <c r="I13357" i="1"/>
  <c r="H13357" i="1"/>
  <c r="G13357" i="1"/>
  <c r="M13356" i="1"/>
  <c r="L13356" i="1"/>
  <c r="K13356" i="1"/>
  <c r="J13356" i="1"/>
  <c r="I13356" i="1"/>
  <c r="H13356" i="1"/>
  <c r="G13356" i="1"/>
  <c r="M13355" i="1"/>
  <c r="L13355" i="1"/>
  <c r="K13355" i="1"/>
  <c r="J13355" i="1"/>
  <c r="I13355" i="1"/>
  <c r="H13355" i="1"/>
  <c r="G13355" i="1"/>
  <c r="M13354" i="1"/>
  <c r="L13354" i="1"/>
  <c r="K13354" i="1"/>
  <c r="J13354" i="1"/>
  <c r="I13354" i="1"/>
  <c r="H13354" i="1"/>
  <c r="G13354" i="1"/>
  <c r="M13353" i="1"/>
  <c r="L13353" i="1"/>
  <c r="K13353" i="1"/>
  <c r="J13353" i="1"/>
  <c r="I13353" i="1"/>
  <c r="H13353" i="1"/>
  <c r="G13353" i="1"/>
  <c r="M13352" i="1"/>
  <c r="L13352" i="1"/>
  <c r="K13352" i="1"/>
  <c r="J13352" i="1"/>
  <c r="I13352" i="1"/>
  <c r="H13352" i="1"/>
  <c r="G13352" i="1"/>
  <c r="M13351" i="1"/>
  <c r="L13351" i="1"/>
  <c r="K13351" i="1"/>
  <c r="J13351" i="1"/>
  <c r="I13351" i="1"/>
  <c r="H13351" i="1"/>
  <c r="G13351" i="1"/>
  <c r="M13350" i="1"/>
  <c r="L13350" i="1"/>
  <c r="K13350" i="1"/>
  <c r="J13350" i="1"/>
  <c r="I13350" i="1"/>
  <c r="H13350" i="1"/>
  <c r="G13350" i="1"/>
  <c r="M13349" i="1"/>
  <c r="L13349" i="1"/>
  <c r="K13349" i="1"/>
  <c r="J13349" i="1"/>
  <c r="I13349" i="1"/>
  <c r="H13349" i="1"/>
  <c r="G13349" i="1"/>
  <c r="M13348" i="1"/>
  <c r="L13348" i="1"/>
  <c r="K13348" i="1"/>
  <c r="J13348" i="1"/>
  <c r="I13348" i="1"/>
  <c r="H13348" i="1"/>
  <c r="G13348" i="1"/>
  <c r="M13347" i="1"/>
  <c r="L13347" i="1"/>
  <c r="K13347" i="1"/>
  <c r="J13347" i="1"/>
  <c r="I13347" i="1"/>
  <c r="H13347" i="1"/>
  <c r="G13347" i="1"/>
  <c r="M13346" i="1"/>
  <c r="L13346" i="1"/>
  <c r="K13346" i="1"/>
  <c r="J13346" i="1"/>
  <c r="I13346" i="1"/>
  <c r="H13346" i="1"/>
  <c r="G13346" i="1"/>
  <c r="M13345" i="1"/>
  <c r="L13345" i="1"/>
  <c r="K13345" i="1"/>
  <c r="J13345" i="1"/>
  <c r="I13345" i="1"/>
  <c r="H13345" i="1"/>
  <c r="G13345" i="1"/>
  <c r="M13344" i="1"/>
  <c r="L13344" i="1"/>
  <c r="K13344" i="1"/>
  <c r="J13344" i="1"/>
  <c r="I13344" i="1"/>
  <c r="H13344" i="1"/>
  <c r="G13344" i="1"/>
  <c r="M13343" i="1"/>
  <c r="L13343" i="1"/>
  <c r="K13343" i="1"/>
  <c r="J13343" i="1"/>
  <c r="I13343" i="1"/>
  <c r="H13343" i="1"/>
  <c r="G13343" i="1"/>
  <c r="M13342" i="1"/>
  <c r="L13342" i="1"/>
  <c r="K13342" i="1"/>
  <c r="J13342" i="1"/>
  <c r="I13342" i="1"/>
  <c r="H13342" i="1"/>
  <c r="G13342" i="1"/>
  <c r="M13341" i="1"/>
  <c r="L13341" i="1"/>
  <c r="K13341" i="1"/>
  <c r="J13341" i="1"/>
  <c r="I13341" i="1"/>
  <c r="H13341" i="1"/>
  <c r="G13341" i="1"/>
  <c r="M13340" i="1"/>
  <c r="L13340" i="1"/>
  <c r="K13340" i="1"/>
  <c r="J13340" i="1"/>
  <c r="I13340" i="1"/>
  <c r="H13340" i="1"/>
  <c r="G13340" i="1"/>
  <c r="M13339" i="1"/>
  <c r="L13339" i="1"/>
  <c r="K13339" i="1"/>
  <c r="J13339" i="1"/>
  <c r="I13339" i="1"/>
  <c r="H13339" i="1"/>
  <c r="G13339" i="1"/>
  <c r="M13338" i="1"/>
  <c r="L13338" i="1"/>
  <c r="K13338" i="1"/>
  <c r="J13338" i="1"/>
  <c r="I13338" i="1"/>
  <c r="H13338" i="1"/>
  <c r="G13338" i="1"/>
  <c r="M13337" i="1"/>
  <c r="L13337" i="1"/>
  <c r="K13337" i="1"/>
  <c r="J13337" i="1"/>
  <c r="I13337" i="1"/>
  <c r="H13337" i="1"/>
  <c r="G13337" i="1"/>
  <c r="M13336" i="1"/>
  <c r="L13336" i="1"/>
  <c r="K13336" i="1"/>
  <c r="J13336" i="1"/>
  <c r="I13336" i="1"/>
  <c r="H13336" i="1"/>
  <c r="G13336" i="1"/>
  <c r="M13335" i="1"/>
  <c r="L13335" i="1"/>
  <c r="K13335" i="1"/>
  <c r="J13335" i="1"/>
  <c r="I13335" i="1"/>
  <c r="H13335" i="1"/>
  <c r="G13335" i="1"/>
  <c r="M13334" i="1"/>
  <c r="L13334" i="1"/>
  <c r="K13334" i="1"/>
  <c r="J13334" i="1"/>
  <c r="I13334" i="1"/>
  <c r="H13334" i="1"/>
  <c r="G13334" i="1"/>
  <c r="M13333" i="1"/>
  <c r="L13333" i="1"/>
  <c r="K13333" i="1"/>
  <c r="J13333" i="1"/>
  <c r="I13333" i="1"/>
  <c r="H13333" i="1"/>
  <c r="G13333" i="1"/>
  <c r="M13332" i="1"/>
  <c r="L13332" i="1"/>
  <c r="K13332" i="1"/>
  <c r="J13332" i="1"/>
  <c r="I13332" i="1"/>
  <c r="H13332" i="1"/>
  <c r="G13332" i="1"/>
  <c r="M13331" i="1"/>
  <c r="L13331" i="1"/>
  <c r="K13331" i="1"/>
  <c r="J13331" i="1"/>
  <c r="I13331" i="1"/>
  <c r="H13331" i="1"/>
  <c r="G13331" i="1"/>
  <c r="M13330" i="1"/>
  <c r="L13330" i="1"/>
  <c r="K13330" i="1"/>
  <c r="J13330" i="1"/>
  <c r="I13330" i="1"/>
  <c r="H13330" i="1"/>
  <c r="G13330" i="1"/>
  <c r="M13329" i="1"/>
  <c r="L13329" i="1"/>
  <c r="K13329" i="1"/>
  <c r="J13329" i="1"/>
  <c r="I13329" i="1"/>
  <c r="H13329" i="1"/>
  <c r="G13329" i="1"/>
  <c r="M13328" i="1"/>
  <c r="L13328" i="1"/>
  <c r="K13328" i="1"/>
  <c r="J13328" i="1"/>
  <c r="I13328" i="1"/>
  <c r="H13328" i="1"/>
  <c r="G13328" i="1"/>
  <c r="M13327" i="1"/>
  <c r="L13327" i="1"/>
  <c r="K13327" i="1"/>
  <c r="J13327" i="1"/>
  <c r="I13327" i="1"/>
  <c r="H13327" i="1"/>
  <c r="G13327" i="1"/>
  <c r="M13326" i="1"/>
  <c r="L13326" i="1"/>
  <c r="K13326" i="1"/>
  <c r="J13326" i="1"/>
  <c r="I13326" i="1"/>
  <c r="H13326" i="1"/>
  <c r="G13326" i="1"/>
  <c r="M13325" i="1"/>
  <c r="L13325" i="1"/>
  <c r="K13325" i="1"/>
  <c r="J13325" i="1"/>
  <c r="I13325" i="1"/>
  <c r="H13325" i="1"/>
  <c r="G13325" i="1"/>
  <c r="M13324" i="1"/>
  <c r="L13324" i="1"/>
  <c r="K13324" i="1"/>
  <c r="J13324" i="1"/>
  <c r="I13324" i="1"/>
  <c r="H13324" i="1"/>
  <c r="G13324" i="1"/>
  <c r="M13323" i="1"/>
  <c r="L13323" i="1"/>
  <c r="K13323" i="1"/>
  <c r="J13323" i="1"/>
  <c r="I13323" i="1"/>
  <c r="H13323" i="1"/>
  <c r="G13323" i="1"/>
  <c r="M13322" i="1"/>
  <c r="L13322" i="1"/>
  <c r="K13322" i="1"/>
  <c r="J13322" i="1"/>
  <c r="I13322" i="1"/>
  <c r="H13322" i="1"/>
  <c r="G13322" i="1"/>
  <c r="M13321" i="1"/>
  <c r="L13321" i="1"/>
  <c r="K13321" i="1"/>
  <c r="J13321" i="1"/>
  <c r="I13321" i="1"/>
  <c r="H13321" i="1"/>
  <c r="G13321" i="1"/>
  <c r="M13320" i="1"/>
  <c r="L13320" i="1"/>
  <c r="K13320" i="1"/>
  <c r="J13320" i="1"/>
  <c r="I13320" i="1"/>
  <c r="H13320" i="1"/>
  <c r="G13320" i="1"/>
  <c r="M13319" i="1"/>
  <c r="L13319" i="1"/>
  <c r="K13319" i="1"/>
  <c r="J13319" i="1"/>
  <c r="I13319" i="1"/>
  <c r="H13319" i="1"/>
  <c r="G13319" i="1"/>
  <c r="M13318" i="1"/>
  <c r="L13318" i="1"/>
  <c r="K13318" i="1"/>
  <c r="J13318" i="1"/>
  <c r="I13318" i="1"/>
  <c r="H13318" i="1"/>
  <c r="G13318" i="1"/>
  <c r="M13317" i="1"/>
  <c r="L13317" i="1"/>
  <c r="K13317" i="1"/>
  <c r="J13317" i="1"/>
  <c r="I13317" i="1"/>
  <c r="H13317" i="1"/>
  <c r="G13317" i="1"/>
  <c r="M13316" i="1"/>
  <c r="L13316" i="1"/>
  <c r="K13316" i="1"/>
  <c r="J13316" i="1"/>
  <c r="I13316" i="1"/>
  <c r="H13316" i="1"/>
  <c r="G13316" i="1"/>
  <c r="M13315" i="1"/>
  <c r="L13315" i="1"/>
  <c r="K13315" i="1"/>
  <c r="J13315" i="1"/>
  <c r="I13315" i="1"/>
  <c r="H13315" i="1"/>
  <c r="G13315" i="1"/>
  <c r="M13314" i="1"/>
  <c r="L13314" i="1"/>
  <c r="K13314" i="1"/>
  <c r="J13314" i="1"/>
  <c r="I13314" i="1"/>
  <c r="H13314" i="1"/>
  <c r="G13314" i="1"/>
  <c r="M13313" i="1"/>
  <c r="L13313" i="1"/>
  <c r="K13313" i="1"/>
  <c r="J13313" i="1"/>
  <c r="I13313" i="1"/>
  <c r="H13313" i="1"/>
  <c r="G13313" i="1"/>
  <c r="M13312" i="1"/>
  <c r="L13312" i="1"/>
  <c r="K13312" i="1"/>
  <c r="J13312" i="1"/>
  <c r="I13312" i="1"/>
  <c r="H13312" i="1"/>
  <c r="G13312" i="1"/>
  <c r="M13311" i="1"/>
  <c r="L13311" i="1"/>
  <c r="K13311" i="1"/>
  <c r="J13311" i="1"/>
  <c r="I13311" i="1"/>
  <c r="H13311" i="1"/>
  <c r="G13311" i="1"/>
  <c r="M13310" i="1"/>
  <c r="L13310" i="1"/>
  <c r="K13310" i="1"/>
  <c r="J13310" i="1"/>
  <c r="I13310" i="1"/>
  <c r="H13310" i="1"/>
  <c r="G13310" i="1"/>
  <c r="M13309" i="1"/>
  <c r="L13309" i="1"/>
  <c r="K13309" i="1"/>
  <c r="J13309" i="1"/>
  <c r="I13309" i="1"/>
  <c r="H13309" i="1"/>
  <c r="G13309" i="1"/>
  <c r="M13308" i="1"/>
  <c r="L13308" i="1"/>
  <c r="K13308" i="1"/>
  <c r="J13308" i="1"/>
  <c r="I13308" i="1"/>
  <c r="H13308" i="1"/>
  <c r="G13308" i="1"/>
  <c r="M13307" i="1"/>
  <c r="L13307" i="1"/>
  <c r="K13307" i="1"/>
  <c r="J13307" i="1"/>
  <c r="I13307" i="1"/>
  <c r="H13307" i="1"/>
  <c r="G13307" i="1"/>
  <c r="M13306" i="1"/>
  <c r="L13306" i="1"/>
  <c r="K13306" i="1"/>
  <c r="J13306" i="1"/>
  <c r="I13306" i="1"/>
  <c r="H13306" i="1"/>
  <c r="G13306" i="1"/>
  <c r="M13305" i="1"/>
  <c r="L13305" i="1"/>
  <c r="K13305" i="1"/>
  <c r="J13305" i="1"/>
  <c r="I13305" i="1"/>
  <c r="H13305" i="1"/>
  <c r="G13305" i="1"/>
  <c r="M13304" i="1"/>
  <c r="L13304" i="1"/>
  <c r="K13304" i="1"/>
  <c r="J13304" i="1"/>
  <c r="I13304" i="1"/>
  <c r="H13304" i="1"/>
  <c r="G13304" i="1"/>
  <c r="M13303" i="1"/>
  <c r="L13303" i="1"/>
  <c r="K13303" i="1"/>
  <c r="J13303" i="1"/>
  <c r="I13303" i="1"/>
  <c r="H13303" i="1"/>
  <c r="G13303" i="1"/>
  <c r="M13302" i="1"/>
  <c r="L13302" i="1"/>
  <c r="K13302" i="1"/>
  <c r="J13302" i="1"/>
  <c r="I13302" i="1"/>
  <c r="H13302" i="1"/>
  <c r="G13302" i="1"/>
  <c r="M13301" i="1"/>
  <c r="L13301" i="1"/>
  <c r="K13301" i="1"/>
  <c r="J13301" i="1"/>
  <c r="I13301" i="1"/>
  <c r="H13301" i="1"/>
  <c r="G13301" i="1"/>
  <c r="M13300" i="1"/>
  <c r="L13300" i="1"/>
  <c r="K13300" i="1"/>
  <c r="J13300" i="1"/>
  <c r="I13300" i="1"/>
  <c r="H13300" i="1"/>
  <c r="G13300" i="1"/>
  <c r="M13299" i="1"/>
  <c r="L13299" i="1"/>
  <c r="K13299" i="1"/>
  <c r="J13299" i="1"/>
  <c r="I13299" i="1"/>
  <c r="H13299" i="1"/>
  <c r="G13299" i="1"/>
  <c r="M13298" i="1"/>
  <c r="L13298" i="1"/>
  <c r="K13298" i="1"/>
  <c r="J13298" i="1"/>
  <c r="I13298" i="1"/>
  <c r="H13298" i="1"/>
  <c r="G13298" i="1"/>
  <c r="M13297" i="1"/>
  <c r="L13297" i="1"/>
  <c r="K13297" i="1"/>
  <c r="J13297" i="1"/>
  <c r="I13297" i="1"/>
  <c r="H13297" i="1"/>
  <c r="G13297" i="1"/>
  <c r="M13296" i="1"/>
  <c r="L13296" i="1"/>
  <c r="K13296" i="1"/>
  <c r="J13296" i="1"/>
  <c r="I13296" i="1"/>
  <c r="H13296" i="1"/>
  <c r="G13296" i="1"/>
  <c r="M13295" i="1"/>
  <c r="L13295" i="1"/>
  <c r="K13295" i="1"/>
  <c r="J13295" i="1"/>
  <c r="I13295" i="1"/>
  <c r="H13295" i="1"/>
  <c r="G13295" i="1"/>
  <c r="M13294" i="1"/>
  <c r="L13294" i="1"/>
  <c r="K13294" i="1"/>
  <c r="J13294" i="1"/>
  <c r="I13294" i="1"/>
  <c r="H13294" i="1"/>
  <c r="G13294" i="1"/>
  <c r="M13293" i="1"/>
  <c r="L13293" i="1"/>
  <c r="K13293" i="1"/>
  <c r="J13293" i="1"/>
  <c r="I13293" i="1"/>
  <c r="H13293" i="1"/>
  <c r="G13293" i="1"/>
  <c r="M13292" i="1"/>
  <c r="L13292" i="1"/>
  <c r="K13292" i="1"/>
  <c r="J13292" i="1"/>
  <c r="I13292" i="1"/>
  <c r="H13292" i="1"/>
  <c r="G13292" i="1"/>
  <c r="M13291" i="1"/>
  <c r="L13291" i="1"/>
  <c r="K13291" i="1"/>
  <c r="J13291" i="1"/>
  <c r="I13291" i="1"/>
  <c r="H13291" i="1"/>
  <c r="G13291" i="1"/>
  <c r="M13290" i="1"/>
  <c r="L13290" i="1"/>
  <c r="K13290" i="1"/>
  <c r="J13290" i="1"/>
  <c r="I13290" i="1"/>
  <c r="H13290" i="1"/>
  <c r="G13290" i="1"/>
  <c r="M13289" i="1"/>
  <c r="L13289" i="1"/>
  <c r="K13289" i="1"/>
  <c r="J13289" i="1"/>
  <c r="I13289" i="1"/>
  <c r="H13289" i="1"/>
  <c r="G13289" i="1"/>
  <c r="M13288" i="1"/>
  <c r="L13288" i="1"/>
  <c r="K13288" i="1"/>
  <c r="J13288" i="1"/>
  <c r="I13288" i="1"/>
  <c r="H13288" i="1"/>
  <c r="G13288" i="1"/>
  <c r="M13287" i="1"/>
  <c r="L13287" i="1"/>
  <c r="K13287" i="1"/>
  <c r="J13287" i="1"/>
  <c r="I13287" i="1"/>
  <c r="H13287" i="1"/>
  <c r="G13287" i="1"/>
  <c r="M13286" i="1"/>
  <c r="L13286" i="1"/>
  <c r="K13286" i="1"/>
  <c r="J13286" i="1"/>
  <c r="I13286" i="1"/>
  <c r="H13286" i="1"/>
  <c r="G13286" i="1"/>
  <c r="M13285" i="1"/>
  <c r="L13285" i="1"/>
  <c r="K13285" i="1"/>
  <c r="J13285" i="1"/>
  <c r="I13285" i="1"/>
  <c r="H13285" i="1"/>
  <c r="G13285" i="1"/>
  <c r="M13284" i="1"/>
  <c r="L13284" i="1"/>
  <c r="K13284" i="1"/>
  <c r="J13284" i="1"/>
  <c r="I13284" i="1"/>
  <c r="H13284" i="1"/>
  <c r="G13284" i="1"/>
  <c r="M13283" i="1"/>
  <c r="L13283" i="1"/>
  <c r="K13283" i="1"/>
  <c r="J13283" i="1"/>
  <c r="I13283" i="1"/>
  <c r="H13283" i="1"/>
  <c r="G13283" i="1"/>
  <c r="M13282" i="1"/>
  <c r="L13282" i="1"/>
  <c r="K13282" i="1"/>
  <c r="J13282" i="1"/>
  <c r="I13282" i="1"/>
  <c r="H13282" i="1"/>
  <c r="G13282" i="1"/>
  <c r="M13281" i="1"/>
  <c r="L13281" i="1"/>
  <c r="K13281" i="1"/>
  <c r="J13281" i="1"/>
  <c r="I13281" i="1"/>
  <c r="H13281" i="1"/>
  <c r="G13281" i="1"/>
  <c r="M13280" i="1"/>
  <c r="L13280" i="1"/>
  <c r="K13280" i="1"/>
  <c r="J13280" i="1"/>
  <c r="I13280" i="1"/>
  <c r="H13280" i="1"/>
  <c r="G13280" i="1"/>
  <c r="M13279" i="1"/>
  <c r="L13279" i="1"/>
  <c r="K13279" i="1"/>
  <c r="J13279" i="1"/>
  <c r="I13279" i="1"/>
  <c r="H13279" i="1"/>
  <c r="G13279" i="1"/>
  <c r="M13278" i="1"/>
  <c r="L13278" i="1"/>
  <c r="K13278" i="1"/>
  <c r="J13278" i="1"/>
  <c r="I13278" i="1"/>
  <c r="H13278" i="1"/>
  <c r="G13278" i="1"/>
  <c r="M13277" i="1"/>
  <c r="L13277" i="1"/>
  <c r="K13277" i="1"/>
  <c r="J13277" i="1"/>
  <c r="I13277" i="1"/>
  <c r="H13277" i="1"/>
  <c r="G13277" i="1"/>
  <c r="M13276" i="1"/>
  <c r="L13276" i="1"/>
  <c r="K13276" i="1"/>
  <c r="J13276" i="1"/>
  <c r="I13276" i="1"/>
  <c r="H13276" i="1"/>
  <c r="G13276" i="1"/>
  <c r="M13275" i="1"/>
  <c r="L13275" i="1"/>
  <c r="K13275" i="1"/>
  <c r="J13275" i="1"/>
  <c r="I13275" i="1"/>
  <c r="H13275" i="1"/>
  <c r="G13275" i="1"/>
  <c r="M13274" i="1"/>
  <c r="L13274" i="1"/>
  <c r="K13274" i="1"/>
  <c r="J13274" i="1"/>
  <c r="I13274" i="1"/>
  <c r="H13274" i="1"/>
  <c r="G13274" i="1"/>
  <c r="M13273" i="1"/>
  <c r="L13273" i="1"/>
  <c r="K13273" i="1"/>
  <c r="J13273" i="1"/>
  <c r="I13273" i="1"/>
  <c r="H13273" i="1"/>
  <c r="G13273" i="1"/>
  <c r="M13272" i="1"/>
  <c r="L13272" i="1"/>
  <c r="K13272" i="1"/>
  <c r="J13272" i="1"/>
  <c r="I13272" i="1"/>
  <c r="H13272" i="1"/>
  <c r="G13272" i="1"/>
  <c r="M13271" i="1"/>
  <c r="L13271" i="1"/>
  <c r="K13271" i="1"/>
  <c r="J13271" i="1"/>
  <c r="I13271" i="1"/>
  <c r="H13271" i="1"/>
  <c r="G13271" i="1"/>
  <c r="M13270" i="1"/>
  <c r="L13270" i="1"/>
  <c r="K13270" i="1"/>
  <c r="J13270" i="1"/>
  <c r="I13270" i="1"/>
  <c r="H13270" i="1"/>
  <c r="G13270" i="1"/>
  <c r="M13269" i="1"/>
  <c r="L13269" i="1"/>
  <c r="K13269" i="1"/>
  <c r="J13269" i="1"/>
  <c r="I13269" i="1"/>
  <c r="H13269" i="1"/>
  <c r="G13269" i="1"/>
  <c r="M13268" i="1"/>
  <c r="L13268" i="1"/>
  <c r="K13268" i="1"/>
  <c r="J13268" i="1"/>
  <c r="I13268" i="1"/>
  <c r="H13268" i="1"/>
  <c r="G13268" i="1"/>
  <c r="M13267" i="1"/>
  <c r="L13267" i="1"/>
  <c r="K13267" i="1"/>
  <c r="J13267" i="1"/>
  <c r="I13267" i="1"/>
  <c r="H13267" i="1"/>
  <c r="G13267" i="1"/>
  <c r="M13266" i="1"/>
  <c r="L13266" i="1"/>
  <c r="K13266" i="1"/>
  <c r="J13266" i="1"/>
  <c r="I13266" i="1"/>
  <c r="H13266" i="1"/>
  <c r="G13266" i="1"/>
  <c r="M13265" i="1"/>
  <c r="L13265" i="1"/>
  <c r="K13265" i="1"/>
  <c r="J13265" i="1"/>
  <c r="I13265" i="1"/>
  <c r="H13265" i="1"/>
  <c r="G13265" i="1"/>
  <c r="M13264" i="1"/>
  <c r="L13264" i="1"/>
  <c r="K13264" i="1"/>
  <c r="J13264" i="1"/>
  <c r="I13264" i="1"/>
  <c r="H13264" i="1"/>
  <c r="G13264" i="1"/>
  <c r="M13263" i="1"/>
  <c r="L13263" i="1"/>
  <c r="K13263" i="1"/>
  <c r="J13263" i="1"/>
  <c r="I13263" i="1"/>
  <c r="H13263" i="1"/>
  <c r="G13263" i="1"/>
  <c r="M13262" i="1"/>
  <c r="L13262" i="1"/>
  <c r="K13262" i="1"/>
  <c r="J13262" i="1"/>
  <c r="I13262" i="1"/>
  <c r="H13262" i="1"/>
  <c r="G13262" i="1"/>
  <c r="M13261" i="1"/>
  <c r="L13261" i="1"/>
  <c r="K13261" i="1"/>
  <c r="J13261" i="1"/>
  <c r="I13261" i="1"/>
  <c r="H13261" i="1"/>
  <c r="G13261" i="1"/>
  <c r="M13260" i="1"/>
  <c r="L13260" i="1"/>
  <c r="K13260" i="1"/>
  <c r="J13260" i="1"/>
  <c r="I13260" i="1"/>
  <c r="H13260" i="1"/>
  <c r="G13260" i="1"/>
  <c r="M13259" i="1"/>
  <c r="L13259" i="1"/>
  <c r="K13259" i="1"/>
  <c r="J13259" i="1"/>
  <c r="I13259" i="1"/>
  <c r="H13259" i="1"/>
  <c r="G13259" i="1"/>
  <c r="M13258" i="1"/>
  <c r="L13258" i="1"/>
  <c r="K13258" i="1"/>
  <c r="J13258" i="1"/>
  <c r="I13258" i="1"/>
  <c r="H13258" i="1"/>
  <c r="G13258" i="1"/>
  <c r="M13257" i="1"/>
  <c r="L13257" i="1"/>
  <c r="K13257" i="1"/>
  <c r="J13257" i="1"/>
  <c r="I13257" i="1"/>
  <c r="H13257" i="1"/>
  <c r="G13257" i="1"/>
  <c r="M13256" i="1"/>
  <c r="L13256" i="1"/>
  <c r="K13256" i="1"/>
  <c r="J13256" i="1"/>
  <c r="I13256" i="1"/>
  <c r="H13256" i="1"/>
  <c r="G13256" i="1"/>
  <c r="M13255" i="1"/>
  <c r="L13255" i="1"/>
  <c r="K13255" i="1"/>
  <c r="J13255" i="1"/>
  <c r="I13255" i="1"/>
  <c r="H13255" i="1"/>
  <c r="G13255" i="1"/>
  <c r="M13254" i="1"/>
  <c r="L13254" i="1"/>
  <c r="K13254" i="1"/>
  <c r="J13254" i="1"/>
  <c r="I13254" i="1"/>
  <c r="H13254" i="1"/>
  <c r="G13254" i="1"/>
  <c r="M13253" i="1"/>
  <c r="L13253" i="1"/>
  <c r="K13253" i="1"/>
  <c r="J13253" i="1"/>
  <c r="I13253" i="1"/>
  <c r="H13253" i="1"/>
  <c r="G13253" i="1"/>
  <c r="M13252" i="1"/>
  <c r="L13252" i="1"/>
  <c r="K13252" i="1"/>
  <c r="J13252" i="1"/>
  <c r="I13252" i="1"/>
  <c r="H13252" i="1"/>
  <c r="G13252" i="1"/>
  <c r="M13251" i="1"/>
  <c r="L13251" i="1"/>
  <c r="K13251" i="1"/>
  <c r="J13251" i="1"/>
  <c r="I13251" i="1"/>
  <c r="H13251" i="1"/>
  <c r="G13251" i="1"/>
  <c r="M13250" i="1"/>
  <c r="L13250" i="1"/>
  <c r="K13250" i="1"/>
  <c r="J13250" i="1"/>
  <c r="I13250" i="1"/>
  <c r="H13250" i="1"/>
  <c r="G13250" i="1"/>
  <c r="M13249" i="1"/>
  <c r="L13249" i="1"/>
  <c r="K13249" i="1"/>
  <c r="J13249" i="1"/>
  <c r="I13249" i="1"/>
  <c r="H13249" i="1"/>
  <c r="G13249" i="1"/>
  <c r="M13248" i="1"/>
  <c r="L13248" i="1"/>
  <c r="K13248" i="1"/>
  <c r="J13248" i="1"/>
  <c r="I13248" i="1"/>
  <c r="H13248" i="1"/>
  <c r="G13248" i="1"/>
  <c r="M13247" i="1"/>
  <c r="L13247" i="1"/>
  <c r="K13247" i="1"/>
  <c r="J13247" i="1"/>
  <c r="I13247" i="1"/>
  <c r="H13247" i="1"/>
  <c r="G13247" i="1"/>
  <c r="M13246" i="1"/>
  <c r="L13246" i="1"/>
  <c r="K13246" i="1"/>
  <c r="J13246" i="1"/>
  <c r="I13246" i="1"/>
  <c r="H13246" i="1"/>
  <c r="G13246" i="1"/>
  <c r="M13245" i="1"/>
  <c r="L13245" i="1"/>
  <c r="K13245" i="1"/>
  <c r="J13245" i="1"/>
  <c r="I13245" i="1"/>
  <c r="H13245" i="1"/>
  <c r="G13245" i="1"/>
  <c r="M13244" i="1"/>
  <c r="L13244" i="1"/>
  <c r="K13244" i="1"/>
  <c r="J13244" i="1"/>
  <c r="I13244" i="1"/>
  <c r="H13244" i="1"/>
  <c r="G13244" i="1"/>
  <c r="M13243" i="1"/>
  <c r="L13243" i="1"/>
  <c r="K13243" i="1"/>
  <c r="J13243" i="1"/>
  <c r="I13243" i="1"/>
  <c r="H13243" i="1"/>
  <c r="G13243" i="1"/>
  <c r="M13242" i="1"/>
  <c r="L13242" i="1"/>
  <c r="K13242" i="1"/>
  <c r="J13242" i="1"/>
  <c r="I13242" i="1"/>
  <c r="H13242" i="1"/>
  <c r="G13242" i="1"/>
  <c r="M13241" i="1"/>
  <c r="L13241" i="1"/>
  <c r="K13241" i="1"/>
  <c r="J13241" i="1"/>
  <c r="I13241" i="1"/>
  <c r="H13241" i="1"/>
  <c r="G13241" i="1"/>
  <c r="M13240" i="1"/>
  <c r="L13240" i="1"/>
  <c r="K13240" i="1"/>
  <c r="J13240" i="1"/>
  <c r="I13240" i="1"/>
  <c r="H13240" i="1"/>
  <c r="G13240" i="1"/>
  <c r="M13239" i="1"/>
  <c r="L13239" i="1"/>
  <c r="K13239" i="1"/>
  <c r="J13239" i="1"/>
  <c r="I13239" i="1"/>
  <c r="H13239" i="1"/>
  <c r="G13239" i="1"/>
  <c r="M13238" i="1"/>
  <c r="L13238" i="1"/>
  <c r="K13238" i="1"/>
  <c r="J13238" i="1"/>
  <c r="I13238" i="1"/>
  <c r="H13238" i="1"/>
  <c r="G13238" i="1"/>
  <c r="M13237" i="1"/>
  <c r="L13237" i="1"/>
  <c r="K13237" i="1"/>
  <c r="J13237" i="1"/>
  <c r="I13237" i="1"/>
  <c r="H13237" i="1"/>
  <c r="G13237" i="1"/>
  <c r="M13236" i="1"/>
  <c r="L13236" i="1"/>
  <c r="K13236" i="1"/>
  <c r="J13236" i="1"/>
  <c r="I13236" i="1"/>
  <c r="H13236" i="1"/>
  <c r="G13236" i="1"/>
  <c r="M13235" i="1"/>
  <c r="L13235" i="1"/>
  <c r="K13235" i="1"/>
  <c r="J13235" i="1"/>
  <c r="I13235" i="1"/>
  <c r="H13235" i="1"/>
  <c r="G13235" i="1"/>
  <c r="M13234" i="1"/>
  <c r="L13234" i="1"/>
  <c r="K13234" i="1"/>
  <c r="J13234" i="1"/>
  <c r="I13234" i="1"/>
  <c r="H13234" i="1"/>
  <c r="G13234" i="1"/>
  <c r="M13233" i="1"/>
  <c r="L13233" i="1"/>
  <c r="K13233" i="1"/>
  <c r="J13233" i="1"/>
  <c r="I13233" i="1"/>
  <c r="H13233" i="1"/>
  <c r="G13233" i="1"/>
  <c r="M13232" i="1"/>
  <c r="L13232" i="1"/>
  <c r="K13232" i="1"/>
  <c r="J13232" i="1"/>
  <c r="I13232" i="1"/>
  <c r="H13232" i="1"/>
  <c r="G13232" i="1"/>
  <c r="M13231" i="1"/>
  <c r="L13231" i="1"/>
  <c r="K13231" i="1"/>
  <c r="J13231" i="1"/>
  <c r="I13231" i="1"/>
  <c r="H13231" i="1"/>
  <c r="G13231" i="1"/>
  <c r="M13230" i="1"/>
  <c r="L13230" i="1"/>
  <c r="K13230" i="1"/>
  <c r="J13230" i="1"/>
  <c r="I13230" i="1"/>
  <c r="H13230" i="1"/>
  <c r="G13230" i="1"/>
  <c r="M13229" i="1"/>
  <c r="L13229" i="1"/>
  <c r="K13229" i="1"/>
  <c r="J13229" i="1"/>
  <c r="I13229" i="1"/>
  <c r="H13229" i="1"/>
  <c r="G13229" i="1"/>
  <c r="M13228" i="1"/>
  <c r="L13228" i="1"/>
  <c r="K13228" i="1"/>
  <c r="J13228" i="1"/>
  <c r="I13228" i="1"/>
  <c r="H13228" i="1"/>
  <c r="G13228" i="1"/>
  <c r="M13227" i="1"/>
  <c r="L13227" i="1"/>
  <c r="K13227" i="1"/>
  <c r="J13227" i="1"/>
  <c r="I13227" i="1"/>
  <c r="H13227" i="1"/>
  <c r="G13227" i="1"/>
  <c r="M13226" i="1"/>
  <c r="L13226" i="1"/>
  <c r="K13226" i="1"/>
  <c r="J13226" i="1"/>
  <c r="I13226" i="1"/>
  <c r="H13226" i="1"/>
  <c r="G13226" i="1"/>
  <c r="M13225" i="1"/>
  <c r="L13225" i="1"/>
  <c r="K13225" i="1"/>
  <c r="J13225" i="1"/>
  <c r="I13225" i="1"/>
  <c r="H13225" i="1"/>
  <c r="G13225" i="1"/>
  <c r="M13224" i="1"/>
  <c r="L13224" i="1"/>
  <c r="K13224" i="1"/>
  <c r="J13224" i="1"/>
  <c r="I13224" i="1"/>
  <c r="H13224" i="1"/>
  <c r="G13224" i="1"/>
  <c r="M13223" i="1"/>
  <c r="L13223" i="1"/>
  <c r="K13223" i="1"/>
  <c r="J13223" i="1"/>
  <c r="I13223" i="1"/>
  <c r="H13223" i="1"/>
  <c r="G13223" i="1"/>
  <c r="M13222" i="1"/>
  <c r="L13222" i="1"/>
  <c r="K13222" i="1"/>
  <c r="J13222" i="1"/>
  <c r="I13222" i="1"/>
  <c r="H13222" i="1"/>
  <c r="G13222" i="1"/>
  <c r="M13221" i="1"/>
  <c r="L13221" i="1"/>
  <c r="K13221" i="1"/>
  <c r="J13221" i="1"/>
  <c r="I13221" i="1"/>
  <c r="H13221" i="1"/>
  <c r="G13221" i="1"/>
  <c r="M13220" i="1"/>
  <c r="L13220" i="1"/>
  <c r="K13220" i="1"/>
  <c r="J13220" i="1"/>
  <c r="I13220" i="1"/>
  <c r="H13220" i="1"/>
  <c r="G13220" i="1"/>
  <c r="M13219" i="1"/>
  <c r="L13219" i="1"/>
  <c r="K13219" i="1"/>
  <c r="J13219" i="1"/>
  <c r="I13219" i="1"/>
  <c r="H13219" i="1"/>
  <c r="G13219" i="1"/>
  <c r="M13218" i="1"/>
  <c r="L13218" i="1"/>
  <c r="K13218" i="1"/>
  <c r="J13218" i="1"/>
  <c r="I13218" i="1"/>
  <c r="H13218" i="1"/>
  <c r="G13218" i="1"/>
  <c r="M13217" i="1"/>
  <c r="L13217" i="1"/>
  <c r="K13217" i="1"/>
  <c r="J13217" i="1"/>
  <c r="I13217" i="1"/>
  <c r="H13217" i="1"/>
  <c r="G13217" i="1"/>
  <c r="M13216" i="1"/>
  <c r="L13216" i="1"/>
  <c r="K13216" i="1"/>
  <c r="J13216" i="1"/>
  <c r="I13216" i="1"/>
  <c r="H13216" i="1"/>
  <c r="G13216" i="1"/>
  <c r="M13215" i="1"/>
  <c r="L13215" i="1"/>
  <c r="K13215" i="1"/>
  <c r="J13215" i="1"/>
  <c r="I13215" i="1"/>
  <c r="H13215" i="1"/>
  <c r="G13215" i="1"/>
  <c r="M13214" i="1"/>
  <c r="L13214" i="1"/>
  <c r="K13214" i="1"/>
  <c r="J13214" i="1"/>
  <c r="I13214" i="1"/>
  <c r="H13214" i="1"/>
  <c r="G13214" i="1"/>
  <c r="M13213" i="1"/>
  <c r="L13213" i="1"/>
  <c r="K13213" i="1"/>
  <c r="J13213" i="1"/>
  <c r="I13213" i="1"/>
  <c r="H13213" i="1"/>
  <c r="G13213" i="1"/>
  <c r="M13212" i="1"/>
  <c r="L13212" i="1"/>
  <c r="K13212" i="1"/>
  <c r="J13212" i="1"/>
  <c r="I13212" i="1"/>
  <c r="H13212" i="1"/>
  <c r="G13212" i="1"/>
  <c r="M13211" i="1"/>
  <c r="L13211" i="1"/>
  <c r="K13211" i="1"/>
  <c r="J13211" i="1"/>
  <c r="I13211" i="1"/>
  <c r="H13211" i="1"/>
  <c r="G13211" i="1"/>
  <c r="M13210" i="1"/>
  <c r="L13210" i="1"/>
  <c r="K13210" i="1"/>
  <c r="J13210" i="1"/>
  <c r="I13210" i="1"/>
  <c r="H13210" i="1"/>
  <c r="G13210" i="1"/>
  <c r="M13209" i="1"/>
  <c r="L13209" i="1"/>
  <c r="K13209" i="1"/>
  <c r="J13209" i="1"/>
  <c r="I13209" i="1"/>
  <c r="H13209" i="1"/>
  <c r="G13209" i="1"/>
  <c r="M13208" i="1"/>
  <c r="L13208" i="1"/>
  <c r="K13208" i="1"/>
  <c r="J13208" i="1"/>
  <c r="I13208" i="1"/>
  <c r="H13208" i="1"/>
  <c r="G13208" i="1"/>
  <c r="M13207" i="1"/>
  <c r="L13207" i="1"/>
  <c r="K13207" i="1"/>
  <c r="J13207" i="1"/>
  <c r="I13207" i="1"/>
  <c r="H13207" i="1"/>
  <c r="G13207" i="1"/>
  <c r="M13206" i="1"/>
  <c r="L13206" i="1"/>
  <c r="K13206" i="1"/>
  <c r="J13206" i="1"/>
  <c r="I13206" i="1"/>
  <c r="H13206" i="1"/>
  <c r="G13206" i="1"/>
  <c r="M13205" i="1"/>
  <c r="L13205" i="1"/>
  <c r="K13205" i="1"/>
  <c r="J13205" i="1"/>
  <c r="I13205" i="1"/>
  <c r="H13205" i="1"/>
  <c r="G13205" i="1"/>
  <c r="M13204" i="1"/>
  <c r="L13204" i="1"/>
  <c r="K13204" i="1"/>
  <c r="J13204" i="1"/>
  <c r="I13204" i="1"/>
  <c r="H13204" i="1"/>
  <c r="G13204" i="1"/>
  <c r="M13203" i="1"/>
  <c r="L13203" i="1"/>
  <c r="K13203" i="1"/>
  <c r="J13203" i="1"/>
  <c r="I13203" i="1"/>
  <c r="H13203" i="1"/>
  <c r="G13203" i="1"/>
  <c r="M13202" i="1"/>
  <c r="L13202" i="1"/>
  <c r="K13202" i="1"/>
  <c r="J13202" i="1"/>
  <c r="I13202" i="1"/>
  <c r="H13202" i="1"/>
  <c r="G13202" i="1"/>
  <c r="M13201" i="1"/>
  <c r="L13201" i="1"/>
  <c r="K13201" i="1"/>
  <c r="J13201" i="1"/>
  <c r="I13201" i="1"/>
  <c r="H13201" i="1"/>
  <c r="G13201" i="1"/>
  <c r="M13200" i="1"/>
  <c r="L13200" i="1"/>
  <c r="K13200" i="1"/>
  <c r="J13200" i="1"/>
  <c r="I13200" i="1"/>
  <c r="H13200" i="1"/>
  <c r="G13200" i="1"/>
  <c r="M13199" i="1"/>
  <c r="L13199" i="1"/>
  <c r="K13199" i="1"/>
  <c r="J13199" i="1"/>
  <c r="I13199" i="1"/>
  <c r="H13199" i="1"/>
  <c r="G13199" i="1"/>
  <c r="M13198" i="1"/>
  <c r="L13198" i="1"/>
  <c r="K13198" i="1"/>
  <c r="J13198" i="1"/>
  <c r="I13198" i="1"/>
  <c r="H13198" i="1"/>
  <c r="G13198" i="1"/>
  <c r="M13197" i="1"/>
  <c r="L13197" i="1"/>
  <c r="K13197" i="1"/>
  <c r="J13197" i="1"/>
  <c r="I13197" i="1"/>
  <c r="H13197" i="1"/>
  <c r="G13197" i="1"/>
  <c r="M13196" i="1"/>
  <c r="L13196" i="1"/>
  <c r="K13196" i="1"/>
  <c r="J13196" i="1"/>
  <c r="I13196" i="1"/>
  <c r="H13196" i="1"/>
  <c r="G13196" i="1"/>
  <c r="M13195" i="1"/>
  <c r="L13195" i="1"/>
  <c r="K13195" i="1"/>
  <c r="J13195" i="1"/>
  <c r="I13195" i="1"/>
  <c r="H13195" i="1"/>
  <c r="G13195" i="1"/>
  <c r="M13194" i="1"/>
  <c r="L13194" i="1"/>
  <c r="K13194" i="1"/>
  <c r="J13194" i="1"/>
  <c r="I13194" i="1"/>
  <c r="H13194" i="1"/>
  <c r="G13194" i="1"/>
  <c r="M13193" i="1"/>
  <c r="L13193" i="1"/>
  <c r="K13193" i="1"/>
  <c r="J13193" i="1"/>
  <c r="I13193" i="1"/>
  <c r="H13193" i="1"/>
  <c r="G13193" i="1"/>
  <c r="M13192" i="1"/>
  <c r="L13192" i="1"/>
  <c r="K13192" i="1"/>
  <c r="J13192" i="1"/>
  <c r="I13192" i="1"/>
  <c r="H13192" i="1"/>
  <c r="G13192" i="1"/>
  <c r="M13191" i="1"/>
  <c r="L13191" i="1"/>
  <c r="K13191" i="1"/>
  <c r="J13191" i="1"/>
  <c r="I13191" i="1"/>
  <c r="H13191" i="1"/>
  <c r="G13191" i="1"/>
  <c r="M13190" i="1"/>
  <c r="L13190" i="1"/>
  <c r="K13190" i="1"/>
  <c r="J13190" i="1"/>
  <c r="I13190" i="1"/>
  <c r="H13190" i="1"/>
  <c r="G13190" i="1"/>
  <c r="M13189" i="1"/>
  <c r="L13189" i="1"/>
  <c r="K13189" i="1"/>
  <c r="J13189" i="1"/>
  <c r="I13189" i="1"/>
  <c r="H13189" i="1"/>
  <c r="G13189" i="1"/>
  <c r="M13188" i="1"/>
  <c r="L13188" i="1"/>
  <c r="K13188" i="1"/>
  <c r="J13188" i="1"/>
  <c r="I13188" i="1"/>
  <c r="H13188" i="1"/>
  <c r="G13188" i="1"/>
  <c r="M13187" i="1"/>
  <c r="L13187" i="1"/>
  <c r="K13187" i="1"/>
  <c r="J13187" i="1"/>
  <c r="I13187" i="1"/>
  <c r="H13187" i="1"/>
  <c r="G13187" i="1"/>
  <c r="M13186" i="1"/>
  <c r="L13186" i="1"/>
  <c r="K13186" i="1"/>
  <c r="J13186" i="1"/>
  <c r="I13186" i="1"/>
  <c r="H13186" i="1"/>
  <c r="G13186" i="1"/>
  <c r="M13185" i="1"/>
  <c r="L13185" i="1"/>
  <c r="K13185" i="1"/>
  <c r="J13185" i="1"/>
  <c r="I13185" i="1"/>
  <c r="H13185" i="1"/>
  <c r="G13185" i="1"/>
  <c r="M13184" i="1"/>
  <c r="L13184" i="1"/>
  <c r="K13184" i="1"/>
  <c r="J13184" i="1"/>
  <c r="I13184" i="1"/>
  <c r="H13184" i="1"/>
  <c r="G13184" i="1"/>
  <c r="M13183" i="1"/>
  <c r="L13183" i="1"/>
  <c r="K13183" i="1"/>
  <c r="J13183" i="1"/>
  <c r="I13183" i="1"/>
  <c r="H13183" i="1"/>
  <c r="G13183" i="1"/>
  <c r="M13182" i="1"/>
  <c r="L13182" i="1"/>
  <c r="K13182" i="1"/>
  <c r="J13182" i="1"/>
  <c r="I13182" i="1"/>
  <c r="H13182" i="1"/>
  <c r="G13182" i="1"/>
  <c r="M13181" i="1"/>
  <c r="L13181" i="1"/>
  <c r="K13181" i="1"/>
  <c r="J13181" i="1"/>
  <c r="I13181" i="1"/>
  <c r="H13181" i="1"/>
  <c r="G13181" i="1"/>
  <c r="M13180" i="1"/>
  <c r="L13180" i="1"/>
  <c r="K13180" i="1"/>
  <c r="J13180" i="1"/>
  <c r="I13180" i="1"/>
  <c r="H13180" i="1"/>
  <c r="G13180" i="1"/>
  <c r="M13179" i="1"/>
  <c r="L13179" i="1"/>
  <c r="K13179" i="1"/>
  <c r="J13179" i="1"/>
  <c r="I13179" i="1"/>
  <c r="H13179" i="1"/>
  <c r="G13179" i="1"/>
  <c r="M13178" i="1"/>
  <c r="L13178" i="1"/>
  <c r="K13178" i="1"/>
  <c r="J13178" i="1"/>
  <c r="I13178" i="1"/>
  <c r="H13178" i="1"/>
  <c r="G13178" i="1"/>
  <c r="M13177" i="1"/>
  <c r="L13177" i="1"/>
  <c r="K13177" i="1"/>
  <c r="J13177" i="1"/>
  <c r="I13177" i="1"/>
  <c r="H13177" i="1"/>
  <c r="G13177" i="1"/>
  <c r="M13176" i="1"/>
  <c r="L13176" i="1"/>
  <c r="K13176" i="1"/>
  <c r="J13176" i="1"/>
  <c r="I13176" i="1"/>
  <c r="H13176" i="1"/>
  <c r="G13176" i="1"/>
  <c r="M13175" i="1"/>
  <c r="L13175" i="1"/>
  <c r="K13175" i="1"/>
  <c r="J13175" i="1"/>
  <c r="I13175" i="1"/>
  <c r="H13175" i="1"/>
  <c r="G13175" i="1"/>
  <c r="M13174" i="1"/>
  <c r="L13174" i="1"/>
  <c r="K13174" i="1"/>
  <c r="J13174" i="1"/>
  <c r="I13174" i="1"/>
  <c r="H13174" i="1"/>
  <c r="G13174" i="1"/>
  <c r="M13173" i="1"/>
  <c r="L13173" i="1"/>
  <c r="K13173" i="1"/>
  <c r="J13173" i="1"/>
  <c r="I13173" i="1"/>
  <c r="H13173" i="1"/>
  <c r="G13173" i="1"/>
  <c r="M13172" i="1"/>
  <c r="L13172" i="1"/>
  <c r="K13172" i="1"/>
  <c r="J13172" i="1"/>
  <c r="I13172" i="1"/>
  <c r="H13172" i="1"/>
  <c r="G13172" i="1"/>
  <c r="M13171" i="1"/>
  <c r="L13171" i="1"/>
  <c r="K13171" i="1"/>
  <c r="J13171" i="1"/>
  <c r="I13171" i="1"/>
  <c r="H13171" i="1"/>
  <c r="G13171" i="1"/>
  <c r="M13170" i="1"/>
  <c r="L13170" i="1"/>
  <c r="K13170" i="1"/>
  <c r="J13170" i="1"/>
  <c r="I13170" i="1"/>
  <c r="H13170" i="1"/>
  <c r="G13170" i="1"/>
  <c r="M13169" i="1"/>
  <c r="L13169" i="1"/>
  <c r="K13169" i="1"/>
  <c r="J13169" i="1"/>
  <c r="I13169" i="1"/>
  <c r="H13169" i="1"/>
  <c r="G13169" i="1"/>
  <c r="M13168" i="1"/>
  <c r="L13168" i="1"/>
  <c r="K13168" i="1"/>
  <c r="J13168" i="1"/>
  <c r="I13168" i="1"/>
  <c r="H13168" i="1"/>
  <c r="G13168" i="1"/>
  <c r="M13167" i="1"/>
  <c r="L13167" i="1"/>
  <c r="K13167" i="1"/>
  <c r="J13167" i="1"/>
  <c r="I13167" i="1"/>
  <c r="H13167" i="1"/>
  <c r="G13167" i="1"/>
  <c r="M13166" i="1"/>
  <c r="L13166" i="1"/>
  <c r="K13166" i="1"/>
  <c r="J13166" i="1"/>
  <c r="I13166" i="1"/>
  <c r="H13166" i="1"/>
  <c r="G13166" i="1"/>
  <c r="M13165" i="1"/>
  <c r="L13165" i="1"/>
  <c r="K13165" i="1"/>
  <c r="J13165" i="1"/>
  <c r="I13165" i="1"/>
  <c r="H13165" i="1"/>
  <c r="G13165" i="1"/>
  <c r="M13164" i="1"/>
  <c r="L13164" i="1"/>
  <c r="K13164" i="1"/>
  <c r="J13164" i="1"/>
  <c r="I13164" i="1"/>
  <c r="H13164" i="1"/>
  <c r="G13164" i="1"/>
  <c r="M13163" i="1"/>
  <c r="L13163" i="1"/>
  <c r="K13163" i="1"/>
  <c r="J13163" i="1"/>
  <c r="I13163" i="1"/>
  <c r="H13163" i="1"/>
  <c r="G13163" i="1"/>
  <c r="M13162" i="1"/>
  <c r="L13162" i="1"/>
  <c r="K13162" i="1"/>
  <c r="J13162" i="1"/>
  <c r="I13162" i="1"/>
  <c r="H13162" i="1"/>
  <c r="G13162" i="1"/>
  <c r="M13161" i="1"/>
  <c r="L13161" i="1"/>
  <c r="K13161" i="1"/>
  <c r="J13161" i="1"/>
  <c r="I13161" i="1"/>
  <c r="H13161" i="1"/>
  <c r="G13161" i="1"/>
  <c r="M13160" i="1"/>
  <c r="L13160" i="1"/>
  <c r="K13160" i="1"/>
  <c r="J13160" i="1"/>
  <c r="I13160" i="1"/>
  <c r="H13160" i="1"/>
  <c r="G13160" i="1"/>
  <c r="M13159" i="1"/>
  <c r="L13159" i="1"/>
  <c r="K13159" i="1"/>
  <c r="J13159" i="1"/>
  <c r="I13159" i="1"/>
  <c r="H13159" i="1"/>
  <c r="G13159" i="1"/>
  <c r="M13158" i="1"/>
  <c r="L13158" i="1"/>
  <c r="K13158" i="1"/>
  <c r="J13158" i="1"/>
  <c r="I13158" i="1"/>
  <c r="H13158" i="1"/>
  <c r="G13158" i="1"/>
  <c r="M13157" i="1"/>
  <c r="L13157" i="1"/>
  <c r="K13157" i="1"/>
  <c r="J13157" i="1"/>
  <c r="I13157" i="1"/>
  <c r="H13157" i="1"/>
  <c r="G13157" i="1"/>
  <c r="M13156" i="1"/>
  <c r="L13156" i="1"/>
  <c r="K13156" i="1"/>
  <c r="J13156" i="1"/>
  <c r="I13156" i="1"/>
  <c r="H13156" i="1"/>
  <c r="G13156" i="1"/>
  <c r="M13155" i="1"/>
  <c r="L13155" i="1"/>
  <c r="K13155" i="1"/>
  <c r="J13155" i="1"/>
  <c r="I13155" i="1"/>
  <c r="H13155" i="1"/>
  <c r="G13155" i="1"/>
  <c r="M13154" i="1"/>
  <c r="L13154" i="1"/>
  <c r="K13154" i="1"/>
  <c r="J13154" i="1"/>
  <c r="I13154" i="1"/>
  <c r="H13154" i="1"/>
  <c r="G13154" i="1"/>
  <c r="M13153" i="1"/>
  <c r="L13153" i="1"/>
  <c r="K13153" i="1"/>
  <c r="J13153" i="1"/>
  <c r="I13153" i="1"/>
  <c r="H13153" i="1"/>
  <c r="G13153" i="1"/>
  <c r="M13152" i="1"/>
  <c r="L13152" i="1"/>
  <c r="K13152" i="1"/>
  <c r="J13152" i="1"/>
  <c r="I13152" i="1"/>
  <c r="H13152" i="1"/>
  <c r="G13152" i="1"/>
  <c r="M13151" i="1"/>
  <c r="L13151" i="1"/>
  <c r="K13151" i="1"/>
  <c r="J13151" i="1"/>
  <c r="I13151" i="1"/>
  <c r="H13151" i="1"/>
  <c r="G13151" i="1"/>
  <c r="M13150" i="1"/>
  <c r="L13150" i="1"/>
  <c r="K13150" i="1"/>
  <c r="J13150" i="1"/>
  <c r="I13150" i="1"/>
  <c r="H13150" i="1"/>
  <c r="G13150" i="1"/>
  <c r="M13149" i="1"/>
  <c r="L13149" i="1"/>
  <c r="K13149" i="1"/>
  <c r="J13149" i="1"/>
  <c r="I13149" i="1"/>
  <c r="H13149" i="1"/>
  <c r="G13149" i="1"/>
  <c r="M13148" i="1"/>
  <c r="L13148" i="1"/>
  <c r="K13148" i="1"/>
  <c r="J13148" i="1"/>
  <c r="I13148" i="1"/>
  <c r="H13148" i="1"/>
  <c r="G13148" i="1"/>
  <c r="M13147" i="1"/>
  <c r="L13147" i="1"/>
  <c r="K13147" i="1"/>
  <c r="J13147" i="1"/>
  <c r="I13147" i="1"/>
  <c r="H13147" i="1"/>
  <c r="G13147" i="1"/>
  <c r="M13146" i="1"/>
  <c r="L13146" i="1"/>
  <c r="K13146" i="1"/>
  <c r="J13146" i="1"/>
  <c r="I13146" i="1"/>
  <c r="H13146" i="1"/>
  <c r="G13146" i="1"/>
  <c r="M13145" i="1"/>
  <c r="L13145" i="1"/>
  <c r="K13145" i="1"/>
  <c r="J13145" i="1"/>
  <c r="I13145" i="1"/>
  <c r="H13145" i="1"/>
  <c r="G13145" i="1"/>
  <c r="M13144" i="1"/>
  <c r="L13144" i="1"/>
  <c r="K13144" i="1"/>
  <c r="J13144" i="1"/>
  <c r="I13144" i="1"/>
  <c r="H13144" i="1"/>
  <c r="G13144" i="1"/>
  <c r="M13143" i="1"/>
  <c r="L13143" i="1"/>
  <c r="K13143" i="1"/>
  <c r="J13143" i="1"/>
  <c r="I13143" i="1"/>
  <c r="H13143" i="1"/>
  <c r="G13143" i="1"/>
  <c r="M13142" i="1"/>
  <c r="L13142" i="1"/>
  <c r="K13142" i="1"/>
  <c r="J13142" i="1"/>
  <c r="I13142" i="1"/>
  <c r="H13142" i="1"/>
  <c r="G13142" i="1"/>
  <c r="M13141" i="1"/>
  <c r="L13141" i="1"/>
  <c r="K13141" i="1"/>
  <c r="J13141" i="1"/>
  <c r="I13141" i="1"/>
  <c r="H13141" i="1"/>
  <c r="G13141" i="1"/>
  <c r="M13140" i="1"/>
  <c r="L13140" i="1"/>
  <c r="K13140" i="1"/>
  <c r="J13140" i="1"/>
  <c r="I13140" i="1"/>
  <c r="H13140" i="1"/>
  <c r="G13140" i="1"/>
  <c r="M13139" i="1"/>
  <c r="L13139" i="1"/>
  <c r="K13139" i="1"/>
  <c r="J13139" i="1"/>
  <c r="I13139" i="1"/>
  <c r="H13139" i="1"/>
  <c r="G13139" i="1"/>
  <c r="M13138" i="1"/>
  <c r="L13138" i="1"/>
  <c r="K13138" i="1"/>
  <c r="J13138" i="1"/>
  <c r="I13138" i="1"/>
  <c r="H13138" i="1"/>
  <c r="G13138" i="1"/>
  <c r="M13137" i="1"/>
  <c r="L13137" i="1"/>
  <c r="K13137" i="1"/>
  <c r="J13137" i="1"/>
  <c r="I13137" i="1"/>
  <c r="H13137" i="1"/>
  <c r="G13137" i="1"/>
  <c r="M13136" i="1"/>
  <c r="L13136" i="1"/>
  <c r="K13136" i="1"/>
  <c r="J13136" i="1"/>
  <c r="I13136" i="1"/>
  <c r="H13136" i="1"/>
  <c r="G13136" i="1"/>
  <c r="M13135" i="1"/>
  <c r="L13135" i="1"/>
  <c r="K13135" i="1"/>
  <c r="J13135" i="1"/>
  <c r="I13135" i="1"/>
  <c r="H13135" i="1"/>
  <c r="G13135" i="1"/>
  <c r="M13134" i="1"/>
  <c r="L13134" i="1"/>
  <c r="K13134" i="1"/>
  <c r="J13134" i="1"/>
  <c r="I13134" i="1"/>
  <c r="H13134" i="1"/>
  <c r="G13134" i="1"/>
  <c r="M13133" i="1"/>
  <c r="L13133" i="1"/>
  <c r="K13133" i="1"/>
  <c r="J13133" i="1"/>
  <c r="I13133" i="1"/>
  <c r="H13133" i="1"/>
  <c r="G13133" i="1"/>
  <c r="M13132" i="1"/>
  <c r="L13132" i="1"/>
  <c r="K13132" i="1"/>
  <c r="J13132" i="1"/>
  <c r="I13132" i="1"/>
  <c r="H13132" i="1"/>
  <c r="G13132" i="1"/>
  <c r="M13131" i="1"/>
  <c r="L13131" i="1"/>
  <c r="K13131" i="1"/>
  <c r="J13131" i="1"/>
  <c r="I13131" i="1"/>
  <c r="H13131" i="1"/>
  <c r="G13131" i="1"/>
  <c r="M13130" i="1"/>
  <c r="L13130" i="1"/>
  <c r="K13130" i="1"/>
  <c r="J13130" i="1"/>
  <c r="I13130" i="1"/>
  <c r="H13130" i="1"/>
  <c r="G13130" i="1"/>
  <c r="M13129" i="1"/>
  <c r="L13129" i="1"/>
  <c r="K13129" i="1"/>
  <c r="J13129" i="1"/>
  <c r="I13129" i="1"/>
  <c r="H13129" i="1"/>
  <c r="G13129" i="1"/>
  <c r="M13128" i="1"/>
  <c r="L13128" i="1"/>
  <c r="K13128" i="1"/>
  <c r="J13128" i="1"/>
  <c r="I13128" i="1"/>
  <c r="H13128" i="1"/>
  <c r="G13128" i="1"/>
  <c r="M13127" i="1"/>
  <c r="L13127" i="1"/>
  <c r="K13127" i="1"/>
  <c r="J13127" i="1"/>
  <c r="I13127" i="1"/>
  <c r="H13127" i="1"/>
  <c r="G13127" i="1"/>
  <c r="M13126" i="1"/>
  <c r="L13126" i="1"/>
  <c r="K13126" i="1"/>
  <c r="J13126" i="1"/>
  <c r="I13126" i="1"/>
  <c r="H13126" i="1"/>
  <c r="G13126" i="1"/>
  <c r="M13125" i="1"/>
  <c r="L13125" i="1"/>
  <c r="K13125" i="1"/>
  <c r="J13125" i="1"/>
  <c r="I13125" i="1"/>
  <c r="H13125" i="1"/>
  <c r="G13125" i="1"/>
  <c r="M13124" i="1"/>
  <c r="L13124" i="1"/>
  <c r="K13124" i="1"/>
  <c r="J13124" i="1"/>
  <c r="I13124" i="1"/>
  <c r="H13124" i="1"/>
  <c r="G13124" i="1"/>
  <c r="M13123" i="1"/>
  <c r="L13123" i="1"/>
  <c r="K13123" i="1"/>
  <c r="J13123" i="1"/>
  <c r="I13123" i="1"/>
  <c r="H13123" i="1"/>
  <c r="G13123" i="1"/>
  <c r="M13122" i="1"/>
  <c r="L13122" i="1"/>
  <c r="K13122" i="1"/>
  <c r="J13122" i="1"/>
  <c r="I13122" i="1"/>
  <c r="H13122" i="1"/>
  <c r="G13122" i="1"/>
  <c r="M13121" i="1"/>
  <c r="L13121" i="1"/>
  <c r="K13121" i="1"/>
  <c r="J13121" i="1"/>
  <c r="I13121" i="1"/>
  <c r="H13121" i="1"/>
  <c r="G13121" i="1"/>
  <c r="M13120" i="1"/>
  <c r="L13120" i="1"/>
  <c r="K13120" i="1"/>
  <c r="J13120" i="1"/>
  <c r="I13120" i="1"/>
  <c r="H13120" i="1"/>
  <c r="G13120" i="1"/>
  <c r="M13119" i="1"/>
  <c r="L13119" i="1"/>
  <c r="K13119" i="1"/>
  <c r="J13119" i="1"/>
  <c r="I13119" i="1"/>
  <c r="H13119" i="1"/>
  <c r="G13119" i="1"/>
  <c r="M13118" i="1"/>
  <c r="L13118" i="1"/>
  <c r="K13118" i="1"/>
  <c r="J13118" i="1"/>
  <c r="I13118" i="1"/>
  <c r="H13118" i="1"/>
  <c r="G13118" i="1"/>
  <c r="M13117" i="1"/>
  <c r="L13117" i="1"/>
  <c r="K13117" i="1"/>
  <c r="J13117" i="1"/>
  <c r="I13117" i="1"/>
  <c r="H13117" i="1"/>
  <c r="G13117" i="1"/>
  <c r="M13116" i="1"/>
  <c r="L13116" i="1"/>
  <c r="K13116" i="1"/>
  <c r="J13116" i="1"/>
  <c r="I13116" i="1"/>
  <c r="H13116" i="1"/>
  <c r="G13116" i="1"/>
  <c r="M13115" i="1"/>
  <c r="L13115" i="1"/>
  <c r="K13115" i="1"/>
  <c r="J13115" i="1"/>
  <c r="I13115" i="1"/>
  <c r="H13115" i="1"/>
  <c r="G13115" i="1"/>
  <c r="M13114" i="1"/>
  <c r="L13114" i="1"/>
  <c r="K13114" i="1"/>
  <c r="J13114" i="1"/>
  <c r="I13114" i="1"/>
  <c r="H13114" i="1"/>
  <c r="G13114" i="1"/>
  <c r="M13113" i="1"/>
  <c r="L13113" i="1"/>
  <c r="K13113" i="1"/>
  <c r="J13113" i="1"/>
  <c r="I13113" i="1"/>
  <c r="H13113" i="1"/>
  <c r="G13113" i="1"/>
  <c r="M13112" i="1"/>
  <c r="L13112" i="1"/>
  <c r="K13112" i="1"/>
  <c r="J13112" i="1"/>
  <c r="I13112" i="1"/>
  <c r="H13112" i="1"/>
  <c r="G13112" i="1"/>
  <c r="M13111" i="1"/>
  <c r="L13111" i="1"/>
  <c r="K13111" i="1"/>
  <c r="J13111" i="1"/>
  <c r="I13111" i="1"/>
  <c r="H13111" i="1"/>
  <c r="G13111" i="1"/>
  <c r="M13110" i="1"/>
  <c r="L13110" i="1"/>
  <c r="K13110" i="1"/>
  <c r="J13110" i="1"/>
  <c r="I13110" i="1"/>
  <c r="H13110" i="1"/>
  <c r="G13110" i="1"/>
  <c r="M13109" i="1"/>
  <c r="L13109" i="1"/>
  <c r="K13109" i="1"/>
  <c r="J13109" i="1"/>
  <c r="I13109" i="1"/>
  <c r="H13109" i="1"/>
  <c r="G13109" i="1"/>
  <c r="M13108" i="1"/>
  <c r="L13108" i="1"/>
  <c r="K13108" i="1"/>
  <c r="J13108" i="1"/>
  <c r="I13108" i="1"/>
  <c r="H13108" i="1"/>
  <c r="G13108" i="1"/>
  <c r="M13107" i="1"/>
  <c r="L13107" i="1"/>
  <c r="K13107" i="1"/>
  <c r="J13107" i="1"/>
  <c r="I13107" i="1"/>
  <c r="H13107" i="1"/>
  <c r="G13107" i="1"/>
  <c r="M13106" i="1"/>
  <c r="L13106" i="1"/>
  <c r="K13106" i="1"/>
  <c r="J13106" i="1"/>
  <c r="I13106" i="1"/>
  <c r="H13106" i="1"/>
  <c r="G13106" i="1"/>
  <c r="M13105" i="1"/>
  <c r="L13105" i="1"/>
  <c r="K13105" i="1"/>
  <c r="J13105" i="1"/>
  <c r="I13105" i="1"/>
  <c r="H13105" i="1"/>
  <c r="G13105" i="1"/>
  <c r="M13104" i="1"/>
  <c r="L13104" i="1"/>
  <c r="K13104" i="1"/>
  <c r="J13104" i="1"/>
  <c r="I13104" i="1"/>
  <c r="H13104" i="1"/>
  <c r="G13104" i="1"/>
  <c r="M13103" i="1"/>
  <c r="L13103" i="1"/>
  <c r="K13103" i="1"/>
  <c r="J13103" i="1"/>
  <c r="I13103" i="1"/>
  <c r="H13103" i="1"/>
  <c r="G13103" i="1"/>
  <c r="M13102" i="1"/>
  <c r="L13102" i="1"/>
  <c r="K13102" i="1"/>
  <c r="J13102" i="1"/>
  <c r="I13102" i="1"/>
  <c r="H13102" i="1"/>
  <c r="G13102" i="1"/>
  <c r="M13101" i="1"/>
  <c r="L13101" i="1"/>
  <c r="K13101" i="1"/>
  <c r="J13101" i="1"/>
  <c r="I13101" i="1"/>
  <c r="H13101" i="1"/>
  <c r="G13101" i="1"/>
  <c r="M13100" i="1"/>
  <c r="L13100" i="1"/>
  <c r="K13100" i="1"/>
  <c r="J13100" i="1"/>
  <c r="I13100" i="1"/>
  <c r="H13100" i="1"/>
  <c r="G13100" i="1"/>
  <c r="M13099" i="1"/>
  <c r="L13099" i="1"/>
  <c r="K13099" i="1"/>
  <c r="J13099" i="1"/>
  <c r="I13099" i="1"/>
  <c r="H13099" i="1"/>
  <c r="G13099" i="1"/>
  <c r="M13098" i="1"/>
  <c r="L13098" i="1"/>
  <c r="K13098" i="1"/>
  <c r="J13098" i="1"/>
  <c r="I13098" i="1"/>
  <c r="H13098" i="1"/>
  <c r="G13098" i="1"/>
  <c r="M13097" i="1"/>
  <c r="L13097" i="1"/>
  <c r="K13097" i="1"/>
  <c r="J13097" i="1"/>
  <c r="I13097" i="1"/>
  <c r="H13097" i="1"/>
  <c r="G13097" i="1"/>
  <c r="M13096" i="1"/>
  <c r="L13096" i="1"/>
  <c r="K13096" i="1"/>
  <c r="J13096" i="1"/>
  <c r="I13096" i="1"/>
  <c r="H13096" i="1"/>
  <c r="G13096" i="1"/>
  <c r="M13095" i="1"/>
  <c r="L13095" i="1"/>
  <c r="K13095" i="1"/>
  <c r="J13095" i="1"/>
  <c r="I13095" i="1"/>
  <c r="H13095" i="1"/>
  <c r="G13095" i="1"/>
  <c r="M13094" i="1"/>
  <c r="L13094" i="1"/>
  <c r="K13094" i="1"/>
  <c r="J13094" i="1"/>
  <c r="I13094" i="1"/>
  <c r="H13094" i="1"/>
  <c r="G13094" i="1"/>
  <c r="M13093" i="1"/>
  <c r="L13093" i="1"/>
  <c r="K13093" i="1"/>
  <c r="J13093" i="1"/>
  <c r="I13093" i="1"/>
  <c r="H13093" i="1"/>
  <c r="G13093" i="1"/>
  <c r="M13092" i="1"/>
  <c r="L13092" i="1"/>
  <c r="K13092" i="1"/>
  <c r="J13092" i="1"/>
  <c r="I13092" i="1"/>
  <c r="H13092" i="1"/>
  <c r="G13092" i="1"/>
  <c r="M13091" i="1"/>
  <c r="L13091" i="1"/>
  <c r="K13091" i="1"/>
  <c r="J13091" i="1"/>
  <c r="I13091" i="1"/>
  <c r="H13091" i="1"/>
  <c r="G13091" i="1"/>
  <c r="M13090" i="1"/>
  <c r="L13090" i="1"/>
  <c r="K13090" i="1"/>
  <c r="J13090" i="1"/>
  <c r="I13090" i="1"/>
  <c r="H13090" i="1"/>
  <c r="G13090" i="1"/>
  <c r="M13089" i="1"/>
  <c r="L13089" i="1"/>
  <c r="K13089" i="1"/>
  <c r="J13089" i="1"/>
  <c r="I13089" i="1"/>
  <c r="H13089" i="1"/>
  <c r="G13089" i="1"/>
  <c r="M13088" i="1"/>
  <c r="L13088" i="1"/>
  <c r="K13088" i="1"/>
  <c r="J13088" i="1"/>
  <c r="I13088" i="1"/>
  <c r="H13088" i="1"/>
  <c r="G13088" i="1"/>
  <c r="M13087" i="1"/>
  <c r="L13087" i="1"/>
  <c r="K13087" i="1"/>
  <c r="J13087" i="1"/>
  <c r="I13087" i="1"/>
  <c r="H13087" i="1"/>
  <c r="G13087" i="1"/>
  <c r="M13086" i="1"/>
  <c r="L13086" i="1"/>
  <c r="K13086" i="1"/>
  <c r="J13086" i="1"/>
  <c r="I13086" i="1"/>
  <c r="H13086" i="1"/>
  <c r="G13086" i="1"/>
  <c r="M13085" i="1"/>
  <c r="L13085" i="1"/>
  <c r="K13085" i="1"/>
  <c r="J13085" i="1"/>
  <c r="I13085" i="1"/>
  <c r="H13085" i="1"/>
  <c r="G13085" i="1"/>
  <c r="M13084" i="1"/>
  <c r="L13084" i="1"/>
  <c r="K13084" i="1"/>
  <c r="J13084" i="1"/>
  <c r="I13084" i="1"/>
  <c r="H13084" i="1"/>
  <c r="G13084" i="1"/>
  <c r="M13083" i="1"/>
  <c r="L13083" i="1"/>
  <c r="K13083" i="1"/>
  <c r="J13083" i="1"/>
  <c r="I13083" i="1"/>
  <c r="H13083" i="1"/>
  <c r="G13083" i="1"/>
  <c r="M13082" i="1"/>
  <c r="L13082" i="1"/>
  <c r="K13082" i="1"/>
  <c r="J13082" i="1"/>
  <c r="I13082" i="1"/>
  <c r="H13082" i="1"/>
  <c r="G13082" i="1"/>
  <c r="M13081" i="1"/>
  <c r="L13081" i="1"/>
  <c r="K13081" i="1"/>
  <c r="J13081" i="1"/>
  <c r="I13081" i="1"/>
  <c r="H13081" i="1"/>
  <c r="G13081" i="1"/>
  <c r="M13080" i="1"/>
  <c r="L13080" i="1"/>
  <c r="K13080" i="1"/>
  <c r="J13080" i="1"/>
  <c r="I13080" i="1"/>
  <c r="H13080" i="1"/>
  <c r="G13080" i="1"/>
  <c r="M13079" i="1"/>
  <c r="L13079" i="1"/>
  <c r="K13079" i="1"/>
  <c r="J13079" i="1"/>
  <c r="I13079" i="1"/>
  <c r="H13079" i="1"/>
  <c r="G13079" i="1"/>
  <c r="M13078" i="1"/>
  <c r="L13078" i="1"/>
  <c r="K13078" i="1"/>
  <c r="J13078" i="1"/>
  <c r="I13078" i="1"/>
  <c r="H13078" i="1"/>
  <c r="G13078" i="1"/>
  <c r="M13077" i="1"/>
  <c r="L13077" i="1"/>
  <c r="K13077" i="1"/>
  <c r="J13077" i="1"/>
  <c r="I13077" i="1"/>
  <c r="H13077" i="1"/>
  <c r="G13077" i="1"/>
  <c r="M13076" i="1"/>
  <c r="L13076" i="1"/>
  <c r="K13076" i="1"/>
  <c r="J13076" i="1"/>
  <c r="I13076" i="1"/>
  <c r="H13076" i="1"/>
  <c r="G13076" i="1"/>
  <c r="M13075" i="1"/>
  <c r="L13075" i="1"/>
  <c r="K13075" i="1"/>
  <c r="J13075" i="1"/>
  <c r="I13075" i="1"/>
  <c r="H13075" i="1"/>
  <c r="G13075" i="1"/>
  <c r="M13074" i="1"/>
  <c r="L13074" i="1"/>
  <c r="K13074" i="1"/>
  <c r="J13074" i="1"/>
  <c r="I13074" i="1"/>
  <c r="H13074" i="1"/>
  <c r="G13074" i="1"/>
  <c r="M13073" i="1"/>
  <c r="L13073" i="1"/>
  <c r="K13073" i="1"/>
  <c r="J13073" i="1"/>
  <c r="I13073" i="1"/>
  <c r="H13073" i="1"/>
  <c r="G13073" i="1"/>
  <c r="M13072" i="1"/>
  <c r="L13072" i="1"/>
  <c r="K13072" i="1"/>
  <c r="J13072" i="1"/>
  <c r="I13072" i="1"/>
  <c r="H13072" i="1"/>
  <c r="G13072" i="1"/>
  <c r="M13071" i="1"/>
  <c r="L13071" i="1"/>
  <c r="K13071" i="1"/>
  <c r="J13071" i="1"/>
  <c r="I13071" i="1"/>
  <c r="H13071" i="1"/>
  <c r="G13071" i="1"/>
  <c r="M13070" i="1"/>
  <c r="L13070" i="1"/>
  <c r="K13070" i="1"/>
  <c r="J13070" i="1"/>
  <c r="I13070" i="1"/>
  <c r="H13070" i="1"/>
  <c r="G13070" i="1"/>
  <c r="M13069" i="1"/>
  <c r="L13069" i="1"/>
  <c r="K13069" i="1"/>
  <c r="J13069" i="1"/>
  <c r="I13069" i="1"/>
  <c r="H13069" i="1"/>
  <c r="G13069" i="1"/>
  <c r="M13068" i="1"/>
  <c r="L13068" i="1"/>
  <c r="K13068" i="1"/>
  <c r="J13068" i="1"/>
  <c r="I13068" i="1"/>
  <c r="H13068" i="1"/>
  <c r="G13068" i="1"/>
  <c r="M13067" i="1"/>
  <c r="L13067" i="1"/>
  <c r="K13067" i="1"/>
  <c r="J13067" i="1"/>
  <c r="I13067" i="1"/>
  <c r="H13067" i="1"/>
  <c r="G13067" i="1"/>
  <c r="M13066" i="1"/>
  <c r="L13066" i="1"/>
  <c r="K13066" i="1"/>
  <c r="J13066" i="1"/>
  <c r="I13066" i="1"/>
  <c r="H13066" i="1"/>
  <c r="G13066" i="1"/>
  <c r="M13065" i="1"/>
  <c r="L13065" i="1"/>
  <c r="K13065" i="1"/>
  <c r="J13065" i="1"/>
  <c r="I13065" i="1"/>
  <c r="H13065" i="1"/>
  <c r="G13065" i="1"/>
  <c r="M13064" i="1"/>
  <c r="L13064" i="1"/>
  <c r="K13064" i="1"/>
  <c r="J13064" i="1"/>
  <c r="I13064" i="1"/>
  <c r="H13064" i="1"/>
  <c r="G13064" i="1"/>
  <c r="M13063" i="1"/>
  <c r="L13063" i="1"/>
  <c r="K13063" i="1"/>
  <c r="J13063" i="1"/>
  <c r="I13063" i="1"/>
  <c r="H13063" i="1"/>
  <c r="G13063" i="1"/>
  <c r="M13062" i="1"/>
  <c r="L13062" i="1"/>
  <c r="K13062" i="1"/>
  <c r="J13062" i="1"/>
  <c r="I13062" i="1"/>
  <c r="H13062" i="1"/>
  <c r="G13062" i="1"/>
  <c r="M13061" i="1"/>
  <c r="L13061" i="1"/>
  <c r="K13061" i="1"/>
  <c r="J13061" i="1"/>
  <c r="I13061" i="1"/>
  <c r="H13061" i="1"/>
  <c r="G13061" i="1"/>
  <c r="M13060" i="1"/>
  <c r="L13060" i="1"/>
  <c r="K13060" i="1"/>
  <c r="J13060" i="1"/>
  <c r="I13060" i="1"/>
  <c r="H13060" i="1"/>
  <c r="G13060" i="1"/>
  <c r="M13059" i="1"/>
  <c r="L13059" i="1"/>
  <c r="K13059" i="1"/>
  <c r="J13059" i="1"/>
  <c r="I13059" i="1"/>
  <c r="H13059" i="1"/>
  <c r="G13059" i="1"/>
  <c r="M13058" i="1"/>
  <c r="L13058" i="1"/>
  <c r="K13058" i="1"/>
  <c r="J13058" i="1"/>
  <c r="I13058" i="1"/>
  <c r="H13058" i="1"/>
  <c r="G13058" i="1"/>
  <c r="M13057" i="1"/>
  <c r="L13057" i="1"/>
  <c r="K13057" i="1"/>
  <c r="J13057" i="1"/>
  <c r="I13057" i="1"/>
  <c r="H13057" i="1"/>
  <c r="G13057" i="1"/>
  <c r="M13056" i="1"/>
  <c r="L13056" i="1"/>
  <c r="K13056" i="1"/>
  <c r="J13056" i="1"/>
  <c r="I13056" i="1"/>
  <c r="H13056" i="1"/>
  <c r="G13056" i="1"/>
  <c r="M13055" i="1"/>
  <c r="L13055" i="1"/>
  <c r="K13055" i="1"/>
  <c r="J13055" i="1"/>
  <c r="I13055" i="1"/>
  <c r="H13055" i="1"/>
  <c r="G13055" i="1"/>
  <c r="M13054" i="1"/>
  <c r="L13054" i="1"/>
  <c r="K13054" i="1"/>
  <c r="J13054" i="1"/>
  <c r="I13054" i="1"/>
  <c r="H13054" i="1"/>
  <c r="G13054" i="1"/>
  <c r="M13053" i="1"/>
  <c r="L13053" i="1"/>
  <c r="K13053" i="1"/>
  <c r="J13053" i="1"/>
  <c r="I13053" i="1"/>
  <c r="H13053" i="1"/>
  <c r="G13053" i="1"/>
  <c r="M13052" i="1"/>
  <c r="L13052" i="1"/>
  <c r="K13052" i="1"/>
  <c r="J13052" i="1"/>
  <c r="I13052" i="1"/>
  <c r="H13052" i="1"/>
  <c r="G13052" i="1"/>
  <c r="M13051" i="1"/>
  <c r="L13051" i="1"/>
  <c r="K13051" i="1"/>
  <c r="J13051" i="1"/>
  <c r="I13051" i="1"/>
  <c r="H13051" i="1"/>
  <c r="G13051" i="1"/>
  <c r="M13050" i="1"/>
  <c r="L13050" i="1"/>
  <c r="K13050" i="1"/>
  <c r="J13050" i="1"/>
  <c r="I13050" i="1"/>
  <c r="H13050" i="1"/>
  <c r="G13050" i="1"/>
  <c r="M13049" i="1"/>
  <c r="L13049" i="1"/>
  <c r="K13049" i="1"/>
  <c r="J13049" i="1"/>
  <c r="I13049" i="1"/>
  <c r="H13049" i="1"/>
  <c r="G13049" i="1"/>
  <c r="M13048" i="1"/>
  <c r="L13048" i="1"/>
  <c r="K13048" i="1"/>
  <c r="J13048" i="1"/>
  <c r="I13048" i="1"/>
  <c r="H13048" i="1"/>
  <c r="G13048" i="1"/>
  <c r="M13047" i="1"/>
  <c r="L13047" i="1"/>
  <c r="K13047" i="1"/>
  <c r="J13047" i="1"/>
  <c r="I13047" i="1"/>
  <c r="H13047" i="1"/>
  <c r="G13047" i="1"/>
  <c r="M13046" i="1"/>
  <c r="L13046" i="1"/>
  <c r="K13046" i="1"/>
  <c r="J13046" i="1"/>
  <c r="I13046" i="1"/>
  <c r="H13046" i="1"/>
  <c r="G13046" i="1"/>
  <c r="M13045" i="1"/>
  <c r="L13045" i="1"/>
  <c r="K13045" i="1"/>
  <c r="J13045" i="1"/>
  <c r="I13045" i="1"/>
  <c r="H13045" i="1"/>
  <c r="G13045" i="1"/>
  <c r="M13044" i="1"/>
  <c r="L13044" i="1"/>
  <c r="K13044" i="1"/>
  <c r="J13044" i="1"/>
  <c r="I13044" i="1"/>
  <c r="H13044" i="1"/>
  <c r="G13044" i="1"/>
  <c r="M13043" i="1"/>
  <c r="L13043" i="1"/>
  <c r="K13043" i="1"/>
  <c r="J13043" i="1"/>
  <c r="I13043" i="1"/>
  <c r="H13043" i="1"/>
  <c r="G13043" i="1"/>
  <c r="M13042" i="1"/>
  <c r="L13042" i="1"/>
  <c r="K13042" i="1"/>
  <c r="J13042" i="1"/>
  <c r="I13042" i="1"/>
  <c r="H13042" i="1"/>
  <c r="G13042" i="1"/>
  <c r="M13041" i="1"/>
  <c r="L13041" i="1"/>
  <c r="K13041" i="1"/>
  <c r="J13041" i="1"/>
  <c r="I13041" i="1"/>
  <c r="H13041" i="1"/>
  <c r="G13041" i="1"/>
  <c r="M13040" i="1"/>
  <c r="L13040" i="1"/>
  <c r="K13040" i="1"/>
  <c r="J13040" i="1"/>
  <c r="I13040" i="1"/>
  <c r="H13040" i="1"/>
  <c r="G13040" i="1"/>
  <c r="M13039" i="1"/>
  <c r="L13039" i="1"/>
  <c r="K13039" i="1"/>
  <c r="J13039" i="1"/>
  <c r="I13039" i="1"/>
  <c r="H13039" i="1"/>
  <c r="G13039" i="1"/>
  <c r="M13038" i="1"/>
  <c r="L13038" i="1"/>
  <c r="K13038" i="1"/>
  <c r="J13038" i="1"/>
  <c r="I13038" i="1"/>
  <c r="H13038" i="1"/>
  <c r="G13038" i="1"/>
  <c r="M13037" i="1"/>
  <c r="L13037" i="1"/>
  <c r="K13037" i="1"/>
  <c r="J13037" i="1"/>
  <c r="I13037" i="1"/>
  <c r="H13037" i="1"/>
  <c r="G13037" i="1"/>
  <c r="M13036" i="1"/>
  <c r="L13036" i="1"/>
  <c r="K13036" i="1"/>
  <c r="J13036" i="1"/>
  <c r="I13036" i="1"/>
  <c r="H13036" i="1"/>
  <c r="G13036" i="1"/>
  <c r="M13035" i="1"/>
  <c r="L13035" i="1"/>
  <c r="K13035" i="1"/>
  <c r="J13035" i="1"/>
  <c r="I13035" i="1"/>
  <c r="H13035" i="1"/>
  <c r="G13035" i="1"/>
  <c r="M13034" i="1"/>
  <c r="L13034" i="1"/>
  <c r="K13034" i="1"/>
  <c r="J13034" i="1"/>
  <c r="I13034" i="1"/>
  <c r="H13034" i="1"/>
  <c r="G13034" i="1"/>
  <c r="M13033" i="1"/>
  <c r="L13033" i="1"/>
  <c r="K13033" i="1"/>
  <c r="J13033" i="1"/>
  <c r="I13033" i="1"/>
  <c r="H13033" i="1"/>
  <c r="G13033" i="1"/>
  <c r="M13032" i="1"/>
  <c r="L13032" i="1"/>
  <c r="K13032" i="1"/>
  <c r="J13032" i="1"/>
  <c r="I13032" i="1"/>
  <c r="H13032" i="1"/>
  <c r="G13032" i="1"/>
  <c r="M13031" i="1"/>
  <c r="L13031" i="1"/>
  <c r="K13031" i="1"/>
  <c r="J13031" i="1"/>
  <c r="I13031" i="1"/>
  <c r="H13031" i="1"/>
  <c r="G13031" i="1"/>
  <c r="M13030" i="1"/>
  <c r="L13030" i="1"/>
  <c r="K13030" i="1"/>
  <c r="J13030" i="1"/>
  <c r="I13030" i="1"/>
  <c r="H13030" i="1"/>
  <c r="G13030" i="1"/>
  <c r="M13029" i="1"/>
  <c r="L13029" i="1"/>
  <c r="K13029" i="1"/>
  <c r="J13029" i="1"/>
  <c r="I13029" i="1"/>
  <c r="H13029" i="1"/>
  <c r="G13029" i="1"/>
  <c r="M13028" i="1"/>
  <c r="L13028" i="1"/>
  <c r="K13028" i="1"/>
  <c r="J13028" i="1"/>
  <c r="I13028" i="1"/>
  <c r="H13028" i="1"/>
  <c r="G13028" i="1"/>
  <c r="M13027" i="1"/>
  <c r="L13027" i="1"/>
  <c r="K13027" i="1"/>
  <c r="J13027" i="1"/>
  <c r="I13027" i="1"/>
  <c r="H13027" i="1"/>
  <c r="G13027" i="1"/>
  <c r="M13026" i="1"/>
  <c r="L13026" i="1"/>
  <c r="K13026" i="1"/>
  <c r="J13026" i="1"/>
  <c r="I13026" i="1"/>
  <c r="H13026" i="1"/>
  <c r="G13026" i="1"/>
  <c r="M13025" i="1"/>
  <c r="L13025" i="1"/>
  <c r="K13025" i="1"/>
  <c r="J13025" i="1"/>
  <c r="I13025" i="1"/>
  <c r="H13025" i="1"/>
  <c r="G13025" i="1"/>
  <c r="M13024" i="1"/>
  <c r="L13024" i="1"/>
  <c r="K13024" i="1"/>
  <c r="J13024" i="1"/>
  <c r="I13024" i="1"/>
  <c r="H13024" i="1"/>
  <c r="G13024" i="1"/>
  <c r="M13023" i="1"/>
  <c r="L13023" i="1"/>
  <c r="K13023" i="1"/>
  <c r="J13023" i="1"/>
  <c r="I13023" i="1"/>
  <c r="H13023" i="1"/>
  <c r="G13023" i="1"/>
  <c r="M13022" i="1"/>
  <c r="L13022" i="1"/>
  <c r="K13022" i="1"/>
  <c r="J13022" i="1"/>
  <c r="I13022" i="1"/>
  <c r="H13022" i="1"/>
  <c r="G13022" i="1"/>
  <c r="M13021" i="1"/>
  <c r="L13021" i="1"/>
  <c r="K13021" i="1"/>
  <c r="J13021" i="1"/>
  <c r="I13021" i="1"/>
  <c r="H13021" i="1"/>
  <c r="G13021" i="1"/>
  <c r="M13020" i="1"/>
  <c r="L13020" i="1"/>
  <c r="K13020" i="1"/>
  <c r="J13020" i="1"/>
  <c r="I13020" i="1"/>
  <c r="H13020" i="1"/>
  <c r="G13020" i="1"/>
  <c r="M13019" i="1"/>
  <c r="L13019" i="1"/>
  <c r="K13019" i="1"/>
  <c r="J13019" i="1"/>
  <c r="I13019" i="1"/>
  <c r="H13019" i="1"/>
  <c r="G13019" i="1"/>
  <c r="M13018" i="1"/>
  <c r="L13018" i="1"/>
  <c r="K13018" i="1"/>
  <c r="J13018" i="1"/>
  <c r="I13018" i="1"/>
  <c r="H13018" i="1"/>
  <c r="G13018" i="1"/>
  <c r="M13017" i="1"/>
  <c r="L13017" i="1"/>
  <c r="K13017" i="1"/>
  <c r="J13017" i="1"/>
  <c r="I13017" i="1"/>
  <c r="H13017" i="1"/>
  <c r="G13017" i="1"/>
  <c r="M13016" i="1"/>
  <c r="L13016" i="1"/>
  <c r="K13016" i="1"/>
  <c r="J13016" i="1"/>
  <c r="I13016" i="1"/>
  <c r="H13016" i="1"/>
  <c r="G13016" i="1"/>
  <c r="M13015" i="1"/>
  <c r="L13015" i="1"/>
  <c r="K13015" i="1"/>
  <c r="J13015" i="1"/>
  <c r="I13015" i="1"/>
  <c r="H13015" i="1"/>
  <c r="G13015" i="1"/>
  <c r="M13014" i="1"/>
  <c r="L13014" i="1"/>
  <c r="K13014" i="1"/>
  <c r="J13014" i="1"/>
  <c r="I13014" i="1"/>
  <c r="H13014" i="1"/>
  <c r="G13014" i="1"/>
  <c r="M13013" i="1"/>
  <c r="L13013" i="1"/>
  <c r="K13013" i="1"/>
  <c r="J13013" i="1"/>
  <c r="I13013" i="1"/>
  <c r="H13013" i="1"/>
  <c r="G13013" i="1"/>
  <c r="M13012" i="1"/>
  <c r="L13012" i="1"/>
  <c r="K13012" i="1"/>
  <c r="J13012" i="1"/>
  <c r="I13012" i="1"/>
  <c r="H13012" i="1"/>
  <c r="G13012" i="1"/>
  <c r="M13011" i="1"/>
  <c r="L13011" i="1"/>
  <c r="K13011" i="1"/>
  <c r="J13011" i="1"/>
  <c r="I13011" i="1"/>
  <c r="H13011" i="1"/>
  <c r="G13011" i="1"/>
  <c r="M13010" i="1"/>
  <c r="L13010" i="1"/>
  <c r="K13010" i="1"/>
  <c r="J13010" i="1"/>
  <c r="I13010" i="1"/>
  <c r="H13010" i="1"/>
  <c r="G13010" i="1"/>
  <c r="M13009" i="1"/>
  <c r="L13009" i="1"/>
  <c r="K13009" i="1"/>
  <c r="J13009" i="1"/>
  <c r="I13009" i="1"/>
  <c r="H13009" i="1"/>
  <c r="G13009" i="1"/>
  <c r="M13008" i="1"/>
  <c r="L13008" i="1"/>
  <c r="K13008" i="1"/>
  <c r="J13008" i="1"/>
  <c r="I13008" i="1"/>
  <c r="H13008" i="1"/>
  <c r="G13008" i="1"/>
  <c r="M13007" i="1"/>
  <c r="L13007" i="1"/>
  <c r="K13007" i="1"/>
  <c r="J13007" i="1"/>
  <c r="I13007" i="1"/>
  <c r="H13007" i="1"/>
  <c r="G13007" i="1"/>
  <c r="M13006" i="1"/>
  <c r="L13006" i="1"/>
  <c r="K13006" i="1"/>
  <c r="J13006" i="1"/>
  <c r="I13006" i="1"/>
  <c r="H13006" i="1"/>
  <c r="G13006" i="1"/>
  <c r="M13005" i="1"/>
  <c r="L13005" i="1"/>
  <c r="K13005" i="1"/>
  <c r="J13005" i="1"/>
  <c r="I13005" i="1"/>
  <c r="H13005" i="1"/>
  <c r="G13005" i="1"/>
  <c r="M13004" i="1"/>
  <c r="L13004" i="1"/>
  <c r="K13004" i="1"/>
  <c r="J13004" i="1"/>
  <c r="I13004" i="1"/>
  <c r="H13004" i="1"/>
  <c r="G13004" i="1"/>
  <c r="M13003" i="1"/>
  <c r="L13003" i="1"/>
  <c r="K13003" i="1"/>
  <c r="J13003" i="1"/>
  <c r="I13003" i="1"/>
  <c r="H13003" i="1"/>
  <c r="G13003" i="1"/>
  <c r="M13002" i="1"/>
  <c r="L13002" i="1"/>
  <c r="K13002" i="1"/>
  <c r="J13002" i="1"/>
  <c r="I13002" i="1"/>
  <c r="H13002" i="1"/>
  <c r="G13002" i="1"/>
  <c r="M13001" i="1"/>
  <c r="L13001" i="1"/>
  <c r="K13001" i="1"/>
  <c r="J13001" i="1"/>
  <c r="I13001" i="1"/>
  <c r="H13001" i="1"/>
  <c r="G13001" i="1"/>
  <c r="M13000" i="1"/>
  <c r="L13000" i="1"/>
  <c r="K13000" i="1"/>
  <c r="J13000" i="1"/>
  <c r="I13000" i="1"/>
  <c r="H13000" i="1"/>
  <c r="G13000" i="1"/>
  <c r="M12999" i="1"/>
  <c r="L12999" i="1"/>
  <c r="K12999" i="1"/>
  <c r="J12999" i="1"/>
  <c r="I12999" i="1"/>
  <c r="H12999" i="1"/>
  <c r="G12999" i="1"/>
  <c r="M12998" i="1"/>
  <c r="L12998" i="1"/>
  <c r="K12998" i="1"/>
  <c r="J12998" i="1"/>
  <c r="I12998" i="1"/>
  <c r="H12998" i="1"/>
  <c r="G12998" i="1"/>
  <c r="M12997" i="1"/>
  <c r="L12997" i="1"/>
  <c r="K12997" i="1"/>
  <c r="J12997" i="1"/>
  <c r="I12997" i="1"/>
  <c r="H12997" i="1"/>
  <c r="G12997" i="1"/>
  <c r="M12996" i="1"/>
  <c r="L12996" i="1"/>
  <c r="K12996" i="1"/>
  <c r="J12996" i="1"/>
  <c r="I12996" i="1"/>
  <c r="H12996" i="1"/>
  <c r="G12996" i="1"/>
  <c r="M12995" i="1"/>
  <c r="L12995" i="1"/>
  <c r="K12995" i="1"/>
  <c r="J12995" i="1"/>
  <c r="I12995" i="1"/>
  <c r="H12995" i="1"/>
  <c r="G12995" i="1"/>
  <c r="M12994" i="1"/>
  <c r="L12994" i="1"/>
  <c r="K12994" i="1"/>
  <c r="J12994" i="1"/>
  <c r="I12994" i="1"/>
  <c r="H12994" i="1"/>
  <c r="G12994" i="1"/>
  <c r="M12993" i="1"/>
  <c r="L12993" i="1"/>
  <c r="K12993" i="1"/>
  <c r="J12993" i="1"/>
  <c r="I12993" i="1"/>
  <c r="H12993" i="1"/>
  <c r="G12993" i="1"/>
  <c r="M12992" i="1"/>
  <c r="L12992" i="1"/>
  <c r="K12992" i="1"/>
  <c r="J12992" i="1"/>
  <c r="I12992" i="1"/>
  <c r="H12992" i="1"/>
  <c r="G12992" i="1"/>
  <c r="M12991" i="1"/>
  <c r="L12991" i="1"/>
  <c r="K12991" i="1"/>
  <c r="J12991" i="1"/>
  <c r="I12991" i="1"/>
  <c r="H12991" i="1"/>
  <c r="G12991" i="1"/>
  <c r="M12990" i="1"/>
  <c r="L12990" i="1"/>
  <c r="K12990" i="1"/>
  <c r="J12990" i="1"/>
  <c r="I12990" i="1"/>
  <c r="H12990" i="1"/>
  <c r="G12990" i="1"/>
  <c r="M12989" i="1"/>
  <c r="L12989" i="1"/>
  <c r="K12989" i="1"/>
  <c r="J12989" i="1"/>
  <c r="I12989" i="1"/>
  <c r="H12989" i="1"/>
  <c r="G12989" i="1"/>
  <c r="M12988" i="1"/>
  <c r="L12988" i="1"/>
  <c r="K12988" i="1"/>
  <c r="J12988" i="1"/>
  <c r="I12988" i="1"/>
  <c r="H12988" i="1"/>
  <c r="G12988" i="1"/>
  <c r="M12987" i="1"/>
  <c r="L12987" i="1"/>
  <c r="K12987" i="1"/>
  <c r="J12987" i="1"/>
  <c r="I12987" i="1"/>
  <c r="H12987" i="1"/>
  <c r="G12987" i="1"/>
  <c r="M12986" i="1"/>
  <c r="L12986" i="1"/>
  <c r="K12986" i="1"/>
  <c r="J12986" i="1"/>
  <c r="I12986" i="1"/>
  <c r="H12986" i="1"/>
  <c r="G12986" i="1"/>
  <c r="M12985" i="1"/>
  <c r="L12985" i="1"/>
  <c r="K12985" i="1"/>
  <c r="J12985" i="1"/>
  <c r="I12985" i="1"/>
  <c r="H12985" i="1"/>
  <c r="G12985" i="1"/>
  <c r="M12984" i="1"/>
  <c r="L12984" i="1"/>
  <c r="K12984" i="1"/>
  <c r="J12984" i="1"/>
  <c r="I12984" i="1"/>
  <c r="H12984" i="1"/>
  <c r="G12984" i="1"/>
  <c r="M12983" i="1"/>
  <c r="L12983" i="1"/>
  <c r="K12983" i="1"/>
  <c r="J12983" i="1"/>
  <c r="I12983" i="1"/>
  <c r="H12983" i="1"/>
  <c r="G12983" i="1"/>
  <c r="M12982" i="1"/>
  <c r="L12982" i="1"/>
  <c r="K12982" i="1"/>
  <c r="J12982" i="1"/>
  <c r="I12982" i="1"/>
  <c r="H12982" i="1"/>
  <c r="G12982" i="1"/>
  <c r="M12981" i="1"/>
  <c r="L12981" i="1"/>
  <c r="K12981" i="1"/>
  <c r="J12981" i="1"/>
  <c r="I12981" i="1"/>
  <c r="H12981" i="1"/>
  <c r="G12981" i="1"/>
  <c r="M12980" i="1"/>
  <c r="L12980" i="1"/>
  <c r="K12980" i="1"/>
  <c r="J12980" i="1"/>
  <c r="I12980" i="1"/>
  <c r="H12980" i="1"/>
  <c r="G12980" i="1"/>
  <c r="M12979" i="1"/>
  <c r="L12979" i="1"/>
  <c r="K12979" i="1"/>
  <c r="J12979" i="1"/>
  <c r="I12979" i="1"/>
  <c r="H12979" i="1"/>
  <c r="G12979" i="1"/>
  <c r="M12978" i="1"/>
  <c r="L12978" i="1"/>
  <c r="K12978" i="1"/>
  <c r="J12978" i="1"/>
  <c r="I12978" i="1"/>
  <c r="H12978" i="1"/>
  <c r="G12978" i="1"/>
  <c r="M12977" i="1"/>
  <c r="L12977" i="1"/>
  <c r="K12977" i="1"/>
  <c r="J12977" i="1"/>
  <c r="I12977" i="1"/>
  <c r="H12977" i="1"/>
  <c r="G12977" i="1"/>
  <c r="M12976" i="1"/>
  <c r="L12976" i="1"/>
  <c r="K12976" i="1"/>
  <c r="J12976" i="1"/>
  <c r="I12976" i="1"/>
  <c r="H12976" i="1"/>
  <c r="G12976" i="1"/>
  <c r="M12975" i="1"/>
  <c r="L12975" i="1"/>
  <c r="K12975" i="1"/>
  <c r="J12975" i="1"/>
  <c r="I12975" i="1"/>
  <c r="H12975" i="1"/>
  <c r="G12975" i="1"/>
  <c r="M12974" i="1"/>
  <c r="L12974" i="1"/>
  <c r="K12974" i="1"/>
  <c r="J12974" i="1"/>
  <c r="I12974" i="1"/>
  <c r="H12974" i="1"/>
  <c r="G12974" i="1"/>
  <c r="M12973" i="1"/>
  <c r="L12973" i="1"/>
  <c r="K12973" i="1"/>
  <c r="J12973" i="1"/>
  <c r="I12973" i="1"/>
  <c r="H12973" i="1"/>
  <c r="G12973" i="1"/>
  <c r="M12972" i="1"/>
  <c r="L12972" i="1"/>
  <c r="K12972" i="1"/>
  <c r="J12972" i="1"/>
  <c r="I12972" i="1"/>
  <c r="H12972" i="1"/>
  <c r="G12972" i="1"/>
  <c r="M12971" i="1"/>
  <c r="L12971" i="1"/>
  <c r="K12971" i="1"/>
  <c r="J12971" i="1"/>
  <c r="I12971" i="1"/>
  <c r="H12971" i="1"/>
  <c r="G12971" i="1"/>
  <c r="M12970" i="1"/>
  <c r="L12970" i="1"/>
  <c r="K12970" i="1"/>
  <c r="J12970" i="1"/>
  <c r="I12970" i="1"/>
  <c r="H12970" i="1"/>
  <c r="G12970" i="1"/>
  <c r="M12969" i="1"/>
  <c r="L12969" i="1"/>
  <c r="K12969" i="1"/>
  <c r="J12969" i="1"/>
  <c r="I12969" i="1"/>
  <c r="H12969" i="1"/>
  <c r="G12969" i="1"/>
  <c r="M12968" i="1"/>
  <c r="L12968" i="1"/>
  <c r="K12968" i="1"/>
  <c r="J12968" i="1"/>
  <c r="I12968" i="1"/>
  <c r="H12968" i="1"/>
  <c r="G12968" i="1"/>
  <c r="M12967" i="1"/>
  <c r="L12967" i="1"/>
  <c r="K12967" i="1"/>
  <c r="J12967" i="1"/>
  <c r="I12967" i="1"/>
  <c r="H12967" i="1"/>
  <c r="G12967" i="1"/>
  <c r="M12966" i="1"/>
  <c r="L12966" i="1"/>
  <c r="K12966" i="1"/>
  <c r="J12966" i="1"/>
  <c r="I12966" i="1"/>
  <c r="H12966" i="1"/>
  <c r="G12966" i="1"/>
  <c r="M12965" i="1"/>
  <c r="L12965" i="1"/>
  <c r="K12965" i="1"/>
  <c r="J12965" i="1"/>
  <c r="I12965" i="1"/>
  <c r="H12965" i="1"/>
  <c r="G12965" i="1"/>
  <c r="M12964" i="1"/>
  <c r="L12964" i="1"/>
  <c r="K12964" i="1"/>
  <c r="J12964" i="1"/>
  <c r="I12964" i="1"/>
  <c r="H12964" i="1"/>
  <c r="G12964" i="1"/>
  <c r="M12963" i="1"/>
  <c r="L12963" i="1"/>
  <c r="K12963" i="1"/>
  <c r="J12963" i="1"/>
  <c r="I12963" i="1"/>
  <c r="H12963" i="1"/>
  <c r="G12963" i="1"/>
  <c r="M12962" i="1"/>
  <c r="L12962" i="1"/>
  <c r="K12962" i="1"/>
  <c r="J12962" i="1"/>
  <c r="I12962" i="1"/>
  <c r="H12962" i="1"/>
  <c r="G12962" i="1"/>
  <c r="M12961" i="1"/>
  <c r="L12961" i="1"/>
  <c r="K12961" i="1"/>
  <c r="J12961" i="1"/>
  <c r="I12961" i="1"/>
  <c r="H12961" i="1"/>
  <c r="G12961" i="1"/>
  <c r="M12960" i="1"/>
  <c r="L12960" i="1"/>
  <c r="K12960" i="1"/>
  <c r="J12960" i="1"/>
  <c r="I12960" i="1"/>
  <c r="H12960" i="1"/>
  <c r="G12960" i="1"/>
  <c r="M12959" i="1"/>
  <c r="L12959" i="1"/>
  <c r="K12959" i="1"/>
  <c r="J12959" i="1"/>
  <c r="I12959" i="1"/>
  <c r="H12959" i="1"/>
  <c r="G12959" i="1"/>
  <c r="M12958" i="1"/>
  <c r="L12958" i="1"/>
  <c r="K12958" i="1"/>
  <c r="J12958" i="1"/>
  <c r="I12958" i="1"/>
  <c r="H12958" i="1"/>
  <c r="G12958" i="1"/>
  <c r="M12957" i="1"/>
  <c r="L12957" i="1"/>
  <c r="K12957" i="1"/>
  <c r="J12957" i="1"/>
  <c r="I12957" i="1"/>
  <c r="H12957" i="1"/>
  <c r="G12957" i="1"/>
  <c r="M12956" i="1"/>
  <c r="L12956" i="1"/>
  <c r="K12956" i="1"/>
  <c r="J12956" i="1"/>
  <c r="I12956" i="1"/>
  <c r="H12956" i="1"/>
  <c r="G12956" i="1"/>
  <c r="M12955" i="1"/>
  <c r="L12955" i="1"/>
  <c r="K12955" i="1"/>
  <c r="J12955" i="1"/>
  <c r="I12955" i="1"/>
  <c r="H12955" i="1"/>
  <c r="G12955" i="1"/>
  <c r="M12954" i="1"/>
  <c r="L12954" i="1"/>
  <c r="K12954" i="1"/>
  <c r="J12954" i="1"/>
  <c r="I12954" i="1"/>
  <c r="H12954" i="1"/>
  <c r="G12954" i="1"/>
  <c r="M12953" i="1"/>
  <c r="L12953" i="1"/>
  <c r="K12953" i="1"/>
  <c r="J12953" i="1"/>
  <c r="I12953" i="1"/>
  <c r="H12953" i="1"/>
  <c r="G12953" i="1"/>
  <c r="M12952" i="1"/>
  <c r="L12952" i="1"/>
  <c r="K12952" i="1"/>
  <c r="J12952" i="1"/>
  <c r="I12952" i="1"/>
  <c r="H12952" i="1"/>
  <c r="G12952" i="1"/>
  <c r="M12951" i="1"/>
  <c r="L12951" i="1"/>
  <c r="K12951" i="1"/>
  <c r="J12951" i="1"/>
  <c r="I12951" i="1"/>
  <c r="H12951" i="1"/>
  <c r="G12951" i="1"/>
  <c r="M12950" i="1"/>
  <c r="L12950" i="1"/>
  <c r="K12950" i="1"/>
  <c r="J12950" i="1"/>
  <c r="I12950" i="1"/>
  <c r="H12950" i="1"/>
  <c r="G12950" i="1"/>
  <c r="M12949" i="1"/>
  <c r="L12949" i="1"/>
  <c r="K12949" i="1"/>
  <c r="J12949" i="1"/>
  <c r="I12949" i="1"/>
  <c r="H12949" i="1"/>
  <c r="G12949" i="1"/>
  <c r="M12948" i="1"/>
  <c r="L12948" i="1"/>
  <c r="K12948" i="1"/>
  <c r="J12948" i="1"/>
  <c r="I12948" i="1"/>
  <c r="H12948" i="1"/>
  <c r="G12948" i="1"/>
  <c r="M12947" i="1"/>
  <c r="L12947" i="1"/>
  <c r="K12947" i="1"/>
  <c r="J12947" i="1"/>
  <c r="I12947" i="1"/>
  <c r="H12947" i="1"/>
  <c r="G12947" i="1"/>
  <c r="M12946" i="1"/>
  <c r="L12946" i="1"/>
  <c r="K12946" i="1"/>
  <c r="J12946" i="1"/>
  <c r="I12946" i="1"/>
  <c r="H12946" i="1"/>
  <c r="G12946" i="1"/>
  <c r="M12945" i="1"/>
  <c r="L12945" i="1"/>
  <c r="K12945" i="1"/>
  <c r="J12945" i="1"/>
  <c r="I12945" i="1"/>
  <c r="H12945" i="1"/>
  <c r="G12945" i="1"/>
  <c r="M12944" i="1"/>
  <c r="L12944" i="1"/>
  <c r="K12944" i="1"/>
  <c r="J12944" i="1"/>
  <c r="I12944" i="1"/>
  <c r="H12944" i="1"/>
  <c r="G12944" i="1"/>
  <c r="M12943" i="1"/>
  <c r="L12943" i="1"/>
  <c r="K12943" i="1"/>
  <c r="J12943" i="1"/>
  <c r="I12943" i="1"/>
  <c r="H12943" i="1"/>
  <c r="G12943" i="1"/>
  <c r="M12942" i="1"/>
  <c r="L12942" i="1"/>
  <c r="K12942" i="1"/>
  <c r="J12942" i="1"/>
  <c r="I12942" i="1"/>
  <c r="H12942" i="1"/>
  <c r="G12942" i="1"/>
  <c r="M12941" i="1"/>
  <c r="L12941" i="1"/>
  <c r="K12941" i="1"/>
  <c r="J12941" i="1"/>
  <c r="I12941" i="1"/>
  <c r="H12941" i="1"/>
  <c r="G12941" i="1"/>
  <c r="M12940" i="1"/>
  <c r="L12940" i="1"/>
  <c r="K12940" i="1"/>
  <c r="J12940" i="1"/>
  <c r="I12940" i="1"/>
  <c r="H12940" i="1"/>
  <c r="G12940" i="1"/>
  <c r="M12939" i="1"/>
  <c r="L12939" i="1"/>
  <c r="K12939" i="1"/>
  <c r="J12939" i="1"/>
  <c r="I12939" i="1"/>
  <c r="H12939" i="1"/>
  <c r="G12939" i="1"/>
  <c r="M12938" i="1"/>
  <c r="L12938" i="1"/>
  <c r="K12938" i="1"/>
  <c r="J12938" i="1"/>
  <c r="I12938" i="1"/>
  <c r="H12938" i="1"/>
  <c r="G12938" i="1"/>
  <c r="M12937" i="1"/>
  <c r="L12937" i="1"/>
  <c r="K12937" i="1"/>
  <c r="J12937" i="1"/>
  <c r="I12937" i="1"/>
  <c r="H12937" i="1"/>
  <c r="G12937" i="1"/>
  <c r="M12936" i="1"/>
  <c r="L12936" i="1"/>
  <c r="K12936" i="1"/>
  <c r="J12936" i="1"/>
  <c r="I12936" i="1"/>
  <c r="H12936" i="1"/>
  <c r="G12936" i="1"/>
  <c r="M12935" i="1"/>
  <c r="L12935" i="1"/>
  <c r="K12935" i="1"/>
  <c r="J12935" i="1"/>
  <c r="I12935" i="1"/>
  <c r="H12935" i="1"/>
  <c r="G12935" i="1"/>
  <c r="M12934" i="1"/>
  <c r="L12934" i="1"/>
  <c r="K12934" i="1"/>
  <c r="J12934" i="1"/>
  <c r="I12934" i="1"/>
  <c r="H12934" i="1"/>
  <c r="G12934" i="1"/>
  <c r="M12933" i="1"/>
  <c r="L12933" i="1"/>
  <c r="K12933" i="1"/>
  <c r="J12933" i="1"/>
  <c r="I12933" i="1"/>
  <c r="H12933" i="1"/>
  <c r="G12933" i="1"/>
  <c r="M12932" i="1"/>
  <c r="L12932" i="1"/>
  <c r="K12932" i="1"/>
  <c r="J12932" i="1"/>
  <c r="I12932" i="1"/>
  <c r="H12932" i="1"/>
  <c r="G12932" i="1"/>
  <c r="M12931" i="1"/>
  <c r="L12931" i="1"/>
  <c r="K12931" i="1"/>
  <c r="J12931" i="1"/>
  <c r="I12931" i="1"/>
  <c r="H12931" i="1"/>
  <c r="G12931" i="1"/>
  <c r="M12930" i="1"/>
  <c r="L12930" i="1"/>
  <c r="K12930" i="1"/>
  <c r="J12930" i="1"/>
  <c r="I12930" i="1"/>
  <c r="H12930" i="1"/>
  <c r="G12930" i="1"/>
  <c r="M12929" i="1"/>
  <c r="L12929" i="1"/>
  <c r="K12929" i="1"/>
  <c r="J12929" i="1"/>
  <c r="I12929" i="1"/>
  <c r="H12929" i="1"/>
  <c r="G12929" i="1"/>
  <c r="M12928" i="1"/>
  <c r="L12928" i="1"/>
  <c r="K12928" i="1"/>
  <c r="J12928" i="1"/>
  <c r="I12928" i="1"/>
  <c r="H12928" i="1"/>
  <c r="G12928" i="1"/>
  <c r="M12927" i="1"/>
  <c r="L12927" i="1"/>
  <c r="K12927" i="1"/>
  <c r="J12927" i="1"/>
  <c r="I12927" i="1"/>
  <c r="H12927" i="1"/>
  <c r="G12927" i="1"/>
  <c r="M12926" i="1"/>
  <c r="L12926" i="1"/>
  <c r="K12926" i="1"/>
  <c r="J12926" i="1"/>
  <c r="I12926" i="1"/>
  <c r="H12926" i="1"/>
  <c r="G12926" i="1"/>
  <c r="M12925" i="1"/>
  <c r="L12925" i="1"/>
  <c r="K12925" i="1"/>
  <c r="J12925" i="1"/>
  <c r="I12925" i="1"/>
  <c r="H12925" i="1"/>
  <c r="G12925" i="1"/>
  <c r="M12924" i="1"/>
  <c r="L12924" i="1"/>
  <c r="K12924" i="1"/>
  <c r="J12924" i="1"/>
  <c r="I12924" i="1"/>
  <c r="H12924" i="1"/>
  <c r="G12924" i="1"/>
  <c r="M12923" i="1"/>
  <c r="L12923" i="1"/>
  <c r="K12923" i="1"/>
  <c r="J12923" i="1"/>
  <c r="I12923" i="1"/>
  <c r="H12923" i="1"/>
  <c r="G12923" i="1"/>
  <c r="M12922" i="1"/>
  <c r="L12922" i="1"/>
  <c r="K12922" i="1"/>
  <c r="J12922" i="1"/>
  <c r="I12922" i="1"/>
  <c r="H12922" i="1"/>
  <c r="G12922" i="1"/>
  <c r="M12921" i="1"/>
  <c r="L12921" i="1"/>
  <c r="K12921" i="1"/>
  <c r="J12921" i="1"/>
  <c r="I12921" i="1"/>
  <c r="H12921" i="1"/>
  <c r="G12921" i="1"/>
  <c r="M12920" i="1"/>
  <c r="L12920" i="1"/>
  <c r="K12920" i="1"/>
  <c r="J12920" i="1"/>
  <c r="I12920" i="1"/>
  <c r="H12920" i="1"/>
  <c r="G12920" i="1"/>
  <c r="M12919" i="1"/>
  <c r="L12919" i="1"/>
  <c r="K12919" i="1"/>
  <c r="J12919" i="1"/>
  <c r="I12919" i="1"/>
  <c r="H12919" i="1"/>
  <c r="G12919" i="1"/>
  <c r="M12918" i="1"/>
  <c r="L12918" i="1"/>
  <c r="K12918" i="1"/>
  <c r="J12918" i="1"/>
  <c r="I12918" i="1"/>
  <c r="H12918" i="1"/>
  <c r="G12918" i="1"/>
  <c r="M12917" i="1"/>
  <c r="L12917" i="1"/>
  <c r="K12917" i="1"/>
  <c r="J12917" i="1"/>
  <c r="I12917" i="1"/>
  <c r="H12917" i="1"/>
  <c r="G12917" i="1"/>
  <c r="M12916" i="1"/>
  <c r="L12916" i="1"/>
  <c r="K12916" i="1"/>
  <c r="J12916" i="1"/>
  <c r="I12916" i="1"/>
  <c r="H12916" i="1"/>
  <c r="G12916" i="1"/>
  <c r="M12915" i="1"/>
  <c r="L12915" i="1"/>
  <c r="K12915" i="1"/>
  <c r="J12915" i="1"/>
  <c r="I12915" i="1"/>
  <c r="H12915" i="1"/>
  <c r="G12915" i="1"/>
  <c r="M12914" i="1"/>
  <c r="L12914" i="1"/>
  <c r="K12914" i="1"/>
  <c r="J12914" i="1"/>
  <c r="I12914" i="1"/>
  <c r="H12914" i="1"/>
  <c r="G12914" i="1"/>
  <c r="M12913" i="1"/>
  <c r="L12913" i="1"/>
  <c r="K12913" i="1"/>
  <c r="J12913" i="1"/>
  <c r="I12913" i="1"/>
  <c r="H12913" i="1"/>
  <c r="G12913" i="1"/>
  <c r="M12912" i="1"/>
  <c r="L12912" i="1"/>
  <c r="K12912" i="1"/>
  <c r="J12912" i="1"/>
  <c r="I12912" i="1"/>
  <c r="H12912" i="1"/>
  <c r="G12912" i="1"/>
  <c r="M12911" i="1"/>
  <c r="L12911" i="1"/>
  <c r="K12911" i="1"/>
  <c r="J12911" i="1"/>
  <c r="I12911" i="1"/>
  <c r="H12911" i="1"/>
  <c r="G12911" i="1"/>
  <c r="M12910" i="1"/>
  <c r="L12910" i="1"/>
  <c r="K12910" i="1"/>
  <c r="J12910" i="1"/>
  <c r="I12910" i="1"/>
  <c r="H12910" i="1"/>
  <c r="G12910" i="1"/>
  <c r="M12909" i="1"/>
  <c r="L12909" i="1"/>
  <c r="K12909" i="1"/>
  <c r="J12909" i="1"/>
  <c r="I12909" i="1"/>
  <c r="H12909" i="1"/>
  <c r="G12909" i="1"/>
  <c r="M12908" i="1"/>
  <c r="L12908" i="1"/>
  <c r="K12908" i="1"/>
  <c r="J12908" i="1"/>
  <c r="I12908" i="1"/>
  <c r="H12908" i="1"/>
  <c r="G12908" i="1"/>
  <c r="M12907" i="1"/>
  <c r="L12907" i="1"/>
  <c r="K12907" i="1"/>
  <c r="J12907" i="1"/>
  <c r="I12907" i="1"/>
  <c r="H12907" i="1"/>
  <c r="G12907" i="1"/>
  <c r="M12906" i="1"/>
  <c r="L12906" i="1"/>
  <c r="K12906" i="1"/>
  <c r="J12906" i="1"/>
  <c r="I12906" i="1"/>
  <c r="H12906" i="1"/>
  <c r="G12906" i="1"/>
  <c r="M12905" i="1"/>
  <c r="L12905" i="1"/>
  <c r="K12905" i="1"/>
  <c r="J12905" i="1"/>
  <c r="I12905" i="1"/>
  <c r="H12905" i="1"/>
  <c r="G12905" i="1"/>
  <c r="M12904" i="1"/>
  <c r="L12904" i="1"/>
  <c r="K12904" i="1"/>
  <c r="J12904" i="1"/>
  <c r="I12904" i="1"/>
  <c r="H12904" i="1"/>
  <c r="G12904" i="1"/>
  <c r="M12903" i="1"/>
  <c r="L12903" i="1"/>
  <c r="K12903" i="1"/>
  <c r="J12903" i="1"/>
  <c r="I12903" i="1"/>
  <c r="H12903" i="1"/>
  <c r="G12903" i="1"/>
  <c r="M12902" i="1"/>
  <c r="L12902" i="1"/>
  <c r="K12902" i="1"/>
  <c r="J12902" i="1"/>
  <c r="I12902" i="1"/>
  <c r="H12902" i="1"/>
  <c r="G12902" i="1"/>
  <c r="M12901" i="1"/>
  <c r="L12901" i="1"/>
  <c r="K12901" i="1"/>
  <c r="J12901" i="1"/>
  <c r="I12901" i="1"/>
  <c r="H12901" i="1"/>
  <c r="G12901" i="1"/>
  <c r="M12900" i="1"/>
  <c r="L12900" i="1"/>
  <c r="K12900" i="1"/>
  <c r="J12900" i="1"/>
  <c r="I12900" i="1"/>
  <c r="H12900" i="1"/>
  <c r="G12900" i="1"/>
  <c r="M12899" i="1"/>
  <c r="L12899" i="1"/>
  <c r="K12899" i="1"/>
  <c r="J12899" i="1"/>
  <c r="I12899" i="1"/>
  <c r="H12899" i="1"/>
  <c r="G12899" i="1"/>
  <c r="M12898" i="1"/>
  <c r="L12898" i="1"/>
  <c r="K12898" i="1"/>
  <c r="J12898" i="1"/>
  <c r="I12898" i="1"/>
  <c r="H12898" i="1"/>
  <c r="G12898" i="1"/>
  <c r="M12897" i="1"/>
  <c r="L12897" i="1"/>
  <c r="K12897" i="1"/>
  <c r="J12897" i="1"/>
  <c r="I12897" i="1"/>
  <c r="H12897" i="1"/>
  <c r="G12897" i="1"/>
  <c r="M12896" i="1"/>
  <c r="L12896" i="1"/>
  <c r="K12896" i="1"/>
  <c r="J12896" i="1"/>
  <c r="I12896" i="1"/>
  <c r="H12896" i="1"/>
  <c r="G12896" i="1"/>
  <c r="M12895" i="1"/>
  <c r="L12895" i="1"/>
  <c r="K12895" i="1"/>
  <c r="J12895" i="1"/>
  <c r="I12895" i="1"/>
  <c r="H12895" i="1"/>
  <c r="G12895" i="1"/>
  <c r="M12894" i="1"/>
  <c r="L12894" i="1"/>
  <c r="K12894" i="1"/>
  <c r="J12894" i="1"/>
  <c r="I12894" i="1"/>
  <c r="H12894" i="1"/>
  <c r="G12894" i="1"/>
  <c r="M12893" i="1"/>
  <c r="L12893" i="1"/>
  <c r="K12893" i="1"/>
  <c r="J12893" i="1"/>
  <c r="I12893" i="1"/>
  <c r="H12893" i="1"/>
  <c r="G12893" i="1"/>
  <c r="M12892" i="1"/>
  <c r="L12892" i="1"/>
  <c r="K12892" i="1"/>
  <c r="J12892" i="1"/>
  <c r="I12892" i="1"/>
  <c r="H12892" i="1"/>
  <c r="G12892" i="1"/>
  <c r="M12891" i="1"/>
  <c r="L12891" i="1"/>
  <c r="K12891" i="1"/>
  <c r="J12891" i="1"/>
  <c r="I12891" i="1"/>
  <c r="H12891" i="1"/>
  <c r="G12891" i="1"/>
  <c r="M12890" i="1"/>
  <c r="L12890" i="1"/>
  <c r="K12890" i="1"/>
  <c r="J12890" i="1"/>
  <c r="I12890" i="1"/>
  <c r="H12890" i="1"/>
  <c r="G12890" i="1"/>
  <c r="M12889" i="1"/>
  <c r="L12889" i="1"/>
  <c r="K12889" i="1"/>
  <c r="J12889" i="1"/>
  <c r="I12889" i="1"/>
  <c r="H12889" i="1"/>
  <c r="G12889" i="1"/>
  <c r="M12888" i="1"/>
  <c r="L12888" i="1"/>
  <c r="K12888" i="1"/>
  <c r="J12888" i="1"/>
  <c r="I12888" i="1"/>
  <c r="H12888" i="1"/>
  <c r="G12888" i="1"/>
  <c r="M12887" i="1"/>
  <c r="L12887" i="1"/>
  <c r="K12887" i="1"/>
  <c r="J12887" i="1"/>
  <c r="I12887" i="1"/>
  <c r="H12887" i="1"/>
  <c r="G12887" i="1"/>
  <c r="M12886" i="1"/>
  <c r="L12886" i="1"/>
  <c r="K12886" i="1"/>
  <c r="J12886" i="1"/>
  <c r="I12886" i="1"/>
  <c r="H12886" i="1"/>
  <c r="G12886" i="1"/>
  <c r="M12885" i="1"/>
  <c r="L12885" i="1"/>
  <c r="K12885" i="1"/>
  <c r="J12885" i="1"/>
  <c r="I12885" i="1"/>
  <c r="H12885" i="1"/>
  <c r="G12885" i="1"/>
  <c r="M12884" i="1"/>
  <c r="L12884" i="1"/>
  <c r="K12884" i="1"/>
  <c r="J12884" i="1"/>
  <c r="I12884" i="1"/>
  <c r="H12884" i="1"/>
  <c r="G12884" i="1"/>
  <c r="M12883" i="1"/>
  <c r="L12883" i="1"/>
  <c r="K12883" i="1"/>
  <c r="J12883" i="1"/>
  <c r="I12883" i="1"/>
  <c r="H12883" i="1"/>
  <c r="G12883" i="1"/>
  <c r="M12882" i="1"/>
  <c r="L12882" i="1"/>
  <c r="K12882" i="1"/>
  <c r="J12882" i="1"/>
  <c r="I12882" i="1"/>
  <c r="H12882" i="1"/>
  <c r="G12882" i="1"/>
  <c r="M12881" i="1"/>
  <c r="L12881" i="1"/>
  <c r="K12881" i="1"/>
  <c r="J12881" i="1"/>
  <c r="I12881" i="1"/>
  <c r="H12881" i="1"/>
  <c r="G12881" i="1"/>
  <c r="M12880" i="1"/>
  <c r="L12880" i="1"/>
  <c r="K12880" i="1"/>
  <c r="J12880" i="1"/>
  <c r="I12880" i="1"/>
  <c r="H12880" i="1"/>
  <c r="G12880" i="1"/>
  <c r="M12879" i="1"/>
  <c r="L12879" i="1"/>
  <c r="K12879" i="1"/>
  <c r="J12879" i="1"/>
  <c r="I12879" i="1"/>
  <c r="H12879" i="1"/>
  <c r="G12879" i="1"/>
  <c r="M12878" i="1"/>
  <c r="L12878" i="1"/>
  <c r="K12878" i="1"/>
  <c r="J12878" i="1"/>
  <c r="I12878" i="1"/>
  <c r="H12878" i="1"/>
  <c r="G12878" i="1"/>
  <c r="M12877" i="1"/>
  <c r="L12877" i="1"/>
  <c r="K12877" i="1"/>
  <c r="J12877" i="1"/>
  <c r="I12877" i="1"/>
  <c r="H12877" i="1"/>
  <c r="G12877" i="1"/>
  <c r="M12876" i="1"/>
  <c r="L12876" i="1"/>
  <c r="K12876" i="1"/>
  <c r="J12876" i="1"/>
  <c r="I12876" i="1"/>
  <c r="H12876" i="1"/>
  <c r="G12876" i="1"/>
  <c r="M12875" i="1"/>
  <c r="L12875" i="1"/>
  <c r="K12875" i="1"/>
  <c r="J12875" i="1"/>
  <c r="I12875" i="1"/>
  <c r="H12875" i="1"/>
  <c r="G12875" i="1"/>
  <c r="M12874" i="1"/>
  <c r="L12874" i="1"/>
  <c r="K12874" i="1"/>
  <c r="J12874" i="1"/>
  <c r="I12874" i="1"/>
  <c r="H12874" i="1"/>
  <c r="G12874" i="1"/>
  <c r="M12873" i="1"/>
  <c r="L12873" i="1"/>
  <c r="K12873" i="1"/>
  <c r="J12873" i="1"/>
  <c r="I12873" i="1"/>
  <c r="H12873" i="1"/>
  <c r="G12873" i="1"/>
  <c r="M12872" i="1"/>
  <c r="L12872" i="1"/>
  <c r="K12872" i="1"/>
  <c r="J12872" i="1"/>
  <c r="I12872" i="1"/>
  <c r="H12872" i="1"/>
  <c r="G12872" i="1"/>
  <c r="M12871" i="1"/>
  <c r="L12871" i="1"/>
  <c r="K12871" i="1"/>
  <c r="J12871" i="1"/>
  <c r="I12871" i="1"/>
  <c r="H12871" i="1"/>
  <c r="G12871" i="1"/>
  <c r="M12870" i="1"/>
  <c r="L12870" i="1"/>
  <c r="K12870" i="1"/>
  <c r="J12870" i="1"/>
  <c r="I12870" i="1"/>
  <c r="H12870" i="1"/>
  <c r="G12870" i="1"/>
  <c r="M12869" i="1"/>
  <c r="L12869" i="1"/>
  <c r="K12869" i="1"/>
  <c r="J12869" i="1"/>
  <c r="I12869" i="1"/>
  <c r="H12869" i="1"/>
  <c r="G12869" i="1"/>
  <c r="M12868" i="1"/>
  <c r="L12868" i="1"/>
  <c r="K12868" i="1"/>
  <c r="J12868" i="1"/>
  <c r="I12868" i="1"/>
  <c r="H12868" i="1"/>
  <c r="G12868" i="1"/>
  <c r="M12867" i="1"/>
  <c r="L12867" i="1"/>
  <c r="K12867" i="1"/>
  <c r="J12867" i="1"/>
  <c r="I12867" i="1"/>
  <c r="H12867" i="1"/>
  <c r="G12867" i="1"/>
  <c r="M12866" i="1"/>
  <c r="L12866" i="1"/>
  <c r="K12866" i="1"/>
  <c r="J12866" i="1"/>
  <c r="I12866" i="1"/>
  <c r="H12866" i="1"/>
  <c r="G12866" i="1"/>
  <c r="M12865" i="1"/>
  <c r="L12865" i="1"/>
  <c r="K12865" i="1"/>
  <c r="J12865" i="1"/>
  <c r="I12865" i="1"/>
  <c r="H12865" i="1"/>
  <c r="G12865" i="1"/>
  <c r="M12864" i="1"/>
  <c r="L12864" i="1"/>
  <c r="K12864" i="1"/>
  <c r="J12864" i="1"/>
  <c r="I12864" i="1"/>
  <c r="H12864" i="1"/>
  <c r="G12864" i="1"/>
  <c r="M12863" i="1"/>
  <c r="L12863" i="1"/>
  <c r="K12863" i="1"/>
  <c r="J12863" i="1"/>
  <c r="I12863" i="1"/>
  <c r="H12863" i="1"/>
  <c r="G12863" i="1"/>
  <c r="M12862" i="1"/>
  <c r="L12862" i="1"/>
  <c r="K12862" i="1"/>
  <c r="J12862" i="1"/>
  <c r="I12862" i="1"/>
  <c r="H12862" i="1"/>
  <c r="G12862" i="1"/>
  <c r="M12861" i="1"/>
  <c r="L12861" i="1"/>
  <c r="K12861" i="1"/>
  <c r="J12861" i="1"/>
  <c r="I12861" i="1"/>
  <c r="H12861" i="1"/>
  <c r="G12861" i="1"/>
  <c r="M12860" i="1"/>
  <c r="L12860" i="1"/>
  <c r="K12860" i="1"/>
  <c r="J12860" i="1"/>
  <c r="I12860" i="1"/>
  <c r="H12860" i="1"/>
  <c r="G12860" i="1"/>
  <c r="M12859" i="1"/>
  <c r="L12859" i="1"/>
  <c r="K12859" i="1"/>
  <c r="J12859" i="1"/>
  <c r="I12859" i="1"/>
  <c r="H12859" i="1"/>
  <c r="G12859" i="1"/>
  <c r="M12858" i="1"/>
  <c r="L12858" i="1"/>
  <c r="K12858" i="1"/>
  <c r="J12858" i="1"/>
  <c r="I12858" i="1"/>
  <c r="H12858" i="1"/>
  <c r="G12858" i="1"/>
  <c r="M12857" i="1"/>
  <c r="L12857" i="1"/>
  <c r="K12857" i="1"/>
  <c r="J12857" i="1"/>
  <c r="I12857" i="1"/>
  <c r="H12857" i="1"/>
  <c r="G12857" i="1"/>
  <c r="M12856" i="1"/>
  <c r="L12856" i="1"/>
  <c r="K12856" i="1"/>
  <c r="J12856" i="1"/>
  <c r="I12856" i="1"/>
  <c r="H12856" i="1"/>
  <c r="G12856" i="1"/>
  <c r="M12855" i="1"/>
  <c r="L12855" i="1"/>
  <c r="K12855" i="1"/>
  <c r="J12855" i="1"/>
  <c r="I12855" i="1"/>
  <c r="H12855" i="1"/>
  <c r="G12855" i="1"/>
  <c r="M12854" i="1"/>
  <c r="L12854" i="1"/>
  <c r="K12854" i="1"/>
  <c r="J12854" i="1"/>
  <c r="I12854" i="1"/>
  <c r="H12854" i="1"/>
  <c r="G12854" i="1"/>
  <c r="M12853" i="1"/>
  <c r="L12853" i="1"/>
  <c r="K12853" i="1"/>
  <c r="J12853" i="1"/>
  <c r="I12853" i="1"/>
  <c r="H12853" i="1"/>
  <c r="G12853" i="1"/>
  <c r="M12852" i="1"/>
  <c r="L12852" i="1"/>
  <c r="K12852" i="1"/>
  <c r="J12852" i="1"/>
  <c r="I12852" i="1"/>
  <c r="H12852" i="1"/>
  <c r="G12852" i="1"/>
  <c r="M12851" i="1"/>
  <c r="L12851" i="1"/>
  <c r="K12851" i="1"/>
  <c r="J12851" i="1"/>
  <c r="I12851" i="1"/>
  <c r="H12851" i="1"/>
  <c r="G12851" i="1"/>
  <c r="M12850" i="1"/>
  <c r="L12850" i="1"/>
  <c r="K12850" i="1"/>
  <c r="J12850" i="1"/>
  <c r="I12850" i="1"/>
  <c r="H12850" i="1"/>
  <c r="G12850" i="1"/>
  <c r="M12849" i="1"/>
  <c r="L12849" i="1"/>
  <c r="K12849" i="1"/>
  <c r="J12849" i="1"/>
  <c r="I12849" i="1"/>
  <c r="H12849" i="1"/>
  <c r="G12849" i="1"/>
  <c r="M12848" i="1"/>
  <c r="L12848" i="1"/>
  <c r="K12848" i="1"/>
  <c r="J12848" i="1"/>
  <c r="I12848" i="1"/>
  <c r="H12848" i="1"/>
  <c r="G12848" i="1"/>
  <c r="M12847" i="1"/>
  <c r="L12847" i="1"/>
  <c r="K12847" i="1"/>
  <c r="J12847" i="1"/>
  <c r="I12847" i="1"/>
  <c r="H12847" i="1"/>
  <c r="G12847" i="1"/>
  <c r="M12846" i="1"/>
  <c r="L12846" i="1"/>
  <c r="K12846" i="1"/>
  <c r="J12846" i="1"/>
  <c r="I12846" i="1"/>
  <c r="H12846" i="1"/>
  <c r="G12846" i="1"/>
  <c r="M12845" i="1"/>
  <c r="L12845" i="1"/>
  <c r="K12845" i="1"/>
  <c r="J12845" i="1"/>
  <c r="I12845" i="1"/>
  <c r="H12845" i="1"/>
  <c r="G12845" i="1"/>
  <c r="M12844" i="1"/>
  <c r="L12844" i="1"/>
  <c r="K12844" i="1"/>
  <c r="J12844" i="1"/>
  <c r="I12844" i="1"/>
  <c r="H12844" i="1"/>
  <c r="G12844" i="1"/>
  <c r="M12843" i="1"/>
  <c r="L12843" i="1"/>
  <c r="K12843" i="1"/>
  <c r="J12843" i="1"/>
  <c r="I12843" i="1"/>
  <c r="H12843" i="1"/>
  <c r="G12843" i="1"/>
  <c r="M12842" i="1"/>
  <c r="L12842" i="1"/>
  <c r="K12842" i="1"/>
  <c r="J12842" i="1"/>
  <c r="I12842" i="1"/>
  <c r="H12842" i="1"/>
  <c r="G12842" i="1"/>
  <c r="M12841" i="1"/>
  <c r="L12841" i="1"/>
  <c r="K12841" i="1"/>
  <c r="J12841" i="1"/>
  <c r="I12841" i="1"/>
  <c r="H12841" i="1"/>
  <c r="G12841" i="1"/>
  <c r="M12840" i="1"/>
  <c r="L12840" i="1"/>
  <c r="K12840" i="1"/>
  <c r="J12840" i="1"/>
  <c r="I12840" i="1"/>
  <c r="H12840" i="1"/>
  <c r="G12840" i="1"/>
  <c r="M12839" i="1"/>
  <c r="L12839" i="1"/>
  <c r="K12839" i="1"/>
  <c r="J12839" i="1"/>
  <c r="I12839" i="1"/>
  <c r="H12839" i="1"/>
  <c r="G12839" i="1"/>
  <c r="M12838" i="1"/>
  <c r="L12838" i="1"/>
  <c r="K12838" i="1"/>
  <c r="J12838" i="1"/>
  <c r="I12838" i="1"/>
  <c r="H12838" i="1"/>
  <c r="G12838" i="1"/>
  <c r="M12837" i="1"/>
  <c r="L12837" i="1"/>
  <c r="K12837" i="1"/>
  <c r="J12837" i="1"/>
  <c r="I12837" i="1"/>
  <c r="H12837" i="1"/>
  <c r="G12837" i="1"/>
  <c r="M12836" i="1"/>
  <c r="L12836" i="1"/>
  <c r="K12836" i="1"/>
  <c r="J12836" i="1"/>
  <c r="I12836" i="1"/>
  <c r="H12836" i="1"/>
  <c r="G12836" i="1"/>
  <c r="M12835" i="1"/>
  <c r="L12835" i="1"/>
  <c r="K12835" i="1"/>
  <c r="J12835" i="1"/>
  <c r="I12835" i="1"/>
  <c r="H12835" i="1"/>
  <c r="G12835" i="1"/>
  <c r="M12834" i="1"/>
  <c r="L12834" i="1"/>
  <c r="K12834" i="1"/>
  <c r="J12834" i="1"/>
  <c r="I12834" i="1"/>
  <c r="H12834" i="1"/>
  <c r="G12834" i="1"/>
  <c r="M12833" i="1"/>
  <c r="L12833" i="1"/>
  <c r="K12833" i="1"/>
  <c r="J12833" i="1"/>
  <c r="I12833" i="1"/>
  <c r="H12833" i="1"/>
  <c r="G12833" i="1"/>
  <c r="M12832" i="1"/>
  <c r="L12832" i="1"/>
  <c r="K12832" i="1"/>
  <c r="J12832" i="1"/>
  <c r="I12832" i="1"/>
  <c r="H12832" i="1"/>
  <c r="G12832" i="1"/>
  <c r="M12831" i="1"/>
  <c r="L12831" i="1"/>
  <c r="K12831" i="1"/>
  <c r="J12831" i="1"/>
  <c r="I12831" i="1"/>
  <c r="H12831" i="1"/>
  <c r="G12831" i="1"/>
  <c r="M12830" i="1"/>
  <c r="L12830" i="1"/>
  <c r="K12830" i="1"/>
  <c r="J12830" i="1"/>
  <c r="I12830" i="1"/>
  <c r="H12830" i="1"/>
  <c r="G12830" i="1"/>
  <c r="M12829" i="1"/>
  <c r="L12829" i="1"/>
  <c r="K12829" i="1"/>
  <c r="J12829" i="1"/>
  <c r="I12829" i="1"/>
  <c r="H12829" i="1"/>
  <c r="G12829" i="1"/>
  <c r="M12828" i="1"/>
  <c r="L12828" i="1"/>
  <c r="K12828" i="1"/>
  <c r="J12828" i="1"/>
  <c r="I12828" i="1"/>
  <c r="H12828" i="1"/>
  <c r="G12828" i="1"/>
  <c r="M12827" i="1"/>
  <c r="L12827" i="1"/>
  <c r="K12827" i="1"/>
  <c r="J12827" i="1"/>
  <c r="I12827" i="1"/>
  <c r="H12827" i="1"/>
  <c r="G12827" i="1"/>
  <c r="M12826" i="1"/>
  <c r="L12826" i="1"/>
  <c r="K12826" i="1"/>
  <c r="J12826" i="1"/>
  <c r="I12826" i="1"/>
  <c r="H12826" i="1"/>
  <c r="G12826" i="1"/>
  <c r="M12825" i="1"/>
  <c r="L12825" i="1"/>
  <c r="K12825" i="1"/>
  <c r="J12825" i="1"/>
  <c r="I12825" i="1"/>
  <c r="H12825" i="1"/>
  <c r="G12825" i="1"/>
  <c r="M12824" i="1"/>
  <c r="L12824" i="1"/>
  <c r="K12824" i="1"/>
  <c r="J12824" i="1"/>
  <c r="I12824" i="1"/>
  <c r="H12824" i="1"/>
  <c r="G12824" i="1"/>
  <c r="M12823" i="1"/>
  <c r="L12823" i="1"/>
  <c r="K12823" i="1"/>
  <c r="J12823" i="1"/>
  <c r="I12823" i="1"/>
  <c r="H12823" i="1"/>
  <c r="G12823" i="1"/>
  <c r="M12822" i="1"/>
  <c r="L12822" i="1"/>
  <c r="K12822" i="1"/>
  <c r="J12822" i="1"/>
  <c r="I12822" i="1"/>
  <c r="H12822" i="1"/>
  <c r="G12822" i="1"/>
  <c r="M12821" i="1"/>
  <c r="L12821" i="1"/>
  <c r="K12821" i="1"/>
  <c r="J12821" i="1"/>
  <c r="I12821" i="1"/>
  <c r="H12821" i="1"/>
  <c r="G12821" i="1"/>
  <c r="M12820" i="1"/>
  <c r="L12820" i="1"/>
  <c r="K12820" i="1"/>
  <c r="J12820" i="1"/>
  <c r="I12820" i="1"/>
  <c r="H12820" i="1"/>
  <c r="G12820" i="1"/>
  <c r="M12819" i="1"/>
  <c r="L12819" i="1"/>
  <c r="K12819" i="1"/>
  <c r="J12819" i="1"/>
  <c r="I12819" i="1"/>
  <c r="H12819" i="1"/>
  <c r="G12819" i="1"/>
  <c r="M12818" i="1"/>
  <c r="L12818" i="1"/>
  <c r="K12818" i="1"/>
  <c r="J12818" i="1"/>
  <c r="I12818" i="1"/>
  <c r="H12818" i="1"/>
  <c r="G12818" i="1"/>
  <c r="M12817" i="1"/>
  <c r="L12817" i="1"/>
  <c r="K12817" i="1"/>
  <c r="J12817" i="1"/>
  <c r="I12817" i="1"/>
  <c r="H12817" i="1"/>
  <c r="G12817" i="1"/>
  <c r="M12816" i="1"/>
  <c r="L12816" i="1"/>
  <c r="K12816" i="1"/>
  <c r="J12816" i="1"/>
  <c r="I12816" i="1"/>
  <c r="H12816" i="1"/>
  <c r="G12816" i="1"/>
  <c r="M12815" i="1"/>
  <c r="L12815" i="1"/>
  <c r="K12815" i="1"/>
  <c r="J12815" i="1"/>
  <c r="I12815" i="1"/>
  <c r="H12815" i="1"/>
  <c r="G12815" i="1"/>
  <c r="M12814" i="1"/>
  <c r="L12814" i="1"/>
  <c r="K12814" i="1"/>
  <c r="J12814" i="1"/>
  <c r="I12814" i="1"/>
  <c r="H12814" i="1"/>
  <c r="G12814" i="1"/>
  <c r="M12813" i="1"/>
  <c r="L12813" i="1"/>
  <c r="K12813" i="1"/>
  <c r="J12813" i="1"/>
  <c r="I12813" i="1"/>
  <c r="H12813" i="1"/>
  <c r="G12813" i="1"/>
  <c r="M12812" i="1"/>
  <c r="L12812" i="1"/>
  <c r="K12812" i="1"/>
  <c r="J12812" i="1"/>
  <c r="I12812" i="1"/>
  <c r="H12812" i="1"/>
  <c r="G12812" i="1"/>
  <c r="M12811" i="1"/>
  <c r="L12811" i="1"/>
  <c r="K12811" i="1"/>
  <c r="J12811" i="1"/>
  <c r="I12811" i="1"/>
  <c r="H12811" i="1"/>
  <c r="G12811" i="1"/>
  <c r="M12810" i="1"/>
  <c r="L12810" i="1"/>
  <c r="K12810" i="1"/>
  <c r="J12810" i="1"/>
  <c r="I12810" i="1"/>
  <c r="H12810" i="1"/>
  <c r="G12810" i="1"/>
  <c r="M12809" i="1"/>
  <c r="L12809" i="1"/>
  <c r="K12809" i="1"/>
  <c r="J12809" i="1"/>
  <c r="I12809" i="1"/>
  <c r="H12809" i="1"/>
  <c r="G12809" i="1"/>
  <c r="M12808" i="1"/>
  <c r="L12808" i="1"/>
  <c r="K12808" i="1"/>
  <c r="J12808" i="1"/>
  <c r="I12808" i="1"/>
  <c r="H12808" i="1"/>
  <c r="G12808" i="1"/>
  <c r="M12807" i="1"/>
  <c r="L12807" i="1"/>
  <c r="K12807" i="1"/>
  <c r="J12807" i="1"/>
  <c r="I12807" i="1"/>
  <c r="H12807" i="1"/>
  <c r="G12807" i="1"/>
  <c r="M12806" i="1"/>
  <c r="L12806" i="1"/>
  <c r="K12806" i="1"/>
  <c r="J12806" i="1"/>
  <c r="I12806" i="1"/>
  <c r="H12806" i="1"/>
  <c r="G12806" i="1"/>
  <c r="M12805" i="1"/>
  <c r="L12805" i="1"/>
  <c r="K12805" i="1"/>
  <c r="J12805" i="1"/>
  <c r="I12805" i="1"/>
  <c r="H12805" i="1"/>
  <c r="G12805" i="1"/>
  <c r="M12804" i="1"/>
  <c r="L12804" i="1"/>
  <c r="K12804" i="1"/>
  <c r="J12804" i="1"/>
  <c r="I12804" i="1"/>
  <c r="H12804" i="1"/>
  <c r="G12804" i="1"/>
  <c r="M12803" i="1"/>
  <c r="L12803" i="1"/>
  <c r="K12803" i="1"/>
  <c r="J12803" i="1"/>
  <c r="I12803" i="1"/>
  <c r="H12803" i="1"/>
  <c r="G12803" i="1"/>
  <c r="M12802" i="1"/>
  <c r="L12802" i="1"/>
  <c r="K12802" i="1"/>
  <c r="J12802" i="1"/>
  <c r="I12802" i="1"/>
  <c r="H12802" i="1"/>
  <c r="G12802" i="1"/>
  <c r="M12801" i="1"/>
  <c r="L12801" i="1"/>
  <c r="K12801" i="1"/>
  <c r="J12801" i="1"/>
  <c r="I12801" i="1"/>
  <c r="H12801" i="1"/>
  <c r="G12801" i="1"/>
  <c r="M12800" i="1"/>
  <c r="L12800" i="1"/>
  <c r="K12800" i="1"/>
  <c r="J12800" i="1"/>
  <c r="I12800" i="1"/>
  <c r="H12800" i="1"/>
  <c r="G12800" i="1"/>
  <c r="M12799" i="1"/>
  <c r="L12799" i="1"/>
  <c r="K12799" i="1"/>
  <c r="J12799" i="1"/>
  <c r="I12799" i="1"/>
  <c r="H12799" i="1"/>
  <c r="G12799" i="1"/>
  <c r="M12798" i="1"/>
  <c r="L12798" i="1"/>
  <c r="K12798" i="1"/>
  <c r="J12798" i="1"/>
  <c r="I12798" i="1"/>
  <c r="H12798" i="1"/>
  <c r="G12798" i="1"/>
  <c r="M12797" i="1"/>
  <c r="L12797" i="1"/>
  <c r="K12797" i="1"/>
  <c r="J12797" i="1"/>
  <c r="I12797" i="1"/>
  <c r="H12797" i="1"/>
  <c r="G12797" i="1"/>
  <c r="M12796" i="1"/>
  <c r="L12796" i="1"/>
  <c r="K12796" i="1"/>
  <c r="J12796" i="1"/>
  <c r="I12796" i="1"/>
  <c r="H12796" i="1"/>
  <c r="G12796" i="1"/>
  <c r="M12795" i="1"/>
  <c r="L12795" i="1"/>
  <c r="K12795" i="1"/>
  <c r="J12795" i="1"/>
  <c r="I12795" i="1"/>
  <c r="H12795" i="1"/>
  <c r="G12795" i="1"/>
  <c r="M12794" i="1"/>
  <c r="L12794" i="1"/>
  <c r="K12794" i="1"/>
  <c r="J12794" i="1"/>
  <c r="I12794" i="1"/>
  <c r="H12794" i="1"/>
  <c r="G12794" i="1"/>
  <c r="M12793" i="1"/>
  <c r="L12793" i="1"/>
  <c r="K12793" i="1"/>
  <c r="J12793" i="1"/>
  <c r="I12793" i="1"/>
  <c r="H12793" i="1"/>
  <c r="G12793" i="1"/>
  <c r="M12792" i="1"/>
  <c r="L12792" i="1"/>
  <c r="K12792" i="1"/>
  <c r="J12792" i="1"/>
  <c r="I12792" i="1"/>
  <c r="H12792" i="1"/>
  <c r="G12792" i="1"/>
  <c r="M12791" i="1"/>
  <c r="L12791" i="1"/>
  <c r="K12791" i="1"/>
  <c r="J12791" i="1"/>
  <c r="I12791" i="1"/>
  <c r="H12791" i="1"/>
  <c r="G12791" i="1"/>
  <c r="M12790" i="1"/>
  <c r="L12790" i="1"/>
  <c r="K12790" i="1"/>
  <c r="J12790" i="1"/>
  <c r="I12790" i="1"/>
  <c r="H12790" i="1"/>
  <c r="G12790" i="1"/>
  <c r="M12789" i="1"/>
  <c r="L12789" i="1"/>
  <c r="K12789" i="1"/>
  <c r="J12789" i="1"/>
  <c r="I12789" i="1"/>
  <c r="H12789" i="1"/>
  <c r="G12789" i="1"/>
  <c r="M12788" i="1"/>
  <c r="L12788" i="1"/>
  <c r="K12788" i="1"/>
  <c r="J12788" i="1"/>
  <c r="I12788" i="1"/>
  <c r="H12788" i="1"/>
  <c r="G12788" i="1"/>
  <c r="M12787" i="1"/>
  <c r="L12787" i="1"/>
  <c r="K12787" i="1"/>
  <c r="J12787" i="1"/>
  <c r="I12787" i="1"/>
  <c r="H12787" i="1"/>
  <c r="G12787" i="1"/>
  <c r="M12786" i="1"/>
  <c r="L12786" i="1"/>
  <c r="K12786" i="1"/>
  <c r="J12786" i="1"/>
  <c r="I12786" i="1"/>
  <c r="H12786" i="1"/>
  <c r="G12786" i="1"/>
  <c r="M12785" i="1"/>
  <c r="L12785" i="1"/>
  <c r="K12785" i="1"/>
  <c r="J12785" i="1"/>
  <c r="I12785" i="1"/>
  <c r="H12785" i="1"/>
  <c r="G12785" i="1"/>
  <c r="M12784" i="1"/>
  <c r="L12784" i="1"/>
  <c r="K12784" i="1"/>
  <c r="J12784" i="1"/>
  <c r="I12784" i="1"/>
  <c r="H12784" i="1"/>
  <c r="G12784" i="1"/>
  <c r="M12783" i="1"/>
  <c r="L12783" i="1"/>
  <c r="K12783" i="1"/>
  <c r="J12783" i="1"/>
  <c r="I12783" i="1"/>
  <c r="H12783" i="1"/>
  <c r="G12783" i="1"/>
  <c r="M12782" i="1"/>
  <c r="L12782" i="1"/>
  <c r="K12782" i="1"/>
  <c r="J12782" i="1"/>
  <c r="I12782" i="1"/>
  <c r="H12782" i="1"/>
  <c r="G12782" i="1"/>
  <c r="M12781" i="1"/>
  <c r="L12781" i="1"/>
  <c r="K12781" i="1"/>
  <c r="J12781" i="1"/>
  <c r="I12781" i="1"/>
  <c r="H12781" i="1"/>
  <c r="G12781" i="1"/>
  <c r="M12780" i="1"/>
  <c r="L12780" i="1"/>
  <c r="K12780" i="1"/>
  <c r="J12780" i="1"/>
  <c r="I12780" i="1"/>
  <c r="H12780" i="1"/>
  <c r="G12780" i="1"/>
  <c r="M12779" i="1"/>
  <c r="L12779" i="1"/>
  <c r="K12779" i="1"/>
  <c r="J12779" i="1"/>
  <c r="I12779" i="1"/>
  <c r="H12779" i="1"/>
  <c r="G12779" i="1"/>
  <c r="M12778" i="1"/>
  <c r="L12778" i="1"/>
  <c r="K12778" i="1"/>
  <c r="J12778" i="1"/>
  <c r="I12778" i="1"/>
  <c r="H12778" i="1"/>
  <c r="G12778" i="1"/>
  <c r="M12777" i="1"/>
  <c r="L12777" i="1"/>
  <c r="K12777" i="1"/>
  <c r="J12777" i="1"/>
  <c r="I12777" i="1"/>
  <c r="H12777" i="1"/>
  <c r="G12777" i="1"/>
  <c r="M12776" i="1"/>
  <c r="L12776" i="1"/>
  <c r="K12776" i="1"/>
  <c r="J12776" i="1"/>
  <c r="I12776" i="1"/>
  <c r="H12776" i="1"/>
  <c r="G12776" i="1"/>
  <c r="M12775" i="1"/>
  <c r="L12775" i="1"/>
  <c r="K12775" i="1"/>
  <c r="J12775" i="1"/>
  <c r="I12775" i="1"/>
  <c r="H12775" i="1"/>
  <c r="G12775" i="1"/>
  <c r="M12774" i="1"/>
  <c r="L12774" i="1"/>
  <c r="K12774" i="1"/>
  <c r="J12774" i="1"/>
  <c r="I12774" i="1"/>
  <c r="H12774" i="1"/>
  <c r="G12774" i="1"/>
  <c r="M12773" i="1"/>
  <c r="L12773" i="1"/>
  <c r="K12773" i="1"/>
  <c r="J12773" i="1"/>
  <c r="I12773" i="1"/>
  <c r="H12773" i="1"/>
  <c r="G12773" i="1"/>
  <c r="M12772" i="1"/>
  <c r="L12772" i="1"/>
  <c r="K12772" i="1"/>
  <c r="J12772" i="1"/>
  <c r="I12772" i="1"/>
  <c r="H12772" i="1"/>
  <c r="G12772" i="1"/>
  <c r="M12771" i="1"/>
  <c r="L12771" i="1"/>
  <c r="K12771" i="1"/>
  <c r="J12771" i="1"/>
  <c r="I12771" i="1"/>
  <c r="H12771" i="1"/>
  <c r="G12771" i="1"/>
  <c r="M12770" i="1"/>
  <c r="L12770" i="1"/>
  <c r="K12770" i="1"/>
  <c r="J12770" i="1"/>
  <c r="I12770" i="1"/>
  <c r="H12770" i="1"/>
  <c r="G12770" i="1"/>
  <c r="M12769" i="1"/>
  <c r="L12769" i="1"/>
  <c r="K12769" i="1"/>
  <c r="J12769" i="1"/>
  <c r="I12769" i="1"/>
  <c r="H12769" i="1"/>
  <c r="G12769" i="1"/>
  <c r="M12768" i="1"/>
  <c r="L12768" i="1"/>
  <c r="K12768" i="1"/>
  <c r="J12768" i="1"/>
  <c r="I12768" i="1"/>
  <c r="H12768" i="1"/>
  <c r="G12768" i="1"/>
  <c r="M12767" i="1"/>
  <c r="L12767" i="1"/>
  <c r="K12767" i="1"/>
  <c r="J12767" i="1"/>
  <c r="I12767" i="1"/>
  <c r="H12767" i="1"/>
  <c r="G12767" i="1"/>
  <c r="M12766" i="1"/>
  <c r="L12766" i="1"/>
  <c r="K12766" i="1"/>
  <c r="J12766" i="1"/>
  <c r="I12766" i="1"/>
  <c r="H12766" i="1"/>
  <c r="G12766" i="1"/>
  <c r="M12765" i="1"/>
  <c r="L12765" i="1"/>
  <c r="K12765" i="1"/>
  <c r="J12765" i="1"/>
  <c r="I12765" i="1"/>
  <c r="H12765" i="1"/>
  <c r="G12765" i="1"/>
  <c r="M12764" i="1"/>
  <c r="L12764" i="1"/>
  <c r="K12764" i="1"/>
  <c r="J12764" i="1"/>
  <c r="I12764" i="1"/>
  <c r="H12764" i="1"/>
  <c r="G12764" i="1"/>
  <c r="M12763" i="1"/>
  <c r="L12763" i="1"/>
  <c r="K12763" i="1"/>
  <c r="J12763" i="1"/>
  <c r="I12763" i="1"/>
  <c r="H12763" i="1"/>
  <c r="G12763" i="1"/>
  <c r="M12762" i="1"/>
  <c r="L12762" i="1"/>
  <c r="K12762" i="1"/>
  <c r="J12762" i="1"/>
  <c r="I12762" i="1"/>
  <c r="H12762" i="1"/>
  <c r="G12762" i="1"/>
  <c r="M12761" i="1"/>
  <c r="L12761" i="1"/>
  <c r="K12761" i="1"/>
  <c r="J12761" i="1"/>
  <c r="I12761" i="1"/>
  <c r="H12761" i="1"/>
  <c r="G12761" i="1"/>
  <c r="M12760" i="1"/>
  <c r="L12760" i="1"/>
  <c r="K12760" i="1"/>
  <c r="J12760" i="1"/>
  <c r="I12760" i="1"/>
  <c r="H12760" i="1"/>
  <c r="G12760" i="1"/>
  <c r="M12759" i="1"/>
  <c r="L12759" i="1"/>
  <c r="K12759" i="1"/>
  <c r="J12759" i="1"/>
  <c r="I12759" i="1"/>
  <c r="H12759" i="1"/>
  <c r="G12759" i="1"/>
  <c r="M12758" i="1"/>
  <c r="L12758" i="1"/>
  <c r="K12758" i="1"/>
  <c r="J12758" i="1"/>
  <c r="I12758" i="1"/>
  <c r="H12758" i="1"/>
  <c r="G12758" i="1"/>
  <c r="M12757" i="1"/>
  <c r="L12757" i="1"/>
  <c r="K12757" i="1"/>
  <c r="J12757" i="1"/>
  <c r="I12757" i="1"/>
  <c r="H12757" i="1"/>
  <c r="G12757" i="1"/>
  <c r="M12756" i="1"/>
  <c r="L12756" i="1"/>
  <c r="K12756" i="1"/>
  <c r="J12756" i="1"/>
  <c r="I12756" i="1"/>
  <c r="H12756" i="1"/>
  <c r="G12756" i="1"/>
  <c r="M12755" i="1"/>
  <c r="L12755" i="1"/>
  <c r="K12755" i="1"/>
  <c r="J12755" i="1"/>
  <c r="I12755" i="1"/>
  <c r="H12755" i="1"/>
  <c r="G12755" i="1"/>
  <c r="M12754" i="1"/>
  <c r="L12754" i="1"/>
  <c r="K12754" i="1"/>
  <c r="J12754" i="1"/>
  <c r="I12754" i="1"/>
  <c r="H12754" i="1"/>
  <c r="G12754" i="1"/>
  <c r="M12753" i="1"/>
  <c r="L12753" i="1"/>
  <c r="K12753" i="1"/>
  <c r="J12753" i="1"/>
  <c r="I12753" i="1"/>
  <c r="H12753" i="1"/>
  <c r="G12753" i="1"/>
  <c r="M12752" i="1"/>
  <c r="L12752" i="1"/>
  <c r="K12752" i="1"/>
  <c r="J12752" i="1"/>
  <c r="I12752" i="1"/>
  <c r="H12752" i="1"/>
  <c r="G12752" i="1"/>
  <c r="M12751" i="1"/>
  <c r="L12751" i="1"/>
  <c r="K12751" i="1"/>
  <c r="J12751" i="1"/>
  <c r="I12751" i="1"/>
  <c r="H12751" i="1"/>
  <c r="G12751" i="1"/>
  <c r="M12750" i="1"/>
  <c r="L12750" i="1"/>
  <c r="K12750" i="1"/>
  <c r="J12750" i="1"/>
  <c r="I12750" i="1"/>
  <c r="H12750" i="1"/>
  <c r="G12750" i="1"/>
  <c r="M12749" i="1"/>
  <c r="L12749" i="1"/>
  <c r="K12749" i="1"/>
  <c r="J12749" i="1"/>
  <c r="I12749" i="1"/>
  <c r="H12749" i="1"/>
  <c r="G12749" i="1"/>
  <c r="M12748" i="1"/>
  <c r="L12748" i="1"/>
  <c r="K12748" i="1"/>
  <c r="J12748" i="1"/>
  <c r="I12748" i="1"/>
  <c r="H12748" i="1"/>
  <c r="G12748" i="1"/>
  <c r="M12747" i="1"/>
  <c r="L12747" i="1"/>
  <c r="K12747" i="1"/>
  <c r="J12747" i="1"/>
  <c r="I12747" i="1"/>
  <c r="H12747" i="1"/>
  <c r="G12747" i="1"/>
  <c r="M12746" i="1"/>
  <c r="L12746" i="1"/>
  <c r="K12746" i="1"/>
  <c r="J12746" i="1"/>
  <c r="I12746" i="1"/>
  <c r="H12746" i="1"/>
  <c r="G12746" i="1"/>
  <c r="M12745" i="1"/>
  <c r="L12745" i="1"/>
  <c r="K12745" i="1"/>
  <c r="J12745" i="1"/>
  <c r="I12745" i="1"/>
  <c r="H12745" i="1"/>
  <c r="G12745" i="1"/>
  <c r="M12744" i="1"/>
  <c r="L12744" i="1"/>
  <c r="K12744" i="1"/>
  <c r="J12744" i="1"/>
  <c r="I12744" i="1"/>
  <c r="H12744" i="1"/>
  <c r="G12744" i="1"/>
  <c r="M12743" i="1"/>
  <c r="L12743" i="1"/>
  <c r="K12743" i="1"/>
  <c r="J12743" i="1"/>
  <c r="I12743" i="1"/>
  <c r="H12743" i="1"/>
  <c r="G12743" i="1"/>
  <c r="M12742" i="1"/>
  <c r="L12742" i="1"/>
  <c r="K12742" i="1"/>
  <c r="J12742" i="1"/>
  <c r="I12742" i="1"/>
  <c r="H12742" i="1"/>
  <c r="G12742" i="1"/>
  <c r="M12741" i="1"/>
  <c r="L12741" i="1"/>
  <c r="K12741" i="1"/>
  <c r="J12741" i="1"/>
  <c r="I12741" i="1"/>
  <c r="H12741" i="1"/>
  <c r="G12741" i="1"/>
  <c r="M12740" i="1"/>
  <c r="L12740" i="1"/>
  <c r="K12740" i="1"/>
  <c r="J12740" i="1"/>
  <c r="I12740" i="1"/>
  <c r="H12740" i="1"/>
  <c r="G12740" i="1"/>
  <c r="M12739" i="1"/>
  <c r="L12739" i="1"/>
  <c r="K12739" i="1"/>
  <c r="J12739" i="1"/>
  <c r="I12739" i="1"/>
  <c r="H12739" i="1"/>
  <c r="G12739" i="1"/>
  <c r="M12738" i="1"/>
  <c r="L12738" i="1"/>
  <c r="K12738" i="1"/>
  <c r="J12738" i="1"/>
  <c r="I12738" i="1"/>
  <c r="H12738" i="1"/>
  <c r="G12738" i="1"/>
  <c r="M12737" i="1"/>
  <c r="L12737" i="1"/>
  <c r="K12737" i="1"/>
  <c r="J12737" i="1"/>
  <c r="I12737" i="1"/>
  <c r="H12737" i="1"/>
  <c r="G12737" i="1"/>
  <c r="M12736" i="1"/>
  <c r="L12736" i="1"/>
  <c r="K12736" i="1"/>
  <c r="J12736" i="1"/>
  <c r="I12736" i="1"/>
  <c r="H12736" i="1"/>
  <c r="G12736" i="1"/>
  <c r="M12735" i="1"/>
  <c r="L12735" i="1"/>
  <c r="K12735" i="1"/>
  <c r="J12735" i="1"/>
  <c r="I12735" i="1"/>
  <c r="H12735" i="1"/>
  <c r="G12735" i="1"/>
  <c r="M12734" i="1"/>
  <c r="L12734" i="1"/>
  <c r="K12734" i="1"/>
  <c r="J12734" i="1"/>
  <c r="I12734" i="1"/>
  <c r="H12734" i="1"/>
  <c r="G12734" i="1"/>
  <c r="M12733" i="1"/>
  <c r="L12733" i="1"/>
  <c r="K12733" i="1"/>
  <c r="J12733" i="1"/>
  <c r="I12733" i="1"/>
  <c r="H12733" i="1"/>
  <c r="G12733" i="1"/>
  <c r="M12732" i="1"/>
  <c r="L12732" i="1"/>
  <c r="K12732" i="1"/>
  <c r="J12732" i="1"/>
  <c r="I12732" i="1"/>
  <c r="H12732" i="1"/>
  <c r="G12732" i="1"/>
  <c r="M12731" i="1"/>
  <c r="L12731" i="1"/>
  <c r="K12731" i="1"/>
  <c r="J12731" i="1"/>
  <c r="I12731" i="1"/>
  <c r="H12731" i="1"/>
  <c r="G12731" i="1"/>
  <c r="M12730" i="1"/>
  <c r="L12730" i="1"/>
  <c r="K12730" i="1"/>
  <c r="J12730" i="1"/>
  <c r="I12730" i="1"/>
  <c r="H12730" i="1"/>
  <c r="G12730" i="1"/>
  <c r="M12729" i="1"/>
  <c r="L12729" i="1"/>
  <c r="K12729" i="1"/>
  <c r="J12729" i="1"/>
  <c r="I12729" i="1"/>
  <c r="H12729" i="1"/>
  <c r="G12729" i="1"/>
  <c r="M12728" i="1"/>
  <c r="L12728" i="1"/>
  <c r="K12728" i="1"/>
  <c r="J12728" i="1"/>
  <c r="I12728" i="1"/>
  <c r="H12728" i="1"/>
  <c r="G12728" i="1"/>
  <c r="M12727" i="1"/>
  <c r="L12727" i="1"/>
  <c r="K12727" i="1"/>
  <c r="J12727" i="1"/>
  <c r="I12727" i="1"/>
  <c r="H12727" i="1"/>
  <c r="G12727" i="1"/>
  <c r="M12726" i="1"/>
  <c r="L12726" i="1"/>
  <c r="K12726" i="1"/>
  <c r="J12726" i="1"/>
  <c r="I12726" i="1"/>
  <c r="H12726" i="1"/>
  <c r="G12726" i="1"/>
  <c r="M12725" i="1"/>
  <c r="L12725" i="1"/>
  <c r="K12725" i="1"/>
  <c r="J12725" i="1"/>
  <c r="I12725" i="1"/>
  <c r="H12725" i="1"/>
  <c r="G12725" i="1"/>
  <c r="M12724" i="1"/>
  <c r="L12724" i="1"/>
  <c r="K12724" i="1"/>
  <c r="J12724" i="1"/>
  <c r="I12724" i="1"/>
  <c r="H12724" i="1"/>
  <c r="G12724" i="1"/>
  <c r="M12723" i="1"/>
  <c r="L12723" i="1"/>
  <c r="K12723" i="1"/>
  <c r="J12723" i="1"/>
  <c r="I12723" i="1"/>
  <c r="H12723" i="1"/>
  <c r="G12723" i="1"/>
  <c r="M12722" i="1"/>
  <c r="L12722" i="1"/>
  <c r="K12722" i="1"/>
  <c r="J12722" i="1"/>
  <c r="I12722" i="1"/>
  <c r="H12722" i="1"/>
  <c r="G12722" i="1"/>
  <c r="M12721" i="1"/>
  <c r="L12721" i="1"/>
  <c r="K12721" i="1"/>
  <c r="J12721" i="1"/>
  <c r="I12721" i="1"/>
  <c r="H12721" i="1"/>
  <c r="G12721" i="1"/>
  <c r="M12720" i="1"/>
  <c r="L12720" i="1"/>
  <c r="K12720" i="1"/>
  <c r="J12720" i="1"/>
  <c r="I12720" i="1"/>
  <c r="H12720" i="1"/>
  <c r="G12720" i="1"/>
  <c r="M12719" i="1"/>
  <c r="L12719" i="1"/>
  <c r="K12719" i="1"/>
  <c r="J12719" i="1"/>
  <c r="I12719" i="1"/>
  <c r="H12719" i="1"/>
  <c r="G12719" i="1"/>
  <c r="M12718" i="1"/>
  <c r="L12718" i="1"/>
  <c r="K12718" i="1"/>
  <c r="J12718" i="1"/>
  <c r="I12718" i="1"/>
  <c r="H12718" i="1"/>
  <c r="G12718" i="1"/>
  <c r="M12717" i="1"/>
  <c r="L12717" i="1"/>
  <c r="K12717" i="1"/>
  <c r="J12717" i="1"/>
  <c r="I12717" i="1"/>
  <c r="H12717" i="1"/>
  <c r="G12717" i="1"/>
  <c r="M12716" i="1"/>
  <c r="L12716" i="1"/>
  <c r="K12716" i="1"/>
  <c r="J12716" i="1"/>
  <c r="I12716" i="1"/>
  <c r="H12716" i="1"/>
  <c r="G12716" i="1"/>
  <c r="M12715" i="1"/>
  <c r="L12715" i="1"/>
  <c r="K12715" i="1"/>
  <c r="J12715" i="1"/>
  <c r="I12715" i="1"/>
  <c r="H12715" i="1"/>
  <c r="G12715" i="1"/>
  <c r="M12714" i="1"/>
  <c r="L12714" i="1"/>
  <c r="K12714" i="1"/>
  <c r="J12714" i="1"/>
  <c r="I12714" i="1"/>
  <c r="H12714" i="1"/>
  <c r="G12714" i="1"/>
  <c r="M12713" i="1"/>
  <c r="L12713" i="1"/>
  <c r="K12713" i="1"/>
  <c r="J12713" i="1"/>
  <c r="I12713" i="1"/>
  <c r="H12713" i="1"/>
  <c r="G12713" i="1"/>
  <c r="M12712" i="1"/>
  <c r="L12712" i="1"/>
  <c r="K12712" i="1"/>
  <c r="J12712" i="1"/>
  <c r="I12712" i="1"/>
  <c r="H12712" i="1"/>
  <c r="G12712" i="1"/>
  <c r="M12711" i="1"/>
  <c r="L12711" i="1"/>
  <c r="K12711" i="1"/>
  <c r="J12711" i="1"/>
  <c r="I12711" i="1"/>
  <c r="H12711" i="1"/>
  <c r="G12711" i="1"/>
  <c r="M12710" i="1"/>
  <c r="L12710" i="1"/>
  <c r="K12710" i="1"/>
  <c r="J12710" i="1"/>
  <c r="I12710" i="1"/>
  <c r="H12710" i="1"/>
  <c r="G12710" i="1"/>
  <c r="M12709" i="1"/>
  <c r="L12709" i="1"/>
  <c r="K12709" i="1"/>
  <c r="J12709" i="1"/>
  <c r="I12709" i="1"/>
  <c r="H12709" i="1"/>
  <c r="G12709" i="1"/>
  <c r="M12708" i="1"/>
  <c r="L12708" i="1"/>
  <c r="K12708" i="1"/>
  <c r="J12708" i="1"/>
  <c r="I12708" i="1"/>
  <c r="H12708" i="1"/>
  <c r="G12708" i="1"/>
  <c r="M12707" i="1"/>
  <c r="L12707" i="1"/>
  <c r="K12707" i="1"/>
  <c r="J12707" i="1"/>
  <c r="I12707" i="1"/>
  <c r="H12707" i="1"/>
  <c r="G12707" i="1"/>
  <c r="M12706" i="1"/>
  <c r="L12706" i="1"/>
  <c r="K12706" i="1"/>
  <c r="J12706" i="1"/>
  <c r="I12706" i="1"/>
  <c r="H12706" i="1"/>
  <c r="G12706" i="1"/>
  <c r="M12705" i="1"/>
  <c r="L12705" i="1"/>
  <c r="K12705" i="1"/>
  <c r="J12705" i="1"/>
  <c r="I12705" i="1"/>
  <c r="H12705" i="1"/>
  <c r="G12705" i="1"/>
  <c r="M12704" i="1"/>
  <c r="L12704" i="1"/>
  <c r="K12704" i="1"/>
  <c r="J12704" i="1"/>
  <c r="I12704" i="1"/>
  <c r="H12704" i="1"/>
  <c r="G12704" i="1"/>
  <c r="M12703" i="1"/>
  <c r="L12703" i="1"/>
  <c r="K12703" i="1"/>
  <c r="J12703" i="1"/>
  <c r="I12703" i="1"/>
  <c r="H12703" i="1"/>
  <c r="G12703" i="1"/>
  <c r="M12702" i="1"/>
  <c r="L12702" i="1"/>
  <c r="K12702" i="1"/>
  <c r="J12702" i="1"/>
  <c r="I12702" i="1"/>
  <c r="H12702" i="1"/>
  <c r="G12702" i="1"/>
  <c r="M12701" i="1"/>
  <c r="L12701" i="1"/>
  <c r="K12701" i="1"/>
  <c r="J12701" i="1"/>
  <c r="I12701" i="1"/>
  <c r="H12701" i="1"/>
  <c r="G12701" i="1"/>
  <c r="M12700" i="1"/>
  <c r="L12700" i="1"/>
  <c r="K12700" i="1"/>
  <c r="J12700" i="1"/>
  <c r="I12700" i="1"/>
  <c r="H12700" i="1"/>
  <c r="G12700" i="1"/>
  <c r="M12699" i="1"/>
  <c r="L12699" i="1"/>
  <c r="K12699" i="1"/>
  <c r="J12699" i="1"/>
  <c r="I12699" i="1"/>
  <c r="H12699" i="1"/>
  <c r="G12699" i="1"/>
  <c r="M12698" i="1"/>
  <c r="L12698" i="1"/>
  <c r="K12698" i="1"/>
  <c r="J12698" i="1"/>
  <c r="I12698" i="1"/>
  <c r="H12698" i="1"/>
  <c r="G12698" i="1"/>
  <c r="M12697" i="1"/>
  <c r="L12697" i="1"/>
  <c r="K12697" i="1"/>
  <c r="J12697" i="1"/>
  <c r="I12697" i="1"/>
  <c r="H12697" i="1"/>
  <c r="G12697" i="1"/>
  <c r="M12696" i="1"/>
  <c r="L12696" i="1"/>
  <c r="K12696" i="1"/>
  <c r="J12696" i="1"/>
  <c r="I12696" i="1"/>
  <c r="H12696" i="1"/>
  <c r="G12696" i="1"/>
  <c r="M12695" i="1"/>
  <c r="L12695" i="1"/>
  <c r="K12695" i="1"/>
  <c r="J12695" i="1"/>
  <c r="I12695" i="1"/>
  <c r="H12695" i="1"/>
  <c r="G12695" i="1"/>
  <c r="M12694" i="1"/>
  <c r="L12694" i="1"/>
  <c r="K12694" i="1"/>
  <c r="J12694" i="1"/>
  <c r="I12694" i="1"/>
  <c r="H12694" i="1"/>
  <c r="G12694" i="1"/>
  <c r="M12693" i="1"/>
  <c r="L12693" i="1"/>
  <c r="K12693" i="1"/>
  <c r="J12693" i="1"/>
  <c r="I12693" i="1"/>
  <c r="H12693" i="1"/>
  <c r="G12693" i="1"/>
  <c r="M12692" i="1"/>
  <c r="L12692" i="1"/>
  <c r="K12692" i="1"/>
  <c r="J12692" i="1"/>
  <c r="I12692" i="1"/>
  <c r="H12692" i="1"/>
  <c r="G12692" i="1"/>
  <c r="M12691" i="1"/>
  <c r="L12691" i="1"/>
  <c r="K12691" i="1"/>
  <c r="J12691" i="1"/>
  <c r="I12691" i="1"/>
  <c r="H12691" i="1"/>
  <c r="G12691" i="1"/>
  <c r="M12690" i="1"/>
  <c r="L12690" i="1"/>
  <c r="K12690" i="1"/>
  <c r="J12690" i="1"/>
  <c r="I12690" i="1"/>
  <c r="H12690" i="1"/>
  <c r="G12690" i="1"/>
  <c r="M12689" i="1"/>
  <c r="L12689" i="1"/>
  <c r="K12689" i="1"/>
  <c r="J12689" i="1"/>
  <c r="I12689" i="1"/>
  <c r="H12689" i="1"/>
  <c r="G12689" i="1"/>
  <c r="M12688" i="1"/>
  <c r="L12688" i="1"/>
  <c r="K12688" i="1"/>
  <c r="J12688" i="1"/>
  <c r="I12688" i="1"/>
  <c r="H12688" i="1"/>
  <c r="G12688" i="1"/>
  <c r="M12687" i="1"/>
  <c r="L12687" i="1"/>
  <c r="K12687" i="1"/>
  <c r="J12687" i="1"/>
  <c r="I12687" i="1"/>
  <c r="H12687" i="1"/>
  <c r="G12687" i="1"/>
  <c r="M12686" i="1"/>
  <c r="L12686" i="1"/>
  <c r="K12686" i="1"/>
  <c r="J12686" i="1"/>
  <c r="I12686" i="1"/>
  <c r="H12686" i="1"/>
  <c r="G12686" i="1"/>
  <c r="M12685" i="1"/>
  <c r="L12685" i="1"/>
  <c r="K12685" i="1"/>
  <c r="J12685" i="1"/>
  <c r="I12685" i="1"/>
  <c r="H12685" i="1"/>
  <c r="G12685" i="1"/>
  <c r="M12684" i="1"/>
  <c r="L12684" i="1"/>
  <c r="K12684" i="1"/>
  <c r="J12684" i="1"/>
  <c r="I12684" i="1"/>
  <c r="H12684" i="1"/>
  <c r="G12684" i="1"/>
  <c r="M12683" i="1"/>
  <c r="L12683" i="1"/>
  <c r="K12683" i="1"/>
  <c r="J12683" i="1"/>
  <c r="I12683" i="1"/>
  <c r="H12683" i="1"/>
  <c r="G12683" i="1"/>
  <c r="M12682" i="1"/>
  <c r="L12682" i="1"/>
  <c r="K12682" i="1"/>
  <c r="J12682" i="1"/>
  <c r="I12682" i="1"/>
  <c r="H12682" i="1"/>
  <c r="G12682" i="1"/>
  <c r="M12681" i="1"/>
  <c r="L12681" i="1"/>
  <c r="K12681" i="1"/>
  <c r="J12681" i="1"/>
  <c r="I12681" i="1"/>
  <c r="H12681" i="1"/>
  <c r="G12681" i="1"/>
  <c r="M12680" i="1"/>
  <c r="L12680" i="1"/>
  <c r="K12680" i="1"/>
  <c r="J12680" i="1"/>
  <c r="I12680" i="1"/>
  <c r="H12680" i="1"/>
  <c r="G12680" i="1"/>
  <c r="M12679" i="1"/>
  <c r="L12679" i="1"/>
  <c r="K12679" i="1"/>
  <c r="J12679" i="1"/>
  <c r="I12679" i="1"/>
  <c r="H12679" i="1"/>
  <c r="G12679" i="1"/>
  <c r="M12678" i="1"/>
  <c r="L12678" i="1"/>
  <c r="K12678" i="1"/>
  <c r="J12678" i="1"/>
  <c r="I12678" i="1"/>
  <c r="H12678" i="1"/>
  <c r="G12678" i="1"/>
  <c r="M12677" i="1"/>
  <c r="L12677" i="1"/>
  <c r="K12677" i="1"/>
  <c r="J12677" i="1"/>
  <c r="I12677" i="1"/>
  <c r="H12677" i="1"/>
  <c r="G12677" i="1"/>
  <c r="M12676" i="1"/>
  <c r="L12676" i="1"/>
  <c r="K12676" i="1"/>
  <c r="J12676" i="1"/>
  <c r="I12676" i="1"/>
  <c r="H12676" i="1"/>
  <c r="G12676" i="1"/>
  <c r="M12675" i="1"/>
  <c r="L12675" i="1"/>
  <c r="K12675" i="1"/>
  <c r="J12675" i="1"/>
  <c r="I12675" i="1"/>
  <c r="H12675" i="1"/>
  <c r="G12675" i="1"/>
  <c r="M12674" i="1"/>
  <c r="L12674" i="1"/>
  <c r="K12674" i="1"/>
  <c r="J12674" i="1"/>
  <c r="I12674" i="1"/>
  <c r="H12674" i="1"/>
  <c r="G12674" i="1"/>
  <c r="M12673" i="1"/>
  <c r="L12673" i="1"/>
  <c r="K12673" i="1"/>
  <c r="J12673" i="1"/>
  <c r="I12673" i="1"/>
  <c r="H12673" i="1"/>
  <c r="G12673" i="1"/>
  <c r="M12672" i="1"/>
  <c r="L12672" i="1"/>
  <c r="K12672" i="1"/>
  <c r="J12672" i="1"/>
  <c r="I12672" i="1"/>
  <c r="H12672" i="1"/>
  <c r="G12672" i="1"/>
  <c r="M12671" i="1"/>
  <c r="L12671" i="1"/>
  <c r="K12671" i="1"/>
  <c r="J12671" i="1"/>
  <c r="I12671" i="1"/>
  <c r="H12671" i="1"/>
  <c r="G12671" i="1"/>
  <c r="M12670" i="1"/>
  <c r="L12670" i="1"/>
  <c r="K12670" i="1"/>
  <c r="J12670" i="1"/>
  <c r="I12670" i="1"/>
  <c r="H12670" i="1"/>
  <c r="G12670" i="1"/>
  <c r="M12669" i="1"/>
  <c r="L12669" i="1"/>
  <c r="K12669" i="1"/>
  <c r="J12669" i="1"/>
  <c r="I12669" i="1"/>
  <c r="H12669" i="1"/>
  <c r="G12669" i="1"/>
  <c r="M12668" i="1"/>
  <c r="L12668" i="1"/>
  <c r="K12668" i="1"/>
  <c r="J12668" i="1"/>
  <c r="I12668" i="1"/>
  <c r="H12668" i="1"/>
  <c r="G12668" i="1"/>
  <c r="M12667" i="1"/>
  <c r="L12667" i="1"/>
  <c r="K12667" i="1"/>
  <c r="J12667" i="1"/>
  <c r="I12667" i="1"/>
  <c r="H12667" i="1"/>
  <c r="G12667" i="1"/>
  <c r="M12666" i="1"/>
  <c r="L12666" i="1"/>
  <c r="K12666" i="1"/>
  <c r="J12666" i="1"/>
  <c r="I12666" i="1"/>
  <c r="H12666" i="1"/>
  <c r="G12666" i="1"/>
  <c r="M12665" i="1"/>
  <c r="L12665" i="1"/>
  <c r="K12665" i="1"/>
  <c r="J12665" i="1"/>
  <c r="I12665" i="1"/>
  <c r="H12665" i="1"/>
  <c r="G12665" i="1"/>
  <c r="M12664" i="1"/>
  <c r="L12664" i="1"/>
  <c r="K12664" i="1"/>
  <c r="J12664" i="1"/>
  <c r="I12664" i="1"/>
  <c r="H12664" i="1"/>
  <c r="G12664" i="1"/>
  <c r="M12663" i="1"/>
  <c r="L12663" i="1"/>
  <c r="K12663" i="1"/>
  <c r="J12663" i="1"/>
  <c r="I12663" i="1"/>
  <c r="H12663" i="1"/>
  <c r="G12663" i="1"/>
  <c r="M12662" i="1"/>
  <c r="L12662" i="1"/>
  <c r="K12662" i="1"/>
  <c r="J12662" i="1"/>
  <c r="I12662" i="1"/>
  <c r="H12662" i="1"/>
  <c r="G12662" i="1"/>
  <c r="M12661" i="1"/>
  <c r="L12661" i="1"/>
  <c r="K12661" i="1"/>
  <c r="J12661" i="1"/>
  <c r="I12661" i="1"/>
  <c r="H12661" i="1"/>
  <c r="G12661" i="1"/>
  <c r="M12660" i="1"/>
  <c r="L12660" i="1"/>
  <c r="K12660" i="1"/>
  <c r="J12660" i="1"/>
  <c r="I12660" i="1"/>
  <c r="H12660" i="1"/>
  <c r="G12660" i="1"/>
  <c r="M12659" i="1"/>
  <c r="L12659" i="1"/>
  <c r="K12659" i="1"/>
  <c r="J12659" i="1"/>
  <c r="I12659" i="1"/>
  <c r="H12659" i="1"/>
  <c r="G12659" i="1"/>
  <c r="M12658" i="1"/>
  <c r="L12658" i="1"/>
  <c r="K12658" i="1"/>
  <c r="J12658" i="1"/>
  <c r="I12658" i="1"/>
  <c r="H12658" i="1"/>
  <c r="G12658" i="1"/>
  <c r="M12657" i="1"/>
  <c r="L12657" i="1"/>
  <c r="K12657" i="1"/>
  <c r="J12657" i="1"/>
  <c r="I12657" i="1"/>
  <c r="H12657" i="1"/>
  <c r="G12657" i="1"/>
  <c r="M12656" i="1"/>
  <c r="L12656" i="1"/>
  <c r="K12656" i="1"/>
  <c r="J12656" i="1"/>
  <c r="I12656" i="1"/>
  <c r="H12656" i="1"/>
  <c r="G12656" i="1"/>
  <c r="M12655" i="1"/>
  <c r="L12655" i="1"/>
  <c r="K12655" i="1"/>
  <c r="J12655" i="1"/>
  <c r="I12655" i="1"/>
  <c r="H12655" i="1"/>
  <c r="G12655" i="1"/>
  <c r="M12654" i="1"/>
  <c r="L12654" i="1"/>
  <c r="K12654" i="1"/>
  <c r="J12654" i="1"/>
  <c r="I12654" i="1"/>
  <c r="H12654" i="1"/>
  <c r="G12654" i="1"/>
  <c r="M12653" i="1"/>
  <c r="L12653" i="1"/>
  <c r="K12653" i="1"/>
  <c r="J12653" i="1"/>
  <c r="I12653" i="1"/>
  <c r="H12653" i="1"/>
  <c r="G12653" i="1"/>
  <c r="M12652" i="1"/>
  <c r="L12652" i="1"/>
  <c r="K12652" i="1"/>
  <c r="J12652" i="1"/>
  <c r="I12652" i="1"/>
  <c r="H12652" i="1"/>
  <c r="G12652" i="1"/>
  <c r="M12651" i="1"/>
  <c r="L12651" i="1"/>
  <c r="K12651" i="1"/>
  <c r="J12651" i="1"/>
  <c r="I12651" i="1"/>
  <c r="H12651" i="1"/>
  <c r="G12651" i="1"/>
  <c r="M12650" i="1"/>
  <c r="L12650" i="1"/>
  <c r="K12650" i="1"/>
  <c r="J12650" i="1"/>
  <c r="I12650" i="1"/>
  <c r="H12650" i="1"/>
  <c r="G12650" i="1"/>
  <c r="M12649" i="1"/>
  <c r="L12649" i="1"/>
  <c r="K12649" i="1"/>
  <c r="J12649" i="1"/>
  <c r="I12649" i="1"/>
  <c r="H12649" i="1"/>
  <c r="G12649" i="1"/>
  <c r="M12648" i="1"/>
  <c r="L12648" i="1"/>
  <c r="K12648" i="1"/>
  <c r="J12648" i="1"/>
  <c r="I12648" i="1"/>
  <c r="H12648" i="1"/>
  <c r="G12648" i="1"/>
  <c r="M12647" i="1"/>
  <c r="L12647" i="1"/>
  <c r="K12647" i="1"/>
  <c r="J12647" i="1"/>
  <c r="I12647" i="1"/>
  <c r="H12647" i="1"/>
  <c r="G12647" i="1"/>
  <c r="M12646" i="1"/>
  <c r="L12646" i="1"/>
  <c r="K12646" i="1"/>
  <c r="J12646" i="1"/>
  <c r="I12646" i="1"/>
  <c r="H12646" i="1"/>
  <c r="G12646" i="1"/>
  <c r="M12645" i="1"/>
  <c r="L12645" i="1"/>
  <c r="K12645" i="1"/>
  <c r="J12645" i="1"/>
  <c r="I12645" i="1"/>
  <c r="H12645" i="1"/>
  <c r="G12645" i="1"/>
  <c r="M12644" i="1"/>
  <c r="L12644" i="1"/>
  <c r="K12644" i="1"/>
  <c r="J12644" i="1"/>
  <c r="I12644" i="1"/>
  <c r="H12644" i="1"/>
  <c r="G12644" i="1"/>
  <c r="M12643" i="1"/>
  <c r="L12643" i="1"/>
  <c r="K12643" i="1"/>
  <c r="J12643" i="1"/>
  <c r="I12643" i="1"/>
  <c r="H12643" i="1"/>
  <c r="G12643" i="1"/>
  <c r="M12642" i="1"/>
  <c r="L12642" i="1"/>
  <c r="K12642" i="1"/>
  <c r="J12642" i="1"/>
  <c r="I12642" i="1"/>
  <c r="H12642" i="1"/>
  <c r="G12642" i="1"/>
  <c r="M12641" i="1"/>
  <c r="L12641" i="1"/>
  <c r="K12641" i="1"/>
  <c r="J12641" i="1"/>
  <c r="I12641" i="1"/>
  <c r="H12641" i="1"/>
  <c r="G12641" i="1"/>
  <c r="M12640" i="1"/>
  <c r="L12640" i="1"/>
  <c r="K12640" i="1"/>
  <c r="J12640" i="1"/>
  <c r="I12640" i="1"/>
  <c r="H12640" i="1"/>
  <c r="G12640" i="1"/>
  <c r="M12639" i="1"/>
  <c r="L12639" i="1"/>
  <c r="K12639" i="1"/>
  <c r="J12639" i="1"/>
  <c r="I12639" i="1"/>
  <c r="H12639" i="1"/>
  <c r="G12639" i="1"/>
  <c r="M12638" i="1"/>
  <c r="L12638" i="1"/>
  <c r="K12638" i="1"/>
  <c r="J12638" i="1"/>
  <c r="I12638" i="1"/>
  <c r="H12638" i="1"/>
  <c r="G12638" i="1"/>
  <c r="M12637" i="1"/>
  <c r="L12637" i="1"/>
  <c r="K12637" i="1"/>
  <c r="J12637" i="1"/>
  <c r="I12637" i="1"/>
  <c r="H12637" i="1"/>
  <c r="G12637" i="1"/>
  <c r="M12636" i="1"/>
  <c r="L12636" i="1"/>
  <c r="K12636" i="1"/>
  <c r="J12636" i="1"/>
  <c r="I12636" i="1"/>
  <c r="H12636" i="1"/>
  <c r="G12636" i="1"/>
  <c r="M12635" i="1"/>
  <c r="L12635" i="1"/>
  <c r="K12635" i="1"/>
  <c r="J12635" i="1"/>
  <c r="I12635" i="1"/>
  <c r="H12635" i="1"/>
  <c r="G12635" i="1"/>
  <c r="M12634" i="1"/>
  <c r="L12634" i="1"/>
  <c r="K12634" i="1"/>
  <c r="J12634" i="1"/>
  <c r="I12634" i="1"/>
  <c r="H12634" i="1"/>
  <c r="G12634" i="1"/>
  <c r="M12633" i="1"/>
  <c r="L12633" i="1"/>
  <c r="K12633" i="1"/>
  <c r="J12633" i="1"/>
  <c r="I12633" i="1"/>
  <c r="H12633" i="1"/>
  <c r="G12633" i="1"/>
  <c r="M12632" i="1"/>
  <c r="L12632" i="1"/>
  <c r="K12632" i="1"/>
  <c r="J12632" i="1"/>
  <c r="I12632" i="1"/>
  <c r="H12632" i="1"/>
  <c r="G12632" i="1"/>
  <c r="M12631" i="1"/>
  <c r="L12631" i="1"/>
  <c r="K12631" i="1"/>
  <c r="J12631" i="1"/>
  <c r="I12631" i="1"/>
  <c r="H12631" i="1"/>
  <c r="G12631" i="1"/>
  <c r="M12630" i="1"/>
  <c r="L12630" i="1"/>
  <c r="K12630" i="1"/>
  <c r="J12630" i="1"/>
  <c r="I12630" i="1"/>
  <c r="H12630" i="1"/>
  <c r="G12630" i="1"/>
  <c r="M12629" i="1"/>
  <c r="L12629" i="1"/>
  <c r="K12629" i="1"/>
  <c r="J12629" i="1"/>
  <c r="I12629" i="1"/>
  <c r="H12629" i="1"/>
  <c r="G12629" i="1"/>
  <c r="M12628" i="1"/>
  <c r="L12628" i="1"/>
  <c r="K12628" i="1"/>
  <c r="J12628" i="1"/>
  <c r="I12628" i="1"/>
  <c r="H12628" i="1"/>
  <c r="G12628" i="1"/>
  <c r="M12627" i="1"/>
  <c r="L12627" i="1"/>
  <c r="K12627" i="1"/>
  <c r="J12627" i="1"/>
  <c r="I12627" i="1"/>
  <c r="H12627" i="1"/>
  <c r="G12627" i="1"/>
  <c r="M12626" i="1"/>
  <c r="L12626" i="1"/>
  <c r="K12626" i="1"/>
  <c r="J12626" i="1"/>
  <c r="I12626" i="1"/>
  <c r="H12626" i="1"/>
  <c r="G12626" i="1"/>
  <c r="M12625" i="1"/>
  <c r="L12625" i="1"/>
  <c r="K12625" i="1"/>
  <c r="J12625" i="1"/>
  <c r="I12625" i="1"/>
  <c r="H12625" i="1"/>
  <c r="G12625" i="1"/>
  <c r="M12624" i="1"/>
  <c r="L12624" i="1"/>
  <c r="K12624" i="1"/>
  <c r="J12624" i="1"/>
  <c r="I12624" i="1"/>
  <c r="H12624" i="1"/>
  <c r="G12624" i="1"/>
  <c r="M12623" i="1"/>
  <c r="L12623" i="1"/>
  <c r="K12623" i="1"/>
  <c r="J12623" i="1"/>
  <c r="I12623" i="1"/>
  <c r="H12623" i="1"/>
  <c r="G12623" i="1"/>
  <c r="M12622" i="1"/>
  <c r="L12622" i="1"/>
  <c r="K12622" i="1"/>
  <c r="J12622" i="1"/>
  <c r="I12622" i="1"/>
  <c r="H12622" i="1"/>
  <c r="G12622" i="1"/>
  <c r="M12621" i="1"/>
  <c r="L12621" i="1"/>
  <c r="K12621" i="1"/>
  <c r="J12621" i="1"/>
  <c r="I12621" i="1"/>
  <c r="H12621" i="1"/>
  <c r="G12621" i="1"/>
  <c r="M12620" i="1"/>
  <c r="L12620" i="1"/>
  <c r="K12620" i="1"/>
  <c r="J12620" i="1"/>
  <c r="I12620" i="1"/>
  <c r="H12620" i="1"/>
  <c r="G12620" i="1"/>
  <c r="M12619" i="1"/>
  <c r="L12619" i="1"/>
  <c r="K12619" i="1"/>
  <c r="J12619" i="1"/>
  <c r="I12619" i="1"/>
  <c r="H12619" i="1"/>
  <c r="G12619" i="1"/>
  <c r="M12618" i="1"/>
  <c r="L12618" i="1"/>
  <c r="K12618" i="1"/>
  <c r="J12618" i="1"/>
  <c r="I12618" i="1"/>
  <c r="H12618" i="1"/>
  <c r="G12618" i="1"/>
  <c r="M12617" i="1"/>
  <c r="L12617" i="1"/>
  <c r="K12617" i="1"/>
  <c r="J12617" i="1"/>
  <c r="I12617" i="1"/>
  <c r="H12617" i="1"/>
  <c r="G12617" i="1"/>
  <c r="M12616" i="1"/>
  <c r="L12616" i="1"/>
  <c r="K12616" i="1"/>
  <c r="J12616" i="1"/>
  <c r="I12616" i="1"/>
  <c r="H12616" i="1"/>
  <c r="G12616" i="1"/>
  <c r="M12615" i="1"/>
  <c r="L12615" i="1"/>
  <c r="K12615" i="1"/>
  <c r="J12615" i="1"/>
  <c r="I12615" i="1"/>
  <c r="H12615" i="1"/>
  <c r="G12615" i="1"/>
  <c r="M12614" i="1"/>
  <c r="L12614" i="1"/>
  <c r="K12614" i="1"/>
  <c r="J12614" i="1"/>
  <c r="I12614" i="1"/>
  <c r="H12614" i="1"/>
  <c r="G12614" i="1"/>
  <c r="M12613" i="1"/>
  <c r="L12613" i="1"/>
  <c r="K12613" i="1"/>
  <c r="J12613" i="1"/>
  <c r="I12613" i="1"/>
  <c r="H12613" i="1"/>
  <c r="G12613" i="1"/>
  <c r="M12612" i="1"/>
  <c r="L12612" i="1"/>
  <c r="K12612" i="1"/>
  <c r="J12612" i="1"/>
  <c r="I12612" i="1"/>
  <c r="H12612" i="1"/>
  <c r="G12612" i="1"/>
  <c r="M12611" i="1"/>
  <c r="L12611" i="1"/>
  <c r="K12611" i="1"/>
  <c r="J12611" i="1"/>
  <c r="I12611" i="1"/>
  <c r="H12611" i="1"/>
  <c r="G12611" i="1"/>
  <c r="M12610" i="1"/>
  <c r="L12610" i="1"/>
  <c r="K12610" i="1"/>
  <c r="J12610" i="1"/>
  <c r="I12610" i="1"/>
  <c r="H12610" i="1"/>
  <c r="G12610" i="1"/>
  <c r="M12609" i="1"/>
  <c r="L12609" i="1"/>
  <c r="K12609" i="1"/>
  <c r="J12609" i="1"/>
  <c r="I12609" i="1"/>
  <c r="H12609" i="1"/>
  <c r="G12609" i="1"/>
  <c r="M12608" i="1"/>
  <c r="L12608" i="1"/>
  <c r="K12608" i="1"/>
  <c r="J12608" i="1"/>
  <c r="I12608" i="1"/>
  <c r="H12608" i="1"/>
  <c r="G12608" i="1"/>
  <c r="M12607" i="1"/>
  <c r="L12607" i="1"/>
  <c r="K12607" i="1"/>
  <c r="J12607" i="1"/>
  <c r="I12607" i="1"/>
  <c r="H12607" i="1"/>
  <c r="G12607" i="1"/>
  <c r="M12606" i="1"/>
  <c r="L12606" i="1"/>
  <c r="K12606" i="1"/>
  <c r="J12606" i="1"/>
  <c r="I12606" i="1"/>
  <c r="H12606" i="1"/>
  <c r="G12606" i="1"/>
  <c r="M12605" i="1"/>
  <c r="L12605" i="1"/>
  <c r="K12605" i="1"/>
  <c r="J12605" i="1"/>
  <c r="I12605" i="1"/>
  <c r="H12605" i="1"/>
  <c r="G12605" i="1"/>
  <c r="M12604" i="1"/>
  <c r="L12604" i="1"/>
  <c r="K12604" i="1"/>
  <c r="J12604" i="1"/>
  <c r="I12604" i="1"/>
  <c r="H12604" i="1"/>
  <c r="G12604" i="1"/>
  <c r="M12603" i="1"/>
  <c r="L12603" i="1"/>
  <c r="K12603" i="1"/>
  <c r="J12603" i="1"/>
  <c r="I12603" i="1"/>
  <c r="H12603" i="1"/>
  <c r="G12603" i="1"/>
  <c r="M12602" i="1"/>
  <c r="L12602" i="1"/>
  <c r="K12602" i="1"/>
  <c r="J12602" i="1"/>
  <c r="I12602" i="1"/>
  <c r="H12602" i="1"/>
  <c r="G12602" i="1"/>
  <c r="M12601" i="1"/>
  <c r="L12601" i="1"/>
  <c r="K12601" i="1"/>
  <c r="J12601" i="1"/>
  <c r="I12601" i="1"/>
  <c r="H12601" i="1"/>
  <c r="G12601" i="1"/>
  <c r="M12600" i="1"/>
  <c r="L12600" i="1"/>
  <c r="K12600" i="1"/>
  <c r="J12600" i="1"/>
  <c r="I12600" i="1"/>
  <c r="H12600" i="1"/>
  <c r="G12600" i="1"/>
  <c r="M12599" i="1"/>
  <c r="L12599" i="1"/>
  <c r="K12599" i="1"/>
  <c r="J12599" i="1"/>
  <c r="I12599" i="1"/>
  <c r="H12599" i="1"/>
  <c r="G12599" i="1"/>
  <c r="M12598" i="1"/>
  <c r="L12598" i="1"/>
  <c r="K12598" i="1"/>
  <c r="J12598" i="1"/>
  <c r="I12598" i="1"/>
  <c r="H12598" i="1"/>
  <c r="G12598" i="1"/>
  <c r="M12597" i="1"/>
  <c r="L12597" i="1"/>
  <c r="K12597" i="1"/>
  <c r="J12597" i="1"/>
  <c r="I12597" i="1"/>
  <c r="H12597" i="1"/>
  <c r="G12597" i="1"/>
  <c r="M12596" i="1"/>
  <c r="L12596" i="1"/>
  <c r="K12596" i="1"/>
  <c r="J12596" i="1"/>
  <c r="I12596" i="1"/>
  <c r="H12596" i="1"/>
  <c r="G12596" i="1"/>
  <c r="M12595" i="1"/>
  <c r="L12595" i="1"/>
  <c r="K12595" i="1"/>
  <c r="J12595" i="1"/>
  <c r="I12595" i="1"/>
  <c r="H12595" i="1"/>
  <c r="G12595" i="1"/>
  <c r="M12594" i="1"/>
  <c r="L12594" i="1"/>
  <c r="K12594" i="1"/>
  <c r="J12594" i="1"/>
  <c r="I12594" i="1"/>
  <c r="H12594" i="1"/>
  <c r="G12594" i="1"/>
  <c r="M12593" i="1"/>
  <c r="L12593" i="1"/>
  <c r="K12593" i="1"/>
  <c r="J12593" i="1"/>
  <c r="I12593" i="1"/>
  <c r="H12593" i="1"/>
  <c r="G12593" i="1"/>
  <c r="M12592" i="1"/>
  <c r="L12592" i="1"/>
  <c r="K12592" i="1"/>
  <c r="J12592" i="1"/>
  <c r="I12592" i="1"/>
  <c r="H12592" i="1"/>
  <c r="G12592" i="1"/>
  <c r="M12591" i="1"/>
  <c r="L12591" i="1"/>
  <c r="K12591" i="1"/>
  <c r="J12591" i="1"/>
  <c r="I12591" i="1"/>
  <c r="H12591" i="1"/>
  <c r="G12591" i="1"/>
  <c r="M12590" i="1"/>
  <c r="L12590" i="1"/>
  <c r="K12590" i="1"/>
  <c r="J12590" i="1"/>
  <c r="I12590" i="1"/>
  <c r="H12590" i="1"/>
  <c r="G12590" i="1"/>
  <c r="M12589" i="1"/>
  <c r="L12589" i="1"/>
  <c r="K12589" i="1"/>
  <c r="J12589" i="1"/>
  <c r="I12589" i="1"/>
  <c r="H12589" i="1"/>
  <c r="G12589" i="1"/>
  <c r="M12588" i="1"/>
  <c r="L12588" i="1"/>
  <c r="K12588" i="1"/>
  <c r="J12588" i="1"/>
  <c r="I12588" i="1"/>
  <c r="H12588" i="1"/>
  <c r="G12588" i="1"/>
  <c r="M12587" i="1"/>
  <c r="L12587" i="1"/>
  <c r="K12587" i="1"/>
  <c r="J12587" i="1"/>
  <c r="I12587" i="1"/>
  <c r="H12587" i="1"/>
  <c r="G12587" i="1"/>
  <c r="M12586" i="1"/>
  <c r="L12586" i="1"/>
  <c r="K12586" i="1"/>
  <c r="J12586" i="1"/>
  <c r="I12586" i="1"/>
  <c r="H12586" i="1"/>
  <c r="G12586" i="1"/>
  <c r="M12585" i="1"/>
  <c r="L12585" i="1"/>
  <c r="K12585" i="1"/>
  <c r="J12585" i="1"/>
  <c r="I12585" i="1"/>
  <c r="H12585" i="1"/>
  <c r="G12585" i="1"/>
  <c r="M12584" i="1"/>
  <c r="L12584" i="1"/>
  <c r="K12584" i="1"/>
  <c r="J12584" i="1"/>
  <c r="I12584" i="1"/>
  <c r="H12584" i="1"/>
  <c r="G12584" i="1"/>
  <c r="M12583" i="1"/>
  <c r="L12583" i="1"/>
  <c r="K12583" i="1"/>
  <c r="J12583" i="1"/>
  <c r="I12583" i="1"/>
  <c r="H12583" i="1"/>
  <c r="G12583" i="1"/>
  <c r="M12582" i="1"/>
  <c r="L12582" i="1"/>
  <c r="K12582" i="1"/>
  <c r="J12582" i="1"/>
  <c r="I12582" i="1"/>
  <c r="H12582" i="1"/>
  <c r="G12582" i="1"/>
  <c r="M12581" i="1"/>
  <c r="L12581" i="1"/>
  <c r="K12581" i="1"/>
  <c r="J12581" i="1"/>
  <c r="I12581" i="1"/>
  <c r="H12581" i="1"/>
  <c r="G12581" i="1"/>
  <c r="M12580" i="1"/>
  <c r="L12580" i="1"/>
  <c r="K12580" i="1"/>
  <c r="J12580" i="1"/>
  <c r="I12580" i="1"/>
  <c r="H12580" i="1"/>
  <c r="G12580" i="1"/>
  <c r="M12579" i="1"/>
  <c r="L12579" i="1"/>
  <c r="K12579" i="1"/>
  <c r="J12579" i="1"/>
  <c r="I12579" i="1"/>
  <c r="H12579" i="1"/>
  <c r="G12579" i="1"/>
  <c r="M12578" i="1"/>
  <c r="L12578" i="1"/>
  <c r="K12578" i="1"/>
  <c r="J12578" i="1"/>
  <c r="I12578" i="1"/>
  <c r="H12578" i="1"/>
  <c r="G12578" i="1"/>
  <c r="M12577" i="1"/>
  <c r="L12577" i="1"/>
  <c r="K12577" i="1"/>
  <c r="J12577" i="1"/>
  <c r="I12577" i="1"/>
  <c r="H12577" i="1"/>
  <c r="G12577" i="1"/>
  <c r="M12576" i="1"/>
  <c r="L12576" i="1"/>
  <c r="K12576" i="1"/>
  <c r="J12576" i="1"/>
  <c r="I12576" i="1"/>
  <c r="H12576" i="1"/>
  <c r="G12576" i="1"/>
  <c r="M12575" i="1"/>
  <c r="L12575" i="1"/>
  <c r="K12575" i="1"/>
  <c r="J12575" i="1"/>
  <c r="I12575" i="1"/>
  <c r="H12575" i="1"/>
  <c r="G12575" i="1"/>
  <c r="M12574" i="1"/>
  <c r="L12574" i="1"/>
  <c r="K12574" i="1"/>
  <c r="J12574" i="1"/>
  <c r="I12574" i="1"/>
  <c r="H12574" i="1"/>
  <c r="G12574" i="1"/>
  <c r="M12573" i="1"/>
  <c r="L12573" i="1"/>
  <c r="K12573" i="1"/>
  <c r="J12573" i="1"/>
  <c r="I12573" i="1"/>
  <c r="H12573" i="1"/>
  <c r="G12573" i="1"/>
  <c r="M12572" i="1"/>
  <c r="L12572" i="1"/>
  <c r="K12572" i="1"/>
  <c r="J12572" i="1"/>
  <c r="I12572" i="1"/>
  <c r="H12572" i="1"/>
  <c r="G12572" i="1"/>
  <c r="M12571" i="1"/>
  <c r="L12571" i="1"/>
  <c r="K12571" i="1"/>
  <c r="J12571" i="1"/>
  <c r="I12571" i="1"/>
  <c r="H12571" i="1"/>
  <c r="G12571" i="1"/>
  <c r="M12570" i="1"/>
  <c r="L12570" i="1"/>
  <c r="K12570" i="1"/>
  <c r="J12570" i="1"/>
  <c r="I12570" i="1"/>
  <c r="H12570" i="1"/>
  <c r="G12570" i="1"/>
  <c r="M12569" i="1"/>
  <c r="L12569" i="1"/>
  <c r="K12569" i="1"/>
  <c r="J12569" i="1"/>
  <c r="I12569" i="1"/>
  <c r="H12569" i="1"/>
  <c r="G12569" i="1"/>
  <c r="M12568" i="1"/>
  <c r="L12568" i="1"/>
  <c r="K12568" i="1"/>
  <c r="J12568" i="1"/>
  <c r="I12568" i="1"/>
  <c r="H12568" i="1"/>
  <c r="G12568" i="1"/>
  <c r="M12567" i="1"/>
  <c r="L12567" i="1"/>
  <c r="K12567" i="1"/>
  <c r="J12567" i="1"/>
  <c r="I12567" i="1"/>
  <c r="H12567" i="1"/>
  <c r="G12567" i="1"/>
  <c r="M12566" i="1"/>
  <c r="L12566" i="1"/>
  <c r="K12566" i="1"/>
  <c r="J12566" i="1"/>
  <c r="I12566" i="1"/>
  <c r="H12566" i="1"/>
  <c r="G12566" i="1"/>
  <c r="M12565" i="1"/>
  <c r="L12565" i="1"/>
  <c r="K12565" i="1"/>
  <c r="J12565" i="1"/>
  <c r="I12565" i="1"/>
  <c r="H12565" i="1"/>
  <c r="G12565" i="1"/>
  <c r="M12564" i="1"/>
  <c r="L12564" i="1"/>
  <c r="K12564" i="1"/>
  <c r="J12564" i="1"/>
  <c r="I12564" i="1"/>
  <c r="H12564" i="1"/>
  <c r="G12564" i="1"/>
  <c r="M12563" i="1"/>
  <c r="L12563" i="1"/>
  <c r="K12563" i="1"/>
  <c r="J12563" i="1"/>
  <c r="I12563" i="1"/>
  <c r="H12563" i="1"/>
  <c r="G12563" i="1"/>
  <c r="M12562" i="1"/>
  <c r="L12562" i="1"/>
  <c r="K12562" i="1"/>
  <c r="J12562" i="1"/>
  <c r="I12562" i="1"/>
  <c r="H12562" i="1"/>
  <c r="G12562" i="1"/>
  <c r="M12561" i="1"/>
  <c r="L12561" i="1"/>
  <c r="K12561" i="1"/>
  <c r="J12561" i="1"/>
  <c r="I12561" i="1"/>
  <c r="H12561" i="1"/>
  <c r="G12561" i="1"/>
  <c r="M12560" i="1"/>
  <c r="L12560" i="1"/>
  <c r="K12560" i="1"/>
  <c r="J12560" i="1"/>
  <c r="I12560" i="1"/>
  <c r="H12560" i="1"/>
  <c r="G12560" i="1"/>
  <c r="M12559" i="1"/>
  <c r="L12559" i="1"/>
  <c r="K12559" i="1"/>
  <c r="J12559" i="1"/>
  <c r="I12559" i="1"/>
  <c r="H12559" i="1"/>
  <c r="G12559" i="1"/>
  <c r="M12558" i="1"/>
  <c r="L12558" i="1"/>
  <c r="K12558" i="1"/>
  <c r="J12558" i="1"/>
  <c r="I12558" i="1"/>
  <c r="H12558" i="1"/>
  <c r="G12558" i="1"/>
  <c r="M12557" i="1"/>
  <c r="L12557" i="1"/>
  <c r="K12557" i="1"/>
  <c r="J12557" i="1"/>
  <c r="I12557" i="1"/>
  <c r="H12557" i="1"/>
  <c r="G12557" i="1"/>
  <c r="M12556" i="1"/>
  <c r="L12556" i="1"/>
  <c r="K12556" i="1"/>
  <c r="J12556" i="1"/>
  <c r="I12556" i="1"/>
  <c r="H12556" i="1"/>
  <c r="G12556" i="1"/>
  <c r="M12555" i="1"/>
  <c r="L12555" i="1"/>
  <c r="K12555" i="1"/>
  <c r="J12555" i="1"/>
  <c r="I12555" i="1"/>
  <c r="H12555" i="1"/>
  <c r="G12555" i="1"/>
  <c r="M12554" i="1"/>
  <c r="L12554" i="1"/>
  <c r="K12554" i="1"/>
  <c r="J12554" i="1"/>
  <c r="I12554" i="1"/>
  <c r="H12554" i="1"/>
  <c r="G12554" i="1"/>
  <c r="M12553" i="1"/>
  <c r="L12553" i="1"/>
  <c r="K12553" i="1"/>
  <c r="J12553" i="1"/>
  <c r="I12553" i="1"/>
  <c r="H12553" i="1"/>
  <c r="G12553" i="1"/>
  <c r="M12552" i="1"/>
  <c r="L12552" i="1"/>
  <c r="K12552" i="1"/>
  <c r="J12552" i="1"/>
  <c r="I12552" i="1"/>
  <c r="H12552" i="1"/>
  <c r="G12552" i="1"/>
  <c r="M12551" i="1"/>
  <c r="L12551" i="1"/>
  <c r="K12551" i="1"/>
  <c r="J12551" i="1"/>
  <c r="I12551" i="1"/>
  <c r="H12551" i="1"/>
  <c r="G12551" i="1"/>
  <c r="M12550" i="1"/>
  <c r="L12550" i="1"/>
  <c r="K12550" i="1"/>
  <c r="J12550" i="1"/>
  <c r="I12550" i="1"/>
  <c r="H12550" i="1"/>
  <c r="G12550" i="1"/>
  <c r="M12549" i="1"/>
  <c r="L12549" i="1"/>
  <c r="K12549" i="1"/>
  <c r="J12549" i="1"/>
  <c r="I12549" i="1"/>
  <c r="H12549" i="1"/>
  <c r="G12549" i="1"/>
  <c r="M12548" i="1"/>
  <c r="L12548" i="1"/>
  <c r="K12548" i="1"/>
  <c r="J12548" i="1"/>
  <c r="I12548" i="1"/>
  <c r="H12548" i="1"/>
  <c r="G12548" i="1"/>
  <c r="M12547" i="1"/>
  <c r="L12547" i="1"/>
  <c r="K12547" i="1"/>
  <c r="J12547" i="1"/>
  <c r="I12547" i="1"/>
  <c r="H12547" i="1"/>
  <c r="G12547" i="1"/>
  <c r="M12546" i="1"/>
  <c r="L12546" i="1"/>
  <c r="K12546" i="1"/>
  <c r="J12546" i="1"/>
  <c r="I12546" i="1"/>
  <c r="H12546" i="1"/>
  <c r="G12546" i="1"/>
  <c r="M12545" i="1"/>
  <c r="L12545" i="1"/>
  <c r="K12545" i="1"/>
  <c r="J12545" i="1"/>
  <c r="I12545" i="1"/>
  <c r="H12545" i="1"/>
  <c r="G12545" i="1"/>
  <c r="M12544" i="1"/>
  <c r="L12544" i="1"/>
  <c r="K12544" i="1"/>
  <c r="J12544" i="1"/>
  <c r="I12544" i="1"/>
  <c r="H12544" i="1"/>
  <c r="G12544" i="1"/>
  <c r="M12543" i="1"/>
  <c r="L12543" i="1"/>
  <c r="K12543" i="1"/>
  <c r="J12543" i="1"/>
  <c r="I12543" i="1"/>
  <c r="H12543" i="1"/>
  <c r="G12543" i="1"/>
  <c r="M12542" i="1"/>
  <c r="L12542" i="1"/>
  <c r="K12542" i="1"/>
  <c r="J12542" i="1"/>
  <c r="I12542" i="1"/>
  <c r="H12542" i="1"/>
  <c r="G12542" i="1"/>
  <c r="M12541" i="1"/>
  <c r="L12541" i="1"/>
  <c r="K12541" i="1"/>
  <c r="J12541" i="1"/>
  <c r="I12541" i="1"/>
  <c r="H12541" i="1"/>
  <c r="G12541" i="1"/>
  <c r="M12540" i="1"/>
  <c r="L12540" i="1"/>
  <c r="K12540" i="1"/>
  <c r="J12540" i="1"/>
  <c r="I12540" i="1"/>
  <c r="H12540" i="1"/>
  <c r="G12540" i="1"/>
  <c r="M12539" i="1"/>
  <c r="L12539" i="1"/>
  <c r="K12539" i="1"/>
  <c r="J12539" i="1"/>
  <c r="I12539" i="1"/>
  <c r="H12539" i="1"/>
  <c r="G12539" i="1"/>
  <c r="M12538" i="1"/>
  <c r="L12538" i="1"/>
  <c r="K12538" i="1"/>
  <c r="J12538" i="1"/>
  <c r="I12538" i="1"/>
  <c r="H12538" i="1"/>
  <c r="G12538" i="1"/>
  <c r="M12537" i="1"/>
  <c r="L12537" i="1"/>
  <c r="K12537" i="1"/>
  <c r="J12537" i="1"/>
  <c r="I12537" i="1"/>
  <c r="H12537" i="1"/>
  <c r="G12537" i="1"/>
  <c r="M12536" i="1"/>
  <c r="L12536" i="1"/>
  <c r="K12536" i="1"/>
  <c r="J12536" i="1"/>
  <c r="I12536" i="1"/>
  <c r="H12536" i="1"/>
  <c r="G12536" i="1"/>
  <c r="M12535" i="1"/>
  <c r="L12535" i="1"/>
  <c r="K12535" i="1"/>
  <c r="J12535" i="1"/>
  <c r="I12535" i="1"/>
  <c r="H12535" i="1"/>
  <c r="G12535" i="1"/>
  <c r="M12534" i="1"/>
  <c r="L12534" i="1"/>
  <c r="K12534" i="1"/>
  <c r="J12534" i="1"/>
  <c r="I12534" i="1"/>
  <c r="H12534" i="1"/>
  <c r="G12534" i="1"/>
  <c r="M12533" i="1"/>
  <c r="L12533" i="1"/>
  <c r="K12533" i="1"/>
  <c r="J12533" i="1"/>
  <c r="I12533" i="1"/>
  <c r="H12533" i="1"/>
  <c r="G12533" i="1"/>
  <c r="M12532" i="1"/>
  <c r="L12532" i="1"/>
  <c r="K12532" i="1"/>
  <c r="J12532" i="1"/>
  <c r="I12532" i="1"/>
  <c r="H12532" i="1"/>
  <c r="G12532" i="1"/>
  <c r="M12531" i="1"/>
  <c r="L12531" i="1"/>
  <c r="K12531" i="1"/>
  <c r="J12531" i="1"/>
  <c r="I12531" i="1"/>
  <c r="H12531" i="1"/>
  <c r="G12531" i="1"/>
  <c r="M12530" i="1"/>
  <c r="L12530" i="1"/>
  <c r="K12530" i="1"/>
  <c r="J12530" i="1"/>
  <c r="I12530" i="1"/>
  <c r="H12530" i="1"/>
  <c r="G12530" i="1"/>
  <c r="M12529" i="1"/>
  <c r="L12529" i="1"/>
  <c r="K12529" i="1"/>
  <c r="J12529" i="1"/>
  <c r="I12529" i="1"/>
  <c r="H12529" i="1"/>
  <c r="G12529" i="1"/>
  <c r="M12528" i="1"/>
  <c r="L12528" i="1"/>
  <c r="K12528" i="1"/>
  <c r="J12528" i="1"/>
  <c r="I12528" i="1"/>
  <c r="H12528" i="1"/>
  <c r="G12528" i="1"/>
  <c r="M12527" i="1"/>
  <c r="L12527" i="1"/>
  <c r="K12527" i="1"/>
  <c r="J12527" i="1"/>
  <c r="I12527" i="1"/>
  <c r="H12527" i="1"/>
  <c r="G12527" i="1"/>
  <c r="M12526" i="1"/>
  <c r="L12526" i="1"/>
  <c r="K12526" i="1"/>
  <c r="J12526" i="1"/>
  <c r="I12526" i="1"/>
  <c r="H12526" i="1"/>
  <c r="G12526" i="1"/>
  <c r="M12525" i="1"/>
  <c r="L12525" i="1"/>
  <c r="K12525" i="1"/>
  <c r="J12525" i="1"/>
  <c r="I12525" i="1"/>
  <c r="H12525" i="1"/>
  <c r="G12525" i="1"/>
  <c r="M12524" i="1"/>
  <c r="L12524" i="1"/>
  <c r="K12524" i="1"/>
  <c r="J12524" i="1"/>
  <c r="I12524" i="1"/>
  <c r="H12524" i="1"/>
  <c r="G12524" i="1"/>
  <c r="M12523" i="1"/>
  <c r="L12523" i="1"/>
  <c r="K12523" i="1"/>
  <c r="J12523" i="1"/>
  <c r="I12523" i="1"/>
  <c r="H12523" i="1"/>
  <c r="G12523" i="1"/>
  <c r="M12522" i="1"/>
  <c r="L12522" i="1"/>
  <c r="K12522" i="1"/>
  <c r="J12522" i="1"/>
  <c r="I12522" i="1"/>
  <c r="H12522" i="1"/>
  <c r="G12522" i="1"/>
  <c r="M12521" i="1"/>
  <c r="L12521" i="1"/>
  <c r="K12521" i="1"/>
  <c r="J12521" i="1"/>
  <c r="I12521" i="1"/>
  <c r="H12521" i="1"/>
  <c r="G12521" i="1"/>
  <c r="M12520" i="1"/>
  <c r="L12520" i="1"/>
  <c r="K12520" i="1"/>
  <c r="J12520" i="1"/>
  <c r="I12520" i="1"/>
  <c r="H12520" i="1"/>
  <c r="G12520" i="1"/>
  <c r="M12519" i="1"/>
  <c r="L12519" i="1"/>
  <c r="K12519" i="1"/>
  <c r="J12519" i="1"/>
  <c r="I12519" i="1"/>
  <c r="H12519" i="1"/>
  <c r="G12519" i="1"/>
  <c r="M12518" i="1"/>
  <c r="L12518" i="1"/>
  <c r="K12518" i="1"/>
  <c r="J12518" i="1"/>
  <c r="I12518" i="1"/>
  <c r="H12518" i="1"/>
  <c r="G12518" i="1"/>
  <c r="M12517" i="1"/>
  <c r="L12517" i="1"/>
  <c r="K12517" i="1"/>
  <c r="J12517" i="1"/>
  <c r="I12517" i="1"/>
  <c r="H12517" i="1"/>
  <c r="G12517" i="1"/>
  <c r="M12516" i="1"/>
  <c r="L12516" i="1"/>
  <c r="K12516" i="1"/>
  <c r="J12516" i="1"/>
  <c r="I12516" i="1"/>
  <c r="H12516" i="1"/>
  <c r="G12516" i="1"/>
  <c r="M12515" i="1"/>
  <c r="L12515" i="1"/>
  <c r="K12515" i="1"/>
  <c r="J12515" i="1"/>
  <c r="I12515" i="1"/>
  <c r="H12515" i="1"/>
  <c r="G12515" i="1"/>
  <c r="M12514" i="1"/>
  <c r="L12514" i="1"/>
  <c r="K12514" i="1"/>
  <c r="J12514" i="1"/>
  <c r="I12514" i="1"/>
  <c r="H12514" i="1"/>
  <c r="G12514" i="1"/>
  <c r="M12513" i="1"/>
  <c r="L12513" i="1"/>
  <c r="K12513" i="1"/>
  <c r="J12513" i="1"/>
  <c r="I12513" i="1"/>
  <c r="H12513" i="1"/>
  <c r="G12513" i="1"/>
  <c r="M12512" i="1"/>
  <c r="L12512" i="1"/>
  <c r="K12512" i="1"/>
  <c r="J12512" i="1"/>
  <c r="I12512" i="1"/>
  <c r="H12512" i="1"/>
  <c r="G12512" i="1"/>
  <c r="M12511" i="1"/>
  <c r="L12511" i="1"/>
  <c r="K12511" i="1"/>
  <c r="J12511" i="1"/>
  <c r="I12511" i="1"/>
  <c r="H12511" i="1"/>
  <c r="G12511" i="1"/>
  <c r="M12510" i="1"/>
  <c r="L12510" i="1"/>
  <c r="K12510" i="1"/>
  <c r="J12510" i="1"/>
  <c r="I12510" i="1"/>
  <c r="H12510" i="1"/>
  <c r="G12510" i="1"/>
  <c r="M12509" i="1"/>
  <c r="L12509" i="1"/>
  <c r="K12509" i="1"/>
  <c r="J12509" i="1"/>
  <c r="I12509" i="1"/>
  <c r="H12509" i="1"/>
  <c r="G12509" i="1"/>
  <c r="M12508" i="1"/>
  <c r="L12508" i="1"/>
  <c r="K12508" i="1"/>
  <c r="J12508" i="1"/>
  <c r="I12508" i="1"/>
  <c r="H12508" i="1"/>
  <c r="G12508" i="1"/>
  <c r="M12507" i="1"/>
  <c r="L12507" i="1"/>
  <c r="K12507" i="1"/>
  <c r="J12507" i="1"/>
  <c r="I12507" i="1"/>
  <c r="H12507" i="1"/>
  <c r="G12507" i="1"/>
  <c r="M12506" i="1"/>
  <c r="L12506" i="1"/>
  <c r="K12506" i="1"/>
  <c r="J12506" i="1"/>
  <c r="I12506" i="1"/>
  <c r="H12506" i="1"/>
  <c r="G12506" i="1"/>
  <c r="M12505" i="1"/>
  <c r="L12505" i="1"/>
  <c r="K12505" i="1"/>
  <c r="J12505" i="1"/>
  <c r="I12505" i="1"/>
  <c r="H12505" i="1"/>
  <c r="G12505" i="1"/>
  <c r="M12504" i="1"/>
  <c r="L12504" i="1"/>
  <c r="K12504" i="1"/>
  <c r="J12504" i="1"/>
  <c r="I12504" i="1"/>
  <c r="H12504" i="1"/>
  <c r="G12504" i="1"/>
  <c r="M12503" i="1"/>
  <c r="L12503" i="1"/>
  <c r="K12503" i="1"/>
  <c r="J12503" i="1"/>
  <c r="I12503" i="1"/>
  <c r="H12503" i="1"/>
  <c r="G12503" i="1"/>
  <c r="M12502" i="1"/>
  <c r="L12502" i="1"/>
  <c r="K12502" i="1"/>
  <c r="J12502" i="1"/>
  <c r="I12502" i="1"/>
  <c r="H12502" i="1"/>
  <c r="G12502" i="1"/>
  <c r="M12501" i="1"/>
  <c r="L12501" i="1"/>
  <c r="K12501" i="1"/>
  <c r="J12501" i="1"/>
  <c r="I12501" i="1"/>
  <c r="H12501" i="1"/>
  <c r="G12501" i="1"/>
  <c r="M12500" i="1"/>
  <c r="L12500" i="1"/>
  <c r="K12500" i="1"/>
  <c r="J12500" i="1"/>
  <c r="I12500" i="1"/>
  <c r="H12500" i="1"/>
  <c r="G12500" i="1"/>
  <c r="M12499" i="1"/>
  <c r="L12499" i="1"/>
  <c r="K12499" i="1"/>
  <c r="J12499" i="1"/>
  <c r="I12499" i="1"/>
  <c r="H12499" i="1"/>
  <c r="G12499" i="1"/>
  <c r="M12498" i="1"/>
  <c r="L12498" i="1"/>
  <c r="K12498" i="1"/>
  <c r="J12498" i="1"/>
  <c r="I12498" i="1"/>
  <c r="H12498" i="1"/>
  <c r="G12498" i="1"/>
  <c r="M12497" i="1"/>
  <c r="L12497" i="1"/>
  <c r="K12497" i="1"/>
  <c r="J12497" i="1"/>
  <c r="I12497" i="1"/>
  <c r="H12497" i="1"/>
  <c r="G12497" i="1"/>
  <c r="M12496" i="1"/>
  <c r="L12496" i="1"/>
  <c r="K12496" i="1"/>
  <c r="J12496" i="1"/>
  <c r="I12496" i="1"/>
  <c r="H12496" i="1"/>
  <c r="G12496" i="1"/>
  <c r="M12495" i="1"/>
  <c r="L12495" i="1"/>
  <c r="K12495" i="1"/>
  <c r="J12495" i="1"/>
  <c r="I12495" i="1"/>
  <c r="H12495" i="1"/>
  <c r="G12495" i="1"/>
  <c r="M12494" i="1"/>
  <c r="L12494" i="1"/>
  <c r="K12494" i="1"/>
  <c r="J12494" i="1"/>
  <c r="I12494" i="1"/>
  <c r="H12494" i="1"/>
  <c r="G12494" i="1"/>
  <c r="M12493" i="1"/>
  <c r="L12493" i="1"/>
  <c r="K12493" i="1"/>
  <c r="J12493" i="1"/>
  <c r="I12493" i="1"/>
  <c r="H12493" i="1"/>
  <c r="G12493" i="1"/>
  <c r="M12492" i="1"/>
  <c r="L12492" i="1"/>
  <c r="K12492" i="1"/>
  <c r="J12492" i="1"/>
  <c r="I12492" i="1"/>
  <c r="H12492" i="1"/>
  <c r="G12492" i="1"/>
  <c r="M12491" i="1"/>
  <c r="L12491" i="1"/>
  <c r="K12491" i="1"/>
  <c r="J12491" i="1"/>
  <c r="I12491" i="1"/>
  <c r="H12491" i="1"/>
  <c r="G12491" i="1"/>
  <c r="M12490" i="1"/>
  <c r="L12490" i="1"/>
  <c r="K12490" i="1"/>
  <c r="J12490" i="1"/>
  <c r="I12490" i="1"/>
  <c r="H12490" i="1"/>
  <c r="G12490" i="1"/>
  <c r="M12489" i="1"/>
  <c r="L12489" i="1"/>
  <c r="K12489" i="1"/>
  <c r="J12489" i="1"/>
  <c r="I12489" i="1"/>
  <c r="H12489" i="1"/>
  <c r="G12489" i="1"/>
  <c r="M12488" i="1"/>
  <c r="L12488" i="1"/>
  <c r="K12488" i="1"/>
  <c r="J12488" i="1"/>
  <c r="I12488" i="1"/>
  <c r="H12488" i="1"/>
  <c r="G12488" i="1"/>
  <c r="M12487" i="1"/>
  <c r="L12487" i="1"/>
  <c r="K12487" i="1"/>
  <c r="J12487" i="1"/>
  <c r="I12487" i="1"/>
  <c r="H12487" i="1"/>
  <c r="G12487" i="1"/>
  <c r="M12486" i="1"/>
  <c r="L12486" i="1"/>
  <c r="K12486" i="1"/>
  <c r="J12486" i="1"/>
  <c r="I12486" i="1"/>
  <c r="H12486" i="1"/>
  <c r="G12486" i="1"/>
  <c r="M12485" i="1"/>
  <c r="L12485" i="1"/>
  <c r="K12485" i="1"/>
  <c r="J12485" i="1"/>
  <c r="I12485" i="1"/>
  <c r="H12485" i="1"/>
  <c r="G12485" i="1"/>
  <c r="M12484" i="1"/>
  <c r="L12484" i="1"/>
  <c r="K12484" i="1"/>
  <c r="J12484" i="1"/>
  <c r="I12484" i="1"/>
  <c r="H12484" i="1"/>
  <c r="G12484" i="1"/>
  <c r="M12483" i="1"/>
  <c r="L12483" i="1"/>
  <c r="K12483" i="1"/>
  <c r="J12483" i="1"/>
  <c r="I12483" i="1"/>
  <c r="H12483" i="1"/>
  <c r="G12483" i="1"/>
  <c r="M12482" i="1"/>
  <c r="L12482" i="1"/>
  <c r="K12482" i="1"/>
  <c r="J12482" i="1"/>
  <c r="I12482" i="1"/>
  <c r="H12482" i="1"/>
  <c r="G12482" i="1"/>
  <c r="M12481" i="1"/>
  <c r="L12481" i="1"/>
  <c r="K12481" i="1"/>
  <c r="J12481" i="1"/>
  <c r="I12481" i="1"/>
  <c r="H12481" i="1"/>
  <c r="G12481" i="1"/>
  <c r="M12480" i="1"/>
  <c r="L12480" i="1"/>
  <c r="K12480" i="1"/>
  <c r="J12480" i="1"/>
  <c r="I12480" i="1"/>
  <c r="H12480" i="1"/>
  <c r="G12480" i="1"/>
  <c r="M12479" i="1"/>
  <c r="L12479" i="1"/>
  <c r="K12479" i="1"/>
  <c r="J12479" i="1"/>
  <c r="I12479" i="1"/>
  <c r="H12479" i="1"/>
  <c r="G12479" i="1"/>
  <c r="M12478" i="1"/>
  <c r="L12478" i="1"/>
  <c r="K12478" i="1"/>
  <c r="J12478" i="1"/>
  <c r="I12478" i="1"/>
  <c r="H12478" i="1"/>
  <c r="G12478" i="1"/>
  <c r="M12477" i="1"/>
  <c r="L12477" i="1"/>
  <c r="K12477" i="1"/>
  <c r="J12477" i="1"/>
  <c r="I12477" i="1"/>
  <c r="H12477" i="1"/>
  <c r="G12477" i="1"/>
  <c r="M12476" i="1"/>
  <c r="L12476" i="1"/>
  <c r="K12476" i="1"/>
  <c r="J12476" i="1"/>
  <c r="I12476" i="1"/>
  <c r="H12476" i="1"/>
  <c r="G12476" i="1"/>
  <c r="M12475" i="1"/>
  <c r="L12475" i="1"/>
  <c r="K12475" i="1"/>
  <c r="J12475" i="1"/>
  <c r="I12475" i="1"/>
  <c r="H12475" i="1"/>
  <c r="G12475" i="1"/>
  <c r="M12474" i="1"/>
  <c r="L12474" i="1"/>
  <c r="K12474" i="1"/>
  <c r="J12474" i="1"/>
  <c r="I12474" i="1"/>
  <c r="H12474" i="1"/>
  <c r="G12474" i="1"/>
  <c r="M12473" i="1"/>
  <c r="L12473" i="1"/>
  <c r="K12473" i="1"/>
  <c r="J12473" i="1"/>
  <c r="I12473" i="1"/>
  <c r="H12473" i="1"/>
  <c r="G12473" i="1"/>
  <c r="M12472" i="1"/>
  <c r="L12472" i="1"/>
  <c r="K12472" i="1"/>
  <c r="J12472" i="1"/>
  <c r="I12472" i="1"/>
  <c r="H12472" i="1"/>
  <c r="G12472" i="1"/>
  <c r="M12471" i="1"/>
  <c r="L12471" i="1"/>
  <c r="K12471" i="1"/>
  <c r="J12471" i="1"/>
  <c r="I12471" i="1"/>
  <c r="H12471" i="1"/>
  <c r="G12471" i="1"/>
  <c r="M12470" i="1"/>
  <c r="L12470" i="1"/>
  <c r="K12470" i="1"/>
  <c r="J12470" i="1"/>
  <c r="I12470" i="1"/>
  <c r="H12470" i="1"/>
  <c r="G12470" i="1"/>
  <c r="M12469" i="1"/>
  <c r="L12469" i="1"/>
  <c r="K12469" i="1"/>
  <c r="J12469" i="1"/>
  <c r="I12469" i="1"/>
  <c r="H12469" i="1"/>
  <c r="G12469" i="1"/>
  <c r="M12468" i="1"/>
  <c r="L12468" i="1"/>
  <c r="K12468" i="1"/>
  <c r="J12468" i="1"/>
  <c r="I12468" i="1"/>
  <c r="H12468" i="1"/>
  <c r="G12468" i="1"/>
  <c r="M12467" i="1"/>
  <c r="L12467" i="1"/>
  <c r="K12467" i="1"/>
  <c r="J12467" i="1"/>
  <c r="I12467" i="1"/>
  <c r="H12467" i="1"/>
  <c r="G12467" i="1"/>
  <c r="M12466" i="1"/>
  <c r="L12466" i="1"/>
  <c r="K12466" i="1"/>
  <c r="J12466" i="1"/>
  <c r="I12466" i="1"/>
  <c r="H12466" i="1"/>
  <c r="G12466" i="1"/>
  <c r="M12465" i="1"/>
  <c r="L12465" i="1"/>
  <c r="K12465" i="1"/>
  <c r="J12465" i="1"/>
  <c r="I12465" i="1"/>
  <c r="H12465" i="1"/>
  <c r="G12465" i="1"/>
  <c r="M12464" i="1"/>
  <c r="L12464" i="1"/>
  <c r="K12464" i="1"/>
  <c r="J12464" i="1"/>
  <c r="I12464" i="1"/>
  <c r="H12464" i="1"/>
  <c r="G12464" i="1"/>
  <c r="M12463" i="1"/>
  <c r="L12463" i="1"/>
  <c r="K12463" i="1"/>
  <c r="J12463" i="1"/>
  <c r="I12463" i="1"/>
  <c r="H12463" i="1"/>
  <c r="G12463" i="1"/>
  <c r="M12462" i="1"/>
  <c r="L12462" i="1"/>
  <c r="K12462" i="1"/>
  <c r="J12462" i="1"/>
  <c r="I12462" i="1"/>
  <c r="H12462" i="1"/>
  <c r="G12462" i="1"/>
  <c r="M12461" i="1"/>
  <c r="L12461" i="1"/>
  <c r="K12461" i="1"/>
  <c r="J12461" i="1"/>
  <c r="I12461" i="1"/>
  <c r="H12461" i="1"/>
  <c r="G12461" i="1"/>
  <c r="M12460" i="1"/>
  <c r="L12460" i="1"/>
  <c r="K12460" i="1"/>
  <c r="J12460" i="1"/>
  <c r="I12460" i="1"/>
  <c r="H12460" i="1"/>
  <c r="G12460" i="1"/>
  <c r="M12459" i="1"/>
  <c r="L12459" i="1"/>
  <c r="K12459" i="1"/>
  <c r="J12459" i="1"/>
  <c r="I12459" i="1"/>
  <c r="H12459" i="1"/>
  <c r="G12459" i="1"/>
  <c r="M12458" i="1"/>
  <c r="L12458" i="1"/>
  <c r="K12458" i="1"/>
  <c r="J12458" i="1"/>
  <c r="I12458" i="1"/>
  <c r="H12458" i="1"/>
  <c r="G12458" i="1"/>
  <c r="M12457" i="1"/>
  <c r="L12457" i="1"/>
  <c r="K12457" i="1"/>
  <c r="J12457" i="1"/>
  <c r="I12457" i="1"/>
  <c r="H12457" i="1"/>
  <c r="G12457" i="1"/>
  <c r="M12456" i="1"/>
  <c r="L12456" i="1"/>
  <c r="K12456" i="1"/>
  <c r="J12456" i="1"/>
  <c r="I12456" i="1"/>
  <c r="H12456" i="1"/>
  <c r="G12456" i="1"/>
  <c r="M12455" i="1"/>
  <c r="L12455" i="1"/>
  <c r="K12455" i="1"/>
  <c r="J12455" i="1"/>
  <c r="I12455" i="1"/>
  <c r="H12455" i="1"/>
  <c r="G12455" i="1"/>
  <c r="M12454" i="1"/>
  <c r="L12454" i="1"/>
  <c r="K12454" i="1"/>
  <c r="J12454" i="1"/>
  <c r="I12454" i="1"/>
  <c r="H12454" i="1"/>
  <c r="G12454" i="1"/>
  <c r="M12453" i="1"/>
  <c r="L12453" i="1"/>
  <c r="K12453" i="1"/>
  <c r="J12453" i="1"/>
  <c r="I12453" i="1"/>
  <c r="H12453" i="1"/>
  <c r="G12453" i="1"/>
  <c r="M12452" i="1"/>
  <c r="L12452" i="1"/>
  <c r="K12452" i="1"/>
  <c r="J12452" i="1"/>
  <c r="I12452" i="1"/>
  <c r="H12452" i="1"/>
  <c r="G12452" i="1"/>
  <c r="M12451" i="1"/>
  <c r="L12451" i="1"/>
  <c r="K12451" i="1"/>
  <c r="J12451" i="1"/>
  <c r="I12451" i="1"/>
  <c r="H12451" i="1"/>
  <c r="G12451" i="1"/>
  <c r="M12450" i="1"/>
  <c r="L12450" i="1"/>
  <c r="K12450" i="1"/>
  <c r="J12450" i="1"/>
  <c r="I12450" i="1"/>
  <c r="H12450" i="1"/>
  <c r="G12450" i="1"/>
  <c r="M12449" i="1"/>
  <c r="L12449" i="1"/>
  <c r="K12449" i="1"/>
  <c r="J12449" i="1"/>
  <c r="I12449" i="1"/>
  <c r="H12449" i="1"/>
  <c r="G12449" i="1"/>
  <c r="M12448" i="1"/>
  <c r="L12448" i="1"/>
  <c r="K12448" i="1"/>
  <c r="J12448" i="1"/>
  <c r="I12448" i="1"/>
  <c r="H12448" i="1"/>
  <c r="G12448" i="1"/>
  <c r="M12447" i="1"/>
  <c r="L12447" i="1"/>
  <c r="K12447" i="1"/>
  <c r="J12447" i="1"/>
  <c r="I12447" i="1"/>
  <c r="H12447" i="1"/>
  <c r="G12447" i="1"/>
  <c r="M12446" i="1"/>
  <c r="L12446" i="1"/>
  <c r="K12446" i="1"/>
  <c r="J12446" i="1"/>
  <c r="I12446" i="1"/>
  <c r="H12446" i="1"/>
  <c r="G12446" i="1"/>
  <c r="M12445" i="1"/>
  <c r="L12445" i="1"/>
  <c r="K12445" i="1"/>
  <c r="J12445" i="1"/>
  <c r="I12445" i="1"/>
  <c r="H12445" i="1"/>
  <c r="G12445" i="1"/>
  <c r="M12444" i="1"/>
  <c r="L12444" i="1"/>
  <c r="K12444" i="1"/>
  <c r="J12444" i="1"/>
  <c r="I12444" i="1"/>
  <c r="H12444" i="1"/>
  <c r="G12444" i="1"/>
  <c r="M12443" i="1"/>
  <c r="L12443" i="1"/>
  <c r="K12443" i="1"/>
  <c r="J12443" i="1"/>
  <c r="I12443" i="1"/>
  <c r="H12443" i="1"/>
  <c r="G12443" i="1"/>
  <c r="M12442" i="1"/>
  <c r="L12442" i="1"/>
  <c r="K12442" i="1"/>
  <c r="J12442" i="1"/>
  <c r="I12442" i="1"/>
  <c r="H12442" i="1"/>
  <c r="G12442" i="1"/>
  <c r="M12441" i="1"/>
  <c r="L12441" i="1"/>
  <c r="K12441" i="1"/>
  <c r="J12441" i="1"/>
  <c r="I12441" i="1"/>
  <c r="H12441" i="1"/>
  <c r="G12441" i="1"/>
  <c r="M12440" i="1"/>
  <c r="L12440" i="1"/>
  <c r="K12440" i="1"/>
  <c r="J12440" i="1"/>
  <c r="I12440" i="1"/>
  <c r="H12440" i="1"/>
  <c r="G12440" i="1"/>
  <c r="M12439" i="1"/>
  <c r="L12439" i="1"/>
  <c r="K12439" i="1"/>
  <c r="J12439" i="1"/>
  <c r="I12439" i="1"/>
  <c r="H12439" i="1"/>
  <c r="G12439" i="1"/>
  <c r="M12438" i="1"/>
  <c r="L12438" i="1"/>
  <c r="K12438" i="1"/>
  <c r="J12438" i="1"/>
  <c r="I12438" i="1"/>
  <c r="H12438" i="1"/>
  <c r="G12438" i="1"/>
  <c r="M12437" i="1"/>
  <c r="L12437" i="1"/>
  <c r="K12437" i="1"/>
  <c r="J12437" i="1"/>
  <c r="I12437" i="1"/>
  <c r="H12437" i="1"/>
  <c r="G12437" i="1"/>
  <c r="M12436" i="1"/>
  <c r="L12436" i="1"/>
  <c r="K12436" i="1"/>
  <c r="J12436" i="1"/>
  <c r="I12436" i="1"/>
  <c r="H12436" i="1"/>
  <c r="G12436" i="1"/>
  <c r="M12435" i="1"/>
  <c r="L12435" i="1"/>
  <c r="K12435" i="1"/>
  <c r="J12435" i="1"/>
  <c r="I12435" i="1"/>
  <c r="H12435" i="1"/>
  <c r="G12435" i="1"/>
  <c r="M12434" i="1"/>
  <c r="L12434" i="1"/>
  <c r="K12434" i="1"/>
  <c r="J12434" i="1"/>
  <c r="I12434" i="1"/>
  <c r="H12434" i="1"/>
  <c r="G12434" i="1"/>
  <c r="M12433" i="1"/>
  <c r="L12433" i="1"/>
  <c r="K12433" i="1"/>
  <c r="J12433" i="1"/>
  <c r="I12433" i="1"/>
  <c r="H12433" i="1"/>
  <c r="G12433" i="1"/>
  <c r="M12432" i="1"/>
  <c r="L12432" i="1"/>
  <c r="K12432" i="1"/>
  <c r="J12432" i="1"/>
  <c r="I12432" i="1"/>
  <c r="H12432" i="1"/>
  <c r="G12432" i="1"/>
  <c r="M12431" i="1"/>
  <c r="L12431" i="1"/>
  <c r="K12431" i="1"/>
  <c r="J12431" i="1"/>
  <c r="I12431" i="1"/>
  <c r="H12431" i="1"/>
  <c r="G12431" i="1"/>
  <c r="M12430" i="1"/>
  <c r="L12430" i="1"/>
  <c r="K12430" i="1"/>
  <c r="J12430" i="1"/>
  <c r="I12430" i="1"/>
  <c r="H12430" i="1"/>
  <c r="G12430" i="1"/>
  <c r="M12429" i="1"/>
  <c r="L12429" i="1"/>
  <c r="K12429" i="1"/>
  <c r="J12429" i="1"/>
  <c r="I12429" i="1"/>
  <c r="H12429" i="1"/>
  <c r="G12429" i="1"/>
  <c r="M12428" i="1"/>
  <c r="L12428" i="1"/>
  <c r="K12428" i="1"/>
  <c r="J12428" i="1"/>
  <c r="I12428" i="1"/>
  <c r="H12428" i="1"/>
  <c r="G12428" i="1"/>
  <c r="M12427" i="1"/>
  <c r="L12427" i="1"/>
  <c r="K12427" i="1"/>
  <c r="J12427" i="1"/>
  <c r="I12427" i="1"/>
  <c r="H12427" i="1"/>
  <c r="G12427" i="1"/>
  <c r="M12426" i="1"/>
  <c r="L12426" i="1"/>
  <c r="K12426" i="1"/>
  <c r="J12426" i="1"/>
  <c r="I12426" i="1"/>
  <c r="H12426" i="1"/>
  <c r="G12426" i="1"/>
  <c r="M12425" i="1"/>
  <c r="L12425" i="1"/>
  <c r="K12425" i="1"/>
  <c r="J12425" i="1"/>
  <c r="I12425" i="1"/>
  <c r="H12425" i="1"/>
  <c r="G12425" i="1"/>
  <c r="M12424" i="1"/>
  <c r="L12424" i="1"/>
  <c r="K12424" i="1"/>
  <c r="J12424" i="1"/>
  <c r="I12424" i="1"/>
  <c r="H12424" i="1"/>
  <c r="G12424" i="1"/>
  <c r="M12423" i="1"/>
  <c r="L12423" i="1"/>
  <c r="K12423" i="1"/>
  <c r="J12423" i="1"/>
  <c r="I12423" i="1"/>
  <c r="H12423" i="1"/>
  <c r="G12423" i="1"/>
  <c r="M12422" i="1"/>
  <c r="L12422" i="1"/>
  <c r="K12422" i="1"/>
  <c r="J12422" i="1"/>
  <c r="I12422" i="1"/>
  <c r="H12422" i="1"/>
  <c r="G12422" i="1"/>
  <c r="M12421" i="1"/>
  <c r="L12421" i="1"/>
  <c r="K12421" i="1"/>
  <c r="J12421" i="1"/>
  <c r="I12421" i="1"/>
  <c r="H12421" i="1"/>
  <c r="G12421" i="1"/>
  <c r="M12420" i="1"/>
  <c r="L12420" i="1"/>
  <c r="K12420" i="1"/>
  <c r="J12420" i="1"/>
  <c r="I12420" i="1"/>
  <c r="H12420" i="1"/>
  <c r="G12420" i="1"/>
  <c r="M12419" i="1"/>
  <c r="L12419" i="1"/>
  <c r="K12419" i="1"/>
  <c r="J12419" i="1"/>
  <c r="I12419" i="1"/>
  <c r="H12419" i="1"/>
  <c r="G12419" i="1"/>
  <c r="M12418" i="1"/>
  <c r="L12418" i="1"/>
  <c r="K12418" i="1"/>
  <c r="J12418" i="1"/>
  <c r="I12418" i="1"/>
  <c r="H12418" i="1"/>
  <c r="G12418" i="1"/>
  <c r="M12417" i="1"/>
  <c r="L12417" i="1"/>
  <c r="K12417" i="1"/>
  <c r="J12417" i="1"/>
  <c r="I12417" i="1"/>
  <c r="H12417" i="1"/>
  <c r="G12417" i="1"/>
  <c r="M12416" i="1"/>
  <c r="L12416" i="1"/>
  <c r="K12416" i="1"/>
  <c r="J12416" i="1"/>
  <c r="I12416" i="1"/>
  <c r="H12416" i="1"/>
  <c r="G12416" i="1"/>
  <c r="M12415" i="1"/>
  <c r="L12415" i="1"/>
  <c r="K12415" i="1"/>
  <c r="J12415" i="1"/>
  <c r="I12415" i="1"/>
  <c r="H12415" i="1"/>
  <c r="G12415" i="1"/>
  <c r="M12414" i="1"/>
  <c r="L12414" i="1"/>
  <c r="K12414" i="1"/>
  <c r="J12414" i="1"/>
  <c r="I12414" i="1"/>
  <c r="H12414" i="1"/>
  <c r="G12414" i="1"/>
  <c r="M12413" i="1"/>
  <c r="L12413" i="1"/>
  <c r="K12413" i="1"/>
  <c r="J12413" i="1"/>
  <c r="I12413" i="1"/>
  <c r="H12413" i="1"/>
  <c r="G12413" i="1"/>
  <c r="M12412" i="1"/>
  <c r="L12412" i="1"/>
  <c r="K12412" i="1"/>
  <c r="J12412" i="1"/>
  <c r="I12412" i="1"/>
  <c r="H12412" i="1"/>
  <c r="G12412" i="1"/>
  <c r="M12411" i="1"/>
  <c r="L12411" i="1"/>
  <c r="K12411" i="1"/>
  <c r="J12411" i="1"/>
  <c r="I12411" i="1"/>
  <c r="H12411" i="1"/>
  <c r="G12411" i="1"/>
  <c r="M12410" i="1"/>
  <c r="L12410" i="1"/>
  <c r="K12410" i="1"/>
  <c r="J12410" i="1"/>
  <c r="I12410" i="1"/>
  <c r="H12410" i="1"/>
  <c r="G12410" i="1"/>
  <c r="M12409" i="1"/>
  <c r="L12409" i="1"/>
  <c r="K12409" i="1"/>
  <c r="J12409" i="1"/>
  <c r="I12409" i="1"/>
  <c r="H12409" i="1"/>
  <c r="G12409" i="1"/>
  <c r="M12408" i="1"/>
  <c r="L12408" i="1"/>
  <c r="K12408" i="1"/>
  <c r="J12408" i="1"/>
  <c r="I12408" i="1"/>
  <c r="H12408" i="1"/>
  <c r="G12408" i="1"/>
  <c r="M12407" i="1"/>
  <c r="L12407" i="1"/>
  <c r="K12407" i="1"/>
  <c r="J12407" i="1"/>
  <c r="I12407" i="1"/>
  <c r="H12407" i="1"/>
  <c r="G12407" i="1"/>
  <c r="M12406" i="1"/>
  <c r="L12406" i="1"/>
  <c r="K12406" i="1"/>
  <c r="J12406" i="1"/>
  <c r="I12406" i="1"/>
  <c r="H12406" i="1"/>
  <c r="G12406" i="1"/>
  <c r="M12405" i="1"/>
  <c r="L12405" i="1"/>
  <c r="K12405" i="1"/>
  <c r="J12405" i="1"/>
  <c r="I12405" i="1"/>
  <c r="H12405" i="1"/>
  <c r="G12405" i="1"/>
  <c r="M12404" i="1"/>
  <c r="L12404" i="1"/>
  <c r="K12404" i="1"/>
  <c r="J12404" i="1"/>
  <c r="I12404" i="1"/>
  <c r="H12404" i="1"/>
  <c r="G12404" i="1"/>
  <c r="M12403" i="1"/>
  <c r="L12403" i="1"/>
  <c r="K12403" i="1"/>
  <c r="J12403" i="1"/>
  <c r="I12403" i="1"/>
  <c r="H12403" i="1"/>
  <c r="G12403" i="1"/>
  <c r="M12402" i="1"/>
  <c r="L12402" i="1"/>
  <c r="K12402" i="1"/>
  <c r="J12402" i="1"/>
  <c r="I12402" i="1"/>
  <c r="H12402" i="1"/>
  <c r="G12402" i="1"/>
  <c r="M12401" i="1"/>
  <c r="L12401" i="1"/>
  <c r="K12401" i="1"/>
  <c r="J12401" i="1"/>
  <c r="I12401" i="1"/>
  <c r="H12401" i="1"/>
  <c r="G12401" i="1"/>
  <c r="M12400" i="1"/>
  <c r="L12400" i="1"/>
  <c r="K12400" i="1"/>
  <c r="J12400" i="1"/>
  <c r="I12400" i="1"/>
  <c r="H12400" i="1"/>
  <c r="G12400" i="1"/>
  <c r="M12399" i="1"/>
  <c r="L12399" i="1"/>
  <c r="K12399" i="1"/>
  <c r="J12399" i="1"/>
  <c r="I12399" i="1"/>
  <c r="H12399" i="1"/>
  <c r="G12399" i="1"/>
  <c r="M12398" i="1"/>
  <c r="L12398" i="1"/>
  <c r="K12398" i="1"/>
  <c r="J12398" i="1"/>
  <c r="I12398" i="1"/>
  <c r="H12398" i="1"/>
  <c r="G12398" i="1"/>
  <c r="M12397" i="1"/>
  <c r="L12397" i="1"/>
  <c r="K12397" i="1"/>
  <c r="J12397" i="1"/>
  <c r="I12397" i="1"/>
  <c r="H12397" i="1"/>
  <c r="G12397" i="1"/>
  <c r="M12396" i="1"/>
  <c r="L12396" i="1"/>
  <c r="K12396" i="1"/>
  <c r="J12396" i="1"/>
  <c r="I12396" i="1"/>
  <c r="H12396" i="1"/>
  <c r="G12396" i="1"/>
  <c r="M12395" i="1"/>
  <c r="L12395" i="1"/>
  <c r="K12395" i="1"/>
  <c r="J12395" i="1"/>
  <c r="I12395" i="1"/>
  <c r="H12395" i="1"/>
  <c r="G12395" i="1"/>
  <c r="M12394" i="1"/>
  <c r="L12394" i="1"/>
  <c r="K12394" i="1"/>
  <c r="J12394" i="1"/>
  <c r="I12394" i="1"/>
  <c r="H12394" i="1"/>
  <c r="G12394" i="1"/>
  <c r="M12393" i="1"/>
  <c r="L12393" i="1"/>
  <c r="K12393" i="1"/>
  <c r="J12393" i="1"/>
  <c r="I12393" i="1"/>
  <c r="H12393" i="1"/>
  <c r="G12393" i="1"/>
  <c r="M12392" i="1"/>
  <c r="L12392" i="1"/>
  <c r="K12392" i="1"/>
  <c r="J12392" i="1"/>
  <c r="I12392" i="1"/>
  <c r="H12392" i="1"/>
  <c r="G12392" i="1"/>
  <c r="M12391" i="1"/>
  <c r="L12391" i="1"/>
  <c r="K12391" i="1"/>
  <c r="J12391" i="1"/>
  <c r="I12391" i="1"/>
  <c r="H12391" i="1"/>
  <c r="G12391" i="1"/>
  <c r="M12390" i="1"/>
  <c r="L12390" i="1"/>
  <c r="K12390" i="1"/>
  <c r="J12390" i="1"/>
  <c r="I12390" i="1"/>
  <c r="H12390" i="1"/>
  <c r="G12390" i="1"/>
  <c r="M12389" i="1"/>
  <c r="L12389" i="1"/>
  <c r="K12389" i="1"/>
  <c r="J12389" i="1"/>
  <c r="I12389" i="1"/>
  <c r="H12389" i="1"/>
  <c r="G12389" i="1"/>
  <c r="M12388" i="1"/>
  <c r="L12388" i="1"/>
  <c r="K12388" i="1"/>
  <c r="J12388" i="1"/>
  <c r="I12388" i="1"/>
  <c r="H12388" i="1"/>
  <c r="G12388" i="1"/>
  <c r="M12387" i="1"/>
  <c r="L12387" i="1"/>
  <c r="K12387" i="1"/>
  <c r="J12387" i="1"/>
  <c r="I12387" i="1"/>
  <c r="H12387" i="1"/>
  <c r="G12387" i="1"/>
  <c r="M12386" i="1"/>
  <c r="L12386" i="1"/>
  <c r="K12386" i="1"/>
  <c r="J12386" i="1"/>
  <c r="I12386" i="1"/>
  <c r="H12386" i="1"/>
  <c r="G12386" i="1"/>
  <c r="M12385" i="1"/>
  <c r="L12385" i="1"/>
  <c r="K12385" i="1"/>
  <c r="J12385" i="1"/>
  <c r="I12385" i="1"/>
  <c r="H12385" i="1"/>
  <c r="G12385" i="1"/>
  <c r="M12384" i="1"/>
  <c r="L12384" i="1"/>
  <c r="K12384" i="1"/>
  <c r="J12384" i="1"/>
  <c r="I12384" i="1"/>
  <c r="H12384" i="1"/>
  <c r="G12384" i="1"/>
  <c r="M12383" i="1"/>
  <c r="L12383" i="1"/>
  <c r="K12383" i="1"/>
  <c r="J12383" i="1"/>
  <c r="I12383" i="1"/>
  <c r="H12383" i="1"/>
  <c r="G12383" i="1"/>
  <c r="M12382" i="1"/>
  <c r="L12382" i="1"/>
  <c r="K12382" i="1"/>
  <c r="J12382" i="1"/>
  <c r="I12382" i="1"/>
  <c r="H12382" i="1"/>
  <c r="G12382" i="1"/>
  <c r="M12381" i="1"/>
  <c r="L12381" i="1"/>
  <c r="K12381" i="1"/>
  <c r="J12381" i="1"/>
  <c r="I12381" i="1"/>
  <c r="H12381" i="1"/>
  <c r="G12381" i="1"/>
  <c r="M12380" i="1"/>
  <c r="L12380" i="1"/>
  <c r="K12380" i="1"/>
  <c r="J12380" i="1"/>
  <c r="I12380" i="1"/>
  <c r="H12380" i="1"/>
  <c r="G12380" i="1"/>
  <c r="M12379" i="1"/>
  <c r="L12379" i="1"/>
  <c r="K12379" i="1"/>
  <c r="J12379" i="1"/>
  <c r="I12379" i="1"/>
  <c r="H12379" i="1"/>
  <c r="G12379" i="1"/>
  <c r="M12378" i="1"/>
  <c r="L12378" i="1"/>
  <c r="K12378" i="1"/>
  <c r="J12378" i="1"/>
  <c r="I12378" i="1"/>
  <c r="H12378" i="1"/>
  <c r="G12378" i="1"/>
  <c r="M12377" i="1"/>
  <c r="L12377" i="1"/>
  <c r="K12377" i="1"/>
  <c r="J12377" i="1"/>
  <c r="I12377" i="1"/>
  <c r="H12377" i="1"/>
  <c r="G12377" i="1"/>
  <c r="M12376" i="1"/>
  <c r="L12376" i="1"/>
  <c r="K12376" i="1"/>
  <c r="J12376" i="1"/>
  <c r="I12376" i="1"/>
  <c r="H12376" i="1"/>
  <c r="G12376" i="1"/>
  <c r="M12375" i="1"/>
  <c r="L12375" i="1"/>
  <c r="K12375" i="1"/>
  <c r="J12375" i="1"/>
  <c r="I12375" i="1"/>
  <c r="H12375" i="1"/>
  <c r="G12375" i="1"/>
  <c r="M12374" i="1"/>
  <c r="L12374" i="1"/>
  <c r="K12374" i="1"/>
  <c r="J12374" i="1"/>
  <c r="I12374" i="1"/>
  <c r="H12374" i="1"/>
  <c r="G12374" i="1"/>
  <c r="M12373" i="1"/>
  <c r="L12373" i="1"/>
  <c r="K12373" i="1"/>
  <c r="J12373" i="1"/>
  <c r="I12373" i="1"/>
  <c r="H12373" i="1"/>
  <c r="G12373" i="1"/>
  <c r="M12372" i="1"/>
  <c r="L12372" i="1"/>
  <c r="K12372" i="1"/>
  <c r="J12372" i="1"/>
  <c r="I12372" i="1"/>
  <c r="H12372" i="1"/>
  <c r="G12372" i="1"/>
  <c r="M12371" i="1"/>
  <c r="L12371" i="1"/>
  <c r="K12371" i="1"/>
  <c r="J12371" i="1"/>
  <c r="I12371" i="1"/>
  <c r="H12371" i="1"/>
  <c r="G12371" i="1"/>
  <c r="M12370" i="1"/>
  <c r="L12370" i="1"/>
  <c r="K12370" i="1"/>
  <c r="J12370" i="1"/>
  <c r="I12370" i="1"/>
  <c r="H12370" i="1"/>
  <c r="G12370" i="1"/>
  <c r="M12369" i="1"/>
  <c r="L12369" i="1"/>
  <c r="K12369" i="1"/>
  <c r="J12369" i="1"/>
  <c r="I12369" i="1"/>
  <c r="H12369" i="1"/>
  <c r="G12369" i="1"/>
  <c r="M12368" i="1"/>
  <c r="L12368" i="1"/>
  <c r="K12368" i="1"/>
  <c r="J12368" i="1"/>
  <c r="I12368" i="1"/>
  <c r="H12368" i="1"/>
  <c r="G12368" i="1"/>
  <c r="M12367" i="1"/>
  <c r="L12367" i="1"/>
  <c r="K12367" i="1"/>
  <c r="J12367" i="1"/>
  <c r="I12367" i="1"/>
  <c r="H12367" i="1"/>
  <c r="G12367" i="1"/>
  <c r="M12366" i="1"/>
  <c r="L12366" i="1"/>
  <c r="K12366" i="1"/>
  <c r="J12366" i="1"/>
  <c r="I12366" i="1"/>
  <c r="H12366" i="1"/>
  <c r="G12366" i="1"/>
  <c r="M12365" i="1"/>
  <c r="L12365" i="1"/>
  <c r="K12365" i="1"/>
  <c r="J12365" i="1"/>
  <c r="I12365" i="1"/>
  <c r="H12365" i="1"/>
  <c r="G12365" i="1"/>
  <c r="M12364" i="1"/>
  <c r="L12364" i="1"/>
  <c r="K12364" i="1"/>
  <c r="J12364" i="1"/>
  <c r="I12364" i="1"/>
  <c r="H12364" i="1"/>
  <c r="G12364" i="1"/>
  <c r="M12363" i="1"/>
  <c r="L12363" i="1"/>
  <c r="K12363" i="1"/>
  <c r="J12363" i="1"/>
  <c r="I12363" i="1"/>
  <c r="H12363" i="1"/>
  <c r="G12363" i="1"/>
  <c r="M12362" i="1"/>
  <c r="L12362" i="1"/>
  <c r="K12362" i="1"/>
  <c r="J12362" i="1"/>
  <c r="I12362" i="1"/>
  <c r="H12362" i="1"/>
  <c r="G12362" i="1"/>
  <c r="M12361" i="1"/>
  <c r="L12361" i="1"/>
  <c r="K12361" i="1"/>
  <c r="J12361" i="1"/>
  <c r="I12361" i="1"/>
  <c r="H12361" i="1"/>
  <c r="G12361" i="1"/>
  <c r="M12360" i="1"/>
  <c r="L12360" i="1"/>
  <c r="K12360" i="1"/>
  <c r="J12360" i="1"/>
  <c r="I12360" i="1"/>
  <c r="H12360" i="1"/>
  <c r="G12360" i="1"/>
  <c r="M12359" i="1"/>
  <c r="L12359" i="1"/>
  <c r="K12359" i="1"/>
  <c r="J12359" i="1"/>
  <c r="I12359" i="1"/>
  <c r="H12359" i="1"/>
  <c r="G12359" i="1"/>
  <c r="M12358" i="1"/>
  <c r="L12358" i="1"/>
  <c r="K12358" i="1"/>
  <c r="J12358" i="1"/>
  <c r="I12358" i="1"/>
  <c r="H12358" i="1"/>
  <c r="G12358" i="1"/>
  <c r="M12357" i="1"/>
  <c r="L12357" i="1"/>
  <c r="K12357" i="1"/>
  <c r="J12357" i="1"/>
  <c r="I12357" i="1"/>
  <c r="H12357" i="1"/>
  <c r="G12357" i="1"/>
  <c r="M12356" i="1"/>
  <c r="L12356" i="1"/>
  <c r="K12356" i="1"/>
  <c r="J12356" i="1"/>
  <c r="I12356" i="1"/>
  <c r="H12356" i="1"/>
  <c r="G12356" i="1"/>
  <c r="M12355" i="1"/>
  <c r="L12355" i="1"/>
  <c r="K12355" i="1"/>
  <c r="J12355" i="1"/>
  <c r="I12355" i="1"/>
  <c r="H12355" i="1"/>
  <c r="G12355" i="1"/>
  <c r="M12354" i="1"/>
  <c r="L12354" i="1"/>
  <c r="K12354" i="1"/>
  <c r="J12354" i="1"/>
  <c r="I12354" i="1"/>
  <c r="H12354" i="1"/>
  <c r="G12354" i="1"/>
  <c r="M12353" i="1"/>
  <c r="L12353" i="1"/>
  <c r="K12353" i="1"/>
  <c r="J12353" i="1"/>
  <c r="I12353" i="1"/>
  <c r="H12353" i="1"/>
  <c r="G12353" i="1"/>
  <c r="M12352" i="1"/>
  <c r="L12352" i="1"/>
  <c r="K12352" i="1"/>
  <c r="J12352" i="1"/>
  <c r="I12352" i="1"/>
  <c r="H12352" i="1"/>
  <c r="G12352" i="1"/>
  <c r="M12351" i="1"/>
  <c r="L12351" i="1"/>
  <c r="K12351" i="1"/>
  <c r="J12351" i="1"/>
  <c r="I12351" i="1"/>
  <c r="H12351" i="1"/>
  <c r="G12351" i="1"/>
  <c r="M12350" i="1"/>
  <c r="L12350" i="1"/>
  <c r="K12350" i="1"/>
  <c r="J12350" i="1"/>
  <c r="I12350" i="1"/>
  <c r="H12350" i="1"/>
  <c r="G12350" i="1"/>
  <c r="M12349" i="1"/>
  <c r="L12349" i="1"/>
  <c r="K12349" i="1"/>
  <c r="J12349" i="1"/>
  <c r="I12349" i="1"/>
  <c r="H12349" i="1"/>
  <c r="G12349" i="1"/>
  <c r="M12348" i="1"/>
  <c r="L12348" i="1"/>
  <c r="K12348" i="1"/>
  <c r="J12348" i="1"/>
  <c r="I12348" i="1"/>
  <c r="H12348" i="1"/>
  <c r="G12348" i="1"/>
  <c r="M12347" i="1"/>
  <c r="L12347" i="1"/>
  <c r="K12347" i="1"/>
  <c r="J12347" i="1"/>
  <c r="I12347" i="1"/>
  <c r="H12347" i="1"/>
  <c r="G12347" i="1"/>
  <c r="M12346" i="1"/>
  <c r="L12346" i="1"/>
  <c r="K12346" i="1"/>
  <c r="J12346" i="1"/>
  <c r="I12346" i="1"/>
  <c r="H12346" i="1"/>
  <c r="G12346" i="1"/>
  <c r="M12345" i="1"/>
  <c r="L12345" i="1"/>
  <c r="K12345" i="1"/>
  <c r="J12345" i="1"/>
  <c r="I12345" i="1"/>
  <c r="H12345" i="1"/>
  <c r="G12345" i="1"/>
  <c r="M12344" i="1"/>
  <c r="L12344" i="1"/>
  <c r="K12344" i="1"/>
  <c r="J12344" i="1"/>
  <c r="I12344" i="1"/>
  <c r="H12344" i="1"/>
  <c r="G12344" i="1"/>
  <c r="M12343" i="1"/>
  <c r="L12343" i="1"/>
  <c r="K12343" i="1"/>
  <c r="J12343" i="1"/>
  <c r="I12343" i="1"/>
  <c r="H12343" i="1"/>
  <c r="G12343" i="1"/>
  <c r="M12342" i="1"/>
  <c r="L12342" i="1"/>
  <c r="K12342" i="1"/>
  <c r="J12342" i="1"/>
  <c r="I12342" i="1"/>
  <c r="H12342" i="1"/>
  <c r="G12342" i="1"/>
  <c r="M12341" i="1"/>
  <c r="L12341" i="1"/>
  <c r="K12341" i="1"/>
  <c r="J12341" i="1"/>
  <c r="I12341" i="1"/>
  <c r="H12341" i="1"/>
  <c r="G12341" i="1"/>
  <c r="M12340" i="1"/>
  <c r="L12340" i="1"/>
  <c r="K12340" i="1"/>
  <c r="J12340" i="1"/>
  <c r="I12340" i="1"/>
  <c r="H12340" i="1"/>
  <c r="G12340" i="1"/>
  <c r="M12339" i="1"/>
  <c r="L12339" i="1"/>
  <c r="K12339" i="1"/>
  <c r="J12339" i="1"/>
  <c r="I12339" i="1"/>
  <c r="H12339" i="1"/>
  <c r="G12339" i="1"/>
  <c r="M12338" i="1"/>
  <c r="L12338" i="1"/>
  <c r="K12338" i="1"/>
  <c r="J12338" i="1"/>
  <c r="I12338" i="1"/>
  <c r="H12338" i="1"/>
  <c r="G12338" i="1"/>
  <c r="M12337" i="1"/>
  <c r="L12337" i="1"/>
  <c r="K12337" i="1"/>
  <c r="J12337" i="1"/>
  <c r="I12337" i="1"/>
  <c r="H12337" i="1"/>
  <c r="G12337" i="1"/>
  <c r="M12336" i="1"/>
  <c r="L12336" i="1"/>
  <c r="K12336" i="1"/>
  <c r="J12336" i="1"/>
  <c r="I12336" i="1"/>
  <c r="H12336" i="1"/>
  <c r="G12336" i="1"/>
  <c r="M12335" i="1"/>
  <c r="L12335" i="1"/>
  <c r="K12335" i="1"/>
  <c r="J12335" i="1"/>
  <c r="I12335" i="1"/>
  <c r="H12335" i="1"/>
  <c r="G12335" i="1"/>
  <c r="M12334" i="1"/>
  <c r="L12334" i="1"/>
  <c r="K12334" i="1"/>
  <c r="J12334" i="1"/>
  <c r="I12334" i="1"/>
  <c r="H12334" i="1"/>
  <c r="G12334" i="1"/>
  <c r="M12333" i="1"/>
  <c r="L12333" i="1"/>
  <c r="K12333" i="1"/>
  <c r="J12333" i="1"/>
  <c r="I12333" i="1"/>
  <c r="H12333" i="1"/>
  <c r="G12333" i="1"/>
  <c r="M12332" i="1"/>
  <c r="L12332" i="1"/>
  <c r="K12332" i="1"/>
  <c r="J12332" i="1"/>
  <c r="I12332" i="1"/>
  <c r="H12332" i="1"/>
  <c r="G12332" i="1"/>
  <c r="M12331" i="1"/>
  <c r="L12331" i="1"/>
  <c r="K12331" i="1"/>
  <c r="J12331" i="1"/>
  <c r="I12331" i="1"/>
  <c r="H12331" i="1"/>
  <c r="G12331" i="1"/>
  <c r="M12330" i="1"/>
  <c r="L12330" i="1"/>
  <c r="K12330" i="1"/>
  <c r="J12330" i="1"/>
  <c r="I12330" i="1"/>
  <c r="H12330" i="1"/>
  <c r="G12330" i="1"/>
  <c r="M12329" i="1"/>
  <c r="L12329" i="1"/>
  <c r="K12329" i="1"/>
  <c r="J12329" i="1"/>
  <c r="I12329" i="1"/>
  <c r="H12329" i="1"/>
  <c r="G12329" i="1"/>
  <c r="M12328" i="1"/>
  <c r="L12328" i="1"/>
  <c r="K12328" i="1"/>
  <c r="J12328" i="1"/>
  <c r="I12328" i="1"/>
  <c r="H12328" i="1"/>
  <c r="G12328" i="1"/>
  <c r="M12327" i="1"/>
  <c r="L12327" i="1"/>
  <c r="K12327" i="1"/>
  <c r="J12327" i="1"/>
  <c r="I12327" i="1"/>
  <c r="H12327" i="1"/>
  <c r="G12327" i="1"/>
  <c r="M12326" i="1"/>
  <c r="L12326" i="1"/>
  <c r="K12326" i="1"/>
  <c r="J12326" i="1"/>
  <c r="I12326" i="1"/>
  <c r="H12326" i="1"/>
  <c r="G12326" i="1"/>
  <c r="M12325" i="1"/>
  <c r="L12325" i="1"/>
  <c r="K12325" i="1"/>
  <c r="J12325" i="1"/>
  <c r="I12325" i="1"/>
  <c r="H12325" i="1"/>
  <c r="G12325" i="1"/>
  <c r="M12324" i="1"/>
  <c r="L12324" i="1"/>
  <c r="K12324" i="1"/>
  <c r="J12324" i="1"/>
  <c r="I12324" i="1"/>
  <c r="H12324" i="1"/>
  <c r="G12324" i="1"/>
  <c r="M12323" i="1"/>
  <c r="L12323" i="1"/>
  <c r="K12323" i="1"/>
  <c r="J12323" i="1"/>
  <c r="I12323" i="1"/>
  <c r="H12323" i="1"/>
  <c r="G12323" i="1"/>
  <c r="M12322" i="1"/>
  <c r="L12322" i="1"/>
  <c r="K12322" i="1"/>
  <c r="J12322" i="1"/>
  <c r="I12322" i="1"/>
  <c r="H12322" i="1"/>
  <c r="G12322" i="1"/>
  <c r="M12321" i="1"/>
  <c r="L12321" i="1"/>
  <c r="K12321" i="1"/>
  <c r="J12321" i="1"/>
  <c r="I12321" i="1"/>
  <c r="H12321" i="1"/>
  <c r="G12321" i="1"/>
  <c r="M12320" i="1"/>
  <c r="L12320" i="1"/>
  <c r="K12320" i="1"/>
  <c r="J12320" i="1"/>
  <c r="I12320" i="1"/>
  <c r="H12320" i="1"/>
  <c r="G12320" i="1"/>
  <c r="M12319" i="1"/>
  <c r="L12319" i="1"/>
  <c r="K12319" i="1"/>
  <c r="J12319" i="1"/>
  <c r="I12319" i="1"/>
  <c r="H12319" i="1"/>
  <c r="G12319" i="1"/>
  <c r="M12318" i="1"/>
  <c r="L12318" i="1"/>
  <c r="K12318" i="1"/>
  <c r="J12318" i="1"/>
  <c r="I12318" i="1"/>
  <c r="H12318" i="1"/>
  <c r="G12318" i="1"/>
  <c r="M12317" i="1"/>
  <c r="L12317" i="1"/>
  <c r="K12317" i="1"/>
  <c r="J12317" i="1"/>
  <c r="I12317" i="1"/>
  <c r="H12317" i="1"/>
  <c r="G12317" i="1"/>
  <c r="M12316" i="1"/>
  <c r="L12316" i="1"/>
  <c r="K12316" i="1"/>
  <c r="J12316" i="1"/>
  <c r="I12316" i="1"/>
  <c r="H12316" i="1"/>
  <c r="G12316" i="1"/>
  <c r="M12315" i="1"/>
  <c r="L12315" i="1"/>
  <c r="K12315" i="1"/>
  <c r="J12315" i="1"/>
  <c r="I12315" i="1"/>
  <c r="H12315" i="1"/>
  <c r="G12315" i="1"/>
  <c r="M12314" i="1"/>
  <c r="L12314" i="1"/>
  <c r="K12314" i="1"/>
  <c r="J12314" i="1"/>
  <c r="I12314" i="1"/>
  <c r="H12314" i="1"/>
  <c r="G12314" i="1"/>
  <c r="M12313" i="1"/>
  <c r="L12313" i="1"/>
  <c r="K12313" i="1"/>
  <c r="J12313" i="1"/>
  <c r="I12313" i="1"/>
  <c r="H12313" i="1"/>
  <c r="G12313" i="1"/>
  <c r="M12312" i="1"/>
  <c r="L12312" i="1"/>
  <c r="K12312" i="1"/>
  <c r="J12312" i="1"/>
  <c r="I12312" i="1"/>
  <c r="H12312" i="1"/>
  <c r="G12312" i="1"/>
  <c r="M12311" i="1"/>
  <c r="L12311" i="1"/>
  <c r="K12311" i="1"/>
  <c r="J12311" i="1"/>
  <c r="I12311" i="1"/>
  <c r="H12311" i="1"/>
  <c r="G12311" i="1"/>
  <c r="M12310" i="1"/>
  <c r="L12310" i="1"/>
  <c r="K12310" i="1"/>
  <c r="J12310" i="1"/>
  <c r="I12310" i="1"/>
  <c r="H12310" i="1"/>
  <c r="G12310" i="1"/>
  <c r="M12309" i="1"/>
  <c r="L12309" i="1"/>
  <c r="K12309" i="1"/>
  <c r="J12309" i="1"/>
  <c r="I12309" i="1"/>
  <c r="H12309" i="1"/>
  <c r="G12309" i="1"/>
  <c r="M12308" i="1"/>
  <c r="L12308" i="1"/>
  <c r="K12308" i="1"/>
  <c r="J12308" i="1"/>
  <c r="I12308" i="1"/>
  <c r="H12308" i="1"/>
  <c r="G12308" i="1"/>
  <c r="M12307" i="1"/>
  <c r="L12307" i="1"/>
  <c r="K12307" i="1"/>
  <c r="J12307" i="1"/>
  <c r="I12307" i="1"/>
  <c r="H12307" i="1"/>
  <c r="G12307" i="1"/>
  <c r="M12306" i="1"/>
  <c r="L12306" i="1"/>
  <c r="K12306" i="1"/>
  <c r="J12306" i="1"/>
  <c r="I12306" i="1"/>
  <c r="H12306" i="1"/>
  <c r="G12306" i="1"/>
  <c r="M12305" i="1"/>
  <c r="L12305" i="1"/>
  <c r="K12305" i="1"/>
  <c r="J12305" i="1"/>
  <c r="I12305" i="1"/>
  <c r="H12305" i="1"/>
  <c r="G12305" i="1"/>
  <c r="M12304" i="1"/>
  <c r="L12304" i="1"/>
  <c r="K12304" i="1"/>
  <c r="J12304" i="1"/>
  <c r="I12304" i="1"/>
  <c r="H12304" i="1"/>
  <c r="G12304" i="1"/>
  <c r="M12303" i="1"/>
  <c r="L12303" i="1"/>
  <c r="K12303" i="1"/>
  <c r="J12303" i="1"/>
  <c r="I12303" i="1"/>
  <c r="H12303" i="1"/>
  <c r="G12303" i="1"/>
  <c r="M12302" i="1"/>
  <c r="L12302" i="1"/>
  <c r="K12302" i="1"/>
  <c r="J12302" i="1"/>
  <c r="I12302" i="1"/>
  <c r="H12302" i="1"/>
  <c r="G12302" i="1"/>
  <c r="M12301" i="1"/>
  <c r="L12301" i="1"/>
  <c r="K12301" i="1"/>
  <c r="J12301" i="1"/>
  <c r="I12301" i="1"/>
  <c r="H12301" i="1"/>
  <c r="G12301" i="1"/>
  <c r="M12300" i="1"/>
  <c r="L12300" i="1"/>
  <c r="K12300" i="1"/>
  <c r="J12300" i="1"/>
  <c r="I12300" i="1"/>
  <c r="H12300" i="1"/>
  <c r="G12300" i="1"/>
  <c r="M12299" i="1"/>
  <c r="L12299" i="1"/>
  <c r="K12299" i="1"/>
  <c r="J12299" i="1"/>
  <c r="I12299" i="1"/>
  <c r="H12299" i="1"/>
  <c r="G12299" i="1"/>
  <c r="M12298" i="1"/>
  <c r="L12298" i="1"/>
  <c r="K12298" i="1"/>
  <c r="J12298" i="1"/>
  <c r="I12298" i="1"/>
  <c r="H12298" i="1"/>
  <c r="G12298" i="1"/>
  <c r="M12297" i="1"/>
  <c r="L12297" i="1"/>
  <c r="K12297" i="1"/>
  <c r="J12297" i="1"/>
  <c r="I12297" i="1"/>
  <c r="H12297" i="1"/>
  <c r="G12297" i="1"/>
  <c r="M12296" i="1"/>
  <c r="L12296" i="1"/>
  <c r="K12296" i="1"/>
  <c r="J12296" i="1"/>
  <c r="I12296" i="1"/>
  <c r="H12296" i="1"/>
  <c r="G12296" i="1"/>
  <c r="M12295" i="1"/>
  <c r="L12295" i="1"/>
  <c r="K12295" i="1"/>
  <c r="J12295" i="1"/>
  <c r="I12295" i="1"/>
  <c r="H12295" i="1"/>
  <c r="G12295" i="1"/>
  <c r="M12294" i="1"/>
  <c r="L12294" i="1"/>
  <c r="K12294" i="1"/>
  <c r="J12294" i="1"/>
  <c r="I12294" i="1"/>
  <c r="H12294" i="1"/>
  <c r="G12294" i="1"/>
  <c r="M12293" i="1"/>
  <c r="L12293" i="1"/>
  <c r="K12293" i="1"/>
  <c r="J12293" i="1"/>
  <c r="I12293" i="1"/>
  <c r="H12293" i="1"/>
  <c r="G12293" i="1"/>
  <c r="M12292" i="1"/>
  <c r="L12292" i="1"/>
  <c r="K12292" i="1"/>
  <c r="J12292" i="1"/>
  <c r="I12292" i="1"/>
  <c r="H12292" i="1"/>
  <c r="G12292" i="1"/>
  <c r="M12291" i="1"/>
  <c r="L12291" i="1"/>
  <c r="K12291" i="1"/>
  <c r="J12291" i="1"/>
  <c r="I12291" i="1"/>
  <c r="H12291" i="1"/>
  <c r="G12291" i="1"/>
  <c r="M12290" i="1"/>
  <c r="L12290" i="1"/>
  <c r="K12290" i="1"/>
  <c r="J12290" i="1"/>
  <c r="I12290" i="1"/>
  <c r="H12290" i="1"/>
  <c r="G12290" i="1"/>
  <c r="M12289" i="1"/>
  <c r="L12289" i="1"/>
  <c r="K12289" i="1"/>
  <c r="J12289" i="1"/>
  <c r="I12289" i="1"/>
  <c r="H12289" i="1"/>
  <c r="G12289" i="1"/>
  <c r="M12288" i="1"/>
  <c r="L12288" i="1"/>
  <c r="K12288" i="1"/>
  <c r="J12288" i="1"/>
  <c r="I12288" i="1"/>
  <c r="H12288" i="1"/>
  <c r="G12288" i="1"/>
  <c r="M12287" i="1"/>
  <c r="L12287" i="1"/>
  <c r="K12287" i="1"/>
  <c r="J12287" i="1"/>
  <c r="I12287" i="1"/>
  <c r="H12287" i="1"/>
  <c r="G12287" i="1"/>
  <c r="M12286" i="1"/>
  <c r="L12286" i="1"/>
  <c r="K12286" i="1"/>
  <c r="J12286" i="1"/>
  <c r="I12286" i="1"/>
  <c r="H12286" i="1"/>
  <c r="G12286" i="1"/>
  <c r="M12285" i="1"/>
  <c r="L12285" i="1"/>
  <c r="K12285" i="1"/>
  <c r="J12285" i="1"/>
  <c r="I12285" i="1"/>
  <c r="H12285" i="1"/>
  <c r="G12285" i="1"/>
  <c r="M12284" i="1"/>
  <c r="L12284" i="1"/>
  <c r="K12284" i="1"/>
  <c r="J12284" i="1"/>
  <c r="I12284" i="1"/>
  <c r="H12284" i="1"/>
  <c r="G12284" i="1"/>
  <c r="M12283" i="1"/>
  <c r="L12283" i="1"/>
  <c r="K12283" i="1"/>
  <c r="J12283" i="1"/>
  <c r="I12283" i="1"/>
  <c r="H12283" i="1"/>
  <c r="G12283" i="1"/>
  <c r="M12282" i="1"/>
  <c r="L12282" i="1"/>
  <c r="K12282" i="1"/>
  <c r="J12282" i="1"/>
  <c r="I12282" i="1"/>
  <c r="H12282" i="1"/>
  <c r="G12282" i="1"/>
  <c r="M12281" i="1"/>
  <c r="L12281" i="1"/>
  <c r="K12281" i="1"/>
  <c r="J12281" i="1"/>
  <c r="I12281" i="1"/>
  <c r="H12281" i="1"/>
  <c r="G12281" i="1"/>
  <c r="M12280" i="1"/>
  <c r="L12280" i="1"/>
  <c r="K12280" i="1"/>
  <c r="J12280" i="1"/>
  <c r="I12280" i="1"/>
  <c r="H12280" i="1"/>
  <c r="G12280" i="1"/>
  <c r="M12279" i="1"/>
  <c r="L12279" i="1"/>
  <c r="K12279" i="1"/>
  <c r="J12279" i="1"/>
  <c r="I12279" i="1"/>
  <c r="H12279" i="1"/>
  <c r="G12279" i="1"/>
  <c r="M12278" i="1"/>
  <c r="L12278" i="1"/>
  <c r="K12278" i="1"/>
  <c r="J12278" i="1"/>
  <c r="I12278" i="1"/>
  <c r="H12278" i="1"/>
  <c r="G12278" i="1"/>
  <c r="M12277" i="1"/>
  <c r="L12277" i="1"/>
  <c r="K12277" i="1"/>
  <c r="J12277" i="1"/>
  <c r="I12277" i="1"/>
  <c r="H12277" i="1"/>
  <c r="G12277" i="1"/>
  <c r="M12276" i="1"/>
  <c r="L12276" i="1"/>
  <c r="K12276" i="1"/>
  <c r="J12276" i="1"/>
  <c r="I12276" i="1"/>
  <c r="H12276" i="1"/>
  <c r="G12276" i="1"/>
  <c r="M12275" i="1"/>
  <c r="L12275" i="1"/>
  <c r="K12275" i="1"/>
  <c r="J12275" i="1"/>
  <c r="I12275" i="1"/>
  <c r="H12275" i="1"/>
  <c r="G12275" i="1"/>
  <c r="M12274" i="1"/>
  <c r="L12274" i="1"/>
  <c r="K12274" i="1"/>
  <c r="J12274" i="1"/>
  <c r="I12274" i="1"/>
  <c r="H12274" i="1"/>
  <c r="G12274" i="1"/>
  <c r="M12273" i="1"/>
  <c r="L12273" i="1"/>
  <c r="K12273" i="1"/>
  <c r="J12273" i="1"/>
  <c r="I12273" i="1"/>
  <c r="H12273" i="1"/>
  <c r="G12273" i="1"/>
  <c r="M12272" i="1"/>
  <c r="L12272" i="1"/>
  <c r="K12272" i="1"/>
  <c r="J12272" i="1"/>
  <c r="I12272" i="1"/>
  <c r="H12272" i="1"/>
  <c r="G12272" i="1"/>
  <c r="M12271" i="1"/>
  <c r="L12271" i="1"/>
  <c r="K12271" i="1"/>
  <c r="J12271" i="1"/>
  <c r="I12271" i="1"/>
  <c r="H12271" i="1"/>
  <c r="G12271" i="1"/>
  <c r="M12270" i="1"/>
  <c r="L12270" i="1"/>
  <c r="K12270" i="1"/>
  <c r="J12270" i="1"/>
  <c r="I12270" i="1"/>
  <c r="H12270" i="1"/>
  <c r="G12270" i="1"/>
  <c r="M12269" i="1"/>
  <c r="L12269" i="1"/>
  <c r="K12269" i="1"/>
  <c r="J12269" i="1"/>
  <c r="I12269" i="1"/>
  <c r="H12269" i="1"/>
  <c r="G12269" i="1"/>
  <c r="M12268" i="1"/>
  <c r="L12268" i="1"/>
  <c r="K12268" i="1"/>
  <c r="J12268" i="1"/>
  <c r="I12268" i="1"/>
  <c r="H12268" i="1"/>
  <c r="G12268" i="1"/>
  <c r="M12267" i="1"/>
  <c r="L12267" i="1"/>
  <c r="K12267" i="1"/>
  <c r="J12267" i="1"/>
  <c r="I12267" i="1"/>
  <c r="H12267" i="1"/>
  <c r="G12267" i="1"/>
  <c r="M12266" i="1"/>
  <c r="L12266" i="1"/>
  <c r="K12266" i="1"/>
  <c r="J12266" i="1"/>
  <c r="I12266" i="1"/>
  <c r="H12266" i="1"/>
  <c r="G12266" i="1"/>
  <c r="M12265" i="1"/>
  <c r="L12265" i="1"/>
  <c r="K12265" i="1"/>
  <c r="J12265" i="1"/>
  <c r="I12265" i="1"/>
  <c r="H12265" i="1"/>
  <c r="G12265" i="1"/>
  <c r="M12264" i="1"/>
  <c r="L12264" i="1"/>
  <c r="K12264" i="1"/>
  <c r="J12264" i="1"/>
  <c r="I12264" i="1"/>
  <c r="H12264" i="1"/>
  <c r="G12264" i="1"/>
  <c r="M12263" i="1"/>
  <c r="L12263" i="1"/>
  <c r="K12263" i="1"/>
  <c r="J12263" i="1"/>
  <c r="I12263" i="1"/>
  <c r="H12263" i="1"/>
  <c r="G12263" i="1"/>
  <c r="M12262" i="1"/>
  <c r="L12262" i="1"/>
  <c r="K12262" i="1"/>
  <c r="J12262" i="1"/>
  <c r="I12262" i="1"/>
  <c r="H12262" i="1"/>
  <c r="G12262" i="1"/>
  <c r="M12261" i="1"/>
  <c r="L12261" i="1"/>
  <c r="K12261" i="1"/>
  <c r="J12261" i="1"/>
  <c r="I12261" i="1"/>
  <c r="H12261" i="1"/>
  <c r="G12261" i="1"/>
  <c r="M12260" i="1"/>
  <c r="L12260" i="1"/>
  <c r="K12260" i="1"/>
  <c r="J12260" i="1"/>
  <c r="I12260" i="1"/>
  <c r="H12260" i="1"/>
  <c r="G12260" i="1"/>
  <c r="M12259" i="1"/>
  <c r="L12259" i="1"/>
  <c r="K12259" i="1"/>
  <c r="J12259" i="1"/>
  <c r="I12259" i="1"/>
  <c r="H12259" i="1"/>
  <c r="G12259" i="1"/>
  <c r="M12258" i="1"/>
  <c r="L12258" i="1"/>
  <c r="K12258" i="1"/>
  <c r="J12258" i="1"/>
  <c r="I12258" i="1"/>
  <c r="H12258" i="1"/>
  <c r="G12258" i="1"/>
  <c r="M12257" i="1"/>
  <c r="L12257" i="1"/>
  <c r="K12257" i="1"/>
  <c r="J12257" i="1"/>
  <c r="I12257" i="1"/>
  <c r="H12257" i="1"/>
  <c r="G12257" i="1"/>
  <c r="M12256" i="1"/>
  <c r="L12256" i="1"/>
  <c r="K12256" i="1"/>
  <c r="J12256" i="1"/>
  <c r="I12256" i="1"/>
  <c r="H12256" i="1"/>
  <c r="G12256" i="1"/>
  <c r="M12255" i="1"/>
  <c r="L12255" i="1"/>
  <c r="K12255" i="1"/>
  <c r="J12255" i="1"/>
  <c r="I12255" i="1"/>
  <c r="H12255" i="1"/>
  <c r="G12255" i="1"/>
  <c r="M12254" i="1"/>
  <c r="L12254" i="1"/>
  <c r="K12254" i="1"/>
  <c r="J12254" i="1"/>
  <c r="I12254" i="1"/>
  <c r="H12254" i="1"/>
  <c r="G12254" i="1"/>
  <c r="M12253" i="1"/>
  <c r="L12253" i="1"/>
  <c r="K12253" i="1"/>
  <c r="J12253" i="1"/>
  <c r="I12253" i="1"/>
  <c r="H12253" i="1"/>
  <c r="G12253" i="1"/>
  <c r="M12252" i="1"/>
  <c r="L12252" i="1"/>
  <c r="K12252" i="1"/>
  <c r="J12252" i="1"/>
  <c r="I12252" i="1"/>
  <c r="H12252" i="1"/>
  <c r="G12252" i="1"/>
  <c r="M12251" i="1"/>
  <c r="L12251" i="1"/>
  <c r="K12251" i="1"/>
  <c r="J12251" i="1"/>
  <c r="I12251" i="1"/>
  <c r="H12251" i="1"/>
  <c r="G12251" i="1"/>
  <c r="M12250" i="1"/>
  <c r="L12250" i="1"/>
  <c r="K12250" i="1"/>
  <c r="J12250" i="1"/>
  <c r="I12250" i="1"/>
  <c r="H12250" i="1"/>
  <c r="G12250" i="1"/>
  <c r="M12249" i="1"/>
  <c r="L12249" i="1"/>
  <c r="K12249" i="1"/>
  <c r="J12249" i="1"/>
  <c r="I12249" i="1"/>
  <c r="H12249" i="1"/>
  <c r="G12249" i="1"/>
  <c r="M12248" i="1"/>
  <c r="L12248" i="1"/>
  <c r="K12248" i="1"/>
  <c r="J12248" i="1"/>
  <c r="I12248" i="1"/>
  <c r="H12248" i="1"/>
  <c r="G12248" i="1"/>
  <c r="M12247" i="1"/>
  <c r="L12247" i="1"/>
  <c r="K12247" i="1"/>
  <c r="J12247" i="1"/>
  <c r="I12247" i="1"/>
  <c r="H12247" i="1"/>
  <c r="G12247" i="1"/>
  <c r="M12246" i="1"/>
  <c r="L12246" i="1"/>
  <c r="K12246" i="1"/>
  <c r="J12246" i="1"/>
  <c r="I12246" i="1"/>
  <c r="H12246" i="1"/>
  <c r="G12246" i="1"/>
  <c r="M12245" i="1"/>
  <c r="L12245" i="1"/>
  <c r="K12245" i="1"/>
  <c r="J12245" i="1"/>
  <c r="I12245" i="1"/>
  <c r="H12245" i="1"/>
  <c r="G12245" i="1"/>
  <c r="M12244" i="1"/>
  <c r="L12244" i="1"/>
  <c r="K12244" i="1"/>
  <c r="J12244" i="1"/>
  <c r="I12244" i="1"/>
  <c r="H12244" i="1"/>
  <c r="G12244" i="1"/>
  <c r="M12243" i="1"/>
  <c r="L12243" i="1"/>
  <c r="K12243" i="1"/>
  <c r="J12243" i="1"/>
  <c r="I12243" i="1"/>
  <c r="H12243" i="1"/>
  <c r="G12243" i="1"/>
  <c r="M12242" i="1"/>
  <c r="L12242" i="1"/>
  <c r="K12242" i="1"/>
  <c r="J12242" i="1"/>
  <c r="I12242" i="1"/>
  <c r="H12242" i="1"/>
  <c r="G12242" i="1"/>
  <c r="M12241" i="1"/>
  <c r="L12241" i="1"/>
  <c r="K12241" i="1"/>
  <c r="J12241" i="1"/>
  <c r="I12241" i="1"/>
  <c r="H12241" i="1"/>
  <c r="G12241" i="1"/>
  <c r="M12240" i="1"/>
  <c r="L12240" i="1"/>
  <c r="K12240" i="1"/>
  <c r="J12240" i="1"/>
  <c r="I12240" i="1"/>
  <c r="H12240" i="1"/>
  <c r="G12240" i="1"/>
  <c r="M12239" i="1"/>
  <c r="L12239" i="1"/>
  <c r="K12239" i="1"/>
  <c r="J12239" i="1"/>
  <c r="I12239" i="1"/>
  <c r="H12239" i="1"/>
  <c r="G12239" i="1"/>
  <c r="M12238" i="1"/>
  <c r="L12238" i="1"/>
  <c r="K12238" i="1"/>
  <c r="J12238" i="1"/>
  <c r="I12238" i="1"/>
  <c r="H12238" i="1"/>
  <c r="G12238" i="1"/>
  <c r="M12237" i="1"/>
  <c r="L12237" i="1"/>
  <c r="K12237" i="1"/>
  <c r="J12237" i="1"/>
  <c r="I12237" i="1"/>
  <c r="H12237" i="1"/>
  <c r="G12237" i="1"/>
  <c r="M12236" i="1"/>
  <c r="L12236" i="1"/>
  <c r="K12236" i="1"/>
  <c r="J12236" i="1"/>
  <c r="I12236" i="1"/>
  <c r="H12236" i="1"/>
  <c r="G12236" i="1"/>
  <c r="M12235" i="1"/>
  <c r="L12235" i="1"/>
  <c r="K12235" i="1"/>
  <c r="J12235" i="1"/>
  <c r="I12235" i="1"/>
  <c r="H12235" i="1"/>
  <c r="G12235" i="1"/>
  <c r="M12234" i="1"/>
  <c r="L12234" i="1"/>
  <c r="K12234" i="1"/>
  <c r="J12234" i="1"/>
  <c r="I12234" i="1"/>
  <c r="H12234" i="1"/>
  <c r="G12234" i="1"/>
  <c r="M12233" i="1"/>
  <c r="L12233" i="1"/>
  <c r="K12233" i="1"/>
  <c r="J12233" i="1"/>
  <c r="I12233" i="1"/>
  <c r="H12233" i="1"/>
  <c r="G12233" i="1"/>
  <c r="M12232" i="1"/>
  <c r="L12232" i="1"/>
  <c r="K12232" i="1"/>
  <c r="J12232" i="1"/>
  <c r="I12232" i="1"/>
  <c r="H12232" i="1"/>
  <c r="G12232" i="1"/>
  <c r="M12231" i="1"/>
  <c r="L12231" i="1"/>
  <c r="K12231" i="1"/>
  <c r="J12231" i="1"/>
  <c r="I12231" i="1"/>
  <c r="H12231" i="1"/>
  <c r="G12231" i="1"/>
  <c r="M12230" i="1"/>
  <c r="L12230" i="1"/>
  <c r="K12230" i="1"/>
  <c r="J12230" i="1"/>
  <c r="I12230" i="1"/>
  <c r="H12230" i="1"/>
  <c r="G12230" i="1"/>
  <c r="M12229" i="1"/>
  <c r="L12229" i="1"/>
  <c r="K12229" i="1"/>
  <c r="J12229" i="1"/>
  <c r="I12229" i="1"/>
  <c r="H12229" i="1"/>
  <c r="G12229" i="1"/>
  <c r="M12228" i="1"/>
  <c r="L12228" i="1"/>
  <c r="K12228" i="1"/>
  <c r="J12228" i="1"/>
  <c r="I12228" i="1"/>
  <c r="H12228" i="1"/>
  <c r="G12228" i="1"/>
  <c r="M12227" i="1"/>
  <c r="L12227" i="1"/>
  <c r="K12227" i="1"/>
  <c r="J12227" i="1"/>
  <c r="I12227" i="1"/>
  <c r="H12227" i="1"/>
  <c r="G12227" i="1"/>
  <c r="M12226" i="1"/>
  <c r="L12226" i="1"/>
  <c r="K12226" i="1"/>
  <c r="J12226" i="1"/>
  <c r="I12226" i="1"/>
  <c r="H12226" i="1"/>
  <c r="G12226" i="1"/>
  <c r="M12225" i="1"/>
  <c r="L12225" i="1"/>
  <c r="K12225" i="1"/>
  <c r="J12225" i="1"/>
  <c r="I12225" i="1"/>
  <c r="H12225" i="1"/>
  <c r="G12225" i="1"/>
  <c r="M12224" i="1"/>
  <c r="L12224" i="1"/>
  <c r="K12224" i="1"/>
  <c r="J12224" i="1"/>
  <c r="I12224" i="1"/>
  <c r="H12224" i="1"/>
  <c r="G12224" i="1"/>
  <c r="M12223" i="1"/>
  <c r="L12223" i="1"/>
  <c r="K12223" i="1"/>
  <c r="J12223" i="1"/>
  <c r="I12223" i="1"/>
  <c r="H12223" i="1"/>
  <c r="G12223" i="1"/>
  <c r="M12222" i="1"/>
  <c r="L12222" i="1"/>
  <c r="K12222" i="1"/>
  <c r="J12222" i="1"/>
  <c r="I12222" i="1"/>
  <c r="H12222" i="1"/>
  <c r="G12222" i="1"/>
  <c r="M12221" i="1"/>
  <c r="L12221" i="1"/>
  <c r="K12221" i="1"/>
  <c r="J12221" i="1"/>
  <c r="I12221" i="1"/>
  <c r="H12221" i="1"/>
  <c r="G12221" i="1"/>
  <c r="M12220" i="1"/>
  <c r="L12220" i="1"/>
  <c r="K12220" i="1"/>
  <c r="J12220" i="1"/>
  <c r="I12220" i="1"/>
  <c r="H12220" i="1"/>
  <c r="G12220" i="1"/>
  <c r="M12219" i="1"/>
  <c r="L12219" i="1"/>
  <c r="K12219" i="1"/>
  <c r="J12219" i="1"/>
  <c r="I12219" i="1"/>
  <c r="H12219" i="1"/>
  <c r="G12219" i="1"/>
  <c r="M12218" i="1"/>
  <c r="L12218" i="1"/>
  <c r="K12218" i="1"/>
  <c r="J12218" i="1"/>
  <c r="I12218" i="1"/>
  <c r="H12218" i="1"/>
  <c r="G12218" i="1"/>
  <c r="M12217" i="1"/>
  <c r="L12217" i="1"/>
  <c r="K12217" i="1"/>
  <c r="J12217" i="1"/>
  <c r="I12217" i="1"/>
  <c r="H12217" i="1"/>
  <c r="G12217" i="1"/>
  <c r="M12216" i="1"/>
  <c r="L12216" i="1"/>
  <c r="K12216" i="1"/>
  <c r="J12216" i="1"/>
  <c r="I12216" i="1"/>
  <c r="H12216" i="1"/>
  <c r="G12216" i="1"/>
  <c r="M12215" i="1"/>
  <c r="L12215" i="1"/>
  <c r="K12215" i="1"/>
  <c r="J12215" i="1"/>
  <c r="I12215" i="1"/>
  <c r="H12215" i="1"/>
  <c r="G12215" i="1"/>
  <c r="M12214" i="1"/>
  <c r="L12214" i="1"/>
  <c r="K12214" i="1"/>
  <c r="J12214" i="1"/>
  <c r="I12214" i="1"/>
  <c r="H12214" i="1"/>
  <c r="G12214" i="1"/>
  <c r="M12213" i="1"/>
  <c r="L12213" i="1"/>
  <c r="K12213" i="1"/>
  <c r="J12213" i="1"/>
  <c r="I12213" i="1"/>
  <c r="H12213" i="1"/>
  <c r="G12213" i="1"/>
  <c r="M12212" i="1"/>
  <c r="L12212" i="1"/>
  <c r="K12212" i="1"/>
  <c r="J12212" i="1"/>
  <c r="I12212" i="1"/>
  <c r="H12212" i="1"/>
  <c r="G12212" i="1"/>
  <c r="M12211" i="1"/>
  <c r="L12211" i="1"/>
  <c r="K12211" i="1"/>
  <c r="J12211" i="1"/>
  <c r="I12211" i="1"/>
  <c r="H12211" i="1"/>
  <c r="G12211" i="1"/>
  <c r="M12210" i="1"/>
  <c r="L12210" i="1"/>
  <c r="K12210" i="1"/>
  <c r="J12210" i="1"/>
  <c r="I12210" i="1"/>
  <c r="H12210" i="1"/>
  <c r="G12210" i="1"/>
  <c r="M12209" i="1"/>
  <c r="L12209" i="1"/>
  <c r="K12209" i="1"/>
  <c r="J12209" i="1"/>
  <c r="I12209" i="1"/>
  <c r="H12209" i="1"/>
  <c r="G12209" i="1"/>
  <c r="M12208" i="1"/>
  <c r="L12208" i="1"/>
  <c r="K12208" i="1"/>
  <c r="J12208" i="1"/>
  <c r="I12208" i="1"/>
  <c r="H12208" i="1"/>
  <c r="G12208" i="1"/>
  <c r="M12207" i="1"/>
  <c r="L12207" i="1"/>
  <c r="K12207" i="1"/>
  <c r="J12207" i="1"/>
  <c r="I12207" i="1"/>
  <c r="H12207" i="1"/>
  <c r="G12207" i="1"/>
  <c r="M12206" i="1"/>
  <c r="L12206" i="1"/>
  <c r="K12206" i="1"/>
  <c r="J12206" i="1"/>
  <c r="I12206" i="1"/>
  <c r="H12206" i="1"/>
  <c r="G12206" i="1"/>
  <c r="M12205" i="1"/>
  <c r="L12205" i="1"/>
  <c r="K12205" i="1"/>
  <c r="J12205" i="1"/>
  <c r="I12205" i="1"/>
  <c r="H12205" i="1"/>
  <c r="G12205" i="1"/>
  <c r="M12204" i="1"/>
  <c r="L12204" i="1"/>
  <c r="K12204" i="1"/>
  <c r="J12204" i="1"/>
  <c r="I12204" i="1"/>
  <c r="H12204" i="1"/>
  <c r="G12204" i="1"/>
  <c r="M12203" i="1"/>
  <c r="L12203" i="1"/>
  <c r="K12203" i="1"/>
  <c r="J12203" i="1"/>
  <c r="I12203" i="1"/>
  <c r="H12203" i="1"/>
  <c r="G12203" i="1"/>
  <c r="M12202" i="1"/>
  <c r="L12202" i="1"/>
  <c r="K12202" i="1"/>
  <c r="J12202" i="1"/>
  <c r="I12202" i="1"/>
  <c r="H12202" i="1"/>
  <c r="G12202" i="1"/>
  <c r="M12201" i="1"/>
  <c r="L12201" i="1"/>
  <c r="K12201" i="1"/>
  <c r="J12201" i="1"/>
  <c r="I12201" i="1"/>
  <c r="H12201" i="1"/>
  <c r="G12201" i="1"/>
  <c r="M12200" i="1"/>
  <c r="L12200" i="1"/>
  <c r="K12200" i="1"/>
  <c r="J12200" i="1"/>
  <c r="I12200" i="1"/>
  <c r="H12200" i="1"/>
  <c r="G12200" i="1"/>
  <c r="M12199" i="1"/>
  <c r="L12199" i="1"/>
  <c r="K12199" i="1"/>
  <c r="J12199" i="1"/>
  <c r="I12199" i="1"/>
  <c r="H12199" i="1"/>
  <c r="G12199" i="1"/>
  <c r="M12198" i="1"/>
  <c r="L12198" i="1"/>
  <c r="K12198" i="1"/>
  <c r="J12198" i="1"/>
  <c r="I12198" i="1"/>
  <c r="H12198" i="1"/>
  <c r="G12198" i="1"/>
  <c r="M12197" i="1"/>
  <c r="L12197" i="1"/>
  <c r="K12197" i="1"/>
  <c r="J12197" i="1"/>
  <c r="I12197" i="1"/>
  <c r="H12197" i="1"/>
  <c r="G12197" i="1"/>
  <c r="M12196" i="1"/>
  <c r="L12196" i="1"/>
  <c r="K12196" i="1"/>
  <c r="J12196" i="1"/>
  <c r="I12196" i="1"/>
  <c r="H12196" i="1"/>
  <c r="G12196" i="1"/>
  <c r="M12195" i="1"/>
  <c r="L12195" i="1"/>
  <c r="K12195" i="1"/>
  <c r="J12195" i="1"/>
  <c r="I12195" i="1"/>
  <c r="H12195" i="1"/>
  <c r="G12195" i="1"/>
  <c r="M12194" i="1"/>
  <c r="L12194" i="1"/>
  <c r="K12194" i="1"/>
  <c r="J12194" i="1"/>
  <c r="I12194" i="1"/>
  <c r="H12194" i="1"/>
  <c r="G12194" i="1"/>
  <c r="M12193" i="1"/>
  <c r="L12193" i="1"/>
  <c r="K12193" i="1"/>
  <c r="J12193" i="1"/>
  <c r="I12193" i="1"/>
  <c r="H12193" i="1"/>
  <c r="G12193" i="1"/>
  <c r="M12192" i="1"/>
  <c r="L12192" i="1"/>
  <c r="K12192" i="1"/>
  <c r="J12192" i="1"/>
  <c r="I12192" i="1"/>
  <c r="H12192" i="1"/>
  <c r="G12192" i="1"/>
  <c r="M12191" i="1"/>
  <c r="L12191" i="1"/>
  <c r="K12191" i="1"/>
  <c r="J12191" i="1"/>
  <c r="I12191" i="1"/>
  <c r="H12191" i="1"/>
  <c r="G12191" i="1"/>
  <c r="M12190" i="1"/>
  <c r="L12190" i="1"/>
  <c r="K12190" i="1"/>
  <c r="J12190" i="1"/>
  <c r="I12190" i="1"/>
  <c r="H12190" i="1"/>
  <c r="G12190" i="1"/>
  <c r="M12189" i="1"/>
  <c r="L12189" i="1"/>
  <c r="K12189" i="1"/>
  <c r="J12189" i="1"/>
  <c r="I12189" i="1"/>
  <c r="H12189" i="1"/>
  <c r="G12189" i="1"/>
  <c r="M12188" i="1"/>
  <c r="L12188" i="1"/>
  <c r="K12188" i="1"/>
  <c r="J12188" i="1"/>
  <c r="I12188" i="1"/>
  <c r="H12188" i="1"/>
  <c r="G12188" i="1"/>
  <c r="M12187" i="1"/>
  <c r="L12187" i="1"/>
  <c r="K12187" i="1"/>
  <c r="J12187" i="1"/>
  <c r="I12187" i="1"/>
  <c r="H12187" i="1"/>
  <c r="G12187" i="1"/>
  <c r="M12186" i="1"/>
  <c r="L12186" i="1"/>
  <c r="K12186" i="1"/>
  <c r="J12186" i="1"/>
  <c r="I12186" i="1"/>
  <c r="H12186" i="1"/>
  <c r="G12186" i="1"/>
  <c r="M12185" i="1"/>
  <c r="L12185" i="1"/>
  <c r="K12185" i="1"/>
  <c r="J12185" i="1"/>
  <c r="I12185" i="1"/>
  <c r="H12185" i="1"/>
  <c r="G12185" i="1"/>
  <c r="M12184" i="1"/>
  <c r="L12184" i="1"/>
  <c r="K12184" i="1"/>
  <c r="J12184" i="1"/>
  <c r="I12184" i="1"/>
  <c r="H12184" i="1"/>
  <c r="G12184" i="1"/>
  <c r="M12183" i="1"/>
  <c r="L12183" i="1"/>
  <c r="K12183" i="1"/>
  <c r="J12183" i="1"/>
  <c r="I12183" i="1"/>
  <c r="H12183" i="1"/>
  <c r="G12183" i="1"/>
  <c r="M12182" i="1"/>
  <c r="L12182" i="1"/>
  <c r="K12182" i="1"/>
  <c r="J12182" i="1"/>
  <c r="I12182" i="1"/>
  <c r="H12182" i="1"/>
  <c r="G12182" i="1"/>
  <c r="M12181" i="1"/>
  <c r="L12181" i="1"/>
  <c r="K12181" i="1"/>
  <c r="J12181" i="1"/>
  <c r="I12181" i="1"/>
  <c r="H12181" i="1"/>
  <c r="G12181" i="1"/>
  <c r="M12180" i="1"/>
  <c r="L12180" i="1"/>
  <c r="K12180" i="1"/>
  <c r="J12180" i="1"/>
  <c r="I12180" i="1"/>
  <c r="H12180" i="1"/>
  <c r="G12180" i="1"/>
  <c r="M12179" i="1"/>
  <c r="L12179" i="1"/>
  <c r="K12179" i="1"/>
  <c r="J12179" i="1"/>
  <c r="I12179" i="1"/>
  <c r="H12179" i="1"/>
  <c r="G12179" i="1"/>
  <c r="M12178" i="1"/>
  <c r="L12178" i="1"/>
  <c r="K12178" i="1"/>
  <c r="J12178" i="1"/>
  <c r="I12178" i="1"/>
  <c r="H12178" i="1"/>
  <c r="G12178" i="1"/>
  <c r="M12177" i="1"/>
  <c r="L12177" i="1"/>
  <c r="K12177" i="1"/>
  <c r="J12177" i="1"/>
  <c r="I12177" i="1"/>
  <c r="H12177" i="1"/>
  <c r="G12177" i="1"/>
  <c r="M12176" i="1"/>
  <c r="L12176" i="1"/>
  <c r="K12176" i="1"/>
  <c r="J12176" i="1"/>
  <c r="I12176" i="1"/>
  <c r="H12176" i="1"/>
  <c r="G12176" i="1"/>
  <c r="M12175" i="1"/>
  <c r="L12175" i="1"/>
  <c r="K12175" i="1"/>
  <c r="J12175" i="1"/>
  <c r="I12175" i="1"/>
  <c r="H12175" i="1"/>
  <c r="G12175" i="1"/>
  <c r="M12174" i="1"/>
  <c r="L12174" i="1"/>
  <c r="K12174" i="1"/>
  <c r="J12174" i="1"/>
  <c r="I12174" i="1"/>
  <c r="H12174" i="1"/>
  <c r="G12174" i="1"/>
  <c r="M12173" i="1"/>
  <c r="L12173" i="1"/>
  <c r="K12173" i="1"/>
  <c r="J12173" i="1"/>
  <c r="I12173" i="1"/>
  <c r="H12173" i="1"/>
  <c r="G12173" i="1"/>
  <c r="M12172" i="1"/>
  <c r="L12172" i="1"/>
  <c r="K12172" i="1"/>
  <c r="J12172" i="1"/>
  <c r="I12172" i="1"/>
  <c r="H12172" i="1"/>
  <c r="G12172" i="1"/>
  <c r="M12171" i="1"/>
  <c r="L12171" i="1"/>
  <c r="K12171" i="1"/>
  <c r="J12171" i="1"/>
  <c r="I12171" i="1"/>
  <c r="H12171" i="1"/>
  <c r="G12171" i="1"/>
  <c r="M12170" i="1"/>
  <c r="L12170" i="1"/>
  <c r="K12170" i="1"/>
  <c r="J12170" i="1"/>
  <c r="I12170" i="1"/>
  <c r="H12170" i="1"/>
  <c r="G12170" i="1"/>
  <c r="M12169" i="1"/>
  <c r="L12169" i="1"/>
  <c r="K12169" i="1"/>
  <c r="J12169" i="1"/>
  <c r="I12169" i="1"/>
  <c r="H12169" i="1"/>
  <c r="G12169" i="1"/>
  <c r="M12168" i="1"/>
  <c r="L12168" i="1"/>
  <c r="K12168" i="1"/>
  <c r="J12168" i="1"/>
  <c r="I12168" i="1"/>
  <c r="H12168" i="1"/>
  <c r="G12168" i="1"/>
  <c r="M12167" i="1"/>
  <c r="L12167" i="1"/>
  <c r="K12167" i="1"/>
  <c r="J12167" i="1"/>
  <c r="I12167" i="1"/>
  <c r="H12167" i="1"/>
  <c r="G12167" i="1"/>
  <c r="M12166" i="1"/>
  <c r="L12166" i="1"/>
  <c r="K12166" i="1"/>
  <c r="J12166" i="1"/>
  <c r="I12166" i="1"/>
  <c r="H12166" i="1"/>
  <c r="G12166" i="1"/>
  <c r="M12165" i="1"/>
  <c r="L12165" i="1"/>
  <c r="K12165" i="1"/>
  <c r="J12165" i="1"/>
  <c r="I12165" i="1"/>
  <c r="H12165" i="1"/>
  <c r="G12165" i="1"/>
  <c r="M12164" i="1"/>
  <c r="L12164" i="1"/>
  <c r="K12164" i="1"/>
  <c r="J12164" i="1"/>
  <c r="I12164" i="1"/>
  <c r="H12164" i="1"/>
  <c r="G12164" i="1"/>
  <c r="M12163" i="1"/>
  <c r="L12163" i="1"/>
  <c r="K12163" i="1"/>
  <c r="J12163" i="1"/>
  <c r="I12163" i="1"/>
  <c r="H12163" i="1"/>
  <c r="G12163" i="1"/>
  <c r="M12162" i="1"/>
  <c r="L12162" i="1"/>
  <c r="K12162" i="1"/>
  <c r="J12162" i="1"/>
  <c r="I12162" i="1"/>
  <c r="H12162" i="1"/>
  <c r="G12162" i="1"/>
  <c r="M12161" i="1"/>
  <c r="L12161" i="1"/>
  <c r="K12161" i="1"/>
  <c r="J12161" i="1"/>
  <c r="I12161" i="1"/>
  <c r="H12161" i="1"/>
  <c r="G12161" i="1"/>
  <c r="M12160" i="1"/>
  <c r="L12160" i="1"/>
  <c r="K12160" i="1"/>
  <c r="J12160" i="1"/>
  <c r="I12160" i="1"/>
  <c r="H12160" i="1"/>
  <c r="G12160" i="1"/>
  <c r="M12159" i="1"/>
  <c r="L12159" i="1"/>
  <c r="K12159" i="1"/>
  <c r="J12159" i="1"/>
  <c r="I12159" i="1"/>
  <c r="H12159" i="1"/>
  <c r="G12159" i="1"/>
  <c r="M12158" i="1"/>
  <c r="L12158" i="1"/>
  <c r="K12158" i="1"/>
  <c r="J12158" i="1"/>
  <c r="I12158" i="1"/>
  <c r="H12158" i="1"/>
  <c r="G12158" i="1"/>
  <c r="M12157" i="1"/>
  <c r="L12157" i="1"/>
  <c r="K12157" i="1"/>
  <c r="J12157" i="1"/>
  <c r="I12157" i="1"/>
  <c r="H12157" i="1"/>
  <c r="G12157" i="1"/>
  <c r="M12156" i="1"/>
  <c r="L12156" i="1"/>
  <c r="K12156" i="1"/>
  <c r="J12156" i="1"/>
  <c r="I12156" i="1"/>
  <c r="H12156" i="1"/>
  <c r="G12156" i="1"/>
  <c r="M12155" i="1"/>
  <c r="L12155" i="1"/>
  <c r="K12155" i="1"/>
  <c r="J12155" i="1"/>
  <c r="I12155" i="1"/>
  <c r="H12155" i="1"/>
  <c r="G12155" i="1"/>
  <c r="M12154" i="1"/>
  <c r="L12154" i="1"/>
  <c r="K12154" i="1"/>
  <c r="J12154" i="1"/>
  <c r="I12154" i="1"/>
  <c r="H12154" i="1"/>
  <c r="G12154" i="1"/>
  <c r="M12153" i="1"/>
  <c r="L12153" i="1"/>
  <c r="K12153" i="1"/>
  <c r="J12153" i="1"/>
  <c r="I12153" i="1"/>
  <c r="H12153" i="1"/>
  <c r="G12153" i="1"/>
  <c r="M12152" i="1"/>
  <c r="L12152" i="1"/>
  <c r="K12152" i="1"/>
  <c r="J12152" i="1"/>
  <c r="I12152" i="1"/>
  <c r="H12152" i="1"/>
  <c r="G12152" i="1"/>
  <c r="M12151" i="1"/>
  <c r="L12151" i="1"/>
  <c r="K12151" i="1"/>
  <c r="J12151" i="1"/>
  <c r="I12151" i="1"/>
  <c r="H12151" i="1"/>
  <c r="G12151" i="1"/>
  <c r="M12150" i="1"/>
  <c r="L12150" i="1"/>
  <c r="K12150" i="1"/>
  <c r="J12150" i="1"/>
  <c r="I12150" i="1"/>
  <c r="H12150" i="1"/>
  <c r="G12150" i="1"/>
  <c r="M12149" i="1"/>
  <c r="L12149" i="1"/>
  <c r="K12149" i="1"/>
  <c r="J12149" i="1"/>
  <c r="I12149" i="1"/>
  <c r="H12149" i="1"/>
  <c r="G12149" i="1"/>
  <c r="M12148" i="1"/>
  <c r="L12148" i="1"/>
  <c r="K12148" i="1"/>
  <c r="J12148" i="1"/>
  <c r="I12148" i="1"/>
  <c r="H12148" i="1"/>
  <c r="G12148" i="1"/>
  <c r="M12147" i="1"/>
  <c r="L12147" i="1"/>
  <c r="K12147" i="1"/>
  <c r="J12147" i="1"/>
  <c r="I12147" i="1"/>
  <c r="H12147" i="1"/>
  <c r="G12147" i="1"/>
  <c r="M12146" i="1"/>
  <c r="L12146" i="1"/>
  <c r="K12146" i="1"/>
  <c r="J12146" i="1"/>
  <c r="I12146" i="1"/>
  <c r="H12146" i="1"/>
  <c r="G12146" i="1"/>
  <c r="M12145" i="1"/>
  <c r="L12145" i="1"/>
  <c r="K12145" i="1"/>
  <c r="J12145" i="1"/>
  <c r="I12145" i="1"/>
  <c r="H12145" i="1"/>
  <c r="G12145" i="1"/>
  <c r="M12144" i="1"/>
  <c r="L12144" i="1"/>
  <c r="K12144" i="1"/>
  <c r="J12144" i="1"/>
  <c r="I12144" i="1"/>
  <c r="H12144" i="1"/>
  <c r="G12144" i="1"/>
  <c r="M12143" i="1"/>
  <c r="L12143" i="1"/>
  <c r="K12143" i="1"/>
  <c r="J12143" i="1"/>
  <c r="I12143" i="1"/>
  <c r="H12143" i="1"/>
  <c r="G12143" i="1"/>
  <c r="M12142" i="1"/>
  <c r="L12142" i="1"/>
  <c r="K12142" i="1"/>
  <c r="J12142" i="1"/>
  <c r="I12142" i="1"/>
  <c r="H12142" i="1"/>
  <c r="G12142" i="1"/>
  <c r="M12141" i="1"/>
  <c r="L12141" i="1"/>
  <c r="K12141" i="1"/>
  <c r="J12141" i="1"/>
  <c r="I12141" i="1"/>
  <c r="H12141" i="1"/>
  <c r="G12141" i="1"/>
  <c r="M12140" i="1"/>
  <c r="L12140" i="1"/>
  <c r="K12140" i="1"/>
  <c r="J12140" i="1"/>
  <c r="I12140" i="1"/>
  <c r="H12140" i="1"/>
  <c r="G12140" i="1"/>
  <c r="M12139" i="1"/>
  <c r="L12139" i="1"/>
  <c r="K12139" i="1"/>
  <c r="J12139" i="1"/>
  <c r="I12139" i="1"/>
  <c r="H12139" i="1"/>
  <c r="G12139" i="1"/>
  <c r="M12138" i="1"/>
  <c r="L12138" i="1"/>
  <c r="K12138" i="1"/>
  <c r="J12138" i="1"/>
  <c r="I12138" i="1"/>
  <c r="H12138" i="1"/>
  <c r="G12138" i="1"/>
  <c r="M12137" i="1"/>
  <c r="L12137" i="1"/>
  <c r="K12137" i="1"/>
  <c r="J12137" i="1"/>
  <c r="I12137" i="1"/>
  <c r="H12137" i="1"/>
  <c r="G12137" i="1"/>
  <c r="M12136" i="1"/>
  <c r="L12136" i="1"/>
  <c r="K12136" i="1"/>
  <c r="J12136" i="1"/>
  <c r="I12136" i="1"/>
  <c r="H12136" i="1"/>
  <c r="G12136" i="1"/>
  <c r="M12135" i="1"/>
  <c r="L12135" i="1"/>
  <c r="K12135" i="1"/>
  <c r="J12135" i="1"/>
  <c r="I12135" i="1"/>
  <c r="H12135" i="1"/>
  <c r="G12135" i="1"/>
  <c r="M12134" i="1"/>
  <c r="L12134" i="1"/>
  <c r="K12134" i="1"/>
  <c r="J12134" i="1"/>
  <c r="I12134" i="1"/>
  <c r="H12134" i="1"/>
  <c r="G12134" i="1"/>
  <c r="M12133" i="1"/>
  <c r="L12133" i="1"/>
  <c r="K12133" i="1"/>
  <c r="J12133" i="1"/>
  <c r="I12133" i="1"/>
  <c r="H12133" i="1"/>
  <c r="G12133" i="1"/>
  <c r="M12132" i="1"/>
  <c r="L12132" i="1"/>
  <c r="K12132" i="1"/>
  <c r="J12132" i="1"/>
  <c r="I12132" i="1"/>
  <c r="H12132" i="1"/>
  <c r="G12132" i="1"/>
  <c r="M12131" i="1"/>
  <c r="L12131" i="1"/>
  <c r="K12131" i="1"/>
  <c r="J12131" i="1"/>
  <c r="I12131" i="1"/>
  <c r="H12131" i="1"/>
  <c r="G12131" i="1"/>
  <c r="M12130" i="1"/>
  <c r="L12130" i="1"/>
  <c r="K12130" i="1"/>
  <c r="J12130" i="1"/>
  <c r="I12130" i="1"/>
  <c r="H12130" i="1"/>
  <c r="G12130" i="1"/>
  <c r="M12129" i="1"/>
  <c r="L12129" i="1"/>
  <c r="K12129" i="1"/>
  <c r="J12129" i="1"/>
  <c r="I12129" i="1"/>
  <c r="H12129" i="1"/>
  <c r="G12129" i="1"/>
  <c r="M12128" i="1"/>
  <c r="L12128" i="1"/>
  <c r="K12128" i="1"/>
  <c r="J12128" i="1"/>
  <c r="I12128" i="1"/>
  <c r="H12128" i="1"/>
  <c r="G12128" i="1"/>
  <c r="M12127" i="1"/>
  <c r="L12127" i="1"/>
  <c r="K12127" i="1"/>
  <c r="J12127" i="1"/>
  <c r="I12127" i="1"/>
  <c r="H12127" i="1"/>
  <c r="G12127" i="1"/>
  <c r="M12126" i="1"/>
  <c r="L12126" i="1"/>
  <c r="K12126" i="1"/>
  <c r="J12126" i="1"/>
  <c r="I12126" i="1"/>
  <c r="H12126" i="1"/>
  <c r="G12126" i="1"/>
  <c r="M12125" i="1"/>
  <c r="L12125" i="1"/>
  <c r="K12125" i="1"/>
  <c r="J12125" i="1"/>
  <c r="I12125" i="1"/>
  <c r="H12125" i="1"/>
  <c r="G12125" i="1"/>
  <c r="M12124" i="1"/>
  <c r="L12124" i="1"/>
  <c r="K12124" i="1"/>
  <c r="J12124" i="1"/>
  <c r="I12124" i="1"/>
  <c r="H12124" i="1"/>
  <c r="G12124" i="1"/>
  <c r="M12123" i="1"/>
  <c r="L12123" i="1"/>
  <c r="K12123" i="1"/>
  <c r="J12123" i="1"/>
  <c r="I12123" i="1"/>
  <c r="H12123" i="1"/>
  <c r="G12123" i="1"/>
  <c r="M12122" i="1"/>
  <c r="L12122" i="1"/>
  <c r="K12122" i="1"/>
  <c r="J12122" i="1"/>
  <c r="I12122" i="1"/>
  <c r="H12122" i="1"/>
  <c r="G12122" i="1"/>
  <c r="M12121" i="1"/>
  <c r="L12121" i="1"/>
  <c r="K12121" i="1"/>
  <c r="J12121" i="1"/>
  <c r="I12121" i="1"/>
  <c r="H12121" i="1"/>
  <c r="G12121" i="1"/>
  <c r="M12120" i="1"/>
  <c r="L12120" i="1"/>
  <c r="K12120" i="1"/>
  <c r="J12120" i="1"/>
  <c r="I12120" i="1"/>
  <c r="H12120" i="1"/>
  <c r="G12120" i="1"/>
  <c r="M12119" i="1"/>
  <c r="L12119" i="1"/>
  <c r="K12119" i="1"/>
  <c r="J12119" i="1"/>
  <c r="I12119" i="1"/>
  <c r="H12119" i="1"/>
  <c r="G12119" i="1"/>
  <c r="M12118" i="1"/>
  <c r="L12118" i="1"/>
  <c r="K12118" i="1"/>
  <c r="J12118" i="1"/>
  <c r="I12118" i="1"/>
  <c r="H12118" i="1"/>
  <c r="G12118" i="1"/>
  <c r="M12117" i="1"/>
  <c r="L12117" i="1"/>
  <c r="K12117" i="1"/>
  <c r="J12117" i="1"/>
  <c r="I12117" i="1"/>
  <c r="H12117" i="1"/>
  <c r="G12117" i="1"/>
  <c r="M12116" i="1"/>
  <c r="L12116" i="1"/>
  <c r="K12116" i="1"/>
  <c r="J12116" i="1"/>
  <c r="I12116" i="1"/>
  <c r="H12116" i="1"/>
  <c r="G12116" i="1"/>
  <c r="M12115" i="1"/>
  <c r="L12115" i="1"/>
  <c r="K12115" i="1"/>
  <c r="J12115" i="1"/>
  <c r="I12115" i="1"/>
  <c r="H12115" i="1"/>
  <c r="G12115" i="1"/>
  <c r="M12114" i="1"/>
  <c r="L12114" i="1"/>
  <c r="K12114" i="1"/>
  <c r="J12114" i="1"/>
  <c r="I12114" i="1"/>
  <c r="H12114" i="1"/>
  <c r="G12114" i="1"/>
  <c r="M12113" i="1"/>
  <c r="L12113" i="1"/>
  <c r="K12113" i="1"/>
  <c r="J12113" i="1"/>
  <c r="I12113" i="1"/>
  <c r="H12113" i="1"/>
  <c r="G12113" i="1"/>
  <c r="M12112" i="1"/>
  <c r="L12112" i="1"/>
  <c r="K12112" i="1"/>
  <c r="J12112" i="1"/>
  <c r="I12112" i="1"/>
  <c r="H12112" i="1"/>
  <c r="G12112" i="1"/>
  <c r="M12111" i="1"/>
  <c r="L12111" i="1"/>
  <c r="K12111" i="1"/>
  <c r="J12111" i="1"/>
  <c r="I12111" i="1"/>
  <c r="H12111" i="1"/>
  <c r="G12111" i="1"/>
  <c r="M12110" i="1"/>
  <c r="L12110" i="1"/>
  <c r="K12110" i="1"/>
  <c r="J12110" i="1"/>
  <c r="I12110" i="1"/>
  <c r="H12110" i="1"/>
  <c r="G12110" i="1"/>
  <c r="M12109" i="1"/>
  <c r="L12109" i="1"/>
  <c r="K12109" i="1"/>
  <c r="J12109" i="1"/>
  <c r="I12109" i="1"/>
  <c r="H12109" i="1"/>
  <c r="G12109" i="1"/>
  <c r="M12108" i="1"/>
  <c r="L12108" i="1"/>
  <c r="K12108" i="1"/>
  <c r="J12108" i="1"/>
  <c r="I12108" i="1"/>
  <c r="H12108" i="1"/>
  <c r="G12108" i="1"/>
  <c r="M12107" i="1"/>
  <c r="L12107" i="1"/>
  <c r="K12107" i="1"/>
  <c r="J12107" i="1"/>
  <c r="I12107" i="1"/>
  <c r="H12107" i="1"/>
  <c r="G12107" i="1"/>
  <c r="M12106" i="1"/>
  <c r="L12106" i="1"/>
  <c r="K12106" i="1"/>
  <c r="J12106" i="1"/>
  <c r="I12106" i="1"/>
  <c r="H12106" i="1"/>
  <c r="G12106" i="1"/>
  <c r="M12105" i="1"/>
  <c r="L12105" i="1"/>
  <c r="K12105" i="1"/>
  <c r="J12105" i="1"/>
  <c r="I12105" i="1"/>
  <c r="H12105" i="1"/>
  <c r="G12105" i="1"/>
  <c r="M12104" i="1"/>
  <c r="L12104" i="1"/>
  <c r="K12104" i="1"/>
  <c r="J12104" i="1"/>
  <c r="I12104" i="1"/>
  <c r="H12104" i="1"/>
  <c r="G12104" i="1"/>
  <c r="M12103" i="1"/>
  <c r="L12103" i="1"/>
  <c r="K12103" i="1"/>
  <c r="J12103" i="1"/>
  <c r="I12103" i="1"/>
  <c r="H12103" i="1"/>
  <c r="G12103" i="1"/>
  <c r="M12102" i="1"/>
  <c r="L12102" i="1"/>
  <c r="K12102" i="1"/>
  <c r="J12102" i="1"/>
  <c r="I12102" i="1"/>
  <c r="H12102" i="1"/>
  <c r="G12102" i="1"/>
  <c r="M12101" i="1"/>
  <c r="L12101" i="1"/>
  <c r="K12101" i="1"/>
  <c r="J12101" i="1"/>
  <c r="I12101" i="1"/>
  <c r="H12101" i="1"/>
  <c r="G12101" i="1"/>
  <c r="M12100" i="1"/>
  <c r="L12100" i="1"/>
  <c r="K12100" i="1"/>
  <c r="J12100" i="1"/>
  <c r="I12100" i="1"/>
  <c r="H12100" i="1"/>
  <c r="G12100" i="1"/>
  <c r="M12099" i="1"/>
  <c r="L12099" i="1"/>
  <c r="K12099" i="1"/>
  <c r="J12099" i="1"/>
  <c r="I12099" i="1"/>
  <c r="H12099" i="1"/>
  <c r="G12099" i="1"/>
  <c r="M12098" i="1"/>
  <c r="L12098" i="1"/>
  <c r="K12098" i="1"/>
  <c r="J12098" i="1"/>
  <c r="I12098" i="1"/>
  <c r="H12098" i="1"/>
  <c r="G12098" i="1"/>
  <c r="M12097" i="1"/>
  <c r="L12097" i="1"/>
  <c r="K12097" i="1"/>
  <c r="J12097" i="1"/>
  <c r="I12097" i="1"/>
  <c r="H12097" i="1"/>
  <c r="G12097" i="1"/>
  <c r="M12096" i="1"/>
  <c r="L12096" i="1"/>
  <c r="K12096" i="1"/>
  <c r="J12096" i="1"/>
  <c r="I12096" i="1"/>
  <c r="H12096" i="1"/>
  <c r="G12096" i="1"/>
  <c r="M12095" i="1"/>
  <c r="L12095" i="1"/>
  <c r="K12095" i="1"/>
  <c r="J12095" i="1"/>
  <c r="I12095" i="1"/>
  <c r="H12095" i="1"/>
  <c r="G12095" i="1"/>
  <c r="M12094" i="1"/>
  <c r="L12094" i="1"/>
  <c r="K12094" i="1"/>
  <c r="J12094" i="1"/>
  <c r="I12094" i="1"/>
  <c r="H12094" i="1"/>
  <c r="G12094" i="1"/>
  <c r="M12093" i="1"/>
  <c r="L12093" i="1"/>
  <c r="K12093" i="1"/>
  <c r="J12093" i="1"/>
  <c r="I12093" i="1"/>
  <c r="H12093" i="1"/>
  <c r="G12093" i="1"/>
  <c r="M12092" i="1"/>
  <c r="L12092" i="1"/>
  <c r="K12092" i="1"/>
  <c r="J12092" i="1"/>
  <c r="I12092" i="1"/>
  <c r="H12092" i="1"/>
  <c r="G12092" i="1"/>
  <c r="M12091" i="1"/>
  <c r="L12091" i="1"/>
  <c r="K12091" i="1"/>
  <c r="J12091" i="1"/>
  <c r="I12091" i="1"/>
  <c r="H12091" i="1"/>
  <c r="G12091" i="1"/>
  <c r="M12090" i="1"/>
  <c r="L12090" i="1"/>
  <c r="K12090" i="1"/>
  <c r="J12090" i="1"/>
  <c r="I12090" i="1"/>
  <c r="H12090" i="1"/>
  <c r="G12090" i="1"/>
  <c r="M12089" i="1"/>
  <c r="L12089" i="1"/>
  <c r="K12089" i="1"/>
  <c r="J12089" i="1"/>
  <c r="I12089" i="1"/>
  <c r="H12089" i="1"/>
  <c r="G12089" i="1"/>
  <c r="M12088" i="1"/>
  <c r="L12088" i="1"/>
  <c r="K12088" i="1"/>
  <c r="J12088" i="1"/>
  <c r="I12088" i="1"/>
  <c r="H12088" i="1"/>
  <c r="G12088" i="1"/>
  <c r="M12087" i="1"/>
  <c r="L12087" i="1"/>
  <c r="K12087" i="1"/>
  <c r="J12087" i="1"/>
  <c r="I12087" i="1"/>
  <c r="H12087" i="1"/>
  <c r="G12087" i="1"/>
  <c r="M12086" i="1"/>
  <c r="L12086" i="1"/>
  <c r="K12086" i="1"/>
  <c r="J12086" i="1"/>
  <c r="I12086" i="1"/>
  <c r="H12086" i="1"/>
  <c r="G12086" i="1"/>
  <c r="M12085" i="1"/>
  <c r="L12085" i="1"/>
  <c r="K12085" i="1"/>
  <c r="J12085" i="1"/>
  <c r="I12085" i="1"/>
  <c r="H12085" i="1"/>
  <c r="G12085" i="1"/>
  <c r="M12084" i="1"/>
  <c r="L12084" i="1"/>
  <c r="K12084" i="1"/>
  <c r="J12084" i="1"/>
  <c r="I12084" i="1"/>
  <c r="H12084" i="1"/>
  <c r="G12084" i="1"/>
  <c r="M12083" i="1"/>
  <c r="L12083" i="1"/>
  <c r="K12083" i="1"/>
  <c r="J12083" i="1"/>
  <c r="I12083" i="1"/>
  <c r="H12083" i="1"/>
  <c r="G12083" i="1"/>
  <c r="M12082" i="1"/>
  <c r="L12082" i="1"/>
  <c r="K12082" i="1"/>
  <c r="J12082" i="1"/>
  <c r="I12082" i="1"/>
  <c r="H12082" i="1"/>
  <c r="G12082" i="1"/>
  <c r="M12081" i="1"/>
  <c r="L12081" i="1"/>
  <c r="K12081" i="1"/>
  <c r="J12081" i="1"/>
  <c r="I12081" i="1"/>
  <c r="H12081" i="1"/>
  <c r="G12081" i="1"/>
  <c r="M12080" i="1"/>
  <c r="L12080" i="1"/>
  <c r="K12080" i="1"/>
  <c r="J12080" i="1"/>
  <c r="I12080" i="1"/>
  <c r="H12080" i="1"/>
  <c r="G12080" i="1"/>
  <c r="M12079" i="1"/>
  <c r="L12079" i="1"/>
  <c r="K12079" i="1"/>
  <c r="J12079" i="1"/>
  <c r="I12079" i="1"/>
  <c r="H12079" i="1"/>
  <c r="G12079" i="1"/>
  <c r="M12078" i="1"/>
  <c r="L12078" i="1"/>
  <c r="K12078" i="1"/>
  <c r="J12078" i="1"/>
  <c r="I12078" i="1"/>
  <c r="H12078" i="1"/>
  <c r="G12078" i="1"/>
  <c r="M12077" i="1"/>
  <c r="L12077" i="1"/>
  <c r="K12077" i="1"/>
  <c r="J12077" i="1"/>
  <c r="I12077" i="1"/>
  <c r="H12077" i="1"/>
  <c r="G12077" i="1"/>
  <c r="M12076" i="1"/>
  <c r="L12076" i="1"/>
  <c r="K12076" i="1"/>
  <c r="J12076" i="1"/>
  <c r="I12076" i="1"/>
  <c r="H12076" i="1"/>
  <c r="G12076" i="1"/>
  <c r="M12075" i="1"/>
  <c r="L12075" i="1"/>
  <c r="K12075" i="1"/>
  <c r="J12075" i="1"/>
  <c r="I12075" i="1"/>
  <c r="H12075" i="1"/>
  <c r="G12075" i="1"/>
  <c r="M12074" i="1"/>
  <c r="L12074" i="1"/>
  <c r="K12074" i="1"/>
  <c r="J12074" i="1"/>
  <c r="I12074" i="1"/>
  <c r="H12074" i="1"/>
  <c r="G12074" i="1"/>
  <c r="M12073" i="1"/>
  <c r="L12073" i="1"/>
  <c r="K12073" i="1"/>
  <c r="J12073" i="1"/>
  <c r="I12073" i="1"/>
  <c r="H12073" i="1"/>
  <c r="G12073" i="1"/>
  <c r="M12072" i="1"/>
  <c r="L12072" i="1"/>
  <c r="K12072" i="1"/>
  <c r="J12072" i="1"/>
  <c r="I12072" i="1"/>
  <c r="H12072" i="1"/>
  <c r="G12072" i="1"/>
  <c r="M12071" i="1"/>
  <c r="L12071" i="1"/>
  <c r="K12071" i="1"/>
  <c r="J12071" i="1"/>
  <c r="I12071" i="1"/>
  <c r="H12071" i="1"/>
  <c r="G12071" i="1"/>
  <c r="M12070" i="1"/>
  <c r="L12070" i="1"/>
  <c r="K12070" i="1"/>
  <c r="J12070" i="1"/>
  <c r="I12070" i="1"/>
  <c r="H12070" i="1"/>
  <c r="G12070" i="1"/>
  <c r="M12069" i="1"/>
  <c r="L12069" i="1"/>
  <c r="K12069" i="1"/>
  <c r="J12069" i="1"/>
  <c r="I12069" i="1"/>
  <c r="H12069" i="1"/>
  <c r="G12069" i="1"/>
  <c r="M12068" i="1"/>
  <c r="L12068" i="1"/>
  <c r="K12068" i="1"/>
  <c r="J12068" i="1"/>
  <c r="I12068" i="1"/>
  <c r="H12068" i="1"/>
  <c r="G12068" i="1"/>
  <c r="M12067" i="1"/>
  <c r="L12067" i="1"/>
  <c r="K12067" i="1"/>
  <c r="J12067" i="1"/>
  <c r="I12067" i="1"/>
  <c r="H12067" i="1"/>
  <c r="G12067" i="1"/>
  <c r="M12066" i="1"/>
  <c r="L12066" i="1"/>
  <c r="K12066" i="1"/>
  <c r="J12066" i="1"/>
  <c r="I12066" i="1"/>
  <c r="H12066" i="1"/>
  <c r="G12066" i="1"/>
  <c r="M12065" i="1"/>
  <c r="L12065" i="1"/>
  <c r="K12065" i="1"/>
  <c r="J12065" i="1"/>
  <c r="I12065" i="1"/>
  <c r="H12065" i="1"/>
  <c r="G12065" i="1"/>
  <c r="M12064" i="1"/>
  <c r="L12064" i="1"/>
  <c r="K12064" i="1"/>
  <c r="J12064" i="1"/>
  <c r="I12064" i="1"/>
  <c r="H12064" i="1"/>
  <c r="G12064" i="1"/>
  <c r="M12063" i="1"/>
  <c r="L12063" i="1"/>
  <c r="K12063" i="1"/>
  <c r="J12063" i="1"/>
  <c r="I12063" i="1"/>
  <c r="H12063" i="1"/>
  <c r="G12063" i="1"/>
  <c r="M12062" i="1"/>
  <c r="L12062" i="1"/>
  <c r="K12062" i="1"/>
  <c r="J12062" i="1"/>
  <c r="I12062" i="1"/>
  <c r="H12062" i="1"/>
  <c r="G12062" i="1"/>
  <c r="M12061" i="1"/>
  <c r="L12061" i="1"/>
  <c r="K12061" i="1"/>
  <c r="J12061" i="1"/>
  <c r="I12061" i="1"/>
  <c r="H12061" i="1"/>
  <c r="G12061" i="1"/>
  <c r="M12060" i="1"/>
  <c r="L12060" i="1"/>
  <c r="K12060" i="1"/>
  <c r="J12060" i="1"/>
  <c r="I12060" i="1"/>
  <c r="H12060" i="1"/>
  <c r="G12060" i="1"/>
  <c r="M12059" i="1"/>
  <c r="L12059" i="1"/>
  <c r="K12059" i="1"/>
  <c r="J12059" i="1"/>
  <c r="I12059" i="1"/>
  <c r="H12059" i="1"/>
  <c r="G12059" i="1"/>
  <c r="M12058" i="1"/>
  <c r="L12058" i="1"/>
  <c r="K12058" i="1"/>
  <c r="J12058" i="1"/>
  <c r="I12058" i="1"/>
  <c r="H12058" i="1"/>
  <c r="G12058" i="1"/>
  <c r="M12057" i="1"/>
  <c r="L12057" i="1"/>
  <c r="K12057" i="1"/>
  <c r="J12057" i="1"/>
  <c r="I12057" i="1"/>
  <c r="H12057" i="1"/>
  <c r="G12057" i="1"/>
  <c r="M12056" i="1"/>
  <c r="L12056" i="1"/>
  <c r="K12056" i="1"/>
  <c r="J12056" i="1"/>
  <c r="I12056" i="1"/>
  <c r="H12056" i="1"/>
  <c r="G12056" i="1"/>
  <c r="M12055" i="1"/>
  <c r="L12055" i="1"/>
  <c r="K12055" i="1"/>
  <c r="J12055" i="1"/>
  <c r="I12055" i="1"/>
  <c r="H12055" i="1"/>
  <c r="G12055" i="1"/>
  <c r="M12054" i="1"/>
  <c r="L12054" i="1"/>
  <c r="K12054" i="1"/>
  <c r="J12054" i="1"/>
  <c r="I12054" i="1"/>
  <c r="H12054" i="1"/>
  <c r="G12054" i="1"/>
  <c r="M12053" i="1"/>
  <c r="L12053" i="1"/>
  <c r="K12053" i="1"/>
  <c r="J12053" i="1"/>
  <c r="I12053" i="1"/>
  <c r="H12053" i="1"/>
  <c r="G12053" i="1"/>
  <c r="M12052" i="1"/>
  <c r="L12052" i="1"/>
  <c r="K12052" i="1"/>
  <c r="J12052" i="1"/>
  <c r="I12052" i="1"/>
  <c r="H12052" i="1"/>
  <c r="G12052" i="1"/>
  <c r="M12051" i="1"/>
  <c r="L12051" i="1"/>
  <c r="K12051" i="1"/>
  <c r="J12051" i="1"/>
  <c r="I12051" i="1"/>
  <c r="H12051" i="1"/>
  <c r="G12051" i="1"/>
  <c r="M12050" i="1"/>
  <c r="L12050" i="1"/>
  <c r="K12050" i="1"/>
  <c r="J12050" i="1"/>
  <c r="I12050" i="1"/>
  <c r="H12050" i="1"/>
  <c r="G12050" i="1"/>
  <c r="M12049" i="1"/>
  <c r="L12049" i="1"/>
  <c r="K12049" i="1"/>
  <c r="J12049" i="1"/>
  <c r="I12049" i="1"/>
  <c r="H12049" i="1"/>
  <c r="G12049" i="1"/>
  <c r="M12048" i="1"/>
  <c r="L12048" i="1"/>
  <c r="K12048" i="1"/>
  <c r="J12048" i="1"/>
  <c r="I12048" i="1"/>
  <c r="H12048" i="1"/>
  <c r="G12048" i="1"/>
  <c r="M12047" i="1"/>
  <c r="L12047" i="1"/>
  <c r="K12047" i="1"/>
  <c r="J12047" i="1"/>
  <c r="I12047" i="1"/>
  <c r="H12047" i="1"/>
  <c r="G12047" i="1"/>
  <c r="M12046" i="1"/>
  <c r="L12046" i="1"/>
  <c r="K12046" i="1"/>
  <c r="J12046" i="1"/>
  <c r="I12046" i="1"/>
  <c r="H12046" i="1"/>
  <c r="G12046" i="1"/>
  <c r="M12045" i="1"/>
  <c r="L12045" i="1"/>
  <c r="K12045" i="1"/>
  <c r="J12045" i="1"/>
  <c r="I12045" i="1"/>
  <c r="H12045" i="1"/>
  <c r="G12045" i="1"/>
  <c r="M12044" i="1"/>
  <c r="L12044" i="1"/>
  <c r="K12044" i="1"/>
  <c r="J12044" i="1"/>
  <c r="I12044" i="1"/>
  <c r="H12044" i="1"/>
  <c r="G12044" i="1"/>
  <c r="M12043" i="1"/>
  <c r="L12043" i="1"/>
  <c r="K12043" i="1"/>
  <c r="J12043" i="1"/>
  <c r="I12043" i="1"/>
  <c r="H12043" i="1"/>
  <c r="G12043" i="1"/>
  <c r="M12042" i="1"/>
  <c r="L12042" i="1"/>
  <c r="K12042" i="1"/>
  <c r="J12042" i="1"/>
  <c r="I12042" i="1"/>
  <c r="H12042" i="1"/>
  <c r="G12042" i="1"/>
  <c r="M12041" i="1"/>
  <c r="L12041" i="1"/>
  <c r="K12041" i="1"/>
  <c r="J12041" i="1"/>
  <c r="I12041" i="1"/>
  <c r="H12041" i="1"/>
  <c r="G12041" i="1"/>
  <c r="M12040" i="1"/>
  <c r="L12040" i="1"/>
  <c r="K12040" i="1"/>
  <c r="J12040" i="1"/>
  <c r="I12040" i="1"/>
  <c r="H12040" i="1"/>
  <c r="G12040" i="1"/>
  <c r="M12039" i="1"/>
  <c r="L12039" i="1"/>
  <c r="K12039" i="1"/>
  <c r="J12039" i="1"/>
  <c r="I12039" i="1"/>
  <c r="H12039" i="1"/>
  <c r="G12039" i="1"/>
  <c r="M12038" i="1"/>
  <c r="L12038" i="1"/>
  <c r="K12038" i="1"/>
  <c r="J12038" i="1"/>
  <c r="I12038" i="1"/>
  <c r="H12038" i="1"/>
  <c r="G12038" i="1"/>
  <c r="M12037" i="1"/>
  <c r="L12037" i="1"/>
  <c r="K12037" i="1"/>
  <c r="J12037" i="1"/>
  <c r="I12037" i="1"/>
  <c r="H12037" i="1"/>
  <c r="G12037" i="1"/>
  <c r="M12036" i="1"/>
  <c r="L12036" i="1"/>
  <c r="K12036" i="1"/>
  <c r="J12036" i="1"/>
  <c r="I12036" i="1"/>
  <c r="H12036" i="1"/>
  <c r="G12036" i="1"/>
  <c r="M12035" i="1"/>
  <c r="L12035" i="1"/>
  <c r="K12035" i="1"/>
  <c r="J12035" i="1"/>
  <c r="I12035" i="1"/>
  <c r="H12035" i="1"/>
  <c r="G12035" i="1"/>
  <c r="M12034" i="1"/>
  <c r="L12034" i="1"/>
  <c r="K12034" i="1"/>
  <c r="J12034" i="1"/>
  <c r="I12034" i="1"/>
  <c r="H12034" i="1"/>
  <c r="G12034" i="1"/>
  <c r="M12033" i="1"/>
  <c r="L12033" i="1"/>
  <c r="K12033" i="1"/>
  <c r="J12033" i="1"/>
  <c r="I12033" i="1"/>
  <c r="H12033" i="1"/>
  <c r="G12033" i="1"/>
  <c r="M12032" i="1"/>
  <c r="L12032" i="1"/>
  <c r="K12032" i="1"/>
  <c r="J12032" i="1"/>
  <c r="I12032" i="1"/>
  <c r="H12032" i="1"/>
  <c r="G12032" i="1"/>
  <c r="M12031" i="1"/>
  <c r="L12031" i="1"/>
  <c r="K12031" i="1"/>
  <c r="J12031" i="1"/>
  <c r="I12031" i="1"/>
  <c r="H12031" i="1"/>
  <c r="G12031" i="1"/>
  <c r="M12030" i="1"/>
  <c r="L12030" i="1"/>
  <c r="K12030" i="1"/>
  <c r="J12030" i="1"/>
  <c r="I12030" i="1"/>
  <c r="H12030" i="1"/>
  <c r="G12030" i="1"/>
  <c r="M12029" i="1"/>
  <c r="L12029" i="1"/>
  <c r="K12029" i="1"/>
  <c r="J12029" i="1"/>
  <c r="I12029" i="1"/>
  <c r="H12029" i="1"/>
  <c r="G12029" i="1"/>
  <c r="M12028" i="1"/>
  <c r="L12028" i="1"/>
  <c r="K12028" i="1"/>
  <c r="J12028" i="1"/>
  <c r="I12028" i="1"/>
  <c r="H12028" i="1"/>
  <c r="G12028" i="1"/>
  <c r="M12027" i="1"/>
  <c r="L12027" i="1"/>
  <c r="K12027" i="1"/>
  <c r="J12027" i="1"/>
  <c r="I12027" i="1"/>
  <c r="H12027" i="1"/>
  <c r="G12027" i="1"/>
  <c r="M12026" i="1"/>
  <c r="L12026" i="1"/>
  <c r="K12026" i="1"/>
  <c r="J12026" i="1"/>
  <c r="I12026" i="1"/>
  <c r="H12026" i="1"/>
  <c r="G12026" i="1"/>
  <c r="M12025" i="1"/>
  <c r="L12025" i="1"/>
  <c r="K12025" i="1"/>
  <c r="J12025" i="1"/>
  <c r="I12025" i="1"/>
  <c r="H12025" i="1"/>
  <c r="G12025" i="1"/>
  <c r="M12024" i="1"/>
  <c r="L12024" i="1"/>
  <c r="K12024" i="1"/>
  <c r="J12024" i="1"/>
  <c r="I12024" i="1"/>
  <c r="H12024" i="1"/>
  <c r="G12024" i="1"/>
  <c r="M12023" i="1"/>
  <c r="L12023" i="1"/>
  <c r="K12023" i="1"/>
  <c r="J12023" i="1"/>
  <c r="I12023" i="1"/>
  <c r="H12023" i="1"/>
  <c r="G12023" i="1"/>
  <c r="M12022" i="1"/>
  <c r="L12022" i="1"/>
  <c r="K12022" i="1"/>
  <c r="J12022" i="1"/>
  <c r="I12022" i="1"/>
  <c r="H12022" i="1"/>
  <c r="G12022" i="1"/>
  <c r="M12021" i="1"/>
  <c r="L12021" i="1"/>
  <c r="K12021" i="1"/>
  <c r="J12021" i="1"/>
  <c r="I12021" i="1"/>
  <c r="H12021" i="1"/>
  <c r="G12021" i="1"/>
  <c r="M12020" i="1"/>
  <c r="L12020" i="1"/>
  <c r="K12020" i="1"/>
  <c r="J12020" i="1"/>
  <c r="I12020" i="1"/>
  <c r="H12020" i="1"/>
  <c r="G12020" i="1"/>
  <c r="M12019" i="1"/>
  <c r="L12019" i="1"/>
  <c r="K12019" i="1"/>
  <c r="J12019" i="1"/>
  <c r="I12019" i="1"/>
  <c r="H12019" i="1"/>
  <c r="G12019" i="1"/>
  <c r="M12018" i="1"/>
  <c r="L12018" i="1"/>
  <c r="K12018" i="1"/>
  <c r="J12018" i="1"/>
  <c r="I12018" i="1"/>
  <c r="H12018" i="1"/>
  <c r="G12018" i="1"/>
  <c r="M12017" i="1"/>
  <c r="L12017" i="1"/>
  <c r="K12017" i="1"/>
  <c r="J12017" i="1"/>
  <c r="I12017" i="1"/>
  <c r="H12017" i="1"/>
  <c r="G12017" i="1"/>
  <c r="M12016" i="1"/>
  <c r="L12016" i="1"/>
  <c r="K12016" i="1"/>
  <c r="J12016" i="1"/>
  <c r="I12016" i="1"/>
  <c r="H12016" i="1"/>
  <c r="G12016" i="1"/>
  <c r="M12015" i="1"/>
  <c r="L12015" i="1"/>
  <c r="K12015" i="1"/>
  <c r="J12015" i="1"/>
  <c r="I12015" i="1"/>
  <c r="H12015" i="1"/>
  <c r="G12015" i="1"/>
  <c r="M12014" i="1"/>
  <c r="L12014" i="1"/>
  <c r="K12014" i="1"/>
  <c r="J12014" i="1"/>
  <c r="I12014" i="1"/>
  <c r="H12014" i="1"/>
  <c r="G12014" i="1"/>
  <c r="M12013" i="1"/>
  <c r="L12013" i="1"/>
  <c r="K12013" i="1"/>
  <c r="J12013" i="1"/>
  <c r="I12013" i="1"/>
  <c r="H12013" i="1"/>
  <c r="G12013" i="1"/>
  <c r="M12012" i="1"/>
  <c r="L12012" i="1"/>
  <c r="K12012" i="1"/>
  <c r="J12012" i="1"/>
  <c r="I12012" i="1"/>
  <c r="H12012" i="1"/>
  <c r="G12012" i="1"/>
  <c r="M12011" i="1"/>
  <c r="L12011" i="1"/>
  <c r="K12011" i="1"/>
  <c r="J12011" i="1"/>
  <c r="I12011" i="1"/>
  <c r="H12011" i="1"/>
  <c r="G12011" i="1"/>
  <c r="M12010" i="1"/>
  <c r="L12010" i="1"/>
  <c r="K12010" i="1"/>
  <c r="J12010" i="1"/>
  <c r="I12010" i="1"/>
  <c r="H12010" i="1"/>
  <c r="G12010" i="1"/>
  <c r="M12009" i="1"/>
  <c r="L12009" i="1"/>
  <c r="K12009" i="1"/>
  <c r="J12009" i="1"/>
  <c r="I12009" i="1"/>
  <c r="H12009" i="1"/>
  <c r="G12009" i="1"/>
  <c r="M12008" i="1"/>
  <c r="L12008" i="1"/>
  <c r="K12008" i="1"/>
  <c r="J12008" i="1"/>
  <c r="I12008" i="1"/>
  <c r="H12008" i="1"/>
  <c r="G12008" i="1"/>
  <c r="M12007" i="1"/>
  <c r="L12007" i="1"/>
  <c r="K12007" i="1"/>
  <c r="J12007" i="1"/>
  <c r="I12007" i="1"/>
  <c r="H12007" i="1"/>
  <c r="G12007" i="1"/>
  <c r="M12006" i="1"/>
  <c r="L12006" i="1"/>
  <c r="K12006" i="1"/>
  <c r="J12006" i="1"/>
  <c r="I12006" i="1"/>
  <c r="H12006" i="1"/>
  <c r="G12006" i="1"/>
  <c r="M12005" i="1"/>
  <c r="L12005" i="1"/>
  <c r="K12005" i="1"/>
  <c r="J12005" i="1"/>
  <c r="I12005" i="1"/>
  <c r="H12005" i="1"/>
  <c r="G12005" i="1"/>
  <c r="M12004" i="1"/>
  <c r="L12004" i="1"/>
  <c r="K12004" i="1"/>
  <c r="J12004" i="1"/>
  <c r="I12004" i="1"/>
  <c r="H12004" i="1"/>
  <c r="G12004" i="1"/>
  <c r="M12003" i="1"/>
  <c r="L12003" i="1"/>
  <c r="K12003" i="1"/>
  <c r="J12003" i="1"/>
  <c r="I12003" i="1"/>
  <c r="H12003" i="1"/>
  <c r="G12003" i="1"/>
  <c r="M12002" i="1"/>
  <c r="L12002" i="1"/>
  <c r="K12002" i="1"/>
  <c r="J12002" i="1"/>
  <c r="I12002" i="1"/>
  <c r="H12002" i="1"/>
  <c r="G12002" i="1"/>
  <c r="M12001" i="1"/>
  <c r="L12001" i="1"/>
  <c r="K12001" i="1"/>
  <c r="J12001" i="1"/>
  <c r="I12001" i="1"/>
  <c r="H12001" i="1"/>
  <c r="G12001" i="1"/>
  <c r="M12000" i="1"/>
  <c r="L12000" i="1"/>
  <c r="K12000" i="1"/>
  <c r="J12000" i="1"/>
  <c r="I12000" i="1"/>
  <c r="H12000" i="1"/>
  <c r="G12000" i="1"/>
  <c r="M11999" i="1"/>
  <c r="L11999" i="1"/>
  <c r="K11999" i="1"/>
  <c r="J11999" i="1"/>
  <c r="I11999" i="1"/>
  <c r="H11999" i="1"/>
  <c r="G11999" i="1"/>
  <c r="M11998" i="1"/>
  <c r="L11998" i="1"/>
  <c r="K11998" i="1"/>
  <c r="J11998" i="1"/>
  <c r="I11998" i="1"/>
  <c r="H11998" i="1"/>
  <c r="G11998" i="1"/>
  <c r="M11997" i="1"/>
  <c r="L11997" i="1"/>
  <c r="K11997" i="1"/>
  <c r="J11997" i="1"/>
  <c r="I11997" i="1"/>
  <c r="H11997" i="1"/>
  <c r="G11997" i="1"/>
  <c r="M11996" i="1"/>
  <c r="L11996" i="1"/>
  <c r="K11996" i="1"/>
  <c r="J11996" i="1"/>
  <c r="I11996" i="1"/>
  <c r="H11996" i="1"/>
  <c r="G11996" i="1"/>
  <c r="M11995" i="1"/>
  <c r="L11995" i="1"/>
  <c r="K11995" i="1"/>
  <c r="J11995" i="1"/>
  <c r="I11995" i="1"/>
  <c r="H11995" i="1"/>
  <c r="G11995" i="1"/>
  <c r="M11994" i="1"/>
  <c r="L11994" i="1"/>
  <c r="K11994" i="1"/>
  <c r="J11994" i="1"/>
  <c r="I11994" i="1"/>
  <c r="H11994" i="1"/>
  <c r="G11994" i="1"/>
  <c r="M11993" i="1"/>
  <c r="L11993" i="1"/>
  <c r="K11993" i="1"/>
  <c r="J11993" i="1"/>
  <c r="I11993" i="1"/>
  <c r="H11993" i="1"/>
  <c r="G11993" i="1"/>
  <c r="M11992" i="1"/>
  <c r="L11992" i="1"/>
  <c r="K11992" i="1"/>
  <c r="J11992" i="1"/>
  <c r="I11992" i="1"/>
  <c r="H11992" i="1"/>
  <c r="G11992" i="1"/>
  <c r="M11991" i="1"/>
  <c r="L11991" i="1"/>
  <c r="K11991" i="1"/>
  <c r="J11991" i="1"/>
  <c r="I11991" i="1"/>
  <c r="H11991" i="1"/>
  <c r="G11991" i="1"/>
  <c r="M11990" i="1"/>
  <c r="L11990" i="1"/>
  <c r="K11990" i="1"/>
  <c r="J11990" i="1"/>
  <c r="I11990" i="1"/>
  <c r="H11990" i="1"/>
  <c r="G11990" i="1"/>
  <c r="M11989" i="1"/>
  <c r="L11989" i="1"/>
  <c r="K11989" i="1"/>
  <c r="J11989" i="1"/>
  <c r="I11989" i="1"/>
  <c r="H11989" i="1"/>
  <c r="G11989" i="1"/>
  <c r="M11988" i="1"/>
  <c r="L11988" i="1"/>
  <c r="K11988" i="1"/>
  <c r="J11988" i="1"/>
  <c r="I11988" i="1"/>
  <c r="H11988" i="1"/>
  <c r="G11988" i="1"/>
  <c r="M11987" i="1"/>
  <c r="L11987" i="1"/>
  <c r="K11987" i="1"/>
  <c r="J11987" i="1"/>
  <c r="I11987" i="1"/>
  <c r="H11987" i="1"/>
  <c r="G11987" i="1"/>
  <c r="M11986" i="1"/>
  <c r="L11986" i="1"/>
  <c r="K11986" i="1"/>
  <c r="J11986" i="1"/>
  <c r="I11986" i="1"/>
  <c r="H11986" i="1"/>
  <c r="G11986" i="1"/>
  <c r="M11985" i="1"/>
  <c r="L11985" i="1"/>
  <c r="K11985" i="1"/>
  <c r="J11985" i="1"/>
  <c r="I11985" i="1"/>
  <c r="H11985" i="1"/>
  <c r="G11985" i="1"/>
  <c r="M11984" i="1"/>
  <c r="L11984" i="1"/>
  <c r="K11984" i="1"/>
  <c r="J11984" i="1"/>
  <c r="I11984" i="1"/>
  <c r="H11984" i="1"/>
  <c r="G11984" i="1"/>
  <c r="M11983" i="1"/>
  <c r="L11983" i="1"/>
  <c r="K11983" i="1"/>
  <c r="J11983" i="1"/>
  <c r="I11983" i="1"/>
  <c r="H11983" i="1"/>
  <c r="G11983" i="1"/>
  <c r="M11982" i="1"/>
  <c r="L11982" i="1"/>
  <c r="K11982" i="1"/>
  <c r="J11982" i="1"/>
  <c r="I11982" i="1"/>
  <c r="H11982" i="1"/>
  <c r="G11982" i="1"/>
  <c r="M11981" i="1"/>
  <c r="L11981" i="1"/>
  <c r="K11981" i="1"/>
  <c r="J11981" i="1"/>
  <c r="I11981" i="1"/>
  <c r="H11981" i="1"/>
  <c r="G11981" i="1"/>
  <c r="M11980" i="1"/>
  <c r="L11980" i="1"/>
  <c r="K11980" i="1"/>
  <c r="J11980" i="1"/>
  <c r="I11980" i="1"/>
  <c r="H11980" i="1"/>
  <c r="G11980" i="1"/>
  <c r="M11979" i="1"/>
  <c r="L11979" i="1"/>
  <c r="K11979" i="1"/>
  <c r="J11979" i="1"/>
  <c r="I11979" i="1"/>
  <c r="H11979" i="1"/>
  <c r="G11979" i="1"/>
  <c r="M11978" i="1"/>
  <c r="L11978" i="1"/>
  <c r="K11978" i="1"/>
  <c r="J11978" i="1"/>
  <c r="I11978" i="1"/>
  <c r="H11978" i="1"/>
  <c r="G11978" i="1"/>
  <c r="M11977" i="1"/>
  <c r="L11977" i="1"/>
  <c r="K11977" i="1"/>
  <c r="J11977" i="1"/>
  <c r="I11977" i="1"/>
  <c r="H11977" i="1"/>
  <c r="G11977" i="1"/>
  <c r="M11976" i="1"/>
  <c r="L11976" i="1"/>
  <c r="K11976" i="1"/>
  <c r="J11976" i="1"/>
  <c r="I11976" i="1"/>
  <c r="H11976" i="1"/>
  <c r="G11976" i="1"/>
  <c r="M11975" i="1"/>
  <c r="L11975" i="1"/>
  <c r="K11975" i="1"/>
  <c r="J11975" i="1"/>
  <c r="I11975" i="1"/>
  <c r="H11975" i="1"/>
  <c r="G11975" i="1"/>
  <c r="M11974" i="1"/>
  <c r="L11974" i="1"/>
  <c r="K11974" i="1"/>
  <c r="J11974" i="1"/>
  <c r="I11974" i="1"/>
  <c r="H11974" i="1"/>
  <c r="G11974" i="1"/>
  <c r="M11973" i="1"/>
  <c r="L11973" i="1"/>
  <c r="K11973" i="1"/>
  <c r="J11973" i="1"/>
  <c r="I11973" i="1"/>
  <c r="H11973" i="1"/>
  <c r="G11973" i="1"/>
  <c r="M11972" i="1"/>
  <c r="L11972" i="1"/>
  <c r="K11972" i="1"/>
  <c r="J11972" i="1"/>
  <c r="I11972" i="1"/>
  <c r="H11972" i="1"/>
  <c r="G11972" i="1"/>
  <c r="M11971" i="1"/>
  <c r="L11971" i="1"/>
  <c r="K11971" i="1"/>
  <c r="J11971" i="1"/>
  <c r="I11971" i="1"/>
  <c r="H11971" i="1"/>
  <c r="G11971" i="1"/>
  <c r="M11970" i="1"/>
  <c r="L11970" i="1"/>
  <c r="K11970" i="1"/>
  <c r="J11970" i="1"/>
  <c r="I11970" i="1"/>
  <c r="H11970" i="1"/>
  <c r="G11970" i="1"/>
  <c r="M11969" i="1"/>
  <c r="L11969" i="1"/>
  <c r="K11969" i="1"/>
  <c r="J11969" i="1"/>
  <c r="I11969" i="1"/>
  <c r="H11969" i="1"/>
  <c r="G11969" i="1"/>
  <c r="M11968" i="1"/>
  <c r="L11968" i="1"/>
  <c r="K11968" i="1"/>
  <c r="J11968" i="1"/>
  <c r="I11968" i="1"/>
  <c r="H11968" i="1"/>
  <c r="G11968" i="1"/>
  <c r="M11967" i="1"/>
  <c r="L11967" i="1"/>
  <c r="K11967" i="1"/>
  <c r="J11967" i="1"/>
  <c r="I11967" i="1"/>
  <c r="H11967" i="1"/>
  <c r="G11967" i="1"/>
  <c r="M11966" i="1"/>
  <c r="L11966" i="1"/>
  <c r="K11966" i="1"/>
  <c r="J11966" i="1"/>
  <c r="I11966" i="1"/>
  <c r="H11966" i="1"/>
  <c r="G11966" i="1"/>
  <c r="M11965" i="1"/>
  <c r="L11965" i="1"/>
  <c r="K11965" i="1"/>
  <c r="J11965" i="1"/>
  <c r="I11965" i="1"/>
  <c r="H11965" i="1"/>
  <c r="G11965" i="1"/>
  <c r="M11964" i="1"/>
  <c r="L11964" i="1"/>
  <c r="K11964" i="1"/>
  <c r="J11964" i="1"/>
  <c r="I11964" i="1"/>
  <c r="H11964" i="1"/>
  <c r="G11964" i="1"/>
  <c r="M11963" i="1"/>
  <c r="L11963" i="1"/>
  <c r="K11963" i="1"/>
  <c r="J11963" i="1"/>
  <c r="I11963" i="1"/>
  <c r="H11963" i="1"/>
  <c r="G11963" i="1"/>
  <c r="M11962" i="1"/>
  <c r="L11962" i="1"/>
  <c r="K11962" i="1"/>
  <c r="J11962" i="1"/>
  <c r="I11962" i="1"/>
  <c r="H11962" i="1"/>
  <c r="G11962" i="1"/>
  <c r="M11961" i="1"/>
  <c r="L11961" i="1"/>
  <c r="K11961" i="1"/>
  <c r="J11961" i="1"/>
  <c r="I11961" i="1"/>
  <c r="H11961" i="1"/>
  <c r="G11961" i="1"/>
  <c r="M11960" i="1"/>
  <c r="L11960" i="1"/>
  <c r="K11960" i="1"/>
  <c r="J11960" i="1"/>
  <c r="I11960" i="1"/>
  <c r="H11960" i="1"/>
  <c r="G11960" i="1"/>
  <c r="M11959" i="1"/>
  <c r="L11959" i="1"/>
  <c r="K11959" i="1"/>
  <c r="J11959" i="1"/>
  <c r="I11959" i="1"/>
  <c r="H11959" i="1"/>
  <c r="G11959" i="1"/>
  <c r="M11958" i="1"/>
  <c r="L11958" i="1"/>
  <c r="K11958" i="1"/>
  <c r="J11958" i="1"/>
  <c r="I11958" i="1"/>
  <c r="H11958" i="1"/>
  <c r="G11958" i="1"/>
  <c r="M11957" i="1"/>
  <c r="L11957" i="1"/>
  <c r="K11957" i="1"/>
  <c r="J11957" i="1"/>
  <c r="I11957" i="1"/>
  <c r="H11957" i="1"/>
  <c r="G11957" i="1"/>
  <c r="M11956" i="1"/>
  <c r="L11956" i="1"/>
  <c r="K11956" i="1"/>
  <c r="J11956" i="1"/>
  <c r="I11956" i="1"/>
  <c r="H11956" i="1"/>
  <c r="G11956" i="1"/>
  <c r="M11955" i="1"/>
  <c r="L11955" i="1"/>
  <c r="K11955" i="1"/>
  <c r="J11955" i="1"/>
  <c r="I11955" i="1"/>
  <c r="H11955" i="1"/>
  <c r="G11955" i="1"/>
  <c r="M11954" i="1"/>
  <c r="L11954" i="1"/>
  <c r="K11954" i="1"/>
  <c r="J11954" i="1"/>
  <c r="I11954" i="1"/>
  <c r="H11954" i="1"/>
  <c r="G11954" i="1"/>
  <c r="M11953" i="1"/>
  <c r="L11953" i="1"/>
  <c r="K11953" i="1"/>
  <c r="J11953" i="1"/>
  <c r="I11953" i="1"/>
  <c r="H11953" i="1"/>
  <c r="G11953" i="1"/>
  <c r="M11952" i="1"/>
  <c r="L11952" i="1"/>
  <c r="K11952" i="1"/>
  <c r="J11952" i="1"/>
  <c r="I11952" i="1"/>
  <c r="H11952" i="1"/>
  <c r="G11952" i="1"/>
  <c r="M11951" i="1"/>
  <c r="L11951" i="1"/>
  <c r="K11951" i="1"/>
  <c r="J11951" i="1"/>
  <c r="I11951" i="1"/>
  <c r="H11951" i="1"/>
  <c r="G11951" i="1"/>
  <c r="M11950" i="1"/>
  <c r="L11950" i="1"/>
  <c r="K11950" i="1"/>
  <c r="J11950" i="1"/>
  <c r="I11950" i="1"/>
  <c r="H11950" i="1"/>
  <c r="G11950" i="1"/>
  <c r="M11949" i="1"/>
  <c r="L11949" i="1"/>
  <c r="K11949" i="1"/>
  <c r="J11949" i="1"/>
  <c r="I11949" i="1"/>
  <c r="H11949" i="1"/>
  <c r="G11949" i="1"/>
  <c r="M11948" i="1"/>
  <c r="L11948" i="1"/>
  <c r="K11948" i="1"/>
  <c r="J11948" i="1"/>
  <c r="I11948" i="1"/>
  <c r="H11948" i="1"/>
  <c r="G11948" i="1"/>
  <c r="M11947" i="1"/>
  <c r="L11947" i="1"/>
  <c r="K11947" i="1"/>
  <c r="J11947" i="1"/>
  <c r="I11947" i="1"/>
  <c r="H11947" i="1"/>
  <c r="G11947" i="1"/>
  <c r="M11946" i="1"/>
  <c r="L11946" i="1"/>
  <c r="K11946" i="1"/>
  <c r="J11946" i="1"/>
  <c r="I11946" i="1"/>
  <c r="H11946" i="1"/>
  <c r="G11946" i="1"/>
  <c r="M11945" i="1"/>
  <c r="L11945" i="1"/>
  <c r="K11945" i="1"/>
  <c r="J11945" i="1"/>
  <c r="I11945" i="1"/>
  <c r="H11945" i="1"/>
  <c r="G11945" i="1"/>
  <c r="M11944" i="1"/>
  <c r="L11944" i="1"/>
  <c r="K11944" i="1"/>
  <c r="J11944" i="1"/>
  <c r="I11944" i="1"/>
  <c r="H11944" i="1"/>
  <c r="G11944" i="1"/>
  <c r="M11943" i="1"/>
  <c r="L11943" i="1"/>
  <c r="K11943" i="1"/>
  <c r="J11943" i="1"/>
  <c r="I11943" i="1"/>
  <c r="H11943" i="1"/>
  <c r="G11943" i="1"/>
  <c r="M11942" i="1"/>
  <c r="L11942" i="1"/>
  <c r="K11942" i="1"/>
  <c r="J11942" i="1"/>
  <c r="I11942" i="1"/>
  <c r="H11942" i="1"/>
  <c r="G11942" i="1"/>
  <c r="M11941" i="1"/>
  <c r="L11941" i="1"/>
  <c r="K11941" i="1"/>
  <c r="J11941" i="1"/>
  <c r="I11941" i="1"/>
  <c r="H11941" i="1"/>
  <c r="G11941" i="1"/>
  <c r="M11940" i="1"/>
  <c r="L11940" i="1"/>
  <c r="K11940" i="1"/>
  <c r="J11940" i="1"/>
  <c r="I11940" i="1"/>
  <c r="H11940" i="1"/>
  <c r="G11940" i="1"/>
  <c r="M11939" i="1"/>
  <c r="L11939" i="1"/>
  <c r="K11939" i="1"/>
  <c r="J11939" i="1"/>
  <c r="I11939" i="1"/>
  <c r="H11939" i="1"/>
  <c r="G11939" i="1"/>
  <c r="M11938" i="1"/>
  <c r="L11938" i="1"/>
  <c r="K11938" i="1"/>
  <c r="J11938" i="1"/>
  <c r="I11938" i="1"/>
  <c r="H11938" i="1"/>
  <c r="G11938" i="1"/>
  <c r="M11937" i="1"/>
  <c r="L11937" i="1"/>
  <c r="K11937" i="1"/>
  <c r="J11937" i="1"/>
  <c r="I11937" i="1"/>
  <c r="H11937" i="1"/>
  <c r="G11937" i="1"/>
  <c r="M11936" i="1"/>
  <c r="L11936" i="1"/>
  <c r="K11936" i="1"/>
  <c r="J11936" i="1"/>
  <c r="I11936" i="1"/>
  <c r="H11936" i="1"/>
  <c r="G11936" i="1"/>
  <c r="M11935" i="1"/>
  <c r="L11935" i="1"/>
  <c r="K11935" i="1"/>
  <c r="J11935" i="1"/>
  <c r="I11935" i="1"/>
  <c r="H11935" i="1"/>
  <c r="G11935" i="1"/>
  <c r="M11934" i="1"/>
  <c r="L11934" i="1"/>
  <c r="K11934" i="1"/>
  <c r="J11934" i="1"/>
  <c r="I11934" i="1"/>
  <c r="H11934" i="1"/>
  <c r="G11934" i="1"/>
  <c r="M11933" i="1"/>
  <c r="L11933" i="1"/>
  <c r="K11933" i="1"/>
  <c r="J11933" i="1"/>
  <c r="I11933" i="1"/>
  <c r="H11933" i="1"/>
  <c r="G11933" i="1"/>
  <c r="M11932" i="1"/>
  <c r="L11932" i="1"/>
  <c r="K11932" i="1"/>
  <c r="J11932" i="1"/>
  <c r="I11932" i="1"/>
  <c r="H11932" i="1"/>
  <c r="G11932" i="1"/>
  <c r="M11931" i="1"/>
  <c r="L11931" i="1"/>
  <c r="K11931" i="1"/>
  <c r="J11931" i="1"/>
  <c r="I11931" i="1"/>
  <c r="H11931" i="1"/>
  <c r="G11931" i="1"/>
  <c r="M11930" i="1"/>
  <c r="L11930" i="1"/>
  <c r="K11930" i="1"/>
  <c r="J11930" i="1"/>
  <c r="I11930" i="1"/>
  <c r="H11930" i="1"/>
  <c r="G11930" i="1"/>
  <c r="M11929" i="1"/>
  <c r="L11929" i="1"/>
  <c r="K11929" i="1"/>
  <c r="J11929" i="1"/>
  <c r="I11929" i="1"/>
  <c r="H11929" i="1"/>
  <c r="G11929" i="1"/>
  <c r="M11928" i="1"/>
  <c r="L11928" i="1"/>
  <c r="K11928" i="1"/>
  <c r="J11928" i="1"/>
  <c r="I11928" i="1"/>
  <c r="H11928" i="1"/>
  <c r="G11928" i="1"/>
  <c r="M11927" i="1"/>
  <c r="L11927" i="1"/>
  <c r="K11927" i="1"/>
  <c r="J11927" i="1"/>
  <c r="I11927" i="1"/>
  <c r="H11927" i="1"/>
  <c r="G11927" i="1"/>
  <c r="M11926" i="1"/>
  <c r="L11926" i="1"/>
  <c r="K11926" i="1"/>
  <c r="J11926" i="1"/>
  <c r="I11926" i="1"/>
  <c r="H11926" i="1"/>
  <c r="G11926" i="1"/>
  <c r="M11925" i="1"/>
  <c r="L11925" i="1"/>
  <c r="K11925" i="1"/>
  <c r="J11925" i="1"/>
  <c r="I11925" i="1"/>
  <c r="H11925" i="1"/>
  <c r="G11925" i="1"/>
  <c r="M11924" i="1"/>
  <c r="L11924" i="1"/>
  <c r="K11924" i="1"/>
  <c r="J11924" i="1"/>
  <c r="I11924" i="1"/>
  <c r="H11924" i="1"/>
  <c r="G11924" i="1"/>
  <c r="M11923" i="1"/>
  <c r="L11923" i="1"/>
  <c r="K11923" i="1"/>
  <c r="J11923" i="1"/>
  <c r="I11923" i="1"/>
  <c r="H11923" i="1"/>
  <c r="G11923" i="1"/>
  <c r="M11922" i="1"/>
  <c r="L11922" i="1"/>
  <c r="K11922" i="1"/>
  <c r="J11922" i="1"/>
  <c r="I11922" i="1"/>
  <c r="H11922" i="1"/>
  <c r="G11922" i="1"/>
  <c r="M11921" i="1"/>
  <c r="L11921" i="1"/>
  <c r="K11921" i="1"/>
  <c r="J11921" i="1"/>
  <c r="I11921" i="1"/>
  <c r="H11921" i="1"/>
  <c r="G11921" i="1"/>
  <c r="M11920" i="1"/>
  <c r="L11920" i="1"/>
  <c r="K11920" i="1"/>
  <c r="J11920" i="1"/>
  <c r="I11920" i="1"/>
  <c r="H11920" i="1"/>
  <c r="G11920" i="1"/>
  <c r="M11919" i="1"/>
  <c r="L11919" i="1"/>
  <c r="K11919" i="1"/>
  <c r="J11919" i="1"/>
  <c r="I11919" i="1"/>
  <c r="H11919" i="1"/>
  <c r="G11919" i="1"/>
  <c r="M11918" i="1"/>
  <c r="L11918" i="1"/>
  <c r="K11918" i="1"/>
  <c r="J11918" i="1"/>
  <c r="I11918" i="1"/>
  <c r="H11918" i="1"/>
  <c r="G11918" i="1"/>
  <c r="M11917" i="1"/>
  <c r="L11917" i="1"/>
  <c r="K11917" i="1"/>
  <c r="J11917" i="1"/>
  <c r="I11917" i="1"/>
  <c r="H11917" i="1"/>
  <c r="G11917" i="1"/>
  <c r="M11916" i="1"/>
  <c r="L11916" i="1"/>
  <c r="K11916" i="1"/>
  <c r="J11916" i="1"/>
  <c r="I11916" i="1"/>
  <c r="H11916" i="1"/>
  <c r="G11916" i="1"/>
  <c r="M11915" i="1"/>
  <c r="L11915" i="1"/>
  <c r="K11915" i="1"/>
  <c r="J11915" i="1"/>
  <c r="I11915" i="1"/>
  <c r="H11915" i="1"/>
  <c r="G11915" i="1"/>
  <c r="M11914" i="1"/>
  <c r="L11914" i="1"/>
  <c r="K11914" i="1"/>
  <c r="J11914" i="1"/>
  <c r="I11914" i="1"/>
  <c r="H11914" i="1"/>
  <c r="G11914" i="1"/>
  <c r="M11913" i="1"/>
  <c r="L11913" i="1"/>
  <c r="K11913" i="1"/>
  <c r="J11913" i="1"/>
  <c r="I11913" i="1"/>
  <c r="H11913" i="1"/>
  <c r="G11913" i="1"/>
  <c r="M11912" i="1"/>
  <c r="L11912" i="1"/>
  <c r="K11912" i="1"/>
  <c r="J11912" i="1"/>
  <c r="I11912" i="1"/>
  <c r="H11912" i="1"/>
  <c r="G11912" i="1"/>
  <c r="M11911" i="1"/>
  <c r="L11911" i="1"/>
  <c r="K11911" i="1"/>
  <c r="J11911" i="1"/>
  <c r="I11911" i="1"/>
  <c r="H11911" i="1"/>
  <c r="G11911" i="1"/>
  <c r="M11910" i="1"/>
  <c r="L11910" i="1"/>
  <c r="K11910" i="1"/>
  <c r="J11910" i="1"/>
  <c r="I11910" i="1"/>
  <c r="H11910" i="1"/>
  <c r="G11910" i="1"/>
  <c r="M11909" i="1"/>
  <c r="L11909" i="1"/>
  <c r="K11909" i="1"/>
  <c r="J11909" i="1"/>
  <c r="I11909" i="1"/>
  <c r="H11909" i="1"/>
  <c r="G11909" i="1"/>
  <c r="M11908" i="1"/>
  <c r="L11908" i="1"/>
  <c r="K11908" i="1"/>
  <c r="J11908" i="1"/>
  <c r="I11908" i="1"/>
  <c r="H11908" i="1"/>
  <c r="G11908" i="1"/>
  <c r="M11907" i="1"/>
  <c r="L11907" i="1"/>
  <c r="K11907" i="1"/>
  <c r="J11907" i="1"/>
  <c r="I11907" i="1"/>
  <c r="H11907" i="1"/>
  <c r="G11907" i="1"/>
  <c r="M11906" i="1"/>
  <c r="L11906" i="1"/>
  <c r="K11906" i="1"/>
  <c r="J11906" i="1"/>
  <c r="I11906" i="1"/>
  <c r="H11906" i="1"/>
  <c r="G11906" i="1"/>
  <c r="M11905" i="1"/>
  <c r="L11905" i="1"/>
  <c r="K11905" i="1"/>
  <c r="J11905" i="1"/>
  <c r="I11905" i="1"/>
  <c r="H11905" i="1"/>
  <c r="G11905" i="1"/>
  <c r="M11904" i="1"/>
  <c r="L11904" i="1"/>
  <c r="K11904" i="1"/>
  <c r="J11904" i="1"/>
  <c r="I11904" i="1"/>
  <c r="H11904" i="1"/>
  <c r="G11904" i="1"/>
  <c r="M11903" i="1"/>
  <c r="L11903" i="1"/>
  <c r="K11903" i="1"/>
  <c r="J11903" i="1"/>
  <c r="I11903" i="1"/>
  <c r="H11903" i="1"/>
  <c r="G11903" i="1"/>
  <c r="M11902" i="1"/>
  <c r="L11902" i="1"/>
  <c r="K11902" i="1"/>
  <c r="J11902" i="1"/>
  <c r="I11902" i="1"/>
  <c r="H11902" i="1"/>
  <c r="G11902" i="1"/>
  <c r="M11901" i="1"/>
  <c r="L11901" i="1"/>
  <c r="K11901" i="1"/>
  <c r="J11901" i="1"/>
  <c r="I11901" i="1"/>
  <c r="H11901" i="1"/>
  <c r="G11901" i="1"/>
  <c r="M11900" i="1"/>
  <c r="L11900" i="1"/>
  <c r="K11900" i="1"/>
  <c r="J11900" i="1"/>
  <c r="I11900" i="1"/>
  <c r="H11900" i="1"/>
  <c r="G11900" i="1"/>
  <c r="M11899" i="1"/>
  <c r="L11899" i="1"/>
  <c r="K11899" i="1"/>
  <c r="J11899" i="1"/>
  <c r="I11899" i="1"/>
  <c r="H11899" i="1"/>
  <c r="G11899" i="1"/>
  <c r="M11898" i="1"/>
  <c r="L11898" i="1"/>
  <c r="K11898" i="1"/>
  <c r="J11898" i="1"/>
  <c r="I11898" i="1"/>
  <c r="H11898" i="1"/>
  <c r="G11898" i="1"/>
  <c r="M11897" i="1"/>
  <c r="L11897" i="1"/>
  <c r="K11897" i="1"/>
  <c r="J11897" i="1"/>
  <c r="I11897" i="1"/>
  <c r="H11897" i="1"/>
  <c r="G11897" i="1"/>
  <c r="M11896" i="1"/>
  <c r="L11896" i="1"/>
  <c r="K11896" i="1"/>
  <c r="J11896" i="1"/>
  <c r="I11896" i="1"/>
  <c r="H11896" i="1"/>
  <c r="G11896" i="1"/>
  <c r="M11895" i="1"/>
  <c r="L11895" i="1"/>
  <c r="K11895" i="1"/>
  <c r="J11895" i="1"/>
  <c r="I11895" i="1"/>
  <c r="H11895" i="1"/>
  <c r="G11895" i="1"/>
  <c r="M11894" i="1"/>
  <c r="L11894" i="1"/>
  <c r="K11894" i="1"/>
  <c r="J11894" i="1"/>
  <c r="I11894" i="1"/>
  <c r="H11894" i="1"/>
  <c r="G11894" i="1"/>
  <c r="M11893" i="1"/>
  <c r="L11893" i="1"/>
  <c r="K11893" i="1"/>
  <c r="J11893" i="1"/>
  <c r="I11893" i="1"/>
  <c r="H11893" i="1"/>
  <c r="G11893" i="1"/>
  <c r="M11892" i="1"/>
  <c r="L11892" i="1"/>
  <c r="K11892" i="1"/>
  <c r="J11892" i="1"/>
  <c r="I11892" i="1"/>
  <c r="H11892" i="1"/>
  <c r="G11892" i="1"/>
  <c r="M11891" i="1"/>
  <c r="L11891" i="1"/>
  <c r="K11891" i="1"/>
  <c r="J11891" i="1"/>
  <c r="I11891" i="1"/>
  <c r="H11891" i="1"/>
  <c r="G11891" i="1"/>
  <c r="M11890" i="1"/>
  <c r="L11890" i="1"/>
  <c r="K11890" i="1"/>
  <c r="J11890" i="1"/>
  <c r="I11890" i="1"/>
  <c r="H11890" i="1"/>
  <c r="G11890" i="1"/>
  <c r="M11889" i="1"/>
  <c r="L11889" i="1"/>
  <c r="K11889" i="1"/>
  <c r="J11889" i="1"/>
  <c r="I11889" i="1"/>
  <c r="H11889" i="1"/>
  <c r="G11889" i="1"/>
  <c r="M11888" i="1"/>
  <c r="L11888" i="1"/>
  <c r="K11888" i="1"/>
  <c r="J11888" i="1"/>
  <c r="I11888" i="1"/>
  <c r="H11888" i="1"/>
  <c r="G11888" i="1"/>
  <c r="M11887" i="1"/>
  <c r="L11887" i="1"/>
  <c r="K11887" i="1"/>
  <c r="J11887" i="1"/>
  <c r="I11887" i="1"/>
  <c r="H11887" i="1"/>
  <c r="G11887" i="1"/>
  <c r="M11886" i="1"/>
  <c r="L11886" i="1"/>
  <c r="K11886" i="1"/>
  <c r="J11886" i="1"/>
  <c r="I11886" i="1"/>
  <c r="H11886" i="1"/>
  <c r="G11886" i="1"/>
  <c r="M11885" i="1"/>
  <c r="L11885" i="1"/>
  <c r="K11885" i="1"/>
  <c r="J11885" i="1"/>
  <c r="I11885" i="1"/>
  <c r="H11885" i="1"/>
  <c r="G11885" i="1"/>
  <c r="M11884" i="1"/>
  <c r="L11884" i="1"/>
  <c r="K11884" i="1"/>
  <c r="J11884" i="1"/>
  <c r="I11884" i="1"/>
  <c r="H11884" i="1"/>
  <c r="G11884" i="1"/>
  <c r="M11883" i="1"/>
  <c r="L11883" i="1"/>
  <c r="K11883" i="1"/>
  <c r="J11883" i="1"/>
  <c r="I11883" i="1"/>
  <c r="H11883" i="1"/>
  <c r="G11883" i="1"/>
  <c r="M11882" i="1"/>
  <c r="L11882" i="1"/>
  <c r="K11882" i="1"/>
  <c r="J11882" i="1"/>
  <c r="I11882" i="1"/>
  <c r="H11882" i="1"/>
  <c r="G11882" i="1"/>
  <c r="M11881" i="1"/>
  <c r="L11881" i="1"/>
  <c r="K11881" i="1"/>
  <c r="J11881" i="1"/>
  <c r="I11881" i="1"/>
  <c r="H11881" i="1"/>
  <c r="G11881" i="1"/>
  <c r="M11880" i="1"/>
  <c r="L11880" i="1"/>
  <c r="K11880" i="1"/>
  <c r="J11880" i="1"/>
  <c r="I11880" i="1"/>
  <c r="H11880" i="1"/>
  <c r="G11880" i="1"/>
  <c r="M11879" i="1"/>
  <c r="L11879" i="1"/>
  <c r="K11879" i="1"/>
  <c r="J11879" i="1"/>
  <c r="I11879" i="1"/>
  <c r="H11879" i="1"/>
  <c r="G11879" i="1"/>
  <c r="M11878" i="1"/>
  <c r="L11878" i="1"/>
  <c r="K11878" i="1"/>
  <c r="J11878" i="1"/>
  <c r="I11878" i="1"/>
  <c r="H11878" i="1"/>
  <c r="G11878" i="1"/>
  <c r="M11877" i="1"/>
  <c r="L11877" i="1"/>
  <c r="K11877" i="1"/>
  <c r="J11877" i="1"/>
  <c r="I11877" i="1"/>
  <c r="H11877" i="1"/>
  <c r="G11877" i="1"/>
  <c r="M11876" i="1"/>
  <c r="L11876" i="1"/>
  <c r="K11876" i="1"/>
  <c r="J11876" i="1"/>
  <c r="I11876" i="1"/>
  <c r="H11876" i="1"/>
  <c r="G11876" i="1"/>
  <c r="M11875" i="1"/>
  <c r="L11875" i="1"/>
  <c r="K11875" i="1"/>
  <c r="J11875" i="1"/>
  <c r="I11875" i="1"/>
  <c r="H11875" i="1"/>
  <c r="G11875" i="1"/>
  <c r="M11874" i="1"/>
  <c r="L11874" i="1"/>
  <c r="K11874" i="1"/>
  <c r="J11874" i="1"/>
  <c r="I11874" i="1"/>
  <c r="H11874" i="1"/>
  <c r="G11874" i="1"/>
  <c r="M11873" i="1"/>
  <c r="L11873" i="1"/>
  <c r="K11873" i="1"/>
  <c r="J11873" i="1"/>
  <c r="I11873" i="1"/>
  <c r="H11873" i="1"/>
  <c r="G11873" i="1"/>
  <c r="M11872" i="1"/>
  <c r="L11872" i="1"/>
  <c r="K11872" i="1"/>
  <c r="J11872" i="1"/>
  <c r="I11872" i="1"/>
  <c r="H11872" i="1"/>
  <c r="G11872" i="1"/>
  <c r="M11871" i="1"/>
  <c r="L11871" i="1"/>
  <c r="K11871" i="1"/>
  <c r="J11871" i="1"/>
  <c r="I11871" i="1"/>
  <c r="H11871" i="1"/>
  <c r="G11871" i="1"/>
  <c r="M11870" i="1"/>
  <c r="L11870" i="1"/>
  <c r="K11870" i="1"/>
  <c r="J11870" i="1"/>
  <c r="I11870" i="1"/>
  <c r="H11870" i="1"/>
  <c r="G11870" i="1"/>
  <c r="M11869" i="1"/>
  <c r="L11869" i="1"/>
  <c r="K11869" i="1"/>
  <c r="J11869" i="1"/>
  <c r="I11869" i="1"/>
  <c r="H11869" i="1"/>
  <c r="G11869" i="1"/>
  <c r="M11868" i="1"/>
  <c r="L11868" i="1"/>
  <c r="K11868" i="1"/>
  <c r="J11868" i="1"/>
  <c r="I11868" i="1"/>
  <c r="H11868" i="1"/>
  <c r="G11868" i="1"/>
  <c r="M11867" i="1"/>
  <c r="L11867" i="1"/>
  <c r="K11867" i="1"/>
  <c r="J11867" i="1"/>
  <c r="I11867" i="1"/>
  <c r="H11867" i="1"/>
  <c r="G11867" i="1"/>
  <c r="M11866" i="1"/>
  <c r="L11866" i="1"/>
  <c r="K11866" i="1"/>
  <c r="J11866" i="1"/>
  <c r="I11866" i="1"/>
  <c r="H11866" i="1"/>
  <c r="G11866" i="1"/>
  <c r="M11865" i="1"/>
  <c r="L11865" i="1"/>
  <c r="K11865" i="1"/>
  <c r="J11865" i="1"/>
  <c r="I11865" i="1"/>
  <c r="H11865" i="1"/>
  <c r="G11865" i="1"/>
  <c r="M11864" i="1"/>
  <c r="L11864" i="1"/>
  <c r="K11864" i="1"/>
  <c r="J11864" i="1"/>
  <c r="I11864" i="1"/>
  <c r="H11864" i="1"/>
  <c r="G11864" i="1"/>
  <c r="M11863" i="1"/>
  <c r="L11863" i="1"/>
  <c r="K11863" i="1"/>
  <c r="J11863" i="1"/>
  <c r="I11863" i="1"/>
  <c r="H11863" i="1"/>
  <c r="G11863" i="1"/>
  <c r="M11862" i="1"/>
  <c r="L11862" i="1"/>
  <c r="K11862" i="1"/>
  <c r="J11862" i="1"/>
  <c r="I11862" i="1"/>
  <c r="H11862" i="1"/>
  <c r="G11862" i="1"/>
  <c r="M11861" i="1"/>
  <c r="L11861" i="1"/>
  <c r="K11861" i="1"/>
  <c r="J11861" i="1"/>
  <c r="I11861" i="1"/>
  <c r="H11861" i="1"/>
  <c r="G11861" i="1"/>
  <c r="M11860" i="1"/>
  <c r="L11860" i="1"/>
  <c r="K11860" i="1"/>
  <c r="J11860" i="1"/>
  <c r="I11860" i="1"/>
  <c r="H11860" i="1"/>
  <c r="G11860" i="1"/>
  <c r="M11859" i="1"/>
  <c r="L11859" i="1"/>
  <c r="K11859" i="1"/>
  <c r="J11859" i="1"/>
  <c r="I11859" i="1"/>
  <c r="H11859" i="1"/>
  <c r="G11859" i="1"/>
  <c r="M11858" i="1"/>
  <c r="L11858" i="1"/>
  <c r="K11858" i="1"/>
  <c r="J11858" i="1"/>
  <c r="I11858" i="1"/>
  <c r="H11858" i="1"/>
  <c r="G11858" i="1"/>
  <c r="M11857" i="1"/>
  <c r="L11857" i="1"/>
  <c r="K11857" i="1"/>
  <c r="J11857" i="1"/>
  <c r="I11857" i="1"/>
  <c r="H11857" i="1"/>
  <c r="G11857" i="1"/>
  <c r="M11856" i="1"/>
  <c r="L11856" i="1"/>
  <c r="K11856" i="1"/>
  <c r="J11856" i="1"/>
  <c r="I11856" i="1"/>
  <c r="H11856" i="1"/>
  <c r="G11856" i="1"/>
  <c r="M11855" i="1"/>
  <c r="L11855" i="1"/>
  <c r="K11855" i="1"/>
  <c r="J11855" i="1"/>
  <c r="I11855" i="1"/>
  <c r="H11855" i="1"/>
  <c r="G11855" i="1"/>
  <c r="M11854" i="1"/>
  <c r="L11854" i="1"/>
  <c r="K11854" i="1"/>
  <c r="J11854" i="1"/>
  <c r="I11854" i="1"/>
  <c r="H11854" i="1"/>
  <c r="G11854" i="1"/>
  <c r="M11853" i="1"/>
  <c r="L11853" i="1"/>
  <c r="K11853" i="1"/>
  <c r="J11853" i="1"/>
  <c r="I11853" i="1"/>
  <c r="H11853" i="1"/>
  <c r="G11853" i="1"/>
  <c r="M11852" i="1"/>
  <c r="L11852" i="1"/>
  <c r="K11852" i="1"/>
  <c r="J11852" i="1"/>
  <c r="I11852" i="1"/>
  <c r="H11852" i="1"/>
  <c r="G11852" i="1"/>
  <c r="M11851" i="1"/>
  <c r="L11851" i="1"/>
  <c r="K11851" i="1"/>
  <c r="J11851" i="1"/>
  <c r="I11851" i="1"/>
  <c r="H11851" i="1"/>
  <c r="G11851" i="1"/>
  <c r="M11850" i="1"/>
  <c r="L11850" i="1"/>
  <c r="K11850" i="1"/>
  <c r="J11850" i="1"/>
  <c r="I11850" i="1"/>
  <c r="H11850" i="1"/>
  <c r="G11850" i="1"/>
  <c r="M11849" i="1"/>
  <c r="L11849" i="1"/>
  <c r="K11849" i="1"/>
  <c r="J11849" i="1"/>
  <c r="I11849" i="1"/>
  <c r="H11849" i="1"/>
  <c r="G11849" i="1"/>
  <c r="M11848" i="1"/>
  <c r="L11848" i="1"/>
  <c r="K11848" i="1"/>
  <c r="J11848" i="1"/>
  <c r="I11848" i="1"/>
  <c r="H11848" i="1"/>
  <c r="G11848" i="1"/>
  <c r="M11847" i="1"/>
  <c r="L11847" i="1"/>
  <c r="K11847" i="1"/>
  <c r="J11847" i="1"/>
  <c r="I11847" i="1"/>
  <c r="H11847" i="1"/>
  <c r="G11847" i="1"/>
  <c r="M11846" i="1"/>
  <c r="L11846" i="1"/>
  <c r="K11846" i="1"/>
  <c r="J11846" i="1"/>
  <c r="I11846" i="1"/>
  <c r="H11846" i="1"/>
  <c r="G11846" i="1"/>
  <c r="M11845" i="1"/>
  <c r="L11845" i="1"/>
  <c r="K11845" i="1"/>
  <c r="J11845" i="1"/>
  <c r="I11845" i="1"/>
  <c r="H11845" i="1"/>
  <c r="G11845" i="1"/>
  <c r="M11844" i="1"/>
  <c r="L11844" i="1"/>
  <c r="K11844" i="1"/>
  <c r="J11844" i="1"/>
  <c r="I11844" i="1"/>
  <c r="H11844" i="1"/>
  <c r="G11844" i="1"/>
  <c r="M11843" i="1"/>
  <c r="L11843" i="1"/>
  <c r="K11843" i="1"/>
  <c r="J11843" i="1"/>
  <c r="I11843" i="1"/>
  <c r="H11843" i="1"/>
  <c r="G11843" i="1"/>
  <c r="M11842" i="1"/>
  <c r="L11842" i="1"/>
  <c r="K11842" i="1"/>
  <c r="J11842" i="1"/>
  <c r="I11842" i="1"/>
  <c r="H11842" i="1"/>
  <c r="G11842" i="1"/>
  <c r="M11841" i="1"/>
  <c r="L11841" i="1"/>
  <c r="K11841" i="1"/>
  <c r="J11841" i="1"/>
  <c r="I11841" i="1"/>
  <c r="H11841" i="1"/>
  <c r="G11841" i="1"/>
  <c r="M11840" i="1"/>
  <c r="L11840" i="1"/>
  <c r="K11840" i="1"/>
  <c r="J11840" i="1"/>
  <c r="I11840" i="1"/>
  <c r="H11840" i="1"/>
  <c r="G11840" i="1"/>
  <c r="M11839" i="1"/>
  <c r="L11839" i="1"/>
  <c r="K11839" i="1"/>
  <c r="J11839" i="1"/>
  <c r="I11839" i="1"/>
  <c r="H11839" i="1"/>
  <c r="G11839" i="1"/>
  <c r="M11838" i="1"/>
  <c r="L11838" i="1"/>
  <c r="K11838" i="1"/>
  <c r="J11838" i="1"/>
  <c r="I11838" i="1"/>
  <c r="H11838" i="1"/>
  <c r="G11838" i="1"/>
  <c r="M11837" i="1"/>
  <c r="L11837" i="1"/>
  <c r="K11837" i="1"/>
  <c r="J11837" i="1"/>
  <c r="I11837" i="1"/>
  <c r="H11837" i="1"/>
  <c r="G11837" i="1"/>
  <c r="M11836" i="1"/>
  <c r="L11836" i="1"/>
  <c r="K11836" i="1"/>
  <c r="J11836" i="1"/>
  <c r="I11836" i="1"/>
  <c r="H11836" i="1"/>
  <c r="G11836" i="1"/>
  <c r="M11835" i="1"/>
  <c r="L11835" i="1"/>
  <c r="K11835" i="1"/>
  <c r="J11835" i="1"/>
  <c r="I11835" i="1"/>
  <c r="H11835" i="1"/>
  <c r="G11835" i="1"/>
  <c r="M11834" i="1"/>
  <c r="L11834" i="1"/>
  <c r="K11834" i="1"/>
  <c r="J11834" i="1"/>
  <c r="I11834" i="1"/>
  <c r="H11834" i="1"/>
  <c r="G11834" i="1"/>
  <c r="M11833" i="1"/>
  <c r="L11833" i="1"/>
  <c r="K11833" i="1"/>
  <c r="J11833" i="1"/>
  <c r="I11833" i="1"/>
  <c r="H11833" i="1"/>
  <c r="G11833" i="1"/>
  <c r="M11832" i="1"/>
  <c r="L11832" i="1"/>
  <c r="K11832" i="1"/>
  <c r="J11832" i="1"/>
  <c r="I11832" i="1"/>
  <c r="H11832" i="1"/>
  <c r="G11832" i="1"/>
  <c r="M11831" i="1"/>
  <c r="L11831" i="1"/>
  <c r="K11831" i="1"/>
  <c r="J11831" i="1"/>
  <c r="I11831" i="1"/>
  <c r="H11831" i="1"/>
  <c r="G11831" i="1"/>
  <c r="M11830" i="1"/>
  <c r="L11830" i="1"/>
  <c r="K11830" i="1"/>
  <c r="J11830" i="1"/>
  <c r="I11830" i="1"/>
  <c r="H11830" i="1"/>
  <c r="G11830" i="1"/>
  <c r="M11829" i="1"/>
  <c r="L11829" i="1"/>
  <c r="K11829" i="1"/>
  <c r="J11829" i="1"/>
  <c r="I11829" i="1"/>
  <c r="H11829" i="1"/>
  <c r="G11829" i="1"/>
  <c r="M11828" i="1"/>
  <c r="L11828" i="1"/>
  <c r="K11828" i="1"/>
  <c r="J11828" i="1"/>
  <c r="I11828" i="1"/>
  <c r="H11828" i="1"/>
  <c r="G11828" i="1"/>
  <c r="M11827" i="1"/>
  <c r="L11827" i="1"/>
  <c r="K11827" i="1"/>
  <c r="J11827" i="1"/>
  <c r="I11827" i="1"/>
  <c r="H11827" i="1"/>
  <c r="G11827" i="1"/>
  <c r="M11826" i="1"/>
  <c r="L11826" i="1"/>
  <c r="K11826" i="1"/>
  <c r="J11826" i="1"/>
  <c r="I11826" i="1"/>
  <c r="H11826" i="1"/>
  <c r="G11826" i="1"/>
  <c r="M11825" i="1"/>
  <c r="L11825" i="1"/>
  <c r="K11825" i="1"/>
  <c r="J11825" i="1"/>
  <c r="I11825" i="1"/>
  <c r="H11825" i="1"/>
  <c r="G11825" i="1"/>
  <c r="M11824" i="1"/>
  <c r="L11824" i="1"/>
  <c r="K11824" i="1"/>
  <c r="J11824" i="1"/>
  <c r="I11824" i="1"/>
  <c r="H11824" i="1"/>
  <c r="G11824" i="1"/>
  <c r="M11823" i="1"/>
  <c r="L11823" i="1"/>
  <c r="K11823" i="1"/>
  <c r="J11823" i="1"/>
  <c r="I11823" i="1"/>
  <c r="H11823" i="1"/>
  <c r="G11823" i="1"/>
  <c r="M11822" i="1"/>
  <c r="L11822" i="1"/>
  <c r="K11822" i="1"/>
  <c r="J11822" i="1"/>
  <c r="I11822" i="1"/>
  <c r="H11822" i="1"/>
  <c r="G11822" i="1"/>
  <c r="M11821" i="1"/>
  <c r="L11821" i="1"/>
  <c r="K11821" i="1"/>
  <c r="J11821" i="1"/>
  <c r="I11821" i="1"/>
  <c r="H11821" i="1"/>
  <c r="G11821" i="1"/>
  <c r="M11820" i="1"/>
  <c r="L11820" i="1"/>
  <c r="K11820" i="1"/>
  <c r="J11820" i="1"/>
  <c r="I11820" i="1"/>
  <c r="H11820" i="1"/>
  <c r="G11820" i="1"/>
  <c r="M11819" i="1"/>
  <c r="L11819" i="1"/>
  <c r="K11819" i="1"/>
  <c r="J11819" i="1"/>
  <c r="I11819" i="1"/>
  <c r="H11819" i="1"/>
  <c r="G11819" i="1"/>
  <c r="M11818" i="1"/>
  <c r="L11818" i="1"/>
  <c r="K11818" i="1"/>
  <c r="J11818" i="1"/>
  <c r="I11818" i="1"/>
  <c r="H11818" i="1"/>
  <c r="G11818" i="1"/>
  <c r="M11817" i="1"/>
  <c r="L11817" i="1"/>
  <c r="K11817" i="1"/>
  <c r="J11817" i="1"/>
  <c r="I11817" i="1"/>
  <c r="H11817" i="1"/>
  <c r="G11817" i="1"/>
  <c r="M11816" i="1"/>
  <c r="L11816" i="1"/>
  <c r="K11816" i="1"/>
  <c r="J11816" i="1"/>
  <c r="I11816" i="1"/>
  <c r="H11816" i="1"/>
  <c r="G11816" i="1"/>
  <c r="M11815" i="1"/>
  <c r="L11815" i="1"/>
  <c r="K11815" i="1"/>
  <c r="J11815" i="1"/>
  <c r="I11815" i="1"/>
  <c r="H11815" i="1"/>
  <c r="G11815" i="1"/>
  <c r="M11814" i="1"/>
  <c r="L11814" i="1"/>
  <c r="K11814" i="1"/>
  <c r="J11814" i="1"/>
  <c r="I11814" i="1"/>
  <c r="H11814" i="1"/>
  <c r="G11814" i="1"/>
  <c r="M11813" i="1"/>
  <c r="L11813" i="1"/>
  <c r="K11813" i="1"/>
  <c r="J11813" i="1"/>
  <c r="I11813" i="1"/>
  <c r="H11813" i="1"/>
  <c r="G11813" i="1"/>
  <c r="M11812" i="1"/>
  <c r="L11812" i="1"/>
  <c r="K11812" i="1"/>
  <c r="J11812" i="1"/>
  <c r="I11812" i="1"/>
  <c r="H11812" i="1"/>
  <c r="G11812" i="1"/>
  <c r="M11811" i="1"/>
  <c r="L11811" i="1"/>
  <c r="K11811" i="1"/>
  <c r="J11811" i="1"/>
  <c r="I11811" i="1"/>
  <c r="H11811" i="1"/>
  <c r="G11811" i="1"/>
  <c r="M11810" i="1"/>
  <c r="L11810" i="1"/>
  <c r="K11810" i="1"/>
  <c r="J11810" i="1"/>
  <c r="I11810" i="1"/>
  <c r="H11810" i="1"/>
  <c r="G11810" i="1"/>
  <c r="M11809" i="1"/>
  <c r="L11809" i="1"/>
  <c r="K11809" i="1"/>
  <c r="J11809" i="1"/>
  <c r="I11809" i="1"/>
  <c r="H11809" i="1"/>
  <c r="G11809" i="1"/>
  <c r="M11808" i="1"/>
  <c r="L11808" i="1"/>
  <c r="K11808" i="1"/>
  <c r="J11808" i="1"/>
  <c r="I11808" i="1"/>
  <c r="H11808" i="1"/>
  <c r="G11808" i="1"/>
  <c r="M11807" i="1"/>
  <c r="L11807" i="1"/>
  <c r="K11807" i="1"/>
  <c r="J11807" i="1"/>
  <c r="I11807" i="1"/>
  <c r="H11807" i="1"/>
  <c r="G11807" i="1"/>
  <c r="M11806" i="1"/>
  <c r="L11806" i="1"/>
  <c r="K11806" i="1"/>
  <c r="J11806" i="1"/>
  <c r="I11806" i="1"/>
  <c r="H11806" i="1"/>
  <c r="G11806" i="1"/>
  <c r="M11805" i="1"/>
  <c r="L11805" i="1"/>
  <c r="K11805" i="1"/>
  <c r="J11805" i="1"/>
  <c r="I11805" i="1"/>
  <c r="H11805" i="1"/>
  <c r="G11805" i="1"/>
  <c r="M11804" i="1"/>
  <c r="L11804" i="1"/>
  <c r="K11804" i="1"/>
  <c r="J11804" i="1"/>
  <c r="I11804" i="1"/>
  <c r="H11804" i="1"/>
  <c r="G11804" i="1"/>
  <c r="M11803" i="1"/>
  <c r="L11803" i="1"/>
  <c r="K11803" i="1"/>
  <c r="J11803" i="1"/>
  <c r="I11803" i="1"/>
  <c r="H11803" i="1"/>
  <c r="G11803" i="1"/>
  <c r="M11802" i="1"/>
  <c r="L11802" i="1"/>
  <c r="K11802" i="1"/>
  <c r="J11802" i="1"/>
  <c r="I11802" i="1"/>
  <c r="H11802" i="1"/>
  <c r="G11802" i="1"/>
  <c r="M11801" i="1"/>
  <c r="L11801" i="1"/>
  <c r="K11801" i="1"/>
  <c r="J11801" i="1"/>
  <c r="I11801" i="1"/>
  <c r="H11801" i="1"/>
  <c r="G11801" i="1"/>
  <c r="M11800" i="1"/>
  <c r="L11800" i="1"/>
  <c r="K11800" i="1"/>
  <c r="J11800" i="1"/>
  <c r="I11800" i="1"/>
  <c r="H11800" i="1"/>
  <c r="G11800" i="1"/>
  <c r="M11799" i="1"/>
  <c r="L11799" i="1"/>
  <c r="K11799" i="1"/>
  <c r="J11799" i="1"/>
  <c r="I11799" i="1"/>
  <c r="H11799" i="1"/>
  <c r="G11799" i="1"/>
  <c r="M11798" i="1"/>
  <c r="L11798" i="1"/>
  <c r="K11798" i="1"/>
  <c r="J11798" i="1"/>
  <c r="I11798" i="1"/>
  <c r="H11798" i="1"/>
  <c r="G11798" i="1"/>
  <c r="M11797" i="1"/>
  <c r="L11797" i="1"/>
  <c r="K11797" i="1"/>
  <c r="J11797" i="1"/>
  <c r="I11797" i="1"/>
  <c r="H11797" i="1"/>
  <c r="G11797" i="1"/>
  <c r="M11796" i="1"/>
  <c r="L11796" i="1"/>
  <c r="K11796" i="1"/>
  <c r="J11796" i="1"/>
  <c r="I11796" i="1"/>
  <c r="H11796" i="1"/>
  <c r="G11796" i="1"/>
  <c r="M11795" i="1"/>
  <c r="L11795" i="1"/>
  <c r="K11795" i="1"/>
  <c r="J11795" i="1"/>
  <c r="I11795" i="1"/>
  <c r="H11795" i="1"/>
  <c r="G11795" i="1"/>
  <c r="M11794" i="1"/>
  <c r="L11794" i="1"/>
  <c r="K11794" i="1"/>
  <c r="J11794" i="1"/>
  <c r="I11794" i="1"/>
  <c r="H11794" i="1"/>
  <c r="G11794" i="1"/>
  <c r="M11793" i="1"/>
  <c r="L11793" i="1"/>
  <c r="K11793" i="1"/>
  <c r="J11793" i="1"/>
  <c r="I11793" i="1"/>
  <c r="H11793" i="1"/>
  <c r="G11793" i="1"/>
  <c r="M11792" i="1"/>
  <c r="L11792" i="1"/>
  <c r="K11792" i="1"/>
  <c r="J11792" i="1"/>
  <c r="I11792" i="1"/>
  <c r="H11792" i="1"/>
  <c r="G11792" i="1"/>
  <c r="M11791" i="1"/>
  <c r="L11791" i="1"/>
  <c r="K11791" i="1"/>
  <c r="J11791" i="1"/>
  <c r="I11791" i="1"/>
  <c r="H11791" i="1"/>
  <c r="G11791" i="1"/>
  <c r="M11790" i="1"/>
  <c r="L11790" i="1"/>
  <c r="K11790" i="1"/>
  <c r="J11790" i="1"/>
  <c r="I11790" i="1"/>
  <c r="H11790" i="1"/>
  <c r="G11790" i="1"/>
  <c r="M11789" i="1"/>
  <c r="L11789" i="1"/>
  <c r="K11789" i="1"/>
  <c r="J11789" i="1"/>
  <c r="I11789" i="1"/>
  <c r="H11789" i="1"/>
  <c r="G11789" i="1"/>
  <c r="M11788" i="1"/>
  <c r="L11788" i="1"/>
  <c r="K11788" i="1"/>
  <c r="J11788" i="1"/>
  <c r="I11788" i="1"/>
  <c r="H11788" i="1"/>
  <c r="G11788" i="1"/>
  <c r="M11787" i="1"/>
  <c r="L11787" i="1"/>
  <c r="K11787" i="1"/>
  <c r="J11787" i="1"/>
  <c r="I11787" i="1"/>
  <c r="H11787" i="1"/>
  <c r="G11787" i="1"/>
  <c r="M11786" i="1"/>
  <c r="L11786" i="1"/>
  <c r="K11786" i="1"/>
  <c r="J11786" i="1"/>
  <c r="I11786" i="1"/>
  <c r="H11786" i="1"/>
  <c r="G11786" i="1"/>
  <c r="M11785" i="1"/>
  <c r="L11785" i="1"/>
  <c r="K11785" i="1"/>
  <c r="J11785" i="1"/>
  <c r="I11785" i="1"/>
  <c r="H11785" i="1"/>
  <c r="G11785" i="1"/>
  <c r="M11784" i="1"/>
  <c r="L11784" i="1"/>
  <c r="K11784" i="1"/>
  <c r="J11784" i="1"/>
  <c r="I11784" i="1"/>
  <c r="H11784" i="1"/>
  <c r="G11784" i="1"/>
  <c r="M11783" i="1"/>
  <c r="L11783" i="1"/>
  <c r="K11783" i="1"/>
  <c r="J11783" i="1"/>
  <c r="I11783" i="1"/>
  <c r="H11783" i="1"/>
  <c r="G11783" i="1"/>
  <c r="M11782" i="1"/>
  <c r="L11782" i="1"/>
  <c r="K11782" i="1"/>
  <c r="J11782" i="1"/>
  <c r="I11782" i="1"/>
  <c r="H11782" i="1"/>
  <c r="G11782" i="1"/>
  <c r="M11781" i="1"/>
  <c r="L11781" i="1"/>
  <c r="K11781" i="1"/>
  <c r="J11781" i="1"/>
  <c r="I11781" i="1"/>
  <c r="H11781" i="1"/>
  <c r="G11781" i="1"/>
  <c r="M11780" i="1"/>
  <c r="L11780" i="1"/>
  <c r="K11780" i="1"/>
  <c r="J11780" i="1"/>
  <c r="I11780" i="1"/>
  <c r="H11780" i="1"/>
  <c r="G11780" i="1"/>
  <c r="M11779" i="1"/>
  <c r="L11779" i="1"/>
  <c r="K11779" i="1"/>
  <c r="J11779" i="1"/>
  <c r="I11779" i="1"/>
  <c r="H11779" i="1"/>
  <c r="G11779" i="1"/>
  <c r="M11778" i="1"/>
  <c r="L11778" i="1"/>
  <c r="K11778" i="1"/>
  <c r="J11778" i="1"/>
  <c r="I11778" i="1"/>
  <c r="H11778" i="1"/>
  <c r="G11778" i="1"/>
  <c r="M11777" i="1"/>
  <c r="L11777" i="1"/>
  <c r="K11777" i="1"/>
  <c r="J11777" i="1"/>
  <c r="I11777" i="1"/>
  <c r="H11777" i="1"/>
  <c r="G11777" i="1"/>
  <c r="M11776" i="1"/>
  <c r="L11776" i="1"/>
  <c r="K11776" i="1"/>
  <c r="J11776" i="1"/>
  <c r="I11776" i="1"/>
  <c r="H11776" i="1"/>
  <c r="G11776" i="1"/>
  <c r="M11775" i="1"/>
  <c r="L11775" i="1"/>
  <c r="K11775" i="1"/>
  <c r="J11775" i="1"/>
  <c r="I11775" i="1"/>
  <c r="H11775" i="1"/>
  <c r="G11775" i="1"/>
  <c r="M11774" i="1"/>
  <c r="L11774" i="1"/>
  <c r="K11774" i="1"/>
  <c r="J11774" i="1"/>
  <c r="I11774" i="1"/>
  <c r="H11774" i="1"/>
  <c r="G11774" i="1"/>
  <c r="M11773" i="1"/>
  <c r="L11773" i="1"/>
  <c r="K11773" i="1"/>
  <c r="J11773" i="1"/>
  <c r="I11773" i="1"/>
  <c r="H11773" i="1"/>
  <c r="G11773" i="1"/>
  <c r="M11772" i="1"/>
  <c r="L11772" i="1"/>
  <c r="K11772" i="1"/>
  <c r="J11772" i="1"/>
  <c r="I11772" i="1"/>
  <c r="H11772" i="1"/>
  <c r="G11772" i="1"/>
  <c r="M11771" i="1"/>
  <c r="L11771" i="1"/>
  <c r="K11771" i="1"/>
  <c r="J11771" i="1"/>
  <c r="I11771" i="1"/>
  <c r="H11771" i="1"/>
  <c r="G11771" i="1"/>
  <c r="M11770" i="1"/>
  <c r="L11770" i="1"/>
  <c r="K11770" i="1"/>
  <c r="J11770" i="1"/>
  <c r="I11770" i="1"/>
  <c r="H11770" i="1"/>
  <c r="G11770" i="1"/>
  <c r="M11769" i="1"/>
  <c r="L11769" i="1"/>
  <c r="K11769" i="1"/>
  <c r="J11769" i="1"/>
  <c r="I11769" i="1"/>
  <c r="H11769" i="1"/>
  <c r="G11769" i="1"/>
  <c r="M11768" i="1"/>
  <c r="L11768" i="1"/>
  <c r="K11768" i="1"/>
  <c r="J11768" i="1"/>
  <c r="I11768" i="1"/>
  <c r="H11768" i="1"/>
  <c r="G11768" i="1"/>
  <c r="M11767" i="1"/>
  <c r="L11767" i="1"/>
  <c r="K11767" i="1"/>
  <c r="J11767" i="1"/>
  <c r="I11767" i="1"/>
  <c r="H11767" i="1"/>
  <c r="G11767" i="1"/>
  <c r="M11766" i="1"/>
  <c r="L11766" i="1"/>
  <c r="K11766" i="1"/>
  <c r="J11766" i="1"/>
  <c r="I11766" i="1"/>
  <c r="H11766" i="1"/>
  <c r="G11766" i="1"/>
  <c r="M11765" i="1"/>
  <c r="L11765" i="1"/>
  <c r="K11765" i="1"/>
  <c r="J11765" i="1"/>
  <c r="I11765" i="1"/>
  <c r="H11765" i="1"/>
  <c r="G11765" i="1"/>
  <c r="M11764" i="1"/>
  <c r="L11764" i="1"/>
  <c r="K11764" i="1"/>
  <c r="J11764" i="1"/>
  <c r="I11764" i="1"/>
  <c r="H11764" i="1"/>
  <c r="G11764" i="1"/>
  <c r="M11763" i="1"/>
  <c r="L11763" i="1"/>
  <c r="K11763" i="1"/>
  <c r="J11763" i="1"/>
  <c r="I11763" i="1"/>
  <c r="H11763" i="1"/>
  <c r="G11763" i="1"/>
  <c r="M11762" i="1"/>
  <c r="L11762" i="1"/>
  <c r="K11762" i="1"/>
  <c r="J11762" i="1"/>
  <c r="I11762" i="1"/>
  <c r="H11762" i="1"/>
  <c r="G11762" i="1"/>
  <c r="M11761" i="1"/>
  <c r="L11761" i="1"/>
  <c r="K11761" i="1"/>
  <c r="J11761" i="1"/>
  <c r="I11761" i="1"/>
  <c r="H11761" i="1"/>
  <c r="G11761" i="1"/>
  <c r="M11760" i="1"/>
  <c r="L11760" i="1"/>
  <c r="K11760" i="1"/>
  <c r="J11760" i="1"/>
  <c r="I11760" i="1"/>
  <c r="H11760" i="1"/>
  <c r="G11760" i="1"/>
  <c r="M11759" i="1"/>
  <c r="L11759" i="1"/>
  <c r="K11759" i="1"/>
  <c r="J11759" i="1"/>
  <c r="I11759" i="1"/>
  <c r="H11759" i="1"/>
  <c r="G11759" i="1"/>
  <c r="M11758" i="1"/>
  <c r="L11758" i="1"/>
  <c r="K11758" i="1"/>
  <c r="J11758" i="1"/>
  <c r="I11758" i="1"/>
  <c r="H11758" i="1"/>
  <c r="G11758" i="1"/>
  <c r="M11757" i="1"/>
  <c r="L11757" i="1"/>
  <c r="K11757" i="1"/>
  <c r="J11757" i="1"/>
  <c r="I11757" i="1"/>
  <c r="H11757" i="1"/>
  <c r="G11757" i="1"/>
  <c r="M11756" i="1"/>
  <c r="L11756" i="1"/>
  <c r="K11756" i="1"/>
  <c r="J11756" i="1"/>
  <c r="I11756" i="1"/>
  <c r="H11756" i="1"/>
  <c r="G11756" i="1"/>
  <c r="M11755" i="1"/>
  <c r="L11755" i="1"/>
  <c r="K11755" i="1"/>
  <c r="J11755" i="1"/>
  <c r="I11755" i="1"/>
  <c r="H11755" i="1"/>
  <c r="G11755" i="1"/>
  <c r="M11754" i="1"/>
  <c r="L11754" i="1"/>
  <c r="K11754" i="1"/>
  <c r="J11754" i="1"/>
  <c r="I11754" i="1"/>
  <c r="H11754" i="1"/>
  <c r="G11754" i="1"/>
  <c r="M11753" i="1"/>
  <c r="L11753" i="1"/>
  <c r="K11753" i="1"/>
  <c r="J11753" i="1"/>
  <c r="I11753" i="1"/>
  <c r="H11753" i="1"/>
  <c r="G11753" i="1"/>
  <c r="M11752" i="1"/>
  <c r="L11752" i="1"/>
  <c r="K11752" i="1"/>
  <c r="J11752" i="1"/>
  <c r="I11752" i="1"/>
  <c r="H11752" i="1"/>
  <c r="G11752" i="1"/>
  <c r="M11751" i="1"/>
  <c r="L11751" i="1"/>
  <c r="K11751" i="1"/>
  <c r="J11751" i="1"/>
  <c r="I11751" i="1"/>
  <c r="H11751" i="1"/>
  <c r="G11751" i="1"/>
  <c r="M11750" i="1"/>
  <c r="L11750" i="1"/>
  <c r="K11750" i="1"/>
  <c r="J11750" i="1"/>
  <c r="I11750" i="1"/>
  <c r="H11750" i="1"/>
  <c r="G11750" i="1"/>
  <c r="M11749" i="1"/>
  <c r="L11749" i="1"/>
  <c r="K11749" i="1"/>
  <c r="J11749" i="1"/>
  <c r="I11749" i="1"/>
  <c r="H11749" i="1"/>
  <c r="G11749" i="1"/>
  <c r="M11748" i="1"/>
  <c r="L11748" i="1"/>
  <c r="K11748" i="1"/>
  <c r="J11748" i="1"/>
  <c r="I11748" i="1"/>
  <c r="H11748" i="1"/>
  <c r="G11748" i="1"/>
  <c r="M11747" i="1"/>
  <c r="L11747" i="1"/>
  <c r="K11747" i="1"/>
  <c r="J11747" i="1"/>
  <c r="I11747" i="1"/>
  <c r="H11747" i="1"/>
  <c r="G11747" i="1"/>
  <c r="M11746" i="1"/>
  <c r="L11746" i="1"/>
  <c r="K11746" i="1"/>
  <c r="J11746" i="1"/>
  <c r="I11746" i="1"/>
  <c r="H11746" i="1"/>
  <c r="G11746" i="1"/>
  <c r="M11745" i="1"/>
  <c r="L11745" i="1"/>
  <c r="K11745" i="1"/>
  <c r="J11745" i="1"/>
  <c r="I11745" i="1"/>
  <c r="H11745" i="1"/>
  <c r="G11745" i="1"/>
  <c r="M11744" i="1"/>
  <c r="L11744" i="1"/>
  <c r="K11744" i="1"/>
  <c r="J11744" i="1"/>
  <c r="I11744" i="1"/>
  <c r="H11744" i="1"/>
  <c r="G11744" i="1"/>
  <c r="M11743" i="1"/>
  <c r="L11743" i="1"/>
  <c r="K11743" i="1"/>
  <c r="J11743" i="1"/>
  <c r="I11743" i="1"/>
  <c r="H11743" i="1"/>
  <c r="G11743" i="1"/>
  <c r="M11742" i="1"/>
  <c r="L11742" i="1"/>
  <c r="K11742" i="1"/>
  <c r="J11742" i="1"/>
  <c r="I11742" i="1"/>
  <c r="H11742" i="1"/>
  <c r="G11742" i="1"/>
  <c r="M11741" i="1"/>
  <c r="L11741" i="1"/>
  <c r="K11741" i="1"/>
  <c r="J11741" i="1"/>
  <c r="I11741" i="1"/>
  <c r="H11741" i="1"/>
  <c r="G11741" i="1"/>
  <c r="M11740" i="1"/>
  <c r="L11740" i="1"/>
  <c r="K11740" i="1"/>
  <c r="J11740" i="1"/>
  <c r="I11740" i="1"/>
  <c r="H11740" i="1"/>
  <c r="G11740" i="1"/>
  <c r="M11739" i="1"/>
  <c r="L11739" i="1"/>
  <c r="K11739" i="1"/>
  <c r="J11739" i="1"/>
  <c r="I11739" i="1"/>
  <c r="H11739" i="1"/>
  <c r="G11739" i="1"/>
  <c r="M11738" i="1"/>
  <c r="L11738" i="1"/>
  <c r="K11738" i="1"/>
  <c r="J11738" i="1"/>
  <c r="I11738" i="1"/>
  <c r="H11738" i="1"/>
  <c r="G11738" i="1"/>
  <c r="M11737" i="1"/>
  <c r="L11737" i="1"/>
  <c r="K11737" i="1"/>
  <c r="J11737" i="1"/>
  <c r="I11737" i="1"/>
  <c r="H11737" i="1"/>
  <c r="G11737" i="1"/>
  <c r="M11736" i="1"/>
  <c r="L11736" i="1"/>
  <c r="K11736" i="1"/>
  <c r="J11736" i="1"/>
  <c r="I11736" i="1"/>
  <c r="H11736" i="1"/>
  <c r="G11736" i="1"/>
  <c r="M11735" i="1"/>
  <c r="L11735" i="1"/>
  <c r="K11735" i="1"/>
  <c r="J11735" i="1"/>
  <c r="I11735" i="1"/>
  <c r="H11735" i="1"/>
  <c r="G11735" i="1"/>
  <c r="M11734" i="1"/>
  <c r="L11734" i="1"/>
  <c r="K11734" i="1"/>
  <c r="J11734" i="1"/>
  <c r="I11734" i="1"/>
  <c r="H11734" i="1"/>
  <c r="G11734" i="1"/>
  <c r="M11733" i="1"/>
  <c r="L11733" i="1"/>
  <c r="K11733" i="1"/>
  <c r="J11733" i="1"/>
  <c r="I11733" i="1"/>
  <c r="H11733" i="1"/>
  <c r="G11733" i="1"/>
  <c r="M11732" i="1"/>
  <c r="L11732" i="1"/>
  <c r="K11732" i="1"/>
  <c r="J11732" i="1"/>
  <c r="I11732" i="1"/>
  <c r="H11732" i="1"/>
  <c r="G11732" i="1"/>
  <c r="M11731" i="1"/>
  <c r="L11731" i="1"/>
  <c r="K11731" i="1"/>
  <c r="J11731" i="1"/>
  <c r="I11731" i="1"/>
  <c r="H11731" i="1"/>
  <c r="G11731" i="1"/>
  <c r="M11730" i="1"/>
  <c r="L11730" i="1"/>
  <c r="K11730" i="1"/>
  <c r="J11730" i="1"/>
  <c r="I11730" i="1"/>
  <c r="H11730" i="1"/>
  <c r="G11730" i="1"/>
  <c r="M11729" i="1"/>
  <c r="L11729" i="1"/>
  <c r="K11729" i="1"/>
  <c r="J11729" i="1"/>
  <c r="I11729" i="1"/>
  <c r="H11729" i="1"/>
  <c r="G11729" i="1"/>
  <c r="M11728" i="1"/>
  <c r="L11728" i="1"/>
  <c r="K11728" i="1"/>
  <c r="J11728" i="1"/>
  <c r="I11728" i="1"/>
  <c r="H11728" i="1"/>
  <c r="G11728" i="1"/>
  <c r="M11727" i="1"/>
  <c r="L11727" i="1"/>
  <c r="K11727" i="1"/>
  <c r="J11727" i="1"/>
  <c r="I11727" i="1"/>
  <c r="H11727" i="1"/>
  <c r="G11727" i="1"/>
  <c r="M11726" i="1"/>
  <c r="L11726" i="1"/>
  <c r="K11726" i="1"/>
  <c r="J11726" i="1"/>
  <c r="I11726" i="1"/>
  <c r="H11726" i="1"/>
  <c r="G11726" i="1"/>
  <c r="M11725" i="1"/>
  <c r="L11725" i="1"/>
  <c r="K11725" i="1"/>
  <c r="J11725" i="1"/>
  <c r="I11725" i="1"/>
  <c r="H11725" i="1"/>
  <c r="G11725" i="1"/>
  <c r="M11724" i="1"/>
  <c r="L11724" i="1"/>
  <c r="K11724" i="1"/>
  <c r="J11724" i="1"/>
  <c r="I11724" i="1"/>
  <c r="H11724" i="1"/>
  <c r="G11724" i="1"/>
  <c r="M11723" i="1"/>
  <c r="L11723" i="1"/>
  <c r="K11723" i="1"/>
  <c r="J11723" i="1"/>
  <c r="I11723" i="1"/>
  <c r="H11723" i="1"/>
  <c r="G11723" i="1"/>
  <c r="M11722" i="1"/>
  <c r="L11722" i="1"/>
  <c r="K11722" i="1"/>
  <c r="J11722" i="1"/>
  <c r="I11722" i="1"/>
  <c r="H11722" i="1"/>
  <c r="G11722" i="1"/>
  <c r="M11721" i="1"/>
  <c r="L11721" i="1"/>
  <c r="K11721" i="1"/>
  <c r="J11721" i="1"/>
  <c r="I11721" i="1"/>
  <c r="H11721" i="1"/>
  <c r="G11721" i="1"/>
  <c r="M11720" i="1"/>
  <c r="L11720" i="1"/>
  <c r="K11720" i="1"/>
  <c r="J11720" i="1"/>
  <c r="I11720" i="1"/>
  <c r="H11720" i="1"/>
  <c r="G11720" i="1"/>
  <c r="M11719" i="1"/>
  <c r="L11719" i="1"/>
  <c r="K11719" i="1"/>
  <c r="J11719" i="1"/>
  <c r="I11719" i="1"/>
  <c r="H11719" i="1"/>
  <c r="G11719" i="1"/>
  <c r="M11718" i="1"/>
  <c r="L11718" i="1"/>
  <c r="K11718" i="1"/>
  <c r="J11718" i="1"/>
  <c r="I11718" i="1"/>
  <c r="H11718" i="1"/>
  <c r="G11718" i="1"/>
  <c r="M11717" i="1"/>
  <c r="L11717" i="1"/>
  <c r="K11717" i="1"/>
  <c r="J11717" i="1"/>
  <c r="I11717" i="1"/>
  <c r="H11717" i="1"/>
  <c r="G11717" i="1"/>
  <c r="M11716" i="1"/>
  <c r="L11716" i="1"/>
  <c r="K11716" i="1"/>
  <c r="J11716" i="1"/>
  <c r="I11716" i="1"/>
  <c r="H11716" i="1"/>
  <c r="G11716" i="1"/>
  <c r="M11715" i="1"/>
  <c r="L11715" i="1"/>
  <c r="K11715" i="1"/>
  <c r="J11715" i="1"/>
  <c r="I11715" i="1"/>
  <c r="H11715" i="1"/>
  <c r="G11715" i="1"/>
  <c r="M11714" i="1"/>
  <c r="L11714" i="1"/>
  <c r="K11714" i="1"/>
  <c r="J11714" i="1"/>
  <c r="I11714" i="1"/>
  <c r="H11714" i="1"/>
  <c r="G11714" i="1"/>
  <c r="M11713" i="1"/>
  <c r="L11713" i="1"/>
  <c r="K11713" i="1"/>
  <c r="J11713" i="1"/>
  <c r="I11713" i="1"/>
  <c r="H11713" i="1"/>
  <c r="G11713" i="1"/>
  <c r="M11712" i="1"/>
  <c r="L11712" i="1"/>
  <c r="K11712" i="1"/>
  <c r="J11712" i="1"/>
  <c r="I11712" i="1"/>
  <c r="H11712" i="1"/>
  <c r="G11712" i="1"/>
  <c r="M11711" i="1"/>
  <c r="L11711" i="1"/>
  <c r="K11711" i="1"/>
  <c r="J11711" i="1"/>
  <c r="I11711" i="1"/>
  <c r="H11711" i="1"/>
  <c r="G11711" i="1"/>
  <c r="M11710" i="1"/>
  <c r="L11710" i="1"/>
  <c r="K11710" i="1"/>
  <c r="J11710" i="1"/>
  <c r="I11710" i="1"/>
  <c r="H11710" i="1"/>
  <c r="G11710" i="1"/>
  <c r="M11709" i="1"/>
  <c r="L11709" i="1"/>
  <c r="K11709" i="1"/>
  <c r="J11709" i="1"/>
  <c r="I11709" i="1"/>
  <c r="H11709" i="1"/>
  <c r="G11709" i="1"/>
  <c r="M11708" i="1"/>
  <c r="L11708" i="1"/>
  <c r="K11708" i="1"/>
  <c r="J11708" i="1"/>
  <c r="I11708" i="1"/>
  <c r="H11708" i="1"/>
  <c r="G11708" i="1"/>
  <c r="M11707" i="1"/>
  <c r="L11707" i="1"/>
  <c r="K11707" i="1"/>
  <c r="J11707" i="1"/>
  <c r="I11707" i="1"/>
  <c r="H11707" i="1"/>
  <c r="G11707" i="1"/>
  <c r="M11706" i="1"/>
  <c r="L11706" i="1"/>
  <c r="K11706" i="1"/>
  <c r="J11706" i="1"/>
  <c r="I11706" i="1"/>
  <c r="H11706" i="1"/>
  <c r="G11706" i="1"/>
  <c r="M11705" i="1"/>
  <c r="L11705" i="1"/>
  <c r="K11705" i="1"/>
  <c r="J11705" i="1"/>
  <c r="I11705" i="1"/>
  <c r="H11705" i="1"/>
  <c r="G11705" i="1"/>
  <c r="M11704" i="1"/>
  <c r="L11704" i="1"/>
  <c r="K11704" i="1"/>
  <c r="J11704" i="1"/>
  <c r="I11704" i="1"/>
  <c r="H11704" i="1"/>
  <c r="G11704" i="1"/>
  <c r="M11703" i="1"/>
  <c r="L11703" i="1"/>
  <c r="K11703" i="1"/>
  <c r="J11703" i="1"/>
  <c r="I11703" i="1"/>
  <c r="H11703" i="1"/>
  <c r="G11703" i="1"/>
  <c r="M11702" i="1"/>
  <c r="L11702" i="1"/>
  <c r="K11702" i="1"/>
  <c r="J11702" i="1"/>
  <c r="I11702" i="1"/>
  <c r="H11702" i="1"/>
  <c r="G11702" i="1"/>
  <c r="M11701" i="1"/>
  <c r="L11701" i="1"/>
  <c r="K11701" i="1"/>
  <c r="J11701" i="1"/>
  <c r="I11701" i="1"/>
  <c r="H11701" i="1"/>
  <c r="G11701" i="1"/>
  <c r="M11700" i="1"/>
  <c r="L11700" i="1"/>
  <c r="K11700" i="1"/>
  <c r="J11700" i="1"/>
  <c r="I11700" i="1"/>
  <c r="H11700" i="1"/>
  <c r="G11700" i="1"/>
  <c r="M11699" i="1"/>
  <c r="L11699" i="1"/>
  <c r="K11699" i="1"/>
  <c r="J11699" i="1"/>
  <c r="I11699" i="1"/>
  <c r="H11699" i="1"/>
  <c r="G11699" i="1"/>
  <c r="M11698" i="1"/>
  <c r="L11698" i="1"/>
  <c r="K11698" i="1"/>
  <c r="J11698" i="1"/>
  <c r="I11698" i="1"/>
  <c r="H11698" i="1"/>
  <c r="G11698" i="1"/>
  <c r="M11697" i="1"/>
  <c r="L11697" i="1"/>
  <c r="K11697" i="1"/>
  <c r="J11697" i="1"/>
  <c r="I11697" i="1"/>
  <c r="H11697" i="1"/>
  <c r="G11697" i="1"/>
  <c r="M11696" i="1"/>
  <c r="L11696" i="1"/>
  <c r="K11696" i="1"/>
  <c r="J11696" i="1"/>
  <c r="I11696" i="1"/>
  <c r="H11696" i="1"/>
  <c r="G11696" i="1"/>
  <c r="M11695" i="1"/>
  <c r="L11695" i="1"/>
  <c r="K11695" i="1"/>
  <c r="J11695" i="1"/>
  <c r="I11695" i="1"/>
  <c r="H11695" i="1"/>
  <c r="G11695" i="1"/>
  <c r="M11694" i="1"/>
  <c r="L11694" i="1"/>
  <c r="K11694" i="1"/>
  <c r="J11694" i="1"/>
  <c r="I11694" i="1"/>
  <c r="H11694" i="1"/>
  <c r="G11694" i="1"/>
  <c r="M11693" i="1"/>
  <c r="L11693" i="1"/>
  <c r="K11693" i="1"/>
  <c r="J11693" i="1"/>
  <c r="I11693" i="1"/>
  <c r="H11693" i="1"/>
  <c r="G11693" i="1"/>
  <c r="M11692" i="1"/>
  <c r="L11692" i="1"/>
  <c r="K11692" i="1"/>
  <c r="J11692" i="1"/>
  <c r="I11692" i="1"/>
  <c r="H11692" i="1"/>
  <c r="G11692" i="1"/>
  <c r="M11691" i="1"/>
  <c r="L11691" i="1"/>
  <c r="K11691" i="1"/>
  <c r="J11691" i="1"/>
  <c r="I11691" i="1"/>
  <c r="H11691" i="1"/>
  <c r="G11691" i="1"/>
  <c r="M11690" i="1"/>
  <c r="L11690" i="1"/>
  <c r="K11690" i="1"/>
  <c r="J11690" i="1"/>
  <c r="I11690" i="1"/>
  <c r="H11690" i="1"/>
  <c r="G11690" i="1"/>
  <c r="M11689" i="1"/>
  <c r="L11689" i="1"/>
  <c r="K11689" i="1"/>
  <c r="J11689" i="1"/>
  <c r="I11689" i="1"/>
  <c r="H11689" i="1"/>
  <c r="G11689" i="1"/>
  <c r="M11688" i="1"/>
  <c r="L11688" i="1"/>
  <c r="K11688" i="1"/>
  <c r="J11688" i="1"/>
  <c r="I11688" i="1"/>
  <c r="H11688" i="1"/>
  <c r="G11688" i="1"/>
  <c r="M11687" i="1"/>
  <c r="L11687" i="1"/>
  <c r="K11687" i="1"/>
  <c r="J11687" i="1"/>
  <c r="I11687" i="1"/>
  <c r="H11687" i="1"/>
  <c r="G11687" i="1"/>
  <c r="M11686" i="1"/>
  <c r="L11686" i="1"/>
  <c r="K11686" i="1"/>
  <c r="J11686" i="1"/>
  <c r="I11686" i="1"/>
  <c r="H11686" i="1"/>
  <c r="G11686" i="1"/>
  <c r="M11685" i="1"/>
  <c r="L11685" i="1"/>
  <c r="K11685" i="1"/>
  <c r="J11685" i="1"/>
  <c r="I11685" i="1"/>
  <c r="H11685" i="1"/>
  <c r="G11685" i="1"/>
  <c r="M11684" i="1"/>
  <c r="L11684" i="1"/>
  <c r="K11684" i="1"/>
  <c r="J11684" i="1"/>
  <c r="I11684" i="1"/>
  <c r="H11684" i="1"/>
  <c r="G11684" i="1"/>
  <c r="M11683" i="1"/>
  <c r="L11683" i="1"/>
  <c r="K11683" i="1"/>
  <c r="J11683" i="1"/>
  <c r="I11683" i="1"/>
  <c r="H11683" i="1"/>
  <c r="G11683" i="1"/>
  <c r="M11682" i="1"/>
  <c r="L11682" i="1"/>
  <c r="K11682" i="1"/>
  <c r="J11682" i="1"/>
  <c r="I11682" i="1"/>
  <c r="H11682" i="1"/>
  <c r="G11682" i="1"/>
  <c r="M11681" i="1"/>
  <c r="L11681" i="1"/>
  <c r="K11681" i="1"/>
  <c r="J11681" i="1"/>
  <c r="I11681" i="1"/>
  <c r="H11681" i="1"/>
  <c r="G11681" i="1"/>
  <c r="M11680" i="1"/>
  <c r="L11680" i="1"/>
  <c r="K11680" i="1"/>
  <c r="J11680" i="1"/>
  <c r="I11680" i="1"/>
  <c r="H11680" i="1"/>
  <c r="G11680" i="1"/>
  <c r="M11679" i="1"/>
  <c r="L11679" i="1"/>
  <c r="K11679" i="1"/>
  <c r="J11679" i="1"/>
  <c r="I11679" i="1"/>
  <c r="H11679" i="1"/>
  <c r="G11679" i="1"/>
  <c r="M11678" i="1"/>
  <c r="L11678" i="1"/>
  <c r="K11678" i="1"/>
  <c r="J11678" i="1"/>
  <c r="I11678" i="1"/>
  <c r="H11678" i="1"/>
  <c r="G11678" i="1"/>
  <c r="M11677" i="1"/>
  <c r="L11677" i="1"/>
  <c r="K11677" i="1"/>
  <c r="J11677" i="1"/>
  <c r="I11677" i="1"/>
  <c r="H11677" i="1"/>
  <c r="G11677" i="1"/>
  <c r="M11676" i="1"/>
  <c r="L11676" i="1"/>
  <c r="K11676" i="1"/>
  <c r="J11676" i="1"/>
  <c r="I11676" i="1"/>
  <c r="H11676" i="1"/>
  <c r="G11676" i="1"/>
  <c r="M11675" i="1"/>
  <c r="L11675" i="1"/>
  <c r="K11675" i="1"/>
  <c r="J11675" i="1"/>
  <c r="I11675" i="1"/>
  <c r="H11675" i="1"/>
  <c r="G11675" i="1"/>
  <c r="M11674" i="1"/>
  <c r="L11674" i="1"/>
  <c r="K11674" i="1"/>
  <c r="J11674" i="1"/>
  <c r="I11674" i="1"/>
  <c r="H11674" i="1"/>
  <c r="G11674" i="1"/>
  <c r="M11673" i="1"/>
  <c r="L11673" i="1"/>
  <c r="K11673" i="1"/>
  <c r="J11673" i="1"/>
  <c r="I11673" i="1"/>
  <c r="H11673" i="1"/>
  <c r="G11673" i="1"/>
  <c r="M11672" i="1"/>
  <c r="L11672" i="1"/>
  <c r="K11672" i="1"/>
  <c r="J11672" i="1"/>
  <c r="I11672" i="1"/>
  <c r="H11672" i="1"/>
  <c r="G11672" i="1"/>
  <c r="M11671" i="1"/>
  <c r="L11671" i="1"/>
  <c r="K11671" i="1"/>
  <c r="J11671" i="1"/>
  <c r="I11671" i="1"/>
  <c r="H11671" i="1"/>
  <c r="G11671" i="1"/>
  <c r="M11670" i="1"/>
  <c r="L11670" i="1"/>
  <c r="K11670" i="1"/>
  <c r="J11670" i="1"/>
  <c r="I11670" i="1"/>
  <c r="H11670" i="1"/>
  <c r="G11670" i="1"/>
  <c r="M11669" i="1"/>
  <c r="L11669" i="1"/>
  <c r="K11669" i="1"/>
  <c r="J11669" i="1"/>
  <c r="I11669" i="1"/>
  <c r="H11669" i="1"/>
  <c r="G11669" i="1"/>
  <c r="M11668" i="1"/>
  <c r="L11668" i="1"/>
  <c r="K11668" i="1"/>
  <c r="J11668" i="1"/>
  <c r="I11668" i="1"/>
  <c r="H11668" i="1"/>
  <c r="G11668" i="1"/>
  <c r="M11667" i="1"/>
  <c r="L11667" i="1"/>
  <c r="K11667" i="1"/>
  <c r="J11667" i="1"/>
  <c r="I11667" i="1"/>
  <c r="H11667" i="1"/>
  <c r="G11667" i="1"/>
  <c r="M11666" i="1"/>
  <c r="L11666" i="1"/>
  <c r="K11666" i="1"/>
  <c r="J11666" i="1"/>
  <c r="I11666" i="1"/>
  <c r="H11666" i="1"/>
  <c r="G11666" i="1"/>
  <c r="M11665" i="1"/>
  <c r="L11665" i="1"/>
  <c r="K11665" i="1"/>
  <c r="J11665" i="1"/>
  <c r="I11665" i="1"/>
  <c r="H11665" i="1"/>
  <c r="G11665" i="1"/>
  <c r="M11664" i="1"/>
  <c r="L11664" i="1"/>
  <c r="K11664" i="1"/>
  <c r="J11664" i="1"/>
  <c r="I11664" i="1"/>
  <c r="H11664" i="1"/>
  <c r="G11664" i="1"/>
  <c r="M11663" i="1"/>
  <c r="L11663" i="1"/>
  <c r="K11663" i="1"/>
  <c r="J11663" i="1"/>
  <c r="I11663" i="1"/>
  <c r="H11663" i="1"/>
  <c r="G11663" i="1"/>
  <c r="M11662" i="1"/>
  <c r="L11662" i="1"/>
  <c r="K11662" i="1"/>
  <c r="J11662" i="1"/>
  <c r="I11662" i="1"/>
  <c r="H11662" i="1"/>
  <c r="G11662" i="1"/>
  <c r="M11661" i="1"/>
  <c r="L11661" i="1"/>
  <c r="K11661" i="1"/>
  <c r="J11661" i="1"/>
  <c r="I11661" i="1"/>
  <c r="H11661" i="1"/>
  <c r="G11661" i="1"/>
  <c r="M11660" i="1"/>
  <c r="L11660" i="1"/>
  <c r="K11660" i="1"/>
  <c r="J11660" i="1"/>
  <c r="I11660" i="1"/>
  <c r="H11660" i="1"/>
  <c r="G11660" i="1"/>
  <c r="M11659" i="1"/>
  <c r="L11659" i="1"/>
  <c r="K11659" i="1"/>
  <c r="J11659" i="1"/>
  <c r="I11659" i="1"/>
  <c r="H11659" i="1"/>
  <c r="G11659" i="1"/>
  <c r="M11658" i="1"/>
  <c r="L11658" i="1"/>
  <c r="K11658" i="1"/>
  <c r="J11658" i="1"/>
  <c r="I11658" i="1"/>
  <c r="H11658" i="1"/>
  <c r="G11658" i="1"/>
  <c r="M11657" i="1"/>
  <c r="L11657" i="1"/>
  <c r="K11657" i="1"/>
  <c r="J11657" i="1"/>
  <c r="I11657" i="1"/>
  <c r="H11657" i="1"/>
  <c r="G11657" i="1"/>
  <c r="M11656" i="1"/>
  <c r="L11656" i="1"/>
  <c r="K11656" i="1"/>
  <c r="J11656" i="1"/>
  <c r="I11656" i="1"/>
  <c r="H11656" i="1"/>
  <c r="G11656" i="1"/>
  <c r="M11655" i="1"/>
  <c r="L11655" i="1"/>
  <c r="K11655" i="1"/>
  <c r="J11655" i="1"/>
  <c r="I11655" i="1"/>
  <c r="H11655" i="1"/>
  <c r="G11655" i="1"/>
  <c r="M11654" i="1"/>
  <c r="L11654" i="1"/>
  <c r="K11654" i="1"/>
  <c r="J11654" i="1"/>
  <c r="I11654" i="1"/>
  <c r="H11654" i="1"/>
  <c r="G11654" i="1"/>
  <c r="M11653" i="1"/>
  <c r="L11653" i="1"/>
  <c r="K11653" i="1"/>
  <c r="J11653" i="1"/>
  <c r="I11653" i="1"/>
  <c r="H11653" i="1"/>
  <c r="G11653" i="1"/>
  <c r="M11652" i="1"/>
  <c r="L11652" i="1"/>
  <c r="K11652" i="1"/>
  <c r="J11652" i="1"/>
  <c r="I11652" i="1"/>
  <c r="H11652" i="1"/>
  <c r="G11652" i="1"/>
  <c r="M11651" i="1"/>
  <c r="L11651" i="1"/>
  <c r="K11651" i="1"/>
  <c r="J11651" i="1"/>
  <c r="I11651" i="1"/>
  <c r="H11651" i="1"/>
  <c r="G11651" i="1"/>
  <c r="M11650" i="1"/>
  <c r="L11650" i="1"/>
  <c r="K11650" i="1"/>
  <c r="J11650" i="1"/>
  <c r="I11650" i="1"/>
  <c r="H11650" i="1"/>
  <c r="G11650" i="1"/>
  <c r="M11649" i="1"/>
  <c r="L11649" i="1"/>
  <c r="K11649" i="1"/>
  <c r="J11649" i="1"/>
  <c r="I11649" i="1"/>
  <c r="H11649" i="1"/>
  <c r="G11649" i="1"/>
  <c r="M11648" i="1"/>
  <c r="L11648" i="1"/>
  <c r="K11648" i="1"/>
  <c r="J11648" i="1"/>
  <c r="I11648" i="1"/>
  <c r="H11648" i="1"/>
  <c r="G11648" i="1"/>
  <c r="M11647" i="1"/>
  <c r="L11647" i="1"/>
  <c r="K11647" i="1"/>
  <c r="J11647" i="1"/>
  <c r="I11647" i="1"/>
  <c r="H11647" i="1"/>
  <c r="G11647" i="1"/>
  <c r="M11646" i="1"/>
  <c r="L11646" i="1"/>
  <c r="K11646" i="1"/>
  <c r="J11646" i="1"/>
  <c r="I11646" i="1"/>
  <c r="H11646" i="1"/>
  <c r="G11646" i="1"/>
  <c r="M11645" i="1"/>
  <c r="L11645" i="1"/>
  <c r="K11645" i="1"/>
  <c r="J11645" i="1"/>
  <c r="I11645" i="1"/>
  <c r="H11645" i="1"/>
  <c r="G11645" i="1"/>
  <c r="M11644" i="1"/>
  <c r="L11644" i="1"/>
  <c r="K11644" i="1"/>
  <c r="J11644" i="1"/>
  <c r="I11644" i="1"/>
  <c r="H11644" i="1"/>
  <c r="G11644" i="1"/>
  <c r="M11643" i="1"/>
  <c r="L11643" i="1"/>
  <c r="K11643" i="1"/>
  <c r="J11643" i="1"/>
  <c r="I11643" i="1"/>
  <c r="H11643" i="1"/>
  <c r="G11643" i="1"/>
  <c r="M11642" i="1"/>
  <c r="L11642" i="1"/>
  <c r="K11642" i="1"/>
  <c r="J11642" i="1"/>
  <c r="I11642" i="1"/>
  <c r="H11642" i="1"/>
  <c r="G11642" i="1"/>
  <c r="M11641" i="1"/>
  <c r="L11641" i="1"/>
  <c r="K11641" i="1"/>
  <c r="J11641" i="1"/>
  <c r="I11641" i="1"/>
  <c r="H11641" i="1"/>
  <c r="G11641" i="1"/>
  <c r="M11640" i="1"/>
  <c r="L11640" i="1"/>
  <c r="K11640" i="1"/>
  <c r="J11640" i="1"/>
  <c r="I11640" i="1"/>
  <c r="H11640" i="1"/>
  <c r="G11640" i="1"/>
  <c r="M11639" i="1"/>
  <c r="L11639" i="1"/>
  <c r="K11639" i="1"/>
  <c r="J11639" i="1"/>
  <c r="I11639" i="1"/>
  <c r="H11639" i="1"/>
  <c r="G11639" i="1"/>
  <c r="M11638" i="1"/>
  <c r="L11638" i="1"/>
  <c r="K11638" i="1"/>
  <c r="J11638" i="1"/>
  <c r="I11638" i="1"/>
  <c r="H11638" i="1"/>
  <c r="G11638" i="1"/>
  <c r="M11637" i="1"/>
  <c r="L11637" i="1"/>
  <c r="K11637" i="1"/>
  <c r="J11637" i="1"/>
  <c r="I11637" i="1"/>
  <c r="H11637" i="1"/>
  <c r="G11637" i="1"/>
  <c r="M11636" i="1"/>
  <c r="L11636" i="1"/>
  <c r="K11636" i="1"/>
  <c r="J11636" i="1"/>
  <c r="I11636" i="1"/>
  <c r="H11636" i="1"/>
  <c r="G11636" i="1"/>
  <c r="M11635" i="1"/>
  <c r="L11635" i="1"/>
  <c r="K11635" i="1"/>
  <c r="J11635" i="1"/>
  <c r="I11635" i="1"/>
  <c r="H11635" i="1"/>
  <c r="G11635" i="1"/>
  <c r="M11634" i="1"/>
  <c r="L11634" i="1"/>
  <c r="K11634" i="1"/>
  <c r="J11634" i="1"/>
  <c r="I11634" i="1"/>
  <c r="H11634" i="1"/>
  <c r="G11634" i="1"/>
  <c r="M11633" i="1"/>
  <c r="L11633" i="1"/>
  <c r="K11633" i="1"/>
  <c r="J11633" i="1"/>
  <c r="I11633" i="1"/>
  <c r="H11633" i="1"/>
  <c r="G11633" i="1"/>
  <c r="M11632" i="1"/>
  <c r="L11632" i="1"/>
  <c r="K11632" i="1"/>
  <c r="J11632" i="1"/>
  <c r="I11632" i="1"/>
  <c r="H11632" i="1"/>
  <c r="G11632" i="1"/>
  <c r="M11631" i="1"/>
  <c r="L11631" i="1"/>
  <c r="K11631" i="1"/>
  <c r="J11631" i="1"/>
  <c r="I11631" i="1"/>
  <c r="H11631" i="1"/>
  <c r="G11631" i="1"/>
  <c r="M11630" i="1"/>
  <c r="L11630" i="1"/>
  <c r="K11630" i="1"/>
  <c r="J11630" i="1"/>
  <c r="I11630" i="1"/>
  <c r="H11630" i="1"/>
  <c r="G11630" i="1"/>
  <c r="M11629" i="1"/>
  <c r="L11629" i="1"/>
  <c r="K11629" i="1"/>
  <c r="J11629" i="1"/>
  <c r="I11629" i="1"/>
  <c r="H11629" i="1"/>
  <c r="G11629" i="1"/>
  <c r="M11628" i="1"/>
  <c r="L11628" i="1"/>
  <c r="K11628" i="1"/>
  <c r="J11628" i="1"/>
  <c r="I11628" i="1"/>
  <c r="H11628" i="1"/>
  <c r="G11628" i="1"/>
  <c r="M11627" i="1"/>
  <c r="L11627" i="1"/>
  <c r="K11627" i="1"/>
  <c r="J11627" i="1"/>
  <c r="I11627" i="1"/>
  <c r="H11627" i="1"/>
  <c r="G11627" i="1"/>
  <c r="M11626" i="1"/>
  <c r="L11626" i="1"/>
  <c r="K11626" i="1"/>
  <c r="J11626" i="1"/>
  <c r="I11626" i="1"/>
  <c r="H11626" i="1"/>
  <c r="G11626" i="1"/>
  <c r="M11625" i="1"/>
  <c r="L11625" i="1"/>
  <c r="K11625" i="1"/>
  <c r="J11625" i="1"/>
  <c r="I11625" i="1"/>
  <c r="H11625" i="1"/>
  <c r="G11625" i="1"/>
  <c r="M11624" i="1"/>
  <c r="L11624" i="1"/>
  <c r="K11624" i="1"/>
  <c r="J11624" i="1"/>
  <c r="I11624" i="1"/>
  <c r="H11624" i="1"/>
  <c r="G11624" i="1"/>
  <c r="M11623" i="1"/>
  <c r="L11623" i="1"/>
  <c r="K11623" i="1"/>
  <c r="J11623" i="1"/>
  <c r="I11623" i="1"/>
  <c r="H11623" i="1"/>
  <c r="G11623" i="1"/>
  <c r="M11622" i="1"/>
  <c r="L11622" i="1"/>
  <c r="K11622" i="1"/>
  <c r="J11622" i="1"/>
  <c r="I11622" i="1"/>
  <c r="H11622" i="1"/>
  <c r="G11622" i="1"/>
  <c r="M11621" i="1"/>
  <c r="L11621" i="1"/>
  <c r="K11621" i="1"/>
  <c r="J11621" i="1"/>
  <c r="I11621" i="1"/>
  <c r="H11621" i="1"/>
  <c r="G11621" i="1"/>
  <c r="M11620" i="1"/>
  <c r="L11620" i="1"/>
  <c r="K11620" i="1"/>
  <c r="J11620" i="1"/>
  <c r="I11620" i="1"/>
  <c r="H11620" i="1"/>
  <c r="G11620" i="1"/>
  <c r="M11619" i="1"/>
  <c r="L11619" i="1"/>
  <c r="K11619" i="1"/>
  <c r="J11619" i="1"/>
  <c r="I11619" i="1"/>
  <c r="H11619" i="1"/>
  <c r="G11619" i="1"/>
  <c r="M11618" i="1"/>
  <c r="L11618" i="1"/>
  <c r="K11618" i="1"/>
  <c r="J11618" i="1"/>
  <c r="I11618" i="1"/>
  <c r="H11618" i="1"/>
  <c r="G11618" i="1"/>
  <c r="M11617" i="1"/>
  <c r="L11617" i="1"/>
  <c r="K11617" i="1"/>
  <c r="J11617" i="1"/>
  <c r="I11617" i="1"/>
  <c r="H11617" i="1"/>
  <c r="G11617" i="1"/>
  <c r="M11616" i="1"/>
  <c r="L11616" i="1"/>
  <c r="K11616" i="1"/>
  <c r="J11616" i="1"/>
  <c r="I11616" i="1"/>
  <c r="H11616" i="1"/>
  <c r="G11616" i="1"/>
  <c r="M11615" i="1"/>
  <c r="L11615" i="1"/>
  <c r="K11615" i="1"/>
  <c r="J11615" i="1"/>
  <c r="I11615" i="1"/>
  <c r="H11615" i="1"/>
  <c r="G11615" i="1"/>
  <c r="M11614" i="1"/>
  <c r="L11614" i="1"/>
  <c r="K11614" i="1"/>
  <c r="J11614" i="1"/>
  <c r="I11614" i="1"/>
  <c r="H11614" i="1"/>
  <c r="G11614" i="1"/>
  <c r="M11613" i="1"/>
  <c r="L11613" i="1"/>
  <c r="K11613" i="1"/>
  <c r="J11613" i="1"/>
  <c r="I11613" i="1"/>
  <c r="H11613" i="1"/>
  <c r="G11613" i="1"/>
  <c r="M11612" i="1"/>
  <c r="L11612" i="1"/>
  <c r="K11612" i="1"/>
  <c r="J11612" i="1"/>
  <c r="I11612" i="1"/>
  <c r="H11612" i="1"/>
  <c r="G11612" i="1"/>
  <c r="M11611" i="1"/>
  <c r="L11611" i="1"/>
  <c r="K11611" i="1"/>
  <c r="J11611" i="1"/>
  <c r="I11611" i="1"/>
  <c r="H11611" i="1"/>
  <c r="G11611" i="1"/>
  <c r="M11610" i="1"/>
  <c r="L11610" i="1"/>
  <c r="K11610" i="1"/>
  <c r="J11610" i="1"/>
  <c r="I11610" i="1"/>
  <c r="H11610" i="1"/>
  <c r="G11610" i="1"/>
  <c r="M11609" i="1"/>
  <c r="L11609" i="1"/>
  <c r="K11609" i="1"/>
  <c r="J11609" i="1"/>
  <c r="I11609" i="1"/>
  <c r="H11609" i="1"/>
  <c r="G11609" i="1"/>
  <c r="M11608" i="1"/>
  <c r="L11608" i="1"/>
  <c r="K11608" i="1"/>
  <c r="J11608" i="1"/>
  <c r="I11608" i="1"/>
  <c r="H11608" i="1"/>
  <c r="G11608" i="1"/>
  <c r="M11607" i="1"/>
  <c r="L11607" i="1"/>
  <c r="K11607" i="1"/>
  <c r="J11607" i="1"/>
  <c r="I11607" i="1"/>
  <c r="H11607" i="1"/>
  <c r="G11607" i="1"/>
  <c r="M11606" i="1"/>
  <c r="L11606" i="1"/>
  <c r="K11606" i="1"/>
  <c r="J11606" i="1"/>
  <c r="I11606" i="1"/>
  <c r="H11606" i="1"/>
  <c r="G11606" i="1"/>
  <c r="M11605" i="1"/>
  <c r="L11605" i="1"/>
  <c r="K11605" i="1"/>
  <c r="J11605" i="1"/>
  <c r="I11605" i="1"/>
  <c r="H11605" i="1"/>
  <c r="G11605" i="1"/>
  <c r="M11604" i="1"/>
  <c r="L11604" i="1"/>
  <c r="K11604" i="1"/>
  <c r="J11604" i="1"/>
  <c r="I11604" i="1"/>
  <c r="H11604" i="1"/>
  <c r="G11604" i="1"/>
  <c r="M11603" i="1"/>
  <c r="L11603" i="1"/>
  <c r="K11603" i="1"/>
  <c r="J11603" i="1"/>
  <c r="I11603" i="1"/>
  <c r="H11603" i="1"/>
  <c r="G11603" i="1"/>
  <c r="M11602" i="1"/>
  <c r="L11602" i="1"/>
  <c r="K11602" i="1"/>
  <c r="J11602" i="1"/>
  <c r="I11602" i="1"/>
  <c r="H11602" i="1"/>
  <c r="G11602" i="1"/>
  <c r="M11601" i="1"/>
  <c r="L11601" i="1"/>
  <c r="K11601" i="1"/>
  <c r="J11601" i="1"/>
  <c r="I11601" i="1"/>
  <c r="H11601" i="1"/>
  <c r="G11601" i="1"/>
  <c r="M11600" i="1"/>
  <c r="L11600" i="1"/>
  <c r="K11600" i="1"/>
  <c r="J11600" i="1"/>
  <c r="I11600" i="1"/>
  <c r="H11600" i="1"/>
  <c r="G11600" i="1"/>
  <c r="M11599" i="1"/>
  <c r="L11599" i="1"/>
  <c r="K11599" i="1"/>
  <c r="J11599" i="1"/>
  <c r="I11599" i="1"/>
  <c r="H11599" i="1"/>
  <c r="G11599" i="1"/>
  <c r="M11598" i="1"/>
  <c r="L11598" i="1"/>
  <c r="K11598" i="1"/>
  <c r="J11598" i="1"/>
  <c r="I11598" i="1"/>
  <c r="H11598" i="1"/>
  <c r="G11598" i="1"/>
  <c r="M11597" i="1"/>
  <c r="L11597" i="1"/>
  <c r="K11597" i="1"/>
  <c r="J11597" i="1"/>
  <c r="I11597" i="1"/>
  <c r="H11597" i="1"/>
  <c r="G11597" i="1"/>
  <c r="M11596" i="1"/>
  <c r="L11596" i="1"/>
  <c r="K11596" i="1"/>
  <c r="J11596" i="1"/>
  <c r="I11596" i="1"/>
  <c r="H11596" i="1"/>
  <c r="G11596" i="1"/>
  <c r="M11595" i="1"/>
  <c r="L11595" i="1"/>
  <c r="K11595" i="1"/>
  <c r="J11595" i="1"/>
  <c r="I11595" i="1"/>
  <c r="H11595" i="1"/>
  <c r="G11595" i="1"/>
  <c r="M11594" i="1"/>
  <c r="L11594" i="1"/>
  <c r="K11594" i="1"/>
  <c r="J11594" i="1"/>
  <c r="I11594" i="1"/>
  <c r="H11594" i="1"/>
  <c r="G11594" i="1"/>
  <c r="M11593" i="1"/>
  <c r="L11593" i="1"/>
  <c r="K11593" i="1"/>
  <c r="J11593" i="1"/>
  <c r="I11593" i="1"/>
  <c r="H11593" i="1"/>
  <c r="G11593" i="1"/>
  <c r="M11592" i="1"/>
  <c r="L11592" i="1"/>
  <c r="K11592" i="1"/>
  <c r="J11592" i="1"/>
  <c r="I11592" i="1"/>
  <c r="H11592" i="1"/>
  <c r="G11592" i="1"/>
  <c r="M11591" i="1"/>
  <c r="L11591" i="1"/>
  <c r="K11591" i="1"/>
  <c r="J11591" i="1"/>
  <c r="I11591" i="1"/>
  <c r="H11591" i="1"/>
  <c r="G11591" i="1"/>
  <c r="M11590" i="1"/>
  <c r="L11590" i="1"/>
  <c r="K11590" i="1"/>
  <c r="J11590" i="1"/>
  <c r="I11590" i="1"/>
  <c r="H11590" i="1"/>
  <c r="G11590" i="1"/>
  <c r="M11589" i="1"/>
  <c r="L11589" i="1"/>
  <c r="K11589" i="1"/>
  <c r="J11589" i="1"/>
  <c r="I11589" i="1"/>
  <c r="H11589" i="1"/>
  <c r="G11589" i="1"/>
  <c r="M11588" i="1"/>
  <c r="L11588" i="1"/>
  <c r="K11588" i="1"/>
  <c r="J11588" i="1"/>
  <c r="I11588" i="1"/>
  <c r="H11588" i="1"/>
  <c r="G11588" i="1"/>
  <c r="M11587" i="1"/>
  <c r="L11587" i="1"/>
  <c r="K11587" i="1"/>
  <c r="J11587" i="1"/>
  <c r="I11587" i="1"/>
  <c r="H11587" i="1"/>
  <c r="G11587" i="1"/>
  <c r="M11586" i="1"/>
  <c r="L11586" i="1"/>
  <c r="K11586" i="1"/>
  <c r="J11586" i="1"/>
  <c r="I11586" i="1"/>
  <c r="H11586" i="1"/>
  <c r="G11586" i="1"/>
  <c r="M11585" i="1"/>
  <c r="L11585" i="1"/>
  <c r="K11585" i="1"/>
  <c r="J11585" i="1"/>
  <c r="I11585" i="1"/>
  <c r="H11585" i="1"/>
  <c r="G11585" i="1"/>
  <c r="M11584" i="1"/>
  <c r="L11584" i="1"/>
  <c r="K11584" i="1"/>
  <c r="J11584" i="1"/>
  <c r="I11584" i="1"/>
  <c r="H11584" i="1"/>
  <c r="G11584" i="1"/>
  <c r="M11583" i="1"/>
  <c r="L11583" i="1"/>
  <c r="K11583" i="1"/>
  <c r="J11583" i="1"/>
  <c r="I11583" i="1"/>
  <c r="H11583" i="1"/>
  <c r="G11583" i="1"/>
  <c r="M11582" i="1"/>
  <c r="L11582" i="1"/>
  <c r="K11582" i="1"/>
  <c r="J11582" i="1"/>
  <c r="I11582" i="1"/>
  <c r="H11582" i="1"/>
  <c r="G11582" i="1"/>
  <c r="M11581" i="1"/>
  <c r="L11581" i="1"/>
  <c r="K11581" i="1"/>
  <c r="J11581" i="1"/>
  <c r="I11581" i="1"/>
  <c r="H11581" i="1"/>
  <c r="G11581" i="1"/>
  <c r="M11580" i="1"/>
  <c r="L11580" i="1"/>
  <c r="K11580" i="1"/>
  <c r="J11580" i="1"/>
  <c r="I11580" i="1"/>
  <c r="H11580" i="1"/>
  <c r="G11580" i="1"/>
  <c r="M11579" i="1"/>
  <c r="L11579" i="1"/>
  <c r="K11579" i="1"/>
  <c r="J11579" i="1"/>
  <c r="I11579" i="1"/>
  <c r="H11579" i="1"/>
  <c r="G11579" i="1"/>
  <c r="M11578" i="1"/>
  <c r="L11578" i="1"/>
  <c r="K11578" i="1"/>
  <c r="J11578" i="1"/>
  <c r="I11578" i="1"/>
  <c r="H11578" i="1"/>
  <c r="G11578" i="1"/>
  <c r="M11577" i="1"/>
  <c r="L11577" i="1"/>
  <c r="K11577" i="1"/>
  <c r="J11577" i="1"/>
  <c r="I11577" i="1"/>
  <c r="H11577" i="1"/>
  <c r="G11577" i="1"/>
  <c r="M11576" i="1"/>
  <c r="L11576" i="1"/>
  <c r="K11576" i="1"/>
  <c r="J11576" i="1"/>
  <c r="I11576" i="1"/>
  <c r="H11576" i="1"/>
  <c r="G11576" i="1"/>
  <c r="M11575" i="1"/>
  <c r="L11575" i="1"/>
  <c r="K11575" i="1"/>
  <c r="J11575" i="1"/>
  <c r="I11575" i="1"/>
  <c r="H11575" i="1"/>
  <c r="G11575" i="1"/>
  <c r="M11574" i="1"/>
  <c r="L11574" i="1"/>
  <c r="K11574" i="1"/>
  <c r="J11574" i="1"/>
  <c r="I11574" i="1"/>
  <c r="H11574" i="1"/>
  <c r="G11574" i="1"/>
  <c r="M11573" i="1"/>
  <c r="L11573" i="1"/>
  <c r="K11573" i="1"/>
  <c r="J11573" i="1"/>
  <c r="I11573" i="1"/>
  <c r="H11573" i="1"/>
  <c r="G11573" i="1"/>
  <c r="M11572" i="1"/>
  <c r="L11572" i="1"/>
  <c r="K11572" i="1"/>
  <c r="J11572" i="1"/>
  <c r="I11572" i="1"/>
  <c r="H11572" i="1"/>
  <c r="G11572" i="1"/>
  <c r="M11571" i="1"/>
  <c r="L11571" i="1"/>
  <c r="K11571" i="1"/>
  <c r="J11571" i="1"/>
  <c r="I11571" i="1"/>
  <c r="H11571" i="1"/>
  <c r="G11571" i="1"/>
  <c r="M11570" i="1"/>
  <c r="L11570" i="1"/>
  <c r="K11570" i="1"/>
  <c r="J11570" i="1"/>
  <c r="I11570" i="1"/>
  <c r="H11570" i="1"/>
  <c r="G11570" i="1"/>
  <c r="M11569" i="1"/>
  <c r="L11569" i="1"/>
  <c r="K11569" i="1"/>
  <c r="J11569" i="1"/>
  <c r="I11569" i="1"/>
  <c r="H11569" i="1"/>
  <c r="G11569" i="1"/>
  <c r="M11568" i="1"/>
  <c r="L11568" i="1"/>
  <c r="K11568" i="1"/>
  <c r="J11568" i="1"/>
  <c r="I11568" i="1"/>
  <c r="H11568" i="1"/>
  <c r="G11568" i="1"/>
  <c r="M11567" i="1"/>
  <c r="L11567" i="1"/>
  <c r="K11567" i="1"/>
  <c r="J11567" i="1"/>
  <c r="I11567" i="1"/>
  <c r="H11567" i="1"/>
  <c r="G11567" i="1"/>
  <c r="M11566" i="1"/>
  <c r="L11566" i="1"/>
  <c r="K11566" i="1"/>
  <c r="J11566" i="1"/>
  <c r="I11566" i="1"/>
  <c r="H11566" i="1"/>
  <c r="G11566" i="1"/>
  <c r="M11565" i="1"/>
  <c r="L11565" i="1"/>
  <c r="K11565" i="1"/>
  <c r="J11565" i="1"/>
  <c r="I11565" i="1"/>
  <c r="H11565" i="1"/>
  <c r="G11565" i="1"/>
  <c r="M11564" i="1"/>
  <c r="L11564" i="1"/>
  <c r="K11564" i="1"/>
  <c r="J11564" i="1"/>
  <c r="I11564" i="1"/>
  <c r="H11564" i="1"/>
  <c r="G11564" i="1"/>
  <c r="M11563" i="1"/>
  <c r="L11563" i="1"/>
  <c r="K11563" i="1"/>
  <c r="J11563" i="1"/>
  <c r="I11563" i="1"/>
  <c r="H11563" i="1"/>
  <c r="G11563" i="1"/>
  <c r="M11562" i="1"/>
  <c r="L11562" i="1"/>
  <c r="K11562" i="1"/>
  <c r="J11562" i="1"/>
  <c r="I11562" i="1"/>
  <c r="H11562" i="1"/>
  <c r="G11562" i="1"/>
  <c r="M11561" i="1"/>
  <c r="L11561" i="1"/>
  <c r="K11561" i="1"/>
  <c r="J11561" i="1"/>
  <c r="I11561" i="1"/>
  <c r="H11561" i="1"/>
  <c r="G11561" i="1"/>
  <c r="M11560" i="1"/>
  <c r="L11560" i="1"/>
  <c r="K11560" i="1"/>
  <c r="J11560" i="1"/>
  <c r="I11560" i="1"/>
  <c r="H11560" i="1"/>
  <c r="G11560" i="1"/>
  <c r="M11559" i="1"/>
  <c r="L11559" i="1"/>
  <c r="K11559" i="1"/>
  <c r="J11559" i="1"/>
  <c r="I11559" i="1"/>
  <c r="H11559" i="1"/>
  <c r="G11559" i="1"/>
  <c r="M11558" i="1"/>
  <c r="L11558" i="1"/>
  <c r="K11558" i="1"/>
  <c r="J11558" i="1"/>
  <c r="I11558" i="1"/>
  <c r="H11558" i="1"/>
  <c r="G11558" i="1"/>
  <c r="M11557" i="1"/>
  <c r="L11557" i="1"/>
  <c r="K11557" i="1"/>
  <c r="J11557" i="1"/>
  <c r="I11557" i="1"/>
  <c r="H11557" i="1"/>
  <c r="G11557" i="1"/>
  <c r="M11556" i="1"/>
  <c r="L11556" i="1"/>
  <c r="K11556" i="1"/>
  <c r="J11556" i="1"/>
  <c r="I11556" i="1"/>
  <c r="H11556" i="1"/>
  <c r="G11556" i="1"/>
  <c r="M11555" i="1"/>
  <c r="L11555" i="1"/>
  <c r="K11555" i="1"/>
  <c r="J11555" i="1"/>
  <c r="I11555" i="1"/>
  <c r="H11555" i="1"/>
  <c r="G11555" i="1"/>
  <c r="M11554" i="1"/>
  <c r="L11554" i="1"/>
  <c r="K11554" i="1"/>
  <c r="J11554" i="1"/>
  <c r="I11554" i="1"/>
  <c r="H11554" i="1"/>
  <c r="G11554" i="1"/>
  <c r="M11553" i="1"/>
  <c r="L11553" i="1"/>
  <c r="K11553" i="1"/>
  <c r="J11553" i="1"/>
  <c r="I11553" i="1"/>
  <c r="H11553" i="1"/>
  <c r="G11553" i="1"/>
  <c r="M11552" i="1"/>
  <c r="L11552" i="1"/>
  <c r="K11552" i="1"/>
  <c r="J11552" i="1"/>
  <c r="I11552" i="1"/>
  <c r="H11552" i="1"/>
  <c r="G11552" i="1"/>
  <c r="M11551" i="1"/>
  <c r="L11551" i="1"/>
  <c r="K11551" i="1"/>
  <c r="J11551" i="1"/>
  <c r="I11551" i="1"/>
  <c r="H11551" i="1"/>
  <c r="G11551" i="1"/>
  <c r="M11550" i="1"/>
  <c r="L11550" i="1"/>
  <c r="K11550" i="1"/>
  <c r="J11550" i="1"/>
  <c r="I11550" i="1"/>
  <c r="H11550" i="1"/>
  <c r="G11550" i="1"/>
  <c r="M11549" i="1"/>
  <c r="L11549" i="1"/>
  <c r="K11549" i="1"/>
  <c r="J11549" i="1"/>
  <c r="I11549" i="1"/>
  <c r="H11549" i="1"/>
  <c r="G11549" i="1"/>
  <c r="M11548" i="1"/>
  <c r="L11548" i="1"/>
  <c r="K11548" i="1"/>
  <c r="J11548" i="1"/>
  <c r="I11548" i="1"/>
  <c r="H11548" i="1"/>
  <c r="G11548" i="1"/>
  <c r="M11547" i="1"/>
  <c r="L11547" i="1"/>
  <c r="K11547" i="1"/>
  <c r="J11547" i="1"/>
  <c r="I11547" i="1"/>
  <c r="H11547" i="1"/>
  <c r="G11547" i="1"/>
  <c r="M11546" i="1"/>
  <c r="L11546" i="1"/>
  <c r="K11546" i="1"/>
  <c r="J11546" i="1"/>
  <c r="I11546" i="1"/>
  <c r="H11546" i="1"/>
  <c r="G11546" i="1"/>
  <c r="M11545" i="1"/>
  <c r="L11545" i="1"/>
  <c r="K11545" i="1"/>
  <c r="J11545" i="1"/>
  <c r="I11545" i="1"/>
  <c r="H11545" i="1"/>
  <c r="G11545" i="1"/>
  <c r="M11544" i="1"/>
  <c r="L11544" i="1"/>
  <c r="K11544" i="1"/>
  <c r="J11544" i="1"/>
  <c r="I11544" i="1"/>
  <c r="H11544" i="1"/>
  <c r="G11544" i="1"/>
  <c r="M11543" i="1"/>
  <c r="L11543" i="1"/>
  <c r="K11543" i="1"/>
  <c r="J11543" i="1"/>
  <c r="I11543" i="1"/>
  <c r="H11543" i="1"/>
  <c r="G11543" i="1"/>
  <c r="M11542" i="1"/>
  <c r="L11542" i="1"/>
  <c r="K11542" i="1"/>
  <c r="J11542" i="1"/>
  <c r="I11542" i="1"/>
  <c r="H11542" i="1"/>
  <c r="G11542" i="1"/>
  <c r="M11541" i="1"/>
  <c r="L11541" i="1"/>
  <c r="K11541" i="1"/>
  <c r="J11541" i="1"/>
  <c r="I11541" i="1"/>
  <c r="H11541" i="1"/>
  <c r="G11541" i="1"/>
  <c r="M11540" i="1"/>
  <c r="L11540" i="1"/>
  <c r="K11540" i="1"/>
  <c r="J11540" i="1"/>
  <c r="I11540" i="1"/>
  <c r="H11540" i="1"/>
  <c r="G11540" i="1"/>
  <c r="M11539" i="1"/>
  <c r="L11539" i="1"/>
  <c r="K11539" i="1"/>
  <c r="J11539" i="1"/>
  <c r="I11539" i="1"/>
  <c r="H11539" i="1"/>
  <c r="G11539" i="1"/>
  <c r="M11538" i="1"/>
  <c r="L11538" i="1"/>
  <c r="K11538" i="1"/>
  <c r="J11538" i="1"/>
  <c r="I11538" i="1"/>
  <c r="H11538" i="1"/>
  <c r="G11538" i="1"/>
  <c r="M11537" i="1"/>
  <c r="L11537" i="1"/>
  <c r="K11537" i="1"/>
  <c r="J11537" i="1"/>
  <c r="I11537" i="1"/>
  <c r="H11537" i="1"/>
  <c r="G11537" i="1"/>
  <c r="M11536" i="1"/>
  <c r="L11536" i="1"/>
  <c r="K11536" i="1"/>
  <c r="J11536" i="1"/>
  <c r="I11536" i="1"/>
  <c r="H11536" i="1"/>
  <c r="G11536" i="1"/>
  <c r="M11535" i="1"/>
  <c r="L11535" i="1"/>
  <c r="K11535" i="1"/>
  <c r="J11535" i="1"/>
  <c r="I11535" i="1"/>
  <c r="H11535" i="1"/>
  <c r="G11535" i="1"/>
  <c r="M11534" i="1"/>
  <c r="L11534" i="1"/>
  <c r="K11534" i="1"/>
  <c r="J11534" i="1"/>
  <c r="I11534" i="1"/>
  <c r="H11534" i="1"/>
  <c r="G11534" i="1"/>
  <c r="M11533" i="1"/>
  <c r="L11533" i="1"/>
  <c r="K11533" i="1"/>
  <c r="J11533" i="1"/>
  <c r="I11533" i="1"/>
  <c r="H11533" i="1"/>
  <c r="G11533" i="1"/>
  <c r="M11532" i="1"/>
  <c r="L11532" i="1"/>
  <c r="K11532" i="1"/>
  <c r="J11532" i="1"/>
  <c r="I11532" i="1"/>
  <c r="H11532" i="1"/>
  <c r="G11532" i="1"/>
  <c r="M11531" i="1"/>
  <c r="L11531" i="1"/>
  <c r="K11531" i="1"/>
  <c r="J11531" i="1"/>
  <c r="I11531" i="1"/>
  <c r="H11531" i="1"/>
  <c r="G11531" i="1"/>
  <c r="M11530" i="1"/>
  <c r="L11530" i="1"/>
  <c r="K11530" i="1"/>
  <c r="J11530" i="1"/>
  <c r="I11530" i="1"/>
  <c r="H11530" i="1"/>
  <c r="G11530" i="1"/>
  <c r="M11529" i="1"/>
  <c r="L11529" i="1"/>
  <c r="K11529" i="1"/>
  <c r="J11529" i="1"/>
  <c r="I11529" i="1"/>
  <c r="H11529" i="1"/>
  <c r="G11529" i="1"/>
  <c r="M11528" i="1"/>
  <c r="L11528" i="1"/>
  <c r="K11528" i="1"/>
  <c r="J11528" i="1"/>
  <c r="I11528" i="1"/>
  <c r="H11528" i="1"/>
  <c r="G11528" i="1"/>
  <c r="M11527" i="1"/>
  <c r="L11527" i="1"/>
  <c r="K11527" i="1"/>
  <c r="J11527" i="1"/>
  <c r="I11527" i="1"/>
  <c r="H11527" i="1"/>
  <c r="G11527" i="1"/>
  <c r="M11526" i="1"/>
  <c r="L11526" i="1"/>
  <c r="K11526" i="1"/>
  <c r="J11526" i="1"/>
  <c r="I11526" i="1"/>
  <c r="H11526" i="1"/>
  <c r="G11526" i="1"/>
  <c r="M11525" i="1"/>
  <c r="L11525" i="1"/>
  <c r="K11525" i="1"/>
  <c r="J11525" i="1"/>
  <c r="I11525" i="1"/>
  <c r="H11525" i="1"/>
  <c r="G11525" i="1"/>
  <c r="M11524" i="1"/>
  <c r="L11524" i="1"/>
  <c r="K11524" i="1"/>
  <c r="J11524" i="1"/>
  <c r="I11524" i="1"/>
  <c r="H11524" i="1"/>
  <c r="G11524" i="1"/>
  <c r="M11523" i="1"/>
  <c r="L11523" i="1"/>
  <c r="K11523" i="1"/>
  <c r="J11523" i="1"/>
  <c r="I11523" i="1"/>
  <c r="H11523" i="1"/>
  <c r="G11523" i="1"/>
  <c r="M11522" i="1"/>
  <c r="L11522" i="1"/>
  <c r="K11522" i="1"/>
  <c r="J11522" i="1"/>
  <c r="I11522" i="1"/>
  <c r="H11522" i="1"/>
  <c r="G11522" i="1"/>
  <c r="M11521" i="1"/>
  <c r="L11521" i="1"/>
  <c r="K11521" i="1"/>
  <c r="J11521" i="1"/>
  <c r="I11521" i="1"/>
  <c r="H11521" i="1"/>
  <c r="G11521" i="1"/>
  <c r="M11520" i="1"/>
  <c r="L11520" i="1"/>
  <c r="K11520" i="1"/>
  <c r="J11520" i="1"/>
  <c r="I11520" i="1"/>
  <c r="H11520" i="1"/>
  <c r="G11520" i="1"/>
  <c r="M11519" i="1"/>
  <c r="L11519" i="1"/>
  <c r="K11519" i="1"/>
  <c r="J11519" i="1"/>
  <c r="I11519" i="1"/>
  <c r="H11519" i="1"/>
  <c r="G11519" i="1"/>
  <c r="M11518" i="1"/>
  <c r="L11518" i="1"/>
  <c r="K11518" i="1"/>
  <c r="J11518" i="1"/>
  <c r="I11518" i="1"/>
  <c r="H11518" i="1"/>
  <c r="G11518" i="1"/>
  <c r="M11517" i="1"/>
  <c r="L11517" i="1"/>
  <c r="K11517" i="1"/>
  <c r="J11517" i="1"/>
  <c r="I11517" i="1"/>
  <c r="H11517" i="1"/>
  <c r="G11517" i="1"/>
  <c r="M11516" i="1"/>
  <c r="L11516" i="1"/>
  <c r="K11516" i="1"/>
  <c r="J11516" i="1"/>
  <c r="I11516" i="1"/>
  <c r="H11516" i="1"/>
  <c r="G11516" i="1"/>
  <c r="M11515" i="1"/>
  <c r="L11515" i="1"/>
  <c r="K11515" i="1"/>
  <c r="J11515" i="1"/>
  <c r="I11515" i="1"/>
  <c r="H11515" i="1"/>
  <c r="G11515" i="1"/>
  <c r="M11514" i="1"/>
  <c r="L11514" i="1"/>
  <c r="K11514" i="1"/>
  <c r="J11514" i="1"/>
  <c r="I11514" i="1"/>
  <c r="H11514" i="1"/>
  <c r="G11514" i="1"/>
  <c r="M11513" i="1"/>
  <c r="L11513" i="1"/>
  <c r="K11513" i="1"/>
  <c r="J11513" i="1"/>
  <c r="I11513" i="1"/>
  <c r="H11513" i="1"/>
  <c r="G11513" i="1"/>
  <c r="M11512" i="1"/>
  <c r="L11512" i="1"/>
  <c r="K11512" i="1"/>
  <c r="J11512" i="1"/>
  <c r="I11512" i="1"/>
  <c r="H11512" i="1"/>
  <c r="G11512" i="1"/>
  <c r="M11511" i="1"/>
  <c r="L11511" i="1"/>
  <c r="K11511" i="1"/>
  <c r="J11511" i="1"/>
  <c r="I11511" i="1"/>
  <c r="H11511" i="1"/>
  <c r="G11511" i="1"/>
  <c r="M11510" i="1"/>
  <c r="L11510" i="1"/>
  <c r="K11510" i="1"/>
  <c r="J11510" i="1"/>
  <c r="I11510" i="1"/>
  <c r="H11510" i="1"/>
  <c r="G11510" i="1"/>
  <c r="M11509" i="1"/>
  <c r="L11509" i="1"/>
  <c r="K11509" i="1"/>
  <c r="J11509" i="1"/>
  <c r="I11509" i="1"/>
  <c r="H11509" i="1"/>
  <c r="G11509" i="1"/>
  <c r="M11508" i="1"/>
  <c r="L11508" i="1"/>
  <c r="K11508" i="1"/>
  <c r="J11508" i="1"/>
  <c r="I11508" i="1"/>
  <c r="H11508" i="1"/>
  <c r="G11508" i="1"/>
  <c r="M11507" i="1"/>
  <c r="L11507" i="1"/>
  <c r="K11507" i="1"/>
  <c r="J11507" i="1"/>
  <c r="I11507" i="1"/>
  <c r="H11507" i="1"/>
  <c r="G11507" i="1"/>
  <c r="M11506" i="1"/>
  <c r="L11506" i="1"/>
  <c r="K11506" i="1"/>
  <c r="J11506" i="1"/>
  <c r="I11506" i="1"/>
  <c r="H11506" i="1"/>
  <c r="G11506" i="1"/>
  <c r="M11505" i="1"/>
  <c r="L11505" i="1"/>
  <c r="K11505" i="1"/>
  <c r="J11505" i="1"/>
  <c r="I11505" i="1"/>
  <c r="H11505" i="1"/>
  <c r="G11505" i="1"/>
  <c r="M11504" i="1"/>
  <c r="L11504" i="1"/>
  <c r="K11504" i="1"/>
  <c r="J11504" i="1"/>
  <c r="I11504" i="1"/>
  <c r="H11504" i="1"/>
  <c r="G11504" i="1"/>
  <c r="M11503" i="1"/>
  <c r="L11503" i="1"/>
  <c r="K11503" i="1"/>
  <c r="J11503" i="1"/>
  <c r="I11503" i="1"/>
  <c r="H11503" i="1"/>
  <c r="G11503" i="1"/>
  <c r="M11502" i="1"/>
  <c r="L11502" i="1"/>
  <c r="K11502" i="1"/>
  <c r="J11502" i="1"/>
  <c r="I11502" i="1"/>
  <c r="H11502" i="1"/>
  <c r="G11502" i="1"/>
  <c r="M11501" i="1"/>
  <c r="L11501" i="1"/>
  <c r="K11501" i="1"/>
  <c r="J11501" i="1"/>
  <c r="I11501" i="1"/>
  <c r="H11501" i="1"/>
  <c r="G11501" i="1"/>
  <c r="M11500" i="1"/>
  <c r="L11500" i="1"/>
  <c r="K11500" i="1"/>
  <c r="J11500" i="1"/>
  <c r="I11500" i="1"/>
  <c r="H11500" i="1"/>
  <c r="G11500" i="1"/>
  <c r="M11499" i="1"/>
  <c r="L11499" i="1"/>
  <c r="K11499" i="1"/>
  <c r="J11499" i="1"/>
  <c r="I11499" i="1"/>
  <c r="H11499" i="1"/>
  <c r="G11499" i="1"/>
  <c r="M11498" i="1"/>
  <c r="L11498" i="1"/>
  <c r="K11498" i="1"/>
  <c r="J11498" i="1"/>
  <c r="I11498" i="1"/>
  <c r="H11498" i="1"/>
  <c r="G11498" i="1"/>
  <c r="M11497" i="1"/>
  <c r="L11497" i="1"/>
  <c r="K11497" i="1"/>
  <c r="J11497" i="1"/>
  <c r="I11497" i="1"/>
  <c r="H11497" i="1"/>
  <c r="G11497" i="1"/>
  <c r="M11496" i="1"/>
  <c r="L11496" i="1"/>
  <c r="K11496" i="1"/>
  <c r="J11496" i="1"/>
  <c r="I11496" i="1"/>
  <c r="H11496" i="1"/>
  <c r="G11496" i="1"/>
  <c r="M11495" i="1"/>
  <c r="L11495" i="1"/>
  <c r="K11495" i="1"/>
  <c r="J11495" i="1"/>
  <c r="I11495" i="1"/>
  <c r="H11495" i="1"/>
  <c r="G11495" i="1"/>
  <c r="M11494" i="1"/>
  <c r="L11494" i="1"/>
  <c r="K11494" i="1"/>
  <c r="J11494" i="1"/>
  <c r="I11494" i="1"/>
  <c r="H11494" i="1"/>
  <c r="G11494" i="1"/>
  <c r="M11493" i="1"/>
  <c r="L11493" i="1"/>
  <c r="K11493" i="1"/>
  <c r="J11493" i="1"/>
  <c r="I11493" i="1"/>
  <c r="H11493" i="1"/>
  <c r="G11493" i="1"/>
  <c r="M11492" i="1"/>
  <c r="L11492" i="1"/>
  <c r="K11492" i="1"/>
  <c r="J11492" i="1"/>
  <c r="I11492" i="1"/>
  <c r="H11492" i="1"/>
  <c r="G11492" i="1"/>
  <c r="M11491" i="1"/>
  <c r="L11491" i="1"/>
  <c r="K11491" i="1"/>
  <c r="J11491" i="1"/>
  <c r="I11491" i="1"/>
  <c r="H11491" i="1"/>
  <c r="G11491" i="1"/>
  <c r="M11490" i="1"/>
  <c r="L11490" i="1"/>
  <c r="K11490" i="1"/>
  <c r="J11490" i="1"/>
  <c r="I11490" i="1"/>
  <c r="H11490" i="1"/>
  <c r="G11490" i="1"/>
  <c r="M11489" i="1"/>
  <c r="L11489" i="1"/>
  <c r="K11489" i="1"/>
  <c r="J11489" i="1"/>
  <c r="I11489" i="1"/>
  <c r="H11489" i="1"/>
  <c r="G11489" i="1"/>
  <c r="M11488" i="1"/>
  <c r="L11488" i="1"/>
  <c r="K11488" i="1"/>
  <c r="J11488" i="1"/>
  <c r="I11488" i="1"/>
  <c r="H11488" i="1"/>
  <c r="G11488" i="1"/>
  <c r="M11487" i="1"/>
  <c r="L11487" i="1"/>
  <c r="K11487" i="1"/>
  <c r="J11487" i="1"/>
  <c r="I11487" i="1"/>
  <c r="H11487" i="1"/>
  <c r="G11487" i="1"/>
  <c r="M11486" i="1"/>
  <c r="L11486" i="1"/>
  <c r="K11486" i="1"/>
  <c r="J11486" i="1"/>
  <c r="I11486" i="1"/>
  <c r="H11486" i="1"/>
  <c r="G11486" i="1"/>
  <c r="M11485" i="1"/>
  <c r="L11485" i="1"/>
  <c r="K11485" i="1"/>
  <c r="J11485" i="1"/>
  <c r="I11485" i="1"/>
  <c r="H11485" i="1"/>
  <c r="G11485" i="1"/>
  <c r="M11484" i="1"/>
  <c r="L11484" i="1"/>
  <c r="K11484" i="1"/>
  <c r="J11484" i="1"/>
  <c r="I11484" i="1"/>
  <c r="H11484" i="1"/>
  <c r="G11484" i="1"/>
  <c r="M11483" i="1"/>
  <c r="L11483" i="1"/>
  <c r="K11483" i="1"/>
  <c r="J11483" i="1"/>
  <c r="I11483" i="1"/>
  <c r="H11483" i="1"/>
  <c r="G11483" i="1"/>
  <c r="M11482" i="1"/>
  <c r="L11482" i="1"/>
  <c r="K11482" i="1"/>
  <c r="J11482" i="1"/>
  <c r="I11482" i="1"/>
  <c r="H11482" i="1"/>
  <c r="G11482" i="1"/>
  <c r="M11481" i="1"/>
  <c r="L11481" i="1"/>
  <c r="K11481" i="1"/>
  <c r="J11481" i="1"/>
  <c r="I11481" i="1"/>
  <c r="H11481" i="1"/>
  <c r="G11481" i="1"/>
  <c r="M11480" i="1"/>
  <c r="L11480" i="1"/>
  <c r="K11480" i="1"/>
  <c r="J11480" i="1"/>
  <c r="I11480" i="1"/>
  <c r="H11480" i="1"/>
  <c r="G11480" i="1"/>
  <c r="M11479" i="1"/>
  <c r="L11479" i="1"/>
  <c r="K11479" i="1"/>
  <c r="J11479" i="1"/>
  <c r="I11479" i="1"/>
  <c r="H11479" i="1"/>
  <c r="G11479" i="1"/>
  <c r="M11478" i="1"/>
  <c r="L11478" i="1"/>
  <c r="K11478" i="1"/>
  <c r="J11478" i="1"/>
  <c r="I11478" i="1"/>
  <c r="H11478" i="1"/>
  <c r="G11478" i="1"/>
  <c r="M11477" i="1"/>
  <c r="L11477" i="1"/>
  <c r="K11477" i="1"/>
  <c r="J11477" i="1"/>
  <c r="I11477" i="1"/>
  <c r="H11477" i="1"/>
  <c r="G11477" i="1"/>
  <c r="M11476" i="1"/>
  <c r="L11476" i="1"/>
  <c r="K11476" i="1"/>
  <c r="J11476" i="1"/>
  <c r="I11476" i="1"/>
  <c r="H11476" i="1"/>
  <c r="G11476" i="1"/>
  <c r="M11475" i="1"/>
  <c r="L11475" i="1"/>
  <c r="K11475" i="1"/>
  <c r="J11475" i="1"/>
  <c r="I11475" i="1"/>
  <c r="H11475" i="1"/>
  <c r="G11475" i="1"/>
  <c r="M11474" i="1"/>
  <c r="L11474" i="1"/>
  <c r="K11474" i="1"/>
  <c r="J11474" i="1"/>
  <c r="I11474" i="1"/>
  <c r="H11474" i="1"/>
  <c r="G11474" i="1"/>
  <c r="M11473" i="1"/>
  <c r="L11473" i="1"/>
  <c r="K11473" i="1"/>
  <c r="J11473" i="1"/>
  <c r="I11473" i="1"/>
  <c r="H11473" i="1"/>
  <c r="G11473" i="1"/>
  <c r="M11472" i="1"/>
  <c r="L11472" i="1"/>
  <c r="K11472" i="1"/>
  <c r="J11472" i="1"/>
  <c r="I11472" i="1"/>
  <c r="H11472" i="1"/>
  <c r="G11472" i="1"/>
  <c r="M11471" i="1"/>
  <c r="L11471" i="1"/>
  <c r="K11471" i="1"/>
  <c r="J11471" i="1"/>
  <c r="I11471" i="1"/>
  <c r="H11471" i="1"/>
  <c r="G11471" i="1"/>
  <c r="M11470" i="1"/>
  <c r="L11470" i="1"/>
  <c r="K11470" i="1"/>
  <c r="J11470" i="1"/>
  <c r="I11470" i="1"/>
  <c r="H11470" i="1"/>
  <c r="G11470" i="1"/>
  <c r="M11469" i="1"/>
  <c r="L11469" i="1"/>
  <c r="K11469" i="1"/>
  <c r="J11469" i="1"/>
  <c r="I11469" i="1"/>
  <c r="H11469" i="1"/>
  <c r="G11469" i="1"/>
  <c r="M11468" i="1"/>
  <c r="L11468" i="1"/>
  <c r="K11468" i="1"/>
  <c r="J11468" i="1"/>
  <c r="I11468" i="1"/>
  <c r="H11468" i="1"/>
  <c r="G11468" i="1"/>
  <c r="M11467" i="1"/>
  <c r="L11467" i="1"/>
  <c r="K11467" i="1"/>
  <c r="J11467" i="1"/>
  <c r="I11467" i="1"/>
  <c r="H11467" i="1"/>
  <c r="G11467" i="1"/>
  <c r="M11466" i="1"/>
  <c r="L11466" i="1"/>
  <c r="K11466" i="1"/>
  <c r="J11466" i="1"/>
  <c r="I11466" i="1"/>
  <c r="H11466" i="1"/>
  <c r="G11466" i="1"/>
  <c r="M11465" i="1"/>
  <c r="L11465" i="1"/>
  <c r="K11465" i="1"/>
  <c r="J11465" i="1"/>
  <c r="I11465" i="1"/>
  <c r="H11465" i="1"/>
  <c r="G11465" i="1"/>
  <c r="M11464" i="1"/>
  <c r="L11464" i="1"/>
  <c r="K11464" i="1"/>
  <c r="J11464" i="1"/>
  <c r="I11464" i="1"/>
  <c r="H11464" i="1"/>
  <c r="G11464" i="1"/>
  <c r="M11463" i="1"/>
  <c r="L11463" i="1"/>
  <c r="K11463" i="1"/>
  <c r="J11463" i="1"/>
  <c r="I11463" i="1"/>
  <c r="H11463" i="1"/>
  <c r="G11463" i="1"/>
  <c r="M11462" i="1"/>
  <c r="L11462" i="1"/>
  <c r="K11462" i="1"/>
  <c r="J11462" i="1"/>
  <c r="I11462" i="1"/>
  <c r="H11462" i="1"/>
  <c r="G11462" i="1"/>
  <c r="M11461" i="1"/>
  <c r="L11461" i="1"/>
  <c r="K11461" i="1"/>
  <c r="J11461" i="1"/>
  <c r="I11461" i="1"/>
  <c r="H11461" i="1"/>
  <c r="G11461" i="1"/>
  <c r="M11460" i="1"/>
  <c r="L11460" i="1"/>
  <c r="K11460" i="1"/>
  <c r="J11460" i="1"/>
  <c r="I11460" i="1"/>
  <c r="H11460" i="1"/>
  <c r="G11460" i="1"/>
  <c r="M11459" i="1"/>
  <c r="L11459" i="1"/>
  <c r="K11459" i="1"/>
  <c r="J11459" i="1"/>
  <c r="I11459" i="1"/>
  <c r="H11459" i="1"/>
  <c r="G11459" i="1"/>
  <c r="M11458" i="1"/>
  <c r="L11458" i="1"/>
  <c r="K11458" i="1"/>
  <c r="J11458" i="1"/>
  <c r="I11458" i="1"/>
  <c r="H11458" i="1"/>
  <c r="G11458" i="1"/>
  <c r="M11457" i="1"/>
  <c r="L11457" i="1"/>
  <c r="K11457" i="1"/>
  <c r="J11457" i="1"/>
  <c r="I11457" i="1"/>
  <c r="H11457" i="1"/>
  <c r="G11457" i="1"/>
  <c r="M11456" i="1"/>
  <c r="L11456" i="1"/>
  <c r="K11456" i="1"/>
  <c r="J11456" i="1"/>
  <c r="I11456" i="1"/>
  <c r="H11456" i="1"/>
  <c r="G11456" i="1"/>
  <c r="M11455" i="1"/>
  <c r="L11455" i="1"/>
  <c r="K11455" i="1"/>
  <c r="J11455" i="1"/>
  <c r="I11455" i="1"/>
  <c r="H11455" i="1"/>
  <c r="G11455" i="1"/>
  <c r="M11454" i="1"/>
  <c r="L11454" i="1"/>
  <c r="K11454" i="1"/>
  <c r="J11454" i="1"/>
  <c r="I11454" i="1"/>
  <c r="H11454" i="1"/>
  <c r="G11454" i="1"/>
  <c r="M11453" i="1"/>
  <c r="L11453" i="1"/>
  <c r="K11453" i="1"/>
  <c r="J11453" i="1"/>
  <c r="I11453" i="1"/>
  <c r="H11453" i="1"/>
  <c r="G11453" i="1"/>
  <c r="M11452" i="1"/>
  <c r="L11452" i="1"/>
  <c r="K11452" i="1"/>
  <c r="J11452" i="1"/>
  <c r="I11452" i="1"/>
  <c r="H11452" i="1"/>
  <c r="G11452" i="1"/>
  <c r="M11451" i="1"/>
  <c r="L11451" i="1"/>
  <c r="K11451" i="1"/>
  <c r="J11451" i="1"/>
  <c r="I11451" i="1"/>
  <c r="H11451" i="1"/>
  <c r="G11451" i="1"/>
  <c r="M11450" i="1"/>
  <c r="L11450" i="1"/>
  <c r="K11450" i="1"/>
  <c r="J11450" i="1"/>
  <c r="I11450" i="1"/>
  <c r="H11450" i="1"/>
  <c r="G11450" i="1"/>
  <c r="M11449" i="1"/>
  <c r="L11449" i="1"/>
  <c r="K11449" i="1"/>
  <c r="J11449" i="1"/>
  <c r="I11449" i="1"/>
  <c r="H11449" i="1"/>
  <c r="G11449" i="1"/>
  <c r="M11448" i="1"/>
  <c r="L11448" i="1"/>
  <c r="K11448" i="1"/>
  <c r="J11448" i="1"/>
  <c r="I11448" i="1"/>
  <c r="H11448" i="1"/>
  <c r="G11448" i="1"/>
  <c r="M11447" i="1"/>
  <c r="L11447" i="1"/>
  <c r="K11447" i="1"/>
  <c r="J11447" i="1"/>
  <c r="I11447" i="1"/>
  <c r="H11447" i="1"/>
  <c r="G11447" i="1"/>
  <c r="M11446" i="1"/>
  <c r="L11446" i="1"/>
  <c r="K11446" i="1"/>
  <c r="J11446" i="1"/>
  <c r="I11446" i="1"/>
  <c r="H11446" i="1"/>
  <c r="G11446" i="1"/>
  <c r="M11445" i="1"/>
  <c r="L11445" i="1"/>
  <c r="K11445" i="1"/>
  <c r="J11445" i="1"/>
  <c r="I11445" i="1"/>
  <c r="H11445" i="1"/>
  <c r="G11445" i="1"/>
  <c r="M11444" i="1"/>
  <c r="L11444" i="1"/>
  <c r="K11444" i="1"/>
  <c r="J11444" i="1"/>
  <c r="I11444" i="1"/>
  <c r="H11444" i="1"/>
  <c r="G11444" i="1"/>
  <c r="M11443" i="1"/>
  <c r="L11443" i="1"/>
  <c r="K11443" i="1"/>
  <c r="J11443" i="1"/>
  <c r="I11443" i="1"/>
  <c r="H11443" i="1"/>
  <c r="G11443" i="1"/>
  <c r="M11442" i="1"/>
  <c r="L11442" i="1"/>
  <c r="K11442" i="1"/>
  <c r="J11442" i="1"/>
  <c r="I11442" i="1"/>
  <c r="H11442" i="1"/>
  <c r="G11442" i="1"/>
  <c r="M11441" i="1"/>
  <c r="L11441" i="1"/>
  <c r="K11441" i="1"/>
  <c r="J11441" i="1"/>
  <c r="I11441" i="1"/>
  <c r="H11441" i="1"/>
  <c r="G11441" i="1"/>
  <c r="M11440" i="1"/>
  <c r="L11440" i="1"/>
  <c r="K11440" i="1"/>
  <c r="J11440" i="1"/>
  <c r="I11440" i="1"/>
  <c r="H11440" i="1"/>
  <c r="G11440" i="1"/>
  <c r="M11439" i="1"/>
  <c r="L11439" i="1"/>
  <c r="K11439" i="1"/>
  <c r="J11439" i="1"/>
  <c r="I11439" i="1"/>
  <c r="H11439" i="1"/>
  <c r="G11439" i="1"/>
  <c r="M11438" i="1"/>
  <c r="L11438" i="1"/>
  <c r="K11438" i="1"/>
  <c r="J11438" i="1"/>
  <c r="I11438" i="1"/>
  <c r="H11438" i="1"/>
  <c r="G11438" i="1"/>
  <c r="M11437" i="1"/>
  <c r="L11437" i="1"/>
  <c r="K11437" i="1"/>
  <c r="J11437" i="1"/>
  <c r="I11437" i="1"/>
  <c r="H11437" i="1"/>
  <c r="G11437" i="1"/>
  <c r="M11436" i="1"/>
  <c r="L11436" i="1"/>
  <c r="K11436" i="1"/>
  <c r="J11436" i="1"/>
  <c r="I11436" i="1"/>
  <c r="H11436" i="1"/>
  <c r="G11436" i="1"/>
  <c r="M11435" i="1"/>
  <c r="L11435" i="1"/>
  <c r="K11435" i="1"/>
  <c r="J11435" i="1"/>
  <c r="I11435" i="1"/>
  <c r="H11435" i="1"/>
  <c r="G11435" i="1"/>
  <c r="M11434" i="1"/>
  <c r="L11434" i="1"/>
  <c r="K11434" i="1"/>
  <c r="J11434" i="1"/>
  <c r="I11434" i="1"/>
  <c r="H11434" i="1"/>
  <c r="G11434" i="1"/>
  <c r="M11433" i="1"/>
  <c r="L11433" i="1"/>
  <c r="K11433" i="1"/>
  <c r="J11433" i="1"/>
  <c r="I11433" i="1"/>
  <c r="H11433" i="1"/>
  <c r="G11433" i="1"/>
  <c r="M11432" i="1"/>
  <c r="L11432" i="1"/>
  <c r="K11432" i="1"/>
  <c r="J11432" i="1"/>
  <c r="I11432" i="1"/>
  <c r="H11432" i="1"/>
  <c r="G11432" i="1"/>
  <c r="M11431" i="1"/>
  <c r="L11431" i="1"/>
  <c r="K11431" i="1"/>
  <c r="J11431" i="1"/>
  <c r="I11431" i="1"/>
  <c r="H11431" i="1"/>
  <c r="G11431" i="1"/>
  <c r="M11430" i="1"/>
  <c r="L11430" i="1"/>
  <c r="K11430" i="1"/>
  <c r="J11430" i="1"/>
  <c r="I11430" i="1"/>
  <c r="H11430" i="1"/>
  <c r="G11430" i="1"/>
  <c r="M11429" i="1"/>
  <c r="L11429" i="1"/>
  <c r="K11429" i="1"/>
  <c r="J11429" i="1"/>
  <c r="I11429" i="1"/>
  <c r="H11429" i="1"/>
  <c r="G11429" i="1"/>
  <c r="M11428" i="1"/>
  <c r="L11428" i="1"/>
  <c r="K11428" i="1"/>
  <c r="J11428" i="1"/>
  <c r="I11428" i="1"/>
  <c r="H11428" i="1"/>
  <c r="G11428" i="1"/>
  <c r="M11427" i="1"/>
  <c r="L11427" i="1"/>
  <c r="K11427" i="1"/>
  <c r="J11427" i="1"/>
  <c r="I11427" i="1"/>
  <c r="H11427" i="1"/>
  <c r="G11427" i="1"/>
  <c r="M11426" i="1"/>
  <c r="L11426" i="1"/>
  <c r="K11426" i="1"/>
  <c r="J11426" i="1"/>
  <c r="I11426" i="1"/>
  <c r="H11426" i="1"/>
  <c r="G11426" i="1"/>
  <c r="M11425" i="1"/>
  <c r="L11425" i="1"/>
  <c r="K11425" i="1"/>
  <c r="J11425" i="1"/>
  <c r="I11425" i="1"/>
  <c r="H11425" i="1"/>
  <c r="G11425" i="1"/>
  <c r="M11424" i="1"/>
  <c r="L11424" i="1"/>
  <c r="K11424" i="1"/>
  <c r="J11424" i="1"/>
  <c r="I11424" i="1"/>
  <c r="H11424" i="1"/>
  <c r="G11424" i="1"/>
  <c r="M11423" i="1"/>
  <c r="L11423" i="1"/>
  <c r="K11423" i="1"/>
  <c r="J11423" i="1"/>
  <c r="I11423" i="1"/>
  <c r="H11423" i="1"/>
  <c r="G11423" i="1"/>
  <c r="M11422" i="1"/>
  <c r="L11422" i="1"/>
  <c r="K11422" i="1"/>
  <c r="J11422" i="1"/>
  <c r="I11422" i="1"/>
  <c r="H11422" i="1"/>
  <c r="G11422" i="1"/>
  <c r="M11421" i="1"/>
  <c r="L11421" i="1"/>
  <c r="K11421" i="1"/>
  <c r="J11421" i="1"/>
  <c r="I11421" i="1"/>
  <c r="H11421" i="1"/>
  <c r="G11421" i="1"/>
  <c r="M11420" i="1"/>
  <c r="L11420" i="1"/>
  <c r="K11420" i="1"/>
  <c r="J11420" i="1"/>
  <c r="I11420" i="1"/>
  <c r="H11420" i="1"/>
  <c r="G11420" i="1"/>
  <c r="M11419" i="1"/>
  <c r="L11419" i="1"/>
  <c r="K11419" i="1"/>
  <c r="J11419" i="1"/>
  <c r="I11419" i="1"/>
  <c r="H11419" i="1"/>
  <c r="G11419" i="1"/>
  <c r="M11418" i="1"/>
  <c r="L11418" i="1"/>
  <c r="K11418" i="1"/>
  <c r="J11418" i="1"/>
  <c r="I11418" i="1"/>
  <c r="H11418" i="1"/>
  <c r="G11418" i="1"/>
  <c r="M11417" i="1"/>
  <c r="L11417" i="1"/>
  <c r="K11417" i="1"/>
  <c r="J11417" i="1"/>
  <c r="I11417" i="1"/>
  <c r="H11417" i="1"/>
  <c r="G11417" i="1"/>
  <c r="M11416" i="1"/>
  <c r="L11416" i="1"/>
  <c r="K11416" i="1"/>
  <c r="J11416" i="1"/>
  <c r="I11416" i="1"/>
  <c r="H11416" i="1"/>
  <c r="G11416" i="1"/>
  <c r="M11415" i="1"/>
  <c r="L11415" i="1"/>
  <c r="K11415" i="1"/>
  <c r="J11415" i="1"/>
  <c r="I11415" i="1"/>
  <c r="H11415" i="1"/>
  <c r="G11415" i="1"/>
  <c r="M11414" i="1"/>
  <c r="L11414" i="1"/>
  <c r="K11414" i="1"/>
  <c r="J11414" i="1"/>
  <c r="I11414" i="1"/>
  <c r="H11414" i="1"/>
  <c r="G11414" i="1"/>
  <c r="M11413" i="1"/>
  <c r="L11413" i="1"/>
  <c r="K11413" i="1"/>
  <c r="J11413" i="1"/>
  <c r="I11413" i="1"/>
  <c r="H11413" i="1"/>
  <c r="G11413" i="1"/>
  <c r="M11412" i="1"/>
  <c r="L11412" i="1"/>
  <c r="K11412" i="1"/>
  <c r="J11412" i="1"/>
  <c r="I11412" i="1"/>
  <c r="H11412" i="1"/>
  <c r="G11412" i="1"/>
  <c r="M11411" i="1"/>
  <c r="L11411" i="1"/>
  <c r="K11411" i="1"/>
  <c r="J11411" i="1"/>
  <c r="I11411" i="1"/>
  <c r="H11411" i="1"/>
  <c r="G11411" i="1"/>
  <c r="M11410" i="1"/>
  <c r="L11410" i="1"/>
  <c r="K11410" i="1"/>
  <c r="J11410" i="1"/>
  <c r="I11410" i="1"/>
  <c r="H11410" i="1"/>
  <c r="G11410" i="1"/>
  <c r="M11409" i="1"/>
  <c r="L11409" i="1"/>
  <c r="K11409" i="1"/>
  <c r="J11409" i="1"/>
  <c r="I11409" i="1"/>
  <c r="H11409" i="1"/>
  <c r="G11409" i="1"/>
  <c r="M11408" i="1"/>
  <c r="L11408" i="1"/>
  <c r="K11408" i="1"/>
  <c r="J11408" i="1"/>
  <c r="I11408" i="1"/>
  <c r="H11408" i="1"/>
  <c r="G11408" i="1"/>
  <c r="M11407" i="1"/>
  <c r="L11407" i="1"/>
  <c r="K11407" i="1"/>
  <c r="J11407" i="1"/>
  <c r="I11407" i="1"/>
  <c r="H11407" i="1"/>
  <c r="G11407" i="1"/>
  <c r="M11406" i="1"/>
  <c r="L11406" i="1"/>
  <c r="K11406" i="1"/>
  <c r="J11406" i="1"/>
  <c r="I11406" i="1"/>
  <c r="H11406" i="1"/>
  <c r="G11406" i="1"/>
  <c r="M11405" i="1"/>
  <c r="L11405" i="1"/>
  <c r="K11405" i="1"/>
  <c r="J11405" i="1"/>
  <c r="I11405" i="1"/>
  <c r="H11405" i="1"/>
  <c r="G11405" i="1"/>
  <c r="M11404" i="1"/>
  <c r="L11404" i="1"/>
  <c r="K11404" i="1"/>
  <c r="J11404" i="1"/>
  <c r="I11404" i="1"/>
  <c r="H11404" i="1"/>
  <c r="G11404" i="1"/>
  <c r="M11403" i="1"/>
  <c r="L11403" i="1"/>
  <c r="K11403" i="1"/>
  <c r="J11403" i="1"/>
  <c r="I11403" i="1"/>
  <c r="H11403" i="1"/>
  <c r="G11403" i="1"/>
  <c r="M11402" i="1"/>
  <c r="L11402" i="1"/>
  <c r="K11402" i="1"/>
  <c r="J11402" i="1"/>
  <c r="I11402" i="1"/>
  <c r="H11402" i="1"/>
  <c r="G11402" i="1"/>
  <c r="M11401" i="1"/>
  <c r="L11401" i="1"/>
  <c r="K11401" i="1"/>
  <c r="J11401" i="1"/>
  <c r="I11401" i="1"/>
  <c r="H11401" i="1"/>
  <c r="G11401" i="1"/>
  <c r="M11400" i="1"/>
  <c r="L11400" i="1"/>
  <c r="K11400" i="1"/>
  <c r="J11400" i="1"/>
  <c r="I11400" i="1"/>
  <c r="H11400" i="1"/>
  <c r="G11400" i="1"/>
  <c r="M11399" i="1"/>
  <c r="L11399" i="1"/>
  <c r="K11399" i="1"/>
  <c r="J11399" i="1"/>
  <c r="I11399" i="1"/>
  <c r="H11399" i="1"/>
  <c r="G11399" i="1"/>
  <c r="M11398" i="1"/>
  <c r="L11398" i="1"/>
  <c r="K11398" i="1"/>
  <c r="J11398" i="1"/>
  <c r="I11398" i="1"/>
  <c r="H11398" i="1"/>
  <c r="G11398" i="1"/>
  <c r="M11397" i="1"/>
  <c r="L11397" i="1"/>
  <c r="K11397" i="1"/>
  <c r="J11397" i="1"/>
  <c r="I11397" i="1"/>
  <c r="H11397" i="1"/>
  <c r="G11397" i="1"/>
  <c r="M11396" i="1"/>
  <c r="L11396" i="1"/>
  <c r="K11396" i="1"/>
  <c r="J11396" i="1"/>
  <c r="I11396" i="1"/>
  <c r="H11396" i="1"/>
  <c r="G11396" i="1"/>
  <c r="M11395" i="1"/>
  <c r="L11395" i="1"/>
  <c r="K11395" i="1"/>
  <c r="J11395" i="1"/>
  <c r="I11395" i="1"/>
  <c r="H11395" i="1"/>
  <c r="G11395" i="1"/>
  <c r="M11394" i="1"/>
  <c r="L11394" i="1"/>
  <c r="K11394" i="1"/>
  <c r="J11394" i="1"/>
  <c r="I11394" i="1"/>
  <c r="H11394" i="1"/>
  <c r="G11394" i="1"/>
  <c r="M11393" i="1"/>
  <c r="L11393" i="1"/>
  <c r="K11393" i="1"/>
  <c r="J11393" i="1"/>
  <c r="I11393" i="1"/>
  <c r="H11393" i="1"/>
  <c r="G11393" i="1"/>
  <c r="M11392" i="1"/>
  <c r="L11392" i="1"/>
  <c r="K11392" i="1"/>
  <c r="J11392" i="1"/>
  <c r="I11392" i="1"/>
  <c r="H11392" i="1"/>
  <c r="G11392" i="1"/>
  <c r="M11391" i="1"/>
  <c r="L11391" i="1"/>
  <c r="K11391" i="1"/>
  <c r="J11391" i="1"/>
  <c r="I11391" i="1"/>
  <c r="H11391" i="1"/>
  <c r="G11391" i="1"/>
  <c r="M11390" i="1"/>
  <c r="L11390" i="1"/>
  <c r="K11390" i="1"/>
  <c r="J11390" i="1"/>
  <c r="I11390" i="1"/>
  <c r="H11390" i="1"/>
  <c r="G11390" i="1"/>
  <c r="M11389" i="1"/>
  <c r="L11389" i="1"/>
  <c r="K11389" i="1"/>
  <c r="J11389" i="1"/>
  <c r="I11389" i="1"/>
  <c r="H11389" i="1"/>
  <c r="G11389" i="1"/>
  <c r="M11388" i="1"/>
  <c r="L11388" i="1"/>
  <c r="K11388" i="1"/>
  <c r="J11388" i="1"/>
  <c r="I11388" i="1"/>
  <c r="H11388" i="1"/>
  <c r="G11388" i="1"/>
  <c r="M11387" i="1"/>
  <c r="L11387" i="1"/>
  <c r="K11387" i="1"/>
  <c r="J11387" i="1"/>
  <c r="I11387" i="1"/>
  <c r="H11387" i="1"/>
  <c r="G11387" i="1"/>
  <c r="M11386" i="1"/>
  <c r="L11386" i="1"/>
  <c r="K11386" i="1"/>
  <c r="J11386" i="1"/>
  <c r="I11386" i="1"/>
  <c r="H11386" i="1"/>
  <c r="G11386" i="1"/>
  <c r="M11385" i="1"/>
  <c r="L11385" i="1"/>
  <c r="K11385" i="1"/>
  <c r="J11385" i="1"/>
  <c r="I11385" i="1"/>
  <c r="H11385" i="1"/>
  <c r="G11385" i="1"/>
  <c r="M11384" i="1"/>
  <c r="L11384" i="1"/>
  <c r="K11384" i="1"/>
  <c r="J11384" i="1"/>
  <c r="I11384" i="1"/>
  <c r="H11384" i="1"/>
  <c r="G11384" i="1"/>
  <c r="M11383" i="1"/>
  <c r="L11383" i="1"/>
  <c r="K11383" i="1"/>
  <c r="J11383" i="1"/>
  <c r="I11383" i="1"/>
  <c r="H11383" i="1"/>
  <c r="G11383" i="1"/>
  <c r="M11382" i="1"/>
  <c r="L11382" i="1"/>
  <c r="K11382" i="1"/>
  <c r="J11382" i="1"/>
  <c r="I11382" i="1"/>
  <c r="H11382" i="1"/>
  <c r="G11382" i="1"/>
  <c r="M11381" i="1"/>
  <c r="L11381" i="1"/>
  <c r="K11381" i="1"/>
  <c r="J11381" i="1"/>
  <c r="I11381" i="1"/>
  <c r="H11381" i="1"/>
  <c r="G11381" i="1"/>
  <c r="M11380" i="1"/>
  <c r="L11380" i="1"/>
  <c r="K11380" i="1"/>
  <c r="J11380" i="1"/>
  <c r="I11380" i="1"/>
  <c r="H11380" i="1"/>
  <c r="G11380" i="1"/>
  <c r="M11379" i="1"/>
  <c r="L11379" i="1"/>
  <c r="K11379" i="1"/>
  <c r="J11379" i="1"/>
  <c r="I11379" i="1"/>
  <c r="H11379" i="1"/>
  <c r="G11379" i="1"/>
  <c r="M11378" i="1"/>
  <c r="L11378" i="1"/>
  <c r="K11378" i="1"/>
  <c r="J11378" i="1"/>
  <c r="I11378" i="1"/>
  <c r="H11378" i="1"/>
  <c r="G11378" i="1"/>
  <c r="M11377" i="1"/>
  <c r="L11377" i="1"/>
  <c r="K11377" i="1"/>
  <c r="J11377" i="1"/>
  <c r="I11377" i="1"/>
  <c r="H11377" i="1"/>
  <c r="G11377" i="1"/>
  <c r="M11376" i="1"/>
  <c r="L11376" i="1"/>
  <c r="K11376" i="1"/>
  <c r="J11376" i="1"/>
  <c r="I11376" i="1"/>
  <c r="H11376" i="1"/>
  <c r="G11376" i="1"/>
  <c r="M11375" i="1"/>
  <c r="L11375" i="1"/>
  <c r="K11375" i="1"/>
  <c r="J11375" i="1"/>
  <c r="I11375" i="1"/>
  <c r="H11375" i="1"/>
  <c r="G11375" i="1"/>
  <c r="M11374" i="1"/>
  <c r="L11374" i="1"/>
  <c r="K11374" i="1"/>
  <c r="J11374" i="1"/>
  <c r="I11374" i="1"/>
  <c r="H11374" i="1"/>
  <c r="G11374" i="1"/>
  <c r="M11373" i="1"/>
  <c r="L11373" i="1"/>
  <c r="K11373" i="1"/>
  <c r="J11373" i="1"/>
  <c r="I11373" i="1"/>
  <c r="H11373" i="1"/>
  <c r="G11373" i="1"/>
  <c r="M11372" i="1"/>
  <c r="L11372" i="1"/>
  <c r="K11372" i="1"/>
  <c r="J11372" i="1"/>
  <c r="I11372" i="1"/>
  <c r="H11372" i="1"/>
  <c r="G11372" i="1"/>
  <c r="M11371" i="1"/>
  <c r="L11371" i="1"/>
  <c r="K11371" i="1"/>
  <c r="J11371" i="1"/>
  <c r="I11371" i="1"/>
  <c r="H11371" i="1"/>
  <c r="G11371" i="1"/>
  <c r="M11370" i="1"/>
  <c r="L11370" i="1"/>
  <c r="K11370" i="1"/>
  <c r="J11370" i="1"/>
  <c r="I11370" i="1"/>
  <c r="H11370" i="1"/>
  <c r="G11370" i="1"/>
  <c r="M11369" i="1"/>
  <c r="L11369" i="1"/>
  <c r="K11369" i="1"/>
  <c r="J11369" i="1"/>
  <c r="I11369" i="1"/>
  <c r="H11369" i="1"/>
  <c r="G11369" i="1"/>
  <c r="M11368" i="1"/>
  <c r="L11368" i="1"/>
  <c r="K11368" i="1"/>
  <c r="J11368" i="1"/>
  <c r="I11368" i="1"/>
  <c r="H11368" i="1"/>
  <c r="G11368" i="1"/>
  <c r="M11367" i="1"/>
  <c r="L11367" i="1"/>
  <c r="K11367" i="1"/>
  <c r="J11367" i="1"/>
  <c r="I11367" i="1"/>
  <c r="H11367" i="1"/>
  <c r="G11367" i="1"/>
  <c r="M11366" i="1"/>
  <c r="L11366" i="1"/>
  <c r="K11366" i="1"/>
  <c r="J11366" i="1"/>
  <c r="I11366" i="1"/>
  <c r="H11366" i="1"/>
  <c r="G11366" i="1"/>
  <c r="M11365" i="1"/>
  <c r="L11365" i="1"/>
  <c r="K11365" i="1"/>
  <c r="J11365" i="1"/>
  <c r="I11365" i="1"/>
  <c r="H11365" i="1"/>
  <c r="G11365" i="1"/>
  <c r="M11364" i="1"/>
  <c r="L11364" i="1"/>
  <c r="K11364" i="1"/>
  <c r="J11364" i="1"/>
  <c r="I11364" i="1"/>
  <c r="H11364" i="1"/>
  <c r="G11364" i="1"/>
  <c r="M11363" i="1"/>
  <c r="L11363" i="1"/>
  <c r="K11363" i="1"/>
  <c r="J11363" i="1"/>
  <c r="I11363" i="1"/>
  <c r="H11363" i="1"/>
  <c r="G11363" i="1"/>
  <c r="M11362" i="1"/>
  <c r="L11362" i="1"/>
  <c r="K11362" i="1"/>
  <c r="J11362" i="1"/>
  <c r="I11362" i="1"/>
  <c r="H11362" i="1"/>
  <c r="G11362" i="1"/>
  <c r="M11361" i="1"/>
  <c r="L11361" i="1"/>
  <c r="K11361" i="1"/>
  <c r="J11361" i="1"/>
  <c r="I11361" i="1"/>
  <c r="H11361" i="1"/>
  <c r="G11361" i="1"/>
  <c r="M11360" i="1"/>
  <c r="L11360" i="1"/>
  <c r="K11360" i="1"/>
  <c r="J11360" i="1"/>
  <c r="I11360" i="1"/>
  <c r="H11360" i="1"/>
  <c r="G11360" i="1"/>
  <c r="M11359" i="1"/>
  <c r="L11359" i="1"/>
  <c r="K11359" i="1"/>
  <c r="J11359" i="1"/>
  <c r="I11359" i="1"/>
  <c r="H11359" i="1"/>
  <c r="G11359" i="1"/>
  <c r="M11358" i="1"/>
  <c r="L11358" i="1"/>
  <c r="K11358" i="1"/>
  <c r="J11358" i="1"/>
  <c r="I11358" i="1"/>
  <c r="H11358" i="1"/>
  <c r="G11358" i="1"/>
  <c r="M11357" i="1"/>
  <c r="L11357" i="1"/>
  <c r="K11357" i="1"/>
  <c r="J11357" i="1"/>
  <c r="I11357" i="1"/>
  <c r="H11357" i="1"/>
  <c r="G11357" i="1"/>
  <c r="M11356" i="1"/>
  <c r="L11356" i="1"/>
  <c r="K11356" i="1"/>
  <c r="J11356" i="1"/>
  <c r="I11356" i="1"/>
  <c r="H11356" i="1"/>
  <c r="G11356" i="1"/>
  <c r="M11355" i="1"/>
  <c r="L11355" i="1"/>
  <c r="K11355" i="1"/>
  <c r="J11355" i="1"/>
  <c r="I11355" i="1"/>
  <c r="H11355" i="1"/>
  <c r="G11355" i="1"/>
  <c r="M11354" i="1"/>
  <c r="L11354" i="1"/>
  <c r="K11354" i="1"/>
  <c r="J11354" i="1"/>
  <c r="I11354" i="1"/>
  <c r="H11354" i="1"/>
  <c r="G11354" i="1"/>
  <c r="M11353" i="1"/>
  <c r="L11353" i="1"/>
  <c r="K11353" i="1"/>
  <c r="J11353" i="1"/>
  <c r="I11353" i="1"/>
  <c r="H11353" i="1"/>
  <c r="G11353" i="1"/>
  <c r="M11352" i="1"/>
  <c r="L11352" i="1"/>
  <c r="K11352" i="1"/>
  <c r="J11352" i="1"/>
  <c r="I11352" i="1"/>
  <c r="H11352" i="1"/>
  <c r="G11352" i="1"/>
  <c r="M11351" i="1"/>
  <c r="L11351" i="1"/>
  <c r="K11351" i="1"/>
  <c r="J11351" i="1"/>
  <c r="I11351" i="1"/>
  <c r="H11351" i="1"/>
  <c r="G11351" i="1"/>
  <c r="M11350" i="1"/>
  <c r="L11350" i="1"/>
  <c r="K11350" i="1"/>
  <c r="J11350" i="1"/>
  <c r="I11350" i="1"/>
  <c r="H11350" i="1"/>
  <c r="G11350" i="1"/>
  <c r="M11349" i="1"/>
  <c r="L11349" i="1"/>
  <c r="K11349" i="1"/>
  <c r="J11349" i="1"/>
  <c r="I11349" i="1"/>
  <c r="H11349" i="1"/>
  <c r="G11349" i="1"/>
  <c r="M11348" i="1"/>
  <c r="L11348" i="1"/>
  <c r="K11348" i="1"/>
  <c r="J11348" i="1"/>
  <c r="I11348" i="1"/>
  <c r="H11348" i="1"/>
  <c r="G11348" i="1"/>
  <c r="M11347" i="1"/>
  <c r="L11347" i="1"/>
  <c r="K11347" i="1"/>
  <c r="J11347" i="1"/>
  <c r="I11347" i="1"/>
  <c r="H11347" i="1"/>
  <c r="G11347" i="1"/>
  <c r="M11346" i="1"/>
  <c r="L11346" i="1"/>
  <c r="K11346" i="1"/>
  <c r="J11346" i="1"/>
  <c r="I11346" i="1"/>
  <c r="H11346" i="1"/>
  <c r="G11346" i="1"/>
  <c r="M11345" i="1"/>
  <c r="L11345" i="1"/>
  <c r="K11345" i="1"/>
  <c r="J11345" i="1"/>
  <c r="I11345" i="1"/>
  <c r="H11345" i="1"/>
  <c r="G11345" i="1"/>
  <c r="M11344" i="1"/>
  <c r="L11344" i="1"/>
  <c r="K11344" i="1"/>
  <c r="J11344" i="1"/>
  <c r="I11344" i="1"/>
  <c r="H11344" i="1"/>
  <c r="G11344" i="1"/>
  <c r="M11343" i="1"/>
  <c r="L11343" i="1"/>
  <c r="K11343" i="1"/>
  <c r="J11343" i="1"/>
  <c r="I11343" i="1"/>
  <c r="H11343" i="1"/>
  <c r="G11343" i="1"/>
  <c r="M11342" i="1"/>
  <c r="L11342" i="1"/>
  <c r="K11342" i="1"/>
  <c r="J11342" i="1"/>
  <c r="I11342" i="1"/>
  <c r="H11342" i="1"/>
  <c r="G11342" i="1"/>
  <c r="M11341" i="1"/>
  <c r="L11341" i="1"/>
  <c r="K11341" i="1"/>
  <c r="J11341" i="1"/>
  <c r="I11341" i="1"/>
  <c r="H11341" i="1"/>
  <c r="G11341" i="1"/>
  <c r="M11340" i="1"/>
  <c r="L11340" i="1"/>
  <c r="K11340" i="1"/>
  <c r="J11340" i="1"/>
  <c r="I11340" i="1"/>
  <c r="H11340" i="1"/>
  <c r="G11340" i="1"/>
  <c r="M11339" i="1"/>
  <c r="L11339" i="1"/>
  <c r="K11339" i="1"/>
  <c r="J11339" i="1"/>
  <c r="I11339" i="1"/>
  <c r="H11339" i="1"/>
  <c r="G11339" i="1"/>
  <c r="M11338" i="1"/>
  <c r="L11338" i="1"/>
  <c r="K11338" i="1"/>
  <c r="J11338" i="1"/>
  <c r="I11338" i="1"/>
  <c r="H11338" i="1"/>
  <c r="G11338" i="1"/>
  <c r="M11337" i="1"/>
  <c r="L11337" i="1"/>
  <c r="K11337" i="1"/>
  <c r="J11337" i="1"/>
  <c r="I11337" i="1"/>
  <c r="H11337" i="1"/>
  <c r="G11337" i="1"/>
  <c r="M11336" i="1"/>
  <c r="L11336" i="1"/>
  <c r="K11336" i="1"/>
  <c r="J11336" i="1"/>
  <c r="I11336" i="1"/>
  <c r="H11336" i="1"/>
  <c r="G11336" i="1"/>
  <c r="M11335" i="1"/>
  <c r="L11335" i="1"/>
  <c r="K11335" i="1"/>
  <c r="J11335" i="1"/>
  <c r="I11335" i="1"/>
  <c r="H11335" i="1"/>
  <c r="G11335" i="1"/>
  <c r="M11334" i="1"/>
  <c r="L11334" i="1"/>
  <c r="K11334" i="1"/>
  <c r="J11334" i="1"/>
  <c r="I11334" i="1"/>
  <c r="H11334" i="1"/>
  <c r="G11334" i="1"/>
  <c r="M11333" i="1"/>
  <c r="L11333" i="1"/>
  <c r="K11333" i="1"/>
  <c r="J11333" i="1"/>
  <c r="I11333" i="1"/>
  <c r="H11333" i="1"/>
  <c r="G11333" i="1"/>
  <c r="M11332" i="1"/>
  <c r="L11332" i="1"/>
  <c r="K11332" i="1"/>
  <c r="J11332" i="1"/>
  <c r="I11332" i="1"/>
  <c r="H11332" i="1"/>
  <c r="G11332" i="1"/>
  <c r="M11331" i="1"/>
  <c r="L11331" i="1"/>
  <c r="K11331" i="1"/>
  <c r="J11331" i="1"/>
  <c r="I11331" i="1"/>
  <c r="H11331" i="1"/>
  <c r="G11331" i="1"/>
  <c r="M11330" i="1"/>
  <c r="L11330" i="1"/>
  <c r="K11330" i="1"/>
  <c r="J11330" i="1"/>
  <c r="I11330" i="1"/>
  <c r="H11330" i="1"/>
  <c r="G11330" i="1"/>
  <c r="M11329" i="1"/>
  <c r="L11329" i="1"/>
  <c r="K11329" i="1"/>
  <c r="J11329" i="1"/>
  <c r="I11329" i="1"/>
  <c r="H11329" i="1"/>
  <c r="G11329" i="1"/>
  <c r="M11328" i="1"/>
  <c r="L11328" i="1"/>
  <c r="K11328" i="1"/>
  <c r="J11328" i="1"/>
  <c r="I11328" i="1"/>
  <c r="H11328" i="1"/>
  <c r="G11328" i="1"/>
  <c r="M11327" i="1"/>
  <c r="L11327" i="1"/>
  <c r="K11327" i="1"/>
  <c r="J11327" i="1"/>
  <c r="I11327" i="1"/>
  <c r="H11327" i="1"/>
  <c r="G11327" i="1"/>
  <c r="M11326" i="1"/>
  <c r="L11326" i="1"/>
  <c r="K11326" i="1"/>
  <c r="J11326" i="1"/>
  <c r="I11326" i="1"/>
  <c r="H11326" i="1"/>
  <c r="G11326" i="1"/>
  <c r="M11325" i="1"/>
  <c r="L11325" i="1"/>
  <c r="K11325" i="1"/>
  <c r="J11325" i="1"/>
  <c r="I11325" i="1"/>
  <c r="H11325" i="1"/>
  <c r="G11325" i="1"/>
  <c r="M11324" i="1"/>
  <c r="L11324" i="1"/>
  <c r="K11324" i="1"/>
  <c r="J11324" i="1"/>
  <c r="I11324" i="1"/>
  <c r="H11324" i="1"/>
  <c r="G11324" i="1"/>
  <c r="M11323" i="1"/>
  <c r="L11323" i="1"/>
  <c r="K11323" i="1"/>
  <c r="J11323" i="1"/>
  <c r="I11323" i="1"/>
  <c r="H11323" i="1"/>
  <c r="G11323" i="1"/>
  <c r="M11322" i="1"/>
  <c r="L11322" i="1"/>
  <c r="K11322" i="1"/>
  <c r="J11322" i="1"/>
  <c r="I11322" i="1"/>
  <c r="H11322" i="1"/>
  <c r="G11322" i="1"/>
  <c r="M11321" i="1"/>
  <c r="L11321" i="1"/>
  <c r="K11321" i="1"/>
  <c r="J11321" i="1"/>
  <c r="I11321" i="1"/>
  <c r="H11321" i="1"/>
  <c r="G11321" i="1"/>
  <c r="M11320" i="1"/>
  <c r="L11320" i="1"/>
  <c r="K11320" i="1"/>
  <c r="J11320" i="1"/>
  <c r="I11320" i="1"/>
  <c r="H11320" i="1"/>
  <c r="G11320" i="1"/>
  <c r="M11319" i="1"/>
  <c r="L11319" i="1"/>
  <c r="K11319" i="1"/>
  <c r="J11319" i="1"/>
  <c r="I11319" i="1"/>
  <c r="H11319" i="1"/>
  <c r="G11319" i="1"/>
  <c r="M11318" i="1"/>
  <c r="L11318" i="1"/>
  <c r="K11318" i="1"/>
  <c r="J11318" i="1"/>
  <c r="I11318" i="1"/>
  <c r="H11318" i="1"/>
  <c r="G11318" i="1"/>
  <c r="M11317" i="1"/>
  <c r="L11317" i="1"/>
  <c r="K11317" i="1"/>
  <c r="J11317" i="1"/>
  <c r="I11317" i="1"/>
  <c r="H11317" i="1"/>
  <c r="G11317" i="1"/>
  <c r="M11316" i="1"/>
  <c r="L11316" i="1"/>
  <c r="K11316" i="1"/>
  <c r="J11316" i="1"/>
  <c r="I11316" i="1"/>
  <c r="H11316" i="1"/>
  <c r="G11316" i="1"/>
  <c r="M11315" i="1"/>
  <c r="L11315" i="1"/>
  <c r="K11315" i="1"/>
  <c r="J11315" i="1"/>
  <c r="I11315" i="1"/>
  <c r="H11315" i="1"/>
  <c r="G11315" i="1"/>
  <c r="M11314" i="1"/>
  <c r="L11314" i="1"/>
  <c r="K11314" i="1"/>
  <c r="J11314" i="1"/>
  <c r="I11314" i="1"/>
  <c r="H11314" i="1"/>
  <c r="G11314" i="1"/>
  <c r="M11313" i="1"/>
  <c r="L11313" i="1"/>
  <c r="K11313" i="1"/>
  <c r="J11313" i="1"/>
  <c r="I11313" i="1"/>
  <c r="H11313" i="1"/>
  <c r="G11313" i="1"/>
  <c r="M11312" i="1"/>
  <c r="L11312" i="1"/>
  <c r="K11312" i="1"/>
  <c r="J11312" i="1"/>
  <c r="I11312" i="1"/>
  <c r="H11312" i="1"/>
  <c r="G11312" i="1"/>
  <c r="M11311" i="1"/>
  <c r="L11311" i="1"/>
  <c r="K11311" i="1"/>
  <c r="J11311" i="1"/>
  <c r="I11311" i="1"/>
  <c r="H11311" i="1"/>
  <c r="G11311" i="1"/>
  <c r="M11310" i="1"/>
  <c r="L11310" i="1"/>
  <c r="K11310" i="1"/>
  <c r="J11310" i="1"/>
  <c r="I11310" i="1"/>
  <c r="H11310" i="1"/>
  <c r="G11310" i="1"/>
  <c r="M11309" i="1"/>
  <c r="L11309" i="1"/>
  <c r="K11309" i="1"/>
  <c r="J11309" i="1"/>
  <c r="I11309" i="1"/>
  <c r="H11309" i="1"/>
  <c r="G11309" i="1"/>
  <c r="M11308" i="1"/>
  <c r="L11308" i="1"/>
  <c r="K11308" i="1"/>
  <c r="J11308" i="1"/>
  <c r="I11308" i="1"/>
  <c r="H11308" i="1"/>
  <c r="G11308" i="1"/>
  <c r="M11307" i="1"/>
  <c r="L11307" i="1"/>
  <c r="K11307" i="1"/>
  <c r="J11307" i="1"/>
  <c r="I11307" i="1"/>
  <c r="H11307" i="1"/>
  <c r="G11307" i="1"/>
  <c r="M11306" i="1"/>
  <c r="L11306" i="1"/>
  <c r="K11306" i="1"/>
  <c r="J11306" i="1"/>
  <c r="I11306" i="1"/>
  <c r="H11306" i="1"/>
  <c r="G11306" i="1"/>
  <c r="M11305" i="1"/>
  <c r="L11305" i="1"/>
  <c r="K11305" i="1"/>
  <c r="J11305" i="1"/>
  <c r="I11305" i="1"/>
  <c r="H11305" i="1"/>
  <c r="G11305" i="1"/>
  <c r="M11304" i="1"/>
  <c r="L11304" i="1"/>
  <c r="K11304" i="1"/>
  <c r="J11304" i="1"/>
  <c r="I11304" i="1"/>
  <c r="H11304" i="1"/>
  <c r="G11304" i="1"/>
  <c r="M11303" i="1"/>
  <c r="L11303" i="1"/>
  <c r="K11303" i="1"/>
  <c r="J11303" i="1"/>
  <c r="I11303" i="1"/>
  <c r="H11303" i="1"/>
  <c r="G11303" i="1"/>
  <c r="M11302" i="1"/>
  <c r="L11302" i="1"/>
  <c r="K11302" i="1"/>
  <c r="J11302" i="1"/>
  <c r="I11302" i="1"/>
  <c r="H11302" i="1"/>
  <c r="G11302" i="1"/>
  <c r="M11301" i="1"/>
  <c r="L11301" i="1"/>
  <c r="K11301" i="1"/>
  <c r="J11301" i="1"/>
  <c r="I11301" i="1"/>
  <c r="H11301" i="1"/>
  <c r="G11301" i="1"/>
  <c r="M11300" i="1"/>
  <c r="L11300" i="1"/>
  <c r="K11300" i="1"/>
  <c r="J11300" i="1"/>
  <c r="I11300" i="1"/>
  <c r="H11300" i="1"/>
  <c r="G11300" i="1"/>
  <c r="M11299" i="1"/>
  <c r="L11299" i="1"/>
  <c r="K11299" i="1"/>
  <c r="J11299" i="1"/>
  <c r="I11299" i="1"/>
  <c r="H11299" i="1"/>
  <c r="G11299" i="1"/>
  <c r="M11298" i="1"/>
  <c r="L11298" i="1"/>
  <c r="K11298" i="1"/>
  <c r="J11298" i="1"/>
  <c r="I11298" i="1"/>
  <c r="H11298" i="1"/>
  <c r="G11298" i="1"/>
  <c r="M11297" i="1"/>
  <c r="L11297" i="1"/>
  <c r="K11297" i="1"/>
  <c r="J11297" i="1"/>
  <c r="I11297" i="1"/>
  <c r="H11297" i="1"/>
  <c r="G11297" i="1"/>
  <c r="M11296" i="1"/>
  <c r="L11296" i="1"/>
  <c r="K11296" i="1"/>
  <c r="J11296" i="1"/>
  <c r="I11296" i="1"/>
  <c r="H11296" i="1"/>
  <c r="G11296" i="1"/>
  <c r="M11295" i="1"/>
  <c r="L11295" i="1"/>
  <c r="K11295" i="1"/>
  <c r="J11295" i="1"/>
  <c r="I11295" i="1"/>
  <c r="H11295" i="1"/>
  <c r="G11295" i="1"/>
  <c r="M11294" i="1"/>
  <c r="L11294" i="1"/>
  <c r="K11294" i="1"/>
  <c r="J11294" i="1"/>
  <c r="I11294" i="1"/>
  <c r="H11294" i="1"/>
  <c r="G11294" i="1"/>
  <c r="M11293" i="1"/>
  <c r="L11293" i="1"/>
  <c r="K11293" i="1"/>
  <c r="J11293" i="1"/>
  <c r="I11293" i="1"/>
  <c r="H11293" i="1"/>
  <c r="G11293" i="1"/>
  <c r="M11292" i="1"/>
  <c r="L11292" i="1"/>
  <c r="K11292" i="1"/>
  <c r="J11292" i="1"/>
  <c r="I11292" i="1"/>
  <c r="H11292" i="1"/>
  <c r="G11292" i="1"/>
  <c r="M11291" i="1"/>
  <c r="L11291" i="1"/>
  <c r="K11291" i="1"/>
  <c r="J11291" i="1"/>
  <c r="I11291" i="1"/>
  <c r="H11291" i="1"/>
  <c r="G11291" i="1"/>
  <c r="M11290" i="1"/>
  <c r="L11290" i="1"/>
  <c r="K11290" i="1"/>
  <c r="J11290" i="1"/>
  <c r="I11290" i="1"/>
  <c r="H11290" i="1"/>
  <c r="G11290" i="1"/>
  <c r="M11289" i="1"/>
  <c r="L11289" i="1"/>
  <c r="K11289" i="1"/>
  <c r="J11289" i="1"/>
  <c r="I11289" i="1"/>
  <c r="H11289" i="1"/>
  <c r="G11289" i="1"/>
  <c r="M11288" i="1"/>
  <c r="L11288" i="1"/>
  <c r="K11288" i="1"/>
  <c r="J11288" i="1"/>
  <c r="I11288" i="1"/>
  <c r="H11288" i="1"/>
  <c r="G11288" i="1"/>
  <c r="M11287" i="1"/>
  <c r="L11287" i="1"/>
  <c r="K11287" i="1"/>
  <c r="J11287" i="1"/>
  <c r="I11287" i="1"/>
  <c r="H11287" i="1"/>
  <c r="G11287" i="1"/>
  <c r="M11286" i="1"/>
  <c r="L11286" i="1"/>
  <c r="K11286" i="1"/>
  <c r="J11286" i="1"/>
  <c r="I11286" i="1"/>
  <c r="H11286" i="1"/>
  <c r="G11286" i="1"/>
  <c r="M11285" i="1"/>
  <c r="L11285" i="1"/>
  <c r="K11285" i="1"/>
  <c r="J11285" i="1"/>
  <c r="I11285" i="1"/>
  <c r="H11285" i="1"/>
  <c r="G11285" i="1"/>
  <c r="M11284" i="1"/>
  <c r="L11284" i="1"/>
  <c r="K11284" i="1"/>
  <c r="J11284" i="1"/>
  <c r="I11284" i="1"/>
  <c r="H11284" i="1"/>
  <c r="G11284" i="1"/>
  <c r="M11283" i="1"/>
  <c r="L11283" i="1"/>
  <c r="K11283" i="1"/>
  <c r="J11283" i="1"/>
  <c r="I11283" i="1"/>
  <c r="H11283" i="1"/>
  <c r="G11283" i="1"/>
  <c r="M11282" i="1"/>
  <c r="L11282" i="1"/>
  <c r="K11282" i="1"/>
  <c r="J11282" i="1"/>
  <c r="I11282" i="1"/>
  <c r="H11282" i="1"/>
  <c r="G11282" i="1"/>
  <c r="M11281" i="1"/>
  <c r="L11281" i="1"/>
  <c r="K11281" i="1"/>
  <c r="J11281" i="1"/>
  <c r="I11281" i="1"/>
  <c r="H11281" i="1"/>
  <c r="G11281" i="1"/>
  <c r="M11280" i="1"/>
  <c r="L11280" i="1"/>
  <c r="K11280" i="1"/>
  <c r="J11280" i="1"/>
  <c r="I11280" i="1"/>
  <c r="H11280" i="1"/>
  <c r="G11280" i="1"/>
  <c r="M11279" i="1"/>
  <c r="L11279" i="1"/>
  <c r="K11279" i="1"/>
  <c r="J11279" i="1"/>
  <c r="I11279" i="1"/>
  <c r="H11279" i="1"/>
  <c r="G11279" i="1"/>
  <c r="M11278" i="1"/>
  <c r="L11278" i="1"/>
  <c r="K11278" i="1"/>
  <c r="J11278" i="1"/>
  <c r="I11278" i="1"/>
  <c r="H11278" i="1"/>
  <c r="G11278" i="1"/>
  <c r="M11277" i="1"/>
  <c r="L11277" i="1"/>
  <c r="K11277" i="1"/>
  <c r="J11277" i="1"/>
  <c r="I11277" i="1"/>
  <c r="H11277" i="1"/>
  <c r="G11277" i="1"/>
  <c r="M11276" i="1"/>
  <c r="L11276" i="1"/>
  <c r="K11276" i="1"/>
  <c r="J11276" i="1"/>
  <c r="I11276" i="1"/>
  <c r="H11276" i="1"/>
  <c r="G11276" i="1"/>
  <c r="M11275" i="1"/>
  <c r="L11275" i="1"/>
  <c r="K11275" i="1"/>
  <c r="J11275" i="1"/>
  <c r="I11275" i="1"/>
  <c r="H11275" i="1"/>
  <c r="G11275" i="1"/>
  <c r="M11274" i="1"/>
  <c r="L11274" i="1"/>
  <c r="K11274" i="1"/>
  <c r="J11274" i="1"/>
  <c r="I11274" i="1"/>
  <c r="H11274" i="1"/>
  <c r="G11274" i="1"/>
  <c r="M11273" i="1"/>
  <c r="L11273" i="1"/>
  <c r="K11273" i="1"/>
  <c r="J11273" i="1"/>
  <c r="I11273" i="1"/>
  <c r="H11273" i="1"/>
  <c r="G11273" i="1"/>
  <c r="M11272" i="1"/>
  <c r="L11272" i="1"/>
  <c r="K11272" i="1"/>
  <c r="J11272" i="1"/>
  <c r="I11272" i="1"/>
  <c r="H11272" i="1"/>
  <c r="G11272" i="1"/>
  <c r="M11271" i="1"/>
  <c r="L11271" i="1"/>
  <c r="K11271" i="1"/>
  <c r="J11271" i="1"/>
  <c r="I11271" i="1"/>
  <c r="H11271" i="1"/>
  <c r="G11271" i="1"/>
  <c r="M11270" i="1"/>
  <c r="L11270" i="1"/>
  <c r="K11270" i="1"/>
  <c r="J11270" i="1"/>
  <c r="I11270" i="1"/>
  <c r="H11270" i="1"/>
  <c r="G11270" i="1"/>
  <c r="M11269" i="1"/>
  <c r="L11269" i="1"/>
  <c r="K11269" i="1"/>
  <c r="J11269" i="1"/>
  <c r="I11269" i="1"/>
  <c r="H11269" i="1"/>
  <c r="G11269" i="1"/>
  <c r="M11268" i="1"/>
  <c r="L11268" i="1"/>
  <c r="K11268" i="1"/>
  <c r="J11268" i="1"/>
  <c r="I11268" i="1"/>
  <c r="H11268" i="1"/>
  <c r="G11268" i="1"/>
  <c r="M11267" i="1"/>
  <c r="L11267" i="1"/>
  <c r="K11267" i="1"/>
  <c r="J11267" i="1"/>
  <c r="I11267" i="1"/>
  <c r="H11267" i="1"/>
  <c r="G11267" i="1"/>
  <c r="M11266" i="1"/>
  <c r="L11266" i="1"/>
  <c r="K11266" i="1"/>
  <c r="J11266" i="1"/>
  <c r="I11266" i="1"/>
  <c r="H11266" i="1"/>
  <c r="G11266" i="1"/>
  <c r="M11265" i="1"/>
  <c r="L11265" i="1"/>
  <c r="K11265" i="1"/>
  <c r="J11265" i="1"/>
  <c r="I11265" i="1"/>
  <c r="H11265" i="1"/>
  <c r="G11265" i="1"/>
  <c r="M11264" i="1"/>
  <c r="L11264" i="1"/>
  <c r="K11264" i="1"/>
  <c r="J11264" i="1"/>
  <c r="I11264" i="1"/>
  <c r="H11264" i="1"/>
  <c r="G11264" i="1"/>
  <c r="M11263" i="1"/>
  <c r="L11263" i="1"/>
  <c r="K11263" i="1"/>
  <c r="J11263" i="1"/>
  <c r="I11263" i="1"/>
  <c r="H11263" i="1"/>
  <c r="G11263" i="1"/>
  <c r="M11262" i="1"/>
  <c r="L11262" i="1"/>
  <c r="K11262" i="1"/>
  <c r="J11262" i="1"/>
  <c r="I11262" i="1"/>
  <c r="H11262" i="1"/>
  <c r="G11262" i="1"/>
  <c r="M11261" i="1"/>
  <c r="L11261" i="1"/>
  <c r="K11261" i="1"/>
  <c r="J11261" i="1"/>
  <c r="I11261" i="1"/>
  <c r="H11261" i="1"/>
  <c r="G11261" i="1"/>
  <c r="M11260" i="1"/>
  <c r="L11260" i="1"/>
  <c r="K11260" i="1"/>
  <c r="J11260" i="1"/>
  <c r="I11260" i="1"/>
  <c r="H11260" i="1"/>
  <c r="G11260" i="1"/>
  <c r="M11259" i="1"/>
  <c r="L11259" i="1"/>
  <c r="K11259" i="1"/>
  <c r="J11259" i="1"/>
  <c r="I11259" i="1"/>
  <c r="H11259" i="1"/>
  <c r="G11259" i="1"/>
  <c r="M11258" i="1"/>
  <c r="L11258" i="1"/>
  <c r="K11258" i="1"/>
  <c r="J11258" i="1"/>
  <c r="I11258" i="1"/>
  <c r="H11258" i="1"/>
  <c r="G11258" i="1"/>
  <c r="M11257" i="1"/>
  <c r="L11257" i="1"/>
  <c r="K11257" i="1"/>
  <c r="J11257" i="1"/>
  <c r="I11257" i="1"/>
  <c r="H11257" i="1"/>
  <c r="G11257" i="1"/>
  <c r="M11256" i="1"/>
  <c r="L11256" i="1"/>
  <c r="K11256" i="1"/>
  <c r="J11256" i="1"/>
  <c r="I11256" i="1"/>
  <c r="H11256" i="1"/>
  <c r="G11256" i="1"/>
  <c r="M11255" i="1"/>
  <c r="L11255" i="1"/>
  <c r="K11255" i="1"/>
  <c r="J11255" i="1"/>
  <c r="I11255" i="1"/>
  <c r="H11255" i="1"/>
  <c r="G11255" i="1"/>
  <c r="M11254" i="1"/>
  <c r="L11254" i="1"/>
  <c r="K11254" i="1"/>
  <c r="J11254" i="1"/>
  <c r="I11254" i="1"/>
  <c r="H11254" i="1"/>
  <c r="G11254" i="1"/>
  <c r="M11253" i="1"/>
  <c r="L11253" i="1"/>
  <c r="K11253" i="1"/>
  <c r="J11253" i="1"/>
  <c r="I11253" i="1"/>
  <c r="H11253" i="1"/>
  <c r="G11253" i="1"/>
  <c r="M11252" i="1"/>
  <c r="L11252" i="1"/>
  <c r="K11252" i="1"/>
  <c r="J11252" i="1"/>
  <c r="I11252" i="1"/>
  <c r="H11252" i="1"/>
  <c r="G11252" i="1"/>
  <c r="M11251" i="1"/>
  <c r="L11251" i="1"/>
  <c r="K11251" i="1"/>
  <c r="J11251" i="1"/>
  <c r="I11251" i="1"/>
  <c r="H11251" i="1"/>
  <c r="G11251" i="1"/>
  <c r="M11250" i="1"/>
  <c r="L11250" i="1"/>
  <c r="K11250" i="1"/>
  <c r="J11250" i="1"/>
  <c r="I11250" i="1"/>
  <c r="H11250" i="1"/>
  <c r="G11250" i="1"/>
  <c r="M11249" i="1"/>
  <c r="L11249" i="1"/>
  <c r="K11249" i="1"/>
  <c r="J11249" i="1"/>
  <c r="I11249" i="1"/>
  <c r="H11249" i="1"/>
  <c r="G11249" i="1"/>
  <c r="M11248" i="1"/>
  <c r="L11248" i="1"/>
  <c r="K11248" i="1"/>
  <c r="J11248" i="1"/>
  <c r="I11248" i="1"/>
  <c r="H11248" i="1"/>
  <c r="G11248" i="1"/>
  <c r="M11247" i="1"/>
  <c r="L11247" i="1"/>
  <c r="K11247" i="1"/>
  <c r="J11247" i="1"/>
  <c r="I11247" i="1"/>
  <c r="H11247" i="1"/>
  <c r="G11247" i="1"/>
  <c r="M11246" i="1"/>
  <c r="L11246" i="1"/>
  <c r="K11246" i="1"/>
  <c r="J11246" i="1"/>
  <c r="I11246" i="1"/>
  <c r="H11246" i="1"/>
  <c r="G11246" i="1"/>
  <c r="M11245" i="1"/>
  <c r="L11245" i="1"/>
  <c r="K11245" i="1"/>
  <c r="J11245" i="1"/>
  <c r="I11245" i="1"/>
  <c r="H11245" i="1"/>
  <c r="G11245" i="1"/>
  <c r="M11244" i="1"/>
  <c r="L11244" i="1"/>
  <c r="K11244" i="1"/>
  <c r="J11244" i="1"/>
  <c r="I11244" i="1"/>
  <c r="H11244" i="1"/>
  <c r="G11244" i="1"/>
  <c r="M11243" i="1"/>
  <c r="L11243" i="1"/>
  <c r="K11243" i="1"/>
  <c r="J11243" i="1"/>
  <c r="I11243" i="1"/>
  <c r="H11243" i="1"/>
  <c r="G11243" i="1"/>
  <c r="M11242" i="1"/>
  <c r="L11242" i="1"/>
  <c r="K11242" i="1"/>
  <c r="J11242" i="1"/>
  <c r="I11242" i="1"/>
  <c r="H11242" i="1"/>
  <c r="G11242" i="1"/>
  <c r="M11241" i="1"/>
  <c r="L11241" i="1"/>
  <c r="K11241" i="1"/>
  <c r="J11241" i="1"/>
  <c r="I11241" i="1"/>
  <c r="H11241" i="1"/>
  <c r="G11241" i="1"/>
  <c r="M11240" i="1"/>
  <c r="L11240" i="1"/>
  <c r="K11240" i="1"/>
  <c r="J11240" i="1"/>
  <c r="I11240" i="1"/>
  <c r="H11240" i="1"/>
  <c r="G11240" i="1"/>
  <c r="M11239" i="1"/>
  <c r="L11239" i="1"/>
  <c r="K11239" i="1"/>
  <c r="J11239" i="1"/>
  <c r="I11239" i="1"/>
  <c r="H11239" i="1"/>
  <c r="G11239" i="1"/>
  <c r="M11238" i="1"/>
  <c r="L11238" i="1"/>
  <c r="K11238" i="1"/>
  <c r="J11238" i="1"/>
  <c r="I11238" i="1"/>
  <c r="H11238" i="1"/>
  <c r="G11238" i="1"/>
  <c r="M11237" i="1"/>
  <c r="L11237" i="1"/>
  <c r="K11237" i="1"/>
  <c r="J11237" i="1"/>
  <c r="I11237" i="1"/>
  <c r="H11237" i="1"/>
  <c r="G11237" i="1"/>
  <c r="M11236" i="1"/>
  <c r="L11236" i="1"/>
  <c r="K11236" i="1"/>
  <c r="J11236" i="1"/>
  <c r="I11236" i="1"/>
  <c r="H11236" i="1"/>
  <c r="G11236" i="1"/>
  <c r="M11235" i="1"/>
  <c r="L11235" i="1"/>
  <c r="K11235" i="1"/>
  <c r="J11235" i="1"/>
  <c r="I11235" i="1"/>
  <c r="H11235" i="1"/>
  <c r="G11235" i="1"/>
  <c r="M11234" i="1"/>
  <c r="L11234" i="1"/>
  <c r="K11234" i="1"/>
  <c r="J11234" i="1"/>
  <c r="I11234" i="1"/>
  <c r="H11234" i="1"/>
  <c r="G11234" i="1"/>
  <c r="M11233" i="1"/>
  <c r="L11233" i="1"/>
  <c r="K11233" i="1"/>
  <c r="J11233" i="1"/>
  <c r="I11233" i="1"/>
  <c r="H11233" i="1"/>
  <c r="G11233" i="1"/>
  <c r="M11232" i="1"/>
  <c r="L11232" i="1"/>
  <c r="K11232" i="1"/>
  <c r="J11232" i="1"/>
  <c r="I11232" i="1"/>
  <c r="H11232" i="1"/>
  <c r="G11232" i="1"/>
  <c r="M11231" i="1"/>
  <c r="L11231" i="1"/>
  <c r="K11231" i="1"/>
  <c r="J11231" i="1"/>
  <c r="I11231" i="1"/>
  <c r="H11231" i="1"/>
  <c r="G11231" i="1"/>
  <c r="M11230" i="1"/>
  <c r="L11230" i="1"/>
  <c r="K11230" i="1"/>
  <c r="J11230" i="1"/>
  <c r="I11230" i="1"/>
  <c r="H11230" i="1"/>
  <c r="G11230" i="1"/>
  <c r="M11229" i="1"/>
  <c r="L11229" i="1"/>
  <c r="K11229" i="1"/>
  <c r="J11229" i="1"/>
  <c r="I11229" i="1"/>
  <c r="H11229" i="1"/>
  <c r="G11229" i="1"/>
  <c r="M11228" i="1"/>
  <c r="L11228" i="1"/>
  <c r="K11228" i="1"/>
  <c r="J11228" i="1"/>
  <c r="I11228" i="1"/>
  <c r="H11228" i="1"/>
  <c r="G11228" i="1"/>
  <c r="M11227" i="1"/>
  <c r="L11227" i="1"/>
  <c r="K11227" i="1"/>
  <c r="J11227" i="1"/>
  <c r="I11227" i="1"/>
  <c r="H11227" i="1"/>
  <c r="G11227" i="1"/>
  <c r="M11226" i="1"/>
  <c r="L11226" i="1"/>
  <c r="K11226" i="1"/>
  <c r="J11226" i="1"/>
  <c r="I11226" i="1"/>
  <c r="H11226" i="1"/>
  <c r="G11226" i="1"/>
  <c r="M11225" i="1"/>
  <c r="L11225" i="1"/>
  <c r="K11225" i="1"/>
  <c r="J11225" i="1"/>
  <c r="I11225" i="1"/>
  <c r="H11225" i="1"/>
  <c r="G11225" i="1"/>
  <c r="M11224" i="1"/>
  <c r="L11224" i="1"/>
  <c r="K11224" i="1"/>
  <c r="J11224" i="1"/>
  <c r="I11224" i="1"/>
  <c r="H11224" i="1"/>
  <c r="G11224" i="1"/>
  <c r="M11223" i="1"/>
  <c r="L11223" i="1"/>
  <c r="K11223" i="1"/>
  <c r="J11223" i="1"/>
  <c r="I11223" i="1"/>
  <c r="H11223" i="1"/>
  <c r="G11223" i="1"/>
  <c r="M11222" i="1"/>
  <c r="L11222" i="1"/>
  <c r="K11222" i="1"/>
  <c r="J11222" i="1"/>
  <c r="I11222" i="1"/>
  <c r="H11222" i="1"/>
  <c r="G11222" i="1"/>
  <c r="M11221" i="1"/>
  <c r="L11221" i="1"/>
  <c r="K11221" i="1"/>
  <c r="J11221" i="1"/>
  <c r="I11221" i="1"/>
  <c r="H11221" i="1"/>
  <c r="G11221" i="1"/>
  <c r="M11220" i="1"/>
  <c r="L11220" i="1"/>
  <c r="K11220" i="1"/>
  <c r="J11220" i="1"/>
  <c r="I11220" i="1"/>
  <c r="H11220" i="1"/>
  <c r="G11220" i="1"/>
  <c r="M11219" i="1"/>
  <c r="L11219" i="1"/>
  <c r="K11219" i="1"/>
  <c r="J11219" i="1"/>
  <c r="I11219" i="1"/>
  <c r="H11219" i="1"/>
  <c r="G11219" i="1"/>
  <c r="M11218" i="1"/>
  <c r="L11218" i="1"/>
  <c r="K11218" i="1"/>
  <c r="J11218" i="1"/>
  <c r="I11218" i="1"/>
  <c r="H11218" i="1"/>
  <c r="G11218" i="1"/>
  <c r="M11217" i="1"/>
  <c r="L11217" i="1"/>
  <c r="K11217" i="1"/>
  <c r="J11217" i="1"/>
  <c r="I11217" i="1"/>
  <c r="H11217" i="1"/>
  <c r="G11217" i="1"/>
  <c r="M11216" i="1"/>
  <c r="L11216" i="1"/>
  <c r="K11216" i="1"/>
  <c r="J11216" i="1"/>
  <c r="I11216" i="1"/>
  <c r="H11216" i="1"/>
  <c r="G11216" i="1"/>
  <c r="M11215" i="1"/>
  <c r="L11215" i="1"/>
  <c r="K11215" i="1"/>
  <c r="J11215" i="1"/>
  <c r="I11215" i="1"/>
  <c r="H11215" i="1"/>
  <c r="G11215" i="1"/>
  <c r="M11214" i="1"/>
  <c r="L11214" i="1"/>
  <c r="K11214" i="1"/>
  <c r="J11214" i="1"/>
  <c r="I11214" i="1"/>
  <c r="H11214" i="1"/>
  <c r="G11214" i="1"/>
  <c r="M11213" i="1"/>
  <c r="L11213" i="1"/>
  <c r="K11213" i="1"/>
  <c r="J11213" i="1"/>
  <c r="I11213" i="1"/>
  <c r="H11213" i="1"/>
  <c r="G11213" i="1"/>
  <c r="M11212" i="1"/>
  <c r="L11212" i="1"/>
  <c r="K11212" i="1"/>
  <c r="J11212" i="1"/>
  <c r="I11212" i="1"/>
  <c r="H11212" i="1"/>
  <c r="G11212" i="1"/>
  <c r="M11211" i="1"/>
  <c r="L11211" i="1"/>
  <c r="K11211" i="1"/>
  <c r="J11211" i="1"/>
  <c r="I11211" i="1"/>
  <c r="H11211" i="1"/>
  <c r="G11211" i="1"/>
  <c r="M11210" i="1"/>
  <c r="L11210" i="1"/>
  <c r="K11210" i="1"/>
  <c r="J11210" i="1"/>
  <c r="I11210" i="1"/>
  <c r="H11210" i="1"/>
  <c r="G11210" i="1"/>
  <c r="M11209" i="1"/>
  <c r="L11209" i="1"/>
  <c r="K11209" i="1"/>
  <c r="J11209" i="1"/>
  <c r="I11209" i="1"/>
  <c r="H11209" i="1"/>
  <c r="G11209" i="1"/>
  <c r="M11208" i="1"/>
  <c r="L11208" i="1"/>
  <c r="K11208" i="1"/>
  <c r="J11208" i="1"/>
  <c r="I11208" i="1"/>
  <c r="H11208" i="1"/>
  <c r="G11208" i="1"/>
  <c r="M11207" i="1"/>
  <c r="L11207" i="1"/>
  <c r="K11207" i="1"/>
  <c r="J11207" i="1"/>
  <c r="I11207" i="1"/>
  <c r="H11207" i="1"/>
  <c r="G11207" i="1"/>
  <c r="M11206" i="1"/>
  <c r="L11206" i="1"/>
  <c r="K11206" i="1"/>
  <c r="J11206" i="1"/>
  <c r="I11206" i="1"/>
  <c r="H11206" i="1"/>
  <c r="G11206" i="1"/>
  <c r="M11205" i="1"/>
  <c r="L11205" i="1"/>
  <c r="K11205" i="1"/>
  <c r="J11205" i="1"/>
  <c r="I11205" i="1"/>
  <c r="H11205" i="1"/>
  <c r="G11205" i="1"/>
  <c r="M11204" i="1"/>
  <c r="L11204" i="1"/>
  <c r="K11204" i="1"/>
  <c r="J11204" i="1"/>
  <c r="I11204" i="1"/>
  <c r="H11204" i="1"/>
  <c r="G11204" i="1"/>
  <c r="M11203" i="1"/>
  <c r="L11203" i="1"/>
  <c r="K11203" i="1"/>
  <c r="J11203" i="1"/>
  <c r="I11203" i="1"/>
  <c r="H11203" i="1"/>
  <c r="G11203" i="1"/>
  <c r="M11202" i="1"/>
  <c r="L11202" i="1"/>
  <c r="K11202" i="1"/>
  <c r="J11202" i="1"/>
  <c r="I11202" i="1"/>
  <c r="H11202" i="1"/>
  <c r="G11202" i="1"/>
  <c r="M11201" i="1"/>
  <c r="L11201" i="1"/>
  <c r="K11201" i="1"/>
  <c r="J11201" i="1"/>
  <c r="I11201" i="1"/>
  <c r="H11201" i="1"/>
  <c r="G11201" i="1"/>
  <c r="M11200" i="1"/>
  <c r="L11200" i="1"/>
  <c r="K11200" i="1"/>
  <c r="J11200" i="1"/>
  <c r="I11200" i="1"/>
  <c r="H11200" i="1"/>
  <c r="G11200" i="1"/>
  <c r="M11199" i="1"/>
  <c r="L11199" i="1"/>
  <c r="K11199" i="1"/>
  <c r="J11199" i="1"/>
  <c r="I11199" i="1"/>
  <c r="H11199" i="1"/>
  <c r="G11199" i="1"/>
  <c r="M11198" i="1"/>
  <c r="L11198" i="1"/>
  <c r="K11198" i="1"/>
  <c r="J11198" i="1"/>
  <c r="I11198" i="1"/>
  <c r="H11198" i="1"/>
  <c r="G11198" i="1"/>
  <c r="M11197" i="1"/>
  <c r="L11197" i="1"/>
  <c r="K11197" i="1"/>
  <c r="J11197" i="1"/>
  <c r="I11197" i="1"/>
  <c r="H11197" i="1"/>
  <c r="G11197" i="1"/>
  <c r="M11196" i="1"/>
  <c r="L11196" i="1"/>
  <c r="K11196" i="1"/>
  <c r="J11196" i="1"/>
  <c r="I11196" i="1"/>
  <c r="H11196" i="1"/>
  <c r="G11196" i="1"/>
  <c r="M11195" i="1"/>
  <c r="L11195" i="1"/>
  <c r="K11195" i="1"/>
  <c r="J11195" i="1"/>
  <c r="I11195" i="1"/>
  <c r="H11195" i="1"/>
  <c r="G11195" i="1"/>
  <c r="M11194" i="1"/>
  <c r="L11194" i="1"/>
  <c r="K11194" i="1"/>
  <c r="J11194" i="1"/>
  <c r="I11194" i="1"/>
  <c r="H11194" i="1"/>
  <c r="G11194" i="1"/>
  <c r="M11193" i="1"/>
  <c r="L11193" i="1"/>
  <c r="K11193" i="1"/>
  <c r="J11193" i="1"/>
  <c r="I11193" i="1"/>
  <c r="H11193" i="1"/>
  <c r="G11193" i="1"/>
  <c r="M11192" i="1"/>
  <c r="L11192" i="1"/>
  <c r="K11192" i="1"/>
  <c r="J11192" i="1"/>
  <c r="I11192" i="1"/>
  <c r="H11192" i="1"/>
  <c r="G11192" i="1"/>
  <c r="M11191" i="1"/>
  <c r="L11191" i="1"/>
  <c r="K11191" i="1"/>
  <c r="J11191" i="1"/>
  <c r="I11191" i="1"/>
  <c r="H11191" i="1"/>
  <c r="G11191" i="1"/>
  <c r="M11190" i="1"/>
  <c r="L11190" i="1"/>
  <c r="K11190" i="1"/>
  <c r="J11190" i="1"/>
  <c r="I11190" i="1"/>
  <c r="H11190" i="1"/>
  <c r="G11190" i="1"/>
  <c r="M11189" i="1"/>
  <c r="L11189" i="1"/>
  <c r="K11189" i="1"/>
  <c r="J11189" i="1"/>
  <c r="I11189" i="1"/>
  <c r="H11189" i="1"/>
  <c r="G11189" i="1"/>
  <c r="M11188" i="1"/>
  <c r="L11188" i="1"/>
  <c r="K11188" i="1"/>
  <c r="J11188" i="1"/>
  <c r="I11188" i="1"/>
  <c r="H11188" i="1"/>
  <c r="G11188" i="1"/>
  <c r="M11187" i="1"/>
  <c r="L11187" i="1"/>
  <c r="K11187" i="1"/>
  <c r="J11187" i="1"/>
  <c r="I11187" i="1"/>
  <c r="H11187" i="1"/>
  <c r="G11187" i="1"/>
  <c r="M11186" i="1"/>
  <c r="L11186" i="1"/>
  <c r="K11186" i="1"/>
  <c r="J11186" i="1"/>
  <c r="I11186" i="1"/>
  <c r="H11186" i="1"/>
  <c r="G11186" i="1"/>
  <c r="M11185" i="1"/>
  <c r="L11185" i="1"/>
  <c r="K11185" i="1"/>
  <c r="J11185" i="1"/>
  <c r="I11185" i="1"/>
  <c r="H11185" i="1"/>
  <c r="G11185" i="1"/>
  <c r="M11184" i="1"/>
  <c r="L11184" i="1"/>
  <c r="K11184" i="1"/>
  <c r="J11184" i="1"/>
  <c r="I11184" i="1"/>
  <c r="H11184" i="1"/>
  <c r="G11184" i="1"/>
  <c r="M11183" i="1"/>
  <c r="L11183" i="1"/>
  <c r="K11183" i="1"/>
  <c r="J11183" i="1"/>
  <c r="I11183" i="1"/>
  <c r="H11183" i="1"/>
  <c r="G11183" i="1"/>
  <c r="M11182" i="1"/>
  <c r="L11182" i="1"/>
  <c r="K11182" i="1"/>
  <c r="J11182" i="1"/>
  <c r="I11182" i="1"/>
  <c r="H11182" i="1"/>
  <c r="G11182" i="1"/>
  <c r="M11181" i="1"/>
  <c r="L11181" i="1"/>
  <c r="K11181" i="1"/>
  <c r="J11181" i="1"/>
  <c r="I11181" i="1"/>
  <c r="H11181" i="1"/>
  <c r="G11181" i="1"/>
  <c r="M11180" i="1"/>
  <c r="L11180" i="1"/>
  <c r="K11180" i="1"/>
  <c r="J11180" i="1"/>
  <c r="I11180" i="1"/>
  <c r="H11180" i="1"/>
  <c r="G11180" i="1"/>
  <c r="M11179" i="1"/>
  <c r="L11179" i="1"/>
  <c r="K11179" i="1"/>
  <c r="J11179" i="1"/>
  <c r="I11179" i="1"/>
  <c r="H11179" i="1"/>
  <c r="G11179" i="1"/>
  <c r="M11178" i="1"/>
  <c r="L11178" i="1"/>
  <c r="K11178" i="1"/>
  <c r="J11178" i="1"/>
  <c r="I11178" i="1"/>
  <c r="H11178" i="1"/>
  <c r="G11178" i="1"/>
  <c r="M11177" i="1"/>
  <c r="L11177" i="1"/>
  <c r="K11177" i="1"/>
  <c r="J11177" i="1"/>
  <c r="I11177" i="1"/>
  <c r="H11177" i="1"/>
  <c r="G11177" i="1"/>
  <c r="M11176" i="1"/>
  <c r="L11176" i="1"/>
  <c r="K11176" i="1"/>
  <c r="J11176" i="1"/>
  <c r="I11176" i="1"/>
  <c r="H11176" i="1"/>
  <c r="G11176" i="1"/>
  <c r="M11175" i="1"/>
  <c r="L11175" i="1"/>
  <c r="K11175" i="1"/>
  <c r="J11175" i="1"/>
  <c r="I11175" i="1"/>
  <c r="H11175" i="1"/>
  <c r="G11175" i="1"/>
  <c r="M11174" i="1"/>
  <c r="L11174" i="1"/>
  <c r="K11174" i="1"/>
  <c r="J11174" i="1"/>
  <c r="I11174" i="1"/>
  <c r="H11174" i="1"/>
  <c r="G11174" i="1"/>
  <c r="M11173" i="1"/>
  <c r="L11173" i="1"/>
  <c r="K11173" i="1"/>
  <c r="J11173" i="1"/>
  <c r="I11173" i="1"/>
  <c r="H11173" i="1"/>
  <c r="G11173" i="1"/>
  <c r="M11172" i="1"/>
  <c r="L11172" i="1"/>
  <c r="K11172" i="1"/>
  <c r="J11172" i="1"/>
  <c r="I11172" i="1"/>
  <c r="H11172" i="1"/>
  <c r="G11172" i="1"/>
  <c r="M11171" i="1"/>
  <c r="L11171" i="1"/>
  <c r="K11171" i="1"/>
  <c r="J11171" i="1"/>
  <c r="I11171" i="1"/>
  <c r="H11171" i="1"/>
  <c r="G11171" i="1"/>
  <c r="M11170" i="1"/>
  <c r="L11170" i="1"/>
  <c r="K11170" i="1"/>
  <c r="J11170" i="1"/>
  <c r="I11170" i="1"/>
  <c r="H11170" i="1"/>
  <c r="G11170" i="1"/>
  <c r="M11169" i="1"/>
  <c r="L11169" i="1"/>
  <c r="K11169" i="1"/>
  <c r="J11169" i="1"/>
  <c r="I11169" i="1"/>
  <c r="H11169" i="1"/>
  <c r="G11169" i="1"/>
  <c r="M11168" i="1"/>
  <c r="L11168" i="1"/>
  <c r="K11168" i="1"/>
  <c r="J11168" i="1"/>
  <c r="I11168" i="1"/>
  <c r="H11168" i="1"/>
  <c r="G11168" i="1"/>
  <c r="M11167" i="1"/>
  <c r="L11167" i="1"/>
  <c r="K11167" i="1"/>
  <c r="J11167" i="1"/>
  <c r="I11167" i="1"/>
  <c r="H11167" i="1"/>
  <c r="G11167" i="1"/>
  <c r="M11166" i="1"/>
  <c r="L11166" i="1"/>
  <c r="K11166" i="1"/>
  <c r="J11166" i="1"/>
  <c r="I11166" i="1"/>
  <c r="H11166" i="1"/>
  <c r="G11166" i="1"/>
  <c r="M11165" i="1"/>
  <c r="L11165" i="1"/>
  <c r="K11165" i="1"/>
  <c r="J11165" i="1"/>
  <c r="I11165" i="1"/>
  <c r="H11165" i="1"/>
  <c r="G11165" i="1"/>
  <c r="M11164" i="1"/>
  <c r="L11164" i="1"/>
  <c r="K11164" i="1"/>
  <c r="J11164" i="1"/>
  <c r="I11164" i="1"/>
  <c r="H11164" i="1"/>
  <c r="G11164" i="1"/>
  <c r="M11163" i="1"/>
  <c r="L11163" i="1"/>
  <c r="K11163" i="1"/>
  <c r="J11163" i="1"/>
  <c r="I11163" i="1"/>
  <c r="H11163" i="1"/>
  <c r="G11163" i="1"/>
  <c r="M11162" i="1"/>
  <c r="L11162" i="1"/>
  <c r="K11162" i="1"/>
  <c r="J11162" i="1"/>
  <c r="I11162" i="1"/>
  <c r="H11162" i="1"/>
  <c r="G11162" i="1"/>
  <c r="M11161" i="1"/>
  <c r="L11161" i="1"/>
  <c r="K11161" i="1"/>
  <c r="J11161" i="1"/>
  <c r="I11161" i="1"/>
  <c r="H11161" i="1"/>
  <c r="G11161" i="1"/>
  <c r="M11160" i="1"/>
  <c r="L11160" i="1"/>
  <c r="K11160" i="1"/>
  <c r="J11160" i="1"/>
  <c r="I11160" i="1"/>
  <c r="H11160" i="1"/>
  <c r="G11160" i="1"/>
  <c r="M11159" i="1"/>
  <c r="L11159" i="1"/>
  <c r="K11159" i="1"/>
  <c r="J11159" i="1"/>
  <c r="I11159" i="1"/>
  <c r="H11159" i="1"/>
  <c r="G11159" i="1"/>
  <c r="M11158" i="1"/>
  <c r="L11158" i="1"/>
  <c r="K11158" i="1"/>
  <c r="J11158" i="1"/>
  <c r="I11158" i="1"/>
  <c r="H11158" i="1"/>
  <c r="G11158" i="1"/>
  <c r="M11157" i="1"/>
  <c r="L11157" i="1"/>
  <c r="K11157" i="1"/>
  <c r="J11157" i="1"/>
  <c r="I11157" i="1"/>
  <c r="H11157" i="1"/>
  <c r="G11157" i="1"/>
  <c r="M11156" i="1"/>
  <c r="L11156" i="1"/>
  <c r="K11156" i="1"/>
  <c r="J11156" i="1"/>
  <c r="I11156" i="1"/>
  <c r="H11156" i="1"/>
  <c r="G11156" i="1"/>
  <c r="M11155" i="1"/>
  <c r="L11155" i="1"/>
  <c r="K11155" i="1"/>
  <c r="J11155" i="1"/>
  <c r="I11155" i="1"/>
  <c r="H11155" i="1"/>
  <c r="G11155" i="1"/>
  <c r="M11154" i="1"/>
  <c r="L11154" i="1"/>
  <c r="K11154" i="1"/>
  <c r="J11154" i="1"/>
  <c r="I11154" i="1"/>
  <c r="H11154" i="1"/>
  <c r="G11154" i="1"/>
  <c r="M11153" i="1"/>
  <c r="L11153" i="1"/>
  <c r="K11153" i="1"/>
  <c r="J11153" i="1"/>
  <c r="I11153" i="1"/>
  <c r="H11153" i="1"/>
  <c r="G11153" i="1"/>
  <c r="M11152" i="1"/>
  <c r="L11152" i="1"/>
  <c r="K11152" i="1"/>
  <c r="J11152" i="1"/>
  <c r="I11152" i="1"/>
  <c r="H11152" i="1"/>
  <c r="G11152" i="1"/>
  <c r="M11151" i="1"/>
  <c r="L11151" i="1"/>
  <c r="K11151" i="1"/>
  <c r="J11151" i="1"/>
  <c r="I11151" i="1"/>
  <c r="H11151" i="1"/>
  <c r="G11151" i="1"/>
  <c r="M11150" i="1"/>
  <c r="L11150" i="1"/>
  <c r="K11150" i="1"/>
  <c r="J11150" i="1"/>
  <c r="I11150" i="1"/>
  <c r="H11150" i="1"/>
  <c r="G11150" i="1"/>
  <c r="M11149" i="1"/>
  <c r="L11149" i="1"/>
  <c r="K11149" i="1"/>
  <c r="J11149" i="1"/>
  <c r="I11149" i="1"/>
  <c r="H11149" i="1"/>
  <c r="G11149" i="1"/>
  <c r="M11148" i="1"/>
  <c r="L11148" i="1"/>
  <c r="K11148" i="1"/>
  <c r="J11148" i="1"/>
  <c r="I11148" i="1"/>
  <c r="H11148" i="1"/>
  <c r="G11148" i="1"/>
  <c r="M11147" i="1"/>
  <c r="L11147" i="1"/>
  <c r="K11147" i="1"/>
  <c r="J11147" i="1"/>
  <c r="I11147" i="1"/>
  <c r="H11147" i="1"/>
  <c r="G11147" i="1"/>
  <c r="M11146" i="1"/>
  <c r="L11146" i="1"/>
  <c r="K11146" i="1"/>
  <c r="J11146" i="1"/>
  <c r="I11146" i="1"/>
  <c r="H11146" i="1"/>
  <c r="G11146" i="1"/>
  <c r="M11145" i="1"/>
  <c r="L11145" i="1"/>
  <c r="K11145" i="1"/>
  <c r="J11145" i="1"/>
  <c r="I11145" i="1"/>
  <c r="H11145" i="1"/>
  <c r="G11145" i="1"/>
  <c r="M11144" i="1"/>
  <c r="L11144" i="1"/>
  <c r="K11144" i="1"/>
  <c r="J11144" i="1"/>
  <c r="I11144" i="1"/>
  <c r="H11144" i="1"/>
  <c r="G11144" i="1"/>
  <c r="M11143" i="1"/>
  <c r="L11143" i="1"/>
  <c r="K11143" i="1"/>
  <c r="J11143" i="1"/>
  <c r="I11143" i="1"/>
  <c r="H11143" i="1"/>
  <c r="G11143" i="1"/>
  <c r="M11142" i="1"/>
  <c r="L11142" i="1"/>
  <c r="K11142" i="1"/>
  <c r="J11142" i="1"/>
  <c r="I11142" i="1"/>
  <c r="H11142" i="1"/>
  <c r="G11142" i="1"/>
  <c r="M11141" i="1"/>
  <c r="L11141" i="1"/>
  <c r="K11141" i="1"/>
  <c r="J11141" i="1"/>
  <c r="I11141" i="1"/>
  <c r="H11141" i="1"/>
  <c r="G11141" i="1"/>
  <c r="M11140" i="1"/>
  <c r="L11140" i="1"/>
  <c r="K11140" i="1"/>
  <c r="J11140" i="1"/>
  <c r="I11140" i="1"/>
  <c r="H11140" i="1"/>
  <c r="G11140" i="1"/>
  <c r="M11139" i="1"/>
  <c r="L11139" i="1"/>
  <c r="K11139" i="1"/>
  <c r="J11139" i="1"/>
  <c r="I11139" i="1"/>
  <c r="H11139" i="1"/>
  <c r="G11139" i="1"/>
  <c r="M11138" i="1"/>
  <c r="L11138" i="1"/>
  <c r="K11138" i="1"/>
  <c r="J11138" i="1"/>
  <c r="I11138" i="1"/>
  <c r="H11138" i="1"/>
  <c r="G11138" i="1"/>
  <c r="M11137" i="1"/>
  <c r="L11137" i="1"/>
  <c r="K11137" i="1"/>
  <c r="J11137" i="1"/>
  <c r="I11137" i="1"/>
  <c r="H11137" i="1"/>
  <c r="G11137" i="1"/>
  <c r="M11136" i="1"/>
  <c r="L11136" i="1"/>
  <c r="K11136" i="1"/>
  <c r="J11136" i="1"/>
  <c r="I11136" i="1"/>
  <c r="H11136" i="1"/>
  <c r="G11136" i="1"/>
  <c r="M11135" i="1"/>
  <c r="L11135" i="1"/>
  <c r="K11135" i="1"/>
  <c r="J11135" i="1"/>
  <c r="I11135" i="1"/>
  <c r="H11135" i="1"/>
  <c r="G11135" i="1"/>
  <c r="M11134" i="1"/>
  <c r="L11134" i="1"/>
  <c r="K11134" i="1"/>
  <c r="J11134" i="1"/>
  <c r="I11134" i="1"/>
  <c r="H11134" i="1"/>
  <c r="G11134" i="1"/>
  <c r="M11133" i="1"/>
  <c r="L11133" i="1"/>
  <c r="K11133" i="1"/>
  <c r="J11133" i="1"/>
  <c r="I11133" i="1"/>
  <c r="H11133" i="1"/>
  <c r="G11133" i="1"/>
  <c r="M11132" i="1"/>
  <c r="L11132" i="1"/>
  <c r="K11132" i="1"/>
  <c r="J11132" i="1"/>
  <c r="I11132" i="1"/>
  <c r="H11132" i="1"/>
  <c r="G11132" i="1"/>
  <c r="M11131" i="1"/>
  <c r="L11131" i="1"/>
  <c r="K11131" i="1"/>
  <c r="J11131" i="1"/>
  <c r="I11131" i="1"/>
  <c r="H11131" i="1"/>
  <c r="G11131" i="1"/>
  <c r="M11130" i="1"/>
  <c r="L11130" i="1"/>
  <c r="K11130" i="1"/>
  <c r="J11130" i="1"/>
  <c r="I11130" i="1"/>
  <c r="H11130" i="1"/>
  <c r="G11130" i="1"/>
  <c r="M11129" i="1"/>
  <c r="L11129" i="1"/>
  <c r="K11129" i="1"/>
  <c r="J11129" i="1"/>
  <c r="I11129" i="1"/>
  <c r="H11129" i="1"/>
  <c r="G11129" i="1"/>
  <c r="M11128" i="1"/>
  <c r="L11128" i="1"/>
  <c r="K11128" i="1"/>
  <c r="J11128" i="1"/>
  <c r="I11128" i="1"/>
  <c r="H11128" i="1"/>
  <c r="G11128" i="1"/>
  <c r="M11127" i="1"/>
  <c r="L11127" i="1"/>
  <c r="K11127" i="1"/>
  <c r="J11127" i="1"/>
  <c r="I11127" i="1"/>
  <c r="H11127" i="1"/>
  <c r="G11127" i="1"/>
  <c r="M11126" i="1"/>
  <c r="L11126" i="1"/>
  <c r="K11126" i="1"/>
  <c r="J11126" i="1"/>
  <c r="I11126" i="1"/>
  <c r="H11126" i="1"/>
  <c r="G11126" i="1"/>
  <c r="M11125" i="1"/>
  <c r="L11125" i="1"/>
  <c r="K11125" i="1"/>
  <c r="J11125" i="1"/>
  <c r="I11125" i="1"/>
  <c r="H11125" i="1"/>
  <c r="G11125" i="1"/>
  <c r="M11124" i="1"/>
  <c r="L11124" i="1"/>
  <c r="K11124" i="1"/>
  <c r="J11124" i="1"/>
  <c r="I11124" i="1"/>
  <c r="H11124" i="1"/>
  <c r="G11124" i="1"/>
  <c r="M11123" i="1"/>
  <c r="L11123" i="1"/>
  <c r="K11123" i="1"/>
  <c r="J11123" i="1"/>
  <c r="I11123" i="1"/>
  <c r="H11123" i="1"/>
  <c r="G11123" i="1"/>
  <c r="M11122" i="1"/>
  <c r="L11122" i="1"/>
  <c r="K11122" i="1"/>
  <c r="J11122" i="1"/>
  <c r="I11122" i="1"/>
  <c r="H11122" i="1"/>
  <c r="G11122" i="1"/>
  <c r="M11121" i="1"/>
  <c r="L11121" i="1"/>
  <c r="K11121" i="1"/>
  <c r="J11121" i="1"/>
  <c r="I11121" i="1"/>
  <c r="H11121" i="1"/>
  <c r="G11121" i="1"/>
  <c r="M11120" i="1"/>
  <c r="L11120" i="1"/>
  <c r="K11120" i="1"/>
  <c r="J11120" i="1"/>
  <c r="I11120" i="1"/>
  <c r="H11120" i="1"/>
  <c r="G11120" i="1"/>
  <c r="M11119" i="1"/>
  <c r="L11119" i="1"/>
  <c r="K11119" i="1"/>
  <c r="J11119" i="1"/>
  <c r="I11119" i="1"/>
  <c r="H11119" i="1"/>
  <c r="G11119" i="1"/>
  <c r="M11118" i="1"/>
  <c r="L11118" i="1"/>
  <c r="K11118" i="1"/>
  <c r="J11118" i="1"/>
  <c r="I11118" i="1"/>
  <c r="H11118" i="1"/>
  <c r="G11118" i="1"/>
  <c r="M11117" i="1"/>
  <c r="L11117" i="1"/>
  <c r="K11117" i="1"/>
  <c r="J11117" i="1"/>
  <c r="I11117" i="1"/>
  <c r="H11117" i="1"/>
  <c r="G11117" i="1"/>
  <c r="M11116" i="1"/>
  <c r="L11116" i="1"/>
  <c r="K11116" i="1"/>
  <c r="J11116" i="1"/>
  <c r="I11116" i="1"/>
  <c r="H11116" i="1"/>
  <c r="G11116" i="1"/>
  <c r="M11115" i="1"/>
  <c r="L11115" i="1"/>
  <c r="K11115" i="1"/>
  <c r="J11115" i="1"/>
  <c r="I11115" i="1"/>
  <c r="H11115" i="1"/>
  <c r="G11115" i="1"/>
  <c r="M11114" i="1"/>
  <c r="L11114" i="1"/>
  <c r="K11114" i="1"/>
  <c r="J11114" i="1"/>
  <c r="I11114" i="1"/>
  <c r="H11114" i="1"/>
  <c r="G11114" i="1"/>
  <c r="M11113" i="1"/>
  <c r="L11113" i="1"/>
  <c r="K11113" i="1"/>
  <c r="J11113" i="1"/>
  <c r="I11113" i="1"/>
  <c r="H11113" i="1"/>
  <c r="G11113" i="1"/>
  <c r="M11112" i="1"/>
  <c r="L11112" i="1"/>
  <c r="K11112" i="1"/>
  <c r="J11112" i="1"/>
  <c r="I11112" i="1"/>
  <c r="H11112" i="1"/>
  <c r="G11112" i="1"/>
  <c r="M11111" i="1"/>
  <c r="L11111" i="1"/>
  <c r="K11111" i="1"/>
  <c r="J11111" i="1"/>
  <c r="I11111" i="1"/>
  <c r="H11111" i="1"/>
  <c r="G11111" i="1"/>
  <c r="M11110" i="1"/>
  <c r="L11110" i="1"/>
  <c r="K11110" i="1"/>
  <c r="J11110" i="1"/>
  <c r="I11110" i="1"/>
  <c r="H11110" i="1"/>
  <c r="G11110" i="1"/>
  <c r="M11109" i="1"/>
  <c r="L11109" i="1"/>
  <c r="K11109" i="1"/>
  <c r="J11109" i="1"/>
  <c r="I11109" i="1"/>
  <c r="H11109" i="1"/>
  <c r="G11109" i="1"/>
  <c r="M11108" i="1"/>
  <c r="L11108" i="1"/>
  <c r="K11108" i="1"/>
  <c r="J11108" i="1"/>
  <c r="I11108" i="1"/>
  <c r="H11108" i="1"/>
  <c r="G11108" i="1"/>
  <c r="M11107" i="1"/>
  <c r="L11107" i="1"/>
  <c r="K11107" i="1"/>
  <c r="J11107" i="1"/>
  <c r="I11107" i="1"/>
  <c r="H11107" i="1"/>
  <c r="G11107" i="1"/>
  <c r="M11106" i="1"/>
  <c r="L11106" i="1"/>
  <c r="K11106" i="1"/>
  <c r="J11106" i="1"/>
  <c r="I11106" i="1"/>
  <c r="H11106" i="1"/>
  <c r="G11106" i="1"/>
  <c r="M11105" i="1"/>
  <c r="L11105" i="1"/>
  <c r="K11105" i="1"/>
  <c r="J11105" i="1"/>
  <c r="I11105" i="1"/>
  <c r="H11105" i="1"/>
  <c r="G11105" i="1"/>
  <c r="M11104" i="1"/>
  <c r="L11104" i="1"/>
  <c r="K11104" i="1"/>
  <c r="J11104" i="1"/>
  <c r="I11104" i="1"/>
  <c r="H11104" i="1"/>
  <c r="G11104" i="1"/>
  <c r="M11103" i="1"/>
  <c r="L11103" i="1"/>
  <c r="K11103" i="1"/>
  <c r="J11103" i="1"/>
  <c r="I11103" i="1"/>
  <c r="H11103" i="1"/>
  <c r="G11103" i="1"/>
  <c r="M11102" i="1"/>
  <c r="L11102" i="1"/>
  <c r="K11102" i="1"/>
  <c r="J11102" i="1"/>
  <c r="I11102" i="1"/>
  <c r="H11102" i="1"/>
  <c r="G11102" i="1"/>
  <c r="M11101" i="1"/>
  <c r="L11101" i="1"/>
  <c r="K11101" i="1"/>
  <c r="J11101" i="1"/>
  <c r="I11101" i="1"/>
  <c r="H11101" i="1"/>
  <c r="G11101" i="1"/>
  <c r="M11100" i="1"/>
  <c r="L11100" i="1"/>
  <c r="K11100" i="1"/>
  <c r="J11100" i="1"/>
  <c r="I11100" i="1"/>
  <c r="H11100" i="1"/>
  <c r="G11100" i="1"/>
  <c r="M11099" i="1"/>
  <c r="L11099" i="1"/>
  <c r="K11099" i="1"/>
  <c r="J11099" i="1"/>
  <c r="I11099" i="1"/>
  <c r="H11099" i="1"/>
  <c r="G11099" i="1"/>
  <c r="M11098" i="1"/>
  <c r="L11098" i="1"/>
  <c r="K11098" i="1"/>
  <c r="J11098" i="1"/>
  <c r="I11098" i="1"/>
  <c r="H11098" i="1"/>
  <c r="G11098" i="1"/>
  <c r="M11097" i="1"/>
  <c r="L11097" i="1"/>
  <c r="K11097" i="1"/>
  <c r="J11097" i="1"/>
  <c r="I11097" i="1"/>
  <c r="H11097" i="1"/>
  <c r="G11097" i="1"/>
  <c r="M11096" i="1"/>
  <c r="L11096" i="1"/>
  <c r="K11096" i="1"/>
  <c r="J11096" i="1"/>
  <c r="I11096" i="1"/>
  <c r="H11096" i="1"/>
  <c r="G11096" i="1"/>
  <c r="M11095" i="1"/>
  <c r="L11095" i="1"/>
  <c r="K11095" i="1"/>
  <c r="J11095" i="1"/>
  <c r="I11095" i="1"/>
  <c r="H11095" i="1"/>
  <c r="G11095" i="1"/>
  <c r="M11094" i="1"/>
  <c r="L11094" i="1"/>
  <c r="K11094" i="1"/>
  <c r="J11094" i="1"/>
  <c r="I11094" i="1"/>
  <c r="H11094" i="1"/>
  <c r="G11094" i="1"/>
  <c r="M11093" i="1"/>
  <c r="L11093" i="1"/>
  <c r="K11093" i="1"/>
  <c r="J11093" i="1"/>
  <c r="I11093" i="1"/>
  <c r="H11093" i="1"/>
  <c r="G11093" i="1"/>
  <c r="M11092" i="1"/>
  <c r="L11092" i="1"/>
  <c r="K11092" i="1"/>
  <c r="J11092" i="1"/>
  <c r="I11092" i="1"/>
  <c r="H11092" i="1"/>
  <c r="G11092" i="1"/>
  <c r="M11091" i="1"/>
  <c r="L11091" i="1"/>
  <c r="K11091" i="1"/>
  <c r="J11091" i="1"/>
  <c r="I11091" i="1"/>
  <c r="H11091" i="1"/>
  <c r="G11091" i="1"/>
  <c r="M11090" i="1"/>
  <c r="L11090" i="1"/>
  <c r="K11090" i="1"/>
  <c r="J11090" i="1"/>
  <c r="I11090" i="1"/>
  <c r="H11090" i="1"/>
  <c r="G11090" i="1"/>
  <c r="M11089" i="1"/>
  <c r="L11089" i="1"/>
  <c r="K11089" i="1"/>
  <c r="J11089" i="1"/>
  <c r="I11089" i="1"/>
  <c r="H11089" i="1"/>
  <c r="G11089" i="1"/>
  <c r="M11088" i="1"/>
  <c r="L11088" i="1"/>
  <c r="K11088" i="1"/>
  <c r="J11088" i="1"/>
  <c r="I11088" i="1"/>
  <c r="H11088" i="1"/>
  <c r="G11088" i="1"/>
  <c r="M11087" i="1"/>
  <c r="L11087" i="1"/>
  <c r="K11087" i="1"/>
  <c r="J11087" i="1"/>
  <c r="I11087" i="1"/>
  <c r="H11087" i="1"/>
  <c r="G11087" i="1"/>
  <c r="M11086" i="1"/>
  <c r="L11086" i="1"/>
  <c r="K11086" i="1"/>
  <c r="J11086" i="1"/>
  <c r="I11086" i="1"/>
  <c r="H11086" i="1"/>
  <c r="G11086" i="1"/>
  <c r="M11085" i="1"/>
  <c r="L11085" i="1"/>
  <c r="K11085" i="1"/>
  <c r="J11085" i="1"/>
  <c r="I11085" i="1"/>
  <c r="H11085" i="1"/>
  <c r="G11085" i="1"/>
  <c r="M11084" i="1"/>
  <c r="L11084" i="1"/>
  <c r="K11084" i="1"/>
  <c r="J11084" i="1"/>
  <c r="I11084" i="1"/>
  <c r="H11084" i="1"/>
  <c r="G11084" i="1"/>
  <c r="M11083" i="1"/>
  <c r="L11083" i="1"/>
  <c r="K11083" i="1"/>
  <c r="J11083" i="1"/>
  <c r="I11083" i="1"/>
  <c r="H11083" i="1"/>
  <c r="G11083" i="1"/>
  <c r="M11082" i="1"/>
  <c r="L11082" i="1"/>
  <c r="K11082" i="1"/>
  <c r="J11082" i="1"/>
  <c r="I11082" i="1"/>
  <c r="H11082" i="1"/>
  <c r="G11082" i="1"/>
  <c r="M11081" i="1"/>
  <c r="L11081" i="1"/>
  <c r="K11081" i="1"/>
  <c r="J11081" i="1"/>
  <c r="I11081" i="1"/>
  <c r="H11081" i="1"/>
  <c r="G11081" i="1"/>
  <c r="M11080" i="1"/>
  <c r="L11080" i="1"/>
  <c r="K11080" i="1"/>
  <c r="J11080" i="1"/>
  <c r="I11080" i="1"/>
  <c r="H11080" i="1"/>
  <c r="G11080" i="1"/>
  <c r="M11079" i="1"/>
  <c r="L11079" i="1"/>
  <c r="K11079" i="1"/>
  <c r="J11079" i="1"/>
  <c r="I11079" i="1"/>
  <c r="H11079" i="1"/>
  <c r="G11079" i="1"/>
  <c r="M11078" i="1"/>
  <c r="L11078" i="1"/>
  <c r="K11078" i="1"/>
  <c r="J11078" i="1"/>
  <c r="I11078" i="1"/>
  <c r="H11078" i="1"/>
  <c r="G11078" i="1"/>
  <c r="M11077" i="1"/>
  <c r="L11077" i="1"/>
  <c r="K11077" i="1"/>
  <c r="J11077" i="1"/>
  <c r="I11077" i="1"/>
  <c r="H11077" i="1"/>
  <c r="G11077" i="1"/>
  <c r="M11076" i="1"/>
  <c r="L11076" i="1"/>
  <c r="K11076" i="1"/>
  <c r="J11076" i="1"/>
  <c r="I11076" i="1"/>
  <c r="H11076" i="1"/>
  <c r="G11076" i="1"/>
  <c r="M11075" i="1"/>
  <c r="L11075" i="1"/>
  <c r="K11075" i="1"/>
  <c r="J11075" i="1"/>
  <c r="I11075" i="1"/>
  <c r="H11075" i="1"/>
  <c r="G11075" i="1"/>
  <c r="M11074" i="1"/>
  <c r="L11074" i="1"/>
  <c r="K11074" i="1"/>
  <c r="J11074" i="1"/>
  <c r="I11074" i="1"/>
  <c r="H11074" i="1"/>
  <c r="G11074" i="1"/>
  <c r="M11073" i="1"/>
  <c r="L11073" i="1"/>
  <c r="K11073" i="1"/>
  <c r="J11073" i="1"/>
  <c r="I11073" i="1"/>
  <c r="H11073" i="1"/>
  <c r="G11073" i="1"/>
  <c r="M11072" i="1"/>
  <c r="L11072" i="1"/>
  <c r="K11072" i="1"/>
  <c r="J11072" i="1"/>
  <c r="I11072" i="1"/>
  <c r="H11072" i="1"/>
  <c r="G11072" i="1"/>
  <c r="M11071" i="1"/>
  <c r="L11071" i="1"/>
  <c r="K11071" i="1"/>
  <c r="J11071" i="1"/>
  <c r="I11071" i="1"/>
  <c r="H11071" i="1"/>
  <c r="G11071" i="1"/>
  <c r="M11070" i="1"/>
  <c r="L11070" i="1"/>
  <c r="K11070" i="1"/>
  <c r="J11070" i="1"/>
  <c r="I11070" i="1"/>
  <c r="H11070" i="1"/>
  <c r="G11070" i="1"/>
  <c r="M11069" i="1"/>
  <c r="L11069" i="1"/>
  <c r="K11069" i="1"/>
  <c r="J11069" i="1"/>
  <c r="I11069" i="1"/>
  <c r="H11069" i="1"/>
  <c r="G11069" i="1"/>
  <c r="M11068" i="1"/>
  <c r="L11068" i="1"/>
  <c r="K11068" i="1"/>
  <c r="J11068" i="1"/>
  <c r="I11068" i="1"/>
  <c r="H11068" i="1"/>
  <c r="G11068" i="1"/>
  <c r="M11067" i="1"/>
  <c r="L11067" i="1"/>
  <c r="K11067" i="1"/>
  <c r="J11067" i="1"/>
  <c r="I11067" i="1"/>
  <c r="H11067" i="1"/>
  <c r="G11067" i="1"/>
  <c r="M11066" i="1"/>
  <c r="L11066" i="1"/>
  <c r="K11066" i="1"/>
  <c r="J11066" i="1"/>
  <c r="I11066" i="1"/>
  <c r="H11066" i="1"/>
  <c r="G11066" i="1"/>
  <c r="M11065" i="1"/>
  <c r="L11065" i="1"/>
  <c r="K11065" i="1"/>
  <c r="J11065" i="1"/>
  <c r="I11065" i="1"/>
  <c r="H11065" i="1"/>
  <c r="G11065" i="1"/>
  <c r="M11064" i="1"/>
  <c r="L11064" i="1"/>
  <c r="K11064" i="1"/>
  <c r="J11064" i="1"/>
  <c r="I11064" i="1"/>
  <c r="H11064" i="1"/>
  <c r="G11064" i="1"/>
  <c r="M11063" i="1"/>
  <c r="L11063" i="1"/>
  <c r="K11063" i="1"/>
  <c r="J11063" i="1"/>
  <c r="I11063" i="1"/>
  <c r="H11063" i="1"/>
  <c r="G11063" i="1"/>
  <c r="M11062" i="1"/>
  <c r="L11062" i="1"/>
  <c r="K11062" i="1"/>
  <c r="J11062" i="1"/>
  <c r="I11062" i="1"/>
  <c r="H11062" i="1"/>
  <c r="G11062" i="1"/>
  <c r="M11061" i="1"/>
  <c r="L11061" i="1"/>
  <c r="K11061" i="1"/>
  <c r="J11061" i="1"/>
  <c r="I11061" i="1"/>
  <c r="H11061" i="1"/>
  <c r="G11061" i="1"/>
  <c r="M11060" i="1"/>
  <c r="L11060" i="1"/>
  <c r="K11060" i="1"/>
  <c r="J11060" i="1"/>
  <c r="I11060" i="1"/>
  <c r="H11060" i="1"/>
  <c r="G11060" i="1"/>
  <c r="M11059" i="1"/>
  <c r="L11059" i="1"/>
  <c r="K11059" i="1"/>
  <c r="J11059" i="1"/>
  <c r="I11059" i="1"/>
  <c r="H11059" i="1"/>
  <c r="G11059" i="1"/>
  <c r="M11058" i="1"/>
  <c r="L11058" i="1"/>
  <c r="K11058" i="1"/>
  <c r="J11058" i="1"/>
  <c r="I11058" i="1"/>
  <c r="H11058" i="1"/>
  <c r="G11058" i="1"/>
  <c r="M11057" i="1"/>
  <c r="L11057" i="1"/>
  <c r="K11057" i="1"/>
  <c r="J11057" i="1"/>
  <c r="I11057" i="1"/>
  <c r="H11057" i="1"/>
  <c r="G11057" i="1"/>
  <c r="M11056" i="1"/>
  <c r="L11056" i="1"/>
  <c r="K11056" i="1"/>
  <c r="J11056" i="1"/>
  <c r="I11056" i="1"/>
  <c r="H11056" i="1"/>
  <c r="G11056" i="1"/>
  <c r="M11055" i="1"/>
  <c r="L11055" i="1"/>
  <c r="K11055" i="1"/>
  <c r="J11055" i="1"/>
  <c r="I11055" i="1"/>
  <c r="H11055" i="1"/>
  <c r="G11055" i="1"/>
  <c r="M11054" i="1"/>
  <c r="L11054" i="1"/>
  <c r="K11054" i="1"/>
  <c r="J11054" i="1"/>
  <c r="I11054" i="1"/>
  <c r="H11054" i="1"/>
  <c r="G11054" i="1"/>
  <c r="M11053" i="1"/>
  <c r="L11053" i="1"/>
  <c r="K11053" i="1"/>
  <c r="J11053" i="1"/>
  <c r="I11053" i="1"/>
  <c r="H11053" i="1"/>
  <c r="G11053" i="1"/>
  <c r="M11052" i="1"/>
  <c r="L11052" i="1"/>
  <c r="K11052" i="1"/>
  <c r="J11052" i="1"/>
  <c r="I11052" i="1"/>
  <c r="H11052" i="1"/>
  <c r="G11052" i="1"/>
  <c r="M11051" i="1"/>
  <c r="L11051" i="1"/>
  <c r="K11051" i="1"/>
  <c r="J11051" i="1"/>
  <c r="I11051" i="1"/>
  <c r="H11051" i="1"/>
  <c r="G11051" i="1"/>
  <c r="M11050" i="1"/>
  <c r="L11050" i="1"/>
  <c r="K11050" i="1"/>
  <c r="J11050" i="1"/>
  <c r="I11050" i="1"/>
  <c r="H11050" i="1"/>
  <c r="G11050" i="1"/>
  <c r="M11049" i="1"/>
  <c r="L11049" i="1"/>
  <c r="K11049" i="1"/>
  <c r="J11049" i="1"/>
  <c r="I11049" i="1"/>
  <c r="H11049" i="1"/>
  <c r="G11049" i="1"/>
  <c r="M11048" i="1"/>
  <c r="L11048" i="1"/>
  <c r="K11048" i="1"/>
  <c r="J11048" i="1"/>
  <c r="I11048" i="1"/>
  <c r="H11048" i="1"/>
  <c r="G11048" i="1"/>
  <c r="M11047" i="1"/>
  <c r="L11047" i="1"/>
  <c r="K11047" i="1"/>
  <c r="J11047" i="1"/>
  <c r="I11047" i="1"/>
  <c r="H11047" i="1"/>
  <c r="G11047" i="1"/>
  <c r="M11046" i="1"/>
  <c r="L11046" i="1"/>
  <c r="K11046" i="1"/>
  <c r="J11046" i="1"/>
  <c r="I11046" i="1"/>
  <c r="H11046" i="1"/>
  <c r="G11046" i="1"/>
  <c r="M11045" i="1"/>
  <c r="L11045" i="1"/>
  <c r="K11045" i="1"/>
  <c r="J11045" i="1"/>
  <c r="I11045" i="1"/>
  <c r="H11045" i="1"/>
  <c r="G11045" i="1"/>
  <c r="M11044" i="1"/>
  <c r="L11044" i="1"/>
  <c r="K11044" i="1"/>
  <c r="J11044" i="1"/>
  <c r="I11044" i="1"/>
  <c r="H11044" i="1"/>
  <c r="G11044" i="1"/>
  <c r="M11043" i="1"/>
  <c r="L11043" i="1"/>
  <c r="K11043" i="1"/>
  <c r="J11043" i="1"/>
  <c r="I11043" i="1"/>
  <c r="H11043" i="1"/>
  <c r="G11043" i="1"/>
  <c r="M11042" i="1"/>
  <c r="L11042" i="1"/>
  <c r="K11042" i="1"/>
  <c r="J11042" i="1"/>
  <c r="I11042" i="1"/>
  <c r="H11042" i="1"/>
  <c r="G11042" i="1"/>
  <c r="M11041" i="1"/>
  <c r="L11041" i="1"/>
  <c r="K11041" i="1"/>
  <c r="J11041" i="1"/>
  <c r="I11041" i="1"/>
  <c r="H11041" i="1"/>
  <c r="G11041" i="1"/>
  <c r="M11040" i="1"/>
  <c r="L11040" i="1"/>
  <c r="K11040" i="1"/>
  <c r="J11040" i="1"/>
  <c r="I11040" i="1"/>
  <c r="H11040" i="1"/>
  <c r="G11040" i="1"/>
  <c r="M11039" i="1"/>
  <c r="L11039" i="1"/>
  <c r="K11039" i="1"/>
  <c r="J11039" i="1"/>
  <c r="I11039" i="1"/>
  <c r="H11039" i="1"/>
  <c r="G11039" i="1"/>
  <c r="M11038" i="1"/>
  <c r="L11038" i="1"/>
  <c r="K11038" i="1"/>
  <c r="J11038" i="1"/>
  <c r="I11038" i="1"/>
  <c r="H11038" i="1"/>
  <c r="G11038" i="1"/>
  <c r="M11037" i="1"/>
  <c r="L11037" i="1"/>
  <c r="K11037" i="1"/>
  <c r="J11037" i="1"/>
  <c r="I11037" i="1"/>
  <c r="H11037" i="1"/>
  <c r="G11037" i="1"/>
  <c r="M11036" i="1"/>
  <c r="L11036" i="1"/>
  <c r="K11036" i="1"/>
  <c r="J11036" i="1"/>
  <c r="I11036" i="1"/>
  <c r="H11036" i="1"/>
  <c r="G11036" i="1"/>
  <c r="M11035" i="1"/>
  <c r="L11035" i="1"/>
  <c r="K11035" i="1"/>
  <c r="J11035" i="1"/>
  <c r="I11035" i="1"/>
  <c r="H11035" i="1"/>
  <c r="G11035" i="1"/>
  <c r="M11034" i="1"/>
  <c r="L11034" i="1"/>
  <c r="K11034" i="1"/>
  <c r="J11034" i="1"/>
  <c r="I11034" i="1"/>
  <c r="H11034" i="1"/>
  <c r="G11034" i="1"/>
  <c r="M11033" i="1"/>
  <c r="L11033" i="1"/>
  <c r="K11033" i="1"/>
  <c r="J11033" i="1"/>
  <c r="I11033" i="1"/>
  <c r="H11033" i="1"/>
  <c r="G11033" i="1"/>
  <c r="M11032" i="1"/>
  <c r="L11032" i="1"/>
  <c r="K11032" i="1"/>
  <c r="J11032" i="1"/>
  <c r="I11032" i="1"/>
  <c r="H11032" i="1"/>
  <c r="G11032" i="1"/>
  <c r="M11031" i="1"/>
  <c r="L11031" i="1"/>
  <c r="K11031" i="1"/>
  <c r="J11031" i="1"/>
  <c r="I11031" i="1"/>
  <c r="H11031" i="1"/>
  <c r="G11031" i="1"/>
  <c r="M11030" i="1"/>
  <c r="L11030" i="1"/>
  <c r="K11030" i="1"/>
  <c r="J11030" i="1"/>
  <c r="I11030" i="1"/>
  <c r="H11030" i="1"/>
  <c r="G11030" i="1"/>
  <c r="M11029" i="1"/>
  <c r="L11029" i="1"/>
  <c r="K11029" i="1"/>
  <c r="J11029" i="1"/>
  <c r="I11029" i="1"/>
  <c r="H11029" i="1"/>
  <c r="G11029" i="1"/>
  <c r="M11028" i="1"/>
  <c r="L11028" i="1"/>
  <c r="K11028" i="1"/>
  <c r="J11028" i="1"/>
  <c r="I11028" i="1"/>
  <c r="H11028" i="1"/>
  <c r="G11028" i="1"/>
  <c r="M11027" i="1"/>
  <c r="L11027" i="1"/>
  <c r="K11027" i="1"/>
  <c r="J11027" i="1"/>
  <c r="I11027" i="1"/>
  <c r="H11027" i="1"/>
  <c r="G11027" i="1"/>
  <c r="M11026" i="1"/>
  <c r="L11026" i="1"/>
  <c r="K11026" i="1"/>
  <c r="J11026" i="1"/>
  <c r="I11026" i="1"/>
  <c r="H11026" i="1"/>
  <c r="G11026" i="1"/>
  <c r="M11025" i="1"/>
  <c r="L11025" i="1"/>
  <c r="K11025" i="1"/>
  <c r="J11025" i="1"/>
  <c r="I11025" i="1"/>
  <c r="H11025" i="1"/>
  <c r="G11025" i="1"/>
  <c r="M11024" i="1"/>
  <c r="L11024" i="1"/>
  <c r="K11024" i="1"/>
  <c r="J11024" i="1"/>
  <c r="I11024" i="1"/>
  <c r="H11024" i="1"/>
  <c r="G11024" i="1"/>
  <c r="M11023" i="1"/>
  <c r="L11023" i="1"/>
  <c r="K11023" i="1"/>
  <c r="J11023" i="1"/>
  <c r="I11023" i="1"/>
  <c r="H11023" i="1"/>
  <c r="G11023" i="1"/>
  <c r="M11022" i="1"/>
  <c r="L11022" i="1"/>
  <c r="K11022" i="1"/>
  <c r="J11022" i="1"/>
  <c r="I11022" i="1"/>
  <c r="H11022" i="1"/>
  <c r="G11022" i="1"/>
  <c r="M11021" i="1"/>
  <c r="L11021" i="1"/>
  <c r="K11021" i="1"/>
  <c r="J11021" i="1"/>
  <c r="I11021" i="1"/>
  <c r="H11021" i="1"/>
  <c r="G11021" i="1"/>
  <c r="M11020" i="1"/>
  <c r="L11020" i="1"/>
  <c r="K11020" i="1"/>
  <c r="J11020" i="1"/>
  <c r="I11020" i="1"/>
  <c r="H11020" i="1"/>
  <c r="G11020" i="1"/>
  <c r="M11019" i="1"/>
  <c r="L11019" i="1"/>
  <c r="K11019" i="1"/>
  <c r="J11019" i="1"/>
  <c r="I11019" i="1"/>
  <c r="H11019" i="1"/>
  <c r="G11019" i="1"/>
  <c r="M11018" i="1"/>
  <c r="L11018" i="1"/>
  <c r="K11018" i="1"/>
  <c r="J11018" i="1"/>
  <c r="I11018" i="1"/>
  <c r="H11018" i="1"/>
  <c r="G11018" i="1"/>
  <c r="M11017" i="1"/>
  <c r="L11017" i="1"/>
  <c r="K11017" i="1"/>
  <c r="J11017" i="1"/>
  <c r="I11017" i="1"/>
  <c r="H11017" i="1"/>
  <c r="G11017" i="1"/>
  <c r="M11016" i="1"/>
  <c r="L11016" i="1"/>
  <c r="K11016" i="1"/>
  <c r="J11016" i="1"/>
  <c r="I11016" i="1"/>
  <c r="H11016" i="1"/>
  <c r="G11016" i="1"/>
  <c r="M11015" i="1"/>
  <c r="L11015" i="1"/>
  <c r="K11015" i="1"/>
  <c r="J11015" i="1"/>
  <c r="I11015" i="1"/>
  <c r="H11015" i="1"/>
  <c r="G11015" i="1"/>
  <c r="M11014" i="1"/>
  <c r="L11014" i="1"/>
  <c r="K11014" i="1"/>
  <c r="J11014" i="1"/>
  <c r="I11014" i="1"/>
  <c r="H11014" i="1"/>
  <c r="G11014" i="1"/>
  <c r="M11013" i="1"/>
  <c r="L11013" i="1"/>
  <c r="K11013" i="1"/>
  <c r="J11013" i="1"/>
  <c r="I11013" i="1"/>
  <c r="H11013" i="1"/>
  <c r="G11013" i="1"/>
  <c r="M11012" i="1"/>
  <c r="L11012" i="1"/>
  <c r="K11012" i="1"/>
  <c r="J11012" i="1"/>
  <c r="I11012" i="1"/>
  <c r="H11012" i="1"/>
  <c r="G11012" i="1"/>
  <c r="M11011" i="1"/>
  <c r="L11011" i="1"/>
  <c r="K11011" i="1"/>
  <c r="J11011" i="1"/>
  <c r="I11011" i="1"/>
  <c r="H11011" i="1"/>
  <c r="G11011" i="1"/>
  <c r="M11010" i="1"/>
  <c r="L11010" i="1"/>
  <c r="K11010" i="1"/>
  <c r="J11010" i="1"/>
  <c r="I11010" i="1"/>
  <c r="H11010" i="1"/>
  <c r="G11010" i="1"/>
  <c r="M11009" i="1"/>
  <c r="L11009" i="1"/>
  <c r="K11009" i="1"/>
  <c r="J11009" i="1"/>
  <c r="I11009" i="1"/>
  <c r="H11009" i="1"/>
  <c r="G11009" i="1"/>
  <c r="M11008" i="1"/>
  <c r="L11008" i="1"/>
  <c r="K11008" i="1"/>
  <c r="J11008" i="1"/>
  <c r="I11008" i="1"/>
  <c r="H11008" i="1"/>
  <c r="G11008" i="1"/>
  <c r="M11007" i="1"/>
  <c r="L11007" i="1"/>
  <c r="K11007" i="1"/>
  <c r="J11007" i="1"/>
  <c r="I11007" i="1"/>
  <c r="H11007" i="1"/>
  <c r="G11007" i="1"/>
  <c r="M11006" i="1"/>
  <c r="L11006" i="1"/>
  <c r="K11006" i="1"/>
  <c r="J11006" i="1"/>
  <c r="I11006" i="1"/>
  <c r="H11006" i="1"/>
  <c r="G11006" i="1"/>
  <c r="M11005" i="1"/>
  <c r="L11005" i="1"/>
  <c r="K11005" i="1"/>
  <c r="J11005" i="1"/>
  <c r="I11005" i="1"/>
  <c r="H11005" i="1"/>
  <c r="G11005" i="1"/>
  <c r="M11004" i="1"/>
  <c r="L11004" i="1"/>
  <c r="K11004" i="1"/>
  <c r="J11004" i="1"/>
  <c r="I11004" i="1"/>
  <c r="H11004" i="1"/>
  <c r="G11004" i="1"/>
  <c r="M11003" i="1"/>
  <c r="L11003" i="1"/>
  <c r="K11003" i="1"/>
  <c r="J11003" i="1"/>
  <c r="I11003" i="1"/>
  <c r="H11003" i="1"/>
  <c r="G11003" i="1"/>
  <c r="M11002" i="1"/>
  <c r="L11002" i="1"/>
  <c r="K11002" i="1"/>
  <c r="J11002" i="1"/>
  <c r="I11002" i="1"/>
  <c r="H11002" i="1"/>
  <c r="G11002" i="1"/>
  <c r="M11001" i="1"/>
  <c r="L11001" i="1"/>
  <c r="K11001" i="1"/>
  <c r="J11001" i="1"/>
  <c r="I11001" i="1"/>
  <c r="H11001" i="1"/>
  <c r="G11001" i="1"/>
  <c r="M11000" i="1"/>
  <c r="L11000" i="1"/>
  <c r="K11000" i="1"/>
  <c r="J11000" i="1"/>
  <c r="I11000" i="1"/>
  <c r="H11000" i="1"/>
  <c r="G11000" i="1"/>
  <c r="M10999" i="1"/>
  <c r="L10999" i="1"/>
  <c r="K10999" i="1"/>
  <c r="J10999" i="1"/>
  <c r="I10999" i="1"/>
  <c r="H10999" i="1"/>
  <c r="G10999" i="1"/>
  <c r="M10998" i="1"/>
  <c r="L10998" i="1"/>
  <c r="K10998" i="1"/>
  <c r="J10998" i="1"/>
  <c r="I10998" i="1"/>
  <c r="H10998" i="1"/>
  <c r="G10998" i="1"/>
  <c r="M10997" i="1"/>
  <c r="L10997" i="1"/>
  <c r="K10997" i="1"/>
  <c r="J10997" i="1"/>
  <c r="I10997" i="1"/>
  <c r="H10997" i="1"/>
  <c r="G10997" i="1"/>
  <c r="M10996" i="1"/>
  <c r="L10996" i="1"/>
  <c r="K10996" i="1"/>
  <c r="J10996" i="1"/>
  <c r="I10996" i="1"/>
  <c r="H10996" i="1"/>
  <c r="G10996" i="1"/>
  <c r="M10995" i="1"/>
  <c r="L10995" i="1"/>
  <c r="K10995" i="1"/>
  <c r="J10995" i="1"/>
  <c r="I10995" i="1"/>
  <c r="H10995" i="1"/>
  <c r="G10995" i="1"/>
  <c r="M10994" i="1"/>
  <c r="L10994" i="1"/>
  <c r="K10994" i="1"/>
  <c r="J10994" i="1"/>
  <c r="I10994" i="1"/>
  <c r="H10994" i="1"/>
  <c r="G10994" i="1"/>
  <c r="M10993" i="1"/>
  <c r="L10993" i="1"/>
  <c r="K10993" i="1"/>
  <c r="J10993" i="1"/>
  <c r="I10993" i="1"/>
  <c r="H10993" i="1"/>
  <c r="G10993" i="1"/>
  <c r="M10992" i="1"/>
  <c r="L10992" i="1"/>
  <c r="K10992" i="1"/>
  <c r="J10992" i="1"/>
  <c r="I10992" i="1"/>
  <c r="H10992" i="1"/>
  <c r="G10992" i="1"/>
  <c r="M10991" i="1"/>
  <c r="L10991" i="1"/>
  <c r="K10991" i="1"/>
  <c r="J10991" i="1"/>
  <c r="I10991" i="1"/>
  <c r="H10991" i="1"/>
  <c r="G10991" i="1"/>
  <c r="M10990" i="1"/>
  <c r="L10990" i="1"/>
  <c r="K10990" i="1"/>
  <c r="J10990" i="1"/>
  <c r="I10990" i="1"/>
  <c r="H10990" i="1"/>
  <c r="G10990" i="1"/>
  <c r="M10989" i="1"/>
  <c r="L10989" i="1"/>
  <c r="K10989" i="1"/>
  <c r="J10989" i="1"/>
  <c r="I10989" i="1"/>
  <c r="H10989" i="1"/>
  <c r="G10989" i="1"/>
  <c r="M10988" i="1"/>
  <c r="L10988" i="1"/>
  <c r="K10988" i="1"/>
  <c r="J10988" i="1"/>
  <c r="I10988" i="1"/>
  <c r="H10988" i="1"/>
  <c r="G10988" i="1"/>
  <c r="M10987" i="1"/>
  <c r="L10987" i="1"/>
  <c r="K10987" i="1"/>
  <c r="J10987" i="1"/>
  <c r="I10987" i="1"/>
  <c r="H10987" i="1"/>
  <c r="G10987" i="1"/>
  <c r="M10986" i="1"/>
  <c r="L10986" i="1"/>
  <c r="K10986" i="1"/>
  <c r="J10986" i="1"/>
  <c r="I10986" i="1"/>
  <c r="H10986" i="1"/>
  <c r="G10986" i="1"/>
  <c r="M10985" i="1"/>
  <c r="L10985" i="1"/>
  <c r="K10985" i="1"/>
  <c r="J10985" i="1"/>
  <c r="I10985" i="1"/>
  <c r="H10985" i="1"/>
  <c r="G10985" i="1"/>
  <c r="M10984" i="1"/>
  <c r="L10984" i="1"/>
  <c r="K10984" i="1"/>
  <c r="J10984" i="1"/>
  <c r="I10984" i="1"/>
  <c r="H10984" i="1"/>
  <c r="G10984" i="1"/>
  <c r="M10983" i="1"/>
  <c r="L10983" i="1"/>
  <c r="K10983" i="1"/>
  <c r="J10983" i="1"/>
  <c r="I10983" i="1"/>
  <c r="H10983" i="1"/>
  <c r="G10983" i="1"/>
  <c r="M10982" i="1"/>
  <c r="L10982" i="1"/>
  <c r="K10982" i="1"/>
  <c r="J10982" i="1"/>
  <c r="I10982" i="1"/>
  <c r="H10982" i="1"/>
  <c r="G10982" i="1"/>
  <c r="M10981" i="1"/>
  <c r="L10981" i="1"/>
  <c r="K10981" i="1"/>
  <c r="J10981" i="1"/>
  <c r="I10981" i="1"/>
  <c r="H10981" i="1"/>
  <c r="G10981" i="1"/>
  <c r="M10980" i="1"/>
  <c r="L10980" i="1"/>
  <c r="K10980" i="1"/>
  <c r="J10980" i="1"/>
  <c r="I10980" i="1"/>
  <c r="H10980" i="1"/>
  <c r="G10980" i="1"/>
  <c r="M10979" i="1"/>
  <c r="L10979" i="1"/>
  <c r="K10979" i="1"/>
  <c r="J10979" i="1"/>
  <c r="I10979" i="1"/>
  <c r="H10979" i="1"/>
  <c r="G10979" i="1"/>
  <c r="M10978" i="1"/>
  <c r="L10978" i="1"/>
  <c r="K10978" i="1"/>
  <c r="J10978" i="1"/>
  <c r="I10978" i="1"/>
  <c r="H10978" i="1"/>
  <c r="G10978" i="1"/>
  <c r="M10977" i="1"/>
  <c r="L10977" i="1"/>
  <c r="K10977" i="1"/>
  <c r="J10977" i="1"/>
  <c r="I10977" i="1"/>
  <c r="H10977" i="1"/>
  <c r="G10977" i="1"/>
  <c r="M10976" i="1"/>
  <c r="L10976" i="1"/>
  <c r="K10976" i="1"/>
  <c r="J10976" i="1"/>
  <c r="I10976" i="1"/>
  <c r="H10976" i="1"/>
  <c r="G10976" i="1"/>
  <c r="M10975" i="1"/>
  <c r="L10975" i="1"/>
  <c r="K10975" i="1"/>
  <c r="J10975" i="1"/>
  <c r="I10975" i="1"/>
  <c r="H10975" i="1"/>
  <c r="G10975" i="1"/>
  <c r="M10974" i="1"/>
  <c r="L10974" i="1"/>
  <c r="K10974" i="1"/>
  <c r="J10974" i="1"/>
  <c r="I10974" i="1"/>
  <c r="H10974" i="1"/>
  <c r="G10974" i="1"/>
  <c r="M10973" i="1"/>
  <c r="L10973" i="1"/>
  <c r="K10973" i="1"/>
  <c r="J10973" i="1"/>
  <c r="I10973" i="1"/>
  <c r="H10973" i="1"/>
  <c r="G10973" i="1"/>
  <c r="M10972" i="1"/>
  <c r="L10972" i="1"/>
  <c r="K10972" i="1"/>
  <c r="J10972" i="1"/>
  <c r="I10972" i="1"/>
  <c r="H10972" i="1"/>
  <c r="G10972" i="1"/>
  <c r="M10971" i="1"/>
  <c r="L10971" i="1"/>
  <c r="K10971" i="1"/>
  <c r="J10971" i="1"/>
  <c r="I10971" i="1"/>
  <c r="H10971" i="1"/>
  <c r="G10971" i="1"/>
  <c r="M10970" i="1"/>
  <c r="L10970" i="1"/>
  <c r="K10970" i="1"/>
  <c r="J10970" i="1"/>
  <c r="I10970" i="1"/>
  <c r="H10970" i="1"/>
  <c r="G10970" i="1"/>
  <c r="M10969" i="1"/>
  <c r="L10969" i="1"/>
  <c r="K10969" i="1"/>
  <c r="J10969" i="1"/>
  <c r="I10969" i="1"/>
  <c r="H10969" i="1"/>
  <c r="G10969" i="1"/>
  <c r="M10968" i="1"/>
  <c r="L10968" i="1"/>
  <c r="K10968" i="1"/>
  <c r="J10968" i="1"/>
  <c r="I10968" i="1"/>
  <c r="H10968" i="1"/>
  <c r="G10968" i="1"/>
  <c r="M10967" i="1"/>
  <c r="L10967" i="1"/>
  <c r="K10967" i="1"/>
  <c r="J10967" i="1"/>
  <c r="I10967" i="1"/>
  <c r="H10967" i="1"/>
  <c r="G10967" i="1"/>
  <c r="M10966" i="1"/>
  <c r="L10966" i="1"/>
  <c r="K10966" i="1"/>
  <c r="J10966" i="1"/>
  <c r="I10966" i="1"/>
  <c r="H10966" i="1"/>
  <c r="G10966" i="1"/>
  <c r="M10965" i="1"/>
  <c r="L10965" i="1"/>
  <c r="K10965" i="1"/>
  <c r="J10965" i="1"/>
  <c r="I10965" i="1"/>
  <c r="H10965" i="1"/>
  <c r="G10965" i="1"/>
  <c r="M10964" i="1"/>
  <c r="L10964" i="1"/>
  <c r="K10964" i="1"/>
  <c r="J10964" i="1"/>
  <c r="I10964" i="1"/>
  <c r="H10964" i="1"/>
  <c r="G10964" i="1"/>
  <c r="M10963" i="1"/>
  <c r="L10963" i="1"/>
  <c r="K10963" i="1"/>
  <c r="J10963" i="1"/>
  <c r="I10963" i="1"/>
  <c r="H10963" i="1"/>
  <c r="G10963" i="1"/>
  <c r="M10962" i="1"/>
  <c r="L10962" i="1"/>
  <c r="K10962" i="1"/>
  <c r="J10962" i="1"/>
  <c r="I10962" i="1"/>
  <c r="H10962" i="1"/>
  <c r="G10962" i="1"/>
  <c r="M10961" i="1"/>
  <c r="L10961" i="1"/>
  <c r="K10961" i="1"/>
  <c r="J10961" i="1"/>
  <c r="I10961" i="1"/>
  <c r="H10961" i="1"/>
  <c r="G10961" i="1"/>
  <c r="M10960" i="1"/>
  <c r="L10960" i="1"/>
  <c r="K10960" i="1"/>
  <c r="J10960" i="1"/>
  <c r="I10960" i="1"/>
  <c r="H10960" i="1"/>
  <c r="G10960" i="1"/>
  <c r="M10959" i="1"/>
  <c r="L10959" i="1"/>
  <c r="K10959" i="1"/>
  <c r="J10959" i="1"/>
  <c r="I10959" i="1"/>
  <c r="H10959" i="1"/>
  <c r="G10959" i="1"/>
  <c r="M10958" i="1"/>
  <c r="L10958" i="1"/>
  <c r="K10958" i="1"/>
  <c r="J10958" i="1"/>
  <c r="I10958" i="1"/>
  <c r="H10958" i="1"/>
  <c r="G10958" i="1"/>
  <c r="M10957" i="1"/>
  <c r="L10957" i="1"/>
  <c r="K10957" i="1"/>
  <c r="J10957" i="1"/>
  <c r="I10957" i="1"/>
  <c r="H10957" i="1"/>
  <c r="G10957" i="1"/>
  <c r="M10956" i="1"/>
  <c r="L10956" i="1"/>
  <c r="K10956" i="1"/>
  <c r="J10956" i="1"/>
  <c r="I10956" i="1"/>
  <c r="H10956" i="1"/>
  <c r="G10956" i="1"/>
  <c r="M10955" i="1"/>
  <c r="L10955" i="1"/>
  <c r="K10955" i="1"/>
  <c r="J10955" i="1"/>
  <c r="I10955" i="1"/>
  <c r="H10955" i="1"/>
  <c r="G10955" i="1"/>
  <c r="M10954" i="1"/>
  <c r="L10954" i="1"/>
  <c r="K10954" i="1"/>
  <c r="J10954" i="1"/>
  <c r="I10954" i="1"/>
  <c r="H10954" i="1"/>
  <c r="G10954" i="1"/>
  <c r="M10953" i="1"/>
  <c r="L10953" i="1"/>
  <c r="K10953" i="1"/>
  <c r="J10953" i="1"/>
  <c r="I10953" i="1"/>
  <c r="H10953" i="1"/>
  <c r="G10953" i="1"/>
  <c r="M10952" i="1"/>
  <c r="L10952" i="1"/>
  <c r="K10952" i="1"/>
  <c r="J10952" i="1"/>
  <c r="I10952" i="1"/>
  <c r="H10952" i="1"/>
  <c r="G10952" i="1"/>
  <c r="M10951" i="1"/>
  <c r="L10951" i="1"/>
  <c r="K10951" i="1"/>
  <c r="J10951" i="1"/>
  <c r="I10951" i="1"/>
  <c r="H10951" i="1"/>
  <c r="G10951" i="1"/>
  <c r="M10950" i="1"/>
  <c r="L10950" i="1"/>
  <c r="K10950" i="1"/>
  <c r="J10950" i="1"/>
  <c r="I10950" i="1"/>
  <c r="H10950" i="1"/>
  <c r="G10950" i="1"/>
  <c r="M10949" i="1"/>
  <c r="L10949" i="1"/>
  <c r="K10949" i="1"/>
  <c r="J10949" i="1"/>
  <c r="I10949" i="1"/>
  <c r="H10949" i="1"/>
  <c r="G10949" i="1"/>
  <c r="M10948" i="1"/>
  <c r="L10948" i="1"/>
  <c r="K10948" i="1"/>
  <c r="J10948" i="1"/>
  <c r="I10948" i="1"/>
  <c r="H10948" i="1"/>
  <c r="G10948" i="1"/>
  <c r="M10947" i="1"/>
  <c r="L10947" i="1"/>
  <c r="K10947" i="1"/>
  <c r="J10947" i="1"/>
  <c r="I10947" i="1"/>
  <c r="H10947" i="1"/>
  <c r="G10947" i="1"/>
  <c r="M10946" i="1"/>
  <c r="L10946" i="1"/>
  <c r="K10946" i="1"/>
  <c r="J10946" i="1"/>
  <c r="I10946" i="1"/>
  <c r="H10946" i="1"/>
  <c r="G10946" i="1"/>
  <c r="M10945" i="1"/>
  <c r="L10945" i="1"/>
  <c r="K10945" i="1"/>
  <c r="J10945" i="1"/>
  <c r="I10945" i="1"/>
  <c r="H10945" i="1"/>
  <c r="G10945" i="1"/>
  <c r="M10944" i="1"/>
  <c r="L10944" i="1"/>
  <c r="K10944" i="1"/>
  <c r="J10944" i="1"/>
  <c r="I10944" i="1"/>
  <c r="H10944" i="1"/>
  <c r="G10944" i="1"/>
  <c r="M10943" i="1"/>
  <c r="L10943" i="1"/>
  <c r="K10943" i="1"/>
  <c r="J10943" i="1"/>
  <c r="I10943" i="1"/>
  <c r="H10943" i="1"/>
  <c r="G10943" i="1"/>
  <c r="M10942" i="1"/>
  <c r="L10942" i="1"/>
  <c r="K10942" i="1"/>
  <c r="J10942" i="1"/>
  <c r="I10942" i="1"/>
  <c r="H10942" i="1"/>
  <c r="G10942" i="1"/>
  <c r="M10941" i="1"/>
  <c r="L10941" i="1"/>
  <c r="K10941" i="1"/>
  <c r="J10941" i="1"/>
  <c r="I10941" i="1"/>
  <c r="H10941" i="1"/>
  <c r="G10941" i="1"/>
  <c r="M10940" i="1"/>
  <c r="L10940" i="1"/>
  <c r="K10940" i="1"/>
  <c r="J10940" i="1"/>
  <c r="I10940" i="1"/>
  <c r="H10940" i="1"/>
  <c r="G10940" i="1"/>
  <c r="M10939" i="1"/>
  <c r="L10939" i="1"/>
  <c r="K10939" i="1"/>
  <c r="J10939" i="1"/>
  <c r="I10939" i="1"/>
  <c r="H10939" i="1"/>
  <c r="G10939" i="1"/>
  <c r="M10938" i="1"/>
  <c r="L10938" i="1"/>
  <c r="K10938" i="1"/>
  <c r="J10938" i="1"/>
  <c r="I10938" i="1"/>
  <c r="H10938" i="1"/>
  <c r="G10938" i="1"/>
  <c r="M10937" i="1"/>
  <c r="L10937" i="1"/>
  <c r="K10937" i="1"/>
  <c r="J10937" i="1"/>
  <c r="I10937" i="1"/>
  <c r="H10937" i="1"/>
  <c r="G10937" i="1"/>
  <c r="M10936" i="1"/>
  <c r="L10936" i="1"/>
  <c r="K10936" i="1"/>
  <c r="J10936" i="1"/>
  <c r="I10936" i="1"/>
  <c r="H10936" i="1"/>
  <c r="G10936" i="1"/>
  <c r="M10935" i="1"/>
  <c r="L10935" i="1"/>
  <c r="K10935" i="1"/>
  <c r="J10935" i="1"/>
  <c r="I10935" i="1"/>
  <c r="H10935" i="1"/>
  <c r="G10935" i="1"/>
  <c r="M10934" i="1"/>
  <c r="L10934" i="1"/>
  <c r="K10934" i="1"/>
  <c r="J10934" i="1"/>
  <c r="I10934" i="1"/>
  <c r="H10934" i="1"/>
  <c r="G10934" i="1"/>
  <c r="M10933" i="1"/>
  <c r="L10933" i="1"/>
  <c r="K10933" i="1"/>
  <c r="J10933" i="1"/>
  <c r="I10933" i="1"/>
  <c r="H10933" i="1"/>
  <c r="G10933" i="1"/>
  <c r="M10932" i="1"/>
  <c r="L10932" i="1"/>
  <c r="K10932" i="1"/>
  <c r="J10932" i="1"/>
  <c r="I10932" i="1"/>
  <c r="H10932" i="1"/>
  <c r="G10932" i="1"/>
  <c r="M10931" i="1"/>
  <c r="L10931" i="1"/>
  <c r="K10931" i="1"/>
  <c r="J10931" i="1"/>
  <c r="I10931" i="1"/>
  <c r="H10931" i="1"/>
  <c r="G10931" i="1"/>
  <c r="M10930" i="1"/>
  <c r="L10930" i="1"/>
  <c r="K10930" i="1"/>
  <c r="J10930" i="1"/>
  <c r="I10930" i="1"/>
  <c r="H10930" i="1"/>
  <c r="G10930" i="1"/>
  <c r="M10929" i="1"/>
  <c r="L10929" i="1"/>
  <c r="K10929" i="1"/>
  <c r="J10929" i="1"/>
  <c r="I10929" i="1"/>
  <c r="H10929" i="1"/>
  <c r="G10929" i="1"/>
  <c r="M10928" i="1"/>
  <c r="L10928" i="1"/>
  <c r="K10928" i="1"/>
  <c r="J10928" i="1"/>
  <c r="I10928" i="1"/>
  <c r="H10928" i="1"/>
  <c r="G10928" i="1"/>
  <c r="M10927" i="1"/>
  <c r="L10927" i="1"/>
  <c r="K10927" i="1"/>
  <c r="J10927" i="1"/>
  <c r="I10927" i="1"/>
  <c r="H10927" i="1"/>
  <c r="G10927" i="1"/>
  <c r="M10926" i="1"/>
  <c r="L10926" i="1"/>
  <c r="K10926" i="1"/>
  <c r="J10926" i="1"/>
  <c r="I10926" i="1"/>
  <c r="H10926" i="1"/>
  <c r="G10926" i="1"/>
  <c r="M10925" i="1"/>
  <c r="L10925" i="1"/>
  <c r="K10925" i="1"/>
  <c r="J10925" i="1"/>
  <c r="I10925" i="1"/>
  <c r="H10925" i="1"/>
  <c r="G10925" i="1"/>
  <c r="M10924" i="1"/>
  <c r="L10924" i="1"/>
  <c r="K10924" i="1"/>
  <c r="J10924" i="1"/>
  <c r="I10924" i="1"/>
  <c r="H10924" i="1"/>
  <c r="G10924" i="1"/>
  <c r="M10923" i="1"/>
  <c r="L10923" i="1"/>
  <c r="K10923" i="1"/>
  <c r="J10923" i="1"/>
  <c r="I10923" i="1"/>
  <c r="H10923" i="1"/>
  <c r="G10923" i="1"/>
  <c r="M10922" i="1"/>
  <c r="L10922" i="1"/>
  <c r="K10922" i="1"/>
  <c r="J10922" i="1"/>
  <c r="I10922" i="1"/>
  <c r="H10922" i="1"/>
  <c r="G10922" i="1"/>
  <c r="M10921" i="1"/>
  <c r="L10921" i="1"/>
  <c r="K10921" i="1"/>
  <c r="J10921" i="1"/>
  <c r="I10921" i="1"/>
  <c r="H10921" i="1"/>
  <c r="G10921" i="1"/>
  <c r="M10920" i="1"/>
  <c r="L10920" i="1"/>
  <c r="K10920" i="1"/>
  <c r="J10920" i="1"/>
  <c r="I10920" i="1"/>
  <c r="H10920" i="1"/>
  <c r="G10920" i="1"/>
  <c r="M10919" i="1"/>
  <c r="L10919" i="1"/>
  <c r="K10919" i="1"/>
  <c r="J10919" i="1"/>
  <c r="I10919" i="1"/>
  <c r="H10919" i="1"/>
  <c r="G10919" i="1"/>
  <c r="M10918" i="1"/>
  <c r="L10918" i="1"/>
  <c r="K10918" i="1"/>
  <c r="J10918" i="1"/>
  <c r="I10918" i="1"/>
  <c r="H10918" i="1"/>
  <c r="G10918" i="1"/>
  <c r="M10917" i="1"/>
  <c r="L10917" i="1"/>
  <c r="K10917" i="1"/>
  <c r="J10917" i="1"/>
  <c r="I10917" i="1"/>
  <c r="H10917" i="1"/>
  <c r="G10917" i="1"/>
  <c r="M10916" i="1"/>
  <c r="L10916" i="1"/>
  <c r="K10916" i="1"/>
  <c r="J10916" i="1"/>
  <c r="I10916" i="1"/>
  <c r="H10916" i="1"/>
  <c r="G10916" i="1"/>
  <c r="M10915" i="1"/>
  <c r="L10915" i="1"/>
  <c r="K10915" i="1"/>
  <c r="J10915" i="1"/>
  <c r="I10915" i="1"/>
  <c r="H10915" i="1"/>
  <c r="G10915" i="1"/>
  <c r="M10914" i="1"/>
  <c r="L10914" i="1"/>
  <c r="K10914" i="1"/>
  <c r="J10914" i="1"/>
  <c r="I10914" i="1"/>
  <c r="H10914" i="1"/>
  <c r="G10914" i="1"/>
  <c r="M10913" i="1"/>
  <c r="L10913" i="1"/>
  <c r="K10913" i="1"/>
  <c r="J10913" i="1"/>
  <c r="I10913" i="1"/>
  <c r="H10913" i="1"/>
  <c r="G10913" i="1"/>
  <c r="M10912" i="1"/>
  <c r="L10912" i="1"/>
  <c r="K10912" i="1"/>
  <c r="J10912" i="1"/>
  <c r="I10912" i="1"/>
  <c r="H10912" i="1"/>
  <c r="G10912" i="1"/>
  <c r="M10911" i="1"/>
  <c r="L10911" i="1"/>
  <c r="K10911" i="1"/>
  <c r="J10911" i="1"/>
  <c r="I10911" i="1"/>
  <c r="H10911" i="1"/>
  <c r="G10911" i="1"/>
  <c r="M10910" i="1"/>
  <c r="L10910" i="1"/>
  <c r="K10910" i="1"/>
  <c r="J10910" i="1"/>
  <c r="I10910" i="1"/>
  <c r="H10910" i="1"/>
  <c r="G10910" i="1"/>
  <c r="M10909" i="1"/>
  <c r="L10909" i="1"/>
  <c r="K10909" i="1"/>
  <c r="J10909" i="1"/>
  <c r="I10909" i="1"/>
  <c r="H10909" i="1"/>
  <c r="G10909" i="1"/>
  <c r="M10908" i="1"/>
  <c r="L10908" i="1"/>
  <c r="K10908" i="1"/>
  <c r="J10908" i="1"/>
  <c r="I10908" i="1"/>
  <c r="H10908" i="1"/>
  <c r="G10908" i="1"/>
  <c r="M10907" i="1"/>
  <c r="L10907" i="1"/>
  <c r="K10907" i="1"/>
  <c r="J10907" i="1"/>
  <c r="I10907" i="1"/>
  <c r="H10907" i="1"/>
  <c r="G10907" i="1"/>
  <c r="M10906" i="1"/>
  <c r="L10906" i="1"/>
  <c r="K10906" i="1"/>
  <c r="J10906" i="1"/>
  <c r="I10906" i="1"/>
  <c r="H10906" i="1"/>
  <c r="G10906" i="1"/>
  <c r="M10905" i="1"/>
  <c r="L10905" i="1"/>
  <c r="K10905" i="1"/>
  <c r="J10905" i="1"/>
  <c r="I10905" i="1"/>
  <c r="H10905" i="1"/>
  <c r="G10905" i="1"/>
  <c r="M10904" i="1"/>
  <c r="L10904" i="1"/>
  <c r="K10904" i="1"/>
  <c r="J10904" i="1"/>
  <c r="I10904" i="1"/>
  <c r="H10904" i="1"/>
  <c r="G10904" i="1"/>
  <c r="M10903" i="1"/>
  <c r="L10903" i="1"/>
  <c r="K10903" i="1"/>
  <c r="J10903" i="1"/>
  <c r="I10903" i="1"/>
  <c r="H10903" i="1"/>
  <c r="G10903" i="1"/>
  <c r="M10902" i="1"/>
  <c r="L10902" i="1"/>
  <c r="K10902" i="1"/>
  <c r="J10902" i="1"/>
  <c r="I10902" i="1"/>
  <c r="H10902" i="1"/>
  <c r="G10902" i="1"/>
  <c r="M10901" i="1"/>
  <c r="L10901" i="1"/>
  <c r="K10901" i="1"/>
  <c r="J10901" i="1"/>
  <c r="I10901" i="1"/>
  <c r="H10901" i="1"/>
  <c r="G10901" i="1"/>
  <c r="M10900" i="1"/>
  <c r="L10900" i="1"/>
  <c r="K10900" i="1"/>
  <c r="J10900" i="1"/>
  <c r="I10900" i="1"/>
  <c r="H10900" i="1"/>
  <c r="G10900" i="1"/>
  <c r="M10899" i="1"/>
  <c r="L10899" i="1"/>
  <c r="K10899" i="1"/>
  <c r="J10899" i="1"/>
  <c r="I10899" i="1"/>
  <c r="H10899" i="1"/>
  <c r="G10899" i="1"/>
  <c r="M10898" i="1"/>
  <c r="L10898" i="1"/>
  <c r="K10898" i="1"/>
  <c r="J10898" i="1"/>
  <c r="I10898" i="1"/>
  <c r="H10898" i="1"/>
  <c r="G10898" i="1"/>
  <c r="M10897" i="1"/>
  <c r="L10897" i="1"/>
  <c r="K10897" i="1"/>
  <c r="J10897" i="1"/>
  <c r="I10897" i="1"/>
  <c r="H10897" i="1"/>
  <c r="G10897" i="1"/>
  <c r="M10896" i="1"/>
  <c r="L10896" i="1"/>
  <c r="K10896" i="1"/>
  <c r="J10896" i="1"/>
  <c r="I10896" i="1"/>
  <c r="H10896" i="1"/>
  <c r="G10896" i="1"/>
  <c r="M10895" i="1"/>
  <c r="L10895" i="1"/>
  <c r="K10895" i="1"/>
  <c r="J10895" i="1"/>
  <c r="I10895" i="1"/>
  <c r="H10895" i="1"/>
  <c r="G10895" i="1"/>
  <c r="M10894" i="1"/>
  <c r="L10894" i="1"/>
  <c r="K10894" i="1"/>
  <c r="J10894" i="1"/>
  <c r="I10894" i="1"/>
  <c r="H10894" i="1"/>
  <c r="G10894" i="1"/>
  <c r="M10893" i="1"/>
  <c r="L10893" i="1"/>
  <c r="K10893" i="1"/>
  <c r="J10893" i="1"/>
  <c r="I10893" i="1"/>
  <c r="H10893" i="1"/>
  <c r="G10893" i="1"/>
  <c r="M10892" i="1"/>
  <c r="L10892" i="1"/>
  <c r="K10892" i="1"/>
  <c r="J10892" i="1"/>
  <c r="I10892" i="1"/>
  <c r="H10892" i="1"/>
  <c r="G10892" i="1"/>
  <c r="M10891" i="1"/>
  <c r="L10891" i="1"/>
  <c r="K10891" i="1"/>
  <c r="J10891" i="1"/>
  <c r="I10891" i="1"/>
  <c r="H10891" i="1"/>
  <c r="G10891" i="1"/>
  <c r="M10890" i="1"/>
  <c r="L10890" i="1"/>
  <c r="K10890" i="1"/>
  <c r="J10890" i="1"/>
  <c r="I10890" i="1"/>
  <c r="H10890" i="1"/>
  <c r="G10890" i="1"/>
  <c r="M10889" i="1"/>
  <c r="L10889" i="1"/>
  <c r="K10889" i="1"/>
  <c r="J10889" i="1"/>
  <c r="I10889" i="1"/>
  <c r="H10889" i="1"/>
  <c r="G10889" i="1"/>
  <c r="M10888" i="1"/>
  <c r="L10888" i="1"/>
  <c r="K10888" i="1"/>
  <c r="J10888" i="1"/>
  <c r="I10888" i="1"/>
  <c r="H10888" i="1"/>
  <c r="G10888" i="1"/>
  <c r="M10887" i="1"/>
  <c r="L10887" i="1"/>
  <c r="K10887" i="1"/>
  <c r="J10887" i="1"/>
  <c r="I10887" i="1"/>
  <c r="H10887" i="1"/>
  <c r="G10887" i="1"/>
  <c r="M10886" i="1"/>
  <c r="L10886" i="1"/>
  <c r="K10886" i="1"/>
  <c r="J10886" i="1"/>
  <c r="I10886" i="1"/>
  <c r="H10886" i="1"/>
  <c r="G10886" i="1"/>
  <c r="M10885" i="1"/>
  <c r="L10885" i="1"/>
  <c r="K10885" i="1"/>
  <c r="J10885" i="1"/>
  <c r="I10885" i="1"/>
  <c r="H10885" i="1"/>
  <c r="G10885" i="1"/>
  <c r="M10884" i="1"/>
  <c r="L10884" i="1"/>
  <c r="K10884" i="1"/>
  <c r="J10884" i="1"/>
  <c r="I10884" i="1"/>
  <c r="H10884" i="1"/>
  <c r="G10884" i="1"/>
  <c r="M10883" i="1"/>
  <c r="L10883" i="1"/>
  <c r="K10883" i="1"/>
  <c r="J10883" i="1"/>
  <c r="I10883" i="1"/>
  <c r="H10883" i="1"/>
  <c r="G10883" i="1"/>
  <c r="M10882" i="1"/>
  <c r="L10882" i="1"/>
  <c r="K10882" i="1"/>
  <c r="J10882" i="1"/>
  <c r="I10882" i="1"/>
  <c r="H10882" i="1"/>
  <c r="G10882" i="1"/>
  <c r="M10881" i="1"/>
  <c r="L10881" i="1"/>
  <c r="K10881" i="1"/>
  <c r="J10881" i="1"/>
  <c r="I10881" i="1"/>
  <c r="H10881" i="1"/>
  <c r="G10881" i="1"/>
  <c r="M10880" i="1"/>
  <c r="L10880" i="1"/>
  <c r="K10880" i="1"/>
  <c r="J10880" i="1"/>
  <c r="I10880" i="1"/>
  <c r="H10880" i="1"/>
  <c r="G10880" i="1"/>
  <c r="M10879" i="1"/>
  <c r="L10879" i="1"/>
  <c r="K10879" i="1"/>
  <c r="J10879" i="1"/>
  <c r="I10879" i="1"/>
  <c r="H10879" i="1"/>
  <c r="G10879" i="1"/>
  <c r="M10878" i="1"/>
  <c r="L10878" i="1"/>
  <c r="K10878" i="1"/>
  <c r="J10878" i="1"/>
  <c r="I10878" i="1"/>
  <c r="H10878" i="1"/>
  <c r="G10878" i="1"/>
  <c r="M10877" i="1"/>
  <c r="L10877" i="1"/>
  <c r="K10877" i="1"/>
  <c r="J10877" i="1"/>
  <c r="I10877" i="1"/>
  <c r="H10877" i="1"/>
  <c r="G10877" i="1"/>
  <c r="M10876" i="1"/>
  <c r="L10876" i="1"/>
  <c r="K10876" i="1"/>
  <c r="J10876" i="1"/>
  <c r="I10876" i="1"/>
  <c r="H10876" i="1"/>
  <c r="G10876" i="1"/>
  <c r="M10875" i="1"/>
  <c r="L10875" i="1"/>
  <c r="K10875" i="1"/>
  <c r="J10875" i="1"/>
  <c r="I10875" i="1"/>
  <c r="H10875" i="1"/>
  <c r="G10875" i="1"/>
  <c r="M10874" i="1"/>
  <c r="L10874" i="1"/>
  <c r="K10874" i="1"/>
  <c r="J10874" i="1"/>
  <c r="I10874" i="1"/>
  <c r="H10874" i="1"/>
  <c r="G10874" i="1"/>
  <c r="M10873" i="1"/>
  <c r="L10873" i="1"/>
  <c r="K10873" i="1"/>
  <c r="J10873" i="1"/>
  <c r="I10873" i="1"/>
  <c r="H10873" i="1"/>
  <c r="G10873" i="1"/>
  <c r="M10872" i="1"/>
  <c r="L10872" i="1"/>
  <c r="K10872" i="1"/>
  <c r="J10872" i="1"/>
  <c r="I10872" i="1"/>
  <c r="H10872" i="1"/>
  <c r="G10872" i="1"/>
  <c r="M10871" i="1"/>
  <c r="L10871" i="1"/>
  <c r="K10871" i="1"/>
  <c r="J10871" i="1"/>
  <c r="I10871" i="1"/>
  <c r="H10871" i="1"/>
  <c r="G10871" i="1"/>
  <c r="M10870" i="1"/>
  <c r="L10870" i="1"/>
  <c r="K10870" i="1"/>
  <c r="J10870" i="1"/>
  <c r="I10870" i="1"/>
  <c r="H10870" i="1"/>
  <c r="G10870" i="1"/>
  <c r="M10869" i="1"/>
  <c r="L10869" i="1"/>
  <c r="K10869" i="1"/>
  <c r="J10869" i="1"/>
  <c r="I10869" i="1"/>
  <c r="H10869" i="1"/>
  <c r="G10869" i="1"/>
  <c r="M10868" i="1"/>
  <c r="L10868" i="1"/>
  <c r="K10868" i="1"/>
  <c r="J10868" i="1"/>
  <c r="I10868" i="1"/>
  <c r="H10868" i="1"/>
  <c r="G10868" i="1"/>
  <c r="M10867" i="1"/>
  <c r="L10867" i="1"/>
  <c r="K10867" i="1"/>
  <c r="J10867" i="1"/>
  <c r="I10867" i="1"/>
  <c r="H10867" i="1"/>
  <c r="G10867" i="1"/>
  <c r="M10866" i="1"/>
  <c r="L10866" i="1"/>
  <c r="K10866" i="1"/>
  <c r="J10866" i="1"/>
  <c r="I10866" i="1"/>
  <c r="H10866" i="1"/>
  <c r="G10866" i="1"/>
  <c r="M10865" i="1"/>
  <c r="L10865" i="1"/>
  <c r="K10865" i="1"/>
  <c r="J10865" i="1"/>
  <c r="I10865" i="1"/>
  <c r="H10865" i="1"/>
  <c r="G10865" i="1"/>
  <c r="M10864" i="1"/>
  <c r="L10864" i="1"/>
  <c r="K10864" i="1"/>
  <c r="J10864" i="1"/>
  <c r="I10864" i="1"/>
  <c r="H10864" i="1"/>
  <c r="G10864" i="1"/>
  <c r="M10863" i="1"/>
  <c r="L10863" i="1"/>
  <c r="K10863" i="1"/>
  <c r="J10863" i="1"/>
  <c r="I10863" i="1"/>
  <c r="H10863" i="1"/>
  <c r="G10863" i="1"/>
  <c r="M10862" i="1"/>
  <c r="L10862" i="1"/>
  <c r="K10862" i="1"/>
  <c r="J10862" i="1"/>
  <c r="I10862" i="1"/>
  <c r="H10862" i="1"/>
  <c r="G10862" i="1"/>
  <c r="M10861" i="1"/>
  <c r="L10861" i="1"/>
  <c r="K10861" i="1"/>
  <c r="J10861" i="1"/>
  <c r="I10861" i="1"/>
  <c r="H10861" i="1"/>
  <c r="G10861" i="1"/>
  <c r="M10860" i="1"/>
  <c r="L10860" i="1"/>
  <c r="K10860" i="1"/>
  <c r="J10860" i="1"/>
  <c r="I10860" i="1"/>
  <c r="H10860" i="1"/>
  <c r="G10860" i="1"/>
  <c r="M10859" i="1"/>
  <c r="L10859" i="1"/>
  <c r="K10859" i="1"/>
  <c r="J10859" i="1"/>
  <c r="I10859" i="1"/>
  <c r="H10859" i="1"/>
  <c r="G10859" i="1"/>
  <c r="M10858" i="1"/>
  <c r="L10858" i="1"/>
  <c r="K10858" i="1"/>
  <c r="J10858" i="1"/>
  <c r="I10858" i="1"/>
  <c r="H10858" i="1"/>
  <c r="G10858" i="1"/>
  <c r="M10857" i="1"/>
  <c r="L10857" i="1"/>
  <c r="K10857" i="1"/>
  <c r="J10857" i="1"/>
  <c r="I10857" i="1"/>
  <c r="H10857" i="1"/>
  <c r="G10857" i="1"/>
  <c r="M10856" i="1"/>
  <c r="L10856" i="1"/>
  <c r="K10856" i="1"/>
  <c r="J10856" i="1"/>
  <c r="I10856" i="1"/>
  <c r="H10856" i="1"/>
  <c r="G10856" i="1"/>
  <c r="M10855" i="1"/>
  <c r="L10855" i="1"/>
  <c r="K10855" i="1"/>
  <c r="J10855" i="1"/>
  <c r="I10855" i="1"/>
  <c r="H10855" i="1"/>
  <c r="G10855" i="1"/>
  <c r="M10854" i="1"/>
  <c r="L10854" i="1"/>
  <c r="K10854" i="1"/>
  <c r="J10854" i="1"/>
  <c r="I10854" i="1"/>
  <c r="H10854" i="1"/>
  <c r="G10854" i="1"/>
  <c r="M10853" i="1"/>
  <c r="L10853" i="1"/>
  <c r="K10853" i="1"/>
  <c r="J10853" i="1"/>
  <c r="I10853" i="1"/>
  <c r="H10853" i="1"/>
  <c r="G10853" i="1"/>
  <c r="M10852" i="1"/>
  <c r="L10852" i="1"/>
  <c r="K10852" i="1"/>
  <c r="J10852" i="1"/>
  <c r="I10852" i="1"/>
  <c r="H10852" i="1"/>
  <c r="G10852" i="1"/>
  <c r="M10851" i="1"/>
  <c r="L10851" i="1"/>
  <c r="K10851" i="1"/>
  <c r="J10851" i="1"/>
  <c r="I10851" i="1"/>
  <c r="H10851" i="1"/>
  <c r="G10851" i="1"/>
  <c r="M10850" i="1"/>
  <c r="L10850" i="1"/>
  <c r="K10850" i="1"/>
  <c r="J10850" i="1"/>
  <c r="I10850" i="1"/>
  <c r="H10850" i="1"/>
  <c r="G10850" i="1"/>
  <c r="M10849" i="1"/>
  <c r="L10849" i="1"/>
  <c r="K10849" i="1"/>
  <c r="J10849" i="1"/>
  <c r="I10849" i="1"/>
  <c r="H10849" i="1"/>
  <c r="G10849" i="1"/>
  <c r="M10848" i="1"/>
  <c r="L10848" i="1"/>
  <c r="K10848" i="1"/>
  <c r="J10848" i="1"/>
  <c r="I10848" i="1"/>
  <c r="H10848" i="1"/>
  <c r="G10848" i="1"/>
  <c r="M10847" i="1"/>
  <c r="L10847" i="1"/>
  <c r="K10847" i="1"/>
  <c r="J10847" i="1"/>
  <c r="I10847" i="1"/>
  <c r="H10847" i="1"/>
  <c r="G10847" i="1"/>
  <c r="M10846" i="1"/>
  <c r="L10846" i="1"/>
  <c r="K10846" i="1"/>
  <c r="J10846" i="1"/>
  <c r="I10846" i="1"/>
  <c r="H10846" i="1"/>
  <c r="G10846" i="1"/>
  <c r="M10845" i="1"/>
  <c r="L10845" i="1"/>
  <c r="K10845" i="1"/>
  <c r="J10845" i="1"/>
  <c r="I10845" i="1"/>
  <c r="H10845" i="1"/>
  <c r="G10845" i="1"/>
  <c r="M10844" i="1"/>
  <c r="L10844" i="1"/>
  <c r="K10844" i="1"/>
  <c r="J10844" i="1"/>
  <c r="I10844" i="1"/>
  <c r="H10844" i="1"/>
  <c r="G10844" i="1"/>
  <c r="M10843" i="1"/>
  <c r="L10843" i="1"/>
  <c r="K10843" i="1"/>
  <c r="J10843" i="1"/>
  <c r="I10843" i="1"/>
  <c r="H10843" i="1"/>
  <c r="G10843" i="1"/>
  <c r="M10842" i="1"/>
  <c r="L10842" i="1"/>
  <c r="K10842" i="1"/>
  <c r="J10842" i="1"/>
  <c r="I10842" i="1"/>
  <c r="H10842" i="1"/>
  <c r="G10842" i="1"/>
  <c r="M10841" i="1"/>
  <c r="L10841" i="1"/>
  <c r="K10841" i="1"/>
  <c r="J10841" i="1"/>
  <c r="I10841" i="1"/>
  <c r="H10841" i="1"/>
  <c r="G10841" i="1"/>
  <c r="M10840" i="1"/>
  <c r="L10840" i="1"/>
  <c r="K10840" i="1"/>
  <c r="J10840" i="1"/>
  <c r="I10840" i="1"/>
  <c r="H10840" i="1"/>
  <c r="G10840" i="1"/>
  <c r="M10839" i="1"/>
  <c r="L10839" i="1"/>
  <c r="K10839" i="1"/>
  <c r="J10839" i="1"/>
  <c r="I10839" i="1"/>
  <c r="H10839" i="1"/>
  <c r="G10839" i="1"/>
  <c r="M10838" i="1"/>
  <c r="L10838" i="1"/>
  <c r="K10838" i="1"/>
  <c r="J10838" i="1"/>
  <c r="I10838" i="1"/>
  <c r="H10838" i="1"/>
  <c r="G10838" i="1"/>
  <c r="M10837" i="1"/>
  <c r="L10837" i="1"/>
  <c r="K10837" i="1"/>
  <c r="J10837" i="1"/>
  <c r="I10837" i="1"/>
  <c r="H10837" i="1"/>
  <c r="G10837" i="1"/>
  <c r="M10836" i="1"/>
  <c r="L10836" i="1"/>
  <c r="K10836" i="1"/>
  <c r="J10836" i="1"/>
  <c r="I10836" i="1"/>
  <c r="H10836" i="1"/>
  <c r="G10836" i="1"/>
  <c r="M10835" i="1"/>
  <c r="L10835" i="1"/>
  <c r="K10835" i="1"/>
  <c r="J10835" i="1"/>
  <c r="I10835" i="1"/>
  <c r="H10835" i="1"/>
  <c r="G10835" i="1"/>
  <c r="M10834" i="1"/>
  <c r="L10834" i="1"/>
  <c r="K10834" i="1"/>
  <c r="J10834" i="1"/>
  <c r="I10834" i="1"/>
  <c r="H10834" i="1"/>
  <c r="G10834" i="1"/>
  <c r="M10833" i="1"/>
  <c r="L10833" i="1"/>
  <c r="K10833" i="1"/>
  <c r="J10833" i="1"/>
  <c r="I10833" i="1"/>
  <c r="H10833" i="1"/>
  <c r="G10833" i="1"/>
  <c r="M10832" i="1"/>
  <c r="L10832" i="1"/>
  <c r="K10832" i="1"/>
  <c r="J10832" i="1"/>
  <c r="I10832" i="1"/>
  <c r="H10832" i="1"/>
  <c r="G10832" i="1"/>
  <c r="M10831" i="1"/>
  <c r="L10831" i="1"/>
  <c r="K10831" i="1"/>
  <c r="J10831" i="1"/>
  <c r="I10831" i="1"/>
  <c r="H10831" i="1"/>
  <c r="G10831" i="1"/>
  <c r="M10830" i="1"/>
  <c r="L10830" i="1"/>
  <c r="K10830" i="1"/>
  <c r="J10830" i="1"/>
  <c r="I10830" i="1"/>
  <c r="H10830" i="1"/>
  <c r="G10830" i="1"/>
  <c r="M10829" i="1"/>
  <c r="L10829" i="1"/>
  <c r="K10829" i="1"/>
  <c r="J10829" i="1"/>
  <c r="I10829" i="1"/>
  <c r="H10829" i="1"/>
  <c r="G10829" i="1"/>
  <c r="M10828" i="1"/>
  <c r="L10828" i="1"/>
  <c r="K10828" i="1"/>
  <c r="J10828" i="1"/>
  <c r="I10828" i="1"/>
  <c r="H10828" i="1"/>
  <c r="G10828" i="1"/>
  <c r="M10827" i="1"/>
  <c r="L10827" i="1"/>
  <c r="K10827" i="1"/>
  <c r="J10827" i="1"/>
  <c r="I10827" i="1"/>
  <c r="H10827" i="1"/>
  <c r="G10827" i="1"/>
  <c r="M10826" i="1"/>
  <c r="L10826" i="1"/>
  <c r="K10826" i="1"/>
  <c r="J10826" i="1"/>
  <c r="I10826" i="1"/>
  <c r="H10826" i="1"/>
  <c r="G10826" i="1"/>
  <c r="M10825" i="1"/>
  <c r="L10825" i="1"/>
  <c r="K10825" i="1"/>
  <c r="J10825" i="1"/>
  <c r="I10825" i="1"/>
  <c r="H10825" i="1"/>
  <c r="G10825" i="1"/>
  <c r="M10824" i="1"/>
  <c r="L10824" i="1"/>
  <c r="K10824" i="1"/>
  <c r="J10824" i="1"/>
  <c r="I10824" i="1"/>
  <c r="H10824" i="1"/>
  <c r="G10824" i="1"/>
  <c r="M10823" i="1"/>
  <c r="L10823" i="1"/>
  <c r="K10823" i="1"/>
  <c r="J10823" i="1"/>
  <c r="I10823" i="1"/>
  <c r="H10823" i="1"/>
  <c r="G10823" i="1"/>
  <c r="M10822" i="1"/>
  <c r="L10822" i="1"/>
  <c r="K10822" i="1"/>
  <c r="J10822" i="1"/>
  <c r="I10822" i="1"/>
  <c r="H10822" i="1"/>
  <c r="G10822" i="1"/>
  <c r="M10821" i="1"/>
  <c r="L10821" i="1"/>
  <c r="K10821" i="1"/>
  <c r="J10821" i="1"/>
  <c r="I10821" i="1"/>
  <c r="H10821" i="1"/>
  <c r="G10821" i="1"/>
  <c r="M10820" i="1"/>
  <c r="L10820" i="1"/>
  <c r="K10820" i="1"/>
  <c r="J10820" i="1"/>
  <c r="I10820" i="1"/>
  <c r="H10820" i="1"/>
  <c r="G10820" i="1"/>
  <c r="M10819" i="1"/>
  <c r="L10819" i="1"/>
  <c r="K10819" i="1"/>
  <c r="J10819" i="1"/>
  <c r="I10819" i="1"/>
  <c r="H10819" i="1"/>
  <c r="G10819" i="1"/>
  <c r="M10818" i="1"/>
  <c r="L10818" i="1"/>
  <c r="K10818" i="1"/>
  <c r="J10818" i="1"/>
  <c r="I10818" i="1"/>
  <c r="H10818" i="1"/>
  <c r="G10818" i="1"/>
  <c r="M10817" i="1"/>
  <c r="L10817" i="1"/>
  <c r="K10817" i="1"/>
  <c r="J10817" i="1"/>
  <c r="I10817" i="1"/>
  <c r="H10817" i="1"/>
  <c r="G10817" i="1"/>
  <c r="M10816" i="1"/>
  <c r="L10816" i="1"/>
  <c r="K10816" i="1"/>
  <c r="J10816" i="1"/>
  <c r="I10816" i="1"/>
  <c r="H10816" i="1"/>
  <c r="G10816" i="1"/>
  <c r="M10815" i="1"/>
  <c r="L10815" i="1"/>
  <c r="K10815" i="1"/>
  <c r="J10815" i="1"/>
  <c r="I10815" i="1"/>
  <c r="H10815" i="1"/>
  <c r="G10815" i="1"/>
  <c r="M10814" i="1"/>
  <c r="L10814" i="1"/>
  <c r="K10814" i="1"/>
  <c r="J10814" i="1"/>
  <c r="I10814" i="1"/>
  <c r="H10814" i="1"/>
  <c r="G10814" i="1"/>
  <c r="M10813" i="1"/>
  <c r="L10813" i="1"/>
  <c r="K10813" i="1"/>
  <c r="J10813" i="1"/>
  <c r="I10813" i="1"/>
  <c r="H10813" i="1"/>
  <c r="G10813" i="1"/>
  <c r="M10812" i="1"/>
  <c r="L10812" i="1"/>
  <c r="K10812" i="1"/>
  <c r="J10812" i="1"/>
  <c r="I10812" i="1"/>
  <c r="H10812" i="1"/>
  <c r="G10812" i="1"/>
  <c r="M10811" i="1"/>
  <c r="L10811" i="1"/>
  <c r="K10811" i="1"/>
  <c r="J10811" i="1"/>
  <c r="I10811" i="1"/>
  <c r="H10811" i="1"/>
  <c r="G10811" i="1"/>
  <c r="M10810" i="1"/>
  <c r="L10810" i="1"/>
  <c r="K10810" i="1"/>
  <c r="J10810" i="1"/>
  <c r="I10810" i="1"/>
  <c r="H10810" i="1"/>
  <c r="G10810" i="1"/>
  <c r="M10809" i="1"/>
  <c r="L10809" i="1"/>
  <c r="K10809" i="1"/>
  <c r="J10809" i="1"/>
  <c r="I10809" i="1"/>
  <c r="H10809" i="1"/>
  <c r="G10809" i="1"/>
  <c r="M10808" i="1"/>
  <c r="L10808" i="1"/>
  <c r="K10808" i="1"/>
  <c r="J10808" i="1"/>
  <c r="I10808" i="1"/>
  <c r="H10808" i="1"/>
  <c r="G10808" i="1"/>
  <c r="M10807" i="1"/>
  <c r="L10807" i="1"/>
  <c r="K10807" i="1"/>
  <c r="J10807" i="1"/>
  <c r="I10807" i="1"/>
  <c r="H10807" i="1"/>
  <c r="G10807" i="1"/>
  <c r="M10806" i="1"/>
  <c r="L10806" i="1"/>
  <c r="K10806" i="1"/>
  <c r="J10806" i="1"/>
  <c r="I10806" i="1"/>
  <c r="H10806" i="1"/>
  <c r="G10806" i="1"/>
  <c r="M10805" i="1"/>
  <c r="L10805" i="1"/>
  <c r="K10805" i="1"/>
  <c r="J10805" i="1"/>
  <c r="I10805" i="1"/>
  <c r="H10805" i="1"/>
  <c r="G10805" i="1"/>
  <c r="M10804" i="1"/>
  <c r="L10804" i="1"/>
  <c r="K10804" i="1"/>
  <c r="J10804" i="1"/>
  <c r="I10804" i="1"/>
  <c r="H10804" i="1"/>
  <c r="G10804" i="1"/>
  <c r="M10803" i="1"/>
  <c r="L10803" i="1"/>
  <c r="K10803" i="1"/>
  <c r="J10803" i="1"/>
  <c r="I10803" i="1"/>
  <c r="H10803" i="1"/>
  <c r="G10803" i="1"/>
  <c r="M10802" i="1"/>
  <c r="L10802" i="1"/>
  <c r="K10802" i="1"/>
  <c r="J10802" i="1"/>
  <c r="I10802" i="1"/>
  <c r="H10802" i="1"/>
  <c r="G10802" i="1"/>
  <c r="M10801" i="1"/>
  <c r="L10801" i="1"/>
  <c r="K10801" i="1"/>
  <c r="J10801" i="1"/>
  <c r="I10801" i="1"/>
  <c r="H10801" i="1"/>
  <c r="G10801" i="1"/>
  <c r="M10800" i="1"/>
  <c r="L10800" i="1"/>
  <c r="K10800" i="1"/>
  <c r="J10800" i="1"/>
  <c r="I10800" i="1"/>
  <c r="H10800" i="1"/>
  <c r="G10800" i="1"/>
  <c r="M10799" i="1"/>
  <c r="L10799" i="1"/>
  <c r="K10799" i="1"/>
  <c r="J10799" i="1"/>
  <c r="I10799" i="1"/>
  <c r="H10799" i="1"/>
  <c r="G10799" i="1"/>
  <c r="M10798" i="1"/>
  <c r="L10798" i="1"/>
  <c r="K10798" i="1"/>
  <c r="J10798" i="1"/>
  <c r="I10798" i="1"/>
  <c r="H10798" i="1"/>
  <c r="G10798" i="1"/>
  <c r="M10797" i="1"/>
  <c r="L10797" i="1"/>
  <c r="K10797" i="1"/>
  <c r="J10797" i="1"/>
  <c r="I10797" i="1"/>
  <c r="H10797" i="1"/>
  <c r="G10797" i="1"/>
  <c r="M10796" i="1"/>
  <c r="L10796" i="1"/>
  <c r="K10796" i="1"/>
  <c r="J10796" i="1"/>
  <c r="I10796" i="1"/>
  <c r="H10796" i="1"/>
  <c r="G10796" i="1"/>
  <c r="M10795" i="1"/>
  <c r="L10795" i="1"/>
  <c r="K10795" i="1"/>
  <c r="J10795" i="1"/>
  <c r="I10795" i="1"/>
  <c r="H10795" i="1"/>
  <c r="G10795" i="1"/>
  <c r="M10794" i="1"/>
  <c r="L10794" i="1"/>
  <c r="K10794" i="1"/>
  <c r="J10794" i="1"/>
  <c r="I10794" i="1"/>
  <c r="H10794" i="1"/>
  <c r="G10794" i="1"/>
  <c r="M10793" i="1"/>
  <c r="L10793" i="1"/>
  <c r="K10793" i="1"/>
  <c r="J10793" i="1"/>
  <c r="I10793" i="1"/>
  <c r="H10793" i="1"/>
  <c r="G10793" i="1"/>
  <c r="M10792" i="1"/>
  <c r="L10792" i="1"/>
  <c r="K10792" i="1"/>
  <c r="J10792" i="1"/>
  <c r="I10792" i="1"/>
  <c r="H10792" i="1"/>
  <c r="G10792" i="1"/>
  <c r="M10791" i="1"/>
  <c r="L10791" i="1"/>
  <c r="K10791" i="1"/>
  <c r="J10791" i="1"/>
  <c r="I10791" i="1"/>
  <c r="H10791" i="1"/>
  <c r="G10791" i="1"/>
  <c r="M10790" i="1"/>
  <c r="L10790" i="1"/>
  <c r="K10790" i="1"/>
  <c r="J10790" i="1"/>
  <c r="I10790" i="1"/>
  <c r="H10790" i="1"/>
  <c r="G10790" i="1"/>
  <c r="M10789" i="1"/>
  <c r="L10789" i="1"/>
  <c r="K10789" i="1"/>
  <c r="J10789" i="1"/>
  <c r="I10789" i="1"/>
  <c r="H10789" i="1"/>
  <c r="G10789" i="1"/>
  <c r="M10788" i="1"/>
  <c r="L10788" i="1"/>
  <c r="K10788" i="1"/>
  <c r="J10788" i="1"/>
  <c r="I10788" i="1"/>
  <c r="H10788" i="1"/>
  <c r="G10788" i="1"/>
  <c r="M10787" i="1"/>
  <c r="L10787" i="1"/>
  <c r="K10787" i="1"/>
  <c r="J10787" i="1"/>
  <c r="I10787" i="1"/>
  <c r="H10787" i="1"/>
  <c r="G10787" i="1"/>
  <c r="M10786" i="1"/>
  <c r="L10786" i="1"/>
  <c r="K10786" i="1"/>
  <c r="J10786" i="1"/>
  <c r="I10786" i="1"/>
  <c r="H10786" i="1"/>
  <c r="G10786" i="1"/>
  <c r="M10785" i="1"/>
  <c r="L10785" i="1"/>
  <c r="K10785" i="1"/>
  <c r="J10785" i="1"/>
  <c r="I10785" i="1"/>
  <c r="H10785" i="1"/>
  <c r="G10785" i="1"/>
  <c r="M10784" i="1"/>
  <c r="L10784" i="1"/>
  <c r="K10784" i="1"/>
  <c r="J10784" i="1"/>
  <c r="I10784" i="1"/>
  <c r="H10784" i="1"/>
  <c r="G10784" i="1"/>
  <c r="M10783" i="1"/>
  <c r="L10783" i="1"/>
  <c r="K10783" i="1"/>
  <c r="J10783" i="1"/>
  <c r="I10783" i="1"/>
  <c r="H10783" i="1"/>
  <c r="G10783" i="1"/>
  <c r="M10782" i="1"/>
  <c r="L10782" i="1"/>
  <c r="K10782" i="1"/>
  <c r="J10782" i="1"/>
  <c r="I10782" i="1"/>
  <c r="H10782" i="1"/>
  <c r="G10782" i="1"/>
  <c r="M10781" i="1"/>
  <c r="L10781" i="1"/>
  <c r="K10781" i="1"/>
  <c r="J10781" i="1"/>
  <c r="I10781" i="1"/>
  <c r="H10781" i="1"/>
  <c r="G10781" i="1"/>
  <c r="M10780" i="1"/>
  <c r="L10780" i="1"/>
  <c r="K10780" i="1"/>
  <c r="J10780" i="1"/>
  <c r="I10780" i="1"/>
  <c r="H10780" i="1"/>
  <c r="G10780" i="1"/>
  <c r="M10779" i="1"/>
  <c r="L10779" i="1"/>
  <c r="K10779" i="1"/>
  <c r="J10779" i="1"/>
  <c r="I10779" i="1"/>
  <c r="H10779" i="1"/>
  <c r="G10779" i="1"/>
  <c r="M10778" i="1"/>
  <c r="L10778" i="1"/>
  <c r="K10778" i="1"/>
  <c r="J10778" i="1"/>
  <c r="I10778" i="1"/>
  <c r="H10778" i="1"/>
  <c r="G10778" i="1"/>
  <c r="M10777" i="1"/>
  <c r="L10777" i="1"/>
  <c r="K10777" i="1"/>
  <c r="J10777" i="1"/>
  <c r="I10777" i="1"/>
  <c r="H10777" i="1"/>
  <c r="G10777" i="1"/>
  <c r="M10776" i="1"/>
  <c r="L10776" i="1"/>
  <c r="K10776" i="1"/>
  <c r="J10776" i="1"/>
  <c r="I10776" i="1"/>
  <c r="H10776" i="1"/>
  <c r="G10776" i="1"/>
  <c r="M10775" i="1"/>
  <c r="L10775" i="1"/>
  <c r="K10775" i="1"/>
  <c r="J10775" i="1"/>
  <c r="I10775" i="1"/>
  <c r="H10775" i="1"/>
  <c r="G10775" i="1"/>
  <c r="M10774" i="1"/>
  <c r="L10774" i="1"/>
  <c r="K10774" i="1"/>
  <c r="J10774" i="1"/>
  <c r="I10774" i="1"/>
  <c r="H10774" i="1"/>
  <c r="G10774" i="1"/>
  <c r="M10773" i="1"/>
  <c r="L10773" i="1"/>
  <c r="K10773" i="1"/>
  <c r="J10773" i="1"/>
  <c r="I10773" i="1"/>
  <c r="H10773" i="1"/>
  <c r="G10773" i="1"/>
  <c r="M10772" i="1"/>
  <c r="L10772" i="1"/>
  <c r="K10772" i="1"/>
  <c r="J10772" i="1"/>
  <c r="I10772" i="1"/>
  <c r="H10772" i="1"/>
  <c r="G10772" i="1"/>
  <c r="M10771" i="1"/>
  <c r="L10771" i="1"/>
  <c r="K10771" i="1"/>
  <c r="J10771" i="1"/>
  <c r="I10771" i="1"/>
  <c r="H10771" i="1"/>
  <c r="G10771" i="1"/>
  <c r="M10770" i="1"/>
  <c r="L10770" i="1"/>
  <c r="K10770" i="1"/>
  <c r="J10770" i="1"/>
  <c r="I10770" i="1"/>
  <c r="H10770" i="1"/>
  <c r="G10770" i="1"/>
  <c r="M10769" i="1"/>
  <c r="L10769" i="1"/>
  <c r="K10769" i="1"/>
  <c r="J10769" i="1"/>
  <c r="I10769" i="1"/>
  <c r="H10769" i="1"/>
  <c r="G10769" i="1"/>
  <c r="M10768" i="1"/>
  <c r="L10768" i="1"/>
  <c r="K10768" i="1"/>
  <c r="J10768" i="1"/>
  <c r="I10768" i="1"/>
  <c r="H10768" i="1"/>
  <c r="G10768" i="1"/>
  <c r="M10767" i="1"/>
  <c r="L10767" i="1"/>
  <c r="K10767" i="1"/>
  <c r="J10767" i="1"/>
  <c r="I10767" i="1"/>
  <c r="H10767" i="1"/>
  <c r="G10767" i="1"/>
  <c r="M10766" i="1"/>
  <c r="L10766" i="1"/>
  <c r="K10766" i="1"/>
  <c r="J10766" i="1"/>
  <c r="I10766" i="1"/>
  <c r="H10766" i="1"/>
  <c r="G10766" i="1"/>
  <c r="M10765" i="1"/>
  <c r="L10765" i="1"/>
  <c r="K10765" i="1"/>
  <c r="J10765" i="1"/>
  <c r="I10765" i="1"/>
  <c r="H10765" i="1"/>
  <c r="G10765" i="1"/>
  <c r="M10764" i="1"/>
  <c r="L10764" i="1"/>
  <c r="K10764" i="1"/>
  <c r="J10764" i="1"/>
  <c r="I10764" i="1"/>
  <c r="H10764" i="1"/>
  <c r="G10764" i="1"/>
  <c r="M10763" i="1"/>
  <c r="L10763" i="1"/>
  <c r="K10763" i="1"/>
  <c r="J10763" i="1"/>
  <c r="I10763" i="1"/>
  <c r="H10763" i="1"/>
  <c r="G10763" i="1"/>
  <c r="M10762" i="1"/>
  <c r="L10762" i="1"/>
  <c r="K10762" i="1"/>
  <c r="J10762" i="1"/>
  <c r="I10762" i="1"/>
  <c r="H10762" i="1"/>
  <c r="G10762" i="1"/>
  <c r="M10761" i="1"/>
  <c r="L10761" i="1"/>
  <c r="K10761" i="1"/>
  <c r="J10761" i="1"/>
  <c r="I10761" i="1"/>
  <c r="H10761" i="1"/>
  <c r="G10761" i="1"/>
  <c r="M10760" i="1"/>
  <c r="L10760" i="1"/>
  <c r="K10760" i="1"/>
  <c r="J10760" i="1"/>
  <c r="I10760" i="1"/>
  <c r="H10760" i="1"/>
  <c r="G10760" i="1"/>
  <c r="M10759" i="1"/>
  <c r="L10759" i="1"/>
  <c r="K10759" i="1"/>
  <c r="J10759" i="1"/>
  <c r="I10759" i="1"/>
  <c r="H10759" i="1"/>
  <c r="G10759" i="1"/>
  <c r="M10758" i="1"/>
  <c r="L10758" i="1"/>
  <c r="K10758" i="1"/>
  <c r="J10758" i="1"/>
  <c r="I10758" i="1"/>
  <c r="H10758" i="1"/>
  <c r="G10758" i="1"/>
  <c r="M10757" i="1"/>
  <c r="L10757" i="1"/>
  <c r="K10757" i="1"/>
  <c r="J10757" i="1"/>
  <c r="I10757" i="1"/>
  <c r="H10757" i="1"/>
  <c r="G10757" i="1"/>
  <c r="M10756" i="1"/>
  <c r="L10756" i="1"/>
  <c r="K10756" i="1"/>
  <c r="J10756" i="1"/>
  <c r="I10756" i="1"/>
  <c r="H10756" i="1"/>
  <c r="G10756" i="1"/>
  <c r="M10755" i="1"/>
  <c r="L10755" i="1"/>
  <c r="K10755" i="1"/>
  <c r="J10755" i="1"/>
  <c r="I10755" i="1"/>
  <c r="H10755" i="1"/>
  <c r="G10755" i="1"/>
  <c r="M10754" i="1"/>
  <c r="L10754" i="1"/>
  <c r="K10754" i="1"/>
  <c r="J10754" i="1"/>
  <c r="I10754" i="1"/>
  <c r="H10754" i="1"/>
  <c r="G10754" i="1"/>
  <c r="M10753" i="1"/>
  <c r="L10753" i="1"/>
  <c r="K10753" i="1"/>
  <c r="J10753" i="1"/>
  <c r="I10753" i="1"/>
  <c r="H10753" i="1"/>
  <c r="G10753" i="1"/>
  <c r="M10752" i="1"/>
  <c r="L10752" i="1"/>
  <c r="K10752" i="1"/>
  <c r="J10752" i="1"/>
  <c r="I10752" i="1"/>
  <c r="H10752" i="1"/>
  <c r="G10752" i="1"/>
  <c r="M10751" i="1"/>
  <c r="L10751" i="1"/>
  <c r="K10751" i="1"/>
  <c r="J10751" i="1"/>
  <c r="I10751" i="1"/>
  <c r="H10751" i="1"/>
  <c r="G10751" i="1"/>
  <c r="M10750" i="1"/>
  <c r="L10750" i="1"/>
  <c r="K10750" i="1"/>
  <c r="J10750" i="1"/>
  <c r="I10750" i="1"/>
  <c r="H10750" i="1"/>
  <c r="G10750" i="1"/>
  <c r="M10749" i="1"/>
  <c r="L10749" i="1"/>
  <c r="K10749" i="1"/>
  <c r="J10749" i="1"/>
  <c r="I10749" i="1"/>
  <c r="H10749" i="1"/>
  <c r="G10749" i="1"/>
  <c r="M10748" i="1"/>
  <c r="L10748" i="1"/>
  <c r="K10748" i="1"/>
  <c r="J10748" i="1"/>
  <c r="I10748" i="1"/>
  <c r="H10748" i="1"/>
  <c r="G10748" i="1"/>
  <c r="M10747" i="1"/>
  <c r="L10747" i="1"/>
  <c r="K10747" i="1"/>
  <c r="J10747" i="1"/>
  <c r="I10747" i="1"/>
  <c r="H10747" i="1"/>
  <c r="G10747" i="1"/>
  <c r="M10746" i="1"/>
  <c r="L10746" i="1"/>
  <c r="K10746" i="1"/>
  <c r="J10746" i="1"/>
  <c r="I10746" i="1"/>
  <c r="H10746" i="1"/>
  <c r="G10746" i="1"/>
  <c r="M10745" i="1"/>
  <c r="L10745" i="1"/>
  <c r="K10745" i="1"/>
  <c r="J10745" i="1"/>
  <c r="I10745" i="1"/>
  <c r="H10745" i="1"/>
  <c r="G10745" i="1"/>
  <c r="M10744" i="1"/>
  <c r="L10744" i="1"/>
  <c r="K10744" i="1"/>
  <c r="J10744" i="1"/>
  <c r="I10744" i="1"/>
  <c r="H10744" i="1"/>
  <c r="G10744" i="1"/>
  <c r="M10743" i="1"/>
  <c r="L10743" i="1"/>
  <c r="K10743" i="1"/>
  <c r="J10743" i="1"/>
  <c r="I10743" i="1"/>
  <c r="H10743" i="1"/>
  <c r="G10743" i="1"/>
  <c r="M10742" i="1"/>
  <c r="L10742" i="1"/>
  <c r="K10742" i="1"/>
  <c r="J10742" i="1"/>
  <c r="I10742" i="1"/>
  <c r="H10742" i="1"/>
  <c r="G10742" i="1"/>
  <c r="M10741" i="1"/>
  <c r="L10741" i="1"/>
  <c r="K10741" i="1"/>
  <c r="J10741" i="1"/>
  <c r="I10741" i="1"/>
  <c r="H10741" i="1"/>
  <c r="G10741" i="1"/>
  <c r="M10740" i="1"/>
  <c r="L10740" i="1"/>
  <c r="K10740" i="1"/>
  <c r="J10740" i="1"/>
  <c r="I10740" i="1"/>
  <c r="H10740" i="1"/>
  <c r="G10740" i="1"/>
  <c r="M10739" i="1"/>
  <c r="L10739" i="1"/>
  <c r="K10739" i="1"/>
  <c r="J10739" i="1"/>
  <c r="I10739" i="1"/>
  <c r="H10739" i="1"/>
  <c r="G10739" i="1"/>
  <c r="M10738" i="1"/>
  <c r="L10738" i="1"/>
  <c r="K10738" i="1"/>
  <c r="J10738" i="1"/>
  <c r="I10738" i="1"/>
  <c r="H10738" i="1"/>
  <c r="G10738" i="1"/>
  <c r="M10737" i="1"/>
  <c r="L10737" i="1"/>
  <c r="K10737" i="1"/>
  <c r="J10737" i="1"/>
  <c r="I10737" i="1"/>
  <c r="H10737" i="1"/>
  <c r="G10737" i="1"/>
  <c r="M10736" i="1"/>
  <c r="L10736" i="1"/>
  <c r="K10736" i="1"/>
  <c r="J10736" i="1"/>
  <c r="I10736" i="1"/>
  <c r="H10736" i="1"/>
  <c r="G10736" i="1"/>
  <c r="M10735" i="1"/>
  <c r="L10735" i="1"/>
  <c r="K10735" i="1"/>
  <c r="J10735" i="1"/>
  <c r="I10735" i="1"/>
  <c r="H10735" i="1"/>
  <c r="G10735" i="1"/>
  <c r="M10734" i="1"/>
  <c r="L10734" i="1"/>
  <c r="K10734" i="1"/>
  <c r="J10734" i="1"/>
  <c r="I10734" i="1"/>
  <c r="H10734" i="1"/>
  <c r="G10734" i="1"/>
  <c r="M10733" i="1"/>
  <c r="L10733" i="1"/>
  <c r="K10733" i="1"/>
  <c r="J10733" i="1"/>
  <c r="I10733" i="1"/>
  <c r="H10733" i="1"/>
  <c r="G10733" i="1"/>
  <c r="M10732" i="1"/>
  <c r="L10732" i="1"/>
  <c r="K10732" i="1"/>
  <c r="J10732" i="1"/>
  <c r="I10732" i="1"/>
  <c r="H10732" i="1"/>
  <c r="G10732" i="1"/>
  <c r="M10731" i="1"/>
  <c r="L10731" i="1"/>
  <c r="K10731" i="1"/>
  <c r="J10731" i="1"/>
  <c r="I10731" i="1"/>
  <c r="H10731" i="1"/>
  <c r="G10731" i="1"/>
  <c r="M10730" i="1"/>
  <c r="L10730" i="1"/>
  <c r="K10730" i="1"/>
  <c r="J10730" i="1"/>
  <c r="I10730" i="1"/>
  <c r="H10730" i="1"/>
  <c r="G10730" i="1"/>
  <c r="M10729" i="1"/>
  <c r="L10729" i="1"/>
  <c r="K10729" i="1"/>
  <c r="J10729" i="1"/>
  <c r="I10729" i="1"/>
  <c r="H10729" i="1"/>
  <c r="G10729" i="1"/>
  <c r="M10728" i="1"/>
  <c r="L10728" i="1"/>
  <c r="K10728" i="1"/>
  <c r="J10728" i="1"/>
  <c r="I10728" i="1"/>
  <c r="H10728" i="1"/>
  <c r="G10728" i="1"/>
  <c r="M10727" i="1"/>
  <c r="L10727" i="1"/>
  <c r="K10727" i="1"/>
  <c r="J10727" i="1"/>
  <c r="I10727" i="1"/>
  <c r="H10727" i="1"/>
  <c r="G10727" i="1"/>
  <c r="M10726" i="1"/>
  <c r="L10726" i="1"/>
  <c r="K10726" i="1"/>
  <c r="J10726" i="1"/>
  <c r="I10726" i="1"/>
  <c r="H10726" i="1"/>
  <c r="G10726" i="1"/>
  <c r="M10725" i="1"/>
  <c r="L10725" i="1"/>
  <c r="K10725" i="1"/>
  <c r="J10725" i="1"/>
  <c r="I10725" i="1"/>
  <c r="H10725" i="1"/>
  <c r="G10725" i="1"/>
  <c r="M10724" i="1"/>
  <c r="L10724" i="1"/>
  <c r="K10724" i="1"/>
  <c r="J10724" i="1"/>
  <c r="I10724" i="1"/>
  <c r="H10724" i="1"/>
  <c r="G10724" i="1"/>
  <c r="M10723" i="1"/>
  <c r="L10723" i="1"/>
  <c r="K10723" i="1"/>
  <c r="J10723" i="1"/>
  <c r="I10723" i="1"/>
  <c r="H10723" i="1"/>
  <c r="G10723" i="1"/>
  <c r="M10722" i="1"/>
  <c r="L10722" i="1"/>
  <c r="K10722" i="1"/>
  <c r="J10722" i="1"/>
  <c r="I10722" i="1"/>
  <c r="H10722" i="1"/>
  <c r="G10722" i="1"/>
  <c r="M10721" i="1"/>
  <c r="L10721" i="1"/>
  <c r="K10721" i="1"/>
  <c r="J10721" i="1"/>
  <c r="I10721" i="1"/>
  <c r="H10721" i="1"/>
  <c r="G10721" i="1"/>
  <c r="M10720" i="1"/>
  <c r="L10720" i="1"/>
  <c r="K10720" i="1"/>
  <c r="J10720" i="1"/>
  <c r="I10720" i="1"/>
  <c r="H10720" i="1"/>
  <c r="G10720" i="1"/>
  <c r="M10719" i="1"/>
  <c r="L10719" i="1"/>
  <c r="K10719" i="1"/>
  <c r="J10719" i="1"/>
  <c r="I10719" i="1"/>
  <c r="H10719" i="1"/>
  <c r="G10719" i="1"/>
  <c r="M10718" i="1"/>
  <c r="L10718" i="1"/>
  <c r="K10718" i="1"/>
  <c r="J10718" i="1"/>
  <c r="I10718" i="1"/>
  <c r="H10718" i="1"/>
  <c r="G10718" i="1"/>
  <c r="M10717" i="1"/>
  <c r="L10717" i="1"/>
  <c r="K10717" i="1"/>
  <c r="J10717" i="1"/>
  <c r="I10717" i="1"/>
  <c r="H10717" i="1"/>
  <c r="G10717" i="1"/>
  <c r="M10716" i="1"/>
  <c r="L10716" i="1"/>
  <c r="K10716" i="1"/>
  <c r="J10716" i="1"/>
  <c r="I10716" i="1"/>
  <c r="H10716" i="1"/>
  <c r="G10716" i="1"/>
  <c r="M10715" i="1"/>
  <c r="L10715" i="1"/>
  <c r="K10715" i="1"/>
  <c r="J10715" i="1"/>
  <c r="I10715" i="1"/>
  <c r="H10715" i="1"/>
  <c r="G10715" i="1"/>
  <c r="M10714" i="1"/>
  <c r="L10714" i="1"/>
  <c r="K10714" i="1"/>
  <c r="J10714" i="1"/>
  <c r="I10714" i="1"/>
  <c r="H10714" i="1"/>
  <c r="G10714" i="1"/>
  <c r="M10713" i="1"/>
  <c r="L10713" i="1"/>
  <c r="K10713" i="1"/>
  <c r="J10713" i="1"/>
  <c r="I10713" i="1"/>
  <c r="H10713" i="1"/>
  <c r="G10713" i="1"/>
  <c r="M10712" i="1"/>
  <c r="L10712" i="1"/>
  <c r="K10712" i="1"/>
  <c r="J10712" i="1"/>
  <c r="I10712" i="1"/>
  <c r="H10712" i="1"/>
  <c r="G10712" i="1"/>
  <c r="M10711" i="1"/>
  <c r="L10711" i="1"/>
  <c r="K10711" i="1"/>
  <c r="J10711" i="1"/>
  <c r="I10711" i="1"/>
  <c r="H10711" i="1"/>
  <c r="G10711" i="1"/>
  <c r="M10710" i="1"/>
  <c r="L10710" i="1"/>
  <c r="K10710" i="1"/>
  <c r="J10710" i="1"/>
  <c r="I10710" i="1"/>
  <c r="H10710" i="1"/>
  <c r="G10710" i="1"/>
  <c r="M10709" i="1"/>
  <c r="L10709" i="1"/>
  <c r="K10709" i="1"/>
  <c r="J10709" i="1"/>
  <c r="I10709" i="1"/>
  <c r="H10709" i="1"/>
  <c r="G10709" i="1"/>
  <c r="M10708" i="1"/>
  <c r="L10708" i="1"/>
  <c r="K10708" i="1"/>
  <c r="J10708" i="1"/>
  <c r="I10708" i="1"/>
  <c r="H10708" i="1"/>
  <c r="G10708" i="1"/>
  <c r="M10707" i="1"/>
  <c r="L10707" i="1"/>
  <c r="K10707" i="1"/>
  <c r="J10707" i="1"/>
  <c r="I10707" i="1"/>
  <c r="H10707" i="1"/>
  <c r="G10707" i="1"/>
  <c r="M10706" i="1"/>
  <c r="L10706" i="1"/>
  <c r="K10706" i="1"/>
  <c r="J10706" i="1"/>
  <c r="I10706" i="1"/>
  <c r="H10706" i="1"/>
  <c r="G10706" i="1"/>
  <c r="M10705" i="1"/>
  <c r="L10705" i="1"/>
  <c r="K10705" i="1"/>
  <c r="J10705" i="1"/>
  <c r="I10705" i="1"/>
  <c r="H10705" i="1"/>
  <c r="G10705" i="1"/>
  <c r="M10704" i="1"/>
  <c r="L10704" i="1"/>
  <c r="K10704" i="1"/>
  <c r="J10704" i="1"/>
  <c r="I10704" i="1"/>
  <c r="H10704" i="1"/>
  <c r="G10704" i="1"/>
  <c r="M10703" i="1"/>
  <c r="L10703" i="1"/>
  <c r="K10703" i="1"/>
  <c r="J10703" i="1"/>
  <c r="I10703" i="1"/>
  <c r="H10703" i="1"/>
  <c r="G10703" i="1"/>
  <c r="M10702" i="1"/>
  <c r="L10702" i="1"/>
  <c r="K10702" i="1"/>
  <c r="J10702" i="1"/>
  <c r="I10702" i="1"/>
  <c r="H10702" i="1"/>
  <c r="G10702" i="1"/>
  <c r="M10701" i="1"/>
  <c r="L10701" i="1"/>
  <c r="K10701" i="1"/>
  <c r="J10701" i="1"/>
  <c r="I10701" i="1"/>
  <c r="H10701" i="1"/>
  <c r="G10701" i="1"/>
  <c r="M10700" i="1"/>
  <c r="L10700" i="1"/>
  <c r="K10700" i="1"/>
  <c r="J10700" i="1"/>
  <c r="I10700" i="1"/>
  <c r="H10700" i="1"/>
  <c r="G10700" i="1"/>
  <c r="M10699" i="1"/>
  <c r="L10699" i="1"/>
  <c r="K10699" i="1"/>
  <c r="J10699" i="1"/>
  <c r="I10699" i="1"/>
  <c r="H10699" i="1"/>
  <c r="G10699" i="1"/>
  <c r="M10698" i="1"/>
  <c r="L10698" i="1"/>
  <c r="K10698" i="1"/>
  <c r="J10698" i="1"/>
  <c r="I10698" i="1"/>
  <c r="H10698" i="1"/>
  <c r="G10698" i="1"/>
  <c r="M10697" i="1"/>
  <c r="L10697" i="1"/>
  <c r="K10697" i="1"/>
  <c r="J10697" i="1"/>
  <c r="I10697" i="1"/>
  <c r="H10697" i="1"/>
  <c r="G10697" i="1"/>
  <c r="M10696" i="1"/>
  <c r="L10696" i="1"/>
  <c r="K10696" i="1"/>
  <c r="J10696" i="1"/>
  <c r="I10696" i="1"/>
  <c r="H10696" i="1"/>
  <c r="G10696" i="1"/>
  <c r="M10695" i="1"/>
  <c r="L10695" i="1"/>
  <c r="K10695" i="1"/>
  <c r="J10695" i="1"/>
  <c r="I10695" i="1"/>
  <c r="H10695" i="1"/>
  <c r="G10695" i="1"/>
  <c r="M10694" i="1"/>
  <c r="L10694" i="1"/>
  <c r="K10694" i="1"/>
  <c r="J10694" i="1"/>
  <c r="I10694" i="1"/>
  <c r="H10694" i="1"/>
  <c r="G10694" i="1"/>
  <c r="M10693" i="1"/>
  <c r="L10693" i="1"/>
  <c r="K10693" i="1"/>
  <c r="J10693" i="1"/>
  <c r="I10693" i="1"/>
  <c r="H10693" i="1"/>
  <c r="G10693" i="1"/>
  <c r="M10692" i="1"/>
  <c r="L10692" i="1"/>
  <c r="K10692" i="1"/>
  <c r="J10692" i="1"/>
  <c r="I10692" i="1"/>
  <c r="H10692" i="1"/>
  <c r="G10692" i="1"/>
  <c r="M10691" i="1"/>
  <c r="L10691" i="1"/>
  <c r="K10691" i="1"/>
  <c r="J10691" i="1"/>
  <c r="I10691" i="1"/>
  <c r="H10691" i="1"/>
  <c r="G10691" i="1"/>
  <c r="M10690" i="1"/>
  <c r="L10690" i="1"/>
  <c r="K10690" i="1"/>
  <c r="J10690" i="1"/>
  <c r="I10690" i="1"/>
  <c r="H10690" i="1"/>
  <c r="G10690" i="1"/>
  <c r="M10689" i="1"/>
  <c r="L10689" i="1"/>
  <c r="K10689" i="1"/>
  <c r="J10689" i="1"/>
  <c r="I10689" i="1"/>
  <c r="H10689" i="1"/>
  <c r="G10689" i="1"/>
  <c r="M10688" i="1"/>
  <c r="L10688" i="1"/>
  <c r="K10688" i="1"/>
  <c r="J10688" i="1"/>
  <c r="I10688" i="1"/>
  <c r="H10688" i="1"/>
  <c r="G10688" i="1"/>
  <c r="M10687" i="1"/>
  <c r="L10687" i="1"/>
  <c r="K10687" i="1"/>
  <c r="J10687" i="1"/>
  <c r="I10687" i="1"/>
  <c r="H10687" i="1"/>
  <c r="G10687" i="1"/>
  <c r="M10686" i="1"/>
  <c r="L10686" i="1"/>
  <c r="K10686" i="1"/>
  <c r="J10686" i="1"/>
  <c r="I10686" i="1"/>
  <c r="H10686" i="1"/>
  <c r="G10686" i="1"/>
  <c r="M10685" i="1"/>
  <c r="L10685" i="1"/>
  <c r="K10685" i="1"/>
  <c r="J10685" i="1"/>
  <c r="I10685" i="1"/>
  <c r="H10685" i="1"/>
  <c r="G10685" i="1"/>
  <c r="M10684" i="1"/>
  <c r="L10684" i="1"/>
  <c r="K10684" i="1"/>
  <c r="J10684" i="1"/>
  <c r="I10684" i="1"/>
  <c r="H10684" i="1"/>
  <c r="G10684" i="1"/>
  <c r="M10683" i="1"/>
  <c r="L10683" i="1"/>
  <c r="K10683" i="1"/>
  <c r="J10683" i="1"/>
  <c r="I10683" i="1"/>
  <c r="H10683" i="1"/>
  <c r="G10683" i="1"/>
  <c r="M10682" i="1"/>
  <c r="L10682" i="1"/>
  <c r="K10682" i="1"/>
  <c r="J10682" i="1"/>
  <c r="I10682" i="1"/>
  <c r="H10682" i="1"/>
  <c r="G10682" i="1"/>
  <c r="M10681" i="1"/>
  <c r="L10681" i="1"/>
  <c r="K10681" i="1"/>
  <c r="J10681" i="1"/>
  <c r="I10681" i="1"/>
  <c r="H10681" i="1"/>
  <c r="G10681" i="1"/>
  <c r="M10680" i="1"/>
  <c r="L10680" i="1"/>
  <c r="K10680" i="1"/>
  <c r="J10680" i="1"/>
  <c r="I10680" i="1"/>
  <c r="H10680" i="1"/>
  <c r="G10680" i="1"/>
  <c r="M10679" i="1"/>
  <c r="L10679" i="1"/>
  <c r="K10679" i="1"/>
  <c r="J10679" i="1"/>
  <c r="I10679" i="1"/>
  <c r="H10679" i="1"/>
  <c r="G10679" i="1"/>
  <c r="M10678" i="1"/>
  <c r="L10678" i="1"/>
  <c r="K10678" i="1"/>
  <c r="J10678" i="1"/>
  <c r="I10678" i="1"/>
  <c r="H10678" i="1"/>
  <c r="G10678" i="1"/>
  <c r="M10677" i="1"/>
  <c r="L10677" i="1"/>
  <c r="K10677" i="1"/>
  <c r="J10677" i="1"/>
  <c r="I10677" i="1"/>
  <c r="H10677" i="1"/>
  <c r="G10677" i="1"/>
  <c r="M10676" i="1"/>
  <c r="L10676" i="1"/>
  <c r="K10676" i="1"/>
  <c r="J10676" i="1"/>
  <c r="I10676" i="1"/>
  <c r="H10676" i="1"/>
  <c r="G10676" i="1"/>
  <c r="M10675" i="1"/>
  <c r="L10675" i="1"/>
  <c r="K10675" i="1"/>
  <c r="J10675" i="1"/>
  <c r="I10675" i="1"/>
  <c r="H10675" i="1"/>
  <c r="G10675" i="1"/>
  <c r="M10674" i="1"/>
  <c r="L10674" i="1"/>
  <c r="K10674" i="1"/>
  <c r="J10674" i="1"/>
  <c r="I10674" i="1"/>
  <c r="H10674" i="1"/>
  <c r="G10674" i="1"/>
  <c r="M10673" i="1"/>
  <c r="L10673" i="1"/>
  <c r="K10673" i="1"/>
  <c r="J10673" i="1"/>
  <c r="I10673" i="1"/>
  <c r="H10673" i="1"/>
  <c r="G10673" i="1"/>
  <c r="M10672" i="1"/>
  <c r="L10672" i="1"/>
  <c r="K10672" i="1"/>
  <c r="J10672" i="1"/>
  <c r="I10672" i="1"/>
  <c r="H10672" i="1"/>
  <c r="G10672" i="1"/>
  <c r="M10671" i="1"/>
  <c r="L10671" i="1"/>
  <c r="K10671" i="1"/>
  <c r="J10671" i="1"/>
  <c r="I10671" i="1"/>
  <c r="H10671" i="1"/>
  <c r="G10671" i="1"/>
  <c r="M10670" i="1"/>
  <c r="L10670" i="1"/>
  <c r="K10670" i="1"/>
  <c r="J10670" i="1"/>
  <c r="I10670" i="1"/>
  <c r="H10670" i="1"/>
  <c r="G10670" i="1"/>
  <c r="M10669" i="1"/>
  <c r="L10669" i="1"/>
  <c r="K10669" i="1"/>
  <c r="J10669" i="1"/>
  <c r="I10669" i="1"/>
  <c r="H10669" i="1"/>
  <c r="G10669" i="1"/>
  <c r="M10668" i="1"/>
  <c r="L10668" i="1"/>
  <c r="K10668" i="1"/>
  <c r="J10668" i="1"/>
  <c r="I10668" i="1"/>
  <c r="H10668" i="1"/>
  <c r="G10668" i="1"/>
  <c r="M10667" i="1"/>
  <c r="L10667" i="1"/>
  <c r="K10667" i="1"/>
  <c r="J10667" i="1"/>
  <c r="I10667" i="1"/>
  <c r="H10667" i="1"/>
  <c r="G10667" i="1"/>
  <c r="M10666" i="1"/>
  <c r="L10666" i="1"/>
  <c r="K10666" i="1"/>
  <c r="J10666" i="1"/>
  <c r="I10666" i="1"/>
  <c r="H10666" i="1"/>
  <c r="G10666" i="1"/>
  <c r="M10665" i="1"/>
  <c r="L10665" i="1"/>
  <c r="K10665" i="1"/>
  <c r="J10665" i="1"/>
  <c r="I10665" i="1"/>
  <c r="H10665" i="1"/>
  <c r="G10665" i="1"/>
  <c r="M10664" i="1"/>
  <c r="L10664" i="1"/>
  <c r="K10664" i="1"/>
  <c r="J10664" i="1"/>
  <c r="I10664" i="1"/>
  <c r="H10664" i="1"/>
  <c r="G10664" i="1"/>
  <c r="M10663" i="1"/>
  <c r="L10663" i="1"/>
  <c r="K10663" i="1"/>
  <c r="J10663" i="1"/>
  <c r="I10663" i="1"/>
  <c r="H10663" i="1"/>
  <c r="G10663" i="1"/>
  <c r="M10662" i="1"/>
  <c r="L10662" i="1"/>
  <c r="K10662" i="1"/>
  <c r="J10662" i="1"/>
  <c r="I10662" i="1"/>
  <c r="H10662" i="1"/>
  <c r="G10662" i="1"/>
  <c r="M10661" i="1"/>
  <c r="L10661" i="1"/>
  <c r="K10661" i="1"/>
  <c r="J10661" i="1"/>
  <c r="I10661" i="1"/>
  <c r="H10661" i="1"/>
  <c r="G10661" i="1"/>
  <c r="M10660" i="1"/>
  <c r="L10660" i="1"/>
  <c r="K10660" i="1"/>
  <c r="J10660" i="1"/>
  <c r="I10660" i="1"/>
  <c r="H10660" i="1"/>
  <c r="G10660" i="1"/>
  <c r="M10659" i="1"/>
  <c r="L10659" i="1"/>
  <c r="K10659" i="1"/>
  <c r="J10659" i="1"/>
  <c r="I10659" i="1"/>
  <c r="H10659" i="1"/>
  <c r="G10659" i="1"/>
  <c r="M10658" i="1"/>
  <c r="L10658" i="1"/>
  <c r="K10658" i="1"/>
  <c r="J10658" i="1"/>
  <c r="I10658" i="1"/>
  <c r="H10658" i="1"/>
  <c r="G10658" i="1"/>
  <c r="M10657" i="1"/>
  <c r="L10657" i="1"/>
  <c r="K10657" i="1"/>
  <c r="J10657" i="1"/>
  <c r="I10657" i="1"/>
  <c r="H10657" i="1"/>
  <c r="G10657" i="1"/>
  <c r="M10656" i="1"/>
  <c r="L10656" i="1"/>
  <c r="K10656" i="1"/>
  <c r="J10656" i="1"/>
  <c r="I10656" i="1"/>
  <c r="H10656" i="1"/>
  <c r="G10656" i="1"/>
  <c r="M10655" i="1"/>
  <c r="L10655" i="1"/>
  <c r="K10655" i="1"/>
  <c r="J10655" i="1"/>
  <c r="I10655" i="1"/>
  <c r="H10655" i="1"/>
  <c r="G10655" i="1"/>
  <c r="M10654" i="1"/>
  <c r="L10654" i="1"/>
  <c r="K10654" i="1"/>
  <c r="J10654" i="1"/>
  <c r="I10654" i="1"/>
  <c r="H10654" i="1"/>
  <c r="G10654" i="1"/>
  <c r="M10653" i="1"/>
  <c r="L10653" i="1"/>
  <c r="K10653" i="1"/>
  <c r="J10653" i="1"/>
  <c r="I10653" i="1"/>
  <c r="H10653" i="1"/>
  <c r="G10653" i="1"/>
  <c r="M10652" i="1"/>
  <c r="L10652" i="1"/>
  <c r="K10652" i="1"/>
  <c r="J10652" i="1"/>
  <c r="I10652" i="1"/>
  <c r="H10652" i="1"/>
  <c r="G10652" i="1"/>
  <c r="M10651" i="1"/>
  <c r="L10651" i="1"/>
  <c r="K10651" i="1"/>
  <c r="J10651" i="1"/>
  <c r="I10651" i="1"/>
  <c r="H10651" i="1"/>
  <c r="G10651" i="1"/>
  <c r="M10650" i="1"/>
  <c r="L10650" i="1"/>
  <c r="K10650" i="1"/>
  <c r="J10650" i="1"/>
  <c r="I10650" i="1"/>
  <c r="H10650" i="1"/>
  <c r="G10650" i="1"/>
  <c r="M10649" i="1"/>
  <c r="L10649" i="1"/>
  <c r="K10649" i="1"/>
  <c r="J10649" i="1"/>
  <c r="I10649" i="1"/>
  <c r="H10649" i="1"/>
  <c r="G10649" i="1"/>
  <c r="M10648" i="1"/>
  <c r="L10648" i="1"/>
  <c r="K10648" i="1"/>
  <c r="J10648" i="1"/>
  <c r="I10648" i="1"/>
  <c r="H10648" i="1"/>
  <c r="G10648" i="1"/>
  <c r="M10647" i="1"/>
  <c r="L10647" i="1"/>
  <c r="K10647" i="1"/>
  <c r="J10647" i="1"/>
  <c r="I10647" i="1"/>
  <c r="H10647" i="1"/>
  <c r="G10647" i="1"/>
  <c r="M10646" i="1"/>
  <c r="L10646" i="1"/>
  <c r="K10646" i="1"/>
  <c r="J10646" i="1"/>
  <c r="I10646" i="1"/>
  <c r="H10646" i="1"/>
  <c r="G10646" i="1"/>
  <c r="M10645" i="1"/>
  <c r="L10645" i="1"/>
  <c r="K10645" i="1"/>
  <c r="J10645" i="1"/>
  <c r="I10645" i="1"/>
  <c r="H10645" i="1"/>
  <c r="G10645" i="1"/>
  <c r="M10644" i="1"/>
  <c r="L10644" i="1"/>
  <c r="K10644" i="1"/>
  <c r="J10644" i="1"/>
  <c r="I10644" i="1"/>
  <c r="H10644" i="1"/>
  <c r="G10644" i="1"/>
  <c r="M10643" i="1"/>
  <c r="L10643" i="1"/>
  <c r="K10643" i="1"/>
  <c r="J10643" i="1"/>
  <c r="I10643" i="1"/>
  <c r="H10643" i="1"/>
  <c r="G10643" i="1"/>
  <c r="M10642" i="1"/>
  <c r="L10642" i="1"/>
  <c r="K10642" i="1"/>
  <c r="J10642" i="1"/>
  <c r="I10642" i="1"/>
  <c r="H10642" i="1"/>
  <c r="G10642" i="1"/>
  <c r="M10641" i="1"/>
  <c r="L10641" i="1"/>
  <c r="K10641" i="1"/>
  <c r="J10641" i="1"/>
  <c r="I10641" i="1"/>
  <c r="H10641" i="1"/>
  <c r="G10641" i="1"/>
  <c r="M10640" i="1"/>
  <c r="L10640" i="1"/>
  <c r="K10640" i="1"/>
  <c r="J10640" i="1"/>
  <c r="I10640" i="1"/>
  <c r="H10640" i="1"/>
  <c r="G10640" i="1"/>
  <c r="M10639" i="1"/>
  <c r="L10639" i="1"/>
  <c r="K10639" i="1"/>
  <c r="J10639" i="1"/>
  <c r="I10639" i="1"/>
  <c r="H10639" i="1"/>
  <c r="G10639" i="1"/>
  <c r="M10638" i="1"/>
  <c r="L10638" i="1"/>
  <c r="K10638" i="1"/>
  <c r="J10638" i="1"/>
  <c r="I10638" i="1"/>
  <c r="H10638" i="1"/>
  <c r="G10638" i="1"/>
  <c r="M10637" i="1"/>
  <c r="L10637" i="1"/>
  <c r="K10637" i="1"/>
  <c r="J10637" i="1"/>
  <c r="I10637" i="1"/>
  <c r="H10637" i="1"/>
  <c r="G10637" i="1"/>
  <c r="M10636" i="1"/>
  <c r="L10636" i="1"/>
  <c r="K10636" i="1"/>
  <c r="J10636" i="1"/>
  <c r="I10636" i="1"/>
  <c r="H10636" i="1"/>
  <c r="G10636" i="1"/>
  <c r="M10635" i="1"/>
  <c r="L10635" i="1"/>
  <c r="K10635" i="1"/>
  <c r="J10635" i="1"/>
  <c r="I10635" i="1"/>
  <c r="H10635" i="1"/>
  <c r="G10635" i="1"/>
  <c r="M10634" i="1"/>
  <c r="L10634" i="1"/>
  <c r="K10634" i="1"/>
  <c r="J10634" i="1"/>
  <c r="I10634" i="1"/>
  <c r="H10634" i="1"/>
  <c r="G10634" i="1"/>
  <c r="M10633" i="1"/>
  <c r="L10633" i="1"/>
  <c r="K10633" i="1"/>
  <c r="J10633" i="1"/>
  <c r="I10633" i="1"/>
  <c r="H10633" i="1"/>
  <c r="G10633" i="1"/>
  <c r="M10632" i="1"/>
  <c r="L10632" i="1"/>
  <c r="K10632" i="1"/>
  <c r="J10632" i="1"/>
  <c r="I10632" i="1"/>
  <c r="H10632" i="1"/>
  <c r="G10632" i="1"/>
  <c r="M10631" i="1"/>
  <c r="L10631" i="1"/>
  <c r="K10631" i="1"/>
  <c r="J10631" i="1"/>
  <c r="I10631" i="1"/>
  <c r="H10631" i="1"/>
  <c r="G10631" i="1"/>
  <c r="M10630" i="1"/>
  <c r="L10630" i="1"/>
  <c r="K10630" i="1"/>
  <c r="J10630" i="1"/>
  <c r="I10630" i="1"/>
  <c r="H10630" i="1"/>
  <c r="G10630" i="1"/>
  <c r="M10629" i="1"/>
  <c r="L10629" i="1"/>
  <c r="K10629" i="1"/>
  <c r="J10629" i="1"/>
  <c r="I10629" i="1"/>
  <c r="H10629" i="1"/>
  <c r="G10629" i="1"/>
  <c r="M10628" i="1"/>
  <c r="L10628" i="1"/>
  <c r="K10628" i="1"/>
  <c r="J10628" i="1"/>
  <c r="I10628" i="1"/>
  <c r="H10628" i="1"/>
  <c r="G10628" i="1"/>
  <c r="M10627" i="1"/>
  <c r="L10627" i="1"/>
  <c r="K10627" i="1"/>
  <c r="J10627" i="1"/>
  <c r="I10627" i="1"/>
  <c r="H10627" i="1"/>
  <c r="G10627" i="1"/>
  <c r="M10626" i="1"/>
  <c r="L10626" i="1"/>
  <c r="K10626" i="1"/>
  <c r="J10626" i="1"/>
  <c r="I10626" i="1"/>
  <c r="H10626" i="1"/>
  <c r="G10626" i="1"/>
  <c r="M10625" i="1"/>
  <c r="L10625" i="1"/>
  <c r="K10625" i="1"/>
  <c r="J10625" i="1"/>
  <c r="I10625" i="1"/>
  <c r="H10625" i="1"/>
  <c r="G10625" i="1"/>
  <c r="M10624" i="1"/>
  <c r="L10624" i="1"/>
  <c r="K10624" i="1"/>
  <c r="J10624" i="1"/>
  <c r="I10624" i="1"/>
  <c r="H10624" i="1"/>
  <c r="G10624" i="1"/>
  <c r="M10623" i="1"/>
  <c r="L10623" i="1"/>
  <c r="K10623" i="1"/>
  <c r="J10623" i="1"/>
  <c r="I10623" i="1"/>
  <c r="H10623" i="1"/>
  <c r="G10623" i="1"/>
  <c r="M10622" i="1"/>
  <c r="L10622" i="1"/>
  <c r="K10622" i="1"/>
  <c r="J10622" i="1"/>
  <c r="I10622" i="1"/>
  <c r="H10622" i="1"/>
  <c r="G10622" i="1"/>
  <c r="M10621" i="1"/>
  <c r="L10621" i="1"/>
  <c r="K10621" i="1"/>
  <c r="J10621" i="1"/>
  <c r="I10621" i="1"/>
  <c r="H10621" i="1"/>
  <c r="G10621" i="1"/>
  <c r="M10620" i="1"/>
  <c r="L10620" i="1"/>
  <c r="K10620" i="1"/>
  <c r="J10620" i="1"/>
  <c r="I10620" i="1"/>
  <c r="H10620" i="1"/>
  <c r="G10620" i="1"/>
  <c r="M10619" i="1"/>
  <c r="L10619" i="1"/>
  <c r="K10619" i="1"/>
  <c r="J10619" i="1"/>
  <c r="I10619" i="1"/>
  <c r="H10619" i="1"/>
  <c r="G10619" i="1"/>
  <c r="M10618" i="1"/>
  <c r="L10618" i="1"/>
  <c r="K10618" i="1"/>
  <c r="J10618" i="1"/>
  <c r="I10618" i="1"/>
  <c r="H10618" i="1"/>
  <c r="G10618" i="1"/>
  <c r="M10617" i="1"/>
  <c r="L10617" i="1"/>
  <c r="K10617" i="1"/>
  <c r="J10617" i="1"/>
  <c r="I10617" i="1"/>
  <c r="H10617" i="1"/>
  <c r="G10617" i="1"/>
  <c r="M10616" i="1"/>
  <c r="L10616" i="1"/>
  <c r="K10616" i="1"/>
  <c r="J10616" i="1"/>
  <c r="I10616" i="1"/>
  <c r="H10616" i="1"/>
  <c r="G10616" i="1"/>
  <c r="M10615" i="1"/>
  <c r="L10615" i="1"/>
  <c r="K10615" i="1"/>
  <c r="J10615" i="1"/>
  <c r="I10615" i="1"/>
  <c r="H10615" i="1"/>
  <c r="G10615" i="1"/>
  <c r="M10614" i="1"/>
  <c r="L10614" i="1"/>
  <c r="K10614" i="1"/>
  <c r="J10614" i="1"/>
  <c r="I10614" i="1"/>
  <c r="H10614" i="1"/>
  <c r="G10614" i="1"/>
  <c r="M10613" i="1"/>
  <c r="L10613" i="1"/>
  <c r="K10613" i="1"/>
  <c r="J10613" i="1"/>
  <c r="I10613" i="1"/>
  <c r="H10613" i="1"/>
  <c r="G10613" i="1"/>
  <c r="M10612" i="1"/>
  <c r="L10612" i="1"/>
  <c r="K10612" i="1"/>
  <c r="J10612" i="1"/>
  <c r="I10612" i="1"/>
  <c r="H10612" i="1"/>
  <c r="G10612" i="1"/>
  <c r="M10611" i="1"/>
  <c r="L10611" i="1"/>
  <c r="K10611" i="1"/>
  <c r="J10611" i="1"/>
  <c r="I10611" i="1"/>
  <c r="H10611" i="1"/>
  <c r="G10611" i="1"/>
  <c r="M10610" i="1"/>
  <c r="L10610" i="1"/>
  <c r="K10610" i="1"/>
  <c r="J10610" i="1"/>
  <c r="I10610" i="1"/>
  <c r="H10610" i="1"/>
  <c r="G10610" i="1"/>
  <c r="M10609" i="1"/>
  <c r="L10609" i="1"/>
  <c r="K10609" i="1"/>
  <c r="J10609" i="1"/>
  <c r="I10609" i="1"/>
  <c r="H10609" i="1"/>
  <c r="G10609" i="1"/>
  <c r="M10608" i="1"/>
  <c r="L10608" i="1"/>
  <c r="K10608" i="1"/>
  <c r="J10608" i="1"/>
  <c r="I10608" i="1"/>
  <c r="H10608" i="1"/>
  <c r="G10608" i="1"/>
  <c r="M10607" i="1"/>
  <c r="L10607" i="1"/>
  <c r="K10607" i="1"/>
  <c r="J10607" i="1"/>
  <c r="I10607" i="1"/>
  <c r="H10607" i="1"/>
  <c r="G10607" i="1"/>
  <c r="M10606" i="1"/>
  <c r="L10606" i="1"/>
  <c r="K10606" i="1"/>
  <c r="J10606" i="1"/>
  <c r="I10606" i="1"/>
  <c r="H10606" i="1"/>
  <c r="G10606" i="1"/>
  <c r="M10605" i="1"/>
  <c r="L10605" i="1"/>
  <c r="K10605" i="1"/>
  <c r="J10605" i="1"/>
  <c r="I10605" i="1"/>
  <c r="H10605" i="1"/>
  <c r="G10605" i="1"/>
  <c r="M10604" i="1"/>
  <c r="L10604" i="1"/>
  <c r="K10604" i="1"/>
  <c r="J10604" i="1"/>
  <c r="I10604" i="1"/>
  <c r="H10604" i="1"/>
  <c r="G10604" i="1"/>
  <c r="M10603" i="1"/>
  <c r="L10603" i="1"/>
  <c r="K10603" i="1"/>
  <c r="J10603" i="1"/>
  <c r="I10603" i="1"/>
  <c r="H10603" i="1"/>
  <c r="G10603" i="1"/>
  <c r="M10602" i="1"/>
  <c r="L10602" i="1"/>
  <c r="K10602" i="1"/>
  <c r="J10602" i="1"/>
  <c r="I10602" i="1"/>
  <c r="H10602" i="1"/>
  <c r="G10602" i="1"/>
  <c r="M10601" i="1"/>
  <c r="L10601" i="1"/>
  <c r="K10601" i="1"/>
  <c r="J10601" i="1"/>
  <c r="I10601" i="1"/>
  <c r="H10601" i="1"/>
  <c r="G10601" i="1"/>
  <c r="M10600" i="1"/>
  <c r="L10600" i="1"/>
  <c r="K10600" i="1"/>
  <c r="J10600" i="1"/>
  <c r="I10600" i="1"/>
  <c r="H10600" i="1"/>
  <c r="G10600" i="1"/>
  <c r="M10599" i="1"/>
  <c r="L10599" i="1"/>
  <c r="K10599" i="1"/>
  <c r="J10599" i="1"/>
  <c r="I10599" i="1"/>
  <c r="H10599" i="1"/>
  <c r="G10599" i="1"/>
  <c r="M10598" i="1"/>
  <c r="L10598" i="1"/>
  <c r="K10598" i="1"/>
  <c r="J10598" i="1"/>
  <c r="I10598" i="1"/>
  <c r="H10598" i="1"/>
  <c r="G10598" i="1"/>
  <c r="M10597" i="1"/>
  <c r="L10597" i="1"/>
  <c r="K10597" i="1"/>
  <c r="J10597" i="1"/>
  <c r="I10597" i="1"/>
  <c r="H10597" i="1"/>
  <c r="G10597" i="1"/>
  <c r="M10596" i="1"/>
  <c r="L10596" i="1"/>
  <c r="K10596" i="1"/>
  <c r="J10596" i="1"/>
  <c r="I10596" i="1"/>
  <c r="H10596" i="1"/>
  <c r="G10596" i="1"/>
  <c r="M10595" i="1"/>
  <c r="L10595" i="1"/>
  <c r="K10595" i="1"/>
  <c r="J10595" i="1"/>
  <c r="I10595" i="1"/>
  <c r="H10595" i="1"/>
  <c r="G10595" i="1"/>
  <c r="M10594" i="1"/>
  <c r="L10594" i="1"/>
  <c r="K10594" i="1"/>
  <c r="J10594" i="1"/>
  <c r="I10594" i="1"/>
  <c r="H10594" i="1"/>
  <c r="G10594" i="1"/>
  <c r="M10593" i="1"/>
  <c r="L10593" i="1"/>
  <c r="K10593" i="1"/>
  <c r="J10593" i="1"/>
  <c r="I10593" i="1"/>
  <c r="H10593" i="1"/>
  <c r="G10593" i="1"/>
  <c r="M10592" i="1"/>
  <c r="L10592" i="1"/>
  <c r="K10592" i="1"/>
  <c r="J10592" i="1"/>
  <c r="I10592" i="1"/>
  <c r="H10592" i="1"/>
  <c r="G10592" i="1"/>
  <c r="M10591" i="1"/>
  <c r="L10591" i="1"/>
  <c r="K10591" i="1"/>
  <c r="J10591" i="1"/>
  <c r="I10591" i="1"/>
  <c r="H10591" i="1"/>
  <c r="G10591" i="1"/>
  <c r="M10590" i="1"/>
  <c r="L10590" i="1"/>
  <c r="K10590" i="1"/>
  <c r="J10590" i="1"/>
  <c r="I10590" i="1"/>
  <c r="H10590" i="1"/>
  <c r="G10590" i="1"/>
  <c r="M10589" i="1"/>
  <c r="L10589" i="1"/>
  <c r="K10589" i="1"/>
  <c r="J10589" i="1"/>
  <c r="I10589" i="1"/>
  <c r="H10589" i="1"/>
  <c r="G10589" i="1"/>
  <c r="M10588" i="1"/>
  <c r="L10588" i="1"/>
  <c r="K10588" i="1"/>
  <c r="J10588" i="1"/>
  <c r="I10588" i="1"/>
  <c r="H10588" i="1"/>
  <c r="G10588" i="1"/>
  <c r="M10587" i="1"/>
  <c r="L10587" i="1"/>
  <c r="K10587" i="1"/>
  <c r="J10587" i="1"/>
  <c r="I10587" i="1"/>
  <c r="H10587" i="1"/>
  <c r="G10587" i="1"/>
  <c r="M10586" i="1"/>
  <c r="L10586" i="1"/>
  <c r="K10586" i="1"/>
  <c r="J10586" i="1"/>
  <c r="I10586" i="1"/>
  <c r="H10586" i="1"/>
  <c r="G10586" i="1"/>
  <c r="M10585" i="1"/>
  <c r="L10585" i="1"/>
  <c r="K10585" i="1"/>
  <c r="J10585" i="1"/>
  <c r="I10585" i="1"/>
  <c r="H10585" i="1"/>
  <c r="G10585" i="1"/>
  <c r="M10584" i="1"/>
  <c r="L10584" i="1"/>
  <c r="K10584" i="1"/>
  <c r="J10584" i="1"/>
  <c r="I10584" i="1"/>
  <c r="H10584" i="1"/>
  <c r="G10584" i="1"/>
  <c r="M10583" i="1"/>
  <c r="L10583" i="1"/>
  <c r="K10583" i="1"/>
  <c r="J10583" i="1"/>
  <c r="I10583" i="1"/>
  <c r="H10583" i="1"/>
  <c r="G10583" i="1"/>
  <c r="M10582" i="1"/>
  <c r="L10582" i="1"/>
  <c r="K10582" i="1"/>
  <c r="J10582" i="1"/>
  <c r="I10582" i="1"/>
  <c r="H10582" i="1"/>
  <c r="G10582" i="1"/>
  <c r="M10581" i="1"/>
  <c r="L10581" i="1"/>
  <c r="K10581" i="1"/>
  <c r="J10581" i="1"/>
  <c r="I10581" i="1"/>
  <c r="H10581" i="1"/>
  <c r="G10581" i="1"/>
  <c r="M10580" i="1"/>
  <c r="L10580" i="1"/>
  <c r="K10580" i="1"/>
  <c r="J10580" i="1"/>
  <c r="I10580" i="1"/>
  <c r="H10580" i="1"/>
  <c r="G10580" i="1"/>
  <c r="M10579" i="1"/>
  <c r="L10579" i="1"/>
  <c r="K10579" i="1"/>
  <c r="J10579" i="1"/>
  <c r="I10579" i="1"/>
  <c r="H10579" i="1"/>
  <c r="G10579" i="1"/>
  <c r="M10578" i="1"/>
  <c r="L10578" i="1"/>
  <c r="K10578" i="1"/>
  <c r="J10578" i="1"/>
  <c r="I10578" i="1"/>
  <c r="H10578" i="1"/>
  <c r="G10578" i="1"/>
  <c r="M10577" i="1"/>
  <c r="L10577" i="1"/>
  <c r="K10577" i="1"/>
  <c r="J10577" i="1"/>
  <c r="I10577" i="1"/>
  <c r="H10577" i="1"/>
  <c r="G10577" i="1"/>
  <c r="M10576" i="1"/>
  <c r="L10576" i="1"/>
  <c r="K10576" i="1"/>
  <c r="J10576" i="1"/>
  <c r="I10576" i="1"/>
  <c r="H10576" i="1"/>
  <c r="G10576" i="1"/>
  <c r="M10575" i="1"/>
  <c r="L10575" i="1"/>
  <c r="K10575" i="1"/>
  <c r="J10575" i="1"/>
  <c r="I10575" i="1"/>
  <c r="H10575" i="1"/>
  <c r="G10575" i="1"/>
  <c r="M10574" i="1"/>
  <c r="L10574" i="1"/>
  <c r="K10574" i="1"/>
  <c r="J10574" i="1"/>
  <c r="I10574" i="1"/>
  <c r="H10574" i="1"/>
  <c r="G10574" i="1"/>
  <c r="M10573" i="1"/>
  <c r="L10573" i="1"/>
  <c r="K10573" i="1"/>
  <c r="J10573" i="1"/>
  <c r="I10573" i="1"/>
  <c r="H10573" i="1"/>
  <c r="G10573" i="1"/>
  <c r="M10572" i="1"/>
  <c r="L10572" i="1"/>
  <c r="K10572" i="1"/>
  <c r="J10572" i="1"/>
  <c r="I10572" i="1"/>
  <c r="H10572" i="1"/>
  <c r="G10572" i="1"/>
  <c r="M10571" i="1"/>
  <c r="L10571" i="1"/>
  <c r="K10571" i="1"/>
  <c r="J10571" i="1"/>
  <c r="I10571" i="1"/>
  <c r="H10571" i="1"/>
  <c r="G10571" i="1"/>
  <c r="M10570" i="1"/>
  <c r="L10570" i="1"/>
  <c r="K10570" i="1"/>
  <c r="J10570" i="1"/>
  <c r="I10570" i="1"/>
  <c r="H10570" i="1"/>
  <c r="G10570" i="1"/>
  <c r="M10569" i="1"/>
  <c r="L10569" i="1"/>
  <c r="K10569" i="1"/>
  <c r="J10569" i="1"/>
  <c r="I10569" i="1"/>
  <c r="H10569" i="1"/>
  <c r="G10569" i="1"/>
  <c r="M10568" i="1"/>
  <c r="L10568" i="1"/>
  <c r="K10568" i="1"/>
  <c r="J10568" i="1"/>
  <c r="I10568" i="1"/>
  <c r="H10568" i="1"/>
  <c r="G10568" i="1"/>
  <c r="M10567" i="1"/>
  <c r="L10567" i="1"/>
  <c r="K10567" i="1"/>
  <c r="J10567" i="1"/>
  <c r="I10567" i="1"/>
  <c r="H10567" i="1"/>
  <c r="G10567" i="1"/>
  <c r="M10566" i="1"/>
  <c r="L10566" i="1"/>
  <c r="K10566" i="1"/>
  <c r="J10566" i="1"/>
  <c r="I10566" i="1"/>
  <c r="H10566" i="1"/>
  <c r="G10566" i="1"/>
  <c r="M10565" i="1"/>
  <c r="L10565" i="1"/>
  <c r="K10565" i="1"/>
  <c r="J10565" i="1"/>
  <c r="I10565" i="1"/>
  <c r="H10565" i="1"/>
  <c r="G10565" i="1"/>
  <c r="M10564" i="1"/>
  <c r="L10564" i="1"/>
  <c r="K10564" i="1"/>
  <c r="J10564" i="1"/>
  <c r="I10564" i="1"/>
  <c r="H10564" i="1"/>
  <c r="G10564" i="1"/>
  <c r="M10563" i="1"/>
  <c r="L10563" i="1"/>
  <c r="K10563" i="1"/>
  <c r="J10563" i="1"/>
  <c r="I10563" i="1"/>
  <c r="H10563" i="1"/>
  <c r="G10563" i="1"/>
  <c r="M10562" i="1"/>
  <c r="L10562" i="1"/>
  <c r="K10562" i="1"/>
  <c r="J10562" i="1"/>
  <c r="I10562" i="1"/>
  <c r="H10562" i="1"/>
  <c r="G10562" i="1"/>
  <c r="M10561" i="1"/>
  <c r="L10561" i="1"/>
  <c r="K10561" i="1"/>
  <c r="J10561" i="1"/>
  <c r="I10561" i="1"/>
  <c r="H10561" i="1"/>
  <c r="G10561" i="1"/>
  <c r="M10560" i="1"/>
  <c r="L10560" i="1"/>
  <c r="K10560" i="1"/>
  <c r="J10560" i="1"/>
  <c r="I10560" i="1"/>
  <c r="H10560" i="1"/>
  <c r="G10560" i="1"/>
  <c r="M10559" i="1"/>
  <c r="L10559" i="1"/>
  <c r="K10559" i="1"/>
  <c r="J10559" i="1"/>
  <c r="I10559" i="1"/>
  <c r="H10559" i="1"/>
  <c r="G10559" i="1"/>
  <c r="M10558" i="1"/>
  <c r="L10558" i="1"/>
  <c r="K10558" i="1"/>
  <c r="J10558" i="1"/>
  <c r="I10558" i="1"/>
  <c r="H10558" i="1"/>
  <c r="G10558" i="1"/>
  <c r="M10557" i="1"/>
  <c r="L10557" i="1"/>
  <c r="K10557" i="1"/>
  <c r="J10557" i="1"/>
  <c r="I10557" i="1"/>
  <c r="H10557" i="1"/>
  <c r="G10557" i="1"/>
  <c r="M10556" i="1"/>
  <c r="L10556" i="1"/>
  <c r="K10556" i="1"/>
  <c r="J10556" i="1"/>
  <c r="I10556" i="1"/>
  <c r="H10556" i="1"/>
  <c r="G10556" i="1"/>
  <c r="M10555" i="1"/>
  <c r="L10555" i="1"/>
  <c r="K10555" i="1"/>
  <c r="J10555" i="1"/>
  <c r="I10555" i="1"/>
  <c r="H10555" i="1"/>
  <c r="G10555" i="1"/>
  <c r="M10554" i="1"/>
  <c r="L10554" i="1"/>
  <c r="K10554" i="1"/>
  <c r="J10554" i="1"/>
  <c r="I10554" i="1"/>
  <c r="H10554" i="1"/>
  <c r="G10554" i="1"/>
  <c r="M10553" i="1"/>
  <c r="L10553" i="1"/>
  <c r="K10553" i="1"/>
  <c r="J10553" i="1"/>
  <c r="I10553" i="1"/>
  <c r="H10553" i="1"/>
  <c r="G10553" i="1"/>
  <c r="M10552" i="1"/>
  <c r="L10552" i="1"/>
  <c r="K10552" i="1"/>
  <c r="J10552" i="1"/>
  <c r="I10552" i="1"/>
  <c r="H10552" i="1"/>
  <c r="G10552" i="1"/>
  <c r="M10551" i="1"/>
  <c r="L10551" i="1"/>
  <c r="K10551" i="1"/>
  <c r="J10551" i="1"/>
  <c r="I10551" i="1"/>
  <c r="H10551" i="1"/>
  <c r="G10551" i="1"/>
  <c r="M10550" i="1"/>
  <c r="L10550" i="1"/>
  <c r="K10550" i="1"/>
  <c r="J10550" i="1"/>
  <c r="I10550" i="1"/>
  <c r="H10550" i="1"/>
  <c r="G10550" i="1"/>
  <c r="M10549" i="1"/>
  <c r="L10549" i="1"/>
  <c r="K10549" i="1"/>
  <c r="J10549" i="1"/>
  <c r="I10549" i="1"/>
  <c r="H10549" i="1"/>
  <c r="G10549" i="1"/>
  <c r="M10548" i="1"/>
  <c r="L10548" i="1"/>
  <c r="K10548" i="1"/>
  <c r="J10548" i="1"/>
  <c r="I10548" i="1"/>
  <c r="H10548" i="1"/>
  <c r="G10548" i="1"/>
  <c r="M10547" i="1"/>
  <c r="L10547" i="1"/>
  <c r="K10547" i="1"/>
  <c r="J10547" i="1"/>
  <c r="I10547" i="1"/>
  <c r="H10547" i="1"/>
  <c r="G10547" i="1"/>
  <c r="M10546" i="1"/>
  <c r="L10546" i="1"/>
  <c r="K10546" i="1"/>
  <c r="J10546" i="1"/>
  <c r="I10546" i="1"/>
  <c r="H10546" i="1"/>
  <c r="G10546" i="1"/>
  <c r="M10545" i="1"/>
  <c r="L10545" i="1"/>
  <c r="K10545" i="1"/>
  <c r="J10545" i="1"/>
  <c r="I10545" i="1"/>
  <c r="H10545" i="1"/>
  <c r="G10545" i="1"/>
  <c r="M10544" i="1"/>
  <c r="L10544" i="1"/>
  <c r="K10544" i="1"/>
  <c r="J10544" i="1"/>
  <c r="I10544" i="1"/>
  <c r="H10544" i="1"/>
  <c r="G10544" i="1"/>
  <c r="M10543" i="1"/>
  <c r="L10543" i="1"/>
  <c r="K10543" i="1"/>
  <c r="J10543" i="1"/>
  <c r="I10543" i="1"/>
  <c r="H10543" i="1"/>
  <c r="G10543" i="1"/>
  <c r="M10542" i="1"/>
  <c r="L10542" i="1"/>
  <c r="K10542" i="1"/>
  <c r="J10542" i="1"/>
  <c r="I10542" i="1"/>
  <c r="H10542" i="1"/>
  <c r="G10542" i="1"/>
  <c r="M10541" i="1"/>
  <c r="L10541" i="1"/>
  <c r="K10541" i="1"/>
  <c r="J10541" i="1"/>
  <c r="I10541" i="1"/>
  <c r="H10541" i="1"/>
  <c r="G10541" i="1"/>
  <c r="M10540" i="1"/>
  <c r="L10540" i="1"/>
  <c r="K10540" i="1"/>
  <c r="J10540" i="1"/>
  <c r="I10540" i="1"/>
  <c r="H10540" i="1"/>
  <c r="G10540" i="1"/>
  <c r="M10539" i="1"/>
  <c r="L10539" i="1"/>
  <c r="K10539" i="1"/>
  <c r="J10539" i="1"/>
  <c r="I10539" i="1"/>
  <c r="H10539" i="1"/>
  <c r="G10539" i="1"/>
  <c r="M10538" i="1"/>
  <c r="L10538" i="1"/>
  <c r="K10538" i="1"/>
  <c r="J10538" i="1"/>
  <c r="I10538" i="1"/>
  <c r="H10538" i="1"/>
  <c r="G10538" i="1"/>
  <c r="M10537" i="1"/>
  <c r="L10537" i="1"/>
  <c r="K10537" i="1"/>
  <c r="J10537" i="1"/>
  <c r="I10537" i="1"/>
  <c r="H10537" i="1"/>
  <c r="G10537" i="1"/>
  <c r="M10536" i="1"/>
  <c r="L10536" i="1"/>
  <c r="K10536" i="1"/>
  <c r="J10536" i="1"/>
  <c r="I10536" i="1"/>
  <c r="H10536" i="1"/>
  <c r="G10536" i="1"/>
  <c r="M10535" i="1"/>
  <c r="L10535" i="1"/>
  <c r="K10535" i="1"/>
  <c r="J10535" i="1"/>
  <c r="I10535" i="1"/>
  <c r="H10535" i="1"/>
  <c r="G10535" i="1"/>
  <c r="M10534" i="1"/>
  <c r="L10534" i="1"/>
  <c r="K10534" i="1"/>
  <c r="J10534" i="1"/>
  <c r="I10534" i="1"/>
  <c r="H10534" i="1"/>
  <c r="G10534" i="1"/>
  <c r="M10533" i="1"/>
  <c r="L10533" i="1"/>
  <c r="K10533" i="1"/>
  <c r="J10533" i="1"/>
  <c r="I10533" i="1"/>
  <c r="H10533" i="1"/>
  <c r="G10533" i="1"/>
  <c r="M10532" i="1"/>
  <c r="L10532" i="1"/>
  <c r="K10532" i="1"/>
  <c r="J10532" i="1"/>
  <c r="I10532" i="1"/>
  <c r="H10532" i="1"/>
  <c r="G10532" i="1"/>
  <c r="M10531" i="1"/>
  <c r="L10531" i="1"/>
  <c r="K10531" i="1"/>
  <c r="J10531" i="1"/>
  <c r="I10531" i="1"/>
  <c r="H10531" i="1"/>
  <c r="G10531" i="1"/>
  <c r="M10530" i="1"/>
  <c r="L10530" i="1"/>
  <c r="K10530" i="1"/>
  <c r="J10530" i="1"/>
  <c r="I10530" i="1"/>
  <c r="H10530" i="1"/>
  <c r="G10530" i="1"/>
  <c r="M10529" i="1"/>
  <c r="L10529" i="1"/>
  <c r="K10529" i="1"/>
  <c r="J10529" i="1"/>
  <c r="I10529" i="1"/>
  <c r="H10529" i="1"/>
  <c r="G10529" i="1"/>
  <c r="M10528" i="1"/>
  <c r="L10528" i="1"/>
  <c r="K10528" i="1"/>
  <c r="J10528" i="1"/>
  <c r="I10528" i="1"/>
  <c r="H10528" i="1"/>
  <c r="G10528" i="1"/>
  <c r="M10527" i="1"/>
  <c r="L10527" i="1"/>
  <c r="K10527" i="1"/>
  <c r="J10527" i="1"/>
  <c r="I10527" i="1"/>
  <c r="H10527" i="1"/>
  <c r="G10527" i="1"/>
  <c r="M10526" i="1"/>
  <c r="L10526" i="1"/>
  <c r="K10526" i="1"/>
  <c r="J10526" i="1"/>
  <c r="I10526" i="1"/>
  <c r="H10526" i="1"/>
  <c r="G10526" i="1"/>
  <c r="M10525" i="1"/>
  <c r="L10525" i="1"/>
  <c r="K10525" i="1"/>
  <c r="J10525" i="1"/>
  <c r="I10525" i="1"/>
  <c r="H10525" i="1"/>
  <c r="G10525" i="1"/>
  <c r="M10524" i="1"/>
  <c r="L10524" i="1"/>
  <c r="K10524" i="1"/>
  <c r="J10524" i="1"/>
  <c r="I10524" i="1"/>
  <c r="H10524" i="1"/>
  <c r="G10524" i="1"/>
  <c r="M10523" i="1"/>
  <c r="L10523" i="1"/>
  <c r="K10523" i="1"/>
  <c r="J10523" i="1"/>
  <c r="I10523" i="1"/>
  <c r="H10523" i="1"/>
  <c r="G10523" i="1"/>
  <c r="M10522" i="1"/>
  <c r="L10522" i="1"/>
  <c r="K10522" i="1"/>
  <c r="J10522" i="1"/>
  <c r="I10522" i="1"/>
  <c r="H10522" i="1"/>
  <c r="G10522" i="1"/>
  <c r="M10521" i="1"/>
  <c r="L10521" i="1"/>
  <c r="K10521" i="1"/>
  <c r="J10521" i="1"/>
  <c r="I10521" i="1"/>
  <c r="H10521" i="1"/>
  <c r="G10521" i="1"/>
  <c r="M10520" i="1"/>
  <c r="L10520" i="1"/>
  <c r="K10520" i="1"/>
  <c r="J10520" i="1"/>
  <c r="I10520" i="1"/>
  <c r="H10520" i="1"/>
  <c r="G10520" i="1"/>
  <c r="M10519" i="1"/>
  <c r="L10519" i="1"/>
  <c r="K10519" i="1"/>
  <c r="J10519" i="1"/>
  <c r="I10519" i="1"/>
  <c r="H10519" i="1"/>
  <c r="G10519" i="1"/>
  <c r="M10518" i="1"/>
  <c r="L10518" i="1"/>
  <c r="K10518" i="1"/>
  <c r="J10518" i="1"/>
  <c r="I10518" i="1"/>
  <c r="H10518" i="1"/>
  <c r="G10518" i="1"/>
  <c r="M10517" i="1"/>
  <c r="L10517" i="1"/>
  <c r="K10517" i="1"/>
  <c r="J10517" i="1"/>
  <c r="I10517" i="1"/>
  <c r="H10517" i="1"/>
  <c r="G10517" i="1"/>
  <c r="M10516" i="1"/>
  <c r="L10516" i="1"/>
  <c r="K10516" i="1"/>
  <c r="J10516" i="1"/>
  <c r="I10516" i="1"/>
  <c r="H10516" i="1"/>
  <c r="G10516" i="1"/>
  <c r="M10515" i="1"/>
  <c r="L10515" i="1"/>
  <c r="K10515" i="1"/>
  <c r="J10515" i="1"/>
  <c r="I10515" i="1"/>
  <c r="H10515" i="1"/>
  <c r="G10515" i="1"/>
  <c r="M10514" i="1"/>
  <c r="L10514" i="1"/>
  <c r="K10514" i="1"/>
  <c r="J10514" i="1"/>
  <c r="I10514" i="1"/>
  <c r="H10514" i="1"/>
  <c r="G10514" i="1"/>
  <c r="M10513" i="1"/>
  <c r="L10513" i="1"/>
  <c r="K10513" i="1"/>
  <c r="J10513" i="1"/>
  <c r="I10513" i="1"/>
  <c r="H10513" i="1"/>
  <c r="G10513" i="1"/>
  <c r="M10512" i="1"/>
  <c r="L10512" i="1"/>
  <c r="K10512" i="1"/>
  <c r="J10512" i="1"/>
  <c r="I10512" i="1"/>
  <c r="H10512" i="1"/>
  <c r="G10512" i="1"/>
  <c r="M10511" i="1"/>
  <c r="L10511" i="1"/>
  <c r="K10511" i="1"/>
  <c r="J10511" i="1"/>
  <c r="I10511" i="1"/>
  <c r="H10511" i="1"/>
  <c r="G10511" i="1"/>
  <c r="M10510" i="1"/>
  <c r="L10510" i="1"/>
  <c r="K10510" i="1"/>
  <c r="J10510" i="1"/>
  <c r="I10510" i="1"/>
  <c r="H10510" i="1"/>
  <c r="G10510" i="1"/>
  <c r="M10509" i="1"/>
  <c r="L10509" i="1"/>
  <c r="K10509" i="1"/>
  <c r="J10509" i="1"/>
  <c r="I10509" i="1"/>
  <c r="H10509" i="1"/>
  <c r="G10509" i="1"/>
  <c r="M10508" i="1"/>
  <c r="L10508" i="1"/>
  <c r="K10508" i="1"/>
  <c r="J10508" i="1"/>
  <c r="I10508" i="1"/>
  <c r="H10508" i="1"/>
  <c r="G10508" i="1"/>
  <c r="M10507" i="1"/>
  <c r="L10507" i="1"/>
  <c r="K10507" i="1"/>
  <c r="J10507" i="1"/>
  <c r="I10507" i="1"/>
  <c r="H10507" i="1"/>
  <c r="G10507" i="1"/>
  <c r="M10506" i="1"/>
  <c r="L10506" i="1"/>
  <c r="K10506" i="1"/>
  <c r="J10506" i="1"/>
  <c r="I10506" i="1"/>
  <c r="H10506" i="1"/>
  <c r="G10506" i="1"/>
  <c r="M10505" i="1"/>
  <c r="L10505" i="1"/>
  <c r="K10505" i="1"/>
  <c r="J10505" i="1"/>
  <c r="I10505" i="1"/>
  <c r="H10505" i="1"/>
  <c r="G10505" i="1"/>
  <c r="M10504" i="1"/>
  <c r="L10504" i="1"/>
  <c r="K10504" i="1"/>
  <c r="J10504" i="1"/>
  <c r="I10504" i="1"/>
  <c r="H10504" i="1"/>
  <c r="G10504" i="1"/>
  <c r="M10503" i="1"/>
  <c r="L10503" i="1"/>
  <c r="K10503" i="1"/>
  <c r="J10503" i="1"/>
  <c r="I10503" i="1"/>
  <c r="H10503" i="1"/>
  <c r="G10503" i="1"/>
  <c r="M10502" i="1"/>
  <c r="L10502" i="1"/>
  <c r="K10502" i="1"/>
  <c r="J10502" i="1"/>
  <c r="I10502" i="1"/>
  <c r="H10502" i="1"/>
  <c r="G10502" i="1"/>
  <c r="M10501" i="1"/>
  <c r="L10501" i="1"/>
  <c r="K10501" i="1"/>
  <c r="J10501" i="1"/>
  <c r="I10501" i="1"/>
  <c r="H10501" i="1"/>
  <c r="G10501" i="1"/>
  <c r="M10500" i="1"/>
  <c r="L10500" i="1"/>
  <c r="K10500" i="1"/>
  <c r="J10500" i="1"/>
  <c r="I10500" i="1"/>
  <c r="H10500" i="1"/>
  <c r="G10500" i="1"/>
  <c r="M10499" i="1"/>
  <c r="L10499" i="1"/>
  <c r="K10499" i="1"/>
  <c r="J10499" i="1"/>
  <c r="I10499" i="1"/>
  <c r="H10499" i="1"/>
  <c r="G10499" i="1"/>
  <c r="M10498" i="1"/>
  <c r="L10498" i="1"/>
  <c r="K10498" i="1"/>
  <c r="J10498" i="1"/>
  <c r="I10498" i="1"/>
  <c r="H10498" i="1"/>
  <c r="G10498" i="1"/>
  <c r="M10497" i="1"/>
  <c r="L10497" i="1"/>
  <c r="K10497" i="1"/>
  <c r="J10497" i="1"/>
  <c r="I10497" i="1"/>
  <c r="H10497" i="1"/>
  <c r="G10497" i="1"/>
  <c r="M10496" i="1"/>
  <c r="L10496" i="1"/>
  <c r="K10496" i="1"/>
  <c r="J10496" i="1"/>
  <c r="I10496" i="1"/>
  <c r="H10496" i="1"/>
  <c r="G10496" i="1"/>
  <c r="M10495" i="1"/>
  <c r="L10495" i="1"/>
  <c r="K10495" i="1"/>
  <c r="J10495" i="1"/>
  <c r="I10495" i="1"/>
  <c r="H10495" i="1"/>
  <c r="G10495" i="1"/>
  <c r="M10494" i="1"/>
  <c r="L10494" i="1"/>
  <c r="K10494" i="1"/>
  <c r="J10494" i="1"/>
  <c r="I10494" i="1"/>
  <c r="H10494" i="1"/>
  <c r="G10494" i="1"/>
  <c r="M10493" i="1"/>
  <c r="L10493" i="1"/>
  <c r="K10493" i="1"/>
  <c r="J10493" i="1"/>
  <c r="I10493" i="1"/>
  <c r="H10493" i="1"/>
  <c r="G10493" i="1"/>
  <c r="M10492" i="1"/>
  <c r="L10492" i="1"/>
  <c r="K10492" i="1"/>
  <c r="J10492" i="1"/>
  <c r="I10492" i="1"/>
  <c r="H10492" i="1"/>
  <c r="G10492" i="1"/>
  <c r="M10491" i="1"/>
  <c r="L10491" i="1"/>
  <c r="K10491" i="1"/>
  <c r="J10491" i="1"/>
  <c r="I10491" i="1"/>
  <c r="H10491" i="1"/>
  <c r="G10491" i="1"/>
  <c r="M10490" i="1"/>
  <c r="L10490" i="1"/>
  <c r="K10490" i="1"/>
  <c r="J10490" i="1"/>
  <c r="I10490" i="1"/>
  <c r="H10490" i="1"/>
  <c r="G10490" i="1"/>
  <c r="M10489" i="1"/>
  <c r="L10489" i="1"/>
  <c r="K10489" i="1"/>
  <c r="J10489" i="1"/>
  <c r="I10489" i="1"/>
  <c r="H10489" i="1"/>
  <c r="G10489" i="1"/>
  <c r="M10488" i="1"/>
  <c r="L10488" i="1"/>
  <c r="K10488" i="1"/>
  <c r="J10488" i="1"/>
  <c r="I10488" i="1"/>
  <c r="H10488" i="1"/>
  <c r="G10488" i="1"/>
  <c r="M10487" i="1"/>
  <c r="L10487" i="1"/>
  <c r="K10487" i="1"/>
  <c r="J10487" i="1"/>
  <c r="I10487" i="1"/>
  <c r="H10487" i="1"/>
  <c r="G10487" i="1"/>
  <c r="M10486" i="1"/>
  <c r="L10486" i="1"/>
  <c r="K10486" i="1"/>
  <c r="J10486" i="1"/>
  <c r="I10486" i="1"/>
  <c r="H10486" i="1"/>
  <c r="G10486" i="1"/>
  <c r="M10485" i="1"/>
  <c r="L10485" i="1"/>
  <c r="K10485" i="1"/>
  <c r="J10485" i="1"/>
  <c r="I10485" i="1"/>
  <c r="H10485" i="1"/>
  <c r="G10485" i="1"/>
  <c r="M10484" i="1"/>
  <c r="L10484" i="1"/>
  <c r="K10484" i="1"/>
  <c r="J10484" i="1"/>
  <c r="I10484" i="1"/>
  <c r="H10484" i="1"/>
  <c r="G10484" i="1"/>
  <c r="M10483" i="1"/>
  <c r="L10483" i="1"/>
  <c r="K10483" i="1"/>
  <c r="J10483" i="1"/>
  <c r="I10483" i="1"/>
  <c r="H10483" i="1"/>
  <c r="G10483" i="1"/>
  <c r="M10482" i="1"/>
  <c r="L10482" i="1"/>
  <c r="K10482" i="1"/>
  <c r="J10482" i="1"/>
  <c r="I10482" i="1"/>
  <c r="H10482" i="1"/>
  <c r="G10482" i="1"/>
  <c r="M10481" i="1"/>
  <c r="L10481" i="1"/>
  <c r="K10481" i="1"/>
  <c r="J10481" i="1"/>
  <c r="I10481" i="1"/>
  <c r="H10481" i="1"/>
  <c r="G10481" i="1"/>
  <c r="M10480" i="1"/>
  <c r="L10480" i="1"/>
  <c r="K10480" i="1"/>
  <c r="J10480" i="1"/>
  <c r="I10480" i="1"/>
  <c r="H10480" i="1"/>
  <c r="G10480" i="1"/>
  <c r="M10479" i="1"/>
  <c r="L10479" i="1"/>
  <c r="K10479" i="1"/>
  <c r="J10479" i="1"/>
  <c r="I10479" i="1"/>
  <c r="H10479" i="1"/>
  <c r="G10479" i="1"/>
  <c r="M10478" i="1"/>
  <c r="L10478" i="1"/>
  <c r="K10478" i="1"/>
  <c r="J10478" i="1"/>
  <c r="I10478" i="1"/>
  <c r="H10478" i="1"/>
  <c r="G10478" i="1"/>
  <c r="M10477" i="1"/>
  <c r="L10477" i="1"/>
  <c r="K10477" i="1"/>
  <c r="J10477" i="1"/>
  <c r="I10477" i="1"/>
  <c r="H10477" i="1"/>
  <c r="G10477" i="1"/>
  <c r="M10476" i="1"/>
  <c r="L10476" i="1"/>
  <c r="K10476" i="1"/>
  <c r="J10476" i="1"/>
  <c r="I10476" i="1"/>
  <c r="H10476" i="1"/>
  <c r="G10476" i="1"/>
  <c r="M10475" i="1"/>
  <c r="L10475" i="1"/>
  <c r="K10475" i="1"/>
  <c r="J10475" i="1"/>
  <c r="I10475" i="1"/>
  <c r="H10475" i="1"/>
  <c r="G10475" i="1"/>
  <c r="M10474" i="1"/>
  <c r="L10474" i="1"/>
  <c r="K10474" i="1"/>
  <c r="J10474" i="1"/>
  <c r="I10474" i="1"/>
  <c r="H10474" i="1"/>
  <c r="G10474" i="1"/>
  <c r="M10473" i="1"/>
  <c r="L10473" i="1"/>
  <c r="K10473" i="1"/>
  <c r="J10473" i="1"/>
  <c r="I10473" i="1"/>
  <c r="H10473" i="1"/>
  <c r="G10473" i="1"/>
  <c r="M10472" i="1"/>
  <c r="L10472" i="1"/>
  <c r="K10472" i="1"/>
  <c r="J10472" i="1"/>
  <c r="I10472" i="1"/>
  <c r="H10472" i="1"/>
  <c r="G10472" i="1"/>
  <c r="M10471" i="1"/>
  <c r="L10471" i="1"/>
  <c r="K10471" i="1"/>
  <c r="J10471" i="1"/>
  <c r="I10471" i="1"/>
  <c r="H10471" i="1"/>
  <c r="G10471" i="1"/>
  <c r="M10470" i="1"/>
  <c r="L10470" i="1"/>
  <c r="K10470" i="1"/>
  <c r="J10470" i="1"/>
  <c r="I10470" i="1"/>
  <c r="H10470" i="1"/>
  <c r="G10470" i="1"/>
  <c r="M10469" i="1"/>
  <c r="L10469" i="1"/>
  <c r="K10469" i="1"/>
  <c r="J10469" i="1"/>
  <c r="I10469" i="1"/>
  <c r="H10469" i="1"/>
  <c r="G10469" i="1"/>
  <c r="M10468" i="1"/>
  <c r="L10468" i="1"/>
  <c r="K10468" i="1"/>
  <c r="J10468" i="1"/>
  <c r="I10468" i="1"/>
  <c r="H10468" i="1"/>
  <c r="G10468" i="1"/>
  <c r="M10467" i="1"/>
  <c r="L10467" i="1"/>
  <c r="K10467" i="1"/>
  <c r="J10467" i="1"/>
  <c r="I10467" i="1"/>
  <c r="H10467" i="1"/>
  <c r="G10467" i="1"/>
  <c r="M10466" i="1"/>
  <c r="L10466" i="1"/>
  <c r="K10466" i="1"/>
  <c r="J10466" i="1"/>
  <c r="I10466" i="1"/>
  <c r="H10466" i="1"/>
  <c r="G10466" i="1"/>
  <c r="M10465" i="1"/>
  <c r="L10465" i="1"/>
  <c r="K10465" i="1"/>
  <c r="J10465" i="1"/>
  <c r="I10465" i="1"/>
  <c r="H10465" i="1"/>
  <c r="G10465" i="1"/>
  <c r="M10464" i="1"/>
  <c r="L10464" i="1"/>
  <c r="K10464" i="1"/>
  <c r="J10464" i="1"/>
  <c r="I10464" i="1"/>
  <c r="H10464" i="1"/>
  <c r="G10464" i="1"/>
  <c r="M10463" i="1"/>
  <c r="L10463" i="1"/>
  <c r="K10463" i="1"/>
  <c r="J10463" i="1"/>
  <c r="I10463" i="1"/>
  <c r="H10463" i="1"/>
  <c r="G10463" i="1"/>
  <c r="M10462" i="1"/>
  <c r="L10462" i="1"/>
  <c r="K10462" i="1"/>
  <c r="J10462" i="1"/>
  <c r="I10462" i="1"/>
  <c r="H10462" i="1"/>
  <c r="G10462" i="1"/>
  <c r="M10461" i="1"/>
  <c r="L10461" i="1"/>
  <c r="K10461" i="1"/>
  <c r="J10461" i="1"/>
  <c r="I10461" i="1"/>
  <c r="H10461" i="1"/>
  <c r="G10461" i="1"/>
  <c r="M10460" i="1"/>
  <c r="L10460" i="1"/>
  <c r="K10460" i="1"/>
  <c r="J10460" i="1"/>
  <c r="I10460" i="1"/>
  <c r="H10460" i="1"/>
  <c r="G10460" i="1"/>
  <c r="M10459" i="1"/>
  <c r="L10459" i="1"/>
  <c r="K10459" i="1"/>
  <c r="J10459" i="1"/>
  <c r="I10459" i="1"/>
  <c r="H10459" i="1"/>
  <c r="G10459" i="1"/>
  <c r="M10458" i="1"/>
  <c r="L10458" i="1"/>
  <c r="K10458" i="1"/>
  <c r="J10458" i="1"/>
  <c r="I10458" i="1"/>
  <c r="H10458" i="1"/>
  <c r="G10458" i="1"/>
  <c r="M10457" i="1"/>
  <c r="L10457" i="1"/>
  <c r="K10457" i="1"/>
  <c r="J10457" i="1"/>
  <c r="I10457" i="1"/>
  <c r="H10457" i="1"/>
  <c r="G10457" i="1"/>
  <c r="M10456" i="1"/>
  <c r="L10456" i="1"/>
  <c r="K10456" i="1"/>
  <c r="J10456" i="1"/>
  <c r="I10456" i="1"/>
  <c r="H10456" i="1"/>
  <c r="G10456" i="1"/>
  <c r="M10455" i="1"/>
  <c r="L10455" i="1"/>
  <c r="K10455" i="1"/>
  <c r="J10455" i="1"/>
  <c r="I10455" i="1"/>
  <c r="H10455" i="1"/>
  <c r="G10455" i="1"/>
  <c r="M10454" i="1"/>
  <c r="L10454" i="1"/>
  <c r="K10454" i="1"/>
  <c r="J10454" i="1"/>
  <c r="I10454" i="1"/>
  <c r="H10454" i="1"/>
  <c r="G10454" i="1"/>
  <c r="M10453" i="1"/>
  <c r="L10453" i="1"/>
  <c r="K10453" i="1"/>
  <c r="J10453" i="1"/>
  <c r="I10453" i="1"/>
  <c r="H10453" i="1"/>
  <c r="G10453" i="1"/>
  <c r="M10452" i="1"/>
  <c r="L10452" i="1"/>
  <c r="K10452" i="1"/>
  <c r="J10452" i="1"/>
  <c r="I10452" i="1"/>
  <c r="H10452" i="1"/>
  <c r="G10452" i="1"/>
  <c r="M10451" i="1"/>
  <c r="L10451" i="1"/>
  <c r="K10451" i="1"/>
  <c r="J10451" i="1"/>
  <c r="I10451" i="1"/>
  <c r="H10451" i="1"/>
  <c r="G10451" i="1"/>
  <c r="M10450" i="1"/>
  <c r="L10450" i="1"/>
  <c r="K10450" i="1"/>
  <c r="J10450" i="1"/>
  <c r="I10450" i="1"/>
  <c r="H10450" i="1"/>
  <c r="G10450" i="1"/>
  <c r="M10449" i="1"/>
  <c r="L10449" i="1"/>
  <c r="K10449" i="1"/>
  <c r="J10449" i="1"/>
  <c r="I10449" i="1"/>
  <c r="H10449" i="1"/>
  <c r="G10449" i="1"/>
  <c r="M10448" i="1"/>
  <c r="L10448" i="1"/>
  <c r="K10448" i="1"/>
  <c r="J10448" i="1"/>
  <c r="I10448" i="1"/>
  <c r="H10448" i="1"/>
  <c r="G10448" i="1"/>
  <c r="M10447" i="1"/>
  <c r="L10447" i="1"/>
  <c r="K10447" i="1"/>
  <c r="J10447" i="1"/>
  <c r="I10447" i="1"/>
  <c r="H10447" i="1"/>
  <c r="G10447" i="1"/>
  <c r="M10446" i="1"/>
  <c r="L10446" i="1"/>
  <c r="K10446" i="1"/>
  <c r="J10446" i="1"/>
  <c r="I10446" i="1"/>
  <c r="H10446" i="1"/>
  <c r="G10446" i="1"/>
  <c r="M10445" i="1"/>
  <c r="L10445" i="1"/>
  <c r="K10445" i="1"/>
  <c r="J10445" i="1"/>
  <c r="I10445" i="1"/>
  <c r="H10445" i="1"/>
  <c r="G10445" i="1"/>
  <c r="M10444" i="1"/>
  <c r="L10444" i="1"/>
  <c r="K10444" i="1"/>
  <c r="J10444" i="1"/>
  <c r="I10444" i="1"/>
  <c r="H10444" i="1"/>
  <c r="G10444" i="1"/>
  <c r="M10443" i="1"/>
  <c r="L10443" i="1"/>
  <c r="K10443" i="1"/>
  <c r="J10443" i="1"/>
  <c r="I10443" i="1"/>
  <c r="H10443" i="1"/>
  <c r="G10443" i="1"/>
  <c r="M10442" i="1"/>
  <c r="L10442" i="1"/>
  <c r="K10442" i="1"/>
  <c r="J10442" i="1"/>
  <c r="I10442" i="1"/>
  <c r="H10442" i="1"/>
  <c r="G10442" i="1"/>
  <c r="M10441" i="1"/>
  <c r="L10441" i="1"/>
  <c r="K10441" i="1"/>
  <c r="J10441" i="1"/>
  <c r="I10441" i="1"/>
  <c r="H10441" i="1"/>
  <c r="G10441" i="1"/>
  <c r="M10440" i="1"/>
  <c r="L10440" i="1"/>
  <c r="K10440" i="1"/>
  <c r="J10440" i="1"/>
  <c r="I10440" i="1"/>
  <c r="H10440" i="1"/>
  <c r="G10440" i="1"/>
  <c r="M10439" i="1"/>
  <c r="L10439" i="1"/>
  <c r="K10439" i="1"/>
  <c r="J10439" i="1"/>
  <c r="I10439" i="1"/>
  <c r="H10439" i="1"/>
  <c r="G10439" i="1"/>
  <c r="M10438" i="1"/>
  <c r="L10438" i="1"/>
  <c r="K10438" i="1"/>
  <c r="J10438" i="1"/>
  <c r="I10438" i="1"/>
  <c r="H10438" i="1"/>
  <c r="G10438" i="1"/>
  <c r="M10437" i="1"/>
  <c r="L10437" i="1"/>
  <c r="K10437" i="1"/>
  <c r="J10437" i="1"/>
  <c r="I10437" i="1"/>
  <c r="H10437" i="1"/>
  <c r="G10437" i="1"/>
  <c r="M10436" i="1"/>
  <c r="L10436" i="1"/>
  <c r="K10436" i="1"/>
  <c r="J10436" i="1"/>
  <c r="I10436" i="1"/>
  <c r="H10436" i="1"/>
  <c r="G10436" i="1"/>
  <c r="M10435" i="1"/>
  <c r="L10435" i="1"/>
  <c r="K10435" i="1"/>
  <c r="J10435" i="1"/>
  <c r="I10435" i="1"/>
  <c r="H10435" i="1"/>
  <c r="G10435" i="1"/>
  <c r="M10434" i="1"/>
  <c r="L10434" i="1"/>
  <c r="K10434" i="1"/>
  <c r="J10434" i="1"/>
  <c r="I10434" i="1"/>
  <c r="H10434" i="1"/>
  <c r="G10434" i="1"/>
  <c r="M10433" i="1"/>
  <c r="L10433" i="1"/>
  <c r="K10433" i="1"/>
  <c r="J10433" i="1"/>
  <c r="I10433" i="1"/>
  <c r="H10433" i="1"/>
  <c r="G10433" i="1"/>
  <c r="M10432" i="1"/>
  <c r="L10432" i="1"/>
  <c r="K10432" i="1"/>
  <c r="J10432" i="1"/>
  <c r="I10432" i="1"/>
  <c r="H10432" i="1"/>
  <c r="G10432" i="1"/>
  <c r="M10431" i="1"/>
  <c r="L10431" i="1"/>
  <c r="K10431" i="1"/>
  <c r="J10431" i="1"/>
  <c r="I10431" i="1"/>
  <c r="H10431" i="1"/>
  <c r="G10431" i="1"/>
  <c r="M10430" i="1"/>
  <c r="L10430" i="1"/>
  <c r="K10430" i="1"/>
  <c r="J10430" i="1"/>
  <c r="I10430" i="1"/>
  <c r="H10430" i="1"/>
  <c r="G10430" i="1"/>
  <c r="M10429" i="1"/>
  <c r="L10429" i="1"/>
  <c r="K10429" i="1"/>
  <c r="J10429" i="1"/>
  <c r="I10429" i="1"/>
  <c r="H10429" i="1"/>
  <c r="G10429" i="1"/>
  <c r="M10428" i="1"/>
  <c r="L10428" i="1"/>
  <c r="K10428" i="1"/>
  <c r="J10428" i="1"/>
  <c r="I10428" i="1"/>
  <c r="H10428" i="1"/>
  <c r="G10428" i="1"/>
  <c r="M10427" i="1"/>
  <c r="L10427" i="1"/>
  <c r="K10427" i="1"/>
  <c r="J10427" i="1"/>
  <c r="I10427" i="1"/>
  <c r="H10427" i="1"/>
  <c r="G10427" i="1"/>
  <c r="M10426" i="1"/>
  <c r="L10426" i="1"/>
  <c r="K10426" i="1"/>
  <c r="J10426" i="1"/>
  <c r="I10426" i="1"/>
  <c r="H10426" i="1"/>
  <c r="G10426" i="1"/>
  <c r="M10425" i="1"/>
  <c r="L10425" i="1"/>
  <c r="K10425" i="1"/>
  <c r="J10425" i="1"/>
  <c r="I10425" i="1"/>
  <c r="H10425" i="1"/>
  <c r="G10425" i="1"/>
  <c r="M10424" i="1"/>
  <c r="L10424" i="1"/>
  <c r="K10424" i="1"/>
  <c r="J10424" i="1"/>
  <c r="I10424" i="1"/>
  <c r="H10424" i="1"/>
  <c r="G10424" i="1"/>
  <c r="M10423" i="1"/>
  <c r="L10423" i="1"/>
  <c r="K10423" i="1"/>
  <c r="J10423" i="1"/>
  <c r="I10423" i="1"/>
  <c r="H10423" i="1"/>
  <c r="G10423" i="1"/>
  <c r="M10422" i="1"/>
  <c r="L10422" i="1"/>
  <c r="K10422" i="1"/>
  <c r="J10422" i="1"/>
  <c r="I10422" i="1"/>
  <c r="H10422" i="1"/>
  <c r="G10422" i="1"/>
  <c r="M10421" i="1"/>
  <c r="L10421" i="1"/>
  <c r="K10421" i="1"/>
  <c r="J10421" i="1"/>
  <c r="I10421" i="1"/>
  <c r="H10421" i="1"/>
  <c r="G10421" i="1"/>
  <c r="M10420" i="1"/>
  <c r="L10420" i="1"/>
  <c r="K10420" i="1"/>
  <c r="J10420" i="1"/>
  <c r="I10420" i="1"/>
  <c r="H10420" i="1"/>
  <c r="G10420" i="1"/>
  <c r="M10419" i="1"/>
  <c r="L10419" i="1"/>
  <c r="K10419" i="1"/>
  <c r="J10419" i="1"/>
  <c r="I10419" i="1"/>
  <c r="H10419" i="1"/>
  <c r="G10419" i="1"/>
  <c r="M10418" i="1"/>
  <c r="L10418" i="1"/>
  <c r="K10418" i="1"/>
  <c r="J10418" i="1"/>
  <c r="I10418" i="1"/>
  <c r="H10418" i="1"/>
  <c r="G10418" i="1"/>
  <c r="M10417" i="1"/>
  <c r="L10417" i="1"/>
  <c r="K10417" i="1"/>
  <c r="J10417" i="1"/>
  <c r="I10417" i="1"/>
  <c r="H10417" i="1"/>
  <c r="G10417" i="1"/>
  <c r="M10416" i="1"/>
  <c r="L10416" i="1"/>
  <c r="K10416" i="1"/>
  <c r="J10416" i="1"/>
  <c r="I10416" i="1"/>
  <c r="H10416" i="1"/>
  <c r="G10416" i="1"/>
  <c r="M10415" i="1"/>
  <c r="L10415" i="1"/>
  <c r="K10415" i="1"/>
  <c r="J10415" i="1"/>
  <c r="I10415" i="1"/>
  <c r="H10415" i="1"/>
  <c r="G10415" i="1"/>
  <c r="M10414" i="1"/>
  <c r="L10414" i="1"/>
  <c r="K10414" i="1"/>
  <c r="J10414" i="1"/>
  <c r="I10414" i="1"/>
  <c r="H10414" i="1"/>
  <c r="G10414" i="1"/>
  <c r="M10413" i="1"/>
  <c r="L10413" i="1"/>
  <c r="K10413" i="1"/>
  <c r="J10413" i="1"/>
  <c r="I10413" i="1"/>
  <c r="H10413" i="1"/>
  <c r="G10413" i="1"/>
  <c r="M10412" i="1"/>
  <c r="L10412" i="1"/>
  <c r="K10412" i="1"/>
  <c r="J10412" i="1"/>
  <c r="I10412" i="1"/>
  <c r="H10412" i="1"/>
  <c r="G10412" i="1"/>
  <c r="M10411" i="1"/>
  <c r="L10411" i="1"/>
  <c r="K10411" i="1"/>
  <c r="J10411" i="1"/>
  <c r="I10411" i="1"/>
  <c r="H10411" i="1"/>
  <c r="G10411" i="1"/>
  <c r="M10410" i="1"/>
  <c r="L10410" i="1"/>
  <c r="K10410" i="1"/>
  <c r="J10410" i="1"/>
  <c r="I10410" i="1"/>
  <c r="H10410" i="1"/>
  <c r="G10410" i="1"/>
  <c r="M10409" i="1"/>
  <c r="L10409" i="1"/>
  <c r="K10409" i="1"/>
  <c r="J10409" i="1"/>
  <c r="I10409" i="1"/>
  <c r="H10409" i="1"/>
  <c r="G10409" i="1"/>
  <c r="M10408" i="1"/>
  <c r="L10408" i="1"/>
  <c r="K10408" i="1"/>
  <c r="J10408" i="1"/>
  <c r="I10408" i="1"/>
  <c r="H10408" i="1"/>
  <c r="G10408" i="1"/>
  <c r="M10407" i="1"/>
  <c r="L10407" i="1"/>
  <c r="K10407" i="1"/>
  <c r="J10407" i="1"/>
  <c r="I10407" i="1"/>
  <c r="H10407" i="1"/>
  <c r="G10407" i="1"/>
  <c r="M10406" i="1"/>
  <c r="L10406" i="1"/>
  <c r="K10406" i="1"/>
  <c r="J10406" i="1"/>
  <c r="I10406" i="1"/>
  <c r="H10406" i="1"/>
  <c r="G10406" i="1"/>
  <c r="M10405" i="1"/>
  <c r="L10405" i="1"/>
  <c r="K10405" i="1"/>
  <c r="J10405" i="1"/>
  <c r="I10405" i="1"/>
  <c r="H10405" i="1"/>
  <c r="G10405" i="1"/>
  <c r="M10404" i="1"/>
  <c r="L10404" i="1"/>
  <c r="K10404" i="1"/>
  <c r="J10404" i="1"/>
  <c r="I10404" i="1"/>
  <c r="H10404" i="1"/>
  <c r="G10404" i="1"/>
  <c r="M10403" i="1"/>
  <c r="L10403" i="1"/>
  <c r="K10403" i="1"/>
  <c r="J10403" i="1"/>
  <c r="I10403" i="1"/>
  <c r="H10403" i="1"/>
  <c r="G10403" i="1"/>
  <c r="M10402" i="1"/>
  <c r="L10402" i="1"/>
  <c r="K10402" i="1"/>
  <c r="J10402" i="1"/>
  <c r="I10402" i="1"/>
  <c r="H10402" i="1"/>
  <c r="G10402" i="1"/>
  <c r="M10401" i="1"/>
  <c r="L10401" i="1"/>
  <c r="K10401" i="1"/>
  <c r="J10401" i="1"/>
  <c r="I10401" i="1"/>
  <c r="H10401" i="1"/>
  <c r="G10401" i="1"/>
  <c r="M10400" i="1"/>
  <c r="L10400" i="1"/>
  <c r="K10400" i="1"/>
  <c r="J10400" i="1"/>
  <c r="I10400" i="1"/>
  <c r="H10400" i="1"/>
  <c r="G10400" i="1"/>
  <c r="M10399" i="1"/>
  <c r="L10399" i="1"/>
  <c r="K10399" i="1"/>
  <c r="J10399" i="1"/>
  <c r="I10399" i="1"/>
  <c r="H10399" i="1"/>
  <c r="G10399" i="1"/>
  <c r="M10398" i="1"/>
  <c r="L10398" i="1"/>
  <c r="K10398" i="1"/>
  <c r="J10398" i="1"/>
  <c r="I10398" i="1"/>
  <c r="H10398" i="1"/>
  <c r="G10398" i="1"/>
  <c r="M10397" i="1"/>
  <c r="L10397" i="1"/>
  <c r="K10397" i="1"/>
  <c r="J10397" i="1"/>
  <c r="I10397" i="1"/>
  <c r="H10397" i="1"/>
  <c r="G10397" i="1"/>
  <c r="M10396" i="1"/>
  <c r="L10396" i="1"/>
  <c r="K10396" i="1"/>
  <c r="J10396" i="1"/>
  <c r="I10396" i="1"/>
  <c r="H10396" i="1"/>
  <c r="G10396" i="1"/>
  <c r="M10395" i="1"/>
  <c r="L10395" i="1"/>
  <c r="K10395" i="1"/>
  <c r="J10395" i="1"/>
  <c r="I10395" i="1"/>
  <c r="H10395" i="1"/>
  <c r="G10395" i="1"/>
  <c r="M10394" i="1"/>
  <c r="L10394" i="1"/>
  <c r="K10394" i="1"/>
  <c r="J10394" i="1"/>
  <c r="I10394" i="1"/>
  <c r="H10394" i="1"/>
  <c r="G10394" i="1"/>
  <c r="M10393" i="1"/>
  <c r="L10393" i="1"/>
  <c r="K10393" i="1"/>
  <c r="J10393" i="1"/>
  <c r="I10393" i="1"/>
  <c r="H10393" i="1"/>
  <c r="G10393" i="1"/>
  <c r="M10392" i="1"/>
  <c r="L10392" i="1"/>
  <c r="K10392" i="1"/>
  <c r="J10392" i="1"/>
  <c r="I10392" i="1"/>
  <c r="H10392" i="1"/>
  <c r="G10392" i="1"/>
  <c r="M10391" i="1"/>
  <c r="L10391" i="1"/>
  <c r="K10391" i="1"/>
  <c r="J10391" i="1"/>
  <c r="I10391" i="1"/>
  <c r="H10391" i="1"/>
  <c r="G10391" i="1"/>
  <c r="M10390" i="1"/>
  <c r="L10390" i="1"/>
  <c r="K10390" i="1"/>
  <c r="J10390" i="1"/>
  <c r="I10390" i="1"/>
  <c r="H10390" i="1"/>
  <c r="G10390" i="1"/>
  <c r="M10389" i="1"/>
  <c r="L10389" i="1"/>
  <c r="K10389" i="1"/>
  <c r="J10389" i="1"/>
  <c r="I10389" i="1"/>
  <c r="H10389" i="1"/>
  <c r="G10389" i="1"/>
  <c r="M10388" i="1"/>
  <c r="L10388" i="1"/>
  <c r="K10388" i="1"/>
  <c r="J10388" i="1"/>
  <c r="I10388" i="1"/>
  <c r="H10388" i="1"/>
  <c r="G10388" i="1"/>
  <c r="M10387" i="1"/>
  <c r="L10387" i="1"/>
  <c r="K10387" i="1"/>
  <c r="J10387" i="1"/>
  <c r="I10387" i="1"/>
  <c r="H10387" i="1"/>
  <c r="G10387" i="1"/>
  <c r="M10386" i="1"/>
  <c r="L10386" i="1"/>
  <c r="K10386" i="1"/>
  <c r="J10386" i="1"/>
  <c r="I10386" i="1"/>
  <c r="H10386" i="1"/>
  <c r="G10386" i="1"/>
  <c r="M10385" i="1"/>
  <c r="L10385" i="1"/>
  <c r="K10385" i="1"/>
  <c r="J10385" i="1"/>
  <c r="I10385" i="1"/>
  <c r="H10385" i="1"/>
  <c r="G10385" i="1"/>
  <c r="M10384" i="1"/>
  <c r="L10384" i="1"/>
  <c r="K10384" i="1"/>
  <c r="J10384" i="1"/>
  <c r="I10384" i="1"/>
  <c r="H10384" i="1"/>
  <c r="G10384" i="1"/>
  <c r="M10383" i="1"/>
  <c r="L10383" i="1"/>
  <c r="K10383" i="1"/>
  <c r="J10383" i="1"/>
  <c r="I10383" i="1"/>
  <c r="H10383" i="1"/>
  <c r="G10383" i="1"/>
  <c r="M10382" i="1"/>
  <c r="L10382" i="1"/>
  <c r="K10382" i="1"/>
  <c r="J10382" i="1"/>
  <c r="I10382" i="1"/>
  <c r="H10382" i="1"/>
  <c r="G10382" i="1"/>
  <c r="M10381" i="1"/>
  <c r="L10381" i="1"/>
  <c r="K10381" i="1"/>
  <c r="J10381" i="1"/>
  <c r="I10381" i="1"/>
  <c r="H10381" i="1"/>
  <c r="G10381" i="1"/>
  <c r="M10380" i="1"/>
  <c r="L10380" i="1"/>
  <c r="K10380" i="1"/>
  <c r="J10380" i="1"/>
  <c r="I10380" i="1"/>
  <c r="H10380" i="1"/>
  <c r="G10380" i="1"/>
  <c r="M10379" i="1"/>
  <c r="L10379" i="1"/>
  <c r="K10379" i="1"/>
  <c r="J10379" i="1"/>
  <c r="I10379" i="1"/>
  <c r="H10379" i="1"/>
  <c r="G10379" i="1"/>
  <c r="M10378" i="1"/>
  <c r="L10378" i="1"/>
  <c r="K10378" i="1"/>
  <c r="J10378" i="1"/>
  <c r="I10378" i="1"/>
  <c r="H10378" i="1"/>
  <c r="G10378" i="1"/>
  <c r="M10377" i="1"/>
  <c r="L10377" i="1"/>
  <c r="K10377" i="1"/>
  <c r="J10377" i="1"/>
  <c r="I10377" i="1"/>
  <c r="H10377" i="1"/>
  <c r="G10377" i="1"/>
  <c r="M10376" i="1"/>
  <c r="L10376" i="1"/>
  <c r="K10376" i="1"/>
  <c r="J10376" i="1"/>
  <c r="I10376" i="1"/>
  <c r="H10376" i="1"/>
  <c r="G10376" i="1"/>
  <c r="M10375" i="1"/>
  <c r="L10375" i="1"/>
  <c r="K10375" i="1"/>
  <c r="J10375" i="1"/>
  <c r="I10375" i="1"/>
  <c r="H10375" i="1"/>
  <c r="G10375" i="1"/>
  <c r="M10374" i="1"/>
  <c r="L10374" i="1"/>
  <c r="K10374" i="1"/>
  <c r="J10374" i="1"/>
  <c r="I10374" i="1"/>
  <c r="H10374" i="1"/>
  <c r="G10374" i="1"/>
  <c r="M10373" i="1"/>
  <c r="L10373" i="1"/>
  <c r="K10373" i="1"/>
  <c r="J10373" i="1"/>
  <c r="I10373" i="1"/>
  <c r="H10373" i="1"/>
  <c r="G10373" i="1"/>
  <c r="M10372" i="1"/>
  <c r="L10372" i="1"/>
  <c r="K10372" i="1"/>
  <c r="J10372" i="1"/>
  <c r="I10372" i="1"/>
  <c r="H10372" i="1"/>
  <c r="G10372" i="1"/>
  <c r="M10371" i="1"/>
  <c r="L10371" i="1"/>
  <c r="K10371" i="1"/>
  <c r="J10371" i="1"/>
  <c r="I10371" i="1"/>
  <c r="H10371" i="1"/>
  <c r="G10371" i="1"/>
  <c r="M10370" i="1"/>
  <c r="L10370" i="1"/>
  <c r="K10370" i="1"/>
  <c r="J10370" i="1"/>
  <c r="I10370" i="1"/>
  <c r="H10370" i="1"/>
  <c r="G10370" i="1"/>
  <c r="M10369" i="1"/>
  <c r="L10369" i="1"/>
  <c r="K10369" i="1"/>
  <c r="J10369" i="1"/>
  <c r="I10369" i="1"/>
  <c r="H10369" i="1"/>
  <c r="G10369" i="1"/>
  <c r="M10368" i="1"/>
  <c r="L10368" i="1"/>
  <c r="K10368" i="1"/>
  <c r="J10368" i="1"/>
  <c r="I10368" i="1"/>
  <c r="H10368" i="1"/>
  <c r="G10368" i="1"/>
  <c r="M10367" i="1"/>
  <c r="L10367" i="1"/>
  <c r="K10367" i="1"/>
  <c r="J10367" i="1"/>
  <c r="I10367" i="1"/>
  <c r="H10367" i="1"/>
  <c r="G10367" i="1"/>
  <c r="M10366" i="1"/>
  <c r="L10366" i="1"/>
  <c r="K10366" i="1"/>
  <c r="J10366" i="1"/>
  <c r="I10366" i="1"/>
  <c r="H10366" i="1"/>
  <c r="G10366" i="1"/>
  <c r="M10365" i="1"/>
  <c r="L10365" i="1"/>
  <c r="K10365" i="1"/>
  <c r="J10365" i="1"/>
  <c r="I10365" i="1"/>
  <c r="H10365" i="1"/>
  <c r="G10365" i="1"/>
  <c r="M10364" i="1"/>
  <c r="L10364" i="1"/>
  <c r="K10364" i="1"/>
  <c r="J10364" i="1"/>
  <c r="I10364" i="1"/>
  <c r="H10364" i="1"/>
  <c r="G10364" i="1"/>
  <c r="M10363" i="1"/>
  <c r="L10363" i="1"/>
  <c r="K10363" i="1"/>
  <c r="J10363" i="1"/>
  <c r="I10363" i="1"/>
  <c r="H10363" i="1"/>
  <c r="G10363" i="1"/>
  <c r="M10362" i="1"/>
  <c r="L10362" i="1"/>
  <c r="K10362" i="1"/>
  <c r="J10362" i="1"/>
  <c r="I10362" i="1"/>
  <c r="H10362" i="1"/>
  <c r="G10362" i="1"/>
  <c r="M10361" i="1"/>
  <c r="L10361" i="1"/>
  <c r="K10361" i="1"/>
  <c r="J10361" i="1"/>
  <c r="I10361" i="1"/>
  <c r="H10361" i="1"/>
  <c r="G10361" i="1"/>
  <c r="M10360" i="1"/>
  <c r="L10360" i="1"/>
  <c r="K10360" i="1"/>
  <c r="J10360" i="1"/>
  <c r="I10360" i="1"/>
  <c r="H10360" i="1"/>
  <c r="G10360" i="1"/>
  <c r="M10359" i="1"/>
  <c r="L10359" i="1"/>
  <c r="K10359" i="1"/>
  <c r="J10359" i="1"/>
  <c r="I10359" i="1"/>
  <c r="H10359" i="1"/>
  <c r="G10359" i="1"/>
  <c r="M10358" i="1"/>
  <c r="L10358" i="1"/>
  <c r="K10358" i="1"/>
  <c r="J10358" i="1"/>
  <c r="I10358" i="1"/>
  <c r="H10358" i="1"/>
  <c r="G10358" i="1"/>
  <c r="M10357" i="1"/>
  <c r="L10357" i="1"/>
  <c r="K10357" i="1"/>
  <c r="J10357" i="1"/>
  <c r="I10357" i="1"/>
  <c r="H10357" i="1"/>
  <c r="G10357" i="1"/>
  <c r="M10356" i="1"/>
  <c r="L10356" i="1"/>
  <c r="K10356" i="1"/>
  <c r="J10356" i="1"/>
  <c r="I10356" i="1"/>
  <c r="H10356" i="1"/>
  <c r="G10356" i="1"/>
  <c r="M10355" i="1"/>
  <c r="L10355" i="1"/>
  <c r="K10355" i="1"/>
  <c r="J10355" i="1"/>
  <c r="I10355" i="1"/>
  <c r="H10355" i="1"/>
  <c r="G10355" i="1"/>
  <c r="M10354" i="1"/>
  <c r="L10354" i="1"/>
  <c r="K10354" i="1"/>
  <c r="J10354" i="1"/>
  <c r="I10354" i="1"/>
  <c r="H10354" i="1"/>
  <c r="G10354" i="1"/>
  <c r="M10353" i="1"/>
  <c r="L10353" i="1"/>
  <c r="K10353" i="1"/>
  <c r="J10353" i="1"/>
  <c r="I10353" i="1"/>
  <c r="H10353" i="1"/>
  <c r="G10353" i="1"/>
  <c r="M10352" i="1"/>
  <c r="L10352" i="1"/>
  <c r="K10352" i="1"/>
  <c r="J10352" i="1"/>
  <c r="I10352" i="1"/>
  <c r="H10352" i="1"/>
  <c r="G10352" i="1"/>
  <c r="M10351" i="1"/>
  <c r="L10351" i="1"/>
  <c r="K10351" i="1"/>
  <c r="J10351" i="1"/>
  <c r="I10351" i="1"/>
  <c r="H10351" i="1"/>
  <c r="G10351" i="1"/>
  <c r="M10350" i="1"/>
  <c r="L10350" i="1"/>
  <c r="K10350" i="1"/>
  <c r="J10350" i="1"/>
  <c r="I10350" i="1"/>
  <c r="H10350" i="1"/>
  <c r="G10350" i="1"/>
  <c r="M10349" i="1"/>
  <c r="L10349" i="1"/>
  <c r="K10349" i="1"/>
  <c r="J10349" i="1"/>
  <c r="I10349" i="1"/>
  <c r="H10349" i="1"/>
  <c r="G10349" i="1"/>
  <c r="M10348" i="1"/>
  <c r="L10348" i="1"/>
  <c r="K10348" i="1"/>
  <c r="J10348" i="1"/>
  <c r="I10348" i="1"/>
  <c r="H10348" i="1"/>
  <c r="G10348" i="1"/>
  <c r="M10347" i="1"/>
  <c r="L10347" i="1"/>
  <c r="K10347" i="1"/>
  <c r="J10347" i="1"/>
  <c r="I10347" i="1"/>
  <c r="H10347" i="1"/>
  <c r="G10347" i="1"/>
  <c r="M10346" i="1"/>
  <c r="L10346" i="1"/>
  <c r="K10346" i="1"/>
  <c r="J10346" i="1"/>
  <c r="I10346" i="1"/>
  <c r="H10346" i="1"/>
  <c r="G10346" i="1"/>
  <c r="M10345" i="1"/>
  <c r="L10345" i="1"/>
  <c r="K10345" i="1"/>
  <c r="J10345" i="1"/>
  <c r="I10345" i="1"/>
  <c r="H10345" i="1"/>
  <c r="G10345" i="1"/>
  <c r="M10344" i="1"/>
  <c r="L10344" i="1"/>
  <c r="K10344" i="1"/>
  <c r="J10344" i="1"/>
  <c r="I10344" i="1"/>
  <c r="H10344" i="1"/>
  <c r="G10344" i="1"/>
  <c r="M10343" i="1"/>
  <c r="L10343" i="1"/>
  <c r="K10343" i="1"/>
  <c r="J10343" i="1"/>
  <c r="I10343" i="1"/>
  <c r="H10343" i="1"/>
  <c r="G10343" i="1"/>
  <c r="M10342" i="1"/>
  <c r="L10342" i="1"/>
  <c r="K10342" i="1"/>
  <c r="J10342" i="1"/>
  <c r="I10342" i="1"/>
  <c r="H10342" i="1"/>
  <c r="G10342" i="1"/>
  <c r="M10341" i="1"/>
  <c r="L10341" i="1"/>
  <c r="K10341" i="1"/>
  <c r="J10341" i="1"/>
  <c r="I10341" i="1"/>
  <c r="H10341" i="1"/>
  <c r="G10341" i="1"/>
  <c r="M10340" i="1"/>
  <c r="L10340" i="1"/>
  <c r="K10340" i="1"/>
  <c r="J10340" i="1"/>
  <c r="I10340" i="1"/>
  <c r="H10340" i="1"/>
  <c r="G10340" i="1"/>
  <c r="M10339" i="1"/>
  <c r="L10339" i="1"/>
  <c r="K10339" i="1"/>
  <c r="J10339" i="1"/>
  <c r="I10339" i="1"/>
  <c r="H10339" i="1"/>
  <c r="G10339" i="1"/>
  <c r="M10338" i="1"/>
  <c r="L10338" i="1"/>
  <c r="K10338" i="1"/>
  <c r="J10338" i="1"/>
  <c r="I10338" i="1"/>
  <c r="H10338" i="1"/>
  <c r="G10338" i="1"/>
  <c r="M10337" i="1"/>
  <c r="L10337" i="1"/>
  <c r="K10337" i="1"/>
  <c r="J10337" i="1"/>
  <c r="I10337" i="1"/>
  <c r="H10337" i="1"/>
  <c r="G10337" i="1"/>
  <c r="M10336" i="1"/>
  <c r="L10336" i="1"/>
  <c r="K10336" i="1"/>
  <c r="J10336" i="1"/>
  <c r="I10336" i="1"/>
  <c r="H10336" i="1"/>
  <c r="G10336" i="1"/>
  <c r="M10335" i="1"/>
  <c r="L10335" i="1"/>
  <c r="K10335" i="1"/>
  <c r="J10335" i="1"/>
  <c r="I10335" i="1"/>
  <c r="H10335" i="1"/>
  <c r="G10335" i="1"/>
  <c r="M10334" i="1"/>
  <c r="L10334" i="1"/>
  <c r="K10334" i="1"/>
  <c r="J10334" i="1"/>
  <c r="I10334" i="1"/>
  <c r="H10334" i="1"/>
  <c r="G10334" i="1"/>
  <c r="M10333" i="1"/>
  <c r="L10333" i="1"/>
  <c r="K10333" i="1"/>
  <c r="J10333" i="1"/>
  <c r="I10333" i="1"/>
  <c r="H10333" i="1"/>
  <c r="G10333" i="1"/>
  <c r="M10332" i="1"/>
  <c r="L10332" i="1"/>
  <c r="K10332" i="1"/>
  <c r="J10332" i="1"/>
  <c r="I10332" i="1"/>
  <c r="H10332" i="1"/>
  <c r="G10332" i="1"/>
  <c r="M10331" i="1"/>
  <c r="L10331" i="1"/>
  <c r="K10331" i="1"/>
  <c r="J10331" i="1"/>
  <c r="I10331" i="1"/>
  <c r="H10331" i="1"/>
  <c r="G10331" i="1"/>
  <c r="M10330" i="1"/>
  <c r="L10330" i="1"/>
  <c r="K10330" i="1"/>
  <c r="J10330" i="1"/>
  <c r="I10330" i="1"/>
  <c r="H10330" i="1"/>
  <c r="G10330" i="1"/>
  <c r="M10329" i="1"/>
  <c r="L10329" i="1"/>
  <c r="K10329" i="1"/>
  <c r="J10329" i="1"/>
  <c r="I10329" i="1"/>
  <c r="H10329" i="1"/>
  <c r="G10329" i="1"/>
  <c r="M10328" i="1"/>
  <c r="L10328" i="1"/>
  <c r="K10328" i="1"/>
  <c r="J10328" i="1"/>
  <c r="I10328" i="1"/>
  <c r="H10328" i="1"/>
  <c r="G10328" i="1"/>
  <c r="M10327" i="1"/>
  <c r="L10327" i="1"/>
  <c r="K10327" i="1"/>
  <c r="J10327" i="1"/>
  <c r="I10327" i="1"/>
  <c r="H10327" i="1"/>
  <c r="G10327" i="1"/>
  <c r="M10326" i="1"/>
  <c r="L10326" i="1"/>
  <c r="K10326" i="1"/>
  <c r="J10326" i="1"/>
  <c r="I10326" i="1"/>
  <c r="H10326" i="1"/>
  <c r="G10326" i="1"/>
  <c r="M10325" i="1"/>
  <c r="L10325" i="1"/>
  <c r="K10325" i="1"/>
  <c r="J10325" i="1"/>
  <c r="I10325" i="1"/>
  <c r="H10325" i="1"/>
  <c r="G10325" i="1"/>
  <c r="M10324" i="1"/>
  <c r="L10324" i="1"/>
  <c r="K10324" i="1"/>
  <c r="J10324" i="1"/>
  <c r="I10324" i="1"/>
  <c r="H10324" i="1"/>
  <c r="G10324" i="1"/>
  <c r="M10323" i="1"/>
  <c r="L10323" i="1"/>
  <c r="K10323" i="1"/>
  <c r="J10323" i="1"/>
  <c r="I10323" i="1"/>
  <c r="H10323" i="1"/>
  <c r="G10323" i="1"/>
  <c r="M10322" i="1"/>
  <c r="L10322" i="1"/>
  <c r="K10322" i="1"/>
  <c r="J10322" i="1"/>
  <c r="I10322" i="1"/>
  <c r="H10322" i="1"/>
  <c r="G10322" i="1"/>
  <c r="M10321" i="1"/>
  <c r="L10321" i="1"/>
  <c r="K10321" i="1"/>
  <c r="J10321" i="1"/>
  <c r="I10321" i="1"/>
  <c r="H10321" i="1"/>
  <c r="G10321" i="1"/>
  <c r="M10320" i="1"/>
  <c r="L10320" i="1"/>
  <c r="K10320" i="1"/>
  <c r="J10320" i="1"/>
  <c r="I10320" i="1"/>
  <c r="H10320" i="1"/>
  <c r="G10320" i="1"/>
  <c r="M10319" i="1"/>
  <c r="L10319" i="1"/>
  <c r="K10319" i="1"/>
  <c r="J10319" i="1"/>
  <c r="I10319" i="1"/>
  <c r="H10319" i="1"/>
  <c r="G10319" i="1"/>
  <c r="M10318" i="1"/>
  <c r="L10318" i="1"/>
  <c r="K10318" i="1"/>
  <c r="J10318" i="1"/>
  <c r="I10318" i="1"/>
  <c r="H10318" i="1"/>
  <c r="G10318" i="1"/>
  <c r="M10317" i="1"/>
  <c r="L10317" i="1"/>
  <c r="K10317" i="1"/>
  <c r="J10317" i="1"/>
  <c r="I10317" i="1"/>
  <c r="H10317" i="1"/>
  <c r="G10317" i="1"/>
  <c r="M10316" i="1"/>
  <c r="L10316" i="1"/>
  <c r="K10316" i="1"/>
  <c r="J10316" i="1"/>
  <c r="I10316" i="1"/>
  <c r="H10316" i="1"/>
  <c r="G10316" i="1"/>
  <c r="M10315" i="1"/>
  <c r="L10315" i="1"/>
  <c r="K10315" i="1"/>
  <c r="J10315" i="1"/>
  <c r="I10315" i="1"/>
  <c r="H10315" i="1"/>
  <c r="G10315" i="1"/>
  <c r="M10314" i="1"/>
  <c r="L10314" i="1"/>
  <c r="K10314" i="1"/>
  <c r="J10314" i="1"/>
  <c r="I10314" i="1"/>
  <c r="H10314" i="1"/>
  <c r="G10314" i="1"/>
  <c r="M10313" i="1"/>
  <c r="L10313" i="1"/>
  <c r="K10313" i="1"/>
  <c r="J10313" i="1"/>
  <c r="I10313" i="1"/>
  <c r="H10313" i="1"/>
  <c r="G10313" i="1"/>
  <c r="M10312" i="1"/>
  <c r="L10312" i="1"/>
  <c r="K10312" i="1"/>
  <c r="J10312" i="1"/>
  <c r="I10312" i="1"/>
  <c r="H10312" i="1"/>
  <c r="G10312" i="1"/>
  <c r="M10311" i="1"/>
  <c r="L10311" i="1"/>
  <c r="K10311" i="1"/>
  <c r="J10311" i="1"/>
  <c r="I10311" i="1"/>
  <c r="H10311" i="1"/>
  <c r="G10311" i="1"/>
  <c r="M10310" i="1"/>
  <c r="L10310" i="1"/>
  <c r="K10310" i="1"/>
  <c r="J10310" i="1"/>
  <c r="I10310" i="1"/>
  <c r="H10310" i="1"/>
  <c r="G10310" i="1"/>
  <c r="M10309" i="1"/>
  <c r="L10309" i="1"/>
  <c r="K10309" i="1"/>
  <c r="J10309" i="1"/>
  <c r="I10309" i="1"/>
  <c r="H10309" i="1"/>
  <c r="G10309" i="1"/>
  <c r="M10308" i="1"/>
  <c r="L10308" i="1"/>
  <c r="K10308" i="1"/>
  <c r="J10308" i="1"/>
  <c r="I10308" i="1"/>
  <c r="H10308" i="1"/>
  <c r="G10308" i="1"/>
  <c r="M10307" i="1"/>
  <c r="L10307" i="1"/>
  <c r="K10307" i="1"/>
  <c r="J10307" i="1"/>
  <c r="I10307" i="1"/>
  <c r="H10307" i="1"/>
  <c r="G10307" i="1"/>
  <c r="M10306" i="1"/>
  <c r="L10306" i="1"/>
  <c r="K10306" i="1"/>
  <c r="J10306" i="1"/>
  <c r="I10306" i="1"/>
  <c r="H10306" i="1"/>
  <c r="G10306" i="1"/>
  <c r="M10305" i="1"/>
  <c r="L10305" i="1"/>
  <c r="K10305" i="1"/>
  <c r="J10305" i="1"/>
  <c r="I10305" i="1"/>
  <c r="H10305" i="1"/>
  <c r="G10305" i="1"/>
  <c r="M10304" i="1"/>
  <c r="L10304" i="1"/>
  <c r="K10304" i="1"/>
  <c r="J10304" i="1"/>
  <c r="I10304" i="1"/>
  <c r="H10304" i="1"/>
  <c r="G10304" i="1"/>
  <c r="M10303" i="1"/>
  <c r="L10303" i="1"/>
  <c r="K10303" i="1"/>
  <c r="J10303" i="1"/>
  <c r="I10303" i="1"/>
  <c r="H10303" i="1"/>
  <c r="G10303" i="1"/>
  <c r="M10302" i="1"/>
  <c r="L10302" i="1"/>
  <c r="K10302" i="1"/>
  <c r="J10302" i="1"/>
  <c r="I10302" i="1"/>
  <c r="H10302" i="1"/>
  <c r="G10302" i="1"/>
  <c r="M10301" i="1"/>
  <c r="L10301" i="1"/>
  <c r="K10301" i="1"/>
  <c r="J10301" i="1"/>
  <c r="I10301" i="1"/>
  <c r="H10301" i="1"/>
  <c r="G10301" i="1"/>
  <c r="M10300" i="1"/>
  <c r="L10300" i="1"/>
  <c r="K10300" i="1"/>
  <c r="J10300" i="1"/>
  <c r="I10300" i="1"/>
  <c r="H10300" i="1"/>
  <c r="G10300" i="1"/>
  <c r="M10299" i="1"/>
  <c r="L10299" i="1"/>
  <c r="K10299" i="1"/>
  <c r="J10299" i="1"/>
  <c r="I10299" i="1"/>
  <c r="H10299" i="1"/>
  <c r="G10299" i="1"/>
  <c r="M10298" i="1"/>
  <c r="L10298" i="1"/>
  <c r="K10298" i="1"/>
  <c r="J10298" i="1"/>
  <c r="I10298" i="1"/>
  <c r="H10298" i="1"/>
  <c r="G10298" i="1"/>
  <c r="M10297" i="1"/>
  <c r="L10297" i="1"/>
  <c r="K10297" i="1"/>
  <c r="J10297" i="1"/>
  <c r="I10297" i="1"/>
  <c r="H10297" i="1"/>
  <c r="G10297" i="1"/>
  <c r="M10296" i="1"/>
  <c r="L10296" i="1"/>
  <c r="K10296" i="1"/>
  <c r="J10296" i="1"/>
  <c r="I10296" i="1"/>
  <c r="H10296" i="1"/>
  <c r="G10296" i="1"/>
  <c r="M10295" i="1"/>
  <c r="L10295" i="1"/>
  <c r="K10295" i="1"/>
  <c r="J10295" i="1"/>
  <c r="I10295" i="1"/>
  <c r="H10295" i="1"/>
  <c r="G10295" i="1"/>
  <c r="M10294" i="1"/>
  <c r="L10294" i="1"/>
  <c r="K10294" i="1"/>
  <c r="J10294" i="1"/>
  <c r="I10294" i="1"/>
  <c r="H10294" i="1"/>
  <c r="G10294" i="1"/>
  <c r="M10293" i="1"/>
  <c r="L10293" i="1"/>
  <c r="K10293" i="1"/>
  <c r="J10293" i="1"/>
  <c r="I10293" i="1"/>
  <c r="H10293" i="1"/>
  <c r="G10293" i="1"/>
  <c r="M10292" i="1"/>
  <c r="L10292" i="1"/>
  <c r="K10292" i="1"/>
  <c r="J10292" i="1"/>
  <c r="I10292" i="1"/>
  <c r="H10292" i="1"/>
  <c r="G10292" i="1"/>
  <c r="M10291" i="1"/>
  <c r="L10291" i="1"/>
  <c r="K10291" i="1"/>
  <c r="J10291" i="1"/>
  <c r="I10291" i="1"/>
  <c r="H10291" i="1"/>
  <c r="G10291" i="1"/>
  <c r="M10290" i="1"/>
  <c r="L10290" i="1"/>
  <c r="K10290" i="1"/>
  <c r="J10290" i="1"/>
  <c r="I10290" i="1"/>
  <c r="H10290" i="1"/>
  <c r="G10290" i="1"/>
  <c r="M10289" i="1"/>
  <c r="L10289" i="1"/>
  <c r="K10289" i="1"/>
  <c r="J10289" i="1"/>
  <c r="I10289" i="1"/>
  <c r="H10289" i="1"/>
  <c r="G10289" i="1"/>
  <c r="M10288" i="1"/>
  <c r="L10288" i="1"/>
  <c r="K10288" i="1"/>
  <c r="J10288" i="1"/>
  <c r="I10288" i="1"/>
  <c r="H10288" i="1"/>
  <c r="G10288" i="1"/>
  <c r="M10287" i="1"/>
  <c r="L10287" i="1"/>
  <c r="K10287" i="1"/>
  <c r="J10287" i="1"/>
  <c r="I10287" i="1"/>
  <c r="H10287" i="1"/>
  <c r="G10287" i="1"/>
  <c r="M10286" i="1"/>
  <c r="L10286" i="1"/>
  <c r="K10286" i="1"/>
  <c r="J10286" i="1"/>
  <c r="I10286" i="1"/>
  <c r="H10286" i="1"/>
  <c r="G10286" i="1"/>
  <c r="M10285" i="1"/>
  <c r="L10285" i="1"/>
  <c r="K10285" i="1"/>
  <c r="J10285" i="1"/>
  <c r="I10285" i="1"/>
  <c r="H10285" i="1"/>
  <c r="G10285" i="1"/>
  <c r="M10284" i="1"/>
  <c r="L10284" i="1"/>
  <c r="K10284" i="1"/>
  <c r="J10284" i="1"/>
  <c r="I10284" i="1"/>
  <c r="H10284" i="1"/>
  <c r="G10284" i="1"/>
  <c r="M10283" i="1"/>
  <c r="L10283" i="1"/>
  <c r="K10283" i="1"/>
  <c r="J10283" i="1"/>
  <c r="I10283" i="1"/>
  <c r="H10283" i="1"/>
  <c r="G10283" i="1"/>
  <c r="M10282" i="1"/>
  <c r="L10282" i="1"/>
  <c r="K10282" i="1"/>
  <c r="J10282" i="1"/>
  <c r="I10282" i="1"/>
  <c r="H10282" i="1"/>
  <c r="G10282" i="1"/>
  <c r="M10281" i="1"/>
  <c r="L10281" i="1"/>
  <c r="K10281" i="1"/>
  <c r="J10281" i="1"/>
  <c r="I10281" i="1"/>
  <c r="H10281" i="1"/>
  <c r="G10281" i="1"/>
  <c r="M10280" i="1"/>
  <c r="L10280" i="1"/>
  <c r="K10280" i="1"/>
  <c r="J10280" i="1"/>
  <c r="I10280" i="1"/>
  <c r="H10280" i="1"/>
  <c r="G10280" i="1"/>
  <c r="M10279" i="1"/>
  <c r="L10279" i="1"/>
  <c r="K10279" i="1"/>
  <c r="J10279" i="1"/>
  <c r="I10279" i="1"/>
  <c r="H10279" i="1"/>
  <c r="G10279" i="1"/>
  <c r="M10278" i="1"/>
  <c r="L10278" i="1"/>
  <c r="K10278" i="1"/>
  <c r="J10278" i="1"/>
  <c r="I10278" i="1"/>
  <c r="H10278" i="1"/>
  <c r="G10278" i="1"/>
  <c r="M10277" i="1"/>
  <c r="L10277" i="1"/>
  <c r="K10277" i="1"/>
  <c r="J10277" i="1"/>
  <c r="I10277" i="1"/>
  <c r="H10277" i="1"/>
  <c r="G10277" i="1"/>
  <c r="M10276" i="1"/>
  <c r="L10276" i="1"/>
  <c r="K10276" i="1"/>
  <c r="J10276" i="1"/>
  <c r="I10276" i="1"/>
  <c r="H10276" i="1"/>
  <c r="G10276" i="1"/>
  <c r="M10275" i="1"/>
  <c r="L10275" i="1"/>
  <c r="K10275" i="1"/>
  <c r="J10275" i="1"/>
  <c r="I10275" i="1"/>
  <c r="H10275" i="1"/>
  <c r="G10275" i="1"/>
  <c r="M10274" i="1"/>
  <c r="L10274" i="1"/>
  <c r="K10274" i="1"/>
  <c r="J10274" i="1"/>
  <c r="I10274" i="1"/>
  <c r="H10274" i="1"/>
  <c r="G10274" i="1"/>
  <c r="M10273" i="1"/>
  <c r="L10273" i="1"/>
  <c r="K10273" i="1"/>
  <c r="J10273" i="1"/>
  <c r="I10273" i="1"/>
  <c r="H10273" i="1"/>
  <c r="G10273" i="1"/>
  <c r="M10272" i="1"/>
  <c r="L10272" i="1"/>
  <c r="K10272" i="1"/>
  <c r="J10272" i="1"/>
  <c r="I10272" i="1"/>
  <c r="H10272" i="1"/>
  <c r="G10272" i="1"/>
  <c r="M10271" i="1"/>
  <c r="L10271" i="1"/>
  <c r="K10271" i="1"/>
  <c r="J10271" i="1"/>
  <c r="I10271" i="1"/>
  <c r="H10271" i="1"/>
  <c r="G10271" i="1"/>
  <c r="M10270" i="1"/>
  <c r="L10270" i="1"/>
  <c r="K10270" i="1"/>
  <c r="J10270" i="1"/>
  <c r="I10270" i="1"/>
  <c r="H10270" i="1"/>
  <c r="G10270" i="1"/>
  <c r="M10269" i="1"/>
  <c r="L10269" i="1"/>
  <c r="K10269" i="1"/>
  <c r="J10269" i="1"/>
  <c r="I10269" i="1"/>
  <c r="H10269" i="1"/>
  <c r="G10269" i="1"/>
  <c r="M10268" i="1"/>
  <c r="L10268" i="1"/>
  <c r="K10268" i="1"/>
  <c r="J10268" i="1"/>
  <c r="I10268" i="1"/>
  <c r="H10268" i="1"/>
  <c r="G10268" i="1"/>
  <c r="M10267" i="1"/>
  <c r="L10267" i="1"/>
  <c r="K10267" i="1"/>
  <c r="J10267" i="1"/>
  <c r="I10267" i="1"/>
  <c r="H10267" i="1"/>
  <c r="G10267" i="1"/>
  <c r="M10266" i="1"/>
  <c r="L10266" i="1"/>
  <c r="K10266" i="1"/>
  <c r="J10266" i="1"/>
  <c r="I10266" i="1"/>
  <c r="H10266" i="1"/>
  <c r="G10266" i="1"/>
  <c r="M10265" i="1"/>
  <c r="L10265" i="1"/>
  <c r="K10265" i="1"/>
  <c r="J10265" i="1"/>
  <c r="I10265" i="1"/>
  <c r="H10265" i="1"/>
  <c r="G10265" i="1"/>
  <c r="M10264" i="1"/>
  <c r="L10264" i="1"/>
  <c r="K10264" i="1"/>
  <c r="J10264" i="1"/>
  <c r="I10264" i="1"/>
  <c r="H10264" i="1"/>
  <c r="G10264" i="1"/>
  <c r="M10263" i="1"/>
  <c r="L10263" i="1"/>
  <c r="K10263" i="1"/>
  <c r="J10263" i="1"/>
  <c r="I10263" i="1"/>
  <c r="H10263" i="1"/>
  <c r="G10263" i="1"/>
  <c r="M10262" i="1"/>
  <c r="L10262" i="1"/>
  <c r="K10262" i="1"/>
  <c r="J10262" i="1"/>
  <c r="I10262" i="1"/>
  <c r="H10262" i="1"/>
  <c r="G10262" i="1"/>
  <c r="M10261" i="1"/>
  <c r="L10261" i="1"/>
  <c r="K10261" i="1"/>
  <c r="J10261" i="1"/>
  <c r="I10261" i="1"/>
  <c r="H10261" i="1"/>
  <c r="G10261" i="1"/>
  <c r="M10260" i="1"/>
  <c r="L10260" i="1"/>
  <c r="K10260" i="1"/>
  <c r="J10260" i="1"/>
  <c r="I10260" i="1"/>
  <c r="H10260" i="1"/>
  <c r="G10260" i="1"/>
  <c r="M10259" i="1"/>
  <c r="L10259" i="1"/>
  <c r="K10259" i="1"/>
  <c r="J10259" i="1"/>
  <c r="I10259" i="1"/>
  <c r="H10259" i="1"/>
  <c r="G10259" i="1"/>
  <c r="M10258" i="1"/>
  <c r="L10258" i="1"/>
  <c r="K10258" i="1"/>
  <c r="J10258" i="1"/>
  <c r="I10258" i="1"/>
  <c r="H10258" i="1"/>
  <c r="G10258" i="1"/>
  <c r="M10257" i="1"/>
  <c r="L10257" i="1"/>
  <c r="K10257" i="1"/>
  <c r="J10257" i="1"/>
  <c r="I10257" i="1"/>
  <c r="H10257" i="1"/>
  <c r="G10257" i="1"/>
  <c r="M10256" i="1"/>
  <c r="L10256" i="1"/>
  <c r="K10256" i="1"/>
  <c r="J10256" i="1"/>
  <c r="I10256" i="1"/>
  <c r="H10256" i="1"/>
  <c r="G10256" i="1"/>
  <c r="M10255" i="1"/>
  <c r="L10255" i="1"/>
  <c r="K10255" i="1"/>
  <c r="J10255" i="1"/>
  <c r="I10255" i="1"/>
  <c r="H10255" i="1"/>
  <c r="G10255" i="1"/>
  <c r="M10254" i="1"/>
  <c r="L10254" i="1"/>
  <c r="K10254" i="1"/>
  <c r="J10254" i="1"/>
  <c r="I10254" i="1"/>
  <c r="H10254" i="1"/>
  <c r="G10254" i="1"/>
  <c r="M10253" i="1"/>
  <c r="L10253" i="1"/>
  <c r="K10253" i="1"/>
  <c r="J10253" i="1"/>
  <c r="I10253" i="1"/>
  <c r="H10253" i="1"/>
  <c r="G10253" i="1"/>
  <c r="M10252" i="1"/>
  <c r="L10252" i="1"/>
  <c r="K10252" i="1"/>
  <c r="J10252" i="1"/>
  <c r="I10252" i="1"/>
  <c r="H10252" i="1"/>
  <c r="G10252" i="1"/>
  <c r="M10251" i="1"/>
  <c r="L10251" i="1"/>
  <c r="K10251" i="1"/>
  <c r="J10251" i="1"/>
  <c r="I10251" i="1"/>
  <c r="H10251" i="1"/>
  <c r="G10251" i="1"/>
  <c r="M10250" i="1"/>
  <c r="L10250" i="1"/>
  <c r="K10250" i="1"/>
  <c r="J10250" i="1"/>
  <c r="I10250" i="1"/>
  <c r="H10250" i="1"/>
  <c r="G10250" i="1"/>
  <c r="M10249" i="1"/>
  <c r="L10249" i="1"/>
  <c r="K10249" i="1"/>
  <c r="J10249" i="1"/>
  <c r="I10249" i="1"/>
  <c r="H10249" i="1"/>
  <c r="G10249" i="1"/>
  <c r="M10248" i="1"/>
  <c r="L10248" i="1"/>
  <c r="K10248" i="1"/>
  <c r="J10248" i="1"/>
  <c r="I10248" i="1"/>
  <c r="H10248" i="1"/>
  <c r="G10248" i="1"/>
  <c r="M10247" i="1"/>
  <c r="L10247" i="1"/>
  <c r="K10247" i="1"/>
  <c r="J10247" i="1"/>
  <c r="I10247" i="1"/>
  <c r="H10247" i="1"/>
  <c r="G10247" i="1"/>
  <c r="M10246" i="1"/>
  <c r="L10246" i="1"/>
  <c r="K10246" i="1"/>
  <c r="J10246" i="1"/>
  <c r="I10246" i="1"/>
  <c r="H10246" i="1"/>
  <c r="G10246" i="1"/>
  <c r="M10245" i="1"/>
  <c r="L10245" i="1"/>
  <c r="K10245" i="1"/>
  <c r="J10245" i="1"/>
  <c r="I10245" i="1"/>
  <c r="H10245" i="1"/>
  <c r="G10245" i="1"/>
  <c r="M10244" i="1"/>
  <c r="L10244" i="1"/>
  <c r="K10244" i="1"/>
  <c r="J10244" i="1"/>
  <c r="I10244" i="1"/>
  <c r="H10244" i="1"/>
  <c r="G10244" i="1"/>
  <c r="M10243" i="1"/>
  <c r="L10243" i="1"/>
  <c r="K10243" i="1"/>
  <c r="J10243" i="1"/>
  <c r="I10243" i="1"/>
  <c r="H10243" i="1"/>
  <c r="G10243" i="1"/>
  <c r="M10242" i="1"/>
  <c r="L10242" i="1"/>
  <c r="K10242" i="1"/>
  <c r="J10242" i="1"/>
  <c r="I10242" i="1"/>
  <c r="H10242" i="1"/>
  <c r="G10242" i="1"/>
  <c r="M10241" i="1"/>
  <c r="L10241" i="1"/>
  <c r="K10241" i="1"/>
  <c r="J10241" i="1"/>
  <c r="I10241" i="1"/>
  <c r="H10241" i="1"/>
  <c r="G10241" i="1"/>
  <c r="M10240" i="1"/>
  <c r="L10240" i="1"/>
  <c r="K10240" i="1"/>
  <c r="J10240" i="1"/>
  <c r="I10240" i="1"/>
  <c r="H10240" i="1"/>
  <c r="G10240" i="1"/>
  <c r="M10239" i="1"/>
  <c r="L10239" i="1"/>
  <c r="K10239" i="1"/>
  <c r="J10239" i="1"/>
  <c r="I10239" i="1"/>
  <c r="H10239" i="1"/>
  <c r="G10239" i="1"/>
  <c r="M10238" i="1"/>
  <c r="L10238" i="1"/>
  <c r="K10238" i="1"/>
  <c r="J10238" i="1"/>
  <c r="I10238" i="1"/>
  <c r="H10238" i="1"/>
  <c r="G10238" i="1"/>
  <c r="M10237" i="1"/>
  <c r="L10237" i="1"/>
  <c r="K10237" i="1"/>
  <c r="J10237" i="1"/>
  <c r="I10237" i="1"/>
  <c r="H10237" i="1"/>
  <c r="G10237" i="1"/>
  <c r="M10236" i="1"/>
  <c r="L10236" i="1"/>
  <c r="K10236" i="1"/>
  <c r="J10236" i="1"/>
  <c r="I10236" i="1"/>
  <c r="H10236" i="1"/>
  <c r="G10236" i="1"/>
  <c r="M10235" i="1"/>
  <c r="L10235" i="1"/>
  <c r="K10235" i="1"/>
  <c r="J10235" i="1"/>
  <c r="I10235" i="1"/>
  <c r="H10235" i="1"/>
  <c r="G10235" i="1"/>
  <c r="M10234" i="1"/>
  <c r="L10234" i="1"/>
  <c r="K10234" i="1"/>
  <c r="J10234" i="1"/>
  <c r="I10234" i="1"/>
  <c r="H10234" i="1"/>
  <c r="G10234" i="1"/>
  <c r="M10233" i="1"/>
  <c r="L10233" i="1"/>
  <c r="K10233" i="1"/>
  <c r="J10233" i="1"/>
  <c r="I10233" i="1"/>
  <c r="H10233" i="1"/>
  <c r="G10233" i="1"/>
  <c r="M10232" i="1"/>
  <c r="L10232" i="1"/>
  <c r="K10232" i="1"/>
  <c r="J10232" i="1"/>
  <c r="I10232" i="1"/>
  <c r="H10232" i="1"/>
  <c r="G10232" i="1"/>
  <c r="M10231" i="1"/>
  <c r="L10231" i="1"/>
  <c r="K10231" i="1"/>
  <c r="J10231" i="1"/>
  <c r="I10231" i="1"/>
  <c r="H10231" i="1"/>
  <c r="G10231" i="1"/>
  <c r="M10230" i="1"/>
  <c r="L10230" i="1"/>
  <c r="K10230" i="1"/>
  <c r="J10230" i="1"/>
  <c r="I10230" i="1"/>
  <c r="H10230" i="1"/>
  <c r="G10230" i="1"/>
  <c r="M10229" i="1"/>
  <c r="L10229" i="1"/>
  <c r="K10229" i="1"/>
  <c r="J10229" i="1"/>
  <c r="I10229" i="1"/>
  <c r="H10229" i="1"/>
  <c r="G10229" i="1"/>
  <c r="M10228" i="1"/>
  <c r="L10228" i="1"/>
  <c r="K10228" i="1"/>
  <c r="J10228" i="1"/>
  <c r="I10228" i="1"/>
  <c r="H10228" i="1"/>
  <c r="G10228" i="1"/>
  <c r="M10227" i="1"/>
  <c r="L10227" i="1"/>
  <c r="K10227" i="1"/>
  <c r="J10227" i="1"/>
  <c r="I10227" i="1"/>
  <c r="H10227" i="1"/>
  <c r="G10227" i="1"/>
  <c r="M10226" i="1"/>
  <c r="L10226" i="1"/>
  <c r="K10226" i="1"/>
  <c r="J10226" i="1"/>
  <c r="I10226" i="1"/>
  <c r="H10226" i="1"/>
  <c r="G10226" i="1"/>
  <c r="M10225" i="1"/>
  <c r="L10225" i="1"/>
  <c r="K10225" i="1"/>
  <c r="J10225" i="1"/>
  <c r="I10225" i="1"/>
  <c r="H10225" i="1"/>
  <c r="G10225" i="1"/>
  <c r="M10224" i="1"/>
  <c r="L10224" i="1"/>
  <c r="K10224" i="1"/>
  <c r="J10224" i="1"/>
  <c r="I10224" i="1"/>
  <c r="H10224" i="1"/>
  <c r="G10224" i="1"/>
  <c r="M10223" i="1"/>
  <c r="L10223" i="1"/>
  <c r="K10223" i="1"/>
  <c r="J10223" i="1"/>
  <c r="I10223" i="1"/>
  <c r="H10223" i="1"/>
  <c r="G10223" i="1"/>
  <c r="M10222" i="1"/>
  <c r="L10222" i="1"/>
  <c r="K10222" i="1"/>
  <c r="J10222" i="1"/>
  <c r="I10222" i="1"/>
  <c r="H10222" i="1"/>
  <c r="G10222" i="1"/>
  <c r="M10221" i="1"/>
  <c r="L10221" i="1"/>
  <c r="K10221" i="1"/>
  <c r="J10221" i="1"/>
  <c r="I10221" i="1"/>
  <c r="H10221" i="1"/>
  <c r="G10221" i="1"/>
  <c r="M10220" i="1"/>
  <c r="L10220" i="1"/>
  <c r="K10220" i="1"/>
  <c r="J10220" i="1"/>
  <c r="I10220" i="1"/>
  <c r="H10220" i="1"/>
  <c r="G10220" i="1"/>
  <c r="M10219" i="1"/>
  <c r="L10219" i="1"/>
  <c r="K10219" i="1"/>
  <c r="J10219" i="1"/>
  <c r="I10219" i="1"/>
  <c r="H10219" i="1"/>
  <c r="G10219" i="1"/>
  <c r="M10218" i="1"/>
  <c r="L10218" i="1"/>
  <c r="K10218" i="1"/>
  <c r="J10218" i="1"/>
  <c r="I10218" i="1"/>
  <c r="H10218" i="1"/>
  <c r="G10218" i="1"/>
  <c r="M10217" i="1"/>
  <c r="L10217" i="1"/>
  <c r="K10217" i="1"/>
  <c r="J10217" i="1"/>
  <c r="I10217" i="1"/>
  <c r="H10217" i="1"/>
  <c r="G10217" i="1"/>
  <c r="M10216" i="1"/>
  <c r="L10216" i="1"/>
  <c r="K10216" i="1"/>
  <c r="J10216" i="1"/>
  <c r="I10216" i="1"/>
  <c r="H10216" i="1"/>
  <c r="G10216" i="1"/>
  <c r="M10215" i="1"/>
  <c r="L10215" i="1"/>
  <c r="K10215" i="1"/>
  <c r="J10215" i="1"/>
  <c r="I10215" i="1"/>
  <c r="H10215" i="1"/>
  <c r="G10215" i="1"/>
  <c r="M10214" i="1"/>
  <c r="L10214" i="1"/>
  <c r="K10214" i="1"/>
  <c r="J10214" i="1"/>
  <c r="I10214" i="1"/>
  <c r="H10214" i="1"/>
  <c r="G10214" i="1"/>
  <c r="M10213" i="1"/>
  <c r="L10213" i="1"/>
  <c r="K10213" i="1"/>
  <c r="J10213" i="1"/>
  <c r="I10213" i="1"/>
  <c r="H10213" i="1"/>
  <c r="G10213" i="1"/>
  <c r="M10212" i="1"/>
  <c r="L10212" i="1"/>
  <c r="K10212" i="1"/>
  <c r="J10212" i="1"/>
  <c r="I10212" i="1"/>
  <c r="H10212" i="1"/>
  <c r="G10212" i="1"/>
  <c r="M10211" i="1"/>
  <c r="L10211" i="1"/>
  <c r="K10211" i="1"/>
  <c r="J10211" i="1"/>
  <c r="I10211" i="1"/>
  <c r="H10211" i="1"/>
  <c r="G10211" i="1"/>
  <c r="M10210" i="1"/>
  <c r="L10210" i="1"/>
  <c r="K10210" i="1"/>
  <c r="J10210" i="1"/>
  <c r="I10210" i="1"/>
  <c r="H10210" i="1"/>
  <c r="G10210" i="1"/>
  <c r="M10209" i="1"/>
  <c r="L10209" i="1"/>
  <c r="K10209" i="1"/>
  <c r="J10209" i="1"/>
  <c r="I10209" i="1"/>
  <c r="H10209" i="1"/>
  <c r="G10209" i="1"/>
  <c r="M10208" i="1"/>
  <c r="L10208" i="1"/>
  <c r="K10208" i="1"/>
  <c r="J10208" i="1"/>
  <c r="I10208" i="1"/>
  <c r="H10208" i="1"/>
  <c r="G10208" i="1"/>
  <c r="M10207" i="1"/>
  <c r="L10207" i="1"/>
  <c r="K10207" i="1"/>
  <c r="J10207" i="1"/>
  <c r="I10207" i="1"/>
  <c r="H10207" i="1"/>
  <c r="G10207" i="1"/>
  <c r="M10206" i="1"/>
  <c r="L10206" i="1"/>
  <c r="K10206" i="1"/>
  <c r="J10206" i="1"/>
  <c r="I10206" i="1"/>
  <c r="H10206" i="1"/>
  <c r="G10206" i="1"/>
  <c r="M10205" i="1"/>
  <c r="L10205" i="1"/>
  <c r="K10205" i="1"/>
  <c r="J10205" i="1"/>
  <c r="I10205" i="1"/>
  <c r="H10205" i="1"/>
  <c r="G10205" i="1"/>
  <c r="M10204" i="1"/>
  <c r="L10204" i="1"/>
  <c r="K10204" i="1"/>
  <c r="J10204" i="1"/>
  <c r="I10204" i="1"/>
  <c r="H10204" i="1"/>
  <c r="G10204" i="1"/>
  <c r="M10203" i="1"/>
  <c r="L10203" i="1"/>
  <c r="K10203" i="1"/>
  <c r="J10203" i="1"/>
  <c r="I10203" i="1"/>
  <c r="H10203" i="1"/>
  <c r="G10203" i="1"/>
  <c r="M10202" i="1"/>
  <c r="L10202" i="1"/>
  <c r="K10202" i="1"/>
  <c r="J10202" i="1"/>
  <c r="I10202" i="1"/>
  <c r="H10202" i="1"/>
  <c r="G10202" i="1"/>
  <c r="M10201" i="1"/>
  <c r="L10201" i="1"/>
  <c r="K10201" i="1"/>
  <c r="J10201" i="1"/>
  <c r="I10201" i="1"/>
  <c r="H10201" i="1"/>
  <c r="G10201" i="1"/>
  <c r="M10200" i="1"/>
  <c r="L10200" i="1"/>
  <c r="K10200" i="1"/>
  <c r="J10200" i="1"/>
  <c r="I10200" i="1"/>
  <c r="H10200" i="1"/>
  <c r="G10200" i="1"/>
  <c r="M10199" i="1"/>
  <c r="L10199" i="1"/>
  <c r="K10199" i="1"/>
  <c r="J10199" i="1"/>
  <c r="I10199" i="1"/>
  <c r="H10199" i="1"/>
  <c r="G10199" i="1"/>
  <c r="M10198" i="1"/>
  <c r="L10198" i="1"/>
  <c r="K10198" i="1"/>
  <c r="J10198" i="1"/>
  <c r="I10198" i="1"/>
  <c r="H10198" i="1"/>
  <c r="G10198" i="1"/>
  <c r="M10197" i="1"/>
  <c r="L10197" i="1"/>
  <c r="K10197" i="1"/>
  <c r="J10197" i="1"/>
  <c r="I10197" i="1"/>
  <c r="H10197" i="1"/>
  <c r="G10197" i="1"/>
  <c r="M10196" i="1"/>
  <c r="L10196" i="1"/>
  <c r="K10196" i="1"/>
  <c r="J10196" i="1"/>
  <c r="I10196" i="1"/>
  <c r="H10196" i="1"/>
  <c r="G10196" i="1"/>
  <c r="M10195" i="1"/>
  <c r="L10195" i="1"/>
  <c r="K10195" i="1"/>
  <c r="J10195" i="1"/>
  <c r="I10195" i="1"/>
  <c r="H10195" i="1"/>
  <c r="G10195" i="1"/>
  <c r="M10194" i="1"/>
  <c r="L10194" i="1"/>
  <c r="K10194" i="1"/>
  <c r="J10194" i="1"/>
  <c r="I10194" i="1"/>
  <c r="H10194" i="1"/>
  <c r="G10194" i="1"/>
  <c r="M10193" i="1"/>
  <c r="L10193" i="1"/>
  <c r="K10193" i="1"/>
  <c r="J10193" i="1"/>
  <c r="I10193" i="1"/>
  <c r="H10193" i="1"/>
  <c r="G10193" i="1"/>
  <c r="M10192" i="1"/>
  <c r="L10192" i="1"/>
  <c r="K10192" i="1"/>
  <c r="J10192" i="1"/>
  <c r="I10192" i="1"/>
  <c r="H10192" i="1"/>
  <c r="G10192" i="1"/>
  <c r="M10191" i="1"/>
  <c r="L10191" i="1"/>
  <c r="K10191" i="1"/>
  <c r="J10191" i="1"/>
  <c r="I10191" i="1"/>
  <c r="H10191" i="1"/>
  <c r="G10191" i="1"/>
  <c r="M10190" i="1"/>
  <c r="L10190" i="1"/>
  <c r="K10190" i="1"/>
  <c r="J10190" i="1"/>
  <c r="I10190" i="1"/>
  <c r="H10190" i="1"/>
  <c r="G10190" i="1"/>
  <c r="M10189" i="1"/>
  <c r="L10189" i="1"/>
  <c r="K10189" i="1"/>
  <c r="J10189" i="1"/>
  <c r="I10189" i="1"/>
  <c r="H10189" i="1"/>
  <c r="G10189" i="1"/>
  <c r="M10188" i="1"/>
  <c r="L10188" i="1"/>
  <c r="K10188" i="1"/>
  <c r="J10188" i="1"/>
  <c r="I10188" i="1"/>
  <c r="H10188" i="1"/>
  <c r="G10188" i="1"/>
  <c r="M10187" i="1"/>
  <c r="L10187" i="1"/>
  <c r="K10187" i="1"/>
  <c r="J10187" i="1"/>
  <c r="I10187" i="1"/>
  <c r="H10187" i="1"/>
  <c r="G10187" i="1"/>
  <c r="M10186" i="1"/>
  <c r="L10186" i="1"/>
  <c r="K10186" i="1"/>
  <c r="J10186" i="1"/>
  <c r="I10186" i="1"/>
  <c r="H10186" i="1"/>
  <c r="G10186" i="1"/>
  <c r="M10185" i="1"/>
  <c r="L10185" i="1"/>
  <c r="K10185" i="1"/>
  <c r="J10185" i="1"/>
  <c r="I10185" i="1"/>
  <c r="H10185" i="1"/>
  <c r="G10185" i="1"/>
  <c r="M10184" i="1"/>
  <c r="L10184" i="1"/>
  <c r="K10184" i="1"/>
  <c r="J10184" i="1"/>
  <c r="I10184" i="1"/>
  <c r="H10184" i="1"/>
  <c r="G10184" i="1"/>
  <c r="M10183" i="1"/>
  <c r="L10183" i="1"/>
  <c r="K10183" i="1"/>
  <c r="J10183" i="1"/>
  <c r="I10183" i="1"/>
  <c r="H10183" i="1"/>
  <c r="G10183" i="1"/>
  <c r="M10182" i="1"/>
  <c r="L10182" i="1"/>
  <c r="K10182" i="1"/>
  <c r="J10182" i="1"/>
  <c r="I10182" i="1"/>
  <c r="H10182" i="1"/>
  <c r="G10182" i="1"/>
  <c r="M10181" i="1"/>
  <c r="L10181" i="1"/>
  <c r="K10181" i="1"/>
  <c r="J10181" i="1"/>
  <c r="I10181" i="1"/>
  <c r="H10181" i="1"/>
  <c r="G10181" i="1"/>
  <c r="M10180" i="1"/>
  <c r="L10180" i="1"/>
  <c r="K10180" i="1"/>
  <c r="J10180" i="1"/>
  <c r="I10180" i="1"/>
  <c r="H10180" i="1"/>
  <c r="G10180" i="1"/>
  <c r="M10179" i="1"/>
  <c r="L10179" i="1"/>
  <c r="K10179" i="1"/>
  <c r="J10179" i="1"/>
  <c r="I10179" i="1"/>
  <c r="H10179" i="1"/>
  <c r="G10179" i="1"/>
  <c r="M10178" i="1"/>
  <c r="L10178" i="1"/>
  <c r="K10178" i="1"/>
  <c r="J10178" i="1"/>
  <c r="I10178" i="1"/>
  <c r="H10178" i="1"/>
  <c r="G10178" i="1"/>
  <c r="M10177" i="1"/>
  <c r="L10177" i="1"/>
  <c r="K10177" i="1"/>
  <c r="J10177" i="1"/>
  <c r="I10177" i="1"/>
  <c r="H10177" i="1"/>
  <c r="G10177" i="1"/>
  <c r="M10176" i="1"/>
  <c r="L10176" i="1"/>
  <c r="K10176" i="1"/>
  <c r="J10176" i="1"/>
  <c r="I10176" i="1"/>
  <c r="H10176" i="1"/>
  <c r="G10176" i="1"/>
  <c r="M10175" i="1"/>
  <c r="L10175" i="1"/>
  <c r="K10175" i="1"/>
  <c r="J10175" i="1"/>
  <c r="I10175" i="1"/>
  <c r="H10175" i="1"/>
  <c r="G10175" i="1"/>
  <c r="M10174" i="1"/>
  <c r="L10174" i="1"/>
  <c r="K10174" i="1"/>
  <c r="J10174" i="1"/>
  <c r="I10174" i="1"/>
  <c r="H10174" i="1"/>
  <c r="G10174" i="1"/>
  <c r="M10173" i="1"/>
  <c r="L10173" i="1"/>
  <c r="K10173" i="1"/>
  <c r="J10173" i="1"/>
  <c r="I10173" i="1"/>
  <c r="H10173" i="1"/>
  <c r="G10173" i="1"/>
  <c r="M10172" i="1"/>
  <c r="L10172" i="1"/>
  <c r="K10172" i="1"/>
  <c r="J10172" i="1"/>
  <c r="I10172" i="1"/>
  <c r="H10172" i="1"/>
  <c r="G10172" i="1"/>
  <c r="M10171" i="1"/>
  <c r="L10171" i="1"/>
  <c r="K10171" i="1"/>
  <c r="J10171" i="1"/>
  <c r="I10171" i="1"/>
  <c r="H10171" i="1"/>
  <c r="G10171" i="1"/>
  <c r="M10170" i="1"/>
  <c r="L10170" i="1"/>
  <c r="K10170" i="1"/>
  <c r="J10170" i="1"/>
  <c r="I10170" i="1"/>
  <c r="H10170" i="1"/>
  <c r="G10170" i="1"/>
  <c r="M10169" i="1"/>
  <c r="L10169" i="1"/>
  <c r="K10169" i="1"/>
  <c r="J10169" i="1"/>
  <c r="I10169" i="1"/>
  <c r="H10169" i="1"/>
  <c r="G10169" i="1"/>
  <c r="M10168" i="1"/>
  <c r="L10168" i="1"/>
  <c r="K10168" i="1"/>
  <c r="J10168" i="1"/>
  <c r="I10168" i="1"/>
  <c r="H10168" i="1"/>
  <c r="G10168" i="1"/>
  <c r="M10167" i="1"/>
  <c r="L10167" i="1"/>
  <c r="K10167" i="1"/>
  <c r="J10167" i="1"/>
  <c r="I10167" i="1"/>
  <c r="H10167" i="1"/>
  <c r="G10167" i="1"/>
  <c r="M10166" i="1"/>
  <c r="L10166" i="1"/>
  <c r="K10166" i="1"/>
  <c r="J10166" i="1"/>
  <c r="I10166" i="1"/>
  <c r="H10166" i="1"/>
  <c r="G10166" i="1"/>
  <c r="M10165" i="1"/>
  <c r="L10165" i="1"/>
  <c r="K10165" i="1"/>
  <c r="J10165" i="1"/>
  <c r="I10165" i="1"/>
  <c r="H10165" i="1"/>
  <c r="G10165" i="1"/>
  <c r="M10164" i="1"/>
  <c r="L10164" i="1"/>
  <c r="K10164" i="1"/>
  <c r="J10164" i="1"/>
  <c r="I10164" i="1"/>
  <c r="H10164" i="1"/>
  <c r="G10164" i="1"/>
  <c r="M10163" i="1"/>
  <c r="L10163" i="1"/>
  <c r="K10163" i="1"/>
  <c r="J10163" i="1"/>
  <c r="I10163" i="1"/>
  <c r="H10163" i="1"/>
  <c r="G10163" i="1"/>
  <c r="M10162" i="1"/>
  <c r="L10162" i="1"/>
  <c r="K10162" i="1"/>
  <c r="J10162" i="1"/>
  <c r="I10162" i="1"/>
  <c r="H10162" i="1"/>
  <c r="G10162" i="1"/>
  <c r="M10161" i="1"/>
  <c r="L10161" i="1"/>
  <c r="K10161" i="1"/>
  <c r="J10161" i="1"/>
  <c r="I10161" i="1"/>
  <c r="H10161" i="1"/>
  <c r="G10161" i="1"/>
  <c r="M10160" i="1"/>
  <c r="L10160" i="1"/>
  <c r="K10160" i="1"/>
  <c r="J10160" i="1"/>
  <c r="I10160" i="1"/>
  <c r="H10160" i="1"/>
  <c r="G10160" i="1"/>
  <c r="M10159" i="1"/>
  <c r="L10159" i="1"/>
  <c r="K10159" i="1"/>
  <c r="J10159" i="1"/>
  <c r="I10159" i="1"/>
  <c r="H10159" i="1"/>
  <c r="G10159" i="1"/>
  <c r="M10158" i="1"/>
  <c r="L10158" i="1"/>
  <c r="K10158" i="1"/>
  <c r="J10158" i="1"/>
  <c r="I10158" i="1"/>
  <c r="H10158" i="1"/>
  <c r="G10158" i="1"/>
  <c r="M10157" i="1"/>
  <c r="L10157" i="1"/>
  <c r="K10157" i="1"/>
  <c r="J10157" i="1"/>
  <c r="I10157" i="1"/>
  <c r="H10157" i="1"/>
  <c r="G10157" i="1"/>
  <c r="M10156" i="1"/>
  <c r="L10156" i="1"/>
  <c r="K10156" i="1"/>
  <c r="J10156" i="1"/>
  <c r="I10156" i="1"/>
  <c r="H10156" i="1"/>
  <c r="G10156" i="1"/>
  <c r="M10155" i="1"/>
  <c r="L10155" i="1"/>
  <c r="K10155" i="1"/>
  <c r="J10155" i="1"/>
  <c r="I10155" i="1"/>
  <c r="H10155" i="1"/>
  <c r="G10155" i="1"/>
  <c r="M10154" i="1"/>
  <c r="L10154" i="1"/>
  <c r="K10154" i="1"/>
  <c r="J10154" i="1"/>
  <c r="I10154" i="1"/>
  <c r="H10154" i="1"/>
  <c r="G10154" i="1"/>
  <c r="M10153" i="1"/>
  <c r="L10153" i="1"/>
  <c r="K10153" i="1"/>
  <c r="J10153" i="1"/>
  <c r="I10153" i="1"/>
  <c r="H10153" i="1"/>
  <c r="G10153" i="1"/>
  <c r="M10152" i="1"/>
  <c r="L10152" i="1"/>
  <c r="K10152" i="1"/>
  <c r="J10152" i="1"/>
  <c r="I10152" i="1"/>
  <c r="H10152" i="1"/>
  <c r="G10152" i="1"/>
  <c r="M10151" i="1"/>
  <c r="L10151" i="1"/>
  <c r="K10151" i="1"/>
  <c r="J10151" i="1"/>
  <c r="I10151" i="1"/>
  <c r="H10151" i="1"/>
  <c r="G10151" i="1"/>
  <c r="M10150" i="1"/>
  <c r="L10150" i="1"/>
  <c r="K10150" i="1"/>
  <c r="J10150" i="1"/>
  <c r="I10150" i="1"/>
  <c r="H10150" i="1"/>
  <c r="G10150" i="1"/>
  <c r="M10149" i="1"/>
  <c r="L10149" i="1"/>
  <c r="K10149" i="1"/>
  <c r="J10149" i="1"/>
  <c r="I10149" i="1"/>
  <c r="H10149" i="1"/>
  <c r="G10149" i="1"/>
  <c r="M10148" i="1"/>
  <c r="L10148" i="1"/>
  <c r="K10148" i="1"/>
  <c r="J10148" i="1"/>
  <c r="I10148" i="1"/>
  <c r="H10148" i="1"/>
  <c r="G10148" i="1"/>
  <c r="M10147" i="1"/>
  <c r="L10147" i="1"/>
  <c r="K10147" i="1"/>
  <c r="J10147" i="1"/>
  <c r="I10147" i="1"/>
  <c r="H10147" i="1"/>
  <c r="G10147" i="1"/>
  <c r="M10146" i="1"/>
  <c r="L10146" i="1"/>
  <c r="K10146" i="1"/>
  <c r="J10146" i="1"/>
  <c r="I10146" i="1"/>
  <c r="H10146" i="1"/>
  <c r="G10146" i="1"/>
  <c r="M10145" i="1"/>
  <c r="L10145" i="1"/>
  <c r="K10145" i="1"/>
  <c r="J10145" i="1"/>
  <c r="I10145" i="1"/>
  <c r="H10145" i="1"/>
  <c r="G10145" i="1"/>
  <c r="M10144" i="1"/>
  <c r="L10144" i="1"/>
  <c r="K10144" i="1"/>
  <c r="J10144" i="1"/>
  <c r="I10144" i="1"/>
  <c r="H10144" i="1"/>
  <c r="G10144" i="1"/>
  <c r="M10143" i="1"/>
  <c r="L10143" i="1"/>
  <c r="K10143" i="1"/>
  <c r="J10143" i="1"/>
  <c r="I10143" i="1"/>
  <c r="H10143" i="1"/>
  <c r="G10143" i="1"/>
  <c r="M10142" i="1"/>
  <c r="L10142" i="1"/>
  <c r="K10142" i="1"/>
  <c r="J10142" i="1"/>
  <c r="I10142" i="1"/>
  <c r="H10142" i="1"/>
  <c r="G10142" i="1"/>
  <c r="M10141" i="1"/>
  <c r="L10141" i="1"/>
  <c r="K10141" i="1"/>
  <c r="J10141" i="1"/>
  <c r="I10141" i="1"/>
  <c r="H10141" i="1"/>
  <c r="G10141" i="1"/>
  <c r="M10140" i="1"/>
  <c r="L10140" i="1"/>
  <c r="K10140" i="1"/>
  <c r="J10140" i="1"/>
  <c r="I10140" i="1"/>
  <c r="H10140" i="1"/>
  <c r="G10140" i="1"/>
  <c r="M10139" i="1"/>
  <c r="L10139" i="1"/>
  <c r="K10139" i="1"/>
  <c r="J10139" i="1"/>
  <c r="I10139" i="1"/>
  <c r="H10139" i="1"/>
  <c r="G10139" i="1"/>
  <c r="M10138" i="1"/>
  <c r="L10138" i="1"/>
  <c r="K10138" i="1"/>
  <c r="J10138" i="1"/>
  <c r="I10138" i="1"/>
  <c r="H10138" i="1"/>
  <c r="G10138" i="1"/>
  <c r="M10137" i="1"/>
  <c r="L10137" i="1"/>
  <c r="K10137" i="1"/>
  <c r="J10137" i="1"/>
  <c r="I10137" i="1"/>
  <c r="H10137" i="1"/>
  <c r="G10137" i="1"/>
  <c r="M10136" i="1"/>
  <c r="L10136" i="1"/>
  <c r="K10136" i="1"/>
  <c r="J10136" i="1"/>
  <c r="I10136" i="1"/>
  <c r="H10136" i="1"/>
  <c r="G10136" i="1"/>
  <c r="M10135" i="1"/>
  <c r="L10135" i="1"/>
  <c r="K10135" i="1"/>
  <c r="J10135" i="1"/>
  <c r="I10135" i="1"/>
  <c r="H10135" i="1"/>
  <c r="G10135" i="1"/>
  <c r="M10134" i="1"/>
  <c r="L10134" i="1"/>
  <c r="K10134" i="1"/>
  <c r="J10134" i="1"/>
  <c r="I10134" i="1"/>
  <c r="H10134" i="1"/>
  <c r="G10134" i="1"/>
  <c r="M10133" i="1"/>
  <c r="L10133" i="1"/>
  <c r="K10133" i="1"/>
  <c r="J10133" i="1"/>
  <c r="I10133" i="1"/>
  <c r="H10133" i="1"/>
  <c r="G10133" i="1"/>
  <c r="M10132" i="1"/>
  <c r="L10132" i="1"/>
  <c r="K10132" i="1"/>
  <c r="J10132" i="1"/>
  <c r="I10132" i="1"/>
  <c r="H10132" i="1"/>
  <c r="G10132" i="1"/>
  <c r="M10131" i="1"/>
  <c r="L10131" i="1"/>
  <c r="K10131" i="1"/>
  <c r="J10131" i="1"/>
  <c r="I10131" i="1"/>
  <c r="H10131" i="1"/>
  <c r="G10131" i="1"/>
  <c r="M10130" i="1"/>
  <c r="L10130" i="1"/>
  <c r="K10130" i="1"/>
  <c r="J10130" i="1"/>
  <c r="I10130" i="1"/>
  <c r="H10130" i="1"/>
  <c r="G10130" i="1"/>
  <c r="M10129" i="1"/>
  <c r="L10129" i="1"/>
  <c r="K10129" i="1"/>
  <c r="J10129" i="1"/>
  <c r="I10129" i="1"/>
  <c r="H10129" i="1"/>
  <c r="G10129" i="1"/>
  <c r="M10128" i="1"/>
  <c r="L10128" i="1"/>
  <c r="K10128" i="1"/>
  <c r="J10128" i="1"/>
  <c r="I10128" i="1"/>
  <c r="H10128" i="1"/>
  <c r="G10128" i="1"/>
  <c r="M10127" i="1"/>
  <c r="L10127" i="1"/>
  <c r="K10127" i="1"/>
  <c r="J10127" i="1"/>
  <c r="I10127" i="1"/>
  <c r="H10127" i="1"/>
  <c r="G10127" i="1"/>
  <c r="M10126" i="1"/>
  <c r="L10126" i="1"/>
  <c r="K10126" i="1"/>
  <c r="J10126" i="1"/>
  <c r="I10126" i="1"/>
  <c r="H10126" i="1"/>
  <c r="G10126" i="1"/>
  <c r="M10125" i="1"/>
  <c r="L10125" i="1"/>
  <c r="K10125" i="1"/>
  <c r="J10125" i="1"/>
  <c r="I10125" i="1"/>
  <c r="H10125" i="1"/>
  <c r="G10125" i="1"/>
  <c r="M10124" i="1"/>
  <c r="L10124" i="1"/>
  <c r="K10124" i="1"/>
  <c r="J10124" i="1"/>
  <c r="I10124" i="1"/>
  <c r="H10124" i="1"/>
  <c r="G10124" i="1"/>
  <c r="M10123" i="1"/>
  <c r="L10123" i="1"/>
  <c r="K10123" i="1"/>
  <c r="J10123" i="1"/>
  <c r="I10123" i="1"/>
  <c r="H10123" i="1"/>
  <c r="G10123" i="1"/>
  <c r="M10122" i="1"/>
  <c r="L10122" i="1"/>
  <c r="K10122" i="1"/>
  <c r="J10122" i="1"/>
  <c r="I10122" i="1"/>
  <c r="H10122" i="1"/>
  <c r="G10122" i="1"/>
  <c r="M10121" i="1"/>
  <c r="L10121" i="1"/>
  <c r="K10121" i="1"/>
  <c r="J10121" i="1"/>
  <c r="I10121" i="1"/>
  <c r="H10121" i="1"/>
  <c r="G10121" i="1"/>
  <c r="M10120" i="1"/>
  <c r="L10120" i="1"/>
  <c r="K10120" i="1"/>
  <c r="J10120" i="1"/>
  <c r="I10120" i="1"/>
  <c r="H10120" i="1"/>
  <c r="G10120" i="1"/>
  <c r="M10119" i="1"/>
  <c r="L10119" i="1"/>
  <c r="K10119" i="1"/>
  <c r="J10119" i="1"/>
  <c r="I10119" i="1"/>
  <c r="H10119" i="1"/>
  <c r="G10119" i="1"/>
  <c r="M10118" i="1"/>
  <c r="L10118" i="1"/>
  <c r="K10118" i="1"/>
  <c r="J10118" i="1"/>
  <c r="I10118" i="1"/>
  <c r="H10118" i="1"/>
  <c r="G10118" i="1"/>
  <c r="M10117" i="1"/>
  <c r="L10117" i="1"/>
  <c r="K10117" i="1"/>
  <c r="J10117" i="1"/>
  <c r="I10117" i="1"/>
  <c r="H10117" i="1"/>
  <c r="G10117" i="1"/>
  <c r="M10116" i="1"/>
  <c r="L10116" i="1"/>
  <c r="K10116" i="1"/>
  <c r="J10116" i="1"/>
  <c r="I10116" i="1"/>
  <c r="H10116" i="1"/>
  <c r="G10116" i="1"/>
  <c r="M10115" i="1"/>
  <c r="L10115" i="1"/>
  <c r="K10115" i="1"/>
  <c r="J10115" i="1"/>
  <c r="I10115" i="1"/>
  <c r="H10115" i="1"/>
  <c r="G10115" i="1"/>
  <c r="M10114" i="1"/>
  <c r="L10114" i="1"/>
  <c r="K10114" i="1"/>
  <c r="J10114" i="1"/>
  <c r="I10114" i="1"/>
  <c r="H10114" i="1"/>
  <c r="G10114" i="1"/>
  <c r="M10113" i="1"/>
  <c r="L10113" i="1"/>
  <c r="K10113" i="1"/>
  <c r="J10113" i="1"/>
  <c r="I10113" i="1"/>
  <c r="H10113" i="1"/>
  <c r="G10113" i="1"/>
  <c r="M10112" i="1"/>
  <c r="L10112" i="1"/>
  <c r="K10112" i="1"/>
  <c r="J10112" i="1"/>
  <c r="I10112" i="1"/>
  <c r="H10112" i="1"/>
  <c r="G10112" i="1"/>
  <c r="M10111" i="1"/>
  <c r="L10111" i="1"/>
  <c r="K10111" i="1"/>
  <c r="J10111" i="1"/>
  <c r="I10111" i="1"/>
  <c r="H10111" i="1"/>
  <c r="G10111" i="1"/>
  <c r="M10110" i="1"/>
  <c r="L10110" i="1"/>
  <c r="K10110" i="1"/>
  <c r="J10110" i="1"/>
  <c r="I10110" i="1"/>
  <c r="H10110" i="1"/>
  <c r="G10110" i="1"/>
  <c r="M10109" i="1"/>
  <c r="L10109" i="1"/>
  <c r="K10109" i="1"/>
  <c r="J10109" i="1"/>
  <c r="I10109" i="1"/>
  <c r="H10109" i="1"/>
  <c r="G10109" i="1"/>
  <c r="M10108" i="1"/>
  <c r="L10108" i="1"/>
  <c r="K10108" i="1"/>
  <c r="J10108" i="1"/>
  <c r="I10108" i="1"/>
  <c r="H10108" i="1"/>
  <c r="G10108" i="1"/>
  <c r="M10107" i="1"/>
  <c r="L10107" i="1"/>
  <c r="K10107" i="1"/>
  <c r="J10107" i="1"/>
  <c r="I10107" i="1"/>
  <c r="H10107" i="1"/>
  <c r="G10107" i="1"/>
  <c r="M10106" i="1"/>
  <c r="L10106" i="1"/>
  <c r="K10106" i="1"/>
  <c r="J10106" i="1"/>
  <c r="I10106" i="1"/>
  <c r="H10106" i="1"/>
  <c r="G10106" i="1"/>
  <c r="M10105" i="1"/>
  <c r="L10105" i="1"/>
  <c r="K10105" i="1"/>
  <c r="J10105" i="1"/>
  <c r="I10105" i="1"/>
  <c r="H10105" i="1"/>
  <c r="G10105" i="1"/>
  <c r="M10104" i="1"/>
  <c r="L10104" i="1"/>
  <c r="K10104" i="1"/>
  <c r="J10104" i="1"/>
  <c r="I10104" i="1"/>
  <c r="H10104" i="1"/>
  <c r="G10104" i="1"/>
  <c r="M10103" i="1"/>
  <c r="L10103" i="1"/>
  <c r="K10103" i="1"/>
  <c r="J10103" i="1"/>
  <c r="I10103" i="1"/>
  <c r="H10103" i="1"/>
  <c r="G10103" i="1"/>
  <c r="M10102" i="1"/>
  <c r="L10102" i="1"/>
  <c r="K10102" i="1"/>
  <c r="J10102" i="1"/>
  <c r="I10102" i="1"/>
  <c r="H10102" i="1"/>
  <c r="G10102" i="1"/>
  <c r="M10101" i="1"/>
  <c r="L10101" i="1"/>
  <c r="K10101" i="1"/>
  <c r="J10101" i="1"/>
  <c r="I10101" i="1"/>
  <c r="H10101" i="1"/>
  <c r="G10101" i="1"/>
  <c r="M10100" i="1"/>
  <c r="L10100" i="1"/>
  <c r="K10100" i="1"/>
  <c r="J10100" i="1"/>
  <c r="I10100" i="1"/>
  <c r="H10100" i="1"/>
  <c r="G10100" i="1"/>
  <c r="M10099" i="1"/>
  <c r="L10099" i="1"/>
  <c r="K10099" i="1"/>
  <c r="J10099" i="1"/>
  <c r="I10099" i="1"/>
  <c r="H10099" i="1"/>
  <c r="G10099" i="1"/>
  <c r="M10098" i="1"/>
  <c r="L10098" i="1"/>
  <c r="K10098" i="1"/>
  <c r="J10098" i="1"/>
  <c r="I10098" i="1"/>
  <c r="H10098" i="1"/>
  <c r="G10098" i="1"/>
  <c r="M10097" i="1"/>
  <c r="L10097" i="1"/>
  <c r="K10097" i="1"/>
  <c r="J10097" i="1"/>
  <c r="I10097" i="1"/>
  <c r="H10097" i="1"/>
  <c r="G10097" i="1"/>
  <c r="M10096" i="1"/>
  <c r="L10096" i="1"/>
  <c r="K10096" i="1"/>
  <c r="J10096" i="1"/>
  <c r="I10096" i="1"/>
  <c r="H10096" i="1"/>
  <c r="G10096" i="1"/>
  <c r="M10095" i="1"/>
  <c r="L10095" i="1"/>
  <c r="K10095" i="1"/>
  <c r="J10095" i="1"/>
  <c r="I10095" i="1"/>
  <c r="H10095" i="1"/>
  <c r="G10095" i="1"/>
  <c r="M10094" i="1"/>
  <c r="L10094" i="1"/>
  <c r="K10094" i="1"/>
  <c r="J10094" i="1"/>
  <c r="I10094" i="1"/>
  <c r="H10094" i="1"/>
  <c r="G10094" i="1"/>
  <c r="M10093" i="1"/>
  <c r="L10093" i="1"/>
  <c r="K10093" i="1"/>
  <c r="J10093" i="1"/>
  <c r="I10093" i="1"/>
  <c r="H10093" i="1"/>
  <c r="G10093" i="1"/>
  <c r="M10092" i="1"/>
  <c r="L10092" i="1"/>
  <c r="K10092" i="1"/>
  <c r="J10092" i="1"/>
  <c r="I10092" i="1"/>
  <c r="H10092" i="1"/>
  <c r="G10092" i="1"/>
  <c r="M10091" i="1"/>
  <c r="L10091" i="1"/>
  <c r="K10091" i="1"/>
  <c r="J10091" i="1"/>
  <c r="I10091" i="1"/>
  <c r="H10091" i="1"/>
  <c r="G10091" i="1"/>
  <c r="M10090" i="1"/>
  <c r="L10090" i="1"/>
  <c r="K10090" i="1"/>
  <c r="J10090" i="1"/>
  <c r="I10090" i="1"/>
  <c r="H10090" i="1"/>
  <c r="G10090" i="1"/>
  <c r="M10089" i="1"/>
  <c r="L10089" i="1"/>
  <c r="K10089" i="1"/>
  <c r="J10089" i="1"/>
  <c r="I10089" i="1"/>
  <c r="H10089" i="1"/>
  <c r="G10089" i="1"/>
  <c r="M10088" i="1"/>
  <c r="L10088" i="1"/>
  <c r="K10088" i="1"/>
  <c r="J10088" i="1"/>
  <c r="I10088" i="1"/>
  <c r="H10088" i="1"/>
  <c r="G10088" i="1"/>
  <c r="M10087" i="1"/>
  <c r="L10087" i="1"/>
  <c r="K10087" i="1"/>
  <c r="J10087" i="1"/>
  <c r="I10087" i="1"/>
  <c r="H10087" i="1"/>
  <c r="G10087" i="1"/>
  <c r="M10086" i="1"/>
  <c r="L10086" i="1"/>
  <c r="K10086" i="1"/>
  <c r="J10086" i="1"/>
  <c r="I10086" i="1"/>
  <c r="H10086" i="1"/>
  <c r="G10086" i="1"/>
  <c r="M10085" i="1"/>
  <c r="L10085" i="1"/>
  <c r="K10085" i="1"/>
  <c r="J10085" i="1"/>
  <c r="I10085" i="1"/>
  <c r="H10085" i="1"/>
  <c r="G10085" i="1"/>
  <c r="M10084" i="1"/>
  <c r="L10084" i="1"/>
  <c r="K10084" i="1"/>
  <c r="J10084" i="1"/>
  <c r="I10084" i="1"/>
  <c r="H10084" i="1"/>
  <c r="G10084" i="1"/>
  <c r="M10083" i="1"/>
  <c r="L10083" i="1"/>
  <c r="K10083" i="1"/>
  <c r="J10083" i="1"/>
  <c r="I10083" i="1"/>
  <c r="H10083" i="1"/>
  <c r="G10083" i="1"/>
  <c r="M10082" i="1"/>
  <c r="L10082" i="1"/>
  <c r="K10082" i="1"/>
  <c r="J10082" i="1"/>
  <c r="I10082" i="1"/>
  <c r="H10082" i="1"/>
  <c r="G10082" i="1"/>
  <c r="M10081" i="1"/>
  <c r="L10081" i="1"/>
  <c r="K10081" i="1"/>
  <c r="J10081" i="1"/>
  <c r="I10081" i="1"/>
  <c r="H10081" i="1"/>
  <c r="G10081" i="1"/>
  <c r="M10080" i="1"/>
  <c r="L10080" i="1"/>
  <c r="K10080" i="1"/>
  <c r="J10080" i="1"/>
  <c r="I10080" i="1"/>
  <c r="H10080" i="1"/>
  <c r="G10080" i="1"/>
  <c r="M10079" i="1"/>
  <c r="L10079" i="1"/>
  <c r="K10079" i="1"/>
  <c r="J10079" i="1"/>
  <c r="I10079" i="1"/>
  <c r="H10079" i="1"/>
  <c r="G10079" i="1"/>
  <c r="M10078" i="1"/>
  <c r="L10078" i="1"/>
  <c r="K10078" i="1"/>
  <c r="J10078" i="1"/>
  <c r="I10078" i="1"/>
  <c r="H10078" i="1"/>
  <c r="G10078" i="1"/>
  <c r="M10077" i="1"/>
  <c r="L10077" i="1"/>
  <c r="K10077" i="1"/>
  <c r="J10077" i="1"/>
  <c r="I10077" i="1"/>
  <c r="H10077" i="1"/>
  <c r="G10077" i="1"/>
  <c r="M10076" i="1"/>
  <c r="L10076" i="1"/>
  <c r="K10076" i="1"/>
  <c r="J10076" i="1"/>
  <c r="I10076" i="1"/>
  <c r="H10076" i="1"/>
  <c r="G10076" i="1"/>
  <c r="M10075" i="1"/>
  <c r="L10075" i="1"/>
  <c r="K10075" i="1"/>
  <c r="J10075" i="1"/>
  <c r="I10075" i="1"/>
  <c r="H10075" i="1"/>
  <c r="G10075" i="1"/>
  <c r="M10074" i="1"/>
  <c r="L10074" i="1"/>
  <c r="K10074" i="1"/>
  <c r="J10074" i="1"/>
  <c r="I10074" i="1"/>
  <c r="H10074" i="1"/>
  <c r="G10074" i="1"/>
  <c r="M10073" i="1"/>
  <c r="L10073" i="1"/>
  <c r="K10073" i="1"/>
  <c r="J10073" i="1"/>
  <c r="I10073" i="1"/>
  <c r="H10073" i="1"/>
  <c r="G10073" i="1"/>
  <c r="M10072" i="1"/>
  <c r="L10072" i="1"/>
  <c r="K10072" i="1"/>
  <c r="J10072" i="1"/>
  <c r="I10072" i="1"/>
  <c r="H10072" i="1"/>
  <c r="G10072" i="1"/>
  <c r="M10071" i="1"/>
  <c r="L10071" i="1"/>
  <c r="K10071" i="1"/>
  <c r="J10071" i="1"/>
  <c r="I10071" i="1"/>
  <c r="H10071" i="1"/>
  <c r="G10071" i="1"/>
  <c r="M10070" i="1"/>
  <c r="L10070" i="1"/>
  <c r="K10070" i="1"/>
  <c r="J10070" i="1"/>
  <c r="I10070" i="1"/>
  <c r="H10070" i="1"/>
  <c r="G10070" i="1"/>
  <c r="M10069" i="1"/>
  <c r="L10069" i="1"/>
  <c r="K10069" i="1"/>
  <c r="J10069" i="1"/>
  <c r="I10069" i="1"/>
  <c r="H10069" i="1"/>
  <c r="G10069" i="1"/>
  <c r="M10068" i="1"/>
  <c r="L10068" i="1"/>
  <c r="K10068" i="1"/>
  <c r="J10068" i="1"/>
  <c r="I10068" i="1"/>
  <c r="H10068" i="1"/>
  <c r="G10068" i="1"/>
  <c r="M10067" i="1"/>
  <c r="L10067" i="1"/>
  <c r="K10067" i="1"/>
  <c r="J10067" i="1"/>
  <c r="I10067" i="1"/>
  <c r="H10067" i="1"/>
  <c r="G10067" i="1"/>
  <c r="M10066" i="1"/>
  <c r="L10066" i="1"/>
  <c r="K10066" i="1"/>
  <c r="J10066" i="1"/>
  <c r="I10066" i="1"/>
  <c r="H10066" i="1"/>
  <c r="G10066" i="1"/>
  <c r="M10065" i="1"/>
  <c r="L10065" i="1"/>
  <c r="K10065" i="1"/>
  <c r="J10065" i="1"/>
  <c r="I10065" i="1"/>
  <c r="H10065" i="1"/>
  <c r="G10065" i="1"/>
  <c r="M10064" i="1"/>
  <c r="L10064" i="1"/>
  <c r="K10064" i="1"/>
  <c r="J10064" i="1"/>
  <c r="I10064" i="1"/>
  <c r="H10064" i="1"/>
  <c r="G10064" i="1"/>
  <c r="M10063" i="1"/>
  <c r="L10063" i="1"/>
  <c r="K10063" i="1"/>
  <c r="J10063" i="1"/>
  <c r="I10063" i="1"/>
  <c r="H10063" i="1"/>
  <c r="G10063" i="1"/>
  <c r="M10062" i="1"/>
  <c r="L10062" i="1"/>
  <c r="K10062" i="1"/>
  <c r="J10062" i="1"/>
  <c r="I10062" i="1"/>
  <c r="H10062" i="1"/>
  <c r="G10062" i="1"/>
  <c r="M10061" i="1"/>
  <c r="L10061" i="1"/>
  <c r="K10061" i="1"/>
  <c r="J10061" i="1"/>
  <c r="I10061" i="1"/>
  <c r="H10061" i="1"/>
  <c r="G10061" i="1"/>
  <c r="M10060" i="1"/>
  <c r="L10060" i="1"/>
  <c r="K10060" i="1"/>
  <c r="J10060" i="1"/>
  <c r="I10060" i="1"/>
  <c r="H10060" i="1"/>
  <c r="G10060" i="1"/>
  <c r="M10059" i="1"/>
  <c r="L10059" i="1"/>
  <c r="K10059" i="1"/>
  <c r="J10059" i="1"/>
  <c r="I10059" i="1"/>
  <c r="H10059" i="1"/>
  <c r="G10059" i="1"/>
  <c r="M10058" i="1"/>
  <c r="L10058" i="1"/>
  <c r="K10058" i="1"/>
  <c r="J10058" i="1"/>
  <c r="I10058" i="1"/>
  <c r="H10058" i="1"/>
  <c r="G10058" i="1"/>
  <c r="M10057" i="1"/>
  <c r="L10057" i="1"/>
  <c r="K10057" i="1"/>
  <c r="J10057" i="1"/>
  <c r="I10057" i="1"/>
  <c r="H10057" i="1"/>
  <c r="G10057" i="1"/>
  <c r="M10056" i="1"/>
  <c r="L10056" i="1"/>
  <c r="K10056" i="1"/>
  <c r="J10056" i="1"/>
  <c r="I10056" i="1"/>
  <c r="H10056" i="1"/>
  <c r="G10056" i="1"/>
  <c r="M10055" i="1"/>
  <c r="L10055" i="1"/>
  <c r="K10055" i="1"/>
  <c r="J10055" i="1"/>
  <c r="I10055" i="1"/>
  <c r="H10055" i="1"/>
  <c r="G10055" i="1"/>
  <c r="M10054" i="1"/>
  <c r="L10054" i="1"/>
  <c r="K10054" i="1"/>
  <c r="J10054" i="1"/>
  <c r="I10054" i="1"/>
  <c r="H10054" i="1"/>
  <c r="G10054" i="1"/>
  <c r="M10053" i="1"/>
  <c r="L10053" i="1"/>
  <c r="K10053" i="1"/>
  <c r="J10053" i="1"/>
  <c r="I10053" i="1"/>
  <c r="H10053" i="1"/>
  <c r="G10053" i="1"/>
  <c r="M10052" i="1"/>
  <c r="L10052" i="1"/>
  <c r="K10052" i="1"/>
  <c r="J10052" i="1"/>
  <c r="I10052" i="1"/>
  <c r="H10052" i="1"/>
  <c r="G10052" i="1"/>
  <c r="M10051" i="1"/>
  <c r="L10051" i="1"/>
  <c r="K10051" i="1"/>
  <c r="J10051" i="1"/>
  <c r="I10051" i="1"/>
  <c r="H10051" i="1"/>
  <c r="G10051" i="1"/>
  <c r="M10050" i="1"/>
  <c r="L10050" i="1"/>
  <c r="K10050" i="1"/>
  <c r="J10050" i="1"/>
  <c r="I10050" i="1"/>
  <c r="H10050" i="1"/>
  <c r="G10050" i="1"/>
  <c r="M10049" i="1"/>
  <c r="L10049" i="1"/>
  <c r="K10049" i="1"/>
  <c r="J10049" i="1"/>
  <c r="I10049" i="1"/>
  <c r="H10049" i="1"/>
  <c r="G10049" i="1"/>
  <c r="M10048" i="1"/>
  <c r="L10048" i="1"/>
  <c r="K10048" i="1"/>
  <c r="J10048" i="1"/>
  <c r="I10048" i="1"/>
  <c r="H10048" i="1"/>
  <c r="G10048" i="1"/>
  <c r="M10047" i="1"/>
  <c r="L10047" i="1"/>
  <c r="K10047" i="1"/>
  <c r="J10047" i="1"/>
  <c r="I10047" i="1"/>
  <c r="H10047" i="1"/>
  <c r="G10047" i="1"/>
  <c r="M10046" i="1"/>
  <c r="L10046" i="1"/>
  <c r="K10046" i="1"/>
  <c r="J10046" i="1"/>
  <c r="I10046" i="1"/>
  <c r="H10046" i="1"/>
  <c r="G10046" i="1"/>
  <c r="M10045" i="1"/>
  <c r="L10045" i="1"/>
  <c r="K10045" i="1"/>
  <c r="J10045" i="1"/>
  <c r="I10045" i="1"/>
  <c r="H10045" i="1"/>
  <c r="G10045" i="1"/>
  <c r="M10044" i="1"/>
  <c r="L10044" i="1"/>
  <c r="K10044" i="1"/>
  <c r="J10044" i="1"/>
  <c r="I10044" i="1"/>
  <c r="H10044" i="1"/>
  <c r="G10044" i="1"/>
  <c r="M10043" i="1"/>
  <c r="L10043" i="1"/>
  <c r="K10043" i="1"/>
  <c r="J10043" i="1"/>
  <c r="I10043" i="1"/>
  <c r="H10043" i="1"/>
  <c r="G10043" i="1"/>
  <c r="M10042" i="1"/>
  <c r="L10042" i="1"/>
  <c r="K10042" i="1"/>
  <c r="J10042" i="1"/>
  <c r="I10042" i="1"/>
  <c r="H10042" i="1"/>
  <c r="G10042" i="1"/>
  <c r="M10041" i="1"/>
  <c r="L10041" i="1"/>
  <c r="K10041" i="1"/>
  <c r="J10041" i="1"/>
  <c r="I10041" i="1"/>
  <c r="H10041" i="1"/>
  <c r="G10041" i="1"/>
  <c r="M10040" i="1"/>
  <c r="L10040" i="1"/>
  <c r="K10040" i="1"/>
  <c r="J10040" i="1"/>
  <c r="I10040" i="1"/>
  <c r="H10040" i="1"/>
  <c r="G10040" i="1"/>
  <c r="M10039" i="1"/>
  <c r="L10039" i="1"/>
  <c r="K10039" i="1"/>
  <c r="J10039" i="1"/>
  <c r="I10039" i="1"/>
  <c r="H10039" i="1"/>
  <c r="G10039" i="1"/>
  <c r="M10038" i="1"/>
  <c r="L10038" i="1"/>
  <c r="K10038" i="1"/>
  <c r="J10038" i="1"/>
  <c r="I10038" i="1"/>
  <c r="H10038" i="1"/>
  <c r="G10038" i="1"/>
  <c r="M10037" i="1"/>
  <c r="L10037" i="1"/>
  <c r="K10037" i="1"/>
  <c r="J10037" i="1"/>
  <c r="I10037" i="1"/>
  <c r="H10037" i="1"/>
  <c r="G10037" i="1"/>
  <c r="M10036" i="1"/>
  <c r="L10036" i="1"/>
  <c r="K10036" i="1"/>
  <c r="J10036" i="1"/>
  <c r="I10036" i="1"/>
  <c r="H10036" i="1"/>
  <c r="G10036" i="1"/>
  <c r="M10035" i="1"/>
  <c r="L10035" i="1"/>
  <c r="K10035" i="1"/>
  <c r="J10035" i="1"/>
  <c r="I10035" i="1"/>
  <c r="H10035" i="1"/>
  <c r="G10035" i="1"/>
  <c r="M10034" i="1"/>
  <c r="L10034" i="1"/>
  <c r="K10034" i="1"/>
  <c r="J10034" i="1"/>
  <c r="I10034" i="1"/>
  <c r="H10034" i="1"/>
  <c r="G10034" i="1"/>
  <c r="M10033" i="1"/>
  <c r="L10033" i="1"/>
  <c r="K10033" i="1"/>
  <c r="J10033" i="1"/>
  <c r="I10033" i="1"/>
  <c r="H10033" i="1"/>
  <c r="G10033" i="1"/>
  <c r="M10032" i="1"/>
  <c r="L10032" i="1"/>
  <c r="K10032" i="1"/>
  <c r="J10032" i="1"/>
  <c r="I10032" i="1"/>
  <c r="H10032" i="1"/>
  <c r="G10032" i="1"/>
  <c r="M10031" i="1"/>
  <c r="L10031" i="1"/>
  <c r="K10031" i="1"/>
  <c r="J10031" i="1"/>
  <c r="I10031" i="1"/>
  <c r="H10031" i="1"/>
  <c r="G10031" i="1"/>
  <c r="M10030" i="1"/>
  <c r="L10030" i="1"/>
  <c r="K10030" i="1"/>
  <c r="J10030" i="1"/>
  <c r="I10030" i="1"/>
  <c r="H10030" i="1"/>
  <c r="G10030" i="1"/>
  <c r="M10029" i="1"/>
  <c r="L10029" i="1"/>
  <c r="K10029" i="1"/>
  <c r="J10029" i="1"/>
  <c r="I10029" i="1"/>
  <c r="H10029" i="1"/>
  <c r="G10029" i="1"/>
  <c r="M10028" i="1"/>
  <c r="L10028" i="1"/>
  <c r="K10028" i="1"/>
  <c r="J10028" i="1"/>
  <c r="I10028" i="1"/>
  <c r="H10028" i="1"/>
  <c r="G10028" i="1"/>
  <c r="M10027" i="1"/>
  <c r="L10027" i="1"/>
  <c r="K10027" i="1"/>
  <c r="J10027" i="1"/>
  <c r="I10027" i="1"/>
  <c r="H10027" i="1"/>
  <c r="G10027" i="1"/>
  <c r="M10026" i="1"/>
  <c r="L10026" i="1"/>
  <c r="K10026" i="1"/>
  <c r="J10026" i="1"/>
  <c r="I10026" i="1"/>
  <c r="H10026" i="1"/>
  <c r="G10026" i="1"/>
  <c r="M10025" i="1"/>
  <c r="L10025" i="1"/>
  <c r="K10025" i="1"/>
  <c r="J10025" i="1"/>
  <c r="I10025" i="1"/>
  <c r="H10025" i="1"/>
  <c r="G10025" i="1"/>
  <c r="M10024" i="1"/>
  <c r="L10024" i="1"/>
  <c r="K10024" i="1"/>
  <c r="J10024" i="1"/>
  <c r="I10024" i="1"/>
  <c r="H10024" i="1"/>
  <c r="G10024" i="1"/>
  <c r="M10023" i="1"/>
  <c r="L10023" i="1"/>
  <c r="K10023" i="1"/>
  <c r="J10023" i="1"/>
  <c r="I10023" i="1"/>
  <c r="H10023" i="1"/>
  <c r="G10023" i="1"/>
  <c r="M10022" i="1"/>
  <c r="L10022" i="1"/>
  <c r="K10022" i="1"/>
  <c r="J10022" i="1"/>
  <c r="I10022" i="1"/>
  <c r="H10022" i="1"/>
  <c r="G10022" i="1"/>
  <c r="M10021" i="1"/>
  <c r="L10021" i="1"/>
  <c r="K10021" i="1"/>
  <c r="J10021" i="1"/>
  <c r="I10021" i="1"/>
  <c r="H10021" i="1"/>
  <c r="G10021" i="1"/>
  <c r="M10020" i="1"/>
  <c r="L10020" i="1"/>
  <c r="K10020" i="1"/>
  <c r="J10020" i="1"/>
  <c r="I10020" i="1"/>
  <c r="H10020" i="1"/>
  <c r="G10020" i="1"/>
  <c r="M10019" i="1"/>
  <c r="L10019" i="1"/>
  <c r="K10019" i="1"/>
  <c r="J10019" i="1"/>
  <c r="I10019" i="1"/>
  <c r="H10019" i="1"/>
  <c r="G10019" i="1"/>
  <c r="M10018" i="1"/>
  <c r="L10018" i="1"/>
  <c r="K10018" i="1"/>
  <c r="J10018" i="1"/>
  <c r="I10018" i="1"/>
  <c r="H10018" i="1"/>
  <c r="G10018" i="1"/>
  <c r="M10017" i="1"/>
  <c r="L10017" i="1"/>
  <c r="K10017" i="1"/>
  <c r="J10017" i="1"/>
  <c r="I10017" i="1"/>
  <c r="H10017" i="1"/>
  <c r="G10017" i="1"/>
  <c r="M10016" i="1"/>
  <c r="L10016" i="1"/>
  <c r="K10016" i="1"/>
  <c r="J10016" i="1"/>
  <c r="I10016" i="1"/>
  <c r="H10016" i="1"/>
  <c r="G10016" i="1"/>
  <c r="M10015" i="1"/>
  <c r="L10015" i="1"/>
  <c r="K10015" i="1"/>
  <c r="J10015" i="1"/>
  <c r="I10015" i="1"/>
  <c r="H10015" i="1"/>
  <c r="G10015" i="1"/>
  <c r="M10014" i="1"/>
  <c r="L10014" i="1"/>
  <c r="K10014" i="1"/>
  <c r="J10014" i="1"/>
  <c r="I10014" i="1"/>
  <c r="H10014" i="1"/>
  <c r="G10014" i="1"/>
  <c r="M10013" i="1"/>
  <c r="L10013" i="1"/>
  <c r="K10013" i="1"/>
  <c r="J10013" i="1"/>
  <c r="I10013" i="1"/>
  <c r="H10013" i="1"/>
  <c r="G10013" i="1"/>
  <c r="M10012" i="1"/>
  <c r="L10012" i="1"/>
  <c r="K10012" i="1"/>
  <c r="J10012" i="1"/>
  <c r="I10012" i="1"/>
  <c r="H10012" i="1"/>
  <c r="G10012" i="1"/>
  <c r="M10011" i="1"/>
  <c r="L10011" i="1"/>
  <c r="K10011" i="1"/>
  <c r="J10011" i="1"/>
  <c r="I10011" i="1"/>
  <c r="H10011" i="1"/>
  <c r="G10011" i="1"/>
  <c r="M10010" i="1"/>
  <c r="L10010" i="1"/>
  <c r="K10010" i="1"/>
  <c r="J10010" i="1"/>
  <c r="I10010" i="1"/>
  <c r="H10010" i="1"/>
  <c r="G10010" i="1"/>
  <c r="M10009" i="1"/>
  <c r="L10009" i="1"/>
  <c r="K10009" i="1"/>
  <c r="J10009" i="1"/>
  <c r="I10009" i="1"/>
  <c r="H10009" i="1"/>
  <c r="G10009" i="1"/>
  <c r="M10008" i="1"/>
  <c r="L10008" i="1"/>
  <c r="K10008" i="1"/>
  <c r="J10008" i="1"/>
  <c r="I10008" i="1"/>
  <c r="H10008" i="1"/>
  <c r="G10008" i="1"/>
  <c r="M10007" i="1"/>
  <c r="L10007" i="1"/>
  <c r="K10007" i="1"/>
  <c r="J10007" i="1"/>
  <c r="I10007" i="1"/>
  <c r="H10007" i="1"/>
  <c r="G10007" i="1"/>
  <c r="M10006" i="1"/>
  <c r="L10006" i="1"/>
  <c r="K10006" i="1"/>
  <c r="J10006" i="1"/>
  <c r="I10006" i="1"/>
  <c r="H10006" i="1"/>
  <c r="G10006" i="1"/>
  <c r="M10005" i="1"/>
  <c r="L10005" i="1"/>
  <c r="K10005" i="1"/>
  <c r="J10005" i="1"/>
  <c r="I10005" i="1"/>
  <c r="H10005" i="1"/>
  <c r="G10005" i="1"/>
  <c r="M10004" i="1"/>
  <c r="L10004" i="1"/>
  <c r="K10004" i="1"/>
  <c r="J10004" i="1"/>
  <c r="I10004" i="1"/>
  <c r="H10004" i="1"/>
  <c r="G10004" i="1"/>
  <c r="M10003" i="1"/>
  <c r="L10003" i="1"/>
  <c r="K10003" i="1"/>
  <c r="J10003" i="1"/>
  <c r="I10003" i="1"/>
  <c r="H10003" i="1"/>
  <c r="G10003" i="1"/>
  <c r="M10002" i="1"/>
  <c r="L10002" i="1"/>
  <c r="K10002" i="1"/>
  <c r="J10002" i="1"/>
  <c r="I10002" i="1"/>
  <c r="H10002" i="1"/>
  <c r="G10002" i="1"/>
  <c r="M10001" i="1"/>
  <c r="L10001" i="1"/>
  <c r="K10001" i="1"/>
  <c r="J10001" i="1"/>
  <c r="I10001" i="1"/>
  <c r="H10001" i="1"/>
  <c r="G10001" i="1"/>
  <c r="M10000" i="1"/>
  <c r="L10000" i="1"/>
  <c r="K10000" i="1"/>
  <c r="J10000" i="1"/>
  <c r="I10000" i="1"/>
  <c r="H10000" i="1"/>
  <c r="G10000" i="1"/>
  <c r="M9999" i="1"/>
  <c r="L9999" i="1"/>
  <c r="K9999" i="1"/>
  <c r="J9999" i="1"/>
  <c r="I9999" i="1"/>
  <c r="H9999" i="1"/>
  <c r="G9999" i="1"/>
  <c r="M9998" i="1"/>
  <c r="L9998" i="1"/>
  <c r="K9998" i="1"/>
  <c r="J9998" i="1"/>
  <c r="I9998" i="1"/>
  <c r="H9998" i="1"/>
  <c r="G9998" i="1"/>
  <c r="M9997" i="1"/>
  <c r="L9997" i="1"/>
  <c r="K9997" i="1"/>
  <c r="J9997" i="1"/>
  <c r="I9997" i="1"/>
  <c r="H9997" i="1"/>
  <c r="G9997" i="1"/>
  <c r="M9996" i="1"/>
  <c r="L9996" i="1"/>
  <c r="K9996" i="1"/>
  <c r="J9996" i="1"/>
  <c r="I9996" i="1"/>
  <c r="H9996" i="1"/>
  <c r="G9996" i="1"/>
  <c r="M9995" i="1"/>
  <c r="L9995" i="1"/>
  <c r="K9995" i="1"/>
  <c r="J9995" i="1"/>
  <c r="I9995" i="1"/>
  <c r="H9995" i="1"/>
  <c r="G9995" i="1"/>
  <c r="M9994" i="1"/>
  <c r="L9994" i="1"/>
  <c r="K9994" i="1"/>
  <c r="J9994" i="1"/>
  <c r="I9994" i="1"/>
  <c r="H9994" i="1"/>
  <c r="G9994" i="1"/>
  <c r="M9993" i="1"/>
  <c r="L9993" i="1"/>
  <c r="K9993" i="1"/>
  <c r="J9993" i="1"/>
  <c r="I9993" i="1"/>
  <c r="H9993" i="1"/>
  <c r="G9993" i="1"/>
  <c r="M9992" i="1"/>
  <c r="L9992" i="1"/>
  <c r="K9992" i="1"/>
  <c r="J9992" i="1"/>
  <c r="I9992" i="1"/>
  <c r="H9992" i="1"/>
  <c r="G9992" i="1"/>
  <c r="M9991" i="1"/>
  <c r="L9991" i="1"/>
  <c r="K9991" i="1"/>
  <c r="J9991" i="1"/>
  <c r="I9991" i="1"/>
  <c r="H9991" i="1"/>
  <c r="G9991" i="1"/>
  <c r="M9990" i="1"/>
  <c r="L9990" i="1"/>
  <c r="K9990" i="1"/>
  <c r="J9990" i="1"/>
  <c r="I9990" i="1"/>
  <c r="H9990" i="1"/>
  <c r="G9990" i="1"/>
  <c r="M9989" i="1"/>
  <c r="L9989" i="1"/>
  <c r="K9989" i="1"/>
  <c r="J9989" i="1"/>
  <c r="I9989" i="1"/>
  <c r="H9989" i="1"/>
  <c r="G9989" i="1"/>
  <c r="M9988" i="1"/>
  <c r="L9988" i="1"/>
  <c r="K9988" i="1"/>
  <c r="J9988" i="1"/>
  <c r="I9988" i="1"/>
  <c r="H9988" i="1"/>
  <c r="G9988" i="1"/>
  <c r="M9987" i="1"/>
  <c r="L9987" i="1"/>
  <c r="K9987" i="1"/>
  <c r="J9987" i="1"/>
  <c r="I9987" i="1"/>
  <c r="H9987" i="1"/>
  <c r="G9987" i="1"/>
  <c r="M9986" i="1"/>
  <c r="L9986" i="1"/>
  <c r="K9986" i="1"/>
  <c r="J9986" i="1"/>
  <c r="I9986" i="1"/>
  <c r="H9986" i="1"/>
  <c r="G9986" i="1"/>
  <c r="M9985" i="1"/>
  <c r="L9985" i="1"/>
  <c r="K9985" i="1"/>
  <c r="J9985" i="1"/>
  <c r="I9985" i="1"/>
  <c r="H9985" i="1"/>
  <c r="G9985" i="1"/>
  <c r="M9984" i="1"/>
  <c r="L9984" i="1"/>
  <c r="K9984" i="1"/>
  <c r="J9984" i="1"/>
  <c r="I9984" i="1"/>
  <c r="H9984" i="1"/>
  <c r="G9984" i="1"/>
  <c r="M9983" i="1"/>
  <c r="L9983" i="1"/>
  <c r="K9983" i="1"/>
  <c r="J9983" i="1"/>
  <c r="I9983" i="1"/>
  <c r="H9983" i="1"/>
  <c r="G9983" i="1"/>
  <c r="M9982" i="1"/>
  <c r="L9982" i="1"/>
  <c r="K9982" i="1"/>
  <c r="J9982" i="1"/>
  <c r="I9982" i="1"/>
  <c r="H9982" i="1"/>
  <c r="G9982" i="1"/>
  <c r="M9981" i="1"/>
  <c r="L9981" i="1"/>
  <c r="K9981" i="1"/>
  <c r="J9981" i="1"/>
  <c r="I9981" i="1"/>
  <c r="H9981" i="1"/>
  <c r="G9981" i="1"/>
  <c r="M9980" i="1"/>
  <c r="L9980" i="1"/>
  <c r="K9980" i="1"/>
  <c r="J9980" i="1"/>
  <c r="I9980" i="1"/>
  <c r="H9980" i="1"/>
  <c r="G9980" i="1"/>
  <c r="M9979" i="1"/>
  <c r="L9979" i="1"/>
  <c r="K9979" i="1"/>
  <c r="J9979" i="1"/>
  <c r="I9979" i="1"/>
  <c r="H9979" i="1"/>
  <c r="G9979" i="1"/>
  <c r="M9978" i="1"/>
  <c r="L9978" i="1"/>
  <c r="K9978" i="1"/>
  <c r="J9978" i="1"/>
  <c r="I9978" i="1"/>
  <c r="H9978" i="1"/>
  <c r="G9978" i="1"/>
  <c r="M9977" i="1"/>
  <c r="L9977" i="1"/>
  <c r="K9977" i="1"/>
  <c r="J9977" i="1"/>
  <c r="I9977" i="1"/>
  <c r="H9977" i="1"/>
  <c r="G9977" i="1"/>
  <c r="M9976" i="1"/>
  <c r="L9976" i="1"/>
  <c r="K9976" i="1"/>
  <c r="J9976" i="1"/>
  <c r="I9976" i="1"/>
  <c r="H9976" i="1"/>
  <c r="G9976" i="1"/>
  <c r="M9975" i="1"/>
  <c r="L9975" i="1"/>
  <c r="K9975" i="1"/>
  <c r="J9975" i="1"/>
  <c r="I9975" i="1"/>
  <c r="H9975" i="1"/>
  <c r="G9975" i="1"/>
  <c r="M9974" i="1"/>
  <c r="L9974" i="1"/>
  <c r="K9974" i="1"/>
  <c r="J9974" i="1"/>
  <c r="I9974" i="1"/>
  <c r="H9974" i="1"/>
  <c r="G9974" i="1"/>
  <c r="M9973" i="1"/>
  <c r="L9973" i="1"/>
  <c r="K9973" i="1"/>
  <c r="J9973" i="1"/>
  <c r="I9973" i="1"/>
  <c r="H9973" i="1"/>
  <c r="G9973" i="1"/>
  <c r="M9972" i="1"/>
  <c r="L9972" i="1"/>
  <c r="K9972" i="1"/>
  <c r="J9972" i="1"/>
  <c r="I9972" i="1"/>
  <c r="H9972" i="1"/>
  <c r="G9972" i="1"/>
  <c r="M9971" i="1"/>
  <c r="L9971" i="1"/>
  <c r="K9971" i="1"/>
  <c r="J9971" i="1"/>
  <c r="I9971" i="1"/>
  <c r="H9971" i="1"/>
  <c r="G9971" i="1"/>
  <c r="M9970" i="1"/>
  <c r="L9970" i="1"/>
  <c r="K9970" i="1"/>
  <c r="J9970" i="1"/>
  <c r="I9970" i="1"/>
  <c r="H9970" i="1"/>
  <c r="G9970" i="1"/>
  <c r="M9969" i="1"/>
  <c r="L9969" i="1"/>
  <c r="K9969" i="1"/>
  <c r="J9969" i="1"/>
  <c r="I9969" i="1"/>
  <c r="H9969" i="1"/>
  <c r="G9969" i="1"/>
  <c r="M9968" i="1"/>
  <c r="L9968" i="1"/>
  <c r="K9968" i="1"/>
  <c r="J9968" i="1"/>
  <c r="I9968" i="1"/>
  <c r="H9968" i="1"/>
  <c r="G9968" i="1"/>
  <c r="M9967" i="1"/>
  <c r="L9967" i="1"/>
  <c r="K9967" i="1"/>
  <c r="J9967" i="1"/>
  <c r="I9967" i="1"/>
  <c r="H9967" i="1"/>
  <c r="G9967" i="1"/>
  <c r="M9966" i="1"/>
  <c r="L9966" i="1"/>
  <c r="K9966" i="1"/>
  <c r="J9966" i="1"/>
  <c r="I9966" i="1"/>
  <c r="H9966" i="1"/>
  <c r="G9966" i="1"/>
  <c r="M9965" i="1"/>
  <c r="L9965" i="1"/>
  <c r="K9965" i="1"/>
  <c r="J9965" i="1"/>
  <c r="I9965" i="1"/>
  <c r="H9965" i="1"/>
  <c r="G9965" i="1"/>
  <c r="M9964" i="1"/>
  <c r="L9964" i="1"/>
  <c r="K9964" i="1"/>
  <c r="J9964" i="1"/>
  <c r="I9964" i="1"/>
  <c r="H9964" i="1"/>
  <c r="G9964" i="1"/>
  <c r="M9963" i="1"/>
  <c r="L9963" i="1"/>
  <c r="K9963" i="1"/>
  <c r="J9963" i="1"/>
  <c r="I9963" i="1"/>
  <c r="H9963" i="1"/>
  <c r="G9963" i="1"/>
  <c r="M9962" i="1"/>
  <c r="L9962" i="1"/>
  <c r="K9962" i="1"/>
  <c r="J9962" i="1"/>
  <c r="I9962" i="1"/>
  <c r="H9962" i="1"/>
  <c r="G9962" i="1"/>
  <c r="M9961" i="1"/>
  <c r="L9961" i="1"/>
  <c r="K9961" i="1"/>
  <c r="J9961" i="1"/>
  <c r="I9961" i="1"/>
  <c r="H9961" i="1"/>
  <c r="G9961" i="1"/>
  <c r="M9960" i="1"/>
  <c r="L9960" i="1"/>
  <c r="K9960" i="1"/>
  <c r="J9960" i="1"/>
  <c r="I9960" i="1"/>
  <c r="H9960" i="1"/>
  <c r="G9960" i="1"/>
  <c r="M9959" i="1"/>
  <c r="L9959" i="1"/>
  <c r="K9959" i="1"/>
  <c r="J9959" i="1"/>
  <c r="I9959" i="1"/>
  <c r="H9959" i="1"/>
  <c r="G9959" i="1"/>
  <c r="M9958" i="1"/>
  <c r="L9958" i="1"/>
  <c r="K9958" i="1"/>
  <c r="J9958" i="1"/>
  <c r="I9958" i="1"/>
  <c r="H9958" i="1"/>
  <c r="G9958" i="1"/>
  <c r="M9957" i="1"/>
  <c r="L9957" i="1"/>
  <c r="K9957" i="1"/>
  <c r="J9957" i="1"/>
  <c r="I9957" i="1"/>
  <c r="H9957" i="1"/>
  <c r="G9957" i="1"/>
  <c r="M9956" i="1"/>
  <c r="L9956" i="1"/>
  <c r="K9956" i="1"/>
  <c r="J9956" i="1"/>
  <c r="I9956" i="1"/>
  <c r="H9956" i="1"/>
  <c r="G9956" i="1"/>
  <c r="M9955" i="1"/>
  <c r="L9955" i="1"/>
  <c r="K9955" i="1"/>
  <c r="J9955" i="1"/>
  <c r="I9955" i="1"/>
  <c r="H9955" i="1"/>
  <c r="G9955" i="1"/>
  <c r="M9954" i="1"/>
  <c r="L9954" i="1"/>
  <c r="K9954" i="1"/>
  <c r="J9954" i="1"/>
  <c r="I9954" i="1"/>
  <c r="H9954" i="1"/>
  <c r="G9954" i="1"/>
  <c r="M9953" i="1"/>
  <c r="L9953" i="1"/>
  <c r="K9953" i="1"/>
  <c r="J9953" i="1"/>
  <c r="I9953" i="1"/>
  <c r="H9953" i="1"/>
  <c r="G9953" i="1"/>
  <c r="M9952" i="1"/>
  <c r="L9952" i="1"/>
  <c r="K9952" i="1"/>
  <c r="J9952" i="1"/>
  <c r="I9952" i="1"/>
  <c r="H9952" i="1"/>
  <c r="G9952" i="1"/>
  <c r="M9951" i="1"/>
  <c r="L9951" i="1"/>
  <c r="K9951" i="1"/>
  <c r="J9951" i="1"/>
  <c r="I9951" i="1"/>
  <c r="H9951" i="1"/>
  <c r="G9951" i="1"/>
  <c r="M9950" i="1"/>
  <c r="L9950" i="1"/>
  <c r="K9950" i="1"/>
  <c r="J9950" i="1"/>
  <c r="I9950" i="1"/>
  <c r="H9950" i="1"/>
  <c r="G9950" i="1"/>
  <c r="M9949" i="1"/>
  <c r="L9949" i="1"/>
  <c r="K9949" i="1"/>
  <c r="J9949" i="1"/>
  <c r="I9949" i="1"/>
  <c r="H9949" i="1"/>
  <c r="G9949" i="1"/>
  <c r="M9948" i="1"/>
  <c r="L9948" i="1"/>
  <c r="K9948" i="1"/>
  <c r="J9948" i="1"/>
  <c r="I9948" i="1"/>
  <c r="H9948" i="1"/>
  <c r="G9948" i="1"/>
  <c r="M9947" i="1"/>
  <c r="L9947" i="1"/>
  <c r="K9947" i="1"/>
  <c r="J9947" i="1"/>
  <c r="I9947" i="1"/>
  <c r="H9947" i="1"/>
  <c r="G9947" i="1"/>
  <c r="M9946" i="1"/>
  <c r="L9946" i="1"/>
  <c r="K9946" i="1"/>
  <c r="J9946" i="1"/>
  <c r="I9946" i="1"/>
  <c r="H9946" i="1"/>
  <c r="G9946" i="1"/>
  <c r="M9945" i="1"/>
  <c r="L9945" i="1"/>
  <c r="K9945" i="1"/>
  <c r="J9945" i="1"/>
  <c r="I9945" i="1"/>
  <c r="H9945" i="1"/>
  <c r="G9945" i="1"/>
  <c r="M9944" i="1"/>
  <c r="L9944" i="1"/>
  <c r="K9944" i="1"/>
  <c r="J9944" i="1"/>
  <c r="I9944" i="1"/>
  <c r="H9944" i="1"/>
  <c r="G9944" i="1"/>
  <c r="M9943" i="1"/>
  <c r="L9943" i="1"/>
  <c r="K9943" i="1"/>
  <c r="J9943" i="1"/>
  <c r="I9943" i="1"/>
  <c r="H9943" i="1"/>
  <c r="G9943" i="1"/>
  <c r="M9942" i="1"/>
  <c r="L9942" i="1"/>
  <c r="K9942" i="1"/>
  <c r="J9942" i="1"/>
  <c r="I9942" i="1"/>
  <c r="H9942" i="1"/>
  <c r="G9942" i="1"/>
  <c r="M9941" i="1"/>
  <c r="L9941" i="1"/>
  <c r="K9941" i="1"/>
  <c r="J9941" i="1"/>
  <c r="I9941" i="1"/>
  <c r="H9941" i="1"/>
  <c r="G9941" i="1"/>
  <c r="M9940" i="1"/>
  <c r="L9940" i="1"/>
  <c r="K9940" i="1"/>
  <c r="J9940" i="1"/>
  <c r="I9940" i="1"/>
  <c r="H9940" i="1"/>
  <c r="G9940" i="1"/>
  <c r="M9939" i="1"/>
  <c r="L9939" i="1"/>
  <c r="K9939" i="1"/>
  <c r="J9939" i="1"/>
  <c r="I9939" i="1"/>
  <c r="H9939" i="1"/>
  <c r="G9939" i="1"/>
  <c r="M9938" i="1"/>
  <c r="L9938" i="1"/>
  <c r="K9938" i="1"/>
  <c r="J9938" i="1"/>
  <c r="I9938" i="1"/>
  <c r="H9938" i="1"/>
  <c r="G9938" i="1"/>
  <c r="M9937" i="1"/>
  <c r="L9937" i="1"/>
  <c r="K9937" i="1"/>
  <c r="J9937" i="1"/>
  <c r="I9937" i="1"/>
  <c r="H9937" i="1"/>
  <c r="G9937" i="1"/>
  <c r="M9936" i="1"/>
  <c r="L9936" i="1"/>
  <c r="K9936" i="1"/>
  <c r="J9936" i="1"/>
  <c r="I9936" i="1"/>
  <c r="H9936" i="1"/>
  <c r="G9936" i="1"/>
  <c r="M9935" i="1"/>
  <c r="L9935" i="1"/>
  <c r="K9935" i="1"/>
  <c r="J9935" i="1"/>
  <c r="I9935" i="1"/>
  <c r="H9935" i="1"/>
  <c r="G9935" i="1"/>
  <c r="M9934" i="1"/>
  <c r="L9934" i="1"/>
  <c r="K9934" i="1"/>
  <c r="J9934" i="1"/>
  <c r="I9934" i="1"/>
  <c r="H9934" i="1"/>
  <c r="G9934" i="1"/>
  <c r="M9933" i="1"/>
  <c r="L9933" i="1"/>
  <c r="K9933" i="1"/>
  <c r="J9933" i="1"/>
  <c r="I9933" i="1"/>
  <c r="H9933" i="1"/>
  <c r="G9933" i="1"/>
  <c r="M9932" i="1"/>
  <c r="L9932" i="1"/>
  <c r="K9932" i="1"/>
  <c r="J9932" i="1"/>
  <c r="I9932" i="1"/>
  <c r="H9932" i="1"/>
  <c r="G9932" i="1"/>
  <c r="M9931" i="1"/>
  <c r="L9931" i="1"/>
  <c r="K9931" i="1"/>
  <c r="J9931" i="1"/>
  <c r="I9931" i="1"/>
  <c r="H9931" i="1"/>
  <c r="G9931" i="1"/>
  <c r="M9930" i="1"/>
  <c r="L9930" i="1"/>
  <c r="K9930" i="1"/>
  <c r="J9930" i="1"/>
  <c r="I9930" i="1"/>
  <c r="H9930" i="1"/>
  <c r="G9930" i="1"/>
  <c r="M9929" i="1"/>
  <c r="L9929" i="1"/>
  <c r="K9929" i="1"/>
  <c r="J9929" i="1"/>
  <c r="I9929" i="1"/>
  <c r="H9929" i="1"/>
  <c r="G9929" i="1"/>
  <c r="M9928" i="1"/>
  <c r="L9928" i="1"/>
  <c r="K9928" i="1"/>
  <c r="J9928" i="1"/>
  <c r="I9928" i="1"/>
  <c r="H9928" i="1"/>
  <c r="G9928" i="1"/>
  <c r="M9927" i="1"/>
  <c r="L9927" i="1"/>
  <c r="K9927" i="1"/>
  <c r="J9927" i="1"/>
  <c r="I9927" i="1"/>
  <c r="H9927" i="1"/>
  <c r="G9927" i="1"/>
  <c r="M9926" i="1"/>
  <c r="L9926" i="1"/>
  <c r="K9926" i="1"/>
  <c r="J9926" i="1"/>
  <c r="I9926" i="1"/>
  <c r="H9926" i="1"/>
  <c r="G9926" i="1"/>
  <c r="M9925" i="1"/>
  <c r="L9925" i="1"/>
  <c r="K9925" i="1"/>
  <c r="J9925" i="1"/>
  <c r="I9925" i="1"/>
  <c r="H9925" i="1"/>
  <c r="G9925" i="1"/>
  <c r="M9924" i="1"/>
  <c r="L9924" i="1"/>
  <c r="K9924" i="1"/>
  <c r="J9924" i="1"/>
  <c r="I9924" i="1"/>
  <c r="H9924" i="1"/>
  <c r="G9924" i="1"/>
  <c r="M9923" i="1"/>
  <c r="L9923" i="1"/>
  <c r="K9923" i="1"/>
  <c r="J9923" i="1"/>
  <c r="I9923" i="1"/>
  <c r="H9923" i="1"/>
  <c r="G9923" i="1"/>
  <c r="M9922" i="1"/>
  <c r="L9922" i="1"/>
  <c r="K9922" i="1"/>
  <c r="J9922" i="1"/>
  <c r="I9922" i="1"/>
  <c r="H9922" i="1"/>
  <c r="G9922" i="1"/>
  <c r="M9921" i="1"/>
  <c r="L9921" i="1"/>
  <c r="K9921" i="1"/>
  <c r="J9921" i="1"/>
  <c r="I9921" i="1"/>
  <c r="H9921" i="1"/>
  <c r="G9921" i="1"/>
  <c r="M9920" i="1"/>
  <c r="L9920" i="1"/>
  <c r="K9920" i="1"/>
  <c r="J9920" i="1"/>
  <c r="I9920" i="1"/>
  <c r="H9920" i="1"/>
  <c r="G9920" i="1"/>
  <c r="M9919" i="1"/>
  <c r="L9919" i="1"/>
  <c r="K9919" i="1"/>
  <c r="J9919" i="1"/>
  <c r="I9919" i="1"/>
  <c r="H9919" i="1"/>
  <c r="G9919" i="1"/>
  <c r="M9918" i="1"/>
  <c r="L9918" i="1"/>
  <c r="K9918" i="1"/>
  <c r="J9918" i="1"/>
  <c r="I9918" i="1"/>
  <c r="H9918" i="1"/>
  <c r="G9918" i="1"/>
  <c r="M9917" i="1"/>
  <c r="L9917" i="1"/>
  <c r="K9917" i="1"/>
  <c r="J9917" i="1"/>
  <c r="I9917" i="1"/>
  <c r="H9917" i="1"/>
  <c r="G9917" i="1"/>
  <c r="M9916" i="1"/>
  <c r="L9916" i="1"/>
  <c r="K9916" i="1"/>
  <c r="J9916" i="1"/>
  <c r="I9916" i="1"/>
  <c r="H9916" i="1"/>
  <c r="G9916" i="1"/>
  <c r="M9915" i="1"/>
  <c r="L9915" i="1"/>
  <c r="K9915" i="1"/>
  <c r="J9915" i="1"/>
  <c r="I9915" i="1"/>
  <c r="H9915" i="1"/>
  <c r="G9915" i="1"/>
  <c r="M9914" i="1"/>
  <c r="L9914" i="1"/>
  <c r="K9914" i="1"/>
  <c r="J9914" i="1"/>
  <c r="I9914" i="1"/>
  <c r="H9914" i="1"/>
  <c r="G9914" i="1"/>
  <c r="M9913" i="1"/>
  <c r="L9913" i="1"/>
  <c r="K9913" i="1"/>
  <c r="J9913" i="1"/>
  <c r="I9913" i="1"/>
  <c r="H9913" i="1"/>
  <c r="G9913" i="1"/>
  <c r="M9912" i="1"/>
  <c r="L9912" i="1"/>
  <c r="K9912" i="1"/>
  <c r="J9912" i="1"/>
  <c r="I9912" i="1"/>
  <c r="H9912" i="1"/>
  <c r="G9912" i="1"/>
  <c r="M9911" i="1"/>
  <c r="L9911" i="1"/>
  <c r="K9911" i="1"/>
  <c r="J9911" i="1"/>
  <c r="I9911" i="1"/>
  <c r="H9911" i="1"/>
  <c r="G9911" i="1"/>
  <c r="M9910" i="1"/>
  <c r="L9910" i="1"/>
  <c r="K9910" i="1"/>
  <c r="J9910" i="1"/>
  <c r="I9910" i="1"/>
  <c r="H9910" i="1"/>
  <c r="G9910" i="1"/>
  <c r="M9909" i="1"/>
  <c r="L9909" i="1"/>
  <c r="K9909" i="1"/>
  <c r="J9909" i="1"/>
  <c r="I9909" i="1"/>
  <c r="H9909" i="1"/>
  <c r="G9909" i="1"/>
  <c r="M9908" i="1"/>
  <c r="L9908" i="1"/>
  <c r="K9908" i="1"/>
  <c r="J9908" i="1"/>
  <c r="I9908" i="1"/>
  <c r="H9908" i="1"/>
  <c r="G9908" i="1"/>
  <c r="M9907" i="1"/>
  <c r="L9907" i="1"/>
  <c r="K9907" i="1"/>
  <c r="J9907" i="1"/>
  <c r="I9907" i="1"/>
  <c r="H9907" i="1"/>
  <c r="G9907" i="1"/>
  <c r="M9906" i="1"/>
  <c r="L9906" i="1"/>
  <c r="K9906" i="1"/>
  <c r="J9906" i="1"/>
  <c r="I9906" i="1"/>
  <c r="H9906" i="1"/>
  <c r="G9906" i="1"/>
  <c r="M9905" i="1"/>
  <c r="L9905" i="1"/>
  <c r="K9905" i="1"/>
  <c r="J9905" i="1"/>
  <c r="I9905" i="1"/>
  <c r="H9905" i="1"/>
  <c r="G9905" i="1"/>
  <c r="M9904" i="1"/>
  <c r="L9904" i="1"/>
  <c r="K9904" i="1"/>
  <c r="J9904" i="1"/>
  <c r="I9904" i="1"/>
  <c r="H9904" i="1"/>
  <c r="G9904" i="1"/>
  <c r="M9903" i="1"/>
  <c r="L9903" i="1"/>
  <c r="K9903" i="1"/>
  <c r="J9903" i="1"/>
  <c r="I9903" i="1"/>
  <c r="H9903" i="1"/>
  <c r="G9903" i="1"/>
  <c r="M9902" i="1"/>
  <c r="L9902" i="1"/>
  <c r="K9902" i="1"/>
  <c r="J9902" i="1"/>
  <c r="I9902" i="1"/>
  <c r="H9902" i="1"/>
  <c r="G9902" i="1"/>
  <c r="M9901" i="1"/>
  <c r="L9901" i="1"/>
  <c r="K9901" i="1"/>
  <c r="J9901" i="1"/>
  <c r="I9901" i="1"/>
  <c r="H9901" i="1"/>
  <c r="G9901" i="1"/>
  <c r="M9900" i="1"/>
  <c r="L9900" i="1"/>
  <c r="K9900" i="1"/>
  <c r="J9900" i="1"/>
  <c r="I9900" i="1"/>
  <c r="H9900" i="1"/>
  <c r="G9900" i="1"/>
  <c r="M9899" i="1"/>
  <c r="L9899" i="1"/>
  <c r="K9899" i="1"/>
  <c r="J9899" i="1"/>
  <c r="I9899" i="1"/>
  <c r="H9899" i="1"/>
  <c r="G9899" i="1"/>
  <c r="M9898" i="1"/>
  <c r="L9898" i="1"/>
  <c r="K9898" i="1"/>
  <c r="J9898" i="1"/>
  <c r="I9898" i="1"/>
  <c r="H9898" i="1"/>
  <c r="G9898" i="1"/>
  <c r="M9897" i="1"/>
  <c r="L9897" i="1"/>
  <c r="K9897" i="1"/>
  <c r="J9897" i="1"/>
  <c r="I9897" i="1"/>
  <c r="H9897" i="1"/>
  <c r="G9897" i="1"/>
  <c r="M9896" i="1"/>
  <c r="L9896" i="1"/>
  <c r="K9896" i="1"/>
  <c r="J9896" i="1"/>
  <c r="I9896" i="1"/>
  <c r="H9896" i="1"/>
  <c r="G9896" i="1"/>
  <c r="M9895" i="1"/>
  <c r="L9895" i="1"/>
  <c r="K9895" i="1"/>
  <c r="J9895" i="1"/>
  <c r="I9895" i="1"/>
  <c r="H9895" i="1"/>
  <c r="G9895" i="1"/>
  <c r="M9894" i="1"/>
  <c r="L9894" i="1"/>
  <c r="K9894" i="1"/>
  <c r="J9894" i="1"/>
  <c r="I9894" i="1"/>
  <c r="H9894" i="1"/>
  <c r="G9894" i="1"/>
  <c r="M9893" i="1"/>
  <c r="L9893" i="1"/>
  <c r="K9893" i="1"/>
  <c r="J9893" i="1"/>
  <c r="I9893" i="1"/>
  <c r="H9893" i="1"/>
  <c r="G9893" i="1"/>
  <c r="M9892" i="1"/>
  <c r="L9892" i="1"/>
  <c r="K9892" i="1"/>
  <c r="J9892" i="1"/>
  <c r="I9892" i="1"/>
  <c r="H9892" i="1"/>
  <c r="G9892" i="1"/>
  <c r="M9891" i="1"/>
  <c r="L9891" i="1"/>
  <c r="K9891" i="1"/>
  <c r="J9891" i="1"/>
  <c r="I9891" i="1"/>
  <c r="H9891" i="1"/>
  <c r="G9891" i="1"/>
  <c r="M9890" i="1"/>
  <c r="L9890" i="1"/>
  <c r="K9890" i="1"/>
  <c r="J9890" i="1"/>
  <c r="I9890" i="1"/>
  <c r="H9890" i="1"/>
  <c r="G9890" i="1"/>
  <c r="M9889" i="1"/>
  <c r="L9889" i="1"/>
  <c r="K9889" i="1"/>
  <c r="J9889" i="1"/>
  <c r="I9889" i="1"/>
  <c r="H9889" i="1"/>
  <c r="G9889" i="1"/>
  <c r="M9888" i="1"/>
  <c r="L9888" i="1"/>
  <c r="K9888" i="1"/>
  <c r="J9888" i="1"/>
  <c r="I9888" i="1"/>
  <c r="H9888" i="1"/>
  <c r="G9888" i="1"/>
  <c r="M9887" i="1"/>
  <c r="L9887" i="1"/>
  <c r="K9887" i="1"/>
  <c r="J9887" i="1"/>
  <c r="I9887" i="1"/>
  <c r="H9887" i="1"/>
  <c r="G9887" i="1"/>
  <c r="M9886" i="1"/>
  <c r="L9886" i="1"/>
  <c r="K9886" i="1"/>
  <c r="J9886" i="1"/>
  <c r="I9886" i="1"/>
  <c r="H9886" i="1"/>
  <c r="G9886" i="1"/>
  <c r="M9885" i="1"/>
  <c r="L9885" i="1"/>
  <c r="K9885" i="1"/>
  <c r="J9885" i="1"/>
  <c r="I9885" i="1"/>
  <c r="H9885" i="1"/>
  <c r="G9885" i="1"/>
  <c r="M9884" i="1"/>
  <c r="L9884" i="1"/>
  <c r="K9884" i="1"/>
  <c r="J9884" i="1"/>
  <c r="I9884" i="1"/>
  <c r="H9884" i="1"/>
  <c r="G9884" i="1"/>
  <c r="M9883" i="1"/>
  <c r="L9883" i="1"/>
  <c r="K9883" i="1"/>
  <c r="J9883" i="1"/>
  <c r="I9883" i="1"/>
  <c r="H9883" i="1"/>
  <c r="G9883" i="1"/>
  <c r="M9882" i="1"/>
  <c r="L9882" i="1"/>
  <c r="K9882" i="1"/>
  <c r="J9882" i="1"/>
  <c r="I9882" i="1"/>
  <c r="H9882" i="1"/>
  <c r="G9882" i="1"/>
  <c r="M9881" i="1"/>
  <c r="L9881" i="1"/>
  <c r="K9881" i="1"/>
  <c r="J9881" i="1"/>
  <c r="I9881" i="1"/>
  <c r="H9881" i="1"/>
  <c r="G9881" i="1"/>
  <c r="M9880" i="1"/>
  <c r="L9880" i="1"/>
  <c r="K9880" i="1"/>
  <c r="J9880" i="1"/>
  <c r="I9880" i="1"/>
  <c r="H9880" i="1"/>
  <c r="G9880" i="1"/>
  <c r="M9879" i="1"/>
  <c r="L9879" i="1"/>
  <c r="K9879" i="1"/>
  <c r="J9879" i="1"/>
  <c r="I9879" i="1"/>
  <c r="H9879" i="1"/>
  <c r="G9879" i="1"/>
  <c r="M9878" i="1"/>
  <c r="L9878" i="1"/>
  <c r="K9878" i="1"/>
  <c r="J9878" i="1"/>
  <c r="I9878" i="1"/>
  <c r="H9878" i="1"/>
  <c r="G9878" i="1"/>
  <c r="M9877" i="1"/>
  <c r="L9877" i="1"/>
  <c r="K9877" i="1"/>
  <c r="J9877" i="1"/>
  <c r="I9877" i="1"/>
  <c r="H9877" i="1"/>
  <c r="G9877" i="1"/>
  <c r="M9876" i="1"/>
  <c r="L9876" i="1"/>
  <c r="K9876" i="1"/>
  <c r="J9876" i="1"/>
  <c r="I9876" i="1"/>
  <c r="H9876" i="1"/>
  <c r="G9876" i="1"/>
  <c r="M9875" i="1"/>
  <c r="L9875" i="1"/>
  <c r="K9875" i="1"/>
  <c r="J9875" i="1"/>
  <c r="I9875" i="1"/>
  <c r="H9875" i="1"/>
  <c r="G9875" i="1"/>
  <c r="M9874" i="1"/>
  <c r="L9874" i="1"/>
  <c r="K9874" i="1"/>
  <c r="J9874" i="1"/>
  <c r="I9874" i="1"/>
  <c r="H9874" i="1"/>
  <c r="G9874" i="1"/>
  <c r="M9873" i="1"/>
  <c r="L9873" i="1"/>
  <c r="K9873" i="1"/>
  <c r="J9873" i="1"/>
  <c r="I9873" i="1"/>
  <c r="H9873" i="1"/>
  <c r="G9873" i="1"/>
  <c r="M9872" i="1"/>
  <c r="L9872" i="1"/>
  <c r="K9872" i="1"/>
  <c r="J9872" i="1"/>
  <c r="I9872" i="1"/>
  <c r="H9872" i="1"/>
  <c r="G9872" i="1"/>
  <c r="M9871" i="1"/>
  <c r="L9871" i="1"/>
  <c r="K9871" i="1"/>
  <c r="J9871" i="1"/>
  <c r="I9871" i="1"/>
  <c r="H9871" i="1"/>
  <c r="G9871" i="1"/>
  <c r="M9870" i="1"/>
  <c r="L9870" i="1"/>
  <c r="K9870" i="1"/>
  <c r="J9870" i="1"/>
  <c r="I9870" i="1"/>
  <c r="H9870" i="1"/>
  <c r="G9870" i="1"/>
  <c r="M9869" i="1"/>
  <c r="L9869" i="1"/>
  <c r="K9869" i="1"/>
  <c r="J9869" i="1"/>
  <c r="I9869" i="1"/>
  <c r="H9869" i="1"/>
  <c r="G9869" i="1"/>
  <c r="M9868" i="1"/>
  <c r="L9868" i="1"/>
  <c r="K9868" i="1"/>
  <c r="J9868" i="1"/>
  <c r="I9868" i="1"/>
  <c r="H9868" i="1"/>
  <c r="G9868" i="1"/>
  <c r="M9867" i="1"/>
  <c r="L9867" i="1"/>
  <c r="K9867" i="1"/>
  <c r="J9867" i="1"/>
  <c r="I9867" i="1"/>
  <c r="H9867" i="1"/>
  <c r="G9867" i="1"/>
  <c r="M9866" i="1"/>
  <c r="L9866" i="1"/>
  <c r="K9866" i="1"/>
  <c r="J9866" i="1"/>
  <c r="I9866" i="1"/>
  <c r="H9866" i="1"/>
  <c r="G9866" i="1"/>
  <c r="M9865" i="1"/>
  <c r="L9865" i="1"/>
  <c r="K9865" i="1"/>
  <c r="J9865" i="1"/>
  <c r="I9865" i="1"/>
  <c r="H9865" i="1"/>
  <c r="G9865" i="1"/>
  <c r="M9864" i="1"/>
  <c r="L9864" i="1"/>
  <c r="K9864" i="1"/>
  <c r="J9864" i="1"/>
  <c r="I9864" i="1"/>
  <c r="H9864" i="1"/>
  <c r="G9864" i="1"/>
  <c r="M9863" i="1"/>
  <c r="L9863" i="1"/>
  <c r="K9863" i="1"/>
  <c r="J9863" i="1"/>
  <c r="I9863" i="1"/>
  <c r="H9863" i="1"/>
  <c r="G9863" i="1"/>
  <c r="M9862" i="1"/>
  <c r="L9862" i="1"/>
  <c r="K9862" i="1"/>
  <c r="J9862" i="1"/>
  <c r="I9862" i="1"/>
  <c r="H9862" i="1"/>
  <c r="G9862" i="1"/>
  <c r="M9861" i="1"/>
  <c r="L9861" i="1"/>
  <c r="K9861" i="1"/>
  <c r="J9861" i="1"/>
  <c r="I9861" i="1"/>
  <c r="H9861" i="1"/>
  <c r="G9861" i="1"/>
  <c r="M9860" i="1"/>
  <c r="L9860" i="1"/>
  <c r="K9860" i="1"/>
  <c r="J9860" i="1"/>
  <c r="I9860" i="1"/>
  <c r="H9860" i="1"/>
  <c r="G9860" i="1"/>
  <c r="M9859" i="1"/>
  <c r="L9859" i="1"/>
  <c r="K9859" i="1"/>
  <c r="J9859" i="1"/>
  <c r="I9859" i="1"/>
  <c r="H9859" i="1"/>
  <c r="G9859" i="1"/>
  <c r="M9858" i="1"/>
  <c r="L9858" i="1"/>
  <c r="K9858" i="1"/>
  <c r="J9858" i="1"/>
  <c r="I9858" i="1"/>
  <c r="H9858" i="1"/>
  <c r="G9858" i="1"/>
  <c r="M9857" i="1"/>
  <c r="L9857" i="1"/>
  <c r="K9857" i="1"/>
  <c r="J9857" i="1"/>
  <c r="I9857" i="1"/>
  <c r="H9857" i="1"/>
  <c r="G9857" i="1"/>
  <c r="M9856" i="1"/>
  <c r="L9856" i="1"/>
  <c r="K9856" i="1"/>
  <c r="J9856" i="1"/>
  <c r="I9856" i="1"/>
  <c r="H9856" i="1"/>
  <c r="G9856" i="1"/>
  <c r="M9855" i="1"/>
  <c r="L9855" i="1"/>
  <c r="K9855" i="1"/>
  <c r="J9855" i="1"/>
  <c r="I9855" i="1"/>
  <c r="H9855" i="1"/>
  <c r="G9855" i="1"/>
  <c r="M9854" i="1"/>
  <c r="L9854" i="1"/>
  <c r="K9854" i="1"/>
  <c r="J9854" i="1"/>
  <c r="I9854" i="1"/>
  <c r="H9854" i="1"/>
  <c r="G9854" i="1"/>
  <c r="M9853" i="1"/>
  <c r="L9853" i="1"/>
  <c r="K9853" i="1"/>
  <c r="J9853" i="1"/>
  <c r="I9853" i="1"/>
  <c r="H9853" i="1"/>
  <c r="G9853" i="1"/>
  <c r="M9852" i="1"/>
  <c r="L9852" i="1"/>
  <c r="K9852" i="1"/>
  <c r="J9852" i="1"/>
  <c r="I9852" i="1"/>
  <c r="H9852" i="1"/>
  <c r="G9852" i="1"/>
  <c r="M9851" i="1"/>
  <c r="L9851" i="1"/>
  <c r="K9851" i="1"/>
  <c r="J9851" i="1"/>
  <c r="I9851" i="1"/>
  <c r="H9851" i="1"/>
  <c r="G9851" i="1"/>
  <c r="M9850" i="1"/>
  <c r="L9850" i="1"/>
  <c r="K9850" i="1"/>
  <c r="J9850" i="1"/>
  <c r="I9850" i="1"/>
  <c r="H9850" i="1"/>
  <c r="G9850" i="1"/>
  <c r="M9849" i="1"/>
  <c r="L9849" i="1"/>
  <c r="K9849" i="1"/>
  <c r="J9849" i="1"/>
  <c r="I9849" i="1"/>
  <c r="H9849" i="1"/>
  <c r="G9849" i="1"/>
  <c r="M9848" i="1"/>
  <c r="L9848" i="1"/>
  <c r="K9848" i="1"/>
  <c r="J9848" i="1"/>
  <c r="I9848" i="1"/>
  <c r="H9848" i="1"/>
  <c r="G9848" i="1"/>
  <c r="M9847" i="1"/>
  <c r="L9847" i="1"/>
  <c r="K9847" i="1"/>
  <c r="J9847" i="1"/>
  <c r="I9847" i="1"/>
  <c r="H9847" i="1"/>
  <c r="G9847" i="1"/>
  <c r="M9846" i="1"/>
  <c r="L9846" i="1"/>
  <c r="K9846" i="1"/>
  <c r="J9846" i="1"/>
  <c r="I9846" i="1"/>
  <c r="H9846" i="1"/>
  <c r="G9846" i="1"/>
  <c r="M9845" i="1"/>
  <c r="L9845" i="1"/>
  <c r="K9845" i="1"/>
  <c r="J9845" i="1"/>
  <c r="I9845" i="1"/>
  <c r="H9845" i="1"/>
  <c r="G9845" i="1"/>
  <c r="M9844" i="1"/>
  <c r="L9844" i="1"/>
  <c r="K9844" i="1"/>
  <c r="J9844" i="1"/>
  <c r="I9844" i="1"/>
  <c r="H9844" i="1"/>
  <c r="G9844" i="1"/>
  <c r="M9843" i="1"/>
  <c r="L9843" i="1"/>
  <c r="K9843" i="1"/>
  <c r="J9843" i="1"/>
  <c r="I9843" i="1"/>
  <c r="H9843" i="1"/>
  <c r="G9843" i="1"/>
  <c r="M9842" i="1"/>
  <c r="L9842" i="1"/>
  <c r="K9842" i="1"/>
  <c r="J9842" i="1"/>
  <c r="I9842" i="1"/>
  <c r="H9842" i="1"/>
  <c r="G9842" i="1"/>
  <c r="M9841" i="1"/>
  <c r="L9841" i="1"/>
  <c r="K9841" i="1"/>
  <c r="J9841" i="1"/>
  <c r="I9841" i="1"/>
  <c r="H9841" i="1"/>
  <c r="G9841" i="1"/>
  <c r="M9840" i="1"/>
  <c r="L9840" i="1"/>
  <c r="K9840" i="1"/>
  <c r="J9840" i="1"/>
  <c r="I9840" i="1"/>
  <c r="H9840" i="1"/>
  <c r="G9840" i="1"/>
  <c r="M9839" i="1"/>
  <c r="L9839" i="1"/>
  <c r="K9839" i="1"/>
  <c r="J9839" i="1"/>
  <c r="I9839" i="1"/>
  <c r="H9839" i="1"/>
  <c r="G9839" i="1"/>
  <c r="M9838" i="1"/>
  <c r="L9838" i="1"/>
  <c r="K9838" i="1"/>
  <c r="J9838" i="1"/>
  <c r="I9838" i="1"/>
  <c r="H9838" i="1"/>
  <c r="G9838" i="1"/>
  <c r="M9837" i="1"/>
  <c r="L9837" i="1"/>
  <c r="K9837" i="1"/>
  <c r="J9837" i="1"/>
  <c r="I9837" i="1"/>
  <c r="H9837" i="1"/>
  <c r="G9837" i="1"/>
  <c r="M9836" i="1"/>
  <c r="L9836" i="1"/>
  <c r="K9836" i="1"/>
  <c r="J9836" i="1"/>
  <c r="I9836" i="1"/>
  <c r="H9836" i="1"/>
  <c r="G9836" i="1"/>
  <c r="M9835" i="1"/>
  <c r="L9835" i="1"/>
  <c r="K9835" i="1"/>
  <c r="J9835" i="1"/>
  <c r="I9835" i="1"/>
  <c r="H9835" i="1"/>
  <c r="G9835" i="1"/>
  <c r="M9834" i="1"/>
  <c r="L9834" i="1"/>
  <c r="K9834" i="1"/>
  <c r="J9834" i="1"/>
  <c r="I9834" i="1"/>
  <c r="H9834" i="1"/>
  <c r="G9834" i="1"/>
  <c r="M9833" i="1"/>
  <c r="L9833" i="1"/>
  <c r="K9833" i="1"/>
  <c r="J9833" i="1"/>
  <c r="I9833" i="1"/>
  <c r="H9833" i="1"/>
  <c r="G9833" i="1"/>
  <c r="M9832" i="1"/>
  <c r="L9832" i="1"/>
  <c r="K9832" i="1"/>
  <c r="J9832" i="1"/>
  <c r="I9832" i="1"/>
  <c r="H9832" i="1"/>
  <c r="G9832" i="1"/>
  <c r="M9831" i="1"/>
  <c r="L9831" i="1"/>
  <c r="K9831" i="1"/>
  <c r="J9831" i="1"/>
  <c r="I9831" i="1"/>
  <c r="H9831" i="1"/>
  <c r="G9831" i="1"/>
  <c r="M9830" i="1"/>
  <c r="L9830" i="1"/>
  <c r="K9830" i="1"/>
  <c r="J9830" i="1"/>
  <c r="I9830" i="1"/>
  <c r="H9830" i="1"/>
  <c r="G9830" i="1"/>
  <c r="M9829" i="1"/>
  <c r="L9829" i="1"/>
  <c r="K9829" i="1"/>
  <c r="J9829" i="1"/>
  <c r="I9829" i="1"/>
  <c r="H9829" i="1"/>
  <c r="G9829" i="1"/>
  <c r="M9828" i="1"/>
  <c r="L9828" i="1"/>
  <c r="K9828" i="1"/>
  <c r="J9828" i="1"/>
  <c r="I9828" i="1"/>
  <c r="H9828" i="1"/>
  <c r="G9828" i="1"/>
  <c r="M9827" i="1"/>
  <c r="L9827" i="1"/>
  <c r="K9827" i="1"/>
  <c r="J9827" i="1"/>
  <c r="I9827" i="1"/>
  <c r="H9827" i="1"/>
  <c r="G9827" i="1"/>
  <c r="M9826" i="1"/>
  <c r="L9826" i="1"/>
  <c r="K9826" i="1"/>
  <c r="J9826" i="1"/>
  <c r="I9826" i="1"/>
  <c r="H9826" i="1"/>
  <c r="G9826" i="1"/>
  <c r="M9825" i="1"/>
  <c r="L9825" i="1"/>
  <c r="K9825" i="1"/>
  <c r="J9825" i="1"/>
  <c r="I9825" i="1"/>
  <c r="H9825" i="1"/>
  <c r="G9825" i="1"/>
  <c r="M9824" i="1"/>
  <c r="L9824" i="1"/>
  <c r="K9824" i="1"/>
  <c r="J9824" i="1"/>
  <c r="I9824" i="1"/>
  <c r="H9824" i="1"/>
  <c r="G9824" i="1"/>
  <c r="M9823" i="1"/>
  <c r="L9823" i="1"/>
  <c r="K9823" i="1"/>
  <c r="J9823" i="1"/>
  <c r="I9823" i="1"/>
  <c r="H9823" i="1"/>
  <c r="G9823" i="1"/>
  <c r="M9822" i="1"/>
  <c r="L9822" i="1"/>
  <c r="K9822" i="1"/>
  <c r="J9822" i="1"/>
  <c r="I9822" i="1"/>
  <c r="H9822" i="1"/>
  <c r="G9822" i="1"/>
  <c r="M9821" i="1"/>
  <c r="L9821" i="1"/>
  <c r="K9821" i="1"/>
  <c r="J9821" i="1"/>
  <c r="I9821" i="1"/>
  <c r="H9821" i="1"/>
  <c r="G9821" i="1"/>
  <c r="M9820" i="1"/>
  <c r="L9820" i="1"/>
  <c r="K9820" i="1"/>
  <c r="J9820" i="1"/>
  <c r="I9820" i="1"/>
  <c r="H9820" i="1"/>
  <c r="G9820" i="1"/>
  <c r="M9819" i="1"/>
  <c r="L9819" i="1"/>
  <c r="K9819" i="1"/>
  <c r="J9819" i="1"/>
  <c r="I9819" i="1"/>
  <c r="H9819" i="1"/>
  <c r="G9819" i="1"/>
  <c r="M9818" i="1"/>
  <c r="L9818" i="1"/>
  <c r="K9818" i="1"/>
  <c r="J9818" i="1"/>
  <c r="I9818" i="1"/>
  <c r="H9818" i="1"/>
  <c r="G9818" i="1"/>
  <c r="M9817" i="1"/>
  <c r="L9817" i="1"/>
  <c r="K9817" i="1"/>
  <c r="J9817" i="1"/>
  <c r="I9817" i="1"/>
  <c r="H9817" i="1"/>
  <c r="G9817" i="1"/>
  <c r="M9816" i="1"/>
  <c r="L9816" i="1"/>
  <c r="K9816" i="1"/>
  <c r="J9816" i="1"/>
  <c r="I9816" i="1"/>
  <c r="H9816" i="1"/>
  <c r="G9816" i="1"/>
  <c r="M9815" i="1"/>
  <c r="L9815" i="1"/>
  <c r="K9815" i="1"/>
  <c r="J9815" i="1"/>
  <c r="I9815" i="1"/>
  <c r="H9815" i="1"/>
  <c r="G9815" i="1"/>
  <c r="M9814" i="1"/>
  <c r="L9814" i="1"/>
  <c r="K9814" i="1"/>
  <c r="J9814" i="1"/>
  <c r="I9814" i="1"/>
  <c r="H9814" i="1"/>
  <c r="G9814" i="1"/>
  <c r="M9813" i="1"/>
  <c r="L9813" i="1"/>
  <c r="K9813" i="1"/>
  <c r="J9813" i="1"/>
  <c r="I9813" i="1"/>
  <c r="H9813" i="1"/>
  <c r="G9813" i="1"/>
  <c r="M9812" i="1"/>
  <c r="L9812" i="1"/>
  <c r="K9812" i="1"/>
  <c r="J9812" i="1"/>
  <c r="I9812" i="1"/>
  <c r="H9812" i="1"/>
  <c r="G9812" i="1"/>
  <c r="M9811" i="1"/>
  <c r="L9811" i="1"/>
  <c r="K9811" i="1"/>
  <c r="J9811" i="1"/>
  <c r="I9811" i="1"/>
  <c r="H9811" i="1"/>
  <c r="G9811" i="1"/>
  <c r="M9810" i="1"/>
  <c r="L9810" i="1"/>
  <c r="K9810" i="1"/>
  <c r="J9810" i="1"/>
  <c r="I9810" i="1"/>
  <c r="H9810" i="1"/>
  <c r="G9810" i="1"/>
  <c r="M9809" i="1"/>
  <c r="L9809" i="1"/>
  <c r="K9809" i="1"/>
  <c r="J9809" i="1"/>
  <c r="I9809" i="1"/>
  <c r="H9809" i="1"/>
  <c r="G9809" i="1"/>
  <c r="M9808" i="1"/>
  <c r="L9808" i="1"/>
  <c r="K9808" i="1"/>
  <c r="J9808" i="1"/>
  <c r="I9808" i="1"/>
  <c r="H9808" i="1"/>
  <c r="G9808" i="1"/>
  <c r="M9807" i="1"/>
  <c r="L9807" i="1"/>
  <c r="K9807" i="1"/>
  <c r="J9807" i="1"/>
  <c r="I9807" i="1"/>
  <c r="H9807" i="1"/>
  <c r="G9807" i="1"/>
  <c r="M9806" i="1"/>
  <c r="L9806" i="1"/>
  <c r="K9806" i="1"/>
  <c r="J9806" i="1"/>
  <c r="I9806" i="1"/>
  <c r="H9806" i="1"/>
  <c r="G9806" i="1"/>
  <c r="M9805" i="1"/>
  <c r="L9805" i="1"/>
  <c r="K9805" i="1"/>
  <c r="J9805" i="1"/>
  <c r="I9805" i="1"/>
  <c r="H9805" i="1"/>
  <c r="G9805" i="1"/>
  <c r="M9804" i="1"/>
  <c r="L9804" i="1"/>
  <c r="K9804" i="1"/>
  <c r="J9804" i="1"/>
  <c r="I9804" i="1"/>
  <c r="H9804" i="1"/>
  <c r="G9804" i="1"/>
  <c r="M9803" i="1"/>
  <c r="L9803" i="1"/>
  <c r="K9803" i="1"/>
  <c r="J9803" i="1"/>
  <c r="I9803" i="1"/>
  <c r="H9803" i="1"/>
  <c r="G9803" i="1"/>
  <c r="M9802" i="1"/>
  <c r="L9802" i="1"/>
  <c r="K9802" i="1"/>
  <c r="J9802" i="1"/>
  <c r="I9802" i="1"/>
  <c r="H9802" i="1"/>
  <c r="G9802" i="1"/>
  <c r="M9801" i="1"/>
  <c r="L9801" i="1"/>
  <c r="K9801" i="1"/>
  <c r="J9801" i="1"/>
  <c r="I9801" i="1"/>
  <c r="H9801" i="1"/>
  <c r="G9801" i="1"/>
  <c r="M9800" i="1"/>
  <c r="L9800" i="1"/>
  <c r="K9800" i="1"/>
  <c r="J9800" i="1"/>
  <c r="I9800" i="1"/>
  <c r="H9800" i="1"/>
  <c r="G9800" i="1"/>
  <c r="M9799" i="1"/>
  <c r="L9799" i="1"/>
  <c r="K9799" i="1"/>
  <c r="J9799" i="1"/>
  <c r="I9799" i="1"/>
  <c r="H9799" i="1"/>
  <c r="G9799" i="1"/>
  <c r="M9798" i="1"/>
  <c r="L9798" i="1"/>
  <c r="K9798" i="1"/>
  <c r="J9798" i="1"/>
  <c r="I9798" i="1"/>
  <c r="H9798" i="1"/>
  <c r="G9798" i="1"/>
  <c r="M9797" i="1"/>
  <c r="L9797" i="1"/>
  <c r="K9797" i="1"/>
  <c r="J9797" i="1"/>
  <c r="I9797" i="1"/>
  <c r="H9797" i="1"/>
  <c r="G9797" i="1"/>
  <c r="M9796" i="1"/>
  <c r="L9796" i="1"/>
  <c r="K9796" i="1"/>
  <c r="J9796" i="1"/>
  <c r="I9796" i="1"/>
  <c r="H9796" i="1"/>
  <c r="G9796" i="1"/>
  <c r="M9795" i="1"/>
  <c r="L9795" i="1"/>
  <c r="K9795" i="1"/>
  <c r="J9795" i="1"/>
  <c r="I9795" i="1"/>
  <c r="H9795" i="1"/>
  <c r="G9795" i="1"/>
  <c r="M9794" i="1"/>
  <c r="L9794" i="1"/>
  <c r="K9794" i="1"/>
  <c r="J9794" i="1"/>
  <c r="I9794" i="1"/>
  <c r="H9794" i="1"/>
  <c r="G9794" i="1"/>
  <c r="M9793" i="1"/>
  <c r="L9793" i="1"/>
  <c r="K9793" i="1"/>
  <c r="J9793" i="1"/>
  <c r="I9793" i="1"/>
  <c r="H9793" i="1"/>
  <c r="G9793" i="1"/>
  <c r="M9792" i="1"/>
  <c r="L9792" i="1"/>
  <c r="K9792" i="1"/>
  <c r="J9792" i="1"/>
  <c r="I9792" i="1"/>
  <c r="H9792" i="1"/>
  <c r="G9792" i="1"/>
  <c r="M9791" i="1"/>
  <c r="L9791" i="1"/>
  <c r="K9791" i="1"/>
  <c r="J9791" i="1"/>
  <c r="I9791" i="1"/>
  <c r="H9791" i="1"/>
  <c r="G9791" i="1"/>
  <c r="M9790" i="1"/>
  <c r="L9790" i="1"/>
  <c r="K9790" i="1"/>
  <c r="J9790" i="1"/>
  <c r="I9790" i="1"/>
  <c r="H9790" i="1"/>
  <c r="G9790" i="1"/>
  <c r="M9789" i="1"/>
  <c r="L9789" i="1"/>
  <c r="K9789" i="1"/>
  <c r="J9789" i="1"/>
  <c r="I9789" i="1"/>
  <c r="H9789" i="1"/>
  <c r="G9789" i="1"/>
  <c r="M9788" i="1"/>
  <c r="L9788" i="1"/>
  <c r="K9788" i="1"/>
  <c r="J9788" i="1"/>
  <c r="I9788" i="1"/>
  <c r="H9788" i="1"/>
  <c r="G9788" i="1"/>
  <c r="M9787" i="1"/>
  <c r="L9787" i="1"/>
  <c r="K9787" i="1"/>
  <c r="J9787" i="1"/>
  <c r="I9787" i="1"/>
  <c r="H9787" i="1"/>
  <c r="G9787" i="1"/>
  <c r="M9786" i="1"/>
  <c r="L9786" i="1"/>
  <c r="K9786" i="1"/>
  <c r="J9786" i="1"/>
  <c r="I9786" i="1"/>
  <c r="H9786" i="1"/>
  <c r="G9786" i="1"/>
  <c r="M9785" i="1"/>
  <c r="L9785" i="1"/>
  <c r="K9785" i="1"/>
  <c r="J9785" i="1"/>
  <c r="I9785" i="1"/>
  <c r="H9785" i="1"/>
  <c r="G9785" i="1"/>
  <c r="M9784" i="1"/>
  <c r="L9784" i="1"/>
  <c r="K9784" i="1"/>
  <c r="J9784" i="1"/>
  <c r="I9784" i="1"/>
  <c r="H9784" i="1"/>
  <c r="G9784" i="1"/>
  <c r="M9783" i="1"/>
  <c r="L9783" i="1"/>
  <c r="K9783" i="1"/>
  <c r="J9783" i="1"/>
  <c r="I9783" i="1"/>
  <c r="H9783" i="1"/>
  <c r="G9783" i="1"/>
  <c r="M9782" i="1"/>
  <c r="L9782" i="1"/>
  <c r="K9782" i="1"/>
  <c r="J9782" i="1"/>
  <c r="I9782" i="1"/>
  <c r="H9782" i="1"/>
  <c r="G9782" i="1"/>
  <c r="M9781" i="1"/>
  <c r="L9781" i="1"/>
  <c r="K9781" i="1"/>
  <c r="J9781" i="1"/>
  <c r="I9781" i="1"/>
  <c r="H9781" i="1"/>
  <c r="G9781" i="1"/>
  <c r="M9780" i="1"/>
  <c r="L9780" i="1"/>
  <c r="K9780" i="1"/>
  <c r="J9780" i="1"/>
  <c r="I9780" i="1"/>
  <c r="H9780" i="1"/>
  <c r="G9780" i="1"/>
  <c r="M9779" i="1"/>
  <c r="L9779" i="1"/>
  <c r="K9779" i="1"/>
  <c r="J9779" i="1"/>
  <c r="I9779" i="1"/>
  <c r="H9779" i="1"/>
  <c r="G9779" i="1"/>
  <c r="M9778" i="1"/>
  <c r="L9778" i="1"/>
  <c r="K9778" i="1"/>
  <c r="J9778" i="1"/>
  <c r="I9778" i="1"/>
  <c r="H9778" i="1"/>
  <c r="G9778" i="1"/>
  <c r="M9777" i="1"/>
  <c r="L9777" i="1"/>
  <c r="K9777" i="1"/>
  <c r="J9777" i="1"/>
  <c r="I9777" i="1"/>
  <c r="H9777" i="1"/>
  <c r="G9777" i="1"/>
  <c r="M9776" i="1"/>
  <c r="L9776" i="1"/>
  <c r="K9776" i="1"/>
  <c r="J9776" i="1"/>
  <c r="I9776" i="1"/>
  <c r="H9776" i="1"/>
  <c r="G9776" i="1"/>
  <c r="M9775" i="1"/>
  <c r="L9775" i="1"/>
  <c r="K9775" i="1"/>
  <c r="J9775" i="1"/>
  <c r="I9775" i="1"/>
  <c r="H9775" i="1"/>
  <c r="G9775" i="1"/>
  <c r="M9774" i="1"/>
  <c r="L9774" i="1"/>
  <c r="K9774" i="1"/>
  <c r="J9774" i="1"/>
  <c r="I9774" i="1"/>
  <c r="H9774" i="1"/>
  <c r="G9774" i="1"/>
  <c r="M9773" i="1"/>
  <c r="L9773" i="1"/>
  <c r="K9773" i="1"/>
  <c r="J9773" i="1"/>
  <c r="I9773" i="1"/>
  <c r="H9773" i="1"/>
  <c r="G9773" i="1"/>
  <c r="M9772" i="1"/>
  <c r="L9772" i="1"/>
  <c r="K9772" i="1"/>
  <c r="J9772" i="1"/>
  <c r="I9772" i="1"/>
  <c r="H9772" i="1"/>
  <c r="G9772" i="1"/>
  <c r="M9771" i="1"/>
  <c r="L9771" i="1"/>
  <c r="K9771" i="1"/>
  <c r="J9771" i="1"/>
  <c r="I9771" i="1"/>
  <c r="H9771" i="1"/>
  <c r="G9771" i="1"/>
  <c r="M9770" i="1"/>
  <c r="L9770" i="1"/>
  <c r="K9770" i="1"/>
  <c r="J9770" i="1"/>
  <c r="I9770" i="1"/>
  <c r="H9770" i="1"/>
  <c r="G9770" i="1"/>
  <c r="M9769" i="1"/>
  <c r="L9769" i="1"/>
  <c r="K9769" i="1"/>
  <c r="J9769" i="1"/>
  <c r="I9769" i="1"/>
  <c r="H9769" i="1"/>
  <c r="G9769" i="1"/>
  <c r="M9768" i="1"/>
  <c r="L9768" i="1"/>
  <c r="K9768" i="1"/>
  <c r="J9768" i="1"/>
  <c r="I9768" i="1"/>
  <c r="H9768" i="1"/>
  <c r="G9768" i="1"/>
  <c r="M9767" i="1"/>
  <c r="L9767" i="1"/>
  <c r="K9767" i="1"/>
  <c r="J9767" i="1"/>
  <c r="I9767" i="1"/>
  <c r="H9767" i="1"/>
  <c r="G9767" i="1"/>
  <c r="M9766" i="1"/>
  <c r="L9766" i="1"/>
  <c r="K9766" i="1"/>
  <c r="J9766" i="1"/>
  <c r="I9766" i="1"/>
  <c r="H9766" i="1"/>
  <c r="G9766" i="1"/>
  <c r="M9765" i="1"/>
  <c r="L9765" i="1"/>
  <c r="K9765" i="1"/>
  <c r="J9765" i="1"/>
  <c r="I9765" i="1"/>
  <c r="H9765" i="1"/>
  <c r="G9765" i="1"/>
  <c r="M9764" i="1"/>
  <c r="L9764" i="1"/>
  <c r="K9764" i="1"/>
  <c r="J9764" i="1"/>
  <c r="I9764" i="1"/>
  <c r="H9764" i="1"/>
  <c r="G9764" i="1"/>
  <c r="M9763" i="1"/>
  <c r="L9763" i="1"/>
  <c r="K9763" i="1"/>
  <c r="J9763" i="1"/>
  <c r="I9763" i="1"/>
  <c r="H9763" i="1"/>
  <c r="G9763" i="1"/>
  <c r="M9762" i="1"/>
  <c r="L9762" i="1"/>
  <c r="K9762" i="1"/>
  <c r="J9762" i="1"/>
  <c r="I9762" i="1"/>
  <c r="H9762" i="1"/>
  <c r="G9762" i="1"/>
  <c r="M9761" i="1"/>
  <c r="L9761" i="1"/>
  <c r="K9761" i="1"/>
  <c r="J9761" i="1"/>
  <c r="I9761" i="1"/>
  <c r="H9761" i="1"/>
  <c r="G9761" i="1"/>
  <c r="M9760" i="1"/>
  <c r="L9760" i="1"/>
  <c r="K9760" i="1"/>
  <c r="J9760" i="1"/>
  <c r="I9760" i="1"/>
  <c r="H9760" i="1"/>
  <c r="G9760" i="1"/>
  <c r="M9759" i="1"/>
  <c r="L9759" i="1"/>
  <c r="K9759" i="1"/>
  <c r="J9759" i="1"/>
  <c r="I9759" i="1"/>
  <c r="H9759" i="1"/>
  <c r="G9759" i="1"/>
  <c r="M9758" i="1"/>
  <c r="L9758" i="1"/>
  <c r="K9758" i="1"/>
  <c r="J9758" i="1"/>
  <c r="I9758" i="1"/>
  <c r="H9758" i="1"/>
  <c r="G9758" i="1"/>
  <c r="M9757" i="1"/>
  <c r="L9757" i="1"/>
  <c r="K9757" i="1"/>
  <c r="J9757" i="1"/>
  <c r="I9757" i="1"/>
  <c r="H9757" i="1"/>
  <c r="G9757" i="1"/>
  <c r="M9756" i="1"/>
  <c r="L9756" i="1"/>
  <c r="K9756" i="1"/>
  <c r="J9756" i="1"/>
  <c r="I9756" i="1"/>
  <c r="H9756" i="1"/>
  <c r="G9756" i="1"/>
  <c r="M9755" i="1"/>
  <c r="L9755" i="1"/>
  <c r="K9755" i="1"/>
  <c r="J9755" i="1"/>
  <c r="I9755" i="1"/>
  <c r="H9755" i="1"/>
  <c r="G9755" i="1"/>
  <c r="M9754" i="1"/>
  <c r="L9754" i="1"/>
  <c r="K9754" i="1"/>
  <c r="J9754" i="1"/>
  <c r="I9754" i="1"/>
  <c r="H9754" i="1"/>
  <c r="G9754" i="1"/>
  <c r="M9753" i="1"/>
  <c r="L9753" i="1"/>
  <c r="K9753" i="1"/>
  <c r="J9753" i="1"/>
  <c r="I9753" i="1"/>
  <c r="H9753" i="1"/>
  <c r="G9753" i="1"/>
  <c r="M9752" i="1"/>
  <c r="L9752" i="1"/>
  <c r="K9752" i="1"/>
  <c r="J9752" i="1"/>
  <c r="I9752" i="1"/>
  <c r="H9752" i="1"/>
  <c r="G9752" i="1"/>
  <c r="M9751" i="1"/>
  <c r="L9751" i="1"/>
  <c r="K9751" i="1"/>
  <c r="J9751" i="1"/>
  <c r="I9751" i="1"/>
  <c r="H9751" i="1"/>
  <c r="G9751" i="1"/>
  <c r="M9750" i="1"/>
  <c r="L9750" i="1"/>
  <c r="K9750" i="1"/>
  <c r="J9750" i="1"/>
  <c r="I9750" i="1"/>
  <c r="H9750" i="1"/>
  <c r="G9750" i="1"/>
  <c r="M9749" i="1"/>
  <c r="L9749" i="1"/>
  <c r="K9749" i="1"/>
  <c r="J9749" i="1"/>
  <c r="I9749" i="1"/>
  <c r="H9749" i="1"/>
  <c r="G9749" i="1"/>
  <c r="M9748" i="1"/>
  <c r="L9748" i="1"/>
  <c r="K9748" i="1"/>
  <c r="J9748" i="1"/>
  <c r="I9748" i="1"/>
  <c r="H9748" i="1"/>
  <c r="G9748" i="1"/>
  <c r="M9747" i="1"/>
  <c r="L9747" i="1"/>
  <c r="K9747" i="1"/>
  <c r="J9747" i="1"/>
  <c r="I9747" i="1"/>
  <c r="H9747" i="1"/>
  <c r="G9747" i="1"/>
  <c r="M9746" i="1"/>
  <c r="L9746" i="1"/>
  <c r="K9746" i="1"/>
  <c r="J9746" i="1"/>
  <c r="I9746" i="1"/>
  <c r="H9746" i="1"/>
  <c r="G9746" i="1"/>
  <c r="M9745" i="1"/>
  <c r="L9745" i="1"/>
  <c r="K9745" i="1"/>
  <c r="J9745" i="1"/>
  <c r="I9745" i="1"/>
  <c r="H9745" i="1"/>
  <c r="G9745" i="1"/>
  <c r="M9744" i="1"/>
  <c r="L9744" i="1"/>
  <c r="K9744" i="1"/>
  <c r="J9744" i="1"/>
  <c r="I9744" i="1"/>
  <c r="H9744" i="1"/>
  <c r="G9744" i="1"/>
  <c r="M9743" i="1"/>
  <c r="L9743" i="1"/>
  <c r="K9743" i="1"/>
  <c r="J9743" i="1"/>
  <c r="I9743" i="1"/>
  <c r="H9743" i="1"/>
  <c r="G9743" i="1"/>
  <c r="M9742" i="1"/>
  <c r="L9742" i="1"/>
  <c r="K9742" i="1"/>
  <c r="J9742" i="1"/>
  <c r="I9742" i="1"/>
  <c r="H9742" i="1"/>
  <c r="G9742" i="1"/>
  <c r="M9741" i="1"/>
  <c r="L9741" i="1"/>
  <c r="K9741" i="1"/>
  <c r="J9741" i="1"/>
  <c r="I9741" i="1"/>
  <c r="H9741" i="1"/>
  <c r="G9741" i="1"/>
  <c r="M9740" i="1"/>
  <c r="L9740" i="1"/>
  <c r="K9740" i="1"/>
  <c r="J9740" i="1"/>
  <c r="I9740" i="1"/>
  <c r="H9740" i="1"/>
  <c r="G9740" i="1"/>
  <c r="M9739" i="1"/>
  <c r="L9739" i="1"/>
  <c r="K9739" i="1"/>
  <c r="J9739" i="1"/>
  <c r="I9739" i="1"/>
  <c r="H9739" i="1"/>
  <c r="G9739" i="1"/>
  <c r="M9738" i="1"/>
  <c r="L9738" i="1"/>
  <c r="K9738" i="1"/>
  <c r="J9738" i="1"/>
  <c r="I9738" i="1"/>
  <c r="H9738" i="1"/>
  <c r="G9738" i="1"/>
  <c r="M9737" i="1"/>
  <c r="L9737" i="1"/>
  <c r="K9737" i="1"/>
  <c r="J9737" i="1"/>
  <c r="I9737" i="1"/>
  <c r="H9737" i="1"/>
  <c r="G9737" i="1"/>
  <c r="M9736" i="1"/>
  <c r="L9736" i="1"/>
  <c r="K9736" i="1"/>
  <c r="J9736" i="1"/>
  <c r="I9736" i="1"/>
  <c r="H9736" i="1"/>
  <c r="G9736" i="1"/>
  <c r="M9735" i="1"/>
  <c r="L9735" i="1"/>
  <c r="K9735" i="1"/>
  <c r="J9735" i="1"/>
  <c r="I9735" i="1"/>
  <c r="H9735" i="1"/>
  <c r="G9735" i="1"/>
  <c r="M9734" i="1"/>
  <c r="L9734" i="1"/>
  <c r="K9734" i="1"/>
  <c r="J9734" i="1"/>
  <c r="I9734" i="1"/>
  <c r="H9734" i="1"/>
  <c r="G9734" i="1"/>
  <c r="M9733" i="1"/>
  <c r="L9733" i="1"/>
  <c r="K9733" i="1"/>
  <c r="J9733" i="1"/>
  <c r="I9733" i="1"/>
  <c r="H9733" i="1"/>
  <c r="G9733" i="1"/>
  <c r="M9732" i="1"/>
  <c r="L9732" i="1"/>
  <c r="K9732" i="1"/>
  <c r="J9732" i="1"/>
  <c r="I9732" i="1"/>
  <c r="H9732" i="1"/>
  <c r="G9732" i="1"/>
  <c r="M9731" i="1"/>
  <c r="L9731" i="1"/>
  <c r="K9731" i="1"/>
  <c r="J9731" i="1"/>
  <c r="I9731" i="1"/>
  <c r="H9731" i="1"/>
  <c r="G9731" i="1"/>
  <c r="M9730" i="1"/>
  <c r="L9730" i="1"/>
  <c r="K9730" i="1"/>
  <c r="J9730" i="1"/>
  <c r="I9730" i="1"/>
  <c r="H9730" i="1"/>
  <c r="G9730" i="1"/>
  <c r="M9729" i="1"/>
  <c r="L9729" i="1"/>
  <c r="K9729" i="1"/>
  <c r="J9729" i="1"/>
  <c r="I9729" i="1"/>
  <c r="H9729" i="1"/>
  <c r="G9729" i="1"/>
  <c r="M9728" i="1"/>
  <c r="L9728" i="1"/>
  <c r="K9728" i="1"/>
  <c r="J9728" i="1"/>
  <c r="I9728" i="1"/>
  <c r="H9728" i="1"/>
  <c r="G9728" i="1"/>
  <c r="M9727" i="1"/>
  <c r="L9727" i="1"/>
  <c r="K9727" i="1"/>
  <c r="J9727" i="1"/>
  <c r="I9727" i="1"/>
  <c r="H9727" i="1"/>
  <c r="G9727" i="1"/>
  <c r="M9726" i="1"/>
  <c r="L9726" i="1"/>
  <c r="K9726" i="1"/>
  <c r="J9726" i="1"/>
  <c r="I9726" i="1"/>
  <c r="H9726" i="1"/>
  <c r="G9726" i="1"/>
  <c r="M9725" i="1"/>
  <c r="L9725" i="1"/>
  <c r="K9725" i="1"/>
  <c r="J9725" i="1"/>
  <c r="I9725" i="1"/>
  <c r="H9725" i="1"/>
  <c r="G9725" i="1"/>
  <c r="M9724" i="1"/>
  <c r="L9724" i="1"/>
  <c r="K9724" i="1"/>
  <c r="J9724" i="1"/>
  <c r="I9724" i="1"/>
  <c r="H9724" i="1"/>
  <c r="G9724" i="1"/>
  <c r="M9723" i="1"/>
  <c r="L9723" i="1"/>
  <c r="K9723" i="1"/>
  <c r="J9723" i="1"/>
  <c r="I9723" i="1"/>
  <c r="H9723" i="1"/>
  <c r="G9723" i="1"/>
  <c r="M9722" i="1"/>
  <c r="L9722" i="1"/>
  <c r="K9722" i="1"/>
  <c r="J9722" i="1"/>
  <c r="I9722" i="1"/>
  <c r="H9722" i="1"/>
  <c r="G9722" i="1"/>
  <c r="M9721" i="1"/>
  <c r="L9721" i="1"/>
  <c r="K9721" i="1"/>
  <c r="J9721" i="1"/>
  <c r="I9721" i="1"/>
  <c r="H9721" i="1"/>
  <c r="G9721" i="1"/>
  <c r="M9720" i="1"/>
  <c r="L9720" i="1"/>
  <c r="K9720" i="1"/>
  <c r="J9720" i="1"/>
  <c r="I9720" i="1"/>
  <c r="H9720" i="1"/>
  <c r="G9720" i="1"/>
  <c r="M9719" i="1"/>
  <c r="L9719" i="1"/>
  <c r="K9719" i="1"/>
  <c r="J9719" i="1"/>
  <c r="I9719" i="1"/>
  <c r="H9719" i="1"/>
  <c r="G9719" i="1"/>
  <c r="M9718" i="1"/>
  <c r="L9718" i="1"/>
  <c r="K9718" i="1"/>
  <c r="J9718" i="1"/>
  <c r="I9718" i="1"/>
  <c r="H9718" i="1"/>
  <c r="G9718" i="1"/>
  <c r="M9717" i="1"/>
  <c r="L9717" i="1"/>
  <c r="K9717" i="1"/>
  <c r="J9717" i="1"/>
  <c r="I9717" i="1"/>
  <c r="H9717" i="1"/>
  <c r="G9717" i="1"/>
  <c r="M9716" i="1"/>
  <c r="L9716" i="1"/>
  <c r="K9716" i="1"/>
  <c r="J9716" i="1"/>
  <c r="I9716" i="1"/>
  <c r="H9716" i="1"/>
  <c r="G9716" i="1"/>
  <c r="M9715" i="1"/>
  <c r="L9715" i="1"/>
  <c r="K9715" i="1"/>
  <c r="J9715" i="1"/>
  <c r="I9715" i="1"/>
  <c r="H9715" i="1"/>
  <c r="G9715" i="1"/>
  <c r="M9714" i="1"/>
  <c r="L9714" i="1"/>
  <c r="K9714" i="1"/>
  <c r="J9714" i="1"/>
  <c r="I9714" i="1"/>
  <c r="H9714" i="1"/>
  <c r="G9714" i="1"/>
  <c r="M9713" i="1"/>
  <c r="L9713" i="1"/>
  <c r="K9713" i="1"/>
  <c r="J9713" i="1"/>
  <c r="I9713" i="1"/>
  <c r="H9713" i="1"/>
  <c r="G9713" i="1"/>
  <c r="M9712" i="1"/>
  <c r="L9712" i="1"/>
  <c r="K9712" i="1"/>
  <c r="J9712" i="1"/>
  <c r="I9712" i="1"/>
  <c r="H9712" i="1"/>
  <c r="G9712" i="1"/>
  <c r="M9711" i="1"/>
  <c r="L9711" i="1"/>
  <c r="K9711" i="1"/>
  <c r="J9711" i="1"/>
  <c r="I9711" i="1"/>
  <c r="H9711" i="1"/>
  <c r="G9711" i="1"/>
  <c r="M9710" i="1"/>
  <c r="L9710" i="1"/>
  <c r="K9710" i="1"/>
  <c r="J9710" i="1"/>
  <c r="I9710" i="1"/>
  <c r="H9710" i="1"/>
  <c r="G9710" i="1"/>
  <c r="M9709" i="1"/>
  <c r="L9709" i="1"/>
  <c r="K9709" i="1"/>
  <c r="J9709" i="1"/>
  <c r="I9709" i="1"/>
  <c r="H9709" i="1"/>
  <c r="G9709" i="1"/>
  <c r="M9708" i="1"/>
  <c r="L9708" i="1"/>
  <c r="K9708" i="1"/>
  <c r="J9708" i="1"/>
  <c r="I9708" i="1"/>
  <c r="H9708" i="1"/>
  <c r="G9708" i="1"/>
  <c r="M9707" i="1"/>
  <c r="L9707" i="1"/>
  <c r="K9707" i="1"/>
  <c r="J9707" i="1"/>
  <c r="I9707" i="1"/>
  <c r="H9707" i="1"/>
  <c r="G9707" i="1"/>
  <c r="M9706" i="1"/>
  <c r="L9706" i="1"/>
  <c r="K9706" i="1"/>
  <c r="J9706" i="1"/>
  <c r="I9706" i="1"/>
  <c r="H9706" i="1"/>
  <c r="G9706" i="1"/>
  <c r="M9705" i="1"/>
  <c r="L9705" i="1"/>
  <c r="K9705" i="1"/>
  <c r="J9705" i="1"/>
  <c r="I9705" i="1"/>
  <c r="H9705" i="1"/>
  <c r="G9705" i="1"/>
  <c r="M9704" i="1"/>
  <c r="L9704" i="1"/>
  <c r="K9704" i="1"/>
  <c r="J9704" i="1"/>
  <c r="I9704" i="1"/>
  <c r="H9704" i="1"/>
  <c r="G9704" i="1"/>
  <c r="M9703" i="1"/>
  <c r="L9703" i="1"/>
  <c r="K9703" i="1"/>
  <c r="J9703" i="1"/>
  <c r="I9703" i="1"/>
  <c r="H9703" i="1"/>
  <c r="G9703" i="1"/>
  <c r="M9702" i="1"/>
  <c r="L9702" i="1"/>
  <c r="K9702" i="1"/>
  <c r="J9702" i="1"/>
  <c r="I9702" i="1"/>
  <c r="H9702" i="1"/>
  <c r="G9702" i="1"/>
  <c r="M9701" i="1"/>
  <c r="L9701" i="1"/>
  <c r="K9701" i="1"/>
  <c r="J9701" i="1"/>
  <c r="I9701" i="1"/>
  <c r="H9701" i="1"/>
  <c r="G9701" i="1"/>
  <c r="M9700" i="1"/>
  <c r="L9700" i="1"/>
  <c r="K9700" i="1"/>
  <c r="J9700" i="1"/>
  <c r="I9700" i="1"/>
  <c r="H9700" i="1"/>
  <c r="G9700" i="1"/>
  <c r="M9699" i="1"/>
  <c r="L9699" i="1"/>
  <c r="K9699" i="1"/>
  <c r="J9699" i="1"/>
  <c r="I9699" i="1"/>
  <c r="H9699" i="1"/>
  <c r="G9699" i="1"/>
  <c r="M9698" i="1"/>
  <c r="L9698" i="1"/>
  <c r="K9698" i="1"/>
  <c r="J9698" i="1"/>
  <c r="I9698" i="1"/>
  <c r="H9698" i="1"/>
  <c r="G9698" i="1"/>
  <c r="M9697" i="1"/>
  <c r="L9697" i="1"/>
  <c r="K9697" i="1"/>
  <c r="J9697" i="1"/>
  <c r="I9697" i="1"/>
  <c r="H9697" i="1"/>
  <c r="G9697" i="1"/>
  <c r="M9696" i="1"/>
  <c r="L9696" i="1"/>
  <c r="K9696" i="1"/>
  <c r="J9696" i="1"/>
  <c r="I9696" i="1"/>
  <c r="H9696" i="1"/>
  <c r="G9696" i="1"/>
  <c r="M9695" i="1"/>
  <c r="L9695" i="1"/>
  <c r="K9695" i="1"/>
  <c r="J9695" i="1"/>
  <c r="I9695" i="1"/>
  <c r="H9695" i="1"/>
  <c r="G9695" i="1"/>
  <c r="M9694" i="1"/>
  <c r="L9694" i="1"/>
  <c r="K9694" i="1"/>
  <c r="J9694" i="1"/>
  <c r="I9694" i="1"/>
  <c r="H9694" i="1"/>
  <c r="G9694" i="1"/>
  <c r="M9693" i="1"/>
  <c r="L9693" i="1"/>
  <c r="K9693" i="1"/>
  <c r="J9693" i="1"/>
  <c r="I9693" i="1"/>
  <c r="H9693" i="1"/>
  <c r="G9693" i="1"/>
  <c r="M9692" i="1"/>
  <c r="L9692" i="1"/>
  <c r="K9692" i="1"/>
  <c r="J9692" i="1"/>
  <c r="I9692" i="1"/>
  <c r="H9692" i="1"/>
  <c r="G9692" i="1"/>
  <c r="M9691" i="1"/>
  <c r="L9691" i="1"/>
  <c r="K9691" i="1"/>
  <c r="J9691" i="1"/>
  <c r="I9691" i="1"/>
  <c r="H9691" i="1"/>
  <c r="G9691" i="1"/>
  <c r="M9690" i="1"/>
  <c r="L9690" i="1"/>
  <c r="K9690" i="1"/>
  <c r="J9690" i="1"/>
  <c r="I9690" i="1"/>
  <c r="H9690" i="1"/>
  <c r="G9690" i="1"/>
  <c r="M9689" i="1"/>
  <c r="L9689" i="1"/>
  <c r="K9689" i="1"/>
  <c r="J9689" i="1"/>
  <c r="I9689" i="1"/>
  <c r="H9689" i="1"/>
  <c r="G9689" i="1"/>
  <c r="M9688" i="1"/>
  <c r="L9688" i="1"/>
  <c r="K9688" i="1"/>
  <c r="J9688" i="1"/>
  <c r="I9688" i="1"/>
  <c r="H9688" i="1"/>
  <c r="G9688" i="1"/>
  <c r="M9687" i="1"/>
  <c r="L9687" i="1"/>
  <c r="K9687" i="1"/>
  <c r="J9687" i="1"/>
  <c r="I9687" i="1"/>
  <c r="H9687" i="1"/>
  <c r="G9687" i="1"/>
  <c r="M9686" i="1"/>
  <c r="L9686" i="1"/>
  <c r="K9686" i="1"/>
  <c r="J9686" i="1"/>
  <c r="I9686" i="1"/>
  <c r="H9686" i="1"/>
  <c r="G9686" i="1"/>
  <c r="M9685" i="1"/>
  <c r="L9685" i="1"/>
  <c r="K9685" i="1"/>
  <c r="J9685" i="1"/>
  <c r="I9685" i="1"/>
  <c r="H9685" i="1"/>
  <c r="G9685" i="1"/>
  <c r="M9684" i="1"/>
  <c r="L9684" i="1"/>
  <c r="K9684" i="1"/>
  <c r="J9684" i="1"/>
  <c r="I9684" i="1"/>
  <c r="H9684" i="1"/>
  <c r="G9684" i="1"/>
  <c r="M9683" i="1"/>
  <c r="L9683" i="1"/>
  <c r="K9683" i="1"/>
  <c r="J9683" i="1"/>
  <c r="I9683" i="1"/>
  <c r="H9683" i="1"/>
  <c r="G9683" i="1"/>
  <c r="M9682" i="1"/>
  <c r="L9682" i="1"/>
  <c r="K9682" i="1"/>
  <c r="J9682" i="1"/>
  <c r="I9682" i="1"/>
  <c r="H9682" i="1"/>
  <c r="G9682" i="1"/>
  <c r="M9681" i="1"/>
  <c r="L9681" i="1"/>
  <c r="K9681" i="1"/>
  <c r="J9681" i="1"/>
  <c r="I9681" i="1"/>
  <c r="H9681" i="1"/>
  <c r="G9681" i="1"/>
  <c r="M9680" i="1"/>
  <c r="L9680" i="1"/>
  <c r="K9680" i="1"/>
  <c r="J9680" i="1"/>
  <c r="I9680" i="1"/>
  <c r="H9680" i="1"/>
  <c r="G9680" i="1"/>
  <c r="M9679" i="1"/>
  <c r="L9679" i="1"/>
  <c r="K9679" i="1"/>
  <c r="J9679" i="1"/>
  <c r="I9679" i="1"/>
  <c r="H9679" i="1"/>
  <c r="G9679" i="1"/>
  <c r="M9678" i="1"/>
  <c r="L9678" i="1"/>
  <c r="K9678" i="1"/>
  <c r="J9678" i="1"/>
  <c r="I9678" i="1"/>
  <c r="H9678" i="1"/>
  <c r="G9678" i="1"/>
  <c r="M9677" i="1"/>
  <c r="L9677" i="1"/>
  <c r="K9677" i="1"/>
  <c r="J9677" i="1"/>
  <c r="I9677" i="1"/>
  <c r="H9677" i="1"/>
  <c r="G9677" i="1"/>
  <c r="M9676" i="1"/>
  <c r="L9676" i="1"/>
  <c r="K9676" i="1"/>
  <c r="J9676" i="1"/>
  <c r="I9676" i="1"/>
  <c r="H9676" i="1"/>
  <c r="G9676" i="1"/>
  <c r="M9675" i="1"/>
  <c r="L9675" i="1"/>
  <c r="K9675" i="1"/>
  <c r="J9675" i="1"/>
  <c r="I9675" i="1"/>
  <c r="H9675" i="1"/>
  <c r="G9675" i="1"/>
  <c r="M9674" i="1"/>
  <c r="L9674" i="1"/>
  <c r="K9674" i="1"/>
  <c r="J9674" i="1"/>
  <c r="I9674" i="1"/>
  <c r="H9674" i="1"/>
  <c r="G9674" i="1"/>
  <c r="M9673" i="1"/>
  <c r="L9673" i="1"/>
  <c r="K9673" i="1"/>
  <c r="J9673" i="1"/>
  <c r="I9673" i="1"/>
  <c r="H9673" i="1"/>
  <c r="G9673" i="1"/>
  <c r="M9672" i="1"/>
  <c r="L9672" i="1"/>
  <c r="K9672" i="1"/>
  <c r="J9672" i="1"/>
  <c r="I9672" i="1"/>
  <c r="H9672" i="1"/>
  <c r="G9672" i="1"/>
  <c r="M9671" i="1"/>
  <c r="L9671" i="1"/>
  <c r="K9671" i="1"/>
  <c r="J9671" i="1"/>
  <c r="I9671" i="1"/>
  <c r="H9671" i="1"/>
  <c r="G9671" i="1"/>
  <c r="M9670" i="1"/>
  <c r="L9670" i="1"/>
  <c r="K9670" i="1"/>
  <c r="J9670" i="1"/>
  <c r="I9670" i="1"/>
  <c r="H9670" i="1"/>
  <c r="G9670" i="1"/>
  <c r="M9669" i="1"/>
  <c r="L9669" i="1"/>
  <c r="K9669" i="1"/>
  <c r="J9669" i="1"/>
  <c r="I9669" i="1"/>
  <c r="H9669" i="1"/>
  <c r="G9669" i="1"/>
  <c r="M9668" i="1"/>
  <c r="L9668" i="1"/>
  <c r="K9668" i="1"/>
  <c r="J9668" i="1"/>
  <c r="I9668" i="1"/>
  <c r="H9668" i="1"/>
  <c r="G9668" i="1"/>
  <c r="M9667" i="1"/>
  <c r="L9667" i="1"/>
  <c r="K9667" i="1"/>
  <c r="J9667" i="1"/>
  <c r="I9667" i="1"/>
  <c r="H9667" i="1"/>
  <c r="G9667" i="1"/>
  <c r="M9666" i="1"/>
  <c r="L9666" i="1"/>
  <c r="K9666" i="1"/>
  <c r="J9666" i="1"/>
  <c r="I9666" i="1"/>
  <c r="H9666" i="1"/>
  <c r="G9666" i="1"/>
  <c r="M9665" i="1"/>
  <c r="L9665" i="1"/>
  <c r="K9665" i="1"/>
  <c r="J9665" i="1"/>
  <c r="I9665" i="1"/>
  <c r="H9665" i="1"/>
  <c r="G9665" i="1"/>
  <c r="M9664" i="1"/>
  <c r="L9664" i="1"/>
  <c r="K9664" i="1"/>
  <c r="J9664" i="1"/>
  <c r="I9664" i="1"/>
  <c r="H9664" i="1"/>
  <c r="G9664" i="1"/>
  <c r="M9663" i="1"/>
  <c r="L9663" i="1"/>
  <c r="K9663" i="1"/>
  <c r="J9663" i="1"/>
  <c r="I9663" i="1"/>
  <c r="H9663" i="1"/>
  <c r="G9663" i="1"/>
  <c r="M9662" i="1"/>
  <c r="L9662" i="1"/>
  <c r="K9662" i="1"/>
  <c r="J9662" i="1"/>
  <c r="I9662" i="1"/>
  <c r="H9662" i="1"/>
  <c r="G9662" i="1"/>
  <c r="M9661" i="1"/>
  <c r="L9661" i="1"/>
  <c r="K9661" i="1"/>
  <c r="J9661" i="1"/>
  <c r="I9661" i="1"/>
  <c r="H9661" i="1"/>
  <c r="G9661" i="1"/>
  <c r="M9660" i="1"/>
  <c r="L9660" i="1"/>
  <c r="K9660" i="1"/>
  <c r="J9660" i="1"/>
  <c r="I9660" i="1"/>
  <c r="H9660" i="1"/>
  <c r="G9660" i="1"/>
  <c r="M9659" i="1"/>
  <c r="L9659" i="1"/>
  <c r="K9659" i="1"/>
  <c r="J9659" i="1"/>
  <c r="I9659" i="1"/>
  <c r="H9659" i="1"/>
  <c r="G9659" i="1"/>
  <c r="M9658" i="1"/>
  <c r="L9658" i="1"/>
  <c r="K9658" i="1"/>
  <c r="J9658" i="1"/>
  <c r="I9658" i="1"/>
  <c r="H9658" i="1"/>
  <c r="G9658" i="1"/>
  <c r="M9657" i="1"/>
  <c r="L9657" i="1"/>
  <c r="K9657" i="1"/>
  <c r="J9657" i="1"/>
  <c r="I9657" i="1"/>
  <c r="H9657" i="1"/>
  <c r="G9657" i="1"/>
  <c r="M9656" i="1"/>
  <c r="L9656" i="1"/>
  <c r="K9656" i="1"/>
  <c r="J9656" i="1"/>
  <c r="I9656" i="1"/>
  <c r="H9656" i="1"/>
  <c r="G9656" i="1"/>
  <c r="M9655" i="1"/>
  <c r="L9655" i="1"/>
  <c r="K9655" i="1"/>
  <c r="J9655" i="1"/>
  <c r="I9655" i="1"/>
  <c r="H9655" i="1"/>
  <c r="G9655" i="1"/>
  <c r="M9654" i="1"/>
  <c r="L9654" i="1"/>
  <c r="K9654" i="1"/>
  <c r="J9654" i="1"/>
  <c r="I9654" i="1"/>
  <c r="H9654" i="1"/>
  <c r="G9654" i="1"/>
  <c r="M9653" i="1"/>
  <c r="L9653" i="1"/>
  <c r="K9653" i="1"/>
  <c r="J9653" i="1"/>
  <c r="I9653" i="1"/>
  <c r="H9653" i="1"/>
  <c r="G9653" i="1"/>
  <c r="M9652" i="1"/>
  <c r="L9652" i="1"/>
  <c r="K9652" i="1"/>
  <c r="J9652" i="1"/>
  <c r="I9652" i="1"/>
  <c r="H9652" i="1"/>
  <c r="G9652" i="1"/>
  <c r="M9651" i="1"/>
  <c r="L9651" i="1"/>
  <c r="K9651" i="1"/>
  <c r="J9651" i="1"/>
  <c r="I9651" i="1"/>
  <c r="H9651" i="1"/>
  <c r="G9651" i="1"/>
  <c r="M9650" i="1"/>
  <c r="L9650" i="1"/>
  <c r="K9650" i="1"/>
  <c r="J9650" i="1"/>
  <c r="I9650" i="1"/>
  <c r="H9650" i="1"/>
  <c r="G9650" i="1"/>
  <c r="M9649" i="1"/>
  <c r="L9649" i="1"/>
  <c r="K9649" i="1"/>
  <c r="J9649" i="1"/>
  <c r="I9649" i="1"/>
  <c r="H9649" i="1"/>
  <c r="G9649" i="1"/>
  <c r="M9648" i="1"/>
  <c r="L9648" i="1"/>
  <c r="K9648" i="1"/>
  <c r="J9648" i="1"/>
  <c r="I9648" i="1"/>
  <c r="H9648" i="1"/>
  <c r="G9648" i="1"/>
  <c r="M9647" i="1"/>
  <c r="L9647" i="1"/>
  <c r="K9647" i="1"/>
  <c r="J9647" i="1"/>
  <c r="I9647" i="1"/>
  <c r="H9647" i="1"/>
  <c r="G9647" i="1"/>
  <c r="M9646" i="1"/>
  <c r="L9646" i="1"/>
  <c r="K9646" i="1"/>
  <c r="J9646" i="1"/>
  <c r="I9646" i="1"/>
  <c r="H9646" i="1"/>
  <c r="G9646" i="1"/>
  <c r="M9645" i="1"/>
  <c r="L9645" i="1"/>
  <c r="K9645" i="1"/>
  <c r="J9645" i="1"/>
  <c r="I9645" i="1"/>
  <c r="H9645" i="1"/>
  <c r="G9645" i="1"/>
  <c r="M9644" i="1"/>
  <c r="L9644" i="1"/>
  <c r="K9644" i="1"/>
  <c r="J9644" i="1"/>
  <c r="I9644" i="1"/>
  <c r="H9644" i="1"/>
  <c r="G9644" i="1"/>
  <c r="M9643" i="1"/>
  <c r="L9643" i="1"/>
  <c r="K9643" i="1"/>
  <c r="J9643" i="1"/>
  <c r="I9643" i="1"/>
  <c r="H9643" i="1"/>
  <c r="G9643" i="1"/>
  <c r="M9642" i="1"/>
  <c r="L9642" i="1"/>
  <c r="K9642" i="1"/>
  <c r="J9642" i="1"/>
  <c r="I9642" i="1"/>
  <c r="H9642" i="1"/>
  <c r="G9642" i="1"/>
  <c r="M9641" i="1"/>
  <c r="L9641" i="1"/>
  <c r="K9641" i="1"/>
  <c r="J9641" i="1"/>
  <c r="I9641" i="1"/>
  <c r="H9641" i="1"/>
  <c r="G9641" i="1"/>
  <c r="M9640" i="1"/>
  <c r="L9640" i="1"/>
  <c r="K9640" i="1"/>
  <c r="J9640" i="1"/>
  <c r="I9640" i="1"/>
  <c r="H9640" i="1"/>
  <c r="G9640" i="1"/>
  <c r="M9639" i="1"/>
  <c r="L9639" i="1"/>
  <c r="K9639" i="1"/>
  <c r="J9639" i="1"/>
  <c r="I9639" i="1"/>
  <c r="H9639" i="1"/>
  <c r="G9639" i="1"/>
  <c r="M9638" i="1"/>
  <c r="L9638" i="1"/>
  <c r="K9638" i="1"/>
  <c r="J9638" i="1"/>
  <c r="I9638" i="1"/>
  <c r="H9638" i="1"/>
  <c r="G9638" i="1"/>
  <c r="M9637" i="1"/>
  <c r="L9637" i="1"/>
  <c r="K9637" i="1"/>
  <c r="J9637" i="1"/>
  <c r="I9637" i="1"/>
  <c r="H9637" i="1"/>
  <c r="G9637" i="1"/>
  <c r="M9636" i="1"/>
  <c r="L9636" i="1"/>
  <c r="K9636" i="1"/>
  <c r="J9636" i="1"/>
  <c r="I9636" i="1"/>
  <c r="H9636" i="1"/>
  <c r="G9636" i="1"/>
  <c r="M9635" i="1"/>
  <c r="L9635" i="1"/>
  <c r="K9635" i="1"/>
  <c r="J9635" i="1"/>
  <c r="I9635" i="1"/>
  <c r="H9635" i="1"/>
  <c r="G9635" i="1"/>
  <c r="M9634" i="1"/>
  <c r="L9634" i="1"/>
  <c r="K9634" i="1"/>
  <c r="J9634" i="1"/>
  <c r="I9634" i="1"/>
  <c r="H9634" i="1"/>
  <c r="G9634" i="1"/>
  <c r="M9633" i="1"/>
  <c r="L9633" i="1"/>
  <c r="K9633" i="1"/>
  <c r="J9633" i="1"/>
  <c r="I9633" i="1"/>
  <c r="H9633" i="1"/>
  <c r="G9633" i="1"/>
  <c r="M9632" i="1"/>
  <c r="L9632" i="1"/>
  <c r="K9632" i="1"/>
  <c r="J9632" i="1"/>
  <c r="I9632" i="1"/>
  <c r="H9632" i="1"/>
  <c r="G9632" i="1"/>
  <c r="M9631" i="1"/>
  <c r="L9631" i="1"/>
  <c r="K9631" i="1"/>
  <c r="J9631" i="1"/>
  <c r="I9631" i="1"/>
  <c r="H9631" i="1"/>
  <c r="G9631" i="1"/>
  <c r="M9630" i="1"/>
  <c r="L9630" i="1"/>
  <c r="K9630" i="1"/>
  <c r="J9630" i="1"/>
  <c r="I9630" i="1"/>
  <c r="H9630" i="1"/>
  <c r="G9630" i="1"/>
  <c r="M9629" i="1"/>
  <c r="L9629" i="1"/>
  <c r="K9629" i="1"/>
  <c r="J9629" i="1"/>
  <c r="I9629" i="1"/>
  <c r="H9629" i="1"/>
  <c r="G9629" i="1"/>
  <c r="M9628" i="1"/>
  <c r="L9628" i="1"/>
  <c r="K9628" i="1"/>
  <c r="J9628" i="1"/>
  <c r="I9628" i="1"/>
  <c r="H9628" i="1"/>
  <c r="G9628" i="1"/>
  <c r="M9627" i="1"/>
  <c r="L9627" i="1"/>
  <c r="K9627" i="1"/>
  <c r="J9627" i="1"/>
  <c r="I9627" i="1"/>
  <c r="H9627" i="1"/>
  <c r="G9627" i="1"/>
  <c r="M9626" i="1"/>
  <c r="L9626" i="1"/>
  <c r="K9626" i="1"/>
  <c r="J9626" i="1"/>
  <c r="I9626" i="1"/>
  <c r="H9626" i="1"/>
  <c r="G9626" i="1"/>
  <c r="M9625" i="1"/>
  <c r="L9625" i="1"/>
  <c r="K9625" i="1"/>
  <c r="J9625" i="1"/>
  <c r="I9625" i="1"/>
  <c r="H9625" i="1"/>
  <c r="G9625" i="1"/>
  <c r="M9624" i="1"/>
  <c r="L9624" i="1"/>
  <c r="K9624" i="1"/>
  <c r="J9624" i="1"/>
  <c r="I9624" i="1"/>
  <c r="H9624" i="1"/>
  <c r="G9624" i="1"/>
  <c r="M9623" i="1"/>
  <c r="L9623" i="1"/>
  <c r="K9623" i="1"/>
  <c r="J9623" i="1"/>
  <c r="I9623" i="1"/>
  <c r="H9623" i="1"/>
  <c r="G9623" i="1"/>
  <c r="M9622" i="1"/>
  <c r="L9622" i="1"/>
  <c r="K9622" i="1"/>
  <c r="J9622" i="1"/>
  <c r="I9622" i="1"/>
  <c r="H9622" i="1"/>
  <c r="G9622" i="1"/>
  <c r="M9621" i="1"/>
  <c r="L9621" i="1"/>
  <c r="K9621" i="1"/>
  <c r="J9621" i="1"/>
  <c r="I9621" i="1"/>
  <c r="H9621" i="1"/>
  <c r="G9621" i="1"/>
  <c r="M9620" i="1"/>
  <c r="L9620" i="1"/>
  <c r="K9620" i="1"/>
  <c r="J9620" i="1"/>
  <c r="I9620" i="1"/>
  <c r="H9620" i="1"/>
  <c r="G9620" i="1"/>
  <c r="M9619" i="1"/>
  <c r="L9619" i="1"/>
  <c r="K9619" i="1"/>
  <c r="J9619" i="1"/>
  <c r="I9619" i="1"/>
  <c r="H9619" i="1"/>
  <c r="G9619" i="1"/>
  <c r="M9618" i="1"/>
  <c r="L9618" i="1"/>
  <c r="K9618" i="1"/>
  <c r="J9618" i="1"/>
  <c r="I9618" i="1"/>
  <c r="H9618" i="1"/>
  <c r="G9618" i="1"/>
  <c r="M9617" i="1"/>
  <c r="L9617" i="1"/>
  <c r="K9617" i="1"/>
  <c r="J9617" i="1"/>
  <c r="I9617" i="1"/>
  <c r="H9617" i="1"/>
  <c r="G9617" i="1"/>
  <c r="M9616" i="1"/>
  <c r="L9616" i="1"/>
  <c r="K9616" i="1"/>
  <c r="J9616" i="1"/>
  <c r="I9616" i="1"/>
  <c r="H9616" i="1"/>
  <c r="G9616" i="1"/>
  <c r="M9615" i="1"/>
  <c r="L9615" i="1"/>
  <c r="K9615" i="1"/>
  <c r="J9615" i="1"/>
  <c r="I9615" i="1"/>
  <c r="H9615" i="1"/>
  <c r="G9615" i="1"/>
  <c r="M9614" i="1"/>
  <c r="L9614" i="1"/>
  <c r="K9614" i="1"/>
  <c r="J9614" i="1"/>
  <c r="I9614" i="1"/>
  <c r="H9614" i="1"/>
  <c r="G9614" i="1"/>
  <c r="M9613" i="1"/>
  <c r="L9613" i="1"/>
  <c r="K9613" i="1"/>
  <c r="J9613" i="1"/>
  <c r="I9613" i="1"/>
  <c r="H9613" i="1"/>
  <c r="G9613" i="1"/>
  <c r="M9612" i="1"/>
  <c r="L9612" i="1"/>
  <c r="K9612" i="1"/>
  <c r="J9612" i="1"/>
  <c r="I9612" i="1"/>
  <c r="H9612" i="1"/>
  <c r="G9612" i="1"/>
  <c r="M9611" i="1"/>
  <c r="L9611" i="1"/>
  <c r="K9611" i="1"/>
  <c r="J9611" i="1"/>
  <c r="I9611" i="1"/>
  <c r="H9611" i="1"/>
  <c r="G9611" i="1"/>
  <c r="M9610" i="1"/>
  <c r="L9610" i="1"/>
  <c r="K9610" i="1"/>
  <c r="J9610" i="1"/>
  <c r="I9610" i="1"/>
  <c r="H9610" i="1"/>
  <c r="G9610" i="1"/>
  <c r="M9609" i="1"/>
  <c r="L9609" i="1"/>
  <c r="K9609" i="1"/>
  <c r="J9609" i="1"/>
  <c r="I9609" i="1"/>
  <c r="H9609" i="1"/>
  <c r="G9609" i="1"/>
  <c r="M9608" i="1"/>
  <c r="L9608" i="1"/>
  <c r="K9608" i="1"/>
  <c r="J9608" i="1"/>
  <c r="I9608" i="1"/>
  <c r="H9608" i="1"/>
  <c r="G9608" i="1"/>
  <c r="M9607" i="1"/>
  <c r="L9607" i="1"/>
  <c r="K9607" i="1"/>
  <c r="J9607" i="1"/>
  <c r="I9607" i="1"/>
  <c r="H9607" i="1"/>
  <c r="G9607" i="1"/>
  <c r="M9606" i="1"/>
  <c r="L9606" i="1"/>
  <c r="K9606" i="1"/>
  <c r="J9606" i="1"/>
  <c r="I9606" i="1"/>
  <c r="H9606" i="1"/>
  <c r="G9606" i="1"/>
  <c r="M9605" i="1"/>
  <c r="L9605" i="1"/>
  <c r="K9605" i="1"/>
  <c r="J9605" i="1"/>
  <c r="I9605" i="1"/>
  <c r="H9605" i="1"/>
  <c r="G9605" i="1"/>
  <c r="M9604" i="1"/>
  <c r="L9604" i="1"/>
  <c r="K9604" i="1"/>
  <c r="J9604" i="1"/>
  <c r="I9604" i="1"/>
  <c r="H9604" i="1"/>
  <c r="G9604" i="1"/>
  <c r="M9603" i="1"/>
  <c r="L9603" i="1"/>
  <c r="K9603" i="1"/>
  <c r="J9603" i="1"/>
  <c r="I9603" i="1"/>
  <c r="H9603" i="1"/>
  <c r="G9603" i="1"/>
  <c r="M9602" i="1"/>
  <c r="L9602" i="1"/>
  <c r="K9602" i="1"/>
  <c r="J9602" i="1"/>
  <c r="I9602" i="1"/>
  <c r="H9602" i="1"/>
  <c r="G9602" i="1"/>
  <c r="M9601" i="1"/>
  <c r="L9601" i="1"/>
  <c r="K9601" i="1"/>
  <c r="J9601" i="1"/>
  <c r="I9601" i="1"/>
  <c r="H9601" i="1"/>
  <c r="G9601" i="1"/>
  <c r="M9600" i="1"/>
  <c r="L9600" i="1"/>
  <c r="K9600" i="1"/>
  <c r="J9600" i="1"/>
  <c r="I9600" i="1"/>
  <c r="H9600" i="1"/>
  <c r="G9600" i="1"/>
  <c r="M9599" i="1"/>
  <c r="L9599" i="1"/>
  <c r="K9599" i="1"/>
  <c r="J9599" i="1"/>
  <c r="I9599" i="1"/>
  <c r="H9599" i="1"/>
  <c r="G9599" i="1"/>
  <c r="M9598" i="1"/>
  <c r="L9598" i="1"/>
  <c r="K9598" i="1"/>
  <c r="J9598" i="1"/>
  <c r="I9598" i="1"/>
  <c r="H9598" i="1"/>
  <c r="G9598" i="1"/>
  <c r="M9597" i="1"/>
  <c r="L9597" i="1"/>
  <c r="K9597" i="1"/>
  <c r="J9597" i="1"/>
  <c r="I9597" i="1"/>
  <c r="H9597" i="1"/>
  <c r="G9597" i="1"/>
  <c r="M9596" i="1"/>
  <c r="L9596" i="1"/>
  <c r="K9596" i="1"/>
  <c r="J9596" i="1"/>
  <c r="I9596" i="1"/>
  <c r="H9596" i="1"/>
  <c r="G9596" i="1"/>
  <c r="M9595" i="1"/>
  <c r="L9595" i="1"/>
  <c r="K9595" i="1"/>
  <c r="J9595" i="1"/>
  <c r="I9595" i="1"/>
  <c r="H9595" i="1"/>
  <c r="G9595" i="1"/>
  <c r="M9594" i="1"/>
  <c r="L9594" i="1"/>
  <c r="K9594" i="1"/>
  <c r="J9594" i="1"/>
  <c r="I9594" i="1"/>
  <c r="H9594" i="1"/>
  <c r="G9594" i="1"/>
  <c r="M9593" i="1"/>
  <c r="L9593" i="1"/>
  <c r="K9593" i="1"/>
  <c r="J9593" i="1"/>
  <c r="I9593" i="1"/>
  <c r="H9593" i="1"/>
  <c r="G9593" i="1"/>
  <c r="M9592" i="1"/>
  <c r="L9592" i="1"/>
  <c r="K9592" i="1"/>
  <c r="J9592" i="1"/>
  <c r="I9592" i="1"/>
  <c r="H9592" i="1"/>
  <c r="G9592" i="1"/>
  <c r="M9591" i="1"/>
  <c r="L9591" i="1"/>
  <c r="K9591" i="1"/>
  <c r="J9591" i="1"/>
  <c r="I9591" i="1"/>
  <c r="H9591" i="1"/>
  <c r="G9591" i="1"/>
  <c r="M9590" i="1"/>
  <c r="L9590" i="1"/>
  <c r="K9590" i="1"/>
  <c r="J9590" i="1"/>
  <c r="I9590" i="1"/>
  <c r="H9590" i="1"/>
  <c r="G9590" i="1"/>
  <c r="M9589" i="1"/>
  <c r="L9589" i="1"/>
  <c r="K9589" i="1"/>
  <c r="J9589" i="1"/>
  <c r="I9589" i="1"/>
  <c r="H9589" i="1"/>
  <c r="G9589" i="1"/>
  <c r="M9588" i="1"/>
  <c r="L9588" i="1"/>
  <c r="K9588" i="1"/>
  <c r="J9588" i="1"/>
  <c r="I9588" i="1"/>
  <c r="H9588" i="1"/>
  <c r="G9588" i="1"/>
  <c r="M9587" i="1"/>
  <c r="L9587" i="1"/>
  <c r="K9587" i="1"/>
  <c r="J9587" i="1"/>
  <c r="I9587" i="1"/>
  <c r="H9587" i="1"/>
  <c r="G9587" i="1"/>
  <c r="M9586" i="1"/>
  <c r="L9586" i="1"/>
  <c r="K9586" i="1"/>
  <c r="J9586" i="1"/>
  <c r="I9586" i="1"/>
  <c r="H9586" i="1"/>
  <c r="G9586" i="1"/>
  <c r="M9585" i="1"/>
  <c r="L9585" i="1"/>
  <c r="K9585" i="1"/>
  <c r="J9585" i="1"/>
  <c r="I9585" i="1"/>
  <c r="H9585" i="1"/>
  <c r="G9585" i="1"/>
  <c r="M9584" i="1"/>
  <c r="L9584" i="1"/>
  <c r="K9584" i="1"/>
  <c r="J9584" i="1"/>
  <c r="I9584" i="1"/>
  <c r="H9584" i="1"/>
  <c r="G9584" i="1"/>
  <c r="M9583" i="1"/>
  <c r="L9583" i="1"/>
  <c r="K9583" i="1"/>
  <c r="J9583" i="1"/>
  <c r="I9583" i="1"/>
  <c r="H9583" i="1"/>
  <c r="G9583" i="1"/>
  <c r="M9582" i="1"/>
  <c r="L9582" i="1"/>
  <c r="K9582" i="1"/>
  <c r="J9582" i="1"/>
  <c r="I9582" i="1"/>
  <c r="H9582" i="1"/>
  <c r="G9582" i="1"/>
  <c r="M9581" i="1"/>
  <c r="L9581" i="1"/>
  <c r="K9581" i="1"/>
  <c r="J9581" i="1"/>
  <c r="I9581" i="1"/>
  <c r="H9581" i="1"/>
  <c r="G9581" i="1"/>
  <c r="M9580" i="1"/>
  <c r="L9580" i="1"/>
  <c r="K9580" i="1"/>
  <c r="J9580" i="1"/>
  <c r="I9580" i="1"/>
  <c r="H9580" i="1"/>
  <c r="G9580" i="1"/>
  <c r="M9579" i="1"/>
  <c r="L9579" i="1"/>
  <c r="K9579" i="1"/>
  <c r="J9579" i="1"/>
  <c r="I9579" i="1"/>
  <c r="H9579" i="1"/>
  <c r="G9579" i="1"/>
  <c r="M9578" i="1"/>
  <c r="L9578" i="1"/>
  <c r="K9578" i="1"/>
  <c r="J9578" i="1"/>
  <c r="I9578" i="1"/>
  <c r="H9578" i="1"/>
  <c r="G9578" i="1"/>
  <c r="M9577" i="1"/>
  <c r="L9577" i="1"/>
  <c r="K9577" i="1"/>
  <c r="J9577" i="1"/>
  <c r="I9577" i="1"/>
  <c r="H9577" i="1"/>
  <c r="G9577" i="1"/>
  <c r="M9576" i="1"/>
  <c r="L9576" i="1"/>
  <c r="K9576" i="1"/>
  <c r="J9576" i="1"/>
  <c r="I9576" i="1"/>
  <c r="H9576" i="1"/>
  <c r="G9576" i="1"/>
  <c r="M9575" i="1"/>
  <c r="L9575" i="1"/>
  <c r="K9575" i="1"/>
  <c r="J9575" i="1"/>
  <c r="I9575" i="1"/>
  <c r="H9575" i="1"/>
  <c r="G9575" i="1"/>
  <c r="M9574" i="1"/>
  <c r="L9574" i="1"/>
  <c r="K9574" i="1"/>
  <c r="J9574" i="1"/>
  <c r="I9574" i="1"/>
  <c r="H9574" i="1"/>
  <c r="G9574" i="1"/>
  <c r="M9573" i="1"/>
  <c r="L9573" i="1"/>
  <c r="K9573" i="1"/>
  <c r="J9573" i="1"/>
  <c r="I9573" i="1"/>
  <c r="H9573" i="1"/>
  <c r="G9573" i="1"/>
  <c r="M9572" i="1"/>
  <c r="L9572" i="1"/>
  <c r="K9572" i="1"/>
  <c r="J9572" i="1"/>
  <c r="I9572" i="1"/>
  <c r="H9572" i="1"/>
  <c r="G9572" i="1"/>
  <c r="M9571" i="1"/>
  <c r="L9571" i="1"/>
  <c r="K9571" i="1"/>
  <c r="J9571" i="1"/>
  <c r="I9571" i="1"/>
  <c r="H9571" i="1"/>
  <c r="G9571" i="1"/>
  <c r="M9570" i="1"/>
  <c r="L9570" i="1"/>
  <c r="K9570" i="1"/>
  <c r="J9570" i="1"/>
  <c r="I9570" i="1"/>
  <c r="H9570" i="1"/>
  <c r="G9570" i="1"/>
  <c r="M9569" i="1"/>
  <c r="L9569" i="1"/>
  <c r="K9569" i="1"/>
  <c r="J9569" i="1"/>
  <c r="I9569" i="1"/>
  <c r="H9569" i="1"/>
  <c r="G9569" i="1"/>
  <c r="M9568" i="1"/>
  <c r="L9568" i="1"/>
  <c r="K9568" i="1"/>
  <c r="J9568" i="1"/>
  <c r="I9568" i="1"/>
  <c r="H9568" i="1"/>
  <c r="G9568" i="1"/>
  <c r="M9567" i="1"/>
  <c r="L9567" i="1"/>
  <c r="K9567" i="1"/>
  <c r="J9567" i="1"/>
  <c r="I9567" i="1"/>
  <c r="H9567" i="1"/>
  <c r="G9567" i="1"/>
  <c r="M9566" i="1"/>
  <c r="L9566" i="1"/>
  <c r="K9566" i="1"/>
  <c r="J9566" i="1"/>
  <c r="I9566" i="1"/>
  <c r="H9566" i="1"/>
  <c r="G9566" i="1"/>
  <c r="M9565" i="1"/>
  <c r="L9565" i="1"/>
  <c r="K9565" i="1"/>
  <c r="J9565" i="1"/>
  <c r="I9565" i="1"/>
  <c r="H9565" i="1"/>
  <c r="G9565" i="1"/>
  <c r="M9564" i="1"/>
  <c r="L9564" i="1"/>
  <c r="K9564" i="1"/>
  <c r="J9564" i="1"/>
  <c r="I9564" i="1"/>
  <c r="H9564" i="1"/>
  <c r="G9564" i="1"/>
  <c r="M9563" i="1"/>
  <c r="L9563" i="1"/>
  <c r="K9563" i="1"/>
  <c r="J9563" i="1"/>
  <c r="I9563" i="1"/>
  <c r="H9563" i="1"/>
  <c r="G9563" i="1"/>
  <c r="M9562" i="1"/>
  <c r="L9562" i="1"/>
  <c r="K9562" i="1"/>
  <c r="J9562" i="1"/>
  <c r="I9562" i="1"/>
  <c r="H9562" i="1"/>
  <c r="G9562" i="1"/>
  <c r="M9561" i="1"/>
  <c r="L9561" i="1"/>
  <c r="K9561" i="1"/>
  <c r="J9561" i="1"/>
  <c r="I9561" i="1"/>
  <c r="H9561" i="1"/>
  <c r="G9561" i="1"/>
  <c r="M9560" i="1"/>
  <c r="L9560" i="1"/>
  <c r="K9560" i="1"/>
  <c r="J9560" i="1"/>
  <c r="I9560" i="1"/>
  <c r="H9560" i="1"/>
  <c r="G9560" i="1"/>
  <c r="M9559" i="1"/>
  <c r="L9559" i="1"/>
  <c r="K9559" i="1"/>
  <c r="J9559" i="1"/>
  <c r="I9559" i="1"/>
  <c r="H9559" i="1"/>
  <c r="G9559" i="1"/>
  <c r="M9558" i="1"/>
  <c r="L9558" i="1"/>
  <c r="K9558" i="1"/>
  <c r="J9558" i="1"/>
  <c r="I9558" i="1"/>
  <c r="H9558" i="1"/>
  <c r="G9558" i="1"/>
  <c r="M9557" i="1"/>
  <c r="L9557" i="1"/>
  <c r="K9557" i="1"/>
  <c r="J9557" i="1"/>
  <c r="I9557" i="1"/>
  <c r="H9557" i="1"/>
  <c r="G9557" i="1"/>
  <c r="M9556" i="1"/>
  <c r="L9556" i="1"/>
  <c r="K9556" i="1"/>
  <c r="J9556" i="1"/>
  <c r="I9556" i="1"/>
  <c r="H9556" i="1"/>
  <c r="G9556" i="1"/>
  <c r="M9555" i="1"/>
  <c r="L9555" i="1"/>
  <c r="K9555" i="1"/>
  <c r="J9555" i="1"/>
  <c r="I9555" i="1"/>
  <c r="H9555" i="1"/>
  <c r="G9555" i="1"/>
  <c r="M9554" i="1"/>
  <c r="L9554" i="1"/>
  <c r="K9554" i="1"/>
  <c r="J9554" i="1"/>
  <c r="I9554" i="1"/>
  <c r="H9554" i="1"/>
  <c r="G9554" i="1"/>
  <c r="M9553" i="1"/>
  <c r="L9553" i="1"/>
  <c r="K9553" i="1"/>
  <c r="J9553" i="1"/>
  <c r="I9553" i="1"/>
  <c r="H9553" i="1"/>
  <c r="G9553" i="1"/>
  <c r="M9552" i="1"/>
  <c r="L9552" i="1"/>
  <c r="K9552" i="1"/>
  <c r="J9552" i="1"/>
  <c r="I9552" i="1"/>
  <c r="H9552" i="1"/>
  <c r="G9552" i="1"/>
  <c r="M9551" i="1"/>
  <c r="L9551" i="1"/>
  <c r="K9551" i="1"/>
  <c r="J9551" i="1"/>
  <c r="I9551" i="1"/>
  <c r="H9551" i="1"/>
  <c r="G9551" i="1"/>
  <c r="M9550" i="1"/>
  <c r="L9550" i="1"/>
  <c r="K9550" i="1"/>
  <c r="J9550" i="1"/>
  <c r="I9550" i="1"/>
  <c r="H9550" i="1"/>
  <c r="G9550" i="1"/>
  <c r="M9549" i="1"/>
  <c r="L9549" i="1"/>
  <c r="K9549" i="1"/>
  <c r="J9549" i="1"/>
  <c r="I9549" i="1"/>
  <c r="H9549" i="1"/>
  <c r="G9549" i="1"/>
  <c r="M9548" i="1"/>
  <c r="L9548" i="1"/>
  <c r="K9548" i="1"/>
  <c r="J9548" i="1"/>
  <c r="I9548" i="1"/>
  <c r="H9548" i="1"/>
  <c r="G9548" i="1"/>
  <c r="M9547" i="1"/>
  <c r="L9547" i="1"/>
  <c r="K9547" i="1"/>
  <c r="J9547" i="1"/>
  <c r="I9547" i="1"/>
  <c r="H9547" i="1"/>
  <c r="G9547" i="1"/>
  <c r="M9546" i="1"/>
  <c r="L9546" i="1"/>
  <c r="K9546" i="1"/>
  <c r="J9546" i="1"/>
  <c r="I9546" i="1"/>
  <c r="H9546" i="1"/>
  <c r="G9546" i="1"/>
  <c r="M9545" i="1"/>
  <c r="L9545" i="1"/>
  <c r="K9545" i="1"/>
  <c r="J9545" i="1"/>
  <c r="I9545" i="1"/>
  <c r="H9545" i="1"/>
  <c r="G9545" i="1"/>
  <c r="M9544" i="1"/>
  <c r="L9544" i="1"/>
  <c r="K9544" i="1"/>
  <c r="J9544" i="1"/>
  <c r="I9544" i="1"/>
  <c r="H9544" i="1"/>
  <c r="G9544" i="1"/>
  <c r="M9543" i="1"/>
  <c r="L9543" i="1"/>
  <c r="K9543" i="1"/>
  <c r="J9543" i="1"/>
  <c r="I9543" i="1"/>
  <c r="H9543" i="1"/>
  <c r="G9543" i="1"/>
  <c r="M9542" i="1"/>
  <c r="L9542" i="1"/>
  <c r="K9542" i="1"/>
  <c r="J9542" i="1"/>
  <c r="I9542" i="1"/>
  <c r="H9542" i="1"/>
  <c r="G9542" i="1"/>
  <c r="M9541" i="1"/>
  <c r="L9541" i="1"/>
  <c r="K9541" i="1"/>
  <c r="J9541" i="1"/>
  <c r="I9541" i="1"/>
  <c r="H9541" i="1"/>
  <c r="G9541" i="1"/>
  <c r="M9540" i="1"/>
  <c r="L9540" i="1"/>
  <c r="K9540" i="1"/>
  <c r="J9540" i="1"/>
  <c r="I9540" i="1"/>
  <c r="H9540" i="1"/>
  <c r="G9540" i="1"/>
  <c r="M9539" i="1"/>
  <c r="L9539" i="1"/>
  <c r="K9539" i="1"/>
  <c r="J9539" i="1"/>
  <c r="I9539" i="1"/>
  <c r="H9539" i="1"/>
  <c r="G9539" i="1"/>
  <c r="M9538" i="1"/>
  <c r="L9538" i="1"/>
  <c r="K9538" i="1"/>
  <c r="J9538" i="1"/>
  <c r="I9538" i="1"/>
  <c r="H9538" i="1"/>
  <c r="G9538" i="1"/>
  <c r="M9537" i="1"/>
  <c r="L9537" i="1"/>
  <c r="K9537" i="1"/>
  <c r="J9537" i="1"/>
  <c r="I9537" i="1"/>
  <c r="H9537" i="1"/>
  <c r="G9537" i="1"/>
  <c r="M9536" i="1"/>
  <c r="L9536" i="1"/>
  <c r="K9536" i="1"/>
  <c r="J9536" i="1"/>
  <c r="I9536" i="1"/>
  <c r="H9536" i="1"/>
  <c r="G9536" i="1"/>
  <c r="M9535" i="1"/>
  <c r="L9535" i="1"/>
  <c r="K9535" i="1"/>
  <c r="J9535" i="1"/>
  <c r="I9535" i="1"/>
  <c r="H9535" i="1"/>
  <c r="G9535" i="1"/>
  <c r="M9534" i="1"/>
  <c r="L9534" i="1"/>
  <c r="K9534" i="1"/>
  <c r="J9534" i="1"/>
  <c r="I9534" i="1"/>
  <c r="H9534" i="1"/>
  <c r="G9534" i="1"/>
  <c r="M9533" i="1"/>
  <c r="L9533" i="1"/>
  <c r="K9533" i="1"/>
  <c r="J9533" i="1"/>
  <c r="I9533" i="1"/>
  <c r="H9533" i="1"/>
  <c r="G9533" i="1"/>
  <c r="M9532" i="1"/>
  <c r="L9532" i="1"/>
  <c r="K9532" i="1"/>
  <c r="J9532" i="1"/>
  <c r="I9532" i="1"/>
  <c r="H9532" i="1"/>
  <c r="G9532" i="1"/>
  <c r="M9531" i="1"/>
  <c r="L9531" i="1"/>
  <c r="K9531" i="1"/>
  <c r="J9531" i="1"/>
  <c r="I9531" i="1"/>
  <c r="H9531" i="1"/>
  <c r="G9531" i="1"/>
  <c r="M9530" i="1"/>
  <c r="L9530" i="1"/>
  <c r="K9530" i="1"/>
  <c r="J9530" i="1"/>
  <c r="I9530" i="1"/>
  <c r="H9530" i="1"/>
  <c r="G9530" i="1"/>
  <c r="M9529" i="1"/>
  <c r="L9529" i="1"/>
  <c r="K9529" i="1"/>
  <c r="J9529" i="1"/>
  <c r="I9529" i="1"/>
  <c r="H9529" i="1"/>
  <c r="G9529" i="1"/>
  <c r="M9528" i="1"/>
  <c r="L9528" i="1"/>
  <c r="K9528" i="1"/>
  <c r="J9528" i="1"/>
  <c r="I9528" i="1"/>
  <c r="H9528" i="1"/>
  <c r="G9528" i="1"/>
  <c r="M9527" i="1"/>
  <c r="L9527" i="1"/>
  <c r="K9527" i="1"/>
  <c r="J9527" i="1"/>
  <c r="I9527" i="1"/>
  <c r="H9527" i="1"/>
  <c r="G9527" i="1"/>
  <c r="M9526" i="1"/>
  <c r="L9526" i="1"/>
  <c r="K9526" i="1"/>
  <c r="J9526" i="1"/>
  <c r="I9526" i="1"/>
  <c r="H9526" i="1"/>
  <c r="G9526" i="1"/>
  <c r="M9525" i="1"/>
  <c r="L9525" i="1"/>
  <c r="K9525" i="1"/>
  <c r="J9525" i="1"/>
  <c r="I9525" i="1"/>
  <c r="H9525" i="1"/>
  <c r="G9525" i="1"/>
  <c r="M9524" i="1"/>
  <c r="L9524" i="1"/>
  <c r="K9524" i="1"/>
  <c r="J9524" i="1"/>
  <c r="I9524" i="1"/>
  <c r="H9524" i="1"/>
  <c r="G9524" i="1"/>
  <c r="M9523" i="1"/>
  <c r="L9523" i="1"/>
  <c r="K9523" i="1"/>
  <c r="J9523" i="1"/>
  <c r="I9523" i="1"/>
  <c r="H9523" i="1"/>
  <c r="G9523" i="1"/>
  <c r="M9522" i="1"/>
  <c r="L9522" i="1"/>
  <c r="K9522" i="1"/>
  <c r="J9522" i="1"/>
  <c r="I9522" i="1"/>
  <c r="H9522" i="1"/>
  <c r="G9522" i="1"/>
  <c r="M9521" i="1"/>
  <c r="L9521" i="1"/>
  <c r="K9521" i="1"/>
  <c r="J9521" i="1"/>
  <c r="I9521" i="1"/>
  <c r="H9521" i="1"/>
  <c r="G9521" i="1"/>
  <c r="M9520" i="1"/>
  <c r="L9520" i="1"/>
  <c r="K9520" i="1"/>
  <c r="J9520" i="1"/>
  <c r="I9520" i="1"/>
  <c r="H9520" i="1"/>
  <c r="G9520" i="1"/>
  <c r="M9519" i="1"/>
  <c r="L9519" i="1"/>
  <c r="K9519" i="1"/>
  <c r="J9519" i="1"/>
  <c r="I9519" i="1"/>
  <c r="H9519" i="1"/>
  <c r="G9519" i="1"/>
  <c r="M9518" i="1"/>
  <c r="L9518" i="1"/>
  <c r="K9518" i="1"/>
  <c r="J9518" i="1"/>
  <c r="I9518" i="1"/>
  <c r="H9518" i="1"/>
  <c r="G9518" i="1"/>
  <c r="M9517" i="1"/>
  <c r="L9517" i="1"/>
  <c r="K9517" i="1"/>
  <c r="J9517" i="1"/>
  <c r="I9517" i="1"/>
  <c r="H9517" i="1"/>
  <c r="G9517" i="1"/>
  <c r="M9516" i="1"/>
  <c r="L9516" i="1"/>
  <c r="K9516" i="1"/>
  <c r="J9516" i="1"/>
  <c r="I9516" i="1"/>
  <c r="H9516" i="1"/>
  <c r="G9516" i="1"/>
  <c r="M9515" i="1"/>
  <c r="L9515" i="1"/>
  <c r="K9515" i="1"/>
  <c r="J9515" i="1"/>
  <c r="I9515" i="1"/>
  <c r="H9515" i="1"/>
  <c r="G9515" i="1"/>
  <c r="M9514" i="1"/>
  <c r="L9514" i="1"/>
  <c r="K9514" i="1"/>
  <c r="J9514" i="1"/>
  <c r="I9514" i="1"/>
  <c r="H9514" i="1"/>
  <c r="G9514" i="1"/>
  <c r="M9513" i="1"/>
  <c r="L9513" i="1"/>
  <c r="K9513" i="1"/>
  <c r="J9513" i="1"/>
  <c r="I9513" i="1"/>
  <c r="H9513" i="1"/>
  <c r="G9513" i="1"/>
  <c r="M9512" i="1"/>
  <c r="L9512" i="1"/>
  <c r="K9512" i="1"/>
  <c r="J9512" i="1"/>
  <c r="I9512" i="1"/>
  <c r="H9512" i="1"/>
  <c r="G9512" i="1"/>
  <c r="M9511" i="1"/>
  <c r="L9511" i="1"/>
  <c r="K9511" i="1"/>
  <c r="J9511" i="1"/>
  <c r="I9511" i="1"/>
  <c r="H9511" i="1"/>
  <c r="G9511" i="1"/>
  <c r="M9510" i="1"/>
  <c r="L9510" i="1"/>
  <c r="K9510" i="1"/>
  <c r="J9510" i="1"/>
  <c r="I9510" i="1"/>
  <c r="H9510" i="1"/>
  <c r="G9510" i="1"/>
  <c r="M9509" i="1"/>
  <c r="L9509" i="1"/>
  <c r="K9509" i="1"/>
  <c r="J9509" i="1"/>
  <c r="I9509" i="1"/>
  <c r="H9509" i="1"/>
  <c r="G9509" i="1"/>
  <c r="M9508" i="1"/>
  <c r="L9508" i="1"/>
  <c r="K9508" i="1"/>
  <c r="J9508" i="1"/>
  <c r="I9508" i="1"/>
  <c r="H9508" i="1"/>
  <c r="G9508" i="1"/>
  <c r="M9507" i="1"/>
  <c r="L9507" i="1"/>
  <c r="K9507" i="1"/>
  <c r="J9507" i="1"/>
  <c r="I9507" i="1"/>
  <c r="H9507" i="1"/>
  <c r="G9507" i="1"/>
  <c r="M9506" i="1"/>
  <c r="L9506" i="1"/>
  <c r="K9506" i="1"/>
  <c r="J9506" i="1"/>
  <c r="I9506" i="1"/>
  <c r="H9506" i="1"/>
  <c r="G9506" i="1"/>
  <c r="M9505" i="1"/>
  <c r="L9505" i="1"/>
  <c r="K9505" i="1"/>
  <c r="J9505" i="1"/>
  <c r="I9505" i="1"/>
  <c r="H9505" i="1"/>
  <c r="G9505" i="1"/>
  <c r="M9504" i="1"/>
  <c r="L9504" i="1"/>
  <c r="K9504" i="1"/>
  <c r="J9504" i="1"/>
  <c r="I9504" i="1"/>
  <c r="H9504" i="1"/>
  <c r="G9504" i="1"/>
  <c r="M9503" i="1"/>
  <c r="L9503" i="1"/>
  <c r="K9503" i="1"/>
  <c r="J9503" i="1"/>
  <c r="I9503" i="1"/>
  <c r="H9503" i="1"/>
  <c r="G9503" i="1"/>
  <c r="M9502" i="1"/>
  <c r="L9502" i="1"/>
  <c r="K9502" i="1"/>
  <c r="J9502" i="1"/>
  <c r="I9502" i="1"/>
  <c r="H9502" i="1"/>
  <c r="G9502" i="1"/>
  <c r="M9501" i="1"/>
  <c r="L9501" i="1"/>
  <c r="K9501" i="1"/>
  <c r="J9501" i="1"/>
  <c r="I9501" i="1"/>
  <c r="H9501" i="1"/>
  <c r="G9501" i="1"/>
  <c r="M9500" i="1"/>
  <c r="L9500" i="1"/>
  <c r="K9500" i="1"/>
  <c r="J9500" i="1"/>
  <c r="I9500" i="1"/>
  <c r="H9500" i="1"/>
  <c r="G9500" i="1"/>
  <c r="M9499" i="1"/>
  <c r="L9499" i="1"/>
  <c r="K9499" i="1"/>
  <c r="J9499" i="1"/>
  <c r="I9499" i="1"/>
  <c r="H9499" i="1"/>
  <c r="G9499" i="1"/>
  <c r="M9498" i="1"/>
  <c r="L9498" i="1"/>
  <c r="K9498" i="1"/>
  <c r="J9498" i="1"/>
  <c r="I9498" i="1"/>
  <c r="H9498" i="1"/>
  <c r="G9498" i="1"/>
  <c r="M9497" i="1"/>
  <c r="L9497" i="1"/>
  <c r="K9497" i="1"/>
  <c r="J9497" i="1"/>
  <c r="I9497" i="1"/>
  <c r="H9497" i="1"/>
  <c r="G9497" i="1"/>
  <c r="M9496" i="1"/>
  <c r="L9496" i="1"/>
  <c r="K9496" i="1"/>
  <c r="J9496" i="1"/>
  <c r="I9496" i="1"/>
  <c r="H9496" i="1"/>
  <c r="G9496" i="1"/>
  <c r="M9495" i="1"/>
  <c r="L9495" i="1"/>
  <c r="K9495" i="1"/>
  <c r="J9495" i="1"/>
  <c r="I9495" i="1"/>
  <c r="H9495" i="1"/>
  <c r="G9495" i="1"/>
  <c r="M9494" i="1"/>
  <c r="L9494" i="1"/>
  <c r="K9494" i="1"/>
  <c r="J9494" i="1"/>
  <c r="I9494" i="1"/>
  <c r="H9494" i="1"/>
  <c r="G9494" i="1"/>
  <c r="M9493" i="1"/>
  <c r="L9493" i="1"/>
  <c r="K9493" i="1"/>
  <c r="J9493" i="1"/>
  <c r="I9493" i="1"/>
  <c r="H9493" i="1"/>
  <c r="G9493" i="1"/>
  <c r="M9492" i="1"/>
  <c r="L9492" i="1"/>
  <c r="K9492" i="1"/>
  <c r="J9492" i="1"/>
  <c r="I9492" i="1"/>
  <c r="H9492" i="1"/>
  <c r="G9492" i="1"/>
  <c r="M9491" i="1"/>
  <c r="L9491" i="1"/>
  <c r="K9491" i="1"/>
  <c r="J9491" i="1"/>
  <c r="I9491" i="1"/>
  <c r="H9491" i="1"/>
  <c r="G9491" i="1"/>
  <c r="M9490" i="1"/>
  <c r="L9490" i="1"/>
  <c r="K9490" i="1"/>
  <c r="J9490" i="1"/>
  <c r="I9490" i="1"/>
  <c r="H9490" i="1"/>
  <c r="G9490" i="1"/>
  <c r="M9489" i="1"/>
  <c r="L9489" i="1"/>
  <c r="K9489" i="1"/>
  <c r="J9489" i="1"/>
  <c r="I9489" i="1"/>
  <c r="H9489" i="1"/>
  <c r="G9489" i="1"/>
  <c r="M9488" i="1"/>
  <c r="L9488" i="1"/>
  <c r="K9488" i="1"/>
  <c r="J9488" i="1"/>
  <c r="I9488" i="1"/>
  <c r="H9488" i="1"/>
  <c r="G9488" i="1"/>
  <c r="M9487" i="1"/>
  <c r="L9487" i="1"/>
  <c r="K9487" i="1"/>
  <c r="J9487" i="1"/>
  <c r="I9487" i="1"/>
  <c r="H9487" i="1"/>
  <c r="G9487" i="1"/>
  <c r="M9486" i="1"/>
  <c r="L9486" i="1"/>
  <c r="K9486" i="1"/>
  <c r="J9486" i="1"/>
  <c r="I9486" i="1"/>
  <c r="H9486" i="1"/>
  <c r="G9486" i="1"/>
  <c r="M9485" i="1"/>
  <c r="L9485" i="1"/>
  <c r="K9485" i="1"/>
  <c r="J9485" i="1"/>
  <c r="I9485" i="1"/>
  <c r="H9485" i="1"/>
  <c r="G9485" i="1"/>
  <c r="M9484" i="1"/>
  <c r="L9484" i="1"/>
  <c r="K9484" i="1"/>
  <c r="J9484" i="1"/>
  <c r="I9484" i="1"/>
  <c r="H9484" i="1"/>
  <c r="G9484" i="1"/>
  <c r="M9483" i="1"/>
  <c r="L9483" i="1"/>
  <c r="K9483" i="1"/>
  <c r="J9483" i="1"/>
  <c r="I9483" i="1"/>
  <c r="H9483" i="1"/>
  <c r="G9483" i="1"/>
  <c r="M9482" i="1"/>
  <c r="L9482" i="1"/>
  <c r="K9482" i="1"/>
  <c r="J9482" i="1"/>
  <c r="I9482" i="1"/>
  <c r="H9482" i="1"/>
  <c r="G9482" i="1"/>
  <c r="M9481" i="1"/>
  <c r="L9481" i="1"/>
  <c r="K9481" i="1"/>
  <c r="J9481" i="1"/>
  <c r="I9481" i="1"/>
  <c r="H9481" i="1"/>
  <c r="G9481" i="1"/>
  <c r="M9480" i="1"/>
  <c r="L9480" i="1"/>
  <c r="K9480" i="1"/>
  <c r="J9480" i="1"/>
  <c r="I9480" i="1"/>
  <c r="H9480" i="1"/>
  <c r="G9480" i="1"/>
  <c r="M9479" i="1"/>
  <c r="L9479" i="1"/>
  <c r="K9479" i="1"/>
  <c r="J9479" i="1"/>
  <c r="I9479" i="1"/>
  <c r="H9479" i="1"/>
  <c r="G9479" i="1"/>
  <c r="M9478" i="1"/>
  <c r="L9478" i="1"/>
  <c r="K9478" i="1"/>
  <c r="J9478" i="1"/>
  <c r="I9478" i="1"/>
  <c r="H9478" i="1"/>
  <c r="G9478" i="1"/>
  <c r="M9477" i="1"/>
  <c r="L9477" i="1"/>
  <c r="K9477" i="1"/>
  <c r="J9477" i="1"/>
  <c r="I9477" i="1"/>
  <c r="H9477" i="1"/>
  <c r="G9477" i="1"/>
  <c r="M9476" i="1"/>
  <c r="L9476" i="1"/>
  <c r="K9476" i="1"/>
  <c r="J9476" i="1"/>
  <c r="I9476" i="1"/>
  <c r="H9476" i="1"/>
  <c r="G9476" i="1"/>
  <c r="M9475" i="1"/>
  <c r="L9475" i="1"/>
  <c r="K9475" i="1"/>
  <c r="J9475" i="1"/>
  <c r="I9475" i="1"/>
  <c r="H9475" i="1"/>
  <c r="G9475" i="1"/>
  <c r="M9474" i="1"/>
  <c r="L9474" i="1"/>
  <c r="K9474" i="1"/>
  <c r="J9474" i="1"/>
  <c r="I9474" i="1"/>
  <c r="H9474" i="1"/>
  <c r="G9474" i="1"/>
  <c r="M9473" i="1"/>
  <c r="L9473" i="1"/>
  <c r="K9473" i="1"/>
  <c r="J9473" i="1"/>
  <c r="I9473" i="1"/>
  <c r="H9473" i="1"/>
  <c r="G9473" i="1"/>
  <c r="M9472" i="1"/>
  <c r="L9472" i="1"/>
  <c r="K9472" i="1"/>
  <c r="J9472" i="1"/>
  <c r="I9472" i="1"/>
  <c r="H9472" i="1"/>
  <c r="G9472" i="1"/>
  <c r="M9471" i="1"/>
  <c r="L9471" i="1"/>
  <c r="K9471" i="1"/>
  <c r="J9471" i="1"/>
  <c r="I9471" i="1"/>
  <c r="H9471" i="1"/>
  <c r="G9471" i="1"/>
  <c r="M9470" i="1"/>
  <c r="L9470" i="1"/>
  <c r="K9470" i="1"/>
  <c r="J9470" i="1"/>
  <c r="I9470" i="1"/>
  <c r="H9470" i="1"/>
  <c r="G9470" i="1"/>
  <c r="M9469" i="1"/>
  <c r="L9469" i="1"/>
  <c r="K9469" i="1"/>
  <c r="J9469" i="1"/>
  <c r="I9469" i="1"/>
  <c r="H9469" i="1"/>
  <c r="G9469" i="1"/>
  <c r="M9468" i="1"/>
  <c r="L9468" i="1"/>
  <c r="K9468" i="1"/>
  <c r="J9468" i="1"/>
  <c r="I9468" i="1"/>
  <c r="H9468" i="1"/>
  <c r="G9468" i="1"/>
  <c r="M9467" i="1"/>
  <c r="L9467" i="1"/>
  <c r="K9467" i="1"/>
  <c r="J9467" i="1"/>
  <c r="I9467" i="1"/>
  <c r="H9467" i="1"/>
  <c r="G9467" i="1"/>
  <c r="M9466" i="1"/>
  <c r="L9466" i="1"/>
  <c r="K9466" i="1"/>
  <c r="J9466" i="1"/>
  <c r="I9466" i="1"/>
  <c r="H9466" i="1"/>
  <c r="G9466" i="1"/>
  <c r="M9465" i="1"/>
  <c r="L9465" i="1"/>
  <c r="K9465" i="1"/>
  <c r="J9465" i="1"/>
  <c r="I9465" i="1"/>
  <c r="H9465" i="1"/>
  <c r="G9465" i="1"/>
  <c r="M9464" i="1"/>
  <c r="L9464" i="1"/>
  <c r="K9464" i="1"/>
  <c r="J9464" i="1"/>
  <c r="I9464" i="1"/>
  <c r="H9464" i="1"/>
  <c r="G9464" i="1"/>
  <c r="M9463" i="1"/>
  <c r="L9463" i="1"/>
  <c r="K9463" i="1"/>
  <c r="J9463" i="1"/>
  <c r="I9463" i="1"/>
  <c r="H9463" i="1"/>
  <c r="G9463" i="1"/>
  <c r="M9462" i="1"/>
  <c r="L9462" i="1"/>
  <c r="K9462" i="1"/>
  <c r="J9462" i="1"/>
  <c r="I9462" i="1"/>
  <c r="H9462" i="1"/>
  <c r="G9462" i="1"/>
  <c r="M9461" i="1"/>
  <c r="L9461" i="1"/>
  <c r="K9461" i="1"/>
  <c r="J9461" i="1"/>
  <c r="I9461" i="1"/>
  <c r="H9461" i="1"/>
  <c r="G9461" i="1"/>
  <c r="M9460" i="1"/>
  <c r="L9460" i="1"/>
  <c r="K9460" i="1"/>
  <c r="J9460" i="1"/>
  <c r="I9460" i="1"/>
  <c r="H9460" i="1"/>
  <c r="G9460" i="1"/>
  <c r="M9459" i="1"/>
  <c r="L9459" i="1"/>
  <c r="K9459" i="1"/>
  <c r="J9459" i="1"/>
  <c r="I9459" i="1"/>
  <c r="H9459" i="1"/>
  <c r="G9459" i="1"/>
  <c r="M9458" i="1"/>
  <c r="L9458" i="1"/>
  <c r="K9458" i="1"/>
  <c r="J9458" i="1"/>
  <c r="I9458" i="1"/>
  <c r="H9458" i="1"/>
  <c r="G9458" i="1"/>
  <c r="M9457" i="1"/>
  <c r="L9457" i="1"/>
  <c r="K9457" i="1"/>
  <c r="J9457" i="1"/>
  <c r="I9457" i="1"/>
  <c r="H9457" i="1"/>
  <c r="G9457" i="1"/>
  <c r="M9456" i="1"/>
  <c r="L9456" i="1"/>
  <c r="K9456" i="1"/>
  <c r="J9456" i="1"/>
  <c r="I9456" i="1"/>
  <c r="H9456" i="1"/>
  <c r="G9456" i="1"/>
  <c r="M9455" i="1"/>
  <c r="L9455" i="1"/>
  <c r="K9455" i="1"/>
  <c r="J9455" i="1"/>
  <c r="I9455" i="1"/>
  <c r="H9455" i="1"/>
  <c r="G9455" i="1"/>
  <c r="M9454" i="1"/>
  <c r="L9454" i="1"/>
  <c r="K9454" i="1"/>
  <c r="J9454" i="1"/>
  <c r="I9454" i="1"/>
  <c r="H9454" i="1"/>
  <c r="G9454" i="1"/>
  <c r="M9453" i="1"/>
  <c r="L9453" i="1"/>
  <c r="K9453" i="1"/>
  <c r="J9453" i="1"/>
  <c r="I9453" i="1"/>
  <c r="H9453" i="1"/>
  <c r="G9453" i="1"/>
  <c r="M9452" i="1"/>
  <c r="L9452" i="1"/>
  <c r="K9452" i="1"/>
  <c r="J9452" i="1"/>
  <c r="I9452" i="1"/>
  <c r="H9452" i="1"/>
  <c r="G9452" i="1"/>
  <c r="M9451" i="1"/>
  <c r="L9451" i="1"/>
  <c r="K9451" i="1"/>
  <c r="J9451" i="1"/>
  <c r="I9451" i="1"/>
  <c r="H9451" i="1"/>
  <c r="G9451" i="1"/>
  <c r="M9450" i="1"/>
  <c r="L9450" i="1"/>
  <c r="K9450" i="1"/>
  <c r="J9450" i="1"/>
  <c r="I9450" i="1"/>
  <c r="H9450" i="1"/>
  <c r="G9450" i="1"/>
  <c r="M9449" i="1"/>
  <c r="L9449" i="1"/>
  <c r="K9449" i="1"/>
  <c r="J9449" i="1"/>
  <c r="I9449" i="1"/>
  <c r="H9449" i="1"/>
  <c r="G9449" i="1"/>
  <c r="M9448" i="1"/>
  <c r="L9448" i="1"/>
  <c r="K9448" i="1"/>
  <c r="J9448" i="1"/>
  <c r="I9448" i="1"/>
  <c r="H9448" i="1"/>
  <c r="G9448" i="1"/>
  <c r="M9447" i="1"/>
  <c r="L9447" i="1"/>
  <c r="K9447" i="1"/>
  <c r="J9447" i="1"/>
  <c r="I9447" i="1"/>
  <c r="H9447" i="1"/>
  <c r="G9447" i="1"/>
  <c r="M9446" i="1"/>
  <c r="L9446" i="1"/>
  <c r="K9446" i="1"/>
  <c r="J9446" i="1"/>
  <c r="I9446" i="1"/>
  <c r="H9446" i="1"/>
  <c r="G9446" i="1"/>
  <c r="M9445" i="1"/>
  <c r="L9445" i="1"/>
  <c r="K9445" i="1"/>
  <c r="J9445" i="1"/>
  <c r="I9445" i="1"/>
  <c r="H9445" i="1"/>
  <c r="G9445" i="1"/>
  <c r="M9444" i="1"/>
  <c r="L9444" i="1"/>
  <c r="K9444" i="1"/>
  <c r="J9444" i="1"/>
  <c r="I9444" i="1"/>
  <c r="H9444" i="1"/>
  <c r="G9444" i="1"/>
  <c r="M9443" i="1"/>
  <c r="L9443" i="1"/>
  <c r="K9443" i="1"/>
  <c r="J9443" i="1"/>
  <c r="I9443" i="1"/>
  <c r="H9443" i="1"/>
  <c r="G9443" i="1"/>
  <c r="M9442" i="1"/>
  <c r="L9442" i="1"/>
  <c r="K9442" i="1"/>
  <c r="J9442" i="1"/>
  <c r="I9442" i="1"/>
  <c r="H9442" i="1"/>
  <c r="G9442" i="1"/>
  <c r="M9441" i="1"/>
  <c r="L9441" i="1"/>
  <c r="K9441" i="1"/>
  <c r="J9441" i="1"/>
  <c r="I9441" i="1"/>
  <c r="H9441" i="1"/>
  <c r="G9441" i="1"/>
  <c r="M9440" i="1"/>
  <c r="L9440" i="1"/>
  <c r="K9440" i="1"/>
  <c r="J9440" i="1"/>
  <c r="I9440" i="1"/>
  <c r="H9440" i="1"/>
  <c r="G9440" i="1"/>
  <c r="M9439" i="1"/>
  <c r="L9439" i="1"/>
  <c r="K9439" i="1"/>
  <c r="J9439" i="1"/>
  <c r="I9439" i="1"/>
  <c r="H9439" i="1"/>
  <c r="G9439" i="1"/>
  <c r="M9438" i="1"/>
  <c r="L9438" i="1"/>
  <c r="K9438" i="1"/>
  <c r="J9438" i="1"/>
  <c r="I9438" i="1"/>
  <c r="H9438" i="1"/>
  <c r="G9438" i="1"/>
  <c r="M9437" i="1"/>
  <c r="L9437" i="1"/>
  <c r="K9437" i="1"/>
  <c r="J9437" i="1"/>
  <c r="I9437" i="1"/>
  <c r="H9437" i="1"/>
  <c r="G9437" i="1"/>
  <c r="M9436" i="1"/>
  <c r="L9436" i="1"/>
  <c r="K9436" i="1"/>
  <c r="J9436" i="1"/>
  <c r="I9436" i="1"/>
  <c r="H9436" i="1"/>
  <c r="G9436" i="1"/>
  <c r="M9435" i="1"/>
  <c r="L9435" i="1"/>
  <c r="K9435" i="1"/>
  <c r="J9435" i="1"/>
  <c r="I9435" i="1"/>
  <c r="H9435" i="1"/>
  <c r="G9435" i="1"/>
  <c r="M9434" i="1"/>
  <c r="L9434" i="1"/>
  <c r="K9434" i="1"/>
  <c r="J9434" i="1"/>
  <c r="I9434" i="1"/>
  <c r="H9434" i="1"/>
  <c r="G9434" i="1"/>
  <c r="M9433" i="1"/>
  <c r="L9433" i="1"/>
  <c r="K9433" i="1"/>
  <c r="J9433" i="1"/>
  <c r="I9433" i="1"/>
  <c r="H9433" i="1"/>
  <c r="G9433" i="1"/>
  <c r="M9432" i="1"/>
  <c r="L9432" i="1"/>
  <c r="K9432" i="1"/>
  <c r="J9432" i="1"/>
  <c r="I9432" i="1"/>
  <c r="H9432" i="1"/>
  <c r="G9432" i="1"/>
  <c r="M9431" i="1"/>
  <c r="L9431" i="1"/>
  <c r="K9431" i="1"/>
  <c r="J9431" i="1"/>
  <c r="I9431" i="1"/>
  <c r="H9431" i="1"/>
  <c r="G9431" i="1"/>
  <c r="M9430" i="1"/>
  <c r="L9430" i="1"/>
  <c r="K9430" i="1"/>
  <c r="J9430" i="1"/>
  <c r="I9430" i="1"/>
  <c r="H9430" i="1"/>
  <c r="G9430" i="1"/>
  <c r="M9429" i="1"/>
  <c r="L9429" i="1"/>
  <c r="K9429" i="1"/>
  <c r="J9429" i="1"/>
  <c r="I9429" i="1"/>
  <c r="H9429" i="1"/>
  <c r="G9429" i="1"/>
  <c r="M9428" i="1"/>
  <c r="L9428" i="1"/>
  <c r="K9428" i="1"/>
  <c r="J9428" i="1"/>
  <c r="I9428" i="1"/>
  <c r="H9428" i="1"/>
  <c r="G9428" i="1"/>
  <c r="M9427" i="1"/>
  <c r="L9427" i="1"/>
  <c r="K9427" i="1"/>
  <c r="J9427" i="1"/>
  <c r="I9427" i="1"/>
  <c r="H9427" i="1"/>
  <c r="G9427" i="1"/>
  <c r="M9426" i="1"/>
  <c r="L9426" i="1"/>
  <c r="K9426" i="1"/>
  <c r="J9426" i="1"/>
  <c r="I9426" i="1"/>
  <c r="H9426" i="1"/>
  <c r="G9426" i="1"/>
  <c r="M9425" i="1"/>
  <c r="L9425" i="1"/>
  <c r="K9425" i="1"/>
  <c r="J9425" i="1"/>
  <c r="I9425" i="1"/>
  <c r="H9425" i="1"/>
  <c r="G9425" i="1"/>
  <c r="M9424" i="1"/>
  <c r="L9424" i="1"/>
  <c r="K9424" i="1"/>
  <c r="J9424" i="1"/>
  <c r="I9424" i="1"/>
  <c r="H9424" i="1"/>
  <c r="G9424" i="1"/>
  <c r="M9423" i="1"/>
  <c r="L9423" i="1"/>
  <c r="K9423" i="1"/>
  <c r="J9423" i="1"/>
  <c r="I9423" i="1"/>
  <c r="H9423" i="1"/>
  <c r="G9423" i="1"/>
  <c r="M9422" i="1"/>
  <c r="L9422" i="1"/>
  <c r="K9422" i="1"/>
  <c r="J9422" i="1"/>
  <c r="I9422" i="1"/>
  <c r="H9422" i="1"/>
  <c r="G9422" i="1"/>
  <c r="M9421" i="1"/>
  <c r="L9421" i="1"/>
  <c r="K9421" i="1"/>
  <c r="J9421" i="1"/>
  <c r="I9421" i="1"/>
  <c r="H9421" i="1"/>
  <c r="G9421" i="1"/>
  <c r="M9420" i="1"/>
  <c r="L9420" i="1"/>
  <c r="K9420" i="1"/>
  <c r="J9420" i="1"/>
  <c r="I9420" i="1"/>
  <c r="H9420" i="1"/>
  <c r="G9420" i="1"/>
  <c r="M9419" i="1"/>
  <c r="L9419" i="1"/>
  <c r="K9419" i="1"/>
  <c r="J9419" i="1"/>
  <c r="I9419" i="1"/>
  <c r="H9419" i="1"/>
  <c r="G9419" i="1"/>
  <c r="M9418" i="1"/>
  <c r="L9418" i="1"/>
  <c r="K9418" i="1"/>
  <c r="J9418" i="1"/>
  <c r="I9418" i="1"/>
  <c r="H9418" i="1"/>
  <c r="G9418" i="1"/>
  <c r="M9417" i="1"/>
  <c r="L9417" i="1"/>
  <c r="K9417" i="1"/>
  <c r="J9417" i="1"/>
  <c r="I9417" i="1"/>
  <c r="H9417" i="1"/>
  <c r="G9417" i="1"/>
  <c r="M9416" i="1"/>
  <c r="L9416" i="1"/>
  <c r="K9416" i="1"/>
  <c r="J9416" i="1"/>
  <c r="I9416" i="1"/>
  <c r="H9416" i="1"/>
  <c r="G9416" i="1"/>
  <c r="M9415" i="1"/>
  <c r="L9415" i="1"/>
  <c r="K9415" i="1"/>
  <c r="J9415" i="1"/>
  <c r="I9415" i="1"/>
  <c r="H9415" i="1"/>
  <c r="G9415" i="1"/>
  <c r="M9414" i="1"/>
  <c r="L9414" i="1"/>
  <c r="K9414" i="1"/>
  <c r="J9414" i="1"/>
  <c r="I9414" i="1"/>
  <c r="H9414" i="1"/>
  <c r="G9414" i="1"/>
  <c r="M9413" i="1"/>
  <c r="L9413" i="1"/>
  <c r="K9413" i="1"/>
  <c r="J9413" i="1"/>
  <c r="I9413" i="1"/>
  <c r="H9413" i="1"/>
  <c r="G9413" i="1"/>
  <c r="M9412" i="1"/>
  <c r="L9412" i="1"/>
  <c r="K9412" i="1"/>
  <c r="J9412" i="1"/>
  <c r="I9412" i="1"/>
  <c r="H9412" i="1"/>
  <c r="G9412" i="1"/>
  <c r="M9411" i="1"/>
  <c r="L9411" i="1"/>
  <c r="K9411" i="1"/>
  <c r="J9411" i="1"/>
  <c r="I9411" i="1"/>
  <c r="H9411" i="1"/>
  <c r="G9411" i="1"/>
  <c r="M9410" i="1"/>
  <c r="L9410" i="1"/>
  <c r="K9410" i="1"/>
  <c r="J9410" i="1"/>
  <c r="I9410" i="1"/>
  <c r="H9410" i="1"/>
  <c r="G9410" i="1"/>
  <c r="M9409" i="1"/>
  <c r="L9409" i="1"/>
  <c r="K9409" i="1"/>
  <c r="J9409" i="1"/>
  <c r="I9409" i="1"/>
  <c r="H9409" i="1"/>
  <c r="G9409" i="1"/>
  <c r="M9408" i="1"/>
  <c r="L9408" i="1"/>
  <c r="K9408" i="1"/>
  <c r="J9408" i="1"/>
  <c r="I9408" i="1"/>
  <c r="H9408" i="1"/>
  <c r="G9408" i="1"/>
  <c r="M9407" i="1"/>
  <c r="L9407" i="1"/>
  <c r="K9407" i="1"/>
  <c r="J9407" i="1"/>
  <c r="I9407" i="1"/>
  <c r="H9407" i="1"/>
  <c r="G9407" i="1"/>
  <c r="M9406" i="1"/>
  <c r="L9406" i="1"/>
  <c r="K9406" i="1"/>
  <c r="J9406" i="1"/>
  <c r="I9406" i="1"/>
  <c r="H9406" i="1"/>
  <c r="G9406" i="1"/>
  <c r="M9405" i="1"/>
  <c r="L9405" i="1"/>
  <c r="K9405" i="1"/>
  <c r="J9405" i="1"/>
  <c r="I9405" i="1"/>
  <c r="H9405" i="1"/>
  <c r="G9405" i="1"/>
  <c r="M9404" i="1"/>
  <c r="L9404" i="1"/>
  <c r="K9404" i="1"/>
  <c r="J9404" i="1"/>
  <c r="I9404" i="1"/>
  <c r="H9404" i="1"/>
  <c r="G9404" i="1"/>
  <c r="M9403" i="1"/>
  <c r="L9403" i="1"/>
  <c r="K9403" i="1"/>
  <c r="J9403" i="1"/>
  <c r="I9403" i="1"/>
  <c r="H9403" i="1"/>
  <c r="G9403" i="1"/>
  <c r="M9402" i="1"/>
  <c r="L9402" i="1"/>
  <c r="K9402" i="1"/>
  <c r="J9402" i="1"/>
  <c r="I9402" i="1"/>
  <c r="H9402" i="1"/>
  <c r="G9402" i="1"/>
  <c r="M9401" i="1"/>
  <c r="L9401" i="1"/>
  <c r="K9401" i="1"/>
  <c r="J9401" i="1"/>
  <c r="I9401" i="1"/>
  <c r="H9401" i="1"/>
  <c r="G9401" i="1"/>
  <c r="M9400" i="1"/>
  <c r="L9400" i="1"/>
  <c r="K9400" i="1"/>
  <c r="J9400" i="1"/>
  <c r="I9400" i="1"/>
  <c r="H9400" i="1"/>
  <c r="G9400" i="1"/>
  <c r="M9399" i="1"/>
  <c r="L9399" i="1"/>
  <c r="K9399" i="1"/>
  <c r="J9399" i="1"/>
  <c r="I9399" i="1"/>
  <c r="H9399" i="1"/>
  <c r="G9399" i="1"/>
  <c r="M9398" i="1"/>
  <c r="L9398" i="1"/>
  <c r="K9398" i="1"/>
  <c r="J9398" i="1"/>
  <c r="I9398" i="1"/>
  <c r="H9398" i="1"/>
  <c r="G9398" i="1"/>
  <c r="M9397" i="1"/>
  <c r="L9397" i="1"/>
  <c r="K9397" i="1"/>
  <c r="J9397" i="1"/>
  <c r="I9397" i="1"/>
  <c r="H9397" i="1"/>
  <c r="G9397" i="1"/>
  <c r="M9396" i="1"/>
  <c r="L9396" i="1"/>
  <c r="K9396" i="1"/>
  <c r="J9396" i="1"/>
  <c r="I9396" i="1"/>
  <c r="H9396" i="1"/>
  <c r="G9396" i="1"/>
  <c r="M9395" i="1"/>
  <c r="L9395" i="1"/>
  <c r="K9395" i="1"/>
  <c r="J9395" i="1"/>
  <c r="I9395" i="1"/>
  <c r="H9395" i="1"/>
  <c r="G9395" i="1"/>
  <c r="M9394" i="1"/>
  <c r="L9394" i="1"/>
  <c r="K9394" i="1"/>
  <c r="J9394" i="1"/>
  <c r="I9394" i="1"/>
  <c r="H9394" i="1"/>
  <c r="G9394" i="1"/>
  <c r="M9393" i="1"/>
  <c r="L9393" i="1"/>
  <c r="K9393" i="1"/>
  <c r="J9393" i="1"/>
  <c r="I9393" i="1"/>
  <c r="H9393" i="1"/>
  <c r="G9393" i="1"/>
  <c r="M9392" i="1"/>
  <c r="L9392" i="1"/>
  <c r="K9392" i="1"/>
  <c r="J9392" i="1"/>
  <c r="I9392" i="1"/>
  <c r="H9392" i="1"/>
  <c r="G9392" i="1"/>
  <c r="M9391" i="1"/>
  <c r="L9391" i="1"/>
  <c r="K9391" i="1"/>
  <c r="J9391" i="1"/>
  <c r="I9391" i="1"/>
  <c r="H9391" i="1"/>
  <c r="G9391" i="1"/>
  <c r="M9390" i="1"/>
  <c r="L9390" i="1"/>
  <c r="K9390" i="1"/>
  <c r="J9390" i="1"/>
  <c r="I9390" i="1"/>
  <c r="H9390" i="1"/>
  <c r="G9390" i="1"/>
  <c r="M9389" i="1"/>
  <c r="L9389" i="1"/>
  <c r="K9389" i="1"/>
  <c r="J9389" i="1"/>
  <c r="I9389" i="1"/>
  <c r="H9389" i="1"/>
  <c r="G9389" i="1"/>
  <c r="M9388" i="1"/>
  <c r="L9388" i="1"/>
  <c r="K9388" i="1"/>
  <c r="J9388" i="1"/>
  <c r="I9388" i="1"/>
  <c r="H9388" i="1"/>
  <c r="G9388" i="1"/>
  <c r="M9387" i="1"/>
  <c r="L9387" i="1"/>
  <c r="K9387" i="1"/>
  <c r="J9387" i="1"/>
  <c r="I9387" i="1"/>
  <c r="H9387" i="1"/>
  <c r="G9387" i="1"/>
  <c r="M9386" i="1"/>
  <c r="L9386" i="1"/>
  <c r="K9386" i="1"/>
  <c r="J9386" i="1"/>
  <c r="I9386" i="1"/>
  <c r="H9386" i="1"/>
  <c r="G9386" i="1"/>
  <c r="M9385" i="1"/>
  <c r="L9385" i="1"/>
  <c r="K9385" i="1"/>
  <c r="J9385" i="1"/>
  <c r="I9385" i="1"/>
  <c r="H9385" i="1"/>
  <c r="G9385" i="1"/>
  <c r="M9384" i="1"/>
  <c r="L9384" i="1"/>
  <c r="K9384" i="1"/>
  <c r="J9384" i="1"/>
  <c r="I9384" i="1"/>
  <c r="H9384" i="1"/>
  <c r="G9384" i="1"/>
  <c r="M9383" i="1"/>
  <c r="L9383" i="1"/>
  <c r="K9383" i="1"/>
  <c r="J9383" i="1"/>
  <c r="I9383" i="1"/>
  <c r="H9383" i="1"/>
  <c r="G9383" i="1"/>
  <c r="M9382" i="1"/>
  <c r="L9382" i="1"/>
  <c r="K9382" i="1"/>
  <c r="J9382" i="1"/>
  <c r="I9382" i="1"/>
  <c r="H9382" i="1"/>
  <c r="G9382" i="1"/>
  <c r="M9381" i="1"/>
  <c r="L9381" i="1"/>
  <c r="K9381" i="1"/>
  <c r="J9381" i="1"/>
  <c r="I9381" i="1"/>
  <c r="H9381" i="1"/>
  <c r="G9381" i="1"/>
  <c r="M9380" i="1"/>
  <c r="L9380" i="1"/>
  <c r="K9380" i="1"/>
  <c r="J9380" i="1"/>
  <c r="I9380" i="1"/>
  <c r="H9380" i="1"/>
  <c r="G9380" i="1"/>
  <c r="M9379" i="1"/>
  <c r="L9379" i="1"/>
  <c r="K9379" i="1"/>
  <c r="J9379" i="1"/>
  <c r="I9379" i="1"/>
  <c r="H9379" i="1"/>
  <c r="G9379" i="1"/>
  <c r="M9378" i="1"/>
  <c r="L9378" i="1"/>
  <c r="K9378" i="1"/>
  <c r="J9378" i="1"/>
  <c r="I9378" i="1"/>
  <c r="H9378" i="1"/>
  <c r="G9378" i="1"/>
  <c r="M9377" i="1"/>
  <c r="L9377" i="1"/>
  <c r="K9377" i="1"/>
  <c r="J9377" i="1"/>
  <c r="I9377" i="1"/>
  <c r="H9377" i="1"/>
  <c r="G9377" i="1"/>
  <c r="M9376" i="1"/>
  <c r="L9376" i="1"/>
  <c r="K9376" i="1"/>
  <c r="J9376" i="1"/>
  <c r="I9376" i="1"/>
  <c r="H9376" i="1"/>
  <c r="G9376" i="1"/>
  <c r="M9375" i="1"/>
  <c r="L9375" i="1"/>
  <c r="K9375" i="1"/>
  <c r="J9375" i="1"/>
  <c r="I9375" i="1"/>
  <c r="H9375" i="1"/>
  <c r="G9375" i="1"/>
  <c r="M9374" i="1"/>
  <c r="L9374" i="1"/>
  <c r="K9374" i="1"/>
  <c r="J9374" i="1"/>
  <c r="I9374" i="1"/>
  <c r="H9374" i="1"/>
  <c r="G9374" i="1"/>
  <c r="M9373" i="1"/>
  <c r="L9373" i="1"/>
  <c r="K9373" i="1"/>
  <c r="J9373" i="1"/>
  <c r="I9373" i="1"/>
  <c r="H9373" i="1"/>
  <c r="G9373" i="1"/>
  <c r="M9372" i="1"/>
  <c r="L9372" i="1"/>
  <c r="K9372" i="1"/>
  <c r="J9372" i="1"/>
  <c r="I9372" i="1"/>
  <c r="H9372" i="1"/>
  <c r="G9372" i="1"/>
  <c r="M9371" i="1"/>
  <c r="L9371" i="1"/>
  <c r="K9371" i="1"/>
  <c r="J9371" i="1"/>
  <c r="I9371" i="1"/>
  <c r="H9371" i="1"/>
  <c r="G9371" i="1"/>
  <c r="M9370" i="1"/>
  <c r="L9370" i="1"/>
  <c r="K9370" i="1"/>
  <c r="J9370" i="1"/>
  <c r="I9370" i="1"/>
  <c r="H9370" i="1"/>
  <c r="G9370" i="1"/>
  <c r="M9369" i="1"/>
  <c r="L9369" i="1"/>
  <c r="K9369" i="1"/>
  <c r="J9369" i="1"/>
  <c r="I9369" i="1"/>
  <c r="H9369" i="1"/>
  <c r="G9369" i="1"/>
  <c r="M9368" i="1"/>
  <c r="L9368" i="1"/>
  <c r="K9368" i="1"/>
  <c r="J9368" i="1"/>
  <c r="I9368" i="1"/>
  <c r="H9368" i="1"/>
  <c r="G9368" i="1"/>
  <c r="M9367" i="1"/>
  <c r="L9367" i="1"/>
  <c r="K9367" i="1"/>
  <c r="J9367" i="1"/>
  <c r="I9367" i="1"/>
  <c r="H9367" i="1"/>
  <c r="G9367" i="1"/>
  <c r="M9366" i="1"/>
  <c r="L9366" i="1"/>
  <c r="K9366" i="1"/>
  <c r="J9366" i="1"/>
  <c r="I9366" i="1"/>
  <c r="H9366" i="1"/>
  <c r="G9366" i="1"/>
  <c r="M9365" i="1"/>
  <c r="L9365" i="1"/>
  <c r="K9365" i="1"/>
  <c r="J9365" i="1"/>
  <c r="I9365" i="1"/>
  <c r="H9365" i="1"/>
  <c r="G9365" i="1"/>
  <c r="M9364" i="1"/>
  <c r="L9364" i="1"/>
  <c r="K9364" i="1"/>
  <c r="J9364" i="1"/>
  <c r="I9364" i="1"/>
  <c r="H9364" i="1"/>
  <c r="G9364" i="1"/>
  <c r="M9363" i="1"/>
  <c r="L9363" i="1"/>
  <c r="K9363" i="1"/>
  <c r="J9363" i="1"/>
  <c r="I9363" i="1"/>
  <c r="H9363" i="1"/>
  <c r="G9363" i="1"/>
  <c r="M9362" i="1"/>
  <c r="L9362" i="1"/>
  <c r="K9362" i="1"/>
  <c r="J9362" i="1"/>
  <c r="I9362" i="1"/>
  <c r="H9362" i="1"/>
  <c r="G9362" i="1"/>
  <c r="M9361" i="1"/>
  <c r="L9361" i="1"/>
  <c r="K9361" i="1"/>
  <c r="J9361" i="1"/>
  <c r="I9361" i="1"/>
  <c r="H9361" i="1"/>
  <c r="G9361" i="1"/>
  <c r="M9360" i="1"/>
  <c r="L9360" i="1"/>
  <c r="K9360" i="1"/>
  <c r="J9360" i="1"/>
  <c r="I9360" i="1"/>
  <c r="H9360" i="1"/>
  <c r="G9360" i="1"/>
  <c r="M9359" i="1"/>
  <c r="L9359" i="1"/>
  <c r="K9359" i="1"/>
  <c r="J9359" i="1"/>
  <c r="I9359" i="1"/>
  <c r="H9359" i="1"/>
  <c r="G9359" i="1"/>
  <c r="M9358" i="1"/>
  <c r="L9358" i="1"/>
  <c r="K9358" i="1"/>
  <c r="J9358" i="1"/>
  <c r="I9358" i="1"/>
  <c r="H9358" i="1"/>
  <c r="G9358" i="1"/>
  <c r="M9357" i="1"/>
  <c r="L9357" i="1"/>
  <c r="K9357" i="1"/>
  <c r="J9357" i="1"/>
  <c r="I9357" i="1"/>
  <c r="H9357" i="1"/>
  <c r="G9357" i="1"/>
  <c r="M9356" i="1"/>
  <c r="L9356" i="1"/>
  <c r="K9356" i="1"/>
  <c r="J9356" i="1"/>
  <c r="I9356" i="1"/>
  <c r="H9356" i="1"/>
  <c r="G9356" i="1"/>
  <c r="M9355" i="1"/>
  <c r="L9355" i="1"/>
  <c r="K9355" i="1"/>
  <c r="J9355" i="1"/>
  <c r="I9355" i="1"/>
  <c r="H9355" i="1"/>
  <c r="G9355" i="1"/>
  <c r="M9354" i="1"/>
  <c r="L9354" i="1"/>
  <c r="K9354" i="1"/>
  <c r="J9354" i="1"/>
  <c r="I9354" i="1"/>
  <c r="H9354" i="1"/>
  <c r="G9354" i="1"/>
  <c r="M9353" i="1"/>
  <c r="L9353" i="1"/>
  <c r="K9353" i="1"/>
  <c r="J9353" i="1"/>
  <c r="I9353" i="1"/>
  <c r="H9353" i="1"/>
  <c r="G9353" i="1"/>
  <c r="M9352" i="1"/>
  <c r="L9352" i="1"/>
  <c r="K9352" i="1"/>
  <c r="J9352" i="1"/>
  <c r="I9352" i="1"/>
  <c r="H9352" i="1"/>
  <c r="G9352" i="1"/>
  <c r="M9351" i="1"/>
  <c r="L9351" i="1"/>
  <c r="K9351" i="1"/>
  <c r="J9351" i="1"/>
  <c r="I9351" i="1"/>
  <c r="H9351" i="1"/>
  <c r="G9351" i="1"/>
  <c r="M9350" i="1"/>
  <c r="L9350" i="1"/>
  <c r="K9350" i="1"/>
  <c r="J9350" i="1"/>
  <c r="I9350" i="1"/>
  <c r="H9350" i="1"/>
  <c r="G9350" i="1"/>
  <c r="M9349" i="1"/>
  <c r="L9349" i="1"/>
  <c r="K9349" i="1"/>
  <c r="J9349" i="1"/>
  <c r="I9349" i="1"/>
  <c r="H9349" i="1"/>
  <c r="G9349" i="1"/>
  <c r="M9348" i="1"/>
  <c r="L9348" i="1"/>
  <c r="K9348" i="1"/>
  <c r="J9348" i="1"/>
  <c r="I9348" i="1"/>
  <c r="H9348" i="1"/>
  <c r="G9348" i="1"/>
  <c r="M9347" i="1"/>
  <c r="L9347" i="1"/>
  <c r="K9347" i="1"/>
  <c r="J9347" i="1"/>
  <c r="I9347" i="1"/>
  <c r="H9347" i="1"/>
  <c r="G9347" i="1"/>
  <c r="M9346" i="1"/>
  <c r="L9346" i="1"/>
  <c r="K9346" i="1"/>
  <c r="J9346" i="1"/>
  <c r="I9346" i="1"/>
  <c r="H9346" i="1"/>
  <c r="G9346" i="1"/>
  <c r="M9345" i="1"/>
  <c r="L9345" i="1"/>
  <c r="K9345" i="1"/>
  <c r="J9345" i="1"/>
  <c r="I9345" i="1"/>
  <c r="H9345" i="1"/>
  <c r="G9345" i="1"/>
  <c r="M9344" i="1"/>
  <c r="L9344" i="1"/>
  <c r="K9344" i="1"/>
  <c r="J9344" i="1"/>
  <c r="I9344" i="1"/>
  <c r="H9344" i="1"/>
  <c r="G9344" i="1"/>
  <c r="M9343" i="1"/>
  <c r="L9343" i="1"/>
  <c r="K9343" i="1"/>
  <c r="J9343" i="1"/>
  <c r="I9343" i="1"/>
  <c r="H9343" i="1"/>
  <c r="G9343" i="1"/>
  <c r="M9342" i="1"/>
  <c r="L9342" i="1"/>
  <c r="K9342" i="1"/>
  <c r="J9342" i="1"/>
  <c r="I9342" i="1"/>
  <c r="H9342" i="1"/>
  <c r="G9342" i="1"/>
  <c r="M9341" i="1"/>
  <c r="L9341" i="1"/>
  <c r="K9341" i="1"/>
  <c r="J9341" i="1"/>
  <c r="I9341" i="1"/>
  <c r="H9341" i="1"/>
  <c r="G9341" i="1"/>
  <c r="M9340" i="1"/>
  <c r="L9340" i="1"/>
  <c r="K9340" i="1"/>
  <c r="J9340" i="1"/>
  <c r="I9340" i="1"/>
  <c r="H9340" i="1"/>
  <c r="G9340" i="1"/>
  <c r="M9339" i="1"/>
  <c r="L9339" i="1"/>
  <c r="K9339" i="1"/>
  <c r="J9339" i="1"/>
  <c r="I9339" i="1"/>
  <c r="H9339" i="1"/>
  <c r="G9339" i="1"/>
  <c r="M9338" i="1"/>
  <c r="L9338" i="1"/>
  <c r="K9338" i="1"/>
  <c r="J9338" i="1"/>
  <c r="I9338" i="1"/>
  <c r="H9338" i="1"/>
  <c r="G9338" i="1"/>
  <c r="M9337" i="1"/>
  <c r="L9337" i="1"/>
  <c r="K9337" i="1"/>
  <c r="J9337" i="1"/>
  <c r="I9337" i="1"/>
  <c r="H9337" i="1"/>
  <c r="G9337" i="1"/>
  <c r="M9336" i="1"/>
  <c r="L9336" i="1"/>
  <c r="K9336" i="1"/>
  <c r="J9336" i="1"/>
  <c r="I9336" i="1"/>
  <c r="H9336" i="1"/>
  <c r="G9336" i="1"/>
  <c r="M9335" i="1"/>
  <c r="L9335" i="1"/>
  <c r="K9335" i="1"/>
  <c r="J9335" i="1"/>
  <c r="I9335" i="1"/>
  <c r="H9335" i="1"/>
  <c r="G9335" i="1"/>
  <c r="M9334" i="1"/>
  <c r="L9334" i="1"/>
  <c r="K9334" i="1"/>
  <c r="J9334" i="1"/>
  <c r="I9334" i="1"/>
  <c r="H9334" i="1"/>
  <c r="G9334" i="1"/>
  <c r="M9333" i="1"/>
  <c r="L9333" i="1"/>
  <c r="K9333" i="1"/>
  <c r="J9333" i="1"/>
  <c r="I9333" i="1"/>
  <c r="H9333" i="1"/>
  <c r="G9333" i="1"/>
  <c r="M9332" i="1"/>
  <c r="L9332" i="1"/>
  <c r="K9332" i="1"/>
  <c r="J9332" i="1"/>
  <c r="I9332" i="1"/>
  <c r="H9332" i="1"/>
  <c r="G9332" i="1"/>
  <c r="M9331" i="1"/>
  <c r="L9331" i="1"/>
  <c r="K9331" i="1"/>
  <c r="J9331" i="1"/>
  <c r="I9331" i="1"/>
  <c r="H9331" i="1"/>
  <c r="G9331" i="1"/>
  <c r="M9330" i="1"/>
  <c r="L9330" i="1"/>
  <c r="K9330" i="1"/>
  <c r="J9330" i="1"/>
  <c r="I9330" i="1"/>
  <c r="H9330" i="1"/>
  <c r="G9330" i="1"/>
  <c r="M9329" i="1"/>
  <c r="L9329" i="1"/>
  <c r="K9329" i="1"/>
  <c r="J9329" i="1"/>
  <c r="I9329" i="1"/>
  <c r="H9329" i="1"/>
  <c r="G9329" i="1"/>
  <c r="M9328" i="1"/>
  <c r="L9328" i="1"/>
  <c r="K9328" i="1"/>
  <c r="J9328" i="1"/>
  <c r="I9328" i="1"/>
  <c r="H9328" i="1"/>
  <c r="G9328" i="1"/>
  <c r="M9327" i="1"/>
  <c r="L9327" i="1"/>
  <c r="K9327" i="1"/>
  <c r="J9327" i="1"/>
  <c r="I9327" i="1"/>
  <c r="H9327" i="1"/>
  <c r="G9327" i="1"/>
  <c r="M9326" i="1"/>
  <c r="L9326" i="1"/>
  <c r="K9326" i="1"/>
  <c r="J9326" i="1"/>
  <c r="I9326" i="1"/>
  <c r="H9326" i="1"/>
  <c r="G9326" i="1"/>
  <c r="M9325" i="1"/>
  <c r="L9325" i="1"/>
  <c r="K9325" i="1"/>
  <c r="J9325" i="1"/>
  <c r="I9325" i="1"/>
  <c r="H9325" i="1"/>
  <c r="G9325" i="1"/>
  <c r="M9324" i="1"/>
  <c r="L9324" i="1"/>
  <c r="K9324" i="1"/>
  <c r="J9324" i="1"/>
  <c r="I9324" i="1"/>
  <c r="H9324" i="1"/>
  <c r="G9324" i="1"/>
  <c r="M9323" i="1"/>
  <c r="L9323" i="1"/>
  <c r="K9323" i="1"/>
  <c r="J9323" i="1"/>
  <c r="I9323" i="1"/>
  <c r="H9323" i="1"/>
  <c r="G9323" i="1"/>
  <c r="M9322" i="1"/>
  <c r="L9322" i="1"/>
  <c r="K9322" i="1"/>
  <c r="J9322" i="1"/>
  <c r="I9322" i="1"/>
  <c r="H9322" i="1"/>
  <c r="G9322" i="1"/>
  <c r="M9321" i="1"/>
  <c r="L9321" i="1"/>
  <c r="K9321" i="1"/>
  <c r="J9321" i="1"/>
  <c r="I9321" i="1"/>
  <c r="H9321" i="1"/>
  <c r="G9321" i="1"/>
  <c r="M9320" i="1"/>
  <c r="L9320" i="1"/>
  <c r="K9320" i="1"/>
  <c r="J9320" i="1"/>
  <c r="I9320" i="1"/>
  <c r="H9320" i="1"/>
  <c r="G9320" i="1"/>
  <c r="M9319" i="1"/>
  <c r="L9319" i="1"/>
  <c r="K9319" i="1"/>
  <c r="J9319" i="1"/>
  <c r="I9319" i="1"/>
  <c r="H9319" i="1"/>
  <c r="G9319" i="1"/>
  <c r="M9318" i="1"/>
  <c r="L9318" i="1"/>
  <c r="K9318" i="1"/>
  <c r="J9318" i="1"/>
  <c r="I9318" i="1"/>
  <c r="H9318" i="1"/>
  <c r="G9318" i="1"/>
  <c r="M9317" i="1"/>
  <c r="L9317" i="1"/>
  <c r="K9317" i="1"/>
  <c r="J9317" i="1"/>
  <c r="I9317" i="1"/>
  <c r="H9317" i="1"/>
  <c r="G9317" i="1"/>
  <c r="M9316" i="1"/>
  <c r="L9316" i="1"/>
  <c r="K9316" i="1"/>
  <c r="J9316" i="1"/>
  <c r="I9316" i="1"/>
  <c r="H9316" i="1"/>
  <c r="G9316" i="1"/>
  <c r="M9315" i="1"/>
  <c r="L9315" i="1"/>
  <c r="K9315" i="1"/>
  <c r="J9315" i="1"/>
  <c r="I9315" i="1"/>
  <c r="H9315" i="1"/>
  <c r="G9315" i="1"/>
  <c r="M9314" i="1"/>
  <c r="L9314" i="1"/>
  <c r="K9314" i="1"/>
  <c r="J9314" i="1"/>
  <c r="I9314" i="1"/>
  <c r="H9314" i="1"/>
  <c r="G9314" i="1"/>
  <c r="M9313" i="1"/>
  <c r="L9313" i="1"/>
  <c r="K9313" i="1"/>
  <c r="J9313" i="1"/>
  <c r="I9313" i="1"/>
  <c r="H9313" i="1"/>
  <c r="G9313" i="1"/>
  <c r="M9312" i="1"/>
  <c r="L9312" i="1"/>
  <c r="K9312" i="1"/>
  <c r="J9312" i="1"/>
  <c r="I9312" i="1"/>
  <c r="H9312" i="1"/>
  <c r="G9312" i="1"/>
  <c r="M9311" i="1"/>
  <c r="L9311" i="1"/>
  <c r="K9311" i="1"/>
  <c r="J9311" i="1"/>
  <c r="I9311" i="1"/>
  <c r="H9311" i="1"/>
  <c r="G9311" i="1"/>
  <c r="M9310" i="1"/>
  <c r="L9310" i="1"/>
  <c r="K9310" i="1"/>
  <c r="J9310" i="1"/>
  <c r="I9310" i="1"/>
  <c r="H9310" i="1"/>
  <c r="G9310" i="1"/>
  <c r="M9309" i="1"/>
  <c r="L9309" i="1"/>
  <c r="K9309" i="1"/>
  <c r="J9309" i="1"/>
  <c r="I9309" i="1"/>
  <c r="H9309" i="1"/>
  <c r="G9309" i="1"/>
  <c r="M9308" i="1"/>
  <c r="L9308" i="1"/>
  <c r="K9308" i="1"/>
  <c r="J9308" i="1"/>
  <c r="I9308" i="1"/>
  <c r="H9308" i="1"/>
  <c r="G9308" i="1"/>
  <c r="M9307" i="1"/>
  <c r="L9307" i="1"/>
  <c r="K9307" i="1"/>
  <c r="J9307" i="1"/>
  <c r="I9307" i="1"/>
  <c r="H9307" i="1"/>
  <c r="G9307" i="1"/>
  <c r="M9306" i="1"/>
  <c r="L9306" i="1"/>
  <c r="K9306" i="1"/>
  <c r="J9306" i="1"/>
  <c r="I9306" i="1"/>
  <c r="H9306" i="1"/>
  <c r="G9306" i="1"/>
  <c r="M9305" i="1"/>
  <c r="L9305" i="1"/>
  <c r="K9305" i="1"/>
  <c r="J9305" i="1"/>
  <c r="I9305" i="1"/>
  <c r="H9305" i="1"/>
  <c r="G9305" i="1"/>
  <c r="M9304" i="1"/>
  <c r="L9304" i="1"/>
  <c r="K9304" i="1"/>
  <c r="J9304" i="1"/>
  <c r="I9304" i="1"/>
  <c r="H9304" i="1"/>
  <c r="G9304" i="1"/>
  <c r="M9303" i="1"/>
  <c r="L9303" i="1"/>
  <c r="K9303" i="1"/>
  <c r="J9303" i="1"/>
  <c r="I9303" i="1"/>
  <c r="H9303" i="1"/>
  <c r="G9303" i="1"/>
  <c r="M9302" i="1"/>
  <c r="L9302" i="1"/>
  <c r="K9302" i="1"/>
  <c r="J9302" i="1"/>
  <c r="I9302" i="1"/>
  <c r="H9302" i="1"/>
  <c r="G9302" i="1"/>
  <c r="M9301" i="1"/>
  <c r="L9301" i="1"/>
  <c r="K9301" i="1"/>
  <c r="J9301" i="1"/>
  <c r="I9301" i="1"/>
  <c r="H9301" i="1"/>
  <c r="G9301" i="1"/>
  <c r="M9300" i="1"/>
  <c r="L9300" i="1"/>
  <c r="K9300" i="1"/>
  <c r="J9300" i="1"/>
  <c r="I9300" i="1"/>
  <c r="H9300" i="1"/>
  <c r="G9300" i="1"/>
  <c r="M9299" i="1"/>
  <c r="L9299" i="1"/>
  <c r="K9299" i="1"/>
  <c r="J9299" i="1"/>
  <c r="I9299" i="1"/>
  <c r="H9299" i="1"/>
  <c r="G9299" i="1"/>
  <c r="M9298" i="1"/>
  <c r="L9298" i="1"/>
  <c r="K9298" i="1"/>
  <c r="J9298" i="1"/>
  <c r="I9298" i="1"/>
  <c r="H9298" i="1"/>
  <c r="G9298" i="1"/>
  <c r="M9297" i="1"/>
  <c r="L9297" i="1"/>
  <c r="K9297" i="1"/>
  <c r="J9297" i="1"/>
  <c r="I9297" i="1"/>
  <c r="H9297" i="1"/>
  <c r="G9297" i="1"/>
  <c r="M9296" i="1"/>
  <c r="L9296" i="1"/>
  <c r="K9296" i="1"/>
  <c r="J9296" i="1"/>
  <c r="I9296" i="1"/>
  <c r="H9296" i="1"/>
  <c r="G9296" i="1"/>
  <c r="M9295" i="1"/>
  <c r="L9295" i="1"/>
  <c r="K9295" i="1"/>
  <c r="J9295" i="1"/>
  <c r="I9295" i="1"/>
  <c r="H9295" i="1"/>
  <c r="G9295" i="1"/>
  <c r="M9294" i="1"/>
  <c r="L9294" i="1"/>
  <c r="K9294" i="1"/>
  <c r="J9294" i="1"/>
  <c r="I9294" i="1"/>
  <c r="H9294" i="1"/>
  <c r="G9294" i="1"/>
  <c r="M9293" i="1"/>
  <c r="L9293" i="1"/>
  <c r="K9293" i="1"/>
  <c r="J9293" i="1"/>
  <c r="I9293" i="1"/>
  <c r="H9293" i="1"/>
  <c r="G9293" i="1"/>
  <c r="M9292" i="1"/>
  <c r="L9292" i="1"/>
  <c r="K9292" i="1"/>
  <c r="J9292" i="1"/>
  <c r="I9292" i="1"/>
  <c r="H9292" i="1"/>
  <c r="G9292" i="1"/>
  <c r="M9291" i="1"/>
  <c r="L9291" i="1"/>
  <c r="K9291" i="1"/>
  <c r="J9291" i="1"/>
  <c r="I9291" i="1"/>
  <c r="H9291" i="1"/>
  <c r="G9291" i="1"/>
  <c r="M9290" i="1"/>
  <c r="L9290" i="1"/>
  <c r="K9290" i="1"/>
  <c r="J9290" i="1"/>
  <c r="I9290" i="1"/>
  <c r="H9290" i="1"/>
  <c r="G9290" i="1"/>
  <c r="M9289" i="1"/>
  <c r="L9289" i="1"/>
  <c r="K9289" i="1"/>
  <c r="J9289" i="1"/>
  <c r="I9289" i="1"/>
  <c r="H9289" i="1"/>
  <c r="G9289" i="1"/>
  <c r="M9288" i="1"/>
  <c r="L9288" i="1"/>
  <c r="K9288" i="1"/>
  <c r="J9288" i="1"/>
  <c r="I9288" i="1"/>
  <c r="H9288" i="1"/>
  <c r="G9288" i="1"/>
  <c r="M9287" i="1"/>
  <c r="L9287" i="1"/>
  <c r="K9287" i="1"/>
  <c r="J9287" i="1"/>
  <c r="I9287" i="1"/>
  <c r="H9287" i="1"/>
  <c r="G9287" i="1"/>
  <c r="M9286" i="1"/>
  <c r="L9286" i="1"/>
  <c r="K9286" i="1"/>
  <c r="J9286" i="1"/>
  <c r="I9286" i="1"/>
  <c r="H9286" i="1"/>
  <c r="G9286" i="1"/>
  <c r="M9285" i="1"/>
  <c r="L9285" i="1"/>
  <c r="K9285" i="1"/>
  <c r="J9285" i="1"/>
  <c r="I9285" i="1"/>
  <c r="H9285" i="1"/>
  <c r="G9285" i="1"/>
  <c r="M9284" i="1"/>
  <c r="L9284" i="1"/>
  <c r="K9284" i="1"/>
  <c r="J9284" i="1"/>
  <c r="I9284" i="1"/>
  <c r="H9284" i="1"/>
  <c r="G9284" i="1"/>
  <c r="M9283" i="1"/>
  <c r="L9283" i="1"/>
  <c r="K9283" i="1"/>
  <c r="J9283" i="1"/>
  <c r="I9283" i="1"/>
  <c r="H9283" i="1"/>
  <c r="G9283" i="1"/>
  <c r="M9282" i="1"/>
  <c r="L9282" i="1"/>
  <c r="K9282" i="1"/>
  <c r="J9282" i="1"/>
  <c r="I9282" i="1"/>
  <c r="H9282" i="1"/>
  <c r="G9282" i="1"/>
  <c r="M9281" i="1"/>
  <c r="L9281" i="1"/>
  <c r="K9281" i="1"/>
  <c r="J9281" i="1"/>
  <c r="I9281" i="1"/>
  <c r="H9281" i="1"/>
  <c r="G9281" i="1"/>
  <c r="M9280" i="1"/>
  <c r="L9280" i="1"/>
  <c r="K9280" i="1"/>
  <c r="J9280" i="1"/>
  <c r="I9280" i="1"/>
  <c r="H9280" i="1"/>
  <c r="G9280" i="1"/>
  <c r="M9279" i="1"/>
  <c r="L9279" i="1"/>
  <c r="K9279" i="1"/>
  <c r="J9279" i="1"/>
  <c r="I9279" i="1"/>
  <c r="H9279" i="1"/>
  <c r="G9279" i="1"/>
  <c r="M9278" i="1"/>
  <c r="L9278" i="1"/>
  <c r="K9278" i="1"/>
  <c r="J9278" i="1"/>
  <c r="I9278" i="1"/>
  <c r="H9278" i="1"/>
  <c r="G9278" i="1"/>
  <c r="M9277" i="1"/>
  <c r="L9277" i="1"/>
  <c r="K9277" i="1"/>
  <c r="J9277" i="1"/>
  <c r="I9277" i="1"/>
  <c r="H9277" i="1"/>
  <c r="G9277" i="1"/>
  <c r="M9276" i="1"/>
  <c r="L9276" i="1"/>
  <c r="K9276" i="1"/>
  <c r="J9276" i="1"/>
  <c r="I9276" i="1"/>
  <c r="H9276" i="1"/>
  <c r="G9276" i="1"/>
  <c r="M9275" i="1"/>
  <c r="L9275" i="1"/>
  <c r="K9275" i="1"/>
  <c r="J9275" i="1"/>
  <c r="I9275" i="1"/>
  <c r="H9275" i="1"/>
  <c r="G9275" i="1"/>
  <c r="M9274" i="1"/>
  <c r="L9274" i="1"/>
  <c r="K9274" i="1"/>
  <c r="J9274" i="1"/>
  <c r="I9274" i="1"/>
  <c r="H9274" i="1"/>
  <c r="G9274" i="1"/>
  <c r="M9273" i="1"/>
  <c r="L9273" i="1"/>
  <c r="K9273" i="1"/>
  <c r="J9273" i="1"/>
  <c r="I9273" i="1"/>
  <c r="H9273" i="1"/>
  <c r="G9273" i="1"/>
  <c r="M9272" i="1"/>
  <c r="L9272" i="1"/>
  <c r="K9272" i="1"/>
  <c r="J9272" i="1"/>
  <c r="I9272" i="1"/>
  <c r="H9272" i="1"/>
  <c r="G9272" i="1"/>
  <c r="M9271" i="1"/>
  <c r="L9271" i="1"/>
  <c r="K9271" i="1"/>
  <c r="J9271" i="1"/>
  <c r="I9271" i="1"/>
  <c r="H9271" i="1"/>
  <c r="G9271" i="1"/>
  <c r="M9270" i="1"/>
  <c r="L9270" i="1"/>
  <c r="K9270" i="1"/>
  <c r="J9270" i="1"/>
  <c r="I9270" i="1"/>
  <c r="H9270" i="1"/>
  <c r="G9270" i="1"/>
  <c r="M9269" i="1"/>
  <c r="L9269" i="1"/>
  <c r="K9269" i="1"/>
  <c r="J9269" i="1"/>
  <c r="I9269" i="1"/>
  <c r="H9269" i="1"/>
  <c r="G9269" i="1"/>
  <c r="M9268" i="1"/>
  <c r="L9268" i="1"/>
  <c r="K9268" i="1"/>
  <c r="J9268" i="1"/>
  <c r="I9268" i="1"/>
  <c r="H9268" i="1"/>
  <c r="G9268" i="1"/>
  <c r="M9267" i="1"/>
  <c r="L9267" i="1"/>
  <c r="K9267" i="1"/>
  <c r="J9267" i="1"/>
  <c r="I9267" i="1"/>
  <c r="H9267" i="1"/>
  <c r="G9267" i="1"/>
  <c r="M9266" i="1"/>
  <c r="L9266" i="1"/>
  <c r="K9266" i="1"/>
  <c r="J9266" i="1"/>
  <c r="I9266" i="1"/>
  <c r="H9266" i="1"/>
  <c r="G9266" i="1"/>
  <c r="M9265" i="1"/>
  <c r="L9265" i="1"/>
  <c r="K9265" i="1"/>
  <c r="J9265" i="1"/>
  <c r="I9265" i="1"/>
  <c r="H9265" i="1"/>
  <c r="G9265" i="1"/>
  <c r="M9264" i="1"/>
  <c r="L9264" i="1"/>
  <c r="K9264" i="1"/>
  <c r="J9264" i="1"/>
  <c r="I9264" i="1"/>
  <c r="H9264" i="1"/>
  <c r="G9264" i="1"/>
  <c r="M9263" i="1"/>
  <c r="L9263" i="1"/>
  <c r="K9263" i="1"/>
  <c r="J9263" i="1"/>
  <c r="I9263" i="1"/>
  <c r="H9263" i="1"/>
  <c r="G9263" i="1"/>
  <c r="M9262" i="1"/>
  <c r="L9262" i="1"/>
  <c r="K9262" i="1"/>
  <c r="J9262" i="1"/>
  <c r="I9262" i="1"/>
  <c r="H9262" i="1"/>
  <c r="G9262" i="1"/>
  <c r="M9261" i="1"/>
  <c r="L9261" i="1"/>
  <c r="K9261" i="1"/>
  <c r="J9261" i="1"/>
  <c r="I9261" i="1"/>
  <c r="H9261" i="1"/>
  <c r="G9261" i="1"/>
  <c r="M9260" i="1"/>
  <c r="L9260" i="1"/>
  <c r="K9260" i="1"/>
  <c r="J9260" i="1"/>
  <c r="I9260" i="1"/>
  <c r="H9260" i="1"/>
  <c r="G9260" i="1"/>
  <c r="M9259" i="1"/>
  <c r="L9259" i="1"/>
  <c r="K9259" i="1"/>
  <c r="J9259" i="1"/>
  <c r="I9259" i="1"/>
  <c r="H9259" i="1"/>
  <c r="G9259" i="1"/>
  <c r="M9258" i="1"/>
  <c r="L9258" i="1"/>
  <c r="K9258" i="1"/>
  <c r="J9258" i="1"/>
  <c r="I9258" i="1"/>
  <c r="H9258" i="1"/>
  <c r="G9258" i="1"/>
  <c r="M9257" i="1"/>
  <c r="L9257" i="1"/>
  <c r="K9257" i="1"/>
  <c r="J9257" i="1"/>
  <c r="I9257" i="1"/>
  <c r="H9257" i="1"/>
  <c r="G9257" i="1"/>
  <c r="M9256" i="1"/>
  <c r="L9256" i="1"/>
  <c r="K9256" i="1"/>
  <c r="J9256" i="1"/>
  <c r="I9256" i="1"/>
  <c r="H9256" i="1"/>
  <c r="G9256" i="1"/>
  <c r="M9255" i="1"/>
  <c r="L9255" i="1"/>
  <c r="K9255" i="1"/>
  <c r="J9255" i="1"/>
  <c r="I9255" i="1"/>
  <c r="H9255" i="1"/>
  <c r="G9255" i="1"/>
  <c r="M9254" i="1"/>
  <c r="L9254" i="1"/>
  <c r="K9254" i="1"/>
  <c r="J9254" i="1"/>
  <c r="I9254" i="1"/>
  <c r="H9254" i="1"/>
  <c r="G9254" i="1"/>
  <c r="M9253" i="1"/>
  <c r="L9253" i="1"/>
  <c r="K9253" i="1"/>
  <c r="J9253" i="1"/>
  <c r="I9253" i="1"/>
  <c r="H9253" i="1"/>
  <c r="G9253" i="1"/>
  <c r="M9252" i="1"/>
  <c r="L9252" i="1"/>
  <c r="K9252" i="1"/>
  <c r="J9252" i="1"/>
  <c r="I9252" i="1"/>
  <c r="H9252" i="1"/>
  <c r="G9252" i="1"/>
  <c r="M9251" i="1"/>
  <c r="L9251" i="1"/>
  <c r="K9251" i="1"/>
  <c r="J9251" i="1"/>
  <c r="I9251" i="1"/>
  <c r="H9251" i="1"/>
  <c r="G9251" i="1"/>
  <c r="M9250" i="1"/>
  <c r="L9250" i="1"/>
  <c r="K9250" i="1"/>
  <c r="J9250" i="1"/>
  <c r="I9250" i="1"/>
  <c r="H9250" i="1"/>
  <c r="G9250" i="1"/>
  <c r="M9249" i="1"/>
  <c r="L9249" i="1"/>
  <c r="K9249" i="1"/>
  <c r="J9249" i="1"/>
  <c r="I9249" i="1"/>
  <c r="H9249" i="1"/>
  <c r="G9249" i="1"/>
  <c r="M9248" i="1"/>
  <c r="L9248" i="1"/>
  <c r="K9248" i="1"/>
  <c r="J9248" i="1"/>
  <c r="I9248" i="1"/>
  <c r="H9248" i="1"/>
  <c r="G9248" i="1"/>
  <c r="M9247" i="1"/>
  <c r="L9247" i="1"/>
  <c r="K9247" i="1"/>
  <c r="J9247" i="1"/>
  <c r="I9247" i="1"/>
  <c r="H9247" i="1"/>
  <c r="G9247" i="1"/>
  <c r="M9246" i="1"/>
  <c r="L9246" i="1"/>
  <c r="K9246" i="1"/>
  <c r="J9246" i="1"/>
  <c r="I9246" i="1"/>
  <c r="H9246" i="1"/>
  <c r="G9246" i="1"/>
  <c r="M9245" i="1"/>
  <c r="L9245" i="1"/>
  <c r="K9245" i="1"/>
  <c r="J9245" i="1"/>
  <c r="I9245" i="1"/>
  <c r="H9245" i="1"/>
  <c r="G9245" i="1"/>
  <c r="M9244" i="1"/>
  <c r="L9244" i="1"/>
  <c r="K9244" i="1"/>
  <c r="J9244" i="1"/>
  <c r="I9244" i="1"/>
  <c r="H9244" i="1"/>
  <c r="G9244" i="1"/>
  <c r="M9243" i="1"/>
  <c r="L9243" i="1"/>
  <c r="K9243" i="1"/>
  <c r="J9243" i="1"/>
  <c r="I9243" i="1"/>
  <c r="H9243" i="1"/>
  <c r="G9243" i="1"/>
  <c r="M9242" i="1"/>
  <c r="L9242" i="1"/>
  <c r="K9242" i="1"/>
  <c r="J9242" i="1"/>
  <c r="I9242" i="1"/>
  <c r="H9242" i="1"/>
  <c r="G9242" i="1"/>
  <c r="M9241" i="1"/>
  <c r="L9241" i="1"/>
  <c r="K9241" i="1"/>
  <c r="J9241" i="1"/>
  <c r="I9241" i="1"/>
  <c r="H9241" i="1"/>
  <c r="G9241" i="1"/>
  <c r="M9240" i="1"/>
  <c r="L9240" i="1"/>
  <c r="K9240" i="1"/>
  <c r="J9240" i="1"/>
  <c r="I9240" i="1"/>
  <c r="H9240" i="1"/>
  <c r="G9240" i="1"/>
  <c r="M9239" i="1"/>
  <c r="L9239" i="1"/>
  <c r="K9239" i="1"/>
  <c r="J9239" i="1"/>
  <c r="I9239" i="1"/>
  <c r="H9239" i="1"/>
  <c r="G9239" i="1"/>
  <c r="M9238" i="1"/>
  <c r="L9238" i="1"/>
  <c r="K9238" i="1"/>
  <c r="J9238" i="1"/>
  <c r="I9238" i="1"/>
  <c r="H9238" i="1"/>
  <c r="G9238" i="1"/>
  <c r="M9237" i="1"/>
  <c r="L9237" i="1"/>
  <c r="K9237" i="1"/>
  <c r="J9237" i="1"/>
  <c r="I9237" i="1"/>
  <c r="H9237" i="1"/>
  <c r="G9237" i="1"/>
  <c r="M9236" i="1"/>
  <c r="L9236" i="1"/>
  <c r="K9236" i="1"/>
  <c r="J9236" i="1"/>
  <c r="I9236" i="1"/>
  <c r="H9236" i="1"/>
  <c r="G9236" i="1"/>
  <c r="M9235" i="1"/>
  <c r="L9235" i="1"/>
  <c r="K9235" i="1"/>
  <c r="J9235" i="1"/>
  <c r="I9235" i="1"/>
  <c r="H9235" i="1"/>
  <c r="G9235" i="1"/>
  <c r="M9234" i="1"/>
  <c r="L9234" i="1"/>
  <c r="K9234" i="1"/>
  <c r="J9234" i="1"/>
  <c r="I9234" i="1"/>
  <c r="H9234" i="1"/>
  <c r="G9234" i="1"/>
  <c r="M9233" i="1"/>
  <c r="L9233" i="1"/>
  <c r="K9233" i="1"/>
  <c r="J9233" i="1"/>
  <c r="I9233" i="1"/>
  <c r="H9233" i="1"/>
  <c r="G9233" i="1"/>
  <c r="M9232" i="1"/>
  <c r="L9232" i="1"/>
  <c r="K9232" i="1"/>
  <c r="J9232" i="1"/>
  <c r="I9232" i="1"/>
  <c r="H9232" i="1"/>
  <c r="G9232" i="1"/>
  <c r="M9231" i="1"/>
  <c r="L9231" i="1"/>
  <c r="K9231" i="1"/>
  <c r="J9231" i="1"/>
  <c r="I9231" i="1"/>
  <c r="H9231" i="1"/>
  <c r="G9231" i="1"/>
  <c r="M9230" i="1"/>
  <c r="L9230" i="1"/>
  <c r="K9230" i="1"/>
  <c r="J9230" i="1"/>
  <c r="I9230" i="1"/>
  <c r="H9230" i="1"/>
  <c r="G9230" i="1"/>
  <c r="M9229" i="1"/>
  <c r="L9229" i="1"/>
  <c r="K9229" i="1"/>
  <c r="J9229" i="1"/>
  <c r="I9229" i="1"/>
  <c r="H9229" i="1"/>
  <c r="G9229" i="1"/>
  <c r="M9228" i="1"/>
  <c r="L9228" i="1"/>
  <c r="K9228" i="1"/>
  <c r="J9228" i="1"/>
  <c r="I9228" i="1"/>
  <c r="H9228" i="1"/>
  <c r="G9228" i="1"/>
  <c r="M9227" i="1"/>
  <c r="L9227" i="1"/>
  <c r="K9227" i="1"/>
  <c r="J9227" i="1"/>
  <c r="I9227" i="1"/>
  <c r="H9227" i="1"/>
  <c r="G9227" i="1"/>
  <c r="M9226" i="1"/>
  <c r="L9226" i="1"/>
  <c r="K9226" i="1"/>
  <c r="J9226" i="1"/>
  <c r="I9226" i="1"/>
  <c r="H9226" i="1"/>
  <c r="G9226" i="1"/>
  <c r="M9225" i="1"/>
  <c r="L9225" i="1"/>
  <c r="K9225" i="1"/>
  <c r="J9225" i="1"/>
  <c r="I9225" i="1"/>
  <c r="H9225" i="1"/>
  <c r="G9225" i="1"/>
  <c r="M9224" i="1"/>
  <c r="L9224" i="1"/>
  <c r="K9224" i="1"/>
  <c r="J9224" i="1"/>
  <c r="I9224" i="1"/>
  <c r="H9224" i="1"/>
  <c r="G9224" i="1"/>
  <c r="M9223" i="1"/>
  <c r="L9223" i="1"/>
  <c r="K9223" i="1"/>
  <c r="J9223" i="1"/>
  <c r="I9223" i="1"/>
  <c r="H9223" i="1"/>
  <c r="G9223" i="1"/>
  <c r="M9222" i="1"/>
  <c r="L9222" i="1"/>
  <c r="K9222" i="1"/>
  <c r="J9222" i="1"/>
  <c r="I9222" i="1"/>
  <c r="H9222" i="1"/>
  <c r="G9222" i="1"/>
  <c r="M9221" i="1"/>
  <c r="L9221" i="1"/>
  <c r="K9221" i="1"/>
  <c r="J9221" i="1"/>
  <c r="I9221" i="1"/>
  <c r="H9221" i="1"/>
  <c r="G9221" i="1"/>
  <c r="M9220" i="1"/>
  <c r="L9220" i="1"/>
  <c r="K9220" i="1"/>
  <c r="J9220" i="1"/>
  <c r="I9220" i="1"/>
  <c r="H9220" i="1"/>
  <c r="G9220" i="1"/>
  <c r="M9219" i="1"/>
  <c r="L9219" i="1"/>
  <c r="K9219" i="1"/>
  <c r="J9219" i="1"/>
  <c r="I9219" i="1"/>
  <c r="H9219" i="1"/>
  <c r="G9219" i="1"/>
  <c r="M9218" i="1"/>
  <c r="L9218" i="1"/>
  <c r="K9218" i="1"/>
  <c r="J9218" i="1"/>
  <c r="I9218" i="1"/>
  <c r="H9218" i="1"/>
  <c r="G9218" i="1"/>
  <c r="M9217" i="1"/>
  <c r="L9217" i="1"/>
  <c r="K9217" i="1"/>
  <c r="J9217" i="1"/>
  <c r="I9217" i="1"/>
  <c r="H9217" i="1"/>
  <c r="G9217" i="1"/>
  <c r="M9216" i="1"/>
  <c r="L9216" i="1"/>
  <c r="K9216" i="1"/>
  <c r="J9216" i="1"/>
  <c r="I9216" i="1"/>
  <c r="H9216" i="1"/>
  <c r="G9216" i="1"/>
  <c r="M9215" i="1"/>
  <c r="L9215" i="1"/>
  <c r="K9215" i="1"/>
  <c r="J9215" i="1"/>
  <c r="I9215" i="1"/>
  <c r="H9215" i="1"/>
  <c r="G9215" i="1"/>
  <c r="M9214" i="1"/>
  <c r="L9214" i="1"/>
  <c r="K9214" i="1"/>
  <c r="J9214" i="1"/>
  <c r="I9214" i="1"/>
  <c r="H9214" i="1"/>
  <c r="G9214" i="1"/>
  <c r="M9213" i="1"/>
  <c r="L9213" i="1"/>
  <c r="K9213" i="1"/>
  <c r="J9213" i="1"/>
  <c r="I9213" i="1"/>
  <c r="H9213" i="1"/>
  <c r="G9213" i="1"/>
  <c r="M9212" i="1"/>
  <c r="L9212" i="1"/>
  <c r="K9212" i="1"/>
  <c r="J9212" i="1"/>
  <c r="I9212" i="1"/>
  <c r="H9212" i="1"/>
  <c r="G9212" i="1"/>
  <c r="M9211" i="1"/>
  <c r="L9211" i="1"/>
  <c r="K9211" i="1"/>
  <c r="J9211" i="1"/>
  <c r="I9211" i="1"/>
  <c r="H9211" i="1"/>
  <c r="G9211" i="1"/>
  <c r="M9210" i="1"/>
  <c r="L9210" i="1"/>
  <c r="K9210" i="1"/>
  <c r="J9210" i="1"/>
  <c r="I9210" i="1"/>
  <c r="H9210" i="1"/>
  <c r="G9210" i="1"/>
  <c r="M9209" i="1"/>
  <c r="L9209" i="1"/>
  <c r="K9209" i="1"/>
  <c r="J9209" i="1"/>
  <c r="I9209" i="1"/>
  <c r="H9209" i="1"/>
  <c r="G9209" i="1"/>
  <c r="M9208" i="1"/>
  <c r="L9208" i="1"/>
  <c r="K9208" i="1"/>
  <c r="J9208" i="1"/>
  <c r="I9208" i="1"/>
  <c r="H9208" i="1"/>
  <c r="G9208" i="1"/>
  <c r="M9207" i="1"/>
  <c r="L9207" i="1"/>
  <c r="K9207" i="1"/>
  <c r="J9207" i="1"/>
  <c r="I9207" i="1"/>
  <c r="H9207" i="1"/>
  <c r="G9207" i="1"/>
  <c r="M9206" i="1"/>
  <c r="L9206" i="1"/>
  <c r="K9206" i="1"/>
  <c r="J9206" i="1"/>
  <c r="I9206" i="1"/>
  <c r="H9206" i="1"/>
  <c r="G9206" i="1"/>
  <c r="M9205" i="1"/>
  <c r="L9205" i="1"/>
  <c r="K9205" i="1"/>
  <c r="J9205" i="1"/>
  <c r="I9205" i="1"/>
  <c r="H9205" i="1"/>
  <c r="G9205" i="1"/>
  <c r="M9204" i="1"/>
  <c r="L9204" i="1"/>
  <c r="K9204" i="1"/>
  <c r="J9204" i="1"/>
  <c r="I9204" i="1"/>
  <c r="H9204" i="1"/>
  <c r="G9204" i="1"/>
  <c r="M9203" i="1"/>
  <c r="L9203" i="1"/>
  <c r="K9203" i="1"/>
  <c r="J9203" i="1"/>
  <c r="I9203" i="1"/>
  <c r="H9203" i="1"/>
  <c r="G9203" i="1"/>
  <c r="M9202" i="1"/>
  <c r="L9202" i="1"/>
  <c r="K9202" i="1"/>
  <c r="J9202" i="1"/>
  <c r="I9202" i="1"/>
  <c r="H9202" i="1"/>
  <c r="G9202" i="1"/>
  <c r="M9201" i="1"/>
  <c r="L9201" i="1"/>
  <c r="K9201" i="1"/>
  <c r="J9201" i="1"/>
  <c r="I9201" i="1"/>
  <c r="H9201" i="1"/>
  <c r="G9201" i="1"/>
  <c r="M9200" i="1"/>
  <c r="L9200" i="1"/>
  <c r="K9200" i="1"/>
  <c r="J9200" i="1"/>
  <c r="I9200" i="1"/>
  <c r="H9200" i="1"/>
  <c r="G9200" i="1"/>
  <c r="M9199" i="1"/>
  <c r="L9199" i="1"/>
  <c r="K9199" i="1"/>
  <c r="J9199" i="1"/>
  <c r="I9199" i="1"/>
  <c r="H9199" i="1"/>
  <c r="G9199" i="1"/>
  <c r="M9198" i="1"/>
  <c r="L9198" i="1"/>
  <c r="K9198" i="1"/>
  <c r="J9198" i="1"/>
  <c r="I9198" i="1"/>
  <c r="H9198" i="1"/>
  <c r="G9198" i="1"/>
  <c r="M9197" i="1"/>
  <c r="L9197" i="1"/>
  <c r="K9197" i="1"/>
  <c r="J9197" i="1"/>
  <c r="I9197" i="1"/>
  <c r="H9197" i="1"/>
  <c r="G9197" i="1"/>
  <c r="M9196" i="1"/>
  <c r="L9196" i="1"/>
  <c r="K9196" i="1"/>
  <c r="J9196" i="1"/>
  <c r="I9196" i="1"/>
  <c r="H9196" i="1"/>
  <c r="G9196" i="1"/>
  <c r="M9195" i="1"/>
  <c r="L9195" i="1"/>
  <c r="K9195" i="1"/>
  <c r="J9195" i="1"/>
  <c r="I9195" i="1"/>
  <c r="H9195" i="1"/>
  <c r="G9195" i="1"/>
  <c r="M9194" i="1"/>
  <c r="L9194" i="1"/>
  <c r="K9194" i="1"/>
  <c r="J9194" i="1"/>
  <c r="I9194" i="1"/>
  <c r="H9194" i="1"/>
  <c r="G9194" i="1"/>
  <c r="M9193" i="1"/>
  <c r="L9193" i="1"/>
  <c r="K9193" i="1"/>
  <c r="J9193" i="1"/>
  <c r="I9193" i="1"/>
  <c r="H9193" i="1"/>
  <c r="G9193" i="1"/>
  <c r="M9192" i="1"/>
  <c r="L9192" i="1"/>
  <c r="K9192" i="1"/>
  <c r="J9192" i="1"/>
  <c r="I9192" i="1"/>
  <c r="H9192" i="1"/>
  <c r="G9192" i="1"/>
  <c r="M9191" i="1"/>
  <c r="L9191" i="1"/>
  <c r="K9191" i="1"/>
  <c r="J9191" i="1"/>
  <c r="I9191" i="1"/>
  <c r="H9191" i="1"/>
  <c r="G9191" i="1"/>
  <c r="M9190" i="1"/>
  <c r="L9190" i="1"/>
  <c r="K9190" i="1"/>
  <c r="J9190" i="1"/>
  <c r="I9190" i="1"/>
  <c r="H9190" i="1"/>
  <c r="G9190" i="1"/>
  <c r="M9189" i="1"/>
  <c r="L9189" i="1"/>
  <c r="K9189" i="1"/>
  <c r="J9189" i="1"/>
  <c r="I9189" i="1"/>
  <c r="H9189" i="1"/>
  <c r="G9189" i="1"/>
  <c r="M9188" i="1"/>
  <c r="L9188" i="1"/>
  <c r="K9188" i="1"/>
  <c r="J9188" i="1"/>
  <c r="I9188" i="1"/>
  <c r="H9188" i="1"/>
  <c r="G9188" i="1"/>
  <c r="M9187" i="1"/>
  <c r="L9187" i="1"/>
  <c r="K9187" i="1"/>
  <c r="J9187" i="1"/>
  <c r="I9187" i="1"/>
  <c r="H9187" i="1"/>
  <c r="G9187" i="1"/>
  <c r="M9186" i="1"/>
  <c r="L9186" i="1"/>
  <c r="K9186" i="1"/>
  <c r="J9186" i="1"/>
  <c r="I9186" i="1"/>
  <c r="H9186" i="1"/>
  <c r="G9186" i="1"/>
  <c r="M9185" i="1"/>
  <c r="L9185" i="1"/>
  <c r="K9185" i="1"/>
  <c r="J9185" i="1"/>
  <c r="I9185" i="1"/>
  <c r="H9185" i="1"/>
  <c r="G9185" i="1"/>
  <c r="M9184" i="1"/>
  <c r="L9184" i="1"/>
  <c r="K9184" i="1"/>
  <c r="J9184" i="1"/>
  <c r="I9184" i="1"/>
  <c r="H9184" i="1"/>
  <c r="G9184" i="1"/>
  <c r="M9183" i="1"/>
  <c r="L9183" i="1"/>
  <c r="K9183" i="1"/>
  <c r="J9183" i="1"/>
  <c r="I9183" i="1"/>
  <c r="H9183" i="1"/>
  <c r="G9183" i="1"/>
  <c r="M9182" i="1"/>
  <c r="L9182" i="1"/>
  <c r="K9182" i="1"/>
  <c r="J9182" i="1"/>
  <c r="I9182" i="1"/>
  <c r="H9182" i="1"/>
  <c r="G9182" i="1"/>
  <c r="M9181" i="1"/>
  <c r="L9181" i="1"/>
  <c r="K9181" i="1"/>
  <c r="J9181" i="1"/>
  <c r="I9181" i="1"/>
  <c r="H9181" i="1"/>
  <c r="G9181" i="1"/>
  <c r="M9180" i="1"/>
  <c r="L9180" i="1"/>
  <c r="K9180" i="1"/>
  <c r="J9180" i="1"/>
  <c r="I9180" i="1"/>
  <c r="H9180" i="1"/>
  <c r="G9180" i="1"/>
  <c r="M9179" i="1"/>
  <c r="L9179" i="1"/>
  <c r="K9179" i="1"/>
  <c r="J9179" i="1"/>
  <c r="I9179" i="1"/>
  <c r="H9179" i="1"/>
  <c r="G9179" i="1"/>
  <c r="M9178" i="1"/>
  <c r="L9178" i="1"/>
  <c r="K9178" i="1"/>
  <c r="J9178" i="1"/>
  <c r="I9178" i="1"/>
  <c r="H9178" i="1"/>
  <c r="G9178" i="1"/>
  <c r="M9177" i="1"/>
  <c r="L9177" i="1"/>
  <c r="K9177" i="1"/>
  <c r="J9177" i="1"/>
  <c r="I9177" i="1"/>
  <c r="H9177" i="1"/>
  <c r="G9177" i="1"/>
  <c r="M9176" i="1"/>
  <c r="L9176" i="1"/>
  <c r="K9176" i="1"/>
  <c r="J9176" i="1"/>
  <c r="I9176" i="1"/>
  <c r="H9176" i="1"/>
  <c r="G9176" i="1"/>
  <c r="M9175" i="1"/>
  <c r="L9175" i="1"/>
  <c r="K9175" i="1"/>
  <c r="J9175" i="1"/>
  <c r="I9175" i="1"/>
  <c r="H9175" i="1"/>
  <c r="G9175" i="1"/>
  <c r="M9174" i="1"/>
  <c r="L9174" i="1"/>
  <c r="K9174" i="1"/>
  <c r="J9174" i="1"/>
  <c r="I9174" i="1"/>
  <c r="H9174" i="1"/>
  <c r="G9174" i="1"/>
  <c r="M9173" i="1"/>
  <c r="L9173" i="1"/>
  <c r="K9173" i="1"/>
  <c r="J9173" i="1"/>
  <c r="I9173" i="1"/>
  <c r="H9173" i="1"/>
  <c r="G9173" i="1"/>
  <c r="M9172" i="1"/>
  <c r="L9172" i="1"/>
  <c r="K9172" i="1"/>
  <c r="J9172" i="1"/>
  <c r="I9172" i="1"/>
  <c r="H9172" i="1"/>
  <c r="G9172" i="1"/>
  <c r="M9171" i="1"/>
  <c r="L9171" i="1"/>
  <c r="K9171" i="1"/>
  <c r="J9171" i="1"/>
  <c r="I9171" i="1"/>
  <c r="H9171" i="1"/>
  <c r="G9171" i="1"/>
  <c r="M9170" i="1"/>
  <c r="L9170" i="1"/>
  <c r="K9170" i="1"/>
  <c r="J9170" i="1"/>
  <c r="I9170" i="1"/>
  <c r="H9170" i="1"/>
  <c r="G9170" i="1"/>
  <c r="M9169" i="1"/>
  <c r="L9169" i="1"/>
  <c r="K9169" i="1"/>
  <c r="J9169" i="1"/>
  <c r="I9169" i="1"/>
  <c r="H9169" i="1"/>
  <c r="G9169" i="1"/>
  <c r="M9168" i="1"/>
  <c r="L9168" i="1"/>
  <c r="K9168" i="1"/>
  <c r="J9168" i="1"/>
  <c r="I9168" i="1"/>
  <c r="H9168" i="1"/>
  <c r="G9168" i="1"/>
  <c r="M9167" i="1"/>
  <c r="L9167" i="1"/>
  <c r="K9167" i="1"/>
  <c r="J9167" i="1"/>
  <c r="I9167" i="1"/>
  <c r="H9167" i="1"/>
  <c r="G9167" i="1"/>
  <c r="M9166" i="1"/>
  <c r="L9166" i="1"/>
  <c r="K9166" i="1"/>
  <c r="J9166" i="1"/>
  <c r="I9166" i="1"/>
  <c r="H9166" i="1"/>
  <c r="G9166" i="1"/>
  <c r="M9165" i="1"/>
  <c r="L9165" i="1"/>
  <c r="K9165" i="1"/>
  <c r="J9165" i="1"/>
  <c r="I9165" i="1"/>
  <c r="H9165" i="1"/>
  <c r="G9165" i="1"/>
  <c r="M9164" i="1"/>
  <c r="L9164" i="1"/>
  <c r="K9164" i="1"/>
  <c r="J9164" i="1"/>
  <c r="I9164" i="1"/>
  <c r="H9164" i="1"/>
  <c r="G9164" i="1"/>
  <c r="M9163" i="1"/>
  <c r="L9163" i="1"/>
  <c r="K9163" i="1"/>
  <c r="J9163" i="1"/>
  <c r="I9163" i="1"/>
  <c r="H9163" i="1"/>
  <c r="G9163" i="1"/>
  <c r="M9162" i="1"/>
  <c r="L9162" i="1"/>
  <c r="K9162" i="1"/>
  <c r="J9162" i="1"/>
  <c r="I9162" i="1"/>
  <c r="H9162" i="1"/>
  <c r="G9162" i="1"/>
  <c r="M9161" i="1"/>
  <c r="L9161" i="1"/>
  <c r="K9161" i="1"/>
  <c r="J9161" i="1"/>
  <c r="I9161" i="1"/>
  <c r="H9161" i="1"/>
  <c r="G9161" i="1"/>
  <c r="M9160" i="1"/>
  <c r="L9160" i="1"/>
  <c r="K9160" i="1"/>
  <c r="J9160" i="1"/>
  <c r="I9160" i="1"/>
  <c r="H9160" i="1"/>
  <c r="G9160" i="1"/>
  <c r="M9159" i="1"/>
  <c r="L9159" i="1"/>
  <c r="K9159" i="1"/>
  <c r="J9159" i="1"/>
  <c r="I9159" i="1"/>
  <c r="H9159" i="1"/>
  <c r="G9159" i="1"/>
  <c r="M9158" i="1"/>
  <c r="L9158" i="1"/>
  <c r="K9158" i="1"/>
  <c r="J9158" i="1"/>
  <c r="I9158" i="1"/>
  <c r="H9158" i="1"/>
  <c r="G9158" i="1"/>
  <c r="M9157" i="1"/>
  <c r="L9157" i="1"/>
  <c r="K9157" i="1"/>
  <c r="J9157" i="1"/>
  <c r="I9157" i="1"/>
  <c r="H9157" i="1"/>
  <c r="G9157" i="1"/>
  <c r="M9156" i="1"/>
  <c r="L9156" i="1"/>
  <c r="K9156" i="1"/>
  <c r="J9156" i="1"/>
  <c r="I9156" i="1"/>
  <c r="H9156" i="1"/>
  <c r="G9156" i="1"/>
  <c r="M9155" i="1"/>
  <c r="L9155" i="1"/>
  <c r="K9155" i="1"/>
  <c r="J9155" i="1"/>
  <c r="I9155" i="1"/>
  <c r="H9155" i="1"/>
  <c r="G9155" i="1"/>
  <c r="M9154" i="1"/>
  <c r="L9154" i="1"/>
  <c r="K9154" i="1"/>
  <c r="J9154" i="1"/>
  <c r="I9154" i="1"/>
  <c r="H9154" i="1"/>
  <c r="G9154" i="1"/>
  <c r="M9153" i="1"/>
  <c r="L9153" i="1"/>
  <c r="K9153" i="1"/>
  <c r="J9153" i="1"/>
  <c r="I9153" i="1"/>
  <c r="H9153" i="1"/>
  <c r="G9153" i="1"/>
  <c r="M9152" i="1"/>
  <c r="L9152" i="1"/>
  <c r="K9152" i="1"/>
  <c r="J9152" i="1"/>
  <c r="I9152" i="1"/>
  <c r="H9152" i="1"/>
  <c r="G9152" i="1"/>
  <c r="M9151" i="1"/>
  <c r="L9151" i="1"/>
  <c r="K9151" i="1"/>
  <c r="J9151" i="1"/>
  <c r="I9151" i="1"/>
  <c r="H9151" i="1"/>
  <c r="G9151" i="1"/>
  <c r="M9150" i="1"/>
  <c r="L9150" i="1"/>
  <c r="K9150" i="1"/>
  <c r="J9150" i="1"/>
  <c r="I9150" i="1"/>
  <c r="H9150" i="1"/>
  <c r="G9150" i="1"/>
  <c r="M9149" i="1"/>
  <c r="L9149" i="1"/>
  <c r="K9149" i="1"/>
  <c r="J9149" i="1"/>
  <c r="I9149" i="1"/>
  <c r="H9149" i="1"/>
  <c r="G9149" i="1"/>
  <c r="M9148" i="1"/>
  <c r="L9148" i="1"/>
  <c r="K9148" i="1"/>
  <c r="J9148" i="1"/>
  <c r="I9148" i="1"/>
  <c r="H9148" i="1"/>
  <c r="G9148" i="1"/>
  <c r="M9147" i="1"/>
  <c r="L9147" i="1"/>
  <c r="K9147" i="1"/>
  <c r="J9147" i="1"/>
  <c r="I9147" i="1"/>
  <c r="H9147" i="1"/>
  <c r="G9147" i="1"/>
  <c r="M9146" i="1"/>
  <c r="L9146" i="1"/>
  <c r="K9146" i="1"/>
  <c r="J9146" i="1"/>
  <c r="I9146" i="1"/>
  <c r="H9146" i="1"/>
  <c r="G9146" i="1"/>
  <c r="M9145" i="1"/>
  <c r="L9145" i="1"/>
  <c r="K9145" i="1"/>
  <c r="J9145" i="1"/>
  <c r="I9145" i="1"/>
  <c r="H9145" i="1"/>
  <c r="G9145" i="1"/>
  <c r="M9144" i="1"/>
  <c r="L9144" i="1"/>
  <c r="K9144" i="1"/>
  <c r="J9144" i="1"/>
  <c r="I9144" i="1"/>
  <c r="H9144" i="1"/>
  <c r="G9144" i="1"/>
  <c r="M9143" i="1"/>
  <c r="L9143" i="1"/>
  <c r="K9143" i="1"/>
  <c r="J9143" i="1"/>
  <c r="I9143" i="1"/>
  <c r="H9143" i="1"/>
  <c r="G9143" i="1"/>
  <c r="M9142" i="1"/>
  <c r="L9142" i="1"/>
  <c r="K9142" i="1"/>
  <c r="J9142" i="1"/>
  <c r="I9142" i="1"/>
  <c r="H9142" i="1"/>
  <c r="G9142" i="1"/>
  <c r="M9141" i="1"/>
  <c r="L9141" i="1"/>
  <c r="K9141" i="1"/>
  <c r="J9141" i="1"/>
  <c r="I9141" i="1"/>
  <c r="H9141" i="1"/>
  <c r="G9141" i="1"/>
  <c r="M9140" i="1"/>
  <c r="L9140" i="1"/>
  <c r="K9140" i="1"/>
  <c r="J9140" i="1"/>
  <c r="I9140" i="1"/>
  <c r="H9140" i="1"/>
  <c r="G9140" i="1"/>
  <c r="M9139" i="1"/>
  <c r="L9139" i="1"/>
  <c r="K9139" i="1"/>
  <c r="J9139" i="1"/>
  <c r="I9139" i="1"/>
  <c r="H9139" i="1"/>
  <c r="G9139" i="1"/>
  <c r="M9138" i="1"/>
  <c r="L9138" i="1"/>
  <c r="K9138" i="1"/>
  <c r="J9138" i="1"/>
  <c r="I9138" i="1"/>
  <c r="H9138" i="1"/>
  <c r="G9138" i="1"/>
  <c r="M9137" i="1"/>
  <c r="L9137" i="1"/>
  <c r="K9137" i="1"/>
  <c r="J9137" i="1"/>
  <c r="I9137" i="1"/>
  <c r="H9137" i="1"/>
  <c r="G9137" i="1"/>
  <c r="M9136" i="1"/>
  <c r="L9136" i="1"/>
  <c r="K9136" i="1"/>
  <c r="J9136" i="1"/>
  <c r="I9136" i="1"/>
  <c r="H9136" i="1"/>
  <c r="G9136" i="1"/>
  <c r="M9135" i="1"/>
  <c r="L9135" i="1"/>
  <c r="K9135" i="1"/>
  <c r="J9135" i="1"/>
  <c r="I9135" i="1"/>
  <c r="H9135" i="1"/>
  <c r="G9135" i="1"/>
  <c r="M9134" i="1"/>
  <c r="L9134" i="1"/>
  <c r="K9134" i="1"/>
  <c r="J9134" i="1"/>
  <c r="I9134" i="1"/>
  <c r="H9134" i="1"/>
  <c r="G9134" i="1"/>
  <c r="M9133" i="1"/>
  <c r="L9133" i="1"/>
  <c r="K9133" i="1"/>
  <c r="J9133" i="1"/>
  <c r="I9133" i="1"/>
  <c r="H9133" i="1"/>
  <c r="G9133" i="1"/>
  <c r="M9132" i="1"/>
  <c r="L9132" i="1"/>
  <c r="K9132" i="1"/>
  <c r="J9132" i="1"/>
  <c r="I9132" i="1"/>
  <c r="H9132" i="1"/>
  <c r="G9132" i="1"/>
  <c r="M9131" i="1"/>
  <c r="L9131" i="1"/>
  <c r="K9131" i="1"/>
  <c r="J9131" i="1"/>
  <c r="I9131" i="1"/>
  <c r="H9131" i="1"/>
  <c r="G9131" i="1"/>
  <c r="M9130" i="1"/>
  <c r="L9130" i="1"/>
  <c r="K9130" i="1"/>
  <c r="J9130" i="1"/>
  <c r="I9130" i="1"/>
  <c r="H9130" i="1"/>
  <c r="G9130" i="1"/>
  <c r="M9129" i="1"/>
  <c r="L9129" i="1"/>
  <c r="K9129" i="1"/>
  <c r="J9129" i="1"/>
  <c r="I9129" i="1"/>
  <c r="H9129" i="1"/>
  <c r="G9129" i="1"/>
  <c r="M9128" i="1"/>
  <c r="L9128" i="1"/>
  <c r="K9128" i="1"/>
  <c r="J9128" i="1"/>
  <c r="I9128" i="1"/>
  <c r="H9128" i="1"/>
  <c r="G9128" i="1"/>
  <c r="M9127" i="1"/>
  <c r="L9127" i="1"/>
  <c r="K9127" i="1"/>
  <c r="J9127" i="1"/>
  <c r="I9127" i="1"/>
  <c r="H9127" i="1"/>
  <c r="G9127" i="1"/>
  <c r="M9126" i="1"/>
  <c r="L9126" i="1"/>
  <c r="K9126" i="1"/>
  <c r="J9126" i="1"/>
  <c r="I9126" i="1"/>
  <c r="H9126" i="1"/>
  <c r="G9126" i="1"/>
  <c r="M9125" i="1"/>
  <c r="L9125" i="1"/>
  <c r="K9125" i="1"/>
  <c r="J9125" i="1"/>
  <c r="I9125" i="1"/>
  <c r="H9125" i="1"/>
  <c r="G9125" i="1"/>
  <c r="M9124" i="1"/>
  <c r="L9124" i="1"/>
  <c r="K9124" i="1"/>
  <c r="J9124" i="1"/>
  <c r="I9124" i="1"/>
  <c r="H9124" i="1"/>
  <c r="G9124" i="1"/>
  <c r="M9123" i="1"/>
  <c r="L9123" i="1"/>
  <c r="K9123" i="1"/>
  <c r="J9123" i="1"/>
  <c r="I9123" i="1"/>
  <c r="H9123" i="1"/>
  <c r="G9123" i="1"/>
  <c r="M9122" i="1"/>
  <c r="L9122" i="1"/>
  <c r="K9122" i="1"/>
  <c r="J9122" i="1"/>
  <c r="I9122" i="1"/>
  <c r="H9122" i="1"/>
  <c r="G9122" i="1"/>
  <c r="M9121" i="1"/>
  <c r="L9121" i="1"/>
  <c r="K9121" i="1"/>
  <c r="J9121" i="1"/>
  <c r="I9121" i="1"/>
  <c r="H9121" i="1"/>
  <c r="G9121" i="1"/>
  <c r="M9120" i="1"/>
  <c r="L9120" i="1"/>
  <c r="K9120" i="1"/>
  <c r="J9120" i="1"/>
  <c r="I9120" i="1"/>
  <c r="H9120" i="1"/>
  <c r="G9120" i="1"/>
  <c r="M9119" i="1"/>
  <c r="L9119" i="1"/>
  <c r="K9119" i="1"/>
  <c r="J9119" i="1"/>
  <c r="I9119" i="1"/>
  <c r="H9119" i="1"/>
  <c r="G9119" i="1"/>
  <c r="M9118" i="1"/>
  <c r="L9118" i="1"/>
  <c r="K9118" i="1"/>
  <c r="J9118" i="1"/>
  <c r="I9118" i="1"/>
  <c r="H9118" i="1"/>
  <c r="G9118" i="1"/>
  <c r="M9117" i="1"/>
  <c r="L9117" i="1"/>
  <c r="K9117" i="1"/>
  <c r="J9117" i="1"/>
  <c r="I9117" i="1"/>
  <c r="H9117" i="1"/>
  <c r="G9117" i="1"/>
  <c r="M9116" i="1"/>
  <c r="L9116" i="1"/>
  <c r="K9116" i="1"/>
  <c r="J9116" i="1"/>
  <c r="I9116" i="1"/>
  <c r="H9116" i="1"/>
  <c r="G9116" i="1"/>
  <c r="M9115" i="1"/>
  <c r="L9115" i="1"/>
  <c r="K9115" i="1"/>
  <c r="J9115" i="1"/>
  <c r="I9115" i="1"/>
  <c r="H9115" i="1"/>
  <c r="G9115" i="1"/>
  <c r="M9114" i="1"/>
  <c r="L9114" i="1"/>
  <c r="K9114" i="1"/>
  <c r="J9114" i="1"/>
  <c r="I9114" i="1"/>
  <c r="H9114" i="1"/>
  <c r="G9114" i="1"/>
  <c r="M9113" i="1"/>
  <c r="L9113" i="1"/>
  <c r="K9113" i="1"/>
  <c r="J9113" i="1"/>
  <c r="I9113" i="1"/>
  <c r="H9113" i="1"/>
  <c r="G9113" i="1"/>
  <c r="M9112" i="1"/>
  <c r="L9112" i="1"/>
  <c r="K9112" i="1"/>
  <c r="J9112" i="1"/>
  <c r="I9112" i="1"/>
  <c r="H9112" i="1"/>
  <c r="G9112" i="1"/>
  <c r="M9111" i="1"/>
  <c r="L9111" i="1"/>
  <c r="K9111" i="1"/>
  <c r="J9111" i="1"/>
  <c r="I9111" i="1"/>
  <c r="H9111" i="1"/>
  <c r="G9111" i="1"/>
  <c r="M9110" i="1"/>
  <c r="L9110" i="1"/>
  <c r="K9110" i="1"/>
  <c r="J9110" i="1"/>
  <c r="I9110" i="1"/>
  <c r="H9110" i="1"/>
  <c r="G9110" i="1"/>
  <c r="M9109" i="1"/>
  <c r="L9109" i="1"/>
  <c r="K9109" i="1"/>
  <c r="J9109" i="1"/>
  <c r="I9109" i="1"/>
  <c r="H9109" i="1"/>
  <c r="G9109" i="1"/>
  <c r="M9108" i="1"/>
  <c r="L9108" i="1"/>
  <c r="K9108" i="1"/>
  <c r="J9108" i="1"/>
  <c r="I9108" i="1"/>
  <c r="H9108" i="1"/>
  <c r="G9108" i="1"/>
  <c r="M9107" i="1"/>
  <c r="L9107" i="1"/>
  <c r="K9107" i="1"/>
  <c r="J9107" i="1"/>
  <c r="I9107" i="1"/>
  <c r="H9107" i="1"/>
  <c r="G9107" i="1"/>
  <c r="M9106" i="1"/>
  <c r="L9106" i="1"/>
  <c r="K9106" i="1"/>
  <c r="J9106" i="1"/>
  <c r="I9106" i="1"/>
  <c r="H9106" i="1"/>
  <c r="G9106" i="1"/>
  <c r="M9105" i="1"/>
  <c r="L9105" i="1"/>
  <c r="K9105" i="1"/>
  <c r="J9105" i="1"/>
  <c r="I9105" i="1"/>
  <c r="H9105" i="1"/>
  <c r="G9105" i="1"/>
  <c r="M9104" i="1"/>
  <c r="L9104" i="1"/>
  <c r="K9104" i="1"/>
  <c r="J9104" i="1"/>
  <c r="I9104" i="1"/>
  <c r="H9104" i="1"/>
  <c r="G9104" i="1"/>
  <c r="M9103" i="1"/>
  <c r="L9103" i="1"/>
  <c r="K9103" i="1"/>
  <c r="J9103" i="1"/>
  <c r="I9103" i="1"/>
  <c r="H9103" i="1"/>
  <c r="G9103" i="1"/>
  <c r="M9102" i="1"/>
  <c r="L9102" i="1"/>
  <c r="K9102" i="1"/>
  <c r="J9102" i="1"/>
  <c r="I9102" i="1"/>
  <c r="H9102" i="1"/>
  <c r="G9102" i="1"/>
  <c r="M9101" i="1"/>
  <c r="L9101" i="1"/>
  <c r="K9101" i="1"/>
  <c r="J9101" i="1"/>
  <c r="I9101" i="1"/>
  <c r="H9101" i="1"/>
  <c r="G9101" i="1"/>
  <c r="M9100" i="1"/>
  <c r="L9100" i="1"/>
  <c r="K9100" i="1"/>
  <c r="J9100" i="1"/>
  <c r="I9100" i="1"/>
  <c r="H9100" i="1"/>
  <c r="G9100" i="1"/>
  <c r="M9099" i="1"/>
  <c r="L9099" i="1"/>
  <c r="K9099" i="1"/>
  <c r="J9099" i="1"/>
  <c r="I9099" i="1"/>
  <c r="H9099" i="1"/>
  <c r="G9099" i="1"/>
  <c r="M9098" i="1"/>
  <c r="L9098" i="1"/>
  <c r="K9098" i="1"/>
  <c r="J9098" i="1"/>
  <c r="I9098" i="1"/>
  <c r="H9098" i="1"/>
  <c r="G9098" i="1"/>
  <c r="M9097" i="1"/>
  <c r="L9097" i="1"/>
  <c r="K9097" i="1"/>
  <c r="J9097" i="1"/>
  <c r="I9097" i="1"/>
  <c r="H9097" i="1"/>
  <c r="G9097" i="1"/>
  <c r="M9096" i="1"/>
  <c r="L9096" i="1"/>
  <c r="K9096" i="1"/>
  <c r="J9096" i="1"/>
  <c r="I9096" i="1"/>
  <c r="H9096" i="1"/>
  <c r="G9096" i="1"/>
  <c r="M9095" i="1"/>
  <c r="L9095" i="1"/>
  <c r="K9095" i="1"/>
  <c r="J9095" i="1"/>
  <c r="I9095" i="1"/>
  <c r="H9095" i="1"/>
  <c r="G9095" i="1"/>
  <c r="M9094" i="1"/>
  <c r="L9094" i="1"/>
  <c r="K9094" i="1"/>
  <c r="J9094" i="1"/>
  <c r="I9094" i="1"/>
  <c r="H9094" i="1"/>
  <c r="G9094" i="1"/>
  <c r="M9093" i="1"/>
  <c r="L9093" i="1"/>
  <c r="K9093" i="1"/>
  <c r="J9093" i="1"/>
  <c r="I9093" i="1"/>
  <c r="H9093" i="1"/>
  <c r="G9093" i="1"/>
  <c r="M9092" i="1"/>
  <c r="L9092" i="1"/>
  <c r="K9092" i="1"/>
  <c r="J9092" i="1"/>
  <c r="I9092" i="1"/>
  <c r="H9092" i="1"/>
  <c r="G9092" i="1"/>
  <c r="M9091" i="1"/>
  <c r="L9091" i="1"/>
  <c r="K9091" i="1"/>
  <c r="J9091" i="1"/>
  <c r="I9091" i="1"/>
  <c r="H9091" i="1"/>
  <c r="G9091" i="1"/>
  <c r="M9090" i="1"/>
  <c r="L9090" i="1"/>
  <c r="K9090" i="1"/>
  <c r="J9090" i="1"/>
  <c r="I9090" i="1"/>
  <c r="H9090" i="1"/>
  <c r="G9090" i="1"/>
  <c r="M9089" i="1"/>
  <c r="L9089" i="1"/>
  <c r="K9089" i="1"/>
  <c r="J9089" i="1"/>
  <c r="I9089" i="1"/>
  <c r="H9089" i="1"/>
  <c r="G9089" i="1"/>
  <c r="M9088" i="1"/>
  <c r="L9088" i="1"/>
  <c r="K9088" i="1"/>
  <c r="J9088" i="1"/>
  <c r="I9088" i="1"/>
  <c r="H9088" i="1"/>
  <c r="G9088" i="1"/>
  <c r="M9087" i="1"/>
  <c r="L9087" i="1"/>
  <c r="K9087" i="1"/>
  <c r="J9087" i="1"/>
  <c r="I9087" i="1"/>
  <c r="H9087" i="1"/>
  <c r="G9087" i="1"/>
  <c r="M9086" i="1"/>
  <c r="L9086" i="1"/>
  <c r="K9086" i="1"/>
  <c r="J9086" i="1"/>
  <c r="I9086" i="1"/>
  <c r="H9086" i="1"/>
  <c r="G9086" i="1"/>
  <c r="M9085" i="1"/>
  <c r="L9085" i="1"/>
  <c r="K9085" i="1"/>
  <c r="J9085" i="1"/>
  <c r="I9085" i="1"/>
  <c r="H9085" i="1"/>
  <c r="G9085" i="1"/>
  <c r="M9084" i="1"/>
  <c r="L9084" i="1"/>
  <c r="K9084" i="1"/>
  <c r="J9084" i="1"/>
  <c r="I9084" i="1"/>
  <c r="H9084" i="1"/>
  <c r="G9084" i="1"/>
  <c r="M9083" i="1"/>
  <c r="L9083" i="1"/>
  <c r="K9083" i="1"/>
  <c r="J9083" i="1"/>
  <c r="I9083" i="1"/>
  <c r="H9083" i="1"/>
  <c r="G9083" i="1"/>
  <c r="M9082" i="1"/>
  <c r="L9082" i="1"/>
  <c r="K9082" i="1"/>
  <c r="J9082" i="1"/>
  <c r="I9082" i="1"/>
  <c r="H9082" i="1"/>
  <c r="G9082" i="1"/>
  <c r="M9081" i="1"/>
  <c r="L9081" i="1"/>
  <c r="K9081" i="1"/>
  <c r="J9081" i="1"/>
  <c r="I9081" i="1"/>
  <c r="H9081" i="1"/>
  <c r="G9081" i="1"/>
  <c r="M9080" i="1"/>
  <c r="L9080" i="1"/>
  <c r="K9080" i="1"/>
  <c r="J9080" i="1"/>
  <c r="I9080" i="1"/>
  <c r="H9080" i="1"/>
  <c r="G9080" i="1"/>
  <c r="M9079" i="1"/>
  <c r="L9079" i="1"/>
  <c r="K9079" i="1"/>
  <c r="J9079" i="1"/>
  <c r="I9079" i="1"/>
  <c r="H9079" i="1"/>
  <c r="G9079" i="1"/>
  <c r="M9078" i="1"/>
  <c r="L9078" i="1"/>
  <c r="K9078" i="1"/>
  <c r="J9078" i="1"/>
  <c r="I9078" i="1"/>
  <c r="H9078" i="1"/>
  <c r="G9078" i="1"/>
  <c r="M9077" i="1"/>
  <c r="L9077" i="1"/>
  <c r="K9077" i="1"/>
  <c r="J9077" i="1"/>
  <c r="I9077" i="1"/>
  <c r="H9077" i="1"/>
  <c r="G9077" i="1"/>
  <c r="M9076" i="1"/>
  <c r="L9076" i="1"/>
  <c r="K9076" i="1"/>
  <c r="J9076" i="1"/>
  <c r="I9076" i="1"/>
  <c r="H9076" i="1"/>
  <c r="G9076" i="1"/>
  <c r="M9075" i="1"/>
  <c r="L9075" i="1"/>
  <c r="K9075" i="1"/>
  <c r="J9075" i="1"/>
  <c r="I9075" i="1"/>
  <c r="H9075" i="1"/>
  <c r="G9075" i="1"/>
  <c r="M9074" i="1"/>
  <c r="L9074" i="1"/>
  <c r="K9074" i="1"/>
  <c r="J9074" i="1"/>
  <c r="I9074" i="1"/>
  <c r="H9074" i="1"/>
  <c r="G9074" i="1"/>
  <c r="M9073" i="1"/>
  <c r="L9073" i="1"/>
  <c r="K9073" i="1"/>
  <c r="J9073" i="1"/>
  <c r="I9073" i="1"/>
  <c r="H9073" i="1"/>
  <c r="G9073" i="1"/>
  <c r="M9072" i="1"/>
  <c r="L9072" i="1"/>
  <c r="K9072" i="1"/>
  <c r="J9072" i="1"/>
  <c r="I9072" i="1"/>
  <c r="H9072" i="1"/>
  <c r="G9072" i="1"/>
  <c r="M9071" i="1"/>
  <c r="L9071" i="1"/>
  <c r="K9071" i="1"/>
  <c r="J9071" i="1"/>
  <c r="I9071" i="1"/>
  <c r="H9071" i="1"/>
  <c r="G9071" i="1"/>
  <c r="M9070" i="1"/>
  <c r="L9070" i="1"/>
  <c r="K9070" i="1"/>
  <c r="J9070" i="1"/>
  <c r="I9070" i="1"/>
  <c r="H9070" i="1"/>
  <c r="G9070" i="1"/>
  <c r="M9069" i="1"/>
  <c r="L9069" i="1"/>
  <c r="K9069" i="1"/>
  <c r="J9069" i="1"/>
  <c r="I9069" i="1"/>
  <c r="H9069" i="1"/>
  <c r="G9069" i="1"/>
  <c r="M9068" i="1"/>
  <c r="L9068" i="1"/>
  <c r="K9068" i="1"/>
  <c r="J9068" i="1"/>
  <c r="I9068" i="1"/>
  <c r="H9068" i="1"/>
  <c r="G9068" i="1"/>
  <c r="M9067" i="1"/>
  <c r="L9067" i="1"/>
  <c r="K9067" i="1"/>
  <c r="J9067" i="1"/>
  <c r="I9067" i="1"/>
  <c r="H9067" i="1"/>
  <c r="G9067" i="1"/>
  <c r="M9066" i="1"/>
  <c r="L9066" i="1"/>
  <c r="K9066" i="1"/>
  <c r="J9066" i="1"/>
  <c r="I9066" i="1"/>
  <c r="H9066" i="1"/>
  <c r="G9066" i="1"/>
  <c r="M9065" i="1"/>
  <c r="L9065" i="1"/>
  <c r="K9065" i="1"/>
  <c r="J9065" i="1"/>
  <c r="I9065" i="1"/>
  <c r="H9065" i="1"/>
  <c r="G9065" i="1"/>
  <c r="M9064" i="1"/>
  <c r="L9064" i="1"/>
  <c r="K9064" i="1"/>
  <c r="J9064" i="1"/>
  <c r="I9064" i="1"/>
  <c r="H9064" i="1"/>
  <c r="G9064" i="1"/>
  <c r="M9063" i="1"/>
  <c r="L9063" i="1"/>
  <c r="K9063" i="1"/>
  <c r="J9063" i="1"/>
  <c r="I9063" i="1"/>
  <c r="H9063" i="1"/>
  <c r="G9063" i="1"/>
  <c r="M9062" i="1"/>
  <c r="L9062" i="1"/>
  <c r="K9062" i="1"/>
  <c r="J9062" i="1"/>
  <c r="I9062" i="1"/>
  <c r="H9062" i="1"/>
  <c r="G9062" i="1"/>
  <c r="M9061" i="1"/>
  <c r="L9061" i="1"/>
  <c r="K9061" i="1"/>
  <c r="J9061" i="1"/>
  <c r="I9061" i="1"/>
  <c r="H9061" i="1"/>
  <c r="G9061" i="1"/>
  <c r="M9060" i="1"/>
  <c r="L9060" i="1"/>
  <c r="K9060" i="1"/>
  <c r="J9060" i="1"/>
  <c r="I9060" i="1"/>
  <c r="H9060" i="1"/>
  <c r="G9060" i="1"/>
  <c r="M9059" i="1"/>
  <c r="L9059" i="1"/>
  <c r="K9059" i="1"/>
  <c r="J9059" i="1"/>
  <c r="I9059" i="1"/>
  <c r="H9059" i="1"/>
  <c r="G9059" i="1"/>
  <c r="M9058" i="1"/>
  <c r="L9058" i="1"/>
  <c r="K9058" i="1"/>
  <c r="J9058" i="1"/>
  <c r="I9058" i="1"/>
  <c r="H9058" i="1"/>
  <c r="G9058" i="1"/>
  <c r="M9057" i="1"/>
  <c r="L9057" i="1"/>
  <c r="K9057" i="1"/>
  <c r="J9057" i="1"/>
  <c r="I9057" i="1"/>
  <c r="H9057" i="1"/>
  <c r="G9057" i="1"/>
  <c r="M9056" i="1"/>
  <c r="L9056" i="1"/>
  <c r="K9056" i="1"/>
  <c r="J9056" i="1"/>
  <c r="I9056" i="1"/>
  <c r="H9056" i="1"/>
  <c r="G9056" i="1"/>
  <c r="M9055" i="1"/>
  <c r="L9055" i="1"/>
  <c r="K9055" i="1"/>
  <c r="J9055" i="1"/>
  <c r="I9055" i="1"/>
  <c r="H9055" i="1"/>
  <c r="G9055" i="1"/>
  <c r="M9054" i="1"/>
  <c r="L9054" i="1"/>
  <c r="K9054" i="1"/>
  <c r="J9054" i="1"/>
  <c r="I9054" i="1"/>
  <c r="H9054" i="1"/>
  <c r="G9054" i="1"/>
  <c r="M9053" i="1"/>
  <c r="L9053" i="1"/>
  <c r="K9053" i="1"/>
  <c r="J9053" i="1"/>
  <c r="I9053" i="1"/>
  <c r="H9053" i="1"/>
  <c r="G9053" i="1"/>
  <c r="M9052" i="1"/>
  <c r="L9052" i="1"/>
  <c r="K9052" i="1"/>
  <c r="J9052" i="1"/>
  <c r="I9052" i="1"/>
  <c r="H9052" i="1"/>
  <c r="G9052" i="1"/>
  <c r="M9051" i="1"/>
  <c r="L9051" i="1"/>
  <c r="K9051" i="1"/>
  <c r="J9051" i="1"/>
  <c r="I9051" i="1"/>
  <c r="H9051" i="1"/>
  <c r="G9051" i="1"/>
  <c r="M9050" i="1"/>
  <c r="L9050" i="1"/>
  <c r="K9050" i="1"/>
  <c r="J9050" i="1"/>
  <c r="I9050" i="1"/>
  <c r="H9050" i="1"/>
  <c r="G9050" i="1"/>
  <c r="M9049" i="1"/>
  <c r="L9049" i="1"/>
  <c r="K9049" i="1"/>
  <c r="J9049" i="1"/>
  <c r="I9049" i="1"/>
  <c r="H9049" i="1"/>
  <c r="G9049" i="1"/>
  <c r="M9048" i="1"/>
  <c r="L9048" i="1"/>
  <c r="K9048" i="1"/>
  <c r="J9048" i="1"/>
  <c r="I9048" i="1"/>
  <c r="H9048" i="1"/>
  <c r="G9048" i="1"/>
  <c r="M9047" i="1"/>
  <c r="L9047" i="1"/>
  <c r="K9047" i="1"/>
  <c r="J9047" i="1"/>
  <c r="I9047" i="1"/>
  <c r="H9047" i="1"/>
  <c r="G9047" i="1"/>
  <c r="M9046" i="1"/>
  <c r="L9046" i="1"/>
  <c r="K9046" i="1"/>
  <c r="J9046" i="1"/>
  <c r="I9046" i="1"/>
  <c r="H9046" i="1"/>
  <c r="G9046" i="1"/>
  <c r="M9045" i="1"/>
  <c r="L9045" i="1"/>
  <c r="K9045" i="1"/>
  <c r="J9045" i="1"/>
  <c r="I9045" i="1"/>
  <c r="H9045" i="1"/>
  <c r="G9045" i="1"/>
  <c r="M9044" i="1"/>
  <c r="L9044" i="1"/>
  <c r="K9044" i="1"/>
  <c r="J9044" i="1"/>
  <c r="I9044" i="1"/>
  <c r="H9044" i="1"/>
  <c r="G9044" i="1"/>
  <c r="M9043" i="1"/>
  <c r="L9043" i="1"/>
  <c r="K9043" i="1"/>
  <c r="J9043" i="1"/>
  <c r="I9043" i="1"/>
  <c r="H9043" i="1"/>
  <c r="G9043" i="1"/>
  <c r="M9042" i="1"/>
  <c r="L9042" i="1"/>
  <c r="K9042" i="1"/>
  <c r="J9042" i="1"/>
  <c r="I9042" i="1"/>
  <c r="H9042" i="1"/>
  <c r="G9042" i="1"/>
  <c r="M9041" i="1"/>
  <c r="L9041" i="1"/>
  <c r="K9041" i="1"/>
  <c r="J9041" i="1"/>
  <c r="I9041" i="1"/>
  <c r="H9041" i="1"/>
  <c r="G9041" i="1"/>
  <c r="M9040" i="1"/>
  <c r="L9040" i="1"/>
  <c r="K9040" i="1"/>
  <c r="J9040" i="1"/>
  <c r="I9040" i="1"/>
  <c r="H9040" i="1"/>
  <c r="G9040" i="1"/>
  <c r="M9039" i="1"/>
  <c r="L9039" i="1"/>
  <c r="K9039" i="1"/>
  <c r="J9039" i="1"/>
  <c r="I9039" i="1"/>
  <c r="H9039" i="1"/>
  <c r="G9039" i="1"/>
  <c r="M9038" i="1"/>
  <c r="L9038" i="1"/>
  <c r="K9038" i="1"/>
  <c r="J9038" i="1"/>
  <c r="I9038" i="1"/>
  <c r="H9038" i="1"/>
  <c r="G9038" i="1"/>
  <c r="M9037" i="1"/>
  <c r="L9037" i="1"/>
  <c r="K9037" i="1"/>
  <c r="J9037" i="1"/>
  <c r="I9037" i="1"/>
  <c r="H9037" i="1"/>
  <c r="G9037" i="1"/>
  <c r="M9036" i="1"/>
  <c r="L9036" i="1"/>
  <c r="K9036" i="1"/>
  <c r="J9036" i="1"/>
  <c r="I9036" i="1"/>
  <c r="H9036" i="1"/>
  <c r="G9036" i="1"/>
  <c r="M9035" i="1"/>
  <c r="L9035" i="1"/>
  <c r="K9035" i="1"/>
  <c r="J9035" i="1"/>
  <c r="I9035" i="1"/>
  <c r="H9035" i="1"/>
  <c r="G9035" i="1"/>
  <c r="M9034" i="1"/>
  <c r="L9034" i="1"/>
  <c r="K9034" i="1"/>
  <c r="J9034" i="1"/>
  <c r="I9034" i="1"/>
  <c r="H9034" i="1"/>
  <c r="G9034" i="1"/>
  <c r="M9033" i="1"/>
  <c r="L9033" i="1"/>
  <c r="K9033" i="1"/>
  <c r="J9033" i="1"/>
  <c r="I9033" i="1"/>
  <c r="H9033" i="1"/>
  <c r="G9033" i="1"/>
  <c r="M9032" i="1"/>
  <c r="L9032" i="1"/>
  <c r="K9032" i="1"/>
  <c r="J9032" i="1"/>
  <c r="I9032" i="1"/>
  <c r="H9032" i="1"/>
  <c r="G9032" i="1"/>
  <c r="M9031" i="1"/>
  <c r="L9031" i="1"/>
  <c r="K9031" i="1"/>
  <c r="J9031" i="1"/>
  <c r="I9031" i="1"/>
  <c r="H9031" i="1"/>
  <c r="G9031" i="1"/>
  <c r="M9030" i="1"/>
  <c r="L9030" i="1"/>
  <c r="K9030" i="1"/>
  <c r="J9030" i="1"/>
  <c r="I9030" i="1"/>
  <c r="H9030" i="1"/>
  <c r="G9030" i="1"/>
  <c r="M9029" i="1"/>
  <c r="L9029" i="1"/>
  <c r="K9029" i="1"/>
  <c r="J9029" i="1"/>
  <c r="I9029" i="1"/>
  <c r="H9029" i="1"/>
  <c r="G9029" i="1"/>
  <c r="M9028" i="1"/>
  <c r="L9028" i="1"/>
  <c r="K9028" i="1"/>
  <c r="J9028" i="1"/>
  <c r="I9028" i="1"/>
  <c r="H9028" i="1"/>
  <c r="G9028" i="1"/>
  <c r="M9027" i="1"/>
  <c r="L9027" i="1"/>
  <c r="K9027" i="1"/>
  <c r="J9027" i="1"/>
  <c r="I9027" i="1"/>
  <c r="H9027" i="1"/>
  <c r="G9027" i="1"/>
  <c r="M9026" i="1"/>
  <c r="L9026" i="1"/>
  <c r="K9026" i="1"/>
  <c r="J9026" i="1"/>
  <c r="I9026" i="1"/>
  <c r="H9026" i="1"/>
  <c r="G9026" i="1"/>
  <c r="M9025" i="1"/>
  <c r="L9025" i="1"/>
  <c r="K9025" i="1"/>
  <c r="J9025" i="1"/>
  <c r="I9025" i="1"/>
  <c r="H9025" i="1"/>
  <c r="G9025" i="1"/>
  <c r="M9024" i="1"/>
  <c r="L9024" i="1"/>
  <c r="K9024" i="1"/>
  <c r="J9024" i="1"/>
  <c r="I9024" i="1"/>
  <c r="H9024" i="1"/>
  <c r="G9024" i="1"/>
  <c r="M9023" i="1"/>
  <c r="L9023" i="1"/>
  <c r="K9023" i="1"/>
  <c r="J9023" i="1"/>
  <c r="I9023" i="1"/>
  <c r="H9023" i="1"/>
  <c r="G9023" i="1"/>
  <c r="M9022" i="1"/>
  <c r="L9022" i="1"/>
  <c r="K9022" i="1"/>
  <c r="J9022" i="1"/>
  <c r="I9022" i="1"/>
  <c r="H9022" i="1"/>
  <c r="G9022" i="1"/>
  <c r="M9021" i="1"/>
  <c r="L9021" i="1"/>
  <c r="K9021" i="1"/>
  <c r="J9021" i="1"/>
  <c r="I9021" i="1"/>
  <c r="H9021" i="1"/>
  <c r="G9021" i="1"/>
  <c r="M9020" i="1"/>
  <c r="L9020" i="1"/>
  <c r="K9020" i="1"/>
  <c r="J9020" i="1"/>
  <c r="I9020" i="1"/>
  <c r="H9020" i="1"/>
  <c r="G9020" i="1"/>
  <c r="M9019" i="1"/>
  <c r="L9019" i="1"/>
  <c r="K9019" i="1"/>
  <c r="J9019" i="1"/>
  <c r="I9019" i="1"/>
  <c r="H9019" i="1"/>
  <c r="G9019" i="1"/>
  <c r="M9018" i="1"/>
  <c r="L9018" i="1"/>
  <c r="K9018" i="1"/>
  <c r="J9018" i="1"/>
  <c r="I9018" i="1"/>
  <c r="H9018" i="1"/>
  <c r="G9018" i="1"/>
  <c r="M9017" i="1"/>
  <c r="L9017" i="1"/>
  <c r="K9017" i="1"/>
  <c r="J9017" i="1"/>
  <c r="I9017" i="1"/>
  <c r="H9017" i="1"/>
  <c r="G9017" i="1"/>
  <c r="M9016" i="1"/>
  <c r="L9016" i="1"/>
  <c r="K9016" i="1"/>
  <c r="J9016" i="1"/>
  <c r="I9016" i="1"/>
  <c r="H9016" i="1"/>
  <c r="G9016" i="1"/>
  <c r="M9015" i="1"/>
  <c r="L9015" i="1"/>
  <c r="K9015" i="1"/>
  <c r="J9015" i="1"/>
  <c r="I9015" i="1"/>
  <c r="H9015" i="1"/>
  <c r="G9015" i="1"/>
  <c r="M9014" i="1"/>
  <c r="L9014" i="1"/>
  <c r="K9014" i="1"/>
  <c r="J9014" i="1"/>
  <c r="I9014" i="1"/>
  <c r="H9014" i="1"/>
  <c r="G9014" i="1"/>
  <c r="M9013" i="1"/>
  <c r="L9013" i="1"/>
  <c r="K9013" i="1"/>
  <c r="J9013" i="1"/>
  <c r="I9013" i="1"/>
  <c r="H9013" i="1"/>
  <c r="G9013" i="1"/>
  <c r="M9012" i="1"/>
  <c r="L9012" i="1"/>
  <c r="K9012" i="1"/>
  <c r="J9012" i="1"/>
  <c r="I9012" i="1"/>
  <c r="H9012" i="1"/>
  <c r="G9012" i="1"/>
  <c r="M9011" i="1"/>
  <c r="L9011" i="1"/>
  <c r="K9011" i="1"/>
  <c r="J9011" i="1"/>
  <c r="I9011" i="1"/>
  <c r="H9011" i="1"/>
  <c r="G9011" i="1"/>
  <c r="M9010" i="1"/>
  <c r="L9010" i="1"/>
  <c r="K9010" i="1"/>
  <c r="J9010" i="1"/>
  <c r="I9010" i="1"/>
  <c r="H9010" i="1"/>
  <c r="G9010" i="1"/>
  <c r="M9009" i="1"/>
  <c r="L9009" i="1"/>
  <c r="K9009" i="1"/>
  <c r="J9009" i="1"/>
  <c r="I9009" i="1"/>
  <c r="H9009" i="1"/>
  <c r="G9009" i="1"/>
  <c r="M9008" i="1"/>
  <c r="L9008" i="1"/>
  <c r="K9008" i="1"/>
  <c r="J9008" i="1"/>
  <c r="I9008" i="1"/>
  <c r="H9008" i="1"/>
  <c r="G9008" i="1"/>
  <c r="M9007" i="1"/>
  <c r="L9007" i="1"/>
  <c r="K9007" i="1"/>
  <c r="J9007" i="1"/>
  <c r="I9007" i="1"/>
  <c r="H9007" i="1"/>
  <c r="G9007" i="1"/>
  <c r="M9006" i="1"/>
  <c r="L9006" i="1"/>
  <c r="K9006" i="1"/>
  <c r="J9006" i="1"/>
  <c r="I9006" i="1"/>
  <c r="H9006" i="1"/>
  <c r="G9006" i="1"/>
  <c r="M9005" i="1"/>
  <c r="L9005" i="1"/>
  <c r="K9005" i="1"/>
  <c r="J9005" i="1"/>
  <c r="I9005" i="1"/>
  <c r="H9005" i="1"/>
  <c r="G9005" i="1"/>
  <c r="M9004" i="1"/>
  <c r="L9004" i="1"/>
  <c r="K9004" i="1"/>
  <c r="J9004" i="1"/>
  <c r="I9004" i="1"/>
  <c r="H9004" i="1"/>
  <c r="G9004" i="1"/>
  <c r="M9003" i="1"/>
  <c r="L9003" i="1"/>
  <c r="K9003" i="1"/>
  <c r="J9003" i="1"/>
  <c r="I9003" i="1"/>
  <c r="H9003" i="1"/>
  <c r="G9003" i="1"/>
  <c r="M9002" i="1"/>
  <c r="L9002" i="1"/>
  <c r="K9002" i="1"/>
  <c r="J9002" i="1"/>
  <c r="I9002" i="1"/>
  <c r="H9002" i="1"/>
  <c r="G9002" i="1"/>
  <c r="M9001" i="1"/>
  <c r="L9001" i="1"/>
  <c r="K9001" i="1"/>
  <c r="J9001" i="1"/>
  <c r="I9001" i="1"/>
  <c r="H9001" i="1"/>
  <c r="G9001" i="1"/>
  <c r="M9000" i="1"/>
  <c r="L9000" i="1"/>
  <c r="K9000" i="1"/>
  <c r="J9000" i="1"/>
  <c r="I9000" i="1"/>
  <c r="H9000" i="1"/>
  <c r="G9000" i="1"/>
  <c r="M8999" i="1"/>
  <c r="L8999" i="1"/>
  <c r="K8999" i="1"/>
  <c r="J8999" i="1"/>
  <c r="I8999" i="1"/>
  <c r="H8999" i="1"/>
  <c r="G8999" i="1"/>
  <c r="M8998" i="1"/>
  <c r="L8998" i="1"/>
  <c r="K8998" i="1"/>
  <c r="J8998" i="1"/>
  <c r="I8998" i="1"/>
  <c r="H8998" i="1"/>
  <c r="G8998" i="1"/>
  <c r="M8997" i="1"/>
  <c r="L8997" i="1"/>
  <c r="K8997" i="1"/>
  <c r="J8997" i="1"/>
  <c r="I8997" i="1"/>
  <c r="H8997" i="1"/>
  <c r="G8997" i="1"/>
  <c r="M8996" i="1"/>
  <c r="L8996" i="1"/>
  <c r="K8996" i="1"/>
  <c r="J8996" i="1"/>
  <c r="I8996" i="1"/>
  <c r="H8996" i="1"/>
  <c r="G8996" i="1"/>
  <c r="M8995" i="1"/>
  <c r="L8995" i="1"/>
  <c r="K8995" i="1"/>
  <c r="J8995" i="1"/>
  <c r="I8995" i="1"/>
  <c r="H8995" i="1"/>
  <c r="G8995" i="1"/>
  <c r="M8994" i="1"/>
  <c r="L8994" i="1"/>
  <c r="K8994" i="1"/>
  <c r="J8994" i="1"/>
  <c r="I8994" i="1"/>
  <c r="H8994" i="1"/>
  <c r="G8994" i="1"/>
  <c r="M8993" i="1"/>
  <c r="L8993" i="1"/>
  <c r="K8993" i="1"/>
  <c r="J8993" i="1"/>
  <c r="I8993" i="1"/>
  <c r="H8993" i="1"/>
  <c r="G8993" i="1"/>
  <c r="M8992" i="1"/>
  <c r="L8992" i="1"/>
  <c r="K8992" i="1"/>
  <c r="J8992" i="1"/>
  <c r="I8992" i="1"/>
  <c r="H8992" i="1"/>
  <c r="G8992" i="1"/>
  <c r="M8991" i="1"/>
  <c r="L8991" i="1"/>
  <c r="K8991" i="1"/>
  <c r="J8991" i="1"/>
  <c r="I8991" i="1"/>
  <c r="H8991" i="1"/>
  <c r="G8991" i="1"/>
  <c r="M8990" i="1"/>
  <c r="L8990" i="1"/>
  <c r="K8990" i="1"/>
  <c r="J8990" i="1"/>
  <c r="I8990" i="1"/>
  <c r="H8990" i="1"/>
  <c r="G8990" i="1"/>
  <c r="M8989" i="1"/>
  <c r="L8989" i="1"/>
  <c r="K8989" i="1"/>
  <c r="J8989" i="1"/>
  <c r="I8989" i="1"/>
  <c r="H8989" i="1"/>
  <c r="G8989" i="1"/>
  <c r="M8988" i="1"/>
  <c r="L8988" i="1"/>
  <c r="K8988" i="1"/>
  <c r="J8988" i="1"/>
  <c r="I8988" i="1"/>
  <c r="H8988" i="1"/>
  <c r="G8988" i="1"/>
  <c r="M8987" i="1"/>
  <c r="L8987" i="1"/>
  <c r="K8987" i="1"/>
  <c r="J8987" i="1"/>
  <c r="I8987" i="1"/>
  <c r="H8987" i="1"/>
  <c r="G8987" i="1"/>
  <c r="M8986" i="1"/>
  <c r="L8986" i="1"/>
  <c r="K8986" i="1"/>
  <c r="J8986" i="1"/>
  <c r="I8986" i="1"/>
  <c r="H8986" i="1"/>
  <c r="G8986" i="1"/>
  <c r="M8985" i="1"/>
  <c r="L8985" i="1"/>
  <c r="K8985" i="1"/>
  <c r="J8985" i="1"/>
  <c r="I8985" i="1"/>
  <c r="H8985" i="1"/>
  <c r="G8985" i="1"/>
  <c r="M8984" i="1"/>
  <c r="L8984" i="1"/>
  <c r="K8984" i="1"/>
  <c r="J8984" i="1"/>
  <c r="I8984" i="1"/>
  <c r="H8984" i="1"/>
  <c r="G8984" i="1"/>
  <c r="M8983" i="1"/>
  <c r="L8983" i="1"/>
  <c r="K8983" i="1"/>
  <c r="J8983" i="1"/>
  <c r="I8983" i="1"/>
  <c r="H8983" i="1"/>
  <c r="G8983" i="1"/>
  <c r="M8982" i="1"/>
  <c r="L8982" i="1"/>
  <c r="K8982" i="1"/>
  <c r="J8982" i="1"/>
  <c r="I8982" i="1"/>
  <c r="H8982" i="1"/>
  <c r="G8982" i="1"/>
  <c r="M8981" i="1"/>
  <c r="L8981" i="1"/>
  <c r="K8981" i="1"/>
  <c r="J8981" i="1"/>
  <c r="I8981" i="1"/>
  <c r="H8981" i="1"/>
  <c r="G8981" i="1"/>
  <c r="M8980" i="1"/>
  <c r="L8980" i="1"/>
  <c r="K8980" i="1"/>
  <c r="J8980" i="1"/>
  <c r="I8980" i="1"/>
  <c r="H8980" i="1"/>
  <c r="G8980" i="1"/>
  <c r="M8979" i="1"/>
  <c r="L8979" i="1"/>
  <c r="K8979" i="1"/>
  <c r="J8979" i="1"/>
  <c r="I8979" i="1"/>
  <c r="H8979" i="1"/>
  <c r="G8979" i="1"/>
  <c r="M8978" i="1"/>
  <c r="L8978" i="1"/>
  <c r="K8978" i="1"/>
  <c r="J8978" i="1"/>
  <c r="I8978" i="1"/>
  <c r="H8978" i="1"/>
  <c r="G8978" i="1"/>
  <c r="M8977" i="1"/>
  <c r="L8977" i="1"/>
  <c r="K8977" i="1"/>
  <c r="J8977" i="1"/>
  <c r="I8977" i="1"/>
  <c r="H8977" i="1"/>
  <c r="G8977" i="1"/>
  <c r="M8976" i="1"/>
  <c r="L8976" i="1"/>
  <c r="K8976" i="1"/>
  <c r="J8976" i="1"/>
  <c r="I8976" i="1"/>
  <c r="H8976" i="1"/>
  <c r="G8976" i="1"/>
  <c r="M8975" i="1"/>
  <c r="L8975" i="1"/>
  <c r="K8975" i="1"/>
  <c r="J8975" i="1"/>
  <c r="I8975" i="1"/>
  <c r="H8975" i="1"/>
  <c r="G8975" i="1"/>
  <c r="M8974" i="1"/>
  <c r="L8974" i="1"/>
  <c r="K8974" i="1"/>
  <c r="J8974" i="1"/>
  <c r="I8974" i="1"/>
  <c r="H8974" i="1"/>
  <c r="G8974" i="1"/>
  <c r="M8973" i="1"/>
  <c r="L8973" i="1"/>
  <c r="K8973" i="1"/>
  <c r="J8973" i="1"/>
  <c r="I8973" i="1"/>
  <c r="H8973" i="1"/>
  <c r="G8973" i="1"/>
  <c r="M8972" i="1"/>
  <c r="L8972" i="1"/>
  <c r="K8972" i="1"/>
  <c r="J8972" i="1"/>
  <c r="I8972" i="1"/>
  <c r="H8972" i="1"/>
  <c r="G8972" i="1"/>
  <c r="M8971" i="1"/>
  <c r="L8971" i="1"/>
  <c r="K8971" i="1"/>
  <c r="J8971" i="1"/>
  <c r="I8971" i="1"/>
  <c r="H8971" i="1"/>
  <c r="G8971" i="1"/>
  <c r="M8970" i="1"/>
  <c r="L8970" i="1"/>
  <c r="K8970" i="1"/>
  <c r="J8970" i="1"/>
  <c r="I8970" i="1"/>
  <c r="H8970" i="1"/>
  <c r="G8970" i="1"/>
  <c r="M8969" i="1"/>
  <c r="L8969" i="1"/>
  <c r="K8969" i="1"/>
  <c r="J8969" i="1"/>
  <c r="I8969" i="1"/>
  <c r="H8969" i="1"/>
  <c r="G8969" i="1"/>
  <c r="M8968" i="1"/>
  <c r="L8968" i="1"/>
  <c r="K8968" i="1"/>
  <c r="J8968" i="1"/>
  <c r="I8968" i="1"/>
  <c r="H8968" i="1"/>
  <c r="G8968" i="1"/>
  <c r="M8967" i="1"/>
  <c r="L8967" i="1"/>
  <c r="K8967" i="1"/>
  <c r="J8967" i="1"/>
  <c r="I8967" i="1"/>
  <c r="H8967" i="1"/>
  <c r="G8967" i="1"/>
  <c r="M8966" i="1"/>
  <c r="L8966" i="1"/>
  <c r="K8966" i="1"/>
  <c r="J8966" i="1"/>
  <c r="I8966" i="1"/>
  <c r="H8966" i="1"/>
  <c r="G8966" i="1"/>
  <c r="M8965" i="1"/>
  <c r="L8965" i="1"/>
  <c r="K8965" i="1"/>
  <c r="J8965" i="1"/>
  <c r="I8965" i="1"/>
  <c r="H8965" i="1"/>
  <c r="G8965" i="1"/>
  <c r="M8964" i="1"/>
  <c r="L8964" i="1"/>
  <c r="K8964" i="1"/>
  <c r="J8964" i="1"/>
  <c r="I8964" i="1"/>
  <c r="H8964" i="1"/>
  <c r="G8964" i="1"/>
  <c r="M8963" i="1"/>
  <c r="L8963" i="1"/>
  <c r="K8963" i="1"/>
  <c r="J8963" i="1"/>
  <c r="I8963" i="1"/>
  <c r="H8963" i="1"/>
  <c r="G8963" i="1"/>
  <c r="M8962" i="1"/>
  <c r="L8962" i="1"/>
  <c r="K8962" i="1"/>
  <c r="J8962" i="1"/>
  <c r="I8962" i="1"/>
  <c r="H8962" i="1"/>
  <c r="G8962" i="1"/>
  <c r="M8961" i="1"/>
  <c r="L8961" i="1"/>
  <c r="K8961" i="1"/>
  <c r="J8961" i="1"/>
  <c r="I8961" i="1"/>
  <c r="H8961" i="1"/>
  <c r="G8961" i="1"/>
  <c r="M8960" i="1"/>
  <c r="L8960" i="1"/>
  <c r="K8960" i="1"/>
  <c r="J8960" i="1"/>
  <c r="I8960" i="1"/>
  <c r="H8960" i="1"/>
  <c r="G8960" i="1"/>
  <c r="M8959" i="1"/>
  <c r="L8959" i="1"/>
  <c r="K8959" i="1"/>
  <c r="J8959" i="1"/>
  <c r="I8959" i="1"/>
  <c r="H8959" i="1"/>
  <c r="G8959" i="1"/>
  <c r="M8958" i="1"/>
  <c r="L8958" i="1"/>
  <c r="K8958" i="1"/>
  <c r="J8958" i="1"/>
  <c r="I8958" i="1"/>
  <c r="H8958" i="1"/>
  <c r="G8958" i="1"/>
  <c r="M8957" i="1"/>
  <c r="L8957" i="1"/>
  <c r="K8957" i="1"/>
  <c r="J8957" i="1"/>
  <c r="I8957" i="1"/>
  <c r="H8957" i="1"/>
  <c r="G8957" i="1"/>
  <c r="M8956" i="1"/>
  <c r="L8956" i="1"/>
  <c r="K8956" i="1"/>
  <c r="J8956" i="1"/>
  <c r="I8956" i="1"/>
  <c r="H8956" i="1"/>
  <c r="G8956" i="1"/>
  <c r="M8955" i="1"/>
  <c r="L8955" i="1"/>
  <c r="K8955" i="1"/>
  <c r="J8955" i="1"/>
  <c r="I8955" i="1"/>
  <c r="H8955" i="1"/>
  <c r="G8955" i="1"/>
  <c r="M8954" i="1"/>
  <c r="L8954" i="1"/>
  <c r="K8954" i="1"/>
  <c r="J8954" i="1"/>
  <c r="I8954" i="1"/>
  <c r="H8954" i="1"/>
  <c r="G8954" i="1"/>
  <c r="M8953" i="1"/>
  <c r="L8953" i="1"/>
  <c r="K8953" i="1"/>
  <c r="J8953" i="1"/>
  <c r="I8953" i="1"/>
  <c r="H8953" i="1"/>
  <c r="G8953" i="1"/>
  <c r="M8952" i="1"/>
  <c r="L8952" i="1"/>
  <c r="K8952" i="1"/>
  <c r="J8952" i="1"/>
  <c r="I8952" i="1"/>
  <c r="H8952" i="1"/>
  <c r="G8952" i="1"/>
  <c r="M8951" i="1"/>
  <c r="L8951" i="1"/>
  <c r="K8951" i="1"/>
  <c r="J8951" i="1"/>
  <c r="I8951" i="1"/>
  <c r="H8951" i="1"/>
  <c r="G8951" i="1"/>
  <c r="M8950" i="1"/>
  <c r="L8950" i="1"/>
  <c r="K8950" i="1"/>
  <c r="J8950" i="1"/>
  <c r="I8950" i="1"/>
  <c r="H8950" i="1"/>
  <c r="G8950" i="1"/>
  <c r="M8949" i="1"/>
  <c r="L8949" i="1"/>
  <c r="K8949" i="1"/>
  <c r="J8949" i="1"/>
  <c r="I8949" i="1"/>
  <c r="H8949" i="1"/>
  <c r="G8949" i="1"/>
  <c r="M8948" i="1"/>
  <c r="L8948" i="1"/>
  <c r="K8948" i="1"/>
  <c r="J8948" i="1"/>
  <c r="I8948" i="1"/>
  <c r="H8948" i="1"/>
  <c r="G8948" i="1"/>
  <c r="M8947" i="1"/>
  <c r="L8947" i="1"/>
  <c r="K8947" i="1"/>
  <c r="J8947" i="1"/>
  <c r="I8947" i="1"/>
  <c r="H8947" i="1"/>
  <c r="G8947" i="1"/>
  <c r="M8946" i="1"/>
  <c r="L8946" i="1"/>
  <c r="K8946" i="1"/>
  <c r="J8946" i="1"/>
  <c r="I8946" i="1"/>
  <c r="H8946" i="1"/>
  <c r="G8946" i="1"/>
  <c r="M8945" i="1"/>
  <c r="L8945" i="1"/>
  <c r="K8945" i="1"/>
  <c r="J8945" i="1"/>
  <c r="I8945" i="1"/>
  <c r="H8945" i="1"/>
  <c r="G8945" i="1"/>
  <c r="M8944" i="1"/>
  <c r="L8944" i="1"/>
  <c r="K8944" i="1"/>
  <c r="J8944" i="1"/>
  <c r="I8944" i="1"/>
  <c r="H8944" i="1"/>
  <c r="G8944" i="1"/>
  <c r="M8943" i="1"/>
  <c r="L8943" i="1"/>
  <c r="K8943" i="1"/>
  <c r="J8943" i="1"/>
  <c r="I8943" i="1"/>
  <c r="H8943" i="1"/>
  <c r="G8943" i="1"/>
  <c r="M8942" i="1"/>
  <c r="L8942" i="1"/>
  <c r="K8942" i="1"/>
  <c r="J8942" i="1"/>
  <c r="I8942" i="1"/>
  <c r="H8942" i="1"/>
  <c r="G8942" i="1"/>
  <c r="M8941" i="1"/>
  <c r="L8941" i="1"/>
  <c r="K8941" i="1"/>
  <c r="J8941" i="1"/>
  <c r="I8941" i="1"/>
  <c r="H8941" i="1"/>
  <c r="G8941" i="1"/>
  <c r="M8940" i="1"/>
  <c r="L8940" i="1"/>
  <c r="K8940" i="1"/>
  <c r="J8940" i="1"/>
  <c r="I8940" i="1"/>
  <c r="H8940" i="1"/>
  <c r="G8940" i="1"/>
  <c r="M8939" i="1"/>
  <c r="L8939" i="1"/>
  <c r="K8939" i="1"/>
  <c r="J8939" i="1"/>
  <c r="I8939" i="1"/>
  <c r="H8939" i="1"/>
  <c r="G8939" i="1"/>
  <c r="M8938" i="1"/>
  <c r="L8938" i="1"/>
  <c r="K8938" i="1"/>
  <c r="J8938" i="1"/>
  <c r="I8938" i="1"/>
  <c r="H8938" i="1"/>
  <c r="G8938" i="1"/>
  <c r="M8937" i="1"/>
  <c r="L8937" i="1"/>
  <c r="K8937" i="1"/>
  <c r="J8937" i="1"/>
  <c r="I8937" i="1"/>
  <c r="H8937" i="1"/>
  <c r="G8937" i="1"/>
  <c r="M8936" i="1"/>
  <c r="L8936" i="1"/>
  <c r="K8936" i="1"/>
  <c r="J8936" i="1"/>
  <c r="I8936" i="1"/>
  <c r="H8936" i="1"/>
  <c r="G8936" i="1"/>
  <c r="M8935" i="1"/>
  <c r="L8935" i="1"/>
  <c r="K8935" i="1"/>
  <c r="J8935" i="1"/>
  <c r="I8935" i="1"/>
  <c r="H8935" i="1"/>
  <c r="G8935" i="1"/>
  <c r="M8934" i="1"/>
  <c r="L8934" i="1"/>
  <c r="K8934" i="1"/>
  <c r="J8934" i="1"/>
  <c r="I8934" i="1"/>
  <c r="H8934" i="1"/>
  <c r="G8934" i="1"/>
  <c r="M8933" i="1"/>
  <c r="L8933" i="1"/>
  <c r="K8933" i="1"/>
  <c r="J8933" i="1"/>
  <c r="I8933" i="1"/>
  <c r="H8933" i="1"/>
  <c r="G8933" i="1"/>
  <c r="M8932" i="1"/>
  <c r="L8932" i="1"/>
  <c r="K8932" i="1"/>
  <c r="J8932" i="1"/>
  <c r="I8932" i="1"/>
  <c r="H8932" i="1"/>
  <c r="G8932" i="1"/>
  <c r="M8931" i="1"/>
  <c r="L8931" i="1"/>
  <c r="K8931" i="1"/>
  <c r="J8931" i="1"/>
  <c r="I8931" i="1"/>
  <c r="H8931" i="1"/>
  <c r="G8931" i="1"/>
  <c r="M8930" i="1"/>
  <c r="L8930" i="1"/>
  <c r="K8930" i="1"/>
  <c r="J8930" i="1"/>
  <c r="I8930" i="1"/>
  <c r="H8930" i="1"/>
  <c r="G8930" i="1"/>
  <c r="M8929" i="1"/>
  <c r="L8929" i="1"/>
  <c r="K8929" i="1"/>
  <c r="J8929" i="1"/>
  <c r="I8929" i="1"/>
  <c r="H8929" i="1"/>
  <c r="G8929" i="1"/>
  <c r="M8928" i="1"/>
  <c r="L8928" i="1"/>
  <c r="K8928" i="1"/>
  <c r="J8928" i="1"/>
  <c r="I8928" i="1"/>
  <c r="H8928" i="1"/>
  <c r="G8928" i="1"/>
  <c r="M8927" i="1"/>
  <c r="L8927" i="1"/>
  <c r="K8927" i="1"/>
  <c r="J8927" i="1"/>
  <c r="I8927" i="1"/>
  <c r="H8927" i="1"/>
  <c r="G8927" i="1"/>
  <c r="M8926" i="1"/>
  <c r="L8926" i="1"/>
  <c r="K8926" i="1"/>
  <c r="J8926" i="1"/>
  <c r="I8926" i="1"/>
  <c r="H8926" i="1"/>
  <c r="G8926" i="1"/>
  <c r="M8925" i="1"/>
  <c r="L8925" i="1"/>
  <c r="K8925" i="1"/>
  <c r="J8925" i="1"/>
  <c r="I8925" i="1"/>
  <c r="H8925" i="1"/>
  <c r="G8925" i="1"/>
  <c r="M8924" i="1"/>
  <c r="L8924" i="1"/>
  <c r="K8924" i="1"/>
  <c r="J8924" i="1"/>
  <c r="I8924" i="1"/>
  <c r="H8924" i="1"/>
  <c r="G8924" i="1"/>
  <c r="M8923" i="1"/>
  <c r="L8923" i="1"/>
  <c r="K8923" i="1"/>
  <c r="J8923" i="1"/>
  <c r="I8923" i="1"/>
  <c r="H8923" i="1"/>
  <c r="G8923" i="1"/>
  <c r="M8922" i="1"/>
  <c r="L8922" i="1"/>
  <c r="K8922" i="1"/>
  <c r="J8922" i="1"/>
  <c r="I8922" i="1"/>
  <c r="H8922" i="1"/>
  <c r="G8922" i="1"/>
  <c r="M8921" i="1"/>
  <c r="L8921" i="1"/>
  <c r="K8921" i="1"/>
  <c r="J8921" i="1"/>
  <c r="I8921" i="1"/>
  <c r="H8921" i="1"/>
  <c r="G8921" i="1"/>
  <c r="M8920" i="1"/>
  <c r="L8920" i="1"/>
  <c r="K8920" i="1"/>
  <c r="J8920" i="1"/>
  <c r="I8920" i="1"/>
  <c r="H8920" i="1"/>
  <c r="G8920" i="1"/>
  <c r="M8919" i="1"/>
  <c r="L8919" i="1"/>
  <c r="K8919" i="1"/>
  <c r="J8919" i="1"/>
  <c r="I8919" i="1"/>
  <c r="H8919" i="1"/>
  <c r="G8919" i="1"/>
  <c r="M8918" i="1"/>
  <c r="L8918" i="1"/>
  <c r="K8918" i="1"/>
  <c r="J8918" i="1"/>
  <c r="I8918" i="1"/>
  <c r="H8918" i="1"/>
  <c r="G8918" i="1"/>
  <c r="M8917" i="1"/>
  <c r="L8917" i="1"/>
  <c r="K8917" i="1"/>
  <c r="J8917" i="1"/>
  <c r="I8917" i="1"/>
  <c r="H8917" i="1"/>
  <c r="G8917" i="1"/>
  <c r="M8916" i="1"/>
  <c r="L8916" i="1"/>
  <c r="K8916" i="1"/>
  <c r="J8916" i="1"/>
  <c r="I8916" i="1"/>
  <c r="H8916" i="1"/>
  <c r="G8916" i="1"/>
  <c r="M8915" i="1"/>
  <c r="L8915" i="1"/>
  <c r="K8915" i="1"/>
  <c r="J8915" i="1"/>
  <c r="I8915" i="1"/>
  <c r="H8915" i="1"/>
  <c r="G8915" i="1"/>
  <c r="M8914" i="1"/>
  <c r="L8914" i="1"/>
  <c r="K8914" i="1"/>
  <c r="J8914" i="1"/>
  <c r="I8914" i="1"/>
  <c r="H8914" i="1"/>
  <c r="G8914" i="1"/>
  <c r="M8913" i="1"/>
  <c r="L8913" i="1"/>
  <c r="K8913" i="1"/>
  <c r="J8913" i="1"/>
  <c r="I8913" i="1"/>
  <c r="H8913" i="1"/>
  <c r="G8913" i="1"/>
  <c r="M8912" i="1"/>
  <c r="L8912" i="1"/>
  <c r="K8912" i="1"/>
  <c r="J8912" i="1"/>
  <c r="I8912" i="1"/>
  <c r="H8912" i="1"/>
  <c r="G8912" i="1"/>
  <c r="M8911" i="1"/>
  <c r="L8911" i="1"/>
  <c r="K8911" i="1"/>
  <c r="J8911" i="1"/>
  <c r="I8911" i="1"/>
  <c r="H8911" i="1"/>
  <c r="G8911" i="1"/>
  <c r="M8910" i="1"/>
  <c r="L8910" i="1"/>
  <c r="K8910" i="1"/>
  <c r="J8910" i="1"/>
  <c r="I8910" i="1"/>
  <c r="H8910" i="1"/>
  <c r="G8910" i="1"/>
  <c r="M8909" i="1"/>
  <c r="L8909" i="1"/>
  <c r="K8909" i="1"/>
  <c r="J8909" i="1"/>
  <c r="I8909" i="1"/>
  <c r="H8909" i="1"/>
  <c r="G8909" i="1"/>
  <c r="M8908" i="1"/>
  <c r="L8908" i="1"/>
  <c r="K8908" i="1"/>
  <c r="J8908" i="1"/>
  <c r="I8908" i="1"/>
  <c r="H8908" i="1"/>
  <c r="G8908" i="1"/>
  <c r="M8907" i="1"/>
  <c r="L8907" i="1"/>
  <c r="K8907" i="1"/>
  <c r="J8907" i="1"/>
  <c r="I8907" i="1"/>
  <c r="H8907" i="1"/>
  <c r="G8907" i="1"/>
  <c r="M8906" i="1"/>
  <c r="L8906" i="1"/>
  <c r="K8906" i="1"/>
  <c r="J8906" i="1"/>
  <c r="I8906" i="1"/>
  <c r="H8906" i="1"/>
  <c r="G8906" i="1"/>
  <c r="M8905" i="1"/>
  <c r="L8905" i="1"/>
  <c r="K8905" i="1"/>
  <c r="J8905" i="1"/>
  <c r="I8905" i="1"/>
  <c r="H8905" i="1"/>
  <c r="G8905" i="1"/>
  <c r="M8904" i="1"/>
  <c r="L8904" i="1"/>
  <c r="K8904" i="1"/>
  <c r="J8904" i="1"/>
  <c r="I8904" i="1"/>
  <c r="H8904" i="1"/>
  <c r="G8904" i="1"/>
  <c r="M8903" i="1"/>
  <c r="L8903" i="1"/>
  <c r="K8903" i="1"/>
  <c r="J8903" i="1"/>
  <c r="I8903" i="1"/>
  <c r="H8903" i="1"/>
  <c r="G8903" i="1"/>
  <c r="M8902" i="1"/>
  <c r="L8902" i="1"/>
  <c r="K8902" i="1"/>
  <c r="J8902" i="1"/>
  <c r="I8902" i="1"/>
  <c r="H8902" i="1"/>
  <c r="G8902" i="1"/>
  <c r="M8901" i="1"/>
  <c r="L8901" i="1"/>
  <c r="K8901" i="1"/>
  <c r="J8901" i="1"/>
  <c r="I8901" i="1"/>
  <c r="H8901" i="1"/>
  <c r="G8901" i="1"/>
  <c r="M8900" i="1"/>
  <c r="L8900" i="1"/>
  <c r="K8900" i="1"/>
  <c r="J8900" i="1"/>
  <c r="I8900" i="1"/>
  <c r="H8900" i="1"/>
  <c r="G8900" i="1"/>
  <c r="M8899" i="1"/>
  <c r="L8899" i="1"/>
  <c r="K8899" i="1"/>
  <c r="J8899" i="1"/>
  <c r="I8899" i="1"/>
  <c r="H8899" i="1"/>
  <c r="G8899" i="1"/>
  <c r="M8898" i="1"/>
  <c r="L8898" i="1"/>
  <c r="K8898" i="1"/>
  <c r="J8898" i="1"/>
  <c r="I8898" i="1"/>
  <c r="H8898" i="1"/>
  <c r="G8898" i="1"/>
  <c r="M8897" i="1"/>
  <c r="L8897" i="1"/>
  <c r="K8897" i="1"/>
  <c r="J8897" i="1"/>
  <c r="I8897" i="1"/>
  <c r="H8897" i="1"/>
  <c r="G8897" i="1"/>
  <c r="M8896" i="1"/>
  <c r="L8896" i="1"/>
  <c r="K8896" i="1"/>
  <c r="J8896" i="1"/>
  <c r="I8896" i="1"/>
  <c r="H8896" i="1"/>
  <c r="G8896" i="1"/>
  <c r="M8895" i="1"/>
  <c r="L8895" i="1"/>
  <c r="K8895" i="1"/>
  <c r="J8895" i="1"/>
  <c r="I8895" i="1"/>
  <c r="H8895" i="1"/>
  <c r="G8895" i="1"/>
  <c r="M8894" i="1"/>
  <c r="L8894" i="1"/>
  <c r="K8894" i="1"/>
  <c r="J8894" i="1"/>
  <c r="I8894" i="1"/>
  <c r="H8894" i="1"/>
  <c r="G8894" i="1"/>
  <c r="M8893" i="1"/>
  <c r="L8893" i="1"/>
  <c r="K8893" i="1"/>
  <c r="J8893" i="1"/>
  <c r="I8893" i="1"/>
  <c r="H8893" i="1"/>
  <c r="G8893" i="1"/>
  <c r="M8892" i="1"/>
  <c r="L8892" i="1"/>
  <c r="K8892" i="1"/>
  <c r="J8892" i="1"/>
  <c r="I8892" i="1"/>
  <c r="H8892" i="1"/>
  <c r="G8892" i="1"/>
  <c r="M8891" i="1"/>
  <c r="L8891" i="1"/>
  <c r="K8891" i="1"/>
  <c r="J8891" i="1"/>
  <c r="I8891" i="1"/>
  <c r="H8891" i="1"/>
  <c r="G8891" i="1"/>
  <c r="M8890" i="1"/>
  <c r="L8890" i="1"/>
  <c r="K8890" i="1"/>
  <c r="J8890" i="1"/>
  <c r="I8890" i="1"/>
  <c r="H8890" i="1"/>
  <c r="G8890" i="1"/>
  <c r="M8889" i="1"/>
  <c r="L8889" i="1"/>
  <c r="K8889" i="1"/>
  <c r="J8889" i="1"/>
  <c r="I8889" i="1"/>
  <c r="H8889" i="1"/>
  <c r="G8889" i="1"/>
  <c r="M8888" i="1"/>
  <c r="L8888" i="1"/>
  <c r="K8888" i="1"/>
  <c r="J8888" i="1"/>
  <c r="I8888" i="1"/>
  <c r="H8888" i="1"/>
  <c r="G8888" i="1"/>
  <c r="M8887" i="1"/>
  <c r="L8887" i="1"/>
  <c r="K8887" i="1"/>
  <c r="J8887" i="1"/>
  <c r="I8887" i="1"/>
  <c r="H8887" i="1"/>
  <c r="G8887" i="1"/>
  <c r="M8886" i="1"/>
  <c r="L8886" i="1"/>
  <c r="K8886" i="1"/>
  <c r="J8886" i="1"/>
  <c r="I8886" i="1"/>
  <c r="H8886" i="1"/>
  <c r="G8886" i="1"/>
  <c r="M8885" i="1"/>
  <c r="L8885" i="1"/>
  <c r="K8885" i="1"/>
  <c r="J8885" i="1"/>
  <c r="I8885" i="1"/>
  <c r="H8885" i="1"/>
  <c r="G8885" i="1"/>
  <c r="M8884" i="1"/>
  <c r="L8884" i="1"/>
  <c r="K8884" i="1"/>
  <c r="J8884" i="1"/>
  <c r="I8884" i="1"/>
  <c r="H8884" i="1"/>
  <c r="G8884" i="1"/>
  <c r="M8883" i="1"/>
  <c r="L8883" i="1"/>
  <c r="K8883" i="1"/>
  <c r="J8883" i="1"/>
  <c r="I8883" i="1"/>
  <c r="H8883" i="1"/>
  <c r="G8883" i="1"/>
  <c r="M8882" i="1"/>
  <c r="L8882" i="1"/>
  <c r="K8882" i="1"/>
  <c r="J8882" i="1"/>
  <c r="I8882" i="1"/>
  <c r="H8882" i="1"/>
  <c r="G8882" i="1"/>
  <c r="M8881" i="1"/>
  <c r="L8881" i="1"/>
  <c r="K8881" i="1"/>
  <c r="J8881" i="1"/>
  <c r="I8881" i="1"/>
  <c r="H8881" i="1"/>
  <c r="G8881" i="1"/>
  <c r="M8880" i="1"/>
  <c r="L8880" i="1"/>
  <c r="K8880" i="1"/>
  <c r="J8880" i="1"/>
  <c r="I8880" i="1"/>
  <c r="H8880" i="1"/>
  <c r="G8880" i="1"/>
  <c r="M8879" i="1"/>
  <c r="L8879" i="1"/>
  <c r="K8879" i="1"/>
  <c r="J8879" i="1"/>
  <c r="I8879" i="1"/>
  <c r="H8879" i="1"/>
  <c r="G8879" i="1"/>
  <c r="M8878" i="1"/>
  <c r="L8878" i="1"/>
  <c r="K8878" i="1"/>
  <c r="J8878" i="1"/>
  <c r="I8878" i="1"/>
  <c r="H8878" i="1"/>
  <c r="G8878" i="1"/>
  <c r="M8877" i="1"/>
  <c r="L8877" i="1"/>
  <c r="K8877" i="1"/>
  <c r="J8877" i="1"/>
  <c r="I8877" i="1"/>
  <c r="H8877" i="1"/>
  <c r="G8877" i="1"/>
  <c r="M8876" i="1"/>
  <c r="L8876" i="1"/>
  <c r="K8876" i="1"/>
  <c r="J8876" i="1"/>
  <c r="I8876" i="1"/>
  <c r="H8876" i="1"/>
  <c r="G8876" i="1"/>
  <c r="M8875" i="1"/>
  <c r="L8875" i="1"/>
  <c r="K8875" i="1"/>
  <c r="J8875" i="1"/>
  <c r="I8875" i="1"/>
  <c r="H8875" i="1"/>
  <c r="G8875" i="1"/>
  <c r="M8874" i="1"/>
  <c r="L8874" i="1"/>
  <c r="K8874" i="1"/>
  <c r="J8874" i="1"/>
  <c r="I8874" i="1"/>
  <c r="H8874" i="1"/>
  <c r="G8874" i="1"/>
  <c r="M8873" i="1"/>
  <c r="L8873" i="1"/>
  <c r="K8873" i="1"/>
  <c r="J8873" i="1"/>
  <c r="I8873" i="1"/>
  <c r="H8873" i="1"/>
  <c r="G8873" i="1"/>
  <c r="M8872" i="1"/>
  <c r="L8872" i="1"/>
  <c r="K8872" i="1"/>
  <c r="J8872" i="1"/>
  <c r="I8872" i="1"/>
  <c r="H8872" i="1"/>
  <c r="G8872" i="1"/>
  <c r="M8871" i="1"/>
  <c r="L8871" i="1"/>
  <c r="K8871" i="1"/>
  <c r="J8871" i="1"/>
  <c r="I8871" i="1"/>
  <c r="H8871" i="1"/>
  <c r="G8871" i="1"/>
  <c r="M8870" i="1"/>
  <c r="L8870" i="1"/>
  <c r="K8870" i="1"/>
  <c r="J8870" i="1"/>
  <c r="I8870" i="1"/>
  <c r="H8870" i="1"/>
  <c r="G8870" i="1"/>
  <c r="M8869" i="1"/>
  <c r="L8869" i="1"/>
  <c r="K8869" i="1"/>
  <c r="J8869" i="1"/>
  <c r="I8869" i="1"/>
  <c r="H8869" i="1"/>
  <c r="G8869" i="1"/>
  <c r="M8868" i="1"/>
  <c r="L8868" i="1"/>
  <c r="K8868" i="1"/>
  <c r="J8868" i="1"/>
  <c r="I8868" i="1"/>
  <c r="H8868" i="1"/>
  <c r="G8868" i="1"/>
  <c r="M8867" i="1"/>
  <c r="L8867" i="1"/>
  <c r="K8867" i="1"/>
  <c r="J8867" i="1"/>
  <c r="I8867" i="1"/>
  <c r="H8867" i="1"/>
  <c r="G8867" i="1"/>
  <c r="M8866" i="1"/>
  <c r="L8866" i="1"/>
  <c r="K8866" i="1"/>
  <c r="J8866" i="1"/>
  <c r="I8866" i="1"/>
  <c r="H8866" i="1"/>
  <c r="G8866" i="1"/>
  <c r="M8865" i="1"/>
  <c r="L8865" i="1"/>
  <c r="K8865" i="1"/>
  <c r="J8865" i="1"/>
  <c r="I8865" i="1"/>
  <c r="H8865" i="1"/>
  <c r="G8865" i="1"/>
  <c r="M8864" i="1"/>
  <c r="L8864" i="1"/>
  <c r="K8864" i="1"/>
  <c r="J8864" i="1"/>
  <c r="I8864" i="1"/>
  <c r="H8864" i="1"/>
  <c r="G8864" i="1"/>
  <c r="M8863" i="1"/>
  <c r="L8863" i="1"/>
  <c r="K8863" i="1"/>
  <c r="J8863" i="1"/>
  <c r="I8863" i="1"/>
  <c r="H8863" i="1"/>
  <c r="G8863" i="1"/>
  <c r="M8862" i="1"/>
  <c r="L8862" i="1"/>
  <c r="K8862" i="1"/>
  <c r="J8862" i="1"/>
  <c r="I8862" i="1"/>
  <c r="H8862" i="1"/>
  <c r="G8862" i="1"/>
  <c r="M8861" i="1"/>
  <c r="L8861" i="1"/>
  <c r="K8861" i="1"/>
  <c r="J8861" i="1"/>
  <c r="I8861" i="1"/>
  <c r="H8861" i="1"/>
  <c r="G8861" i="1"/>
  <c r="M8860" i="1"/>
  <c r="L8860" i="1"/>
  <c r="K8860" i="1"/>
  <c r="J8860" i="1"/>
  <c r="I8860" i="1"/>
  <c r="H8860" i="1"/>
  <c r="G8860" i="1"/>
  <c r="M8859" i="1"/>
  <c r="L8859" i="1"/>
  <c r="K8859" i="1"/>
  <c r="J8859" i="1"/>
  <c r="I8859" i="1"/>
  <c r="H8859" i="1"/>
  <c r="G8859" i="1"/>
  <c r="M8858" i="1"/>
  <c r="L8858" i="1"/>
  <c r="K8858" i="1"/>
  <c r="J8858" i="1"/>
  <c r="I8858" i="1"/>
  <c r="H8858" i="1"/>
  <c r="G8858" i="1"/>
  <c r="M8857" i="1"/>
  <c r="L8857" i="1"/>
  <c r="K8857" i="1"/>
  <c r="J8857" i="1"/>
  <c r="I8857" i="1"/>
  <c r="H8857" i="1"/>
  <c r="G8857" i="1"/>
  <c r="M8856" i="1"/>
  <c r="L8856" i="1"/>
  <c r="K8856" i="1"/>
  <c r="J8856" i="1"/>
  <c r="I8856" i="1"/>
  <c r="H8856" i="1"/>
  <c r="G8856" i="1"/>
  <c r="M8855" i="1"/>
  <c r="L8855" i="1"/>
  <c r="K8855" i="1"/>
  <c r="J8855" i="1"/>
  <c r="I8855" i="1"/>
  <c r="H8855" i="1"/>
  <c r="G8855" i="1"/>
  <c r="M8854" i="1"/>
  <c r="L8854" i="1"/>
  <c r="K8854" i="1"/>
  <c r="J8854" i="1"/>
  <c r="I8854" i="1"/>
  <c r="H8854" i="1"/>
  <c r="G8854" i="1"/>
  <c r="M8853" i="1"/>
  <c r="L8853" i="1"/>
  <c r="K8853" i="1"/>
  <c r="J8853" i="1"/>
  <c r="I8853" i="1"/>
  <c r="H8853" i="1"/>
  <c r="G8853" i="1"/>
  <c r="M8852" i="1"/>
  <c r="L8852" i="1"/>
  <c r="K8852" i="1"/>
  <c r="J8852" i="1"/>
  <c r="I8852" i="1"/>
  <c r="H8852" i="1"/>
  <c r="G8852" i="1"/>
  <c r="M8851" i="1"/>
  <c r="L8851" i="1"/>
  <c r="K8851" i="1"/>
  <c r="J8851" i="1"/>
  <c r="I8851" i="1"/>
  <c r="H8851" i="1"/>
  <c r="G8851" i="1"/>
  <c r="M8850" i="1"/>
  <c r="L8850" i="1"/>
  <c r="K8850" i="1"/>
  <c r="J8850" i="1"/>
  <c r="I8850" i="1"/>
  <c r="H8850" i="1"/>
  <c r="G8850" i="1"/>
  <c r="M8849" i="1"/>
  <c r="L8849" i="1"/>
  <c r="K8849" i="1"/>
  <c r="J8849" i="1"/>
  <c r="I8849" i="1"/>
  <c r="H8849" i="1"/>
  <c r="G8849" i="1"/>
  <c r="M8848" i="1"/>
  <c r="L8848" i="1"/>
  <c r="K8848" i="1"/>
  <c r="J8848" i="1"/>
  <c r="I8848" i="1"/>
  <c r="H8848" i="1"/>
  <c r="G8848" i="1"/>
  <c r="M8847" i="1"/>
  <c r="L8847" i="1"/>
  <c r="K8847" i="1"/>
  <c r="J8847" i="1"/>
  <c r="I8847" i="1"/>
  <c r="H8847" i="1"/>
  <c r="G8847" i="1"/>
  <c r="M8846" i="1"/>
  <c r="L8846" i="1"/>
  <c r="K8846" i="1"/>
  <c r="J8846" i="1"/>
  <c r="I8846" i="1"/>
  <c r="H8846" i="1"/>
  <c r="G8846" i="1"/>
  <c r="M8845" i="1"/>
  <c r="L8845" i="1"/>
  <c r="K8845" i="1"/>
  <c r="J8845" i="1"/>
  <c r="I8845" i="1"/>
  <c r="H8845" i="1"/>
  <c r="G8845" i="1"/>
  <c r="M8844" i="1"/>
  <c r="L8844" i="1"/>
  <c r="K8844" i="1"/>
  <c r="J8844" i="1"/>
  <c r="I8844" i="1"/>
  <c r="H8844" i="1"/>
  <c r="G8844" i="1"/>
  <c r="M8843" i="1"/>
  <c r="L8843" i="1"/>
  <c r="K8843" i="1"/>
  <c r="J8843" i="1"/>
  <c r="I8843" i="1"/>
  <c r="H8843" i="1"/>
  <c r="G8843" i="1"/>
  <c r="M8842" i="1"/>
  <c r="L8842" i="1"/>
  <c r="K8842" i="1"/>
  <c r="J8842" i="1"/>
  <c r="I8842" i="1"/>
  <c r="H8842" i="1"/>
  <c r="G8842" i="1"/>
  <c r="M8841" i="1"/>
  <c r="L8841" i="1"/>
  <c r="K8841" i="1"/>
  <c r="J8841" i="1"/>
  <c r="I8841" i="1"/>
  <c r="H8841" i="1"/>
  <c r="G8841" i="1"/>
  <c r="M8840" i="1"/>
  <c r="L8840" i="1"/>
  <c r="K8840" i="1"/>
  <c r="J8840" i="1"/>
  <c r="I8840" i="1"/>
  <c r="H8840" i="1"/>
  <c r="G8840" i="1"/>
  <c r="M8839" i="1"/>
  <c r="L8839" i="1"/>
  <c r="K8839" i="1"/>
  <c r="J8839" i="1"/>
  <c r="I8839" i="1"/>
  <c r="H8839" i="1"/>
  <c r="G8839" i="1"/>
  <c r="M8838" i="1"/>
  <c r="L8838" i="1"/>
  <c r="K8838" i="1"/>
  <c r="J8838" i="1"/>
  <c r="I8838" i="1"/>
  <c r="H8838" i="1"/>
  <c r="G8838" i="1"/>
  <c r="M8837" i="1"/>
  <c r="L8837" i="1"/>
  <c r="K8837" i="1"/>
  <c r="J8837" i="1"/>
  <c r="I8837" i="1"/>
  <c r="H8837" i="1"/>
  <c r="G8837" i="1"/>
  <c r="M8836" i="1"/>
  <c r="L8836" i="1"/>
  <c r="K8836" i="1"/>
  <c r="J8836" i="1"/>
  <c r="I8836" i="1"/>
  <c r="H8836" i="1"/>
  <c r="G8836" i="1"/>
  <c r="M8835" i="1"/>
  <c r="L8835" i="1"/>
  <c r="K8835" i="1"/>
  <c r="J8835" i="1"/>
  <c r="I8835" i="1"/>
  <c r="H8835" i="1"/>
  <c r="G8835" i="1"/>
  <c r="M8834" i="1"/>
  <c r="L8834" i="1"/>
  <c r="K8834" i="1"/>
  <c r="J8834" i="1"/>
  <c r="I8834" i="1"/>
  <c r="H8834" i="1"/>
  <c r="G8834" i="1"/>
  <c r="M8833" i="1"/>
  <c r="L8833" i="1"/>
  <c r="K8833" i="1"/>
  <c r="J8833" i="1"/>
  <c r="I8833" i="1"/>
  <c r="H8833" i="1"/>
  <c r="G8833" i="1"/>
  <c r="M8832" i="1"/>
  <c r="L8832" i="1"/>
  <c r="K8832" i="1"/>
  <c r="J8832" i="1"/>
  <c r="I8832" i="1"/>
  <c r="H8832" i="1"/>
  <c r="G8832" i="1"/>
  <c r="M8831" i="1"/>
  <c r="L8831" i="1"/>
  <c r="K8831" i="1"/>
  <c r="J8831" i="1"/>
  <c r="I8831" i="1"/>
  <c r="H8831" i="1"/>
  <c r="G8831" i="1"/>
  <c r="M8830" i="1"/>
  <c r="L8830" i="1"/>
  <c r="K8830" i="1"/>
  <c r="J8830" i="1"/>
  <c r="I8830" i="1"/>
  <c r="H8830" i="1"/>
  <c r="G8830" i="1"/>
  <c r="M8829" i="1"/>
  <c r="L8829" i="1"/>
  <c r="K8829" i="1"/>
  <c r="J8829" i="1"/>
  <c r="I8829" i="1"/>
  <c r="H8829" i="1"/>
  <c r="G8829" i="1"/>
  <c r="M8828" i="1"/>
  <c r="L8828" i="1"/>
  <c r="K8828" i="1"/>
  <c r="J8828" i="1"/>
  <c r="I8828" i="1"/>
  <c r="H8828" i="1"/>
  <c r="G8828" i="1"/>
  <c r="M8827" i="1"/>
  <c r="L8827" i="1"/>
  <c r="K8827" i="1"/>
  <c r="J8827" i="1"/>
  <c r="I8827" i="1"/>
  <c r="H8827" i="1"/>
  <c r="G8827" i="1"/>
  <c r="M8826" i="1"/>
  <c r="L8826" i="1"/>
  <c r="K8826" i="1"/>
  <c r="J8826" i="1"/>
  <c r="I8826" i="1"/>
  <c r="H8826" i="1"/>
  <c r="G8826" i="1"/>
  <c r="M8825" i="1"/>
  <c r="L8825" i="1"/>
  <c r="K8825" i="1"/>
  <c r="J8825" i="1"/>
  <c r="I8825" i="1"/>
  <c r="H8825" i="1"/>
  <c r="G8825" i="1"/>
  <c r="M8824" i="1"/>
  <c r="L8824" i="1"/>
  <c r="K8824" i="1"/>
  <c r="J8824" i="1"/>
  <c r="I8824" i="1"/>
  <c r="H8824" i="1"/>
  <c r="G8824" i="1"/>
  <c r="M8823" i="1"/>
  <c r="L8823" i="1"/>
  <c r="K8823" i="1"/>
  <c r="J8823" i="1"/>
  <c r="I8823" i="1"/>
  <c r="H8823" i="1"/>
  <c r="G8823" i="1"/>
  <c r="M8822" i="1"/>
  <c r="L8822" i="1"/>
  <c r="K8822" i="1"/>
  <c r="J8822" i="1"/>
  <c r="I8822" i="1"/>
  <c r="H8822" i="1"/>
  <c r="G8822" i="1"/>
  <c r="M8821" i="1"/>
  <c r="L8821" i="1"/>
  <c r="K8821" i="1"/>
  <c r="J8821" i="1"/>
  <c r="I8821" i="1"/>
  <c r="H8821" i="1"/>
  <c r="G8821" i="1"/>
  <c r="M8820" i="1"/>
  <c r="L8820" i="1"/>
  <c r="K8820" i="1"/>
  <c r="J8820" i="1"/>
  <c r="I8820" i="1"/>
  <c r="H8820" i="1"/>
  <c r="G8820" i="1"/>
  <c r="M8819" i="1"/>
  <c r="L8819" i="1"/>
  <c r="K8819" i="1"/>
  <c r="J8819" i="1"/>
  <c r="I8819" i="1"/>
  <c r="H8819" i="1"/>
  <c r="G8819" i="1"/>
  <c r="M8818" i="1"/>
  <c r="L8818" i="1"/>
  <c r="K8818" i="1"/>
  <c r="J8818" i="1"/>
  <c r="I8818" i="1"/>
  <c r="H8818" i="1"/>
  <c r="G8818" i="1"/>
  <c r="M8817" i="1"/>
  <c r="L8817" i="1"/>
  <c r="K8817" i="1"/>
  <c r="J8817" i="1"/>
  <c r="I8817" i="1"/>
  <c r="H8817" i="1"/>
  <c r="G8817" i="1"/>
  <c r="M8816" i="1"/>
  <c r="L8816" i="1"/>
  <c r="K8816" i="1"/>
  <c r="J8816" i="1"/>
  <c r="I8816" i="1"/>
  <c r="H8816" i="1"/>
  <c r="G8816" i="1"/>
  <c r="M8815" i="1"/>
  <c r="L8815" i="1"/>
  <c r="K8815" i="1"/>
  <c r="J8815" i="1"/>
  <c r="I8815" i="1"/>
  <c r="H8815" i="1"/>
  <c r="G8815" i="1"/>
  <c r="M8814" i="1"/>
  <c r="L8814" i="1"/>
  <c r="K8814" i="1"/>
  <c r="J8814" i="1"/>
  <c r="I8814" i="1"/>
  <c r="H8814" i="1"/>
  <c r="G8814" i="1"/>
  <c r="M8813" i="1"/>
  <c r="L8813" i="1"/>
  <c r="K8813" i="1"/>
  <c r="J8813" i="1"/>
  <c r="I8813" i="1"/>
  <c r="H8813" i="1"/>
  <c r="G8813" i="1"/>
  <c r="M8812" i="1"/>
  <c r="L8812" i="1"/>
  <c r="K8812" i="1"/>
  <c r="J8812" i="1"/>
  <c r="I8812" i="1"/>
  <c r="H8812" i="1"/>
  <c r="G8812" i="1"/>
  <c r="M8811" i="1"/>
  <c r="L8811" i="1"/>
  <c r="K8811" i="1"/>
  <c r="J8811" i="1"/>
  <c r="I8811" i="1"/>
  <c r="H8811" i="1"/>
  <c r="G8811" i="1"/>
  <c r="M8810" i="1"/>
  <c r="L8810" i="1"/>
  <c r="K8810" i="1"/>
  <c r="J8810" i="1"/>
  <c r="I8810" i="1"/>
  <c r="H8810" i="1"/>
  <c r="G8810" i="1"/>
  <c r="M8809" i="1"/>
  <c r="L8809" i="1"/>
  <c r="K8809" i="1"/>
  <c r="J8809" i="1"/>
  <c r="I8809" i="1"/>
  <c r="H8809" i="1"/>
  <c r="G8809" i="1"/>
  <c r="M8808" i="1"/>
  <c r="L8808" i="1"/>
  <c r="K8808" i="1"/>
  <c r="J8808" i="1"/>
  <c r="I8808" i="1"/>
  <c r="H8808" i="1"/>
  <c r="G8808" i="1"/>
  <c r="M8807" i="1"/>
  <c r="L8807" i="1"/>
  <c r="K8807" i="1"/>
  <c r="J8807" i="1"/>
  <c r="I8807" i="1"/>
  <c r="H8807" i="1"/>
  <c r="G8807" i="1"/>
  <c r="M8806" i="1"/>
  <c r="L8806" i="1"/>
  <c r="K8806" i="1"/>
  <c r="J8806" i="1"/>
  <c r="I8806" i="1"/>
  <c r="H8806" i="1"/>
  <c r="G8806" i="1"/>
  <c r="M8805" i="1"/>
  <c r="L8805" i="1"/>
  <c r="K8805" i="1"/>
  <c r="J8805" i="1"/>
  <c r="I8805" i="1"/>
  <c r="H8805" i="1"/>
  <c r="G8805" i="1"/>
  <c r="M8804" i="1"/>
  <c r="L8804" i="1"/>
  <c r="K8804" i="1"/>
  <c r="J8804" i="1"/>
  <c r="I8804" i="1"/>
  <c r="H8804" i="1"/>
  <c r="G8804" i="1"/>
  <c r="M8803" i="1"/>
  <c r="L8803" i="1"/>
  <c r="K8803" i="1"/>
  <c r="J8803" i="1"/>
  <c r="I8803" i="1"/>
  <c r="H8803" i="1"/>
  <c r="G8803" i="1"/>
  <c r="M8802" i="1"/>
  <c r="L8802" i="1"/>
  <c r="K8802" i="1"/>
  <c r="J8802" i="1"/>
  <c r="I8802" i="1"/>
  <c r="H8802" i="1"/>
  <c r="G8802" i="1"/>
  <c r="M8801" i="1"/>
  <c r="L8801" i="1"/>
  <c r="K8801" i="1"/>
  <c r="J8801" i="1"/>
  <c r="I8801" i="1"/>
  <c r="H8801" i="1"/>
  <c r="G8801" i="1"/>
  <c r="M8800" i="1"/>
  <c r="L8800" i="1"/>
  <c r="K8800" i="1"/>
  <c r="J8800" i="1"/>
  <c r="I8800" i="1"/>
  <c r="H8800" i="1"/>
  <c r="G8800" i="1"/>
  <c r="M8799" i="1"/>
  <c r="L8799" i="1"/>
  <c r="K8799" i="1"/>
  <c r="J8799" i="1"/>
  <c r="I8799" i="1"/>
  <c r="H8799" i="1"/>
  <c r="G8799" i="1"/>
  <c r="M8798" i="1"/>
  <c r="L8798" i="1"/>
  <c r="K8798" i="1"/>
  <c r="J8798" i="1"/>
  <c r="I8798" i="1"/>
  <c r="H8798" i="1"/>
  <c r="G8798" i="1"/>
  <c r="M8797" i="1"/>
  <c r="L8797" i="1"/>
  <c r="K8797" i="1"/>
  <c r="J8797" i="1"/>
  <c r="I8797" i="1"/>
  <c r="H8797" i="1"/>
  <c r="G8797" i="1"/>
  <c r="M8796" i="1"/>
  <c r="L8796" i="1"/>
  <c r="K8796" i="1"/>
  <c r="J8796" i="1"/>
  <c r="I8796" i="1"/>
  <c r="H8796" i="1"/>
  <c r="G8796" i="1"/>
  <c r="M8795" i="1"/>
  <c r="L8795" i="1"/>
  <c r="K8795" i="1"/>
  <c r="J8795" i="1"/>
  <c r="I8795" i="1"/>
  <c r="H8795" i="1"/>
  <c r="G8795" i="1"/>
  <c r="M8794" i="1"/>
  <c r="L8794" i="1"/>
  <c r="K8794" i="1"/>
  <c r="J8794" i="1"/>
  <c r="I8794" i="1"/>
  <c r="H8794" i="1"/>
  <c r="G8794" i="1"/>
  <c r="M8793" i="1"/>
  <c r="L8793" i="1"/>
  <c r="K8793" i="1"/>
  <c r="J8793" i="1"/>
  <c r="I8793" i="1"/>
  <c r="H8793" i="1"/>
  <c r="G8793" i="1"/>
  <c r="M8792" i="1"/>
  <c r="L8792" i="1"/>
  <c r="K8792" i="1"/>
  <c r="J8792" i="1"/>
  <c r="I8792" i="1"/>
  <c r="H8792" i="1"/>
  <c r="G8792" i="1"/>
  <c r="M8791" i="1"/>
  <c r="L8791" i="1"/>
  <c r="K8791" i="1"/>
  <c r="J8791" i="1"/>
  <c r="I8791" i="1"/>
  <c r="H8791" i="1"/>
  <c r="G8791" i="1"/>
  <c r="M8790" i="1"/>
  <c r="L8790" i="1"/>
  <c r="K8790" i="1"/>
  <c r="J8790" i="1"/>
  <c r="I8790" i="1"/>
  <c r="H8790" i="1"/>
  <c r="G8790" i="1"/>
  <c r="M8789" i="1"/>
  <c r="L8789" i="1"/>
  <c r="K8789" i="1"/>
  <c r="J8789" i="1"/>
  <c r="I8789" i="1"/>
  <c r="H8789" i="1"/>
  <c r="G8789" i="1"/>
  <c r="M8788" i="1"/>
  <c r="L8788" i="1"/>
  <c r="K8788" i="1"/>
  <c r="J8788" i="1"/>
  <c r="I8788" i="1"/>
  <c r="H8788" i="1"/>
  <c r="G8788" i="1"/>
  <c r="M8787" i="1"/>
  <c r="L8787" i="1"/>
  <c r="K8787" i="1"/>
  <c r="J8787" i="1"/>
  <c r="I8787" i="1"/>
  <c r="H8787" i="1"/>
  <c r="G8787" i="1"/>
  <c r="M8786" i="1"/>
  <c r="L8786" i="1"/>
  <c r="K8786" i="1"/>
  <c r="J8786" i="1"/>
  <c r="I8786" i="1"/>
  <c r="H8786" i="1"/>
  <c r="G8786" i="1"/>
  <c r="M8785" i="1"/>
  <c r="L8785" i="1"/>
  <c r="K8785" i="1"/>
  <c r="J8785" i="1"/>
  <c r="I8785" i="1"/>
  <c r="H8785" i="1"/>
  <c r="G8785" i="1"/>
  <c r="M8784" i="1"/>
  <c r="L8784" i="1"/>
  <c r="K8784" i="1"/>
  <c r="J8784" i="1"/>
  <c r="I8784" i="1"/>
  <c r="H8784" i="1"/>
  <c r="G8784" i="1"/>
  <c r="M8783" i="1"/>
  <c r="L8783" i="1"/>
  <c r="K8783" i="1"/>
  <c r="J8783" i="1"/>
  <c r="I8783" i="1"/>
  <c r="H8783" i="1"/>
  <c r="G8783" i="1"/>
  <c r="M8782" i="1"/>
  <c r="L8782" i="1"/>
  <c r="K8782" i="1"/>
  <c r="J8782" i="1"/>
  <c r="I8782" i="1"/>
  <c r="H8782" i="1"/>
  <c r="G8782" i="1"/>
  <c r="M8781" i="1"/>
  <c r="L8781" i="1"/>
  <c r="K8781" i="1"/>
  <c r="J8781" i="1"/>
  <c r="I8781" i="1"/>
  <c r="H8781" i="1"/>
  <c r="G8781" i="1"/>
  <c r="M8780" i="1"/>
  <c r="L8780" i="1"/>
  <c r="K8780" i="1"/>
  <c r="J8780" i="1"/>
  <c r="I8780" i="1"/>
  <c r="H8780" i="1"/>
  <c r="G8780" i="1"/>
  <c r="M8779" i="1"/>
  <c r="L8779" i="1"/>
  <c r="K8779" i="1"/>
  <c r="J8779" i="1"/>
  <c r="I8779" i="1"/>
  <c r="H8779" i="1"/>
  <c r="G8779" i="1"/>
  <c r="M8778" i="1"/>
  <c r="L8778" i="1"/>
  <c r="K8778" i="1"/>
  <c r="J8778" i="1"/>
  <c r="I8778" i="1"/>
  <c r="H8778" i="1"/>
  <c r="G8778" i="1"/>
  <c r="M8777" i="1"/>
  <c r="L8777" i="1"/>
  <c r="K8777" i="1"/>
  <c r="J8777" i="1"/>
  <c r="I8777" i="1"/>
  <c r="H8777" i="1"/>
  <c r="G8777" i="1"/>
  <c r="M8776" i="1"/>
  <c r="L8776" i="1"/>
  <c r="K8776" i="1"/>
  <c r="J8776" i="1"/>
  <c r="I8776" i="1"/>
  <c r="H8776" i="1"/>
  <c r="G8776" i="1"/>
  <c r="M8775" i="1"/>
  <c r="L8775" i="1"/>
  <c r="K8775" i="1"/>
  <c r="J8775" i="1"/>
  <c r="I8775" i="1"/>
  <c r="H8775" i="1"/>
  <c r="G8775" i="1"/>
  <c r="M8774" i="1"/>
  <c r="L8774" i="1"/>
  <c r="K8774" i="1"/>
  <c r="J8774" i="1"/>
  <c r="I8774" i="1"/>
  <c r="H8774" i="1"/>
  <c r="G8774" i="1"/>
  <c r="M8773" i="1"/>
  <c r="L8773" i="1"/>
  <c r="K8773" i="1"/>
  <c r="J8773" i="1"/>
  <c r="I8773" i="1"/>
  <c r="H8773" i="1"/>
  <c r="G8773" i="1"/>
  <c r="M8772" i="1"/>
  <c r="L8772" i="1"/>
  <c r="K8772" i="1"/>
  <c r="J8772" i="1"/>
  <c r="I8772" i="1"/>
  <c r="H8772" i="1"/>
  <c r="G8772" i="1"/>
  <c r="M8771" i="1"/>
  <c r="L8771" i="1"/>
  <c r="K8771" i="1"/>
  <c r="J8771" i="1"/>
  <c r="I8771" i="1"/>
  <c r="H8771" i="1"/>
  <c r="G8771" i="1"/>
  <c r="M8770" i="1"/>
  <c r="L8770" i="1"/>
  <c r="K8770" i="1"/>
  <c r="J8770" i="1"/>
  <c r="I8770" i="1"/>
  <c r="H8770" i="1"/>
  <c r="G8770" i="1"/>
  <c r="M8769" i="1"/>
  <c r="L8769" i="1"/>
  <c r="K8769" i="1"/>
  <c r="J8769" i="1"/>
  <c r="I8769" i="1"/>
  <c r="H8769" i="1"/>
  <c r="G8769" i="1"/>
  <c r="M8768" i="1"/>
  <c r="L8768" i="1"/>
  <c r="K8768" i="1"/>
  <c r="J8768" i="1"/>
  <c r="I8768" i="1"/>
  <c r="H8768" i="1"/>
  <c r="G8768" i="1"/>
  <c r="M8767" i="1"/>
  <c r="L8767" i="1"/>
  <c r="K8767" i="1"/>
  <c r="J8767" i="1"/>
  <c r="I8767" i="1"/>
  <c r="H8767" i="1"/>
  <c r="G8767" i="1"/>
  <c r="M8766" i="1"/>
  <c r="L8766" i="1"/>
  <c r="K8766" i="1"/>
  <c r="J8766" i="1"/>
  <c r="I8766" i="1"/>
  <c r="H8766" i="1"/>
  <c r="G8766" i="1"/>
  <c r="M8765" i="1"/>
  <c r="L8765" i="1"/>
  <c r="K8765" i="1"/>
  <c r="J8765" i="1"/>
  <c r="I8765" i="1"/>
  <c r="H8765" i="1"/>
  <c r="G8765" i="1"/>
  <c r="M8764" i="1"/>
  <c r="L8764" i="1"/>
  <c r="K8764" i="1"/>
  <c r="J8764" i="1"/>
  <c r="I8764" i="1"/>
  <c r="H8764" i="1"/>
  <c r="G8764" i="1"/>
  <c r="M8763" i="1"/>
  <c r="L8763" i="1"/>
  <c r="K8763" i="1"/>
  <c r="J8763" i="1"/>
  <c r="I8763" i="1"/>
  <c r="H8763" i="1"/>
  <c r="G8763" i="1"/>
  <c r="M8762" i="1"/>
  <c r="L8762" i="1"/>
  <c r="K8762" i="1"/>
  <c r="J8762" i="1"/>
  <c r="I8762" i="1"/>
  <c r="H8762" i="1"/>
  <c r="G8762" i="1"/>
  <c r="M8761" i="1"/>
  <c r="L8761" i="1"/>
  <c r="K8761" i="1"/>
  <c r="J8761" i="1"/>
  <c r="I8761" i="1"/>
  <c r="H8761" i="1"/>
  <c r="G8761" i="1"/>
  <c r="M8760" i="1"/>
  <c r="L8760" i="1"/>
  <c r="K8760" i="1"/>
  <c r="J8760" i="1"/>
  <c r="I8760" i="1"/>
  <c r="H8760" i="1"/>
  <c r="G8760" i="1"/>
  <c r="M8759" i="1"/>
  <c r="L8759" i="1"/>
  <c r="K8759" i="1"/>
  <c r="J8759" i="1"/>
  <c r="I8759" i="1"/>
  <c r="H8759" i="1"/>
  <c r="G8759" i="1"/>
  <c r="M8758" i="1"/>
  <c r="L8758" i="1"/>
  <c r="K8758" i="1"/>
  <c r="J8758" i="1"/>
  <c r="I8758" i="1"/>
  <c r="H8758" i="1"/>
  <c r="G8758" i="1"/>
  <c r="M8757" i="1"/>
  <c r="L8757" i="1"/>
  <c r="K8757" i="1"/>
  <c r="J8757" i="1"/>
  <c r="I8757" i="1"/>
  <c r="H8757" i="1"/>
  <c r="G8757" i="1"/>
  <c r="M8756" i="1"/>
  <c r="L8756" i="1"/>
  <c r="K8756" i="1"/>
  <c r="J8756" i="1"/>
  <c r="I8756" i="1"/>
  <c r="H8756" i="1"/>
  <c r="G8756" i="1"/>
  <c r="M8755" i="1"/>
  <c r="L8755" i="1"/>
  <c r="K8755" i="1"/>
  <c r="J8755" i="1"/>
  <c r="I8755" i="1"/>
  <c r="H8755" i="1"/>
  <c r="G8755" i="1"/>
  <c r="M8754" i="1"/>
  <c r="L8754" i="1"/>
  <c r="K8754" i="1"/>
  <c r="J8754" i="1"/>
  <c r="I8754" i="1"/>
  <c r="H8754" i="1"/>
  <c r="G8754" i="1"/>
  <c r="M8753" i="1"/>
  <c r="L8753" i="1"/>
  <c r="K8753" i="1"/>
  <c r="J8753" i="1"/>
  <c r="I8753" i="1"/>
  <c r="H8753" i="1"/>
  <c r="G8753" i="1"/>
  <c r="M8752" i="1"/>
  <c r="L8752" i="1"/>
  <c r="K8752" i="1"/>
  <c r="J8752" i="1"/>
  <c r="I8752" i="1"/>
  <c r="H8752" i="1"/>
  <c r="G8752" i="1"/>
  <c r="M8751" i="1"/>
  <c r="L8751" i="1"/>
  <c r="K8751" i="1"/>
  <c r="J8751" i="1"/>
  <c r="I8751" i="1"/>
  <c r="H8751" i="1"/>
  <c r="G8751" i="1"/>
  <c r="M8750" i="1"/>
  <c r="L8750" i="1"/>
  <c r="K8750" i="1"/>
  <c r="J8750" i="1"/>
  <c r="I8750" i="1"/>
  <c r="H8750" i="1"/>
  <c r="G8750" i="1"/>
  <c r="M8749" i="1"/>
  <c r="L8749" i="1"/>
  <c r="K8749" i="1"/>
  <c r="J8749" i="1"/>
  <c r="I8749" i="1"/>
  <c r="H8749" i="1"/>
  <c r="G8749" i="1"/>
  <c r="M8748" i="1"/>
  <c r="L8748" i="1"/>
  <c r="K8748" i="1"/>
  <c r="J8748" i="1"/>
  <c r="I8748" i="1"/>
  <c r="H8748" i="1"/>
  <c r="G8748" i="1"/>
  <c r="M8747" i="1"/>
  <c r="L8747" i="1"/>
  <c r="K8747" i="1"/>
  <c r="J8747" i="1"/>
  <c r="I8747" i="1"/>
  <c r="H8747" i="1"/>
  <c r="G8747" i="1"/>
  <c r="M8746" i="1"/>
  <c r="L8746" i="1"/>
  <c r="K8746" i="1"/>
  <c r="J8746" i="1"/>
  <c r="I8746" i="1"/>
  <c r="H8746" i="1"/>
  <c r="G8746" i="1"/>
  <c r="M8745" i="1"/>
  <c r="L8745" i="1"/>
  <c r="K8745" i="1"/>
  <c r="J8745" i="1"/>
  <c r="I8745" i="1"/>
  <c r="H8745" i="1"/>
  <c r="G8745" i="1"/>
  <c r="M8744" i="1"/>
  <c r="L8744" i="1"/>
  <c r="K8744" i="1"/>
  <c r="J8744" i="1"/>
  <c r="I8744" i="1"/>
  <c r="H8744" i="1"/>
  <c r="G8744" i="1"/>
  <c r="M8743" i="1"/>
  <c r="L8743" i="1"/>
  <c r="K8743" i="1"/>
  <c r="J8743" i="1"/>
  <c r="I8743" i="1"/>
  <c r="H8743" i="1"/>
  <c r="G8743" i="1"/>
  <c r="M8742" i="1"/>
  <c r="L8742" i="1"/>
  <c r="K8742" i="1"/>
  <c r="J8742" i="1"/>
  <c r="I8742" i="1"/>
  <c r="H8742" i="1"/>
  <c r="G8742" i="1"/>
  <c r="M8741" i="1"/>
  <c r="L8741" i="1"/>
  <c r="K8741" i="1"/>
  <c r="J8741" i="1"/>
  <c r="I8741" i="1"/>
  <c r="H8741" i="1"/>
  <c r="G8741" i="1"/>
  <c r="M8740" i="1"/>
  <c r="L8740" i="1"/>
  <c r="K8740" i="1"/>
  <c r="J8740" i="1"/>
  <c r="I8740" i="1"/>
  <c r="H8740" i="1"/>
  <c r="G8740" i="1"/>
  <c r="M8739" i="1"/>
  <c r="L8739" i="1"/>
  <c r="K8739" i="1"/>
  <c r="J8739" i="1"/>
  <c r="I8739" i="1"/>
  <c r="H8739" i="1"/>
  <c r="G8739" i="1"/>
  <c r="M8738" i="1"/>
  <c r="L8738" i="1"/>
  <c r="K8738" i="1"/>
  <c r="J8738" i="1"/>
  <c r="I8738" i="1"/>
  <c r="H8738" i="1"/>
  <c r="G8738" i="1"/>
  <c r="M8737" i="1"/>
  <c r="L8737" i="1"/>
  <c r="K8737" i="1"/>
  <c r="J8737" i="1"/>
  <c r="I8737" i="1"/>
  <c r="H8737" i="1"/>
  <c r="G8737" i="1"/>
  <c r="M8736" i="1"/>
  <c r="L8736" i="1"/>
  <c r="K8736" i="1"/>
  <c r="J8736" i="1"/>
  <c r="I8736" i="1"/>
  <c r="H8736" i="1"/>
  <c r="G8736" i="1"/>
  <c r="M8735" i="1"/>
  <c r="L8735" i="1"/>
  <c r="K8735" i="1"/>
  <c r="J8735" i="1"/>
  <c r="I8735" i="1"/>
  <c r="H8735" i="1"/>
  <c r="G8735" i="1"/>
  <c r="M8734" i="1"/>
  <c r="L8734" i="1"/>
  <c r="K8734" i="1"/>
  <c r="J8734" i="1"/>
  <c r="I8734" i="1"/>
  <c r="H8734" i="1"/>
  <c r="G8734" i="1"/>
  <c r="M8733" i="1"/>
  <c r="L8733" i="1"/>
  <c r="K8733" i="1"/>
  <c r="J8733" i="1"/>
  <c r="I8733" i="1"/>
  <c r="H8733" i="1"/>
  <c r="G8733" i="1"/>
  <c r="M8732" i="1"/>
  <c r="L8732" i="1"/>
  <c r="K8732" i="1"/>
  <c r="J8732" i="1"/>
  <c r="I8732" i="1"/>
  <c r="H8732" i="1"/>
  <c r="G8732" i="1"/>
  <c r="M8731" i="1"/>
  <c r="L8731" i="1"/>
  <c r="K8731" i="1"/>
  <c r="J8731" i="1"/>
  <c r="I8731" i="1"/>
  <c r="H8731" i="1"/>
  <c r="G8731" i="1"/>
  <c r="M8730" i="1"/>
  <c r="L8730" i="1"/>
  <c r="K8730" i="1"/>
  <c r="J8730" i="1"/>
  <c r="I8730" i="1"/>
  <c r="H8730" i="1"/>
  <c r="G8730" i="1"/>
  <c r="M8729" i="1"/>
  <c r="L8729" i="1"/>
  <c r="K8729" i="1"/>
  <c r="J8729" i="1"/>
  <c r="I8729" i="1"/>
  <c r="H8729" i="1"/>
  <c r="G8729" i="1"/>
  <c r="M8728" i="1"/>
  <c r="L8728" i="1"/>
  <c r="K8728" i="1"/>
  <c r="J8728" i="1"/>
  <c r="I8728" i="1"/>
  <c r="H8728" i="1"/>
  <c r="G8728" i="1"/>
  <c r="M8727" i="1"/>
  <c r="L8727" i="1"/>
  <c r="K8727" i="1"/>
  <c r="J8727" i="1"/>
  <c r="I8727" i="1"/>
  <c r="H8727" i="1"/>
  <c r="G8727" i="1"/>
  <c r="M8726" i="1"/>
  <c r="L8726" i="1"/>
  <c r="K8726" i="1"/>
  <c r="J8726" i="1"/>
  <c r="I8726" i="1"/>
  <c r="H8726" i="1"/>
  <c r="G8726" i="1"/>
  <c r="M8725" i="1"/>
  <c r="L8725" i="1"/>
  <c r="K8725" i="1"/>
  <c r="J8725" i="1"/>
  <c r="I8725" i="1"/>
  <c r="H8725" i="1"/>
  <c r="G8725" i="1"/>
  <c r="M8724" i="1"/>
  <c r="L8724" i="1"/>
  <c r="K8724" i="1"/>
  <c r="J8724" i="1"/>
  <c r="I8724" i="1"/>
  <c r="H8724" i="1"/>
  <c r="G8724" i="1"/>
  <c r="M8723" i="1"/>
  <c r="L8723" i="1"/>
  <c r="K8723" i="1"/>
  <c r="J8723" i="1"/>
  <c r="I8723" i="1"/>
  <c r="H8723" i="1"/>
  <c r="G8723" i="1"/>
  <c r="M8722" i="1"/>
  <c r="L8722" i="1"/>
  <c r="K8722" i="1"/>
  <c r="J8722" i="1"/>
  <c r="I8722" i="1"/>
  <c r="H8722" i="1"/>
  <c r="G8722" i="1"/>
  <c r="M8721" i="1"/>
  <c r="L8721" i="1"/>
  <c r="K8721" i="1"/>
  <c r="J8721" i="1"/>
  <c r="I8721" i="1"/>
  <c r="H8721" i="1"/>
  <c r="G8721" i="1"/>
  <c r="M8720" i="1"/>
  <c r="L8720" i="1"/>
  <c r="K8720" i="1"/>
  <c r="J8720" i="1"/>
  <c r="I8720" i="1"/>
  <c r="H8720" i="1"/>
  <c r="G8720" i="1"/>
  <c r="M8719" i="1"/>
  <c r="L8719" i="1"/>
  <c r="K8719" i="1"/>
  <c r="J8719" i="1"/>
  <c r="I8719" i="1"/>
  <c r="H8719" i="1"/>
  <c r="G8719" i="1"/>
  <c r="M8718" i="1"/>
  <c r="L8718" i="1"/>
  <c r="K8718" i="1"/>
  <c r="J8718" i="1"/>
  <c r="I8718" i="1"/>
  <c r="H8718" i="1"/>
  <c r="G8718" i="1"/>
  <c r="M8717" i="1"/>
  <c r="L8717" i="1"/>
  <c r="K8717" i="1"/>
  <c r="J8717" i="1"/>
  <c r="I8717" i="1"/>
  <c r="H8717" i="1"/>
  <c r="G8717" i="1"/>
  <c r="M8716" i="1"/>
  <c r="L8716" i="1"/>
  <c r="K8716" i="1"/>
  <c r="J8716" i="1"/>
  <c r="I8716" i="1"/>
  <c r="H8716" i="1"/>
  <c r="G8716" i="1"/>
  <c r="M8715" i="1"/>
  <c r="L8715" i="1"/>
  <c r="K8715" i="1"/>
  <c r="J8715" i="1"/>
  <c r="I8715" i="1"/>
  <c r="H8715" i="1"/>
  <c r="G8715" i="1"/>
  <c r="M8714" i="1"/>
  <c r="L8714" i="1"/>
  <c r="K8714" i="1"/>
  <c r="J8714" i="1"/>
  <c r="I8714" i="1"/>
  <c r="H8714" i="1"/>
  <c r="G8714" i="1"/>
  <c r="M8713" i="1"/>
  <c r="L8713" i="1"/>
  <c r="K8713" i="1"/>
  <c r="J8713" i="1"/>
  <c r="I8713" i="1"/>
  <c r="H8713" i="1"/>
  <c r="G8713" i="1"/>
  <c r="M8712" i="1"/>
  <c r="L8712" i="1"/>
  <c r="K8712" i="1"/>
  <c r="J8712" i="1"/>
  <c r="I8712" i="1"/>
  <c r="H8712" i="1"/>
  <c r="G8712" i="1"/>
  <c r="M8711" i="1"/>
  <c r="L8711" i="1"/>
  <c r="K8711" i="1"/>
  <c r="J8711" i="1"/>
  <c r="I8711" i="1"/>
  <c r="H8711" i="1"/>
  <c r="G8711" i="1"/>
  <c r="M8710" i="1"/>
  <c r="L8710" i="1"/>
  <c r="K8710" i="1"/>
  <c r="J8710" i="1"/>
  <c r="I8710" i="1"/>
  <c r="H8710" i="1"/>
  <c r="G8710" i="1"/>
  <c r="M8709" i="1"/>
  <c r="L8709" i="1"/>
  <c r="K8709" i="1"/>
  <c r="J8709" i="1"/>
  <c r="I8709" i="1"/>
  <c r="H8709" i="1"/>
  <c r="G8709" i="1"/>
  <c r="M8708" i="1"/>
  <c r="L8708" i="1"/>
  <c r="K8708" i="1"/>
  <c r="J8708" i="1"/>
  <c r="I8708" i="1"/>
  <c r="H8708" i="1"/>
  <c r="G8708" i="1"/>
  <c r="M8707" i="1"/>
  <c r="L8707" i="1"/>
  <c r="K8707" i="1"/>
  <c r="J8707" i="1"/>
  <c r="I8707" i="1"/>
  <c r="H8707" i="1"/>
  <c r="G8707" i="1"/>
  <c r="M8706" i="1"/>
  <c r="L8706" i="1"/>
  <c r="K8706" i="1"/>
  <c r="J8706" i="1"/>
  <c r="I8706" i="1"/>
  <c r="H8706" i="1"/>
  <c r="G8706" i="1"/>
  <c r="M8705" i="1"/>
  <c r="L8705" i="1"/>
  <c r="K8705" i="1"/>
  <c r="J8705" i="1"/>
  <c r="I8705" i="1"/>
  <c r="H8705" i="1"/>
  <c r="G8705" i="1"/>
  <c r="M8704" i="1"/>
  <c r="L8704" i="1"/>
  <c r="K8704" i="1"/>
  <c r="J8704" i="1"/>
  <c r="I8704" i="1"/>
  <c r="H8704" i="1"/>
  <c r="G8704" i="1"/>
  <c r="M8703" i="1"/>
  <c r="L8703" i="1"/>
  <c r="K8703" i="1"/>
  <c r="J8703" i="1"/>
  <c r="I8703" i="1"/>
  <c r="H8703" i="1"/>
  <c r="G8703" i="1"/>
  <c r="M8702" i="1"/>
  <c r="L8702" i="1"/>
  <c r="K8702" i="1"/>
  <c r="J8702" i="1"/>
  <c r="I8702" i="1"/>
  <c r="H8702" i="1"/>
  <c r="G8702" i="1"/>
  <c r="M8701" i="1"/>
  <c r="L8701" i="1"/>
  <c r="K8701" i="1"/>
  <c r="J8701" i="1"/>
  <c r="I8701" i="1"/>
  <c r="H8701" i="1"/>
  <c r="G8701" i="1"/>
  <c r="M8700" i="1"/>
  <c r="L8700" i="1"/>
  <c r="K8700" i="1"/>
  <c r="J8700" i="1"/>
  <c r="I8700" i="1"/>
  <c r="H8700" i="1"/>
  <c r="G8700" i="1"/>
  <c r="M8699" i="1"/>
  <c r="L8699" i="1"/>
  <c r="K8699" i="1"/>
  <c r="J8699" i="1"/>
  <c r="I8699" i="1"/>
  <c r="H8699" i="1"/>
  <c r="G8699" i="1"/>
  <c r="M8698" i="1"/>
  <c r="L8698" i="1"/>
  <c r="K8698" i="1"/>
  <c r="J8698" i="1"/>
  <c r="I8698" i="1"/>
  <c r="H8698" i="1"/>
  <c r="G8698" i="1"/>
  <c r="M8697" i="1"/>
  <c r="L8697" i="1"/>
  <c r="K8697" i="1"/>
  <c r="J8697" i="1"/>
  <c r="I8697" i="1"/>
  <c r="H8697" i="1"/>
  <c r="G8697" i="1"/>
  <c r="M8696" i="1"/>
  <c r="L8696" i="1"/>
  <c r="K8696" i="1"/>
  <c r="J8696" i="1"/>
  <c r="I8696" i="1"/>
  <c r="H8696" i="1"/>
  <c r="G8696" i="1"/>
  <c r="M8695" i="1"/>
  <c r="L8695" i="1"/>
  <c r="K8695" i="1"/>
  <c r="J8695" i="1"/>
  <c r="I8695" i="1"/>
  <c r="H8695" i="1"/>
  <c r="G8695" i="1"/>
  <c r="M8694" i="1"/>
  <c r="L8694" i="1"/>
  <c r="K8694" i="1"/>
  <c r="J8694" i="1"/>
  <c r="I8694" i="1"/>
  <c r="H8694" i="1"/>
  <c r="G8694" i="1"/>
  <c r="M8693" i="1"/>
  <c r="L8693" i="1"/>
  <c r="K8693" i="1"/>
  <c r="J8693" i="1"/>
  <c r="I8693" i="1"/>
  <c r="H8693" i="1"/>
  <c r="G8693" i="1"/>
  <c r="M8692" i="1"/>
  <c r="L8692" i="1"/>
  <c r="K8692" i="1"/>
  <c r="J8692" i="1"/>
  <c r="I8692" i="1"/>
  <c r="H8692" i="1"/>
  <c r="G8692" i="1"/>
  <c r="M8691" i="1"/>
  <c r="L8691" i="1"/>
  <c r="K8691" i="1"/>
  <c r="J8691" i="1"/>
  <c r="I8691" i="1"/>
  <c r="H8691" i="1"/>
  <c r="G8691" i="1"/>
  <c r="M8690" i="1"/>
  <c r="L8690" i="1"/>
  <c r="K8690" i="1"/>
  <c r="J8690" i="1"/>
  <c r="I8690" i="1"/>
  <c r="H8690" i="1"/>
  <c r="G8690" i="1"/>
  <c r="M8689" i="1"/>
  <c r="L8689" i="1"/>
  <c r="K8689" i="1"/>
  <c r="J8689" i="1"/>
  <c r="I8689" i="1"/>
  <c r="H8689" i="1"/>
  <c r="G8689" i="1"/>
  <c r="M8688" i="1"/>
  <c r="L8688" i="1"/>
  <c r="K8688" i="1"/>
  <c r="J8688" i="1"/>
  <c r="I8688" i="1"/>
  <c r="H8688" i="1"/>
  <c r="G8688" i="1"/>
  <c r="M8687" i="1"/>
  <c r="L8687" i="1"/>
  <c r="K8687" i="1"/>
  <c r="J8687" i="1"/>
  <c r="I8687" i="1"/>
  <c r="H8687" i="1"/>
  <c r="G8687" i="1"/>
  <c r="M8686" i="1"/>
  <c r="L8686" i="1"/>
  <c r="K8686" i="1"/>
  <c r="J8686" i="1"/>
  <c r="I8686" i="1"/>
  <c r="H8686" i="1"/>
  <c r="G8686" i="1"/>
  <c r="M8685" i="1"/>
  <c r="L8685" i="1"/>
  <c r="K8685" i="1"/>
  <c r="J8685" i="1"/>
  <c r="I8685" i="1"/>
  <c r="H8685" i="1"/>
  <c r="G8685" i="1"/>
  <c r="M8684" i="1"/>
  <c r="L8684" i="1"/>
  <c r="K8684" i="1"/>
  <c r="J8684" i="1"/>
  <c r="I8684" i="1"/>
  <c r="H8684" i="1"/>
  <c r="G8684" i="1"/>
  <c r="M8683" i="1"/>
  <c r="L8683" i="1"/>
  <c r="K8683" i="1"/>
  <c r="J8683" i="1"/>
  <c r="I8683" i="1"/>
  <c r="H8683" i="1"/>
  <c r="G8683" i="1"/>
  <c r="M8682" i="1"/>
  <c r="L8682" i="1"/>
  <c r="K8682" i="1"/>
  <c r="J8682" i="1"/>
  <c r="I8682" i="1"/>
  <c r="H8682" i="1"/>
  <c r="G8682" i="1"/>
  <c r="M8681" i="1"/>
  <c r="L8681" i="1"/>
  <c r="K8681" i="1"/>
  <c r="J8681" i="1"/>
  <c r="I8681" i="1"/>
  <c r="H8681" i="1"/>
  <c r="G8681" i="1"/>
  <c r="M8680" i="1"/>
  <c r="L8680" i="1"/>
  <c r="K8680" i="1"/>
  <c r="J8680" i="1"/>
  <c r="I8680" i="1"/>
  <c r="H8680" i="1"/>
  <c r="G8680" i="1"/>
  <c r="M8679" i="1"/>
  <c r="L8679" i="1"/>
  <c r="K8679" i="1"/>
  <c r="J8679" i="1"/>
  <c r="I8679" i="1"/>
  <c r="H8679" i="1"/>
  <c r="G8679" i="1"/>
  <c r="M8678" i="1"/>
  <c r="L8678" i="1"/>
  <c r="K8678" i="1"/>
  <c r="J8678" i="1"/>
  <c r="I8678" i="1"/>
  <c r="H8678" i="1"/>
  <c r="G8678" i="1"/>
  <c r="M8677" i="1"/>
  <c r="L8677" i="1"/>
  <c r="K8677" i="1"/>
  <c r="J8677" i="1"/>
  <c r="I8677" i="1"/>
  <c r="H8677" i="1"/>
  <c r="G8677" i="1"/>
  <c r="M8676" i="1"/>
  <c r="L8676" i="1"/>
  <c r="K8676" i="1"/>
  <c r="J8676" i="1"/>
  <c r="I8676" i="1"/>
  <c r="H8676" i="1"/>
  <c r="G8676" i="1"/>
  <c r="M8675" i="1"/>
  <c r="L8675" i="1"/>
  <c r="K8675" i="1"/>
  <c r="J8675" i="1"/>
  <c r="I8675" i="1"/>
  <c r="H8675" i="1"/>
  <c r="G8675" i="1"/>
  <c r="M8674" i="1"/>
  <c r="L8674" i="1"/>
  <c r="K8674" i="1"/>
  <c r="J8674" i="1"/>
  <c r="I8674" i="1"/>
  <c r="H8674" i="1"/>
  <c r="G8674" i="1"/>
  <c r="M8673" i="1"/>
  <c r="L8673" i="1"/>
  <c r="K8673" i="1"/>
  <c r="J8673" i="1"/>
  <c r="I8673" i="1"/>
  <c r="H8673" i="1"/>
  <c r="G8673" i="1"/>
  <c r="M8672" i="1"/>
  <c r="L8672" i="1"/>
  <c r="K8672" i="1"/>
  <c r="J8672" i="1"/>
  <c r="I8672" i="1"/>
  <c r="H8672" i="1"/>
  <c r="G8672" i="1"/>
  <c r="M8671" i="1"/>
  <c r="L8671" i="1"/>
  <c r="K8671" i="1"/>
  <c r="J8671" i="1"/>
  <c r="I8671" i="1"/>
  <c r="H8671" i="1"/>
  <c r="G8671" i="1"/>
  <c r="M8670" i="1"/>
  <c r="L8670" i="1"/>
  <c r="K8670" i="1"/>
  <c r="J8670" i="1"/>
  <c r="I8670" i="1"/>
  <c r="H8670" i="1"/>
  <c r="G8670" i="1"/>
  <c r="M8669" i="1"/>
  <c r="L8669" i="1"/>
  <c r="K8669" i="1"/>
  <c r="J8669" i="1"/>
  <c r="I8669" i="1"/>
  <c r="H8669" i="1"/>
  <c r="G8669" i="1"/>
  <c r="M8668" i="1"/>
  <c r="L8668" i="1"/>
  <c r="K8668" i="1"/>
  <c r="J8668" i="1"/>
  <c r="I8668" i="1"/>
  <c r="H8668" i="1"/>
  <c r="G8668" i="1"/>
  <c r="M8667" i="1"/>
  <c r="L8667" i="1"/>
  <c r="K8667" i="1"/>
  <c r="J8667" i="1"/>
  <c r="I8667" i="1"/>
  <c r="H8667" i="1"/>
  <c r="G8667" i="1"/>
  <c r="M8666" i="1"/>
  <c r="L8666" i="1"/>
  <c r="K8666" i="1"/>
  <c r="J8666" i="1"/>
  <c r="I8666" i="1"/>
  <c r="H8666" i="1"/>
  <c r="G8666" i="1"/>
  <c r="M8665" i="1"/>
  <c r="L8665" i="1"/>
  <c r="K8665" i="1"/>
  <c r="J8665" i="1"/>
  <c r="I8665" i="1"/>
  <c r="H8665" i="1"/>
  <c r="G8665" i="1"/>
  <c r="M8664" i="1"/>
  <c r="L8664" i="1"/>
  <c r="K8664" i="1"/>
  <c r="J8664" i="1"/>
  <c r="I8664" i="1"/>
  <c r="H8664" i="1"/>
  <c r="G8664" i="1"/>
  <c r="M8663" i="1"/>
  <c r="L8663" i="1"/>
  <c r="K8663" i="1"/>
  <c r="J8663" i="1"/>
  <c r="I8663" i="1"/>
  <c r="H8663" i="1"/>
  <c r="G8663" i="1"/>
  <c r="M8662" i="1"/>
  <c r="L8662" i="1"/>
  <c r="K8662" i="1"/>
  <c r="J8662" i="1"/>
  <c r="I8662" i="1"/>
  <c r="H8662" i="1"/>
  <c r="G8662" i="1"/>
  <c r="M8661" i="1"/>
  <c r="L8661" i="1"/>
  <c r="K8661" i="1"/>
  <c r="J8661" i="1"/>
  <c r="I8661" i="1"/>
  <c r="H8661" i="1"/>
  <c r="G8661" i="1"/>
  <c r="M8660" i="1"/>
  <c r="L8660" i="1"/>
  <c r="K8660" i="1"/>
  <c r="J8660" i="1"/>
  <c r="I8660" i="1"/>
  <c r="H8660" i="1"/>
  <c r="G8660" i="1"/>
  <c r="M8659" i="1"/>
  <c r="L8659" i="1"/>
  <c r="K8659" i="1"/>
  <c r="J8659" i="1"/>
  <c r="I8659" i="1"/>
  <c r="H8659" i="1"/>
  <c r="G8659" i="1"/>
  <c r="M8658" i="1"/>
  <c r="L8658" i="1"/>
  <c r="K8658" i="1"/>
  <c r="J8658" i="1"/>
  <c r="I8658" i="1"/>
  <c r="H8658" i="1"/>
  <c r="G8658" i="1"/>
  <c r="M8657" i="1"/>
  <c r="L8657" i="1"/>
  <c r="K8657" i="1"/>
  <c r="J8657" i="1"/>
  <c r="I8657" i="1"/>
  <c r="H8657" i="1"/>
  <c r="G8657" i="1"/>
  <c r="M8656" i="1"/>
  <c r="L8656" i="1"/>
  <c r="K8656" i="1"/>
  <c r="J8656" i="1"/>
  <c r="I8656" i="1"/>
  <c r="H8656" i="1"/>
  <c r="G8656" i="1"/>
  <c r="M8655" i="1"/>
  <c r="L8655" i="1"/>
  <c r="K8655" i="1"/>
  <c r="J8655" i="1"/>
  <c r="I8655" i="1"/>
  <c r="H8655" i="1"/>
  <c r="G8655" i="1"/>
  <c r="M8654" i="1"/>
  <c r="L8654" i="1"/>
  <c r="K8654" i="1"/>
  <c r="J8654" i="1"/>
  <c r="I8654" i="1"/>
  <c r="H8654" i="1"/>
  <c r="G8654" i="1"/>
  <c r="M8653" i="1"/>
  <c r="L8653" i="1"/>
  <c r="K8653" i="1"/>
  <c r="J8653" i="1"/>
  <c r="I8653" i="1"/>
  <c r="H8653" i="1"/>
  <c r="G8653" i="1"/>
  <c r="M8652" i="1"/>
  <c r="L8652" i="1"/>
  <c r="K8652" i="1"/>
  <c r="J8652" i="1"/>
  <c r="I8652" i="1"/>
  <c r="H8652" i="1"/>
  <c r="G8652" i="1"/>
  <c r="M8651" i="1"/>
  <c r="L8651" i="1"/>
  <c r="K8651" i="1"/>
  <c r="J8651" i="1"/>
  <c r="I8651" i="1"/>
  <c r="H8651" i="1"/>
  <c r="G8651" i="1"/>
  <c r="M8650" i="1"/>
  <c r="L8650" i="1"/>
  <c r="K8650" i="1"/>
  <c r="J8650" i="1"/>
  <c r="I8650" i="1"/>
  <c r="H8650" i="1"/>
  <c r="G8650" i="1"/>
  <c r="M8649" i="1"/>
  <c r="L8649" i="1"/>
  <c r="K8649" i="1"/>
  <c r="J8649" i="1"/>
  <c r="I8649" i="1"/>
  <c r="H8649" i="1"/>
  <c r="G8649" i="1"/>
  <c r="M8648" i="1"/>
  <c r="L8648" i="1"/>
  <c r="K8648" i="1"/>
  <c r="J8648" i="1"/>
  <c r="I8648" i="1"/>
  <c r="H8648" i="1"/>
  <c r="G8648" i="1"/>
  <c r="M8647" i="1"/>
  <c r="L8647" i="1"/>
  <c r="K8647" i="1"/>
  <c r="J8647" i="1"/>
  <c r="I8647" i="1"/>
  <c r="H8647" i="1"/>
  <c r="G8647" i="1"/>
  <c r="M8646" i="1"/>
  <c r="L8646" i="1"/>
  <c r="K8646" i="1"/>
  <c r="J8646" i="1"/>
  <c r="I8646" i="1"/>
  <c r="H8646" i="1"/>
  <c r="G8646" i="1"/>
  <c r="M8645" i="1"/>
  <c r="L8645" i="1"/>
  <c r="K8645" i="1"/>
  <c r="J8645" i="1"/>
  <c r="I8645" i="1"/>
  <c r="H8645" i="1"/>
  <c r="G8645" i="1"/>
  <c r="M8644" i="1"/>
  <c r="L8644" i="1"/>
  <c r="K8644" i="1"/>
  <c r="J8644" i="1"/>
  <c r="I8644" i="1"/>
  <c r="H8644" i="1"/>
  <c r="G8644" i="1"/>
  <c r="M8643" i="1"/>
  <c r="L8643" i="1"/>
  <c r="K8643" i="1"/>
  <c r="J8643" i="1"/>
  <c r="I8643" i="1"/>
  <c r="H8643" i="1"/>
  <c r="G8643" i="1"/>
  <c r="M8642" i="1"/>
  <c r="L8642" i="1"/>
  <c r="K8642" i="1"/>
  <c r="J8642" i="1"/>
  <c r="I8642" i="1"/>
  <c r="H8642" i="1"/>
  <c r="G8642" i="1"/>
  <c r="M8641" i="1"/>
  <c r="L8641" i="1"/>
  <c r="K8641" i="1"/>
  <c r="J8641" i="1"/>
  <c r="I8641" i="1"/>
  <c r="H8641" i="1"/>
  <c r="G8641" i="1"/>
  <c r="M8640" i="1"/>
  <c r="L8640" i="1"/>
  <c r="K8640" i="1"/>
  <c r="J8640" i="1"/>
  <c r="I8640" i="1"/>
  <c r="H8640" i="1"/>
  <c r="G8640" i="1"/>
  <c r="M8639" i="1"/>
  <c r="L8639" i="1"/>
  <c r="K8639" i="1"/>
  <c r="J8639" i="1"/>
  <c r="I8639" i="1"/>
  <c r="H8639" i="1"/>
  <c r="G8639" i="1"/>
  <c r="M8638" i="1"/>
  <c r="L8638" i="1"/>
  <c r="K8638" i="1"/>
  <c r="J8638" i="1"/>
  <c r="I8638" i="1"/>
  <c r="H8638" i="1"/>
  <c r="G8638" i="1"/>
  <c r="M8637" i="1"/>
  <c r="L8637" i="1"/>
  <c r="K8637" i="1"/>
  <c r="J8637" i="1"/>
  <c r="I8637" i="1"/>
  <c r="H8637" i="1"/>
  <c r="G8637" i="1"/>
  <c r="M8636" i="1"/>
  <c r="L8636" i="1"/>
  <c r="K8636" i="1"/>
  <c r="J8636" i="1"/>
  <c r="I8636" i="1"/>
  <c r="H8636" i="1"/>
  <c r="G8636" i="1"/>
  <c r="M8635" i="1"/>
  <c r="L8635" i="1"/>
  <c r="K8635" i="1"/>
  <c r="J8635" i="1"/>
  <c r="I8635" i="1"/>
  <c r="H8635" i="1"/>
  <c r="G8635" i="1"/>
  <c r="M8634" i="1"/>
  <c r="L8634" i="1"/>
  <c r="K8634" i="1"/>
  <c r="J8634" i="1"/>
  <c r="I8634" i="1"/>
  <c r="H8634" i="1"/>
  <c r="G8634" i="1"/>
  <c r="M8633" i="1"/>
  <c r="L8633" i="1"/>
  <c r="K8633" i="1"/>
  <c r="J8633" i="1"/>
  <c r="I8633" i="1"/>
  <c r="H8633" i="1"/>
  <c r="G8633" i="1"/>
  <c r="M8632" i="1"/>
  <c r="L8632" i="1"/>
  <c r="K8632" i="1"/>
  <c r="J8632" i="1"/>
  <c r="I8632" i="1"/>
  <c r="H8632" i="1"/>
  <c r="G8632" i="1"/>
  <c r="M8631" i="1"/>
  <c r="L8631" i="1"/>
  <c r="K8631" i="1"/>
  <c r="J8631" i="1"/>
  <c r="I8631" i="1"/>
  <c r="H8631" i="1"/>
  <c r="G8631" i="1"/>
  <c r="M8630" i="1"/>
  <c r="L8630" i="1"/>
  <c r="K8630" i="1"/>
  <c r="J8630" i="1"/>
  <c r="I8630" i="1"/>
  <c r="H8630" i="1"/>
  <c r="G8630" i="1"/>
  <c r="M8629" i="1"/>
  <c r="L8629" i="1"/>
  <c r="K8629" i="1"/>
  <c r="J8629" i="1"/>
  <c r="I8629" i="1"/>
  <c r="H8629" i="1"/>
  <c r="G8629" i="1"/>
  <c r="M8628" i="1"/>
  <c r="L8628" i="1"/>
  <c r="K8628" i="1"/>
  <c r="J8628" i="1"/>
  <c r="I8628" i="1"/>
  <c r="H8628" i="1"/>
  <c r="G8628" i="1"/>
  <c r="M8627" i="1"/>
  <c r="L8627" i="1"/>
  <c r="K8627" i="1"/>
  <c r="J8627" i="1"/>
  <c r="I8627" i="1"/>
  <c r="H8627" i="1"/>
  <c r="G8627" i="1"/>
  <c r="M8626" i="1"/>
  <c r="L8626" i="1"/>
  <c r="K8626" i="1"/>
  <c r="J8626" i="1"/>
  <c r="I8626" i="1"/>
  <c r="H8626" i="1"/>
  <c r="G8626" i="1"/>
  <c r="M8625" i="1"/>
  <c r="L8625" i="1"/>
  <c r="K8625" i="1"/>
  <c r="J8625" i="1"/>
  <c r="I8625" i="1"/>
  <c r="H8625" i="1"/>
  <c r="G8625" i="1"/>
  <c r="M8624" i="1"/>
  <c r="L8624" i="1"/>
  <c r="K8624" i="1"/>
  <c r="J8624" i="1"/>
  <c r="I8624" i="1"/>
  <c r="H8624" i="1"/>
  <c r="G8624" i="1"/>
  <c r="M8623" i="1"/>
  <c r="L8623" i="1"/>
  <c r="K8623" i="1"/>
  <c r="J8623" i="1"/>
  <c r="I8623" i="1"/>
  <c r="H8623" i="1"/>
  <c r="G8623" i="1"/>
  <c r="M8622" i="1"/>
  <c r="L8622" i="1"/>
  <c r="K8622" i="1"/>
  <c r="J8622" i="1"/>
  <c r="I8622" i="1"/>
  <c r="H8622" i="1"/>
  <c r="G8622" i="1"/>
  <c r="M8621" i="1"/>
  <c r="L8621" i="1"/>
  <c r="K8621" i="1"/>
  <c r="J8621" i="1"/>
  <c r="I8621" i="1"/>
  <c r="H8621" i="1"/>
  <c r="G8621" i="1"/>
  <c r="M8620" i="1"/>
  <c r="L8620" i="1"/>
  <c r="K8620" i="1"/>
  <c r="J8620" i="1"/>
  <c r="I8620" i="1"/>
  <c r="H8620" i="1"/>
  <c r="G8620" i="1"/>
  <c r="M8619" i="1"/>
  <c r="L8619" i="1"/>
  <c r="K8619" i="1"/>
  <c r="J8619" i="1"/>
  <c r="I8619" i="1"/>
  <c r="H8619" i="1"/>
  <c r="G8619" i="1"/>
  <c r="M8618" i="1"/>
  <c r="L8618" i="1"/>
  <c r="K8618" i="1"/>
  <c r="J8618" i="1"/>
  <c r="I8618" i="1"/>
  <c r="H8618" i="1"/>
  <c r="G8618" i="1"/>
  <c r="M8617" i="1"/>
  <c r="L8617" i="1"/>
  <c r="K8617" i="1"/>
  <c r="J8617" i="1"/>
  <c r="I8617" i="1"/>
  <c r="H8617" i="1"/>
  <c r="G8617" i="1"/>
  <c r="M8616" i="1"/>
  <c r="L8616" i="1"/>
  <c r="K8616" i="1"/>
  <c r="J8616" i="1"/>
  <c r="I8616" i="1"/>
  <c r="H8616" i="1"/>
  <c r="G8616" i="1"/>
  <c r="M8615" i="1"/>
  <c r="L8615" i="1"/>
  <c r="K8615" i="1"/>
  <c r="J8615" i="1"/>
  <c r="I8615" i="1"/>
  <c r="H8615" i="1"/>
  <c r="G8615" i="1"/>
  <c r="M8614" i="1"/>
  <c r="L8614" i="1"/>
  <c r="K8614" i="1"/>
  <c r="J8614" i="1"/>
  <c r="I8614" i="1"/>
  <c r="H8614" i="1"/>
  <c r="G8614" i="1"/>
  <c r="M8613" i="1"/>
  <c r="L8613" i="1"/>
  <c r="K8613" i="1"/>
  <c r="J8613" i="1"/>
  <c r="I8613" i="1"/>
  <c r="H8613" i="1"/>
  <c r="G8613" i="1"/>
  <c r="M8612" i="1"/>
  <c r="L8612" i="1"/>
  <c r="K8612" i="1"/>
  <c r="J8612" i="1"/>
  <c r="I8612" i="1"/>
  <c r="H8612" i="1"/>
  <c r="G8612" i="1"/>
  <c r="M8611" i="1"/>
  <c r="L8611" i="1"/>
  <c r="K8611" i="1"/>
  <c r="J8611" i="1"/>
  <c r="I8611" i="1"/>
  <c r="H8611" i="1"/>
  <c r="G8611" i="1"/>
  <c r="M8610" i="1"/>
  <c r="L8610" i="1"/>
  <c r="K8610" i="1"/>
  <c r="J8610" i="1"/>
  <c r="I8610" i="1"/>
  <c r="H8610" i="1"/>
  <c r="G8610" i="1"/>
  <c r="M8609" i="1"/>
  <c r="L8609" i="1"/>
  <c r="K8609" i="1"/>
  <c r="J8609" i="1"/>
  <c r="I8609" i="1"/>
  <c r="H8609" i="1"/>
  <c r="G8609" i="1"/>
  <c r="M8608" i="1"/>
  <c r="L8608" i="1"/>
  <c r="K8608" i="1"/>
  <c r="J8608" i="1"/>
  <c r="I8608" i="1"/>
  <c r="H8608" i="1"/>
  <c r="G8608" i="1"/>
  <c r="M8607" i="1"/>
  <c r="L8607" i="1"/>
  <c r="K8607" i="1"/>
  <c r="J8607" i="1"/>
  <c r="I8607" i="1"/>
  <c r="H8607" i="1"/>
  <c r="G8607" i="1"/>
  <c r="M8606" i="1"/>
  <c r="L8606" i="1"/>
  <c r="K8606" i="1"/>
  <c r="J8606" i="1"/>
  <c r="I8606" i="1"/>
  <c r="H8606" i="1"/>
  <c r="G8606" i="1"/>
  <c r="M8605" i="1"/>
  <c r="L8605" i="1"/>
  <c r="K8605" i="1"/>
  <c r="J8605" i="1"/>
  <c r="I8605" i="1"/>
  <c r="H8605" i="1"/>
  <c r="G8605" i="1"/>
  <c r="M8604" i="1"/>
  <c r="L8604" i="1"/>
  <c r="K8604" i="1"/>
  <c r="J8604" i="1"/>
  <c r="I8604" i="1"/>
  <c r="H8604" i="1"/>
  <c r="G8604" i="1"/>
  <c r="M8603" i="1"/>
  <c r="L8603" i="1"/>
  <c r="K8603" i="1"/>
  <c r="J8603" i="1"/>
  <c r="I8603" i="1"/>
  <c r="H8603" i="1"/>
  <c r="G8603" i="1"/>
  <c r="M8602" i="1"/>
  <c r="L8602" i="1"/>
  <c r="K8602" i="1"/>
  <c r="J8602" i="1"/>
  <c r="I8602" i="1"/>
  <c r="H8602" i="1"/>
  <c r="G8602" i="1"/>
  <c r="M8601" i="1"/>
  <c r="L8601" i="1"/>
  <c r="K8601" i="1"/>
  <c r="J8601" i="1"/>
  <c r="I8601" i="1"/>
  <c r="H8601" i="1"/>
  <c r="G8601" i="1"/>
  <c r="M8600" i="1"/>
  <c r="L8600" i="1"/>
  <c r="K8600" i="1"/>
  <c r="J8600" i="1"/>
  <c r="I8600" i="1"/>
  <c r="H8600" i="1"/>
  <c r="G8600" i="1"/>
  <c r="M8599" i="1"/>
  <c r="L8599" i="1"/>
  <c r="K8599" i="1"/>
  <c r="J8599" i="1"/>
  <c r="I8599" i="1"/>
  <c r="H8599" i="1"/>
  <c r="G8599" i="1"/>
  <c r="M8598" i="1"/>
  <c r="L8598" i="1"/>
  <c r="K8598" i="1"/>
  <c r="J8598" i="1"/>
  <c r="I8598" i="1"/>
  <c r="H8598" i="1"/>
  <c r="G8598" i="1"/>
  <c r="M8597" i="1"/>
  <c r="L8597" i="1"/>
  <c r="K8597" i="1"/>
  <c r="J8597" i="1"/>
  <c r="I8597" i="1"/>
  <c r="H8597" i="1"/>
  <c r="G8597" i="1"/>
  <c r="M8596" i="1"/>
  <c r="L8596" i="1"/>
  <c r="K8596" i="1"/>
  <c r="J8596" i="1"/>
  <c r="I8596" i="1"/>
  <c r="H8596" i="1"/>
  <c r="G8596" i="1"/>
  <c r="M8595" i="1"/>
  <c r="L8595" i="1"/>
  <c r="K8595" i="1"/>
  <c r="J8595" i="1"/>
  <c r="I8595" i="1"/>
  <c r="H8595" i="1"/>
  <c r="G8595" i="1"/>
  <c r="M8594" i="1"/>
  <c r="L8594" i="1"/>
  <c r="K8594" i="1"/>
  <c r="J8594" i="1"/>
  <c r="I8594" i="1"/>
  <c r="H8594" i="1"/>
  <c r="G8594" i="1"/>
  <c r="M8593" i="1"/>
  <c r="L8593" i="1"/>
  <c r="K8593" i="1"/>
  <c r="J8593" i="1"/>
  <c r="I8593" i="1"/>
  <c r="H8593" i="1"/>
  <c r="G8593" i="1"/>
  <c r="M8592" i="1"/>
  <c r="L8592" i="1"/>
  <c r="K8592" i="1"/>
  <c r="J8592" i="1"/>
  <c r="I8592" i="1"/>
  <c r="H8592" i="1"/>
  <c r="G8592" i="1"/>
  <c r="M8591" i="1"/>
  <c r="L8591" i="1"/>
  <c r="K8591" i="1"/>
  <c r="J8591" i="1"/>
  <c r="I8591" i="1"/>
  <c r="H8591" i="1"/>
  <c r="G8591" i="1"/>
  <c r="M8590" i="1"/>
  <c r="L8590" i="1"/>
  <c r="K8590" i="1"/>
  <c r="J8590" i="1"/>
  <c r="I8590" i="1"/>
  <c r="H8590" i="1"/>
  <c r="G8590" i="1"/>
  <c r="M8589" i="1"/>
  <c r="L8589" i="1"/>
  <c r="K8589" i="1"/>
  <c r="J8589" i="1"/>
  <c r="I8589" i="1"/>
  <c r="H8589" i="1"/>
  <c r="G8589" i="1"/>
  <c r="M8588" i="1"/>
  <c r="L8588" i="1"/>
  <c r="K8588" i="1"/>
  <c r="J8588" i="1"/>
  <c r="I8588" i="1"/>
  <c r="H8588" i="1"/>
  <c r="G8588" i="1"/>
  <c r="M8587" i="1"/>
  <c r="L8587" i="1"/>
  <c r="K8587" i="1"/>
  <c r="J8587" i="1"/>
  <c r="I8587" i="1"/>
  <c r="H8587" i="1"/>
  <c r="G8587" i="1"/>
  <c r="M8586" i="1"/>
  <c r="L8586" i="1"/>
  <c r="K8586" i="1"/>
  <c r="J8586" i="1"/>
  <c r="I8586" i="1"/>
  <c r="H8586" i="1"/>
  <c r="G8586" i="1"/>
  <c r="M8585" i="1"/>
  <c r="L8585" i="1"/>
  <c r="K8585" i="1"/>
  <c r="J8585" i="1"/>
  <c r="I8585" i="1"/>
  <c r="H8585" i="1"/>
  <c r="G8585" i="1"/>
  <c r="M8584" i="1"/>
  <c r="L8584" i="1"/>
  <c r="K8584" i="1"/>
  <c r="J8584" i="1"/>
  <c r="I8584" i="1"/>
  <c r="H8584" i="1"/>
  <c r="G8584" i="1"/>
  <c r="M8583" i="1"/>
  <c r="L8583" i="1"/>
  <c r="K8583" i="1"/>
  <c r="J8583" i="1"/>
  <c r="I8583" i="1"/>
  <c r="H8583" i="1"/>
  <c r="G8583" i="1"/>
  <c r="M8582" i="1"/>
  <c r="L8582" i="1"/>
  <c r="K8582" i="1"/>
  <c r="J8582" i="1"/>
  <c r="I8582" i="1"/>
  <c r="H8582" i="1"/>
  <c r="G8582" i="1"/>
  <c r="M8581" i="1"/>
  <c r="L8581" i="1"/>
  <c r="K8581" i="1"/>
  <c r="J8581" i="1"/>
  <c r="I8581" i="1"/>
  <c r="H8581" i="1"/>
  <c r="G8581" i="1"/>
  <c r="M8580" i="1"/>
  <c r="L8580" i="1"/>
  <c r="K8580" i="1"/>
  <c r="J8580" i="1"/>
  <c r="I8580" i="1"/>
  <c r="H8580" i="1"/>
  <c r="G8580" i="1"/>
  <c r="M8579" i="1"/>
  <c r="L8579" i="1"/>
  <c r="K8579" i="1"/>
  <c r="J8579" i="1"/>
  <c r="I8579" i="1"/>
  <c r="H8579" i="1"/>
  <c r="G8579" i="1"/>
  <c r="M8578" i="1"/>
  <c r="L8578" i="1"/>
  <c r="K8578" i="1"/>
  <c r="J8578" i="1"/>
  <c r="I8578" i="1"/>
  <c r="H8578" i="1"/>
  <c r="G8578" i="1"/>
  <c r="M8577" i="1"/>
  <c r="L8577" i="1"/>
  <c r="K8577" i="1"/>
  <c r="J8577" i="1"/>
  <c r="I8577" i="1"/>
  <c r="H8577" i="1"/>
  <c r="G8577" i="1"/>
  <c r="M8576" i="1"/>
  <c r="L8576" i="1"/>
  <c r="K8576" i="1"/>
  <c r="J8576" i="1"/>
  <c r="I8576" i="1"/>
  <c r="H8576" i="1"/>
  <c r="G8576" i="1"/>
  <c r="M8575" i="1"/>
  <c r="L8575" i="1"/>
  <c r="K8575" i="1"/>
  <c r="J8575" i="1"/>
  <c r="I8575" i="1"/>
  <c r="H8575" i="1"/>
  <c r="G8575" i="1"/>
  <c r="M8574" i="1"/>
  <c r="L8574" i="1"/>
  <c r="K8574" i="1"/>
  <c r="J8574" i="1"/>
  <c r="I8574" i="1"/>
  <c r="H8574" i="1"/>
  <c r="G8574" i="1"/>
  <c r="M8573" i="1"/>
  <c r="L8573" i="1"/>
  <c r="K8573" i="1"/>
  <c r="J8573" i="1"/>
  <c r="I8573" i="1"/>
  <c r="H8573" i="1"/>
  <c r="G8573" i="1"/>
  <c r="M8572" i="1"/>
  <c r="L8572" i="1"/>
  <c r="K8572" i="1"/>
  <c r="J8572" i="1"/>
  <c r="I8572" i="1"/>
  <c r="H8572" i="1"/>
  <c r="G8572" i="1"/>
  <c r="M8571" i="1"/>
  <c r="L8571" i="1"/>
  <c r="K8571" i="1"/>
  <c r="J8571" i="1"/>
  <c r="I8571" i="1"/>
  <c r="H8571" i="1"/>
  <c r="G8571" i="1"/>
  <c r="M8570" i="1"/>
  <c r="L8570" i="1"/>
  <c r="K8570" i="1"/>
  <c r="J8570" i="1"/>
  <c r="I8570" i="1"/>
  <c r="H8570" i="1"/>
  <c r="G8570" i="1"/>
  <c r="M8569" i="1"/>
  <c r="L8569" i="1"/>
  <c r="K8569" i="1"/>
  <c r="J8569" i="1"/>
  <c r="I8569" i="1"/>
  <c r="H8569" i="1"/>
  <c r="G8569" i="1"/>
  <c r="M8568" i="1"/>
  <c r="L8568" i="1"/>
  <c r="K8568" i="1"/>
  <c r="J8568" i="1"/>
  <c r="I8568" i="1"/>
  <c r="H8568" i="1"/>
  <c r="G8568" i="1"/>
  <c r="M8567" i="1"/>
  <c r="L8567" i="1"/>
  <c r="K8567" i="1"/>
  <c r="J8567" i="1"/>
  <c r="I8567" i="1"/>
  <c r="H8567" i="1"/>
  <c r="G8567" i="1"/>
  <c r="M8566" i="1"/>
  <c r="L8566" i="1"/>
  <c r="K8566" i="1"/>
  <c r="J8566" i="1"/>
  <c r="I8566" i="1"/>
  <c r="H8566" i="1"/>
  <c r="G8566" i="1"/>
  <c r="M8565" i="1"/>
  <c r="L8565" i="1"/>
  <c r="K8565" i="1"/>
  <c r="J8565" i="1"/>
  <c r="I8565" i="1"/>
  <c r="H8565" i="1"/>
  <c r="G8565" i="1"/>
  <c r="M8564" i="1"/>
  <c r="L8564" i="1"/>
  <c r="K8564" i="1"/>
  <c r="J8564" i="1"/>
  <c r="I8564" i="1"/>
  <c r="H8564" i="1"/>
  <c r="G8564" i="1"/>
  <c r="M8563" i="1"/>
  <c r="L8563" i="1"/>
  <c r="K8563" i="1"/>
  <c r="J8563" i="1"/>
  <c r="I8563" i="1"/>
  <c r="H8563" i="1"/>
  <c r="G8563" i="1"/>
  <c r="M8562" i="1"/>
  <c r="L8562" i="1"/>
  <c r="K8562" i="1"/>
  <c r="J8562" i="1"/>
  <c r="I8562" i="1"/>
  <c r="H8562" i="1"/>
  <c r="G8562" i="1"/>
  <c r="M8561" i="1"/>
  <c r="L8561" i="1"/>
  <c r="K8561" i="1"/>
  <c r="J8561" i="1"/>
  <c r="I8561" i="1"/>
  <c r="H8561" i="1"/>
  <c r="G8561" i="1"/>
  <c r="M8560" i="1"/>
  <c r="L8560" i="1"/>
  <c r="K8560" i="1"/>
  <c r="J8560" i="1"/>
  <c r="I8560" i="1"/>
  <c r="H8560" i="1"/>
  <c r="G8560" i="1"/>
  <c r="M8559" i="1"/>
  <c r="L8559" i="1"/>
  <c r="K8559" i="1"/>
  <c r="J8559" i="1"/>
  <c r="I8559" i="1"/>
  <c r="H8559" i="1"/>
  <c r="G8559" i="1"/>
  <c r="M8558" i="1"/>
  <c r="L8558" i="1"/>
  <c r="K8558" i="1"/>
  <c r="J8558" i="1"/>
  <c r="I8558" i="1"/>
  <c r="H8558" i="1"/>
  <c r="G8558" i="1"/>
  <c r="M8557" i="1"/>
  <c r="L8557" i="1"/>
  <c r="K8557" i="1"/>
  <c r="J8557" i="1"/>
  <c r="I8557" i="1"/>
  <c r="H8557" i="1"/>
  <c r="G8557" i="1"/>
  <c r="M8556" i="1"/>
  <c r="L8556" i="1"/>
  <c r="K8556" i="1"/>
  <c r="J8556" i="1"/>
  <c r="I8556" i="1"/>
  <c r="H8556" i="1"/>
  <c r="G8556" i="1"/>
  <c r="M8555" i="1"/>
  <c r="L8555" i="1"/>
  <c r="K8555" i="1"/>
  <c r="J8555" i="1"/>
  <c r="I8555" i="1"/>
  <c r="H8555" i="1"/>
  <c r="G8555" i="1"/>
  <c r="M8554" i="1"/>
  <c r="L8554" i="1"/>
  <c r="K8554" i="1"/>
  <c r="J8554" i="1"/>
  <c r="I8554" i="1"/>
  <c r="H8554" i="1"/>
  <c r="G8554" i="1"/>
  <c r="M8553" i="1"/>
  <c r="L8553" i="1"/>
  <c r="K8553" i="1"/>
  <c r="J8553" i="1"/>
  <c r="I8553" i="1"/>
  <c r="H8553" i="1"/>
  <c r="G8553" i="1"/>
  <c r="M8552" i="1"/>
  <c r="L8552" i="1"/>
  <c r="K8552" i="1"/>
  <c r="J8552" i="1"/>
  <c r="I8552" i="1"/>
  <c r="H8552" i="1"/>
  <c r="G8552" i="1"/>
  <c r="M8551" i="1"/>
  <c r="L8551" i="1"/>
  <c r="K8551" i="1"/>
  <c r="J8551" i="1"/>
  <c r="I8551" i="1"/>
  <c r="H8551" i="1"/>
  <c r="G8551" i="1"/>
  <c r="M8550" i="1"/>
  <c r="L8550" i="1"/>
  <c r="K8550" i="1"/>
  <c r="J8550" i="1"/>
  <c r="I8550" i="1"/>
  <c r="H8550" i="1"/>
  <c r="G8550" i="1"/>
  <c r="M8549" i="1"/>
  <c r="L8549" i="1"/>
  <c r="K8549" i="1"/>
  <c r="J8549" i="1"/>
  <c r="I8549" i="1"/>
  <c r="H8549" i="1"/>
  <c r="G8549" i="1"/>
  <c r="M8548" i="1"/>
  <c r="L8548" i="1"/>
  <c r="K8548" i="1"/>
  <c r="J8548" i="1"/>
  <c r="I8548" i="1"/>
  <c r="H8548" i="1"/>
  <c r="G8548" i="1"/>
  <c r="M8547" i="1"/>
  <c r="L8547" i="1"/>
  <c r="K8547" i="1"/>
  <c r="J8547" i="1"/>
  <c r="I8547" i="1"/>
  <c r="H8547" i="1"/>
  <c r="G8547" i="1"/>
  <c r="M8546" i="1"/>
  <c r="L8546" i="1"/>
  <c r="K8546" i="1"/>
  <c r="J8546" i="1"/>
  <c r="I8546" i="1"/>
  <c r="H8546" i="1"/>
  <c r="G8546" i="1"/>
  <c r="M8545" i="1"/>
  <c r="L8545" i="1"/>
  <c r="K8545" i="1"/>
  <c r="J8545" i="1"/>
  <c r="I8545" i="1"/>
  <c r="H8545" i="1"/>
  <c r="G8545" i="1"/>
  <c r="M8544" i="1"/>
  <c r="L8544" i="1"/>
  <c r="K8544" i="1"/>
  <c r="J8544" i="1"/>
  <c r="I8544" i="1"/>
  <c r="H8544" i="1"/>
  <c r="G8544" i="1"/>
  <c r="M8543" i="1"/>
  <c r="L8543" i="1"/>
  <c r="K8543" i="1"/>
  <c r="J8543" i="1"/>
  <c r="I8543" i="1"/>
  <c r="H8543" i="1"/>
  <c r="G8543" i="1"/>
  <c r="M8542" i="1"/>
  <c r="L8542" i="1"/>
  <c r="K8542" i="1"/>
  <c r="J8542" i="1"/>
  <c r="I8542" i="1"/>
  <c r="H8542" i="1"/>
  <c r="G8542" i="1"/>
  <c r="M8541" i="1"/>
  <c r="L8541" i="1"/>
  <c r="K8541" i="1"/>
  <c r="J8541" i="1"/>
  <c r="I8541" i="1"/>
  <c r="H8541" i="1"/>
  <c r="G8541" i="1"/>
  <c r="M8540" i="1"/>
  <c r="L8540" i="1"/>
  <c r="K8540" i="1"/>
  <c r="J8540" i="1"/>
  <c r="I8540" i="1"/>
  <c r="H8540" i="1"/>
  <c r="G8540" i="1"/>
  <c r="M8539" i="1"/>
  <c r="L8539" i="1"/>
  <c r="K8539" i="1"/>
  <c r="J8539" i="1"/>
  <c r="I8539" i="1"/>
  <c r="H8539" i="1"/>
  <c r="G8539" i="1"/>
  <c r="M8538" i="1"/>
  <c r="L8538" i="1"/>
  <c r="K8538" i="1"/>
  <c r="J8538" i="1"/>
  <c r="I8538" i="1"/>
  <c r="H8538" i="1"/>
  <c r="G8538" i="1"/>
  <c r="M8537" i="1"/>
  <c r="L8537" i="1"/>
  <c r="K8537" i="1"/>
  <c r="J8537" i="1"/>
  <c r="I8537" i="1"/>
  <c r="H8537" i="1"/>
  <c r="G8537" i="1"/>
  <c r="M8536" i="1"/>
  <c r="L8536" i="1"/>
  <c r="K8536" i="1"/>
  <c r="J8536" i="1"/>
  <c r="I8536" i="1"/>
  <c r="H8536" i="1"/>
  <c r="G8536" i="1"/>
  <c r="M8535" i="1"/>
  <c r="L8535" i="1"/>
  <c r="K8535" i="1"/>
  <c r="J8535" i="1"/>
  <c r="I8535" i="1"/>
  <c r="H8535" i="1"/>
  <c r="G8535" i="1"/>
  <c r="M8534" i="1"/>
  <c r="L8534" i="1"/>
  <c r="K8534" i="1"/>
  <c r="J8534" i="1"/>
  <c r="I8534" i="1"/>
  <c r="H8534" i="1"/>
  <c r="G8534" i="1"/>
  <c r="M8533" i="1"/>
  <c r="L8533" i="1"/>
  <c r="K8533" i="1"/>
  <c r="J8533" i="1"/>
  <c r="I8533" i="1"/>
  <c r="H8533" i="1"/>
  <c r="G8533" i="1"/>
  <c r="M8532" i="1"/>
  <c r="L8532" i="1"/>
  <c r="K8532" i="1"/>
  <c r="J8532" i="1"/>
  <c r="I8532" i="1"/>
  <c r="H8532" i="1"/>
  <c r="G8532" i="1"/>
  <c r="M8531" i="1"/>
  <c r="L8531" i="1"/>
  <c r="K8531" i="1"/>
  <c r="J8531" i="1"/>
  <c r="I8531" i="1"/>
  <c r="H8531" i="1"/>
  <c r="G8531" i="1"/>
  <c r="M8530" i="1"/>
  <c r="L8530" i="1"/>
  <c r="K8530" i="1"/>
  <c r="J8530" i="1"/>
  <c r="I8530" i="1"/>
  <c r="H8530" i="1"/>
  <c r="G8530" i="1"/>
  <c r="M8529" i="1"/>
  <c r="L8529" i="1"/>
  <c r="K8529" i="1"/>
  <c r="J8529" i="1"/>
  <c r="I8529" i="1"/>
  <c r="H8529" i="1"/>
  <c r="G8529" i="1"/>
  <c r="M8528" i="1"/>
  <c r="L8528" i="1"/>
  <c r="K8528" i="1"/>
  <c r="J8528" i="1"/>
  <c r="I8528" i="1"/>
  <c r="H8528" i="1"/>
  <c r="G8528" i="1"/>
  <c r="M8527" i="1"/>
  <c r="L8527" i="1"/>
  <c r="K8527" i="1"/>
  <c r="J8527" i="1"/>
  <c r="I8527" i="1"/>
  <c r="H8527" i="1"/>
  <c r="G8527" i="1"/>
  <c r="M8526" i="1"/>
  <c r="L8526" i="1"/>
  <c r="K8526" i="1"/>
  <c r="J8526" i="1"/>
  <c r="I8526" i="1"/>
  <c r="H8526" i="1"/>
  <c r="G8526" i="1"/>
  <c r="M8525" i="1"/>
  <c r="L8525" i="1"/>
  <c r="K8525" i="1"/>
  <c r="J8525" i="1"/>
  <c r="I8525" i="1"/>
  <c r="H8525" i="1"/>
  <c r="G8525" i="1"/>
  <c r="M8524" i="1"/>
  <c r="L8524" i="1"/>
  <c r="K8524" i="1"/>
  <c r="J8524" i="1"/>
  <c r="I8524" i="1"/>
  <c r="H8524" i="1"/>
  <c r="G8524" i="1"/>
  <c r="M8523" i="1"/>
  <c r="L8523" i="1"/>
  <c r="K8523" i="1"/>
  <c r="J8523" i="1"/>
  <c r="I8523" i="1"/>
  <c r="H8523" i="1"/>
  <c r="G8523" i="1"/>
  <c r="M8522" i="1"/>
  <c r="L8522" i="1"/>
  <c r="K8522" i="1"/>
  <c r="J8522" i="1"/>
  <c r="I8522" i="1"/>
  <c r="H8522" i="1"/>
  <c r="G8522" i="1"/>
  <c r="M8521" i="1"/>
  <c r="L8521" i="1"/>
  <c r="K8521" i="1"/>
  <c r="J8521" i="1"/>
  <c r="I8521" i="1"/>
  <c r="H8521" i="1"/>
  <c r="G8521" i="1"/>
  <c r="M8520" i="1"/>
  <c r="L8520" i="1"/>
  <c r="K8520" i="1"/>
  <c r="J8520" i="1"/>
  <c r="I8520" i="1"/>
  <c r="H8520" i="1"/>
  <c r="G8520" i="1"/>
  <c r="M8519" i="1"/>
  <c r="L8519" i="1"/>
  <c r="K8519" i="1"/>
  <c r="J8519" i="1"/>
  <c r="I8519" i="1"/>
  <c r="H8519" i="1"/>
  <c r="G8519" i="1"/>
  <c r="M8518" i="1"/>
  <c r="L8518" i="1"/>
  <c r="K8518" i="1"/>
  <c r="J8518" i="1"/>
  <c r="I8518" i="1"/>
  <c r="H8518" i="1"/>
  <c r="G8518" i="1"/>
  <c r="M8517" i="1"/>
  <c r="L8517" i="1"/>
  <c r="K8517" i="1"/>
  <c r="J8517" i="1"/>
  <c r="I8517" i="1"/>
  <c r="H8517" i="1"/>
  <c r="G8517" i="1"/>
  <c r="M8516" i="1"/>
  <c r="L8516" i="1"/>
  <c r="K8516" i="1"/>
  <c r="J8516" i="1"/>
  <c r="I8516" i="1"/>
  <c r="H8516" i="1"/>
  <c r="G8516" i="1"/>
  <c r="M8515" i="1"/>
  <c r="L8515" i="1"/>
  <c r="K8515" i="1"/>
  <c r="J8515" i="1"/>
  <c r="I8515" i="1"/>
  <c r="H8515" i="1"/>
  <c r="G8515" i="1"/>
  <c r="M8514" i="1"/>
  <c r="L8514" i="1"/>
  <c r="K8514" i="1"/>
  <c r="J8514" i="1"/>
  <c r="I8514" i="1"/>
  <c r="H8514" i="1"/>
  <c r="G8514" i="1"/>
  <c r="M8513" i="1"/>
  <c r="L8513" i="1"/>
  <c r="K8513" i="1"/>
  <c r="J8513" i="1"/>
  <c r="I8513" i="1"/>
  <c r="H8513" i="1"/>
  <c r="G8513" i="1"/>
  <c r="M8512" i="1"/>
  <c r="L8512" i="1"/>
  <c r="K8512" i="1"/>
  <c r="J8512" i="1"/>
  <c r="I8512" i="1"/>
  <c r="H8512" i="1"/>
  <c r="G8512" i="1"/>
  <c r="M8511" i="1"/>
  <c r="L8511" i="1"/>
  <c r="K8511" i="1"/>
  <c r="J8511" i="1"/>
  <c r="I8511" i="1"/>
  <c r="H8511" i="1"/>
  <c r="G8511" i="1"/>
  <c r="M8510" i="1"/>
  <c r="L8510" i="1"/>
  <c r="K8510" i="1"/>
  <c r="J8510" i="1"/>
  <c r="I8510" i="1"/>
  <c r="H8510" i="1"/>
  <c r="G8510" i="1"/>
  <c r="M8509" i="1"/>
  <c r="L8509" i="1"/>
  <c r="K8509" i="1"/>
  <c r="J8509" i="1"/>
  <c r="I8509" i="1"/>
  <c r="H8509" i="1"/>
  <c r="G8509" i="1"/>
  <c r="M8508" i="1"/>
  <c r="L8508" i="1"/>
  <c r="K8508" i="1"/>
  <c r="J8508" i="1"/>
  <c r="I8508" i="1"/>
  <c r="H8508" i="1"/>
  <c r="G8508" i="1"/>
  <c r="M8507" i="1"/>
  <c r="L8507" i="1"/>
  <c r="K8507" i="1"/>
  <c r="J8507" i="1"/>
  <c r="I8507" i="1"/>
  <c r="H8507" i="1"/>
  <c r="G8507" i="1"/>
  <c r="M8506" i="1"/>
  <c r="L8506" i="1"/>
  <c r="K8506" i="1"/>
  <c r="J8506" i="1"/>
  <c r="I8506" i="1"/>
  <c r="H8506" i="1"/>
  <c r="G8506" i="1"/>
  <c r="M8505" i="1"/>
  <c r="L8505" i="1"/>
  <c r="K8505" i="1"/>
  <c r="J8505" i="1"/>
  <c r="I8505" i="1"/>
  <c r="H8505" i="1"/>
  <c r="G8505" i="1"/>
  <c r="M8504" i="1"/>
  <c r="L8504" i="1"/>
  <c r="K8504" i="1"/>
  <c r="J8504" i="1"/>
  <c r="I8504" i="1"/>
  <c r="H8504" i="1"/>
  <c r="G8504" i="1"/>
  <c r="M8503" i="1"/>
  <c r="L8503" i="1"/>
  <c r="K8503" i="1"/>
  <c r="J8503" i="1"/>
  <c r="I8503" i="1"/>
  <c r="H8503" i="1"/>
  <c r="G8503" i="1"/>
  <c r="M8502" i="1"/>
  <c r="L8502" i="1"/>
  <c r="K8502" i="1"/>
  <c r="J8502" i="1"/>
  <c r="I8502" i="1"/>
  <c r="H8502" i="1"/>
  <c r="G8502" i="1"/>
  <c r="M8501" i="1"/>
  <c r="L8501" i="1"/>
  <c r="K8501" i="1"/>
  <c r="J8501" i="1"/>
  <c r="I8501" i="1"/>
  <c r="H8501" i="1"/>
  <c r="G8501" i="1"/>
  <c r="M8500" i="1"/>
  <c r="L8500" i="1"/>
  <c r="K8500" i="1"/>
  <c r="J8500" i="1"/>
  <c r="I8500" i="1"/>
  <c r="H8500" i="1"/>
  <c r="G8500" i="1"/>
  <c r="M8499" i="1"/>
  <c r="L8499" i="1"/>
  <c r="K8499" i="1"/>
  <c r="J8499" i="1"/>
  <c r="I8499" i="1"/>
  <c r="H8499" i="1"/>
  <c r="G8499" i="1"/>
  <c r="M8498" i="1"/>
  <c r="L8498" i="1"/>
  <c r="K8498" i="1"/>
  <c r="J8498" i="1"/>
  <c r="I8498" i="1"/>
  <c r="H8498" i="1"/>
  <c r="G8498" i="1"/>
  <c r="M8497" i="1"/>
  <c r="L8497" i="1"/>
  <c r="K8497" i="1"/>
  <c r="J8497" i="1"/>
  <c r="I8497" i="1"/>
  <c r="H8497" i="1"/>
  <c r="G8497" i="1"/>
  <c r="M8496" i="1"/>
  <c r="L8496" i="1"/>
  <c r="K8496" i="1"/>
  <c r="J8496" i="1"/>
  <c r="I8496" i="1"/>
  <c r="H8496" i="1"/>
  <c r="G8496" i="1"/>
  <c r="M8495" i="1"/>
  <c r="L8495" i="1"/>
  <c r="K8495" i="1"/>
  <c r="J8495" i="1"/>
  <c r="I8495" i="1"/>
  <c r="H8495" i="1"/>
  <c r="G8495" i="1"/>
  <c r="M8494" i="1"/>
  <c r="L8494" i="1"/>
  <c r="K8494" i="1"/>
  <c r="J8494" i="1"/>
  <c r="I8494" i="1"/>
  <c r="H8494" i="1"/>
  <c r="G8494" i="1"/>
  <c r="M8493" i="1"/>
  <c r="L8493" i="1"/>
  <c r="K8493" i="1"/>
  <c r="J8493" i="1"/>
  <c r="I8493" i="1"/>
  <c r="H8493" i="1"/>
  <c r="G8493" i="1"/>
  <c r="M8492" i="1"/>
  <c r="L8492" i="1"/>
  <c r="K8492" i="1"/>
  <c r="J8492" i="1"/>
  <c r="I8492" i="1"/>
  <c r="H8492" i="1"/>
  <c r="G8492" i="1"/>
  <c r="M8491" i="1"/>
  <c r="L8491" i="1"/>
  <c r="K8491" i="1"/>
  <c r="J8491" i="1"/>
  <c r="I8491" i="1"/>
  <c r="H8491" i="1"/>
  <c r="G8491" i="1"/>
  <c r="M8490" i="1"/>
  <c r="L8490" i="1"/>
  <c r="K8490" i="1"/>
  <c r="J8490" i="1"/>
  <c r="I8490" i="1"/>
  <c r="H8490" i="1"/>
  <c r="G8490" i="1"/>
  <c r="M8489" i="1"/>
  <c r="L8489" i="1"/>
  <c r="K8489" i="1"/>
  <c r="J8489" i="1"/>
  <c r="I8489" i="1"/>
  <c r="H8489" i="1"/>
  <c r="G8489" i="1"/>
  <c r="M8488" i="1"/>
  <c r="L8488" i="1"/>
  <c r="K8488" i="1"/>
  <c r="J8488" i="1"/>
  <c r="I8488" i="1"/>
  <c r="H8488" i="1"/>
  <c r="G8488" i="1"/>
  <c r="M8487" i="1"/>
  <c r="L8487" i="1"/>
  <c r="K8487" i="1"/>
  <c r="J8487" i="1"/>
  <c r="I8487" i="1"/>
  <c r="H8487" i="1"/>
  <c r="G8487" i="1"/>
  <c r="M8486" i="1"/>
  <c r="L8486" i="1"/>
  <c r="K8486" i="1"/>
  <c r="J8486" i="1"/>
  <c r="I8486" i="1"/>
  <c r="H8486" i="1"/>
  <c r="G8486" i="1"/>
  <c r="M8485" i="1"/>
  <c r="L8485" i="1"/>
  <c r="K8485" i="1"/>
  <c r="J8485" i="1"/>
  <c r="I8485" i="1"/>
  <c r="H8485" i="1"/>
  <c r="G8485" i="1"/>
  <c r="M8484" i="1"/>
  <c r="L8484" i="1"/>
  <c r="K8484" i="1"/>
  <c r="J8484" i="1"/>
  <c r="I8484" i="1"/>
  <c r="H8484" i="1"/>
  <c r="G8484" i="1"/>
  <c r="M8483" i="1"/>
  <c r="L8483" i="1"/>
  <c r="K8483" i="1"/>
  <c r="J8483" i="1"/>
  <c r="I8483" i="1"/>
  <c r="H8483" i="1"/>
  <c r="G8483" i="1"/>
  <c r="M8482" i="1"/>
  <c r="L8482" i="1"/>
  <c r="K8482" i="1"/>
  <c r="J8482" i="1"/>
  <c r="I8482" i="1"/>
  <c r="H8482" i="1"/>
  <c r="G8482" i="1"/>
  <c r="M8481" i="1"/>
  <c r="L8481" i="1"/>
  <c r="K8481" i="1"/>
  <c r="J8481" i="1"/>
  <c r="I8481" i="1"/>
  <c r="H8481" i="1"/>
  <c r="G8481" i="1"/>
  <c r="M8480" i="1"/>
  <c r="L8480" i="1"/>
  <c r="K8480" i="1"/>
  <c r="J8480" i="1"/>
  <c r="I8480" i="1"/>
  <c r="H8480" i="1"/>
  <c r="G8480" i="1"/>
  <c r="M8479" i="1"/>
  <c r="L8479" i="1"/>
  <c r="K8479" i="1"/>
  <c r="J8479" i="1"/>
  <c r="I8479" i="1"/>
  <c r="H8479" i="1"/>
  <c r="G8479" i="1"/>
  <c r="M8478" i="1"/>
  <c r="L8478" i="1"/>
  <c r="K8478" i="1"/>
  <c r="J8478" i="1"/>
  <c r="I8478" i="1"/>
  <c r="H8478" i="1"/>
  <c r="G8478" i="1"/>
  <c r="M8477" i="1"/>
  <c r="L8477" i="1"/>
  <c r="K8477" i="1"/>
  <c r="J8477" i="1"/>
  <c r="I8477" i="1"/>
  <c r="H8477" i="1"/>
  <c r="G8477" i="1"/>
  <c r="M8476" i="1"/>
  <c r="L8476" i="1"/>
  <c r="K8476" i="1"/>
  <c r="J8476" i="1"/>
  <c r="I8476" i="1"/>
  <c r="H8476" i="1"/>
  <c r="G8476" i="1"/>
  <c r="M8475" i="1"/>
  <c r="L8475" i="1"/>
  <c r="K8475" i="1"/>
  <c r="J8475" i="1"/>
  <c r="I8475" i="1"/>
  <c r="H8475" i="1"/>
  <c r="G8475" i="1"/>
  <c r="M8474" i="1"/>
  <c r="L8474" i="1"/>
  <c r="K8474" i="1"/>
  <c r="J8474" i="1"/>
  <c r="I8474" i="1"/>
  <c r="H8474" i="1"/>
  <c r="G8474" i="1"/>
  <c r="M8473" i="1"/>
  <c r="L8473" i="1"/>
  <c r="K8473" i="1"/>
  <c r="J8473" i="1"/>
  <c r="I8473" i="1"/>
  <c r="H8473" i="1"/>
  <c r="G8473" i="1"/>
  <c r="M8472" i="1"/>
  <c r="L8472" i="1"/>
  <c r="K8472" i="1"/>
  <c r="J8472" i="1"/>
  <c r="I8472" i="1"/>
  <c r="H8472" i="1"/>
  <c r="G8472" i="1"/>
  <c r="M8471" i="1"/>
  <c r="L8471" i="1"/>
  <c r="K8471" i="1"/>
  <c r="J8471" i="1"/>
  <c r="I8471" i="1"/>
  <c r="H8471" i="1"/>
  <c r="G8471" i="1"/>
  <c r="M8470" i="1"/>
  <c r="L8470" i="1"/>
  <c r="K8470" i="1"/>
  <c r="J8470" i="1"/>
  <c r="I8470" i="1"/>
  <c r="H8470" i="1"/>
  <c r="G8470" i="1"/>
  <c r="M8469" i="1"/>
  <c r="L8469" i="1"/>
  <c r="K8469" i="1"/>
  <c r="J8469" i="1"/>
  <c r="I8469" i="1"/>
  <c r="H8469" i="1"/>
  <c r="G8469" i="1"/>
  <c r="M8468" i="1"/>
  <c r="L8468" i="1"/>
  <c r="K8468" i="1"/>
  <c r="J8468" i="1"/>
  <c r="I8468" i="1"/>
  <c r="H8468" i="1"/>
  <c r="G8468" i="1"/>
  <c r="M8467" i="1"/>
  <c r="L8467" i="1"/>
  <c r="K8467" i="1"/>
  <c r="J8467" i="1"/>
  <c r="I8467" i="1"/>
  <c r="H8467" i="1"/>
  <c r="G8467" i="1"/>
  <c r="M8466" i="1"/>
  <c r="L8466" i="1"/>
  <c r="K8466" i="1"/>
  <c r="J8466" i="1"/>
  <c r="I8466" i="1"/>
  <c r="H8466" i="1"/>
  <c r="G8466" i="1"/>
  <c r="M8465" i="1"/>
  <c r="L8465" i="1"/>
  <c r="K8465" i="1"/>
  <c r="J8465" i="1"/>
  <c r="I8465" i="1"/>
  <c r="H8465" i="1"/>
  <c r="G8465" i="1"/>
  <c r="M8464" i="1"/>
  <c r="L8464" i="1"/>
  <c r="K8464" i="1"/>
  <c r="J8464" i="1"/>
  <c r="I8464" i="1"/>
  <c r="H8464" i="1"/>
  <c r="G8464" i="1"/>
  <c r="M8463" i="1"/>
  <c r="L8463" i="1"/>
  <c r="K8463" i="1"/>
  <c r="J8463" i="1"/>
  <c r="I8463" i="1"/>
  <c r="H8463" i="1"/>
  <c r="G8463" i="1"/>
  <c r="M8462" i="1"/>
  <c r="L8462" i="1"/>
  <c r="K8462" i="1"/>
  <c r="J8462" i="1"/>
  <c r="I8462" i="1"/>
  <c r="H8462" i="1"/>
  <c r="G8462" i="1"/>
  <c r="M8461" i="1"/>
  <c r="L8461" i="1"/>
  <c r="K8461" i="1"/>
  <c r="J8461" i="1"/>
  <c r="I8461" i="1"/>
  <c r="H8461" i="1"/>
  <c r="G8461" i="1"/>
  <c r="M8460" i="1"/>
  <c r="L8460" i="1"/>
  <c r="K8460" i="1"/>
  <c r="J8460" i="1"/>
  <c r="I8460" i="1"/>
  <c r="H8460" i="1"/>
  <c r="G8460" i="1"/>
  <c r="M8459" i="1"/>
  <c r="L8459" i="1"/>
  <c r="K8459" i="1"/>
  <c r="J8459" i="1"/>
  <c r="I8459" i="1"/>
  <c r="H8459" i="1"/>
  <c r="G8459" i="1"/>
  <c r="M8458" i="1"/>
  <c r="L8458" i="1"/>
  <c r="K8458" i="1"/>
  <c r="J8458" i="1"/>
  <c r="I8458" i="1"/>
  <c r="H8458" i="1"/>
  <c r="G8458" i="1"/>
  <c r="M8457" i="1"/>
  <c r="L8457" i="1"/>
  <c r="K8457" i="1"/>
  <c r="J8457" i="1"/>
  <c r="I8457" i="1"/>
  <c r="H8457" i="1"/>
  <c r="G8457" i="1"/>
  <c r="M8456" i="1"/>
  <c r="L8456" i="1"/>
  <c r="K8456" i="1"/>
  <c r="J8456" i="1"/>
  <c r="I8456" i="1"/>
  <c r="H8456" i="1"/>
  <c r="G8456" i="1"/>
  <c r="M8455" i="1"/>
  <c r="L8455" i="1"/>
  <c r="K8455" i="1"/>
  <c r="J8455" i="1"/>
  <c r="I8455" i="1"/>
  <c r="H8455" i="1"/>
  <c r="G8455" i="1"/>
  <c r="M8454" i="1"/>
  <c r="L8454" i="1"/>
  <c r="K8454" i="1"/>
  <c r="J8454" i="1"/>
  <c r="I8454" i="1"/>
  <c r="H8454" i="1"/>
  <c r="G8454" i="1"/>
  <c r="M8453" i="1"/>
  <c r="L8453" i="1"/>
  <c r="K8453" i="1"/>
  <c r="J8453" i="1"/>
  <c r="I8453" i="1"/>
  <c r="H8453" i="1"/>
  <c r="G8453" i="1"/>
  <c r="M8452" i="1"/>
  <c r="L8452" i="1"/>
  <c r="K8452" i="1"/>
  <c r="J8452" i="1"/>
  <c r="I8452" i="1"/>
  <c r="H8452" i="1"/>
  <c r="G8452" i="1"/>
  <c r="M8451" i="1"/>
  <c r="L8451" i="1"/>
  <c r="K8451" i="1"/>
  <c r="J8451" i="1"/>
  <c r="I8451" i="1"/>
  <c r="H8451" i="1"/>
  <c r="G8451" i="1"/>
  <c r="M8450" i="1"/>
  <c r="L8450" i="1"/>
  <c r="K8450" i="1"/>
  <c r="J8450" i="1"/>
  <c r="I8450" i="1"/>
  <c r="H8450" i="1"/>
  <c r="G8450" i="1"/>
  <c r="M8449" i="1"/>
  <c r="L8449" i="1"/>
  <c r="K8449" i="1"/>
  <c r="J8449" i="1"/>
  <c r="I8449" i="1"/>
  <c r="H8449" i="1"/>
  <c r="G8449" i="1"/>
  <c r="M8448" i="1"/>
  <c r="L8448" i="1"/>
  <c r="K8448" i="1"/>
  <c r="J8448" i="1"/>
  <c r="I8448" i="1"/>
  <c r="H8448" i="1"/>
  <c r="G8448" i="1"/>
  <c r="M8447" i="1"/>
  <c r="L8447" i="1"/>
  <c r="K8447" i="1"/>
  <c r="J8447" i="1"/>
  <c r="I8447" i="1"/>
  <c r="H8447" i="1"/>
  <c r="G8447" i="1"/>
  <c r="M8446" i="1"/>
  <c r="L8446" i="1"/>
  <c r="K8446" i="1"/>
  <c r="J8446" i="1"/>
  <c r="I8446" i="1"/>
  <c r="H8446" i="1"/>
  <c r="G8446" i="1"/>
  <c r="M8445" i="1"/>
  <c r="L8445" i="1"/>
  <c r="K8445" i="1"/>
  <c r="J8445" i="1"/>
  <c r="I8445" i="1"/>
  <c r="H8445" i="1"/>
  <c r="G8445" i="1"/>
  <c r="M8444" i="1"/>
  <c r="L8444" i="1"/>
  <c r="K8444" i="1"/>
  <c r="J8444" i="1"/>
  <c r="I8444" i="1"/>
  <c r="H8444" i="1"/>
  <c r="G8444" i="1"/>
  <c r="M8443" i="1"/>
  <c r="L8443" i="1"/>
  <c r="K8443" i="1"/>
  <c r="J8443" i="1"/>
  <c r="I8443" i="1"/>
  <c r="H8443" i="1"/>
  <c r="G8443" i="1"/>
  <c r="M8442" i="1"/>
  <c r="L8442" i="1"/>
  <c r="K8442" i="1"/>
  <c r="J8442" i="1"/>
  <c r="I8442" i="1"/>
  <c r="H8442" i="1"/>
  <c r="G8442" i="1"/>
  <c r="M8441" i="1"/>
  <c r="L8441" i="1"/>
  <c r="K8441" i="1"/>
  <c r="J8441" i="1"/>
  <c r="I8441" i="1"/>
  <c r="H8441" i="1"/>
  <c r="G8441" i="1"/>
  <c r="M8440" i="1"/>
  <c r="L8440" i="1"/>
  <c r="K8440" i="1"/>
  <c r="J8440" i="1"/>
  <c r="I8440" i="1"/>
  <c r="H8440" i="1"/>
  <c r="G8440" i="1"/>
  <c r="M8439" i="1"/>
  <c r="L8439" i="1"/>
  <c r="K8439" i="1"/>
  <c r="J8439" i="1"/>
  <c r="I8439" i="1"/>
  <c r="H8439" i="1"/>
  <c r="G8439" i="1"/>
  <c r="M8438" i="1"/>
  <c r="L8438" i="1"/>
  <c r="K8438" i="1"/>
  <c r="J8438" i="1"/>
  <c r="I8438" i="1"/>
  <c r="H8438" i="1"/>
  <c r="G8438" i="1"/>
  <c r="M8437" i="1"/>
  <c r="L8437" i="1"/>
  <c r="K8437" i="1"/>
  <c r="J8437" i="1"/>
  <c r="I8437" i="1"/>
  <c r="H8437" i="1"/>
  <c r="G8437" i="1"/>
  <c r="M8436" i="1"/>
  <c r="L8436" i="1"/>
  <c r="K8436" i="1"/>
  <c r="J8436" i="1"/>
  <c r="I8436" i="1"/>
  <c r="H8436" i="1"/>
  <c r="G8436" i="1"/>
  <c r="M8435" i="1"/>
  <c r="L8435" i="1"/>
  <c r="K8435" i="1"/>
  <c r="J8435" i="1"/>
  <c r="I8435" i="1"/>
  <c r="H8435" i="1"/>
  <c r="G8435" i="1"/>
  <c r="M8434" i="1"/>
  <c r="L8434" i="1"/>
  <c r="K8434" i="1"/>
  <c r="J8434" i="1"/>
  <c r="I8434" i="1"/>
  <c r="H8434" i="1"/>
  <c r="G8434" i="1"/>
  <c r="M8433" i="1"/>
  <c r="L8433" i="1"/>
  <c r="K8433" i="1"/>
  <c r="J8433" i="1"/>
  <c r="I8433" i="1"/>
  <c r="H8433" i="1"/>
  <c r="G8433" i="1"/>
  <c r="M8432" i="1"/>
  <c r="L8432" i="1"/>
  <c r="K8432" i="1"/>
  <c r="J8432" i="1"/>
  <c r="I8432" i="1"/>
  <c r="H8432" i="1"/>
  <c r="G8432" i="1"/>
  <c r="M8431" i="1"/>
  <c r="L8431" i="1"/>
  <c r="K8431" i="1"/>
  <c r="J8431" i="1"/>
  <c r="I8431" i="1"/>
  <c r="H8431" i="1"/>
  <c r="G8431" i="1"/>
  <c r="M8430" i="1"/>
  <c r="L8430" i="1"/>
  <c r="K8430" i="1"/>
  <c r="J8430" i="1"/>
  <c r="I8430" i="1"/>
  <c r="H8430" i="1"/>
  <c r="G8430" i="1"/>
  <c r="M8429" i="1"/>
  <c r="L8429" i="1"/>
  <c r="K8429" i="1"/>
  <c r="J8429" i="1"/>
  <c r="I8429" i="1"/>
  <c r="H8429" i="1"/>
  <c r="G8429" i="1"/>
  <c r="M8428" i="1"/>
  <c r="L8428" i="1"/>
  <c r="K8428" i="1"/>
  <c r="J8428" i="1"/>
  <c r="I8428" i="1"/>
  <c r="H8428" i="1"/>
  <c r="G8428" i="1"/>
  <c r="M8427" i="1"/>
  <c r="L8427" i="1"/>
  <c r="K8427" i="1"/>
  <c r="J8427" i="1"/>
  <c r="I8427" i="1"/>
  <c r="H8427" i="1"/>
  <c r="G8427" i="1"/>
  <c r="M8426" i="1"/>
  <c r="L8426" i="1"/>
  <c r="K8426" i="1"/>
  <c r="J8426" i="1"/>
  <c r="I8426" i="1"/>
  <c r="H8426" i="1"/>
  <c r="G8426" i="1"/>
  <c r="M8425" i="1"/>
  <c r="L8425" i="1"/>
  <c r="K8425" i="1"/>
  <c r="J8425" i="1"/>
  <c r="I8425" i="1"/>
  <c r="H8425" i="1"/>
  <c r="G8425" i="1"/>
  <c r="M8424" i="1"/>
  <c r="L8424" i="1"/>
  <c r="K8424" i="1"/>
  <c r="J8424" i="1"/>
  <c r="I8424" i="1"/>
  <c r="H8424" i="1"/>
  <c r="G8424" i="1"/>
  <c r="M8423" i="1"/>
  <c r="L8423" i="1"/>
  <c r="K8423" i="1"/>
  <c r="J8423" i="1"/>
  <c r="I8423" i="1"/>
  <c r="H8423" i="1"/>
  <c r="G8423" i="1"/>
  <c r="M8422" i="1"/>
  <c r="L8422" i="1"/>
  <c r="K8422" i="1"/>
  <c r="J8422" i="1"/>
  <c r="I8422" i="1"/>
  <c r="H8422" i="1"/>
  <c r="G8422" i="1"/>
  <c r="M8421" i="1"/>
  <c r="L8421" i="1"/>
  <c r="K8421" i="1"/>
  <c r="J8421" i="1"/>
  <c r="I8421" i="1"/>
  <c r="H8421" i="1"/>
  <c r="G8421" i="1"/>
  <c r="M8420" i="1"/>
  <c r="L8420" i="1"/>
  <c r="K8420" i="1"/>
  <c r="J8420" i="1"/>
  <c r="I8420" i="1"/>
  <c r="H8420" i="1"/>
  <c r="G8420" i="1"/>
  <c r="M8419" i="1"/>
  <c r="L8419" i="1"/>
  <c r="K8419" i="1"/>
  <c r="J8419" i="1"/>
  <c r="I8419" i="1"/>
  <c r="H8419" i="1"/>
  <c r="G8419" i="1"/>
  <c r="M8418" i="1"/>
  <c r="L8418" i="1"/>
  <c r="K8418" i="1"/>
  <c r="J8418" i="1"/>
  <c r="I8418" i="1"/>
  <c r="H8418" i="1"/>
  <c r="G8418" i="1"/>
  <c r="M8417" i="1"/>
  <c r="L8417" i="1"/>
  <c r="K8417" i="1"/>
  <c r="J8417" i="1"/>
  <c r="I8417" i="1"/>
  <c r="H8417" i="1"/>
  <c r="G8417" i="1"/>
  <c r="M8416" i="1"/>
  <c r="L8416" i="1"/>
  <c r="K8416" i="1"/>
  <c r="J8416" i="1"/>
  <c r="I8416" i="1"/>
  <c r="H8416" i="1"/>
  <c r="G8416" i="1"/>
  <c r="M8415" i="1"/>
  <c r="L8415" i="1"/>
  <c r="K8415" i="1"/>
  <c r="J8415" i="1"/>
  <c r="I8415" i="1"/>
  <c r="H8415" i="1"/>
  <c r="G8415" i="1"/>
  <c r="M8414" i="1"/>
  <c r="L8414" i="1"/>
  <c r="K8414" i="1"/>
  <c r="J8414" i="1"/>
  <c r="I8414" i="1"/>
  <c r="H8414" i="1"/>
  <c r="G8414" i="1"/>
  <c r="M8413" i="1"/>
  <c r="L8413" i="1"/>
  <c r="K8413" i="1"/>
  <c r="J8413" i="1"/>
  <c r="I8413" i="1"/>
  <c r="H8413" i="1"/>
  <c r="G8413" i="1"/>
  <c r="M8412" i="1"/>
  <c r="L8412" i="1"/>
  <c r="K8412" i="1"/>
  <c r="J8412" i="1"/>
  <c r="I8412" i="1"/>
  <c r="H8412" i="1"/>
  <c r="G8412" i="1"/>
  <c r="M8411" i="1"/>
  <c r="L8411" i="1"/>
  <c r="K8411" i="1"/>
  <c r="J8411" i="1"/>
  <c r="I8411" i="1"/>
  <c r="H8411" i="1"/>
  <c r="G8411" i="1"/>
  <c r="M8410" i="1"/>
  <c r="L8410" i="1"/>
  <c r="K8410" i="1"/>
  <c r="J8410" i="1"/>
  <c r="I8410" i="1"/>
  <c r="H8410" i="1"/>
  <c r="G8410" i="1"/>
  <c r="M8409" i="1"/>
  <c r="L8409" i="1"/>
  <c r="K8409" i="1"/>
  <c r="J8409" i="1"/>
  <c r="I8409" i="1"/>
  <c r="H8409" i="1"/>
  <c r="G8409" i="1"/>
  <c r="M8408" i="1"/>
  <c r="L8408" i="1"/>
  <c r="K8408" i="1"/>
  <c r="J8408" i="1"/>
  <c r="I8408" i="1"/>
  <c r="H8408" i="1"/>
  <c r="G8408" i="1"/>
  <c r="M8407" i="1"/>
  <c r="L8407" i="1"/>
  <c r="K8407" i="1"/>
  <c r="J8407" i="1"/>
  <c r="I8407" i="1"/>
  <c r="H8407" i="1"/>
  <c r="G8407" i="1"/>
  <c r="M8406" i="1"/>
  <c r="L8406" i="1"/>
  <c r="K8406" i="1"/>
  <c r="J8406" i="1"/>
  <c r="I8406" i="1"/>
  <c r="H8406" i="1"/>
  <c r="G8406" i="1"/>
  <c r="M8405" i="1"/>
  <c r="L8405" i="1"/>
  <c r="K8405" i="1"/>
  <c r="J8405" i="1"/>
  <c r="I8405" i="1"/>
  <c r="H8405" i="1"/>
  <c r="G8405" i="1"/>
  <c r="M8404" i="1"/>
  <c r="L8404" i="1"/>
  <c r="K8404" i="1"/>
  <c r="J8404" i="1"/>
  <c r="I8404" i="1"/>
  <c r="H8404" i="1"/>
  <c r="G8404" i="1"/>
  <c r="M8403" i="1"/>
  <c r="L8403" i="1"/>
  <c r="K8403" i="1"/>
  <c r="J8403" i="1"/>
  <c r="I8403" i="1"/>
  <c r="H8403" i="1"/>
  <c r="G8403" i="1"/>
  <c r="M8402" i="1"/>
  <c r="L8402" i="1"/>
  <c r="K8402" i="1"/>
  <c r="J8402" i="1"/>
  <c r="I8402" i="1"/>
  <c r="H8402" i="1"/>
  <c r="G8402" i="1"/>
  <c r="M8401" i="1"/>
  <c r="L8401" i="1"/>
  <c r="K8401" i="1"/>
  <c r="J8401" i="1"/>
  <c r="I8401" i="1"/>
  <c r="H8401" i="1"/>
  <c r="G8401" i="1"/>
  <c r="M8400" i="1"/>
  <c r="L8400" i="1"/>
  <c r="K8400" i="1"/>
  <c r="J8400" i="1"/>
  <c r="I8400" i="1"/>
  <c r="H8400" i="1"/>
  <c r="G8400" i="1"/>
  <c r="M8399" i="1"/>
  <c r="L8399" i="1"/>
  <c r="K8399" i="1"/>
  <c r="J8399" i="1"/>
  <c r="I8399" i="1"/>
  <c r="H8399" i="1"/>
  <c r="G8399" i="1"/>
  <c r="M8398" i="1"/>
  <c r="L8398" i="1"/>
  <c r="K8398" i="1"/>
  <c r="J8398" i="1"/>
  <c r="I8398" i="1"/>
  <c r="H8398" i="1"/>
  <c r="G8398" i="1"/>
  <c r="M8397" i="1"/>
  <c r="L8397" i="1"/>
  <c r="K8397" i="1"/>
  <c r="J8397" i="1"/>
  <c r="I8397" i="1"/>
  <c r="H8397" i="1"/>
  <c r="G8397" i="1"/>
  <c r="M8396" i="1"/>
  <c r="L8396" i="1"/>
  <c r="K8396" i="1"/>
  <c r="J8396" i="1"/>
  <c r="I8396" i="1"/>
  <c r="H8396" i="1"/>
  <c r="G8396" i="1"/>
  <c r="M8395" i="1"/>
  <c r="L8395" i="1"/>
  <c r="K8395" i="1"/>
  <c r="J8395" i="1"/>
  <c r="I8395" i="1"/>
  <c r="H8395" i="1"/>
  <c r="G8395" i="1"/>
  <c r="M8394" i="1"/>
  <c r="L8394" i="1"/>
  <c r="K8394" i="1"/>
  <c r="J8394" i="1"/>
  <c r="I8394" i="1"/>
  <c r="H8394" i="1"/>
  <c r="G8394" i="1"/>
  <c r="M8393" i="1"/>
  <c r="L8393" i="1"/>
  <c r="K8393" i="1"/>
  <c r="J8393" i="1"/>
  <c r="I8393" i="1"/>
  <c r="H8393" i="1"/>
  <c r="G8393" i="1"/>
  <c r="M8392" i="1"/>
  <c r="L8392" i="1"/>
  <c r="K8392" i="1"/>
  <c r="J8392" i="1"/>
  <c r="I8392" i="1"/>
  <c r="H8392" i="1"/>
  <c r="G8392" i="1"/>
  <c r="M8391" i="1"/>
  <c r="L8391" i="1"/>
  <c r="K8391" i="1"/>
  <c r="J8391" i="1"/>
  <c r="I8391" i="1"/>
  <c r="H8391" i="1"/>
  <c r="G8391" i="1"/>
  <c r="M8390" i="1"/>
  <c r="L8390" i="1"/>
  <c r="K8390" i="1"/>
  <c r="J8390" i="1"/>
  <c r="I8390" i="1"/>
  <c r="H8390" i="1"/>
  <c r="G8390" i="1"/>
  <c r="M8389" i="1"/>
  <c r="L8389" i="1"/>
  <c r="K8389" i="1"/>
  <c r="J8389" i="1"/>
  <c r="I8389" i="1"/>
  <c r="H8389" i="1"/>
  <c r="G8389" i="1"/>
  <c r="M8388" i="1"/>
  <c r="L8388" i="1"/>
  <c r="K8388" i="1"/>
  <c r="J8388" i="1"/>
  <c r="I8388" i="1"/>
  <c r="H8388" i="1"/>
  <c r="G8388" i="1"/>
  <c r="M8387" i="1"/>
  <c r="L8387" i="1"/>
  <c r="K8387" i="1"/>
  <c r="J8387" i="1"/>
  <c r="I8387" i="1"/>
  <c r="H8387" i="1"/>
  <c r="G8387" i="1"/>
  <c r="M8386" i="1"/>
  <c r="L8386" i="1"/>
  <c r="K8386" i="1"/>
  <c r="J8386" i="1"/>
  <c r="I8386" i="1"/>
  <c r="H8386" i="1"/>
  <c r="G8386" i="1"/>
  <c r="M8385" i="1"/>
  <c r="L8385" i="1"/>
  <c r="K8385" i="1"/>
  <c r="J8385" i="1"/>
  <c r="I8385" i="1"/>
  <c r="H8385" i="1"/>
  <c r="G8385" i="1"/>
  <c r="M8384" i="1"/>
  <c r="L8384" i="1"/>
  <c r="K8384" i="1"/>
  <c r="J8384" i="1"/>
  <c r="I8384" i="1"/>
  <c r="H8384" i="1"/>
  <c r="G8384" i="1"/>
  <c r="M8383" i="1"/>
  <c r="L8383" i="1"/>
  <c r="K8383" i="1"/>
  <c r="J8383" i="1"/>
  <c r="I8383" i="1"/>
  <c r="H8383" i="1"/>
  <c r="G8383" i="1"/>
  <c r="M8382" i="1"/>
  <c r="L8382" i="1"/>
  <c r="K8382" i="1"/>
  <c r="J8382" i="1"/>
  <c r="I8382" i="1"/>
  <c r="H8382" i="1"/>
  <c r="G8382" i="1"/>
  <c r="M8381" i="1"/>
  <c r="L8381" i="1"/>
  <c r="K8381" i="1"/>
  <c r="J8381" i="1"/>
  <c r="I8381" i="1"/>
  <c r="H8381" i="1"/>
  <c r="G8381" i="1"/>
  <c r="M8380" i="1"/>
  <c r="L8380" i="1"/>
  <c r="K8380" i="1"/>
  <c r="J8380" i="1"/>
  <c r="I8380" i="1"/>
  <c r="H8380" i="1"/>
  <c r="G8380" i="1"/>
  <c r="M8379" i="1"/>
  <c r="L8379" i="1"/>
  <c r="K8379" i="1"/>
  <c r="J8379" i="1"/>
  <c r="I8379" i="1"/>
  <c r="H8379" i="1"/>
  <c r="G8379" i="1"/>
  <c r="M8378" i="1"/>
  <c r="L8378" i="1"/>
  <c r="K8378" i="1"/>
  <c r="J8378" i="1"/>
  <c r="I8378" i="1"/>
  <c r="H8378" i="1"/>
  <c r="G8378" i="1"/>
  <c r="M8377" i="1"/>
  <c r="L8377" i="1"/>
  <c r="K8377" i="1"/>
  <c r="J8377" i="1"/>
  <c r="I8377" i="1"/>
  <c r="H8377" i="1"/>
  <c r="G8377" i="1"/>
  <c r="M8376" i="1"/>
  <c r="L8376" i="1"/>
  <c r="K8376" i="1"/>
  <c r="J8376" i="1"/>
  <c r="I8376" i="1"/>
  <c r="H8376" i="1"/>
  <c r="G8376" i="1"/>
  <c r="M8375" i="1"/>
  <c r="L8375" i="1"/>
  <c r="K8375" i="1"/>
  <c r="J8375" i="1"/>
  <c r="I8375" i="1"/>
  <c r="H8375" i="1"/>
  <c r="G8375" i="1"/>
  <c r="M8374" i="1"/>
  <c r="L8374" i="1"/>
  <c r="K8374" i="1"/>
  <c r="J8374" i="1"/>
  <c r="I8374" i="1"/>
  <c r="H8374" i="1"/>
  <c r="G8374" i="1"/>
  <c r="M8373" i="1"/>
  <c r="L8373" i="1"/>
  <c r="K8373" i="1"/>
  <c r="J8373" i="1"/>
  <c r="I8373" i="1"/>
  <c r="H8373" i="1"/>
  <c r="G8373" i="1"/>
  <c r="M8372" i="1"/>
  <c r="L8372" i="1"/>
  <c r="K8372" i="1"/>
  <c r="J8372" i="1"/>
  <c r="I8372" i="1"/>
  <c r="H8372" i="1"/>
  <c r="G8372" i="1"/>
  <c r="M8371" i="1"/>
  <c r="L8371" i="1"/>
  <c r="K8371" i="1"/>
  <c r="J8371" i="1"/>
  <c r="I8371" i="1"/>
  <c r="H8371" i="1"/>
  <c r="G8371" i="1"/>
  <c r="M8370" i="1"/>
  <c r="L8370" i="1"/>
  <c r="K8370" i="1"/>
  <c r="J8370" i="1"/>
  <c r="I8370" i="1"/>
  <c r="H8370" i="1"/>
  <c r="G8370" i="1"/>
  <c r="M8369" i="1"/>
  <c r="L8369" i="1"/>
  <c r="K8369" i="1"/>
  <c r="J8369" i="1"/>
  <c r="I8369" i="1"/>
  <c r="H8369" i="1"/>
  <c r="G8369" i="1"/>
  <c r="M8368" i="1"/>
  <c r="L8368" i="1"/>
  <c r="K8368" i="1"/>
  <c r="J8368" i="1"/>
  <c r="I8368" i="1"/>
  <c r="H8368" i="1"/>
  <c r="G8368" i="1"/>
  <c r="M8367" i="1"/>
  <c r="L8367" i="1"/>
  <c r="K8367" i="1"/>
  <c r="J8367" i="1"/>
  <c r="I8367" i="1"/>
  <c r="H8367" i="1"/>
  <c r="G8367" i="1"/>
  <c r="M8366" i="1"/>
  <c r="L8366" i="1"/>
  <c r="K8366" i="1"/>
  <c r="J8366" i="1"/>
  <c r="I8366" i="1"/>
  <c r="H8366" i="1"/>
  <c r="G8366" i="1"/>
  <c r="M8365" i="1"/>
  <c r="L8365" i="1"/>
  <c r="K8365" i="1"/>
  <c r="J8365" i="1"/>
  <c r="I8365" i="1"/>
  <c r="H8365" i="1"/>
  <c r="G8365" i="1"/>
  <c r="M8364" i="1"/>
  <c r="L8364" i="1"/>
  <c r="K8364" i="1"/>
  <c r="J8364" i="1"/>
  <c r="I8364" i="1"/>
  <c r="H8364" i="1"/>
  <c r="G8364" i="1"/>
  <c r="M8363" i="1"/>
  <c r="L8363" i="1"/>
  <c r="K8363" i="1"/>
  <c r="J8363" i="1"/>
  <c r="I8363" i="1"/>
  <c r="H8363" i="1"/>
  <c r="G8363" i="1"/>
  <c r="M8362" i="1"/>
  <c r="L8362" i="1"/>
  <c r="K8362" i="1"/>
  <c r="J8362" i="1"/>
  <c r="I8362" i="1"/>
  <c r="H8362" i="1"/>
  <c r="G8362" i="1"/>
  <c r="M8361" i="1"/>
  <c r="L8361" i="1"/>
  <c r="K8361" i="1"/>
  <c r="J8361" i="1"/>
  <c r="I8361" i="1"/>
  <c r="H8361" i="1"/>
  <c r="G8361" i="1"/>
  <c r="M8360" i="1"/>
  <c r="L8360" i="1"/>
  <c r="K8360" i="1"/>
  <c r="J8360" i="1"/>
  <c r="I8360" i="1"/>
  <c r="H8360" i="1"/>
  <c r="G8360" i="1"/>
  <c r="M8359" i="1"/>
  <c r="L8359" i="1"/>
  <c r="K8359" i="1"/>
  <c r="J8359" i="1"/>
  <c r="I8359" i="1"/>
  <c r="H8359" i="1"/>
  <c r="G8359" i="1"/>
  <c r="M8358" i="1"/>
  <c r="L8358" i="1"/>
  <c r="K8358" i="1"/>
  <c r="J8358" i="1"/>
  <c r="I8358" i="1"/>
  <c r="H8358" i="1"/>
  <c r="G8358" i="1"/>
  <c r="M8357" i="1"/>
  <c r="L8357" i="1"/>
  <c r="K8357" i="1"/>
  <c r="J8357" i="1"/>
  <c r="I8357" i="1"/>
  <c r="H8357" i="1"/>
  <c r="G8357" i="1"/>
  <c r="M8356" i="1"/>
  <c r="L8356" i="1"/>
  <c r="K8356" i="1"/>
  <c r="J8356" i="1"/>
  <c r="I8356" i="1"/>
  <c r="H8356" i="1"/>
  <c r="G8356" i="1"/>
  <c r="M8355" i="1"/>
  <c r="L8355" i="1"/>
  <c r="K8355" i="1"/>
  <c r="J8355" i="1"/>
  <c r="I8355" i="1"/>
  <c r="H8355" i="1"/>
  <c r="G8355" i="1"/>
  <c r="M8354" i="1"/>
  <c r="L8354" i="1"/>
  <c r="K8354" i="1"/>
  <c r="J8354" i="1"/>
  <c r="I8354" i="1"/>
  <c r="H8354" i="1"/>
  <c r="G8354" i="1"/>
  <c r="M8353" i="1"/>
  <c r="L8353" i="1"/>
  <c r="K8353" i="1"/>
  <c r="J8353" i="1"/>
  <c r="I8353" i="1"/>
  <c r="H8353" i="1"/>
  <c r="G8353" i="1"/>
  <c r="M8352" i="1"/>
  <c r="L8352" i="1"/>
  <c r="K8352" i="1"/>
  <c r="J8352" i="1"/>
  <c r="I8352" i="1"/>
  <c r="H8352" i="1"/>
  <c r="G8352" i="1"/>
  <c r="M8351" i="1"/>
  <c r="L8351" i="1"/>
  <c r="K8351" i="1"/>
  <c r="J8351" i="1"/>
  <c r="I8351" i="1"/>
  <c r="H8351" i="1"/>
  <c r="G8351" i="1"/>
  <c r="M8350" i="1"/>
  <c r="L8350" i="1"/>
  <c r="K8350" i="1"/>
  <c r="J8350" i="1"/>
  <c r="I8350" i="1"/>
  <c r="H8350" i="1"/>
  <c r="G8350" i="1"/>
  <c r="M8349" i="1"/>
  <c r="L8349" i="1"/>
  <c r="K8349" i="1"/>
  <c r="J8349" i="1"/>
  <c r="I8349" i="1"/>
  <c r="H8349" i="1"/>
  <c r="G8349" i="1"/>
  <c r="M8348" i="1"/>
  <c r="L8348" i="1"/>
  <c r="K8348" i="1"/>
  <c r="J8348" i="1"/>
  <c r="I8348" i="1"/>
  <c r="H8348" i="1"/>
  <c r="G8348" i="1"/>
  <c r="M8347" i="1"/>
  <c r="L8347" i="1"/>
  <c r="K8347" i="1"/>
  <c r="J8347" i="1"/>
  <c r="I8347" i="1"/>
  <c r="H8347" i="1"/>
  <c r="G8347" i="1"/>
  <c r="M8346" i="1"/>
  <c r="L8346" i="1"/>
  <c r="K8346" i="1"/>
  <c r="J8346" i="1"/>
  <c r="I8346" i="1"/>
  <c r="H8346" i="1"/>
  <c r="G8346" i="1"/>
  <c r="M8345" i="1"/>
  <c r="L8345" i="1"/>
  <c r="K8345" i="1"/>
  <c r="J8345" i="1"/>
  <c r="I8345" i="1"/>
  <c r="H8345" i="1"/>
  <c r="G8345" i="1"/>
  <c r="M8344" i="1"/>
  <c r="L8344" i="1"/>
  <c r="K8344" i="1"/>
  <c r="J8344" i="1"/>
  <c r="I8344" i="1"/>
  <c r="H8344" i="1"/>
  <c r="G8344" i="1"/>
  <c r="M8343" i="1"/>
  <c r="L8343" i="1"/>
  <c r="K8343" i="1"/>
  <c r="J8343" i="1"/>
  <c r="I8343" i="1"/>
  <c r="H8343" i="1"/>
  <c r="G8343" i="1"/>
  <c r="M8342" i="1"/>
  <c r="L8342" i="1"/>
  <c r="K8342" i="1"/>
  <c r="J8342" i="1"/>
  <c r="I8342" i="1"/>
  <c r="H8342" i="1"/>
  <c r="G8342" i="1"/>
  <c r="M8341" i="1"/>
  <c r="L8341" i="1"/>
  <c r="K8341" i="1"/>
  <c r="J8341" i="1"/>
  <c r="I8341" i="1"/>
  <c r="H8341" i="1"/>
  <c r="G8341" i="1"/>
  <c r="M8340" i="1"/>
  <c r="L8340" i="1"/>
  <c r="K8340" i="1"/>
  <c r="J8340" i="1"/>
  <c r="I8340" i="1"/>
  <c r="H8340" i="1"/>
  <c r="G8340" i="1"/>
  <c r="M8339" i="1"/>
  <c r="L8339" i="1"/>
  <c r="K8339" i="1"/>
  <c r="J8339" i="1"/>
  <c r="I8339" i="1"/>
  <c r="H8339" i="1"/>
  <c r="G8339" i="1"/>
  <c r="M8338" i="1"/>
  <c r="L8338" i="1"/>
  <c r="K8338" i="1"/>
  <c r="J8338" i="1"/>
  <c r="I8338" i="1"/>
  <c r="H8338" i="1"/>
  <c r="G8338" i="1"/>
  <c r="M8337" i="1"/>
  <c r="L8337" i="1"/>
  <c r="K8337" i="1"/>
  <c r="J8337" i="1"/>
  <c r="I8337" i="1"/>
  <c r="H8337" i="1"/>
  <c r="G8337" i="1"/>
  <c r="M8336" i="1"/>
  <c r="L8336" i="1"/>
  <c r="K8336" i="1"/>
  <c r="J8336" i="1"/>
  <c r="I8336" i="1"/>
  <c r="H8336" i="1"/>
  <c r="G8336" i="1"/>
  <c r="M8335" i="1"/>
  <c r="L8335" i="1"/>
  <c r="K8335" i="1"/>
  <c r="J8335" i="1"/>
  <c r="I8335" i="1"/>
  <c r="H8335" i="1"/>
  <c r="G8335" i="1"/>
  <c r="M8334" i="1"/>
  <c r="L8334" i="1"/>
  <c r="K8334" i="1"/>
  <c r="J8334" i="1"/>
  <c r="I8334" i="1"/>
  <c r="H8334" i="1"/>
  <c r="G8334" i="1"/>
  <c r="M8333" i="1"/>
  <c r="L8333" i="1"/>
  <c r="K8333" i="1"/>
  <c r="J8333" i="1"/>
  <c r="I8333" i="1"/>
  <c r="H8333" i="1"/>
  <c r="G8333" i="1"/>
  <c r="M8332" i="1"/>
  <c r="L8332" i="1"/>
  <c r="K8332" i="1"/>
  <c r="J8332" i="1"/>
  <c r="I8332" i="1"/>
  <c r="H8332" i="1"/>
  <c r="G8332" i="1"/>
  <c r="M8331" i="1"/>
  <c r="L8331" i="1"/>
  <c r="K8331" i="1"/>
  <c r="J8331" i="1"/>
  <c r="I8331" i="1"/>
  <c r="H8331" i="1"/>
  <c r="G8331" i="1"/>
  <c r="M8330" i="1"/>
  <c r="L8330" i="1"/>
  <c r="K8330" i="1"/>
  <c r="J8330" i="1"/>
  <c r="I8330" i="1"/>
  <c r="H8330" i="1"/>
  <c r="G8330" i="1"/>
  <c r="M8329" i="1"/>
  <c r="L8329" i="1"/>
  <c r="K8329" i="1"/>
  <c r="J8329" i="1"/>
  <c r="I8329" i="1"/>
  <c r="H8329" i="1"/>
  <c r="G8329" i="1"/>
  <c r="M8328" i="1"/>
  <c r="L8328" i="1"/>
  <c r="K8328" i="1"/>
  <c r="J8328" i="1"/>
  <c r="I8328" i="1"/>
  <c r="H8328" i="1"/>
  <c r="G8328" i="1"/>
  <c r="M8327" i="1"/>
  <c r="L8327" i="1"/>
  <c r="K8327" i="1"/>
  <c r="J8327" i="1"/>
  <c r="I8327" i="1"/>
  <c r="H8327" i="1"/>
  <c r="G8327" i="1"/>
  <c r="M8326" i="1"/>
  <c r="L8326" i="1"/>
  <c r="K8326" i="1"/>
  <c r="J8326" i="1"/>
  <c r="I8326" i="1"/>
  <c r="H8326" i="1"/>
  <c r="G8326" i="1"/>
  <c r="M8325" i="1"/>
  <c r="L8325" i="1"/>
  <c r="K8325" i="1"/>
  <c r="J8325" i="1"/>
  <c r="I8325" i="1"/>
  <c r="H8325" i="1"/>
  <c r="G8325" i="1"/>
  <c r="M8324" i="1"/>
  <c r="L8324" i="1"/>
  <c r="K8324" i="1"/>
  <c r="J8324" i="1"/>
  <c r="I8324" i="1"/>
  <c r="H8324" i="1"/>
  <c r="G8324" i="1"/>
  <c r="M8323" i="1"/>
  <c r="L8323" i="1"/>
  <c r="K8323" i="1"/>
  <c r="J8323" i="1"/>
  <c r="I8323" i="1"/>
  <c r="H8323" i="1"/>
  <c r="G8323" i="1"/>
  <c r="M8322" i="1"/>
  <c r="L8322" i="1"/>
  <c r="K8322" i="1"/>
  <c r="J8322" i="1"/>
  <c r="I8322" i="1"/>
  <c r="H8322" i="1"/>
  <c r="G8322" i="1"/>
  <c r="M8321" i="1"/>
  <c r="L8321" i="1"/>
  <c r="K8321" i="1"/>
  <c r="J8321" i="1"/>
  <c r="I8321" i="1"/>
  <c r="H8321" i="1"/>
  <c r="G8321" i="1"/>
  <c r="M8320" i="1"/>
  <c r="L8320" i="1"/>
  <c r="K8320" i="1"/>
  <c r="J8320" i="1"/>
  <c r="I8320" i="1"/>
  <c r="H8320" i="1"/>
  <c r="G8320" i="1"/>
  <c r="M8319" i="1"/>
  <c r="L8319" i="1"/>
  <c r="K8319" i="1"/>
  <c r="J8319" i="1"/>
  <c r="I8319" i="1"/>
  <c r="H8319" i="1"/>
  <c r="G8319" i="1"/>
  <c r="M8318" i="1"/>
  <c r="L8318" i="1"/>
  <c r="K8318" i="1"/>
  <c r="J8318" i="1"/>
  <c r="I8318" i="1"/>
  <c r="H8318" i="1"/>
  <c r="G8318" i="1"/>
  <c r="M8317" i="1"/>
  <c r="L8317" i="1"/>
  <c r="K8317" i="1"/>
  <c r="J8317" i="1"/>
  <c r="I8317" i="1"/>
  <c r="H8317" i="1"/>
  <c r="G8317" i="1"/>
  <c r="M8316" i="1"/>
  <c r="L8316" i="1"/>
  <c r="K8316" i="1"/>
  <c r="J8316" i="1"/>
  <c r="I8316" i="1"/>
  <c r="H8316" i="1"/>
  <c r="G8316" i="1"/>
  <c r="M8315" i="1"/>
  <c r="L8315" i="1"/>
  <c r="K8315" i="1"/>
  <c r="J8315" i="1"/>
  <c r="I8315" i="1"/>
  <c r="H8315" i="1"/>
  <c r="G8315" i="1"/>
  <c r="M8314" i="1"/>
  <c r="L8314" i="1"/>
  <c r="K8314" i="1"/>
  <c r="J8314" i="1"/>
  <c r="I8314" i="1"/>
  <c r="H8314" i="1"/>
  <c r="G8314" i="1"/>
  <c r="M8313" i="1"/>
  <c r="L8313" i="1"/>
  <c r="K8313" i="1"/>
  <c r="J8313" i="1"/>
  <c r="I8313" i="1"/>
  <c r="H8313" i="1"/>
  <c r="G8313" i="1"/>
  <c r="M8312" i="1"/>
  <c r="L8312" i="1"/>
  <c r="K8312" i="1"/>
  <c r="J8312" i="1"/>
  <c r="I8312" i="1"/>
  <c r="H8312" i="1"/>
  <c r="G8312" i="1"/>
  <c r="M8311" i="1"/>
  <c r="L8311" i="1"/>
  <c r="K8311" i="1"/>
  <c r="J8311" i="1"/>
  <c r="I8311" i="1"/>
  <c r="H8311" i="1"/>
  <c r="G8311" i="1"/>
  <c r="M8310" i="1"/>
  <c r="L8310" i="1"/>
  <c r="K8310" i="1"/>
  <c r="J8310" i="1"/>
  <c r="I8310" i="1"/>
  <c r="H8310" i="1"/>
  <c r="G8310" i="1"/>
  <c r="M8309" i="1"/>
  <c r="L8309" i="1"/>
  <c r="K8309" i="1"/>
  <c r="J8309" i="1"/>
  <c r="I8309" i="1"/>
  <c r="H8309" i="1"/>
  <c r="G8309" i="1"/>
  <c r="M8308" i="1"/>
  <c r="L8308" i="1"/>
  <c r="K8308" i="1"/>
  <c r="J8308" i="1"/>
  <c r="I8308" i="1"/>
  <c r="H8308" i="1"/>
  <c r="G8308" i="1"/>
  <c r="M8307" i="1"/>
  <c r="L8307" i="1"/>
  <c r="K8307" i="1"/>
  <c r="J8307" i="1"/>
  <c r="I8307" i="1"/>
  <c r="H8307" i="1"/>
  <c r="G8307" i="1"/>
  <c r="M8306" i="1"/>
  <c r="L8306" i="1"/>
  <c r="K8306" i="1"/>
  <c r="J8306" i="1"/>
  <c r="I8306" i="1"/>
  <c r="H8306" i="1"/>
  <c r="G8306" i="1"/>
  <c r="M8305" i="1"/>
  <c r="L8305" i="1"/>
  <c r="K8305" i="1"/>
  <c r="J8305" i="1"/>
  <c r="I8305" i="1"/>
  <c r="H8305" i="1"/>
  <c r="G8305" i="1"/>
  <c r="M8304" i="1"/>
  <c r="L8304" i="1"/>
  <c r="K8304" i="1"/>
  <c r="J8304" i="1"/>
  <c r="I8304" i="1"/>
  <c r="H8304" i="1"/>
  <c r="G8304" i="1"/>
  <c r="M8303" i="1"/>
  <c r="L8303" i="1"/>
  <c r="K8303" i="1"/>
  <c r="J8303" i="1"/>
  <c r="I8303" i="1"/>
  <c r="H8303" i="1"/>
  <c r="G8303" i="1"/>
  <c r="M8302" i="1"/>
  <c r="L8302" i="1"/>
  <c r="K8302" i="1"/>
  <c r="J8302" i="1"/>
  <c r="I8302" i="1"/>
  <c r="H8302" i="1"/>
  <c r="G8302" i="1"/>
  <c r="M8301" i="1"/>
  <c r="L8301" i="1"/>
  <c r="K8301" i="1"/>
  <c r="J8301" i="1"/>
  <c r="I8301" i="1"/>
  <c r="H8301" i="1"/>
  <c r="G8301" i="1"/>
  <c r="M8300" i="1"/>
  <c r="L8300" i="1"/>
  <c r="K8300" i="1"/>
  <c r="J8300" i="1"/>
  <c r="I8300" i="1"/>
  <c r="H8300" i="1"/>
  <c r="G8300" i="1"/>
  <c r="M8299" i="1"/>
  <c r="L8299" i="1"/>
  <c r="K8299" i="1"/>
  <c r="J8299" i="1"/>
  <c r="I8299" i="1"/>
  <c r="H8299" i="1"/>
  <c r="G8299" i="1"/>
  <c r="M8298" i="1"/>
  <c r="L8298" i="1"/>
  <c r="K8298" i="1"/>
  <c r="J8298" i="1"/>
  <c r="I8298" i="1"/>
  <c r="H8298" i="1"/>
  <c r="G8298" i="1"/>
  <c r="M8297" i="1"/>
  <c r="L8297" i="1"/>
  <c r="K8297" i="1"/>
  <c r="J8297" i="1"/>
  <c r="I8297" i="1"/>
  <c r="H8297" i="1"/>
  <c r="G8297" i="1"/>
  <c r="M8296" i="1"/>
  <c r="L8296" i="1"/>
  <c r="K8296" i="1"/>
  <c r="J8296" i="1"/>
  <c r="I8296" i="1"/>
  <c r="H8296" i="1"/>
  <c r="G8296" i="1"/>
  <c r="M8295" i="1"/>
  <c r="L8295" i="1"/>
  <c r="K8295" i="1"/>
  <c r="J8295" i="1"/>
  <c r="I8295" i="1"/>
  <c r="H8295" i="1"/>
  <c r="G8295" i="1"/>
  <c r="M8294" i="1"/>
  <c r="L8294" i="1"/>
  <c r="K8294" i="1"/>
  <c r="J8294" i="1"/>
  <c r="I8294" i="1"/>
  <c r="H8294" i="1"/>
  <c r="G8294" i="1"/>
  <c r="M8293" i="1"/>
  <c r="L8293" i="1"/>
  <c r="K8293" i="1"/>
  <c r="J8293" i="1"/>
  <c r="I8293" i="1"/>
  <c r="H8293" i="1"/>
  <c r="G8293" i="1"/>
  <c r="M8292" i="1"/>
  <c r="L8292" i="1"/>
  <c r="K8292" i="1"/>
  <c r="J8292" i="1"/>
  <c r="I8292" i="1"/>
  <c r="H8292" i="1"/>
  <c r="G8292" i="1"/>
  <c r="M8291" i="1"/>
  <c r="L8291" i="1"/>
  <c r="K8291" i="1"/>
  <c r="J8291" i="1"/>
  <c r="I8291" i="1"/>
  <c r="H8291" i="1"/>
  <c r="G8291" i="1"/>
  <c r="M8290" i="1"/>
  <c r="L8290" i="1"/>
  <c r="K8290" i="1"/>
  <c r="J8290" i="1"/>
  <c r="I8290" i="1"/>
  <c r="H8290" i="1"/>
  <c r="G8290" i="1"/>
  <c r="M8289" i="1"/>
  <c r="L8289" i="1"/>
  <c r="K8289" i="1"/>
  <c r="J8289" i="1"/>
  <c r="I8289" i="1"/>
  <c r="H8289" i="1"/>
  <c r="G8289" i="1"/>
  <c r="M8288" i="1"/>
  <c r="L8288" i="1"/>
  <c r="K8288" i="1"/>
  <c r="J8288" i="1"/>
  <c r="I8288" i="1"/>
  <c r="H8288" i="1"/>
  <c r="G8288" i="1"/>
  <c r="M8287" i="1"/>
  <c r="L8287" i="1"/>
  <c r="K8287" i="1"/>
  <c r="J8287" i="1"/>
  <c r="I8287" i="1"/>
  <c r="H8287" i="1"/>
  <c r="G8287" i="1"/>
  <c r="M8286" i="1"/>
  <c r="L8286" i="1"/>
  <c r="K8286" i="1"/>
  <c r="J8286" i="1"/>
  <c r="I8286" i="1"/>
  <c r="H8286" i="1"/>
  <c r="G8286" i="1"/>
  <c r="M8285" i="1"/>
  <c r="L8285" i="1"/>
  <c r="K8285" i="1"/>
  <c r="J8285" i="1"/>
  <c r="I8285" i="1"/>
  <c r="H8285" i="1"/>
  <c r="G8285" i="1"/>
  <c r="M8284" i="1"/>
  <c r="L8284" i="1"/>
  <c r="K8284" i="1"/>
  <c r="J8284" i="1"/>
  <c r="I8284" i="1"/>
  <c r="H8284" i="1"/>
  <c r="G8284" i="1"/>
  <c r="M8283" i="1"/>
  <c r="L8283" i="1"/>
  <c r="K8283" i="1"/>
  <c r="J8283" i="1"/>
  <c r="I8283" i="1"/>
  <c r="H8283" i="1"/>
  <c r="G8283" i="1"/>
  <c r="M8282" i="1"/>
  <c r="L8282" i="1"/>
  <c r="K8282" i="1"/>
  <c r="J8282" i="1"/>
  <c r="I8282" i="1"/>
  <c r="H8282" i="1"/>
  <c r="G8282" i="1"/>
  <c r="M8281" i="1"/>
  <c r="L8281" i="1"/>
  <c r="K8281" i="1"/>
  <c r="J8281" i="1"/>
  <c r="I8281" i="1"/>
  <c r="H8281" i="1"/>
  <c r="G8281" i="1"/>
  <c r="M8280" i="1"/>
  <c r="L8280" i="1"/>
  <c r="K8280" i="1"/>
  <c r="J8280" i="1"/>
  <c r="I8280" i="1"/>
  <c r="H8280" i="1"/>
  <c r="G8280" i="1"/>
  <c r="M8279" i="1"/>
  <c r="L8279" i="1"/>
  <c r="K8279" i="1"/>
  <c r="J8279" i="1"/>
  <c r="I8279" i="1"/>
  <c r="H8279" i="1"/>
  <c r="G8279" i="1"/>
  <c r="M8278" i="1"/>
  <c r="L8278" i="1"/>
  <c r="K8278" i="1"/>
  <c r="J8278" i="1"/>
  <c r="I8278" i="1"/>
  <c r="H8278" i="1"/>
  <c r="G8278" i="1"/>
  <c r="M8277" i="1"/>
  <c r="L8277" i="1"/>
  <c r="K8277" i="1"/>
  <c r="J8277" i="1"/>
  <c r="I8277" i="1"/>
  <c r="H8277" i="1"/>
  <c r="G8277" i="1"/>
  <c r="M8276" i="1"/>
  <c r="L8276" i="1"/>
  <c r="K8276" i="1"/>
  <c r="J8276" i="1"/>
  <c r="I8276" i="1"/>
  <c r="H8276" i="1"/>
  <c r="G8276" i="1"/>
  <c r="M8275" i="1"/>
  <c r="L8275" i="1"/>
  <c r="K8275" i="1"/>
  <c r="J8275" i="1"/>
  <c r="I8275" i="1"/>
  <c r="H8275" i="1"/>
  <c r="G8275" i="1"/>
  <c r="M8274" i="1"/>
  <c r="L8274" i="1"/>
  <c r="K8274" i="1"/>
  <c r="J8274" i="1"/>
  <c r="I8274" i="1"/>
  <c r="H8274" i="1"/>
  <c r="G8274" i="1"/>
  <c r="M8273" i="1"/>
  <c r="L8273" i="1"/>
  <c r="K8273" i="1"/>
  <c r="J8273" i="1"/>
  <c r="I8273" i="1"/>
  <c r="H8273" i="1"/>
  <c r="G8273" i="1"/>
  <c r="M8272" i="1"/>
  <c r="L8272" i="1"/>
  <c r="K8272" i="1"/>
  <c r="J8272" i="1"/>
  <c r="I8272" i="1"/>
  <c r="H8272" i="1"/>
  <c r="G8272" i="1"/>
  <c r="M8271" i="1"/>
  <c r="L8271" i="1"/>
  <c r="K8271" i="1"/>
  <c r="J8271" i="1"/>
  <c r="I8271" i="1"/>
  <c r="H8271" i="1"/>
  <c r="G8271" i="1"/>
  <c r="M8270" i="1"/>
  <c r="L8270" i="1"/>
  <c r="K8270" i="1"/>
  <c r="J8270" i="1"/>
  <c r="I8270" i="1"/>
  <c r="H8270" i="1"/>
  <c r="G8270" i="1"/>
  <c r="M8269" i="1"/>
  <c r="L8269" i="1"/>
  <c r="K8269" i="1"/>
  <c r="J8269" i="1"/>
  <c r="I8269" i="1"/>
  <c r="H8269" i="1"/>
  <c r="G8269" i="1"/>
  <c r="M8268" i="1"/>
  <c r="L8268" i="1"/>
  <c r="K8268" i="1"/>
  <c r="J8268" i="1"/>
  <c r="I8268" i="1"/>
  <c r="H8268" i="1"/>
  <c r="G8268" i="1"/>
  <c r="M8267" i="1"/>
  <c r="L8267" i="1"/>
  <c r="K8267" i="1"/>
  <c r="J8267" i="1"/>
  <c r="I8267" i="1"/>
  <c r="H8267" i="1"/>
  <c r="G8267" i="1"/>
  <c r="M8266" i="1"/>
  <c r="L8266" i="1"/>
  <c r="K8266" i="1"/>
  <c r="J8266" i="1"/>
  <c r="I8266" i="1"/>
  <c r="H8266" i="1"/>
  <c r="G8266" i="1"/>
  <c r="M8265" i="1"/>
  <c r="L8265" i="1"/>
  <c r="K8265" i="1"/>
  <c r="J8265" i="1"/>
  <c r="I8265" i="1"/>
  <c r="H8265" i="1"/>
  <c r="G8265" i="1"/>
  <c r="M8264" i="1"/>
  <c r="L8264" i="1"/>
  <c r="K8264" i="1"/>
  <c r="J8264" i="1"/>
  <c r="I8264" i="1"/>
  <c r="H8264" i="1"/>
  <c r="G8264" i="1"/>
  <c r="M8263" i="1"/>
  <c r="L8263" i="1"/>
  <c r="K8263" i="1"/>
  <c r="J8263" i="1"/>
  <c r="I8263" i="1"/>
  <c r="H8263" i="1"/>
  <c r="G8263" i="1"/>
  <c r="M8262" i="1"/>
  <c r="L8262" i="1"/>
  <c r="K8262" i="1"/>
  <c r="J8262" i="1"/>
  <c r="I8262" i="1"/>
  <c r="H8262" i="1"/>
  <c r="G8262" i="1"/>
  <c r="M8261" i="1"/>
  <c r="L8261" i="1"/>
  <c r="K8261" i="1"/>
  <c r="J8261" i="1"/>
  <c r="I8261" i="1"/>
  <c r="H8261" i="1"/>
  <c r="G8261" i="1"/>
  <c r="M8260" i="1"/>
  <c r="L8260" i="1"/>
  <c r="K8260" i="1"/>
  <c r="J8260" i="1"/>
  <c r="I8260" i="1"/>
  <c r="H8260" i="1"/>
  <c r="G8260" i="1"/>
  <c r="M8259" i="1"/>
  <c r="L8259" i="1"/>
  <c r="K8259" i="1"/>
  <c r="J8259" i="1"/>
  <c r="I8259" i="1"/>
  <c r="H8259" i="1"/>
  <c r="G8259" i="1"/>
  <c r="M8258" i="1"/>
  <c r="L8258" i="1"/>
  <c r="K8258" i="1"/>
  <c r="J8258" i="1"/>
  <c r="I8258" i="1"/>
  <c r="H8258" i="1"/>
  <c r="G8258" i="1"/>
  <c r="M8257" i="1"/>
  <c r="L8257" i="1"/>
  <c r="K8257" i="1"/>
  <c r="J8257" i="1"/>
  <c r="I8257" i="1"/>
  <c r="H8257" i="1"/>
  <c r="G8257" i="1"/>
  <c r="M8256" i="1"/>
  <c r="L8256" i="1"/>
  <c r="K8256" i="1"/>
  <c r="J8256" i="1"/>
  <c r="I8256" i="1"/>
  <c r="H8256" i="1"/>
  <c r="G8256" i="1"/>
  <c r="M8255" i="1"/>
  <c r="L8255" i="1"/>
  <c r="K8255" i="1"/>
  <c r="J8255" i="1"/>
  <c r="I8255" i="1"/>
  <c r="H8255" i="1"/>
  <c r="G8255" i="1"/>
  <c r="M8254" i="1"/>
  <c r="L8254" i="1"/>
  <c r="K8254" i="1"/>
  <c r="J8254" i="1"/>
  <c r="I8254" i="1"/>
  <c r="H8254" i="1"/>
  <c r="G8254" i="1"/>
  <c r="M8253" i="1"/>
  <c r="L8253" i="1"/>
  <c r="K8253" i="1"/>
  <c r="J8253" i="1"/>
  <c r="I8253" i="1"/>
  <c r="H8253" i="1"/>
  <c r="G8253" i="1"/>
  <c r="M8252" i="1"/>
  <c r="L8252" i="1"/>
  <c r="K8252" i="1"/>
  <c r="J8252" i="1"/>
  <c r="I8252" i="1"/>
  <c r="H8252" i="1"/>
  <c r="G8252" i="1"/>
  <c r="M8251" i="1"/>
  <c r="L8251" i="1"/>
  <c r="K8251" i="1"/>
  <c r="J8251" i="1"/>
  <c r="I8251" i="1"/>
  <c r="H8251" i="1"/>
  <c r="G8251" i="1"/>
  <c r="M8250" i="1"/>
  <c r="L8250" i="1"/>
  <c r="K8250" i="1"/>
  <c r="J8250" i="1"/>
  <c r="I8250" i="1"/>
  <c r="H8250" i="1"/>
  <c r="G8250" i="1"/>
  <c r="M8249" i="1"/>
  <c r="L8249" i="1"/>
  <c r="K8249" i="1"/>
  <c r="J8249" i="1"/>
  <c r="I8249" i="1"/>
  <c r="H8249" i="1"/>
  <c r="G8249" i="1"/>
  <c r="M8248" i="1"/>
  <c r="L8248" i="1"/>
  <c r="K8248" i="1"/>
  <c r="J8248" i="1"/>
  <c r="I8248" i="1"/>
  <c r="H8248" i="1"/>
  <c r="G8248" i="1"/>
  <c r="M8247" i="1"/>
  <c r="L8247" i="1"/>
  <c r="K8247" i="1"/>
  <c r="J8247" i="1"/>
  <c r="I8247" i="1"/>
  <c r="H8247" i="1"/>
  <c r="G8247" i="1"/>
  <c r="M8246" i="1"/>
  <c r="L8246" i="1"/>
  <c r="K8246" i="1"/>
  <c r="J8246" i="1"/>
  <c r="I8246" i="1"/>
  <c r="H8246" i="1"/>
  <c r="G8246" i="1"/>
  <c r="M8245" i="1"/>
  <c r="L8245" i="1"/>
  <c r="K8245" i="1"/>
  <c r="J8245" i="1"/>
  <c r="I8245" i="1"/>
  <c r="H8245" i="1"/>
  <c r="G8245" i="1"/>
  <c r="M8244" i="1"/>
  <c r="L8244" i="1"/>
  <c r="K8244" i="1"/>
  <c r="J8244" i="1"/>
  <c r="I8244" i="1"/>
  <c r="H8244" i="1"/>
  <c r="G8244" i="1"/>
  <c r="M8243" i="1"/>
  <c r="L8243" i="1"/>
  <c r="K8243" i="1"/>
  <c r="J8243" i="1"/>
  <c r="I8243" i="1"/>
  <c r="H8243" i="1"/>
  <c r="G8243" i="1"/>
  <c r="M8242" i="1"/>
  <c r="L8242" i="1"/>
  <c r="K8242" i="1"/>
  <c r="J8242" i="1"/>
  <c r="I8242" i="1"/>
  <c r="H8242" i="1"/>
  <c r="G8242" i="1"/>
  <c r="M8241" i="1"/>
  <c r="L8241" i="1"/>
  <c r="K8241" i="1"/>
  <c r="J8241" i="1"/>
  <c r="I8241" i="1"/>
  <c r="H8241" i="1"/>
  <c r="G8241" i="1"/>
  <c r="M8240" i="1"/>
  <c r="L8240" i="1"/>
  <c r="K8240" i="1"/>
  <c r="J8240" i="1"/>
  <c r="I8240" i="1"/>
  <c r="H8240" i="1"/>
  <c r="G8240" i="1"/>
  <c r="M8239" i="1"/>
  <c r="L8239" i="1"/>
  <c r="K8239" i="1"/>
  <c r="J8239" i="1"/>
  <c r="I8239" i="1"/>
  <c r="H8239" i="1"/>
  <c r="G8239" i="1"/>
  <c r="M8238" i="1"/>
  <c r="L8238" i="1"/>
  <c r="K8238" i="1"/>
  <c r="J8238" i="1"/>
  <c r="I8238" i="1"/>
  <c r="H8238" i="1"/>
  <c r="G8238" i="1"/>
  <c r="M8237" i="1"/>
  <c r="L8237" i="1"/>
  <c r="K8237" i="1"/>
  <c r="J8237" i="1"/>
  <c r="I8237" i="1"/>
  <c r="H8237" i="1"/>
  <c r="G8237" i="1"/>
  <c r="M8236" i="1"/>
  <c r="L8236" i="1"/>
  <c r="K8236" i="1"/>
  <c r="J8236" i="1"/>
  <c r="I8236" i="1"/>
  <c r="H8236" i="1"/>
  <c r="G8236" i="1"/>
  <c r="M8235" i="1"/>
  <c r="L8235" i="1"/>
  <c r="K8235" i="1"/>
  <c r="J8235" i="1"/>
  <c r="I8235" i="1"/>
  <c r="H8235" i="1"/>
  <c r="G8235" i="1"/>
  <c r="M8234" i="1"/>
  <c r="L8234" i="1"/>
  <c r="K8234" i="1"/>
  <c r="J8234" i="1"/>
  <c r="I8234" i="1"/>
  <c r="H8234" i="1"/>
  <c r="G8234" i="1"/>
  <c r="M8233" i="1"/>
  <c r="L8233" i="1"/>
  <c r="K8233" i="1"/>
  <c r="J8233" i="1"/>
  <c r="I8233" i="1"/>
  <c r="H8233" i="1"/>
  <c r="G8233" i="1"/>
  <c r="M8232" i="1"/>
  <c r="L8232" i="1"/>
  <c r="K8232" i="1"/>
  <c r="J8232" i="1"/>
  <c r="I8232" i="1"/>
  <c r="H8232" i="1"/>
  <c r="G8232" i="1"/>
  <c r="M8231" i="1"/>
  <c r="L8231" i="1"/>
  <c r="K8231" i="1"/>
  <c r="J8231" i="1"/>
  <c r="I8231" i="1"/>
  <c r="H8231" i="1"/>
  <c r="G8231" i="1"/>
  <c r="M8230" i="1"/>
  <c r="L8230" i="1"/>
  <c r="K8230" i="1"/>
  <c r="J8230" i="1"/>
  <c r="I8230" i="1"/>
  <c r="H8230" i="1"/>
  <c r="G8230" i="1"/>
  <c r="M8229" i="1"/>
  <c r="L8229" i="1"/>
  <c r="K8229" i="1"/>
  <c r="J8229" i="1"/>
  <c r="I8229" i="1"/>
  <c r="H8229" i="1"/>
  <c r="G8229" i="1"/>
  <c r="M8228" i="1"/>
  <c r="L8228" i="1"/>
  <c r="K8228" i="1"/>
  <c r="J8228" i="1"/>
  <c r="I8228" i="1"/>
  <c r="H8228" i="1"/>
  <c r="G8228" i="1"/>
  <c r="M8227" i="1"/>
  <c r="L8227" i="1"/>
  <c r="K8227" i="1"/>
  <c r="J8227" i="1"/>
  <c r="I8227" i="1"/>
  <c r="H8227" i="1"/>
  <c r="G8227" i="1"/>
  <c r="M8226" i="1"/>
  <c r="L8226" i="1"/>
  <c r="K8226" i="1"/>
  <c r="J8226" i="1"/>
  <c r="I8226" i="1"/>
  <c r="H8226" i="1"/>
  <c r="G8226" i="1"/>
  <c r="M8225" i="1"/>
  <c r="L8225" i="1"/>
  <c r="K8225" i="1"/>
  <c r="J8225" i="1"/>
  <c r="I8225" i="1"/>
  <c r="H8225" i="1"/>
  <c r="G8225" i="1"/>
  <c r="M8224" i="1"/>
  <c r="L8224" i="1"/>
  <c r="K8224" i="1"/>
  <c r="J8224" i="1"/>
  <c r="I8224" i="1"/>
  <c r="H8224" i="1"/>
  <c r="G8224" i="1"/>
  <c r="M8223" i="1"/>
  <c r="L8223" i="1"/>
  <c r="K8223" i="1"/>
  <c r="J8223" i="1"/>
  <c r="I8223" i="1"/>
  <c r="H8223" i="1"/>
  <c r="G8223" i="1"/>
  <c r="M8222" i="1"/>
  <c r="L8222" i="1"/>
  <c r="K8222" i="1"/>
  <c r="J8222" i="1"/>
  <c r="I8222" i="1"/>
  <c r="H8222" i="1"/>
  <c r="G8222" i="1"/>
  <c r="M8221" i="1"/>
  <c r="L8221" i="1"/>
  <c r="K8221" i="1"/>
  <c r="J8221" i="1"/>
  <c r="I8221" i="1"/>
  <c r="H8221" i="1"/>
  <c r="G8221" i="1"/>
  <c r="M8220" i="1"/>
  <c r="L8220" i="1"/>
  <c r="K8220" i="1"/>
  <c r="J8220" i="1"/>
  <c r="I8220" i="1"/>
  <c r="H8220" i="1"/>
  <c r="G8220" i="1"/>
  <c r="M8219" i="1"/>
  <c r="L8219" i="1"/>
  <c r="K8219" i="1"/>
  <c r="J8219" i="1"/>
  <c r="I8219" i="1"/>
  <c r="H8219" i="1"/>
  <c r="G8219" i="1"/>
  <c r="M8218" i="1"/>
  <c r="L8218" i="1"/>
  <c r="K8218" i="1"/>
  <c r="J8218" i="1"/>
  <c r="I8218" i="1"/>
  <c r="H8218" i="1"/>
  <c r="G8218" i="1"/>
  <c r="M8217" i="1"/>
  <c r="L8217" i="1"/>
  <c r="K8217" i="1"/>
  <c r="J8217" i="1"/>
  <c r="I8217" i="1"/>
  <c r="H8217" i="1"/>
  <c r="G8217" i="1"/>
  <c r="M8216" i="1"/>
  <c r="L8216" i="1"/>
  <c r="K8216" i="1"/>
  <c r="J8216" i="1"/>
  <c r="I8216" i="1"/>
  <c r="H8216" i="1"/>
  <c r="G8216" i="1"/>
  <c r="M8215" i="1"/>
  <c r="L8215" i="1"/>
  <c r="K8215" i="1"/>
  <c r="J8215" i="1"/>
  <c r="I8215" i="1"/>
  <c r="H8215" i="1"/>
  <c r="G8215" i="1"/>
  <c r="M8214" i="1"/>
  <c r="L8214" i="1"/>
  <c r="K8214" i="1"/>
  <c r="J8214" i="1"/>
  <c r="I8214" i="1"/>
  <c r="H8214" i="1"/>
  <c r="G8214" i="1"/>
  <c r="M8213" i="1"/>
  <c r="L8213" i="1"/>
  <c r="K8213" i="1"/>
  <c r="J8213" i="1"/>
  <c r="I8213" i="1"/>
  <c r="H8213" i="1"/>
  <c r="G8213" i="1"/>
  <c r="M8212" i="1"/>
  <c r="L8212" i="1"/>
  <c r="K8212" i="1"/>
  <c r="J8212" i="1"/>
  <c r="I8212" i="1"/>
  <c r="H8212" i="1"/>
  <c r="G8212" i="1"/>
  <c r="M8211" i="1"/>
  <c r="L8211" i="1"/>
  <c r="K8211" i="1"/>
  <c r="J8211" i="1"/>
  <c r="I8211" i="1"/>
  <c r="H8211" i="1"/>
  <c r="G8211" i="1"/>
  <c r="M8210" i="1"/>
  <c r="L8210" i="1"/>
  <c r="K8210" i="1"/>
  <c r="J8210" i="1"/>
  <c r="I8210" i="1"/>
  <c r="H8210" i="1"/>
  <c r="G8210" i="1"/>
  <c r="M8209" i="1"/>
  <c r="L8209" i="1"/>
  <c r="K8209" i="1"/>
  <c r="J8209" i="1"/>
  <c r="I8209" i="1"/>
  <c r="H8209" i="1"/>
  <c r="G8209" i="1"/>
  <c r="M8208" i="1"/>
  <c r="L8208" i="1"/>
  <c r="K8208" i="1"/>
  <c r="J8208" i="1"/>
  <c r="I8208" i="1"/>
  <c r="H8208" i="1"/>
  <c r="G8208" i="1"/>
  <c r="M8207" i="1"/>
  <c r="L8207" i="1"/>
  <c r="K8207" i="1"/>
  <c r="J8207" i="1"/>
  <c r="I8207" i="1"/>
  <c r="H8207" i="1"/>
  <c r="G8207" i="1"/>
  <c r="M8206" i="1"/>
  <c r="L8206" i="1"/>
  <c r="K8206" i="1"/>
  <c r="J8206" i="1"/>
  <c r="I8206" i="1"/>
  <c r="H8206" i="1"/>
  <c r="G8206" i="1"/>
  <c r="M8205" i="1"/>
  <c r="L8205" i="1"/>
  <c r="K8205" i="1"/>
  <c r="J8205" i="1"/>
  <c r="I8205" i="1"/>
  <c r="H8205" i="1"/>
  <c r="G8205" i="1"/>
  <c r="M8204" i="1"/>
  <c r="L8204" i="1"/>
  <c r="K8204" i="1"/>
  <c r="J8204" i="1"/>
  <c r="I8204" i="1"/>
  <c r="H8204" i="1"/>
  <c r="G8204" i="1"/>
  <c r="M8203" i="1"/>
  <c r="L8203" i="1"/>
  <c r="K8203" i="1"/>
  <c r="J8203" i="1"/>
  <c r="I8203" i="1"/>
  <c r="H8203" i="1"/>
  <c r="G8203" i="1"/>
  <c r="M8202" i="1"/>
  <c r="L8202" i="1"/>
  <c r="K8202" i="1"/>
  <c r="J8202" i="1"/>
  <c r="I8202" i="1"/>
  <c r="H8202" i="1"/>
  <c r="G8202" i="1"/>
  <c r="M8201" i="1"/>
  <c r="L8201" i="1"/>
  <c r="K8201" i="1"/>
  <c r="J8201" i="1"/>
  <c r="I8201" i="1"/>
  <c r="H8201" i="1"/>
  <c r="G8201" i="1"/>
  <c r="M8200" i="1"/>
  <c r="L8200" i="1"/>
  <c r="K8200" i="1"/>
  <c r="J8200" i="1"/>
  <c r="I8200" i="1"/>
  <c r="H8200" i="1"/>
  <c r="G8200" i="1"/>
  <c r="M8199" i="1"/>
  <c r="L8199" i="1"/>
  <c r="K8199" i="1"/>
  <c r="J8199" i="1"/>
  <c r="I8199" i="1"/>
  <c r="H8199" i="1"/>
  <c r="G8199" i="1"/>
  <c r="M8198" i="1"/>
  <c r="L8198" i="1"/>
  <c r="K8198" i="1"/>
  <c r="J8198" i="1"/>
  <c r="I8198" i="1"/>
  <c r="H8198" i="1"/>
  <c r="G8198" i="1"/>
  <c r="M8197" i="1"/>
  <c r="L8197" i="1"/>
  <c r="K8197" i="1"/>
  <c r="J8197" i="1"/>
  <c r="I8197" i="1"/>
  <c r="H8197" i="1"/>
  <c r="G8197" i="1"/>
  <c r="M8196" i="1"/>
  <c r="L8196" i="1"/>
  <c r="K8196" i="1"/>
  <c r="J8196" i="1"/>
  <c r="I8196" i="1"/>
  <c r="H8196" i="1"/>
  <c r="G8196" i="1"/>
  <c r="M8195" i="1"/>
  <c r="L8195" i="1"/>
  <c r="K8195" i="1"/>
  <c r="J8195" i="1"/>
  <c r="I8195" i="1"/>
  <c r="H8195" i="1"/>
  <c r="G8195" i="1"/>
  <c r="M8194" i="1"/>
  <c r="L8194" i="1"/>
  <c r="K8194" i="1"/>
  <c r="J8194" i="1"/>
  <c r="I8194" i="1"/>
  <c r="H8194" i="1"/>
  <c r="G8194" i="1"/>
  <c r="M8193" i="1"/>
  <c r="L8193" i="1"/>
  <c r="K8193" i="1"/>
  <c r="J8193" i="1"/>
  <c r="I8193" i="1"/>
  <c r="H8193" i="1"/>
  <c r="G8193" i="1"/>
  <c r="M8192" i="1"/>
  <c r="L8192" i="1"/>
  <c r="K8192" i="1"/>
  <c r="J8192" i="1"/>
  <c r="I8192" i="1"/>
  <c r="H8192" i="1"/>
  <c r="G8192" i="1"/>
  <c r="M8191" i="1"/>
  <c r="L8191" i="1"/>
  <c r="K8191" i="1"/>
  <c r="J8191" i="1"/>
  <c r="I8191" i="1"/>
  <c r="H8191" i="1"/>
  <c r="G8191" i="1"/>
  <c r="M8190" i="1"/>
  <c r="L8190" i="1"/>
  <c r="K8190" i="1"/>
  <c r="J8190" i="1"/>
  <c r="I8190" i="1"/>
  <c r="H8190" i="1"/>
  <c r="G8190" i="1"/>
  <c r="M8189" i="1"/>
  <c r="L8189" i="1"/>
  <c r="K8189" i="1"/>
  <c r="J8189" i="1"/>
  <c r="I8189" i="1"/>
  <c r="H8189" i="1"/>
  <c r="G8189" i="1"/>
  <c r="M8188" i="1"/>
  <c r="L8188" i="1"/>
  <c r="K8188" i="1"/>
  <c r="J8188" i="1"/>
  <c r="I8188" i="1"/>
  <c r="H8188" i="1"/>
  <c r="G8188" i="1"/>
  <c r="M8187" i="1"/>
  <c r="L8187" i="1"/>
  <c r="K8187" i="1"/>
  <c r="J8187" i="1"/>
  <c r="I8187" i="1"/>
  <c r="H8187" i="1"/>
  <c r="G8187" i="1"/>
  <c r="M8186" i="1"/>
  <c r="L8186" i="1"/>
  <c r="K8186" i="1"/>
  <c r="J8186" i="1"/>
  <c r="I8186" i="1"/>
  <c r="H8186" i="1"/>
  <c r="G8186" i="1"/>
  <c r="M8185" i="1"/>
  <c r="L8185" i="1"/>
  <c r="K8185" i="1"/>
  <c r="J8185" i="1"/>
  <c r="I8185" i="1"/>
  <c r="H8185" i="1"/>
  <c r="G8185" i="1"/>
  <c r="M8184" i="1"/>
  <c r="L8184" i="1"/>
  <c r="K8184" i="1"/>
  <c r="J8184" i="1"/>
  <c r="I8184" i="1"/>
  <c r="H8184" i="1"/>
  <c r="G8184" i="1"/>
  <c r="M8183" i="1"/>
  <c r="L8183" i="1"/>
  <c r="K8183" i="1"/>
  <c r="J8183" i="1"/>
  <c r="I8183" i="1"/>
  <c r="H8183" i="1"/>
  <c r="G8183" i="1"/>
  <c r="M8182" i="1"/>
  <c r="L8182" i="1"/>
  <c r="K8182" i="1"/>
  <c r="J8182" i="1"/>
  <c r="I8182" i="1"/>
  <c r="H8182" i="1"/>
  <c r="G8182" i="1"/>
  <c r="M8181" i="1"/>
  <c r="L8181" i="1"/>
  <c r="K8181" i="1"/>
  <c r="J8181" i="1"/>
  <c r="I8181" i="1"/>
  <c r="H8181" i="1"/>
  <c r="G8181" i="1"/>
  <c r="M8180" i="1"/>
  <c r="L8180" i="1"/>
  <c r="K8180" i="1"/>
  <c r="J8180" i="1"/>
  <c r="I8180" i="1"/>
  <c r="H8180" i="1"/>
  <c r="G8180" i="1"/>
  <c r="M8179" i="1"/>
  <c r="L8179" i="1"/>
  <c r="K8179" i="1"/>
  <c r="J8179" i="1"/>
  <c r="I8179" i="1"/>
  <c r="H8179" i="1"/>
  <c r="G8179" i="1"/>
  <c r="M8178" i="1"/>
  <c r="L8178" i="1"/>
  <c r="K8178" i="1"/>
  <c r="J8178" i="1"/>
  <c r="I8178" i="1"/>
  <c r="H8178" i="1"/>
  <c r="G8178" i="1"/>
  <c r="M8177" i="1"/>
  <c r="L8177" i="1"/>
  <c r="K8177" i="1"/>
  <c r="J8177" i="1"/>
  <c r="I8177" i="1"/>
  <c r="H8177" i="1"/>
  <c r="G8177" i="1"/>
  <c r="M8176" i="1"/>
  <c r="L8176" i="1"/>
  <c r="K8176" i="1"/>
  <c r="J8176" i="1"/>
  <c r="I8176" i="1"/>
  <c r="H8176" i="1"/>
  <c r="G8176" i="1"/>
  <c r="M8175" i="1"/>
  <c r="L8175" i="1"/>
  <c r="K8175" i="1"/>
  <c r="J8175" i="1"/>
  <c r="I8175" i="1"/>
  <c r="H8175" i="1"/>
  <c r="G8175" i="1"/>
  <c r="M8174" i="1"/>
  <c r="L8174" i="1"/>
  <c r="K8174" i="1"/>
  <c r="J8174" i="1"/>
  <c r="I8174" i="1"/>
  <c r="H8174" i="1"/>
  <c r="G8174" i="1"/>
  <c r="M8173" i="1"/>
  <c r="L8173" i="1"/>
  <c r="K8173" i="1"/>
  <c r="J8173" i="1"/>
  <c r="I8173" i="1"/>
  <c r="H8173" i="1"/>
  <c r="G8173" i="1"/>
  <c r="M8172" i="1"/>
  <c r="L8172" i="1"/>
  <c r="K8172" i="1"/>
  <c r="J8172" i="1"/>
  <c r="I8172" i="1"/>
  <c r="H8172" i="1"/>
  <c r="G8172" i="1"/>
  <c r="M8171" i="1"/>
  <c r="L8171" i="1"/>
  <c r="K8171" i="1"/>
  <c r="J8171" i="1"/>
  <c r="I8171" i="1"/>
  <c r="H8171" i="1"/>
  <c r="G8171" i="1"/>
  <c r="M8170" i="1"/>
  <c r="L8170" i="1"/>
  <c r="K8170" i="1"/>
  <c r="J8170" i="1"/>
  <c r="I8170" i="1"/>
  <c r="H8170" i="1"/>
  <c r="G8170" i="1"/>
  <c r="M8169" i="1"/>
  <c r="L8169" i="1"/>
  <c r="K8169" i="1"/>
  <c r="J8169" i="1"/>
  <c r="I8169" i="1"/>
  <c r="H8169" i="1"/>
  <c r="G8169" i="1"/>
  <c r="M8168" i="1"/>
  <c r="L8168" i="1"/>
  <c r="K8168" i="1"/>
  <c r="J8168" i="1"/>
  <c r="I8168" i="1"/>
  <c r="H8168" i="1"/>
  <c r="G8168" i="1"/>
  <c r="M8167" i="1"/>
  <c r="L8167" i="1"/>
  <c r="K8167" i="1"/>
  <c r="J8167" i="1"/>
  <c r="I8167" i="1"/>
  <c r="H8167" i="1"/>
  <c r="G8167" i="1"/>
  <c r="M8166" i="1"/>
  <c r="L8166" i="1"/>
  <c r="K8166" i="1"/>
  <c r="J8166" i="1"/>
  <c r="I8166" i="1"/>
  <c r="H8166" i="1"/>
  <c r="G8166" i="1"/>
  <c r="M8165" i="1"/>
  <c r="L8165" i="1"/>
  <c r="K8165" i="1"/>
  <c r="J8165" i="1"/>
  <c r="I8165" i="1"/>
  <c r="H8165" i="1"/>
  <c r="G8165" i="1"/>
  <c r="M8164" i="1"/>
  <c r="L8164" i="1"/>
  <c r="K8164" i="1"/>
  <c r="J8164" i="1"/>
  <c r="I8164" i="1"/>
  <c r="H8164" i="1"/>
  <c r="G8164" i="1"/>
  <c r="M8163" i="1"/>
  <c r="L8163" i="1"/>
  <c r="K8163" i="1"/>
  <c r="J8163" i="1"/>
  <c r="I8163" i="1"/>
  <c r="H8163" i="1"/>
  <c r="G8163" i="1"/>
  <c r="M8162" i="1"/>
  <c r="L8162" i="1"/>
  <c r="K8162" i="1"/>
  <c r="J8162" i="1"/>
  <c r="I8162" i="1"/>
  <c r="H8162" i="1"/>
  <c r="G8162" i="1"/>
  <c r="M8161" i="1"/>
  <c r="L8161" i="1"/>
  <c r="K8161" i="1"/>
  <c r="J8161" i="1"/>
  <c r="I8161" i="1"/>
  <c r="H8161" i="1"/>
  <c r="G8161" i="1"/>
  <c r="M8160" i="1"/>
  <c r="L8160" i="1"/>
  <c r="K8160" i="1"/>
  <c r="J8160" i="1"/>
  <c r="I8160" i="1"/>
  <c r="H8160" i="1"/>
  <c r="G8160" i="1"/>
  <c r="M8159" i="1"/>
  <c r="L8159" i="1"/>
  <c r="K8159" i="1"/>
  <c r="J8159" i="1"/>
  <c r="I8159" i="1"/>
  <c r="H8159" i="1"/>
  <c r="G8159" i="1"/>
  <c r="M8158" i="1"/>
  <c r="L8158" i="1"/>
  <c r="K8158" i="1"/>
  <c r="J8158" i="1"/>
  <c r="I8158" i="1"/>
  <c r="H8158" i="1"/>
  <c r="G8158" i="1"/>
  <c r="M8157" i="1"/>
  <c r="L8157" i="1"/>
  <c r="K8157" i="1"/>
  <c r="J8157" i="1"/>
  <c r="I8157" i="1"/>
  <c r="H8157" i="1"/>
  <c r="G8157" i="1"/>
  <c r="M8156" i="1"/>
  <c r="L8156" i="1"/>
  <c r="K8156" i="1"/>
  <c r="J8156" i="1"/>
  <c r="I8156" i="1"/>
  <c r="H8156" i="1"/>
  <c r="G8156" i="1"/>
  <c r="M8155" i="1"/>
  <c r="L8155" i="1"/>
  <c r="K8155" i="1"/>
  <c r="J8155" i="1"/>
  <c r="I8155" i="1"/>
  <c r="H8155" i="1"/>
  <c r="G8155" i="1"/>
  <c r="M8154" i="1"/>
  <c r="L8154" i="1"/>
  <c r="K8154" i="1"/>
  <c r="J8154" i="1"/>
  <c r="I8154" i="1"/>
  <c r="H8154" i="1"/>
  <c r="G8154" i="1"/>
  <c r="M8153" i="1"/>
  <c r="L8153" i="1"/>
  <c r="K8153" i="1"/>
  <c r="J8153" i="1"/>
  <c r="I8153" i="1"/>
  <c r="H8153" i="1"/>
  <c r="G8153" i="1"/>
  <c r="M8152" i="1"/>
  <c r="L8152" i="1"/>
  <c r="K8152" i="1"/>
  <c r="J8152" i="1"/>
  <c r="I8152" i="1"/>
  <c r="H8152" i="1"/>
  <c r="G8152" i="1"/>
  <c r="M8151" i="1"/>
  <c r="L8151" i="1"/>
  <c r="K8151" i="1"/>
  <c r="J8151" i="1"/>
  <c r="I8151" i="1"/>
  <c r="H8151" i="1"/>
  <c r="G8151" i="1"/>
  <c r="M8150" i="1"/>
  <c r="L8150" i="1"/>
  <c r="K8150" i="1"/>
  <c r="J8150" i="1"/>
  <c r="I8150" i="1"/>
  <c r="H8150" i="1"/>
  <c r="G8150" i="1"/>
  <c r="M8149" i="1"/>
  <c r="L8149" i="1"/>
  <c r="K8149" i="1"/>
  <c r="J8149" i="1"/>
  <c r="I8149" i="1"/>
  <c r="H8149" i="1"/>
  <c r="G8149" i="1"/>
  <c r="M8148" i="1"/>
  <c r="L8148" i="1"/>
  <c r="K8148" i="1"/>
  <c r="J8148" i="1"/>
  <c r="I8148" i="1"/>
  <c r="H8148" i="1"/>
  <c r="G8148" i="1"/>
  <c r="M8147" i="1"/>
  <c r="L8147" i="1"/>
  <c r="K8147" i="1"/>
  <c r="J8147" i="1"/>
  <c r="I8147" i="1"/>
  <c r="H8147" i="1"/>
  <c r="G8147" i="1"/>
  <c r="M8146" i="1"/>
  <c r="L8146" i="1"/>
  <c r="K8146" i="1"/>
  <c r="J8146" i="1"/>
  <c r="I8146" i="1"/>
  <c r="H8146" i="1"/>
  <c r="G8146" i="1"/>
  <c r="M8145" i="1"/>
  <c r="L8145" i="1"/>
  <c r="K8145" i="1"/>
  <c r="J8145" i="1"/>
  <c r="I8145" i="1"/>
  <c r="H8145" i="1"/>
  <c r="G8145" i="1"/>
  <c r="M8144" i="1"/>
  <c r="L8144" i="1"/>
  <c r="K8144" i="1"/>
  <c r="J8144" i="1"/>
  <c r="I8144" i="1"/>
  <c r="H8144" i="1"/>
  <c r="G8144" i="1"/>
  <c r="M8143" i="1"/>
  <c r="L8143" i="1"/>
  <c r="K8143" i="1"/>
  <c r="J8143" i="1"/>
  <c r="I8143" i="1"/>
  <c r="H8143" i="1"/>
  <c r="G8143" i="1"/>
  <c r="M8142" i="1"/>
  <c r="L8142" i="1"/>
  <c r="K8142" i="1"/>
  <c r="J8142" i="1"/>
  <c r="I8142" i="1"/>
  <c r="H8142" i="1"/>
  <c r="G8142" i="1"/>
  <c r="M8141" i="1"/>
  <c r="L8141" i="1"/>
  <c r="K8141" i="1"/>
  <c r="J8141" i="1"/>
  <c r="I8141" i="1"/>
  <c r="H8141" i="1"/>
  <c r="G8141" i="1"/>
  <c r="M8140" i="1"/>
  <c r="L8140" i="1"/>
  <c r="K8140" i="1"/>
  <c r="J8140" i="1"/>
  <c r="I8140" i="1"/>
  <c r="H8140" i="1"/>
  <c r="G8140" i="1"/>
  <c r="M8139" i="1"/>
  <c r="L8139" i="1"/>
  <c r="K8139" i="1"/>
  <c r="J8139" i="1"/>
  <c r="I8139" i="1"/>
  <c r="H8139" i="1"/>
  <c r="G8139" i="1"/>
  <c r="M8138" i="1"/>
  <c r="L8138" i="1"/>
  <c r="K8138" i="1"/>
  <c r="J8138" i="1"/>
  <c r="I8138" i="1"/>
  <c r="H8138" i="1"/>
  <c r="G8138" i="1"/>
  <c r="M8137" i="1"/>
  <c r="L8137" i="1"/>
  <c r="K8137" i="1"/>
  <c r="J8137" i="1"/>
  <c r="I8137" i="1"/>
  <c r="H8137" i="1"/>
  <c r="G8137" i="1"/>
  <c r="M8136" i="1"/>
  <c r="L8136" i="1"/>
  <c r="K8136" i="1"/>
  <c r="J8136" i="1"/>
  <c r="I8136" i="1"/>
  <c r="H8136" i="1"/>
  <c r="G8136" i="1"/>
  <c r="M8135" i="1"/>
  <c r="L8135" i="1"/>
  <c r="K8135" i="1"/>
  <c r="J8135" i="1"/>
  <c r="I8135" i="1"/>
  <c r="H8135" i="1"/>
  <c r="G8135" i="1"/>
  <c r="M8134" i="1"/>
  <c r="L8134" i="1"/>
  <c r="K8134" i="1"/>
  <c r="J8134" i="1"/>
  <c r="I8134" i="1"/>
  <c r="H8134" i="1"/>
  <c r="G8134" i="1"/>
  <c r="M8133" i="1"/>
  <c r="L8133" i="1"/>
  <c r="K8133" i="1"/>
  <c r="J8133" i="1"/>
  <c r="I8133" i="1"/>
  <c r="H8133" i="1"/>
  <c r="G8133" i="1"/>
  <c r="M8132" i="1"/>
  <c r="L8132" i="1"/>
  <c r="K8132" i="1"/>
  <c r="J8132" i="1"/>
  <c r="I8132" i="1"/>
  <c r="H8132" i="1"/>
  <c r="G8132" i="1"/>
  <c r="M8131" i="1"/>
  <c r="L8131" i="1"/>
  <c r="K8131" i="1"/>
  <c r="J8131" i="1"/>
  <c r="I8131" i="1"/>
  <c r="H8131" i="1"/>
  <c r="G8131" i="1"/>
  <c r="M8130" i="1"/>
  <c r="L8130" i="1"/>
  <c r="K8130" i="1"/>
  <c r="J8130" i="1"/>
  <c r="I8130" i="1"/>
  <c r="H8130" i="1"/>
  <c r="G8130" i="1"/>
  <c r="M8129" i="1"/>
  <c r="L8129" i="1"/>
  <c r="K8129" i="1"/>
  <c r="J8129" i="1"/>
  <c r="I8129" i="1"/>
  <c r="H8129" i="1"/>
  <c r="G8129" i="1"/>
  <c r="M8128" i="1"/>
  <c r="L8128" i="1"/>
  <c r="K8128" i="1"/>
  <c r="J8128" i="1"/>
  <c r="I8128" i="1"/>
  <c r="H8128" i="1"/>
  <c r="G8128" i="1"/>
  <c r="M8127" i="1"/>
  <c r="L8127" i="1"/>
  <c r="K8127" i="1"/>
  <c r="J8127" i="1"/>
  <c r="I8127" i="1"/>
  <c r="H8127" i="1"/>
  <c r="G8127" i="1"/>
  <c r="M8126" i="1"/>
  <c r="L8126" i="1"/>
  <c r="K8126" i="1"/>
  <c r="J8126" i="1"/>
  <c r="I8126" i="1"/>
  <c r="H8126" i="1"/>
  <c r="G8126" i="1"/>
  <c r="M8125" i="1"/>
  <c r="L8125" i="1"/>
  <c r="K8125" i="1"/>
  <c r="J8125" i="1"/>
  <c r="I8125" i="1"/>
  <c r="H8125" i="1"/>
  <c r="G8125" i="1"/>
  <c r="M8124" i="1"/>
  <c r="L8124" i="1"/>
  <c r="K8124" i="1"/>
  <c r="J8124" i="1"/>
  <c r="I8124" i="1"/>
  <c r="H8124" i="1"/>
  <c r="G8124" i="1"/>
  <c r="M8123" i="1"/>
  <c r="L8123" i="1"/>
  <c r="K8123" i="1"/>
  <c r="J8123" i="1"/>
  <c r="I8123" i="1"/>
  <c r="H8123" i="1"/>
  <c r="G8123" i="1"/>
  <c r="M8122" i="1"/>
  <c r="L8122" i="1"/>
  <c r="K8122" i="1"/>
  <c r="J8122" i="1"/>
  <c r="I8122" i="1"/>
  <c r="H8122" i="1"/>
  <c r="G8122" i="1"/>
  <c r="M8121" i="1"/>
  <c r="L8121" i="1"/>
  <c r="K8121" i="1"/>
  <c r="J8121" i="1"/>
  <c r="I8121" i="1"/>
  <c r="H8121" i="1"/>
  <c r="G8121" i="1"/>
  <c r="M8120" i="1"/>
  <c r="L8120" i="1"/>
  <c r="K8120" i="1"/>
  <c r="J8120" i="1"/>
  <c r="I8120" i="1"/>
  <c r="H8120" i="1"/>
  <c r="G8120" i="1"/>
  <c r="M8119" i="1"/>
  <c r="L8119" i="1"/>
  <c r="K8119" i="1"/>
  <c r="J8119" i="1"/>
  <c r="I8119" i="1"/>
  <c r="H8119" i="1"/>
  <c r="G8119" i="1"/>
  <c r="M8118" i="1"/>
  <c r="L8118" i="1"/>
  <c r="K8118" i="1"/>
  <c r="J8118" i="1"/>
  <c r="I8118" i="1"/>
  <c r="H8118" i="1"/>
  <c r="G8118" i="1"/>
  <c r="M8117" i="1"/>
  <c r="L8117" i="1"/>
  <c r="K8117" i="1"/>
  <c r="J8117" i="1"/>
  <c r="I8117" i="1"/>
  <c r="H8117" i="1"/>
  <c r="G8117" i="1"/>
  <c r="M8116" i="1"/>
  <c r="L8116" i="1"/>
  <c r="K8116" i="1"/>
  <c r="J8116" i="1"/>
  <c r="I8116" i="1"/>
  <c r="H8116" i="1"/>
  <c r="G8116" i="1"/>
  <c r="M8115" i="1"/>
  <c r="L8115" i="1"/>
  <c r="K8115" i="1"/>
  <c r="J8115" i="1"/>
  <c r="I8115" i="1"/>
  <c r="H8115" i="1"/>
  <c r="G8115" i="1"/>
  <c r="M8114" i="1"/>
  <c r="L8114" i="1"/>
  <c r="K8114" i="1"/>
  <c r="J8114" i="1"/>
  <c r="I8114" i="1"/>
  <c r="H8114" i="1"/>
  <c r="G8114" i="1"/>
  <c r="M8113" i="1"/>
  <c r="L8113" i="1"/>
  <c r="K8113" i="1"/>
  <c r="J8113" i="1"/>
  <c r="I8113" i="1"/>
  <c r="H8113" i="1"/>
  <c r="G8113" i="1"/>
  <c r="M8112" i="1"/>
  <c r="L8112" i="1"/>
  <c r="K8112" i="1"/>
  <c r="J8112" i="1"/>
  <c r="I8112" i="1"/>
  <c r="H8112" i="1"/>
  <c r="G8112" i="1"/>
  <c r="M8111" i="1"/>
  <c r="L8111" i="1"/>
  <c r="K8111" i="1"/>
  <c r="J8111" i="1"/>
  <c r="I8111" i="1"/>
  <c r="H8111" i="1"/>
  <c r="G8111" i="1"/>
  <c r="M8110" i="1"/>
  <c r="L8110" i="1"/>
  <c r="K8110" i="1"/>
  <c r="J8110" i="1"/>
  <c r="I8110" i="1"/>
  <c r="H8110" i="1"/>
  <c r="G8110" i="1"/>
  <c r="M8109" i="1"/>
  <c r="L8109" i="1"/>
  <c r="K8109" i="1"/>
  <c r="J8109" i="1"/>
  <c r="I8109" i="1"/>
  <c r="H8109" i="1"/>
  <c r="G8109" i="1"/>
  <c r="M8108" i="1"/>
  <c r="L8108" i="1"/>
  <c r="K8108" i="1"/>
  <c r="J8108" i="1"/>
  <c r="I8108" i="1"/>
  <c r="H8108" i="1"/>
  <c r="G8108" i="1"/>
  <c r="M8107" i="1"/>
  <c r="L8107" i="1"/>
  <c r="K8107" i="1"/>
  <c r="J8107" i="1"/>
  <c r="I8107" i="1"/>
  <c r="H8107" i="1"/>
  <c r="G8107" i="1"/>
  <c r="M8106" i="1"/>
  <c r="L8106" i="1"/>
  <c r="K8106" i="1"/>
  <c r="J8106" i="1"/>
  <c r="I8106" i="1"/>
  <c r="H8106" i="1"/>
  <c r="G8106" i="1"/>
  <c r="M8105" i="1"/>
  <c r="L8105" i="1"/>
  <c r="K8105" i="1"/>
  <c r="J8105" i="1"/>
  <c r="I8105" i="1"/>
  <c r="H8105" i="1"/>
  <c r="G8105" i="1"/>
  <c r="M8104" i="1"/>
  <c r="L8104" i="1"/>
  <c r="K8104" i="1"/>
  <c r="J8104" i="1"/>
  <c r="I8104" i="1"/>
  <c r="H8104" i="1"/>
  <c r="G8104" i="1"/>
  <c r="M8103" i="1"/>
  <c r="L8103" i="1"/>
  <c r="K8103" i="1"/>
  <c r="J8103" i="1"/>
  <c r="I8103" i="1"/>
  <c r="H8103" i="1"/>
  <c r="G8103" i="1"/>
  <c r="M8102" i="1"/>
  <c r="L8102" i="1"/>
  <c r="K8102" i="1"/>
  <c r="J8102" i="1"/>
  <c r="I8102" i="1"/>
  <c r="H8102" i="1"/>
  <c r="G8102" i="1"/>
  <c r="M8101" i="1"/>
  <c r="L8101" i="1"/>
  <c r="K8101" i="1"/>
  <c r="J8101" i="1"/>
  <c r="I8101" i="1"/>
  <c r="H8101" i="1"/>
  <c r="G8101" i="1"/>
  <c r="M8100" i="1"/>
  <c r="L8100" i="1"/>
  <c r="K8100" i="1"/>
  <c r="J8100" i="1"/>
  <c r="I8100" i="1"/>
  <c r="H8100" i="1"/>
  <c r="G8100" i="1"/>
  <c r="M8099" i="1"/>
  <c r="L8099" i="1"/>
  <c r="K8099" i="1"/>
  <c r="J8099" i="1"/>
  <c r="I8099" i="1"/>
  <c r="H8099" i="1"/>
  <c r="G8099" i="1"/>
  <c r="M8098" i="1"/>
  <c r="L8098" i="1"/>
  <c r="K8098" i="1"/>
  <c r="J8098" i="1"/>
  <c r="I8098" i="1"/>
  <c r="H8098" i="1"/>
  <c r="G8098" i="1"/>
  <c r="M8097" i="1"/>
  <c r="L8097" i="1"/>
  <c r="K8097" i="1"/>
  <c r="J8097" i="1"/>
  <c r="I8097" i="1"/>
  <c r="H8097" i="1"/>
  <c r="G8097" i="1"/>
  <c r="M8096" i="1"/>
  <c r="L8096" i="1"/>
  <c r="K8096" i="1"/>
  <c r="J8096" i="1"/>
  <c r="I8096" i="1"/>
  <c r="H8096" i="1"/>
  <c r="G8096" i="1"/>
  <c r="M8095" i="1"/>
  <c r="L8095" i="1"/>
  <c r="K8095" i="1"/>
  <c r="J8095" i="1"/>
  <c r="I8095" i="1"/>
  <c r="H8095" i="1"/>
  <c r="G8095" i="1"/>
  <c r="M8094" i="1"/>
  <c r="L8094" i="1"/>
  <c r="K8094" i="1"/>
  <c r="J8094" i="1"/>
  <c r="I8094" i="1"/>
  <c r="H8094" i="1"/>
  <c r="G8094" i="1"/>
  <c r="M8093" i="1"/>
  <c r="L8093" i="1"/>
  <c r="K8093" i="1"/>
  <c r="J8093" i="1"/>
  <c r="I8093" i="1"/>
  <c r="H8093" i="1"/>
  <c r="G8093" i="1"/>
  <c r="M8092" i="1"/>
  <c r="L8092" i="1"/>
  <c r="K8092" i="1"/>
  <c r="J8092" i="1"/>
  <c r="I8092" i="1"/>
  <c r="H8092" i="1"/>
  <c r="G8092" i="1"/>
  <c r="M8091" i="1"/>
  <c r="L8091" i="1"/>
  <c r="K8091" i="1"/>
  <c r="J8091" i="1"/>
  <c r="I8091" i="1"/>
  <c r="H8091" i="1"/>
  <c r="G8091" i="1"/>
  <c r="M8090" i="1"/>
  <c r="L8090" i="1"/>
  <c r="K8090" i="1"/>
  <c r="J8090" i="1"/>
  <c r="I8090" i="1"/>
  <c r="H8090" i="1"/>
  <c r="G8090" i="1"/>
  <c r="M8089" i="1"/>
  <c r="L8089" i="1"/>
  <c r="K8089" i="1"/>
  <c r="J8089" i="1"/>
  <c r="I8089" i="1"/>
  <c r="H8089" i="1"/>
  <c r="G8089" i="1"/>
  <c r="M8088" i="1"/>
  <c r="L8088" i="1"/>
  <c r="K8088" i="1"/>
  <c r="J8088" i="1"/>
  <c r="I8088" i="1"/>
  <c r="H8088" i="1"/>
  <c r="G8088" i="1"/>
  <c r="M8087" i="1"/>
  <c r="L8087" i="1"/>
  <c r="K8087" i="1"/>
  <c r="J8087" i="1"/>
  <c r="I8087" i="1"/>
  <c r="H8087" i="1"/>
  <c r="G8087" i="1"/>
  <c r="M8086" i="1"/>
  <c r="L8086" i="1"/>
  <c r="K8086" i="1"/>
  <c r="J8086" i="1"/>
  <c r="I8086" i="1"/>
  <c r="H8086" i="1"/>
  <c r="G8086" i="1"/>
  <c r="M8085" i="1"/>
  <c r="L8085" i="1"/>
  <c r="K8085" i="1"/>
  <c r="J8085" i="1"/>
  <c r="I8085" i="1"/>
  <c r="H8085" i="1"/>
  <c r="G8085" i="1"/>
  <c r="M8084" i="1"/>
  <c r="L8084" i="1"/>
  <c r="K8084" i="1"/>
  <c r="J8084" i="1"/>
  <c r="I8084" i="1"/>
  <c r="H8084" i="1"/>
  <c r="G8084" i="1"/>
  <c r="M8083" i="1"/>
  <c r="L8083" i="1"/>
  <c r="K8083" i="1"/>
  <c r="J8083" i="1"/>
  <c r="I8083" i="1"/>
  <c r="H8083" i="1"/>
  <c r="G8083" i="1"/>
  <c r="M8082" i="1"/>
  <c r="L8082" i="1"/>
  <c r="K8082" i="1"/>
  <c r="J8082" i="1"/>
  <c r="I8082" i="1"/>
  <c r="H8082" i="1"/>
  <c r="G8082" i="1"/>
  <c r="M8081" i="1"/>
  <c r="L8081" i="1"/>
  <c r="K8081" i="1"/>
  <c r="J8081" i="1"/>
  <c r="I8081" i="1"/>
  <c r="H8081" i="1"/>
  <c r="G8081" i="1"/>
  <c r="M8080" i="1"/>
  <c r="L8080" i="1"/>
  <c r="K8080" i="1"/>
  <c r="J8080" i="1"/>
  <c r="I8080" i="1"/>
  <c r="H8080" i="1"/>
  <c r="G8080" i="1"/>
  <c r="M8079" i="1"/>
  <c r="L8079" i="1"/>
  <c r="K8079" i="1"/>
  <c r="J8079" i="1"/>
  <c r="I8079" i="1"/>
  <c r="H8079" i="1"/>
  <c r="G8079" i="1"/>
  <c r="M8078" i="1"/>
  <c r="L8078" i="1"/>
  <c r="K8078" i="1"/>
  <c r="J8078" i="1"/>
  <c r="I8078" i="1"/>
  <c r="H8078" i="1"/>
  <c r="G8078" i="1"/>
  <c r="M8077" i="1"/>
  <c r="L8077" i="1"/>
  <c r="K8077" i="1"/>
  <c r="J8077" i="1"/>
  <c r="I8077" i="1"/>
  <c r="H8077" i="1"/>
  <c r="G8077" i="1"/>
  <c r="M8076" i="1"/>
  <c r="L8076" i="1"/>
  <c r="K8076" i="1"/>
  <c r="J8076" i="1"/>
  <c r="I8076" i="1"/>
  <c r="H8076" i="1"/>
  <c r="G8076" i="1"/>
  <c r="M8075" i="1"/>
  <c r="L8075" i="1"/>
  <c r="K8075" i="1"/>
  <c r="J8075" i="1"/>
  <c r="I8075" i="1"/>
  <c r="H8075" i="1"/>
  <c r="G8075" i="1"/>
  <c r="M8074" i="1"/>
  <c r="L8074" i="1"/>
  <c r="K8074" i="1"/>
  <c r="J8074" i="1"/>
  <c r="I8074" i="1"/>
  <c r="H8074" i="1"/>
  <c r="G8074" i="1"/>
  <c r="M8073" i="1"/>
  <c r="L8073" i="1"/>
  <c r="K8073" i="1"/>
  <c r="J8073" i="1"/>
  <c r="I8073" i="1"/>
  <c r="H8073" i="1"/>
  <c r="G8073" i="1"/>
  <c r="M8072" i="1"/>
  <c r="L8072" i="1"/>
  <c r="K8072" i="1"/>
  <c r="J8072" i="1"/>
  <c r="I8072" i="1"/>
  <c r="H8072" i="1"/>
  <c r="G8072" i="1"/>
  <c r="M8071" i="1"/>
  <c r="L8071" i="1"/>
  <c r="K8071" i="1"/>
  <c r="J8071" i="1"/>
  <c r="I8071" i="1"/>
  <c r="H8071" i="1"/>
  <c r="G8071" i="1"/>
  <c r="M8070" i="1"/>
  <c r="L8070" i="1"/>
  <c r="K8070" i="1"/>
  <c r="J8070" i="1"/>
  <c r="I8070" i="1"/>
  <c r="H8070" i="1"/>
  <c r="G8070" i="1"/>
  <c r="M8069" i="1"/>
  <c r="L8069" i="1"/>
  <c r="K8069" i="1"/>
  <c r="J8069" i="1"/>
  <c r="I8069" i="1"/>
  <c r="H8069" i="1"/>
  <c r="G8069" i="1"/>
  <c r="M8068" i="1"/>
  <c r="L8068" i="1"/>
  <c r="K8068" i="1"/>
  <c r="J8068" i="1"/>
  <c r="I8068" i="1"/>
  <c r="H8068" i="1"/>
  <c r="G8068" i="1"/>
  <c r="M8067" i="1"/>
  <c r="L8067" i="1"/>
  <c r="K8067" i="1"/>
  <c r="J8067" i="1"/>
  <c r="I8067" i="1"/>
  <c r="H8067" i="1"/>
  <c r="G8067" i="1"/>
  <c r="M8066" i="1"/>
  <c r="L8066" i="1"/>
  <c r="K8066" i="1"/>
  <c r="J8066" i="1"/>
  <c r="I8066" i="1"/>
  <c r="H8066" i="1"/>
  <c r="G8066" i="1"/>
  <c r="M8065" i="1"/>
  <c r="L8065" i="1"/>
  <c r="K8065" i="1"/>
  <c r="J8065" i="1"/>
  <c r="I8065" i="1"/>
  <c r="H8065" i="1"/>
  <c r="G8065" i="1"/>
  <c r="M8064" i="1"/>
  <c r="L8064" i="1"/>
  <c r="K8064" i="1"/>
  <c r="J8064" i="1"/>
  <c r="I8064" i="1"/>
  <c r="H8064" i="1"/>
  <c r="G8064" i="1"/>
  <c r="M8063" i="1"/>
  <c r="L8063" i="1"/>
  <c r="K8063" i="1"/>
  <c r="J8063" i="1"/>
  <c r="I8063" i="1"/>
  <c r="H8063" i="1"/>
  <c r="G8063" i="1"/>
  <c r="M8062" i="1"/>
  <c r="L8062" i="1"/>
  <c r="K8062" i="1"/>
  <c r="J8062" i="1"/>
  <c r="I8062" i="1"/>
  <c r="H8062" i="1"/>
  <c r="G8062" i="1"/>
  <c r="M8061" i="1"/>
  <c r="L8061" i="1"/>
  <c r="K8061" i="1"/>
  <c r="J8061" i="1"/>
  <c r="I8061" i="1"/>
  <c r="H8061" i="1"/>
  <c r="G8061" i="1"/>
  <c r="M8060" i="1"/>
  <c r="L8060" i="1"/>
  <c r="K8060" i="1"/>
  <c r="J8060" i="1"/>
  <c r="I8060" i="1"/>
  <c r="H8060" i="1"/>
  <c r="G8060" i="1"/>
  <c r="M8059" i="1"/>
  <c r="L8059" i="1"/>
  <c r="K8059" i="1"/>
  <c r="J8059" i="1"/>
  <c r="I8059" i="1"/>
  <c r="H8059" i="1"/>
  <c r="G8059" i="1"/>
  <c r="M8058" i="1"/>
  <c r="L8058" i="1"/>
  <c r="K8058" i="1"/>
  <c r="J8058" i="1"/>
  <c r="I8058" i="1"/>
  <c r="H8058" i="1"/>
  <c r="G8058" i="1"/>
  <c r="M8057" i="1"/>
  <c r="L8057" i="1"/>
  <c r="K8057" i="1"/>
  <c r="J8057" i="1"/>
  <c r="I8057" i="1"/>
  <c r="H8057" i="1"/>
  <c r="G8057" i="1"/>
  <c r="M8056" i="1"/>
  <c r="L8056" i="1"/>
  <c r="K8056" i="1"/>
  <c r="J8056" i="1"/>
  <c r="I8056" i="1"/>
  <c r="H8056" i="1"/>
  <c r="G8056" i="1"/>
  <c r="M8055" i="1"/>
  <c r="L8055" i="1"/>
  <c r="K8055" i="1"/>
  <c r="J8055" i="1"/>
  <c r="I8055" i="1"/>
  <c r="H8055" i="1"/>
  <c r="G8055" i="1"/>
  <c r="M8054" i="1"/>
  <c r="L8054" i="1"/>
  <c r="K8054" i="1"/>
  <c r="J8054" i="1"/>
  <c r="I8054" i="1"/>
  <c r="H8054" i="1"/>
  <c r="G8054" i="1"/>
  <c r="M8053" i="1"/>
  <c r="L8053" i="1"/>
  <c r="K8053" i="1"/>
  <c r="J8053" i="1"/>
  <c r="I8053" i="1"/>
  <c r="H8053" i="1"/>
  <c r="G8053" i="1"/>
  <c r="M8052" i="1"/>
  <c r="L8052" i="1"/>
  <c r="K8052" i="1"/>
  <c r="J8052" i="1"/>
  <c r="I8052" i="1"/>
  <c r="H8052" i="1"/>
  <c r="G8052" i="1"/>
  <c r="M8051" i="1"/>
  <c r="L8051" i="1"/>
  <c r="K8051" i="1"/>
  <c r="J8051" i="1"/>
  <c r="I8051" i="1"/>
  <c r="H8051" i="1"/>
  <c r="G8051" i="1"/>
  <c r="M8050" i="1"/>
  <c r="L8050" i="1"/>
  <c r="K8050" i="1"/>
  <c r="J8050" i="1"/>
  <c r="I8050" i="1"/>
  <c r="H8050" i="1"/>
  <c r="G8050" i="1"/>
  <c r="M8049" i="1"/>
  <c r="L8049" i="1"/>
  <c r="K8049" i="1"/>
  <c r="J8049" i="1"/>
  <c r="I8049" i="1"/>
  <c r="H8049" i="1"/>
  <c r="G8049" i="1"/>
  <c r="M8048" i="1"/>
  <c r="L8048" i="1"/>
  <c r="K8048" i="1"/>
  <c r="J8048" i="1"/>
  <c r="I8048" i="1"/>
  <c r="H8048" i="1"/>
  <c r="G8048" i="1"/>
  <c r="M8047" i="1"/>
  <c r="L8047" i="1"/>
  <c r="K8047" i="1"/>
  <c r="J8047" i="1"/>
  <c r="I8047" i="1"/>
  <c r="H8047" i="1"/>
  <c r="G8047" i="1"/>
  <c r="M8046" i="1"/>
  <c r="L8046" i="1"/>
  <c r="K8046" i="1"/>
  <c r="J8046" i="1"/>
  <c r="I8046" i="1"/>
  <c r="H8046" i="1"/>
  <c r="G8046" i="1"/>
  <c r="M8045" i="1"/>
  <c r="L8045" i="1"/>
  <c r="K8045" i="1"/>
  <c r="J8045" i="1"/>
  <c r="I8045" i="1"/>
  <c r="H8045" i="1"/>
  <c r="G8045" i="1"/>
  <c r="M8044" i="1"/>
  <c r="L8044" i="1"/>
  <c r="K8044" i="1"/>
  <c r="J8044" i="1"/>
  <c r="I8044" i="1"/>
  <c r="H8044" i="1"/>
  <c r="G8044" i="1"/>
  <c r="M8043" i="1"/>
  <c r="L8043" i="1"/>
  <c r="K8043" i="1"/>
  <c r="J8043" i="1"/>
  <c r="I8043" i="1"/>
  <c r="H8043" i="1"/>
  <c r="G8043" i="1"/>
  <c r="M8042" i="1"/>
  <c r="L8042" i="1"/>
  <c r="K8042" i="1"/>
  <c r="J8042" i="1"/>
  <c r="I8042" i="1"/>
  <c r="H8042" i="1"/>
  <c r="G8042" i="1"/>
  <c r="M8041" i="1"/>
  <c r="L8041" i="1"/>
  <c r="K8041" i="1"/>
  <c r="J8041" i="1"/>
  <c r="I8041" i="1"/>
  <c r="H8041" i="1"/>
  <c r="G8041" i="1"/>
  <c r="M8040" i="1"/>
  <c r="L8040" i="1"/>
  <c r="K8040" i="1"/>
  <c r="J8040" i="1"/>
  <c r="I8040" i="1"/>
  <c r="H8040" i="1"/>
  <c r="G8040" i="1"/>
  <c r="M8039" i="1"/>
  <c r="L8039" i="1"/>
  <c r="K8039" i="1"/>
  <c r="J8039" i="1"/>
  <c r="I8039" i="1"/>
  <c r="H8039" i="1"/>
  <c r="G8039" i="1"/>
  <c r="M8038" i="1"/>
  <c r="L8038" i="1"/>
  <c r="K8038" i="1"/>
  <c r="J8038" i="1"/>
  <c r="I8038" i="1"/>
  <c r="H8038" i="1"/>
  <c r="G8038" i="1"/>
  <c r="M8037" i="1"/>
  <c r="L8037" i="1"/>
  <c r="K8037" i="1"/>
  <c r="J8037" i="1"/>
  <c r="I8037" i="1"/>
  <c r="H8037" i="1"/>
  <c r="G8037" i="1"/>
  <c r="M8036" i="1"/>
  <c r="L8036" i="1"/>
  <c r="K8036" i="1"/>
  <c r="J8036" i="1"/>
  <c r="I8036" i="1"/>
  <c r="H8036" i="1"/>
  <c r="G8036" i="1"/>
  <c r="M8035" i="1"/>
  <c r="L8035" i="1"/>
  <c r="K8035" i="1"/>
  <c r="J8035" i="1"/>
  <c r="I8035" i="1"/>
  <c r="H8035" i="1"/>
  <c r="G8035" i="1"/>
  <c r="M8034" i="1"/>
  <c r="L8034" i="1"/>
  <c r="K8034" i="1"/>
  <c r="J8034" i="1"/>
  <c r="I8034" i="1"/>
  <c r="H8034" i="1"/>
  <c r="G8034" i="1"/>
  <c r="M8033" i="1"/>
  <c r="L8033" i="1"/>
  <c r="K8033" i="1"/>
  <c r="J8033" i="1"/>
  <c r="I8033" i="1"/>
  <c r="H8033" i="1"/>
  <c r="G8033" i="1"/>
  <c r="M8032" i="1"/>
  <c r="L8032" i="1"/>
  <c r="K8032" i="1"/>
  <c r="J8032" i="1"/>
  <c r="I8032" i="1"/>
  <c r="H8032" i="1"/>
  <c r="G8032" i="1"/>
  <c r="M8031" i="1"/>
  <c r="L8031" i="1"/>
  <c r="K8031" i="1"/>
  <c r="J8031" i="1"/>
  <c r="I8031" i="1"/>
  <c r="H8031" i="1"/>
  <c r="G8031" i="1"/>
  <c r="M8030" i="1"/>
  <c r="L8030" i="1"/>
  <c r="K8030" i="1"/>
  <c r="J8030" i="1"/>
  <c r="I8030" i="1"/>
  <c r="H8030" i="1"/>
  <c r="G8030" i="1"/>
  <c r="M8029" i="1"/>
  <c r="L8029" i="1"/>
  <c r="K8029" i="1"/>
  <c r="J8029" i="1"/>
  <c r="I8029" i="1"/>
  <c r="H8029" i="1"/>
  <c r="G8029" i="1"/>
  <c r="M8028" i="1"/>
  <c r="L8028" i="1"/>
  <c r="K8028" i="1"/>
  <c r="J8028" i="1"/>
  <c r="I8028" i="1"/>
  <c r="H8028" i="1"/>
  <c r="G8028" i="1"/>
  <c r="M8027" i="1"/>
  <c r="L8027" i="1"/>
  <c r="K8027" i="1"/>
  <c r="J8027" i="1"/>
  <c r="I8027" i="1"/>
  <c r="H8027" i="1"/>
  <c r="G8027" i="1"/>
  <c r="M8026" i="1"/>
  <c r="L8026" i="1"/>
  <c r="K8026" i="1"/>
  <c r="J8026" i="1"/>
  <c r="I8026" i="1"/>
  <c r="H8026" i="1"/>
  <c r="G8026" i="1"/>
  <c r="M8025" i="1"/>
  <c r="L8025" i="1"/>
  <c r="K8025" i="1"/>
  <c r="J8025" i="1"/>
  <c r="I8025" i="1"/>
  <c r="H8025" i="1"/>
  <c r="G8025" i="1"/>
  <c r="M8024" i="1"/>
  <c r="L8024" i="1"/>
  <c r="K8024" i="1"/>
  <c r="J8024" i="1"/>
  <c r="I8024" i="1"/>
  <c r="H8024" i="1"/>
  <c r="G8024" i="1"/>
  <c r="M8023" i="1"/>
  <c r="L8023" i="1"/>
  <c r="K8023" i="1"/>
  <c r="J8023" i="1"/>
  <c r="I8023" i="1"/>
  <c r="H8023" i="1"/>
  <c r="G8023" i="1"/>
  <c r="M8022" i="1"/>
  <c r="L8022" i="1"/>
  <c r="K8022" i="1"/>
  <c r="J8022" i="1"/>
  <c r="I8022" i="1"/>
  <c r="H8022" i="1"/>
  <c r="G8022" i="1"/>
  <c r="M8021" i="1"/>
  <c r="L8021" i="1"/>
  <c r="K8021" i="1"/>
  <c r="J8021" i="1"/>
  <c r="I8021" i="1"/>
  <c r="H8021" i="1"/>
  <c r="G8021" i="1"/>
  <c r="M8020" i="1"/>
  <c r="L8020" i="1"/>
  <c r="K8020" i="1"/>
  <c r="J8020" i="1"/>
  <c r="I8020" i="1"/>
  <c r="H8020" i="1"/>
  <c r="G8020" i="1"/>
  <c r="M8019" i="1"/>
  <c r="L8019" i="1"/>
  <c r="K8019" i="1"/>
  <c r="J8019" i="1"/>
  <c r="I8019" i="1"/>
  <c r="H8019" i="1"/>
  <c r="G8019" i="1"/>
  <c r="M8018" i="1"/>
  <c r="L8018" i="1"/>
  <c r="K8018" i="1"/>
  <c r="J8018" i="1"/>
  <c r="I8018" i="1"/>
  <c r="H8018" i="1"/>
  <c r="G8018" i="1"/>
  <c r="M8017" i="1"/>
  <c r="L8017" i="1"/>
  <c r="K8017" i="1"/>
  <c r="J8017" i="1"/>
  <c r="I8017" i="1"/>
  <c r="H8017" i="1"/>
  <c r="G8017" i="1"/>
  <c r="M8016" i="1"/>
  <c r="L8016" i="1"/>
  <c r="K8016" i="1"/>
  <c r="J8016" i="1"/>
  <c r="I8016" i="1"/>
  <c r="H8016" i="1"/>
  <c r="G8016" i="1"/>
  <c r="M8015" i="1"/>
  <c r="L8015" i="1"/>
  <c r="K8015" i="1"/>
  <c r="J8015" i="1"/>
  <c r="I8015" i="1"/>
  <c r="H8015" i="1"/>
  <c r="G8015" i="1"/>
  <c r="M8014" i="1"/>
  <c r="L8014" i="1"/>
  <c r="K8014" i="1"/>
  <c r="J8014" i="1"/>
  <c r="I8014" i="1"/>
  <c r="H8014" i="1"/>
  <c r="G8014" i="1"/>
  <c r="M8013" i="1"/>
  <c r="L8013" i="1"/>
  <c r="K8013" i="1"/>
  <c r="J8013" i="1"/>
  <c r="I8013" i="1"/>
  <c r="H8013" i="1"/>
  <c r="G8013" i="1"/>
  <c r="M8012" i="1"/>
  <c r="L8012" i="1"/>
  <c r="K8012" i="1"/>
  <c r="J8012" i="1"/>
  <c r="I8012" i="1"/>
  <c r="H8012" i="1"/>
  <c r="G8012" i="1"/>
  <c r="M8011" i="1"/>
  <c r="L8011" i="1"/>
  <c r="K8011" i="1"/>
  <c r="J8011" i="1"/>
  <c r="I8011" i="1"/>
  <c r="H8011" i="1"/>
  <c r="G8011" i="1"/>
  <c r="M8010" i="1"/>
  <c r="L8010" i="1"/>
  <c r="K8010" i="1"/>
  <c r="J8010" i="1"/>
  <c r="I8010" i="1"/>
  <c r="H8010" i="1"/>
  <c r="G8010" i="1"/>
  <c r="M8009" i="1"/>
  <c r="L8009" i="1"/>
  <c r="K8009" i="1"/>
  <c r="J8009" i="1"/>
  <c r="I8009" i="1"/>
  <c r="H8009" i="1"/>
  <c r="G8009" i="1"/>
  <c r="M8008" i="1"/>
  <c r="L8008" i="1"/>
  <c r="K8008" i="1"/>
  <c r="J8008" i="1"/>
  <c r="I8008" i="1"/>
  <c r="H8008" i="1"/>
  <c r="G8008" i="1"/>
  <c r="M8007" i="1"/>
  <c r="L8007" i="1"/>
  <c r="K8007" i="1"/>
  <c r="J8007" i="1"/>
  <c r="I8007" i="1"/>
  <c r="H8007" i="1"/>
  <c r="G8007" i="1"/>
  <c r="M8006" i="1"/>
  <c r="L8006" i="1"/>
  <c r="K8006" i="1"/>
  <c r="J8006" i="1"/>
  <c r="I8006" i="1"/>
  <c r="H8006" i="1"/>
  <c r="G8006" i="1"/>
  <c r="M8005" i="1"/>
  <c r="L8005" i="1"/>
  <c r="K8005" i="1"/>
  <c r="J8005" i="1"/>
  <c r="I8005" i="1"/>
  <c r="H8005" i="1"/>
  <c r="G8005" i="1"/>
  <c r="M8004" i="1"/>
  <c r="L8004" i="1"/>
  <c r="K8004" i="1"/>
  <c r="J8004" i="1"/>
  <c r="I8004" i="1"/>
  <c r="H8004" i="1"/>
  <c r="G8004" i="1"/>
  <c r="M8003" i="1"/>
  <c r="L8003" i="1"/>
  <c r="K8003" i="1"/>
  <c r="J8003" i="1"/>
  <c r="I8003" i="1"/>
  <c r="H8003" i="1"/>
  <c r="G8003" i="1"/>
  <c r="M8002" i="1"/>
  <c r="L8002" i="1"/>
  <c r="K8002" i="1"/>
  <c r="J8002" i="1"/>
  <c r="I8002" i="1"/>
  <c r="H8002" i="1"/>
  <c r="G8002" i="1"/>
  <c r="M8001" i="1"/>
  <c r="L8001" i="1"/>
  <c r="K8001" i="1"/>
  <c r="J8001" i="1"/>
  <c r="I8001" i="1"/>
  <c r="H8001" i="1"/>
  <c r="G8001" i="1"/>
  <c r="M8000" i="1"/>
  <c r="L8000" i="1"/>
  <c r="K8000" i="1"/>
  <c r="J8000" i="1"/>
  <c r="I8000" i="1"/>
  <c r="H8000" i="1"/>
  <c r="G8000" i="1"/>
  <c r="M7999" i="1"/>
  <c r="L7999" i="1"/>
  <c r="K7999" i="1"/>
  <c r="J7999" i="1"/>
  <c r="I7999" i="1"/>
  <c r="H7999" i="1"/>
  <c r="G7999" i="1"/>
  <c r="M7998" i="1"/>
  <c r="L7998" i="1"/>
  <c r="K7998" i="1"/>
  <c r="J7998" i="1"/>
  <c r="I7998" i="1"/>
  <c r="H7998" i="1"/>
  <c r="G7998" i="1"/>
  <c r="M7997" i="1"/>
  <c r="L7997" i="1"/>
  <c r="K7997" i="1"/>
  <c r="J7997" i="1"/>
  <c r="I7997" i="1"/>
  <c r="H7997" i="1"/>
  <c r="G7997" i="1"/>
  <c r="M7996" i="1"/>
  <c r="L7996" i="1"/>
  <c r="K7996" i="1"/>
  <c r="J7996" i="1"/>
  <c r="I7996" i="1"/>
  <c r="H7996" i="1"/>
  <c r="G7996" i="1"/>
  <c r="M7995" i="1"/>
  <c r="L7995" i="1"/>
  <c r="K7995" i="1"/>
  <c r="J7995" i="1"/>
  <c r="I7995" i="1"/>
  <c r="H7995" i="1"/>
  <c r="G7995" i="1"/>
  <c r="M7994" i="1"/>
  <c r="L7994" i="1"/>
  <c r="K7994" i="1"/>
  <c r="J7994" i="1"/>
  <c r="I7994" i="1"/>
  <c r="H7994" i="1"/>
  <c r="G7994" i="1"/>
  <c r="M7993" i="1"/>
  <c r="L7993" i="1"/>
  <c r="K7993" i="1"/>
  <c r="J7993" i="1"/>
  <c r="I7993" i="1"/>
  <c r="H7993" i="1"/>
  <c r="G7993" i="1"/>
  <c r="M7992" i="1"/>
  <c r="L7992" i="1"/>
  <c r="K7992" i="1"/>
  <c r="J7992" i="1"/>
  <c r="I7992" i="1"/>
  <c r="H7992" i="1"/>
  <c r="G7992" i="1"/>
  <c r="M7991" i="1"/>
  <c r="L7991" i="1"/>
  <c r="K7991" i="1"/>
  <c r="J7991" i="1"/>
  <c r="I7991" i="1"/>
  <c r="H7991" i="1"/>
  <c r="G7991" i="1"/>
  <c r="M7990" i="1"/>
  <c r="L7990" i="1"/>
  <c r="K7990" i="1"/>
  <c r="J7990" i="1"/>
  <c r="I7990" i="1"/>
  <c r="H7990" i="1"/>
  <c r="G7990" i="1"/>
  <c r="M7989" i="1"/>
  <c r="L7989" i="1"/>
  <c r="K7989" i="1"/>
  <c r="J7989" i="1"/>
  <c r="I7989" i="1"/>
  <c r="H7989" i="1"/>
  <c r="G7989" i="1"/>
  <c r="M7988" i="1"/>
  <c r="L7988" i="1"/>
  <c r="K7988" i="1"/>
  <c r="J7988" i="1"/>
  <c r="I7988" i="1"/>
  <c r="H7988" i="1"/>
  <c r="G7988" i="1"/>
  <c r="M7987" i="1"/>
  <c r="L7987" i="1"/>
  <c r="K7987" i="1"/>
  <c r="J7987" i="1"/>
  <c r="I7987" i="1"/>
  <c r="H7987" i="1"/>
  <c r="G7987" i="1"/>
  <c r="M7986" i="1"/>
  <c r="L7986" i="1"/>
  <c r="K7986" i="1"/>
  <c r="J7986" i="1"/>
  <c r="I7986" i="1"/>
  <c r="H7986" i="1"/>
  <c r="G7986" i="1"/>
  <c r="M7985" i="1"/>
  <c r="L7985" i="1"/>
  <c r="K7985" i="1"/>
  <c r="J7985" i="1"/>
  <c r="I7985" i="1"/>
  <c r="H7985" i="1"/>
  <c r="G7985" i="1"/>
  <c r="M7984" i="1"/>
  <c r="L7984" i="1"/>
  <c r="K7984" i="1"/>
  <c r="J7984" i="1"/>
  <c r="I7984" i="1"/>
  <c r="H7984" i="1"/>
  <c r="G7984" i="1"/>
  <c r="M7983" i="1"/>
  <c r="L7983" i="1"/>
  <c r="K7983" i="1"/>
  <c r="J7983" i="1"/>
  <c r="I7983" i="1"/>
  <c r="H7983" i="1"/>
  <c r="G7983" i="1"/>
  <c r="M7982" i="1"/>
  <c r="L7982" i="1"/>
  <c r="K7982" i="1"/>
  <c r="J7982" i="1"/>
  <c r="I7982" i="1"/>
  <c r="H7982" i="1"/>
  <c r="G7982" i="1"/>
  <c r="M7981" i="1"/>
  <c r="L7981" i="1"/>
  <c r="K7981" i="1"/>
  <c r="J7981" i="1"/>
  <c r="I7981" i="1"/>
  <c r="H7981" i="1"/>
  <c r="G7981" i="1"/>
  <c r="M7980" i="1"/>
  <c r="L7980" i="1"/>
  <c r="K7980" i="1"/>
  <c r="J7980" i="1"/>
  <c r="I7980" i="1"/>
  <c r="H7980" i="1"/>
  <c r="G7980" i="1"/>
  <c r="M7979" i="1"/>
  <c r="L7979" i="1"/>
  <c r="K7979" i="1"/>
  <c r="J7979" i="1"/>
  <c r="I7979" i="1"/>
  <c r="H7979" i="1"/>
  <c r="G7979" i="1"/>
  <c r="M7978" i="1"/>
  <c r="L7978" i="1"/>
  <c r="K7978" i="1"/>
  <c r="J7978" i="1"/>
  <c r="I7978" i="1"/>
  <c r="H7978" i="1"/>
  <c r="G7978" i="1"/>
  <c r="M7977" i="1"/>
  <c r="L7977" i="1"/>
  <c r="K7977" i="1"/>
  <c r="J7977" i="1"/>
  <c r="I7977" i="1"/>
  <c r="H7977" i="1"/>
  <c r="G7977" i="1"/>
  <c r="M7976" i="1"/>
  <c r="L7976" i="1"/>
  <c r="K7976" i="1"/>
  <c r="J7976" i="1"/>
  <c r="I7976" i="1"/>
  <c r="H7976" i="1"/>
  <c r="G7976" i="1"/>
  <c r="M7975" i="1"/>
  <c r="L7975" i="1"/>
  <c r="K7975" i="1"/>
  <c r="J7975" i="1"/>
  <c r="I7975" i="1"/>
  <c r="H7975" i="1"/>
  <c r="G7975" i="1"/>
  <c r="M7974" i="1"/>
  <c r="L7974" i="1"/>
  <c r="K7974" i="1"/>
  <c r="J7974" i="1"/>
  <c r="I7974" i="1"/>
  <c r="H7974" i="1"/>
  <c r="G7974" i="1"/>
  <c r="M7973" i="1"/>
  <c r="L7973" i="1"/>
  <c r="K7973" i="1"/>
  <c r="J7973" i="1"/>
  <c r="I7973" i="1"/>
  <c r="H7973" i="1"/>
  <c r="G7973" i="1"/>
  <c r="M7972" i="1"/>
  <c r="L7972" i="1"/>
  <c r="K7972" i="1"/>
  <c r="J7972" i="1"/>
  <c r="I7972" i="1"/>
  <c r="H7972" i="1"/>
  <c r="G7972" i="1"/>
  <c r="M7971" i="1"/>
  <c r="L7971" i="1"/>
  <c r="K7971" i="1"/>
  <c r="J7971" i="1"/>
  <c r="I7971" i="1"/>
  <c r="H7971" i="1"/>
  <c r="G7971" i="1"/>
  <c r="M7970" i="1"/>
  <c r="L7970" i="1"/>
  <c r="K7970" i="1"/>
  <c r="J7970" i="1"/>
  <c r="I7970" i="1"/>
  <c r="H7970" i="1"/>
  <c r="G7970" i="1"/>
  <c r="M7969" i="1"/>
  <c r="L7969" i="1"/>
  <c r="K7969" i="1"/>
  <c r="J7969" i="1"/>
  <c r="I7969" i="1"/>
  <c r="H7969" i="1"/>
  <c r="G7969" i="1"/>
  <c r="M7968" i="1"/>
  <c r="L7968" i="1"/>
  <c r="K7968" i="1"/>
  <c r="J7968" i="1"/>
  <c r="I7968" i="1"/>
  <c r="H7968" i="1"/>
  <c r="G7968" i="1"/>
  <c r="M7967" i="1"/>
  <c r="L7967" i="1"/>
  <c r="K7967" i="1"/>
  <c r="J7967" i="1"/>
  <c r="I7967" i="1"/>
  <c r="H7967" i="1"/>
  <c r="G7967" i="1"/>
  <c r="M7966" i="1"/>
  <c r="L7966" i="1"/>
  <c r="K7966" i="1"/>
  <c r="J7966" i="1"/>
  <c r="I7966" i="1"/>
  <c r="H7966" i="1"/>
  <c r="G7966" i="1"/>
  <c r="M7965" i="1"/>
  <c r="L7965" i="1"/>
  <c r="K7965" i="1"/>
  <c r="J7965" i="1"/>
  <c r="I7965" i="1"/>
  <c r="H7965" i="1"/>
  <c r="G7965" i="1"/>
  <c r="M7964" i="1"/>
  <c r="L7964" i="1"/>
  <c r="K7964" i="1"/>
  <c r="J7964" i="1"/>
  <c r="I7964" i="1"/>
  <c r="H7964" i="1"/>
  <c r="G7964" i="1"/>
  <c r="M7963" i="1"/>
  <c r="L7963" i="1"/>
  <c r="K7963" i="1"/>
  <c r="J7963" i="1"/>
  <c r="I7963" i="1"/>
  <c r="H7963" i="1"/>
  <c r="G7963" i="1"/>
  <c r="M7962" i="1"/>
  <c r="L7962" i="1"/>
  <c r="K7962" i="1"/>
  <c r="J7962" i="1"/>
  <c r="I7962" i="1"/>
  <c r="H7962" i="1"/>
  <c r="G7962" i="1"/>
  <c r="M7961" i="1"/>
  <c r="L7961" i="1"/>
  <c r="K7961" i="1"/>
  <c r="J7961" i="1"/>
  <c r="I7961" i="1"/>
  <c r="H7961" i="1"/>
  <c r="G7961" i="1"/>
  <c r="M7960" i="1"/>
  <c r="L7960" i="1"/>
  <c r="K7960" i="1"/>
  <c r="J7960" i="1"/>
  <c r="I7960" i="1"/>
  <c r="H7960" i="1"/>
  <c r="G7960" i="1"/>
  <c r="M7959" i="1"/>
  <c r="L7959" i="1"/>
  <c r="K7959" i="1"/>
  <c r="J7959" i="1"/>
  <c r="I7959" i="1"/>
  <c r="H7959" i="1"/>
  <c r="G7959" i="1"/>
  <c r="M7958" i="1"/>
  <c r="L7958" i="1"/>
  <c r="K7958" i="1"/>
  <c r="J7958" i="1"/>
  <c r="I7958" i="1"/>
  <c r="H7958" i="1"/>
  <c r="G7958" i="1"/>
  <c r="M7957" i="1"/>
  <c r="L7957" i="1"/>
  <c r="K7957" i="1"/>
  <c r="J7957" i="1"/>
  <c r="I7957" i="1"/>
  <c r="H7957" i="1"/>
  <c r="G7957" i="1"/>
  <c r="M7956" i="1"/>
  <c r="L7956" i="1"/>
  <c r="K7956" i="1"/>
  <c r="J7956" i="1"/>
  <c r="I7956" i="1"/>
  <c r="H7956" i="1"/>
  <c r="G7956" i="1"/>
  <c r="M7955" i="1"/>
  <c r="L7955" i="1"/>
  <c r="K7955" i="1"/>
  <c r="J7955" i="1"/>
  <c r="I7955" i="1"/>
  <c r="H7955" i="1"/>
  <c r="G7955" i="1"/>
  <c r="M7954" i="1"/>
  <c r="L7954" i="1"/>
  <c r="K7954" i="1"/>
  <c r="J7954" i="1"/>
  <c r="I7954" i="1"/>
  <c r="H7954" i="1"/>
  <c r="G7954" i="1"/>
  <c r="M7953" i="1"/>
  <c r="L7953" i="1"/>
  <c r="K7953" i="1"/>
  <c r="J7953" i="1"/>
  <c r="I7953" i="1"/>
  <c r="H7953" i="1"/>
  <c r="G7953" i="1"/>
  <c r="M7952" i="1"/>
  <c r="L7952" i="1"/>
  <c r="K7952" i="1"/>
  <c r="J7952" i="1"/>
  <c r="I7952" i="1"/>
  <c r="H7952" i="1"/>
  <c r="G7952" i="1"/>
  <c r="M7951" i="1"/>
  <c r="L7951" i="1"/>
  <c r="K7951" i="1"/>
  <c r="J7951" i="1"/>
  <c r="I7951" i="1"/>
  <c r="H7951" i="1"/>
  <c r="G7951" i="1"/>
  <c r="M7950" i="1"/>
  <c r="L7950" i="1"/>
  <c r="K7950" i="1"/>
  <c r="J7950" i="1"/>
  <c r="I7950" i="1"/>
  <c r="H7950" i="1"/>
  <c r="G7950" i="1"/>
  <c r="M7949" i="1"/>
  <c r="L7949" i="1"/>
  <c r="K7949" i="1"/>
  <c r="J7949" i="1"/>
  <c r="I7949" i="1"/>
  <c r="H7949" i="1"/>
  <c r="G7949" i="1"/>
  <c r="M7948" i="1"/>
  <c r="L7948" i="1"/>
  <c r="K7948" i="1"/>
  <c r="J7948" i="1"/>
  <c r="I7948" i="1"/>
  <c r="H7948" i="1"/>
  <c r="G7948" i="1"/>
  <c r="M7947" i="1"/>
  <c r="L7947" i="1"/>
  <c r="K7947" i="1"/>
  <c r="J7947" i="1"/>
  <c r="I7947" i="1"/>
  <c r="H7947" i="1"/>
  <c r="G7947" i="1"/>
  <c r="M7946" i="1"/>
  <c r="L7946" i="1"/>
  <c r="K7946" i="1"/>
  <c r="J7946" i="1"/>
  <c r="I7946" i="1"/>
  <c r="H7946" i="1"/>
  <c r="G7946" i="1"/>
  <c r="M7945" i="1"/>
  <c r="L7945" i="1"/>
  <c r="K7945" i="1"/>
  <c r="J7945" i="1"/>
  <c r="I7945" i="1"/>
  <c r="H7945" i="1"/>
  <c r="G7945" i="1"/>
  <c r="M7944" i="1"/>
  <c r="L7944" i="1"/>
  <c r="K7944" i="1"/>
  <c r="J7944" i="1"/>
  <c r="I7944" i="1"/>
  <c r="H7944" i="1"/>
  <c r="G7944" i="1"/>
  <c r="M7943" i="1"/>
  <c r="L7943" i="1"/>
  <c r="K7943" i="1"/>
  <c r="J7943" i="1"/>
  <c r="I7943" i="1"/>
  <c r="H7943" i="1"/>
  <c r="G7943" i="1"/>
  <c r="M7942" i="1"/>
  <c r="L7942" i="1"/>
  <c r="K7942" i="1"/>
  <c r="J7942" i="1"/>
  <c r="I7942" i="1"/>
  <c r="H7942" i="1"/>
  <c r="G7942" i="1"/>
  <c r="M7941" i="1"/>
  <c r="L7941" i="1"/>
  <c r="K7941" i="1"/>
  <c r="J7941" i="1"/>
  <c r="I7941" i="1"/>
  <c r="H7941" i="1"/>
  <c r="G7941" i="1"/>
  <c r="M7940" i="1"/>
  <c r="L7940" i="1"/>
  <c r="K7940" i="1"/>
  <c r="J7940" i="1"/>
  <c r="I7940" i="1"/>
  <c r="H7940" i="1"/>
  <c r="G7940" i="1"/>
  <c r="M7939" i="1"/>
  <c r="L7939" i="1"/>
  <c r="K7939" i="1"/>
  <c r="J7939" i="1"/>
  <c r="I7939" i="1"/>
  <c r="H7939" i="1"/>
  <c r="G7939" i="1"/>
  <c r="M7938" i="1"/>
  <c r="L7938" i="1"/>
  <c r="K7938" i="1"/>
  <c r="J7938" i="1"/>
  <c r="I7938" i="1"/>
  <c r="H7938" i="1"/>
  <c r="G7938" i="1"/>
  <c r="M7937" i="1"/>
  <c r="L7937" i="1"/>
  <c r="K7937" i="1"/>
  <c r="J7937" i="1"/>
  <c r="I7937" i="1"/>
  <c r="H7937" i="1"/>
  <c r="G7937" i="1"/>
  <c r="M7936" i="1"/>
  <c r="L7936" i="1"/>
  <c r="K7936" i="1"/>
  <c r="J7936" i="1"/>
  <c r="I7936" i="1"/>
  <c r="H7936" i="1"/>
  <c r="G7936" i="1"/>
  <c r="M7935" i="1"/>
  <c r="L7935" i="1"/>
  <c r="K7935" i="1"/>
  <c r="J7935" i="1"/>
  <c r="I7935" i="1"/>
  <c r="H7935" i="1"/>
  <c r="G7935" i="1"/>
  <c r="M7934" i="1"/>
  <c r="L7934" i="1"/>
  <c r="K7934" i="1"/>
  <c r="J7934" i="1"/>
  <c r="I7934" i="1"/>
  <c r="H7934" i="1"/>
  <c r="G7934" i="1"/>
  <c r="M7933" i="1"/>
  <c r="L7933" i="1"/>
  <c r="K7933" i="1"/>
  <c r="J7933" i="1"/>
  <c r="I7933" i="1"/>
  <c r="H7933" i="1"/>
  <c r="G7933" i="1"/>
  <c r="M7932" i="1"/>
  <c r="L7932" i="1"/>
  <c r="K7932" i="1"/>
  <c r="J7932" i="1"/>
  <c r="I7932" i="1"/>
  <c r="H7932" i="1"/>
  <c r="G7932" i="1"/>
  <c r="M7931" i="1"/>
  <c r="L7931" i="1"/>
  <c r="K7931" i="1"/>
  <c r="J7931" i="1"/>
  <c r="I7931" i="1"/>
  <c r="H7931" i="1"/>
  <c r="G7931" i="1"/>
  <c r="M7930" i="1"/>
  <c r="L7930" i="1"/>
  <c r="K7930" i="1"/>
  <c r="J7930" i="1"/>
  <c r="I7930" i="1"/>
  <c r="H7930" i="1"/>
  <c r="G7930" i="1"/>
  <c r="M7929" i="1"/>
  <c r="L7929" i="1"/>
  <c r="K7929" i="1"/>
  <c r="J7929" i="1"/>
  <c r="I7929" i="1"/>
  <c r="H7929" i="1"/>
  <c r="G7929" i="1"/>
  <c r="M7928" i="1"/>
  <c r="L7928" i="1"/>
  <c r="K7928" i="1"/>
  <c r="J7928" i="1"/>
  <c r="I7928" i="1"/>
  <c r="H7928" i="1"/>
  <c r="G7928" i="1"/>
  <c r="M7927" i="1"/>
  <c r="L7927" i="1"/>
  <c r="K7927" i="1"/>
  <c r="J7927" i="1"/>
  <c r="I7927" i="1"/>
  <c r="H7927" i="1"/>
  <c r="G7927" i="1"/>
  <c r="M7926" i="1"/>
  <c r="L7926" i="1"/>
  <c r="K7926" i="1"/>
  <c r="J7926" i="1"/>
  <c r="I7926" i="1"/>
  <c r="H7926" i="1"/>
  <c r="G7926" i="1"/>
  <c r="M7925" i="1"/>
  <c r="L7925" i="1"/>
  <c r="K7925" i="1"/>
  <c r="J7925" i="1"/>
  <c r="I7925" i="1"/>
  <c r="H7925" i="1"/>
  <c r="G7925" i="1"/>
  <c r="M7924" i="1"/>
  <c r="L7924" i="1"/>
  <c r="K7924" i="1"/>
  <c r="J7924" i="1"/>
  <c r="I7924" i="1"/>
  <c r="H7924" i="1"/>
  <c r="G7924" i="1"/>
  <c r="M7923" i="1"/>
  <c r="L7923" i="1"/>
  <c r="K7923" i="1"/>
  <c r="J7923" i="1"/>
  <c r="I7923" i="1"/>
  <c r="H7923" i="1"/>
  <c r="G7923" i="1"/>
  <c r="M7922" i="1"/>
  <c r="L7922" i="1"/>
  <c r="K7922" i="1"/>
  <c r="J7922" i="1"/>
  <c r="I7922" i="1"/>
  <c r="H7922" i="1"/>
  <c r="G7922" i="1"/>
  <c r="M7921" i="1"/>
  <c r="L7921" i="1"/>
  <c r="K7921" i="1"/>
  <c r="J7921" i="1"/>
  <c r="I7921" i="1"/>
  <c r="H7921" i="1"/>
  <c r="G7921" i="1"/>
  <c r="M7920" i="1"/>
  <c r="L7920" i="1"/>
  <c r="K7920" i="1"/>
  <c r="J7920" i="1"/>
  <c r="I7920" i="1"/>
  <c r="H7920" i="1"/>
  <c r="G7920" i="1"/>
  <c r="M7919" i="1"/>
  <c r="L7919" i="1"/>
  <c r="K7919" i="1"/>
  <c r="J7919" i="1"/>
  <c r="I7919" i="1"/>
  <c r="H7919" i="1"/>
  <c r="G7919" i="1"/>
  <c r="M7918" i="1"/>
  <c r="L7918" i="1"/>
  <c r="K7918" i="1"/>
  <c r="J7918" i="1"/>
  <c r="I7918" i="1"/>
  <c r="H7918" i="1"/>
  <c r="G7918" i="1"/>
  <c r="M7917" i="1"/>
  <c r="L7917" i="1"/>
  <c r="K7917" i="1"/>
  <c r="J7917" i="1"/>
  <c r="I7917" i="1"/>
  <c r="H7917" i="1"/>
  <c r="G7917" i="1"/>
  <c r="M7916" i="1"/>
  <c r="L7916" i="1"/>
  <c r="K7916" i="1"/>
  <c r="J7916" i="1"/>
  <c r="I7916" i="1"/>
  <c r="H7916" i="1"/>
  <c r="G7916" i="1"/>
  <c r="M7915" i="1"/>
  <c r="L7915" i="1"/>
  <c r="K7915" i="1"/>
  <c r="J7915" i="1"/>
  <c r="I7915" i="1"/>
  <c r="H7915" i="1"/>
  <c r="G7915" i="1"/>
  <c r="M7914" i="1"/>
  <c r="L7914" i="1"/>
  <c r="K7914" i="1"/>
  <c r="J7914" i="1"/>
  <c r="I7914" i="1"/>
  <c r="H7914" i="1"/>
  <c r="G7914" i="1"/>
  <c r="M7913" i="1"/>
  <c r="L7913" i="1"/>
  <c r="K7913" i="1"/>
  <c r="J7913" i="1"/>
  <c r="I7913" i="1"/>
  <c r="H7913" i="1"/>
  <c r="G7913" i="1"/>
  <c r="M7912" i="1"/>
  <c r="L7912" i="1"/>
  <c r="K7912" i="1"/>
  <c r="J7912" i="1"/>
  <c r="I7912" i="1"/>
  <c r="H7912" i="1"/>
  <c r="G7912" i="1"/>
  <c r="M7911" i="1"/>
  <c r="L7911" i="1"/>
  <c r="K7911" i="1"/>
  <c r="J7911" i="1"/>
  <c r="I7911" i="1"/>
  <c r="H7911" i="1"/>
  <c r="G7911" i="1"/>
  <c r="M7910" i="1"/>
  <c r="L7910" i="1"/>
  <c r="K7910" i="1"/>
  <c r="J7910" i="1"/>
  <c r="I7910" i="1"/>
  <c r="H7910" i="1"/>
  <c r="G7910" i="1"/>
  <c r="M7909" i="1"/>
  <c r="L7909" i="1"/>
  <c r="K7909" i="1"/>
  <c r="J7909" i="1"/>
  <c r="I7909" i="1"/>
  <c r="H7909" i="1"/>
  <c r="G7909" i="1"/>
  <c r="M7908" i="1"/>
  <c r="L7908" i="1"/>
  <c r="K7908" i="1"/>
  <c r="J7908" i="1"/>
  <c r="I7908" i="1"/>
  <c r="H7908" i="1"/>
  <c r="G7908" i="1"/>
  <c r="M7907" i="1"/>
  <c r="L7907" i="1"/>
  <c r="K7907" i="1"/>
  <c r="J7907" i="1"/>
  <c r="I7907" i="1"/>
  <c r="H7907" i="1"/>
  <c r="G7907" i="1"/>
  <c r="M7906" i="1"/>
  <c r="L7906" i="1"/>
  <c r="K7906" i="1"/>
  <c r="J7906" i="1"/>
  <c r="I7906" i="1"/>
  <c r="H7906" i="1"/>
  <c r="G7906" i="1"/>
  <c r="M7905" i="1"/>
  <c r="L7905" i="1"/>
  <c r="K7905" i="1"/>
  <c r="J7905" i="1"/>
  <c r="I7905" i="1"/>
  <c r="H7905" i="1"/>
  <c r="G7905" i="1"/>
  <c r="M7904" i="1"/>
  <c r="L7904" i="1"/>
  <c r="K7904" i="1"/>
  <c r="J7904" i="1"/>
  <c r="I7904" i="1"/>
  <c r="H7904" i="1"/>
  <c r="G7904" i="1"/>
  <c r="M7903" i="1"/>
  <c r="L7903" i="1"/>
  <c r="K7903" i="1"/>
  <c r="J7903" i="1"/>
  <c r="I7903" i="1"/>
  <c r="H7903" i="1"/>
  <c r="G7903" i="1"/>
  <c r="M7902" i="1"/>
  <c r="L7902" i="1"/>
  <c r="K7902" i="1"/>
  <c r="J7902" i="1"/>
  <c r="I7902" i="1"/>
  <c r="H7902" i="1"/>
  <c r="G7902" i="1"/>
  <c r="M7901" i="1"/>
  <c r="L7901" i="1"/>
  <c r="K7901" i="1"/>
  <c r="J7901" i="1"/>
  <c r="I7901" i="1"/>
  <c r="H7901" i="1"/>
  <c r="G7901" i="1"/>
  <c r="M7900" i="1"/>
  <c r="L7900" i="1"/>
  <c r="K7900" i="1"/>
  <c r="J7900" i="1"/>
  <c r="I7900" i="1"/>
  <c r="H7900" i="1"/>
  <c r="G7900" i="1"/>
  <c r="M7899" i="1"/>
  <c r="L7899" i="1"/>
  <c r="K7899" i="1"/>
  <c r="J7899" i="1"/>
  <c r="I7899" i="1"/>
  <c r="H7899" i="1"/>
  <c r="G7899" i="1"/>
  <c r="M7898" i="1"/>
  <c r="L7898" i="1"/>
  <c r="K7898" i="1"/>
  <c r="J7898" i="1"/>
  <c r="I7898" i="1"/>
  <c r="H7898" i="1"/>
  <c r="G7898" i="1"/>
  <c r="M7897" i="1"/>
  <c r="L7897" i="1"/>
  <c r="K7897" i="1"/>
  <c r="J7897" i="1"/>
  <c r="I7897" i="1"/>
  <c r="H7897" i="1"/>
  <c r="G7897" i="1"/>
  <c r="M7896" i="1"/>
  <c r="L7896" i="1"/>
  <c r="K7896" i="1"/>
  <c r="J7896" i="1"/>
  <c r="I7896" i="1"/>
  <c r="H7896" i="1"/>
  <c r="G7896" i="1"/>
  <c r="M7895" i="1"/>
  <c r="L7895" i="1"/>
  <c r="K7895" i="1"/>
  <c r="J7895" i="1"/>
  <c r="I7895" i="1"/>
  <c r="H7895" i="1"/>
  <c r="G7895" i="1"/>
  <c r="M7894" i="1"/>
  <c r="L7894" i="1"/>
  <c r="K7894" i="1"/>
  <c r="J7894" i="1"/>
  <c r="I7894" i="1"/>
  <c r="H7894" i="1"/>
  <c r="G7894" i="1"/>
  <c r="M7893" i="1"/>
  <c r="L7893" i="1"/>
  <c r="K7893" i="1"/>
  <c r="J7893" i="1"/>
  <c r="I7893" i="1"/>
  <c r="H7893" i="1"/>
  <c r="G7893" i="1"/>
  <c r="M7892" i="1"/>
  <c r="L7892" i="1"/>
  <c r="K7892" i="1"/>
  <c r="J7892" i="1"/>
  <c r="I7892" i="1"/>
  <c r="H7892" i="1"/>
  <c r="G7892" i="1"/>
  <c r="M7891" i="1"/>
  <c r="L7891" i="1"/>
  <c r="K7891" i="1"/>
  <c r="J7891" i="1"/>
  <c r="I7891" i="1"/>
  <c r="H7891" i="1"/>
  <c r="G7891" i="1"/>
  <c r="M7890" i="1"/>
  <c r="L7890" i="1"/>
  <c r="K7890" i="1"/>
  <c r="J7890" i="1"/>
  <c r="I7890" i="1"/>
  <c r="H7890" i="1"/>
  <c r="G7890" i="1"/>
  <c r="M7889" i="1"/>
  <c r="L7889" i="1"/>
  <c r="K7889" i="1"/>
  <c r="J7889" i="1"/>
  <c r="I7889" i="1"/>
  <c r="H7889" i="1"/>
  <c r="G7889" i="1"/>
  <c r="M7888" i="1"/>
  <c r="L7888" i="1"/>
  <c r="K7888" i="1"/>
  <c r="J7888" i="1"/>
  <c r="I7888" i="1"/>
  <c r="H7888" i="1"/>
  <c r="G7888" i="1"/>
  <c r="M7887" i="1"/>
  <c r="L7887" i="1"/>
  <c r="K7887" i="1"/>
  <c r="J7887" i="1"/>
  <c r="I7887" i="1"/>
  <c r="H7887" i="1"/>
  <c r="G7887" i="1"/>
  <c r="M7886" i="1"/>
  <c r="L7886" i="1"/>
  <c r="K7886" i="1"/>
  <c r="J7886" i="1"/>
  <c r="I7886" i="1"/>
  <c r="H7886" i="1"/>
  <c r="G7886" i="1"/>
  <c r="M7885" i="1"/>
  <c r="L7885" i="1"/>
  <c r="K7885" i="1"/>
  <c r="J7885" i="1"/>
  <c r="I7885" i="1"/>
  <c r="H7885" i="1"/>
  <c r="G7885" i="1"/>
  <c r="M7884" i="1"/>
  <c r="L7884" i="1"/>
  <c r="K7884" i="1"/>
  <c r="J7884" i="1"/>
  <c r="I7884" i="1"/>
  <c r="H7884" i="1"/>
  <c r="G7884" i="1"/>
  <c r="M7883" i="1"/>
  <c r="L7883" i="1"/>
  <c r="K7883" i="1"/>
  <c r="J7883" i="1"/>
  <c r="I7883" i="1"/>
  <c r="H7883" i="1"/>
  <c r="G7883" i="1"/>
  <c r="M7882" i="1"/>
  <c r="L7882" i="1"/>
  <c r="K7882" i="1"/>
  <c r="J7882" i="1"/>
  <c r="I7882" i="1"/>
  <c r="H7882" i="1"/>
  <c r="G7882" i="1"/>
  <c r="M7881" i="1"/>
  <c r="L7881" i="1"/>
  <c r="K7881" i="1"/>
  <c r="J7881" i="1"/>
  <c r="I7881" i="1"/>
  <c r="H7881" i="1"/>
  <c r="G7881" i="1"/>
  <c r="M7880" i="1"/>
  <c r="L7880" i="1"/>
  <c r="K7880" i="1"/>
  <c r="J7880" i="1"/>
  <c r="I7880" i="1"/>
  <c r="H7880" i="1"/>
  <c r="G7880" i="1"/>
  <c r="M7879" i="1"/>
  <c r="L7879" i="1"/>
  <c r="K7879" i="1"/>
  <c r="J7879" i="1"/>
  <c r="I7879" i="1"/>
  <c r="H7879" i="1"/>
  <c r="G7879" i="1"/>
  <c r="M7878" i="1"/>
  <c r="L7878" i="1"/>
  <c r="K7878" i="1"/>
  <c r="J7878" i="1"/>
  <c r="I7878" i="1"/>
  <c r="H7878" i="1"/>
  <c r="G7878" i="1"/>
  <c r="M7877" i="1"/>
  <c r="L7877" i="1"/>
  <c r="K7877" i="1"/>
  <c r="J7877" i="1"/>
  <c r="I7877" i="1"/>
  <c r="H7877" i="1"/>
  <c r="G7877" i="1"/>
  <c r="M7876" i="1"/>
  <c r="L7876" i="1"/>
  <c r="K7876" i="1"/>
  <c r="J7876" i="1"/>
  <c r="I7876" i="1"/>
  <c r="H7876" i="1"/>
  <c r="G7876" i="1"/>
  <c r="M7875" i="1"/>
  <c r="L7875" i="1"/>
  <c r="K7875" i="1"/>
  <c r="J7875" i="1"/>
  <c r="I7875" i="1"/>
  <c r="H7875" i="1"/>
  <c r="G7875" i="1"/>
  <c r="M7874" i="1"/>
  <c r="L7874" i="1"/>
  <c r="K7874" i="1"/>
  <c r="J7874" i="1"/>
  <c r="I7874" i="1"/>
  <c r="H7874" i="1"/>
  <c r="G7874" i="1"/>
  <c r="M7873" i="1"/>
  <c r="L7873" i="1"/>
  <c r="K7873" i="1"/>
  <c r="J7873" i="1"/>
  <c r="I7873" i="1"/>
  <c r="H7873" i="1"/>
  <c r="G7873" i="1"/>
  <c r="M7872" i="1"/>
  <c r="L7872" i="1"/>
  <c r="K7872" i="1"/>
  <c r="J7872" i="1"/>
  <c r="I7872" i="1"/>
  <c r="H7872" i="1"/>
  <c r="G7872" i="1"/>
  <c r="M7871" i="1"/>
  <c r="L7871" i="1"/>
  <c r="K7871" i="1"/>
  <c r="J7871" i="1"/>
  <c r="I7871" i="1"/>
  <c r="H7871" i="1"/>
  <c r="G7871" i="1"/>
  <c r="M7870" i="1"/>
  <c r="L7870" i="1"/>
  <c r="K7870" i="1"/>
  <c r="J7870" i="1"/>
  <c r="I7870" i="1"/>
  <c r="H7870" i="1"/>
  <c r="G7870" i="1"/>
  <c r="M7869" i="1"/>
  <c r="L7869" i="1"/>
  <c r="K7869" i="1"/>
  <c r="J7869" i="1"/>
  <c r="I7869" i="1"/>
  <c r="H7869" i="1"/>
  <c r="G7869" i="1"/>
  <c r="M7868" i="1"/>
  <c r="L7868" i="1"/>
  <c r="K7868" i="1"/>
  <c r="J7868" i="1"/>
  <c r="I7868" i="1"/>
  <c r="H7868" i="1"/>
  <c r="G7868" i="1"/>
  <c r="M7867" i="1"/>
  <c r="L7867" i="1"/>
  <c r="K7867" i="1"/>
  <c r="J7867" i="1"/>
  <c r="I7867" i="1"/>
  <c r="H7867" i="1"/>
  <c r="G7867" i="1"/>
  <c r="M7866" i="1"/>
  <c r="L7866" i="1"/>
  <c r="K7866" i="1"/>
  <c r="J7866" i="1"/>
  <c r="I7866" i="1"/>
  <c r="H7866" i="1"/>
  <c r="G7866" i="1"/>
  <c r="M7865" i="1"/>
  <c r="L7865" i="1"/>
  <c r="K7865" i="1"/>
  <c r="J7865" i="1"/>
  <c r="I7865" i="1"/>
  <c r="H7865" i="1"/>
  <c r="G7865" i="1"/>
  <c r="M7864" i="1"/>
  <c r="L7864" i="1"/>
  <c r="K7864" i="1"/>
  <c r="J7864" i="1"/>
  <c r="I7864" i="1"/>
  <c r="H7864" i="1"/>
  <c r="G7864" i="1"/>
  <c r="M7863" i="1"/>
  <c r="L7863" i="1"/>
  <c r="K7863" i="1"/>
  <c r="J7863" i="1"/>
  <c r="I7863" i="1"/>
  <c r="H7863" i="1"/>
  <c r="G7863" i="1"/>
  <c r="M7862" i="1"/>
  <c r="L7862" i="1"/>
  <c r="K7862" i="1"/>
  <c r="J7862" i="1"/>
  <c r="I7862" i="1"/>
  <c r="H7862" i="1"/>
  <c r="G7862" i="1"/>
  <c r="M7861" i="1"/>
  <c r="L7861" i="1"/>
  <c r="K7861" i="1"/>
  <c r="J7861" i="1"/>
  <c r="I7861" i="1"/>
  <c r="H7861" i="1"/>
  <c r="G7861" i="1"/>
  <c r="M7860" i="1"/>
  <c r="L7860" i="1"/>
  <c r="K7860" i="1"/>
  <c r="J7860" i="1"/>
  <c r="I7860" i="1"/>
  <c r="H7860" i="1"/>
  <c r="G7860" i="1"/>
  <c r="M7859" i="1"/>
  <c r="L7859" i="1"/>
  <c r="K7859" i="1"/>
  <c r="J7859" i="1"/>
  <c r="I7859" i="1"/>
  <c r="H7859" i="1"/>
  <c r="G7859" i="1"/>
  <c r="M7858" i="1"/>
  <c r="L7858" i="1"/>
  <c r="K7858" i="1"/>
  <c r="J7858" i="1"/>
  <c r="I7858" i="1"/>
  <c r="H7858" i="1"/>
  <c r="G7858" i="1"/>
  <c r="M7857" i="1"/>
  <c r="L7857" i="1"/>
  <c r="K7857" i="1"/>
  <c r="J7857" i="1"/>
  <c r="I7857" i="1"/>
  <c r="H7857" i="1"/>
  <c r="G7857" i="1"/>
  <c r="M7856" i="1"/>
  <c r="L7856" i="1"/>
  <c r="K7856" i="1"/>
  <c r="J7856" i="1"/>
  <c r="I7856" i="1"/>
  <c r="H7856" i="1"/>
  <c r="G7856" i="1"/>
  <c r="M7855" i="1"/>
  <c r="L7855" i="1"/>
  <c r="K7855" i="1"/>
  <c r="J7855" i="1"/>
  <c r="I7855" i="1"/>
  <c r="H7855" i="1"/>
  <c r="G7855" i="1"/>
  <c r="M7854" i="1"/>
  <c r="L7854" i="1"/>
  <c r="K7854" i="1"/>
  <c r="J7854" i="1"/>
  <c r="I7854" i="1"/>
  <c r="H7854" i="1"/>
  <c r="G7854" i="1"/>
  <c r="M7853" i="1"/>
  <c r="L7853" i="1"/>
  <c r="K7853" i="1"/>
  <c r="J7853" i="1"/>
  <c r="I7853" i="1"/>
  <c r="H7853" i="1"/>
  <c r="G7853" i="1"/>
  <c r="M7852" i="1"/>
  <c r="L7852" i="1"/>
  <c r="K7852" i="1"/>
  <c r="J7852" i="1"/>
  <c r="I7852" i="1"/>
  <c r="H7852" i="1"/>
  <c r="G7852" i="1"/>
  <c r="M7851" i="1"/>
  <c r="L7851" i="1"/>
  <c r="K7851" i="1"/>
  <c r="J7851" i="1"/>
  <c r="I7851" i="1"/>
  <c r="H7851" i="1"/>
  <c r="G7851" i="1"/>
  <c r="M7850" i="1"/>
  <c r="L7850" i="1"/>
  <c r="K7850" i="1"/>
  <c r="J7850" i="1"/>
  <c r="I7850" i="1"/>
  <c r="H7850" i="1"/>
  <c r="G7850" i="1"/>
  <c r="M7849" i="1"/>
  <c r="L7849" i="1"/>
  <c r="K7849" i="1"/>
  <c r="J7849" i="1"/>
  <c r="I7849" i="1"/>
  <c r="H7849" i="1"/>
  <c r="G7849" i="1"/>
  <c r="M7848" i="1"/>
  <c r="L7848" i="1"/>
  <c r="K7848" i="1"/>
  <c r="J7848" i="1"/>
  <c r="I7848" i="1"/>
  <c r="H7848" i="1"/>
  <c r="G7848" i="1"/>
  <c r="M7847" i="1"/>
  <c r="L7847" i="1"/>
  <c r="K7847" i="1"/>
  <c r="J7847" i="1"/>
  <c r="I7847" i="1"/>
  <c r="H7847" i="1"/>
  <c r="G7847" i="1"/>
  <c r="M7846" i="1"/>
  <c r="L7846" i="1"/>
  <c r="K7846" i="1"/>
  <c r="J7846" i="1"/>
  <c r="I7846" i="1"/>
  <c r="H7846" i="1"/>
  <c r="G7846" i="1"/>
  <c r="M7845" i="1"/>
  <c r="L7845" i="1"/>
  <c r="K7845" i="1"/>
  <c r="J7845" i="1"/>
  <c r="I7845" i="1"/>
  <c r="H7845" i="1"/>
  <c r="G7845" i="1"/>
  <c r="M7844" i="1"/>
  <c r="L7844" i="1"/>
  <c r="K7844" i="1"/>
  <c r="J7844" i="1"/>
  <c r="I7844" i="1"/>
  <c r="H7844" i="1"/>
  <c r="G7844" i="1"/>
  <c r="M7843" i="1"/>
  <c r="L7843" i="1"/>
  <c r="K7843" i="1"/>
  <c r="J7843" i="1"/>
  <c r="I7843" i="1"/>
  <c r="H7843" i="1"/>
  <c r="G7843" i="1"/>
  <c r="M7842" i="1"/>
  <c r="L7842" i="1"/>
  <c r="K7842" i="1"/>
  <c r="J7842" i="1"/>
  <c r="I7842" i="1"/>
  <c r="H7842" i="1"/>
  <c r="G7842" i="1"/>
  <c r="M7841" i="1"/>
  <c r="L7841" i="1"/>
  <c r="K7841" i="1"/>
  <c r="J7841" i="1"/>
  <c r="I7841" i="1"/>
  <c r="H7841" i="1"/>
  <c r="G7841" i="1"/>
  <c r="M7840" i="1"/>
  <c r="L7840" i="1"/>
  <c r="K7840" i="1"/>
  <c r="J7840" i="1"/>
  <c r="I7840" i="1"/>
  <c r="H7840" i="1"/>
  <c r="G7840" i="1"/>
  <c r="M7839" i="1"/>
  <c r="L7839" i="1"/>
  <c r="K7839" i="1"/>
  <c r="J7839" i="1"/>
  <c r="I7839" i="1"/>
  <c r="H7839" i="1"/>
  <c r="G7839" i="1"/>
  <c r="M7838" i="1"/>
  <c r="L7838" i="1"/>
  <c r="K7838" i="1"/>
  <c r="J7838" i="1"/>
  <c r="I7838" i="1"/>
  <c r="H7838" i="1"/>
  <c r="G7838" i="1"/>
  <c r="M7837" i="1"/>
  <c r="L7837" i="1"/>
  <c r="K7837" i="1"/>
  <c r="J7837" i="1"/>
  <c r="I7837" i="1"/>
  <c r="H7837" i="1"/>
  <c r="G7837" i="1"/>
  <c r="M7836" i="1"/>
  <c r="L7836" i="1"/>
  <c r="K7836" i="1"/>
  <c r="J7836" i="1"/>
  <c r="I7836" i="1"/>
  <c r="H7836" i="1"/>
  <c r="G7836" i="1"/>
  <c r="M7835" i="1"/>
  <c r="L7835" i="1"/>
  <c r="K7835" i="1"/>
  <c r="J7835" i="1"/>
  <c r="I7835" i="1"/>
  <c r="H7835" i="1"/>
  <c r="G7835" i="1"/>
  <c r="M7834" i="1"/>
  <c r="L7834" i="1"/>
  <c r="K7834" i="1"/>
  <c r="J7834" i="1"/>
  <c r="I7834" i="1"/>
  <c r="H7834" i="1"/>
  <c r="G7834" i="1"/>
  <c r="M7833" i="1"/>
  <c r="L7833" i="1"/>
  <c r="K7833" i="1"/>
  <c r="J7833" i="1"/>
  <c r="I7833" i="1"/>
  <c r="H7833" i="1"/>
  <c r="G7833" i="1"/>
  <c r="M7832" i="1"/>
  <c r="L7832" i="1"/>
  <c r="K7832" i="1"/>
  <c r="J7832" i="1"/>
  <c r="I7832" i="1"/>
  <c r="H7832" i="1"/>
  <c r="G7832" i="1"/>
  <c r="M7831" i="1"/>
  <c r="L7831" i="1"/>
  <c r="K7831" i="1"/>
  <c r="J7831" i="1"/>
  <c r="I7831" i="1"/>
  <c r="H7831" i="1"/>
  <c r="G7831" i="1"/>
  <c r="M7830" i="1"/>
  <c r="L7830" i="1"/>
  <c r="K7830" i="1"/>
  <c r="J7830" i="1"/>
  <c r="I7830" i="1"/>
  <c r="H7830" i="1"/>
  <c r="G7830" i="1"/>
  <c r="M7829" i="1"/>
  <c r="L7829" i="1"/>
  <c r="K7829" i="1"/>
  <c r="J7829" i="1"/>
  <c r="I7829" i="1"/>
  <c r="H7829" i="1"/>
  <c r="G7829" i="1"/>
  <c r="M7828" i="1"/>
  <c r="L7828" i="1"/>
  <c r="K7828" i="1"/>
  <c r="J7828" i="1"/>
  <c r="I7828" i="1"/>
  <c r="H7828" i="1"/>
  <c r="G7828" i="1"/>
  <c r="M7827" i="1"/>
  <c r="L7827" i="1"/>
  <c r="K7827" i="1"/>
  <c r="J7827" i="1"/>
  <c r="I7827" i="1"/>
  <c r="H7827" i="1"/>
  <c r="G7827" i="1"/>
  <c r="M7826" i="1"/>
  <c r="L7826" i="1"/>
  <c r="K7826" i="1"/>
  <c r="J7826" i="1"/>
  <c r="I7826" i="1"/>
  <c r="H7826" i="1"/>
  <c r="G7826" i="1"/>
  <c r="M7825" i="1"/>
  <c r="L7825" i="1"/>
  <c r="K7825" i="1"/>
  <c r="J7825" i="1"/>
  <c r="I7825" i="1"/>
  <c r="H7825" i="1"/>
  <c r="G7825" i="1"/>
  <c r="M7824" i="1"/>
  <c r="L7824" i="1"/>
  <c r="K7824" i="1"/>
  <c r="J7824" i="1"/>
  <c r="I7824" i="1"/>
  <c r="H7824" i="1"/>
  <c r="G7824" i="1"/>
  <c r="M7823" i="1"/>
  <c r="L7823" i="1"/>
  <c r="K7823" i="1"/>
  <c r="J7823" i="1"/>
  <c r="I7823" i="1"/>
  <c r="H7823" i="1"/>
  <c r="G7823" i="1"/>
  <c r="M7822" i="1"/>
  <c r="L7822" i="1"/>
  <c r="K7822" i="1"/>
  <c r="J7822" i="1"/>
  <c r="I7822" i="1"/>
  <c r="H7822" i="1"/>
  <c r="G7822" i="1"/>
  <c r="M7821" i="1"/>
  <c r="L7821" i="1"/>
  <c r="K7821" i="1"/>
  <c r="J7821" i="1"/>
  <c r="I7821" i="1"/>
  <c r="H7821" i="1"/>
  <c r="G7821" i="1"/>
  <c r="M7820" i="1"/>
  <c r="L7820" i="1"/>
  <c r="K7820" i="1"/>
  <c r="J7820" i="1"/>
  <c r="I7820" i="1"/>
  <c r="H7820" i="1"/>
  <c r="G7820" i="1"/>
  <c r="M7819" i="1"/>
  <c r="L7819" i="1"/>
  <c r="K7819" i="1"/>
  <c r="J7819" i="1"/>
  <c r="I7819" i="1"/>
  <c r="H7819" i="1"/>
  <c r="G7819" i="1"/>
  <c r="M7818" i="1"/>
  <c r="L7818" i="1"/>
  <c r="K7818" i="1"/>
  <c r="J7818" i="1"/>
  <c r="I7818" i="1"/>
  <c r="H7818" i="1"/>
  <c r="G7818" i="1"/>
  <c r="M7817" i="1"/>
  <c r="L7817" i="1"/>
  <c r="K7817" i="1"/>
  <c r="J7817" i="1"/>
  <c r="I7817" i="1"/>
  <c r="H7817" i="1"/>
  <c r="G7817" i="1"/>
  <c r="M7816" i="1"/>
  <c r="L7816" i="1"/>
  <c r="K7816" i="1"/>
  <c r="J7816" i="1"/>
  <c r="I7816" i="1"/>
  <c r="H7816" i="1"/>
  <c r="G7816" i="1"/>
  <c r="M7815" i="1"/>
  <c r="L7815" i="1"/>
  <c r="K7815" i="1"/>
  <c r="J7815" i="1"/>
  <c r="I7815" i="1"/>
  <c r="H7815" i="1"/>
  <c r="G7815" i="1"/>
  <c r="M7814" i="1"/>
  <c r="L7814" i="1"/>
  <c r="K7814" i="1"/>
  <c r="J7814" i="1"/>
  <c r="I7814" i="1"/>
  <c r="H7814" i="1"/>
  <c r="G7814" i="1"/>
  <c r="M7813" i="1"/>
  <c r="L7813" i="1"/>
  <c r="K7813" i="1"/>
  <c r="J7813" i="1"/>
  <c r="I7813" i="1"/>
  <c r="H7813" i="1"/>
  <c r="G7813" i="1"/>
  <c r="M7812" i="1"/>
  <c r="L7812" i="1"/>
  <c r="K7812" i="1"/>
  <c r="J7812" i="1"/>
  <c r="I7812" i="1"/>
  <c r="H7812" i="1"/>
  <c r="G7812" i="1"/>
  <c r="M7811" i="1"/>
  <c r="L7811" i="1"/>
  <c r="K7811" i="1"/>
  <c r="J7811" i="1"/>
  <c r="I7811" i="1"/>
  <c r="H7811" i="1"/>
  <c r="G7811" i="1"/>
  <c r="M7810" i="1"/>
  <c r="L7810" i="1"/>
  <c r="K7810" i="1"/>
  <c r="J7810" i="1"/>
  <c r="I7810" i="1"/>
  <c r="H7810" i="1"/>
  <c r="G7810" i="1"/>
  <c r="M7809" i="1"/>
  <c r="L7809" i="1"/>
  <c r="K7809" i="1"/>
  <c r="J7809" i="1"/>
  <c r="I7809" i="1"/>
  <c r="H7809" i="1"/>
  <c r="G7809" i="1"/>
  <c r="M7808" i="1"/>
  <c r="L7808" i="1"/>
  <c r="K7808" i="1"/>
  <c r="J7808" i="1"/>
  <c r="I7808" i="1"/>
  <c r="H7808" i="1"/>
  <c r="G7808" i="1"/>
  <c r="M7807" i="1"/>
  <c r="L7807" i="1"/>
  <c r="K7807" i="1"/>
  <c r="J7807" i="1"/>
  <c r="I7807" i="1"/>
  <c r="H7807" i="1"/>
  <c r="G7807" i="1"/>
  <c r="M7806" i="1"/>
  <c r="L7806" i="1"/>
  <c r="K7806" i="1"/>
  <c r="J7806" i="1"/>
  <c r="I7806" i="1"/>
  <c r="H7806" i="1"/>
  <c r="G7806" i="1"/>
  <c r="M7805" i="1"/>
  <c r="L7805" i="1"/>
  <c r="K7805" i="1"/>
  <c r="J7805" i="1"/>
  <c r="I7805" i="1"/>
  <c r="H7805" i="1"/>
  <c r="G7805" i="1"/>
  <c r="M7804" i="1"/>
  <c r="L7804" i="1"/>
  <c r="K7804" i="1"/>
  <c r="J7804" i="1"/>
  <c r="I7804" i="1"/>
  <c r="H7804" i="1"/>
  <c r="G7804" i="1"/>
  <c r="M7803" i="1"/>
  <c r="L7803" i="1"/>
  <c r="K7803" i="1"/>
  <c r="J7803" i="1"/>
  <c r="I7803" i="1"/>
  <c r="H7803" i="1"/>
  <c r="G7803" i="1"/>
  <c r="M7802" i="1"/>
  <c r="L7802" i="1"/>
  <c r="K7802" i="1"/>
  <c r="J7802" i="1"/>
  <c r="I7802" i="1"/>
  <c r="H7802" i="1"/>
  <c r="G7802" i="1"/>
  <c r="M7801" i="1"/>
  <c r="L7801" i="1"/>
  <c r="K7801" i="1"/>
  <c r="J7801" i="1"/>
  <c r="I7801" i="1"/>
  <c r="H7801" i="1"/>
  <c r="G7801" i="1"/>
  <c r="M7800" i="1"/>
  <c r="L7800" i="1"/>
  <c r="K7800" i="1"/>
  <c r="J7800" i="1"/>
  <c r="I7800" i="1"/>
  <c r="H7800" i="1"/>
  <c r="G7800" i="1"/>
  <c r="M7799" i="1"/>
  <c r="L7799" i="1"/>
  <c r="K7799" i="1"/>
  <c r="J7799" i="1"/>
  <c r="I7799" i="1"/>
  <c r="H7799" i="1"/>
  <c r="G7799" i="1"/>
  <c r="M7798" i="1"/>
  <c r="L7798" i="1"/>
  <c r="K7798" i="1"/>
  <c r="J7798" i="1"/>
  <c r="I7798" i="1"/>
  <c r="H7798" i="1"/>
  <c r="G7798" i="1"/>
  <c r="M7797" i="1"/>
  <c r="L7797" i="1"/>
  <c r="K7797" i="1"/>
  <c r="J7797" i="1"/>
  <c r="I7797" i="1"/>
  <c r="H7797" i="1"/>
  <c r="G7797" i="1"/>
  <c r="M7796" i="1"/>
  <c r="L7796" i="1"/>
  <c r="K7796" i="1"/>
  <c r="J7796" i="1"/>
  <c r="I7796" i="1"/>
  <c r="H7796" i="1"/>
  <c r="G7796" i="1"/>
  <c r="M7795" i="1"/>
  <c r="L7795" i="1"/>
  <c r="K7795" i="1"/>
  <c r="J7795" i="1"/>
  <c r="I7795" i="1"/>
  <c r="H7795" i="1"/>
  <c r="G7795" i="1"/>
  <c r="M7794" i="1"/>
  <c r="L7794" i="1"/>
  <c r="K7794" i="1"/>
  <c r="J7794" i="1"/>
  <c r="I7794" i="1"/>
  <c r="H7794" i="1"/>
  <c r="G7794" i="1"/>
  <c r="M7793" i="1"/>
  <c r="L7793" i="1"/>
  <c r="K7793" i="1"/>
  <c r="J7793" i="1"/>
  <c r="I7793" i="1"/>
  <c r="H7793" i="1"/>
  <c r="G7793" i="1"/>
  <c r="M7792" i="1"/>
  <c r="L7792" i="1"/>
  <c r="K7792" i="1"/>
  <c r="J7792" i="1"/>
  <c r="I7792" i="1"/>
  <c r="H7792" i="1"/>
  <c r="G7792" i="1"/>
  <c r="M7791" i="1"/>
  <c r="L7791" i="1"/>
  <c r="K7791" i="1"/>
  <c r="J7791" i="1"/>
  <c r="I7791" i="1"/>
  <c r="H7791" i="1"/>
  <c r="G7791" i="1"/>
  <c r="M7790" i="1"/>
  <c r="L7790" i="1"/>
  <c r="K7790" i="1"/>
  <c r="J7790" i="1"/>
  <c r="I7790" i="1"/>
  <c r="H7790" i="1"/>
  <c r="G7790" i="1"/>
  <c r="M7789" i="1"/>
  <c r="L7789" i="1"/>
  <c r="K7789" i="1"/>
  <c r="J7789" i="1"/>
  <c r="I7789" i="1"/>
  <c r="H7789" i="1"/>
  <c r="G7789" i="1"/>
  <c r="M7788" i="1"/>
  <c r="L7788" i="1"/>
  <c r="K7788" i="1"/>
  <c r="J7788" i="1"/>
  <c r="I7788" i="1"/>
  <c r="H7788" i="1"/>
  <c r="G7788" i="1"/>
  <c r="M7787" i="1"/>
  <c r="L7787" i="1"/>
  <c r="K7787" i="1"/>
  <c r="J7787" i="1"/>
  <c r="I7787" i="1"/>
  <c r="H7787" i="1"/>
  <c r="G7787" i="1"/>
  <c r="M7786" i="1"/>
  <c r="L7786" i="1"/>
  <c r="K7786" i="1"/>
  <c r="J7786" i="1"/>
  <c r="I7786" i="1"/>
  <c r="H7786" i="1"/>
  <c r="G7786" i="1"/>
  <c r="M7785" i="1"/>
  <c r="L7785" i="1"/>
  <c r="K7785" i="1"/>
  <c r="J7785" i="1"/>
  <c r="I7785" i="1"/>
  <c r="H7785" i="1"/>
  <c r="G7785" i="1"/>
  <c r="M7784" i="1"/>
  <c r="L7784" i="1"/>
  <c r="K7784" i="1"/>
  <c r="J7784" i="1"/>
  <c r="I7784" i="1"/>
  <c r="H7784" i="1"/>
  <c r="G7784" i="1"/>
  <c r="M7783" i="1"/>
  <c r="L7783" i="1"/>
  <c r="K7783" i="1"/>
  <c r="J7783" i="1"/>
  <c r="I7783" i="1"/>
  <c r="H7783" i="1"/>
  <c r="G7783" i="1"/>
  <c r="M7782" i="1"/>
  <c r="L7782" i="1"/>
  <c r="K7782" i="1"/>
  <c r="J7782" i="1"/>
  <c r="I7782" i="1"/>
  <c r="H7782" i="1"/>
  <c r="G7782" i="1"/>
  <c r="M7781" i="1"/>
  <c r="L7781" i="1"/>
  <c r="K7781" i="1"/>
  <c r="J7781" i="1"/>
  <c r="I7781" i="1"/>
  <c r="H7781" i="1"/>
  <c r="G7781" i="1"/>
  <c r="M7780" i="1"/>
  <c r="L7780" i="1"/>
  <c r="K7780" i="1"/>
  <c r="J7780" i="1"/>
  <c r="I7780" i="1"/>
  <c r="H7780" i="1"/>
  <c r="G7780" i="1"/>
  <c r="M7779" i="1"/>
  <c r="L7779" i="1"/>
  <c r="K7779" i="1"/>
  <c r="J7779" i="1"/>
  <c r="I7779" i="1"/>
  <c r="H7779" i="1"/>
  <c r="G7779" i="1"/>
  <c r="M7778" i="1"/>
  <c r="L7778" i="1"/>
  <c r="K7778" i="1"/>
  <c r="J7778" i="1"/>
  <c r="I7778" i="1"/>
  <c r="H7778" i="1"/>
  <c r="G7778" i="1"/>
  <c r="M7777" i="1"/>
  <c r="L7777" i="1"/>
  <c r="K7777" i="1"/>
  <c r="J7777" i="1"/>
  <c r="I7777" i="1"/>
  <c r="H7777" i="1"/>
  <c r="G7777" i="1"/>
  <c r="M7776" i="1"/>
  <c r="L7776" i="1"/>
  <c r="K7776" i="1"/>
  <c r="J7776" i="1"/>
  <c r="I7776" i="1"/>
  <c r="H7776" i="1"/>
  <c r="G7776" i="1"/>
  <c r="M7775" i="1"/>
  <c r="L7775" i="1"/>
  <c r="K7775" i="1"/>
  <c r="J7775" i="1"/>
  <c r="I7775" i="1"/>
  <c r="H7775" i="1"/>
  <c r="G7775" i="1"/>
  <c r="M7774" i="1"/>
  <c r="L7774" i="1"/>
  <c r="K7774" i="1"/>
  <c r="J7774" i="1"/>
  <c r="I7774" i="1"/>
  <c r="H7774" i="1"/>
  <c r="G7774" i="1"/>
  <c r="M7773" i="1"/>
  <c r="L7773" i="1"/>
  <c r="K7773" i="1"/>
  <c r="J7773" i="1"/>
  <c r="I7773" i="1"/>
  <c r="H7773" i="1"/>
  <c r="G7773" i="1"/>
  <c r="M7772" i="1"/>
  <c r="L7772" i="1"/>
  <c r="K7772" i="1"/>
  <c r="J7772" i="1"/>
  <c r="I7772" i="1"/>
  <c r="H7772" i="1"/>
  <c r="G7772" i="1"/>
  <c r="M7771" i="1"/>
  <c r="L7771" i="1"/>
  <c r="K7771" i="1"/>
  <c r="J7771" i="1"/>
  <c r="I7771" i="1"/>
  <c r="H7771" i="1"/>
  <c r="G7771" i="1"/>
  <c r="M7770" i="1"/>
  <c r="L7770" i="1"/>
  <c r="K7770" i="1"/>
  <c r="J7770" i="1"/>
  <c r="I7770" i="1"/>
  <c r="H7770" i="1"/>
  <c r="G7770" i="1"/>
  <c r="M7769" i="1"/>
  <c r="L7769" i="1"/>
  <c r="K7769" i="1"/>
  <c r="J7769" i="1"/>
  <c r="I7769" i="1"/>
  <c r="H7769" i="1"/>
  <c r="G7769" i="1"/>
  <c r="M7768" i="1"/>
  <c r="L7768" i="1"/>
  <c r="K7768" i="1"/>
  <c r="J7768" i="1"/>
  <c r="I7768" i="1"/>
  <c r="H7768" i="1"/>
  <c r="G7768" i="1"/>
  <c r="M7767" i="1"/>
  <c r="L7767" i="1"/>
  <c r="K7767" i="1"/>
  <c r="J7767" i="1"/>
  <c r="I7767" i="1"/>
  <c r="H7767" i="1"/>
  <c r="G7767" i="1"/>
  <c r="M7766" i="1"/>
  <c r="L7766" i="1"/>
  <c r="K7766" i="1"/>
  <c r="J7766" i="1"/>
  <c r="I7766" i="1"/>
  <c r="H7766" i="1"/>
  <c r="G7766" i="1"/>
  <c r="M7765" i="1"/>
  <c r="L7765" i="1"/>
  <c r="K7765" i="1"/>
  <c r="J7765" i="1"/>
  <c r="I7765" i="1"/>
  <c r="H7765" i="1"/>
  <c r="G7765" i="1"/>
  <c r="M7764" i="1"/>
  <c r="L7764" i="1"/>
  <c r="K7764" i="1"/>
  <c r="J7764" i="1"/>
  <c r="I7764" i="1"/>
  <c r="H7764" i="1"/>
  <c r="G7764" i="1"/>
  <c r="M7763" i="1"/>
  <c r="L7763" i="1"/>
  <c r="K7763" i="1"/>
  <c r="J7763" i="1"/>
  <c r="I7763" i="1"/>
  <c r="H7763" i="1"/>
  <c r="G7763" i="1"/>
  <c r="M7762" i="1"/>
  <c r="L7762" i="1"/>
  <c r="K7762" i="1"/>
  <c r="J7762" i="1"/>
  <c r="I7762" i="1"/>
  <c r="H7762" i="1"/>
  <c r="G7762" i="1"/>
  <c r="M7761" i="1"/>
  <c r="L7761" i="1"/>
  <c r="K7761" i="1"/>
  <c r="J7761" i="1"/>
  <c r="I7761" i="1"/>
  <c r="H7761" i="1"/>
  <c r="G7761" i="1"/>
  <c r="M7760" i="1"/>
  <c r="L7760" i="1"/>
  <c r="K7760" i="1"/>
  <c r="J7760" i="1"/>
  <c r="I7760" i="1"/>
  <c r="H7760" i="1"/>
  <c r="G7760" i="1"/>
  <c r="M7759" i="1"/>
  <c r="L7759" i="1"/>
  <c r="K7759" i="1"/>
  <c r="J7759" i="1"/>
  <c r="I7759" i="1"/>
  <c r="H7759" i="1"/>
  <c r="G7759" i="1"/>
  <c r="M7758" i="1"/>
  <c r="L7758" i="1"/>
  <c r="K7758" i="1"/>
  <c r="J7758" i="1"/>
  <c r="I7758" i="1"/>
  <c r="H7758" i="1"/>
  <c r="G7758" i="1"/>
  <c r="M7757" i="1"/>
  <c r="L7757" i="1"/>
  <c r="K7757" i="1"/>
  <c r="J7757" i="1"/>
  <c r="I7757" i="1"/>
  <c r="H7757" i="1"/>
  <c r="G7757" i="1"/>
  <c r="M7756" i="1"/>
  <c r="L7756" i="1"/>
  <c r="K7756" i="1"/>
  <c r="J7756" i="1"/>
  <c r="I7756" i="1"/>
  <c r="H7756" i="1"/>
  <c r="G7756" i="1"/>
  <c r="M7755" i="1"/>
  <c r="L7755" i="1"/>
  <c r="K7755" i="1"/>
  <c r="J7755" i="1"/>
  <c r="I7755" i="1"/>
  <c r="H7755" i="1"/>
  <c r="G7755" i="1"/>
  <c r="M7754" i="1"/>
  <c r="L7754" i="1"/>
  <c r="K7754" i="1"/>
  <c r="J7754" i="1"/>
  <c r="I7754" i="1"/>
  <c r="H7754" i="1"/>
  <c r="G7754" i="1"/>
  <c r="M7753" i="1"/>
  <c r="L7753" i="1"/>
  <c r="K7753" i="1"/>
  <c r="J7753" i="1"/>
  <c r="I7753" i="1"/>
  <c r="H7753" i="1"/>
  <c r="G7753" i="1"/>
  <c r="M7752" i="1"/>
  <c r="L7752" i="1"/>
  <c r="K7752" i="1"/>
  <c r="J7752" i="1"/>
  <c r="I7752" i="1"/>
  <c r="H7752" i="1"/>
  <c r="G7752" i="1"/>
  <c r="M7751" i="1"/>
  <c r="L7751" i="1"/>
  <c r="K7751" i="1"/>
  <c r="J7751" i="1"/>
  <c r="I7751" i="1"/>
  <c r="H7751" i="1"/>
  <c r="G7751" i="1"/>
  <c r="M7750" i="1"/>
  <c r="L7750" i="1"/>
  <c r="K7750" i="1"/>
  <c r="J7750" i="1"/>
  <c r="I7750" i="1"/>
  <c r="H7750" i="1"/>
  <c r="G7750" i="1"/>
  <c r="M7749" i="1"/>
  <c r="L7749" i="1"/>
  <c r="K7749" i="1"/>
  <c r="J7749" i="1"/>
  <c r="I7749" i="1"/>
  <c r="H7749" i="1"/>
  <c r="G7749" i="1"/>
  <c r="M7748" i="1"/>
  <c r="L7748" i="1"/>
  <c r="K7748" i="1"/>
  <c r="J7748" i="1"/>
  <c r="I7748" i="1"/>
  <c r="H7748" i="1"/>
  <c r="G7748" i="1"/>
  <c r="M7747" i="1"/>
  <c r="L7747" i="1"/>
  <c r="K7747" i="1"/>
  <c r="J7747" i="1"/>
  <c r="I7747" i="1"/>
  <c r="H7747" i="1"/>
  <c r="G7747" i="1"/>
  <c r="M7746" i="1"/>
  <c r="L7746" i="1"/>
  <c r="K7746" i="1"/>
  <c r="J7746" i="1"/>
  <c r="I7746" i="1"/>
  <c r="H7746" i="1"/>
  <c r="G7746" i="1"/>
  <c r="M7745" i="1"/>
  <c r="L7745" i="1"/>
  <c r="K7745" i="1"/>
  <c r="J7745" i="1"/>
  <c r="I7745" i="1"/>
  <c r="H7745" i="1"/>
  <c r="G7745" i="1"/>
  <c r="M7744" i="1"/>
  <c r="L7744" i="1"/>
  <c r="K7744" i="1"/>
  <c r="J7744" i="1"/>
  <c r="I7744" i="1"/>
  <c r="H7744" i="1"/>
  <c r="G7744" i="1"/>
  <c r="M7743" i="1"/>
  <c r="L7743" i="1"/>
  <c r="K7743" i="1"/>
  <c r="J7743" i="1"/>
  <c r="I7743" i="1"/>
  <c r="H7743" i="1"/>
  <c r="G7743" i="1"/>
  <c r="M7742" i="1"/>
  <c r="L7742" i="1"/>
  <c r="K7742" i="1"/>
  <c r="J7742" i="1"/>
  <c r="I7742" i="1"/>
  <c r="H7742" i="1"/>
  <c r="G7742" i="1"/>
  <c r="M7741" i="1"/>
  <c r="L7741" i="1"/>
  <c r="K7741" i="1"/>
  <c r="J7741" i="1"/>
  <c r="I7741" i="1"/>
  <c r="H7741" i="1"/>
  <c r="G7741" i="1"/>
  <c r="M7740" i="1"/>
  <c r="L7740" i="1"/>
  <c r="K7740" i="1"/>
  <c r="J7740" i="1"/>
  <c r="I7740" i="1"/>
  <c r="H7740" i="1"/>
  <c r="G7740" i="1"/>
  <c r="M7739" i="1"/>
  <c r="L7739" i="1"/>
  <c r="K7739" i="1"/>
  <c r="J7739" i="1"/>
  <c r="I7739" i="1"/>
  <c r="H7739" i="1"/>
  <c r="G7739" i="1"/>
  <c r="M7738" i="1"/>
  <c r="L7738" i="1"/>
  <c r="K7738" i="1"/>
  <c r="J7738" i="1"/>
  <c r="I7738" i="1"/>
  <c r="H7738" i="1"/>
  <c r="G7738" i="1"/>
  <c r="M7737" i="1"/>
  <c r="L7737" i="1"/>
  <c r="K7737" i="1"/>
  <c r="J7737" i="1"/>
  <c r="I7737" i="1"/>
  <c r="H7737" i="1"/>
  <c r="G7737" i="1"/>
  <c r="M7736" i="1"/>
  <c r="L7736" i="1"/>
  <c r="K7736" i="1"/>
  <c r="J7736" i="1"/>
  <c r="I7736" i="1"/>
  <c r="H7736" i="1"/>
  <c r="G7736" i="1"/>
  <c r="M7735" i="1"/>
  <c r="L7735" i="1"/>
  <c r="K7735" i="1"/>
  <c r="J7735" i="1"/>
  <c r="I7735" i="1"/>
  <c r="H7735" i="1"/>
  <c r="G7735" i="1"/>
  <c r="M7734" i="1"/>
  <c r="L7734" i="1"/>
  <c r="K7734" i="1"/>
  <c r="J7734" i="1"/>
  <c r="I7734" i="1"/>
  <c r="H7734" i="1"/>
  <c r="G7734" i="1"/>
  <c r="M7733" i="1"/>
  <c r="L7733" i="1"/>
  <c r="K7733" i="1"/>
  <c r="J7733" i="1"/>
  <c r="I7733" i="1"/>
  <c r="H7733" i="1"/>
  <c r="G7733" i="1"/>
  <c r="M7732" i="1"/>
  <c r="L7732" i="1"/>
  <c r="K7732" i="1"/>
  <c r="J7732" i="1"/>
  <c r="I7732" i="1"/>
  <c r="H7732" i="1"/>
  <c r="G7732" i="1"/>
  <c r="M7731" i="1"/>
  <c r="L7731" i="1"/>
  <c r="K7731" i="1"/>
  <c r="J7731" i="1"/>
  <c r="I7731" i="1"/>
  <c r="H7731" i="1"/>
  <c r="G7731" i="1"/>
  <c r="M7730" i="1"/>
  <c r="L7730" i="1"/>
  <c r="K7730" i="1"/>
  <c r="J7730" i="1"/>
  <c r="I7730" i="1"/>
  <c r="H7730" i="1"/>
  <c r="G7730" i="1"/>
  <c r="M7729" i="1"/>
  <c r="L7729" i="1"/>
  <c r="K7729" i="1"/>
  <c r="J7729" i="1"/>
  <c r="I7729" i="1"/>
  <c r="H7729" i="1"/>
  <c r="G7729" i="1"/>
  <c r="M7728" i="1"/>
  <c r="L7728" i="1"/>
  <c r="K7728" i="1"/>
  <c r="J7728" i="1"/>
  <c r="I7728" i="1"/>
  <c r="H7728" i="1"/>
  <c r="G7728" i="1"/>
  <c r="M7727" i="1"/>
  <c r="L7727" i="1"/>
  <c r="K7727" i="1"/>
  <c r="J7727" i="1"/>
  <c r="I7727" i="1"/>
  <c r="H7727" i="1"/>
  <c r="G7727" i="1"/>
  <c r="M7726" i="1"/>
  <c r="L7726" i="1"/>
  <c r="K7726" i="1"/>
  <c r="J7726" i="1"/>
  <c r="I7726" i="1"/>
  <c r="H7726" i="1"/>
  <c r="G7726" i="1"/>
  <c r="M7725" i="1"/>
  <c r="L7725" i="1"/>
  <c r="K7725" i="1"/>
  <c r="J7725" i="1"/>
  <c r="I7725" i="1"/>
  <c r="H7725" i="1"/>
  <c r="G7725" i="1"/>
  <c r="M7724" i="1"/>
  <c r="L7724" i="1"/>
  <c r="K7724" i="1"/>
  <c r="J7724" i="1"/>
  <c r="I7724" i="1"/>
  <c r="H7724" i="1"/>
  <c r="G7724" i="1"/>
  <c r="M7723" i="1"/>
  <c r="L7723" i="1"/>
  <c r="K7723" i="1"/>
  <c r="J7723" i="1"/>
  <c r="I7723" i="1"/>
  <c r="H7723" i="1"/>
  <c r="G7723" i="1"/>
  <c r="M7722" i="1"/>
  <c r="L7722" i="1"/>
  <c r="K7722" i="1"/>
  <c r="J7722" i="1"/>
  <c r="I7722" i="1"/>
  <c r="H7722" i="1"/>
  <c r="G7722" i="1"/>
  <c r="M7721" i="1"/>
  <c r="L7721" i="1"/>
  <c r="K7721" i="1"/>
  <c r="J7721" i="1"/>
  <c r="I7721" i="1"/>
  <c r="H7721" i="1"/>
  <c r="G7721" i="1"/>
  <c r="M7720" i="1"/>
  <c r="L7720" i="1"/>
  <c r="K7720" i="1"/>
  <c r="J7720" i="1"/>
  <c r="I7720" i="1"/>
  <c r="H7720" i="1"/>
  <c r="G7720" i="1"/>
  <c r="M7719" i="1"/>
  <c r="L7719" i="1"/>
  <c r="K7719" i="1"/>
  <c r="J7719" i="1"/>
  <c r="I7719" i="1"/>
  <c r="H7719" i="1"/>
  <c r="G7719" i="1"/>
  <c r="M7718" i="1"/>
  <c r="L7718" i="1"/>
  <c r="K7718" i="1"/>
  <c r="J7718" i="1"/>
  <c r="I7718" i="1"/>
  <c r="H7718" i="1"/>
  <c r="G7718" i="1"/>
  <c r="M7717" i="1"/>
  <c r="L7717" i="1"/>
  <c r="K7717" i="1"/>
  <c r="J7717" i="1"/>
  <c r="I7717" i="1"/>
  <c r="H7717" i="1"/>
  <c r="G7717" i="1"/>
  <c r="M7716" i="1"/>
  <c r="L7716" i="1"/>
  <c r="K7716" i="1"/>
  <c r="J7716" i="1"/>
  <c r="I7716" i="1"/>
  <c r="H7716" i="1"/>
  <c r="G7716" i="1"/>
  <c r="M7715" i="1"/>
  <c r="L7715" i="1"/>
  <c r="K7715" i="1"/>
  <c r="J7715" i="1"/>
  <c r="I7715" i="1"/>
  <c r="H7715" i="1"/>
  <c r="G7715" i="1"/>
  <c r="M7714" i="1"/>
  <c r="L7714" i="1"/>
  <c r="K7714" i="1"/>
  <c r="J7714" i="1"/>
  <c r="I7714" i="1"/>
  <c r="H7714" i="1"/>
  <c r="G7714" i="1"/>
  <c r="M7713" i="1"/>
  <c r="L7713" i="1"/>
  <c r="K7713" i="1"/>
  <c r="J7713" i="1"/>
  <c r="I7713" i="1"/>
  <c r="H7713" i="1"/>
  <c r="G7713" i="1"/>
  <c r="M7712" i="1"/>
  <c r="L7712" i="1"/>
  <c r="K7712" i="1"/>
  <c r="J7712" i="1"/>
  <c r="I7712" i="1"/>
  <c r="H7712" i="1"/>
  <c r="G7712" i="1"/>
  <c r="M7711" i="1"/>
  <c r="L7711" i="1"/>
  <c r="K7711" i="1"/>
  <c r="J7711" i="1"/>
  <c r="I7711" i="1"/>
  <c r="H7711" i="1"/>
  <c r="G7711" i="1"/>
  <c r="M7710" i="1"/>
  <c r="L7710" i="1"/>
  <c r="K7710" i="1"/>
  <c r="J7710" i="1"/>
  <c r="I7710" i="1"/>
  <c r="H7710" i="1"/>
  <c r="G7710" i="1"/>
  <c r="M7709" i="1"/>
  <c r="L7709" i="1"/>
  <c r="K7709" i="1"/>
  <c r="J7709" i="1"/>
  <c r="I7709" i="1"/>
  <c r="H7709" i="1"/>
  <c r="G7709" i="1"/>
  <c r="M7708" i="1"/>
  <c r="L7708" i="1"/>
  <c r="K7708" i="1"/>
  <c r="J7708" i="1"/>
  <c r="I7708" i="1"/>
  <c r="H7708" i="1"/>
  <c r="G7708" i="1"/>
  <c r="M7707" i="1"/>
  <c r="L7707" i="1"/>
  <c r="K7707" i="1"/>
  <c r="J7707" i="1"/>
  <c r="I7707" i="1"/>
  <c r="H7707" i="1"/>
  <c r="G7707" i="1"/>
  <c r="M7706" i="1"/>
  <c r="L7706" i="1"/>
  <c r="K7706" i="1"/>
  <c r="J7706" i="1"/>
  <c r="I7706" i="1"/>
  <c r="H7706" i="1"/>
  <c r="G7706" i="1"/>
  <c r="M7705" i="1"/>
  <c r="L7705" i="1"/>
  <c r="K7705" i="1"/>
  <c r="J7705" i="1"/>
  <c r="I7705" i="1"/>
  <c r="H7705" i="1"/>
  <c r="G7705" i="1"/>
  <c r="M7704" i="1"/>
  <c r="L7704" i="1"/>
  <c r="K7704" i="1"/>
  <c r="J7704" i="1"/>
  <c r="I7704" i="1"/>
  <c r="H7704" i="1"/>
  <c r="G7704" i="1"/>
  <c r="M7703" i="1"/>
  <c r="L7703" i="1"/>
  <c r="K7703" i="1"/>
  <c r="J7703" i="1"/>
  <c r="I7703" i="1"/>
  <c r="H7703" i="1"/>
  <c r="G7703" i="1"/>
  <c r="M7702" i="1"/>
  <c r="L7702" i="1"/>
  <c r="K7702" i="1"/>
  <c r="J7702" i="1"/>
  <c r="I7702" i="1"/>
  <c r="H7702" i="1"/>
  <c r="G7702" i="1"/>
  <c r="M7701" i="1"/>
  <c r="L7701" i="1"/>
  <c r="K7701" i="1"/>
  <c r="J7701" i="1"/>
  <c r="I7701" i="1"/>
  <c r="H7701" i="1"/>
  <c r="G7701" i="1"/>
  <c r="M7700" i="1"/>
  <c r="L7700" i="1"/>
  <c r="K7700" i="1"/>
  <c r="J7700" i="1"/>
  <c r="I7700" i="1"/>
  <c r="H7700" i="1"/>
  <c r="G7700" i="1"/>
  <c r="M7699" i="1"/>
  <c r="L7699" i="1"/>
  <c r="K7699" i="1"/>
  <c r="J7699" i="1"/>
  <c r="I7699" i="1"/>
  <c r="H7699" i="1"/>
  <c r="G7699" i="1"/>
  <c r="M7698" i="1"/>
  <c r="L7698" i="1"/>
  <c r="K7698" i="1"/>
  <c r="J7698" i="1"/>
  <c r="I7698" i="1"/>
  <c r="H7698" i="1"/>
  <c r="G7698" i="1"/>
  <c r="M7697" i="1"/>
  <c r="L7697" i="1"/>
  <c r="K7697" i="1"/>
  <c r="J7697" i="1"/>
  <c r="I7697" i="1"/>
  <c r="H7697" i="1"/>
  <c r="G7697" i="1"/>
  <c r="M7696" i="1"/>
  <c r="L7696" i="1"/>
  <c r="K7696" i="1"/>
  <c r="J7696" i="1"/>
  <c r="I7696" i="1"/>
  <c r="H7696" i="1"/>
  <c r="G7696" i="1"/>
  <c r="M7695" i="1"/>
  <c r="L7695" i="1"/>
  <c r="K7695" i="1"/>
  <c r="J7695" i="1"/>
  <c r="I7695" i="1"/>
  <c r="H7695" i="1"/>
  <c r="G7695" i="1"/>
  <c r="M7694" i="1"/>
  <c r="L7694" i="1"/>
  <c r="K7694" i="1"/>
  <c r="J7694" i="1"/>
  <c r="I7694" i="1"/>
  <c r="H7694" i="1"/>
  <c r="G7694" i="1"/>
  <c r="M7693" i="1"/>
  <c r="L7693" i="1"/>
  <c r="K7693" i="1"/>
  <c r="J7693" i="1"/>
  <c r="I7693" i="1"/>
  <c r="H7693" i="1"/>
  <c r="G7693" i="1"/>
  <c r="M7692" i="1"/>
  <c r="L7692" i="1"/>
  <c r="K7692" i="1"/>
  <c r="J7692" i="1"/>
  <c r="I7692" i="1"/>
  <c r="H7692" i="1"/>
  <c r="G7692" i="1"/>
  <c r="M7691" i="1"/>
  <c r="L7691" i="1"/>
  <c r="K7691" i="1"/>
  <c r="J7691" i="1"/>
  <c r="I7691" i="1"/>
  <c r="H7691" i="1"/>
  <c r="G7691" i="1"/>
  <c r="M7690" i="1"/>
  <c r="L7690" i="1"/>
  <c r="K7690" i="1"/>
  <c r="J7690" i="1"/>
  <c r="I7690" i="1"/>
  <c r="H7690" i="1"/>
  <c r="G7690" i="1"/>
  <c r="M7689" i="1"/>
  <c r="L7689" i="1"/>
  <c r="K7689" i="1"/>
  <c r="J7689" i="1"/>
  <c r="I7689" i="1"/>
  <c r="H7689" i="1"/>
  <c r="G7689" i="1"/>
  <c r="M7688" i="1"/>
  <c r="L7688" i="1"/>
  <c r="K7688" i="1"/>
  <c r="J7688" i="1"/>
  <c r="I7688" i="1"/>
  <c r="H7688" i="1"/>
  <c r="G7688" i="1"/>
  <c r="M7687" i="1"/>
  <c r="L7687" i="1"/>
  <c r="K7687" i="1"/>
  <c r="J7687" i="1"/>
  <c r="I7687" i="1"/>
  <c r="H7687" i="1"/>
  <c r="G7687" i="1"/>
  <c r="M7686" i="1"/>
  <c r="L7686" i="1"/>
  <c r="K7686" i="1"/>
  <c r="J7686" i="1"/>
  <c r="I7686" i="1"/>
  <c r="H7686" i="1"/>
  <c r="G7686" i="1"/>
  <c r="M7685" i="1"/>
  <c r="L7685" i="1"/>
  <c r="K7685" i="1"/>
  <c r="J7685" i="1"/>
  <c r="I7685" i="1"/>
  <c r="H7685" i="1"/>
  <c r="G7685" i="1"/>
  <c r="M7684" i="1"/>
  <c r="L7684" i="1"/>
  <c r="K7684" i="1"/>
  <c r="J7684" i="1"/>
  <c r="I7684" i="1"/>
  <c r="H7684" i="1"/>
  <c r="G7684" i="1"/>
  <c r="M7683" i="1"/>
  <c r="L7683" i="1"/>
  <c r="K7683" i="1"/>
  <c r="J7683" i="1"/>
  <c r="I7683" i="1"/>
  <c r="H7683" i="1"/>
  <c r="G7683" i="1"/>
  <c r="M7682" i="1"/>
  <c r="L7682" i="1"/>
  <c r="K7682" i="1"/>
  <c r="J7682" i="1"/>
  <c r="I7682" i="1"/>
  <c r="H7682" i="1"/>
  <c r="G7682" i="1"/>
  <c r="M7681" i="1"/>
  <c r="L7681" i="1"/>
  <c r="K7681" i="1"/>
  <c r="J7681" i="1"/>
  <c r="I7681" i="1"/>
  <c r="H7681" i="1"/>
  <c r="G7681" i="1"/>
  <c r="M7680" i="1"/>
  <c r="L7680" i="1"/>
  <c r="K7680" i="1"/>
  <c r="J7680" i="1"/>
  <c r="I7680" i="1"/>
  <c r="H7680" i="1"/>
  <c r="G7680" i="1"/>
  <c r="M7679" i="1"/>
  <c r="L7679" i="1"/>
  <c r="K7679" i="1"/>
  <c r="J7679" i="1"/>
  <c r="I7679" i="1"/>
  <c r="H7679" i="1"/>
  <c r="G7679" i="1"/>
  <c r="M7678" i="1"/>
  <c r="L7678" i="1"/>
  <c r="K7678" i="1"/>
  <c r="J7678" i="1"/>
  <c r="I7678" i="1"/>
  <c r="H7678" i="1"/>
  <c r="G7678" i="1"/>
  <c r="M7677" i="1"/>
  <c r="L7677" i="1"/>
  <c r="K7677" i="1"/>
  <c r="J7677" i="1"/>
  <c r="I7677" i="1"/>
  <c r="H7677" i="1"/>
  <c r="G7677" i="1"/>
  <c r="M7676" i="1"/>
  <c r="L7676" i="1"/>
  <c r="K7676" i="1"/>
  <c r="J7676" i="1"/>
  <c r="I7676" i="1"/>
  <c r="H7676" i="1"/>
  <c r="G7676" i="1"/>
  <c r="M7675" i="1"/>
  <c r="L7675" i="1"/>
  <c r="K7675" i="1"/>
  <c r="J7675" i="1"/>
  <c r="I7675" i="1"/>
  <c r="H7675" i="1"/>
  <c r="G7675" i="1"/>
  <c r="M7674" i="1"/>
  <c r="L7674" i="1"/>
  <c r="K7674" i="1"/>
  <c r="J7674" i="1"/>
  <c r="I7674" i="1"/>
  <c r="H7674" i="1"/>
  <c r="G7674" i="1"/>
  <c r="M7673" i="1"/>
  <c r="L7673" i="1"/>
  <c r="K7673" i="1"/>
  <c r="J7673" i="1"/>
  <c r="I7673" i="1"/>
  <c r="H7673" i="1"/>
  <c r="G7673" i="1"/>
  <c r="M7672" i="1"/>
  <c r="L7672" i="1"/>
  <c r="K7672" i="1"/>
  <c r="J7672" i="1"/>
  <c r="I7672" i="1"/>
  <c r="H7672" i="1"/>
  <c r="G7672" i="1"/>
  <c r="M7671" i="1"/>
  <c r="L7671" i="1"/>
  <c r="K7671" i="1"/>
  <c r="J7671" i="1"/>
  <c r="I7671" i="1"/>
  <c r="H7671" i="1"/>
  <c r="G7671" i="1"/>
  <c r="M7670" i="1"/>
  <c r="L7670" i="1"/>
  <c r="K7670" i="1"/>
  <c r="J7670" i="1"/>
  <c r="I7670" i="1"/>
  <c r="H7670" i="1"/>
  <c r="G7670" i="1"/>
  <c r="M7669" i="1"/>
  <c r="L7669" i="1"/>
  <c r="K7669" i="1"/>
  <c r="J7669" i="1"/>
  <c r="I7669" i="1"/>
  <c r="H7669" i="1"/>
  <c r="G7669" i="1"/>
  <c r="M7668" i="1"/>
  <c r="L7668" i="1"/>
  <c r="K7668" i="1"/>
  <c r="J7668" i="1"/>
  <c r="I7668" i="1"/>
  <c r="H7668" i="1"/>
  <c r="G7668" i="1"/>
  <c r="M7667" i="1"/>
  <c r="L7667" i="1"/>
  <c r="K7667" i="1"/>
  <c r="J7667" i="1"/>
  <c r="I7667" i="1"/>
  <c r="H7667" i="1"/>
  <c r="G7667" i="1"/>
  <c r="M7666" i="1"/>
  <c r="L7666" i="1"/>
  <c r="K7666" i="1"/>
  <c r="J7666" i="1"/>
  <c r="I7666" i="1"/>
  <c r="H7666" i="1"/>
  <c r="G7666" i="1"/>
  <c r="M7665" i="1"/>
  <c r="L7665" i="1"/>
  <c r="K7665" i="1"/>
  <c r="J7665" i="1"/>
  <c r="I7665" i="1"/>
  <c r="H7665" i="1"/>
  <c r="G7665" i="1"/>
  <c r="M7664" i="1"/>
  <c r="L7664" i="1"/>
  <c r="K7664" i="1"/>
  <c r="J7664" i="1"/>
  <c r="I7664" i="1"/>
  <c r="H7664" i="1"/>
  <c r="G7664" i="1"/>
  <c r="M7663" i="1"/>
  <c r="L7663" i="1"/>
  <c r="K7663" i="1"/>
  <c r="J7663" i="1"/>
  <c r="I7663" i="1"/>
  <c r="H7663" i="1"/>
  <c r="G7663" i="1"/>
  <c r="M7662" i="1"/>
  <c r="L7662" i="1"/>
  <c r="K7662" i="1"/>
  <c r="J7662" i="1"/>
  <c r="I7662" i="1"/>
  <c r="H7662" i="1"/>
  <c r="G7662" i="1"/>
  <c r="M7661" i="1"/>
  <c r="L7661" i="1"/>
  <c r="K7661" i="1"/>
  <c r="J7661" i="1"/>
  <c r="I7661" i="1"/>
  <c r="H7661" i="1"/>
  <c r="G7661" i="1"/>
  <c r="M7660" i="1"/>
  <c r="L7660" i="1"/>
  <c r="K7660" i="1"/>
  <c r="J7660" i="1"/>
  <c r="I7660" i="1"/>
  <c r="H7660" i="1"/>
  <c r="G7660" i="1"/>
  <c r="M7659" i="1"/>
  <c r="L7659" i="1"/>
  <c r="K7659" i="1"/>
  <c r="J7659" i="1"/>
  <c r="I7659" i="1"/>
  <c r="H7659" i="1"/>
  <c r="G7659" i="1"/>
  <c r="M7658" i="1"/>
  <c r="L7658" i="1"/>
  <c r="K7658" i="1"/>
  <c r="J7658" i="1"/>
  <c r="I7658" i="1"/>
  <c r="H7658" i="1"/>
  <c r="G7658" i="1"/>
  <c r="M7657" i="1"/>
  <c r="L7657" i="1"/>
  <c r="K7657" i="1"/>
  <c r="J7657" i="1"/>
  <c r="I7657" i="1"/>
  <c r="H7657" i="1"/>
  <c r="G7657" i="1"/>
  <c r="M7656" i="1"/>
  <c r="L7656" i="1"/>
  <c r="K7656" i="1"/>
  <c r="J7656" i="1"/>
  <c r="I7656" i="1"/>
  <c r="H7656" i="1"/>
  <c r="G7656" i="1"/>
  <c r="M7655" i="1"/>
  <c r="L7655" i="1"/>
  <c r="K7655" i="1"/>
  <c r="J7655" i="1"/>
  <c r="I7655" i="1"/>
  <c r="H7655" i="1"/>
  <c r="G7655" i="1"/>
  <c r="M7654" i="1"/>
  <c r="L7654" i="1"/>
  <c r="K7654" i="1"/>
  <c r="J7654" i="1"/>
  <c r="I7654" i="1"/>
  <c r="H7654" i="1"/>
  <c r="G7654" i="1"/>
  <c r="M7653" i="1"/>
  <c r="L7653" i="1"/>
  <c r="K7653" i="1"/>
  <c r="J7653" i="1"/>
  <c r="I7653" i="1"/>
  <c r="H7653" i="1"/>
  <c r="G7653" i="1"/>
  <c r="M7652" i="1"/>
  <c r="L7652" i="1"/>
  <c r="K7652" i="1"/>
  <c r="J7652" i="1"/>
  <c r="I7652" i="1"/>
  <c r="H7652" i="1"/>
  <c r="G7652" i="1"/>
  <c r="M7651" i="1"/>
  <c r="L7651" i="1"/>
  <c r="K7651" i="1"/>
  <c r="J7651" i="1"/>
  <c r="I7651" i="1"/>
  <c r="H7651" i="1"/>
  <c r="G7651" i="1"/>
  <c r="M7650" i="1"/>
  <c r="L7650" i="1"/>
  <c r="K7650" i="1"/>
  <c r="J7650" i="1"/>
  <c r="I7650" i="1"/>
  <c r="H7650" i="1"/>
  <c r="G7650" i="1"/>
  <c r="M7649" i="1"/>
  <c r="L7649" i="1"/>
  <c r="K7649" i="1"/>
  <c r="J7649" i="1"/>
  <c r="I7649" i="1"/>
  <c r="H7649" i="1"/>
  <c r="G7649" i="1"/>
  <c r="M7648" i="1"/>
  <c r="L7648" i="1"/>
  <c r="K7648" i="1"/>
  <c r="J7648" i="1"/>
  <c r="I7648" i="1"/>
  <c r="H7648" i="1"/>
  <c r="G7648" i="1"/>
  <c r="M7647" i="1"/>
  <c r="L7647" i="1"/>
  <c r="K7647" i="1"/>
  <c r="J7647" i="1"/>
  <c r="I7647" i="1"/>
  <c r="H7647" i="1"/>
  <c r="G7647" i="1"/>
  <c r="M7646" i="1"/>
  <c r="L7646" i="1"/>
  <c r="K7646" i="1"/>
  <c r="J7646" i="1"/>
  <c r="I7646" i="1"/>
  <c r="H7646" i="1"/>
  <c r="G7646" i="1"/>
  <c r="M7645" i="1"/>
  <c r="L7645" i="1"/>
  <c r="K7645" i="1"/>
  <c r="J7645" i="1"/>
  <c r="I7645" i="1"/>
  <c r="H7645" i="1"/>
  <c r="G7645" i="1"/>
  <c r="M7644" i="1"/>
  <c r="L7644" i="1"/>
  <c r="K7644" i="1"/>
  <c r="J7644" i="1"/>
  <c r="I7644" i="1"/>
  <c r="H7644" i="1"/>
  <c r="G7644" i="1"/>
  <c r="M7643" i="1"/>
  <c r="L7643" i="1"/>
  <c r="K7643" i="1"/>
  <c r="J7643" i="1"/>
  <c r="I7643" i="1"/>
  <c r="H7643" i="1"/>
  <c r="G7643" i="1"/>
  <c r="M7642" i="1"/>
  <c r="L7642" i="1"/>
  <c r="K7642" i="1"/>
  <c r="J7642" i="1"/>
  <c r="I7642" i="1"/>
  <c r="H7642" i="1"/>
  <c r="G7642" i="1"/>
  <c r="M7641" i="1"/>
  <c r="L7641" i="1"/>
  <c r="K7641" i="1"/>
  <c r="J7641" i="1"/>
  <c r="I7641" i="1"/>
  <c r="H7641" i="1"/>
  <c r="G7641" i="1"/>
  <c r="M7640" i="1"/>
  <c r="L7640" i="1"/>
  <c r="K7640" i="1"/>
  <c r="J7640" i="1"/>
  <c r="I7640" i="1"/>
  <c r="H7640" i="1"/>
  <c r="G7640" i="1"/>
  <c r="M7639" i="1"/>
  <c r="L7639" i="1"/>
  <c r="K7639" i="1"/>
  <c r="J7639" i="1"/>
  <c r="I7639" i="1"/>
  <c r="H7639" i="1"/>
  <c r="G7639" i="1"/>
  <c r="M7638" i="1"/>
  <c r="L7638" i="1"/>
  <c r="K7638" i="1"/>
  <c r="J7638" i="1"/>
  <c r="I7638" i="1"/>
  <c r="H7638" i="1"/>
  <c r="G7638" i="1"/>
  <c r="M7637" i="1"/>
  <c r="L7637" i="1"/>
  <c r="K7637" i="1"/>
  <c r="J7637" i="1"/>
  <c r="I7637" i="1"/>
  <c r="H7637" i="1"/>
  <c r="G7637" i="1"/>
  <c r="M7636" i="1"/>
  <c r="L7636" i="1"/>
  <c r="K7636" i="1"/>
  <c r="J7636" i="1"/>
  <c r="I7636" i="1"/>
  <c r="H7636" i="1"/>
  <c r="G7636" i="1"/>
  <c r="M7635" i="1"/>
  <c r="L7635" i="1"/>
  <c r="K7635" i="1"/>
  <c r="J7635" i="1"/>
  <c r="I7635" i="1"/>
  <c r="H7635" i="1"/>
  <c r="G7635" i="1"/>
  <c r="M7634" i="1"/>
  <c r="L7634" i="1"/>
  <c r="K7634" i="1"/>
  <c r="J7634" i="1"/>
  <c r="I7634" i="1"/>
  <c r="H7634" i="1"/>
  <c r="G7634" i="1"/>
  <c r="M7633" i="1"/>
  <c r="L7633" i="1"/>
  <c r="K7633" i="1"/>
  <c r="J7633" i="1"/>
  <c r="I7633" i="1"/>
  <c r="H7633" i="1"/>
  <c r="G7633" i="1"/>
  <c r="M7632" i="1"/>
  <c r="L7632" i="1"/>
  <c r="K7632" i="1"/>
  <c r="J7632" i="1"/>
  <c r="I7632" i="1"/>
  <c r="H7632" i="1"/>
  <c r="G7632" i="1"/>
  <c r="M7631" i="1"/>
  <c r="L7631" i="1"/>
  <c r="K7631" i="1"/>
  <c r="J7631" i="1"/>
  <c r="I7631" i="1"/>
  <c r="H7631" i="1"/>
  <c r="G7631" i="1"/>
  <c r="M7630" i="1"/>
  <c r="L7630" i="1"/>
  <c r="K7630" i="1"/>
  <c r="J7630" i="1"/>
  <c r="I7630" i="1"/>
  <c r="H7630" i="1"/>
  <c r="G7630" i="1"/>
  <c r="M7629" i="1"/>
  <c r="L7629" i="1"/>
  <c r="K7629" i="1"/>
  <c r="J7629" i="1"/>
  <c r="I7629" i="1"/>
  <c r="H7629" i="1"/>
  <c r="G7629" i="1"/>
  <c r="M7628" i="1"/>
  <c r="L7628" i="1"/>
  <c r="K7628" i="1"/>
  <c r="J7628" i="1"/>
  <c r="I7628" i="1"/>
  <c r="H7628" i="1"/>
  <c r="G7628" i="1"/>
  <c r="M7627" i="1"/>
  <c r="L7627" i="1"/>
  <c r="K7627" i="1"/>
  <c r="J7627" i="1"/>
  <c r="I7627" i="1"/>
  <c r="H7627" i="1"/>
  <c r="G7627" i="1"/>
  <c r="M7626" i="1"/>
  <c r="L7626" i="1"/>
  <c r="K7626" i="1"/>
  <c r="J7626" i="1"/>
  <c r="I7626" i="1"/>
  <c r="H7626" i="1"/>
  <c r="G7626" i="1"/>
  <c r="M7625" i="1"/>
  <c r="L7625" i="1"/>
  <c r="K7625" i="1"/>
  <c r="J7625" i="1"/>
  <c r="I7625" i="1"/>
  <c r="H7625" i="1"/>
  <c r="G7625" i="1"/>
  <c r="M7624" i="1"/>
  <c r="L7624" i="1"/>
  <c r="K7624" i="1"/>
  <c r="J7624" i="1"/>
  <c r="I7624" i="1"/>
  <c r="H7624" i="1"/>
  <c r="G7624" i="1"/>
  <c r="M7623" i="1"/>
  <c r="L7623" i="1"/>
  <c r="K7623" i="1"/>
  <c r="J7623" i="1"/>
  <c r="I7623" i="1"/>
  <c r="H7623" i="1"/>
  <c r="G7623" i="1"/>
  <c r="M7622" i="1"/>
  <c r="L7622" i="1"/>
  <c r="K7622" i="1"/>
  <c r="J7622" i="1"/>
  <c r="I7622" i="1"/>
  <c r="H7622" i="1"/>
  <c r="G7622" i="1"/>
  <c r="M7621" i="1"/>
  <c r="L7621" i="1"/>
  <c r="K7621" i="1"/>
  <c r="J7621" i="1"/>
  <c r="I7621" i="1"/>
  <c r="H7621" i="1"/>
  <c r="G7621" i="1"/>
  <c r="M7620" i="1"/>
  <c r="L7620" i="1"/>
  <c r="K7620" i="1"/>
  <c r="J7620" i="1"/>
  <c r="I7620" i="1"/>
  <c r="H7620" i="1"/>
  <c r="G7620" i="1"/>
  <c r="M7619" i="1"/>
  <c r="L7619" i="1"/>
  <c r="K7619" i="1"/>
  <c r="J7619" i="1"/>
  <c r="I7619" i="1"/>
  <c r="H7619" i="1"/>
  <c r="G7619" i="1"/>
  <c r="M7618" i="1"/>
  <c r="L7618" i="1"/>
  <c r="K7618" i="1"/>
  <c r="J7618" i="1"/>
  <c r="I7618" i="1"/>
  <c r="H7618" i="1"/>
  <c r="G7618" i="1"/>
  <c r="M7617" i="1"/>
  <c r="L7617" i="1"/>
  <c r="K7617" i="1"/>
  <c r="J7617" i="1"/>
  <c r="I7617" i="1"/>
  <c r="H7617" i="1"/>
  <c r="G7617" i="1"/>
  <c r="M7616" i="1"/>
  <c r="L7616" i="1"/>
  <c r="K7616" i="1"/>
  <c r="J7616" i="1"/>
  <c r="I7616" i="1"/>
  <c r="H7616" i="1"/>
  <c r="G7616" i="1"/>
  <c r="M7615" i="1"/>
  <c r="L7615" i="1"/>
  <c r="K7615" i="1"/>
  <c r="J7615" i="1"/>
  <c r="I7615" i="1"/>
  <c r="H7615" i="1"/>
  <c r="G7615" i="1"/>
  <c r="M7614" i="1"/>
  <c r="L7614" i="1"/>
  <c r="K7614" i="1"/>
  <c r="J7614" i="1"/>
  <c r="I7614" i="1"/>
  <c r="H7614" i="1"/>
  <c r="G7614" i="1"/>
  <c r="M7613" i="1"/>
  <c r="L7613" i="1"/>
  <c r="K7613" i="1"/>
  <c r="J7613" i="1"/>
  <c r="I7613" i="1"/>
  <c r="H7613" i="1"/>
  <c r="G7613" i="1"/>
  <c r="M7612" i="1"/>
  <c r="L7612" i="1"/>
  <c r="K7612" i="1"/>
  <c r="J7612" i="1"/>
  <c r="I7612" i="1"/>
  <c r="H7612" i="1"/>
  <c r="G7612" i="1"/>
  <c r="M7611" i="1"/>
  <c r="L7611" i="1"/>
  <c r="K7611" i="1"/>
  <c r="J7611" i="1"/>
  <c r="I7611" i="1"/>
  <c r="H7611" i="1"/>
  <c r="G7611" i="1"/>
  <c r="M7610" i="1"/>
  <c r="L7610" i="1"/>
  <c r="K7610" i="1"/>
  <c r="J7610" i="1"/>
  <c r="I7610" i="1"/>
  <c r="H7610" i="1"/>
  <c r="G7610" i="1"/>
  <c r="M7609" i="1"/>
  <c r="L7609" i="1"/>
  <c r="K7609" i="1"/>
  <c r="J7609" i="1"/>
  <c r="I7609" i="1"/>
  <c r="H7609" i="1"/>
  <c r="G7609" i="1"/>
  <c r="M7608" i="1"/>
  <c r="L7608" i="1"/>
  <c r="K7608" i="1"/>
  <c r="J7608" i="1"/>
  <c r="I7608" i="1"/>
  <c r="H7608" i="1"/>
  <c r="G7608" i="1"/>
  <c r="M7607" i="1"/>
  <c r="L7607" i="1"/>
  <c r="K7607" i="1"/>
  <c r="J7607" i="1"/>
  <c r="I7607" i="1"/>
  <c r="H7607" i="1"/>
  <c r="G7607" i="1"/>
  <c r="M7606" i="1"/>
  <c r="L7606" i="1"/>
  <c r="K7606" i="1"/>
  <c r="J7606" i="1"/>
  <c r="I7606" i="1"/>
  <c r="H7606" i="1"/>
  <c r="G7606" i="1"/>
  <c r="M7605" i="1"/>
  <c r="L7605" i="1"/>
  <c r="K7605" i="1"/>
  <c r="J7605" i="1"/>
  <c r="I7605" i="1"/>
  <c r="H7605" i="1"/>
  <c r="G7605" i="1"/>
  <c r="M7604" i="1"/>
  <c r="L7604" i="1"/>
  <c r="K7604" i="1"/>
  <c r="J7604" i="1"/>
  <c r="I7604" i="1"/>
  <c r="H7604" i="1"/>
  <c r="G7604" i="1"/>
  <c r="M7603" i="1"/>
  <c r="L7603" i="1"/>
  <c r="K7603" i="1"/>
  <c r="J7603" i="1"/>
  <c r="I7603" i="1"/>
  <c r="H7603" i="1"/>
  <c r="G7603" i="1"/>
  <c r="M7602" i="1"/>
  <c r="L7602" i="1"/>
  <c r="K7602" i="1"/>
  <c r="J7602" i="1"/>
  <c r="I7602" i="1"/>
  <c r="H7602" i="1"/>
  <c r="G7602" i="1"/>
  <c r="M7601" i="1"/>
  <c r="L7601" i="1"/>
  <c r="K7601" i="1"/>
  <c r="J7601" i="1"/>
  <c r="I7601" i="1"/>
  <c r="H7601" i="1"/>
  <c r="G7601" i="1"/>
  <c r="M7600" i="1"/>
  <c r="L7600" i="1"/>
  <c r="K7600" i="1"/>
  <c r="J7600" i="1"/>
  <c r="I7600" i="1"/>
  <c r="H7600" i="1"/>
  <c r="G7600" i="1"/>
  <c r="M7599" i="1"/>
  <c r="L7599" i="1"/>
  <c r="K7599" i="1"/>
  <c r="J7599" i="1"/>
  <c r="I7599" i="1"/>
  <c r="H7599" i="1"/>
  <c r="G7599" i="1"/>
  <c r="M7598" i="1"/>
  <c r="L7598" i="1"/>
  <c r="K7598" i="1"/>
  <c r="J7598" i="1"/>
  <c r="I7598" i="1"/>
  <c r="H7598" i="1"/>
  <c r="G7598" i="1"/>
  <c r="M7597" i="1"/>
  <c r="L7597" i="1"/>
  <c r="K7597" i="1"/>
  <c r="J7597" i="1"/>
  <c r="I7597" i="1"/>
  <c r="H7597" i="1"/>
  <c r="G7597" i="1"/>
  <c r="M7596" i="1"/>
  <c r="L7596" i="1"/>
  <c r="K7596" i="1"/>
  <c r="J7596" i="1"/>
  <c r="I7596" i="1"/>
  <c r="H7596" i="1"/>
  <c r="G7596" i="1"/>
  <c r="M7595" i="1"/>
  <c r="L7595" i="1"/>
  <c r="K7595" i="1"/>
  <c r="J7595" i="1"/>
  <c r="I7595" i="1"/>
  <c r="H7595" i="1"/>
  <c r="G7595" i="1"/>
  <c r="M7594" i="1"/>
  <c r="L7594" i="1"/>
  <c r="K7594" i="1"/>
  <c r="J7594" i="1"/>
  <c r="I7594" i="1"/>
  <c r="H7594" i="1"/>
  <c r="G7594" i="1"/>
  <c r="M7593" i="1"/>
  <c r="L7593" i="1"/>
  <c r="K7593" i="1"/>
  <c r="J7593" i="1"/>
  <c r="I7593" i="1"/>
  <c r="H7593" i="1"/>
  <c r="G7593" i="1"/>
  <c r="M7592" i="1"/>
  <c r="L7592" i="1"/>
  <c r="K7592" i="1"/>
  <c r="J7592" i="1"/>
  <c r="I7592" i="1"/>
  <c r="H7592" i="1"/>
  <c r="G7592" i="1"/>
  <c r="M7591" i="1"/>
  <c r="L7591" i="1"/>
  <c r="K7591" i="1"/>
  <c r="J7591" i="1"/>
  <c r="I7591" i="1"/>
  <c r="H7591" i="1"/>
  <c r="G7591" i="1"/>
  <c r="M7590" i="1"/>
  <c r="L7590" i="1"/>
  <c r="K7590" i="1"/>
  <c r="J7590" i="1"/>
  <c r="I7590" i="1"/>
  <c r="H7590" i="1"/>
  <c r="G7590" i="1"/>
  <c r="M7589" i="1"/>
  <c r="L7589" i="1"/>
  <c r="K7589" i="1"/>
  <c r="J7589" i="1"/>
  <c r="I7589" i="1"/>
  <c r="H7589" i="1"/>
  <c r="G7589" i="1"/>
  <c r="M7588" i="1"/>
  <c r="L7588" i="1"/>
  <c r="K7588" i="1"/>
  <c r="J7588" i="1"/>
  <c r="I7588" i="1"/>
  <c r="H7588" i="1"/>
  <c r="G7588" i="1"/>
  <c r="M7587" i="1"/>
  <c r="L7587" i="1"/>
  <c r="K7587" i="1"/>
  <c r="J7587" i="1"/>
  <c r="I7587" i="1"/>
  <c r="H7587" i="1"/>
  <c r="G7587" i="1"/>
  <c r="M7586" i="1"/>
  <c r="L7586" i="1"/>
  <c r="K7586" i="1"/>
  <c r="J7586" i="1"/>
  <c r="I7586" i="1"/>
  <c r="H7586" i="1"/>
  <c r="G7586" i="1"/>
  <c r="M7585" i="1"/>
  <c r="L7585" i="1"/>
  <c r="K7585" i="1"/>
  <c r="J7585" i="1"/>
  <c r="I7585" i="1"/>
  <c r="H7585" i="1"/>
  <c r="G7585" i="1"/>
  <c r="M7584" i="1"/>
  <c r="L7584" i="1"/>
  <c r="K7584" i="1"/>
  <c r="J7584" i="1"/>
  <c r="I7584" i="1"/>
  <c r="H7584" i="1"/>
  <c r="G7584" i="1"/>
  <c r="M7583" i="1"/>
  <c r="L7583" i="1"/>
  <c r="K7583" i="1"/>
  <c r="J7583" i="1"/>
  <c r="I7583" i="1"/>
  <c r="H7583" i="1"/>
  <c r="G7583" i="1"/>
  <c r="M7582" i="1"/>
  <c r="L7582" i="1"/>
  <c r="K7582" i="1"/>
  <c r="J7582" i="1"/>
  <c r="I7582" i="1"/>
  <c r="H7582" i="1"/>
  <c r="G7582" i="1"/>
  <c r="M7581" i="1"/>
  <c r="L7581" i="1"/>
  <c r="K7581" i="1"/>
  <c r="J7581" i="1"/>
  <c r="I7581" i="1"/>
  <c r="H7581" i="1"/>
  <c r="G7581" i="1"/>
  <c r="M7580" i="1"/>
  <c r="L7580" i="1"/>
  <c r="K7580" i="1"/>
  <c r="J7580" i="1"/>
  <c r="I7580" i="1"/>
  <c r="H7580" i="1"/>
  <c r="G7580" i="1"/>
  <c r="M7579" i="1"/>
  <c r="L7579" i="1"/>
  <c r="K7579" i="1"/>
  <c r="J7579" i="1"/>
  <c r="I7579" i="1"/>
  <c r="H7579" i="1"/>
  <c r="G7579" i="1"/>
  <c r="M7578" i="1"/>
  <c r="L7578" i="1"/>
  <c r="K7578" i="1"/>
  <c r="J7578" i="1"/>
  <c r="I7578" i="1"/>
  <c r="H7578" i="1"/>
  <c r="G7578" i="1"/>
  <c r="M7577" i="1"/>
  <c r="L7577" i="1"/>
  <c r="K7577" i="1"/>
  <c r="J7577" i="1"/>
  <c r="I7577" i="1"/>
  <c r="H7577" i="1"/>
  <c r="G7577" i="1"/>
  <c r="M7576" i="1"/>
  <c r="L7576" i="1"/>
  <c r="K7576" i="1"/>
  <c r="J7576" i="1"/>
  <c r="I7576" i="1"/>
  <c r="H7576" i="1"/>
  <c r="G7576" i="1"/>
  <c r="M7575" i="1"/>
  <c r="L7575" i="1"/>
  <c r="K7575" i="1"/>
  <c r="J7575" i="1"/>
  <c r="I7575" i="1"/>
  <c r="H7575" i="1"/>
  <c r="G7575" i="1"/>
  <c r="M7574" i="1"/>
  <c r="L7574" i="1"/>
  <c r="K7574" i="1"/>
  <c r="J7574" i="1"/>
  <c r="I7574" i="1"/>
  <c r="H7574" i="1"/>
  <c r="G7574" i="1"/>
  <c r="M7573" i="1"/>
  <c r="L7573" i="1"/>
  <c r="K7573" i="1"/>
  <c r="J7573" i="1"/>
  <c r="I7573" i="1"/>
  <c r="H7573" i="1"/>
  <c r="G7573" i="1"/>
  <c r="M7572" i="1"/>
  <c r="L7572" i="1"/>
  <c r="K7572" i="1"/>
  <c r="J7572" i="1"/>
  <c r="I7572" i="1"/>
  <c r="H7572" i="1"/>
  <c r="G7572" i="1"/>
  <c r="M7571" i="1"/>
  <c r="L7571" i="1"/>
  <c r="K7571" i="1"/>
  <c r="J7571" i="1"/>
  <c r="I7571" i="1"/>
  <c r="H7571" i="1"/>
  <c r="G7571" i="1"/>
  <c r="M7570" i="1"/>
  <c r="L7570" i="1"/>
  <c r="K7570" i="1"/>
  <c r="J7570" i="1"/>
  <c r="I7570" i="1"/>
  <c r="H7570" i="1"/>
  <c r="G7570" i="1"/>
  <c r="M7569" i="1"/>
  <c r="L7569" i="1"/>
  <c r="K7569" i="1"/>
  <c r="J7569" i="1"/>
  <c r="I7569" i="1"/>
  <c r="H7569" i="1"/>
  <c r="G7569" i="1"/>
  <c r="M7568" i="1"/>
  <c r="L7568" i="1"/>
  <c r="K7568" i="1"/>
  <c r="J7568" i="1"/>
  <c r="I7568" i="1"/>
  <c r="H7568" i="1"/>
  <c r="G7568" i="1"/>
  <c r="M7567" i="1"/>
  <c r="L7567" i="1"/>
  <c r="K7567" i="1"/>
  <c r="J7567" i="1"/>
  <c r="I7567" i="1"/>
  <c r="H7567" i="1"/>
  <c r="G7567" i="1"/>
  <c r="M7566" i="1"/>
  <c r="L7566" i="1"/>
  <c r="K7566" i="1"/>
  <c r="J7566" i="1"/>
  <c r="I7566" i="1"/>
  <c r="H7566" i="1"/>
  <c r="G7566" i="1"/>
  <c r="M7565" i="1"/>
  <c r="L7565" i="1"/>
  <c r="K7565" i="1"/>
  <c r="J7565" i="1"/>
  <c r="I7565" i="1"/>
  <c r="H7565" i="1"/>
  <c r="G7565" i="1"/>
  <c r="M7564" i="1"/>
  <c r="L7564" i="1"/>
  <c r="K7564" i="1"/>
  <c r="J7564" i="1"/>
  <c r="I7564" i="1"/>
  <c r="H7564" i="1"/>
  <c r="G7564" i="1"/>
  <c r="M7563" i="1"/>
  <c r="L7563" i="1"/>
  <c r="K7563" i="1"/>
  <c r="J7563" i="1"/>
  <c r="I7563" i="1"/>
  <c r="H7563" i="1"/>
  <c r="G7563" i="1"/>
  <c r="M7562" i="1"/>
  <c r="L7562" i="1"/>
  <c r="K7562" i="1"/>
  <c r="J7562" i="1"/>
  <c r="I7562" i="1"/>
  <c r="H7562" i="1"/>
  <c r="G7562" i="1"/>
  <c r="M7561" i="1"/>
  <c r="L7561" i="1"/>
  <c r="K7561" i="1"/>
  <c r="J7561" i="1"/>
  <c r="I7561" i="1"/>
  <c r="H7561" i="1"/>
  <c r="G7561" i="1"/>
  <c r="M7560" i="1"/>
  <c r="L7560" i="1"/>
  <c r="K7560" i="1"/>
  <c r="J7560" i="1"/>
  <c r="I7560" i="1"/>
  <c r="H7560" i="1"/>
  <c r="G7560" i="1"/>
  <c r="M7559" i="1"/>
  <c r="L7559" i="1"/>
  <c r="K7559" i="1"/>
  <c r="J7559" i="1"/>
  <c r="I7559" i="1"/>
  <c r="H7559" i="1"/>
  <c r="G7559" i="1"/>
  <c r="M7558" i="1"/>
  <c r="L7558" i="1"/>
  <c r="K7558" i="1"/>
  <c r="J7558" i="1"/>
  <c r="I7558" i="1"/>
  <c r="H7558" i="1"/>
  <c r="G7558" i="1"/>
  <c r="M7557" i="1"/>
  <c r="L7557" i="1"/>
  <c r="K7557" i="1"/>
  <c r="J7557" i="1"/>
  <c r="I7557" i="1"/>
  <c r="H7557" i="1"/>
  <c r="G7557" i="1"/>
  <c r="M7556" i="1"/>
  <c r="L7556" i="1"/>
  <c r="K7556" i="1"/>
  <c r="J7556" i="1"/>
  <c r="I7556" i="1"/>
  <c r="H7556" i="1"/>
  <c r="G7556" i="1"/>
  <c r="M7555" i="1"/>
  <c r="L7555" i="1"/>
  <c r="K7555" i="1"/>
  <c r="J7555" i="1"/>
  <c r="I7555" i="1"/>
  <c r="H7555" i="1"/>
  <c r="G7555" i="1"/>
  <c r="M7554" i="1"/>
  <c r="L7554" i="1"/>
  <c r="K7554" i="1"/>
  <c r="J7554" i="1"/>
  <c r="I7554" i="1"/>
  <c r="H7554" i="1"/>
  <c r="G7554" i="1"/>
  <c r="M7553" i="1"/>
  <c r="L7553" i="1"/>
  <c r="K7553" i="1"/>
  <c r="J7553" i="1"/>
  <c r="I7553" i="1"/>
  <c r="H7553" i="1"/>
  <c r="G7553" i="1"/>
  <c r="M7552" i="1"/>
  <c r="L7552" i="1"/>
  <c r="K7552" i="1"/>
  <c r="J7552" i="1"/>
  <c r="I7552" i="1"/>
  <c r="H7552" i="1"/>
  <c r="G7552" i="1"/>
  <c r="M7551" i="1"/>
  <c r="L7551" i="1"/>
  <c r="K7551" i="1"/>
  <c r="J7551" i="1"/>
  <c r="I7551" i="1"/>
  <c r="H7551" i="1"/>
  <c r="G7551" i="1"/>
  <c r="M7550" i="1"/>
  <c r="L7550" i="1"/>
  <c r="K7550" i="1"/>
  <c r="J7550" i="1"/>
  <c r="I7550" i="1"/>
  <c r="H7550" i="1"/>
  <c r="G7550" i="1"/>
  <c r="M7549" i="1"/>
  <c r="L7549" i="1"/>
  <c r="K7549" i="1"/>
  <c r="J7549" i="1"/>
  <c r="I7549" i="1"/>
  <c r="H7549" i="1"/>
  <c r="G7549" i="1"/>
  <c r="M7548" i="1"/>
  <c r="L7548" i="1"/>
  <c r="K7548" i="1"/>
  <c r="J7548" i="1"/>
  <c r="I7548" i="1"/>
  <c r="H7548" i="1"/>
  <c r="G7548" i="1"/>
  <c r="M7547" i="1"/>
  <c r="L7547" i="1"/>
  <c r="K7547" i="1"/>
  <c r="J7547" i="1"/>
  <c r="I7547" i="1"/>
  <c r="H7547" i="1"/>
  <c r="G7547" i="1"/>
  <c r="M7546" i="1"/>
  <c r="L7546" i="1"/>
  <c r="K7546" i="1"/>
  <c r="J7546" i="1"/>
  <c r="I7546" i="1"/>
  <c r="H7546" i="1"/>
  <c r="G7546" i="1"/>
  <c r="M7545" i="1"/>
  <c r="L7545" i="1"/>
  <c r="K7545" i="1"/>
  <c r="J7545" i="1"/>
  <c r="I7545" i="1"/>
  <c r="H7545" i="1"/>
  <c r="G7545" i="1"/>
  <c r="M7544" i="1"/>
  <c r="L7544" i="1"/>
  <c r="K7544" i="1"/>
  <c r="J7544" i="1"/>
  <c r="I7544" i="1"/>
  <c r="H7544" i="1"/>
  <c r="G7544" i="1"/>
  <c r="M7543" i="1"/>
  <c r="L7543" i="1"/>
  <c r="K7543" i="1"/>
  <c r="J7543" i="1"/>
  <c r="I7543" i="1"/>
  <c r="H7543" i="1"/>
  <c r="G7543" i="1"/>
  <c r="M7542" i="1"/>
  <c r="L7542" i="1"/>
  <c r="K7542" i="1"/>
  <c r="J7542" i="1"/>
  <c r="I7542" i="1"/>
  <c r="H7542" i="1"/>
  <c r="G7542" i="1"/>
  <c r="M7541" i="1"/>
  <c r="L7541" i="1"/>
  <c r="K7541" i="1"/>
  <c r="J7541" i="1"/>
  <c r="I7541" i="1"/>
  <c r="H7541" i="1"/>
  <c r="G7541" i="1"/>
  <c r="M7540" i="1"/>
  <c r="L7540" i="1"/>
  <c r="K7540" i="1"/>
  <c r="J7540" i="1"/>
  <c r="I7540" i="1"/>
  <c r="H7540" i="1"/>
  <c r="G7540" i="1"/>
  <c r="M7539" i="1"/>
  <c r="L7539" i="1"/>
  <c r="K7539" i="1"/>
  <c r="J7539" i="1"/>
  <c r="I7539" i="1"/>
  <c r="H7539" i="1"/>
  <c r="G7539" i="1"/>
  <c r="M7538" i="1"/>
  <c r="L7538" i="1"/>
  <c r="K7538" i="1"/>
  <c r="J7538" i="1"/>
  <c r="I7538" i="1"/>
  <c r="H7538" i="1"/>
  <c r="G7538" i="1"/>
  <c r="M7537" i="1"/>
  <c r="L7537" i="1"/>
  <c r="K7537" i="1"/>
  <c r="J7537" i="1"/>
  <c r="I7537" i="1"/>
  <c r="H7537" i="1"/>
  <c r="G7537" i="1"/>
  <c r="M7536" i="1"/>
  <c r="L7536" i="1"/>
  <c r="K7536" i="1"/>
  <c r="J7536" i="1"/>
  <c r="I7536" i="1"/>
  <c r="H7536" i="1"/>
  <c r="G7536" i="1"/>
  <c r="M7535" i="1"/>
  <c r="L7535" i="1"/>
  <c r="K7535" i="1"/>
  <c r="J7535" i="1"/>
  <c r="I7535" i="1"/>
  <c r="H7535" i="1"/>
  <c r="G7535" i="1"/>
  <c r="M7534" i="1"/>
  <c r="L7534" i="1"/>
  <c r="K7534" i="1"/>
  <c r="J7534" i="1"/>
  <c r="I7534" i="1"/>
  <c r="H7534" i="1"/>
  <c r="G7534" i="1"/>
  <c r="M7533" i="1"/>
  <c r="L7533" i="1"/>
  <c r="K7533" i="1"/>
  <c r="J7533" i="1"/>
  <c r="I7533" i="1"/>
  <c r="H7533" i="1"/>
  <c r="G7533" i="1"/>
  <c r="M7532" i="1"/>
  <c r="L7532" i="1"/>
  <c r="K7532" i="1"/>
  <c r="J7532" i="1"/>
  <c r="I7532" i="1"/>
  <c r="H7532" i="1"/>
  <c r="G7532" i="1"/>
  <c r="M7531" i="1"/>
  <c r="L7531" i="1"/>
  <c r="K7531" i="1"/>
  <c r="J7531" i="1"/>
  <c r="I7531" i="1"/>
  <c r="H7531" i="1"/>
  <c r="G7531" i="1"/>
  <c r="M7530" i="1"/>
  <c r="L7530" i="1"/>
  <c r="K7530" i="1"/>
  <c r="J7530" i="1"/>
  <c r="I7530" i="1"/>
  <c r="H7530" i="1"/>
  <c r="G7530" i="1"/>
  <c r="M7529" i="1"/>
  <c r="L7529" i="1"/>
  <c r="K7529" i="1"/>
  <c r="J7529" i="1"/>
  <c r="I7529" i="1"/>
  <c r="H7529" i="1"/>
  <c r="G7529" i="1"/>
  <c r="M7528" i="1"/>
  <c r="L7528" i="1"/>
  <c r="K7528" i="1"/>
  <c r="J7528" i="1"/>
  <c r="I7528" i="1"/>
  <c r="H7528" i="1"/>
  <c r="G7528" i="1"/>
  <c r="M7527" i="1"/>
  <c r="L7527" i="1"/>
  <c r="K7527" i="1"/>
  <c r="J7527" i="1"/>
  <c r="I7527" i="1"/>
  <c r="H7527" i="1"/>
  <c r="G7527" i="1"/>
  <c r="M7526" i="1"/>
  <c r="L7526" i="1"/>
  <c r="K7526" i="1"/>
  <c r="J7526" i="1"/>
  <c r="I7526" i="1"/>
  <c r="H7526" i="1"/>
  <c r="G7526" i="1"/>
  <c r="M7525" i="1"/>
  <c r="L7525" i="1"/>
  <c r="K7525" i="1"/>
  <c r="J7525" i="1"/>
  <c r="I7525" i="1"/>
  <c r="H7525" i="1"/>
  <c r="G7525" i="1"/>
  <c r="M7524" i="1"/>
  <c r="L7524" i="1"/>
  <c r="K7524" i="1"/>
  <c r="J7524" i="1"/>
  <c r="I7524" i="1"/>
  <c r="H7524" i="1"/>
  <c r="G7524" i="1"/>
  <c r="M7523" i="1"/>
  <c r="L7523" i="1"/>
  <c r="K7523" i="1"/>
  <c r="J7523" i="1"/>
  <c r="I7523" i="1"/>
  <c r="H7523" i="1"/>
  <c r="G7523" i="1"/>
  <c r="M7522" i="1"/>
  <c r="L7522" i="1"/>
  <c r="K7522" i="1"/>
  <c r="J7522" i="1"/>
  <c r="I7522" i="1"/>
  <c r="H7522" i="1"/>
  <c r="G7522" i="1"/>
  <c r="M7521" i="1"/>
  <c r="L7521" i="1"/>
  <c r="K7521" i="1"/>
  <c r="J7521" i="1"/>
  <c r="I7521" i="1"/>
  <c r="H7521" i="1"/>
  <c r="G7521" i="1"/>
  <c r="M7520" i="1"/>
  <c r="L7520" i="1"/>
  <c r="K7520" i="1"/>
  <c r="J7520" i="1"/>
  <c r="I7520" i="1"/>
  <c r="H7520" i="1"/>
  <c r="G7520" i="1"/>
  <c r="M7519" i="1"/>
  <c r="L7519" i="1"/>
  <c r="K7519" i="1"/>
  <c r="J7519" i="1"/>
  <c r="I7519" i="1"/>
  <c r="H7519" i="1"/>
  <c r="G7519" i="1"/>
  <c r="M7518" i="1"/>
  <c r="L7518" i="1"/>
  <c r="K7518" i="1"/>
  <c r="J7518" i="1"/>
  <c r="I7518" i="1"/>
  <c r="H7518" i="1"/>
  <c r="G7518" i="1"/>
  <c r="M7517" i="1"/>
  <c r="L7517" i="1"/>
  <c r="K7517" i="1"/>
  <c r="J7517" i="1"/>
  <c r="I7517" i="1"/>
  <c r="H7517" i="1"/>
  <c r="G7517" i="1"/>
  <c r="M7516" i="1"/>
  <c r="L7516" i="1"/>
  <c r="K7516" i="1"/>
  <c r="J7516" i="1"/>
  <c r="I7516" i="1"/>
  <c r="H7516" i="1"/>
  <c r="G7516" i="1"/>
  <c r="M7515" i="1"/>
  <c r="L7515" i="1"/>
  <c r="K7515" i="1"/>
  <c r="J7515" i="1"/>
  <c r="I7515" i="1"/>
  <c r="H7515" i="1"/>
  <c r="G7515" i="1"/>
  <c r="M7514" i="1"/>
  <c r="L7514" i="1"/>
  <c r="K7514" i="1"/>
  <c r="J7514" i="1"/>
  <c r="I7514" i="1"/>
  <c r="H7514" i="1"/>
  <c r="G7514" i="1"/>
  <c r="M7513" i="1"/>
  <c r="L7513" i="1"/>
  <c r="K7513" i="1"/>
  <c r="J7513" i="1"/>
  <c r="I7513" i="1"/>
  <c r="H7513" i="1"/>
  <c r="G7513" i="1"/>
  <c r="M7512" i="1"/>
  <c r="L7512" i="1"/>
  <c r="K7512" i="1"/>
  <c r="J7512" i="1"/>
  <c r="I7512" i="1"/>
  <c r="H7512" i="1"/>
  <c r="G7512" i="1"/>
  <c r="M7511" i="1"/>
  <c r="L7511" i="1"/>
  <c r="K7511" i="1"/>
  <c r="J7511" i="1"/>
  <c r="I7511" i="1"/>
  <c r="H7511" i="1"/>
  <c r="G7511" i="1"/>
  <c r="M7510" i="1"/>
  <c r="L7510" i="1"/>
  <c r="K7510" i="1"/>
  <c r="J7510" i="1"/>
  <c r="I7510" i="1"/>
  <c r="H7510" i="1"/>
  <c r="G7510" i="1"/>
  <c r="M7509" i="1"/>
  <c r="L7509" i="1"/>
  <c r="K7509" i="1"/>
  <c r="J7509" i="1"/>
  <c r="I7509" i="1"/>
  <c r="H7509" i="1"/>
  <c r="G7509" i="1"/>
  <c r="M7508" i="1"/>
  <c r="L7508" i="1"/>
  <c r="K7508" i="1"/>
  <c r="J7508" i="1"/>
  <c r="I7508" i="1"/>
  <c r="H7508" i="1"/>
  <c r="G7508" i="1"/>
  <c r="M7507" i="1"/>
  <c r="L7507" i="1"/>
  <c r="K7507" i="1"/>
  <c r="J7507" i="1"/>
  <c r="I7507" i="1"/>
  <c r="H7507" i="1"/>
  <c r="G7507" i="1"/>
  <c r="M7506" i="1"/>
  <c r="L7506" i="1"/>
  <c r="K7506" i="1"/>
  <c r="J7506" i="1"/>
  <c r="I7506" i="1"/>
  <c r="H7506" i="1"/>
  <c r="G7506" i="1"/>
  <c r="M7505" i="1"/>
  <c r="L7505" i="1"/>
  <c r="K7505" i="1"/>
  <c r="J7505" i="1"/>
  <c r="I7505" i="1"/>
  <c r="H7505" i="1"/>
  <c r="G7505" i="1"/>
  <c r="M7504" i="1"/>
  <c r="L7504" i="1"/>
  <c r="K7504" i="1"/>
  <c r="J7504" i="1"/>
  <c r="I7504" i="1"/>
  <c r="H7504" i="1"/>
  <c r="G7504" i="1"/>
  <c r="M7503" i="1"/>
  <c r="L7503" i="1"/>
  <c r="K7503" i="1"/>
  <c r="J7503" i="1"/>
  <c r="I7503" i="1"/>
  <c r="H7503" i="1"/>
  <c r="G7503" i="1"/>
  <c r="M7502" i="1"/>
  <c r="L7502" i="1"/>
  <c r="K7502" i="1"/>
  <c r="J7502" i="1"/>
  <c r="I7502" i="1"/>
  <c r="H7502" i="1"/>
  <c r="G7502" i="1"/>
  <c r="M7501" i="1"/>
  <c r="L7501" i="1"/>
  <c r="K7501" i="1"/>
  <c r="J7501" i="1"/>
  <c r="I7501" i="1"/>
  <c r="H7501" i="1"/>
  <c r="G7501" i="1"/>
  <c r="M7500" i="1"/>
  <c r="L7500" i="1"/>
  <c r="K7500" i="1"/>
  <c r="J7500" i="1"/>
  <c r="I7500" i="1"/>
  <c r="H7500" i="1"/>
  <c r="G7500" i="1"/>
  <c r="M7499" i="1"/>
  <c r="L7499" i="1"/>
  <c r="K7499" i="1"/>
  <c r="J7499" i="1"/>
  <c r="I7499" i="1"/>
  <c r="H7499" i="1"/>
  <c r="G7499" i="1"/>
  <c r="M7498" i="1"/>
  <c r="L7498" i="1"/>
  <c r="K7498" i="1"/>
  <c r="J7498" i="1"/>
  <c r="I7498" i="1"/>
  <c r="H7498" i="1"/>
  <c r="G7498" i="1"/>
  <c r="M7497" i="1"/>
  <c r="L7497" i="1"/>
  <c r="K7497" i="1"/>
  <c r="J7497" i="1"/>
  <c r="I7497" i="1"/>
  <c r="H7497" i="1"/>
  <c r="G7497" i="1"/>
  <c r="M7496" i="1"/>
  <c r="L7496" i="1"/>
  <c r="K7496" i="1"/>
  <c r="J7496" i="1"/>
  <c r="I7496" i="1"/>
  <c r="H7496" i="1"/>
  <c r="G7496" i="1"/>
  <c r="M7495" i="1"/>
  <c r="L7495" i="1"/>
  <c r="K7495" i="1"/>
  <c r="J7495" i="1"/>
  <c r="I7495" i="1"/>
  <c r="H7495" i="1"/>
  <c r="G7495" i="1"/>
  <c r="M7494" i="1"/>
  <c r="L7494" i="1"/>
  <c r="K7494" i="1"/>
  <c r="J7494" i="1"/>
  <c r="I7494" i="1"/>
  <c r="H7494" i="1"/>
  <c r="G7494" i="1"/>
  <c r="M7493" i="1"/>
  <c r="L7493" i="1"/>
  <c r="K7493" i="1"/>
  <c r="J7493" i="1"/>
  <c r="I7493" i="1"/>
  <c r="H7493" i="1"/>
  <c r="G7493" i="1"/>
  <c r="M7492" i="1"/>
  <c r="L7492" i="1"/>
  <c r="K7492" i="1"/>
  <c r="J7492" i="1"/>
  <c r="I7492" i="1"/>
  <c r="H7492" i="1"/>
  <c r="G7492" i="1"/>
  <c r="M7491" i="1"/>
  <c r="L7491" i="1"/>
  <c r="K7491" i="1"/>
  <c r="J7491" i="1"/>
  <c r="I7491" i="1"/>
  <c r="H7491" i="1"/>
  <c r="G7491" i="1"/>
  <c r="M7490" i="1"/>
  <c r="L7490" i="1"/>
  <c r="K7490" i="1"/>
  <c r="J7490" i="1"/>
  <c r="I7490" i="1"/>
  <c r="H7490" i="1"/>
  <c r="G7490" i="1"/>
  <c r="M7489" i="1"/>
  <c r="L7489" i="1"/>
  <c r="K7489" i="1"/>
  <c r="J7489" i="1"/>
  <c r="I7489" i="1"/>
  <c r="H7489" i="1"/>
  <c r="G7489" i="1"/>
  <c r="M7488" i="1"/>
  <c r="L7488" i="1"/>
  <c r="K7488" i="1"/>
  <c r="J7488" i="1"/>
  <c r="I7488" i="1"/>
  <c r="H7488" i="1"/>
  <c r="G7488" i="1"/>
  <c r="M7487" i="1"/>
  <c r="L7487" i="1"/>
  <c r="K7487" i="1"/>
  <c r="J7487" i="1"/>
  <c r="I7487" i="1"/>
  <c r="H7487" i="1"/>
  <c r="G7487" i="1"/>
  <c r="M7486" i="1"/>
  <c r="L7486" i="1"/>
  <c r="K7486" i="1"/>
  <c r="J7486" i="1"/>
  <c r="I7486" i="1"/>
  <c r="H7486" i="1"/>
  <c r="G7486" i="1"/>
  <c r="M7485" i="1"/>
  <c r="L7485" i="1"/>
  <c r="K7485" i="1"/>
  <c r="J7485" i="1"/>
  <c r="I7485" i="1"/>
  <c r="H7485" i="1"/>
  <c r="G7485" i="1"/>
  <c r="M7484" i="1"/>
  <c r="L7484" i="1"/>
  <c r="K7484" i="1"/>
  <c r="J7484" i="1"/>
  <c r="I7484" i="1"/>
  <c r="H7484" i="1"/>
  <c r="G7484" i="1"/>
  <c r="M7483" i="1"/>
  <c r="L7483" i="1"/>
  <c r="K7483" i="1"/>
  <c r="J7483" i="1"/>
  <c r="I7483" i="1"/>
  <c r="H7483" i="1"/>
  <c r="G7483" i="1"/>
  <c r="M7482" i="1"/>
  <c r="L7482" i="1"/>
  <c r="K7482" i="1"/>
  <c r="J7482" i="1"/>
  <c r="I7482" i="1"/>
  <c r="H7482" i="1"/>
  <c r="G7482" i="1"/>
  <c r="M7481" i="1"/>
  <c r="L7481" i="1"/>
  <c r="K7481" i="1"/>
  <c r="J7481" i="1"/>
  <c r="I7481" i="1"/>
  <c r="H7481" i="1"/>
  <c r="G7481" i="1"/>
  <c r="M7480" i="1"/>
  <c r="L7480" i="1"/>
  <c r="K7480" i="1"/>
  <c r="J7480" i="1"/>
  <c r="I7480" i="1"/>
  <c r="H7480" i="1"/>
  <c r="G7480" i="1"/>
  <c r="M7479" i="1"/>
  <c r="L7479" i="1"/>
  <c r="K7479" i="1"/>
  <c r="J7479" i="1"/>
  <c r="I7479" i="1"/>
  <c r="H7479" i="1"/>
  <c r="G7479" i="1"/>
  <c r="M7478" i="1"/>
  <c r="L7478" i="1"/>
  <c r="K7478" i="1"/>
  <c r="J7478" i="1"/>
  <c r="I7478" i="1"/>
  <c r="H7478" i="1"/>
  <c r="G7478" i="1"/>
  <c r="M7477" i="1"/>
  <c r="L7477" i="1"/>
  <c r="K7477" i="1"/>
  <c r="J7477" i="1"/>
  <c r="I7477" i="1"/>
  <c r="H7477" i="1"/>
  <c r="G7477" i="1"/>
  <c r="M7476" i="1"/>
  <c r="L7476" i="1"/>
  <c r="K7476" i="1"/>
  <c r="J7476" i="1"/>
  <c r="I7476" i="1"/>
  <c r="H7476" i="1"/>
  <c r="G7476" i="1"/>
  <c r="M7475" i="1"/>
  <c r="L7475" i="1"/>
  <c r="K7475" i="1"/>
  <c r="J7475" i="1"/>
  <c r="I7475" i="1"/>
  <c r="H7475" i="1"/>
  <c r="G7475" i="1"/>
  <c r="M7474" i="1"/>
  <c r="L7474" i="1"/>
  <c r="K7474" i="1"/>
  <c r="J7474" i="1"/>
  <c r="I7474" i="1"/>
  <c r="H7474" i="1"/>
  <c r="G7474" i="1"/>
  <c r="M7473" i="1"/>
  <c r="L7473" i="1"/>
  <c r="K7473" i="1"/>
  <c r="J7473" i="1"/>
  <c r="I7473" i="1"/>
  <c r="H7473" i="1"/>
  <c r="G7473" i="1"/>
  <c r="M7472" i="1"/>
  <c r="L7472" i="1"/>
  <c r="K7472" i="1"/>
  <c r="J7472" i="1"/>
  <c r="I7472" i="1"/>
  <c r="H7472" i="1"/>
  <c r="G7472" i="1"/>
  <c r="M7471" i="1"/>
  <c r="L7471" i="1"/>
  <c r="K7471" i="1"/>
  <c r="J7471" i="1"/>
  <c r="I7471" i="1"/>
  <c r="H7471" i="1"/>
  <c r="G7471" i="1"/>
  <c r="M7470" i="1"/>
  <c r="L7470" i="1"/>
  <c r="K7470" i="1"/>
  <c r="J7470" i="1"/>
  <c r="I7470" i="1"/>
  <c r="H7470" i="1"/>
  <c r="G7470" i="1"/>
  <c r="M7469" i="1"/>
  <c r="L7469" i="1"/>
  <c r="K7469" i="1"/>
  <c r="J7469" i="1"/>
  <c r="I7469" i="1"/>
  <c r="H7469" i="1"/>
  <c r="G7469" i="1"/>
  <c r="M7468" i="1"/>
  <c r="L7468" i="1"/>
  <c r="K7468" i="1"/>
  <c r="J7468" i="1"/>
  <c r="I7468" i="1"/>
  <c r="H7468" i="1"/>
  <c r="G7468" i="1"/>
  <c r="M7467" i="1"/>
  <c r="L7467" i="1"/>
  <c r="K7467" i="1"/>
  <c r="J7467" i="1"/>
  <c r="I7467" i="1"/>
  <c r="H7467" i="1"/>
  <c r="G7467" i="1"/>
  <c r="M7466" i="1"/>
  <c r="L7466" i="1"/>
  <c r="K7466" i="1"/>
  <c r="J7466" i="1"/>
  <c r="I7466" i="1"/>
  <c r="H7466" i="1"/>
  <c r="G7466" i="1"/>
  <c r="M7465" i="1"/>
  <c r="L7465" i="1"/>
  <c r="K7465" i="1"/>
  <c r="J7465" i="1"/>
  <c r="I7465" i="1"/>
  <c r="H7465" i="1"/>
  <c r="G7465" i="1"/>
  <c r="M7464" i="1"/>
  <c r="L7464" i="1"/>
  <c r="K7464" i="1"/>
  <c r="J7464" i="1"/>
  <c r="I7464" i="1"/>
  <c r="H7464" i="1"/>
  <c r="G7464" i="1"/>
  <c r="M7463" i="1"/>
  <c r="L7463" i="1"/>
  <c r="K7463" i="1"/>
  <c r="J7463" i="1"/>
  <c r="I7463" i="1"/>
  <c r="H7463" i="1"/>
  <c r="G7463" i="1"/>
  <c r="M7462" i="1"/>
  <c r="L7462" i="1"/>
  <c r="K7462" i="1"/>
  <c r="J7462" i="1"/>
  <c r="I7462" i="1"/>
  <c r="H7462" i="1"/>
  <c r="G7462" i="1"/>
  <c r="M7461" i="1"/>
  <c r="L7461" i="1"/>
  <c r="K7461" i="1"/>
  <c r="J7461" i="1"/>
  <c r="I7461" i="1"/>
  <c r="H7461" i="1"/>
  <c r="G7461" i="1"/>
  <c r="M7460" i="1"/>
  <c r="L7460" i="1"/>
  <c r="K7460" i="1"/>
  <c r="J7460" i="1"/>
  <c r="I7460" i="1"/>
  <c r="H7460" i="1"/>
  <c r="G7460" i="1"/>
  <c r="M7459" i="1"/>
  <c r="L7459" i="1"/>
  <c r="K7459" i="1"/>
  <c r="J7459" i="1"/>
  <c r="I7459" i="1"/>
  <c r="H7459" i="1"/>
  <c r="G7459" i="1"/>
  <c r="M7458" i="1"/>
  <c r="L7458" i="1"/>
  <c r="K7458" i="1"/>
  <c r="J7458" i="1"/>
  <c r="I7458" i="1"/>
  <c r="H7458" i="1"/>
  <c r="G7458" i="1"/>
  <c r="M7457" i="1"/>
  <c r="L7457" i="1"/>
  <c r="K7457" i="1"/>
  <c r="J7457" i="1"/>
  <c r="I7457" i="1"/>
  <c r="H7457" i="1"/>
  <c r="G7457" i="1"/>
  <c r="M7456" i="1"/>
  <c r="L7456" i="1"/>
  <c r="K7456" i="1"/>
  <c r="J7456" i="1"/>
  <c r="I7456" i="1"/>
  <c r="H7456" i="1"/>
  <c r="G7456" i="1"/>
  <c r="M7455" i="1"/>
  <c r="L7455" i="1"/>
  <c r="K7455" i="1"/>
  <c r="J7455" i="1"/>
  <c r="I7455" i="1"/>
  <c r="H7455" i="1"/>
  <c r="G7455" i="1"/>
  <c r="M7454" i="1"/>
  <c r="L7454" i="1"/>
  <c r="K7454" i="1"/>
  <c r="J7454" i="1"/>
  <c r="I7454" i="1"/>
  <c r="H7454" i="1"/>
  <c r="G7454" i="1"/>
  <c r="M7453" i="1"/>
  <c r="L7453" i="1"/>
  <c r="K7453" i="1"/>
  <c r="J7453" i="1"/>
  <c r="I7453" i="1"/>
  <c r="H7453" i="1"/>
  <c r="G7453" i="1"/>
  <c r="M7452" i="1"/>
  <c r="L7452" i="1"/>
  <c r="K7452" i="1"/>
  <c r="J7452" i="1"/>
  <c r="I7452" i="1"/>
  <c r="H7452" i="1"/>
  <c r="G7452" i="1"/>
  <c r="M7451" i="1"/>
  <c r="L7451" i="1"/>
  <c r="K7451" i="1"/>
  <c r="J7451" i="1"/>
  <c r="I7451" i="1"/>
  <c r="H7451" i="1"/>
  <c r="G7451" i="1"/>
  <c r="M7450" i="1"/>
  <c r="L7450" i="1"/>
  <c r="K7450" i="1"/>
  <c r="J7450" i="1"/>
  <c r="I7450" i="1"/>
  <c r="H7450" i="1"/>
  <c r="G7450" i="1"/>
  <c r="M7449" i="1"/>
  <c r="L7449" i="1"/>
  <c r="K7449" i="1"/>
  <c r="J7449" i="1"/>
  <c r="I7449" i="1"/>
  <c r="H7449" i="1"/>
  <c r="G7449" i="1"/>
  <c r="M7448" i="1"/>
  <c r="L7448" i="1"/>
  <c r="K7448" i="1"/>
  <c r="J7448" i="1"/>
  <c r="I7448" i="1"/>
  <c r="H7448" i="1"/>
  <c r="G7448" i="1"/>
  <c r="M7447" i="1"/>
  <c r="L7447" i="1"/>
  <c r="K7447" i="1"/>
  <c r="J7447" i="1"/>
  <c r="I7447" i="1"/>
  <c r="H7447" i="1"/>
  <c r="G7447" i="1"/>
  <c r="M7446" i="1"/>
  <c r="L7446" i="1"/>
  <c r="K7446" i="1"/>
  <c r="J7446" i="1"/>
  <c r="I7446" i="1"/>
  <c r="H7446" i="1"/>
  <c r="G7446" i="1"/>
  <c r="M7445" i="1"/>
  <c r="L7445" i="1"/>
  <c r="K7445" i="1"/>
  <c r="J7445" i="1"/>
  <c r="I7445" i="1"/>
  <c r="H7445" i="1"/>
  <c r="G7445" i="1"/>
  <c r="M7444" i="1"/>
  <c r="L7444" i="1"/>
  <c r="K7444" i="1"/>
  <c r="J7444" i="1"/>
  <c r="I7444" i="1"/>
  <c r="H7444" i="1"/>
  <c r="G7444" i="1"/>
  <c r="M7443" i="1"/>
  <c r="L7443" i="1"/>
  <c r="K7443" i="1"/>
  <c r="J7443" i="1"/>
  <c r="I7443" i="1"/>
  <c r="H7443" i="1"/>
  <c r="G7443" i="1"/>
  <c r="M7442" i="1"/>
  <c r="L7442" i="1"/>
  <c r="K7442" i="1"/>
  <c r="J7442" i="1"/>
  <c r="I7442" i="1"/>
  <c r="H7442" i="1"/>
  <c r="G7442" i="1"/>
  <c r="M7441" i="1"/>
  <c r="L7441" i="1"/>
  <c r="K7441" i="1"/>
  <c r="J7441" i="1"/>
  <c r="I7441" i="1"/>
  <c r="H7441" i="1"/>
  <c r="G7441" i="1"/>
  <c r="M7440" i="1"/>
  <c r="L7440" i="1"/>
  <c r="K7440" i="1"/>
  <c r="J7440" i="1"/>
  <c r="I7440" i="1"/>
  <c r="H7440" i="1"/>
  <c r="G7440" i="1"/>
  <c r="M7439" i="1"/>
  <c r="L7439" i="1"/>
  <c r="K7439" i="1"/>
  <c r="J7439" i="1"/>
  <c r="I7439" i="1"/>
  <c r="H7439" i="1"/>
  <c r="G7439" i="1"/>
  <c r="M7438" i="1"/>
  <c r="L7438" i="1"/>
  <c r="K7438" i="1"/>
  <c r="J7438" i="1"/>
  <c r="I7438" i="1"/>
  <c r="H7438" i="1"/>
  <c r="G7438" i="1"/>
  <c r="M7437" i="1"/>
  <c r="L7437" i="1"/>
  <c r="K7437" i="1"/>
  <c r="J7437" i="1"/>
  <c r="I7437" i="1"/>
  <c r="H7437" i="1"/>
  <c r="G7437" i="1"/>
  <c r="M7436" i="1"/>
  <c r="L7436" i="1"/>
  <c r="K7436" i="1"/>
  <c r="J7436" i="1"/>
  <c r="I7436" i="1"/>
  <c r="H7436" i="1"/>
  <c r="G7436" i="1"/>
  <c r="M7435" i="1"/>
  <c r="L7435" i="1"/>
  <c r="K7435" i="1"/>
  <c r="J7435" i="1"/>
  <c r="I7435" i="1"/>
  <c r="H7435" i="1"/>
  <c r="G7435" i="1"/>
  <c r="M7434" i="1"/>
  <c r="L7434" i="1"/>
  <c r="K7434" i="1"/>
  <c r="J7434" i="1"/>
  <c r="I7434" i="1"/>
  <c r="H7434" i="1"/>
  <c r="G7434" i="1"/>
  <c r="M7433" i="1"/>
  <c r="L7433" i="1"/>
  <c r="K7433" i="1"/>
  <c r="J7433" i="1"/>
  <c r="I7433" i="1"/>
  <c r="H7433" i="1"/>
  <c r="G7433" i="1"/>
  <c r="M7432" i="1"/>
  <c r="L7432" i="1"/>
  <c r="K7432" i="1"/>
  <c r="J7432" i="1"/>
  <c r="I7432" i="1"/>
  <c r="H7432" i="1"/>
  <c r="G7432" i="1"/>
  <c r="M7431" i="1"/>
  <c r="L7431" i="1"/>
  <c r="K7431" i="1"/>
  <c r="J7431" i="1"/>
  <c r="I7431" i="1"/>
  <c r="H7431" i="1"/>
  <c r="G7431" i="1"/>
  <c r="M7430" i="1"/>
  <c r="L7430" i="1"/>
  <c r="K7430" i="1"/>
  <c r="J7430" i="1"/>
  <c r="I7430" i="1"/>
  <c r="H7430" i="1"/>
  <c r="G7430" i="1"/>
  <c r="M7429" i="1"/>
  <c r="L7429" i="1"/>
  <c r="K7429" i="1"/>
  <c r="J7429" i="1"/>
  <c r="I7429" i="1"/>
  <c r="H7429" i="1"/>
  <c r="G7429" i="1"/>
  <c r="M7428" i="1"/>
  <c r="L7428" i="1"/>
  <c r="K7428" i="1"/>
  <c r="J7428" i="1"/>
  <c r="I7428" i="1"/>
  <c r="H7428" i="1"/>
  <c r="G7428" i="1"/>
  <c r="M7427" i="1"/>
  <c r="L7427" i="1"/>
  <c r="K7427" i="1"/>
  <c r="J7427" i="1"/>
  <c r="I7427" i="1"/>
  <c r="H7427" i="1"/>
  <c r="G7427" i="1"/>
  <c r="M7426" i="1"/>
  <c r="L7426" i="1"/>
  <c r="K7426" i="1"/>
  <c r="J7426" i="1"/>
  <c r="I7426" i="1"/>
  <c r="H7426" i="1"/>
  <c r="G7426" i="1"/>
  <c r="M7425" i="1"/>
  <c r="L7425" i="1"/>
  <c r="K7425" i="1"/>
  <c r="J7425" i="1"/>
  <c r="I7425" i="1"/>
  <c r="H7425" i="1"/>
  <c r="G7425" i="1"/>
  <c r="M7424" i="1"/>
  <c r="L7424" i="1"/>
  <c r="K7424" i="1"/>
  <c r="J7424" i="1"/>
  <c r="I7424" i="1"/>
  <c r="H7424" i="1"/>
  <c r="G7424" i="1"/>
  <c r="M7423" i="1"/>
  <c r="L7423" i="1"/>
  <c r="K7423" i="1"/>
  <c r="J7423" i="1"/>
  <c r="I7423" i="1"/>
  <c r="H7423" i="1"/>
  <c r="G7423" i="1"/>
  <c r="M7422" i="1"/>
  <c r="L7422" i="1"/>
  <c r="K7422" i="1"/>
  <c r="J7422" i="1"/>
  <c r="I7422" i="1"/>
  <c r="H7422" i="1"/>
  <c r="G7422" i="1"/>
  <c r="M7421" i="1"/>
  <c r="L7421" i="1"/>
  <c r="K7421" i="1"/>
  <c r="J7421" i="1"/>
  <c r="I7421" i="1"/>
  <c r="H7421" i="1"/>
  <c r="G7421" i="1"/>
  <c r="M7420" i="1"/>
  <c r="L7420" i="1"/>
  <c r="K7420" i="1"/>
  <c r="J7420" i="1"/>
  <c r="I7420" i="1"/>
  <c r="H7420" i="1"/>
  <c r="G7420" i="1"/>
  <c r="M7419" i="1"/>
  <c r="L7419" i="1"/>
  <c r="K7419" i="1"/>
  <c r="J7419" i="1"/>
  <c r="I7419" i="1"/>
  <c r="H7419" i="1"/>
  <c r="G7419" i="1"/>
  <c r="M7418" i="1"/>
  <c r="L7418" i="1"/>
  <c r="K7418" i="1"/>
  <c r="J7418" i="1"/>
  <c r="I7418" i="1"/>
  <c r="H7418" i="1"/>
  <c r="G7418" i="1"/>
  <c r="M7417" i="1"/>
  <c r="L7417" i="1"/>
  <c r="K7417" i="1"/>
  <c r="J7417" i="1"/>
  <c r="I7417" i="1"/>
  <c r="H7417" i="1"/>
  <c r="G7417" i="1"/>
  <c r="M7416" i="1"/>
  <c r="L7416" i="1"/>
  <c r="K7416" i="1"/>
  <c r="J7416" i="1"/>
  <c r="I7416" i="1"/>
  <c r="H7416" i="1"/>
  <c r="G7416" i="1"/>
  <c r="M7415" i="1"/>
  <c r="L7415" i="1"/>
  <c r="K7415" i="1"/>
  <c r="J7415" i="1"/>
  <c r="I7415" i="1"/>
  <c r="H7415" i="1"/>
  <c r="G7415" i="1"/>
  <c r="M7414" i="1"/>
  <c r="L7414" i="1"/>
  <c r="K7414" i="1"/>
  <c r="J7414" i="1"/>
  <c r="I7414" i="1"/>
  <c r="H7414" i="1"/>
  <c r="G7414" i="1"/>
  <c r="M7413" i="1"/>
  <c r="L7413" i="1"/>
  <c r="K7413" i="1"/>
  <c r="J7413" i="1"/>
  <c r="I7413" i="1"/>
  <c r="H7413" i="1"/>
  <c r="G7413" i="1"/>
  <c r="M7412" i="1"/>
  <c r="L7412" i="1"/>
  <c r="K7412" i="1"/>
  <c r="J7412" i="1"/>
  <c r="I7412" i="1"/>
  <c r="H7412" i="1"/>
  <c r="G7412" i="1"/>
  <c r="M7411" i="1"/>
  <c r="L7411" i="1"/>
  <c r="K7411" i="1"/>
  <c r="J7411" i="1"/>
  <c r="I7411" i="1"/>
  <c r="H7411" i="1"/>
  <c r="G7411" i="1"/>
  <c r="M7410" i="1"/>
  <c r="L7410" i="1"/>
  <c r="K7410" i="1"/>
  <c r="J7410" i="1"/>
  <c r="I7410" i="1"/>
  <c r="H7410" i="1"/>
  <c r="G7410" i="1"/>
  <c r="M7409" i="1"/>
  <c r="L7409" i="1"/>
  <c r="K7409" i="1"/>
  <c r="J7409" i="1"/>
  <c r="I7409" i="1"/>
  <c r="H7409" i="1"/>
  <c r="G7409" i="1"/>
  <c r="M7408" i="1"/>
  <c r="L7408" i="1"/>
  <c r="K7408" i="1"/>
  <c r="J7408" i="1"/>
  <c r="I7408" i="1"/>
  <c r="H7408" i="1"/>
  <c r="G7408" i="1"/>
  <c r="M7407" i="1"/>
  <c r="L7407" i="1"/>
  <c r="K7407" i="1"/>
  <c r="J7407" i="1"/>
  <c r="I7407" i="1"/>
  <c r="H7407" i="1"/>
  <c r="G7407" i="1"/>
  <c r="M7406" i="1"/>
  <c r="L7406" i="1"/>
  <c r="K7406" i="1"/>
  <c r="J7406" i="1"/>
  <c r="I7406" i="1"/>
  <c r="H7406" i="1"/>
  <c r="G7406" i="1"/>
  <c r="M7405" i="1"/>
  <c r="L7405" i="1"/>
  <c r="K7405" i="1"/>
  <c r="J7405" i="1"/>
  <c r="I7405" i="1"/>
  <c r="H7405" i="1"/>
  <c r="G7405" i="1"/>
  <c r="M7404" i="1"/>
  <c r="L7404" i="1"/>
  <c r="K7404" i="1"/>
  <c r="J7404" i="1"/>
  <c r="I7404" i="1"/>
  <c r="H7404" i="1"/>
  <c r="G7404" i="1"/>
  <c r="M7403" i="1"/>
  <c r="L7403" i="1"/>
  <c r="K7403" i="1"/>
  <c r="J7403" i="1"/>
  <c r="I7403" i="1"/>
  <c r="H7403" i="1"/>
  <c r="G7403" i="1"/>
  <c r="M7402" i="1"/>
  <c r="L7402" i="1"/>
  <c r="K7402" i="1"/>
  <c r="J7402" i="1"/>
  <c r="I7402" i="1"/>
  <c r="H7402" i="1"/>
  <c r="G7402" i="1"/>
  <c r="M7401" i="1"/>
  <c r="L7401" i="1"/>
  <c r="K7401" i="1"/>
  <c r="J7401" i="1"/>
  <c r="I7401" i="1"/>
  <c r="H7401" i="1"/>
  <c r="G7401" i="1"/>
  <c r="M7400" i="1"/>
  <c r="L7400" i="1"/>
  <c r="K7400" i="1"/>
  <c r="J7400" i="1"/>
  <c r="I7400" i="1"/>
  <c r="H7400" i="1"/>
  <c r="G7400" i="1"/>
  <c r="M7399" i="1"/>
  <c r="L7399" i="1"/>
  <c r="K7399" i="1"/>
  <c r="J7399" i="1"/>
  <c r="I7399" i="1"/>
  <c r="H7399" i="1"/>
  <c r="G7399" i="1"/>
  <c r="M7398" i="1"/>
  <c r="L7398" i="1"/>
  <c r="K7398" i="1"/>
  <c r="J7398" i="1"/>
  <c r="I7398" i="1"/>
  <c r="H7398" i="1"/>
  <c r="G7398" i="1"/>
  <c r="M7397" i="1"/>
  <c r="L7397" i="1"/>
  <c r="K7397" i="1"/>
  <c r="J7397" i="1"/>
  <c r="I7397" i="1"/>
  <c r="H7397" i="1"/>
  <c r="G7397" i="1"/>
  <c r="M7396" i="1"/>
  <c r="L7396" i="1"/>
  <c r="K7396" i="1"/>
  <c r="J7396" i="1"/>
  <c r="I7396" i="1"/>
  <c r="H7396" i="1"/>
  <c r="G7396" i="1"/>
  <c r="M7395" i="1"/>
  <c r="L7395" i="1"/>
  <c r="K7395" i="1"/>
  <c r="J7395" i="1"/>
  <c r="I7395" i="1"/>
  <c r="H7395" i="1"/>
  <c r="G7395" i="1"/>
  <c r="M7394" i="1"/>
  <c r="L7394" i="1"/>
  <c r="K7394" i="1"/>
  <c r="J7394" i="1"/>
  <c r="I7394" i="1"/>
  <c r="H7394" i="1"/>
  <c r="G7394" i="1"/>
  <c r="M7393" i="1"/>
  <c r="L7393" i="1"/>
  <c r="K7393" i="1"/>
  <c r="J7393" i="1"/>
  <c r="I7393" i="1"/>
  <c r="H7393" i="1"/>
  <c r="G7393" i="1"/>
  <c r="M7392" i="1"/>
  <c r="L7392" i="1"/>
  <c r="K7392" i="1"/>
  <c r="J7392" i="1"/>
  <c r="I7392" i="1"/>
  <c r="H7392" i="1"/>
  <c r="G7392" i="1"/>
  <c r="M7391" i="1"/>
  <c r="L7391" i="1"/>
  <c r="K7391" i="1"/>
  <c r="J7391" i="1"/>
  <c r="I7391" i="1"/>
  <c r="H7391" i="1"/>
  <c r="G7391" i="1"/>
  <c r="M7390" i="1"/>
  <c r="L7390" i="1"/>
  <c r="K7390" i="1"/>
  <c r="J7390" i="1"/>
  <c r="I7390" i="1"/>
  <c r="H7390" i="1"/>
  <c r="G7390" i="1"/>
  <c r="M7389" i="1"/>
  <c r="L7389" i="1"/>
  <c r="K7389" i="1"/>
  <c r="J7389" i="1"/>
  <c r="I7389" i="1"/>
  <c r="H7389" i="1"/>
  <c r="G7389" i="1"/>
  <c r="M7388" i="1"/>
  <c r="L7388" i="1"/>
  <c r="K7388" i="1"/>
  <c r="J7388" i="1"/>
  <c r="I7388" i="1"/>
  <c r="H7388" i="1"/>
  <c r="G7388" i="1"/>
  <c r="M7387" i="1"/>
  <c r="L7387" i="1"/>
  <c r="K7387" i="1"/>
  <c r="J7387" i="1"/>
  <c r="I7387" i="1"/>
  <c r="H7387" i="1"/>
  <c r="G7387" i="1"/>
  <c r="M7386" i="1"/>
  <c r="L7386" i="1"/>
  <c r="K7386" i="1"/>
  <c r="J7386" i="1"/>
  <c r="I7386" i="1"/>
  <c r="H7386" i="1"/>
  <c r="G7386" i="1"/>
  <c r="M7385" i="1"/>
  <c r="L7385" i="1"/>
  <c r="K7385" i="1"/>
  <c r="J7385" i="1"/>
  <c r="I7385" i="1"/>
  <c r="H7385" i="1"/>
  <c r="G7385" i="1"/>
  <c r="M7384" i="1"/>
  <c r="L7384" i="1"/>
  <c r="K7384" i="1"/>
  <c r="J7384" i="1"/>
  <c r="I7384" i="1"/>
  <c r="H7384" i="1"/>
  <c r="G7384" i="1"/>
  <c r="M7383" i="1"/>
  <c r="L7383" i="1"/>
  <c r="K7383" i="1"/>
  <c r="J7383" i="1"/>
  <c r="I7383" i="1"/>
  <c r="H7383" i="1"/>
  <c r="G7383" i="1"/>
  <c r="M7382" i="1"/>
  <c r="L7382" i="1"/>
  <c r="K7382" i="1"/>
  <c r="J7382" i="1"/>
  <c r="I7382" i="1"/>
  <c r="H7382" i="1"/>
  <c r="G7382" i="1"/>
  <c r="M7381" i="1"/>
  <c r="L7381" i="1"/>
  <c r="K7381" i="1"/>
  <c r="J7381" i="1"/>
  <c r="I7381" i="1"/>
  <c r="H7381" i="1"/>
  <c r="G7381" i="1"/>
  <c r="M7380" i="1"/>
  <c r="L7380" i="1"/>
  <c r="K7380" i="1"/>
  <c r="J7380" i="1"/>
  <c r="I7380" i="1"/>
  <c r="H7380" i="1"/>
  <c r="G7380" i="1"/>
  <c r="M7379" i="1"/>
  <c r="L7379" i="1"/>
  <c r="K7379" i="1"/>
  <c r="J7379" i="1"/>
  <c r="I7379" i="1"/>
  <c r="H7379" i="1"/>
  <c r="G7379" i="1"/>
  <c r="M7378" i="1"/>
  <c r="L7378" i="1"/>
  <c r="K7378" i="1"/>
  <c r="J7378" i="1"/>
  <c r="I7378" i="1"/>
  <c r="H7378" i="1"/>
  <c r="G7378" i="1"/>
  <c r="M7377" i="1"/>
  <c r="L7377" i="1"/>
  <c r="K7377" i="1"/>
  <c r="J7377" i="1"/>
  <c r="I7377" i="1"/>
  <c r="H7377" i="1"/>
  <c r="G7377" i="1"/>
  <c r="M7376" i="1"/>
  <c r="L7376" i="1"/>
  <c r="K7376" i="1"/>
  <c r="J7376" i="1"/>
  <c r="I7376" i="1"/>
  <c r="H7376" i="1"/>
  <c r="G7376" i="1"/>
  <c r="M7375" i="1"/>
  <c r="L7375" i="1"/>
  <c r="K7375" i="1"/>
  <c r="J7375" i="1"/>
  <c r="I7375" i="1"/>
  <c r="H7375" i="1"/>
  <c r="G7375" i="1"/>
  <c r="M7374" i="1"/>
  <c r="L7374" i="1"/>
  <c r="K7374" i="1"/>
  <c r="J7374" i="1"/>
  <c r="I7374" i="1"/>
  <c r="H7374" i="1"/>
  <c r="G7374" i="1"/>
  <c r="M7373" i="1"/>
  <c r="L7373" i="1"/>
  <c r="K7373" i="1"/>
  <c r="J7373" i="1"/>
  <c r="I7373" i="1"/>
  <c r="H7373" i="1"/>
  <c r="G7373" i="1"/>
  <c r="M7372" i="1"/>
  <c r="L7372" i="1"/>
  <c r="K7372" i="1"/>
  <c r="J7372" i="1"/>
  <c r="I7372" i="1"/>
  <c r="H7372" i="1"/>
  <c r="G7372" i="1"/>
  <c r="M7371" i="1"/>
  <c r="L7371" i="1"/>
  <c r="K7371" i="1"/>
  <c r="J7371" i="1"/>
  <c r="I7371" i="1"/>
  <c r="H7371" i="1"/>
  <c r="G7371" i="1"/>
  <c r="M7370" i="1"/>
  <c r="L7370" i="1"/>
  <c r="K7370" i="1"/>
  <c r="J7370" i="1"/>
  <c r="I7370" i="1"/>
  <c r="H7370" i="1"/>
  <c r="G7370" i="1"/>
  <c r="M7369" i="1"/>
  <c r="L7369" i="1"/>
  <c r="K7369" i="1"/>
  <c r="J7369" i="1"/>
  <c r="I7369" i="1"/>
  <c r="H7369" i="1"/>
  <c r="G7369" i="1"/>
  <c r="M7368" i="1"/>
  <c r="L7368" i="1"/>
  <c r="K7368" i="1"/>
  <c r="J7368" i="1"/>
  <c r="I7368" i="1"/>
  <c r="H7368" i="1"/>
  <c r="G7368" i="1"/>
  <c r="M7367" i="1"/>
  <c r="L7367" i="1"/>
  <c r="K7367" i="1"/>
  <c r="J7367" i="1"/>
  <c r="I7367" i="1"/>
  <c r="H7367" i="1"/>
  <c r="G7367" i="1"/>
  <c r="M7366" i="1"/>
  <c r="L7366" i="1"/>
  <c r="K7366" i="1"/>
  <c r="J7366" i="1"/>
  <c r="I7366" i="1"/>
  <c r="H7366" i="1"/>
  <c r="G7366" i="1"/>
  <c r="M7365" i="1"/>
  <c r="L7365" i="1"/>
  <c r="K7365" i="1"/>
  <c r="J7365" i="1"/>
  <c r="I7365" i="1"/>
  <c r="H7365" i="1"/>
  <c r="G7365" i="1"/>
  <c r="M7364" i="1"/>
  <c r="L7364" i="1"/>
  <c r="K7364" i="1"/>
  <c r="J7364" i="1"/>
  <c r="I7364" i="1"/>
  <c r="H7364" i="1"/>
  <c r="G7364" i="1"/>
  <c r="M7363" i="1"/>
  <c r="L7363" i="1"/>
  <c r="K7363" i="1"/>
  <c r="J7363" i="1"/>
  <c r="I7363" i="1"/>
  <c r="H7363" i="1"/>
  <c r="G7363" i="1"/>
  <c r="M7362" i="1"/>
  <c r="L7362" i="1"/>
  <c r="K7362" i="1"/>
  <c r="J7362" i="1"/>
  <c r="I7362" i="1"/>
  <c r="H7362" i="1"/>
  <c r="G7362" i="1"/>
  <c r="M7361" i="1"/>
  <c r="L7361" i="1"/>
  <c r="K7361" i="1"/>
  <c r="J7361" i="1"/>
  <c r="I7361" i="1"/>
  <c r="H7361" i="1"/>
  <c r="G7361" i="1"/>
  <c r="M7360" i="1"/>
  <c r="L7360" i="1"/>
  <c r="K7360" i="1"/>
  <c r="J7360" i="1"/>
  <c r="I7360" i="1"/>
  <c r="H7360" i="1"/>
  <c r="G7360" i="1"/>
  <c r="M7359" i="1"/>
  <c r="L7359" i="1"/>
  <c r="K7359" i="1"/>
  <c r="J7359" i="1"/>
  <c r="I7359" i="1"/>
  <c r="H7359" i="1"/>
  <c r="G7359" i="1"/>
  <c r="M7358" i="1"/>
  <c r="L7358" i="1"/>
  <c r="K7358" i="1"/>
  <c r="J7358" i="1"/>
  <c r="I7358" i="1"/>
  <c r="H7358" i="1"/>
  <c r="G7358" i="1"/>
  <c r="M7357" i="1"/>
  <c r="L7357" i="1"/>
  <c r="K7357" i="1"/>
  <c r="J7357" i="1"/>
  <c r="I7357" i="1"/>
  <c r="H7357" i="1"/>
  <c r="G7357" i="1"/>
  <c r="M7356" i="1"/>
  <c r="L7356" i="1"/>
  <c r="K7356" i="1"/>
  <c r="J7356" i="1"/>
  <c r="I7356" i="1"/>
  <c r="H7356" i="1"/>
  <c r="G7356" i="1"/>
  <c r="M7355" i="1"/>
  <c r="L7355" i="1"/>
  <c r="K7355" i="1"/>
  <c r="J7355" i="1"/>
  <c r="I7355" i="1"/>
  <c r="H7355" i="1"/>
  <c r="G7355" i="1"/>
  <c r="M7354" i="1"/>
  <c r="L7354" i="1"/>
  <c r="K7354" i="1"/>
  <c r="J7354" i="1"/>
  <c r="I7354" i="1"/>
  <c r="H7354" i="1"/>
  <c r="G7354" i="1"/>
  <c r="M7353" i="1"/>
  <c r="L7353" i="1"/>
  <c r="K7353" i="1"/>
  <c r="J7353" i="1"/>
  <c r="I7353" i="1"/>
  <c r="H7353" i="1"/>
  <c r="G7353" i="1"/>
  <c r="M7352" i="1"/>
  <c r="L7352" i="1"/>
  <c r="K7352" i="1"/>
  <c r="J7352" i="1"/>
  <c r="I7352" i="1"/>
  <c r="H7352" i="1"/>
  <c r="G7352" i="1"/>
  <c r="M7351" i="1"/>
  <c r="L7351" i="1"/>
  <c r="K7351" i="1"/>
  <c r="J7351" i="1"/>
  <c r="I7351" i="1"/>
  <c r="H7351" i="1"/>
  <c r="G7351" i="1"/>
  <c r="M7350" i="1"/>
  <c r="L7350" i="1"/>
  <c r="K7350" i="1"/>
  <c r="J7350" i="1"/>
  <c r="I7350" i="1"/>
  <c r="H7350" i="1"/>
  <c r="G7350" i="1"/>
  <c r="M7349" i="1"/>
  <c r="L7349" i="1"/>
  <c r="K7349" i="1"/>
  <c r="J7349" i="1"/>
  <c r="I7349" i="1"/>
  <c r="H7349" i="1"/>
  <c r="G7349" i="1"/>
  <c r="M7348" i="1"/>
  <c r="L7348" i="1"/>
  <c r="K7348" i="1"/>
  <c r="J7348" i="1"/>
  <c r="I7348" i="1"/>
  <c r="H7348" i="1"/>
  <c r="G7348" i="1"/>
  <c r="M7347" i="1"/>
  <c r="L7347" i="1"/>
  <c r="K7347" i="1"/>
  <c r="J7347" i="1"/>
  <c r="I7347" i="1"/>
  <c r="H7347" i="1"/>
  <c r="G7347" i="1"/>
  <c r="M7346" i="1"/>
  <c r="L7346" i="1"/>
  <c r="K7346" i="1"/>
  <c r="J7346" i="1"/>
  <c r="I7346" i="1"/>
  <c r="H7346" i="1"/>
  <c r="G7346" i="1"/>
  <c r="M7345" i="1"/>
  <c r="L7345" i="1"/>
  <c r="K7345" i="1"/>
  <c r="J7345" i="1"/>
  <c r="I7345" i="1"/>
  <c r="H7345" i="1"/>
  <c r="G7345" i="1"/>
  <c r="M7344" i="1"/>
  <c r="L7344" i="1"/>
  <c r="K7344" i="1"/>
  <c r="J7344" i="1"/>
  <c r="I7344" i="1"/>
  <c r="H7344" i="1"/>
  <c r="G7344" i="1"/>
  <c r="M7343" i="1"/>
  <c r="L7343" i="1"/>
  <c r="K7343" i="1"/>
  <c r="J7343" i="1"/>
  <c r="I7343" i="1"/>
  <c r="H7343" i="1"/>
  <c r="G7343" i="1"/>
  <c r="M7342" i="1"/>
  <c r="L7342" i="1"/>
  <c r="K7342" i="1"/>
  <c r="J7342" i="1"/>
  <c r="I7342" i="1"/>
  <c r="H7342" i="1"/>
  <c r="G7342" i="1"/>
  <c r="M7341" i="1"/>
  <c r="L7341" i="1"/>
  <c r="K7341" i="1"/>
  <c r="J7341" i="1"/>
  <c r="I7341" i="1"/>
  <c r="H7341" i="1"/>
  <c r="G7341" i="1"/>
  <c r="M7340" i="1"/>
  <c r="L7340" i="1"/>
  <c r="K7340" i="1"/>
  <c r="J7340" i="1"/>
  <c r="I7340" i="1"/>
  <c r="H7340" i="1"/>
  <c r="G7340" i="1"/>
  <c r="M7339" i="1"/>
  <c r="L7339" i="1"/>
  <c r="K7339" i="1"/>
  <c r="J7339" i="1"/>
  <c r="I7339" i="1"/>
  <c r="H7339" i="1"/>
  <c r="G7339" i="1"/>
  <c r="M7338" i="1"/>
  <c r="L7338" i="1"/>
  <c r="K7338" i="1"/>
  <c r="J7338" i="1"/>
  <c r="I7338" i="1"/>
  <c r="H7338" i="1"/>
  <c r="G7338" i="1"/>
  <c r="M7337" i="1"/>
  <c r="L7337" i="1"/>
  <c r="K7337" i="1"/>
  <c r="J7337" i="1"/>
  <c r="I7337" i="1"/>
  <c r="H7337" i="1"/>
  <c r="G7337" i="1"/>
  <c r="M7336" i="1"/>
  <c r="L7336" i="1"/>
  <c r="K7336" i="1"/>
  <c r="J7336" i="1"/>
  <c r="I7336" i="1"/>
  <c r="H7336" i="1"/>
  <c r="G7336" i="1"/>
  <c r="M7335" i="1"/>
  <c r="L7335" i="1"/>
  <c r="K7335" i="1"/>
  <c r="J7335" i="1"/>
  <c r="I7335" i="1"/>
  <c r="H7335" i="1"/>
  <c r="G7335" i="1"/>
  <c r="M7334" i="1"/>
  <c r="L7334" i="1"/>
  <c r="K7334" i="1"/>
  <c r="J7334" i="1"/>
  <c r="I7334" i="1"/>
  <c r="H7334" i="1"/>
  <c r="G7334" i="1"/>
  <c r="M7333" i="1"/>
  <c r="L7333" i="1"/>
  <c r="K7333" i="1"/>
  <c r="J7333" i="1"/>
  <c r="I7333" i="1"/>
  <c r="H7333" i="1"/>
  <c r="G7333" i="1"/>
  <c r="M7332" i="1"/>
  <c r="L7332" i="1"/>
  <c r="K7332" i="1"/>
  <c r="J7332" i="1"/>
  <c r="I7332" i="1"/>
  <c r="H7332" i="1"/>
  <c r="G7332" i="1"/>
  <c r="M7331" i="1"/>
  <c r="L7331" i="1"/>
  <c r="K7331" i="1"/>
  <c r="J7331" i="1"/>
  <c r="I7331" i="1"/>
  <c r="H7331" i="1"/>
  <c r="G7331" i="1"/>
  <c r="M7330" i="1"/>
  <c r="L7330" i="1"/>
  <c r="K7330" i="1"/>
  <c r="J7330" i="1"/>
  <c r="I7330" i="1"/>
  <c r="H7330" i="1"/>
  <c r="G7330" i="1"/>
  <c r="M7329" i="1"/>
  <c r="L7329" i="1"/>
  <c r="K7329" i="1"/>
  <c r="J7329" i="1"/>
  <c r="I7329" i="1"/>
  <c r="H7329" i="1"/>
  <c r="G7329" i="1"/>
  <c r="M7328" i="1"/>
  <c r="L7328" i="1"/>
  <c r="K7328" i="1"/>
  <c r="J7328" i="1"/>
  <c r="I7328" i="1"/>
  <c r="H7328" i="1"/>
  <c r="G7328" i="1"/>
  <c r="M7327" i="1"/>
  <c r="L7327" i="1"/>
  <c r="K7327" i="1"/>
  <c r="J7327" i="1"/>
  <c r="I7327" i="1"/>
  <c r="H7327" i="1"/>
  <c r="G7327" i="1"/>
  <c r="M7326" i="1"/>
  <c r="L7326" i="1"/>
  <c r="K7326" i="1"/>
  <c r="J7326" i="1"/>
  <c r="I7326" i="1"/>
  <c r="H7326" i="1"/>
  <c r="G7326" i="1"/>
  <c r="M7325" i="1"/>
  <c r="L7325" i="1"/>
  <c r="K7325" i="1"/>
  <c r="J7325" i="1"/>
  <c r="I7325" i="1"/>
  <c r="H7325" i="1"/>
  <c r="G7325" i="1"/>
  <c r="M7324" i="1"/>
  <c r="L7324" i="1"/>
  <c r="K7324" i="1"/>
  <c r="J7324" i="1"/>
  <c r="I7324" i="1"/>
  <c r="H7324" i="1"/>
  <c r="G7324" i="1"/>
  <c r="M7323" i="1"/>
  <c r="L7323" i="1"/>
  <c r="K7323" i="1"/>
  <c r="J7323" i="1"/>
  <c r="I7323" i="1"/>
  <c r="H7323" i="1"/>
  <c r="G7323" i="1"/>
  <c r="M7322" i="1"/>
  <c r="L7322" i="1"/>
  <c r="K7322" i="1"/>
  <c r="J7322" i="1"/>
  <c r="I7322" i="1"/>
  <c r="H7322" i="1"/>
  <c r="G7322" i="1"/>
  <c r="M7321" i="1"/>
  <c r="L7321" i="1"/>
  <c r="K7321" i="1"/>
  <c r="J7321" i="1"/>
  <c r="I7321" i="1"/>
  <c r="H7321" i="1"/>
  <c r="G7321" i="1"/>
  <c r="M7320" i="1"/>
  <c r="L7320" i="1"/>
  <c r="K7320" i="1"/>
  <c r="J7320" i="1"/>
  <c r="I7320" i="1"/>
  <c r="H7320" i="1"/>
  <c r="G7320" i="1"/>
  <c r="M7319" i="1"/>
  <c r="L7319" i="1"/>
  <c r="K7319" i="1"/>
  <c r="J7319" i="1"/>
  <c r="I7319" i="1"/>
  <c r="H7319" i="1"/>
  <c r="G7319" i="1"/>
  <c r="M7318" i="1"/>
  <c r="L7318" i="1"/>
  <c r="K7318" i="1"/>
  <c r="J7318" i="1"/>
  <c r="I7318" i="1"/>
  <c r="H7318" i="1"/>
  <c r="G7318" i="1"/>
  <c r="M7317" i="1"/>
  <c r="L7317" i="1"/>
  <c r="K7317" i="1"/>
  <c r="J7317" i="1"/>
  <c r="I7317" i="1"/>
  <c r="H7317" i="1"/>
  <c r="G7317" i="1"/>
  <c r="M7316" i="1"/>
  <c r="L7316" i="1"/>
  <c r="K7316" i="1"/>
  <c r="J7316" i="1"/>
  <c r="I7316" i="1"/>
  <c r="H7316" i="1"/>
  <c r="G7316" i="1"/>
  <c r="M7315" i="1"/>
  <c r="L7315" i="1"/>
  <c r="K7315" i="1"/>
  <c r="J7315" i="1"/>
  <c r="I7315" i="1"/>
  <c r="H7315" i="1"/>
  <c r="G7315" i="1"/>
  <c r="M7314" i="1"/>
  <c r="L7314" i="1"/>
  <c r="K7314" i="1"/>
  <c r="J7314" i="1"/>
  <c r="I7314" i="1"/>
  <c r="H7314" i="1"/>
  <c r="G7314" i="1"/>
  <c r="M7313" i="1"/>
  <c r="L7313" i="1"/>
  <c r="K7313" i="1"/>
  <c r="J7313" i="1"/>
  <c r="I7313" i="1"/>
  <c r="H7313" i="1"/>
  <c r="G7313" i="1"/>
  <c r="M7312" i="1"/>
  <c r="L7312" i="1"/>
  <c r="K7312" i="1"/>
  <c r="J7312" i="1"/>
  <c r="I7312" i="1"/>
  <c r="H7312" i="1"/>
  <c r="G7312" i="1"/>
  <c r="M7311" i="1"/>
  <c r="L7311" i="1"/>
  <c r="K7311" i="1"/>
  <c r="J7311" i="1"/>
  <c r="I7311" i="1"/>
  <c r="H7311" i="1"/>
  <c r="G7311" i="1"/>
  <c r="M7310" i="1"/>
  <c r="L7310" i="1"/>
  <c r="K7310" i="1"/>
  <c r="J7310" i="1"/>
  <c r="I7310" i="1"/>
  <c r="H7310" i="1"/>
  <c r="G7310" i="1"/>
  <c r="M7309" i="1"/>
  <c r="L7309" i="1"/>
  <c r="K7309" i="1"/>
  <c r="J7309" i="1"/>
  <c r="I7309" i="1"/>
  <c r="H7309" i="1"/>
  <c r="G7309" i="1"/>
  <c r="M7308" i="1"/>
  <c r="L7308" i="1"/>
  <c r="K7308" i="1"/>
  <c r="J7308" i="1"/>
  <c r="I7308" i="1"/>
  <c r="H7308" i="1"/>
  <c r="G7308" i="1"/>
  <c r="M7307" i="1"/>
  <c r="L7307" i="1"/>
  <c r="K7307" i="1"/>
  <c r="J7307" i="1"/>
  <c r="I7307" i="1"/>
  <c r="H7307" i="1"/>
  <c r="G7307" i="1"/>
  <c r="M7306" i="1"/>
  <c r="L7306" i="1"/>
  <c r="K7306" i="1"/>
  <c r="J7306" i="1"/>
  <c r="I7306" i="1"/>
  <c r="H7306" i="1"/>
  <c r="G7306" i="1"/>
  <c r="M7305" i="1"/>
  <c r="L7305" i="1"/>
  <c r="K7305" i="1"/>
  <c r="J7305" i="1"/>
  <c r="I7305" i="1"/>
  <c r="H7305" i="1"/>
  <c r="G7305" i="1"/>
  <c r="M7304" i="1"/>
  <c r="L7304" i="1"/>
  <c r="K7304" i="1"/>
  <c r="J7304" i="1"/>
  <c r="I7304" i="1"/>
  <c r="H7304" i="1"/>
  <c r="G7304" i="1"/>
  <c r="M7303" i="1"/>
  <c r="L7303" i="1"/>
  <c r="K7303" i="1"/>
  <c r="J7303" i="1"/>
  <c r="I7303" i="1"/>
  <c r="H7303" i="1"/>
  <c r="G7303" i="1"/>
  <c r="M7302" i="1"/>
  <c r="L7302" i="1"/>
  <c r="K7302" i="1"/>
  <c r="J7302" i="1"/>
  <c r="I7302" i="1"/>
  <c r="H7302" i="1"/>
  <c r="G7302" i="1"/>
  <c r="M7301" i="1"/>
  <c r="L7301" i="1"/>
  <c r="K7301" i="1"/>
  <c r="J7301" i="1"/>
  <c r="I7301" i="1"/>
  <c r="H7301" i="1"/>
  <c r="G7301" i="1"/>
  <c r="M7300" i="1"/>
  <c r="L7300" i="1"/>
  <c r="K7300" i="1"/>
  <c r="J7300" i="1"/>
  <c r="I7300" i="1"/>
  <c r="H7300" i="1"/>
  <c r="G7300" i="1"/>
  <c r="M7299" i="1"/>
  <c r="L7299" i="1"/>
  <c r="K7299" i="1"/>
  <c r="J7299" i="1"/>
  <c r="I7299" i="1"/>
  <c r="H7299" i="1"/>
  <c r="G7299" i="1"/>
  <c r="M7298" i="1"/>
  <c r="L7298" i="1"/>
  <c r="K7298" i="1"/>
  <c r="J7298" i="1"/>
  <c r="I7298" i="1"/>
  <c r="H7298" i="1"/>
  <c r="G7298" i="1"/>
  <c r="M7297" i="1"/>
  <c r="L7297" i="1"/>
  <c r="K7297" i="1"/>
  <c r="J7297" i="1"/>
  <c r="I7297" i="1"/>
  <c r="H7297" i="1"/>
  <c r="G7297" i="1"/>
  <c r="M7296" i="1"/>
  <c r="L7296" i="1"/>
  <c r="K7296" i="1"/>
  <c r="J7296" i="1"/>
  <c r="I7296" i="1"/>
  <c r="H7296" i="1"/>
  <c r="G7296" i="1"/>
  <c r="M7295" i="1"/>
  <c r="L7295" i="1"/>
  <c r="K7295" i="1"/>
  <c r="J7295" i="1"/>
  <c r="I7295" i="1"/>
  <c r="H7295" i="1"/>
  <c r="G7295" i="1"/>
  <c r="M7294" i="1"/>
  <c r="L7294" i="1"/>
  <c r="K7294" i="1"/>
  <c r="J7294" i="1"/>
  <c r="I7294" i="1"/>
  <c r="H7294" i="1"/>
  <c r="G7294" i="1"/>
  <c r="M7293" i="1"/>
  <c r="L7293" i="1"/>
  <c r="K7293" i="1"/>
  <c r="J7293" i="1"/>
  <c r="I7293" i="1"/>
  <c r="H7293" i="1"/>
  <c r="G7293" i="1"/>
  <c r="M7292" i="1"/>
  <c r="L7292" i="1"/>
  <c r="K7292" i="1"/>
  <c r="J7292" i="1"/>
  <c r="I7292" i="1"/>
  <c r="H7292" i="1"/>
  <c r="G7292" i="1"/>
  <c r="M7291" i="1"/>
  <c r="L7291" i="1"/>
  <c r="K7291" i="1"/>
  <c r="J7291" i="1"/>
  <c r="I7291" i="1"/>
  <c r="H7291" i="1"/>
  <c r="G7291" i="1"/>
  <c r="M7290" i="1"/>
  <c r="L7290" i="1"/>
  <c r="K7290" i="1"/>
  <c r="J7290" i="1"/>
  <c r="I7290" i="1"/>
  <c r="H7290" i="1"/>
  <c r="G7290" i="1"/>
  <c r="M7289" i="1"/>
  <c r="L7289" i="1"/>
  <c r="K7289" i="1"/>
  <c r="J7289" i="1"/>
  <c r="I7289" i="1"/>
  <c r="H7289" i="1"/>
  <c r="G7289" i="1"/>
  <c r="M7288" i="1"/>
  <c r="L7288" i="1"/>
  <c r="K7288" i="1"/>
  <c r="J7288" i="1"/>
  <c r="I7288" i="1"/>
  <c r="H7288" i="1"/>
  <c r="G7288" i="1"/>
  <c r="M7287" i="1"/>
  <c r="L7287" i="1"/>
  <c r="K7287" i="1"/>
  <c r="J7287" i="1"/>
  <c r="I7287" i="1"/>
  <c r="H7287" i="1"/>
  <c r="G7287" i="1"/>
  <c r="M7286" i="1"/>
  <c r="L7286" i="1"/>
  <c r="K7286" i="1"/>
  <c r="J7286" i="1"/>
  <c r="I7286" i="1"/>
  <c r="H7286" i="1"/>
  <c r="G7286" i="1"/>
  <c r="M7285" i="1"/>
  <c r="L7285" i="1"/>
  <c r="K7285" i="1"/>
  <c r="J7285" i="1"/>
  <c r="I7285" i="1"/>
  <c r="H7285" i="1"/>
  <c r="G7285" i="1"/>
  <c r="M7284" i="1"/>
  <c r="L7284" i="1"/>
  <c r="K7284" i="1"/>
  <c r="J7284" i="1"/>
  <c r="I7284" i="1"/>
  <c r="H7284" i="1"/>
  <c r="G7284" i="1"/>
  <c r="M7283" i="1"/>
  <c r="L7283" i="1"/>
  <c r="K7283" i="1"/>
  <c r="J7283" i="1"/>
  <c r="I7283" i="1"/>
  <c r="H7283" i="1"/>
  <c r="G7283" i="1"/>
  <c r="M7282" i="1"/>
  <c r="L7282" i="1"/>
  <c r="K7282" i="1"/>
  <c r="J7282" i="1"/>
  <c r="I7282" i="1"/>
  <c r="H7282" i="1"/>
  <c r="G7282" i="1"/>
  <c r="M7281" i="1"/>
  <c r="L7281" i="1"/>
  <c r="K7281" i="1"/>
  <c r="J7281" i="1"/>
  <c r="I7281" i="1"/>
  <c r="H7281" i="1"/>
  <c r="G7281" i="1"/>
  <c r="M7280" i="1"/>
  <c r="L7280" i="1"/>
  <c r="K7280" i="1"/>
  <c r="J7280" i="1"/>
  <c r="I7280" i="1"/>
  <c r="H7280" i="1"/>
  <c r="G7280" i="1"/>
  <c r="M7279" i="1"/>
  <c r="L7279" i="1"/>
  <c r="K7279" i="1"/>
  <c r="J7279" i="1"/>
  <c r="I7279" i="1"/>
  <c r="H7279" i="1"/>
  <c r="G7279" i="1"/>
  <c r="M7278" i="1"/>
  <c r="L7278" i="1"/>
  <c r="K7278" i="1"/>
  <c r="J7278" i="1"/>
  <c r="I7278" i="1"/>
  <c r="H7278" i="1"/>
  <c r="G7278" i="1"/>
  <c r="M7277" i="1"/>
  <c r="L7277" i="1"/>
  <c r="K7277" i="1"/>
  <c r="J7277" i="1"/>
  <c r="I7277" i="1"/>
  <c r="H7277" i="1"/>
  <c r="G7277" i="1"/>
  <c r="M7276" i="1"/>
  <c r="L7276" i="1"/>
  <c r="K7276" i="1"/>
  <c r="J7276" i="1"/>
  <c r="I7276" i="1"/>
  <c r="H7276" i="1"/>
  <c r="G7276" i="1"/>
  <c r="M7275" i="1"/>
  <c r="L7275" i="1"/>
  <c r="K7275" i="1"/>
  <c r="J7275" i="1"/>
  <c r="I7275" i="1"/>
  <c r="H7275" i="1"/>
  <c r="G7275" i="1"/>
  <c r="M7274" i="1"/>
  <c r="L7274" i="1"/>
  <c r="K7274" i="1"/>
  <c r="J7274" i="1"/>
  <c r="I7274" i="1"/>
  <c r="H7274" i="1"/>
  <c r="G7274" i="1"/>
  <c r="M7273" i="1"/>
  <c r="L7273" i="1"/>
  <c r="K7273" i="1"/>
  <c r="J7273" i="1"/>
  <c r="I7273" i="1"/>
  <c r="H7273" i="1"/>
  <c r="G7273" i="1"/>
  <c r="M7272" i="1"/>
  <c r="L7272" i="1"/>
  <c r="K7272" i="1"/>
  <c r="J7272" i="1"/>
  <c r="I7272" i="1"/>
  <c r="H7272" i="1"/>
  <c r="G7272" i="1"/>
  <c r="M7271" i="1"/>
  <c r="L7271" i="1"/>
  <c r="K7271" i="1"/>
  <c r="J7271" i="1"/>
  <c r="I7271" i="1"/>
  <c r="H7271" i="1"/>
  <c r="G7271" i="1"/>
  <c r="M7270" i="1"/>
  <c r="L7270" i="1"/>
  <c r="K7270" i="1"/>
  <c r="J7270" i="1"/>
  <c r="I7270" i="1"/>
  <c r="H7270" i="1"/>
  <c r="G7270" i="1"/>
  <c r="M7269" i="1"/>
  <c r="L7269" i="1"/>
  <c r="K7269" i="1"/>
  <c r="J7269" i="1"/>
  <c r="I7269" i="1"/>
  <c r="H7269" i="1"/>
  <c r="G7269" i="1"/>
  <c r="M7268" i="1"/>
  <c r="L7268" i="1"/>
  <c r="K7268" i="1"/>
  <c r="J7268" i="1"/>
  <c r="I7268" i="1"/>
  <c r="H7268" i="1"/>
  <c r="G7268" i="1"/>
  <c r="M7267" i="1"/>
  <c r="L7267" i="1"/>
  <c r="K7267" i="1"/>
  <c r="J7267" i="1"/>
  <c r="I7267" i="1"/>
  <c r="H7267" i="1"/>
  <c r="G7267" i="1"/>
  <c r="M7266" i="1"/>
  <c r="L7266" i="1"/>
  <c r="K7266" i="1"/>
  <c r="J7266" i="1"/>
  <c r="I7266" i="1"/>
  <c r="H7266" i="1"/>
  <c r="G7266" i="1"/>
  <c r="M7265" i="1"/>
  <c r="L7265" i="1"/>
  <c r="K7265" i="1"/>
  <c r="J7265" i="1"/>
  <c r="I7265" i="1"/>
  <c r="H7265" i="1"/>
  <c r="G7265" i="1"/>
  <c r="M7264" i="1"/>
  <c r="L7264" i="1"/>
  <c r="K7264" i="1"/>
  <c r="J7264" i="1"/>
  <c r="I7264" i="1"/>
  <c r="H7264" i="1"/>
  <c r="G7264" i="1"/>
  <c r="M7263" i="1"/>
  <c r="L7263" i="1"/>
  <c r="K7263" i="1"/>
  <c r="J7263" i="1"/>
  <c r="I7263" i="1"/>
  <c r="H7263" i="1"/>
  <c r="G7263" i="1"/>
  <c r="M7262" i="1"/>
  <c r="L7262" i="1"/>
  <c r="K7262" i="1"/>
  <c r="J7262" i="1"/>
  <c r="I7262" i="1"/>
  <c r="H7262" i="1"/>
  <c r="G7262" i="1"/>
  <c r="M7261" i="1"/>
  <c r="L7261" i="1"/>
  <c r="K7261" i="1"/>
  <c r="J7261" i="1"/>
  <c r="I7261" i="1"/>
  <c r="H7261" i="1"/>
  <c r="G7261" i="1"/>
  <c r="M7260" i="1"/>
  <c r="L7260" i="1"/>
  <c r="K7260" i="1"/>
  <c r="J7260" i="1"/>
  <c r="I7260" i="1"/>
  <c r="H7260" i="1"/>
  <c r="G7260" i="1"/>
  <c r="M7259" i="1"/>
  <c r="L7259" i="1"/>
  <c r="K7259" i="1"/>
  <c r="J7259" i="1"/>
  <c r="I7259" i="1"/>
  <c r="H7259" i="1"/>
  <c r="G7259" i="1"/>
  <c r="M7258" i="1"/>
  <c r="L7258" i="1"/>
  <c r="K7258" i="1"/>
  <c r="J7258" i="1"/>
  <c r="I7258" i="1"/>
  <c r="H7258" i="1"/>
  <c r="G7258" i="1"/>
  <c r="M7257" i="1"/>
  <c r="L7257" i="1"/>
  <c r="K7257" i="1"/>
  <c r="J7257" i="1"/>
  <c r="I7257" i="1"/>
  <c r="H7257" i="1"/>
  <c r="G7257" i="1"/>
  <c r="M7256" i="1"/>
  <c r="L7256" i="1"/>
  <c r="K7256" i="1"/>
  <c r="J7256" i="1"/>
  <c r="I7256" i="1"/>
  <c r="H7256" i="1"/>
  <c r="G7256" i="1"/>
  <c r="M7255" i="1"/>
  <c r="L7255" i="1"/>
  <c r="K7255" i="1"/>
  <c r="J7255" i="1"/>
  <c r="I7255" i="1"/>
  <c r="H7255" i="1"/>
  <c r="G7255" i="1"/>
  <c r="M7254" i="1"/>
  <c r="L7254" i="1"/>
  <c r="K7254" i="1"/>
  <c r="J7254" i="1"/>
  <c r="I7254" i="1"/>
  <c r="H7254" i="1"/>
  <c r="G7254" i="1"/>
  <c r="M7253" i="1"/>
  <c r="L7253" i="1"/>
  <c r="K7253" i="1"/>
  <c r="J7253" i="1"/>
  <c r="I7253" i="1"/>
  <c r="H7253" i="1"/>
  <c r="G7253" i="1"/>
  <c r="M7252" i="1"/>
  <c r="L7252" i="1"/>
  <c r="K7252" i="1"/>
  <c r="J7252" i="1"/>
  <c r="I7252" i="1"/>
  <c r="H7252" i="1"/>
  <c r="G7252" i="1"/>
  <c r="M7251" i="1"/>
  <c r="L7251" i="1"/>
  <c r="K7251" i="1"/>
  <c r="J7251" i="1"/>
  <c r="I7251" i="1"/>
  <c r="H7251" i="1"/>
  <c r="G7251" i="1"/>
  <c r="M7250" i="1"/>
  <c r="L7250" i="1"/>
  <c r="K7250" i="1"/>
  <c r="J7250" i="1"/>
  <c r="I7250" i="1"/>
  <c r="H7250" i="1"/>
  <c r="G7250" i="1"/>
  <c r="M7249" i="1"/>
  <c r="L7249" i="1"/>
  <c r="K7249" i="1"/>
  <c r="J7249" i="1"/>
  <c r="I7249" i="1"/>
  <c r="H7249" i="1"/>
  <c r="G7249" i="1"/>
  <c r="M7248" i="1"/>
  <c r="L7248" i="1"/>
  <c r="K7248" i="1"/>
  <c r="J7248" i="1"/>
  <c r="I7248" i="1"/>
  <c r="H7248" i="1"/>
  <c r="G7248" i="1"/>
  <c r="M7247" i="1"/>
  <c r="L7247" i="1"/>
  <c r="K7247" i="1"/>
  <c r="J7247" i="1"/>
  <c r="I7247" i="1"/>
  <c r="H7247" i="1"/>
  <c r="G7247" i="1"/>
  <c r="M7246" i="1"/>
  <c r="L7246" i="1"/>
  <c r="K7246" i="1"/>
  <c r="J7246" i="1"/>
  <c r="I7246" i="1"/>
  <c r="H7246" i="1"/>
  <c r="G7246" i="1"/>
  <c r="M7245" i="1"/>
  <c r="L7245" i="1"/>
  <c r="K7245" i="1"/>
  <c r="J7245" i="1"/>
  <c r="I7245" i="1"/>
  <c r="H7245" i="1"/>
  <c r="G7245" i="1"/>
  <c r="M7244" i="1"/>
  <c r="L7244" i="1"/>
  <c r="K7244" i="1"/>
  <c r="J7244" i="1"/>
  <c r="I7244" i="1"/>
  <c r="H7244" i="1"/>
  <c r="G7244" i="1"/>
  <c r="M7243" i="1"/>
  <c r="L7243" i="1"/>
  <c r="K7243" i="1"/>
  <c r="J7243" i="1"/>
  <c r="I7243" i="1"/>
  <c r="H7243" i="1"/>
  <c r="G7243" i="1"/>
  <c r="M7242" i="1"/>
  <c r="L7242" i="1"/>
  <c r="K7242" i="1"/>
  <c r="J7242" i="1"/>
  <c r="I7242" i="1"/>
  <c r="H7242" i="1"/>
  <c r="G7242" i="1"/>
  <c r="M7241" i="1"/>
  <c r="L7241" i="1"/>
  <c r="K7241" i="1"/>
  <c r="J7241" i="1"/>
  <c r="I7241" i="1"/>
  <c r="H7241" i="1"/>
  <c r="G7241" i="1"/>
  <c r="M7240" i="1"/>
  <c r="L7240" i="1"/>
  <c r="K7240" i="1"/>
  <c r="J7240" i="1"/>
  <c r="I7240" i="1"/>
  <c r="H7240" i="1"/>
  <c r="G7240" i="1"/>
  <c r="M7239" i="1"/>
  <c r="L7239" i="1"/>
  <c r="K7239" i="1"/>
  <c r="J7239" i="1"/>
  <c r="I7239" i="1"/>
  <c r="H7239" i="1"/>
  <c r="G7239" i="1"/>
  <c r="M7238" i="1"/>
  <c r="L7238" i="1"/>
  <c r="K7238" i="1"/>
  <c r="J7238" i="1"/>
  <c r="I7238" i="1"/>
  <c r="H7238" i="1"/>
  <c r="G7238" i="1"/>
  <c r="M7237" i="1"/>
  <c r="L7237" i="1"/>
  <c r="K7237" i="1"/>
  <c r="J7237" i="1"/>
  <c r="I7237" i="1"/>
  <c r="H7237" i="1"/>
  <c r="G7237" i="1"/>
  <c r="M7236" i="1"/>
  <c r="L7236" i="1"/>
  <c r="K7236" i="1"/>
  <c r="J7236" i="1"/>
  <c r="I7236" i="1"/>
  <c r="H7236" i="1"/>
  <c r="G7236" i="1"/>
  <c r="M7235" i="1"/>
  <c r="L7235" i="1"/>
  <c r="K7235" i="1"/>
  <c r="J7235" i="1"/>
  <c r="I7235" i="1"/>
  <c r="H7235" i="1"/>
  <c r="G7235" i="1"/>
  <c r="M7234" i="1"/>
  <c r="L7234" i="1"/>
  <c r="K7234" i="1"/>
  <c r="J7234" i="1"/>
  <c r="I7234" i="1"/>
  <c r="H7234" i="1"/>
  <c r="G7234" i="1"/>
  <c r="M7233" i="1"/>
  <c r="L7233" i="1"/>
  <c r="K7233" i="1"/>
  <c r="J7233" i="1"/>
  <c r="I7233" i="1"/>
  <c r="H7233" i="1"/>
  <c r="G7233" i="1"/>
  <c r="M7232" i="1"/>
  <c r="L7232" i="1"/>
  <c r="K7232" i="1"/>
  <c r="J7232" i="1"/>
  <c r="I7232" i="1"/>
  <c r="H7232" i="1"/>
  <c r="G7232" i="1"/>
  <c r="M7231" i="1"/>
  <c r="L7231" i="1"/>
  <c r="K7231" i="1"/>
  <c r="J7231" i="1"/>
  <c r="I7231" i="1"/>
  <c r="H7231" i="1"/>
  <c r="G7231" i="1"/>
  <c r="M7230" i="1"/>
  <c r="L7230" i="1"/>
  <c r="K7230" i="1"/>
  <c r="J7230" i="1"/>
  <c r="I7230" i="1"/>
  <c r="H7230" i="1"/>
  <c r="G7230" i="1"/>
  <c r="M7229" i="1"/>
  <c r="L7229" i="1"/>
  <c r="K7229" i="1"/>
  <c r="J7229" i="1"/>
  <c r="I7229" i="1"/>
  <c r="H7229" i="1"/>
  <c r="G7229" i="1"/>
  <c r="M7228" i="1"/>
  <c r="L7228" i="1"/>
  <c r="K7228" i="1"/>
  <c r="J7228" i="1"/>
  <c r="I7228" i="1"/>
  <c r="H7228" i="1"/>
  <c r="G7228" i="1"/>
  <c r="M7227" i="1"/>
  <c r="L7227" i="1"/>
  <c r="K7227" i="1"/>
  <c r="J7227" i="1"/>
  <c r="I7227" i="1"/>
  <c r="H7227" i="1"/>
  <c r="G7227" i="1"/>
  <c r="M7226" i="1"/>
  <c r="L7226" i="1"/>
  <c r="K7226" i="1"/>
  <c r="J7226" i="1"/>
  <c r="I7226" i="1"/>
  <c r="H7226" i="1"/>
  <c r="G7226" i="1"/>
  <c r="M7225" i="1"/>
  <c r="L7225" i="1"/>
  <c r="K7225" i="1"/>
  <c r="J7225" i="1"/>
  <c r="I7225" i="1"/>
  <c r="H7225" i="1"/>
  <c r="G7225" i="1"/>
  <c r="M7224" i="1"/>
  <c r="L7224" i="1"/>
  <c r="K7224" i="1"/>
  <c r="J7224" i="1"/>
  <c r="I7224" i="1"/>
  <c r="H7224" i="1"/>
  <c r="G7224" i="1"/>
  <c r="M7223" i="1"/>
  <c r="L7223" i="1"/>
  <c r="K7223" i="1"/>
  <c r="J7223" i="1"/>
  <c r="I7223" i="1"/>
  <c r="H7223" i="1"/>
  <c r="G7223" i="1"/>
  <c r="M7222" i="1"/>
  <c r="L7222" i="1"/>
  <c r="K7222" i="1"/>
  <c r="J7222" i="1"/>
  <c r="I7222" i="1"/>
  <c r="H7222" i="1"/>
  <c r="G7222" i="1"/>
  <c r="M7221" i="1"/>
  <c r="L7221" i="1"/>
  <c r="K7221" i="1"/>
  <c r="J7221" i="1"/>
  <c r="I7221" i="1"/>
  <c r="H7221" i="1"/>
  <c r="G7221" i="1"/>
  <c r="M7220" i="1"/>
  <c r="L7220" i="1"/>
  <c r="K7220" i="1"/>
  <c r="J7220" i="1"/>
  <c r="I7220" i="1"/>
  <c r="H7220" i="1"/>
  <c r="G7220" i="1"/>
  <c r="M7219" i="1"/>
  <c r="L7219" i="1"/>
  <c r="K7219" i="1"/>
  <c r="J7219" i="1"/>
  <c r="I7219" i="1"/>
  <c r="H7219" i="1"/>
  <c r="G7219" i="1"/>
  <c r="M7218" i="1"/>
  <c r="L7218" i="1"/>
  <c r="K7218" i="1"/>
  <c r="J7218" i="1"/>
  <c r="I7218" i="1"/>
  <c r="H7218" i="1"/>
  <c r="G7218" i="1"/>
  <c r="M7217" i="1"/>
  <c r="L7217" i="1"/>
  <c r="K7217" i="1"/>
  <c r="J7217" i="1"/>
  <c r="I7217" i="1"/>
  <c r="H7217" i="1"/>
  <c r="G7217" i="1"/>
  <c r="M7216" i="1"/>
  <c r="L7216" i="1"/>
  <c r="K7216" i="1"/>
  <c r="J7216" i="1"/>
  <c r="I7216" i="1"/>
  <c r="H7216" i="1"/>
  <c r="G7216" i="1"/>
  <c r="M7215" i="1"/>
  <c r="L7215" i="1"/>
  <c r="K7215" i="1"/>
  <c r="J7215" i="1"/>
  <c r="I7215" i="1"/>
  <c r="H7215" i="1"/>
  <c r="G7215" i="1"/>
  <c r="M7214" i="1"/>
  <c r="L7214" i="1"/>
  <c r="K7214" i="1"/>
  <c r="J7214" i="1"/>
  <c r="I7214" i="1"/>
  <c r="H7214" i="1"/>
  <c r="G7214" i="1"/>
  <c r="M7213" i="1"/>
  <c r="L7213" i="1"/>
  <c r="K7213" i="1"/>
  <c r="J7213" i="1"/>
  <c r="I7213" i="1"/>
  <c r="H7213" i="1"/>
  <c r="G7213" i="1"/>
  <c r="M7212" i="1"/>
  <c r="L7212" i="1"/>
  <c r="K7212" i="1"/>
  <c r="J7212" i="1"/>
  <c r="I7212" i="1"/>
  <c r="H7212" i="1"/>
  <c r="G7212" i="1"/>
  <c r="M7211" i="1"/>
  <c r="L7211" i="1"/>
  <c r="K7211" i="1"/>
  <c r="J7211" i="1"/>
  <c r="I7211" i="1"/>
  <c r="H7211" i="1"/>
  <c r="G7211" i="1"/>
  <c r="M7210" i="1"/>
  <c r="L7210" i="1"/>
  <c r="K7210" i="1"/>
  <c r="J7210" i="1"/>
  <c r="I7210" i="1"/>
  <c r="H7210" i="1"/>
  <c r="G7210" i="1"/>
  <c r="M7209" i="1"/>
  <c r="L7209" i="1"/>
  <c r="K7209" i="1"/>
  <c r="J7209" i="1"/>
  <c r="I7209" i="1"/>
  <c r="H7209" i="1"/>
  <c r="G7209" i="1"/>
  <c r="M7208" i="1"/>
  <c r="L7208" i="1"/>
  <c r="K7208" i="1"/>
  <c r="J7208" i="1"/>
  <c r="I7208" i="1"/>
  <c r="H7208" i="1"/>
  <c r="G7208" i="1"/>
  <c r="M7207" i="1"/>
  <c r="L7207" i="1"/>
  <c r="K7207" i="1"/>
  <c r="J7207" i="1"/>
  <c r="I7207" i="1"/>
  <c r="H7207" i="1"/>
  <c r="G7207" i="1"/>
  <c r="M7206" i="1"/>
  <c r="L7206" i="1"/>
  <c r="K7206" i="1"/>
  <c r="J7206" i="1"/>
  <c r="I7206" i="1"/>
  <c r="H7206" i="1"/>
  <c r="G7206" i="1"/>
  <c r="M7205" i="1"/>
  <c r="L7205" i="1"/>
  <c r="K7205" i="1"/>
  <c r="J7205" i="1"/>
  <c r="I7205" i="1"/>
  <c r="H7205" i="1"/>
  <c r="G7205" i="1"/>
  <c r="M7204" i="1"/>
  <c r="L7204" i="1"/>
  <c r="K7204" i="1"/>
  <c r="J7204" i="1"/>
  <c r="I7204" i="1"/>
  <c r="H7204" i="1"/>
  <c r="G7204" i="1"/>
  <c r="M7203" i="1"/>
  <c r="L7203" i="1"/>
  <c r="K7203" i="1"/>
  <c r="J7203" i="1"/>
  <c r="I7203" i="1"/>
  <c r="H7203" i="1"/>
  <c r="G7203" i="1"/>
  <c r="M7202" i="1"/>
  <c r="L7202" i="1"/>
  <c r="K7202" i="1"/>
  <c r="J7202" i="1"/>
  <c r="I7202" i="1"/>
  <c r="H7202" i="1"/>
  <c r="G7202" i="1"/>
  <c r="M7201" i="1"/>
  <c r="L7201" i="1"/>
  <c r="K7201" i="1"/>
  <c r="J7201" i="1"/>
  <c r="I7201" i="1"/>
  <c r="H7201" i="1"/>
  <c r="G7201" i="1"/>
  <c r="M7200" i="1"/>
  <c r="L7200" i="1"/>
  <c r="K7200" i="1"/>
  <c r="J7200" i="1"/>
  <c r="I7200" i="1"/>
  <c r="H7200" i="1"/>
  <c r="G7200" i="1"/>
  <c r="M7199" i="1"/>
  <c r="L7199" i="1"/>
  <c r="K7199" i="1"/>
  <c r="J7199" i="1"/>
  <c r="I7199" i="1"/>
  <c r="H7199" i="1"/>
  <c r="G7199" i="1"/>
  <c r="M7198" i="1"/>
  <c r="L7198" i="1"/>
  <c r="K7198" i="1"/>
  <c r="J7198" i="1"/>
  <c r="I7198" i="1"/>
  <c r="H7198" i="1"/>
  <c r="G7198" i="1"/>
  <c r="M7197" i="1"/>
  <c r="L7197" i="1"/>
  <c r="K7197" i="1"/>
  <c r="J7197" i="1"/>
  <c r="I7197" i="1"/>
  <c r="H7197" i="1"/>
  <c r="G7197" i="1"/>
  <c r="M7196" i="1"/>
  <c r="L7196" i="1"/>
  <c r="K7196" i="1"/>
  <c r="J7196" i="1"/>
  <c r="I7196" i="1"/>
  <c r="H7196" i="1"/>
  <c r="G7196" i="1"/>
  <c r="M7195" i="1"/>
  <c r="L7195" i="1"/>
  <c r="K7195" i="1"/>
  <c r="J7195" i="1"/>
  <c r="I7195" i="1"/>
  <c r="H7195" i="1"/>
  <c r="G7195" i="1"/>
  <c r="M7194" i="1"/>
  <c r="L7194" i="1"/>
  <c r="K7194" i="1"/>
  <c r="J7194" i="1"/>
  <c r="I7194" i="1"/>
  <c r="H7194" i="1"/>
  <c r="G7194" i="1"/>
  <c r="M7193" i="1"/>
  <c r="L7193" i="1"/>
  <c r="K7193" i="1"/>
  <c r="J7193" i="1"/>
  <c r="I7193" i="1"/>
  <c r="H7193" i="1"/>
  <c r="G7193" i="1"/>
  <c r="M7192" i="1"/>
  <c r="L7192" i="1"/>
  <c r="K7192" i="1"/>
  <c r="J7192" i="1"/>
  <c r="I7192" i="1"/>
  <c r="H7192" i="1"/>
  <c r="G7192" i="1"/>
  <c r="M7191" i="1"/>
  <c r="L7191" i="1"/>
  <c r="K7191" i="1"/>
  <c r="J7191" i="1"/>
  <c r="I7191" i="1"/>
  <c r="H7191" i="1"/>
  <c r="G7191" i="1"/>
  <c r="M7190" i="1"/>
  <c r="L7190" i="1"/>
  <c r="K7190" i="1"/>
  <c r="J7190" i="1"/>
  <c r="I7190" i="1"/>
  <c r="H7190" i="1"/>
  <c r="G7190" i="1"/>
  <c r="M7189" i="1"/>
  <c r="L7189" i="1"/>
  <c r="K7189" i="1"/>
  <c r="J7189" i="1"/>
  <c r="I7189" i="1"/>
  <c r="H7189" i="1"/>
  <c r="G7189" i="1"/>
  <c r="M7188" i="1"/>
  <c r="L7188" i="1"/>
  <c r="K7188" i="1"/>
  <c r="J7188" i="1"/>
  <c r="I7188" i="1"/>
  <c r="H7188" i="1"/>
  <c r="G7188" i="1"/>
  <c r="M7187" i="1"/>
  <c r="L7187" i="1"/>
  <c r="K7187" i="1"/>
  <c r="J7187" i="1"/>
  <c r="I7187" i="1"/>
  <c r="H7187" i="1"/>
  <c r="G7187" i="1"/>
  <c r="M7186" i="1"/>
  <c r="L7186" i="1"/>
  <c r="K7186" i="1"/>
  <c r="J7186" i="1"/>
  <c r="I7186" i="1"/>
  <c r="H7186" i="1"/>
  <c r="G7186" i="1"/>
  <c r="M7185" i="1"/>
  <c r="L7185" i="1"/>
  <c r="K7185" i="1"/>
  <c r="J7185" i="1"/>
  <c r="I7185" i="1"/>
  <c r="H7185" i="1"/>
  <c r="G7185" i="1"/>
  <c r="M7184" i="1"/>
  <c r="L7184" i="1"/>
  <c r="K7184" i="1"/>
  <c r="J7184" i="1"/>
  <c r="I7184" i="1"/>
  <c r="H7184" i="1"/>
  <c r="G7184" i="1"/>
  <c r="M7183" i="1"/>
  <c r="L7183" i="1"/>
  <c r="K7183" i="1"/>
  <c r="J7183" i="1"/>
  <c r="I7183" i="1"/>
  <c r="H7183" i="1"/>
  <c r="G7183" i="1"/>
  <c r="M7182" i="1"/>
  <c r="L7182" i="1"/>
  <c r="K7182" i="1"/>
  <c r="J7182" i="1"/>
  <c r="I7182" i="1"/>
  <c r="H7182" i="1"/>
  <c r="G7182" i="1"/>
  <c r="M7181" i="1"/>
  <c r="L7181" i="1"/>
  <c r="K7181" i="1"/>
  <c r="J7181" i="1"/>
  <c r="I7181" i="1"/>
  <c r="H7181" i="1"/>
  <c r="G7181" i="1"/>
  <c r="M7180" i="1"/>
  <c r="L7180" i="1"/>
  <c r="K7180" i="1"/>
  <c r="J7180" i="1"/>
  <c r="I7180" i="1"/>
  <c r="H7180" i="1"/>
  <c r="G7180" i="1"/>
  <c r="M7179" i="1"/>
  <c r="L7179" i="1"/>
  <c r="K7179" i="1"/>
  <c r="J7179" i="1"/>
  <c r="I7179" i="1"/>
  <c r="H7179" i="1"/>
  <c r="G7179" i="1"/>
  <c r="M7178" i="1"/>
  <c r="L7178" i="1"/>
  <c r="K7178" i="1"/>
  <c r="J7178" i="1"/>
  <c r="I7178" i="1"/>
  <c r="H7178" i="1"/>
  <c r="G7178" i="1"/>
  <c r="M7177" i="1"/>
  <c r="L7177" i="1"/>
  <c r="K7177" i="1"/>
  <c r="J7177" i="1"/>
  <c r="I7177" i="1"/>
  <c r="H7177" i="1"/>
  <c r="G7177" i="1"/>
  <c r="M7176" i="1"/>
  <c r="L7176" i="1"/>
  <c r="K7176" i="1"/>
  <c r="J7176" i="1"/>
  <c r="I7176" i="1"/>
  <c r="H7176" i="1"/>
  <c r="G7176" i="1"/>
  <c r="M7175" i="1"/>
  <c r="L7175" i="1"/>
  <c r="K7175" i="1"/>
  <c r="J7175" i="1"/>
  <c r="I7175" i="1"/>
  <c r="H7175" i="1"/>
  <c r="G7175" i="1"/>
  <c r="M7174" i="1"/>
  <c r="L7174" i="1"/>
  <c r="K7174" i="1"/>
  <c r="J7174" i="1"/>
  <c r="I7174" i="1"/>
  <c r="H7174" i="1"/>
  <c r="G7174" i="1"/>
  <c r="M7173" i="1"/>
  <c r="L7173" i="1"/>
  <c r="K7173" i="1"/>
  <c r="J7173" i="1"/>
  <c r="I7173" i="1"/>
  <c r="H7173" i="1"/>
  <c r="G7173" i="1"/>
  <c r="M7172" i="1"/>
  <c r="L7172" i="1"/>
  <c r="K7172" i="1"/>
  <c r="J7172" i="1"/>
  <c r="I7172" i="1"/>
  <c r="H7172" i="1"/>
  <c r="G7172" i="1"/>
  <c r="M7171" i="1"/>
  <c r="L7171" i="1"/>
  <c r="K7171" i="1"/>
  <c r="J7171" i="1"/>
  <c r="I7171" i="1"/>
  <c r="H7171" i="1"/>
  <c r="G7171" i="1"/>
  <c r="M7170" i="1"/>
  <c r="L7170" i="1"/>
  <c r="K7170" i="1"/>
  <c r="J7170" i="1"/>
  <c r="I7170" i="1"/>
  <c r="H7170" i="1"/>
  <c r="G7170" i="1"/>
  <c r="M7169" i="1"/>
  <c r="L7169" i="1"/>
  <c r="K7169" i="1"/>
  <c r="J7169" i="1"/>
  <c r="I7169" i="1"/>
  <c r="H7169" i="1"/>
  <c r="G7169" i="1"/>
  <c r="M7168" i="1"/>
  <c r="L7168" i="1"/>
  <c r="K7168" i="1"/>
  <c r="J7168" i="1"/>
  <c r="I7168" i="1"/>
  <c r="H7168" i="1"/>
  <c r="G7168" i="1"/>
  <c r="M7167" i="1"/>
  <c r="L7167" i="1"/>
  <c r="K7167" i="1"/>
  <c r="J7167" i="1"/>
  <c r="I7167" i="1"/>
  <c r="H7167" i="1"/>
  <c r="G7167" i="1"/>
  <c r="M7166" i="1"/>
  <c r="L7166" i="1"/>
  <c r="K7166" i="1"/>
  <c r="J7166" i="1"/>
  <c r="I7166" i="1"/>
  <c r="H7166" i="1"/>
  <c r="G7166" i="1"/>
  <c r="M7165" i="1"/>
  <c r="L7165" i="1"/>
  <c r="K7165" i="1"/>
  <c r="J7165" i="1"/>
  <c r="I7165" i="1"/>
  <c r="H7165" i="1"/>
  <c r="G7165" i="1"/>
  <c r="M7164" i="1"/>
  <c r="L7164" i="1"/>
  <c r="K7164" i="1"/>
  <c r="J7164" i="1"/>
  <c r="I7164" i="1"/>
  <c r="H7164" i="1"/>
  <c r="G7164" i="1"/>
  <c r="M7163" i="1"/>
  <c r="L7163" i="1"/>
  <c r="K7163" i="1"/>
  <c r="J7163" i="1"/>
  <c r="I7163" i="1"/>
  <c r="H7163" i="1"/>
  <c r="G7163" i="1"/>
  <c r="M7162" i="1"/>
  <c r="L7162" i="1"/>
  <c r="K7162" i="1"/>
  <c r="J7162" i="1"/>
  <c r="I7162" i="1"/>
  <c r="H7162" i="1"/>
  <c r="G7162" i="1"/>
  <c r="M7161" i="1"/>
  <c r="L7161" i="1"/>
  <c r="K7161" i="1"/>
  <c r="J7161" i="1"/>
  <c r="I7161" i="1"/>
  <c r="H7161" i="1"/>
  <c r="G7161" i="1"/>
  <c r="M7160" i="1"/>
  <c r="L7160" i="1"/>
  <c r="K7160" i="1"/>
  <c r="J7160" i="1"/>
  <c r="I7160" i="1"/>
  <c r="H7160" i="1"/>
  <c r="G7160" i="1"/>
  <c r="M7159" i="1"/>
  <c r="L7159" i="1"/>
  <c r="K7159" i="1"/>
  <c r="J7159" i="1"/>
  <c r="I7159" i="1"/>
  <c r="H7159" i="1"/>
  <c r="G7159" i="1"/>
  <c r="M7158" i="1"/>
  <c r="L7158" i="1"/>
  <c r="K7158" i="1"/>
  <c r="J7158" i="1"/>
  <c r="I7158" i="1"/>
  <c r="H7158" i="1"/>
  <c r="G7158" i="1"/>
  <c r="M7157" i="1"/>
  <c r="L7157" i="1"/>
  <c r="K7157" i="1"/>
  <c r="J7157" i="1"/>
  <c r="I7157" i="1"/>
  <c r="H7157" i="1"/>
  <c r="G7157" i="1"/>
  <c r="M7156" i="1"/>
  <c r="L7156" i="1"/>
  <c r="K7156" i="1"/>
  <c r="J7156" i="1"/>
  <c r="I7156" i="1"/>
  <c r="H7156" i="1"/>
  <c r="G7156" i="1"/>
  <c r="M7155" i="1"/>
  <c r="L7155" i="1"/>
  <c r="K7155" i="1"/>
  <c r="J7155" i="1"/>
  <c r="I7155" i="1"/>
  <c r="H7155" i="1"/>
  <c r="G7155" i="1"/>
  <c r="M7154" i="1"/>
  <c r="L7154" i="1"/>
  <c r="K7154" i="1"/>
  <c r="J7154" i="1"/>
  <c r="I7154" i="1"/>
  <c r="H7154" i="1"/>
  <c r="G7154" i="1"/>
  <c r="M7153" i="1"/>
  <c r="L7153" i="1"/>
  <c r="K7153" i="1"/>
  <c r="J7153" i="1"/>
  <c r="I7153" i="1"/>
  <c r="H7153" i="1"/>
  <c r="G7153" i="1"/>
  <c r="M7152" i="1"/>
  <c r="L7152" i="1"/>
  <c r="K7152" i="1"/>
  <c r="J7152" i="1"/>
  <c r="I7152" i="1"/>
  <c r="H7152" i="1"/>
  <c r="G7152" i="1"/>
  <c r="M7151" i="1"/>
  <c r="L7151" i="1"/>
  <c r="K7151" i="1"/>
  <c r="J7151" i="1"/>
  <c r="I7151" i="1"/>
  <c r="H7151" i="1"/>
  <c r="G7151" i="1"/>
  <c r="M7150" i="1"/>
  <c r="L7150" i="1"/>
  <c r="K7150" i="1"/>
  <c r="J7150" i="1"/>
  <c r="I7150" i="1"/>
  <c r="H7150" i="1"/>
  <c r="G7150" i="1"/>
  <c r="M7149" i="1"/>
  <c r="L7149" i="1"/>
  <c r="K7149" i="1"/>
  <c r="J7149" i="1"/>
  <c r="I7149" i="1"/>
  <c r="H7149" i="1"/>
  <c r="G7149" i="1"/>
  <c r="M7148" i="1"/>
  <c r="L7148" i="1"/>
  <c r="K7148" i="1"/>
  <c r="J7148" i="1"/>
  <c r="I7148" i="1"/>
  <c r="H7148" i="1"/>
  <c r="G7148" i="1"/>
  <c r="M7147" i="1"/>
  <c r="L7147" i="1"/>
  <c r="K7147" i="1"/>
  <c r="J7147" i="1"/>
  <c r="I7147" i="1"/>
  <c r="H7147" i="1"/>
  <c r="G7147" i="1"/>
  <c r="M7146" i="1"/>
  <c r="L7146" i="1"/>
  <c r="K7146" i="1"/>
  <c r="J7146" i="1"/>
  <c r="I7146" i="1"/>
  <c r="H7146" i="1"/>
  <c r="G7146" i="1"/>
  <c r="M7145" i="1"/>
  <c r="L7145" i="1"/>
  <c r="K7145" i="1"/>
  <c r="J7145" i="1"/>
  <c r="I7145" i="1"/>
  <c r="H7145" i="1"/>
  <c r="G7145" i="1"/>
  <c r="M7144" i="1"/>
  <c r="L7144" i="1"/>
  <c r="K7144" i="1"/>
  <c r="J7144" i="1"/>
  <c r="I7144" i="1"/>
  <c r="H7144" i="1"/>
  <c r="G7144" i="1"/>
  <c r="M7143" i="1"/>
  <c r="L7143" i="1"/>
  <c r="K7143" i="1"/>
  <c r="J7143" i="1"/>
  <c r="I7143" i="1"/>
  <c r="H7143" i="1"/>
  <c r="G7143" i="1"/>
  <c r="M7142" i="1"/>
  <c r="L7142" i="1"/>
  <c r="K7142" i="1"/>
  <c r="J7142" i="1"/>
  <c r="I7142" i="1"/>
  <c r="H7142" i="1"/>
  <c r="G7142" i="1"/>
  <c r="M7141" i="1"/>
  <c r="L7141" i="1"/>
  <c r="K7141" i="1"/>
  <c r="J7141" i="1"/>
  <c r="I7141" i="1"/>
  <c r="H7141" i="1"/>
  <c r="G7141" i="1"/>
  <c r="M7140" i="1"/>
  <c r="L7140" i="1"/>
  <c r="K7140" i="1"/>
  <c r="J7140" i="1"/>
  <c r="I7140" i="1"/>
  <c r="H7140" i="1"/>
  <c r="G7140" i="1"/>
  <c r="M7139" i="1"/>
  <c r="L7139" i="1"/>
  <c r="K7139" i="1"/>
  <c r="J7139" i="1"/>
  <c r="I7139" i="1"/>
  <c r="H7139" i="1"/>
  <c r="G7139" i="1"/>
  <c r="M7138" i="1"/>
  <c r="L7138" i="1"/>
  <c r="K7138" i="1"/>
  <c r="J7138" i="1"/>
  <c r="I7138" i="1"/>
  <c r="H7138" i="1"/>
  <c r="G7138" i="1"/>
  <c r="M7137" i="1"/>
  <c r="L7137" i="1"/>
  <c r="K7137" i="1"/>
  <c r="J7137" i="1"/>
  <c r="I7137" i="1"/>
  <c r="H7137" i="1"/>
  <c r="G7137" i="1"/>
  <c r="M7136" i="1"/>
  <c r="L7136" i="1"/>
  <c r="K7136" i="1"/>
  <c r="J7136" i="1"/>
  <c r="I7136" i="1"/>
  <c r="H7136" i="1"/>
  <c r="G7136" i="1"/>
  <c r="M7135" i="1"/>
  <c r="L7135" i="1"/>
  <c r="K7135" i="1"/>
  <c r="J7135" i="1"/>
  <c r="I7135" i="1"/>
  <c r="H7135" i="1"/>
  <c r="G7135" i="1"/>
  <c r="M7134" i="1"/>
  <c r="L7134" i="1"/>
  <c r="K7134" i="1"/>
  <c r="J7134" i="1"/>
  <c r="I7134" i="1"/>
  <c r="H7134" i="1"/>
  <c r="G7134" i="1"/>
  <c r="M7133" i="1"/>
  <c r="L7133" i="1"/>
  <c r="K7133" i="1"/>
  <c r="J7133" i="1"/>
  <c r="I7133" i="1"/>
  <c r="H7133" i="1"/>
  <c r="G7133" i="1"/>
  <c r="M7132" i="1"/>
  <c r="L7132" i="1"/>
  <c r="K7132" i="1"/>
  <c r="J7132" i="1"/>
  <c r="I7132" i="1"/>
  <c r="H7132" i="1"/>
  <c r="G7132" i="1"/>
  <c r="M7131" i="1"/>
  <c r="L7131" i="1"/>
  <c r="K7131" i="1"/>
  <c r="J7131" i="1"/>
  <c r="I7131" i="1"/>
  <c r="H7131" i="1"/>
  <c r="G7131" i="1"/>
  <c r="M7130" i="1"/>
  <c r="L7130" i="1"/>
  <c r="K7130" i="1"/>
  <c r="J7130" i="1"/>
  <c r="I7130" i="1"/>
  <c r="H7130" i="1"/>
  <c r="G7130" i="1"/>
  <c r="M7129" i="1"/>
  <c r="L7129" i="1"/>
  <c r="K7129" i="1"/>
  <c r="J7129" i="1"/>
  <c r="I7129" i="1"/>
  <c r="H7129" i="1"/>
  <c r="G7129" i="1"/>
  <c r="M7128" i="1"/>
  <c r="L7128" i="1"/>
  <c r="K7128" i="1"/>
  <c r="J7128" i="1"/>
  <c r="I7128" i="1"/>
  <c r="H7128" i="1"/>
  <c r="G7128" i="1"/>
  <c r="M7127" i="1"/>
  <c r="L7127" i="1"/>
  <c r="K7127" i="1"/>
  <c r="J7127" i="1"/>
  <c r="I7127" i="1"/>
  <c r="H7127" i="1"/>
  <c r="G7127" i="1"/>
  <c r="M7126" i="1"/>
  <c r="L7126" i="1"/>
  <c r="K7126" i="1"/>
  <c r="J7126" i="1"/>
  <c r="I7126" i="1"/>
  <c r="H7126" i="1"/>
  <c r="G7126" i="1"/>
  <c r="M7125" i="1"/>
  <c r="L7125" i="1"/>
  <c r="K7125" i="1"/>
  <c r="J7125" i="1"/>
  <c r="I7125" i="1"/>
  <c r="H7125" i="1"/>
  <c r="G7125" i="1"/>
  <c r="M7124" i="1"/>
  <c r="L7124" i="1"/>
  <c r="K7124" i="1"/>
  <c r="J7124" i="1"/>
  <c r="I7124" i="1"/>
  <c r="H7124" i="1"/>
  <c r="G7124" i="1"/>
  <c r="M7123" i="1"/>
  <c r="L7123" i="1"/>
  <c r="K7123" i="1"/>
  <c r="J7123" i="1"/>
  <c r="I7123" i="1"/>
  <c r="H7123" i="1"/>
  <c r="G7123" i="1"/>
  <c r="M7122" i="1"/>
  <c r="L7122" i="1"/>
  <c r="K7122" i="1"/>
  <c r="J7122" i="1"/>
  <c r="I7122" i="1"/>
  <c r="H7122" i="1"/>
  <c r="G7122" i="1"/>
  <c r="M7121" i="1"/>
  <c r="L7121" i="1"/>
  <c r="K7121" i="1"/>
  <c r="J7121" i="1"/>
  <c r="I7121" i="1"/>
  <c r="H7121" i="1"/>
  <c r="G7121" i="1"/>
  <c r="M7120" i="1"/>
  <c r="L7120" i="1"/>
  <c r="K7120" i="1"/>
  <c r="J7120" i="1"/>
  <c r="I7120" i="1"/>
  <c r="H7120" i="1"/>
  <c r="G7120" i="1"/>
  <c r="M7119" i="1"/>
  <c r="L7119" i="1"/>
  <c r="K7119" i="1"/>
  <c r="J7119" i="1"/>
  <c r="I7119" i="1"/>
  <c r="H7119" i="1"/>
  <c r="G7119" i="1"/>
  <c r="M7118" i="1"/>
  <c r="L7118" i="1"/>
  <c r="K7118" i="1"/>
  <c r="J7118" i="1"/>
  <c r="I7118" i="1"/>
  <c r="H7118" i="1"/>
  <c r="G7118" i="1"/>
  <c r="M7117" i="1"/>
  <c r="L7117" i="1"/>
  <c r="K7117" i="1"/>
  <c r="J7117" i="1"/>
  <c r="I7117" i="1"/>
  <c r="H7117" i="1"/>
  <c r="G7117" i="1"/>
  <c r="M7116" i="1"/>
  <c r="L7116" i="1"/>
  <c r="K7116" i="1"/>
  <c r="J7116" i="1"/>
  <c r="I7116" i="1"/>
  <c r="H7116" i="1"/>
  <c r="G7116" i="1"/>
  <c r="M7115" i="1"/>
  <c r="L7115" i="1"/>
  <c r="K7115" i="1"/>
  <c r="J7115" i="1"/>
  <c r="I7115" i="1"/>
  <c r="H7115" i="1"/>
  <c r="G7115" i="1"/>
  <c r="M7114" i="1"/>
  <c r="L7114" i="1"/>
  <c r="K7114" i="1"/>
  <c r="J7114" i="1"/>
  <c r="I7114" i="1"/>
  <c r="H7114" i="1"/>
  <c r="G7114" i="1"/>
  <c r="M7113" i="1"/>
  <c r="L7113" i="1"/>
  <c r="K7113" i="1"/>
  <c r="J7113" i="1"/>
  <c r="I7113" i="1"/>
  <c r="H7113" i="1"/>
  <c r="G7113" i="1"/>
  <c r="M7112" i="1"/>
  <c r="L7112" i="1"/>
  <c r="K7112" i="1"/>
  <c r="J7112" i="1"/>
  <c r="I7112" i="1"/>
  <c r="H7112" i="1"/>
  <c r="G7112" i="1"/>
  <c r="M7111" i="1"/>
  <c r="L7111" i="1"/>
  <c r="K7111" i="1"/>
  <c r="J7111" i="1"/>
  <c r="I7111" i="1"/>
  <c r="H7111" i="1"/>
  <c r="G7111" i="1"/>
  <c r="M7110" i="1"/>
  <c r="L7110" i="1"/>
  <c r="K7110" i="1"/>
  <c r="J7110" i="1"/>
  <c r="I7110" i="1"/>
  <c r="H7110" i="1"/>
  <c r="G7110" i="1"/>
  <c r="M7109" i="1"/>
  <c r="L7109" i="1"/>
  <c r="K7109" i="1"/>
  <c r="J7109" i="1"/>
  <c r="I7109" i="1"/>
  <c r="H7109" i="1"/>
  <c r="G7109" i="1"/>
  <c r="M7108" i="1"/>
  <c r="L7108" i="1"/>
  <c r="K7108" i="1"/>
  <c r="J7108" i="1"/>
  <c r="I7108" i="1"/>
  <c r="H7108" i="1"/>
  <c r="G7108" i="1"/>
  <c r="M7107" i="1"/>
  <c r="L7107" i="1"/>
  <c r="K7107" i="1"/>
  <c r="J7107" i="1"/>
  <c r="I7107" i="1"/>
  <c r="H7107" i="1"/>
  <c r="G7107" i="1"/>
  <c r="M7106" i="1"/>
  <c r="L7106" i="1"/>
  <c r="K7106" i="1"/>
  <c r="J7106" i="1"/>
  <c r="I7106" i="1"/>
  <c r="H7106" i="1"/>
  <c r="G7106" i="1"/>
  <c r="M7105" i="1"/>
  <c r="L7105" i="1"/>
  <c r="K7105" i="1"/>
  <c r="J7105" i="1"/>
  <c r="I7105" i="1"/>
  <c r="H7105" i="1"/>
  <c r="G7105" i="1"/>
  <c r="M7104" i="1"/>
  <c r="L7104" i="1"/>
  <c r="K7104" i="1"/>
  <c r="J7104" i="1"/>
  <c r="I7104" i="1"/>
  <c r="H7104" i="1"/>
  <c r="G7104" i="1"/>
  <c r="M7103" i="1"/>
  <c r="L7103" i="1"/>
  <c r="K7103" i="1"/>
  <c r="J7103" i="1"/>
  <c r="I7103" i="1"/>
  <c r="H7103" i="1"/>
  <c r="G7103" i="1"/>
  <c r="M7102" i="1"/>
  <c r="L7102" i="1"/>
  <c r="K7102" i="1"/>
  <c r="J7102" i="1"/>
  <c r="I7102" i="1"/>
  <c r="H7102" i="1"/>
  <c r="G7102" i="1"/>
  <c r="M7101" i="1"/>
  <c r="L7101" i="1"/>
  <c r="K7101" i="1"/>
  <c r="J7101" i="1"/>
  <c r="I7101" i="1"/>
  <c r="H7101" i="1"/>
  <c r="G7101" i="1"/>
  <c r="M7100" i="1"/>
  <c r="L7100" i="1"/>
  <c r="K7100" i="1"/>
  <c r="J7100" i="1"/>
  <c r="I7100" i="1"/>
  <c r="H7100" i="1"/>
  <c r="G7100" i="1"/>
  <c r="M7099" i="1"/>
  <c r="L7099" i="1"/>
  <c r="K7099" i="1"/>
  <c r="J7099" i="1"/>
  <c r="I7099" i="1"/>
  <c r="H7099" i="1"/>
  <c r="G7099" i="1"/>
  <c r="M7098" i="1"/>
  <c r="L7098" i="1"/>
  <c r="K7098" i="1"/>
  <c r="J7098" i="1"/>
  <c r="I7098" i="1"/>
  <c r="H7098" i="1"/>
  <c r="G7098" i="1"/>
  <c r="M7097" i="1"/>
  <c r="L7097" i="1"/>
  <c r="K7097" i="1"/>
  <c r="J7097" i="1"/>
  <c r="I7097" i="1"/>
  <c r="H7097" i="1"/>
  <c r="G7097" i="1"/>
  <c r="M7096" i="1"/>
  <c r="L7096" i="1"/>
  <c r="K7096" i="1"/>
  <c r="J7096" i="1"/>
  <c r="I7096" i="1"/>
  <c r="H7096" i="1"/>
  <c r="G7096" i="1"/>
  <c r="M7095" i="1"/>
  <c r="L7095" i="1"/>
  <c r="K7095" i="1"/>
  <c r="J7095" i="1"/>
  <c r="I7095" i="1"/>
  <c r="H7095" i="1"/>
  <c r="G7095" i="1"/>
  <c r="M7094" i="1"/>
  <c r="L7094" i="1"/>
  <c r="K7094" i="1"/>
  <c r="J7094" i="1"/>
  <c r="I7094" i="1"/>
  <c r="H7094" i="1"/>
  <c r="G7094" i="1"/>
  <c r="M7093" i="1"/>
  <c r="L7093" i="1"/>
  <c r="K7093" i="1"/>
  <c r="J7093" i="1"/>
  <c r="I7093" i="1"/>
  <c r="H7093" i="1"/>
  <c r="G7093" i="1"/>
  <c r="M7092" i="1"/>
  <c r="L7092" i="1"/>
  <c r="K7092" i="1"/>
  <c r="J7092" i="1"/>
  <c r="I7092" i="1"/>
  <c r="H7092" i="1"/>
  <c r="G7092" i="1"/>
  <c r="M7091" i="1"/>
  <c r="L7091" i="1"/>
  <c r="K7091" i="1"/>
  <c r="J7091" i="1"/>
  <c r="I7091" i="1"/>
  <c r="H7091" i="1"/>
  <c r="G7091" i="1"/>
  <c r="M7090" i="1"/>
  <c r="L7090" i="1"/>
  <c r="K7090" i="1"/>
  <c r="J7090" i="1"/>
  <c r="I7090" i="1"/>
  <c r="H7090" i="1"/>
  <c r="G7090" i="1"/>
  <c r="M7089" i="1"/>
  <c r="L7089" i="1"/>
  <c r="K7089" i="1"/>
  <c r="J7089" i="1"/>
  <c r="I7089" i="1"/>
  <c r="H7089" i="1"/>
  <c r="G7089" i="1"/>
  <c r="M7088" i="1"/>
  <c r="L7088" i="1"/>
  <c r="K7088" i="1"/>
  <c r="J7088" i="1"/>
  <c r="I7088" i="1"/>
  <c r="H7088" i="1"/>
  <c r="G7088" i="1"/>
  <c r="M7087" i="1"/>
  <c r="L7087" i="1"/>
  <c r="K7087" i="1"/>
  <c r="J7087" i="1"/>
  <c r="I7087" i="1"/>
  <c r="H7087" i="1"/>
  <c r="G7087" i="1"/>
  <c r="M7086" i="1"/>
  <c r="L7086" i="1"/>
  <c r="K7086" i="1"/>
  <c r="J7086" i="1"/>
  <c r="I7086" i="1"/>
  <c r="H7086" i="1"/>
  <c r="G7086" i="1"/>
  <c r="M7085" i="1"/>
  <c r="L7085" i="1"/>
  <c r="K7085" i="1"/>
  <c r="J7085" i="1"/>
  <c r="I7085" i="1"/>
  <c r="H7085" i="1"/>
  <c r="G7085" i="1"/>
  <c r="M7084" i="1"/>
  <c r="L7084" i="1"/>
  <c r="K7084" i="1"/>
  <c r="J7084" i="1"/>
  <c r="I7084" i="1"/>
  <c r="H7084" i="1"/>
  <c r="G7084" i="1"/>
  <c r="M7083" i="1"/>
  <c r="L7083" i="1"/>
  <c r="K7083" i="1"/>
  <c r="J7083" i="1"/>
  <c r="I7083" i="1"/>
  <c r="H7083" i="1"/>
  <c r="G7083" i="1"/>
  <c r="M7082" i="1"/>
  <c r="L7082" i="1"/>
  <c r="K7082" i="1"/>
  <c r="J7082" i="1"/>
  <c r="I7082" i="1"/>
  <c r="H7082" i="1"/>
  <c r="G7082" i="1"/>
  <c r="M7081" i="1"/>
  <c r="L7081" i="1"/>
  <c r="K7081" i="1"/>
  <c r="J7081" i="1"/>
  <c r="I7081" i="1"/>
  <c r="H7081" i="1"/>
  <c r="G7081" i="1"/>
  <c r="M7080" i="1"/>
  <c r="L7080" i="1"/>
  <c r="K7080" i="1"/>
  <c r="J7080" i="1"/>
  <c r="I7080" i="1"/>
  <c r="H7080" i="1"/>
  <c r="G7080" i="1"/>
  <c r="M7079" i="1"/>
  <c r="L7079" i="1"/>
  <c r="K7079" i="1"/>
  <c r="J7079" i="1"/>
  <c r="I7079" i="1"/>
  <c r="H7079" i="1"/>
  <c r="G7079" i="1"/>
  <c r="M7078" i="1"/>
  <c r="L7078" i="1"/>
  <c r="K7078" i="1"/>
  <c r="J7078" i="1"/>
  <c r="I7078" i="1"/>
  <c r="H7078" i="1"/>
  <c r="G7078" i="1"/>
  <c r="M7077" i="1"/>
  <c r="L7077" i="1"/>
  <c r="K7077" i="1"/>
  <c r="J7077" i="1"/>
  <c r="I7077" i="1"/>
  <c r="H7077" i="1"/>
  <c r="G7077" i="1"/>
  <c r="M7076" i="1"/>
  <c r="L7076" i="1"/>
  <c r="K7076" i="1"/>
  <c r="J7076" i="1"/>
  <c r="I7076" i="1"/>
  <c r="H7076" i="1"/>
  <c r="G7076" i="1"/>
  <c r="M7075" i="1"/>
  <c r="L7075" i="1"/>
  <c r="K7075" i="1"/>
  <c r="J7075" i="1"/>
  <c r="I7075" i="1"/>
  <c r="H7075" i="1"/>
  <c r="G7075" i="1"/>
  <c r="M7074" i="1"/>
  <c r="L7074" i="1"/>
  <c r="K7074" i="1"/>
  <c r="J7074" i="1"/>
  <c r="I7074" i="1"/>
  <c r="H7074" i="1"/>
  <c r="G7074" i="1"/>
  <c r="M7073" i="1"/>
  <c r="L7073" i="1"/>
  <c r="K7073" i="1"/>
  <c r="J7073" i="1"/>
  <c r="I7073" i="1"/>
  <c r="H7073" i="1"/>
  <c r="G7073" i="1"/>
  <c r="M7072" i="1"/>
  <c r="L7072" i="1"/>
  <c r="K7072" i="1"/>
  <c r="J7072" i="1"/>
  <c r="I7072" i="1"/>
  <c r="H7072" i="1"/>
  <c r="G7072" i="1"/>
  <c r="M7071" i="1"/>
  <c r="L7071" i="1"/>
  <c r="K7071" i="1"/>
  <c r="J7071" i="1"/>
  <c r="I7071" i="1"/>
  <c r="H7071" i="1"/>
  <c r="G7071" i="1"/>
  <c r="M7070" i="1"/>
  <c r="L7070" i="1"/>
  <c r="K7070" i="1"/>
  <c r="J7070" i="1"/>
  <c r="I7070" i="1"/>
  <c r="H7070" i="1"/>
  <c r="G7070" i="1"/>
  <c r="M7069" i="1"/>
  <c r="L7069" i="1"/>
  <c r="K7069" i="1"/>
  <c r="J7069" i="1"/>
  <c r="I7069" i="1"/>
  <c r="H7069" i="1"/>
  <c r="G7069" i="1"/>
  <c r="M7068" i="1"/>
  <c r="L7068" i="1"/>
  <c r="K7068" i="1"/>
  <c r="J7068" i="1"/>
  <c r="I7068" i="1"/>
  <c r="H7068" i="1"/>
  <c r="G7068" i="1"/>
  <c r="M7067" i="1"/>
  <c r="L7067" i="1"/>
  <c r="K7067" i="1"/>
  <c r="J7067" i="1"/>
  <c r="I7067" i="1"/>
  <c r="H7067" i="1"/>
  <c r="G7067" i="1"/>
  <c r="M7066" i="1"/>
  <c r="L7066" i="1"/>
  <c r="K7066" i="1"/>
  <c r="J7066" i="1"/>
  <c r="I7066" i="1"/>
  <c r="H7066" i="1"/>
  <c r="G7066" i="1"/>
  <c r="M7065" i="1"/>
  <c r="L7065" i="1"/>
  <c r="K7065" i="1"/>
  <c r="J7065" i="1"/>
  <c r="I7065" i="1"/>
  <c r="H7065" i="1"/>
  <c r="G7065" i="1"/>
  <c r="M7064" i="1"/>
  <c r="L7064" i="1"/>
  <c r="K7064" i="1"/>
  <c r="J7064" i="1"/>
  <c r="I7064" i="1"/>
  <c r="H7064" i="1"/>
  <c r="G7064" i="1"/>
  <c r="M7063" i="1"/>
  <c r="L7063" i="1"/>
  <c r="K7063" i="1"/>
  <c r="J7063" i="1"/>
  <c r="I7063" i="1"/>
  <c r="H7063" i="1"/>
  <c r="G7063" i="1"/>
  <c r="M7062" i="1"/>
  <c r="L7062" i="1"/>
  <c r="K7062" i="1"/>
  <c r="J7062" i="1"/>
  <c r="I7062" i="1"/>
  <c r="H7062" i="1"/>
  <c r="G7062" i="1"/>
  <c r="M7061" i="1"/>
  <c r="L7061" i="1"/>
  <c r="K7061" i="1"/>
  <c r="J7061" i="1"/>
  <c r="I7061" i="1"/>
  <c r="H7061" i="1"/>
  <c r="G7061" i="1"/>
  <c r="M7060" i="1"/>
  <c r="L7060" i="1"/>
  <c r="K7060" i="1"/>
  <c r="J7060" i="1"/>
  <c r="I7060" i="1"/>
  <c r="H7060" i="1"/>
  <c r="G7060" i="1"/>
  <c r="M7059" i="1"/>
  <c r="L7059" i="1"/>
  <c r="K7059" i="1"/>
  <c r="J7059" i="1"/>
  <c r="I7059" i="1"/>
  <c r="H7059" i="1"/>
  <c r="G7059" i="1"/>
  <c r="M7058" i="1"/>
  <c r="L7058" i="1"/>
  <c r="K7058" i="1"/>
  <c r="J7058" i="1"/>
  <c r="I7058" i="1"/>
  <c r="H7058" i="1"/>
  <c r="G7058" i="1"/>
  <c r="M7057" i="1"/>
  <c r="L7057" i="1"/>
  <c r="K7057" i="1"/>
  <c r="J7057" i="1"/>
  <c r="I7057" i="1"/>
  <c r="H7057" i="1"/>
  <c r="G7057" i="1"/>
  <c r="M7056" i="1"/>
  <c r="L7056" i="1"/>
  <c r="K7056" i="1"/>
  <c r="J7056" i="1"/>
  <c r="I7056" i="1"/>
  <c r="H7056" i="1"/>
  <c r="G7056" i="1"/>
  <c r="M7055" i="1"/>
  <c r="L7055" i="1"/>
  <c r="K7055" i="1"/>
  <c r="J7055" i="1"/>
  <c r="I7055" i="1"/>
  <c r="H7055" i="1"/>
  <c r="G7055" i="1"/>
  <c r="M7054" i="1"/>
  <c r="L7054" i="1"/>
  <c r="K7054" i="1"/>
  <c r="J7054" i="1"/>
  <c r="I7054" i="1"/>
  <c r="H7054" i="1"/>
  <c r="G7054" i="1"/>
  <c r="M7053" i="1"/>
  <c r="L7053" i="1"/>
  <c r="K7053" i="1"/>
  <c r="J7053" i="1"/>
  <c r="I7053" i="1"/>
  <c r="H7053" i="1"/>
  <c r="G7053" i="1"/>
  <c r="M7052" i="1"/>
  <c r="L7052" i="1"/>
  <c r="K7052" i="1"/>
  <c r="J7052" i="1"/>
  <c r="I7052" i="1"/>
  <c r="H7052" i="1"/>
  <c r="G7052" i="1"/>
  <c r="M7051" i="1"/>
  <c r="L7051" i="1"/>
  <c r="K7051" i="1"/>
  <c r="J7051" i="1"/>
  <c r="I7051" i="1"/>
  <c r="H7051" i="1"/>
  <c r="G7051" i="1"/>
  <c r="M7050" i="1"/>
  <c r="L7050" i="1"/>
  <c r="K7050" i="1"/>
  <c r="J7050" i="1"/>
  <c r="I7050" i="1"/>
  <c r="H7050" i="1"/>
  <c r="G7050" i="1"/>
  <c r="M7049" i="1"/>
  <c r="L7049" i="1"/>
  <c r="K7049" i="1"/>
  <c r="J7049" i="1"/>
  <c r="I7049" i="1"/>
  <c r="H7049" i="1"/>
  <c r="G7049" i="1"/>
  <c r="M7048" i="1"/>
  <c r="L7048" i="1"/>
  <c r="K7048" i="1"/>
  <c r="J7048" i="1"/>
  <c r="I7048" i="1"/>
  <c r="H7048" i="1"/>
  <c r="G7048" i="1"/>
  <c r="M7047" i="1"/>
  <c r="L7047" i="1"/>
  <c r="K7047" i="1"/>
  <c r="J7047" i="1"/>
  <c r="I7047" i="1"/>
  <c r="H7047" i="1"/>
  <c r="G7047" i="1"/>
  <c r="M7046" i="1"/>
  <c r="L7046" i="1"/>
  <c r="K7046" i="1"/>
  <c r="J7046" i="1"/>
  <c r="I7046" i="1"/>
  <c r="H7046" i="1"/>
  <c r="G7046" i="1"/>
  <c r="M7045" i="1"/>
  <c r="L7045" i="1"/>
  <c r="K7045" i="1"/>
  <c r="J7045" i="1"/>
  <c r="I7045" i="1"/>
  <c r="H7045" i="1"/>
  <c r="G7045" i="1"/>
  <c r="M7044" i="1"/>
  <c r="L7044" i="1"/>
  <c r="K7044" i="1"/>
  <c r="J7044" i="1"/>
  <c r="I7044" i="1"/>
  <c r="H7044" i="1"/>
  <c r="G7044" i="1"/>
  <c r="M7043" i="1"/>
  <c r="L7043" i="1"/>
  <c r="K7043" i="1"/>
  <c r="J7043" i="1"/>
  <c r="I7043" i="1"/>
  <c r="H7043" i="1"/>
  <c r="G7043" i="1"/>
  <c r="M7042" i="1"/>
  <c r="L7042" i="1"/>
  <c r="K7042" i="1"/>
  <c r="J7042" i="1"/>
  <c r="I7042" i="1"/>
  <c r="H7042" i="1"/>
  <c r="G7042" i="1"/>
  <c r="M7041" i="1"/>
  <c r="L7041" i="1"/>
  <c r="K7041" i="1"/>
  <c r="J7041" i="1"/>
  <c r="I7041" i="1"/>
  <c r="H7041" i="1"/>
  <c r="G7041" i="1"/>
  <c r="M7040" i="1"/>
  <c r="L7040" i="1"/>
  <c r="K7040" i="1"/>
  <c r="J7040" i="1"/>
  <c r="I7040" i="1"/>
  <c r="H7040" i="1"/>
  <c r="G7040" i="1"/>
  <c r="M7039" i="1"/>
  <c r="L7039" i="1"/>
  <c r="K7039" i="1"/>
  <c r="J7039" i="1"/>
  <c r="I7039" i="1"/>
  <c r="H7039" i="1"/>
  <c r="G7039" i="1"/>
  <c r="M7038" i="1"/>
  <c r="L7038" i="1"/>
  <c r="K7038" i="1"/>
  <c r="J7038" i="1"/>
  <c r="I7038" i="1"/>
  <c r="H7038" i="1"/>
  <c r="G7038" i="1"/>
  <c r="M7037" i="1"/>
  <c r="L7037" i="1"/>
  <c r="K7037" i="1"/>
  <c r="J7037" i="1"/>
  <c r="I7037" i="1"/>
  <c r="H7037" i="1"/>
  <c r="G7037" i="1"/>
  <c r="M7036" i="1"/>
  <c r="L7036" i="1"/>
  <c r="K7036" i="1"/>
  <c r="J7036" i="1"/>
  <c r="I7036" i="1"/>
  <c r="H7036" i="1"/>
  <c r="G7036" i="1"/>
  <c r="M7035" i="1"/>
  <c r="L7035" i="1"/>
  <c r="K7035" i="1"/>
  <c r="J7035" i="1"/>
  <c r="I7035" i="1"/>
  <c r="H7035" i="1"/>
  <c r="G7035" i="1"/>
  <c r="M7034" i="1"/>
  <c r="L7034" i="1"/>
  <c r="K7034" i="1"/>
  <c r="J7034" i="1"/>
  <c r="I7034" i="1"/>
  <c r="H7034" i="1"/>
  <c r="G7034" i="1"/>
  <c r="M7033" i="1"/>
  <c r="L7033" i="1"/>
  <c r="K7033" i="1"/>
  <c r="J7033" i="1"/>
  <c r="I7033" i="1"/>
  <c r="H7033" i="1"/>
  <c r="G7033" i="1"/>
  <c r="M7032" i="1"/>
  <c r="L7032" i="1"/>
  <c r="K7032" i="1"/>
  <c r="J7032" i="1"/>
  <c r="I7032" i="1"/>
  <c r="H7032" i="1"/>
  <c r="G7032" i="1"/>
  <c r="M7031" i="1"/>
  <c r="L7031" i="1"/>
  <c r="K7031" i="1"/>
  <c r="J7031" i="1"/>
  <c r="I7031" i="1"/>
  <c r="H7031" i="1"/>
  <c r="G7031" i="1"/>
  <c r="M7030" i="1"/>
  <c r="L7030" i="1"/>
  <c r="K7030" i="1"/>
  <c r="J7030" i="1"/>
  <c r="I7030" i="1"/>
  <c r="H7030" i="1"/>
  <c r="G7030" i="1"/>
  <c r="M7029" i="1"/>
  <c r="L7029" i="1"/>
  <c r="K7029" i="1"/>
  <c r="J7029" i="1"/>
  <c r="I7029" i="1"/>
  <c r="H7029" i="1"/>
  <c r="G7029" i="1"/>
  <c r="M7028" i="1"/>
  <c r="L7028" i="1"/>
  <c r="K7028" i="1"/>
  <c r="J7028" i="1"/>
  <c r="I7028" i="1"/>
  <c r="H7028" i="1"/>
  <c r="G7028" i="1"/>
  <c r="M7027" i="1"/>
  <c r="L7027" i="1"/>
  <c r="K7027" i="1"/>
  <c r="J7027" i="1"/>
  <c r="I7027" i="1"/>
  <c r="H7027" i="1"/>
  <c r="G7027" i="1"/>
  <c r="M7026" i="1"/>
  <c r="L7026" i="1"/>
  <c r="K7026" i="1"/>
  <c r="J7026" i="1"/>
  <c r="I7026" i="1"/>
  <c r="H7026" i="1"/>
  <c r="G7026" i="1"/>
  <c r="M7025" i="1"/>
  <c r="L7025" i="1"/>
  <c r="K7025" i="1"/>
  <c r="J7025" i="1"/>
  <c r="I7025" i="1"/>
  <c r="H7025" i="1"/>
  <c r="G7025" i="1"/>
  <c r="M7024" i="1"/>
  <c r="L7024" i="1"/>
  <c r="K7024" i="1"/>
  <c r="J7024" i="1"/>
  <c r="I7024" i="1"/>
  <c r="H7024" i="1"/>
  <c r="G7024" i="1"/>
  <c r="M7023" i="1"/>
  <c r="L7023" i="1"/>
  <c r="K7023" i="1"/>
  <c r="J7023" i="1"/>
  <c r="I7023" i="1"/>
  <c r="H7023" i="1"/>
  <c r="G7023" i="1"/>
  <c r="M7022" i="1"/>
  <c r="L7022" i="1"/>
  <c r="K7022" i="1"/>
  <c r="J7022" i="1"/>
  <c r="I7022" i="1"/>
  <c r="H7022" i="1"/>
  <c r="G7022" i="1"/>
  <c r="M7021" i="1"/>
  <c r="L7021" i="1"/>
  <c r="K7021" i="1"/>
  <c r="J7021" i="1"/>
  <c r="I7021" i="1"/>
  <c r="H7021" i="1"/>
  <c r="G7021" i="1"/>
  <c r="M7020" i="1"/>
  <c r="L7020" i="1"/>
  <c r="K7020" i="1"/>
  <c r="J7020" i="1"/>
  <c r="I7020" i="1"/>
  <c r="H7020" i="1"/>
  <c r="G7020" i="1"/>
  <c r="M7019" i="1"/>
  <c r="L7019" i="1"/>
  <c r="K7019" i="1"/>
  <c r="J7019" i="1"/>
  <c r="I7019" i="1"/>
  <c r="H7019" i="1"/>
  <c r="G7019" i="1"/>
  <c r="M7018" i="1"/>
  <c r="L7018" i="1"/>
  <c r="K7018" i="1"/>
  <c r="J7018" i="1"/>
  <c r="I7018" i="1"/>
  <c r="H7018" i="1"/>
  <c r="G7018" i="1"/>
  <c r="M7017" i="1"/>
  <c r="L7017" i="1"/>
  <c r="K7017" i="1"/>
  <c r="J7017" i="1"/>
  <c r="I7017" i="1"/>
  <c r="H7017" i="1"/>
  <c r="G7017" i="1"/>
  <c r="M7016" i="1"/>
  <c r="L7016" i="1"/>
  <c r="K7016" i="1"/>
  <c r="J7016" i="1"/>
  <c r="I7016" i="1"/>
  <c r="H7016" i="1"/>
  <c r="G7016" i="1"/>
  <c r="M7015" i="1"/>
  <c r="L7015" i="1"/>
  <c r="K7015" i="1"/>
  <c r="J7015" i="1"/>
  <c r="I7015" i="1"/>
  <c r="H7015" i="1"/>
  <c r="G7015" i="1"/>
  <c r="M7014" i="1"/>
  <c r="L7014" i="1"/>
  <c r="K7014" i="1"/>
  <c r="J7014" i="1"/>
  <c r="I7014" i="1"/>
  <c r="H7014" i="1"/>
  <c r="G7014" i="1"/>
  <c r="M7013" i="1"/>
  <c r="L7013" i="1"/>
  <c r="K7013" i="1"/>
  <c r="J7013" i="1"/>
  <c r="I7013" i="1"/>
  <c r="H7013" i="1"/>
  <c r="G7013" i="1"/>
  <c r="M7012" i="1"/>
  <c r="L7012" i="1"/>
  <c r="K7012" i="1"/>
  <c r="J7012" i="1"/>
  <c r="I7012" i="1"/>
  <c r="H7012" i="1"/>
  <c r="G7012" i="1"/>
  <c r="M7011" i="1"/>
  <c r="L7011" i="1"/>
  <c r="K7011" i="1"/>
  <c r="J7011" i="1"/>
  <c r="I7011" i="1"/>
  <c r="H7011" i="1"/>
  <c r="G7011" i="1"/>
  <c r="M7010" i="1"/>
  <c r="L7010" i="1"/>
  <c r="K7010" i="1"/>
  <c r="J7010" i="1"/>
  <c r="I7010" i="1"/>
  <c r="H7010" i="1"/>
  <c r="G7010" i="1"/>
  <c r="M7009" i="1"/>
  <c r="L7009" i="1"/>
  <c r="K7009" i="1"/>
  <c r="J7009" i="1"/>
  <c r="I7009" i="1"/>
  <c r="H7009" i="1"/>
  <c r="G7009" i="1"/>
  <c r="M7008" i="1"/>
  <c r="L7008" i="1"/>
  <c r="K7008" i="1"/>
  <c r="J7008" i="1"/>
  <c r="I7008" i="1"/>
  <c r="H7008" i="1"/>
  <c r="G7008" i="1"/>
  <c r="M7007" i="1"/>
  <c r="L7007" i="1"/>
  <c r="K7007" i="1"/>
  <c r="J7007" i="1"/>
  <c r="I7007" i="1"/>
  <c r="H7007" i="1"/>
  <c r="G7007" i="1"/>
  <c r="M7006" i="1"/>
  <c r="L7006" i="1"/>
  <c r="K7006" i="1"/>
  <c r="J7006" i="1"/>
  <c r="I7006" i="1"/>
  <c r="H7006" i="1"/>
  <c r="G7006" i="1"/>
  <c r="M7005" i="1"/>
  <c r="L7005" i="1"/>
  <c r="K7005" i="1"/>
  <c r="J7005" i="1"/>
  <c r="I7005" i="1"/>
  <c r="H7005" i="1"/>
  <c r="G7005" i="1"/>
  <c r="M7004" i="1"/>
  <c r="L7004" i="1"/>
  <c r="K7004" i="1"/>
  <c r="J7004" i="1"/>
  <c r="I7004" i="1"/>
  <c r="H7004" i="1"/>
  <c r="G7004" i="1"/>
  <c r="M7003" i="1"/>
  <c r="L7003" i="1"/>
  <c r="K7003" i="1"/>
  <c r="J7003" i="1"/>
  <c r="I7003" i="1"/>
  <c r="H7003" i="1"/>
  <c r="G7003" i="1"/>
  <c r="M7002" i="1"/>
  <c r="L7002" i="1"/>
  <c r="K7002" i="1"/>
  <c r="J7002" i="1"/>
  <c r="I7002" i="1"/>
  <c r="H7002" i="1"/>
  <c r="G7002" i="1"/>
  <c r="M7001" i="1"/>
  <c r="L7001" i="1"/>
  <c r="K7001" i="1"/>
  <c r="J7001" i="1"/>
  <c r="I7001" i="1"/>
  <c r="H7001" i="1"/>
  <c r="G7001" i="1"/>
  <c r="M7000" i="1"/>
  <c r="L7000" i="1"/>
  <c r="K7000" i="1"/>
  <c r="J7000" i="1"/>
  <c r="I7000" i="1"/>
  <c r="H7000" i="1"/>
  <c r="G7000" i="1"/>
  <c r="M6999" i="1"/>
  <c r="L6999" i="1"/>
  <c r="K6999" i="1"/>
  <c r="J6999" i="1"/>
  <c r="I6999" i="1"/>
  <c r="H6999" i="1"/>
  <c r="G6999" i="1"/>
  <c r="M6998" i="1"/>
  <c r="L6998" i="1"/>
  <c r="K6998" i="1"/>
  <c r="J6998" i="1"/>
  <c r="I6998" i="1"/>
  <c r="H6998" i="1"/>
  <c r="G6998" i="1"/>
  <c r="M6997" i="1"/>
  <c r="L6997" i="1"/>
  <c r="K6997" i="1"/>
  <c r="J6997" i="1"/>
  <c r="I6997" i="1"/>
  <c r="H6997" i="1"/>
  <c r="G6997" i="1"/>
  <c r="M6996" i="1"/>
  <c r="L6996" i="1"/>
  <c r="K6996" i="1"/>
  <c r="J6996" i="1"/>
  <c r="I6996" i="1"/>
  <c r="H6996" i="1"/>
  <c r="G6996" i="1"/>
  <c r="M6995" i="1"/>
  <c r="L6995" i="1"/>
  <c r="K6995" i="1"/>
  <c r="J6995" i="1"/>
  <c r="I6995" i="1"/>
  <c r="H6995" i="1"/>
  <c r="G6995" i="1"/>
  <c r="M6994" i="1"/>
  <c r="L6994" i="1"/>
  <c r="K6994" i="1"/>
  <c r="J6994" i="1"/>
  <c r="I6994" i="1"/>
  <c r="H6994" i="1"/>
  <c r="G6994" i="1"/>
  <c r="M6993" i="1"/>
  <c r="L6993" i="1"/>
  <c r="K6993" i="1"/>
  <c r="J6993" i="1"/>
  <c r="I6993" i="1"/>
  <c r="H6993" i="1"/>
  <c r="G6993" i="1"/>
  <c r="M6992" i="1"/>
  <c r="L6992" i="1"/>
  <c r="K6992" i="1"/>
  <c r="J6992" i="1"/>
  <c r="I6992" i="1"/>
  <c r="H6992" i="1"/>
  <c r="G6992" i="1"/>
  <c r="M6991" i="1"/>
  <c r="L6991" i="1"/>
  <c r="K6991" i="1"/>
  <c r="J6991" i="1"/>
  <c r="I6991" i="1"/>
  <c r="H6991" i="1"/>
  <c r="G6991" i="1"/>
  <c r="M6990" i="1"/>
  <c r="L6990" i="1"/>
  <c r="K6990" i="1"/>
  <c r="J6990" i="1"/>
  <c r="I6990" i="1"/>
  <c r="H6990" i="1"/>
  <c r="G6990" i="1"/>
  <c r="M6989" i="1"/>
  <c r="L6989" i="1"/>
  <c r="K6989" i="1"/>
  <c r="J6989" i="1"/>
  <c r="I6989" i="1"/>
  <c r="H6989" i="1"/>
  <c r="G6989" i="1"/>
  <c r="M6988" i="1"/>
  <c r="L6988" i="1"/>
  <c r="K6988" i="1"/>
  <c r="J6988" i="1"/>
  <c r="I6988" i="1"/>
  <c r="H6988" i="1"/>
  <c r="G6988" i="1"/>
  <c r="M6987" i="1"/>
  <c r="L6987" i="1"/>
  <c r="K6987" i="1"/>
  <c r="J6987" i="1"/>
  <c r="I6987" i="1"/>
  <c r="H6987" i="1"/>
  <c r="G6987" i="1"/>
  <c r="M6986" i="1"/>
  <c r="L6986" i="1"/>
  <c r="K6986" i="1"/>
  <c r="J6986" i="1"/>
  <c r="I6986" i="1"/>
  <c r="H6986" i="1"/>
  <c r="G6986" i="1"/>
  <c r="M6985" i="1"/>
  <c r="L6985" i="1"/>
  <c r="K6985" i="1"/>
  <c r="J6985" i="1"/>
  <c r="I6985" i="1"/>
  <c r="H6985" i="1"/>
  <c r="G6985" i="1"/>
  <c r="M6984" i="1"/>
  <c r="L6984" i="1"/>
  <c r="K6984" i="1"/>
  <c r="J6984" i="1"/>
  <c r="I6984" i="1"/>
  <c r="H6984" i="1"/>
  <c r="G6984" i="1"/>
  <c r="M6983" i="1"/>
  <c r="L6983" i="1"/>
  <c r="K6983" i="1"/>
  <c r="J6983" i="1"/>
  <c r="I6983" i="1"/>
  <c r="H6983" i="1"/>
  <c r="G6983" i="1"/>
  <c r="M6982" i="1"/>
  <c r="L6982" i="1"/>
  <c r="K6982" i="1"/>
  <c r="J6982" i="1"/>
  <c r="I6982" i="1"/>
  <c r="H6982" i="1"/>
  <c r="G6982" i="1"/>
  <c r="M6981" i="1"/>
  <c r="L6981" i="1"/>
  <c r="K6981" i="1"/>
  <c r="J6981" i="1"/>
  <c r="I6981" i="1"/>
  <c r="H6981" i="1"/>
  <c r="G6981" i="1"/>
  <c r="M6980" i="1"/>
  <c r="L6980" i="1"/>
  <c r="K6980" i="1"/>
  <c r="J6980" i="1"/>
  <c r="I6980" i="1"/>
  <c r="H6980" i="1"/>
  <c r="G6980" i="1"/>
  <c r="M6979" i="1"/>
  <c r="L6979" i="1"/>
  <c r="K6979" i="1"/>
  <c r="J6979" i="1"/>
  <c r="I6979" i="1"/>
  <c r="H6979" i="1"/>
  <c r="G6979" i="1"/>
  <c r="M6978" i="1"/>
  <c r="L6978" i="1"/>
  <c r="K6978" i="1"/>
  <c r="J6978" i="1"/>
  <c r="I6978" i="1"/>
  <c r="H6978" i="1"/>
  <c r="G6978" i="1"/>
  <c r="M6977" i="1"/>
  <c r="L6977" i="1"/>
  <c r="K6977" i="1"/>
  <c r="J6977" i="1"/>
  <c r="I6977" i="1"/>
  <c r="H6977" i="1"/>
  <c r="G6977" i="1"/>
  <c r="M6976" i="1"/>
  <c r="L6976" i="1"/>
  <c r="K6976" i="1"/>
  <c r="J6976" i="1"/>
  <c r="I6976" i="1"/>
  <c r="H6976" i="1"/>
  <c r="G6976" i="1"/>
  <c r="M6975" i="1"/>
  <c r="L6975" i="1"/>
  <c r="K6975" i="1"/>
  <c r="J6975" i="1"/>
  <c r="I6975" i="1"/>
  <c r="H6975" i="1"/>
  <c r="G6975" i="1"/>
  <c r="M6974" i="1"/>
  <c r="L6974" i="1"/>
  <c r="K6974" i="1"/>
  <c r="J6974" i="1"/>
  <c r="I6974" i="1"/>
  <c r="H6974" i="1"/>
  <c r="G6974" i="1"/>
  <c r="M6973" i="1"/>
  <c r="L6973" i="1"/>
  <c r="K6973" i="1"/>
  <c r="J6973" i="1"/>
  <c r="I6973" i="1"/>
  <c r="H6973" i="1"/>
  <c r="G6973" i="1"/>
  <c r="M6972" i="1"/>
  <c r="L6972" i="1"/>
  <c r="K6972" i="1"/>
  <c r="J6972" i="1"/>
  <c r="I6972" i="1"/>
  <c r="H6972" i="1"/>
  <c r="G6972" i="1"/>
  <c r="M6971" i="1"/>
  <c r="L6971" i="1"/>
  <c r="K6971" i="1"/>
  <c r="J6971" i="1"/>
  <c r="I6971" i="1"/>
  <c r="H6971" i="1"/>
  <c r="G6971" i="1"/>
  <c r="M6970" i="1"/>
  <c r="L6970" i="1"/>
  <c r="K6970" i="1"/>
  <c r="J6970" i="1"/>
  <c r="I6970" i="1"/>
  <c r="H6970" i="1"/>
  <c r="G6970" i="1"/>
  <c r="M6969" i="1"/>
  <c r="L6969" i="1"/>
  <c r="K6969" i="1"/>
  <c r="J6969" i="1"/>
  <c r="I6969" i="1"/>
  <c r="H6969" i="1"/>
  <c r="G6969" i="1"/>
  <c r="M6968" i="1"/>
  <c r="L6968" i="1"/>
  <c r="K6968" i="1"/>
  <c r="J6968" i="1"/>
  <c r="I6968" i="1"/>
  <c r="H6968" i="1"/>
  <c r="G6968" i="1"/>
  <c r="M6967" i="1"/>
  <c r="L6967" i="1"/>
  <c r="K6967" i="1"/>
  <c r="J6967" i="1"/>
  <c r="I6967" i="1"/>
  <c r="H6967" i="1"/>
  <c r="G6967" i="1"/>
  <c r="M6966" i="1"/>
  <c r="L6966" i="1"/>
  <c r="K6966" i="1"/>
  <c r="J6966" i="1"/>
  <c r="I6966" i="1"/>
  <c r="H6966" i="1"/>
  <c r="G6966" i="1"/>
  <c r="M6965" i="1"/>
  <c r="L6965" i="1"/>
  <c r="K6965" i="1"/>
  <c r="J6965" i="1"/>
  <c r="I6965" i="1"/>
  <c r="H6965" i="1"/>
  <c r="G6965" i="1"/>
  <c r="M6964" i="1"/>
  <c r="L6964" i="1"/>
  <c r="K6964" i="1"/>
  <c r="J6964" i="1"/>
  <c r="I6964" i="1"/>
  <c r="H6964" i="1"/>
  <c r="G6964" i="1"/>
  <c r="M6963" i="1"/>
  <c r="L6963" i="1"/>
  <c r="K6963" i="1"/>
  <c r="J6963" i="1"/>
  <c r="I6963" i="1"/>
  <c r="H6963" i="1"/>
  <c r="G6963" i="1"/>
  <c r="M6962" i="1"/>
  <c r="L6962" i="1"/>
  <c r="K6962" i="1"/>
  <c r="J6962" i="1"/>
  <c r="I6962" i="1"/>
  <c r="H6962" i="1"/>
  <c r="G6962" i="1"/>
  <c r="M6961" i="1"/>
  <c r="L6961" i="1"/>
  <c r="K6961" i="1"/>
  <c r="J6961" i="1"/>
  <c r="I6961" i="1"/>
  <c r="H6961" i="1"/>
  <c r="G6961" i="1"/>
  <c r="M6960" i="1"/>
  <c r="L6960" i="1"/>
  <c r="K6960" i="1"/>
  <c r="J6960" i="1"/>
  <c r="I6960" i="1"/>
  <c r="H6960" i="1"/>
  <c r="G6960" i="1"/>
  <c r="M6959" i="1"/>
  <c r="L6959" i="1"/>
  <c r="K6959" i="1"/>
  <c r="J6959" i="1"/>
  <c r="I6959" i="1"/>
  <c r="H6959" i="1"/>
  <c r="G6959" i="1"/>
  <c r="M6958" i="1"/>
  <c r="L6958" i="1"/>
  <c r="K6958" i="1"/>
  <c r="J6958" i="1"/>
  <c r="I6958" i="1"/>
  <c r="H6958" i="1"/>
  <c r="G6958" i="1"/>
  <c r="M6957" i="1"/>
  <c r="L6957" i="1"/>
  <c r="K6957" i="1"/>
  <c r="J6957" i="1"/>
  <c r="I6957" i="1"/>
  <c r="H6957" i="1"/>
  <c r="G6957" i="1"/>
  <c r="M6956" i="1"/>
  <c r="L6956" i="1"/>
  <c r="K6956" i="1"/>
  <c r="J6956" i="1"/>
  <c r="I6956" i="1"/>
  <c r="H6956" i="1"/>
  <c r="G6956" i="1"/>
  <c r="M6955" i="1"/>
  <c r="L6955" i="1"/>
  <c r="K6955" i="1"/>
  <c r="J6955" i="1"/>
  <c r="I6955" i="1"/>
  <c r="H6955" i="1"/>
  <c r="G6955" i="1"/>
  <c r="M6954" i="1"/>
  <c r="L6954" i="1"/>
  <c r="K6954" i="1"/>
  <c r="J6954" i="1"/>
  <c r="I6954" i="1"/>
  <c r="H6954" i="1"/>
  <c r="G6954" i="1"/>
  <c r="M6953" i="1"/>
  <c r="L6953" i="1"/>
  <c r="K6953" i="1"/>
  <c r="J6953" i="1"/>
  <c r="I6953" i="1"/>
  <c r="H6953" i="1"/>
  <c r="G6953" i="1"/>
  <c r="M6952" i="1"/>
  <c r="L6952" i="1"/>
  <c r="K6952" i="1"/>
  <c r="J6952" i="1"/>
  <c r="I6952" i="1"/>
  <c r="H6952" i="1"/>
  <c r="G6952" i="1"/>
  <c r="M6951" i="1"/>
  <c r="L6951" i="1"/>
  <c r="K6951" i="1"/>
  <c r="J6951" i="1"/>
  <c r="I6951" i="1"/>
  <c r="H6951" i="1"/>
  <c r="G6951" i="1"/>
  <c r="M6950" i="1"/>
  <c r="L6950" i="1"/>
  <c r="K6950" i="1"/>
  <c r="J6950" i="1"/>
  <c r="I6950" i="1"/>
  <c r="H6950" i="1"/>
  <c r="G6950" i="1"/>
  <c r="M6949" i="1"/>
  <c r="L6949" i="1"/>
  <c r="K6949" i="1"/>
  <c r="J6949" i="1"/>
  <c r="I6949" i="1"/>
  <c r="H6949" i="1"/>
  <c r="G6949" i="1"/>
  <c r="M6948" i="1"/>
  <c r="L6948" i="1"/>
  <c r="K6948" i="1"/>
  <c r="J6948" i="1"/>
  <c r="I6948" i="1"/>
  <c r="H6948" i="1"/>
  <c r="G6948" i="1"/>
  <c r="M6947" i="1"/>
  <c r="L6947" i="1"/>
  <c r="K6947" i="1"/>
  <c r="J6947" i="1"/>
  <c r="I6947" i="1"/>
  <c r="H6947" i="1"/>
  <c r="G6947" i="1"/>
  <c r="M6946" i="1"/>
  <c r="L6946" i="1"/>
  <c r="K6946" i="1"/>
  <c r="J6946" i="1"/>
  <c r="I6946" i="1"/>
  <c r="H6946" i="1"/>
  <c r="G6946" i="1"/>
  <c r="M6945" i="1"/>
  <c r="L6945" i="1"/>
  <c r="K6945" i="1"/>
  <c r="J6945" i="1"/>
  <c r="I6945" i="1"/>
  <c r="H6945" i="1"/>
  <c r="G6945" i="1"/>
  <c r="M6944" i="1"/>
  <c r="L6944" i="1"/>
  <c r="K6944" i="1"/>
  <c r="J6944" i="1"/>
  <c r="I6944" i="1"/>
  <c r="H6944" i="1"/>
  <c r="G6944" i="1"/>
  <c r="M6943" i="1"/>
  <c r="L6943" i="1"/>
  <c r="K6943" i="1"/>
  <c r="J6943" i="1"/>
  <c r="I6943" i="1"/>
  <c r="H6943" i="1"/>
  <c r="G6943" i="1"/>
  <c r="M6942" i="1"/>
  <c r="L6942" i="1"/>
  <c r="K6942" i="1"/>
  <c r="J6942" i="1"/>
  <c r="I6942" i="1"/>
  <c r="H6942" i="1"/>
  <c r="G6942" i="1"/>
  <c r="M6941" i="1"/>
  <c r="L6941" i="1"/>
  <c r="K6941" i="1"/>
  <c r="J6941" i="1"/>
  <c r="I6941" i="1"/>
  <c r="H6941" i="1"/>
  <c r="G6941" i="1"/>
  <c r="M6940" i="1"/>
  <c r="L6940" i="1"/>
  <c r="K6940" i="1"/>
  <c r="J6940" i="1"/>
  <c r="I6940" i="1"/>
  <c r="H6940" i="1"/>
  <c r="G6940" i="1"/>
  <c r="M6939" i="1"/>
  <c r="L6939" i="1"/>
  <c r="K6939" i="1"/>
  <c r="J6939" i="1"/>
  <c r="I6939" i="1"/>
  <c r="H6939" i="1"/>
  <c r="G6939" i="1"/>
  <c r="M6938" i="1"/>
  <c r="L6938" i="1"/>
  <c r="K6938" i="1"/>
  <c r="J6938" i="1"/>
  <c r="I6938" i="1"/>
  <c r="H6938" i="1"/>
  <c r="G6938" i="1"/>
  <c r="M6937" i="1"/>
  <c r="L6937" i="1"/>
  <c r="K6937" i="1"/>
  <c r="J6937" i="1"/>
  <c r="I6937" i="1"/>
  <c r="H6937" i="1"/>
  <c r="G6937" i="1"/>
  <c r="M6936" i="1"/>
  <c r="L6936" i="1"/>
  <c r="K6936" i="1"/>
  <c r="J6936" i="1"/>
  <c r="I6936" i="1"/>
  <c r="H6936" i="1"/>
  <c r="G6936" i="1"/>
  <c r="M6935" i="1"/>
  <c r="L6935" i="1"/>
  <c r="K6935" i="1"/>
  <c r="J6935" i="1"/>
  <c r="I6935" i="1"/>
  <c r="H6935" i="1"/>
  <c r="G6935" i="1"/>
  <c r="M6934" i="1"/>
  <c r="L6934" i="1"/>
  <c r="K6934" i="1"/>
  <c r="J6934" i="1"/>
  <c r="I6934" i="1"/>
  <c r="H6934" i="1"/>
  <c r="G6934" i="1"/>
  <c r="M6933" i="1"/>
  <c r="L6933" i="1"/>
  <c r="K6933" i="1"/>
  <c r="J6933" i="1"/>
  <c r="I6933" i="1"/>
  <c r="H6933" i="1"/>
  <c r="G6933" i="1"/>
  <c r="M6932" i="1"/>
  <c r="L6932" i="1"/>
  <c r="K6932" i="1"/>
  <c r="J6932" i="1"/>
  <c r="I6932" i="1"/>
  <c r="H6932" i="1"/>
  <c r="G6932" i="1"/>
  <c r="M6931" i="1"/>
  <c r="L6931" i="1"/>
  <c r="K6931" i="1"/>
  <c r="J6931" i="1"/>
  <c r="I6931" i="1"/>
  <c r="H6931" i="1"/>
  <c r="G6931" i="1"/>
  <c r="M6930" i="1"/>
  <c r="L6930" i="1"/>
  <c r="K6930" i="1"/>
  <c r="J6930" i="1"/>
  <c r="I6930" i="1"/>
  <c r="H6930" i="1"/>
  <c r="G6930" i="1"/>
  <c r="M6929" i="1"/>
  <c r="L6929" i="1"/>
  <c r="K6929" i="1"/>
  <c r="J6929" i="1"/>
  <c r="I6929" i="1"/>
  <c r="H6929" i="1"/>
  <c r="G6929" i="1"/>
  <c r="M6928" i="1"/>
  <c r="L6928" i="1"/>
  <c r="K6928" i="1"/>
  <c r="J6928" i="1"/>
  <c r="I6928" i="1"/>
  <c r="H6928" i="1"/>
  <c r="G6928" i="1"/>
  <c r="M6927" i="1"/>
  <c r="L6927" i="1"/>
  <c r="K6927" i="1"/>
  <c r="J6927" i="1"/>
  <c r="I6927" i="1"/>
  <c r="H6927" i="1"/>
  <c r="G6927" i="1"/>
  <c r="M6926" i="1"/>
  <c r="L6926" i="1"/>
  <c r="K6926" i="1"/>
  <c r="J6926" i="1"/>
  <c r="I6926" i="1"/>
  <c r="H6926" i="1"/>
  <c r="G6926" i="1"/>
  <c r="M6925" i="1"/>
  <c r="L6925" i="1"/>
  <c r="K6925" i="1"/>
  <c r="J6925" i="1"/>
  <c r="I6925" i="1"/>
  <c r="H6925" i="1"/>
  <c r="G6925" i="1"/>
  <c r="M6924" i="1"/>
  <c r="L6924" i="1"/>
  <c r="K6924" i="1"/>
  <c r="J6924" i="1"/>
  <c r="I6924" i="1"/>
  <c r="H6924" i="1"/>
  <c r="G6924" i="1"/>
  <c r="M6923" i="1"/>
  <c r="L6923" i="1"/>
  <c r="K6923" i="1"/>
  <c r="J6923" i="1"/>
  <c r="I6923" i="1"/>
  <c r="H6923" i="1"/>
  <c r="G6923" i="1"/>
  <c r="M6922" i="1"/>
  <c r="L6922" i="1"/>
  <c r="K6922" i="1"/>
  <c r="J6922" i="1"/>
  <c r="I6922" i="1"/>
  <c r="H6922" i="1"/>
  <c r="G6922" i="1"/>
  <c r="M6921" i="1"/>
  <c r="L6921" i="1"/>
  <c r="K6921" i="1"/>
  <c r="J6921" i="1"/>
  <c r="I6921" i="1"/>
  <c r="H6921" i="1"/>
  <c r="G6921" i="1"/>
  <c r="M6920" i="1"/>
  <c r="L6920" i="1"/>
  <c r="K6920" i="1"/>
  <c r="J6920" i="1"/>
  <c r="I6920" i="1"/>
  <c r="H6920" i="1"/>
  <c r="G6920" i="1"/>
  <c r="M6919" i="1"/>
  <c r="L6919" i="1"/>
  <c r="K6919" i="1"/>
  <c r="J6919" i="1"/>
  <c r="I6919" i="1"/>
  <c r="H6919" i="1"/>
  <c r="G6919" i="1"/>
  <c r="M6918" i="1"/>
  <c r="L6918" i="1"/>
  <c r="K6918" i="1"/>
  <c r="J6918" i="1"/>
  <c r="I6918" i="1"/>
  <c r="H6918" i="1"/>
  <c r="G6918" i="1"/>
  <c r="M6917" i="1"/>
  <c r="L6917" i="1"/>
  <c r="K6917" i="1"/>
  <c r="J6917" i="1"/>
  <c r="I6917" i="1"/>
  <c r="H6917" i="1"/>
  <c r="G6917" i="1"/>
  <c r="M6916" i="1"/>
  <c r="L6916" i="1"/>
  <c r="K6916" i="1"/>
  <c r="J6916" i="1"/>
  <c r="I6916" i="1"/>
  <c r="H6916" i="1"/>
  <c r="G6916" i="1"/>
  <c r="M6915" i="1"/>
  <c r="L6915" i="1"/>
  <c r="K6915" i="1"/>
  <c r="J6915" i="1"/>
  <c r="I6915" i="1"/>
  <c r="H6915" i="1"/>
  <c r="G6915" i="1"/>
  <c r="M6914" i="1"/>
  <c r="L6914" i="1"/>
  <c r="K6914" i="1"/>
  <c r="J6914" i="1"/>
  <c r="I6914" i="1"/>
  <c r="H6914" i="1"/>
  <c r="G6914" i="1"/>
  <c r="M6913" i="1"/>
  <c r="L6913" i="1"/>
  <c r="K6913" i="1"/>
  <c r="J6913" i="1"/>
  <c r="I6913" i="1"/>
  <c r="H6913" i="1"/>
  <c r="G6913" i="1"/>
  <c r="M6912" i="1"/>
  <c r="L6912" i="1"/>
  <c r="K6912" i="1"/>
  <c r="J6912" i="1"/>
  <c r="I6912" i="1"/>
  <c r="H6912" i="1"/>
  <c r="G6912" i="1"/>
  <c r="M6911" i="1"/>
  <c r="L6911" i="1"/>
  <c r="K6911" i="1"/>
  <c r="J6911" i="1"/>
  <c r="I6911" i="1"/>
  <c r="H6911" i="1"/>
  <c r="G6911" i="1"/>
  <c r="M6910" i="1"/>
  <c r="L6910" i="1"/>
  <c r="K6910" i="1"/>
  <c r="J6910" i="1"/>
  <c r="I6910" i="1"/>
  <c r="H6910" i="1"/>
  <c r="G6910" i="1"/>
  <c r="M6909" i="1"/>
  <c r="L6909" i="1"/>
  <c r="K6909" i="1"/>
  <c r="J6909" i="1"/>
  <c r="I6909" i="1"/>
  <c r="H6909" i="1"/>
  <c r="G6909" i="1"/>
  <c r="M6908" i="1"/>
  <c r="L6908" i="1"/>
  <c r="K6908" i="1"/>
  <c r="J6908" i="1"/>
  <c r="I6908" i="1"/>
  <c r="H6908" i="1"/>
  <c r="G6908" i="1"/>
  <c r="M6907" i="1"/>
  <c r="L6907" i="1"/>
  <c r="K6907" i="1"/>
  <c r="J6907" i="1"/>
  <c r="I6907" i="1"/>
  <c r="H6907" i="1"/>
  <c r="G6907" i="1"/>
  <c r="M6906" i="1"/>
  <c r="L6906" i="1"/>
  <c r="K6906" i="1"/>
  <c r="J6906" i="1"/>
  <c r="I6906" i="1"/>
  <c r="H6906" i="1"/>
  <c r="G6906" i="1"/>
  <c r="M6905" i="1"/>
  <c r="L6905" i="1"/>
  <c r="K6905" i="1"/>
  <c r="J6905" i="1"/>
  <c r="I6905" i="1"/>
  <c r="H6905" i="1"/>
  <c r="G6905" i="1"/>
  <c r="M6904" i="1"/>
  <c r="L6904" i="1"/>
  <c r="K6904" i="1"/>
  <c r="J6904" i="1"/>
  <c r="I6904" i="1"/>
  <c r="H6904" i="1"/>
  <c r="G6904" i="1"/>
  <c r="M6903" i="1"/>
  <c r="L6903" i="1"/>
  <c r="K6903" i="1"/>
  <c r="J6903" i="1"/>
  <c r="I6903" i="1"/>
  <c r="H6903" i="1"/>
  <c r="G6903" i="1"/>
  <c r="M6902" i="1"/>
  <c r="L6902" i="1"/>
  <c r="K6902" i="1"/>
  <c r="J6902" i="1"/>
  <c r="I6902" i="1"/>
  <c r="H6902" i="1"/>
  <c r="G6902" i="1"/>
  <c r="M6901" i="1"/>
  <c r="L6901" i="1"/>
  <c r="K6901" i="1"/>
  <c r="J6901" i="1"/>
  <c r="I6901" i="1"/>
  <c r="H6901" i="1"/>
  <c r="G6901" i="1"/>
  <c r="M6900" i="1"/>
  <c r="L6900" i="1"/>
  <c r="K6900" i="1"/>
  <c r="J6900" i="1"/>
  <c r="I6900" i="1"/>
  <c r="H6900" i="1"/>
  <c r="G6900" i="1"/>
  <c r="M6899" i="1"/>
  <c r="L6899" i="1"/>
  <c r="K6899" i="1"/>
  <c r="J6899" i="1"/>
  <c r="I6899" i="1"/>
  <c r="H6899" i="1"/>
  <c r="G6899" i="1"/>
  <c r="M6898" i="1"/>
  <c r="L6898" i="1"/>
  <c r="K6898" i="1"/>
  <c r="J6898" i="1"/>
  <c r="I6898" i="1"/>
  <c r="H6898" i="1"/>
  <c r="G6898" i="1"/>
  <c r="M6897" i="1"/>
  <c r="L6897" i="1"/>
  <c r="K6897" i="1"/>
  <c r="J6897" i="1"/>
  <c r="I6897" i="1"/>
  <c r="H6897" i="1"/>
  <c r="G6897" i="1"/>
  <c r="M6896" i="1"/>
  <c r="L6896" i="1"/>
  <c r="K6896" i="1"/>
  <c r="J6896" i="1"/>
  <c r="I6896" i="1"/>
  <c r="H6896" i="1"/>
  <c r="G6896" i="1"/>
  <c r="M6895" i="1"/>
  <c r="L6895" i="1"/>
  <c r="K6895" i="1"/>
  <c r="J6895" i="1"/>
  <c r="I6895" i="1"/>
  <c r="H6895" i="1"/>
  <c r="G6895" i="1"/>
  <c r="M6894" i="1"/>
  <c r="L6894" i="1"/>
  <c r="K6894" i="1"/>
  <c r="J6894" i="1"/>
  <c r="I6894" i="1"/>
  <c r="H6894" i="1"/>
  <c r="G6894" i="1"/>
  <c r="M6893" i="1"/>
  <c r="L6893" i="1"/>
  <c r="K6893" i="1"/>
  <c r="J6893" i="1"/>
  <c r="I6893" i="1"/>
  <c r="H6893" i="1"/>
  <c r="G6893" i="1"/>
  <c r="M6892" i="1"/>
  <c r="L6892" i="1"/>
  <c r="K6892" i="1"/>
  <c r="J6892" i="1"/>
  <c r="I6892" i="1"/>
  <c r="H6892" i="1"/>
  <c r="G6892" i="1"/>
  <c r="M6891" i="1"/>
  <c r="L6891" i="1"/>
  <c r="K6891" i="1"/>
  <c r="J6891" i="1"/>
  <c r="I6891" i="1"/>
  <c r="H6891" i="1"/>
  <c r="G6891" i="1"/>
  <c r="M6890" i="1"/>
  <c r="L6890" i="1"/>
  <c r="K6890" i="1"/>
  <c r="J6890" i="1"/>
  <c r="I6890" i="1"/>
  <c r="H6890" i="1"/>
  <c r="G6890" i="1"/>
  <c r="M6889" i="1"/>
  <c r="L6889" i="1"/>
  <c r="K6889" i="1"/>
  <c r="J6889" i="1"/>
  <c r="I6889" i="1"/>
  <c r="H6889" i="1"/>
  <c r="G6889" i="1"/>
  <c r="M6888" i="1"/>
  <c r="L6888" i="1"/>
  <c r="K6888" i="1"/>
  <c r="J6888" i="1"/>
  <c r="I6888" i="1"/>
  <c r="H6888" i="1"/>
  <c r="G6888" i="1"/>
  <c r="M6887" i="1"/>
  <c r="L6887" i="1"/>
  <c r="K6887" i="1"/>
  <c r="J6887" i="1"/>
  <c r="I6887" i="1"/>
  <c r="H6887" i="1"/>
  <c r="G6887" i="1"/>
  <c r="M6886" i="1"/>
  <c r="L6886" i="1"/>
  <c r="K6886" i="1"/>
  <c r="J6886" i="1"/>
  <c r="I6886" i="1"/>
  <c r="H6886" i="1"/>
  <c r="G6886" i="1"/>
  <c r="M6885" i="1"/>
  <c r="L6885" i="1"/>
  <c r="K6885" i="1"/>
  <c r="J6885" i="1"/>
  <c r="I6885" i="1"/>
  <c r="H6885" i="1"/>
  <c r="G6885" i="1"/>
  <c r="M6884" i="1"/>
  <c r="L6884" i="1"/>
  <c r="K6884" i="1"/>
  <c r="J6884" i="1"/>
  <c r="I6884" i="1"/>
  <c r="H6884" i="1"/>
  <c r="G6884" i="1"/>
  <c r="M6883" i="1"/>
  <c r="L6883" i="1"/>
  <c r="K6883" i="1"/>
  <c r="J6883" i="1"/>
  <c r="I6883" i="1"/>
  <c r="H6883" i="1"/>
  <c r="G6883" i="1"/>
  <c r="M6882" i="1"/>
  <c r="L6882" i="1"/>
  <c r="K6882" i="1"/>
  <c r="J6882" i="1"/>
  <c r="I6882" i="1"/>
  <c r="H6882" i="1"/>
  <c r="G6882" i="1"/>
  <c r="M6881" i="1"/>
  <c r="L6881" i="1"/>
  <c r="K6881" i="1"/>
  <c r="J6881" i="1"/>
  <c r="I6881" i="1"/>
  <c r="H6881" i="1"/>
  <c r="G6881" i="1"/>
  <c r="M6880" i="1"/>
  <c r="L6880" i="1"/>
  <c r="K6880" i="1"/>
  <c r="J6880" i="1"/>
  <c r="I6880" i="1"/>
  <c r="H6880" i="1"/>
  <c r="G6880" i="1"/>
  <c r="M6879" i="1"/>
  <c r="L6879" i="1"/>
  <c r="K6879" i="1"/>
  <c r="J6879" i="1"/>
  <c r="I6879" i="1"/>
  <c r="H6879" i="1"/>
  <c r="G6879" i="1"/>
  <c r="M6878" i="1"/>
  <c r="L6878" i="1"/>
  <c r="K6878" i="1"/>
  <c r="J6878" i="1"/>
  <c r="I6878" i="1"/>
  <c r="H6878" i="1"/>
  <c r="G6878" i="1"/>
  <c r="M6877" i="1"/>
  <c r="L6877" i="1"/>
  <c r="K6877" i="1"/>
  <c r="J6877" i="1"/>
  <c r="I6877" i="1"/>
  <c r="H6877" i="1"/>
  <c r="G6877" i="1"/>
  <c r="M6876" i="1"/>
  <c r="L6876" i="1"/>
  <c r="K6876" i="1"/>
  <c r="J6876" i="1"/>
  <c r="I6876" i="1"/>
  <c r="H6876" i="1"/>
  <c r="G6876" i="1"/>
  <c r="M6875" i="1"/>
  <c r="L6875" i="1"/>
  <c r="K6875" i="1"/>
  <c r="J6875" i="1"/>
  <c r="I6875" i="1"/>
  <c r="H6875" i="1"/>
  <c r="G6875" i="1"/>
  <c r="M6874" i="1"/>
  <c r="L6874" i="1"/>
  <c r="K6874" i="1"/>
  <c r="J6874" i="1"/>
  <c r="I6874" i="1"/>
  <c r="H6874" i="1"/>
  <c r="G6874" i="1"/>
  <c r="M6873" i="1"/>
  <c r="L6873" i="1"/>
  <c r="K6873" i="1"/>
  <c r="J6873" i="1"/>
  <c r="I6873" i="1"/>
  <c r="H6873" i="1"/>
  <c r="G6873" i="1"/>
  <c r="M6872" i="1"/>
  <c r="L6872" i="1"/>
  <c r="K6872" i="1"/>
  <c r="J6872" i="1"/>
  <c r="I6872" i="1"/>
  <c r="H6872" i="1"/>
  <c r="G6872" i="1"/>
  <c r="M6871" i="1"/>
  <c r="L6871" i="1"/>
  <c r="K6871" i="1"/>
  <c r="J6871" i="1"/>
  <c r="I6871" i="1"/>
  <c r="H6871" i="1"/>
  <c r="G6871" i="1"/>
  <c r="M6870" i="1"/>
  <c r="L6870" i="1"/>
  <c r="K6870" i="1"/>
  <c r="J6870" i="1"/>
  <c r="I6870" i="1"/>
  <c r="H6870" i="1"/>
  <c r="G6870" i="1"/>
  <c r="M6869" i="1"/>
  <c r="L6869" i="1"/>
  <c r="K6869" i="1"/>
  <c r="J6869" i="1"/>
  <c r="I6869" i="1"/>
  <c r="H6869" i="1"/>
  <c r="G6869" i="1"/>
  <c r="M6868" i="1"/>
  <c r="L6868" i="1"/>
  <c r="K6868" i="1"/>
  <c r="J6868" i="1"/>
  <c r="I6868" i="1"/>
  <c r="H6868" i="1"/>
  <c r="G6868" i="1"/>
  <c r="M6867" i="1"/>
  <c r="L6867" i="1"/>
  <c r="K6867" i="1"/>
  <c r="J6867" i="1"/>
  <c r="I6867" i="1"/>
  <c r="H6867" i="1"/>
  <c r="G6867" i="1"/>
  <c r="M6866" i="1"/>
  <c r="L6866" i="1"/>
  <c r="K6866" i="1"/>
  <c r="J6866" i="1"/>
  <c r="I6866" i="1"/>
  <c r="H6866" i="1"/>
  <c r="G6866" i="1"/>
  <c r="M6865" i="1"/>
  <c r="L6865" i="1"/>
  <c r="K6865" i="1"/>
  <c r="J6865" i="1"/>
  <c r="I6865" i="1"/>
  <c r="H6865" i="1"/>
  <c r="G6865" i="1"/>
  <c r="M6864" i="1"/>
  <c r="L6864" i="1"/>
  <c r="K6864" i="1"/>
  <c r="J6864" i="1"/>
  <c r="I6864" i="1"/>
  <c r="H6864" i="1"/>
  <c r="G6864" i="1"/>
  <c r="M6863" i="1"/>
  <c r="L6863" i="1"/>
  <c r="K6863" i="1"/>
  <c r="J6863" i="1"/>
  <c r="I6863" i="1"/>
  <c r="H6863" i="1"/>
  <c r="G6863" i="1"/>
  <c r="M6862" i="1"/>
  <c r="L6862" i="1"/>
  <c r="K6862" i="1"/>
  <c r="J6862" i="1"/>
  <c r="I6862" i="1"/>
  <c r="H6862" i="1"/>
  <c r="G6862" i="1"/>
  <c r="M6861" i="1"/>
  <c r="L6861" i="1"/>
  <c r="K6861" i="1"/>
  <c r="J6861" i="1"/>
  <c r="I6861" i="1"/>
  <c r="H6861" i="1"/>
  <c r="G6861" i="1"/>
  <c r="M6860" i="1"/>
  <c r="L6860" i="1"/>
  <c r="K6860" i="1"/>
  <c r="J6860" i="1"/>
  <c r="I6860" i="1"/>
  <c r="H6860" i="1"/>
  <c r="G6860" i="1"/>
  <c r="M6859" i="1"/>
  <c r="L6859" i="1"/>
  <c r="K6859" i="1"/>
  <c r="J6859" i="1"/>
  <c r="I6859" i="1"/>
  <c r="H6859" i="1"/>
  <c r="G6859" i="1"/>
  <c r="M6858" i="1"/>
  <c r="L6858" i="1"/>
  <c r="K6858" i="1"/>
  <c r="J6858" i="1"/>
  <c r="I6858" i="1"/>
  <c r="H6858" i="1"/>
  <c r="G6858" i="1"/>
  <c r="M6857" i="1"/>
  <c r="L6857" i="1"/>
  <c r="K6857" i="1"/>
  <c r="J6857" i="1"/>
  <c r="I6857" i="1"/>
  <c r="H6857" i="1"/>
  <c r="G6857" i="1"/>
  <c r="M6856" i="1"/>
  <c r="L6856" i="1"/>
  <c r="K6856" i="1"/>
  <c r="J6856" i="1"/>
  <c r="I6856" i="1"/>
  <c r="H6856" i="1"/>
  <c r="G6856" i="1"/>
  <c r="M6855" i="1"/>
  <c r="L6855" i="1"/>
  <c r="K6855" i="1"/>
  <c r="J6855" i="1"/>
  <c r="I6855" i="1"/>
  <c r="H6855" i="1"/>
  <c r="G6855" i="1"/>
  <c r="M6854" i="1"/>
  <c r="L6854" i="1"/>
  <c r="K6854" i="1"/>
  <c r="J6854" i="1"/>
  <c r="I6854" i="1"/>
  <c r="H6854" i="1"/>
  <c r="G6854" i="1"/>
  <c r="M6853" i="1"/>
  <c r="L6853" i="1"/>
  <c r="K6853" i="1"/>
  <c r="J6853" i="1"/>
  <c r="I6853" i="1"/>
  <c r="H6853" i="1"/>
  <c r="G6853" i="1"/>
  <c r="M6852" i="1"/>
  <c r="L6852" i="1"/>
  <c r="K6852" i="1"/>
  <c r="J6852" i="1"/>
  <c r="I6852" i="1"/>
  <c r="H6852" i="1"/>
  <c r="G6852" i="1"/>
  <c r="M6851" i="1"/>
  <c r="L6851" i="1"/>
  <c r="K6851" i="1"/>
  <c r="J6851" i="1"/>
  <c r="I6851" i="1"/>
  <c r="H6851" i="1"/>
  <c r="G6851" i="1"/>
  <c r="M6850" i="1"/>
  <c r="L6850" i="1"/>
  <c r="K6850" i="1"/>
  <c r="J6850" i="1"/>
  <c r="I6850" i="1"/>
  <c r="H6850" i="1"/>
  <c r="G6850" i="1"/>
  <c r="M6849" i="1"/>
  <c r="L6849" i="1"/>
  <c r="K6849" i="1"/>
  <c r="J6849" i="1"/>
  <c r="I6849" i="1"/>
  <c r="H6849" i="1"/>
  <c r="G6849" i="1"/>
  <c r="M6848" i="1"/>
  <c r="L6848" i="1"/>
  <c r="K6848" i="1"/>
  <c r="J6848" i="1"/>
  <c r="I6848" i="1"/>
  <c r="H6848" i="1"/>
  <c r="G6848" i="1"/>
  <c r="M6847" i="1"/>
  <c r="L6847" i="1"/>
  <c r="K6847" i="1"/>
  <c r="J6847" i="1"/>
  <c r="I6847" i="1"/>
  <c r="H6847" i="1"/>
  <c r="G6847" i="1"/>
  <c r="M6846" i="1"/>
  <c r="L6846" i="1"/>
  <c r="K6846" i="1"/>
  <c r="J6846" i="1"/>
  <c r="I6846" i="1"/>
  <c r="H6846" i="1"/>
  <c r="G6846" i="1"/>
  <c r="M6845" i="1"/>
  <c r="L6845" i="1"/>
  <c r="K6845" i="1"/>
  <c r="J6845" i="1"/>
  <c r="I6845" i="1"/>
  <c r="H6845" i="1"/>
  <c r="G6845" i="1"/>
  <c r="M6844" i="1"/>
  <c r="L6844" i="1"/>
  <c r="K6844" i="1"/>
  <c r="J6844" i="1"/>
  <c r="I6844" i="1"/>
  <c r="H6844" i="1"/>
  <c r="G6844" i="1"/>
  <c r="M6843" i="1"/>
  <c r="L6843" i="1"/>
  <c r="K6843" i="1"/>
  <c r="J6843" i="1"/>
  <c r="I6843" i="1"/>
  <c r="H6843" i="1"/>
  <c r="G6843" i="1"/>
  <c r="M6842" i="1"/>
  <c r="L6842" i="1"/>
  <c r="K6842" i="1"/>
  <c r="J6842" i="1"/>
  <c r="I6842" i="1"/>
  <c r="H6842" i="1"/>
  <c r="G6842" i="1"/>
  <c r="M6841" i="1"/>
  <c r="L6841" i="1"/>
  <c r="K6841" i="1"/>
  <c r="J6841" i="1"/>
  <c r="I6841" i="1"/>
  <c r="H6841" i="1"/>
  <c r="G6841" i="1"/>
  <c r="M6840" i="1"/>
  <c r="L6840" i="1"/>
  <c r="K6840" i="1"/>
  <c r="J6840" i="1"/>
  <c r="I6840" i="1"/>
  <c r="H6840" i="1"/>
  <c r="G6840" i="1"/>
  <c r="M6839" i="1"/>
  <c r="L6839" i="1"/>
  <c r="K6839" i="1"/>
  <c r="J6839" i="1"/>
  <c r="I6839" i="1"/>
  <c r="H6839" i="1"/>
  <c r="G6839" i="1"/>
  <c r="M6838" i="1"/>
  <c r="L6838" i="1"/>
  <c r="K6838" i="1"/>
  <c r="J6838" i="1"/>
  <c r="I6838" i="1"/>
  <c r="H6838" i="1"/>
  <c r="G6838" i="1"/>
  <c r="M6837" i="1"/>
  <c r="L6837" i="1"/>
  <c r="K6837" i="1"/>
  <c r="J6837" i="1"/>
  <c r="I6837" i="1"/>
  <c r="H6837" i="1"/>
  <c r="G6837" i="1"/>
  <c r="M6836" i="1"/>
  <c r="L6836" i="1"/>
  <c r="K6836" i="1"/>
  <c r="J6836" i="1"/>
  <c r="I6836" i="1"/>
  <c r="H6836" i="1"/>
  <c r="G6836" i="1"/>
  <c r="M6835" i="1"/>
  <c r="L6835" i="1"/>
  <c r="K6835" i="1"/>
  <c r="J6835" i="1"/>
  <c r="I6835" i="1"/>
  <c r="H6835" i="1"/>
  <c r="G6835" i="1"/>
  <c r="M6834" i="1"/>
  <c r="L6834" i="1"/>
  <c r="K6834" i="1"/>
  <c r="J6834" i="1"/>
  <c r="I6834" i="1"/>
  <c r="H6834" i="1"/>
  <c r="G6834" i="1"/>
  <c r="M6833" i="1"/>
  <c r="L6833" i="1"/>
  <c r="K6833" i="1"/>
  <c r="J6833" i="1"/>
  <c r="I6833" i="1"/>
  <c r="H6833" i="1"/>
  <c r="G6833" i="1"/>
  <c r="M6832" i="1"/>
  <c r="L6832" i="1"/>
  <c r="K6832" i="1"/>
  <c r="J6832" i="1"/>
  <c r="I6832" i="1"/>
  <c r="H6832" i="1"/>
  <c r="G6832" i="1"/>
  <c r="M6831" i="1"/>
  <c r="L6831" i="1"/>
  <c r="K6831" i="1"/>
  <c r="J6831" i="1"/>
  <c r="I6831" i="1"/>
  <c r="H6831" i="1"/>
  <c r="G6831" i="1"/>
  <c r="M6830" i="1"/>
  <c r="L6830" i="1"/>
  <c r="K6830" i="1"/>
  <c r="J6830" i="1"/>
  <c r="I6830" i="1"/>
  <c r="H6830" i="1"/>
  <c r="G6830" i="1"/>
  <c r="M6829" i="1"/>
  <c r="L6829" i="1"/>
  <c r="K6829" i="1"/>
  <c r="J6829" i="1"/>
  <c r="I6829" i="1"/>
  <c r="H6829" i="1"/>
  <c r="G6829" i="1"/>
  <c r="M6828" i="1"/>
  <c r="L6828" i="1"/>
  <c r="K6828" i="1"/>
  <c r="J6828" i="1"/>
  <c r="I6828" i="1"/>
  <c r="H6828" i="1"/>
  <c r="G6828" i="1"/>
  <c r="M6827" i="1"/>
  <c r="L6827" i="1"/>
  <c r="K6827" i="1"/>
  <c r="J6827" i="1"/>
  <c r="I6827" i="1"/>
  <c r="H6827" i="1"/>
  <c r="G6827" i="1"/>
  <c r="M6826" i="1"/>
  <c r="L6826" i="1"/>
  <c r="K6826" i="1"/>
  <c r="J6826" i="1"/>
  <c r="I6826" i="1"/>
  <c r="H6826" i="1"/>
  <c r="G6826" i="1"/>
  <c r="M6825" i="1"/>
  <c r="L6825" i="1"/>
  <c r="K6825" i="1"/>
  <c r="J6825" i="1"/>
  <c r="I6825" i="1"/>
  <c r="H6825" i="1"/>
  <c r="G6825" i="1"/>
  <c r="M6824" i="1"/>
  <c r="L6824" i="1"/>
  <c r="K6824" i="1"/>
  <c r="J6824" i="1"/>
  <c r="I6824" i="1"/>
  <c r="H6824" i="1"/>
  <c r="G6824" i="1"/>
  <c r="M6823" i="1"/>
  <c r="L6823" i="1"/>
  <c r="K6823" i="1"/>
  <c r="J6823" i="1"/>
  <c r="I6823" i="1"/>
  <c r="H6823" i="1"/>
  <c r="G6823" i="1"/>
  <c r="M6822" i="1"/>
  <c r="L6822" i="1"/>
  <c r="K6822" i="1"/>
  <c r="J6822" i="1"/>
  <c r="I6822" i="1"/>
  <c r="H6822" i="1"/>
  <c r="G6822" i="1"/>
  <c r="M6821" i="1"/>
  <c r="L6821" i="1"/>
  <c r="K6821" i="1"/>
  <c r="J6821" i="1"/>
  <c r="I6821" i="1"/>
  <c r="H6821" i="1"/>
  <c r="G6821" i="1"/>
  <c r="M6820" i="1"/>
  <c r="L6820" i="1"/>
  <c r="K6820" i="1"/>
  <c r="J6820" i="1"/>
  <c r="I6820" i="1"/>
  <c r="H6820" i="1"/>
  <c r="G6820" i="1"/>
  <c r="M6819" i="1"/>
  <c r="L6819" i="1"/>
  <c r="K6819" i="1"/>
  <c r="J6819" i="1"/>
  <c r="I6819" i="1"/>
  <c r="H6819" i="1"/>
  <c r="G6819" i="1"/>
  <c r="M6818" i="1"/>
  <c r="L6818" i="1"/>
  <c r="K6818" i="1"/>
  <c r="J6818" i="1"/>
  <c r="I6818" i="1"/>
  <c r="H6818" i="1"/>
  <c r="G6818" i="1"/>
  <c r="M6817" i="1"/>
  <c r="L6817" i="1"/>
  <c r="K6817" i="1"/>
  <c r="J6817" i="1"/>
  <c r="I6817" i="1"/>
  <c r="H6817" i="1"/>
  <c r="G6817" i="1"/>
  <c r="M6816" i="1"/>
  <c r="L6816" i="1"/>
  <c r="K6816" i="1"/>
  <c r="J6816" i="1"/>
  <c r="I6816" i="1"/>
  <c r="H6816" i="1"/>
  <c r="G6816" i="1"/>
  <c r="M6815" i="1"/>
  <c r="L6815" i="1"/>
  <c r="K6815" i="1"/>
  <c r="J6815" i="1"/>
  <c r="I6815" i="1"/>
  <c r="H6815" i="1"/>
  <c r="G6815" i="1"/>
  <c r="M6814" i="1"/>
  <c r="L6814" i="1"/>
  <c r="K6814" i="1"/>
  <c r="J6814" i="1"/>
  <c r="I6814" i="1"/>
  <c r="H6814" i="1"/>
  <c r="G6814" i="1"/>
  <c r="M6813" i="1"/>
  <c r="L6813" i="1"/>
  <c r="K6813" i="1"/>
  <c r="J6813" i="1"/>
  <c r="I6813" i="1"/>
  <c r="H6813" i="1"/>
  <c r="G6813" i="1"/>
  <c r="M6812" i="1"/>
  <c r="L6812" i="1"/>
  <c r="K6812" i="1"/>
  <c r="J6812" i="1"/>
  <c r="I6812" i="1"/>
  <c r="H6812" i="1"/>
  <c r="G6812" i="1"/>
  <c r="M6811" i="1"/>
  <c r="L6811" i="1"/>
  <c r="K6811" i="1"/>
  <c r="J6811" i="1"/>
  <c r="I6811" i="1"/>
  <c r="H6811" i="1"/>
  <c r="G6811" i="1"/>
  <c r="M6810" i="1"/>
  <c r="L6810" i="1"/>
  <c r="K6810" i="1"/>
  <c r="J6810" i="1"/>
  <c r="I6810" i="1"/>
  <c r="H6810" i="1"/>
  <c r="G6810" i="1"/>
  <c r="M6809" i="1"/>
  <c r="L6809" i="1"/>
  <c r="K6809" i="1"/>
  <c r="J6809" i="1"/>
  <c r="I6809" i="1"/>
  <c r="H6809" i="1"/>
  <c r="G6809" i="1"/>
  <c r="M6808" i="1"/>
  <c r="L6808" i="1"/>
  <c r="K6808" i="1"/>
  <c r="J6808" i="1"/>
  <c r="I6808" i="1"/>
  <c r="H6808" i="1"/>
  <c r="G6808" i="1"/>
  <c r="M6807" i="1"/>
  <c r="L6807" i="1"/>
  <c r="K6807" i="1"/>
  <c r="J6807" i="1"/>
  <c r="I6807" i="1"/>
  <c r="H6807" i="1"/>
  <c r="G6807" i="1"/>
  <c r="M6806" i="1"/>
  <c r="L6806" i="1"/>
  <c r="K6806" i="1"/>
  <c r="J6806" i="1"/>
  <c r="I6806" i="1"/>
  <c r="H6806" i="1"/>
  <c r="G6806" i="1"/>
  <c r="M6805" i="1"/>
  <c r="L6805" i="1"/>
  <c r="K6805" i="1"/>
  <c r="J6805" i="1"/>
  <c r="I6805" i="1"/>
  <c r="H6805" i="1"/>
  <c r="G6805" i="1"/>
  <c r="M6804" i="1"/>
  <c r="L6804" i="1"/>
  <c r="K6804" i="1"/>
  <c r="J6804" i="1"/>
  <c r="I6804" i="1"/>
  <c r="H6804" i="1"/>
  <c r="G6804" i="1"/>
  <c r="M6803" i="1"/>
  <c r="L6803" i="1"/>
  <c r="K6803" i="1"/>
  <c r="J6803" i="1"/>
  <c r="I6803" i="1"/>
  <c r="H6803" i="1"/>
  <c r="G6803" i="1"/>
  <c r="M6802" i="1"/>
  <c r="L6802" i="1"/>
  <c r="K6802" i="1"/>
  <c r="J6802" i="1"/>
  <c r="I6802" i="1"/>
  <c r="H6802" i="1"/>
  <c r="G6802" i="1"/>
  <c r="M6801" i="1"/>
  <c r="L6801" i="1"/>
  <c r="K6801" i="1"/>
  <c r="J6801" i="1"/>
  <c r="I6801" i="1"/>
  <c r="H6801" i="1"/>
  <c r="G6801" i="1"/>
  <c r="M6800" i="1"/>
  <c r="L6800" i="1"/>
  <c r="K6800" i="1"/>
  <c r="J6800" i="1"/>
  <c r="I6800" i="1"/>
  <c r="H6800" i="1"/>
  <c r="G6800" i="1"/>
  <c r="M6799" i="1"/>
  <c r="L6799" i="1"/>
  <c r="K6799" i="1"/>
  <c r="J6799" i="1"/>
  <c r="I6799" i="1"/>
  <c r="H6799" i="1"/>
  <c r="G6799" i="1"/>
  <c r="M6798" i="1"/>
  <c r="L6798" i="1"/>
  <c r="K6798" i="1"/>
  <c r="J6798" i="1"/>
  <c r="I6798" i="1"/>
  <c r="H6798" i="1"/>
  <c r="G6798" i="1"/>
  <c r="M6797" i="1"/>
  <c r="L6797" i="1"/>
  <c r="K6797" i="1"/>
  <c r="J6797" i="1"/>
  <c r="I6797" i="1"/>
  <c r="H6797" i="1"/>
  <c r="G6797" i="1"/>
  <c r="M6796" i="1"/>
  <c r="L6796" i="1"/>
  <c r="K6796" i="1"/>
  <c r="J6796" i="1"/>
  <c r="I6796" i="1"/>
  <c r="H6796" i="1"/>
  <c r="G6796" i="1"/>
  <c r="M6795" i="1"/>
  <c r="L6795" i="1"/>
  <c r="K6795" i="1"/>
  <c r="J6795" i="1"/>
  <c r="I6795" i="1"/>
  <c r="H6795" i="1"/>
  <c r="G6795" i="1"/>
  <c r="M6794" i="1"/>
  <c r="L6794" i="1"/>
  <c r="K6794" i="1"/>
  <c r="J6794" i="1"/>
  <c r="I6794" i="1"/>
  <c r="H6794" i="1"/>
  <c r="G6794" i="1"/>
  <c r="M6793" i="1"/>
  <c r="L6793" i="1"/>
  <c r="K6793" i="1"/>
  <c r="J6793" i="1"/>
  <c r="I6793" i="1"/>
  <c r="H6793" i="1"/>
  <c r="G6793" i="1"/>
  <c r="M6792" i="1"/>
  <c r="L6792" i="1"/>
  <c r="K6792" i="1"/>
  <c r="J6792" i="1"/>
  <c r="I6792" i="1"/>
  <c r="H6792" i="1"/>
  <c r="G6792" i="1"/>
  <c r="M6791" i="1"/>
  <c r="L6791" i="1"/>
  <c r="K6791" i="1"/>
  <c r="J6791" i="1"/>
  <c r="I6791" i="1"/>
  <c r="H6791" i="1"/>
  <c r="G6791" i="1"/>
  <c r="M6790" i="1"/>
  <c r="L6790" i="1"/>
  <c r="K6790" i="1"/>
  <c r="J6790" i="1"/>
  <c r="I6790" i="1"/>
  <c r="H6790" i="1"/>
  <c r="G6790" i="1"/>
  <c r="M6789" i="1"/>
  <c r="L6789" i="1"/>
  <c r="K6789" i="1"/>
  <c r="J6789" i="1"/>
  <c r="I6789" i="1"/>
  <c r="H6789" i="1"/>
  <c r="G6789" i="1"/>
  <c r="M6788" i="1"/>
  <c r="L6788" i="1"/>
  <c r="K6788" i="1"/>
  <c r="J6788" i="1"/>
  <c r="I6788" i="1"/>
  <c r="H6788" i="1"/>
  <c r="G6788" i="1"/>
  <c r="M6787" i="1"/>
  <c r="L6787" i="1"/>
  <c r="K6787" i="1"/>
  <c r="J6787" i="1"/>
  <c r="I6787" i="1"/>
  <c r="H6787" i="1"/>
  <c r="G6787" i="1"/>
  <c r="M6786" i="1"/>
  <c r="L6786" i="1"/>
  <c r="K6786" i="1"/>
  <c r="J6786" i="1"/>
  <c r="I6786" i="1"/>
  <c r="H6786" i="1"/>
  <c r="G6786" i="1"/>
  <c r="M6785" i="1"/>
  <c r="L6785" i="1"/>
  <c r="K6785" i="1"/>
  <c r="J6785" i="1"/>
  <c r="I6785" i="1"/>
  <c r="H6785" i="1"/>
  <c r="G6785" i="1"/>
  <c r="M6784" i="1"/>
  <c r="L6784" i="1"/>
  <c r="K6784" i="1"/>
  <c r="J6784" i="1"/>
  <c r="I6784" i="1"/>
  <c r="H6784" i="1"/>
  <c r="G6784" i="1"/>
  <c r="M6783" i="1"/>
  <c r="L6783" i="1"/>
  <c r="K6783" i="1"/>
  <c r="J6783" i="1"/>
  <c r="I6783" i="1"/>
  <c r="H6783" i="1"/>
  <c r="G6783" i="1"/>
  <c r="M6782" i="1"/>
  <c r="L6782" i="1"/>
  <c r="K6782" i="1"/>
  <c r="J6782" i="1"/>
  <c r="I6782" i="1"/>
  <c r="H6782" i="1"/>
  <c r="G6782" i="1"/>
  <c r="M6781" i="1"/>
  <c r="L6781" i="1"/>
  <c r="K6781" i="1"/>
  <c r="J6781" i="1"/>
  <c r="I6781" i="1"/>
  <c r="H6781" i="1"/>
  <c r="G6781" i="1"/>
  <c r="M6780" i="1"/>
  <c r="L6780" i="1"/>
  <c r="K6780" i="1"/>
  <c r="J6780" i="1"/>
  <c r="I6780" i="1"/>
  <c r="H6780" i="1"/>
  <c r="G6780" i="1"/>
  <c r="M6779" i="1"/>
  <c r="L6779" i="1"/>
  <c r="K6779" i="1"/>
  <c r="J6779" i="1"/>
  <c r="I6779" i="1"/>
  <c r="H6779" i="1"/>
  <c r="G6779" i="1"/>
  <c r="M6778" i="1"/>
  <c r="L6778" i="1"/>
  <c r="K6778" i="1"/>
  <c r="J6778" i="1"/>
  <c r="I6778" i="1"/>
  <c r="H6778" i="1"/>
  <c r="G6778" i="1"/>
  <c r="M6777" i="1"/>
  <c r="L6777" i="1"/>
  <c r="K6777" i="1"/>
  <c r="J6777" i="1"/>
  <c r="I6777" i="1"/>
  <c r="H6777" i="1"/>
  <c r="G6777" i="1"/>
  <c r="M6776" i="1"/>
  <c r="L6776" i="1"/>
  <c r="K6776" i="1"/>
  <c r="J6776" i="1"/>
  <c r="I6776" i="1"/>
  <c r="H6776" i="1"/>
  <c r="G6776" i="1"/>
  <c r="M6775" i="1"/>
  <c r="L6775" i="1"/>
  <c r="K6775" i="1"/>
  <c r="J6775" i="1"/>
  <c r="I6775" i="1"/>
  <c r="H6775" i="1"/>
  <c r="G6775" i="1"/>
  <c r="M6774" i="1"/>
  <c r="L6774" i="1"/>
  <c r="K6774" i="1"/>
  <c r="J6774" i="1"/>
  <c r="I6774" i="1"/>
  <c r="H6774" i="1"/>
  <c r="G6774" i="1"/>
  <c r="M6773" i="1"/>
  <c r="L6773" i="1"/>
  <c r="K6773" i="1"/>
  <c r="J6773" i="1"/>
  <c r="I6773" i="1"/>
  <c r="H6773" i="1"/>
  <c r="G6773" i="1"/>
  <c r="M6772" i="1"/>
  <c r="L6772" i="1"/>
  <c r="K6772" i="1"/>
  <c r="J6772" i="1"/>
  <c r="I6772" i="1"/>
  <c r="H6772" i="1"/>
  <c r="G6772" i="1"/>
  <c r="M6771" i="1"/>
  <c r="L6771" i="1"/>
  <c r="K6771" i="1"/>
  <c r="J6771" i="1"/>
  <c r="I6771" i="1"/>
  <c r="H6771" i="1"/>
  <c r="G6771" i="1"/>
  <c r="M6770" i="1"/>
  <c r="L6770" i="1"/>
  <c r="K6770" i="1"/>
  <c r="J6770" i="1"/>
  <c r="I6770" i="1"/>
  <c r="H6770" i="1"/>
  <c r="G6770" i="1"/>
  <c r="M6769" i="1"/>
  <c r="L6769" i="1"/>
  <c r="K6769" i="1"/>
  <c r="J6769" i="1"/>
  <c r="I6769" i="1"/>
  <c r="H6769" i="1"/>
  <c r="G6769" i="1"/>
  <c r="M6768" i="1"/>
  <c r="L6768" i="1"/>
  <c r="K6768" i="1"/>
  <c r="J6768" i="1"/>
  <c r="I6768" i="1"/>
  <c r="H6768" i="1"/>
  <c r="G6768" i="1"/>
  <c r="M6767" i="1"/>
  <c r="L6767" i="1"/>
  <c r="K6767" i="1"/>
  <c r="J6767" i="1"/>
  <c r="I6767" i="1"/>
  <c r="H6767" i="1"/>
  <c r="G6767" i="1"/>
  <c r="M6766" i="1"/>
  <c r="L6766" i="1"/>
  <c r="K6766" i="1"/>
  <c r="J6766" i="1"/>
  <c r="I6766" i="1"/>
  <c r="H6766" i="1"/>
  <c r="G6766" i="1"/>
  <c r="M6765" i="1"/>
  <c r="L6765" i="1"/>
  <c r="K6765" i="1"/>
  <c r="J6765" i="1"/>
  <c r="I6765" i="1"/>
  <c r="H6765" i="1"/>
  <c r="G6765" i="1"/>
  <c r="M6764" i="1"/>
  <c r="L6764" i="1"/>
  <c r="K6764" i="1"/>
  <c r="J6764" i="1"/>
  <c r="I6764" i="1"/>
  <c r="H6764" i="1"/>
  <c r="G6764" i="1"/>
  <c r="M6763" i="1"/>
  <c r="L6763" i="1"/>
  <c r="K6763" i="1"/>
  <c r="J6763" i="1"/>
  <c r="I6763" i="1"/>
  <c r="H6763" i="1"/>
  <c r="G6763" i="1"/>
  <c r="M6762" i="1"/>
  <c r="L6762" i="1"/>
  <c r="K6762" i="1"/>
  <c r="J6762" i="1"/>
  <c r="I6762" i="1"/>
  <c r="H6762" i="1"/>
  <c r="G6762" i="1"/>
  <c r="M6761" i="1"/>
  <c r="L6761" i="1"/>
  <c r="K6761" i="1"/>
  <c r="J6761" i="1"/>
  <c r="I6761" i="1"/>
  <c r="H6761" i="1"/>
  <c r="G6761" i="1"/>
  <c r="M6760" i="1"/>
  <c r="L6760" i="1"/>
  <c r="K6760" i="1"/>
  <c r="J6760" i="1"/>
  <c r="I6760" i="1"/>
  <c r="H6760" i="1"/>
  <c r="G6760" i="1"/>
  <c r="M6759" i="1"/>
  <c r="L6759" i="1"/>
  <c r="K6759" i="1"/>
  <c r="J6759" i="1"/>
  <c r="I6759" i="1"/>
  <c r="H6759" i="1"/>
  <c r="G6759" i="1"/>
  <c r="M6758" i="1"/>
  <c r="L6758" i="1"/>
  <c r="K6758" i="1"/>
  <c r="J6758" i="1"/>
  <c r="I6758" i="1"/>
  <c r="H6758" i="1"/>
  <c r="G6758" i="1"/>
  <c r="M6757" i="1"/>
  <c r="L6757" i="1"/>
  <c r="K6757" i="1"/>
  <c r="J6757" i="1"/>
  <c r="I6757" i="1"/>
  <c r="H6757" i="1"/>
  <c r="G6757" i="1"/>
  <c r="M6756" i="1"/>
  <c r="L6756" i="1"/>
  <c r="K6756" i="1"/>
  <c r="J6756" i="1"/>
  <c r="I6756" i="1"/>
  <c r="H6756" i="1"/>
  <c r="G6756" i="1"/>
  <c r="M6755" i="1"/>
  <c r="L6755" i="1"/>
  <c r="K6755" i="1"/>
  <c r="J6755" i="1"/>
  <c r="I6755" i="1"/>
  <c r="H6755" i="1"/>
  <c r="G6755" i="1"/>
  <c r="M6754" i="1"/>
  <c r="L6754" i="1"/>
  <c r="K6754" i="1"/>
  <c r="J6754" i="1"/>
  <c r="I6754" i="1"/>
  <c r="H6754" i="1"/>
  <c r="G6754" i="1"/>
  <c r="M6753" i="1"/>
  <c r="L6753" i="1"/>
  <c r="K6753" i="1"/>
  <c r="J6753" i="1"/>
  <c r="I6753" i="1"/>
  <c r="H6753" i="1"/>
  <c r="G6753" i="1"/>
  <c r="M6752" i="1"/>
  <c r="L6752" i="1"/>
  <c r="K6752" i="1"/>
  <c r="J6752" i="1"/>
  <c r="I6752" i="1"/>
  <c r="H6752" i="1"/>
  <c r="G6752" i="1"/>
  <c r="M6751" i="1"/>
  <c r="L6751" i="1"/>
  <c r="K6751" i="1"/>
  <c r="J6751" i="1"/>
  <c r="I6751" i="1"/>
  <c r="H6751" i="1"/>
  <c r="G6751" i="1"/>
  <c r="M6750" i="1"/>
  <c r="L6750" i="1"/>
  <c r="K6750" i="1"/>
  <c r="J6750" i="1"/>
  <c r="I6750" i="1"/>
  <c r="H6750" i="1"/>
  <c r="G6750" i="1"/>
  <c r="M6749" i="1"/>
  <c r="L6749" i="1"/>
  <c r="K6749" i="1"/>
  <c r="J6749" i="1"/>
  <c r="I6749" i="1"/>
  <c r="H6749" i="1"/>
  <c r="G6749" i="1"/>
  <c r="M6748" i="1"/>
  <c r="L6748" i="1"/>
  <c r="K6748" i="1"/>
  <c r="J6748" i="1"/>
  <c r="I6748" i="1"/>
  <c r="H6748" i="1"/>
  <c r="G6748" i="1"/>
  <c r="M6747" i="1"/>
  <c r="L6747" i="1"/>
  <c r="K6747" i="1"/>
  <c r="J6747" i="1"/>
  <c r="I6747" i="1"/>
  <c r="H6747" i="1"/>
  <c r="G6747" i="1"/>
  <c r="M6746" i="1"/>
  <c r="L6746" i="1"/>
  <c r="K6746" i="1"/>
  <c r="J6746" i="1"/>
  <c r="I6746" i="1"/>
  <c r="H6746" i="1"/>
  <c r="G6746" i="1"/>
  <c r="M6745" i="1"/>
  <c r="L6745" i="1"/>
  <c r="K6745" i="1"/>
  <c r="J6745" i="1"/>
  <c r="I6745" i="1"/>
  <c r="H6745" i="1"/>
  <c r="G6745" i="1"/>
  <c r="M6744" i="1"/>
  <c r="L6744" i="1"/>
  <c r="K6744" i="1"/>
  <c r="J6744" i="1"/>
  <c r="I6744" i="1"/>
  <c r="H6744" i="1"/>
  <c r="G6744" i="1"/>
  <c r="M6743" i="1"/>
  <c r="L6743" i="1"/>
  <c r="K6743" i="1"/>
  <c r="J6743" i="1"/>
  <c r="I6743" i="1"/>
  <c r="H6743" i="1"/>
  <c r="G6743" i="1"/>
  <c r="M6742" i="1"/>
  <c r="L6742" i="1"/>
  <c r="K6742" i="1"/>
  <c r="J6742" i="1"/>
  <c r="I6742" i="1"/>
  <c r="H6742" i="1"/>
  <c r="G6742" i="1"/>
  <c r="M6741" i="1"/>
  <c r="L6741" i="1"/>
  <c r="K6741" i="1"/>
  <c r="J6741" i="1"/>
  <c r="I6741" i="1"/>
  <c r="H6741" i="1"/>
  <c r="G6741" i="1"/>
  <c r="M6740" i="1"/>
  <c r="L6740" i="1"/>
  <c r="K6740" i="1"/>
  <c r="J6740" i="1"/>
  <c r="I6740" i="1"/>
  <c r="H6740" i="1"/>
  <c r="G6740" i="1"/>
  <c r="M6739" i="1"/>
  <c r="L6739" i="1"/>
  <c r="K6739" i="1"/>
  <c r="J6739" i="1"/>
  <c r="I6739" i="1"/>
  <c r="H6739" i="1"/>
  <c r="G6739" i="1"/>
  <c r="M6738" i="1"/>
  <c r="L6738" i="1"/>
  <c r="K6738" i="1"/>
  <c r="J6738" i="1"/>
  <c r="I6738" i="1"/>
  <c r="H6738" i="1"/>
  <c r="G6738" i="1"/>
  <c r="M6737" i="1"/>
  <c r="L6737" i="1"/>
  <c r="K6737" i="1"/>
  <c r="J6737" i="1"/>
  <c r="I6737" i="1"/>
  <c r="H6737" i="1"/>
  <c r="G6737" i="1"/>
  <c r="M6736" i="1"/>
  <c r="L6736" i="1"/>
  <c r="K6736" i="1"/>
  <c r="J6736" i="1"/>
  <c r="I6736" i="1"/>
  <c r="H6736" i="1"/>
  <c r="G6736" i="1"/>
  <c r="M6735" i="1"/>
  <c r="L6735" i="1"/>
  <c r="K6735" i="1"/>
  <c r="J6735" i="1"/>
  <c r="I6735" i="1"/>
  <c r="H6735" i="1"/>
  <c r="G6735" i="1"/>
  <c r="M6734" i="1"/>
  <c r="L6734" i="1"/>
  <c r="K6734" i="1"/>
  <c r="J6734" i="1"/>
  <c r="I6734" i="1"/>
  <c r="H6734" i="1"/>
  <c r="G6734" i="1"/>
  <c r="M6733" i="1"/>
  <c r="L6733" i="1"/>
  <c r="K6733" i="1"/>
  <c r="J6733" i="1"/>
  <c r="I6733" i="1"/>
  <c r="H6733" i="1"/>
  <c r="G6733" i="1"/>
  <c r="M6732" i="1"/>
  <c r="L6732" i="1"/>
  <c r="K6732" i="1"/>
  <c r="J6732" i="1"/>
  <c r="I6732" i="1"/>
  <c r="H6732" i="1"/>
  <c r="G6732" i="1"/>
  <c r="M6731" i="1"/>
  <c r="L6731" i="1"/>
  <c r="K6731" i="1"/>
  <c r="J6731" i="1"/>
  <c r="I6731" i="1"/>
  <c r="H6731" i="1"/>
  <c r="G6731" i="1"/>
  <c r="M6730" i="1"/>
  <c r="L6730" i="1"/>
  <c r="K6730" i="1"/>
  <c r="J6730" i="1"/>
  <c r="I6730" i="1"/>
  <c r="H6730" i="1"/>
  <c r="G6730" i="1"/>
  <c r="M6729" i="1"/>
  <c r="L6729" i="1"/>
  <c r="K6729" i="1"/>
  <c r="J6729" i="1"/>
  <c r="I6729" i="1"/>
  <c r="H6729" i="1"/>
  <c r="G6729" i="1"/>
  <c r="M6728" i="1"/>
  <c r="L6728" i="1"/>
  <c r="K6728" i="1"/>
  <c r="J6728" i="1"/>
  <c r="I6728" i="1"/>
  <c r="H6728" i="1"/>
  <c r="G6728" i="1"/>
  <c r="M6727" i="1"/>
  <c r="L6727" i="1"/>
  <c r="K6727" i="1"/>
  <c r="J6727" i="1"/>
  <c r="I6727" i="1"/>
  <c r="H6727" i="1"/>
  <c r="G6727" i="1"/>
  <c r="M6726" i="1"/>
  <c r="L6726" i="1"/>
  <c r="K6726" i="1"/>
  <c r="J6726" i="1"/>
  <c r="I6726" i="1"/>
  <c r="H6726" i="1"/>
  <c r="G6726" i="1"/>
  <c r="M6725" i="1"/>
  <c r="L6725" i="1"/>
  <c r="K6725" i="1"/>
  <c r="J6725" i="1"/>
  <c r="I6725" i="1"/>
  <c r="H6725" i="1"/>
  <c r="G6725" i="1"/>
  <c r="M6724" i="1"/>
  <c r="L6724" i="1"/>
  <c r="K6724" i="1"/>
  <c r="J6724" i="1"/>
  <c r="I6724" i="1"/>
  <c r="H6724" i="1"/>
  <c r="G6724" i="1"/>
  <c r="M6723" i="1"/>
  <c r="L6723" i="1"/>
  <c r="K6723" i="1"/>
  <c r="J6723" i="1"/>
  <c r="I6723" i="1"/>
  <c r="H6723" i="1"/>
  <c r="G6723" i="1"/>
  <c r="M6722" i="1"/>
  <c r="L6722" i="1"/>
  <c r="K6722" i="1"/>
  <c r="J6722" i="1"/>
  <c r="I6722" i="1"/>
  <c r="H6722" i="1"/>
  <c r="G6722" i="1"/>
  <c r="M6721" i="1"/>
  <c r="L6721" i="1"/>
  <c r="K6721" i="1"/>
  <c r="J6721" i="1"/>
  <c r="I6721" i="1"/>
  <c r="H6721" i="1"/>
  <c r="G6721" i="1"/>
  <c r="M6720" i="1"/>
  <c r="L6720" i="1"/>
  <c r="K6720" i="1"/>
  <c r="J6720" i="1"/>
  <c r="I6720" i="1"/>
  <c r="H6720" i="1"/>
  <c r="G6720" i="1"/>
  <c r="M6719" i="1"/>
  <c r="L6719" i="1"/>
  <c r="K6719" i="1"/>
  <c r="J6719" i="1"/>
  <c r="I6719" i="1"/>
  <c r="H6719" i="1"/>
  <c r="G6719" i="1"/>
  <c r="M6718" i="1"/>
  <c r="L6718" i="1"/>
  <c r="K6718" i="1"/>
  <c r="J6718" i="1"/>
  <c r="I6718" i="1"/>
  <c r="H6718" i="1"/>
  <c r="G6718" i="1"/>
  <c r="M6717" i="1"/>
  <c r="L6717" i="1"/>
  <c r="K6717" i="1"/>
  <c r="J6717" i="1"/>
  <c r="I6717" i="1"/>
  <c r="H6717" i="1"/>
  <c r="G6717" i="1"/>
  <c r="M6716" i="1"/>
  <c r="L6716" i="1"/>
  <c r="K6716" i="1"/>
  <c r="J6716" i="1"/>
  <c r="I6716" i="1"/>
  <c r="H6716" i="1"/>
  <c r="G6716" i="1"/>
  <c r="M6715" i="1"/>
  <c r="L6715" i="1"/>
  <c r="K6715" i="1"/>
  <c r="J6715" i="1"/>
  <c r="I6715" i="1"/>
  <c r="H6715" i="1"/>
  <c r="G6715" i="1"/>
  <c r="M6714" i="1"/>
  <c r="L6714" i="1"/>
  <c r="K6714" i="1"/>
  <c r="J6714" i="1"/>
  <c r="I6714" i="1"/>
  <c r="H6714" i="1"/>
  <c r="G6714" i="1"/>
  <c r="M6713" i="1"/>
  <c r="L6713" i="1"/>
  <c r="K6713" i="1"/>
  <c r="J6713" i="1"/>
  <c r="I6713" i="1"/>
  <c r="H6713" i="1"/>
  <c r="G6713" i="1"/>
  <c r="M6712" i="1"/>
  <c r="L6712" i="1"/>
  <c r="K6712" i="1"/>
  <c r="J6712" i="1"/>
  <c r="I6712" i="1"/>
  <c r="H6712" i="1"/>
  <c r="G6712" i="1"/>
  <c r="M6711" i="1"/>
  <c r="L6711" i="1"/>
  <c r="K6711" i="1"/>
  <c r="J6711" i="1"/>
  <c r="I6711" i="1"/>
  <c r="H6711" i="1"/>
  <c r="G6711" i="1"/>
  <c r="M6710" i="1"/>
  <c r="L6710" i="1"/>
  <c r="K6710" i="1"/>
  <c r="J6710" i="1"/>
  <c r="I6710" i="1"/>
  <c r="H6710" i="1"/>
  <c r="G6710" i="1"/>
  <c r="M6709" i="1"/>
  <c r="L6709" i="1"/>
  <c r="K6709" i="1"/>
  <c r="J6709" i="1"/>
  <c r="I6709" i="1"/>
  <c r="H6709" i="1"/>
  <c r="G6709" i="1"/>
  <c r="M6708" i="1"/>
  <c r="L6708" i="1"/>
  <c r="K6708" i="1"/>
  <c r="J6708" i="1"/>
  <c r="I6708" i="1"/>
  <c r="H6708" i="1"/>
  <c r="G6708" i="1"/>
  <c r="M6707" i="1"/>
  <c r="L6707" i="1"/>
  <c r="K6707" i="1"/>
  <c r="J6707" i="1"/>
  <c r="I6707" i="1"/>
  <c r="H6707" i="1"/>
  <c r="G6707" i="1"/>
  <c r="M6706" i="1"/>
  <c r="L6706" i="1"/>
  <c r="K6706" i="1"/>
  <c r="J6706" i="1"/>
  <c r="I6706" i="1"/>
  <c r="H6706" i="1"/>
  <c r="G6706" i="1"/>
  <c r="M6705" i="1"/>
  <c r="L6705" i="1"/>
  <c r="K6705" i="1"/>
  <c r="J6705" i="1"/>
  <c r="I6705" i="1"/>
  <c r="H6705" i="1"/>
  <c r="G6705" i="1"/>
  <c r="M6704" i="1"/>
  <c r="L6704" i="1"/>
  <c r="K6704" i="1"/>
  <c r="J6704" i="1"/>
  <c r="I6704" i="1"/>
  <c r="H6704" i="1"/>
  <c r="G6704" i="1"/>
  <c r="M6703" i="1"/>
  <c r="L6703" i="1"/>
  <c r="K6703" i="1"/>
  <c r="J6703" i="1"/>
  <c r="I6703" i="1"/>
  <c r="H6703" i="1"/>
  <c r="G6703" i="1"/>
  <c r="M6702" i="1"/>
  <c r="L6702" i="1"/>
  <c r="K6702" i="1"/>
  <c r="J6702" i="1"/>
  <c r="I6702" i="1"/>
  <c r="H6702" i="1"/>
  <c r="G6702" i="1"/>
  <c r="M6701" i="1"/>
  <c r="L6701" i="1"/>
  <c r="K6701" i="1"/>
  <c r="J6701" i="1"/>
  <c r="I6701" i="1"/>
  <c r="H6701" i="1"/>
  <c r="G6701" i="1"/>
  <c r="M6700" i="1"/>
  <c r="L6700" i="1"/>
  <c r="K6700" i="1"/>
  <c r="J6700" i="1"/>
  <c r="I6700" i="1"/>
  <c r="H6700" i="1"/>
  <c r="G6700" i="1"/>
  <c r="M6699" i="1"/>
  <c r="L6699" i="1"/>
  <c r="K6699" i="1"/>
  <c r="J6699" i="1"/>
  <c r="I6699" i="1"/>
  <c r="H6699" i="1"/>
  <c r="G6699" i="1"/>
  <c r="M6698" i="1"/>
  <c r="L6698" i="1"/>
  <c r="K6698" i="1"/>
  <c r="J6698" i="1"/>
  <c r="I6698" i="1"/>
  <c r="H6698" i="1"/>
  <c r="G6698" i="1"/>
  <c r="M6697" i="1"/>
  <c r="L6697" i="1"/>
  <c r="K6697" i="1"/>
  <c r="J6697" i="1"/>
  <c r="I6697" i="1"/>
  <c r="H6697" i="1"/>
  <c r="G6697" i="1"/>
  <c r="M6696" i="1"/>
  <c r="L6696" i="1"/>
  <c r="K6696" i="1"/>
  <c r="J6696" i="1"/>
  <c r="I6696" i="1"/>
  <c r="H6696" i="1"/>
  <c r="G6696" i="1"/>
  <c r="M6695" i="1"/>
  <c r="L6695" i="1"/>
  <c r="K6695" i="1"/>
  <c r="J6695" i="1"/>
  <c r="I6695" i="1"/>
  <c r="H6695" i="1"/>
  <c r="G6695" i="1"/>
  <c r="M6694" i="1"/>
  <c r="L6694" i="1"/>
  <c r="K6694" i="1"/>
  <c r="J6694" i="1"/>
  <c r="I6694" i="1"/>
  <c r="H6694" i="1"/>
  <c r="G6694" i="1"/>
  <c r="M6693" i="1"/>
  <c r="L6693" i="1"/>
  <c r="K6693" i="1"/>
  <c r="J6693" i="1"/>
  <c r="I6693" i="1"/>
  <c r="H6693" i="1"/>
  <c r="G6693" i="1"/>
  <c r="M6692" i="1"/>
  <c r="L6692" i="1"/>
  <c r="K6692" i="1"/>
  <c r="J6692" i="1"/>
  <c r="I6692" i="1"/>
  <c r="H6692" i="1"/>
  <c r="G6692" i="1"/>
  <c r="M6691" i="1"/>
  <c r="L6691" i="1"/>
  <c r="K6691" i="1"/>
  <c r="J6691" i="1"/>
  <c r="I6691" i="1"/>
  <c r="H6691" i="1"/>
  <c r="G6691" i="1"/>
  <c r="M6690" i="1"/>
  <c r="L6690" i="1"/>
  <c r="K6690" i="1"/>
  <c r="J6690" i="1"/>
  <c r="I6690" i="1"/>
  <c r="H6690" i="1"/>
  <c r="G6690" i="1"/>
  <c r="M6689" i="1"/>
  <c r="L6689" i="1"/>
  <c r="K6689" i="1"/>
  <c r="J6689" i="1"/>
  <c r="I6689" i="1"/>
  <c r="H6689" i="1"/>
  <c r="G6689" i="1"/>
  <c r="M6688" i="1"/>
  <c r="L6688" i="1"/>
  <c r="K6688" i="1"/>
  <c r="J6688" i="1"/>
  <c r="I6688" i="1"/>
  <c r="H6688" i="1"/>
  <c r="G6688" i="1"/>
  <c r="M6687" i="1"/>
  <c r="L6687" i="1"/>
  <c r="K6687" i="1"/>
  <c r="J6687" i="1"/>
  <c r="I6687" i="1"/>
  <c r="H6687" i="1"/>
  <c r="G6687" i="1"/>
  <c r="M6686" i="1"/>
  <c r="L6686" i="1"/>
  <c r="K6686" i="1"/>
  <c r="J6686" i="1"/>
  <c r="I6686" i="1"/>
  <c r="H6686" i="1"/>
  <c r="G6686" i="1"/>
  <c r="M6685" i="1"/>
  <c r="L6685" i="1"/>
  <c r="K6685" i="1"/>
  <c r="J6685" i="1"/>
  <c r="I6685" i="1"/>
  <c r="H6685" i="1"/>
  <c r="G6685" i="1"/>
  <c r="M6684" i="1"/>
  <c r="L6684" i="1"/>
  <c r="K6684" i="1"/>
  <c r="J6684" i="1"/>
  <c r="I6684" i="1"/>
  <c r="H6684" i="1"/>
  <c r="G6684" i="1"/>
  <c r="M6683" i="1"/>
  <c r="L6683" i="1"/>
  <c r="K6683" i="1"/>
  <c r="J6683" i="1"/>
  <c r="I6683" i="1"/>
  <c r="H6683" i="1"/>
  <c r="G6683" i="1"/>
  <c r="M6682" i="1"/>
  <c r="L6682" i="1"/>
  <c r="K6682" i="1"/>
  <c r="J6682" i="1"/>
  <c r="I6682" i="1"/>
  <c r="H6682" i="1"/>
  <c r="G6682" i="1"/>
  <c r="M6681" i="1"/>
  <c r="L6681" i="1"/>
  <c r="K6681" i="1"/>
  <c r="J6681" i="1"/>
  <c r="I6681" i="1"/>
  <c r="H6681" i="1"/>
  <c r="G6681" i="1"/>
  <c r="M6680" i="1"/>
  <c r="L6680" i="1"/>
  <c r="K6680" i="1"/>
  <c r="J6680" i="1"/>
  <c r="I6680" i="1"/>
  <c r="H6680" i="1"/>
  <c r="G6680" i="1"/>
  <c r="M6679" i="1"/>
  <c r="L6679" i="1"/>
  <c r="K6679" i="1"/>
  <c r="J6679" i="1"/>
  <c r="I6679" i="1"/>
  <c r="H6679" i="1"/>
  <c r="G6679" i="1"/>
  <c r="M6678" i="1"/>
  <c r="L6678" i="1"/>
  <c r="K6678" i="1"/>
  <c r="J6678" i="1"/>
  <c r="I6678" i="1"/>
  <c r="H6678" i="1"/>
  <c r="G6678" i="1"/>
  <c r="M6677" i="1"/>
  <c r="L6677" i="1"/>
  <c r="K6677" i="1"/>
  <c r="J6677" i="1"/>
  <c r="I6677" i="1"/>
  <c r="H6677" i="1"/>
  <c r="G6677" i="1"/>
  <c r="M6676" i="1"/>
  <c r="L6676" i="1"/>
  <c r="K6676" i="1"/>
  <c r="J6676" i="1"/>
  <c r="I6676" i="1"/>
  <c r="H6676" i="1"/>
  <c r="G6676" i="1"/>
  <c r="M6675" i="1"/>
  <c r="L6675" i="1"/>
  <c r="K6675" i="1"/>
  <c r="J6675" i="1"/>
  <c r="I6675" i="1"/>
  <c r="H6675" i="1"/>
  <c r="G6675" i="1"/>
  <c r="M6674" i="1"/>
  <c r="L6674" i="1"/>
  <c r="K6674" i="1"/>
  <c r="J6674" i="1"/>
  <c r="I6674" i="1"/>
  <c r="H6674" i="1"/>
  <c r="G6674" i="1"/>
  <c r="M6673" i="1"/>
  <c r="L6673" i="1"/>
  <c r="K6673" i="1"/>
  <c r="J6673" i="1"/>
  <c r="I6673" i="1"/>
  <c r="H6673" i="1"/>
  <c r="G6673" i="1"/>
  <c r="M6672" i="1"/>
  <c r="L6672" i="1"/>
  <c r="K6672" i="1"/>
  <c r="J6672" i="1"/>
  <c r="I6672" i="1"/>
  <c r="H6672" i="1"/>
  <c r="G6672" i="1"/>
  <c r="M6671" i="1"/>
  <c r="L6671" i="1"/>
  <c r="K6671" i="1"/>
  <c r="J6671" i="1"/>
  <c r="I6671" i="1"/>
  <c r="H6671" i="1"/>
  <c r="G6671" i="1"/>
  <c r="M6670" i="1"/>
  <c r="L6670" i="1"/>
  <c r="K6670" i="1"/>
  <c r="J6670" i="1"/>
  <c r="I6670" i="1"/>
  <c r="H6670" i="1"/>
  <c r="G6670" i="1"/>
  <c r="M6669" i="1"/>
  <c r="L6669" i="1"/>
  <c r="K6669" i="1"/>
  <c r="J6669" i="1"/>
  <c r="I6669" i="1"/>
  <c r="H6669" i="1"/>
  <c r="G6669" i="1"/>
  <c r="M6668" i="1"/>
  <c r="L6668" i="1"/>
  <c r="K6668" i="1"/>
  <c r="J6668" i="1"/>
  <c r="I6668" i="1"/>
  <c r="H6668" i="1"/>
  <c r="G6668" i="1"/>
  <c r="M6667" i="1"/>
  <c r="L6667" i="1"/>
  <c r="K6667" i="1"/>
  <c r="J6667" i="1"/>
  <c r="I6667" i="1"/>
  <c r="H6667" i="1"/>
  <c r="G6667" i="1"/>
  <c r="M6666" i="1"/>
  <c r="L6666" i="1"/>
  <c r="K6666" i="1"/>
  <c r="J6666" i="1"/>
  <c r="I6666" i="1"/>
  <c r="H6666" i="1"/>
  <c r="G6666" i="1"/>
  <c r="M6665" i="1"/>
  <c r="L6665" i="1"/>
  <c r="K6665" i="1"/>
  <c r="J6665" i="1"/>
  <c r="I6665" i="1"/>
  <c r="H6665" i="1"/>
  <c r="G6665" i="1"/>
  <c r="M6664" i="1"/>
  <c r="L6664" i="1"/>
  <c r="K6664" i="1"/>
  <c r="J6664" i="1"/>
  <c r="I6664" i="1"/>
  <c r="H6664" i="1"/>
  <c r="G6664" i="1"/>
  <c r="M6663" i="1"/>
  <c r="L6663" i="1"/>
  <c r="K6663" i="1"/>
  <c r="J6663" i="1"/>
  <c r="I6663" i="1"/>
  <c r="H6663" i="1"/>
  <c r="G6663" i="1"/>
  <c r="M6662" i="1"/>
  <c r="L6662" i="1"/>
  <c r="K6662" i="1"/>
  <c r="J6662" i="1"/>
  <c r="I6662" i="1"/>
  <c r="H6662" i="1"/>
  <c r="G6662" i="1"/>
  <c r="M6661" i="1"/>
  <c r="L6661" i="1"/>
  <c r="K6661" i="1"/>
  <c r="J6661" i="1"/>
  <c r="I6661" i="1"/>
  <c r="H6661" i="1"/>
  <c r="G6661" i="1"/>
  <c r="M6660" i="1"/>
  <c r="L6660" i="1"/>
  <c r="K6660" i="1"/>
  <c r="J6660" i="1"/>
  <c r="I6660" i="1"/>
  <c r="H6660" i="1"/>
  <c r="G6660" i="1"/>
  <c r="M6659" i="1"/>
  <c r="L6659" i="1"/>
  <c r="K6659" i="1"/>
  <c r="J6659" i="1"/>
  <c r="I6659" i="1"/>
  <c r="H6659" i="1"/>
  <c r="G6659" i="1"/>
  <c r="M6658" i="1"/>
  <c r="L6658" i="1"/>
  <c r="K6658" i="1"/>
  <c r="J6658" i="1"/>
  <c r="I6658" i="1"/>
  <c r="H6658" i="1"/>
  <c r="G6658" i="1"/>
  <c r="M6657" i="1"/>
  <c r="L6657" i="1"/>
  <c r="K6657" i="1"/>
  <c r="J6657" i="1"/>
  <c r="I6657" i="1"/>
  <c r="H6657" i="1"/>
  <c r="G6657" i="1"/>
  <c r="M6656" i="1"/>
  <c r="L6656" i="1"/>
  <c r="K6656" i="1"/>
  <c r="J6656" i="1"/>
  <c r="I6656" i="1"/>
  <c r="H6656" i="1"/>
  <c r="G6656" i="1"/>
  <c r="M6655" i="1"/>
  <c r="L6655" i="1"/>
  <c r="K6655" i="1"/>
  <c r="J6655" i="1"/>
  <c r="I6655" i="1"/>
  <c r="H6655" i="1"/>
  <c r="G6655" i="1"/>
  <c r="M6654" i="1"/>
  <c r="L6654" i="1"/>
  <c r="K6654" i="1"/>
  <c r="J6654" i="1"/>
  <c r="I6654" i="1"/>
  <c r="H6654" i="1"/>
  <c r="G6654" i="1"/>
  <c r="M6653" i="1"/>
  <c r="L6653" i="1"/>
  <c r="K6653" i="1"/>
  <c r="J6653" i="1"/>
  <c r="I6653" i="1"/>
  <c r="H6653" i="1"/>
  <c r="G6653" i="1"/>
  <c r="M6652" i="1"/>
  <c r="L6652" i="1"/>
  <c r="K6652" i="1"/>
  <c r="J6652" i="1"/>
  <c r="I6652" i="1"/>
  <c r="H6652" i="1"/>
  <c r="G6652" i="1"/>
  <c r="M6651" i="1"/>
  <c r="L6651" i="1"/>
  <c r="K6651" i="1"/>
  <c r="J6651" i="1"/>
  <c r="I6651" i="1"/>
  <c r="H6651" i="1"/>
  <c r="G6651" i="1"/>
  <c r="M6650" i="1"/>
  <c r="L6650" i="1"/>
  <c r="K6650" i="1"/>
  <c r="J6650" i="1"/>
  <c r="I6650" i="1"/>
  <c r="H6650" i="1"/>
  <c r="G6650" i="1"/>
  <c r="M6649" i="1"/>
  <c r="L6649" i="1"/>
  <c r="K6649" i="1"/>
  <c r="J6649" i="1"/>
  <c r="I6649" i="1"/>
  <c r="H6649" i="1"/>
  <c r="G6649" i="1"/>
  <c r="M6648" i="1"/>
  <c r="L6648" i="1"/>
  <c r="K6648" i="1"/>
  <c r="J6648" i="1"/>
  <c r="I6648" i="1"/>
  <c r="H6648" i="1"/>
  <c r="G6648" i="1"/>
  <c r="M6647" i="1"/>
  <c r="L6647" i="1"/>
  <c r="K6647" i="1"/>
  <c r="J6647" i="1"/>
  <c r="I6647" i="1"/>
  <c r="H6647" i="1"/>
  <c r="G6647" i="1"/>
  <c r="M6646" i="1"/>
  <c r="L6646" i="1"/>
  <c r="K6646" i="1"/>
  <c r="J6646" i="1"/>
  <c r="I6646" i="1"/>
  <c r="H6646" i="1"/>
  <c r="G6646" i="1"/>
  <c r="M6645" i="1"/>
  <c r="L6645" i="1"/>
  <c r="K6645" i="1"/>
  <c r="J6645" i="1"/>
  <c r="I6645" i="1"/>
  <c r="H6645" i="1"/>
  <c r="G6645" i="1"/>
  <c r="M6644" i="1"/>
  <c r="L6644" i="1"/>
  <c r="K6644" i="1"/>
  <c r="J6644" i="1"/>
  <c r="I6644" i="1"/>
  <c r="H6644" i="1"/>
  <c r="G6644" i="1"/>
  <c r="M6643" i="1"/>
  <c r="L6643" i="1"/>
  <c r="K6643" i="1"/>
  <c r="J6643" i="1"/>
  <c r="I6643" i="1"/>
  <c r="H6643" i="1"/>
  <c r="G6643" i="1"/>
  <c r="M6642" i="1"/>
  <c r="L6642" i="1"/>
  <c r="K6642" i="1"/>
  <c r="J6642" i="1"/>
  <c r="I6642" i="1"/>
  <c r="H6642" i="1"/>
  <c r="G6642" i="1"/>
  <c r="M6641" i="1"/>
  <c r="L6641" i="1"/>
  <c r="K6641" i="1"/>
  <c r="J6641" i="1"/>
  <c r="I6641" i="1"/>
  <c r="H6641" i="1"/>
  <c r="G6641" i="1"/>
  <c r="M6640" i="1"/>
  <c r="L6640" i="1"/>
  <c r="K6640" i="1"/>
  <c r="J6640" i="1"/>
  <c r="I6640" i="1"/>
  <c r="H6640" i="1"/>
  <c r="G6640" i="1"/>
  <c r="M6639" i="1"/>
  <c r="L6639" i="1"/>
  <c r="K6639" i="1"/>
  <c r="J6639" i="1"/>
  <c r="I6639" i="1"/>
  <c r="H6639" i="1"/>
  <c r="G6639" i="1"/>
  <c r="M6638" i="1"/>
  <c r="L6638" i="1"/>
  <c r="K6638" i="1"/>
  <c r="J6638" i="1"/>
  <c r="I6638" i="1"/>
  <c r="H6638" i="1"/>
  <c r="G6638" i="1"/>
  <c r="M6637" i="1"/>
  <c r="L6637" i="1"/>
  <c r="K6637" i="1"/>
  <c r="J6637" i="1"/>
  <c r="I6637" i="1"/>
  <c r="H6637" i="1"/>
  <c r="G6637" i="1"/>
  <c r="M6636" i="1"/>
  <c r="L6636" i="1"/>
  <c r="K6636" i="1"/>
  <c r="J6636" i="1"/>
  <c r="I6636" i="1"/>
  <c r="H6636" i="1"/>
  <c r="G6636" i="1"/>
  <c r="M6635" i="1"/>
  <c r="L6635" i="1"/>
  <c r="K6635" i="1"/>
  <c r="J6635" i="1"/>
  <c r="I6635" i="1"/>
  <c r="H6635" i="1"/>
  <c r="G6635" i="1"/>
  <c r="M6634" i="1"/>
  <c r="L6634" i="1"/>
  <c r="K6634" i="1"/>
  <c r="J6634" i="1"/>
  <c r="I6634" i="1"/>
  <c r="H6634" i="1"/>
  <c r="G6634" i="1"/>
  <c r="M6633" i="1"/>
  <c r="L6633" i="1"/>
  <c r="K6633" i="1"/>
  <c r="J6633" i="1"/>
  <c r="I6633" i="1"/>
  <c r="H6633" i="1"/>
  <c r="G6633" i="1"/>
  <c r="M6632" i="1"/>
  <c r="L6632" i="1"/>
  <c r="K6632" i="1"/>
  <c r="J6632" i="1"/>
  <c r="I6632" i="1"/>
  <c r="H6632" i="1"/>
  <c r="G6632" i="1"/>
  <c r="M6631" i="1"/>
  <c r="L6631" i="1"/>
  <c r="K6631" i="1"/>
  <c r="J6631" i="1"/>
  <c r="I6631" i="1"/>
  <c r="H6631" i="1"/>
  <c r="G6631" i="1"/>
  <c r="M6630" i="1"/>
  <c r="L6630" i="1"/>
  <c r="K6630" i="1"/>
  <c r="J6630" i="1"/>
  <c r="I6630" i="1"/>
  <c r="H6630" i="1"/>
  <c r="G6630" i="1"/>
  <c r="M6629" i="1"/>
  <c r="L6629" i="1"/>
  <c r="K6629" i="1"/>
  <c r="J6629" i="1"/>
  <c r="I6629" i="1"/>
  <c r="H6629" i="1"/>
  <c r="G6629" i="1"/>
  <c r="M6628" i="1"/>
  <c r="L6628" i="1"/>
  <c r="K6628" i="1"/>
  <c r="J6628" i="1"/>
  <c r="I6628" i="1"/>
  <c r="H6628" i="1"/>
  <c r="G6628" i="1"/>
  <c r="M6627" i="1"/>
  <c r="L6627" i="1"/>
  <c r="K6627" i="1"/>
  <c r="J6627" i="1"/>
  <c r="I6627" i="1"/>
  <c r="H6627" i="1"/>
  <c r="G6627" i="1"/>
  <c r="M6626" i="1"/>
  <c r="L6626" i="1"/>
  <c r="K6626" i="1"/>
  <c r="J6626" i="1"/>
  <c r="I6626" i="1"/>
  <c r="H6626" i="1"/>
  <c r="G6626" i="1"/>
  <c r="M6625" i="1"/>
  <c r="L6625" i="1"/>
  <c r="K6625" i="1"/>
  <c r="J6625" i="1"/>
  <c r="I6625" i="1"/>
  <c r="H6625" i="1"/>
  <c r="G6625" i="1"/>
  <c r="M6624" i="1"/>
  <c r="L6624" i="1"/>
  <c r="K6624" i="1"/>
  <c r="J6624" i="1"/>
  <c r="I6624" i="1"/>
  <c r="H6624" i="1"/>
  <c r="G6624" i="1"/>
  <c r="M6623" i="1"/>
  <c r="L6623" i="1"/>
  <c r="K6623" i="1"/>
  <c r="J6623" i="1"/>
  <c r="I6623" i="1"/>
  <c r="H6623" i="1"/>
  <c r="G6623" i="1"/>
  <c r="M6622" i="1"/>
  <c r="L6622" i="1"/>
  <c r="K6622" i="1"/>
  <c r="J6622" i="1"/>
  <c r="I6622" i="1"/>
  <c r="H6622" i="1"/>
  <c r="G6622" i="1"/>
  <c r="M6621" i="1"/>
  <c r="L6621" i="1"/>
  <c r="K6621" i="1"/>
  <c r="J6621" i="1"/>
  <c r="I6621" i="1"/>
  <c r="H6621" i="1"/>
  <c r="G6621" i="1"/>
  <c r="M6620" i="1"/>
  <c r="L6620" i="1"/>
  <c r="K6620" i="1"/>
  <c r="J6620" i="1"/>
  <c r="I6620" i="1"/>
  <c r="H6620" i="1"/>
  <c r="G6620" i="1"/>
  <c r="M6619" i="1"/>
  <c r="L6619" i="1"/>
  <c r="K6619" i="1"/>
  <c r="J6619" i="1"/>
  <c r="I6619" i="1"/>
  <c r="H6619" i="1"/>
  <c r="G6619" i="1"/>
  <c r="M6618" i="1"/>
  <c r="L6618" i="1"/>
  <c r="K6618" i="1"/>
  <c r="J6618" i="1"/>
  <c r="I6618" i="1"/>
  <c r="H6618" i="1"/>
  <c r="G6618" i="1"/>
  <c r="M6617" i="1"/>
  <c r="L6617" i="1"/>
  <c r="K6617" i="1"/>
  <c r="J6617" i="1"/>
  <c r="I6617" i="1"/>
  <c r="H6617" i="1"/>
  <c r="G6617" i="1"/>
  <c r="M6616" i="1"/>
  <c r="L6616" i="1"/>
  <c r="K6616" i="1"/>
  <c r="J6616" i="1"/>
  <c r="I6616" i="1"/>
  <c r="H6616" i="1"/>
  <c r="G6616" i="1"/>
  <c r="M6615" i="1"/>
  <c r="L6615" i="1"/>
  <c r="K6615" i="1"/>
  <c r="J6615" i="1"/>
  <c r="I6615" i="1"/>
  <c r="H6615" i="1"/>
  <c r="G6615" i="1"/>
  <c r="M6614" i="1"/>
  <c r="L6614" i="1"/>
  <c r="K6614" i="1"/>
  <c r="J6614" i="1"/>
  <c r="I6614" i="1"/>
  <c r="H6614" i="1"/>
  <c r="G6614" i="1"/>
  <c r="M6613" i="1"/>
  <c r="L6613" i="1"/>
  <c r="K6613" i="1"/>
  <c r="J6613" i="1"/>
  <c r="I6613" i="1"/>
  <c r="H6613" i="1"/>
  <c r="G6613" i="1"/>
  <c r="M6612" i="1"/>
  <c r="L6612" i="1"/>
  <c r="K6612" i="1"/>
  <c r="J6612" i="1"/>
  <c r="I6612" i="1"/>
  <c r="H6612" i="1"/>
  <c r="G6612" i="1"/>
  <c r="M6611" i="1"/>
  <c r="L6611" i="1"/>
  <c r="K6611" i="1"/>
  <c r="J6611" i="1"/>
  <c r="I6611" i="1"/>
  <c r="H6611" i="1"/>
  <c r="G6611" i="1"/>
  <c r="M6610" i="1"/>
  <c r="L6610" i="1"/>
  <c r="K6610" i="1"/>
  <c r="J6610" i="1"/>
  <c r="I6610" i="1"/>
  <c r="H6610" i="1"/>
  <c r="G6610" i="1"/>
  <c r="M6609" i="1"/>
  <c r="L6609" i="1"/>
  <c r="K6609" i="1"/>
  <c r="J6609" i="1"/>
  <c r="I6609" i="1"/>
  <c r="H6609" i="1"/>
  <c r="G6609" i="1"/>
  <c r="M6608" i="1"/>
  <c r="L6608" i="1"/>
  <c r="K6608" i="1"/>
  <c r="J6608" i="1"/>
  <c r="I6608" i="1"/>
  <c r="H6608" i="1"/>
  <c r="G6608" i="1"/>
  <c r="M6607" i="1"/>
  <c r="L6607" i="1"/>
  <c r="K6607" i="1"/>
  <c r="J6607" i="1"/>
  <c r="I6607" i="1"/>
  <c r="H6607" i="1"/>
  <c r="G6607" i="1"/>
  <c r="M6606" i="1"/>
  <c r="L6606" i="1"/>
  <c r="K6606" i="1"/>
  <c r="J6606" i="1"/>
  <c r="I6606" i="1"/>
  <c r="H6606" i="1"/>
  <c r="G6606" i="1"/>
  <c r="M6605" i="1"/>
  <c r="L6605" i="1"/>
  <c r="K6605" i="1"/>
  <c r="J6605" i="1"/>
  <c r="I6605" i="1"/>
  <c r="H6605" i="1"/>
  <c r="G6605" i="1"/>
  <c r="M6604" i="1"/>
  <c r="L6604" i="1"/>
  <c r="K6604" i="1"/>
  <c r="J6604" i="1"/>
  <c r="I6604" i="1"/>
  <c r="H6604" i="1"/>
  <c r="G6604" i="1"/>
  <c r="M6603" i="1"/>
  <c r="L6603" i="1"/>
  <c r="K6603" i="1"/>
  <c r="J6603" i="1"/>
  <c r="I6603" i="1"/>
  <c r="H6603" i="1"/>
  <c r="G6603" i="1"/>
  <c r="M6602" i="1"/>
  <c r="L6602" i="1"/>
  <c r="K6602" i="1"/>
  <c r="J6602" i="1"/>
  <c r="I6602" i="1"/>
  <c r="H6602" i="1"/>
  <c r="G6602" i="1"/>
  <c r="M6601" i="1"/>
  <c r="L6601" i="1"/>
  <c r="K6601" i="1"/>
  <c r="J6601" i="1"/>
  <c r="I6601" i="1"/>
  <c r="H6601" i="1"/>
  <c r="G6601" i="1"/>
  <c r="M6600" i="1"/>
  <c r="L6600" i="1"/>
  <c r="K6600" i="1"/>
  <c r="J6600" i="1"/>
  <c r="I6600" i="1"/>
  <c r="H6600" i="1"/>
  <c r="G6600" i="1"/>
  <c r="M6599" i="1"/>
  <c r="L6599" i="1"/>
  <c r="K6599" i="1"/>
  <c r="J6599" i="1"/>
  <c r="I6599" i="1"/>
  <c r="H6599" i="1"/>
  <c r="G6599" i="1"/>
  <c r="M6598" i="1"/>
  <c r="L6598" i="1"/>
  <c r="K6598" i="1"/>
  <c r="J6598" i="1"/>
  <c r="I6598" i="1"/>
  <c r="H6598" i="1"/>
  <c r="G6598" i="1"/>
  <c r="M6597" i="1"/>
  <c r="L6597" i="1"/>
  <c r="K6597" i="1"/>
  <c r="J6597" i="1"/>
  <c r="I6597" i="1"/>
  <c r="H6597" i="1"/>
  <c r="G6597" i="1"/>
  <c r="M6596" i="1"/>
  <c r="L6596" i="1"/>
  <c r="K6596" i="1"/>
  <c r="J6596" i="1"/>
  <c r="I6596" i="1"/>
  <c r="H6596" i="1"/>
  <c r="G6596" i="1"/>
  <c r="M6595" i="1"/>
  <c r="L6595" i="1"/>
  <c r="K6595" i="1"/>
  <c r="J6595" i="1"/>
  <c r="I6595" i="1"/>
  <c r="H6595" i="1"/>
  <c r="G6595" i="1"/>
  <c r="M6594" i="1"/>
  <c r="L6594" i="1"/>
  <c r="K6594" i="1"/>
  <c r="J6594" i="1"/>
  <c r="I6594" i="1"/>
  <c r="H6594" i="1"/>
  <c r="G6594" i="1"/>
  <c r="M6593" i="1"/>
  <c r="L6593" i="1"/>
  <c r="K6593" i="1"/>
  <c r="J6593" i="1"/>
  <c r="I6593" i="1"/>
  <c r="H6593" i="1"/>
  <c r="G6593" i="1"/>
  <c r="M6592" i="1"/>
  <c r="L6592" i="1"/>
  <c r="K6592" i="1"/>
  <c r="J6592" i="1"/>
  <c r="I6592" i="1"/>
  <c r="H6592" i="1"/>
  <c r="G6592" i="1"/>
  <c r="M6591" i="1"/>
  <c r="L6591" i="1"/>
  <c r="K6591" i="1"/>
  <c r="J6591" i="1"/>
  <c r="I6591" i="1"/>
  <c r="H6591" i="1"/>
  <c r="G6591" i="1"/>
  <c r="M6590" i="1"/>
  <c r="L6590" i="1"/>
  <c r="K6590" i="1"/>
  <c r="J6590" i="1"/>
  <c r="I6590" i="1"/>
  <c r="H6590" i="1"/>
  <c r="G6590" i="1"/>
  <c r="M6589" i="1"/>
  <c r="L6589" i="1"/>
  <c r="K6589" i="1"/>
  <c r="J6589" i="1"/>
  <c r="I6589" i="1"/>
  <c r="H6589" i="1"/>
  <c r="G6589" i="1"/>
  <c r="M6588" i="1"/>
  <c r="L6588" i="1"/>
  <c r="K6588" i="1"/>
  <c r="J6588" i="1"/>
  <c r="I6588" i="1"/>
  <c r="H6588" i="1"/>
  <c r="G6588" i="1"/>
  <c r="M6587" i="1"/>
  <c r="L6587" i="1"/>
  <c r="K6587" i="1"/>
  <c r="J6587" i="1"/>
  <c r="I6587" i="1"/>
  <c r="H6587" i="1"/>
  <c r="G6587" i="1"/>
  <c r="M6586" i="1"/>
  <c r="L6586" i="1"/>
  <c r="K6586" i="1"/>
  <c r="J6586" i="1"/>
  <c r="I6586" i="1"/>
  <c r="H6586" i="1"/>
  <c r="G6586" i="1"/>
  <c r="M6585" i="1"/>
  <c r="L6585" i="1"/>
  <c r="K6585" i="1"/>
  <c r="J6585" i="1"/>
  <c r="I6585" i="1"/>
  <c r="H6585" i="1"/>
  <c r="G6585" i="1"/>
  <c r="M6584" i="1"/>
  <c r="L6584" i="1"/>
  <c r="K6584" i="1"/>
  <c r="J6584" i="1"/>
  <c r="I6584" i="1"/>
  <c r="H6584" i="1"/>
  <c r="G6584" i="1"/>
  <c r="M6583" i="1"/>
  <c r="L6583" i="1"/>
  <c r="K6583" i="1"/>
  <c r="J6583" i="1"/>
  <c r="I6583" i="1"/>
  <c r="H6583" i="1"/>
  <c r="G6583" i="1"/>
  <c r="M6582" i="1"/>
  <c r="L6582" i="1"/>
  <c r="K6582" i="1"/>
  <c r="J6582" i="1"/>
  <c r="I6582" i="1"/>
  <c r="H6582" i="1"/>
  <c r="G6582" i="1"/>
  <c r="M6581" i="1"/>
  <c r="L6581" i="1"/>
  <c r="K6581" i="1"/>
  <c r="J6581" i="1"/>
  <c r="I6581" i="1"/>
  <c r="H6581" i="1"/>
  <c r="G6581" i="1"/>
  <c r="M6580" i="1"/>
  <c r="L6580" i="1"/>
  <c r="K6580" i="1"/>
  <c r="J6580" i="1"/>
  <c r="I6580" i="1"/>
  <c r="H6580" i="1"/>
  <c r="G6580" i="1"/>
  <c r="M6579" i="1"/>
  <c r="L6579" i="1"/>
  <c r="K6579" i="1"/>
  <c r="J6579" i="1"/>
  <c r="I6579" i="1"/>
  <c r="H6579" i="1"/>
  <c r="G6579" i="1"/>
  <c r="M6578" i="1"/>
  <c r="L6578" i="1"/>
  <c r="K6578" i="1"/>
  <c r="J6578" i="1"/>
  <c r="I6578" i="1"/>
  <c r="H6578" i="1"/>
  <c r="G6578" i="1"/>
  <c r="M6577" i="1"/>
  <c r="L6577" i="1"/>
  <c r="K6577" i="1"/>
  <c r="J6577" i="1"/>
  <c r="I6577" i="1"/>
  <c r="H6577" i="1"/>
  <c r="G6577" i="1"/>
  <c r="M6576" i="1"/>
  <c r="L6576" i="1"/>
  <c r="K6576" i="1"/>
  <c r="J6576" i="1"/>
  <c r="I6576" i="1"/>
  <c r="H6576" i="1"/>
  <c r="G6576" i="1"/>
  <c r="M6575" i="1"/>
  <c r="L6575" i="1"/>
  <c r="K6575" i="1"/>
  <c r="J6575" i="1"/>
  <c r="I6575" i="1"/>
  <c r="H6575" i="1"/>
  <c r="G6575" i="1"/>
  <c r="M6574" i="1"/>
  <c r="L6574" i="1"/>
  <c r="K6574" i="1"/>
  <c r="J6574" i="1"/>
  <c r="I6574" i="1"/>
  <c r="H6574" i="1"/>
  <c r="G6574" i="1"/>
  <c r="M6573" i="1"/>
  <c r="L6573" i="1"/>
  <c r="K6573" i="1"/>
  <c r="J6573" i="1"/>
  <c r="I6573" i="1"/>
  <c r="H6573" i="1"/>
  <c r="G6573" i="1"/>
  <c r="M6572" i="1"/>
  <c r="L6572" i="1"/>
  <c r="K6572" i="1"/>
  <c r="J6572" i="1"/>
  <c r="I6572" i="1"/>
  <c r="H6572" i="1"/>
  <c r="G6572" i="1"/>
  <c r="M6571" i="1"/>
  <c r="L6571" i="1"/>
  <c r="K6571" i="1"/>
  <c r="J6571" i="1"/>
  <c r="I6571" i="1"/>
  <c r="H6571" i="1"/>
  <c r="G6571" i="1"/>
  <c r="M6570" i="1"/>
  <c r="L6570" i="1"/>
  <c r="K6570" i="1"/>
  <c r="J6570" i="1"/>
  <c r="I6570" i="1"/>
  <c r="H6570" i="1"/>
  <c r="G6570" i="1"/>
  <c r="M6569" i="1"/>
  <c r="L6569" i="1"/>
  <c r="K6569" i="1"/>
  <c r="J6569" i="1"/>
  <c r="I6569" i="1"/>
  <c r="H6569" i="1"/>
  <c r="G6569" i="1"/>
  <c r="M6568" i="1"/>
  <c r="L6568" i="1"/>
  <c r="K6568" i="1"/>
  <c r="J6568" i="1"/>
  <c r="I6568" i="1"/>
  <c r="H6568" i="1"/>
  <c r="G6568" i="1"/>
  <c r="M6567" i="1"/>
  <c r="L6567" i="1"/>
  <c r="K6567" i="1"/>
  <c r="J6567" i="1"/>
  <c r="I6567" i="1"/>
  <c r="H6567" i="1"/>
  <c r="G6567" i="1"/>
  <c r="M6566" i="1"/>
  <c r="L6566" i="1"/>
  <c r="K6566" i="1"/>
  <c r="J6566" i="1"/>
  <c r="I6566" i="1"/>
  <c r="H6566" i="1"/>
  <c r="G6566" i="1"/>
  <c r="M6565" i="1"/>
  <c r="L6565" i="1"/>
  <c r="K6565" i="1"/>
  <c r="J6565" i="1"/>
  <c r="I6565" i="1"/>
  <c r="H6565" i="1"/>
  <c r="G6565" i="1"/>
  <c r="M6564" i="1"/>
  <c r="L6564" i="1"/>
  <c r="K6564" i="1"/>
  <c r="J6564" i="1"/>
  <c r="I6564" i="1"/>
  <c r="H6564" i="1"/>
  <c r="G6564" i="1"/>
  <c r="M6563" i="1"/>
  <c r="L6563" i="1"/>
  <c r="K6563" i="1"/>
  <c r="J6563" i="1"/>
  <c r="I6563" i="1"/>
  <c r="H6563" i="1"/>
  <c r="G6563" i="1"/>
  <c r="M6562" i="1"/>
  <c r="L6562" i="1"/>
  <c r="K6562" i="1"/>
  <c r="J6562" i="1"/>
  <c r="I6562" i="1"/>
  <c r="H6562" i="1"/>
  <c r="G6562" i="1"/>
  <c r="M6561" i="1"/>
  <c r="L6561" i="1"/>
  <c r="K6561" i="1"/>
  <c r="J6561" i="1"/>
  <c r="I6561" i="1"/>
  <c r="H6561" i="1"/>
  <c r="G6561" i="1"/>
  <c r="M6560" i="1"/>
  <c r="L6560" i="1"/>
  <c r="K6560" i="1"/>
  <c r="J6560" i="1"/>
  <c r="I6560" i="1"/>
  <c r="H6560" i="1"/>
  <c r="G6560" i="1"/>
  <c r="M6559" i="1"/>
  <c r="L6559" i="1"/>
  <c r="K6559" i="1"/>
  <c r="J6559" i="1"/>
  <c r="I6559" i="1"/>
  <c r="H6559" i="1"/>
  <c r="G6559" i="1"/>
  <c r="M6558" i="1"/>
  <c r="L6558" i="1"/>
  <c r="K6558" i="1"/>
  <c r="J6558" i="1"/>
  <c r="I6558" i="1"/>
  <c r="H6558" i="1"/>
  <c r="G6558" i="1"/>
  <c r="M6557" i="1"/>
  <c r="L6557" i="1"/>
  <c r="K6557" i="1"/>
  <c r="J6557" i="1"/>
  <c r="I6557" i="1"/>
  <c r="H6557" i="1"/>
  <c r="G6557" i="1"/>
  <c r="M6556" i="1"/>
  <c r="L6556" i="1"/>
  <c r="K6556" i="1"/>
  <c r="J6556" i="1"/>
  <c r="I6556" i="1"/>
  <c r="H6556" i="1"/>
  <c r="G6556" i="1"/>
  <c r="M6555" i="1"/>
  <c r="L6555" i="1"/>
  <c r="K6555" i="1"/>
  <c r="J6555" i="1"/>
  <c r="I6555" i="1"/>
  <c r="H6555" i="1"/>
  <c r="G6555" i="1"/>
  <c r="M6554" i="1"/>
  <c r="L6554" i="1"/>
  <c r="K6554" i="1"/>
  <c r="J6554" i="1"/>
  <c r="I6554" i="1"/>
  <c r="H6554" i="1"/>
  <c r="G6554" i="1"/>
  <c r="M6553" i="1"/>
  <c r="L6553" i="1"/>
  <c r="K6553" i="1"/>
  <c r="J6553" i="1"/>
  <c r="I6553" i="1"/>
  <c r="H6553" i="1"/>
  <c r="G6553" i="1"/>
  <c r="M6552" i="1"/>
  <c r="L6552" i="1"/>
  <c r="K6552" i="1"/>
  <c r="J6552" i="1"/>
  <c r="I6552" i="1"/>
  <c r="H6552" i="1"/>
  <c r="G6552" i="1"/>
  <c r="M6551" i="1"/>
  <c r="L6551" i="1"/>
  <c r="K6551" i="1"/>
  <c r="J6551" i="1"/>
  <c r="I6551" i="1"/>
  <c r="H6551" i="1"/>
  <c r="G6551" i="1"/>
  <c r="M6550" i="1"/>
  <c r="L6550" i="1"/>
  <c r="K6550" i="1"/>
  <c r="J6550" i="1"/>
  <c r="I6550" i="1"/>
  <c r="H6550" i="1"/>
  <c r="G6550" i="1"/>
  <c r="M6549" i="1"/>
  <c r="L6549" i="1"/>
  <c r="K6549" i="1"/>
  <c r="J6549" i="1"/>
  <c r="I6549" i="1"/>
  <c r="H6549" i="1"/>
  <c r="G6549" i="1"/>
  <c r="M6548" i="1"/>
  <c r="L6548" i="1"/>
  <c r="K6548" i="1"/>
  <c r="J6548" i="1"/>
  <c r="I6548" i="1"/>
  <c r="H6548" i="1"/>
  <c r="G6548" i="1"/>
  <c r="M6547" i="1"/>
  <c r="L6547" i="1"/>
  <c r="K6547" i="1"/>
  <c r="J6547" i="1"/>
  <c r="I6547" i="1"/>
  <c r="H6547" i="1"/>
  <c r="G6547" i="1"/>
  <c r="M6546" i="1"/>
  <c r="L6546" i="1"/>
  <c r="K6546" i="1"/>
  <c r="J6546" i="1"/>
  <c r="I6546" i="1"/>
  <c r="H6546" i="1"/>
  <c r="G6546" i="1"/>
  <c r="M6545" i="1"/>
  <c r="L6545" i="1"/>
  <c r="K6545" i="1"/>
  <c r="J6545" i="1"/>
  <c r="I6545" i="1"/>
  <c r="H6545" i="1"/>
  <c r="G6545" i="1"/>
  <c r="M6544" i="1"/>
  <c r="L6544" i="1"/>
  <c r="K6544" i="1"/>
  <c r="J6544" i="1"/>
  <c r="I6544" i="1"/>
  <c r="H6544" i="1"/>
  <c r="G6544" i="1"/>
  <c r="M6543" i="1"/>
  <c r="L6543" i="1"/>
  <c r="K6543" i="1"/>
  <c r="J6543" i="1"/>
  <c r="I6543" i="1"/>
  <c r="H6543" i="1"/>
  <c r="G6543" i="1"/>
  <c r="M6542" i="1"/>
  <c r="L6542" i="1"/>
  <c r="K6542" i="1"/>
  <c r="J6542" i="1"/>
  <c r="I6542" i="1"/>
  <c r="H6542" i="1"/>
  <c r="G6542" i="1"/>
  <c r="M6541" i="1"/>
  <c r="L6541" i="1"/>
  <c r="K6541" i="1"/>
  <c r="J6541" i="1"/>
  <c r="I6541" i="1"/>
  <c r="H6541" i="1"/>
  <c r="G6541" i="1"/>
  <c r="M6540" i="1"/>
  <c r="L6540" i="1"/>
  <c r="K6540" i="1"/>
  <c r="J6540" i="1"/>
  <c r="I6540" i="1"/>
  <c r="H6540" i="1"/>
  <c r="G6540" i="1"/>
  <c r="M6539" i="1"/>
  <c r="L6539" i="1"/>
  <c r="K6539" i="1"/>
  <c r="J6539" i="1"/>
  <c r="I6539" i="1"/>
  <c r="H6539" i="1"/>
  <c r="G6539" i="1"/>
  <c r="M6538" i="1"/>
  <c r="L6538" i="1"/>
  <c r="K6538" i="1"/>
  <c r="J6538" i="1"/>
  <c r="I6538" i="1"/>
  <c r="H6538" i="1"/>
  <c r="G6538" i="1"/>
  <c r="M6537" i="1"/>
  <c r="L6537" i="1"/>
  <c r="K6537" i="1"/>
  <c r="J6537" i="1"/>
  <c r="I6537" i="1"/>
  <c r="H6537" i="1"/>
  <c r="G6537" i="1"/>
  <c r="M6536" i="1"/>
  <c r="L6536" i="1"/>
  <c r="K6536" i="1"/>
  <c r="J6536" i="1"/>
  <c r="I6536" i="1"/>
  <c r="H6536" i="1"/>
  <c r="G6536" i="1"/>
  <c r="M6535" i="1"/>
  <c r="L6535" i="1"/>
  <c r="K6535" i="1"/>
  <c r="J6535" i="1"/>
  <c r="I6535" i="1"/>
  <c r="H6535" i="1"/>
  <c r="G6535" i="1"/>
  <c r="M6534" i="1"/>
  <c r="L6534" i="1"/>
  <c r="K6534" i="1"/>
  <c r="J6534" i="1"/>
  <c r="I6534" i="1"/>
  <c r="H6534" i="1"/>
  <c r="G6534" i="1"/>
  <c r="M6533" i="1"/>
  <c r="L6533" i="1"/>
  <c r="K6533" i="1"/>
  <c r="J6533" i="1"/>
  <c r="I6533" i="1"/>
  <c r="H6533" i="1"/>
  <c r="G6533" i="1"/>
  <c r="M6532" i="1"/>
  <c r="L6532" i="1"/>
  <c r="K6532" i="1"/>
  <c r="J6532" i="1"/>
  <c r="I6532" i="1"/>
  <c r="H6532" i="1"/>
  <c r="G6532" i="1"/>
  <c r="M6531" i="1"/>
  <c r="L6531" i="1"/>
  <c r="K6531" i="1"/>
  <c r="J6531" i="1"/>
  <c r="I6531" i="1"/>
  <c r="H6531" i="1"/>
  <c r="G6531" i="1"/>
  <c r="M6530" i="1"/>
  <c r="L6530" i="1"/>
  <c r="K6530" i="1"/>
  <c r="J6530" i="1"/>
  <c r="I6530" i="1"/>
  <c r="H6530" i="1"/>
  <c r="G6530" i="1"/>
  <c r="M6529" i="1"/>
  <c r="L6529" i="1"/>
  <c r="K6529" i="1"/>
  <c r="J6529" i="1"/>
  <c r="I6529" i="1"/>
  <c r="H6529" i="1"/>
  <c r="G6529" i="1"/>
  <c r="M6528" i="1"/>
  <c r="L6528" i="1"/>
  <c r="K6528" i="1"/>
  <c r="J6528" i="1"/>
  <c r="I6528" i="1"/>
  <c r="H6528" i="1"/>
  <c r="G6528" i="1"/>
  <c r="M6527" i="1"/>
  <c r="L6527" i="1"/>
  <c r="K6527" i="1"/>
  <c r="J6527" i="1"/>
  <c r="I6527" i="1"/>
  <c r="H6527" i="1"/>
  <c r="G6527" i="1"/>
  <c r="M6526" i="1"/>
  <c r="L6526" i="1"/>
  <c r="K6526" i="1"/>
  <c r="J6526" i="1"/>
  <c r="I6526" i="1"/>
  <c r="H6526" i="1"/>
  <c r="G6526" i="1"/>
  <c r="M6525" i="1"/>
  <c r="L6525" i="1"/>
  <c r="K6525" i="1"/>
  <c r="J6525" i="1"/>
  <c r="I6525" i="1"/>
  <c r="H6525" i="1"/>
  <c r="G6525" i="1"/>
  <c r="M6524" i="1"/>
  <c r="L6524" i="1"/>
  <c r="K6524" i="1"/>
  <c r="J6524" i="1"/>
  <c r="I6524" i="1"/>
  <c r="H6524" i="1"/>
  <c r="G6524" i="1"/>
  <c r="M6523" i="1"/>
  <c r="L6523" i="1"/>
  <c r="K6523" i="1"/>
  <c r="J6523" i="1"/>
  <c r="I6523" i="1"/>
  <c r="H6523" i="1"/>
  <c r="G6523" i="1"/>
  <c r="M6522" i="1"/>
  <c r="L6522" i="1"/>
  <c r="K6522" i="1"/>
  <c r="J6522" i="1"/>
  <c r="I6522" i="1"/>
  <c r="H6522" i="1"/>
  <c r="G6522" i="1"/>
  <c r="M6521" i="1"/>
  <c r="L6521" i="1"/>
  <c r="K6521" i="1"/>
  <c r="J6521" i="1"/>
  <c r="I6521" i="1"/>
  <c r="H6521" i="1"/>
  <c r="G6521" i="1"/>
  <c r="M6520" i="1"/>
  <c r="L6520" i="1"/>
  <c r="K6520" i="1"/>
  <c r="J6520" i="1"/>
  <c r="I6520" i="1"/>
  <c r="H6520" i="1"/>
  <c r="G6520" i="1"/>
  <c r="M6519" i="1"/>
  <c r="L6519" i="1"/>
  <c r="K6519" i="1"/>
  <c r="J6519" i="1"/>
  <c r="I6519" i="1"/>
  <c r="H6519" i="1"/>
  <c r="G6519" i="1"/>
  <c r="M6518" i="1"/>
  <c r="L6518" i="1"/>
  <c r="K6518" i="1"/>
  <c r="J6518" i="1"/>
  <c r="I6518" i="1"/>
  <c r="H6518" i="1"/>
  <c r="G6518" i="1"/>
  <c r="M6517" i="1"/>
  <c r="L6517" i="1"/>
  <c r="K6517" i="1"/>
  <c r="J6517" i="1"/>
  <c r="I6517" i="1"/>
  <c r="H6517" i="1"/>
  <c r="G6517" i="1"/>
  <c r="M6516" i="1"/>
  <c r="L6516" i="1"/>
  <c r="K6516" i="1"/>
  <c r="J6516" i="1"/>
  <c r="I6516" i="1"/>
  <c r="H6516" i="1"/>
  <c r="G6516" i="1"/>
  <c r="M6515" i="1"/>
  <c r="L6515" i="1"/>
  <c r="K6515" i="1"/>
  <c r="J6515" i="1"/>
  <c r="I6515" i="1"/>
  <c r="H6515" i="1"/>
  <c r="G6515" i="1"/>
  <c r="M6514" i="1"/>
  <c r="L6514" i="1"/>
  <c r="K6514" i="1"/>
  <c r="J6514" i="1"/>
  <c r="I6514" i="1"/>
  <c r="H6514" i="1"/>
  <c r="G6514" i="1"/>
  <c r="M6513" i="1"/>
  <c r="L6513" i="1"/>
  <c r="K6513" i="1"/>
  <c r="J6513" i="1"/>
  <c r="I6513" i="1"/>
  <c r="H6513" i="1"/>
  <c r="G6513" i="1"/>
  <c r="M6512" i="1"/>
  <c r="L6512" i="1"/>
  <c r="K6512" i="1"/>
  <c r="J6512" i="1"/>
  <c r="I6512" i="1"/>
  <c r="H6512" i="1"/>
  <c r="G6512" i="1"/>
  <c r="M6511" i="1"/>
  <c r="L6511" i="1"/>
  <c r="K6511" i="1"/>
  <c r="J6511" i="1"/>
  <c r="I6511" i="1"/>
  <c r="H6511" i="1"/>
  <c r="G6511" i="1"/>
  <c r="M6510" i="1"/>
  <c r="L6510" i="1"/>
  <c r="K6510" i="1"/>
  <c r="J6510" i="1"/>
  <c r="I6510" i="1"/>
  <c r="H6510" i="1"/>
  <c r="G6510" i="1"/>
  <c r="M6509" i="1"/>
  <c r="L6509" i="1"/>
  <c r="K6509" i="1"/>
  <c r="J6509" i="1"/>
  <c r="I6509" i="1"/>
  <c r="H6509" i="1"/>
  <c r="G6509" i="1"/>
  <c r="M6508" i="1"/>
  <c r="L6508" i="1"/>
  <c r="K6508" i="1"/>
  <c r="J6508" i="1"/>
  <c r="I6508" i="1"/>
  <c r="H6508" i="1"/>
  <c r="G6508" i="1"/>
  <c r="M6507" i="1"/>
  <c r="L6507" i="1"/>
  <c r="K6507" i="1"/>
  <c r="J6507" i="1"/>
  <c r="I6507" i="1"/>
  <c r="H6507" i="1"/>
  <c r="G6507" i="1"/>
  <c r="M6506" i="1"/>
  <c r="L6506" i="1"/>
  <c r="K6506" i="1"/>
  <c r="J6506" i="1"/>
  <c r="I6506" i="1"/>
  <c r="H6506" i="1"/>
  <c r="G6506" i="1"/>
  <c r="M6505" i="1"/>
  <c r="L6505" i="1"/>
  <c r="K6505" i="1"/>
  <c r="J6505" i="1"/>
  <c r="I6505" i="1"/>
  <c r="H6505" i="1"/>
  <c r="G6505" i="1"/>
  <c r="M6504" i="1"/>
  <c r="L6504" i="1"/>
  <c r="K6504" i="1"/>
  <c r="J6504" i="1"/>
  <c r="I6504" i="1"/>
  <c r="H6504" i="1"/>
  <c r="G6504" i="1"/>
  <c r="M6503" i="1"/>
  <c r="L6503" i="1"/>
  <c r="K6503" i="1"/>
  <c r="J6503" i="1"/>
  <c r="I6503" i="1"/>
  <c r="H6503" i="1"/>
  <c r="G6503" i="1"/>
  <c r="M6502" i="1"/>
  <c r="L6502" i="1"/>
  <c r="K6502" i="1"/>
  <c r="J6502" i="1"/>
  <c r="I6502" i="1"/>
  <c r="H6502" i="1"/>
  <c r="G6502" i="1"/>
  <c r="M6501" i="1"/>
  <c r="L6501" i="1"/>
  <c r="K6501" i="1"/>
  <c r="J6501" i="1"/>
  <c r="I6501" i="1"/>
  <c r="H6501" i="1"/>
  <c r="G6501" i="1"/>
  <c r="M6500" i="1"/>
  <c r="L6500" i="1"/>
  <c r="K6500" i="1"/>
  <c r="J6500" i="1"/>
  <c r="I6500" i="1"/>
  <c r="H6500" i="1"/>
  <c r="G6500" i="1"/>
  <c r="M6499" i="1"/>
  <c r="L6499" i="1"/>
  <c r="K6499" i="1"/>
  <c r="J6499" i="1"/>
  <c r="I6499" i="1"/>
  <c r="H6499" i="1"/>
  <c r="G6499" i="1"/>
  <c r="M6498" i="1"/>
  <c r="L6498" i="1"/>
  <c r="K6498" i="1"/>
  <c r="J6498" i="1"/>
  <c r="I6498" i="1"/>
  <c r="H6498" i="1"/>
  <c r="G6498" i="1"/>
  <c r="M6497" i="1"/>
  <c r="L6497" i="1"/>
  <c r="K6497" i="1"/>
  <c r="J6497" i="1"/>
  <c r="I6497" i="1"/>
  <c r="H6497" i="1"/>
  <c r="G6497" i="1"/>
  <c r="M6496" i="1"/>
  <c r="L6496" i="1"/>
  <c r="K6496" i="1"/>
  <c r="J6496" i="1"/>
  <c r="I6496" i="1"/>
  <c r="H6496" i="1"/>
  <c r="G6496" i="1"/>
  <c r="M6495" i="1"/>
  <c r="L6495" i="1"/>
  <c r="K6495" i="1"/>
  <c r="J6495" i="1"/>
  <c r="I6495" i="1"/>
  <c r="H6495" i="1"/>
  <c r="G6495" i="1"/>
  <c r="M6494" i="1"/>
  <c r="L6494" i="1"/>
  <c r="K6494" i="1"/>
  <c r="J6494" i="1"/>
  <c r="I6494" i="1"/>
  <c r="H6494" i="1"/>
  <c r="G6494" i="1"/>
  <c r="M6493" i="1"/>
  <c r="L6493" i="1"/>
  <c r="K6493" i="1"/>
  <c r="J6493" i="1"/>
  <c r="I6493" i="1"/>
  <c r="H6493" i="1"/>
  <c r="G6493" i="1"/>
  <c r="M6492" i="1"/>
  <c r="L6492" i="1"/>
  <c r="K6492" i="1"/>
  <c r="J6492" i="1"/>
  <c r="I6492" i="1"/>
  <c r="H6492" i="1"/>
  <c r="G6492" i="1"/>
  <c r="M6491" i="1"/>
  <c r="L6491" i="1"/>
  <c r="K6491" i="1"/>
  <c r="J6491" i="1"/>
  <c r="I6491" i="1"/>
  <c r="H6491" i="1"/>
  <c r="G6491" i="1"/>
  <c r="M6490" i="1"/>
  <c r="L6490" i="1"/>
  <c r="K6490" i="1"/>
  <c r="J6490" i="1"/>
  <c r="I6490" i="1"/>
  <c r="H6490" i="1"/>
  <c r="G6490" i="1"/>
  <c r="M6489" i="1"/>
  <c r="L6489" i="1"/>
  <c r="K6489" i="1"/>
  <c r="J6489" i="1"/>
  <c r="I6489" i="1"/>
  <c r="H6489" i="1"/>
  <c r="G6489" i="1"/>
  <c r="M6488" i="1"/>
  <c r="L6488" i="1"/>
  <c r="K6488" i="1"/>
  <c r="J6488" i="1"/>
  <c r="I6488" i="1"/>
  <c r="H6488" i="1"/>
  <c r="G6488" i="1"/>
  <c r="M6487" i="1"/>
  <c r="L6487" i="1"/>
  <c r="K6487" i="1"/>
  <c r="J6487" i="1"/>
  <c r="I6487" i="1"/>
  <c r="H6487" i="1"/>
  <c r="G6487" i="1"/>
  <c r="M6486" i="1"/>
  <c r="L6486" i="1"/>
  <c r="K6486" i="1"/>
  <c r="J6486" i="1"/>
  <c r="I6486" i="1"/>
  <c r="H6486" i="1"/>
  <c r="G6486" i="1"/>
  <c r="M6485" i="1"/>
  <c r="L6485" i="1"/>
  <c r="K6485" i="1"/>
  <c r="J6485" i="1"/>
  <c r="I6485" i="1"/>
  <c r="H6485" i="1"/>
  <c r="G6485" i="1"/>
  <c r="M6484" i="1"/>
  <c r="L6484" i="1"/>
  <c r="K6484" i="1"/>
  <c r="J6484" i="1"/>
  <c r="I6484" i="1"/>
  <c r="H6484" i="1"/>
  <c r="G6484" i="1"/>
  <c r="M6483" i="1"/>
  <c r="L6483" i="1"/>
  <c r="K6483" i="1"/>
  <c r="J6483" i="1"/>
  <c r="I6483" i="1"/>
  <c r="H6483" i="1"/>
  <c r="G6483" i="1"/>
  <c r="M6482" i="1"/>
  <c r="L6482" i="1"/>
  <c r="K6482" i="1"/>
  <c r="J6482" i="1"/>
  <c r="I6482" i="1"/>
  <c r="H6482" i="1"/>
  <c r="G6482" i="1"/>
  <c r="M6481" i="1"/>
  <c r="L6481" i="1"/>
  <c r="K6481" i="1"/>
  <c r="J6481" i="1"/>
  <c r="I6481" i="1"/>
  <c r="H6481" i="1"/>
  <c r="G6481" i="1"/>
  <c r="M6480" i="1"/>
  <c r="L6480" i="1"/>
  <c r="K6480" i="1"/>
  <c r="J6480" i="1"/>
  <c r="I6480" i="1"/>
  <c r="H6480" i="1"/>
  <c r="G6480" i="1"/>
  <c r="M6479" i="1"/>
  <c r="L6479" i="1"/>
  <c r="K6479" i="1"/>
  <c r="J6479" i="1"/>
  <c r="I6479" i="1"/>
  <c r="H6479" i="1"/>
  <c r="G6479" i="1"/>
  <c r="M6478" i="1"/>
  <c r="L6478" i="1"/>
  <c r="K6478" i="1"/>
  <c r="J6478" i="1"/>
  <c r="I6478" i="1"/>
  <c r="H6478" i="1"/>
  <c r="G6478" i="1"/>
  <c r="M6477" i="1"/>
  <c r="L6477" i="1"/>
  <c r="K6477" i="1"/>
  <c r="J6477" i="1"/>
  <c r="I6477" i="1"/>
  <c r="H6477" i="1"/>
  <c r="G6477" i="1"/>
  <c r="M6476" i="1"/>
  <c r="L6476" i="1"/>
  <c r="K6476" i="1"/>
  <c r="J6476" i="1"/>
  <c r="I6476" i="1"/>
  <c r="H6476" i="1"/>
  <c r="G6476" i="1"/>
  <c r="M6475" i="1"/>
  <c r="L6475" i="1"/>
  <c r="K6475" i="1"/>
  <c r="J6475" i="1"/>
  <c r="I6475" i="1"/>
  <c r="H6475" i="1"/>
  <c r="G6475" i="1"/>
  <c r="M6474" i="1"/>
  <c r="L6474" i="1"/>
  <c r="K6474" i="1"/>
  <c r="J6474" i="1"/>
  <c r="I6474" i="1"/>
  <c r="H6474" i="1"/>
  <c r="G6474" i="1"/>
  <c r="M6473" i="1"/>
  <c r="L6473" i="1"/>
  <c r="K6473" i="1"/>
  <c r="J6473" i="1"/>
  <c r="I6473" i="1"/>
  <c r="H6473" i="1"/>
  <c r="G6473" i="1"/>
  <c r="M6472" i="1"/>
  <c r="L6472" i="1"/>
  <c r="K6472" i="1"/>
  <c r="J6472" i="1"/>
  <c r="I6472" i="1"/>
  <c r="H6472" i="1"/>
  <c r="G6472" i="1"/>
  <c r="M6471" i="1"/>
  <c r="L6471" i="1"/>
  <c r="K6471" i="1"/>
  <c r="J6471" i="1"/>
  <c r="I6471" i="1"/>
  <c r="H6471" i="1"/>
  <c r="G6471" i="1"/>
  <c r="M6470" i="1"/>
  <c r="L6470" i="1"/>
  <c r="K6470" i="1"/>
  <c r="J6470" i="1"/>
  <c r="I6470" i="1"/>
  <c r="H6470" i="1"/>
  <c r="G6470" i="1"/>
  <c r="M6469" i="1"/>
  <c r="L6469" i="1"/>
  <c r="K6469" i="1"/>
  <c r="J6469" i="1"/>
  <c r="I6469" i="1"/>
  <c r="H6469" i="1"/>
  <c r="G6469" i="1"/>
  <c r="M6468" i="1"/>
  <c r="L6468" i="1"/>
  <c r="K6468" i="1"/>
  <c r="J6468" i="1"/>
  <c r="I6468" i="1"/>
  <c r="H6468" i="1"/>
  <c r="G6468" i="1"/>
  <c r="M6467" i="1"/>
  <c r="L6467" i="1"/>
  <c r="K6467" i="1"/>
  <c r="J6467" i="1"/>
  <c r="I6467" i="1"/>
  <c r="H6467" i="1"/>
  <c r="G6467" i="1"/>
  <c r="M6466" i="1"/>
  <c r="L6466" i="1"/>
  <c r="K6466" i="1"/>
  <c r="J6466" i="1"/>
  <c r="I6466" i="1"/>
  <c r="H6466" i="1"/>
  <c r="G6466" i="1"/>
  <c r="M6465" i="1"/>
  <c r="L6465" i="1"/>
  <c r="K6465" i="1"/>
  <c r="J6465" i="1"/>
  <c r="I6465" i="1"/>
  <c r="H6465" i="1"/>
  <c r="G6465" i="1"/>
  <c r="M6464" i="1"/>
  <c r="L6464" i="1"/>
  <c r="K6464" i="1"/>
  <c r="J6464" i="1"/>
  <c r="I6464" i="1"/>
  <c r="H6464" i="1"/>
  <c r="G6464" i="1"/>
  <c r="M6463" i="1"/>
  <c r="L6463" i="1"/>
  <c r="K6463" i="1"/>
  <c r="J6463" i="1"/>
  <c r="I6463" i="1"/>
  <c r="H6463" i="1"/>
  <c r="G6463" i="1"/>
  <c r="M6462" i="1"/>
  <c r="L6462" i="1"/>
  <c r="K6462" i="1"/>
  <c r="J6462" i="1"/>
  <c r="I6462" i="1"/>
  <c r="H6462" i="1"/>
  <c r="G6462" i="1"/>
  <c r="M6461" i="1"/>
  <c r="L6461" i="1"/>
  <c r="K6461" i="1"/>
  <c r="J6461" i="1"/>
  <c r="I6461" i="1"/>
  <c r="H6461" i="1"/>
  <c r="G6461" i="1"/>
  <c r="M6460" i="1"/>
  <c r="L6460" i="1"/>
  <c r="K6460" i="1"/>
  <c r="J6460" i="1"/>
  <c r="I6460" i="1"/>
  <c r="H6460" i="1"/>
  <c r="G6460" i="1"/>
  <c r="M6459" i="1"/>
  <c r="L6459" i="1"/>
  <c r="K6459" i="1"/>
  <c r="J6459" i="1"/>
  <c r="I6459" i="1"/>
  <c r="H6459" i="1"/>
  <c r="G6459" i="1"/>
  <c r="M6458" i="1"/>
  <c r="L6458" i="1"/>
  <c r="K6458" i="1"/>
  <c r="J6458" i="1"/>
  <c r="I6458" i="1"/>
  <c r="H6458" i="1"/>
  <c r="G6458" i="1"/>
  <c r="M6457" i="1"/>
  <c r="L6457" i="1"/>
  <c r="K6457" i="1"/>
  <c r="J6457" i="1"/>
  <c r="I6457" i="1"/>
  <c r="H6457" i="1"/>
  <c r="G6457" i="1"/>
  <c r="M6456" i="1"/>
  <c r="L6456" i="1"/>
  <c r="K6456" i="1"/>
  <c r="J6456" i="1"/>
  <c r="I6456" i="1"/>
  <c r="H6456" i="1"/>
  <c r="G6456" i="1"/>
  <c r="M6455" i="1"/>
  <c r="L6455" i="1"/>
  <c r="K6455" i="1"/>
  <c r="J6455" i="1"/>
  <c r="I6455" i="1"/>
  <c r="H6455" i="1"/>
  <c r="G6455" i="1"/>
  <c r="M6454" i="1"/>
  <c r="L6454" i="1"/>
  <c r="K6454" i="1"/>
  <c r="J6454" i="1"/>
  <c r="I6454" i="1"/>
  <c r="H6454" i="1"/>
  <c r="G6454" i="1"/>
  <c r="M6453" i="1"/>
  <c r="L6453" i="1"/>
  <c r="K6453" i="1"/>
  <c r="J6453" i="1"/>
  <c r="I6453" i="1"/>
  <c r="H6453" i="1"/>
  <c r="G6453" i="1"/>
  <c r="M6452" i="1"/>
  <c r="L6452" i="1"/>
  <c r="K6452" i="1"/>
  <c r="J6452" i="1"/>
  <c r="I6452" i="1"/>
  <c r="H6452" i="1"/>
  <c r="G6452" i="1"/>
  <c r="M6451" i="1"/>
  <c r="L6451" i="1"/>
  <c r="K6451" i="1"/>
  <c r="J6451" i="1"/>
  <c r="I6451" i="1"/>
  <c r="H6451" i="1"/>
  <c r="G6451" i="1"/>
  <c r="M6450" i="1"/>
  <c r="L6450" i="1"/>
  <c r="K6450" i="1"/>
  <c r="J6450" i="1"/>
  <c r="I6450" i="1"/>
  <c r="H6450" i="1"/>
  <c r="G6450" i="1"/>
  <c r="M6449" i="1"/>
  <c r="L6449" i="1"/>
  <c r="K6449" i="1"/>
  <c r="J6449" i="1"/>
  <c r="I6449" i="1"/>
  <c r="H6449" i="1"/>
  <c r="G6449" i="1"/>
  <c r="M6448" i="1"/>
  <c r="L6448" i="1"/>
  <c r="K6448" i="1"/>
  <c r="J6448" i="1"/>
  <c r="I6448" i="1"/>
  <c r="H6448" i="1"/>
  <c r="G6448" i="1"/>
  <c r="M6447" i="1"/>
  <c r="L6447" i="1"/>
  <c r="K6447" i="1"/>
  <c r="J6447" i="1"/>
  <c r="I6447" i="1"/>
  <c r="H6447" i="1"/>
  <c r="G6447" i="1"/>
  <c r="M6446" i="1"/>
  <c r="L6446" i="1"/>
  <c r="K6446" i="1"/>
  <c r="J6446" i="1"/>
  <c r="I6446" i="1"/>
  <c r="H6446" i="1"/>
  <c r="G6446" i="1"/>
  <c r="M6445" i="1"/>
  <c r="L6445" i="1"/>
  <c r="K6445" i="1"/>
  <c r="J6445" i="1"/>
  <c r="I6445" i="1"/>
  <c r="H6445" i="1"/>
  <c r="G6445" i="1"/>
  <c r="M6444" i="1"/>
  <c r="L6444" i="1"/>
  <c r="K6444" i="1"/>
  <c r="J6444" i="1"/>
  <c r="I6444" i="1"/>
  <c r="H6444" i="1"/>
  <c r="G6444" i="1"/>
  <c r="M6443" i="1"/>
  <c r="L6443" i="1"/>
  <c r="K6443" i="1"/>
  <c r="J6443" i="1"/>
  <c r="I6443" i="1"/>
  <c r="H6443" i="1"/>
  <c r="G6443" i="1"/>
  <c r="M6442" i="1"/>
  <c r="L6442" i="1"/>
  <c r="K6442" i="1"/>
  <c r="J6442" i="1"/>
  <c r="I6442" i="1"/>
  <c r="H6442" i="1"/>
  <c r="G6442" i="1"/>
  <c r="M6441" i="1"/>
  <c r="L6441" i="1"/>
  <c r="K6441" i="1"/>
  <c r="J6441" i="1"/>
  <c r="I6441" i="1"/>
  <c r="H6441" i="1"/>
  <c r="G6441" i="1"/>
  <c r="M6440" i="1"/>
  <c r="L6440" i="1"/>
  <c r="K6440" i="1"/>
  <c r="J6440" i="1"/>
  <c r="I6440" i="1"/>
  <c r="H6440" i="1"/>
  <c r="G6440" i="1"/>
  <c r="M6439" i="1"/>
  <c r="L6439" i="1"/>
  <c r="K6439" i="1"/>
  <c r="J6439" i="1"/>
  <c r="I6439" i="1"/>
  <c r="H6439" i="1"/>
  <c r="G6439" i="1"/>
  <c r="M6438" i="1"/>
  <c r="L6438" i="1"/>
  <c r="K6438" i="1"/>
  <c r="J6438" i="1"/>
  <c r="I6438" i="1"/>
  <c r="H6438" i="1"/>
  <c r="G6438" i="1"/>
  <c r="M6437" i="1"/>
  <c r="L6437" i="1"/>
  <c r="K6437" i="1"/>
  <c r="J6437" i="1"/>
  <c r="I6437" i="1"/>
  <c r="H6437" i="1"/>
  <c r="G6437" i="1"/>
  <c r="M6436" i="1"/>
  <c r="L6436" i="1"/>
  <c r="K6436" i="1"/>
  <c r="J6436" i="1"/>
  <c r="I6436" i="1"/>
  <c r="H6436" i="1"/>
  <c r="G6436" i="1"/>
  <c r="M6435" i="1"/>
  <c r="L6435" i="1"/>
  <c r="K6435" i="1"/>
  <c r="J6435" i="1"/>
  <c r="I6435" i="1"/>
  <c r="H6435" i="1"/>
  <c r="G6435" i="1"/>
  <c r="M6434" i="1"/>
  <c r="L6434" i="1"/>
  <c r="K6434" i="1"/>
  <c r="J6434" i="1"/>
  <c r="I6434" i="1"/>
  <c r="H6434" i="1"/>
  <c r="G6434" i="1"/>
  <c r="M6433" i="1"/>
  <c r="L6433" i="1"/>
  <c r="K6433" i="1"/>
  <c r="J6433" i="1"/>
  <c r="I6433" i="1"/>
  <c r="H6433" i="1"/>
  <c r="G6433" i="1"/>
  <c r="M6432" i="1"/>
  <c r="L6432" i="1"/>
  <c r="K6432" i="1"/>
  <c r="J6432" i="1"/>
  <c r="I6432" i="1"/>
  <c r="H6432" i="1"/>
  <c r="G6432" i="1"/>
  <c r="M6431" i="1"/>
  <c r="L6431" i="1"/>
  <c r="K6431" i="1"/>
  <c r="J6431" i="1"/>
  <c r="I6431" i="1"/>
  <c r="H6431" i="1"/>
  <c r="G6431" i="1"/>
  <c r="M6430" i="1"/>
  <c r="L6430" i="1"/>
  <c r="K6430" i="1"/>
  <c r="J6430" i="1"/>
  <c r="I6430" i="1"/>
  <c r="H6430" i="1"/>
  <c r="G6430" i="1"/>
  <c r="M6429" i="1"/>
  <c r="L6429" i="1"/>
  <c r="K6429" i="1"/>
  <c r="J6429" i="1"/>
  <c r="I6429" i="1"/>
  <c r="H6429" i="1"/>
  <c r="G6429" i="1"/>
  <c r="M6428" i="1"/>
  <c r="L6428" i="1"/>
  <c r="K6428" i="1"/>
  <c r="J6428" i="1"/>
  <c r="I6428" i="1"/>
  <c r="H6428" i="1"/>
  <c r="G6428" i="1"/>
  <c r="M6427" i="1"/>
  <c r="L6427" i="1"/>
  <c r="K6427" i="1"/>
  <c r="J6427" i="1"/>
  <c r="I6427" i="1"/>
  <c r="H6427" i="1"/>
  <c r="G6427" i="1"/>
  <c r="M6426" i="1"/>
  <c r="L6426" i="1"/>
  <c r="K6426" i="1"/>
  <c r="J6426" i="1"/>
  <c r="I6426" i="1"/>
  <c r="H6426" i="1"/>
  <c r="G6426" i="1"/>
  <c r="M6425" i="1"/>
  <c r="L6425" i="1"/>
  <c r="K6425" i="1"/>
  <c r="J6425" i="1"/>
  <c r="I6425" i="1"/>
  <c r="H6425" i="1"/>
  <c r="G6425" i="1"/>
  <c r="M6424" i="1"/>
  <c r="L6424" i="1"/>
  <c r="K6424" i="1"/>
  <c r="J6424" i="1"/>
  <c r="I6424" i="1"/>
  <c r="H6424" i="1"/>
  <c r="G6424" i="1"/>
  <c r="M6423" i="1"/>
  <c r="L6423" i="1"/>
  <c r="K6423" i="1"/>
  <c r="J6423" i="1"/>
  <c r="I6423" i="1"/>
  <c r="H6423" i="1"/>
  <c r="G6423" i="1"/>
  <c r="M6422" i="1"/>
  <c r="L6422" i="1"/>
  <c r="K6422" i="1"/>
  <c r="J6422" i="1"/>
  <c r="I6422" i="1"/>
  <c r="H6422" i="1"/>
  <c r="G6422" i="1"/>
  <c r="M6421" i="1"/>
  <c r="L6421" i="1"/>
  <c r="K6421" i="1"/>
  <c r="J6421" i="1"/>
  <c r="I6421" i="1"/>
  <c r="H6421" i="1"/>
  <c r="G6421" i="1"/>
  <c r="M6420" i="1"/>
  <c r="L6420" i="1"/>
  <c r="K6420" i="1"/>
  <c r="J6420" i="1"/>
  <c r="I6420" i="1"/>
  <c r="H6420" i="1"/>
  <c r="G6420" i="1"/>
  <c r="M6419" i="1"/>
  <c r="L6419" i="1"/>
  <c r="K6419" i="1"/>
  <c r="J6419" i="1"/>
  <c r="I6419" i="1"/>
  <c r="H6419" i="1"/>
  <c r="G6419" i="1"/>
  <c r="M6418" i="1"/>
  <c r="L6418" i="1"/>
  <c r="K6418" i="1"/>
  <c r="J6418" i="1"/>
  <c r="I6418" i="1"/>
  <c r="H6418" i="1"/>
  <c r="G6418" i="1"/>
  <c r="M6417" i="1"/>
  <c r="L6417" i="1"/>
  <c r="K6417" i="1"/>
  <c r="J6417" i="1"/>
  <c r="I6417" i="1"/>
  <c r="H6417" i="1"/>
  <c r="G6417" i="1"/>
  <c r="M6416" i="1"/>
  <c r="L6416" i="1"/>
  <c r="K6416" i="1"/>
  <c r="J6416" i="1"/>
  <c r="I6416" i="1"/>
  <c r="H6416" i="1"/>
  <c r="G6416" i="1"/>
  <c r="M6415" i="1"/>
  <c r="L6415" i="1"/>
  <c r="K6415" i="1"/>
  <c r="J6415" i="1"/>
  <c r="I6415" i="1"/>
  <c r="H6415" i="1"/>
  <c r="G6415" i="1"/>
  <c r="M6414" i="1"/>
  <c r="L6414" i="1"/>
  <c r="K6414" i="1"/>
  <c r="J6414" i="1"/>
  <c r="I6414" i="1"/>
  <c r="H6414" i="1"/>
  <c r="G6414" i="1"/>
  <c r="M6413" i="1"/>
  <c r="L6413" i="1"/>
  <c r="K6413" i="1"/>
  <c r="J6413" i="1"/>
  <c r="I6413" i="1"/>
  <c r="H6413" i="1"/>
  <c r="G6413" i="1"/>
  <c r="M6412" i="1"/>
  <c r="L6412" i="1"/>
  <c r="K6412" i="1"/>
  <c r="J6412" i="1"/>
  <c r="I6412" i="1"/>
  <c r="H6412" i="1"/>
  <c r="G6412" i="1"/>
  <c r="M6411" i="1"/>
  <c r="L6411" i="1"/>
  <c r="K6411" i="1"/>
  <c r="J6411" i="1"/>
  <c r="I6411" i="1"/>
  <c r="H6411" i="1"/>
  <c r="G6411" i="1"/>
  <c r="M6410" i="1"/>
  <c r="L6410" i="1"/>
  <c r="K6410" i="1"/>
  <c r="J6410" i="1"/>
  <c r="I6410" i="1"/>
  <c r="H6410" i="1"/>
  <c r="G6410" i="1"/>
  <c r="M6409" i="1"/>
  <c r="L6409" i="1"/>
  <c r="K6409" i="1"/>
  <c r="J6409" i="1"/>
  <c r="I6409" i="1"/>
  <c r="H6409" i="1"/>
  <c r="G6409" i="1"/>
  <c r="M6408" i="1"/>
  <c r="L6408" i="1"/>
  <c r="K6408" i="1"/>
  <c r="J6408" i="1"/>
  <c r="I6408" i="1"/>
  <c r="H6408" i="1"/>
  <c r="G6408" i="1"/>
  <c r="M6407" i="1"/>
  <c r="L6407" i="1"/>
  <c r="K6407" i="1"/>
  <c r="J6407" i="1"/>
  <c r="I6407" i="1"/>
  <c r="H6407" i="1"/>
  <c r="G6407" i="1"/>
  <c r="M6406" i="1"/>
  <c r="L6406" i="1"/>
  <c r="K6406" i="1"/>
  <c r="J6406" i="1"/>
  <c r="I6406" i="1"/>
  <c r="H6406" i="1"/>
  <c r="G6406" i="1"/>
  <c r="M6405" i="1"/>
  <c r="L6405" i="1"/>
  <c r="K6405" i="1"/>
  <c r="J6405" i="1"/>
  <c r="I6405" i="1"/>
  <c r="H6405" i="1"/>
  <c r="G6405" i="1"/>
  <c r="M6404" i="1"/>
  <c r="L6404" i="1"/>
  <c r="K6404" i="1"/>
  <c r="J6404" i="1"/>
  <c r="I6404" i="1"/>
  <c r="H6404" i="1"/>
  <c r="G6404" i="1"/>
  <c r="M6403" i="1"/>
  <c r="L6403" i="1"/>
  <c r="K6403" i="1"/>
  <c r="J6403" i="1"/>
  <c r="I6403" i="1"/>
  <c r="H6403" i="1"/>
  <c r="G6403" i="1"/>
  <c r="M6402" i="1"/>
  <c r="L6402" i="1"/>
  <c r="K6402" i="1"/>
  <c r="J6402" i="1"/>
  <c r="I6402" i="1"/>
  <c r="H6402" i="1"/>
  <c r="G6402" i="1"/>
  <c r="M6401" i="1"/>
  <c r="L6401" i="1"/>
  <c r="K6401" i="1"/>
  <c r="J6401" i="1"/>
  <c r="I6401" i="1"/>
  <c r="H6401" i="1"/>
  <c r="G6401" i="1"/>
  <c r="M6400" i="1"/>
  <c r="L6400" i="1"/>
  <c r="K6400" i="1"/>
  <c r="J6400" i="1"/>
  <c r="I6400" i="1"/>
  <c r="H6400" i="1"/>
  <c r="G6400" i="1"/>
  <c r="M6399" i="1"/>
  <c r="L6399" i="1"/>
  <c r="K6399" i="1"/>
  <c r="J6399" i="1"/>
  <c r="I6399" i="1"/>
  <c r="H6399" i="1"/>
  <c r="G6399" i="1"/>
  <c r="M6398" i="1"/>
  <c r="L6398" i="1"/>
  <c r="K6398" i="1"/>
  <c r="J6398" i="1"/>
  <c r="I6398" i="1"/>
  <c r="H6398" i="1"/>
  <c r="G6398" i="1"/>
  <c r="M6397" i="1"/>
  <c r="L6397" i="1"/>
  <c r="K6397" i="1"/>
  <c r="J6397" i="1"/>
  <c r="I6397" i="1"/>
  <c r="H6397" i="1"/>
  <c r="G6397" i="1"/>
  <c r="M6396" i="1"/>
  <c r="L6396" i="1"/>
  <c r="K6396" i="1"/>
  <c r="J6396" i="1"/>
  <c r="I6396" i="1"/>
  <c r="H6396" i="1"/>
  <c r="G6396" i="1"/>
  <c r="M6395" i="1"/>
  <c r="L6395" i="1"/>
  <c r="K6395" i="1"/>
  <c r="J6395" i="1"/>
  <c r="I6395" i="1"/>
  <c r="H6395" i="1"/>
  <c r="G6395" i="1"/>
  <c r="M6394" i="1"/>
  <c r="L6394" i="1"/>
  <c r="K6394" i="1"/>
  <c r="J6394" i="1"/>
  <c r="I6394" i="1"/>
  <c r="H6394" i="1"/>
  <c r="G6394" i="1"/>
  <c r="M6393" i="1"/>
  <c r="L6393" i="1"/>
  <c r="K6393" i="1"/>
  <c r="J6393" i="1"/>
  <c r="I6393" i="1"/>
  <c r="H6393" i="1"/>
  <c r="G6393" i="1"/>
  <c r="M6392" i="1"/>
  <c r="L6392" i="1"/>
  <c r="K6392" i="1"/>
  <c r="J6392" i="1"/>
  <c r="I6392" i="1"/>
  <c r="H6392" i="1"/>
  <c r="G6392" i="1"/>
  <c r="M6391" i="1"/>
  <c r="L6391" i="1"/>
  <c r="K6391" i="1"/>
  <c r="J6391" i="1"/>
  <c r="I6391" i="1"/>
  <c r="H6391" i="1"/>
  <c r="G6391" i="1"/>
  <c r="M6390" i="1"/>
  <c r="L6390" i="1"/>
  <c r="K6390" i="1"/>
  <c r="J6390" i="1"/>
  <c r="I6390" i="1"/>
  <c r="H6390" i="1"/>
  <c r="G6390" i="1"/>
  <c r="M6389" i="1"/>
  <c r="L6389" i="1"/>
  <c r="K6389" i="1"/>
  <c r="J6389" i="1"/>
  <c r="I6389" i="1"/>
  <c r="H6389" i="1"/>
  <c r="G6389" i="1"/>
  <c r="M6388" i="1"/>
  <c r="L6388" i="1"/>
  <c r="K6388" i="1"/>
  <c r="J6388" i="1"/>
  <c r="I6388" i="1"/>
  <c r="H6388" i="1"/>
  <c r="G6388" i="1"/>
  <c r="M6387" i="1"/>
  <c r="L6387" i="1"/>
  <c r="K6387" i="1"/>
  <c r="J6387" i="1"/>
  <c r="I6387" i="1"/>
  <c r="H6387" i="1"/>
  <c r="G6387" i="1"/>
  <c r="M6386" i="1"/>
  <c r="L6386" i="1"/>
  <c r="K6386" i="1"/>
  <c r="J6386" i="1"/>
  <c r="I6386" i="1"/>
  <c r="H6386" i="1"/>
  <c r="G6386" i="1"/>
  <c r="M6385" i="1"/>
  <c r="L6385" i="1"/>
  <c r="K6385" i="1"/>
  <c r="J6385" i="1"/>
  <c r="I6385" i="1"/>
  <c r="H6385" i="1"/>
  <c r="G6385" i="1"/>
  <c r="M6384" i="1"/>
  <c r="L6384" i="1"/>
  <c r="K6384" i="1"/>
  <c r="J6384" i="1"/>
  <c r="I6384" i="1"/>
  <c r="H6384" i="1"/>
  <c r="G6384" i="1"/>
  <c r="M6383" i="1"/>
  <c r="L6383" i="1"/>
  <c r="K6383" i="1"/>
  <c r="J6383" i="1"/>
  <c r="I6383" i="1"/>
  <c r="H6383" i="1"/>
  <c r="G6383" i="1"/>
  <c r="M6382" i="1"/>
  <c r="L6382" i="1"/>
  <c r="K6382" i="1"/>
  <c r="J6382" i="1"/>
  <c r="I6382" i="1"/>
  <c r="H6382" i="1"/>
  <c r="G6382" i="1"/>
  <c r="M6381" i="1"/>
  <c r="L6381" i="1"/>
  <c r="K6381" i="1"/>
  <c r="J6381" i="1"/>
  <c r="I6381" i="1"/>
  <c r="H6381" i="1"/>
  <c r="G6381" i="1"/>
  <c r="M6380" i="1"/>
  <c r="L6380" i="1"/>
  <c r="K6380" i="1"/>
  <c r="J6380" i="1"/>
  <c r="I6380" i="1"/>
  <c r="H6380" i="1"/>
  <c r="G6380" i="1"/>
  <c r="M6379" i="1"/>
  <c r="L6379" i="1"/>
  <c r="K6379" i="1"/>
  <c r="J6379" i="1"/>
  <c r="I6379" i="1"/>
  <c r="H6379" i="1"/>
  <c r="G6379" i="1"/>
  <c r="M6378" i="1"/>
  <c r="L6378" i="1"/>
  <c r="K6378" i="1"/>
  <c r="J6378" i="1"/>
  <c r="I6378" i="1"/>
  <c r="H6378" i="1"/>
  <c r="G6378" i="1"/>
  <c r="M6377" i="1"/>
  <c r="L6377" i="1"/>
  <c r="K6377" i="1"/>
  <c r="J6377" i="1"/>
  <c r="I6377" i="1"/>
  <c r="H6377" i="1"/>
  <c r="G6377" i="1"/>
  <c r="M6376" i="1"/>
  <c r="L6376" i="1"/>
  <c r="K6376" i="1"/>
  <c r="J6376" i="1"/>
  <c r="I6376" i="1"/>
  <c r="H6376" i="1"/>
  <c r="G6376" i="1"/>
  <c r="M6375" i="1"/>
  <c r="L6375" i="1"/>
  <c r="K6375" i="1"/>
  <c r="J6375" i="1"/>
  <c r="I6375" i="1"/>
  <c r="H6375" i="1"/>
  <c r="G6375" i="1"/>
  <c r="M6374" i="1"/>
  <c r="L6374" i="1"/>
  <c r="K6374" i="1"/>
  <c r="J6374" i="1"/>
  <c r="I6374" i="1"/>
  <c r="H6374" i="1"/>
  <c r="G6374" i="1"/>
  <c r="M6373" i="1"/>
  <c r="L6373" i="1"/>
  <c r="K6373" i="1"/>
  <c r="J6373" i="1"/>
  <c r="I6373" i="1"/>
  <c r="H6373" i="1"/>
  <c r="G6373" i="1"/>
  <c r="M6372" i="1"/>
  <c r="L6372" i="1"/>
  <c r="K6372" i="1"/>
  <c r="J6372" i="1"/>
  <c r="I6372" i="1"/>
  <c r="H6372" i="1"/>
  <c r="G6372" i="1"/>
  <c r="M6371" i="1"/>
  <c r="L6371" i="1"/>
  <c r="K6371" i="1"/>
  <c r="J6371" i="1"/>
  <c r="I6371" i="1"/>
  <c r="H6371" i="1"/>
  <c r="G6371" i="1"/>
  <c r="M6370" i="1"/>
  <c r="L6370" i="1"/>
  <c r="K6370" i="1"/>
  <c r="J6370" i="1"/>
  <c r="I6370" i="1"/>
  <c r="H6370" i="1"/>
  <c r="G6370" i="1"/>
  <c r="M6369" i="1"/>
  <c r="L6369" i="1"/>
  <c r="K6369" i="1"/>
  <c r="J6369" i="1"/>
  <c r="I6369" i="1"/>
  <c r="H6369" i="1"/>
  <c r="G6369" i="1"/>
  <c r="M6368" i="1"/>
  <c r="L6368" i="1"/>
  <c r="K6368" i="1"/>
  <c r="J6368" i="1"/>
  <c r="I6368" i="1"/>
  <c r="H6368" i="1"/>
  <c r="G6368" i="1"/>
  <c r="M6367" i="1"/>
  <c r="L6367" i="1"/>
  <c r="K6367" i="1"/>
  <c r="J6367" i="1"/>
  <c r="I6367" i="1"/>
  <c r="H6367" i="1"/>
  <c r="G6367" i="1"/>
  <c r="M6366" i="1"/>
  <c r="L6366" i="1"/>
  <c r="K6366" i="1"/>
  <c r="J6366" i="1"/>
  <c r="I6366" i="1"/>
  <c r="H6366" i="1"/>
  <c r="G6366" i="1"/>
  <c r="M6365" i="1"/>
  <c r="L6365" i="1"/>
  <c r="K6365" i="1"/>
  <c r="J6365" i="1"/>
  <c r="I6365" i="1"/>
  <c r="H6365" i="1"/>
  <c r="G6365" i="1"/>
  <c r="M6364" i="1"/>
  <c r="L6364" i="1"/>
  <c r="K6364" i="1"/>
  <c r="J6364" i="1"/>
  <c r="I6364" i="1"/>
  <c r="H6364" i="1"/>
  <c r="G6364" i="1"/>
  <c r="M6363" i="1"/>
  <c r="L6363" i="1"/>
  <c r="K6363" i="1"/>
  <c r="J6363" i="1"/>
  <c r="I6363" i="1"/>
  <c r="H6363" i="1"/>
  <c r="G6363" i="1"/>
  <c r="M6362" i="1"/>
  <c r="L6362" i="1"/>
  <c r="K6362" i="1"/>
  <c r="J6362" i="1"/>
  <c r="I6362" i="1"/>
  <c r="H6362" i="1"/>
  <c r="G6362" i="1"/>
  <c r="M6361" i="1"/>
  <c r="L6361" i="1"/>
  <c r="K6361" i="1"/>
  <c r="J6361" i="1"/>
  <c r="I6361" i="1"/>
  <c r="H6361" i="1"/>
  <c r="G6361" i="1"/>
  <c r="M6360" i="1"/>
  <c r="L6360" i="1"/>
  <c r="K6360" i="1"/>
  <c r="J6360" i="1"/>
  <c r="I6360" i="1"/>
  <c r="H6360" i="1"/>
  <c r="G6360" i="1"/>
  <c r="M6359" i="1"/>
  <c r="L6359" i="1"/>
  <c r="K6359" i="1"/>
  <c r="J6359" i="1"/>
  <c r="I6359" i="1"/>
  <c r="H6359" i="1"/>
  <c r="G6359" i="1"/>
  <c r="M6358" i="1"/>
  <c r="L6358" i="1"/>
  <c r="K6358" i="1"/>
  <c r="J6358" i="1"/>
  <c r="I6358" i="1"/>
  <c r="H6358" i="1"/>
  <c r="G6358" i="1"/>
  <c r="M6357" i="1"/>
  <c r="L6357" i="1"/>
  <c r="K6357" i="1"/>
  <c r="J6357" i="1"/>
  <c r="I6357" i="1"/>
  <c r="H6357" i="1"/>
  <c r="G6357" i="1"/>
  <c r="M6356" i="1"/>
  <c r="L6356" i="1"/>
  <c r="K6356" i="1"/>
  <c r="J6356" i="1"/>
  <c r="I6356" i="1"/>
  <c r="H6356" i="1"/>
  <c r="G6356" i="1"/>
  <c r="M6355" i="1"/>
  <c r="L6355" i="1"/>
  <c r="K6355" i="1"/>
  <c r="J6355" i="1"/>
  <c r="I6355" i="1"/>
  <c r="H6355" i="1"/>
  <c r="G6355" i="1"/>
  <c r="M6354" i="1"/>
  <c r="L6354" i="1"/>
  <c r="K6354" i="1"/>
  <c r="J6354" i="1"/>
  <c r="I6354" i="1"/>
  <c r="H6354" i="1"/>
  <c r="G6354" i="1"/>
  <c r="M6353" i="1"/>
  <c r="L6353" i="1"/>
  <c r="K6353" i="1"/>
  <c r="J6353" i="1"/>
  <c r="I6353" i="1"/>
  <c r="H6353" i="1"/>
  <c r="G6353" i="1"/>
  <c r="M6352" i="1"/>
  <c r="L6352" i="1"/>
  <c r="K6352" i="1"/>
  <c r="J6352" i="1"/>
  <c r="I6352" i="1"/>
  <c r="H6352" i="1"/>
  <c r="G6352" i="1"/>
  <c r="M6351" i="1"/>
  <c r="L6351" i="1"/>
  <c r="K6351" i="1"/>
  <c r="J6351" i="1"/>
  <c r="I6351" i="1"/>
  <c r="H6351" i="1"/>
  <c r="G6351" i="1"/>
  <c r="M6350" i="1"/>
  <c r="L6350" i="1"/>
  <c r="K6350" i="1"/>
  <c r="J6350" i="1"/>
  <c r="I6350" i="1"/>
  <c r="H6350" i="1"/>
  <c r="G6350" i="1"/>
  <c r="M6349" i="1"/>
  <c r="L6349" i="1"/>
  <c r="K6349" i="1"/>
  <c r="J6349" i="1"/>
  <c r="I6349" i="1"/>
  <c r="H6349" i="1"/>
  <c r="G6349" i="1"/>
  <c r="M6348" i="1"/>
  <c r="L6348" i="1"/>
  <c r="K6348" i="1"/>
  <c r="J6348" i="1"/>
  <c r="I6348" i="1"/>
  <c r="H6348" i="1"/>
  <c r="G6348" i="1"/>
  <c r="M6347" i="1"/>
  <c r="L6347" i="1"/>
  <c r="K6347" i="1"/>
  <c r="J6347" i="1"/>
  <c r="I6347" i="1"/>
  <c r="H6347" i="1"/>
  <c r="G6347" i="1"/>
  <c r="M6346" i="1"/>
  <c r="L6346" i="1"/>
  <c r="K6346" i="1"/>
  <c r="J6346" i="1"/>
  <c r="I6346" i="1"/>
  <c r="H6346" i="1"/>
  <c r="G6346" i="1"/>
  <c r="M6345" i="1"/>
  <c r="L6345" i="1"/>
  <c r="K6345" i="1"/>
  <c r="J6345" i="1"/>
  <c r="I6345" i="1"/>
  <c r="H6345" i="1"/>
  <c r="G6345" i="1"/>
  <c r="M6344" i="1"/>
  <c r="L6344" i="1"/>
  <c r="K6344" i="1"/>
  <c r="J6344" i="1"/>
  <c r="I6344" i="1"/>
  <c r="H6344" i="1"/>
  <c r="G6344" i="1"/>
  <c r="M6343" i="1"/>
  <c r="L6343" i="1"/>
  <c r="K6343" i="1"/>
  <c r="J6343" i="1"/>
  <c r="I6343" i="1"/>
  <c r="H6343" i="1"/>
  <c r="G6343" i="1"/>
  <c r="M6342" i="1"/>
  <c r="L6342" i="1"/>
  <c r="K6342" i="1"/>
  <c r="J6342" i="1"/>
  <c r="I6342" i="1"/>
  <c r="H6342" i="1"/>
  <c r="G6342" i="1"/>
  <c r="M6341" i="1"/>
  <c r="L6341" i="1"/>
  <c r="K6341" i="1"/>
  <c r="J6341" i="1"/>
  <c r="I6341" i="1"/>
  <c r="H6341" i="1"/>
  <c r="G6341" i="1"/>
  <c r="M6340" i="1"/>
  <c r="L6340" i="1"/>
  <c r="K6340" i="1"/>
  <c r="J6340" i="1"/>
  <c r="I6340" i="1"/>
  <c r="H6340" i="1"/>
  <c r="G6340" i="1"/>
  <c r="M6339" i="1"/>
  <c r="L6339" i="1"/>
  <c r="K6339" i="1"/>
  <c r="J6339" i="1"/>
  <c r="I6339" i="1"/>
  <c r="H6339" i="1"/>
  <c r="G6339" i="1"/>
  <c r="M6338" i="1"/>
  <c r="L6338" i="1"/>
  <c r="K6338" i="1"/>
  <c r="J6338" i="1"/>
  <c r="I6338" i="1"/>
  <c r="H6338" i="1"/>
  <c r="G6338" i="1"/>
  <c r="M6337" i="1"/>
  <c r="L6337" i="1"/>
  <c r="K6337" i="1"/>
  <c r="J6337" i="1"/>
  <c r="I6337" i="1"/>
  <c r="H6337" i="1"/>
  <c r="G6337" i="1"/>
  <c r="M6336" i="1"/>
  <c r="L6336" i="1"/>
  <c r="K6336" i="1"/>
  <c r="J6336" i="1"/>
  <c r="I6336" i="1"/>
  <c r="H6336" i="1"/>
  <c r="G6336" i="1"/>
  <c r="M6335" i="1"/>
  <c r="L6335" i="1"/>
  <c r="K6335" i="1"/>
  <c r="J6335" i="1"/>
  <c r="I6335" i="1"/>
  <c r="H6335" i="1"/>
  <c r="G6335" i="1"/>
  <c r="M6334" i="1"/>
  <c r="L6334" i="1"/>
  <c r="K6334" i="1"/>
  <c r="J6334" i="1"/>
  <c r="I6334" i="1"/>
  <c r="H6334" i="1"/>
  <c r="G6334" i="1"/>
  <c r="M6333" i="1"/>
  <c r="L6333" i="1"/>
  <c r="K6333" i="1"/>
  <c r="J6333" i="1"/>
  <c r="I6333" i="1"/>
  <c r="H6333" i="1"/>
  <c r="G6333" i="1"/>
  <c r="M6332" i="1"/>
  <c r="L6332" i="1"/>
  <c r="K6332" i="1"/>
  <c r="J6332" i="1"/>
  <c r="I6332" i="1"/>
  <c r="H6332" i="1"/>
  <c r="G6332" i="1"/>
  <c r="M6331" i="1"/>
  <c r="L6331" i="1"/>
  <c r="K6331" i="1"/>
  <c r="J6331" i="1"/>
  <c r="I6331" i="1"/>
  <c r="H6331" i="1"/>
  <c r="G6331" i="1"/>
  <c r="M6330" i="1"/>
  <c r="L6330" i="1"/>
  <c r="K6330" i="1"/>
  <c r="J6330" i="1"/>
  <c r="I6330" i="1"/>
  <c r="H6330" i="1"/>
  <c r="G6330" i="1"/>
  <c r="M6329" i="1"/>
  <c r="L6329" i="1"/>
  <c r="K6329" i="1"/>
  <c r="J6329" i="1"/>
  <c r="I6329" i="1"/>
  <c r="H6329" i="1"/>
  <c r="G6329" i="1"/>
  <c r="M6328" i="1"/>
  <c r="L6328" i="1"/>
  <c r="K6328" i="1"/>
  <c r="J6328" i="1"/>
  <c r="I6328" i="1"/>
  <c r="H6328" i="1"/>
  <c r="G6328" i="1"/>
  <c r="M6327" i="1"/>
  <c r="L6327" i="1"/>
  <c r="K6327" i="1"/>
  <c r="J6327" i="1"/>
  <c r="I6327" i="1"/>
  <c r="H6327" i="1"/>
  <c r="G6327" i="1"/>
  <c r="M6326" i="1"/>
  <c r="L6326" i="1"/>
  <c r="K6326" i="1"/>
  <c r="J6326" i="1"/>
  <c r="I6326" i="1"/>
  <c r="H6326" i="1"/>
  <c r="G6326" i="1"/>
  <c r="M6325" i="1"/>
  <c r="L6325" i="1"/>
  <c r="K6325" i="1"/>
  <c r="J6325" i="1"/>
  <c r="I6325" i="1"/>
  <c r="H6325" i="1"/>
  <c r="G6325" i="1"/>
  <c r="M6324" i="1"/>
  <c r="L6324" i="1"/>
  <c r="K6324" i="1"/>
  <c r="J6324" i="1"/>
  <c r="I6324" i="1"/>
  <c r="H6324" i="1"/>
  <c r="G6324" i="1"/>
  <c r="M6323" i="1"/>
  <c r="L6323" i="1"/>
  <c r="K6323" i="1"/>
  <c r="J6323" i="1"/>
  <c r="I6323" i="1"/>
  <c r="H6323" i="1"/>
  <c r="G6323" i="1"/>
  <c r="M6322" i="1"/>
  <c r="L6322" i="1"/>
  <c r="K6322" i="1"/>
  <c r="J6322" i="1"/>
  <c r="I6322" i="1"/>
  <c r="H6322" i="1"/>
  <c r="G6322" i="1"/>
  <c r="M6321" i="1"/>
  <c r="L6321" i="1"/>
  <c r="K6321" i="1"/>
  <c r="J6321" i="1"/>
  <c r="I6321" i="1"/>
  <c r="H6321" i="1"/>
  <c r="G6321" i="1"/>
  <c r="M6320" i="1"/>
  <c r="L6320" i="1"/>
  <c r="K6320" i="1"/>
  <c r="J6320" i="1"/>
  <c r="I6320" i="1"/>
  <c r="H6320" i="1"/>
  <c r="G6320" i="1"/>
  <c r="M6319" i="1"/>
  <c r="L6319" i="1"/>
  <c r="K6319" i="1"/>
  <c r="J6319" i="1"/>
  <c r="I6319" i="1"/>
  <c r="H6319" i="1"/>
  <c r="G6319" i="1"/>
  <c r="M6318" i="1"/>
  <c r="L6318" i="1"/>
  <c r="K6318" i="1"/>
  <c r="J6318" i="1"/>
  <c r="I6318" i="1"/>
  <c r="H6318" i="1"/>
  <c r="G6318" i="1"/>
  <c r="M6317" i="1"/>
  <c r="L6317" i="1"/>
  <c r="K6317" i="1"/>
  <c r="J6317" i="1"/>
  <c r="I6317" i="1"/>
  <c r="H6317" i="1"/>
  <c r="G6317" i="1"/>
  <c r="M6316" i="1"/>
  <c r="L6316" i="1"/>
  <c r="K6316" i="1"/>
  <c r="J6316" i="1"/>
  <c r="I6316" i="1"/>
  <c r="H6316" i="1"/>
  <c r="G6316" i="1"/>
  <c r="M6315" i="1"/>
  <c r="L6315" i="1"/>
  <c r="K6315" i="1"/>
  <c r="J6315" i="1"/>
  <c r="I6315" i="1"/>
  <c r="H6315" i="1"/>
  <c r="G6315" i="1"/>
  <c r="M6314" i="1"/>
  <c r="L6314" i="1"/>
  <c r="K6314" i="1"/>
  <c r="J6314" i="1"/>
  <c r="I6314" i="1"/>
  <c r="H6314" i="1"/>
  <c r="G6314" i="1"/>
  <c r="M6313" i="1"/>
  <c r="L6313" i="1"/>
  <c r="K6313" i="1"/>
  <c r="J6313" i="1"/>
  <c r="I6313" i="1"/>
  <c r="H6313" i="1"/>
  <c r="G6313" i="1"/>
  <c r="M6312" i="1"/>
  <c r="L6312" i="1"/>
  <c r="K6312" i="1"/>
  <c r="J6312" i="1"/>
  <c r="I6312" i="1"/>
  <c r="H6312" i="1"/>
  <c r="G6312" i="1"/>
  <c r="M6311" i="1"/>
  <c r="L6311" i="1"/>
  <c r="K6311" i="1"/>
  <c r="J6311" i="1"/>
  <c r="I6311" i="1"/>
  <c r="H6311" i="1"/>
  <c r="G6311" i="1"/>
  <c r="M6310" i="1"/>
  <c r="L6310" i="1"/>
  <c r="K6310" i="1"/>
  <c r="J6310" i="1"/>
  <c r="I6310" i="1"/>
  <c r="H6310" i="1"/>
  <c r="G6310" i="1"/>
  <c r="M6309" i="1"/>
  <c r="L6309" i="1"/>
  <c r="K6309" i="1"/>
  <c r="J6309" i="1"/>
  <c r="I6309" i="1"/>
  <c r="H6309" i="1"/>
  <c r="G6309" i="1"/>
  <c r="M6308" i="1"/>
  <c r="L6308" i="1"/>
  <c r="K6308" i="1"/>
  <c r="J6308" i="1"/>
  <c r="I6308" i="1"/>
  <c r="H6308" i="1"/>
  <c r="G6308" i="1"/>
  <c r="M6307" i="1"/>
  <c r="L6307" i="1"/>
  <c r="K6307" i="1"/>
  <c r="J6307" i="1"/>
  <c r="I6307" i="1"/>
  <c r="H6307" i="1"/>
  <c r="G6307" i="1"/>
  <c r="M6306" i="1"/>
  <c r="L6306" i="1"/>
  <c r="K6306" i="1"/>
  <c r="J6306" i="1"/>
  <c r="I6306" i="1"/>
  <c r="H6306" i="1"/>
  <c r="G6306" i="1"/>
  <c r="M6305" i="1"/>
  <c r="L6305" i="1"/>
  <c r="K6305" i="1"/>
  <c r="J6305" i="1"/>
  <c r="I6305" i="1"/>
  <c r="H6305" i="1"/>
  <c r="G6305" i="1"/>
  <c r="M6304" i="1"/>
  <c r="L6304" i="1"/>
  <c r="K6304" i="1"/>
  <c r="J6304" i="1"/>
  <c r="I6304" i="1"/>
  <c r="H6304" i="1"/>
  <c r="G6304" i="1"/>
  <c r="M6303" i="1"/>
  <c r="L6303" i="1"/>
  <c r="K6303" i="1"/>
  <c r="J6303" i="1"/>
  <c r="I6303" i="1"/>
  <c r="H6303" i="1"/>
  <c r="G6303" i="1"/>
  <c r="M6302" i="1"/>
  <c r="L6302" i="1"/>
  <c r="K6302" i="1"/>
  <c r="J6302" i="1"/>
  <c r="I6302" i="1"/>
  <c r="H6302" i="1"/>
  <c r="G6302" i="1"/>
  <c r="M6301" i="1"/>
  <c r="L6301" i="1"/>
  <c r="K6301" i="1"/>
  <c r="J6301" i="1"/>
  <c r="I6301" i="1"/>
  <c r="H6301" i="1"/>
  <c r="G6301" i="1"/>
  <c r="M6300" i="1"/>
  <c r="L6300" i="1"/>
  <c r="K6300" i="1"/>
  <c r="J6300" i="1"/>
  <c r="I6300" i="1"/>
  <c r="H6300" i="1"/>
  <c r="G6300" i="1"/>
  <c r="M6299" i="1"/>
  <c r="L6299" i="1"/>
  <c r="K6299" i="1"/>
  <c r="J6299" i="1"/>
  <c r="I6299" i="1"/>
  <c r="H6299" i="1"/>
  <c r="G6299" i="1"/>
  <c r="M6298" i="1"/>
  <c r="L6298" i="1"/>
  <c r="K6298" i="1"/>
  <c r="J6298" i="1"/>
  <c r="I6298" i="1"/>
  <c r="H6298" i="1"/>
  <c r="G6298" i="1"/>
  <c r="M6297" i="1"/>
  <c r="L6297" i="1"/>
  <c r="K6297" i="1"/>
  <c r="J6297" i="1"/>
  <c r="I6297" i="1"/>
  <c r="H6297" i="1"/>
  <c r="G6297" i="1"/>
  <c r="M6296" i="1"/>
  <c r="L6296" i="1"/>
  <c r="K6296" i="1"/>
  <c r="J6296" i="1"/>
  <c r="I6296" i="1"/>
  <c r="H6296" i="1"/>
  <c r="G6296" i="1"/>
  <c r="M6295" i="1"/>
  <c r="L6295" i="1"/>
  <c r="K6295" i="1"/>
  <c r="J6295" i="1"/>
  <c r="I6295" i="1"/>
  <c r="H6295" i="1"/>
  <c r="G6295" i="1"/>
  <c r="M6294" i="1"/>
  <c r="L6294" i="1"/>
  <c r="K6294" i="1"/>
  <c r="J6294" i="1"/>
  <c r="I6294" i="1"/>
  <c r="H6294" i="1"/>
  <c r="G6294" i="1"/>
  <c r="M6293" i="1"/>
  <c r="L6293" i="1"/>
  <c r="K6293" i="1"/>
  <c r="J6293" i="1"/>
  <c r="I6293" i="1"/>
  <c r="H6293" i="1"/>
  <c r="G6293" i="1"/>
  <c r="M6292" i="1"/>
  <c r="L6292" i="1"/>
  <c r="K6292" i="1"/>
  <c r="J6292" i="1"/>
  <c r="I6292" i="1"/>
  <c r="H6292" i="1"/>
  <c r="G6292" i="1"/>
  <c r="M6291" i="1"/>
  <c r="L6291" i="1"/>
  <c r="K6291" i="1"/>
  <c r="J6291" i="1"/>
  <c r="I6291" i="1"/>
  <c r="H6291" i="1"/>
  <c r="G6291" i="1"/>
  <c r="M6290" i="1"/>
  <c r="L6290" i="1"/>
  <c r="K6290" i="1"/>
  <c r="J6290" i="1"/>
  <c r="I6290" i="1"/>
  <c r="H6290" i="1"/>
  <c r="G6290" i="1"/>
  <c r="M6289" i="1"/>
  <c r="L6289" i="1"/>
  <c r="K6289" i="1"/>
  <c r="J6289" i="1"/>
  <c r="I6289" i="1"/>
  <c r="H6289" i="1"/>
  <c r="G6289" i="1"/>
  <c r="M6288" i="1"/>
  <c r="L6288" i="1"/>
  <c r="K6288" i="1"/>
  <c r="J6288" i="1"/>
  <c r="I6288" i="1"/>
  <c r="H6288" i="1"/>
  <c r="G6288" i="1"/>
  <c r="M6287" i="1"/>
  <c r="L6287" i="1"/>
  <c r="K6287" i="1"/>
  <c r="J6287" i="1"/>
  <c r="I6287" i="1"/>
  <c r="H6287" i="1"/>
  <c r="G6287" i="1"/>
  <c r="M6286" i="1"/>
  <c r="L6286" i="1"/>
  <c r="K6286" i="1"/>
  <c r="J6286" i="1"/>
  <c r="I6286" i="1"/>
  <c r="H6286" i="1"/>
  <c r="G6286" i="1"/>
  <c r="M6285" i="1"/>
  <c r="L6285" i="1"/>
  <c r="K6285" i="1"/>
  <c r="J6285" i="1"/>
  <c r="I6285" i="1"/>
  <c r="H6285" i="1"/>
  <c r="G6285" i="1"/>
  <c r="M6284" i="1"/>
  <c r="L6284" i="1"/>
  <c r="K6284" i="1"/>
  <c r="J6284" i="1"/>
  <c r="I6284" i="1"/>
  <c r="H6284" i="1"/>
  <c r="G6284" i="1"/>
  <c r="M6283" i="1"/>
  <c r="L6283" i="1"/>
  <c r="K6283" i="1"/>
  <c r="J6283" i="1"/>
  <c r="I6283" i="1"/>
  <c r="H6283" i="1"/>
  <c r="G6283" i="1"/>
  <c r="M6282" i="1"/>
  <c r="L6282" i="1"/>
  <c r="K6282" i="1"/>
  <c r="J6282" i="1"/>
  <c r="I6282" i="1"/>
  <c r="H6282" i="1"/>
  <c r="G6282" i="1"/>
  <c r="M6281" i="1"/>
  <c r="L6281" i="1"/>
  <c r="K6281" i="1"/>
  <c r="J6281" i="1"/>
  <c r="I6281" i="1"/>
  <c r="H6281" i="1"/>
  <c r="G6281" i="1"/>
  <c r="M6280" i="1"/>
  <c r="L6280" i="1"/>
  <c r="K6280" i="1"/>
  <c r="J6280" i="1"/>
  <c r="I6280" i="1"/>
  <c r="H6280" i="1"/>
  <c r="G6280" i="1"/>
  <c r="M6279" i="1"/>
  <c r="L6279" i="1"/>
  <c r="K6279" i="1"/>
  <c r="J6279" i="1"/>
  <c r="I6279" i="1"/>
  <c r="H6279" i="1"/>
  <c r="G6279" i="1"/>
  <c r="M6278" i="1"/>
  <c r="L6278" i="1"/>
  <c r="K6278" i="1"/>
  <c r="J6278" i="1"/>
  <c r="I6278" i="1"/>
  <c r="H6278" i="1"/>
  <c r="G6278" i="1"/>
  <c r="M6277" i="1"/>
  <c r="L6277" i="1"/>
  <c r="K6277" i="1"/>
  <c r="J6277" i="1"/>
  <c r="I6277" i="1"/>
  <c r="H6277" i="1"/>
  <c r="G6277" i="1"/>
  <c r="M6276" i="1"/>
  <c r="L6276" i="1"/>
  <c r="K6276" i="1"/>
  <c r="J6276" i="1"/>
  <c r="I6276" i="1"/>
  <c r="H6276" i="1"/>
  <c r="G6276" i="1"/>
  <c r="M6275" i="1"/>
  <c r="L6275" i="1"/>
  <c r="K6275" i="1"/>
  <c r="J6275" i="1"/>
  <c r="I6275" i="1"/>
  <c r="H6275" i="1"/>
  <c r="G6275" i="1"/>
  <c r="M6274" i="1"/>
  <c r="L6274" i="1"/>
  <c r="K6274" i="1"/>
  <c r="J6274" i="1"/>
  <c r="I6274" i="1"/>
  <c r="H6274" i="1"/>
  <c r="G6274" i="1"/>
  <c r="M6273" i="1"/>
  <c r="L6273" i="1"/>
  <c r="K6273" i="1"/>
  <c r="J6273" i="1"/>
  <c r="I6273" i="1"/>
  <c r="H6273" i="1"/>
  <c r="G6273" i="1"/>
  <c r="M6272" i="1"/>
  <c r="L6272" i="1"/>
  <c r="K6272" i="1"/>
  <c r="J6272" i="1"/>
  <c r="I6272" i="1"/>
  <c r="H6272" i="1"/>
  <c r="G6272" i="1"/>
  <c r="M6271" i="1"/>
  <c r="L6271" i="1"/>
  <c r="K6271" i="1"/>
  <c r="J6271" i="1"/>
  <c r="I6271" i="1"/>
  <c r="H6271" i="1"/>
  <c r="G6271" i="1"/>
  <c r="M6270" i="1"/>
  <c r="L6270" i="1"/>
  <c r="K6270" i="1"/>
  <c r="J6270" i="1"/>
  <c r="I6270" i="1"/>
  <c r="H6270" i="1"/>
  <c r="G6270" i="1"/>
  <c r="M6269" i="1"/>
  <c r="L6269" i="1"/>
  <c r="K6269" i="1"/>
  <c r="J6269" i="1"/>
  <c r="I6269" i="1"/>
  <c r="H6269" i="1"/>
  <c r="G6269" i="1"/>
  <c r="M6268" i="1"/>
  <c r="L6268" i="1"/>
  <c r="K6268" i="1"/>
  <c r="J6268" i="1"/>
  <c r="I6268" i="1"/>
  <c r="H6268" i="1"/>
  <c r="G6268" i="1"/>
  <c r="M6267" i="1"/>
  <c r="L6267" i="1"/>
  <c r="K6267" i="1"/>
  <c r="J6267" i="1"/>
  <c r="I6267" i="1"/>
  <c r="H6267" i="1"/>
  <c r="G6267" i="1"/>
  <c r="M6266" i="1"/>
  <c r="L6266" i="1"/>
  <c r="K6266" i="1"/>
  <c r="J6266" i="1"/>
  <c r="I6266" i="1"/>
  <c r="H6266" i="1"/>
  <c r="G6266" i="1"/>
  <c r="M6265" i="1"/>
  <c r="L6265" i="1"/>
  <c r="K6265" i="1"/>
  <c r="J6265" i="1"/>
  <c r="I6265" i="1"/>
  <c r="H6265" i="1"/>
  <c r="G6265" i="1"/>
  <c r="M6264" i="1"/>
  <c r="L6264" i="1"/>
  <c r="K6264" i="1"/>
  <c r="J6264" i="1"/>
  <c r="I6264" i="1"/>
  <c r="H6264" i="1"/>
  <c r="G6264" i="1"/>
  <c r="M6263" i="1"/>
  <c r="L6263" i="1"/>
  <c r="K6263" i="1"/>
  <c r="J6263" i="1"/>
  <c r="I6263" i="1"/>
  <c r="H6263" i="1"/>
  <c r="G6263" i="1"/>
  <c r="M6262" i="1"/>
  <c r="L6262" i="1"/>
  <c r="K6262" i="1"/>
  <c r="J6262" i="1"/>
  <c r="I6262" i="1"/>
  <c r="H6262" i="1"/>
  <c r="G6262" i="1"/>
  <c r="M6261" i="1"/>
  <c r="L6261" i="1"/>
  <c r="K6261" i="1"/>
  <c r="J6261" i="1"/>
  <c r="I6261" i="1"/>
  <c r="H6261" i="1"/>
  <c r="G6261" i="1"/>
  <c r="M6260" i="1"/>
  <c r="L6260" i="1"/>
  <c r="K6260" i="1"/>
  <c r="J6260" i="1"/>
  <c r="I6260" i="1"/>
  <c r="H6260" i="1"/>
  <c r="G6260" i="1"/>
  <c r="M6259" i="1"/>
  <c r="L6259" i="1"/>
  <c r="K6259" i="1"/>
  <c r="J6259" i="1"/>
  <c r="I6259" i="1"/>
  <c r="H6259" i="1"/>
  <c r="G6259" i="1"/>
  <c r="M6258" i="1"/>
  <c r="L6258" i="1"/>
  <c r="K6258" i="1"/>
  <c r="J6258" i="1"/>
  <c r="I6258" i="1"/>
  <c r="H6258" i="1"/>
  <c r="G6258" i="1"/>
  <c r="M6257" i="1"/>
  <c r="L6257" i="1"/>
  <c r="K6257" i="1"/>
  <c r="J6257" i="1"/>
  <c r="I6257" i="1"/>
  <c r="H6257" i="1"/>
  <c r="G6257" i="1"/>
  <c r="M6256" i="1"/>
  <c r="L6256" i="1"/>
  <c r="K6256" i="1"/>
  <c r="J6256" i="1"/>
  <c r="I6256" i="1"/>
  <c r="H6256" i="1"/>
  <c r="G6256" i="1"/>
  <c r="M6255" i="1"/>
  <c r="L6255" i="1"/>
  <c r="K6255" i="1"/>
  <c r="J6255" i="1"/>
  <c r="I6255" i="1"/>
  <c r="H6255" i="1"/>
  <c r="G6255" i="1"/>
  <c r="M6254" i="1"/>
  <c r="L6254" i="1"/>
  <c r="K6254" i="1"/>
  <c r="J6254" i="1"/>
  <c r="I6254" i="1"/>
  <c r="H6254" i="1"/>
  <c r="G6254" i="1"/>
  <c r="M6253" i="1"/>
  <c r="L6253" i="1"/>
  <c r="K6253" i="1"/>
  <c r="J6253" i="1"/>
  <c r="I6253" i="1"/>
  <c r="H6253" i="1"/>
  <c r="G6253" i="1"/>
  <c r="M6252" i="1"/>
  <c r="L6252" i="1"/>
  <c r="K6252" i="1"/>
  <c r="J6252" i="1"/>
  <c r="I6252" i="1"/>
  <c r="H6252" i="1"/>
  <c r="G6252" i="1"/>
  <c r="M6251" i="1"/>
  <c r="L6251" i="1"/>
  <c r="K6251" i="1"/>
  <c r="J6251" i="1"/>
  <c r="I6251" i="1"/>
  <c r="H6251" i="1"/>
  <c r="G6251" i="1"/>
  <c r="M6250" i="1"/>
  <c r="L6250" i="1"/>
  <c r="K6250" i="1"/>
  <c r="J6250" i="1"/>
  <c r="I6250" i="1"/>
  <c r="H6250" i="1"/>
  <c r="G6250" i="1"/>
  <c r="M6249" i="1"/>
  <c r="L6249" i="1"/>
  <c r="K6249" i="1"/>
  <c r="J6249" i="1"/>
  <c r="I6249" i="1"/>
  <c r="H6249" i="1"/>
  <c r="G6249" i="1"/>
  <c r="M6248" i="1"/>
  <c r="L6248" i="1"/>
  <c r="K6248" i="1"/>
  <c r="J6248" i="1"/>
  <c r="I6248" i="1"/>
  <c r="H6248" i="1"/>
  <c r="G6248" i="1"/>
  <c r="M6247" i="1"/>
  <c r="L6247" i="1"/>
  <c r="K6247" i="1"/>
  <c r="J6247" i="1"/>
  <c r="I6247" i="1"/>
  <c r="H6247" i="1"/>
  <c r="G6247" i="1"/>
  <c r="M6246" i="1"/>
  <c r="L6246" i="1"/>
  <c r="K6246" i="1"/>
  <c r="J6246" i="1"/>
  <c r="I6246" i="1"/>
  <c r="H6246" i="1"/>
  <c r="G6246" i="1"/>
  <c r="M6245" i="1"/>
  <c r="L6245" i="1"/>
  <c r="K6245" i="1"/>
  <c r="J6245" i="1"/>
  <c r="I6245" i="1"/>
  <c r="H6245" i="1"/>
  <c r="G6245" i="1"/>
  <c r="M6244" i="1"/>
  <c r="L6244" i="1"/>
  <c r="K6244" i="1"/>
  <c r="J6244" i="1"/>
  <c r="I6244" i="1"/>
  <c r="H6244" i="1"/>
  <c r="G6244" i="1"/>
  <c r="M6243" i="1"/>
  <c r="L6243" i="1"/>
  <c r="K6243" i="1"/>
  <c r="J6243" i="1"/>
  <c r="I6243" i="1"/>
  <c r="H6243" i="1"/>
  <c r="G6243" i="1"/>
  <c r="M6242" i="1"/>
  <c r="L6242" i="1"/>
  <c r="K6242" i="1"/>
  <c r="J6242" i="1"/>
  <c r="I6242" i="1"/>
  <c r="H6242" i="1"/>
  <c r="G6242" i="1"/>
  <c r="M6241" i="1"/>
  <c r="L6241" i="1"/>
  <c r="K6241" i="1"/>
  <c r="J6241" i="1"/>
  <c r="I6241" i="1"/>
  <c r="H6241" i="1"/>
  <c r="G6241" i="1"/>
  <c r="M6240" i="1"/>
  <c r="L6240" i="1"/>
  <c r="K6240" i="1"/>
  <c r="J6240" i="1"/>
  <c r="I6240" i="1"/>
  <c r="H6240" i="1"/>
  <c r="G6240" i="1"/>
  <c r="M6239" i="1"/>
  <c r="L6239" i="1"/>
  <c r="K6239" i="1"/>
  <c r="J6239" i="1"/>
  <c r="I6239" i="1"/>
  <c r="H6239" i="1"/>
  <c r="G6239" i="1"/>
  <c r="M6238" i="1"/>
  <c r="L6238" i="1"/>
  <c r="K6238" i="1"/>
  <c r="J6238" i="1"/>
  <c r="I6238" i="1"/>
  <c r="H6238" i="1"/>
  <c r="G6238" i="1"/>
  <c r="M6237" i="1"/>
  <c r="L6237" i="1"/>
  <c r="K6237" i="1"/>
  <c r="J6237" i="1"/>
  <c r="I6237" i="1"/>
  <c r="H6237" i="1"/>
  <c r="G6237" i="1"/>
  <c r="M6236" i="1"/>
  <c r="L6236" i="1"/>
  <c r="K6236" i="1"/>
  <c r="J6236" i="1"/>
  <c r="I6236" i="1"/>
  <c r="H6236" i="1"/>
  <c r="G6236" i="1"/>
  <c r="M6235" i="1"/>
  <c r="L6235" i="1"/>
  <c r="K6235" i="1"/>
  <c r="J6235" i="1"/>
  <c r="I6235" i="1"/>
  <c r="H6235" i="1"/>
  <c r="G6235" i="1"/>
  <c r="M6234" i="1"/>
  <c r="L6234" i="1"/>
  <c r="K6234" i="1"/>
  <c r="J6234" i="1"/>
  <c r="I6234" i="1"/>
  <c r="H6234" i="1"/>
  <c r="G6234" i="1"/>
  <c r="M6233" i="1"/>
  <c r="L6233" i="1"/>
  <c r="K6233" i="1"/>
  <c r="J6233" i="1"/>
  <c r="I6233" i="1"/>
  <c r="H6233" i="1"/>
  <c r="G6233" i="1"/>
  <c r="M6232" i="1"/>
  <c r="L6232" i="1"/>
  <c r="K6232" i="1"/>
  <c r="J6232" i="1"/>
  <c r="I6232" i="1"/>
  <c r="H6232" i="1"/>
  <c r="G6232" i="1"/>
  <c r="M6231" i="1"/>
  <c r="L6231" i="1"/>
  <c r="K6231" i="1"/>
  <c r="J6231" i="1"/>
  <c r="I6231" i="1"/>
  <c r="H6231" i="1"/>
  <c r="G6231" i="1"/>
  <c r="M6230" i="1"/>
  <c r="L6230" i="1"/>
  <c r="K6230" i="1"/>
  <c r="J6230" i="1"/>
  <c r="I6230" i="1"/>
  <c r="H6230" i="1"/>
  <c r="G6230" i="1"/>
  <c r="M6229" i="1"/>
  <c r="L6229" i="1"/>
  <c r="K6229" i="1"/>
  <c r="J6229" i="1"/>
  <c r="I6229" i="1"/>
  <c r="H6229" i="1"/>
  <c r="G6229" i="1"/>
  <c r="M6228" i="1"/>
  <c r="L6228" i="1"/>
  <c r="K6228" i="1"/>
  <c r="J6228" i="1"/>
  <c r="I6228" i="1"/>
  <c r="H6228" i="1"/>
  <c r="G6228" i="1"/>
  <c r="M6227" i="1"/>
  <c r="L6227" i="1"/>
  <c r="K6227" i="1"/>
  <c r="J6227" i="1"/>
  <c r="I6227" i="1"/>
  <c r="H6227" i="1"/>
  <c r="G6227" i="1"/>
  <c r="M6226" i="1"/>
  <c r="L6226" i="1"/>
  <c r="K6226" i="1"/>
  <c r="J6226" i="1"/>
  <c r="I6226" i="1"/>
  <c r="H6226" i="1"/>
  <c r="G6226" i="1"/>
  <c r="M6225" i="1"/>
  <c r="L6225" i="1"/>
  <c r="K6225" i="1"/>
  <c r="J6225" i="1"/>
  <c r="I6225" i="1"/>
  <c r="H6225" i="1"/>
  <c r="G6225" i="1"/>
  <c r="M6224" i="1"/>
  <c r="L6224" i="1"/>
  <c r="K6224" i="1"/>
  <c r="J6224" i="1"/>
  <c r="I6224" i="1"/>
  <c r="H6224" i="1"/>
  <c r="G6224" i="1"/>
  <c r="M6223" i="1"/>
  <c r="L6223" i="1"/>
  <c r="K6223" i="1"/>
  <c r="J6223" i="1"/>
  <c r="I6223" i="1"/>
  <c r="H6223" i="1"/>
  <c r="G6223" i="1"/>
  <c r="M6222" i="1"/>
  <c r="L6222" i="1"/>
  <c r="K6222" i="1"/>
  <c r="J6222" i="1"/>
  <c r="I6222" i="1"/>
  <c r="H6222" i="1"/>
  <c r="G6222" i="1"/>
  <c r="M6221" i="1"/>
  <c r="L6221" i="1"/>
  <c r="K6221" i="1"/>
  <c r="J6221" i="1"/>
  <c r="I6221" i="1"/>
  <c r="H6221" i="1"/>
  <c r="G6221" i="1"/>
  <c r="M6220" i="1"/>
  <c r="L6220" i="1"/>
  <c r="K6220" i="1"/>
  <c r="J6220" i="1"/>
  <c r="I6220" i="1"/>
  <c r="H6220" i="1"/>
  <c r="G6220" i="1"/>
  <c r="M6219" i="1"/>
  <c r="L6219" i="1"/>
  <c r="K6219" i="1"/>
  <c r="J6219" i="1"/>
  <c r="I6219" i="1"/>
  <c r="H6219" i="1"/>
  <c r="G6219" i="1"/>
  <c r="M6218" i="1"/>
  <c r="L6218" i="1"/>
  <c r="K6218" i="1"/>
  <c r="J6218" i="1"/>
  <c r="I6218" i="1"/>
  <c r="H6218" i="1"/>
  <c r="G6218" i="1"/>
  <c r="M6217" i="1"/>
  <c r="L6217" i="1"/>
  <c r="K6217" i="1"/>
  <c r="J6217" i="1"/>
  <c r="I6217" i="1"/>
  <c r="H6217" i="1"/>
  <c r="G6217" i="1"/>
  <c r="M6216" i="1"/>
  <c r="L6216" i="1"/>
  <c r="K6216" i="1"/>
  <c r="J6216" i="1"/>
  <c r="I6216" i="1"/>
  <c r="H6216" i="1"/>
  <c r="G6216" i="1"/>
  <c r="M6215" i="1"/>
  <c r="L6215" i="1"/>
  <c r="K6215" i="1"/>
  <c r="J6215" i="1"/>
  <c r="I6215" i="1"/>
  <c r="H6215" i="1"/>
  <c r="G6215" i="1"/>
  <c r="M6214" i="1"/>
  <c r="L6214" i="1"/>
  <c r="K6214" i="1"/>
  <c r="J6214" i="1"/>
  <c r="I6214" i="1"/>
  <c r="H6214" i="1"/>
  <c r="G6214" i="1"/>
  <c r="M6213" i="1"/>
  <c r="L6213" i="1"/>
  <c r="K6213" i="1"/>
  <c r="J6213" i="1"/>
  <c r="I6213" i="1"/>
  <c r="H6213" i="1"/>
  <c r="G6213" i="1"/>
  <c r="M6212" i="1"/>
  <c r="L6212" i="1"/>
  <c r="K6212" i="1"/>
  <c r="J6212" i="1"/>
  <c r="I6212" i="1"/>
  <c r="H6212" i="1"/>
  <c r="G6212" i="1"/>
  <c r="M6211" i="1"/>
  <c r="L6211" i="1"/>
  <c r="K6211" i="1"/>
  <c r="J6211" i="1"/>
  <c r="I6211" i="1"/>
  <c r="H6211" i="1"/>
  <c r="G6211" i="1"/>
  <c r="M6210" i="1"/>
  <c r="L6210" i="1"/>
  <c r="K6210" i="1"/>
  <c r="J6210" i="1"/>
  <c r="I6210" i="1"/>
  <c r="H6210" i="1"/>
  <c r="G6210" i="1"/>
  <c r="M6209" i="1"/>
  <c r="L6209" i="1"/>
  <c r="K6209" i="1"/>
  <c r="J6209" i="1"/>
  <c r="I6209" i="1"/>
  <c r="H6209" i="1"/>
  <c r="G6209" i="1"/>
  <c r="M6208" i="1"/>
  <c r="L6208" i="1"/>
  <c r="K6208" i="1"/>
  <c r="J6208" i="1"/>
  <c r="I6208" i="1"/>
  <c r="H6208" i="1"/>
  <c r="G6208" i="1"/>
  <c r="M6207" i="1"/>
  <c r="L6207" i="1"/>
  <c r="K6207" i="1"/>
  <c r="J6207" i="1"/>
  <c r="I6207" i="1"/>
  <c r="H6207" i="1"/>
  <c r="G6207" i="1"/>
  <c r="M6206" i="1"/>
  <c r="L6206" i="1"/>
  <c r="K6206" i="1"/>
  <c r="J6206" i="1"/>
  <c r="I6206" i="1"/>
  <c r="H6206" i="1"/>
  <c r="G6206" i="1"/>
  <c r="M6205" i="1"/>
  <c r="L6205" i="1"/>
  <c r="K6205" i="1"/>
  <c r="J6205" i="1"/>
  <c r="I6205" i="1"/>
  <c r="H6205" i="1"/>
  <c r="G6205" i="1"/>
  <c r="M6204" i="1"/>
  <c r="L6204" i="1"/>
  <c r="K6204" i="1"/>
  <c r="J6204" i="1"/>
  <c r="I6204" i="1"/>
  <c r="H6204" i="1"/>
  <c r="G6204" i="1"/>
  <c r="M6203" i="1"/>
  <c r="L6203" i="1"/>
  <c r="K6203" i="1"/>
  <c r="J6203" i="1"/>
  <c r="I6203" i="1"/>
  <c r="H6203" i="1"/>
  <c r="G6203" i="1"/>
  <c r="M6202" i="1"/>
  <c r="L6202" i="1"/>
  <c r="K6202" i="1"/>
  <c r="J6202" i="1"/>
  <c r="I6202" i="1"/>
  <c r="H6202" i="1"/>
  <c r="G6202" i="1"/>
  <c r="M6201" i="1"/>
  <c r="L6201" i="1"/>
  <c r="K6201" i="1"/>
  <c r="J6201" i="1"/>
  <c r="I6201" i="1"/>
  <c r="H6201" i="1"/>
  <c r="G6201" i="1"/>
  <c r="M6200" i="1"/>
  <c r="L6200" i="1"/>
  <c r="K6200" i="1"/>
  <c r="J6200" i="1"/>
  <c r="I6200" i="1"/>
  <c r="H6200" i="1"/>
  <c r="G6200" i="1"/>
  <c r="M6199" i="1"/>
  <c r="L6199" i="1"/>
  <c r="K6199" i="1"/>
  <c r="J6199" i="1"/>
  <c r="I6199" i="1"/>
  <c r="H6199" i="1"/>
  <c r="G6199" i="1"/>
  <c r="M6198" i="1"/>
  <c r="L6198" i="1"/>
  <c r="K6198" i="1"/>
  <c r="J6198" i="1"/>
  <c r="I6198" i="1"/>
  <c r="H6198" i="1"/>
  <c r="G6198" i="1"/>
  <c r="M6197" i="1"/>
  <c r="L6197" i="1"/>
  <c r="K6197" i="1"/>
  <c r="J6197" i="1"/>
  <c r="I6197" i="1"/>
  <c r="H6197" i="1"/>
  <c r="G6197" i="1"/>
  <c r="M6196" i="1"/>
  <c r="L6196" i="1"/>
  <c r="K6196" i="1"/>
  <c r="J6196" i="1"/>
  <c r="I6196" i="1"/>
  <c r="H6196" i="1"/>
  <c r="G6196" i="1"/>
  <c r="M6195" i="1"/>
  <c r="L6195" i="1"/>
  <c r="K6195" i="1"/>
  <c r="J6195" i="1"/>
  <c r="I6195" i="1"/>
  <c r="H6195" i="1"/>
  <c r="G6195" i="1"/>
  <c r="M6194" i="1"/>
  <c r="L6194" i="1"/>
  <c r="K6194" i="1"/>
  <c r="J6194" i="1"/>
  <c r="I6194" i="1"/>
  <c r="H6194" i="1"/>
  <c r="G6194" i="1"/>
  <c r="M6193" i="1"/>
  <c r="L6193" i="1"/>
  <c r="K6193" i="1"/>
  <c r="J6193" i="1"/>
  <c r="I6193" i="1"/>
  <c r="H6193" i="1"/>
  <c r="G6193" i="1"/>
  <c r="M6192" i="1"/>
  <c r="L6192" i="1"/>
  <c r="K6192" i="1"/>
  <c r="J6192" i="1"/>
  <c r="I6192" i="1"/>
  <c r="H6192" i="1"/>
  <c r="G6192" i="1"/>
  <c r="M6191" i="1"/>
  <c r="L6191" i="1"/>
  <c r="K6191" i="1"/>
  <c r="J6191" i="1"/>
  <c r="I6191" i="1"/>
  <c r="H6191" i="1"/>
  <c r="G6191" i="1"/>
  <c r="M6190" i="1"/>
  <c r="L6190" i="1"/>
  <c r="K6190" i="1"/>
  <c r="J6190" i="1"/>
  <c r="I6190" i="1"/>
  <c r="H6190" i="1"/>
  <c r="G6190" i="1"/>
  <c r="M6189" i="1"/>
  <c r="L6189" i="1"/>
  <c r="K6189" i="1"/>
  <c r="J6189" i="1"/>
  <c r="I6189" i="1"/>
  <c r="H6189" i="1"/>
  <c r="G6189" i="1"/>
  <c r="M6188" i="1"/>
  <c r="L6188" i="1"/>
  <c r="K6188" i="1"/>
  <c r="J6188" i="1"/>
  <c r="I6188" i="1"/>
  <c r="H6188" i="1"/>
  <c r="G6188" i="1"/>
  <c r="M6187" i="1"/>
  <c r="L6187" i="1"/>
  <c r="K6187" i="1"/>
  <c r="J6187" i="1"/>
  <c r="I6187" i="1"/>
  <c r="H6187" i="1"/>
  <c r="G6187" i="1"/>
  <c r="M6186" i="1"/>
  <c r="L6186" i="1"/>
  <c r="K6186" i="1"/>
  <c r="J6186" i="1"/>
  <c r="I6186" i="1"/>
  <c r="H6186" i="1"/>
  <c r="G6186" i="1"/>
  <c r="M6185" i="1"/>
  <c r="L6185" i="1"/>
  <c r="K6185" i="1"/>
  <c r="J6185" i="1"/>
  <c r="I6185" i="1"/>
  <c r="H6185" i="1"/>
  <c r="G6185" i="1"/>
  <c r="M6184" i="1"/>
  <c r="L6184" i="1"/>
  <c r="K6184" i="1"/>
  <c r="J6184" i="1"/>
  <c r="I6184" i="1"/>
  <c r="H6184" i="1"/>
  <c r="G6184" i="1"/>
  <c r="M6183" i="1"/>
  <c r="L6183" i="1"/>
  <c r="K6183" i="1"/>
  <c r="J6183" i="1"/>
  <c r="I6183" i="1"/>
  <c r="H6183" i="1"/>
  <c r="G6183" i="1"/>
  <c r="M6182" i="1"/>
  <c r="L6182" i="1"/>
  <c r="K6182" i="1"/>
  <c r="J6182" i="1"/>
  <c r="I6182" i="1"/>
  <c r="H6182" i="1"/>
  <c r="G6182" i="1"/>
  <c r="M6181" i="1"/>
  <c r="L6181" i="1"/>
  <c r="K6181" i="1"/>
  <c r="J6181" i="1"/>
  <c r="I6181" i="1"/>
  <c r="H6181" i="1"/>
  <c r="G6181" i="1"/>
  <c r="M6180" i="1"/>
  <c r="L6180" i="1"/>
  <c r="K6180" i="1"/>
  <c r="J6180" i="1"/>
  <c r="I6180" i="1"/>
  <c r="H6180" i="1"/>
  <c r="G6180" i="1"/>
  <c r="M6179" i="1"/>
  <c r="L6179" i="1"/>
  <c r="K6179" i="1"/>
  <c r="J6179" i="1"/>
  <c r="I6179" i="1"/>
  <c r="H6179" i="1"/>
  <c r="G6179" i="1"/>
  <c r="M6178" i="1"/>
  <c r="L6178" i="1"/>
  <c r="K6178" i="1"/>
  <c r="J6178" i="1"/>
  <c r="I6178" i="1"/>
  <c r="H6178" i="1"/>
  <c r="G6178" i="1"/>
  <c r="M6177" i="1"/>
  <c r="L6177" i="1"/>
  <c r="K6177" i="1"/>
  <c r="J6177" i="1"/>
  <c r="I6177" i="1"/>
  <c r="H6177" i="1"/>
  <c r="G6177" i="1"/>
  <c r="M6176" i="1"/>
  <c r="L6176" i="1"/>
  <c r="K6176" i="1"/>
  <c r="J6176" i="1"/>
  <c r="I6176" i="1"/>
  <c r="H6176" i="1"/>
  <c r="G6176" i="1"/>
  <c r="M6175" i="1"/>
  <c r="L6175" i="1"/>
  <c r="K6175" i="1"/>
  <c r="J6175" i="1"/>
  <c r="I6175" i="1"/>
  <c r="H6175" i="1"/>
  <c r="G6175" i="1"/>
  <c r="M6174" i="1"/>
  <c r="L6174" i="1"/>
  <c r="K6174" i="1"/>
  <c r="J6174" i="1"/>
  <c r="I6174" i="1"/>
  <c r="H6174" i="1"/>
  <c r="G6174" i="1"/>
  <c r="M6173" i="1"/>
  <c r="L6173" i="1"/>
  <c r="K6173" i="1"/>
  <c r="J6173" i="1"/>
  <c r="I6173" i="1"/>
  <c r="H6173" i="1"/>
  <c r="G6173" i="1"/>
  <c r="M6172" i="1"/>
  <c r="L6172" i="1"/>
  <c r="K6172" i="1"/>
  <c r="J6172" i="1"/>
  <c r="I6172" i="1"/>
  <c r="H6172" i="1"/>
  <c r="G6172" i="1"/>
  <c r="M6171" i="1"/>
  <c r="L6171" i="1"/>
  <c r="K6171" i="1"/>
  <c r="J6171" i="1"/>
  <c r="I6171" i="1"/>
  <c r="H6171" i="1"/>
  <c r="G6171" i="1"/>
  <c r="M6170" i="1"/>
  <c r="L6170" i="1"/>
  <c r="K6170" i="1"/>
  <c r="J6170" i="1"/>
  <c r="I6170" i="1"/>
  <c r="H6170" i="1"/>
  <c r="G6170" i="1"/>
  <c r="M6169" i="1"/>
  <c r="L6169" i="1"/>
  <c r="K6169" i="1"/>
  <c r="J6169" i="1"/>
  <c r="I6169" i="1"/>
  <c r="H6169" i="1"/>
  <c r="G6169" i="1"/>
  <c r="M6168" i="1"/>
  <c r="L6168" i="1"/>
  <c r="K6168" i="1"/>
  <c r="J6168" i="1"/>
  <c r="I6168" i="1"/>
  <c r="H6168" i="1"/>
  <c r="G6168" i="1"/>
  <c r="M6167" i="1"/>
  <c r="L6167" i="1"/>
  <c r="K6167" i="1"/>
  <c r="J6167" i="1"/>
  <c r="I6167" i="1"/>
  <c r="H6167" i="1"/>
  <c r="G6167" i="1"/>
  <c r="M6166" i="1"/>
  <c r="L6166" i="1"/>
  <c r="K6166" i="1"/>
  <c r="J6166" i="1"/>
  <c r="I6166" i="1"/>
  <c r="H6166" i="1"/>
  <c r="G6166" i="1"/>
  <c r="M6165" i="1"/>
  <c r="L6165" i="1"/>
  <c r="K6165" i="1"/>
  <c r="J6165" i="1"/>
  <c r="I6165" i="1"/>
  <c r="H6165" i="1"/>
  <c r="G6165" i="1"/>
  <c r="M6164" i="1"/>
  <c r="L6164" i="1"/>
  <c r="K6164" i="1"/>
  <c r="J6164" i="1"/>
  <c r="I6164" i="1"/>
  <c r="H6164" i="1"/>
  <c r="G6164" i="1"/>
  <c r="M6163" i="1"/>
  <c r="L6163" i="1"/>
  <c r="K6163" i="1"/>
  <c r="J6163" i="1"/>
  <c r="I6163" i="1"/>
  <c r="H6163" i="1"/>
  <c r="G6163" i="1"/>
  <c r="M6162" i="1"/>
  <c r="L6162" i="1"/>
  <c r="K6162" i="1"/>
  <c r="J6162" i="1"/>
  <c r="I6162" i="1"/>
  <c r="H6162" i="1"/>
  <c r="G6162" i="1"/>
  <c r="M6161" i="1"/>
  <c r="L6161" i="1"/>
  <c r="K6161" i="1"/>
  <c r="J6161" i="1"/>
  <c r="I6161" i="1"/>
  <c r="H6161" i="1"/>
  <c r="G6161" i="1"/>
  <c r="M6160" i="1"/>
  <c r="L6160" i="1"/>
  <c r="K6160" i="1"/>
  <c r="J6160" i="1"/>
  <c r="I6160" i="1"/>
  <c r="H6160" i="1"/>
  <c r="G6160" i="1"/>
  <c r="M6159" i="1"/>
  <c r="L6159" i="1"/>
  <c r="K6159" i="1"/>
  <c r="J6159" i="1"/>
  <c r="I6159" i="1"/>
  <c r="H6159" i="1"/>
  <c r="G6159" i="1"/>
  <c r="M6158" i="1"/>
  <c r="L6158" i="1"/>
  <c r="K6158" i="1"/>
  <c r="J6158" i="1"/>
  <c r="I6158" i="1"/>
  <c r="H6158" i="1"/>
  <c r="G6158" i="1"/>
  <c r="M6157" i="1"/>
  <c r="L6157" i="1"/>
  <c r="K6157" i="1"/>
  <c r="J6157" i="1"/>
  <c r="I6157" i="1"/>
  <c r="H6157" i="1"/>
  <c r="G6157" i="1"/>
  <c r="M6156" i="1"/>
  <c r="L6156" i="1"/>
  <c r="K6156" i="1"/>
  <c r="J6156" i="1"/>
  <c r="I6156" i="1"/>
  <c r="H6156" i="1"/>
  <c r="G6156" i="1"/>
  <c r="M6155" i="1"/>
  <c r="L6155" i="1"/>
  <c r="K6155" i="1"/>
  <c r="J6155" i="1"/>
  <c r="I6155" i="1"/>
  <c r="H6155" i="1"/>
  <c r="G6155" i="1"/>
  <c r="M6154" i="1"/>
  <c r="L6154" i="1"/>
  <c r="K6154" i="1"/>
  <c r="J6154" i="1"/>
  <c r="I6154" i="1"/>
  <c r="H6154" i="1"/>
  <c r="G6154" i="1"/>
  <c r="M6153" i="1"/>
  <c r="L6153" i="1"/>
  <c r="K6153" i="1"/>
  <c r="J6153" i="1"/>
  <c r="I6153" i="1"/>
  <c r="H6153" i="1"/>
  <c r="G6153" i="1"/>
  <c r="M6152" i="1"/>
  <c r="L6152" i="1"/>
  <c r="K6152" i="1"/>
  <c r="J6152" i="1"/>
  <c r="I6152" i="1"/>
  <c r="H6152" i="1"/>
  <c r="G6152" i="1"/>
  <c r="M6151" i="1"/>
  <c r="L6151" i="1"/>
  <c r="K6151" i="1"/>
  <c r="J6151" i="1"/>
  <c r="I6151" i="1"/>
  <c r="H6151" i="1"/>
  <c r="G6151" i="1"/>
  <c r="M6150" i="1"/>
  <c r="L6150" i="1"/>
  <c r="K6150" i="1"/>
  <c r="J6150" i="1"/>
  <c r="I6150" i="1"/>
  <c r="H6150" i="1"/>
  <c r="G6150" i="1"/>
  <c r="M6149" i="1"/>
  <c r="L6149" i="1"/>
  <c r="K6149" i="1"/>
  <c r="J6149" i="1"/>
  <c r="I6149" i="1"/>
  <c r="H6149" i="1"/>
  <c r="G6149" i="1"/>
  <c r="M6148" i="1"/>
  <c r="L6148" i="1"/>
  <c r="K6148" i="1"/>
  <c r="J6148" i="1"/>
  <c r="I6148" i="1"/>
  <c r="H6148" i="1"/>
  <c r="G6148" i="1"/>
  <c r="M6147" i="1"/>
  <c r="L6147" i="1"/>
  <c r="K6147" i="1"/>
  <c r="J6147" i="1"/>
  <c r="I6147" i="1"/>
  <c r="H6147" i="1"/>
  <c r="G6147" i="1"/>
  <c r="M6146" i="1"/>
  <c r="L6146" i="1"/>
  <c r="K6146" i="1"/>
  <c r="J6146" i="1"/>
  <c r="I6146" i="1"/>
  <c r="H6146" i="1"/>
  <c r="G6146" i="1"/>
  <c r="M6145" i="1"/>
  <c r="L6145" i="1"/>
  <c r="K6145" i="1"/>
  <c r="J6145" i="1"/>
  <c r="I6145" i="1"/>
  <c r="H6145" i="1"/>
  <c r="G6145" i="1"/>
  <c r="M6144" i="1"/>
  <c r="L6144" i="1"/>
  <c r="K6144" i="1"/>
  <c r="J6144" i="1"/>
  <c r="I6144" i="1"/>
  <c r="H6144" i="1"/>
  <c r="G6144" i="1"/>
  <c r="M6143" i="1"/>
  <c r="L6143" i="1"/>
  <c r="K6143" i="1"/>
  <c r="J6143" i="1"/>
  <c r="I6143" i="1"/>
  <c r="H6143" i="1"/>
  <c r="G6143" i="1"/>
  <c r="M6142" i="1"/>
  <c r="L6142" i="1"/>
  <c r="K6142" i="1"/>
  <c r="J6142" i="1"/>
  <c r="I6142" i="1"/>
  <c r="H6142" i="1"/>
  <c r="G6142" i="1"/>
  <c r="M6141" i="1"/>
  <c r="L6141" i="1"/>
  <c r="K6141" i="1"/>
  <c r="J6141" i="1"/>
  <c r="I6141" i="1"/>
  <c r="H6141" i="1"/>
  <c r="G6141" i="1"/>
  <c r="M6140" i="1"/>
  <c r="L6140" i="1"/>
  <c r="K6140" i="1"/>
  <c r="J6140" i="1"/>
  <c r="I6140" i="1"/>
  <c r="H6140" i="1"/>
  <c r="G6140" i="1"/>
  <c r="M6139" i="1"/>
  <c r="L6139" i="1"/>
  <c r="K6139" i="1"/>
  <c r="J6139" i="1"/>
  <c r="I6139" i="1"/>
  <c r="H6139" i="1"/>
  <c r="G6139" i="1"/>
  <c r="M6138" i="1"/>
  <c r="L6138" i="1"/>
  <c r="K6138" i="1"/>
  <c r="J6138" i="1"/>
  <c r="I6138" i="1"/>
  <c r="H6138" i="1"/>
  <c r="G6138" i="1"/>
  <c r="M6137" i="1"/>
  <c r="L6137" i="1"/>
  <c r="K6137" i="1"/>
  <c r="J6137" i="1"/>
  <c r="I6137" i="1"/>
  <c r="H6137" i="1"/>
  <c r="G6137" i="1"/>
  <c r="M6136" i="1"/>
  <c r="L6136" i="1"/>
  <c r="K6136" i="1"/>
  <c r="J6136" i="1"/>
  <c r="I6136" i="1"/>
  <c r="H6136" i="1"/>
  <c r="G6136" i="1"/>
  <c r="M6135" i="1"/>
  <c r="L6135" i="1"/>
  <c r="K6135" i="1"/>
  <c r="J6135" i="1"/>
  <c r="I6135" i="1"/>
  <c r="H6135" i="1"/>
  <c r="G6135" i="1"/>
  <c r="M6134" i="1"/>
  <c r="L6134" i="1"/>
  <c r="K6134" i="1"/>
  <c r="J6134" i="1"/>
  <c r="I6134" i="1"/>
  <c r="H6134" i="1"/>
  <c r="G6134" i="1"/>
  <c r="M6133" i="1"/>
  <c r="L6133" i="1"/>
  <c r="K6133" i="1"/>
  <c r="J6133" i="1"/>
  <c r="I6133" i="1"/>
  <c r="H6133" i="1"/>
  <c r="G6133" i="1"/>
  <c r="M6132" i="1"/>
  <c r="L6132" i="1"/>
  <c r="K6132" i="1"/>
  <c r="J6132" i="1"/>
  <c r="I6132" i="1"/>
  <c r="H6132" i="1"/>
  <c r="G6132" i="1"/>
  <c r="M6131" i="1"/>
  <c r="L6131" i="1"/>
  <c r="K6131" i="1"/>
  <c r="J6131" i="1"/>
  <c r="I6131" i="1"/>
  <c r="H6131" i="1"/>
  <c r="G6131" i="1"/>
  <c r="M6130" i="1"/>
  <c r="L6130" i="1"/>
  <c r="K6130" i="1"/>
  <c r="J6130" i="1"/>
  <c r="I6130" i="1"/>
  <c r="H6130" i="1"/>
  <c r="G6130" i="1"/>
  <c r="M6129" i="1"/>
  <c r="L6129" i="1"/>
  <c r="K6129" i="1"/>
  <c r="J6129" i="1"/>
  <c r="I6129" i="1"/>
  <c r="H6129" i="1"/>
  <c r="G6129" i="1"/>
  <c r="M6128" i="1"/>
  <c r="L6128" i="1"/>
  <c r="K6128" i="1"/>
  <c r="J6128" i="1"/>
  <c r="I6128" i="1"/>
  <c r="H6128" i="1"/>
  <c r="G6128" i="1"/>
  <c r="M6127" i="1"/>
  <c r="L6127" i="1"/>
  <c r="K6127" i="1"/>
  <c r="J6127" i="1"/>
  <c r="I6127" i="1"/>
  <c r="H6127" i="1"/>
  <c r="G6127" i="1"/>
  <c r="M6126" i="1"/>
  <c r="L6126" i="1"/>
  <c r="K6126" i="1"/>
  <c r="J6126" i="1"/>
  <c r="I6126" i="1"/>
  <c r="H6126" i="1"/>
  <c r="G6126" i="1"/>
  <c r="M6125" i="1"/>
  <c r="L6125" i="1"/>
  <c r="K6125" i="1"/>
  <c r="J6125" i="1"/>
  <c r="I6125" i="1"/>
  <c r="H6125" i="1"/>
  <c r="G6125" i="1"/>
  <c r="M6124" i="1"/>
  <c r="L6124" i="1"/>
  <c r="K6124" i="1"/>
  <c r="J6124" i="1"/>
  <c r="I6124" i="1"/>
  <c r="H6124" i="1"/>
  <c r="G6124" i="1"/>
  <c r="M6123" i="1"/>
  <c r="L6123" i="1"/>
  <c r="K6123" i="1"/>
  <c r="J6123" i="1"/>
  <c r="I6123" i="1"/>
  <c r="H6123" i="1"/>
  <c r="G6123" i="1"/>
  <c r="M6122" i="1"/>
  <c r="L6122" i="1"/>
  <c r="K6122" i="1"/>
  <c r="J6122" i="1"/>
  <c r="I6122" i="1"/>
  <c r="H6122" i="1"/>
  <c r="G6122" i="1"/>
  <c r="M6121" i="1"/>
  <c r="L6121" i="1"/>
  <c r="K6121" i="1"/>
  <c r="J6121" i="1"/>
  <c r="I6121" i="1"/>
  <c r="H6121" i="1"/>
  <c r="G6121" i="1"/>
  <c r="M6120" i="1"/>
  <c r="L6120" i="1"/>
  <c r="K6120" i="1"/>
  <c r="J6120" i="1"/>
  <c r="I6120" i="1"/>
  <c r="H6120" i="1"/>
  <c r="G6120" i="1"/>
  <c r="M6119" i="1"/>
  <c r="L6119" i="1"/>
  <c r="K6119" i="1"/>
  <c r="J6119" i="1"/>
  <c r="I6119" i="1"/>
  <c r="H6119" i="1"/>
  <c r="G6119" i="1"/>
  <c r="M6118" i="1"/>
  <c r="L6118" i="1"/>
  <c r="K6118" i="1"/>
  <c r="J6118" i="1"/>
  <c r="I6118" i="1"/>
  <c r="H6118" i="1"/>
  <c r="G6118" i="1"/>
  <c r="M6117" i="1"/>
  <c r="L6117" i="1"/>
  <c r="K6117" i="1"/>
  <c r="J6117" i="1"/>
  <c r="I6117" i="1"/>
  <c r="H6117" i="1"/>
  <c r="G6117" i="1"/>
  <c r="M6116" i="1"/>
  <c r="L6116" i="1"/>
  <c r="K6116" i="1"/>
  <c r="J6116" i="1"/>
  <c r="I6116" i="1"/>
  <c r="H6116" i="1"/>
  <c r="G6116" i="1"/>
  <c r="M6115" i="1"/>
  <c r="L6115" i="1"/>
  <c r="K6115" i="1"/>
  <c r="J6115" i="1"/>
  <c r="I6115" i="1"/>
  <c r="H6115" i="1"/>
  <c r="G6115" i="1"/>
  <c r="M6114" i="1"/>
  <c r="L6114" i="1"/>
  <c r="K6114" i="1"/>
  <c r="J6114" i="1"/>
  <c r="I6114" i="1"/>
  <c r="H6114" i="1"/>
  <c r="G6114" i="1"/>
  <c r="M6113" i="1"/>
  <c r="L6113" i="1"/>
  <c r="K6113" i="1"/>
  <c r="J6113" i="1"/>
  <c r="I6113" i="1"/>
  <c r="H6113" i="1"/>
  <c r="G6113" i="1"/>
  <c r="M6112" i="1"/>
  <c r="L6112" i="1"/>
  <c r="K6112" i="1"/>
  <c r="J6112" i="1"/>
  <c r="I6112" i="1"/>
  <c r="H6112" i="1"/>
  <c r="G6112" i="1"/>
  <c r="M6111" i="1"/>
  <c r="L6111" i="1"/>
  <c r="K6111" i="1"/>
  <c r="J6111" i="1"/>
  <c r="I6111" i="1"/>
  <c r="H6111" i="1"/>
  <c r="G6111" i="1"/>
  <c r="M6110" i="1"/>
  <c r="L6110" i="1"/>
  <c r="K6110" i="1"/>
  <c r="J6110" i="1"/>
  <c r="I6110" i="1"/>
  <c r="H6110" i="1"/>
  <c r="G6110" i="1"/>
  <c r="M6109" i="1"/>
  <c r="L6109" i="1"/>
  <c r="K6109" i="1"/>
  <c r="J6109" i="1"/>
  <c r="I6109" i="1"/>
  <c r="H6109" i="1"/>
  <c r="G6109" i="1"/>
  <c r="M6108" i="1"/>
  <c r="L6108" i="1"/>
  <c r="K6108" i="1"/>
  <c r="J6108" i="1"/>
  <c r="I6108" i="1"/>
  <c r="H6108" i="1"/>
  <c r="G6108" i="1"/>
  <c r="M6107" i="1"/>
  <c r="L6107" i="1"/>
  <c r="K6107" i="1"/>
  <c r="J6107" i="1"/>
  <c r="I6107" i="1"/>
  <c r="H6107" i="1"/>
  <c r="G6107" i="1"/>
  <c r="M6106" i="1"/>
  <c r="L6106" i="1"/>
  <c r="K6106" i="1"/>
  <c r="J6106" i="1"/>
  <c r="I6106" i="1"/>
  <c r="H6106" i="1"/>
  <c r="G6106" i="1"/>
  <c r="M6105" i="1"/>
  <c r="L6105" i="1"/>
  <c r="K6105" i="1"/>
  <c r="J6105" i="1"/>
  <c r="I6105" i="1"/>
  <c r="H6105" i="1"/>
  <c r="G6105" i="1"/>
  <c r="M6104" i="1"/>
  <c r="L6104" i="1"/>
  <c r="K6104" i="1"/>
  <c r="J6104" i="1"/>
  <c r="I6104" i="1"/>
  <c r="H6104" i="1"/>
  <c r="G6104" i="1"/>
  <c r="M6103" i="1"/>
  <c r="L6103" i="1"/>
  <c r="K6103" i="1"/>
  <c r="J6103" i="1"/>
  <c r="I6103" i="1"/>
  <c r="H6103" i="1"/>
  <c r="G6103" i="1"/>
  <c r="M6102" i="1"/>
  <c r="L6102" i="1"/>
  <c r="K6102" i="1"/>
  <c r="J6102" i="1"/>
  <c r="I6102" i="1"/>
  <c r="H6102" i="1"/>
  <c r="G6102" i="1"/>
  <c r="M6101" i="1"/>
  <c r="L6101" i="1"/>
  <c r="K6101" i="1"/>
  <c r="J6101" i="1"/>
  <c r="I6101" i="1"/>
  <c r="H6101" i="1"/>
  <c r="G6101" i="1"/>
  <c r="M6100" i="1"/>
  <c r="L6100" i="1"/>
  <c r="K6100" i="1"/>
  <c r="J6100" i="1"/>
  <c r="I6100" i="1"/>
  <c r="H6100" i="1"/>
  <c r="G6100" i="1"/>
  <c r="M6099" i="1"/>
  <c r="L6099" i="1"/>
  <c r="K6099" i="1"/>
  <c r="J6099" i="1"/>
  <c r="I6099" i="1"/>
  <c r="H6099" i="1"/>
  <c r="G6099" i="1"/>
  <c r="M6098" i="1"/>
  <c r="L6098" i="1"/>
  <c r="K6098" i="1"/>
  <c r="J6098" i="1"/>
  <c r="I6098" i="1"/>
  <c r="H6098" i="1"/>
  <c r="G6098" i="1"/>
  <c r="M6097" i="1"/>
  <c r="L6097" i="1"/>
  <c r="K6097" i="1"/>
  <c r="J6097" i="1"/>
  <c r="I6097" i="1"/>
  <c r="H6097" i="1"/>
  <c r="G6097" i="1"/>
  <c r="M6096" i="1"/>
  <c r="L6096" i="1"/>
  <c r="K6096" i="1"/>
  <c r="J6096" i="1"/>
  <c r="I6096" i="1"/>
  <c r="H6096" i="1"/>
  <c r="G6096" i="1"/>
  <c r="M6095" i="1"/>
  <c r="L6095" i="1"/>
  <c r="K6095" i="1"/>
  <c r="J6095" i="1"/>
  <c r="I6095" i="1"/>
  <c r="H6095" i="1"/>
  <c r="G6095" i="1"/>
  <c r="M6094" i="1"/>
  <c r="L6094" i="1"/>
  <c r="K6094" i="1"/>
  <c r="J6094" i="1"/>
  <c r="I6094" i="1"/>
  <c r="H6094" i="1"/>
  <c r="G6094" i="1"/>
  <c r="M6093" i="1"/>
  <c r="L6093" i="1"/>
  <c r="K6093" i="1"/>
  <c r="J6093" i="1"/>
  <c r="I6093" i="1"/>
  <c r="H6093" i="1"/>
  <c r="G6093" i="1"/>
  <c r="M6092" i="1"/>
  <c r="L6092" i="1"/>
  <c r="K6092" i="1"/>
  <c r="J6092" i="1"/>
  <c r="I6092" i="1"/>
  <c r="H6092" i="1"/>
  <c r="G6092" i="1"/>
  <c r="M6091" i="1"/>
  <c r="L6091" i="1"/>
  <c r="K6091" i="1"/>
  <c r="J6091" i="1"/>
  <c r="I6091" i="1"/>
  <c r="H6091" i="1"/>
  <c r="G6091" i="1"/>
  <c r="M6090" i="1"/>
  <c r="L6090" i="1"/>
  <c r="K6090" i="1"/>
  <c r="J6090" i="1"/>
  <c r="I6090" i="1"/>
  <c r="H6090" i="1"/>
  <c r="G6090" i="1"/>
  <c r="M6089" i="1"/>
  <c r="L6089" i="1"/>
  <c r="K6089" i="1"/>
  <c r="J6089" i="1"/>
  <c r="I6089" i="1"/>
  <c r="H6089" i="1"/>
  <c r="G6089" i="1"/>
  <c r="M6088" i="1"/>
  <c r="L6088" i="1"/>
  <c r="K6088" i="1"/>
  <c r="J6088" i="1"/>
  <c r="I6088" i="1"/>
  <c r="H6088" i="1"/>
  <c r="G6088" i="1"/>
  <c r="M6087" i="1"/>
  <c r="L6087" i="1"/>
  <c r="K6087" i="1"/>
  <c r="J6087" i="1"/>
  <c r="I6087" i="1"/>
  <c r="H6087" i="1"/>
  <c r="G6087" i="1"/>
  <c r="M6086" i="1"/>
  <c r="L6086" i="1"/>
  <c r="K6086" i="1"/>
  <c r="J6086" i="1"/>
  <c r="I6086" i="1"/>
  <c r="H6086" i="1"/>
  <c r="G6086" i="1"/>
  <c r="M6085" i="1"/>
  <c r="L6085" i="1"/>
  <c r="K6085" i="1"/>
  <c r="J6085" i="1"/>
  <c r="I6085" i="1"/>
  <c r="H6085" i="1"/>
  <c r="G6085" i="1"/>
  <c r="M6084" i="1"/>
  <c r="L6084" i="1"/>
  <c r="K6084" i="1"/>
  <c r="J6084" i="1"/>
  <c r="I6084" i="1"/>
  <c r="H6084" i="1"/>
  <c r="G6084" i="1"/>
  <c r="M6083" i="1"/>
  <c r="L6083" i="1"/>
  <c r="K6083" i="1"/>
  <c r="J6083" i="1"/>
  <c r="I6083" i="1"/>
  <c r="H6083" i="1"/>
  <c r="G6083" i="1"/>
  <c r="M6082" i="1"/>
  <c r="L6082" i="1"/>
  <c r="K6082" i="1"/>
  <c r="J6082" i="1"/>
  <c r="I6082" i="1"/>
  <c r="H6082" i="1"/>
  <c r="G6082" i="1"/>
  <c r="M6081" i="1"/>
  <c r="L6081" i="1"/>
  <c r="K6081" i="1"/>
  <c r="J6081" i="1"/>
  <c r="I6081" i="1"/>
  <c r="H6081" i="1"/>
  <c r="G6081" i="1"/>
  <c r="M6080" i="1"/>
  <c r="L6080" i="1"/>
  <c r="K6080" i="1"/>
  <c r="J6080" i="1"/>
  <c r="I6080" i="1"/>
  <c r="H6080" i="1"/>
  <c r="G6080" i="1"/>
  <c r="M6079" i="1"/>
  <c r="L6079" i="1"/>
  <c r="K6079" i="1"/>
  <c r="J6079" i="1"/>
  <c r="I6079" i="1"/>
  <c r="H6079" i="1"/>
  <c r="G6079" i="1"/>
  <c r="M6078" i="1"/>
  <c r="L6078" i="1"/>
  <c r="K6078" i="1"/>
  <c r="J6078" i="1"/>
  <c r="I6078" i="1"/>
  <c r="H6078" i="1"/>
  <c r="G6078" i="1"/>
  <c r="M6077" i="1"/>
  <c r="L6077" i="1"/>
  <c r="K6077" i="1"/>
  <c r="J6077" i="1"/>
  <c r="I6077" i="1"/>
  <c r="H6077" i="1"/>
  <c r="G6077" i="1"/>
  <c r="M6076" i="1"/>
  <c r="L6076" i="1"/>
  <c r="K6076" i="1"/>
  <c r="J6076" i="1"/>
  <c r="I6076" i="1"/>
  <c r="H6076" i="1"/>
  <c r="G6076" i="1"/>
  <c r="M6075" i="1"/>
  <c r="L6075" i="1"/>
  <c r="K6075" i="1"/>
  <c r="J6075" i="1"/>
  <c r="I6075" i="1"/>
  <c r="H6075" i="1"/>
  <c r="G6075" i="1"/>
  <c r="M6074" i="1"/>
  <c r="L6074" i="1"/>
  <c r="K6074" i="1"/>
  <c r="J6074" i="1"/>
  <c r="I6074" i="1"/>
  <c r="H6074" i="1"/>
  <c r="G6074" i="1"/>
  <c r="M6073" i="1"/>
  <c r="L6073" i="1"/>
  <c r="K6073" i="1"/>
  <c r="J6073" i="1"/>
  <c r="I6073" i="1"/>
  <c r="H6073" i="1"/>
  <c r="G6073" i="1"/>
  <c r="M6072" i="1"/>
  <c r="L6072" i="1"/>
  <c r="K6072" i="1"/>
  <c r="J6072" i="1"/>
  <c r="I6072" i="1"/>
  <c r="H6072" i="1"/>
  <c r="G6072" i="1"/>
  <c r="M6071" i="1"/>
  <c r="L6071" i="1"/>
  <c r="K6071" i="1"/>
  <c r="J6071" i="1"/>
  <c r="I6071" i="1"/>
  <c r="H6071" i="1"/>
  <c r="G6071" i="1"/>
  <c r="M6070" i="1"/>
  <c r="L6070" i="1"/>
  <c r="K6070" i="1"/>
  <c r="J6070" i="1"/>
  <c r="I6070" i="1"/>
  <c r="H6070" i="1"/>
  <c r="G6070" i="1"/>
  <c r="M6069" i="1"/>
  <c r="L6069" i="1"/>
  <c r="K6069" i="1"/>
  <c r="J6069" i="1"/>
  <c r="I6069" i="1"/>
  <c r="H6069" i="1"/>
  <c r="G6069" i="1"/>
  <c r="M6068" i="1"/>
  <c r="L6068" i="1"/>
  <c r="K6068" i="1"/>
  <c r="J6068" i="1"/>
  <c r="I6068" i="1"/>
  <c r="H6068" i="1"/>
  <c r="G6068" i="1"/>
  <c r="M6067" i="1"/>
  <c r="L6067" i="1"/>
  <c r="K6067" i="1"/>
  <c r="J6067" i="1"/>
  <c r="I6067" i="1"/>
  <c r="H6067" i="1"/>
  <c r="G6067" i="1"/>
  <c r="M6066" i="1"/>
  <c r="L6066" i="1"/>
  <c r="K6066" i="1"/>
  <c r="J6066" i="1"/>
  <c r="I6066" i="1"/>
  <c r="H6066" i="1"/>
  <c r="G6066" i="1"/>
  <c r="M6065" i="1"/>
  <c r="L6065" i="1"/>
  <c r="K6065" i="1"/>
  <c r="J6065" i="1"/>
  <c r="I6065" i="1"/>
  <c r="H6065" i="1"/>
  <c r="G6065" i="1"/>
  <c r="M6064" i="1"/>
  <c r="L6064" i="1"/>
  <c r="K6064" i="1"/>
  <c r="J6064" i="1"/>
  <c r="I6064" i="1"/>
  <c r="H6064" i="1"/>
  <c r="G6064" i="1"/>
  <c r="M6063" i="1"/>
  <c r="L6063" i="1"/>
  <c r="K6063" i="1"/>
  <c r="J6063" i="1"/>
  <c r="I6063" i="1"/>
  <c r="H6063" i="1"/>
  <c r="G6063" i="1"/>
  <c r="M6062" i="1"/>
  <c r="L6062" i="1"/>
  <c r="K6062" i="1"/>
  <c r="J6062" i="1"/>
  <c r="I6062" i="1"/>
  <c r="H6062" i="1"/>
  <c r="G6062" i="1"/>
  <c r="M6061" i="1"/>
  <c r="L6061" i="1"/>
  <c r="K6061" i="1"/>
  <c r="J6061" i="1"/>
  <c r="I6061" i="1"/>
  <c r="H6061" i="1"/>
  <c r="G6061" i="1"/>
  <c r="M6060" i="1"/>
  <c r="L6060" i="1"/>
  <c r="K6060" i="1"/>
  <c r="J6060" i="1"/>
  <c r="I6060" i="1"/>
  <c r="H6060" i="1"/>
  <c r="G6060" i="1"/>
  <c r="M6059" i="1"/>
  <c r="L6059" i="1"/>
  <c r="K6059" i="1"/>
  <c r="J6059" i="1"/>
  <c r="I6059" i="1"/>
  <c r="H6059" i="1"/>
  <c r="G6059" i="1"/>
  <c r="M6058" i="1"/>
  <c r="L6058" i="1"/>
  <c r="K6058" i="1"/>
  <c r="J6058" i="1"/>
  <c r="I6058" i="1"/>
  <c r="H6058" i="1"/>
  <c r="G6058" i="1"/>
  <c r="M6057" i="1"/>
  <c r="L6057" i="1"/>
  <c r="K6057" i="1"/>
  <c r="J6057" i="1"/>
  <c r="I6057" i="1"/>
  <c r="H6057" i="1"/>
  <c r="G6057" i="1"/>
  <c r="M6056" i="1"/>
  <c r="L6056" i="1"/>
  <c r="K6056" i="1"/>
  <c r="J6056" i="1"/>
  <c r="I6056" i="1"/>
  <c r="H6056" i="1"/>
  <c r="G6056" i="1"/>
  <c r="M6055" i="1"/>
  <c r="L6055" i="1"/>
  <c r="K6055" i="1"/>
  <c r="J6055" i="1"/>
  <c r="I6055" i="1"/>
  <c r="H6055" i="1"/>
  <c r="G6055" i="1"/>
  <c r="M6054" i="1"/>
  <c r="L6054" i="1"/>
  <c r="K6054" i="1"/>
  <c r="J6054" i="1"/>
  <c r="I6054" i="1"/>
  <c r="H6054" i="1"/>
  <c r="G6054" i="1"/>
  <c r="M6053" i="1"/>
  <c r="L6053" i="1"/>
  <c r="K6053" i="1"/>
  <c r="J6053" i="1"/>
  <c r="I6053" i="1"/>
  <c r="H6053" i="1"/>
  <c r="G6053" i="1"/>
  <c r="M6052" i="1"/>
  <c r="L6052" i="1"/>
  <c r="K6052" i="1"/>
  <c r="J6052" i="1"/>
  <c r="I6052" i="1"/>
  <c r="H6052" i="1"/>
  <c r="G6052" i="1"/>
  <c r="M6051" i="1"/>
  <c r="L6051" i="1"/>
  <c r="K6051" i="1"/>
  <c r="J6051" i="1"/>
  <c r="I6051" i="1"/>
  <c r="H6051" i="1"/>
  <c r="G6051" i="1"/>
  <c r="M6050" i="1"/>
  <c r="L6050" i="1"/>
  <c r="K6050" i="1"/>
  <c r="J6050" i="1"/>
  <c r="I6050" i="1"/>
  <c r="H6050" i="1"/>
  <c r="G6050" i="1"/>
  <c r="M6049" i="1"/>
  <c r="L6049" i="1"/>
  <c r="K6049" i="1"/>
  <c r="J6049" i="1"/>
  <c r="I6049" i="1"/>
  <c r="H6049" i="1"/>
  <c r="G6049" i="1"/>
  <c r="M6048" i="1"/>
  <c r="L6048" i="1"/>
  <c r="K6048" i="1"/>
  <c r="J6048" i="1"/>
  <c r="I6048" i="1"/>
  <c r="H6048" i="1"/>
  <c r="G6048" i="1"/>
  <c r="M6047" i="1"/>
  <c r="L6047" i="1"/>
  <c r="K6047" i="1"/>
  <c r="J6047" i="1"/>
  <c r="I6047" i="1"/>
  <c r="H6047" i="1"/>
  <c r="G6047" i="1"/>
  <c r="M6046" i="1"/>
  <c r="L6046" i="1"/>
  <c r="K6046" i="1"/>
  <c r="J6046" i="1"/>
  <c r="I6046" i="1"/>
  <c r="H6046" i="1"/>
  <c r="G6046" i="1"/>
  <c r="M6045" i="1"/>
  <c r="L6045" i="1"/>
  <c r="K6045" i="1"/>
  <c r="J6045" i="1"/>
  <c r="I6045" i="1"/>
  <c r="H6045" i="1"/>
  <c r="G6045" i="1"/>
  <c r="M6044" i="1"/>
  <c r="L6044" i="1"/>
  <c r="K6044" i="1"/>
  <c r="J6044" i="1"/>
  <c r="I6044" i="1"/>
  <c r="H6044" i="1"/>
  <c r="G6044" i="1"/>
  <c r="M6043" i="1"/>
  <c r="L6043" i="1"/>
  <c r="K6043" i="1"/>
  <c r="J6043" i="1"/>
  <c r="I6043" i="1"/>
  <c r="H6043" i="1"/>
  <c r="G6043" i="1"/>
  <c r="M6042" i="1"/>
  <c r="L6042" i="1"/>
  <c r="K6042" i="1"/>
  <c r="J6042" i="1"/>
  <c r="I6042" i="1"/>
  <c r="H6042" i="1"/>
  <c r="G6042" i="1"/>
  <c r="M6041" i="1"/>
  <c r="L6041" i="1"/>
  <c r="K6041" i="1"/>
  <c r="J6041" i="1"/>
  <c r="I6041" i="1"/>
  <c r="H6041" i="1"/>
  <c r="G6041" i="1"/>
  <c r="M6040" i="1"/>
  <c r="L6040" i="1"/>
  <c r="K6040" i="1"/>
  <c r="J6040" i="1"/>
  <c r="I6040" i="1"/>
  <c r="H6040" i="1"/>
  <c r="G6040" i="1"/>
  <c r="M6039" i="1"/>
  <c r="L6039" i="1"/>
  <c r="K6039" i="1"/>
  <c r="J6039" i="1"/>
  <c r="I6039" i="1"/>
  <c r="H6039" i="1"/>
  <c r="G6039" i="1"/>
  <c r="M6038" i="1"/>
  <c r="L6038" i="1"/>
  <c r="K6038" i="1"/>
  <c r="J6038" i="1"/>
  <c r="I6038" i="1"/>
  <c r="H6038" i="1"/>
  <c r="G6038" i="1"/>
  <c r="M6037" i="1"/>
  <c r="L6037" i="1"/>
  <c r="K6037" i="1"/>
  <c r="J6037" i="1"/>
  <c r="I6037" i="1"/>
  <c r="H6037" i="1"/>
  <c r="G6037" i="1"/>
  <c r="M6036" i="1"/>
  <c r="L6036" i="1"/>
  <c r="K6036" i="1"/>
  <c r="J6036" i="1"/>
  <c r="I6036" i="1"/>
  <c r="H6036" i="1"/>
  <c r="G6036" i="1"/>
  <c r="M6035" i="1"/>
  <c r="L6035" i="1"/>
  <c r="K6035" i="1"/>
  <c r="J6035" i="1"/>
  <c r="I6035" i="1"/>
  <c r="H6035" i="1"/>
  <c r="G6035" i="1"/>
  <c r="M6034" i="1"/>
  <c r="L6034" i="1"/>
  <c r="K6034" i="1"/>
  <c r="J6034" i="1"/>
  <c r="I6034" i="1"/>
  <c r="H6034" i="1"/>
  <c r="G6034" i="1"/>
  <c r="M6033" i="1"/>
  <c r="L6033" i="1"/>
  <c r="K6033" i="1"/>
  <c r="J6033" i="1"/>
  <c r="I6033" i="1"/>
  <c r="H6033" i="1"/>
  <c r="G6033" i="1"/>
  <c r="M6032" i="1"/>
  <c r="L6032" i="1"/>
  <c r="K6032" i="1"/>
  <c r="J6032" i="1"/>
  <c r="I6032" i="1"/>
  <c r="H6032" i="1"/>
  <c r="G6032" i="1"/>
  <c r="M6031" i="1"/>
  <c r="L6031" i="1"/>
  <c r="K6031" i="1"/>
  <c r="J6031" i="1"/>
  <c r="I6031" i="1"/>
  <c r="H6031" i="1"/>
  <c r="G6031" i="1"/>
  <c r="M6030" i="1"/>
  <c r="L6030" i="1"/>
  <c r="K6030" i="1"/>
  <c r="J6030" i="1"/>
  <c r="I6030" i="1"/>
  <c r="H6030" i="1"/>
  <c r="G6030" i="1"/>
  <c r="M6029" i="1"/>
  <c r="L6029" i="1"/>
  <c r="K6029" i="1"/>
  <c r="J6029" i="1"/>
  <c r="I6029" i="1"/>
  <c r="H6029" i="1"/>
  <c r="G6029" i="1"/>
  <c r="M6028" i="1"/>
  <c r="L6028" i="1"/>
  <c r="K6028" i="1"/>
  <c r="J6028" i="1"/>
  <c r="I6028" i="1"/>
  <c r="H6028" i="1"/>
  <c r="G6028" i="1"/>
  <c r="M6027" i="1"/>
  <c r="L6027" i="1"/>
  <c r="K6027" i="1"/>
  <c r="J6027" i="1"/>
  <c r="I6027" i="1"/>
  <c r="H6027" i="1"/>
  <c r="G6027" i="1"/>
  <c r="M6026" i="1"/>
  <c r="L6026" i="1"/>
  <c r="K6026" i="1"/>
  <c r="J6026" i="1"/>
  <c r="I6026" i="1"/>
  <c r="H6026" i="1"/>
  <c r="G6026" i="1"/>
  <c r="M6025" i="1"/>
  <c r="L6025" i="1"/>
  <c r="K6025" i="1"/>
  <c r="J6025" i="1"/>
  <c r="I6025" i="1"/>
  <c r="H6025" i="1"/>
  <c r="G6025" i="1"/>
  <c r="M6024" i="1"/>
  <c r="L6024" i="1"/>
  <c r="K6024" i="1"/>
  <c r="J6024" i="1"/>
  <c r="I6024" i="1"/>
  <c r="H6024" i="1"/>
  <c r="G6024" i="1"/>
  <c r="M6023" i="1"/>
  <c r="L6023" i="1"/>
  <c r="K6023" i="1"/>
  <c r="J6023" i="1"/>
  <c r="I6023" i="1"/>
  <c r="H6023" i="1"/>
  <c r="G6023" i="1"/>
  <c r="M6022" i="1"/>
  <c r="L6022" i="1"/>
  <c r="K6022" i="1"/>
  <c r="J6022" i="1"/>
  <c r="I6022" i="1"/>
  <c r="H6022" i="1"/>
  <c r="G6022" i="1"/>
  <c r="M6021" i="1"/>
  <c r="L6021" i="1"/>
  <c r="K6021" i="1"/>
  <c r="J6021" i="1"/>
  <c r="I6021" i="1"/>
  <c r="H6021" i="1"/>
  <c r="G6021" i="1"/>
  <c r="M6020" i="1"/>
  <c r="L6020" i="1"/>
  <c r="K6020" i="1"/>
  <c r="J6020" i="1"/>
  <c r="I6020" i="1"/>
  <c r="H6020" i="1"/>
  <c r="G6020" i="1"/>
  <c r="M6019" i="1"/>
  <c r="L6019" i="1"/>
  <c r="K6019" i="1"/>
  <c r="J6019" i="1"/>
  <c r="I6019" i="1"/>
  <c r="H6019" i="1"/>
  <c r="G6019" i="1"/>
  <c r="M6018" i="1"/>
  <c r="L6018" i="1"/>
  <c r="K6018" i="1"/>
  <c r="J6018" i="1"/>
  <c r="I6018" i="1"/>
  <c r="H6018" i="1"/>
  <c r="G6018" i="1"/>
  <c r="M6017" i="1"/>
  <c r="L6017" i="1"/>
  <c r="K6017" i="1"/>
  <c r="J6017" i="1"/>
  <c r="I6017" i="1"/>
  <c r="H6017" i="1"/>
  <c r="G6017" i="1"/>
  <c r="M6016" i="1"/>
  <c r="L6016" i="1"/>
  <c r="K6016" i="1"/>
  <c r="J6016" i="1"/>
  <c r="I6016" i="1"/>
  <c r="H6016" i="1"/>
  <c r="G6016" i="1"/>
  <c r="M6015" i="1"/>
  <c r="L6015" i="1"/>
  <c r="K6015" i="1"/>
  <c r="J6015" i="1"/>
  <c r="I6015" i="1"/>
  <c r="H6015" i="1"/>
  <c r="G6015" i="1"/>
  <c r="M6014" i="1"/>
  <c r="L6014" i="1"/>
  <c r="K6014" i="1"/>
  <c r="J6014" i="1"/>
  <c r="I6014" i="1"/>
  <c r="H6014" i="1"/>
  <c r="G6014" i="1"/>
  <c r="M6013" i="1"/>
  <c r="L6013" i="1"/>
  <c r="K6013" i="1"/>
  <c r="J6013" i="1"/>
  <c r="I6013" i="1"/>
  <c r="H6013" i="1"/>
  <c r="G6013" i="1"/>
  <c r="M6012" i="1"/>
  <c r="L6012" i="1"/>
  <c r="K6012" i="1"/>
  <c r="J6012" i="1"/>
  <c r="I6012" i="1"/>
  <c r="H6012" i="1"/>
  <c r="G6012" i="1"/>
  <c r="M6011" i="1"/>
  <c r="L6011" i="1"/>
  <c r="K6011" i="1"/>
  <c r="J6011" i="1"/>
  <c r="I6011" i="1"/>
  <c r="H6011" i="1"/>
  <c r="G6011" i="1"/>
  <c r="M6010" i="1"/>
  <c r="L6010" i="1"/>
  <c r="K6010" i="1"/>
  <c r="J6010" i="1"/>
  <c r="I6010" i="1"/>
  <c r="H6010" i="1"/>
  <c r="G6010" i="1"/>
  <c r="M6009" i="1"/>
  <c r="L6009" i="1"/>
  <c r="K6009" i="1"/>
  <c r="J6009" i="1"/>
  <c r="I6009" i="1"/>
  <c r="H6009" i="1"/>
  <c r="G6009" i="1"/>
  <c r="M6008" i="1"/>
  <c r="L6008" i="1"/>
  <c r="K6008" i="1"/>
  <c r="J6008" i="1"/>
  <c r="I6008" i="1"/>
  <c r="H6008" i="1"/>
  <c r="G6008" i="1"/>
  <c r="M6007" i="1"/>
  <c r="L6007" i="1"/>
  <c r="K6007" i="1"/>
  <c r="J6007" i="1"/>
  <c r="I6007" i="1"/>
  <c r="H6007" i="1"/>
  <c r="G6007" i="1"/>
  <c r="M6006" i="1"/>
  <c r="L6006" i="1"/>
  <c r="K6006" i="1"/>
  <c r="J6006" i="1"/>
  <c r="I6006" i="1"/>
  <c r="H6006" i="1"/>
  <c r="G6006" i="1"/>
  <c r="M6005" i="1"/>
  <c r="L6005" i="1"/>
  <c r="K6005" i="1"/>
  <c r="J6005" i="1"/>
  <c r="I6005" i="1"/>
  <c r="H6005" i="1"/>
  <c r="G6005" i="1"/>
  <c r="M6004" i="1"/>
  <c r="L6004" i="1"/>
  <c r="K6004" i="1"/>
  <c r="J6004" i="1"/>
  <c r="I6004" i="1"/>
  <c r="H6004" i="1"/>
  <c r="G6004" i="1"/>
  <c r="M6003" i="1"/>
  <c r="L6003" i="1"/>
  <c r="K6003" i="1"/>
  <c r="J6003" i="1"/>
  <c r="I6003" i="1"/>
  <c r="H6003" i="1"/>
  <c r="G6003" i="1"/>
  <c r="M6002" i="1"/>
  <c r="L6002" i="1"/>
  <c r="K6002" i="1"/>
  <c r="J6002" i="1"/>
  <c r="I6002" i="1"/>
  <c r="H6002" i="1"/>
  <c r="G6002" i="1"/>
  <c r="M6001" i="1"/>
  <c r="L6001" i="1"/>
  <c r="K6001" i="1"/>
  <c r="J6001" i="1"/>
  <c r="I6001" i="1"/>
  <c r="H6001" i="1"/>
  <c r="G6001" i="1"/>
  <c r="M6000" i="1"/>
  <c r="L6000" i="1"/>
  <c r="K6000" i="1"/>
  <c r="J6000" i="1"/>
  <c r="I6000" i="1"/>
  <c r="H6000" i="1"/>
  <c r="G6000" i="1"/>
  <c r="M5999" i="1"/>
  <c r="L5999" i="1"/>
  <c r="K5999" i="1"/>
  <c r="J5999" i="1"/>
  <c r="I5999" i="1"/>
  <c r="H5999" i="1"/>
  <c r="G5999" i="1"/>
  <c r="M5998" i="1"/>
  <c r="L5998" i="1"/>
  <c r="K5998" i="1"/>
  <c r="J5998" i="1"/>
  <c r="I5998" i="1"/>
  <c r="H5998" i="1"/>
  <c r="G5998" i="1"/>
  <c r="M5997" i="1"/>
  <c r="L5997" i="1"/>
  <c r="K5997" i="1"/>
  <c r="J5997" i="1"/>
  <c r="I5997" i="1"/>
  <c r="H5997" i="1"/>
  <c r="G5997" i="1"/>
  <c r="M5996" i="1"/>
  <c r="L5996" i="1"/>
  <c r="K5996" i="1"/>
  <c r="J5996" i="1"/>
  <c r="I5996" i="1"/>
  <c r="H5996" i="1"/>
  <c r="G5996" i="1"/>
  <c r="M5995" i="1"/>
  <c r="L5995" i="1"/>
  <c r="K5995" i="1"/>
  <c r="J5995" i="1"/>
  <c r="I5995" i="1"/>
  <c r="H5995" i="1"/>
  <c r="G5995" i="1"/>
  <c r="M5994" i="1"/>
  <c r="L5994" i="1"/>
  <c r="K5994" i="1"/>
  <c r="J5994" i="1"/>
  <c r="I5994" i="1"/>
  <c r="H5994" i="1"/>
  <c r="G5994" i="1"/>
  <c r="M5993" i="1"/>
  <c r="L5993" i="1"/>
  <c r="K5993" i="1"/>
  <c r="J5993" i="1"/>
  <c r="I5993" i="1"/>
  <c r="H5993" i="1"/>
  <c r="G5993" i="1"/>
  <c r="M5992" i="1"/>
  <c r="L5992" i="1"/>
  <c r="K5992" i="1"/>
  <c r="J5992" i="1"/>
  <c r="I5992" i="1"/>
  <c r="H5992" i="1"/>
  <c r="G5992" i="1"/>
  <c r="M5991" i="1"/>
  <c r="L5991" i="1"/>
  <c r="K5991" i="1"/>
  <c r="J5991" i="1"/>
  <c r="I5991" i="1"/>
  <c r="H5991" i="1"/>
  <c r="G5991" i="1"/>
  <c r="M5990" i="1"/>
  <c r="L5990" i="1"/>
  <c r="K5990" i="1"/>
  <c r="J5990" i="1"/>
  <c r="I5990" i="1"/>
  <c r="H5990" i="1"/>
  <c r="G5990" i="1"/>
  <c r="M5989" i="1"/>
  <c r="L5989" i="1"/>
  <c r="K5989" i="1"/>
  <c r="J5989" i="1"/>
  <c r="I5989" i="1"/>
  <c r="H5989" i="1"/>
  <c r="G5989" i="1"/>
  <c r="M5988" i="1"/>
  <c r="L5988" i="1"/>
  <c r="K5988" i="1"/>
  <c r="J5988" i="1"/>
  <c r="I5988" i="1"/>
  <c r="H5988" i="1"/>
  <c r="G5988" i="1"/>
  <c r="M5987" i="1"/>
  <c r="L5987" i="1"/>
  <c r="K5987" i="1"/>
  <c r="J5987" i="1"/>
  <c r="I5987" i="1"/>
  <c r="H5987" i="1"/>
  <c r="G5987" i="1"/>
  <c r="M5986" i="1"/>
  <c r="L5986" i="1"/>
  <c r="K5986" i="1"/>
  <c r="J5986" i="1"/>
  <c r="I5986" i="1"/>
  <c r="H5986" i="1"/>
  <c r="G5986" i="1"/>
  <c r="M5985" i="1"/>
  <c r="L5985" i="1"/>
  <c r="K5985" i="1"/>
  <c r="J5985" i="1"/>
  <c r="I5985" i="1"/>
  <c r="H5985" i="1"/>
  <c r="G5985" i="1"/>
  <c r="M5984" i="1"/>
  <c r="L5984" i="1"/>
  <c r="K5984" i="1"/>
  <c r="J5984" i="1"/>
  <c r="I5984" i="1"/>
  <c r="H5984" i="1"/>
  <c r="G5984" i="1"/>
  <c r="M5983" i="1"/>
  <c r="L5983" i="1"/>
  <c r="K5983" i="1"/>
  <c r="J5983" i="1"/>
  <c r="I5983" i="1"/>
  <c r="H5983" i="1"/>
  <c r="G5983" i="1"/>
  <c r="M5982" i="1"/>
  <c r="L5982" i="1"/>
  <c r="K5982" i="1"/>
  <c r="J5982" i="1"/>
  <c r="I5982" i="1"/>
  <c r="H5982" i="1"/>
  <c r="G5982" i="1"/>
  <c r="M5981" i="1"/>
  <c r="L5981" i="1"/>
  <c r="K5981" i="1"/>
  <c r="J5981" i="1"/>
  <c r="I5981" i="1"/>
  <c r="H5981" i="1"/>
  <c r="G5981" i="1"/>
  <c r="M5980" i="1"/>
  <c r="L5980" i="1"/>
  <c r="K5980" i="1"/>
  <c r="J5980" i="1"/>
  <c r="I5980" i="1"/>
  <c r="H5980" i="1"/>
  <c r="G5980" i="1"/>
  <c r="M5979" i="1"/>
  <c r="L5979" i="1"/>
  <c r="K5979" i="1"/>
  <c r="J5979" i="1"/>
  <c r="I5979" i="1"/>
  <c r="H5979" i="1"/>
  <c r="G5979" i="1"/>
  <c r="M5978" i="1"/>
  <c r="L5978" i="1"/>
  <c r="K5978" i="1"/>
  <c r="J5978" i="1"/>
  <c r="I5978" i="1"/>
  <c r="H5978" i="1"/>
  <c r="G5978" i="1"/>
  <c r="M5977" i="1"/>
  <c r="L5977" i="1"/>
  <c r="K5977" i="1"/>
  <c r="J5977" i="1"/>
  <c r="I5977" i="1"/>
  <c r="H5977" i="1"/>
  <c r="G5977" i="1"/>
  <c r="M5976" i="1"/>
  <c r="L5976" i="1"/>
  <c r="K5976" i="1"/>
  <c r="J5976" i="1"/>
  <c r="I5976" i="1"/>
  <c r="H5976" i="1"/>
  <c r="G5976" i="1"/>
  <c r="M5975" i="1"/>
  <c r="L5975" i="1"/>
  <c r="K5975" i="1"/>
  <c r="J5975" i="1"/>
  <c r="I5975" i="1"/>
  <c r="H5975" i="1"/>
  <c r="G5975" i="1"/>
  <c r="M5974" i="1"/>
  <c r="L5974" i="1"/>
  <c r="K5974" i="1"/>
  <c r="J5974" i="1"/>
  <c r="I5974" i="1"/>
  <c r="H5974" i="1"/>
  <c r="G5974" i="1"/>
  <c r="M5973" i="1"/>
  <c r="L5973" i="1"/>
  <c r="K5973" i="1"/>
  <c r="J5973" i="1"/>
  <c r="I5973" i="1"/>
  <c r="H5973" i="1"/>
  <c r="G5973" i="1"/>
  <c r="M5972" i="1"/>
  <c r="L5972" i="1"/>
  <c r="K5972" i="1"/>
  <c r="J5972" i="1"/>
  <c r="I5972" i="1"/>
  <c r="H5972" i="1"/>
  <c r="G5972" i="1"/>
  <c r="M5971" i="1"/>
  <c r="L5971" i="1"/>
  <c r="K5971" i="1"/>
  <c r="J5971" i="1"/>
  <c r="I5971" i="1"/>
  <c r="H5971" i="1"/>
  <c r="G5971" i="1"/>
  <c r="M5970" i="1"/>
  <c r="L5970" i="1"/>
  <c r="K5970" i="1"/>
  <c r="J5970" i="1"/>
  <c r="I5970" i="1"/>
  <c r="H5970" i="1"/>
  <c r="G5970" i="1"/>
  <c r="M5969" i="1"/>
  <c r="L5969" i="1"/>
  <c r="K5969" i="1"/>
  <c r="J5969" i="1"/>
  <c r="I5969" i="1"/>
  <c r="H5969" i="1"/>
  <c r="G5969" i="1"/>
  <c r="M5968" i="1"/>
  <c r="L5968" i="1"/>
  <c r="K5968" i="1"/>
  <c r="J5968" i="1"/>
  <c r="I5968" i="1"/>
  <c r="H5968" i="1"/>
  <c r="G5968" i="1"/>
  <c r="M5967" i="1"/>
  <c r="L5967" i="1"/>
  <c r="K5967" i="1"/>
  <c r="J5967" i="1"/>
  <c r="I5967" i="1"/>
  <c r="H5967" i="1"/>
  <c r="G5967" i="1"/>
  <c r="M5966" i="1"/>
  <c r="L5966" i="1"/>
  <c r="K5966" i="1"/>
  <c r="J5966" i="1"/>
  <c r="I5966" i="1"/>
  <c r="H5966" i="1"/>
  <c r="G5966" i="1"/>
  <c r="M5965" i="1"/>
  <c r="L5965" i="1"/>
  <c r="K5965" i="1"/>
  <c r="J5965" i="1"/>
  <c r="I5965" i="1"/>
  <c r="H5965" i="1"/>
  <c r="G5965" i="1"/>
  <c r="M5964" i="1"/>
  <c r="L5964" i="1"/>
  <c r="K5964" i="1"/>
  <c r="J5964" i="1"/>
  <c r="I5964" i="1"/>
  <c r="H5964" i="1"/>
  <c r="G5964" i="1"/>
  <c r="M5963" i="1"/>
  <c r="L5963" i="1"/>
  <c r="K5963" i="1"/>
  <c r="J5963" i="1"/>
  <c r="I5963" i="1"/>
  <c r="H5963" i="1"/>
  <c r="G5963" i="1"/>
  <c r="M5962" i="1"/>
  <c r="L5962" i="1"/>
  <c r="K5962" i="1"/>
  <c r="J5962" i="1"/>
  <c r="I5962" i="1"/>
  <c r="H5962" i="1"/>
  <c r="G5962" i="1"/>
  <c r="M5961" i="1"/>
  <c r="L5961" i="1"/>
  <c r="K5961" i="1"/>
  <c r="J5961" i="1"/>
  <c r="I5961" i="1"/>
  <c r="H5961" i="1"/>
  <c r="G5961" i="1"/>
  <c r="M5960" i="1"/>
  <c r="L5960" i="1"/>
  <c r="K5960" i="1"/>
  <c r="J5960" i="1"/>
  <c r="I5960" i="1"/>
  <c r="H5960" i="1"/>
  <c r="G5960" i="1"/>
  <c r="M5959" i="1"/>
  <c r="L5959" i="1"/>
  <c r="K5959" i="1"/>
  <c r="J5959" i="1"/>
  <c r="I5959" i="1"/>
  <c r="H5959" i="1"/>
  <c r="G5959" i="1"/>
  <c r="M5958" i="1"/>
  <c r="L5958" i="1"/>
  <c r="K5958" i="1"/>
  <c r="J5958" i="1"/>
  <c r="I5958" i="1"/>
  <c r="H5958" i="1"/>
  <c r="G5958" i="1"/>
  <c r="M5957" i="1"/>
  <c r="L5957" i="1"/>
  <c r="K5957" i="1"/>
  <c r="J5957" i="1"/>
  <c r="I5957" i="1"/>
  <c r="H5957" i="1"/>
  <c r="G5957" i="1"/>
  <c r="M5956" i="1"/>
  <c r="L5956" i="1"/>
  <c r="K5956" i="1"/>
  <c r="J5956" i="1"/>
  <c r="I5956" i="1"/>
  <c r="H5956" i="1"/>
  <c r="G5956" i="1"/>
  <c r="M5955" i="1"/>
  <c r="L5955" i="1"/>
  <c r="K5955" i="1"/>
  <c r="J5955" i="1"/>
  <c r="I5955" i="1"/>
  <c r="H5955" i="1"/>
  <c r="G5955" i="1"/>
  <c r="M5954" i="1"/>
  <c r="L5954" i="1"/>
  <c r="K5954" i="1"/>
  <c r="J5954" i="1"/>
  <c r="I5954" i="1"/>
  <c r="H5954" i="1"/>
  <c r="G5954" i="1"/>
  <c r="M5953" i="1"/>
  <c r="L5953" i="1"/>
  <c r="K5953" i="1"/>
  <c r="J5953" i="1"/>
  <c r="I5953" i="1"/>
  <c r="H5953" i="1"/>
  <c r="G5953" i="1"/>
  <c r="M5952" i="1"/>
  <c r="L5952" i="1"/>
  <c r="K5952" i="1"/>
  <c r="J5952" i="1"/>
  <c r="I5952" i="1"/>
  <c r="H5952" i="1"/>
  <c r="G5952" i="1"/>
  <c r="M5951" i="1"/>
  <c r="L5951" i="1"/>
  <c r="K5951" i="1"/>
  <c r="J5951" i="1"/>
  <c r="I5951" i="1"/>
  <c r="H5951" i="1"/>
  <c r="G5951" i="1"/>
  <c r="M5950" i="1"/>
  <c r="L5950" i="1"/>
  <c r="K5950" i="1"/>
  <c r="J5950" i="1"/>
  <c r="I5950" i="1"/>
  <c r="H5950" i="1"/>
  <c r="G5950" i="1"/>
  <c r="M5949" i="1"/>
  <c r="L5949" i="1"/>
  <c r="K5949" i="1"/>
  <c r="J5949" i="1"/>
  <c r="I5949" i="1"/>
  <c r="H5949" i="1"/>
  <c r="G5949" i="1"/>
  <c r="M5948" i="1"/>
  <c r="L5948" i="1"/>
  <c r="K5948" i="1"/>
  <c r="J5948" i="1"/>
  <c r="I5948" i="1"/>
  <c r="H5948" i="1"/>
  <c r="G5948" i="1"/>
  <c r="M5947" i="1"/>
  <c r="L5947" i="1"/>
  <c r="K5947" i="1"/>
  <c r="J5947" i="1"/>
  <c r="I5947" i="1"/>
  <c r="H5947" i="1"/>
  <c r="G5947" i="1"/>
  <c r="M5946" i="1"/>
  <c r="L5946" i="1"/>
  <c r="K5946" i="1"/>
  <c r="J5946" i="1"/>
  <c r="I5946" i="1"/>
  <c r="H5946" i="1"/>
  <c r="G5946" i="1"/>
  <c r="M5945" i="1"/>
  <c r="L5945" i="1"/>
  <c r="K5945" i="1"/>
  <c r="J5945" i="1"/>
  <c r="I5945" i="1"/>
  <c r="H5945" i="1"/>
  <c r="G5945" i="1"/>
  <c r="M5944" i="1"/>
  <c r="L5944" i="1"/>
  <c r="K5944" i="1"/>
  <c r="J5944" i="1"/>
  <c r="I5944" i="1"/>
  <c r="H5944" i="1"/>
  <c r="G5944" i="1"/>
  <c r="M5943" i="1"/>
  <c r="L5943" i="1"/>
  <c r="K5943" i="1"/>
  <c r="J5943" i="1"/>
  <c r="I5943" i="1"/>
  <c r="H5943" i="1"/>
  <c r="G5943" i="1"/>
  <c r="M5942" i="1"/>
  <c r="L5942" i="1"/>
  <c r="K5942" i="1"/>
  <c r="J5942" i="1"/>
  <c r="I5942" i="1"/>
  <c r="H5942" i="1"/>
  <c r="G5942" i="1"/>
  <c r="M5941" i="1"/>
  <c r="L5941" i="1"/>
  <c r="K5941" i="1"/>
  <c r="J5941" i="1"/>
  <c r="I5941" i="1"/>
  <c r="H5941" i="1"/>
  <c r="G5941" i="1"/>
  <c r="M5940" i="1"/>
  <c r="L5940" i="1"/>
  <c r="K5940" i="1"/>
  <c r="J5940" i="1"/>
  <c r="I5940" i="1"/>
  <c r="H5940" i="1"/>
  <c r="G5940" i="1"/>
  <c r="M5939" i="1"/>
  <c r="L5939" i="1"/>
  <c r="K5939" i="1"/>
  <c r="J5939" i="1"/>
  <c r="I5939" i="1"/>
  <c r="H5939" i="1"/>
  <c r="G5939" i="1"/>
  <c r="M5938" i="1"/>
  <c r="L5938" i="1"/>
  <c r="K5938" i="1"/>
  <c r="J5938" i="1"/>
  <c r="I5938" i="1"/>
  <c r="H5938" i="1"/>
  <c r="G5938" i="1"/>
  <c r="M5937" i="1"/>
  <c r="L5937" i="1"/>
  <c r="K5937" i="1"/>
  <c r="J5937" i="1"/>
  <c r="I5937" i="1"/>
  <c r="H5937" i="1"/>
  <c r="G5937" i="1"/>
  <c r="M5936" i="1"/>
  <c r="L5936" i="1"/>
  <c r="K5936" i="1"/>
  <c r="J5936" i="1"/>
  <c r="I5936" i="1"/>
  <c r="H5936" i="1"/>
  <c r="G5936" i="1"/>
  <c r="M5935" i="1"/>
  <c r="L5935" i="1"/>
  <c r="K5935" i="1"/>
  <c r="J5935" i="1"/>
  <c r="I5935" i="1"/>
  <c r="H5935" i="1"/>
  <c r="G5935" i="1"/>
  <c r="M5934" i="1"/>
  <c r="L5934" i="1"/>
  <c r="K5934" i="1"/>
  <c r="J5934" i="1"/>
  <c r="I5934" i="1"/>
  <c r="H5934" i="1"/>
  <c r="G5934" i="1"/>
  <c r="M5933" i="1"/>
  <c r="L5933" i="1"/>
  <c r="K5933" i="1"/>
  <c r="J5933" i="1"/>
  <c r="I5933" i="1"/>
  <c r="H5933" i="1"/>
  <c r="G5933" i="1"/>
  <c r="M5932" i="1"/>
  <c r="L5932" i="1"/>
  <c r="K5932" i="1"/>
  <c r="J5932" i="1"/>
  <c r="I5932" i="1"/>
  <c r="H5932" i="1"/>
  <c r="G5932" i="1"/>
  <c r="M5931" i="1"/>
  <c r="L5931" i="1"/>
  <c r="K5931" i="1"/>
  <c r="J5931" i="1"/>
  <c r="I5931" i="1"/>
  <c r="H5931" i="1"/>
  <c r="G5931" i="1"/>
  <c r="M5930" i="1"/>
  <c r="L5930" i="1"/>
  <c r="K5930" i="1"/>
  <c r="J5930" i="1"/>
  <c r="I5930" i="1"/>
  <c r="H5930" i="1"/>
  <c r="G5930" i="1"/>
  <c r="M5929" i="1"/>
  <c r="L5929" i="1"/>
  <c r="K5929" i="1"/>
  <c r="J5929" i="1"/>
  <c r="I5929" i="1"/>
  <c r="H5929" i="1"/>
  <c r="G5929" i="1"/>
  <c r="M5928" i="1"/>
  <c r="L5928" i="1"/>
  <c r="K5928" i="1"/>
  <c r="J5928" i="1"/>
  <c r="I5928" i="1"/>
  <c r="H5928" i="1"/>
  <c r="G5928" i="1"/>
  <c r="M5927" i="1"/>
  <c r="L5927" i="1"/>
  <c r="K5927" i="1"/>
  <c r="J5927" i="1"/>
  <c r="I5927" i="1"/>
  <c r="H5927" i="1"/>
  <c r="G5927" i="1"/>
  <c r="M5926" i="1"/>
  <c r="L5926" i="1"/>
  <c r="K5926" i="1"/>
  <c r="J5926" i="1"/>
  <c r="I5926" i="1"/>
  <c r="H5926" i="1"/>
  <c r="G5926" i="1"/>
  <c r="M5925" i="1"/>
  <c r="L5925" i="1"/>
  <c r="K5925" i="1"/>
  <c r="J5925" i="1"/>
  <c r="I5925" i="1"/>
  <c r="H5925" i="1"/>
  <c r="G5925" i="1"/>
  <c r="M5924" i="1"/>
  <c r="L5924" i="1"/>
  <c r="K5924" i="1"/>
  <c r="J5924" i="1"/>
  <c r="I5924" i="1"/>
  <c r="H5924" i="1"/>
  <c r="G5924" i="1"/>
  <c r="M5923" i="1"/>
  <c r="L5923" i="1"/>
  <c r="K5923" i="1"/>
  <c r="J5923" i="1"/>
  <c r="I5923" i="1"/>
  <c r="H5923" i="1"/>
  <c r="G5923" i="1"/>
  <c r="M5922" i="1"/>
  <c r="L5922" i="1"/>
  <c r="K5922" i="1"/>
  <c r="J5922" i="1"/>
  <c r="I5922" i="1"/>
  <c r="H5922" i="1"/>
  <c r="G5922" i="1"/>
  <c r="M5921" i="1"/>
  <c r="L5921" i="1"/>
  <c r="K5921" i="1"/>
  <c r="J5921" i="1"/>
  <c r="I5921" i="1"/>
  <c r="H5921" i="1"/>
  <c r="G5921" i="1"/>
  <c r="M5920" i="1"/>
  <c r="L5920" i="1"/>
  <c r="K5920" i="1"/>
  <c r="J5920" i="1"/>
  <c r="I5920" i="1"/>
  <c r="H5920" i="1"/>
  <c r="G5920" i="1"/>
  <c r="M5919" i="1"/>
  <c r="L5919" i="1"/>
  <c r="K5919" i="1"/>
  <c r="J5919" i="1"/>
  <c r="I5919" i="1"/>
  <c r="H5919" i="1"/>
  <c r="G5919" i="1"/>
  <c r="M5918" i="1"/>
  <c r="L5918" i="1"/>
  <c r="K5918" i="1"/>
  <c r="J5918" i="1"/>
  <c r="I5918" i="1"/>
  <c r="H5918" i="1"/>
  <c r="G5918" i="1"/>
  <c r="M5917" i="1"/>
  <c r="L5917" i="1"/>
  <c r="K5917" i="1"/>
  <c r="J5917" i="1"/>
  <c r="I5917" i="1"/>
  <c r="H5917" i="1"/>
  <c r="G5917" i="1"/>
  <c r="M5916" i="1"/>
  <c r="L5916" i="1"/>
  <c r="K5916" i="1"/>
  <c r="J5916" i="1"/>
  <c r="I5916" i="1"/>
  <c r="H5916" i="1"/>
  <c r="G5916" i="1"/>
  <c r="M5915" i="1"/>
  <c r="L5915" i="1"/>
  <c r="K5915" i="1"/>
  <c r="J5915" i="1"/>
  <c r="I5915" i="1"/>
  <c r="H5915" i="1"/>
  <c r="G5915" i="1"/>
  <c r="M5914" i="1"/>
  <c r="L5914" i="1"/>
  <c r="K5914" i="1"/>
  <c r="J5914" i="1"/>
  <c r="I5914" i="1"/>
  <c r="H5914" i="1"/>
  <c r="G5914" i="1"/>
  <c r="M5913" i="1"/>
  <c r="L5913" i="1"/>
  <c r="K5913" i="1"/>
  <c r="J5913" i="1"/>
  <c r="I5913" i="1"/>
  <c r="H5913" i="1"/>
  <c r="G5913" i="1"/>
  <c r="M5912" i="1"/>
  <c r="L5912" i="1"/>
  <c r="K5912" i="1"/>
  <c r="J5912" i="1"/>
  <c r="I5912" i="1"/>
  <c r="H5912" i="1"/>
  <c r="G5912" i="1"/>
  <c r="M5911" i="1"/>
  <c r="L5911" i="1"/>
  <c r="K5911" i="1"/>
  <c r="J5911" i="1"/>
  <c r="I5911" i="1"/>
  <c r="H5911" i="1"/>
  <c r="G5911" i="1"/>
  <c r="M5910" i="1"/>
  <c r="L5910" i="1"/>
  <c r="K5910" i="1"/>
  <c r="J5910" i="1"/>
  <c r="I5910" i="1"/>
  <c r="H5910" i="1"/>
  <c r="G5910" i="1"/>
  <c r="M5909" i="1"/>
  <c r="L5909" i="1"/>
  <c r="K5909" i="1"/>
  <c r="J5909" i="1"/>
  <c r="I5909" i="1"/>
  <c r="H5909" i="1"/>
  <c r="G5909" i="1"/>
  <c r="M5908" i="1"/>
  <c r="L5908" i="1"/>
  <c r="K5908" i="1"/>
  <c r="J5908" i="1"/>
  <c r="I5908" i="1"/>
  <c r="H5908" i="1"/>
  <c r="G5908" i="1"/>
  <c r="M5907" i="1"/>
  <c r="L5907" i="1"/>
  <c r="K5907" i="1"/>
  <c r="J5907" i="1"/>
  <c r="I5907" i="1"/>
  <c r="H5907" i="1"/>
  <c r="G5907" i="1"/>
  <c r="M5906" i="1"/>
  <c r="L5906" i="1"/>
  <c r="K5906" i="1"/>
  <c r="J5906" i="1"/>
  <c r="I5906" i="1"/>
  <c r="H5906" i="1"/>
  <c r="G5906" i="1"/>
  <c r="M5905" i="1"/>
  <c r="L5905" i="1"/>
  <c r="K5905" i="1"/>
  <c r="J5905" i="1"/>
  <c r="I5905" i="1"/>
  <c r="H5905" i="1"/>
  <c r="G5905" i="1"/>
  <c r="M5904" i="1"/>
  <c r="L5904" i="1"/>
  <c r="K5904" i="1"/>
  <c r="J5904" i="1"/>
  <c r="I5904" i="1"/>
  <c r="H5904" i="1"/>
  <c r="G5904" i="1"/>
  <c r="M5903" i="1"/>
  <c r="L5903" i="1"/>
  <c r="K5903" i="1"/>
  <c r="J5903" i="1"/>
  <c r="I5903" i="1"/>
  <c r="H5903" i="1"/>
  <c r="G5903" i="1"/>
  <c r="M5902" i="1"/>
  <c r="L5902" i="1"/>
  <c r="K5902" i="1"/>
  <c r="J5902" i="1"/>
  <c r="I5902" i="1"/>
  <c r="H5902" i="1"/>
  <c r="G5902" i="1"/>
  <c r="M5901" i="1"/>
  <c r="L5901" i="1"/>
  <c r="K5901" i="1"/>
  <c r="J5901" i="1"/>
  <c r="I5901" i="1"/>
  <c r="H5901" i="1"/>
  <c r="G5901" i="1"/>
  <c r="M5900" i="1"/>
  <c r="L5900" i="1"/>
  <c r="K5900" i="1"/>
  <c r="J5900" i="1"/>
  <c r="I5900" i="1"/>
  <c r="H5900" i="1"/>
  <c r="G5900" i="1"/>
  <c r="M5899" i="1"/>
  <c r="L5899" i="1"/>
  <c r="K5899" i="1"/>
  <c r="J5899" i="1"/>
  <c r="I5899" i="1"/>
  <c r="H5899" i="1"/>
  <c r="G5899" i="1"/>
  <c r="M5898" i="1"/>
  <c r="L5898" i="1"/>
  <c r="K5898" i="1"/>
  <c r="J5898" i="1"/>
  <c r="I5898" i="1"/>
  <c r="H5898" i="1"/>
  <c r="G5898" i="1"/>
  <c r="M5897" i="1"/>
  <c r="L5897" i="1"/>
  <c r="K5897" i="1"/>
  <c r="J5897" i="1"/>
  <c r="I5897" i="1"/>
  <c r="H5897" i="1"/>
  <c r="G5897" i="1"/>
  <c r="M5896" i="1"/>
  <c r="L5896" i="1"/>
  <c r="K5896" i="1"/>
  <c r="J5896" i="1"/>
  <c r="I5896" i="1"/>
  <c r="H5896" i="1"/>
  <c r="G5896" i="1"/>
  <c r="M5895" i="1"/>
  <c r="L5895" i="1"/>
  <c r="K5895" i="1"/>
  <c r="J5895" i="1"/>
  <c r="I5895" i="1"/>
  <c r="H5895" i="1"/>
  <c r="G5895" i="1"/>
  <c r="M5894" i="1"/>
  <c r="L5894" i="1"/>
  <c r="K5894" i="1"/>
  <c r="J5894" i="1"/>
  <c r="I5894" i="1"/>
  <c r="H5894" i="1"/>
  <c r="G5894" i="1"/>
  <c r="M5893" i="1"/>
  <c r="L5893" i="1"/>
  <c r="K5893" i="1"/>
  <c r="J5893" i="1"/>
  <c r="I5893" i="1"/>
  <c r="H5893" i="1"/>
  <c r="G5893" i="1"/>
  <c r="M5892" i="1"/>
  <c r="L5892" i="1"/>
  <c r="K5892" i="1"/>
  <c r="J5892" i="1"/>
  <c r="I5892" i="1"/>
  <c r="H5892" i="1"/>
  <c r="G5892" i="1"/>
  <c r="M5891" i="1"/>
  <c r="L5891" i="1"/>
  <c r="K5891" i="1"/>
  <c r="J5891" i="1"/>
  <c r="I5891" i="1"/>
  <c r="H5891" i="1"/>
  <c r="G5891" i="1"/>
  <c r="M5890" i="1"/>
  <c r="L5890" i="1"/>
  <c r="K5890" i="1"/>
  <c r="J5890" i="1"/>
  <c r="I5890" i="1"/>
  <c r="H5890" i="1"/>
  <c r="G5890" i="1"/>
  <c r="M5889" i="1"/>
  <c r="L5889" i="1"/>
  <c r="K5889" i="1"/>
  <c r="J5889" i="1"/>
  <c r="I5889" i="1"/>
  <c r="H5889" i="1"/>
  <c r="G5889" i="1"/>
  <c r="M5888" i="1"/>
  <c r="L5888" i="1"/>
  <c r="K5888" i="1"/>
  <c r="J5888" i="1"/>
  <c r="I5888" i="1"/>
  <c r="H5888" i="1"/>
  <c r="G5888" i="1"/>
  <c r="M5887" i="1"/>
  <c r="L5887" i="1"/>
  <c r="K5887" i="1"/>
  <c r="J5887" i="1"/>
  <c r="I5887" i="1"/>
  <c r="H5887" i="1"/>
  <c r="G5887" i="1"/>
  <c r="M5886" i="1"/>
  <c r="L5886" i="1"/>
  <c r="K5886" i="1"/>
  <c r="J5886" i="1"/>
  <c r="I5886" i="1"/>
  <c r="H5886" i="1"/>
  <c r="G5886" i="1"/>
  <c r="M5885" i="1"/>
  <c r="L5885" i="1"/>
  <c r="K5885" i="1"/>
  <c r="J5885" i="1"/>
  <c r="I5885" i="1"/>
  <c r="H5885" i="1"/>
  <c r="G5885" i="1"/>
  <c r="M5884" i="1"/>
  <c r="L5884" i="1"/>
  <c r="K5884" i="1"/>
  <c r="J5884" i="1"/>
  <c r="I5884" i="1"/>
  <c r="H5884" i="1"/>
  <c r="G5884" i="1"/>
  <c r="M5883" i="1"/>
  <c r="L5883" i="1"/>
  <c r="K5883" i="1"/>
  <c r="J5883" i="1"/>
  <c r="I5883" i="1"/>
  <c r="H5883" i="1"/>
  <c r="G5883" i="1"/>
  <c r="M5882" i="1"/>
  <c r="L5882" i="1"/>
  <c r="K5882" i="1"/>
  <c r="J5882" i="1"/>
  <c r="I5882" i="1"/>
  <c r="H5882" i="1"/>
  <c r="G5882" i="1"/>
  <c r="M5881" i="1"/>
  <c r="L5881" i="1"/>
  <c r="K5881" i="1"/>
  <c r="J5881" i="1"/>
  <c r="I5881" i="1"/>
  <c r="H5881" i="1"/>
  <c r="G5881" i="1"/>
  <c r="M5880" i="1"/>
  <c r="L5880" i="1"/>
  <c r="K5880" i="1"/>
  <c r="J5880" i="1"/>
  <c r="I5880" i="1"/>
  <c r="H5880" i="1"/>
  <c r="G5880" i="1"/>
  <c r="M5879" i="1"/>
  <c r="L5879" i="1"/>
  <c r="K5879" i="1"/>
  <c r="J5879" i="1"/>
  <c r="I5879" i="1"/>
  <c r="H5879" i="1"/>
  <c r="G5879" i="1"/>
  <c r="M5878" i="1"/>
  <c r="L5878" i="1"/>
  <c r="K5878" i="1"/>
  <c r="J5878" i="1"/>
  <c r="I5878" i="1"/>
  <c r="H5878" i="1"/>
  <c r="G5878" i="1"/>
  <c r="M5877" i="1"/>
  <c r="L5877" i="1"/>
  <c r="K5877" i="1"/>
  <c r="J5877" i="1"/>
  <c r="I5877" i="1"/>
  <c r="H5877" i="1"/>
  <c r="G5877" i="1"/>
  <c r="M5876" i="1"/>
  <c r="L5876" i="1"/>
  <c r="K5876" i="1"/>
  <c r="J5876" i="1"/>
  <c r="I5876" i="1"/>
  <c r="H5876" i="1"/>
  <c r="G5876" i="1"/>
  <c r="M5875" i="1"/>
  <c r="L5875" i="1"/>
  <c r="K5875" i="1"/>
  <c r="J5875" i="1"/>
  <c r="I5875" i="1"/>
  <c r="H5875" i="1"/>
  <c r="G5875" i="1"/>
  <c r="M5874" i="1"/>
  <c r="L5874" i="1"/>
  <c r="K5874" i="1"/>
  <c r="J5874" i="1"/>
  <c r="I5874" i="1"/>
  <c r="H5874" i="1"/>
  <c r="G5874" i="1"/>
  <c r="M5873" i="1"/>
  <c r="L5873" i="1"/>
  <c r="K5873" i="1"/>
  <c r="J5873" i="1"/>
  <c r="I5873" i="1"/>
  <c r="H5873" i="1"/>
  <c r="G5873" i="1"/>
  <c r="M5872" i="1"/>
  <c r="L5872" i="1"/>
  <c r="K5872" i="1"/>
  <c r="J5872" i="1"/>
  <c r="I5872" i="1"/>
  <c r="H5872" i="1"/>
  <c r="G5872" i="1"/>
  <c r="M5871" i="1"/>
  <c r="L5871" i="1"/>
  <c r="K5871" i="1"/>
  <c r="J5871" i="1"/>
  <c r="I5871" i="1"/>
  <c r="H5871" i="1"/>
  <c r="G5871" i="1"/>
  <c r="M5870" i="1"/>
  <c r="L5870" i="1"/>
  <c r="K5870" i="1"/>
  <c r="J5870" i="1"/>
  <c r="I5870" i="1"/>
  <c r="H5870" i="1"/>
  <c r="G5870" i="1"/>
  <c r="M5869" i="1"/>
  <c r="L5869" i="1"/>
  <c r="K5869" i="1"/>
  <c r="J5869" i="1"/>
  <c r="I5869" i="1"/>
  <c r="H5869" i="1"/>
  <c r="G5869" i="1"/>
  <c r="M5868" i="1"/>
  <c r="L5868" i="1"/>
  <c r="K5868" i="1"/>
  <c r="J5868" i="1"/>
  <c r="I5868" i="1"/>
  <c r="H5868" i="1"/>
  <c r="G5868" i="1"/>
  <c r="M5867" i="1"/>
  <c r="L5867" i="1"/>
  <c r="K5867" i="1"/>
  <c r="J5867" i="1"/>
  <c r="I5867" i="1"/>
  <c r="H5867" i="1"/>
  <c r="G5867" i="1"/>
  <c r="M5866" i="1"/>
  <c r="L5866" i="1"/>
  <c r="K5866" i="1"/>
  <c r="J5866" i="1"/>
  <c r="I5866" i="1"/>
  <c r="H5866" i="1"/>
  <c r="G5866" i="1"/>
  <c r="M5865" i="1"/>
  <c r="L5865" i="1"/>
  <c r="K5865" i="1"/>
  <c r="J5865" i="1"/>
  <c r="I5865" i="1"/>
  <c r="H5865" i="1"/>
  <c r="G5865" i="1"/>
  <c r="M5864" i="1"/>
  <c r="L5864" i="1"/>
  <c r="K5864" i="1"/>
  <c r="J5864" i="1"/>
  <c r="I5864" i="1"/>
  <c r="H5864" i="1"/>
  <c r="G5864" i="1"/>
  <c r="M5863" i="1"/>
  <c r="L5863" i="1"/>
  <c r="K5863" i="1"/>
  <c r="J5863" i="1"/>
  <c r="I5863" i="1"/>
  <c r="H5863" i="1"/>
  <c r="G5863" i="1"/>
  <c r="M5862" i="1"/>
  <c r="L5862" i="1"/>
  <c r="K5862" i="1"/>
  <c r="J5862" i="1"/>
  <c r="I5862" i="1"/>
  <c r="H5862" i="1"/>
  <c r="G5862" i="1"/>
  <c r="M5861" i="1"/>
  <c r="L5861" i="1"/>
  <c r="K5861" i="1"/>
  <c r="J5861" i="1"/>
  <c r="I5861" i="1"/>
  <c r="H5861" i="1"/>
  <c r="G5861" i="1"/>
  <c r="M5860" i="1"/>
  <c r="L5860" i="1"/>
  <c r="K5860" i="1"/>
  <c r="J5860" i="1"/>
  <c r="I5860" i="1"/>
  <c r="H5860" i="1"/>
  <c r="G5860" i="1"/>
  <c r="M5859" i="1"/>
  <c r="L5859" i="1"/>
  <c r="K5859" i="1"/>
  <c r="J5859" i="1"/>
  <c r="I5859" i="1"/>
  <c r="H5859" i="1"/>
  <c r="G5859" i="1"/>
  <c r="M5858" i="1"/>
  <c r="L5858" i="1"/>
  <c r="K5858" i="1"/>
  <c r="J5858" i="1"/>
  <c r="I5858" i="1"/>
  <c r="H5858" i="1"/>
  <c r="G5858" i="1"/>
  <c r="M5857" i="1"/>
  <c r="L5857" i="1"/>
  <c r="K5857" i="1"/>
  <c r="J5857" i="1"/>
  <c r="I5857" i="1"/>
  <c r="H5857" i="1"/>
  <c r="G5857" i="1"/>
  <c r="M5856" i="1"/>
  <c r="L5856" i="1"/>
  <c r="K5856" i="1"/>
  <c r="J5856" i="1"/>
  <c r="I5856" i="1"/>
  <c r="H5856" i="1"/>
  <c r="G5856" i="1"/>
  <c r="M5855" i="1"/>
  <c r="L5855" i="1"/>
  <c r="K5855" i="1"/>
  <c r="J5855" i="1"/>
  <c r="I5855" i="1"/>
  <c r="H5855" i="1"/>
  <c r="G5855" i="1"/>
  <c r="M5854" i="1"/>
  <c r="L5854" i="1"/>
  <c r="K5854" i="1"/>
  <c r="J5854" i="1"/>
  <c r="I5854" i="1"/>
  <c r="H5854" i="1"/>
  <c r="G5854" i="1"/>
  <c r="M5853" i="1"/>
  <c r="L5853" i="1"/>
  <c r="K5853" i="1"/>
  <c r="J5853" i="1"/>
  <c r="I5853" i="1"/>
  <c r="H5853" i="1"/>
  <c r="G5853" i="1"/>
  <c r="M5852" i="1"/>
  <c r="L5852" i="1"/>
  <c r="K5852" i="1"/>
  <c r="J5852" i="1"/>
  <c r="I5852" i="1"/>
  <c r="H5852" i="1"/>
  <c r="G5852" i="1"/>
  <c r="M5851" i="1"/>
  <c r="L5851" i="1"/>
  <c r="K5851" i="1"/>
  <c r="J5851" i="1"/>
  <c r="I5851" i="1"/>
  <c r="H5851" i="1"/>
  <c r="G5851" i="1"/>
  <c r="M5850" i="1"/>
  <c r="L5850" i="1"/>
  <c r="K5850" i="1"/>
  <c r="J5850" i="1"/>
  <c r="I5850" i="1"/>
  <c r="H5850" i="1"/>
  <c r="G5850" i="1"/>
  <c r="M5849" i="1"/>
  <c r="L5849" i="1"/>
  <c r="K5849" i="1"/>
  <c r="J5849" i="1"/>
  <c r="I5849" i="1"/>
  <c r="H5849" i="1"/>
  <c r="G5849" i="1"/>
  <c r="M5848" i="1"/>
  <c r="L5848" i="1"/>
  <c r="K5848" i="1"/>
  <c r="J5848" i="1"/>
  <c r="I5848" i="1"/>
  <c r="H5848" i="1"/>
  <c r="G5848" i="1"/>
  <c r="M5847" i="1"/>
  <c r="L5847" i="1"/>
  <c r="K5847" i="1"/>
  <c r="J5847" i="1"/>
  <c r="I5847" i="1"/>
  <c r="H5847" i="1"/>
  <c r="G5847" i="1"/>
  <c r="M5846" i="1"/>
  <c r="L5846" i="1"/>
  <c r="K5846" i="1"/>
  <c r="J5846" i="1"/>
  <c r="I5846" i="1"/>
  <c r="H5846" i="1"/>
  <c r="G5846" i="1"/>
  <c r="M5845" i="1"/>
  <c r="L5845" i="1"/>
  <c r="K5845" i="1"/>
  <c r="J5845" i="1"/>
  <c r="I5845" i="1"/>
  <c r="H5845" i="1"/>
  <c r="G5845" i="1"/>
  <c r="M5844" i="1"/>
  <c r="L5844" i="1"/>
  <c r="K5844" i="1"/>
  <c r="J5844" i="1"/>
  <c r="I5844" i="1"/>
  <c r="H5844" i="1"/>
  <c r="G5844" i="1"/>
  <c r="M5843" i="1"/>
  <c r="L5843" i="1"/>
  <c r="K5843" i="1"/>
  <c r="J5843" i="1"/>
  <c r="I5843" i="1"/>
  <c r="H5843" i="1"/>
  <c r="G5843" i="1"/>
  <c r="M5842" i="1"/>
  <c r="L5842" i="1"/>
  <c r="K5842" i="1"/>
  <c r="J5842" i="1"/>
  <c r="I5842" i="1"/>
  <c r="H5842" i="1"/>
  <c r="G5842" i="1"/>
  <c r="M5841" i="1"/>
  <c r="L5841" i="1"/>
  <c r="K5841" i="1"/>
  <c r="J5841" i="1"/>
  <c r="I5841" i="1"/>
  <c r="H5841" i="1"/>
  <c r="G5841" i="1"/>
  <c r="M5840" i="1"/>
  <c r="L5840" i="1"/>
  <c r="K5840" i="1"/>
  <c r="J5840" i="1"/>
  <c r="I5840" i="1"/>
  <c r="H5840" i="1"/>
  <c r="G5840" i="1"/>
  <c r="M5839" i="1"/>
  <c r="L5839" i="1"/>
  <c r="K5839" i="1"/>
  <c r="J5839" i="1"/>
  <c r="I5839" i="1"/>
  <c r="H5839" i="1"/>
  <c r="G5839" i="1"/>
  <c r="M5838" i="1"/>
  <c r="L5838" i="1"/>
  <c r="K5838" i="1"/>
  <c r="J5838" i="1"/>
  <c r="I5838" i="1"/>
  <c r="H5838" i="1"/>
  <c r="G5838" i="1"/>
  <c r="M5837" i="1"/>
  <c r="L5837" i="1"/>
  <c r="K5837" i="1"/>
  <c r="J5837" i="1"/>
  <c r="I5837" i="1"/>
  <c r="H5837" i="1"/>
  <c r="G5837" i="1"/>
  <c r="M5836" i="1"/>
  <c r="L5836" i="1"/>
  <c r="K5836" i="1"/>
  <c r="J5836" i="1"/>
  <c r="I5836" i="1"/>
  <c r="H5836" i="1"/>
  <c r="G5836" i="1"/>
  <c r="M5835" i="1"/>
  <c r="L5835" i="1"/>
  <c r="K5835" i="1"/>
  <c r="J5835" i="1"/>
  <c r="I5835" i="1"/>
  <c r="H5835" i="1"/>
  <c r="G5835" i="1"/>
  <c r="M5834" i="1"/>
  <c r="L5834" i="1"/>
  <c r="K5834" i="1"/>
  <c r="J5834" i="1"/>
  <c r="I5834" i="1"/>
  <c r="H5834" i="1"/>
  <c r="G5834" i="1"/>
  <c r="M5833" i="1"/>
  <c r="L5833" i="1"/>
  <c r="K5833" i="1"/>
  <c r="J5833" i="1"/>
  <c r="I5833" i="1"/>
  <c r="H5833" i="1"/>
  <c r="G5833" i="1"/>
  <c r="M5832" i="1"/>
  <c r="L5832" i="1"/>
  <c r="K5832" i="1"/>
  <c r="J5832" i="1"/>
  <c r="I5832" i="1"/>
  <c r="H5832" i="1"/>
  <c r="G5832" i="1"/>
  <c r="M5831" i="1"/>
  <c r="L5831" i="1"/>
  <c r="K5831" i="1"/>
  <c r="J5831" i="1"/>
  <c r="I5831" i="1"/>
  <c r="H5831" i="1"/>
  <c r="G5831" i="1"/>
  <c r="M5830" i="1"/>
  <c r="L5830" i="1"/>
  <c r="K5830" i="1"/>
  <c r="J5830" i="1"/>
  <c r="I5830" i="1"/>
  <c r="H5830" i="1"/>
  <c r="G5830" i="1"/>
  <c r="M5829" i="1"/>
  <c r="L5829" i="1"/>
  <c r="K5829" i="1"/>
  <c r="J5829" i="1"/>
  <c r="I5829" i="1"/>
  <c r="H5829" i="1"/>
  <c r="G5829" i="1"/>
  <c r="M5828" i="1"/>
  <c r="L5828" i="1"/>
  <c r="K5828" i="1"/>
  <c r="J5828" i="1"/>
  <c r="I5828" i="1"/>
  <c r="H5828" i="1"/>
  <c r="G5828" i="1"/>
  <c r="M5827" i="1"/>
  <c r="L5827" i="1"/>
  <c r="K5827" i="1"/>
  <c r="J5827" i="1"/>
  <c r="I5827" i="1"/>
  <c r="H5827" i="1"/>
  <c r="G5827" i="1"/>
  <c r="M5826" i="1"/>
  <c r="L5826" i="1"/>
  <c r="K5826" i="1"/>
  <c r="J5826" i="1"/>
  <c r="I5826" i="1"/>
  <c r="H5826" i="1"/>
  <c r="G5826" i="1"/>
  <c r="M5825" i="1"/>
  <c r="L5825" i="1"/>
  <c r="K5825" i="1"/>
  <c r="J5825" i="1"/>
  <c r="I5825" i="1"/>
  <c r="H5825" i="1"/>
  <c r="G5825" i="1"/>
  <c r="M5824" i="1"/>
  <c r="L5824" i="1"/>
  <c r="K5824" i="1"/>
  <c r="J5824" i="1"/>
  <c r="I5824" i="1"/>
  <c r="H5824" i="1"/>
  <c r="G5824" i="1"/>
  <c r="M5823" i="1"/>
  <c r="L5823" i="1"/>
  <c r="K5823" i="1"/>
  <c r="J5823" i="1"/>
  <c r="I5823" i="1"/>
  <c r="H5823" i="1"/>
  <c r="G5823" i="1"/>
  <c r="M5822" i="1"/>
  <c r="L5822" i="1"/>
  <c r="K5822" i="1"/>
  <c r="J5822" i="1"/>
  <c r="I5822" i="1"/>
  <c r="H5822" i="1"/>
  <c r="G5822" i="1"/>
  <c r="M5821" i="1"/>
  <c r="L5821" i="1"/>
  <c r="K5821" i="1"/>
  <c r="J5821" i="1"/>
  <c r="I5821" i="1"/>
  <c r="H5821" i="1"/>
  <c r="G5821" i="1"/>
  <c r="M5820" i="1"/>
  <c r="L5820" i="1"/>
  <c r="K5820" i="1"/>
  <c r="J5820" i="1"/>
  <c r="I5820" i="1"/>
  <c r="H5820" i="1"/>
  <c r="G5820" i="1"/>
  <c r="M5819" i="1"/>
  <c r="L5819" i="1"/>
  <c r="K5819" i="1"/>
  <c r="J5819" i="1"/>
  <c r="I5819" i="1"/>
  <c r="H5819" i="1"/>
  <c r="G5819" i="1"/>
  <c r="M5818" i="1"/>
  <c r="L5818" i="1"/>
  <c r="K5818" i="1"/>
  <c r="J5818" i="1"/>
  <c r="I5818" i="1"/>
  <c r="H5818" i="1"/>
  <c r="G5818" i="1"/>
  <c r="M5817" i="1"/>
  <c r="L5817" i="1"/>
  <c r="K5817" i="1"/>
  <c r="J5817" i="1"/>
  <c r="I5817" i="1"/>
  <c r="H5817" i="1"/>
  <c r="G5817" i="1"/>
  <c r="M5816" i="1"/>
  <c r="L5816" i="1"/>
  <c r="K5816" i="1"/>
  <c r="J5816" i="1"/>
  <c r="I5816" i="1"/>
  <c r="H5816" i="1"/>
  <c r="G5816" i="1"/>
  <c r="M5815" i="1"/>
  <c r="L5815" i="1"/>
  <c r="K5815" i="1"/>
  <c r="J5815" i="1"/>
  <c r="I5815" i="1"/>
  <c r="H5815" i="1"/>
  <c r="G5815" i="1"/>
  <c r="M5814" i="1"/>
  <c r="L5814" i="1"/>
  <c r="K5814" i="1"/>
  <c r="J5814" i="1"/>
  <c r="I5814" i="1"/>
  <c r="H5814" i="1"/>
  <c r="G5814" i="1"/>
  <c r="M5813" i="1"/>
  <c r="L5813" i="1"/>
  <c r="K5813" i="1"/>
  <c r="J5813" i="1"/>
  <c r="I5813" i="1"/>
  <c r="H5813" i="1"/>
  <c r="G5813" i="1"/>
  <c r="M5812" i="1"/>
  <c r="L5812" i="1"/>
  <c r="K5812" i="1"/>
  <c r="J5812" i="1"/>
  <c r="I5812" i="1"/>
  <c r="H5812" i="1"/>
  <c r="G5812" i="1"/>
  <c r="M5811" i="1"/>
  <c r="L5811" i="1"/>
  <c r="K5811" i="1"/>
  <c r="J5811" i="1"/>
  <c r="I5811" i="1"/>
  <c r="H5811" i="1"/>
  <c r="G5811" i="1"/>
  <c r="M5810" i="1"/>
  <c r="L5810" i="1"/>
  <c r="K5810" i="1"/>
  <c r="J5810" i="1"/>
  <c r="I5810" i="1"/>
  <c r="H5810" i="1"/>
  <c r="G5810" i="1"/>
  <c r="M5809" i="1"/>
  <c r="L5809" i="1"/>
  <c r="K5809" i="1"/>
  <c r="J5809" i="1"/>
  <c r="I5809" i="1"/>
  <c r="H5809" i="1"/>
  <c r="G5809" i="1"/>
  <c r="M5808" i="1"/>
  <c r="L5808" i="1"/>
  <c r="K5808" i="1"/>
  <c r="J5808" i="1"/>
  <c r="I5808" i="1"/>
  <c r="H5808" i="1"/>
  <c r="G5808" i="1"/>
  <c r="M5807" i="1"/>
  <c r="L5807" i="1"/>
  <c r="K5807" i="1"/>
  <c r="J5807" i="1"/>
  <c r="I5807" i="1"/>
  <c r="H5807" i="1"/>
  <c r="G5807" i="1"/>
  <c r="M5806" i="1"/>
  <c r="L5806" i="1"/>
  <c r="K5806" i="1"/>
  <c r="J5806" i="1"/>
  <c r="I5806" i="1"/>
  <c r="H5806" i="1"/>
  <c r="G5806" i="1"/>
  <c r="M5805" i="1"/>
  <c r="L5805" i="1"/>
  <c r="K5805" i="1"/>
  <c r="J5805" i="1"/>
  <c r="I5805" i="1"/>
  <c r="H5805" i="1"/>
  <c r="G5805" i="1"/>
  <c r="M5804" i="1"/>
  <c r="L5804" i="1"/>
  <c r="K5804" i="1"/>
  <c r="J5804" i="1"/>
  <c r="I5804" i="1"/>
  <c r="H5804" i="1"/>
  <c r="G5804" i="1"/>
  <c r="M5803" i="1"/>
  <c r="L5803" i="1"/>
  <c r="K5803" i="1"/>
  <c r="J5803" i="1"/>
  <c r="I5803" i="1"/>
  <c r="H5803" i="1"/>
  <c r="G5803" i="1"/>
  <c r="M5802" i="1"/>
  <c r="L5802" i="1"/>
  <c r="K5802" i="1"/>
  <c r="J5802" i="1"/>
  <c r="I5802" i="1"/>
  <c r="H5802" i="1"/>
  <c r="G5802" i="1"/>
  <c r="M5801" i="1"/>
  <c r="L5801" i="1"/>
  <c r="K5801" i="1"/>
  <c r="J5801" i="1"/>
  <c r="I5801" i="1"/>
  <c r="H5801" i="1"/>
  <c r="G5801" i="1"/>
  <c r="M5800" i="1"/>
  <c r="L5800" i="1"/>
  <c r="K5800" i="1"/>
  <c r="J5800" i="1"/>
  <c r="I5800" i="1"/>
  <c r="H5800" i="1"/>
  <c r="G5800" i="1"/>
  <c r="M5799" i="1"/>
  <c r="L5799" i="1"/>
  <c r="K5799" i="1"/>
  <c r="J5799" i="1"/>
  <c r="I5799" i="1"/>
  <c r="H5799" i="1"/>
  <c r="G5799" i="1"/>
  <c r="M5798" i="1"/>
  <c r="L5798" i="1"/>
  <c r="K5798" i="1"/>
  <c r="J5798" i="1"/>
  <c r="I5798" i="1"/>
  <c r="H5798" i="1"/>
  <c r="G5798" i="1"/>
  <c r="M5797" i="1"/>
  <c r="L5797" i="1"/>
  <c r="K5797" i="1"/>
  <c r="J5797" i="1"/>
  <c r="I5797" i="1"/>
  <c r="H5797" i="1"/>
  <c r="G5797" i="1"/>
  <c r="M5796" i="1"/>
  <c r="L5796" i="1"/>
  <c r="K5796" i="1"/>
  <c r="J5796" i="1"/>
  <c r="I5796" i="1"/>
  <c r="H5796" i="1"/>
  <c r="G5796" i="1"/>
  <c r="M5795" i="1"/>
  <c r="L5795" i="1"/>
  <c r="K5795" i="1"/>
  <c r="J5795" i="1"/>
  <c r="I5795" i="1"/>
  <c r="H5795" i="1"/>
  <c r="G5795" i="1"/>
  <c r="M5794" i="1"/>
  <c r="L5794" i="1"/>
  <c r="K5794" i="1"/>
  <c r="J5794" i="1"/>
  <c r="I5794" i="1"/>
  <c r="H5794" i="1"/>
  <c r="G5794" i="1"/>
  <c r="M5793" i="1"/>
  <c r="L5793" i="1"/>
  <c r="K5793" i="1"/>
  <c r="J5793" i="1"/>
  <c r="I5793" i="1"/>
  <c r="H5793" i="1"/>
  <c r="G5793" i="1"/>
  <c r="M5792" i="1"/>
  <c r="L5792" i="1"/>
  <c r="K5792" i="1"/>
  <c r="J5792" i="1"/>
  <c r="I5792" i="1"/>
  <c r="H5792" i="1"/>
  <c r="G5792" i="1"/>
  <c r="M5791" i="1"/>
  <c r="L5791" i="1"/>
  <c r="K5791" i="1"/>
  <c r="J5791" i="1"/>
  <c r="I5791" i="1"/>
  <c r="H5791" i="1"/>
  <c r="G5791" i="1"/>
  <c r="M5790" i="1"/>
  <c r="L5790" i="1"/>
  <c r="K5790" i="1"/>
  <c r="J5790" i="1"/>
  <c r="I5790" i="1"/>
  <c r="H5790" i="1"/>
  <c r="G5790" i="1"/>
  <c r="M5789" i="1"/>
  <c r="L5789" i="1"/>
  <c r="K5789" i="1"/>
  <c r="J5789" i="1"/>
  <c r="I5789" i="1"/>
  <c r="H5789" i="1"/>
  <c r="G5789" i="1"/>
  <c r="M5788" i="1"/>
  <c r="L5788" i="1"/>
  <c r="K5788" i="1"/>
  <c r="J5788" i="1"/>
  <c r="I5788" i="1"/>
  <c r="H5788" i="1"/>
  <c r="G5788" i="1"/>
  <c r="M5787" i="1"/>
  <c r="L5787" i="1"/>
  <c r="K5787" i="1"/>
  <c r="J5787" i="1"/>
  <c r="I5787" i="1"/>
  <c r="H5787" i="1"/>
  <c r="G5787" i="1"/>
  <c r="M5786" i="1"/>
  <c r="L5786" i="1"/>
  <c r="K5786" i="1"/>
  <c r="J5786" i="1"/>
  <c r="I5786" i="1"/>
  <c r="H5786" i="1"/>
  <c r="G5786" i="1"/>
  <c r="M5785" i="1"/>
  <c r="L5785" i="1"/>
  <c r="K5785" i="1"/>
  <c r="J5785" i="1"/>
  <c r="I5785" i="1"/>
  <c r="H5785" i="1"/>
  <c r="G5785" i="1"/>
  <c r="M5784" i="1"/>
  <c r="L5784" i="1"/>
  <c r="K5784" i="1"/>
  <c r="J5784" i="1"/>
  <c r="I5784" i="1"/>
  <c r="H5784" i="1"/>
  <c r="G5784" i="1"/>
  <c r="M5783" i="1"/>
  <c r="L5783" i="1"/>
  <c r="K5783" i="1"/>
  <c r="J5783" i="1"/>
  <c r="I5783" i="1"/>
  <c r="H5783" i="1"/>
  <c r="G5783" i="1"/>
  <c r="M5782" i="1"/>
  <c r="L5782" i="1"/>
  <c r="K5782" i="1"/>
  <c r="J5782" i="1"/>
  <c r="I5782" i="1"/>
  <c r="H5782" i="1"/>
  <c r="G5782" i="1"/>
  <c r="M5781" i="1"/>
  <c r="L5781" i="1"/>
  <c r="K5781" i="1"/>
  <c r="J5781" i="1"/>
  <c r="I5781" i="1"/>
  <c r="H5781" i="1"/>
  <c r="G5781" i="1"/>
  <c r="M5780" i="1"/>
  <c r="L5780" i="1"/>
  <c r="K5780" i="1"/>
  <c r="J5780" i="1"/>
  <c r="I5780" i="1"/>
  <c r="H5780" i="1"/>
  <c r="G5780" i="1"/>
  <c r="M5779" i="1"/>
  <c r="L5779" i="1"/>
  <c r="K5779" i="1"/>
  <c r="J5779" i="1"/>
  <c r="I5779" i="1"/>
  <c r="H5779" i="1"/>
  <c r="G5779" i="1"/>
  <c r="M5778" i="1"/>
  <c r="L5778" i="1"/>
  <c r="K5778" i="1"/>
  <c r="J5778" i="1"/>
  <c r="I5778" i="1"/>
  <c r="H5778" i="1"/>
  <c r="G5778" i="1"/>
  <c r="M5777" i="1"/>
  <c r="L5777" i="1"/>
  <c r="K5777" i="1"/>
  <c r="J5777" i="1"/>
  <c r="I5777" i="1"/>
  <c r="H5777" i="1"/>
  <c r="G5777" i="1"/>
  <c r="M5776" i="1"/>
  <c r="L5776" i="1"/>
  <c r="K5776" i="1"/>
  <c r="J5776" i="1"/>
  <c r="I5776" i="1"/>
  <c r="H5776" i="1"/>
  <c r="G5776" i="1"/>
  <c r="M5775" i="1"/>
  <c r="L5775" i="1"/>
  <c r="K5775" i="1"/>
  <c r="J5775" i="1"/>
  <c r="I5775" i="1"/>
  <c r="H5775" i="1"/>
  <c r="G5775" i="1"/>
  <c r="M5774" i="1"/>
  <c r="L5774" i="1"/>
  <c r="K5774" i="1"/>
  <c r="J5774" i="1"/>
  <c r="I5774" i="1"/>
  <c r="H5774" i="1"/>
  <c r="G5774" i="1"/>
  <c r="M5773" i="1"/>
  <c r="L5773" i="1"/>
  <c r="K5773" i="1"/>
  <c r="J5773" i="1"/>
  <c r="I5773" i="1"/>
  <c r="H5773" i="1"/>
  <c r="G5773" i="1"/>
  <c r="M5772" i="1"/>
  <c r="L5772" i="1"/>
  <c r="K5772" i="1"/>
  <c r="J5772" i="1"/>
  <c r="I5772" i="1"/>
  <c r="H5772" i="1"/>
  <c r="G5772" i="1"/>
  <c r="M5771" i="1"/>
  <c r="L5771" i="1"/>
  <c r="K5771" i="1"/>
  <c r="J5771" i="1"/>
  <c r="I5771" i="1"/>
  <c r="H5771" i="1"/>
  <c r="G5771" i="1"/>
  <c r="M5770" i="1"/>
  <c r="L5770" i="1"/>
  <c r="K5770" i="1"/>
  <c r="J5770" i="1"/>
  <c r="I5770" i="1"/>
  <c r="H5770" i="1"/>
  <c r="G5770" i="1"/>
  <c r="M5769" i="1"/>
  <c r="L5769" i="1"/>
  <c r="K5769" i="1"/>
  <c r="J5769" i="1"/>
  <c r="I5769" i="1"/>
  <c r="H5769" i="1"/>
  <c r="G5769" i="1"/>
  <c r="M5768" i="1"/>
  <c r="L5768" i="1"/>
  <c r="K5768" i="1"/>
  <c r="J5768" i="1"/>
  <c r="I5768" i="1"/>
  <c r="H5768" i="1"/>
  <c r="G5768" i="1"/>
  <c r="M5767" i="1"/>
  <c r="L5767" i="1"/>
  <c r="K5767" i="1"/>
  <c r="J5767" i="1"/>
  <c r="I5767" i="1"/>
  <c r="H5767" i="1"/>
  <c r="G5767" i="1"/>
  <c r="M5766" i="1"/>
  <c r="L5766" i="1"/>
  <c r="K5766" i="1"/>
  <c r="J5766" i="1"/>
  <c r="I5766" i="1"/>
  <c r="H5766" i="1"/>
  <c r="G5766" i="1"/>
  <c r="M5765" i="1"/>
  <c r="L5765" i="1"/>
  <c r="K5765" i="1"/>
  <c r="J5765" i="1"/>
  <c r="I5765" i="1"/>
  <c r="H5765" i="1"/>
  <c r="G5765" i="1"/>
  <c r="M5764" i="1"/>
  <c r="L5764" i="1"/>
  <c r="K5764" i="1"/>
  <c r="J5764" i="1"/>
  <c r="I5764" i="1"/>
  <c r="H5764" i="1"/>
  <c r="G5764" i="1"/>
  <c r="M5763" i="1"/>
  <c r="L5763" i="1"/>
  <c r="K5763" i="1"/>
  <c r="J5763" i="1"/>
  <c r="I5763" i="1"/>
  <c r="H5763" i="1"/>
  <c r="G5763" i="1"/>
  <c r="M5762" i="1"/>
  <c r="L5762" i="1"/>
  <c r="K5762" i="1"/>
  <c r="J5762" i="1"/>
  <c r="I5762" i="1"/>
  <c r="H5762" i="1"/>
  <c r="G5762" i="1"/>
  <c r="M5761" i="1"/>
  <c r="L5761" i="1"/>
  <c r="K5761" i="1"/>
  <c r="J5761" i="1"/>
  <c r="I5761" i="1"/>
  <c r="H5761" i="1"/>
  <c r="G5761" i="1"/>
  <c r="M5760" i="1"/>
  <c r="L5760" i="1"/>
  <c r="K5760" i="1"/>
  <c r="J5760" i="1"/>
  <c r="I5760" i="1"/>
  <c r="H5760" i="1"/>
  <c r="G5760" i="1"/>
  <c r="M5759" i="1"/>
  <c r="L5759" i="1"/>
  <c r="K5759" i="1"/>
  <c r="J5759" i="1"/>
  <c r="I5759" i="1"/>
  <c r="H5759" i="1"/>
  <c r="G5759" i="1"/>
  <c r="M5758" i="1"/>
  <c r="L5758" i="1"/>
  <c r="K5758" i="1"/>
  <c r="J5758" i="1"/>
  <c r="I5758" i="1"/>
  <c r="H5758" i="1"/>
  <c r="G5758" i="1"/>
  <c r="M5757" i="1"/>
  <c r="L5757" i="1"/>
  <c r="K5757" i="1"/>
  <c r="J5757" i="1"/>
  <c r="I5757" i="1"/>
  <c r="H5757" i="1"/>
  <c r="G5757" i="1"/>
  <c r="M5756" i="1"/>
  <c r="L5756" i="1"/>
  <c r="K5756" i="1"/>
  <c r="J5756" i="1"/>
  <c r="I5756" i="1"/>
  <c r="H5756" i="1"/>
  <c r="G5756" i="1"/>
  <c r="M5755" i="1"/>
  <c r="L5755" i="1"/>
  <c r="K5755" i="1"/>
  <c r="J5755" i="1"/>
  <c r="I5755" i="1"/>
  <c r="H5755" i="1"/>
  <c r="G5755" i="1"/>
  <c r="M5754" i="1"/>
  <c r="L5754" i="1"/>
  <c r="K5754" i="1"/>
  <c r="J5754" i="1"/>
  <c r="I5754" i="1"/>
  <c r="H5754" i="1"/>
  <c r="G5754" i="1"/>
  <c r="M5753" i="1"/>
  <c r="L5753" i="1"/>
  <c r="K5753" i="1"/>
  <c r="J5753" i="1"/>
  <c r="I5753" i="1"/>
  <c r="H5753" i="1"/>
  <c r="G5753" i="1"/>
  <c r="M5752" i="1"/>
  <c r="L5752" i="1"/>
  <c r="K5752" i="1"/>
  <c r="J5752" i="1"/>
  <c r="I5752" i="1"/>
  <c r="H5752" i="1"/>
  <c r="G5752" i="1"/>
  <c r="M5751" i="1"/>
  <c r="L5751" i="1"/>
  <c r="K5751" i="1"/>
  <c r="J5751" i="1"/>
  <c r="I5751" i="1"/>
  <c r="H5751" i="1"/>
  <c r="G5751" i="1"/>
  <c r="M5750" i="1"/>
  <c r="L5750" i="1"/>
  <c r="K5750" i="1"/>
  <c r="J5750" i="1"/>
  <c r="I5750" i="1"/>
  <c r="H5750" i="1"/>
  <c r="G5750" i="1"/>
  <c r="M5749" i="1"/>
  <c r="L5749" i="1"/>
  <c r="K5749" i="1"/>
  <c r="J5749" i="1"/>
  <c r="I5749" i="1"/>
  <c r="H5749" i="1"/>
  <c r="G5749" i="1"/>
  <c r="M5748" i="1"/>
  <c r="L5748" i="1"/>
  <c r="K5748" i="1"/>
  <c r="J5748" i="1"/>
  <c r="I5748" i="1"/>
  <c r="H5748" i="1"/>
  <c r="G5748" i="1"/>
  <c r="M5747" i="1"/>
  <c r="L5747" i="1"/>
  <c r="K5747" i="1"/>
  <c r="J5747" i="1"/>
  <c r="I5747" i="1"/>
  <c r="H5747" i="1"/>
  <c r="G5747" i="1"/>
  <c r="M5746" i="1"/>
  <c r="L5746" i="1"/>
  <c r="K5746" i="1"/>
  <c r="J5746" i="1"/>
  <c r="I5746" i="1"/>
  <c r="H5746" i="1"/>
  <c r="G5746" i="1"/>
  <c r="M5745" i="1"/>
  <c r="L5745" i="1"/>
  <c r="K5745" i="1"/>
  <c r="J5745" i="1"/>
  <c r="I5745" i="1"/>
  <c r="H5745" i="1"/>
  <c r="G5745" i="1"/>
  <c r="M5744" i="1"/>
  <c r="L5744" i="1"/>
  <c r="K5744" i="1"/>
  <c r="J5744" i="1"/>
  <c r="I5744" i="1"/>
  <c r="H5744" i="1"/>
  <c r="G5744" i="1"/>
  <c r="M5743" i="1"/>
  <c r="L5743" i="1"/>
  <c r="K5743" i="1"/>
  <c r="J5743" i="1"/>
  <c r="I5743" i="1"/>
  <c r="H5743" i="1"/>
  <c r="G5743" i="1"/>
  <c r="M5742" i="1"/>
  <c r="L5742" i="1"/>
  <c r="K5742" i="1"/>
  <c r="J5742" i="1"/>
  <c r="I5742" i="1"/>
  <c r="H5742" i="1"/>
  <c r="G5742" i="1"/>
  <c r="M5741" i="1"/>
  <c r="L5741" i="1"/>
  <c r="K5741" i="1"/>
  <c r="J5741" i="1"/>
  <c r="I5741" i="1"/>
  <c r="H5741" i="1"/>
  <c r="G5741" i="1"/>
  <c r="M5740" i="1"/>
  <c r="L5740" i="1"/>
  <c r="K5740" i="1"/>
  <c r="J5740" i="1"/>
  <c r="I5740" i="1"/>
  <c r="H5740" i="1"/>
  <c r="G5740" i="1"/>
  <c r="M5739" i="1"/>
  <c r="L5739" i="1"/>
  <c r="K5739" i="1"/>
  <c r="J5739" i="1"/>
  <c r="I5739" i="1"/>
  <c r="H5739" i="1"/>
  <c r="G5739" i="1"/>
  <c r="M5738" i="1"/>
  <c r="L5738" i="1"/>
  <c r="K5738" i="1"/>
  <c r="J5738" i="1"/>
  <c r="I5738" i="1"/>
  <c r="H5738" i="1"/>
  <c r="G5738" i="1"/>
  <c r="M5737" i="1"/>
  <c r="L5737" i="1"/>
  <c r="K5737" i="1"/>
  <c r="J5737" i="1"/>
  <c r="I5737" i="1"/>
  <c r="H5737" i="1"/>
  <c r="G5737" i="1"/>
  <c r="M5736" i="1"/>
  <c r="L5736" i="1"/>
  <c r="K5736" i="1"/>
  <c r="J5736" i="1"/>
  <c r="I5736" i="1"/>
  <c r="H5736" i="1"/>
  <c r="G5736" i="1"/>
  <c r="M5735" i="1"/>
  <c r="L5735" i="1"/>
  <c r="K5735" i="1"/>
  <c r="J5735" i="1"/>
  <c r="I5735" i="1"/>
  <c r="H5735" i="1"/>
  <c r="G5735" i="1"/>
  <c r="M5734" i="1"/>
  <c r="L5734" i="1"/>
  <c r="K5734" i="1"/>
  <c r="J5734" i="1"/>
  <c r="I5734" i="1"/>
  <c r="H5734" i="1"/>
  <c r="G5734" i="1"/>
  <c r="M5733" i="1"/>
  <c r="L5733" i="1"/>
  <c r="K5733" i="1"/>
  <c r="J5733" i="1"/>
  <c r="I5733" i="1"/>
  <c r="H5733" i="1"/>
  <c r="G5733" i="1"/>
  <c r="M5732" i="1"/>
  <c r="L5732" i="1"/>
  <c r="K5732" i="1"/>
  <c r="J5732" i="1"/>
  <c r="I5732" i="1"/>
  <c r="H5732" i="1"/>
  <c r="G5732" i="1"/>
  <c r="M5731" i="1"/>
  <c r="L5731" i="1"/>
  <c r="K5731" i="1"/>
  <c r="J5731" i="1"/>
  <c r="I5731" i="1"/>
  <c r="H5731" i="1"/>
  <c r="G5731" i="1"/>
  <c r="M5730" i="1"/>
  <c r="L5730" i="1"/>
  <c r="K5730" i="1"/>
  <c r="J5730" i="1"/>
  <c r="I5730" i="1"/>
  <c r="H5730" i="1"/>
  <c r="G5730" i="1"/>
  <c r="M5729" i="1"/>
  <c r="L5729" i="1"/>
  <c r="K5729" i="1"/>
  <c r="J5729" i="1"/>
  <c r="I5729" i="1"/>
  <c r="H5729" i="1"/>
  <c r="G5729" i="1"/>
  <c r="M5728" i="1"/>
  <c r="L5728" i="1"/>
  <c r="K5728" i="1"/>
  <c r="J5728" i="1"/>
  <c r="I5728" i="1"/>
  <c r="H5728" i="1"/>
  <c r="G5728" i="1"/>
  <c r="M5727" i="1"/>
  <c r="L5727" i="1"/>
  <c r="K5727" i="1"/>
  <c r="J5727" i="1"/>
  <c r="I5727" i="1"/>
  <c r="H5727" i="1"/>
  <c r="G5727" i="1"/>
  <c r="M5726" i="1"/>
  <c r="L5726" i="1"/>
  <c r="K5726" i="1"/>
  <c r="J5726" i="1"/>
  <c r="I5726" i="1"/>
  <c r="H5726" i="1"/>
  <c r="G5726" i="1"/>
  <c r="M5725" i="1"/>
  <c r="L5725" i="1"/>
  <c r="K5725" i="1"/>
  <c r="J5725" i="1"/>
  <c r="I5725" i="1"/>
  <c r="H5725" i="1"/>
  <c r="G5725" i="1"/>
  <c r="M5724" i="1"/>
  <c r="L5724" i="1"/>
  <c r="K5724" i="1"/>
  <c r="J5724" i="1"/>
  <c r="I5724" i="1"/>
  <c r="H5724" i="1"/>
  <c r="G5724" i="1"/>
  <c r="M5723" i="1"/>
  <c r="L5723" i="1"/>
  <c r="K5723" i="1"/>
  <c r="J5723" i="1"/>
  <c r="I5723" i="1"/>
  <c r="H5723" i="1"/>
  <c r="G5723" i="1"/>
  <c r="M5722" i="1"/>
  <c r="L5722" i="1"/>
  <c r="K5722" i="1"/>
  <c r="J5722" i="1"/>
  <c r="I5722" i="1"/>
  <c r="H5722" i="1"/>
  <c r="G5722" i="1"/>
  <c r="M5721" i="1"/>
  <c r="L5721" i="1"/>
  <c r="K5721" i="1"/>
  <c r="J5721" i="1"/>
  <c r="I5721" i="1"/>
  <c r="H5721" i="1"/>
  <c r="G5721" i="1"/>
  <c r="M5720" i="1"/>
  <c r="L5720" i="1"/>
  <c r="K5720" i="1"/>
  <c r="J5720" i="1"/>
  <c r="I5720" i="1"/>
  <c r="H5720" i="1"/>
  <c r="G5720" i="1"/>
  <c r="M5719" i="1"/>
  <c r="L5719" i="1"/>
  <c r="K5719" i="1"/>
  <c r="J5719" i="1"/>
  <c r="I5719" i="1"/>
  <c r="H5719" i="1"/>
  <c r="G5719" i="1"/>
  <c r="M5718" i="1"/>
  <c r="L5718" i="1"/>
  <c r="K5718" i="1"/>
  <c r="J5718" i="1"/>
  <c r="I5718" i="1"/>
  <c r="H5718" i="1"/>
  <c r="G5718" i="1"/>
  <c r="M5717" i="1"/>
  <c r="L5717" i="1"/>
  <c r="K5717" i="1"/>
  <c r="J5717" i="1"/>
  <c r="I5717" i="1"/>
  <c r="H5717" i="1"/>
  <c r="G5717" i="1"/>
  <c r="M5716" i="1"/>
  <c r="L5716" i="1"/>
  <c r="K5716" i="1"/>
  <c r="J5716" i="1"/>
  <c r="I5716" i="1"/>
  <c r="H5716" i="1"/>
  <c r="G5716" i="1"/>
  <c r="M5715" i="1"/>
  <c r="L5715" i="1"/>
  <c r="K5715" i="1"/>
  <c r="J5715" i="1"/>
  <c r="I5715" i="1"/>
  <c r="H5715" i="1"/>
  <c r="G5715" i="1"/>
  <c r="M5714" i="1"/>
  <c r="L5714" i="1"/>
  <c r="K5714" i="1"/>
  <c r="J5714" i="1"/>
  <c r="I5714" i="1"/>
  <c r="H5714" i="1"/>
  <c r="G5714" i="1"/>
  <c r="M5713" i="1"/>
  <c r="L5713" i="1"/>
  <c r="K5713" i="1"/>
  <c r="J5713" i="1"/>
  <c r="I5713" i="1"/>
  <c r="H5713" i="1"/>
  <c r="G5713" i="1"/>
  <c r="M5712" i="1"/>
  <c r="L5712" i="1"/>
  <c r="K5712" i="1"/>
  <c r="J5712" i="1"/>
  <c r="I5712" i="1"/>
  <c r="H5712" i="1"/>
  <c r="G5712" i="1"/>
  <c r="M5711" i="1"/>
  <c r="L5711" i="1"/>
  <c r="K5711" i="1"/>
  <c r="J5711" i="1"/>
  <c r="I5711" i="1"/>
  <c r="H5711" i="1"/>
  <c r="G5711" i="1"/>
  <c r="M5710" i="1"/>
  <c r="L5710" i="1"/>
  <c r="K5710" i="1"/>
  <c r="J5710" i="1"/>
  <c r="I5710" i="1"/>
  <c r="H5710" i="1"/>
  <c r="G5710" i="1"/>
  <c r="M5709" i="1"/>
  <c r="L5709" i="1"/>
  <c r="K5709" i="1"/>
  <c r="J5709" i="1"/>
  <c r="I5709" i="1"/>
  <c r="H5709" i="1"/>
  <c r="G5709" i="1"/>
  <c r="M5708" i="1"/>
  <c r="L5708" i="1"/>
  <c r="K5708" i="1"/>
  <c r="J5708" i="1"/>
  <c r="I5708" i="1"/>
  <c r="H5708" i="1"/>
  <c r="G5708" i="1"/>
  <c r="M5707" i="1"/>
  <c r="L5707" i="1"/>
  <c r="K5707" i="1"/>
  <c r="J5707" i="1"/>
  <c r="I5707" i="1"/>
  <c r="H5707" i="1"/>
  <c r="G5707" i="1"/>
  <c r="M5706" i="1"/>
  <c r="L5706" i="1"/>
  <c r="K5706" i="1"/>
  <c r="J5706" i="1"/>
  <c r="I5706" i="1"/>
  <c r="H5706" i="1"/>
  <c r="G5706" i="1"/>
  <c r="M5705" i="1"/>
  <c r="L5705" i="1"/>
  <c r="K5705" i="1"/>
  <c r="J5705" i="1"/>
  <c r="I5705" i="1"/>
  <c r="H5705" i="1"/>
  <c r="G5705" i="1"/>
  <c r="M5704" i="1"/>
  <c r="L5704" i="1"/>
  <c r="K5704" i="1"/>
  <c r="J5704" i="1"/>
  <c r="I5704" i="1"/>
  <c r="H5704" i="1"/>
  <c r="G5704" i="1"/>
  <c r="M5703" i="1"/>
  <c r="L5703" i="1"/>
  <c r="K5703" i="1"/>
  <c r="J5703" i="1"/>
  <c r="I5703" i="1"/>
  <c r="H5703" i="1"/>
  <c r="G5703" i="1"/>
  <c r="M5702" i="1"/>
  <c r="L5702" i="1"/>
  <c r="K5702" i="1"/>
  <c r="J5702" i="1"/>
  <c r="I5702" i="1"/>
  <c r="H5702" i="1"/>
  <c r="G5702" i="1"/>
  <c r="M5701" i="1"/>
  <c r="L5701" i="1"/>
  <c r="K5701" i="1"/>
  <c r="J5701" i="1"/>
  <c r="I5701" i="1"/>
  <c r="H5701" i="1"/>
  <c r="G5701" i="1"/>
  <c r="M5700" i="1"/>
  <c r="L5700" i="1"/>
  <c r="K5700" i="1"/>
  <c r="J5700" i="1"/>
  <c r="I5700" i="1"/>
  <c r="H5700" i="1"/>
  <c r="G5700" i="1"/>
  <c r="M5699" i="1"/>
  <c r="L5699" i="1"/>
  <c r="K5699" i="1"/>
  <c r="J5699" i="1"/>
  <c r="I5699" i="1"/>
  <c r="H5699" i="1"/>
  <c r="G5699" i="1"/>
  <c r="M5698" i="1"/>
  <c r="L5698" i="1"/>
  <c r="K5698" i="1"/>
  <c r="J5698" i="1"/>
  <c r="I5698" i="1"/>
  <c r="H5698" i="1"/>
  <c r="G5698" i="1"/>
  <c r="M5697" i="1"/>
  <c r="L5697" i="1"/>
  <c r="K5697" i="1"/>
  <c r="J5697" i="1"/>
  <c r="I5697" i="1"/>
  <c r="H5697" i="1"/>
  <c r="G5697" i="1"/>
  <c r="M5696" i="1"/>
  <c r="L5696" i="1"/>
  <c r="K5696" i="1"/>
  <c r="J5696" i="1"/>
  <c r="I5696" i="1"/>
  <c r="H5696" i="1"/>
  <c r="G5696" i="1"/>
  <c r="M5695" i="1"/>
  <c r="L5695" i="1"/>
  <c r="K5695" i="1"/>
  <c r="J5695" i="1"/>
  <c r="I5695" i="1"/>
  <c r="H5695" i="1"/>
  <c r="G5695" i="1"/>
  <c r="M5694" i="1"/>
  <c r="L5694" i="1"/>
  <c r="K5694" i="1"/>
  <c r="J5694" i="1"/>
  <c r="I5694" i="1"/>
  <c r="H5694" i="1"/>
  <c r="G5694" i="1"/>
  <c r="M5693" i="1"/>
  <c r="L5693" i="1"/>
  <c r="K5693" i="1"/>
  <c r="J5693" i="1"/>
  <c r="I5693" i="1"/>
  <c r="H5693" i="1"/>
  <c r="G5693" i="1"/>
  <c r="M5692" i="1"/>
  <c r="L5692" i="1"/>
  <c r="K5692" i="1"/>
  <c r="J5692" i="1"/>
  <c r="I5692" i="1"/>
  <c r="H5692" i="1"/>
  <c r="G5692" i="1"/>
  <c r="M5691" i="1"/>
  <c r="L5691" i="1"/>
  <c r="K5691" i="1"/>
  <c r="J5691" i="1"/>
  <c r="I5691" i="1"/>
  <c r="H5691" i="1"/>
  <c r="G5691" i="1"/>
  <c r="M5690" i="1"/>
  <c r="L5690" i="1"/>
  <c r="K5690" i="1"/>
  <c r="J5690" i="1"/>
  <c r="I5690" i="1"/>
  <c r="H5690" i="1"/>
  <c r="G5690" i="1"/>
  <c r="M5689" i="1"/>
  <c r="L5689" i="1"/>
  <c r="K5689" i="1"/>
  <c r="J5689" i="1"/>
  <c r="I5689" i="1"/>
  <c r="H5689" i="1"/>
  <c r="G5689" i="1"/>
  <c r="M5688" i="1"/>
  <c r="L5688" i="1"/>
  <c r="K5688" i="1"/>
  <c r="J5688" i="1"/>
  <c r="I5688" i="1"/>
  <c r="H5688" i="1"/>
  <c r="G5688" i="1"/>
  <c r="M5687" i="1"/>
  <c r="L5687" i="1"/>
  <c r="K5687" i="1"/>
  <c r="J5687" i="1"/>
  <c r="I5687" i="1"/>
  <c r="H5687" i="1"/>
  <c r="G5687" i="1"/>
  <c r="M5686" i="1"/>
  <c r="L5686" i="1"/>
  <c r="K5686" i="1"/>
  <c r="J5686" i="1"/>
  <c r="I5686" i="1"/>
  <c r="H5686" i="1"/>
  <c r="G5686" i="1"/>
  <c r="M5685" i="1"/>
  <c r="L5685" i="1"/>
  <c r="K5685" i="1"/>
  <c r="J5685" i="1"/>
  <c r="I5685" i="1"/>
  <c r="H5685" i="1"/>
  <c r="G5685" i="1"/>
  <c r="M5684" i="1"/>
  <c r="L5684" i="1"/>
  <c r="K5684" i="1"/>
  <c r="J5684" i="1"/>
  <c r="I5684" i="1"/>
  <c r="H5684" i="1"/>
  <c r="G5684" i="1"/>
  <c r="M5683" i="1"/>
  <c r="L5683" i="1"/>
  <c r="K5683" i="1"/>
  <c r="J5683" i="1"/>
  <c r="I5683" i="1"/>
  <c r="H5683" i="1"/>
  <c r="G5683" i="1"/>
  <c r="M5682" i="1"/>
  <c r="L5682" i="1"/>
  <c r="K5682" i="1"/>
  <c r="J5682" i="1"/>
  <c r="I5682" i="1"/>
  <c r="H5682" i="1"/>
  <c r="G5682" i="1"/>
  <c r="M5681" i="1"/>
  <c r="L5681" i="1"/>
  <c r="K5681" i="1"/>
  <c r="J5681" i="1"/>
  <c r="I5681" i="1"/>
  <c r="H5681" i="1"/>
  <c r="G5681" i="1"/>
  <c r="M5680" i="1"/>
  <c r="L5680" i="1"/>
  <c r="K5680" i="1"/>
  <c r="J5680" i="1"/>
  <c r="I5680" i="1"/>
  <c r="H5680" i="1"/>
  <c r="G5680" i="1"/>
  <c r="M5679" i="1"/>
  <c r="L5679" i="1"/>
  <c r="K5679" i="1"/>
  <c r="J5679" i="1"/>
  <c r="I5679" i="1"/>
  <c r="H5679" i="1"/>
  <c r="G5679" i="1"/>
  <c r="M5678" i="1"/>
  <c r="L5678" i="1"/>
  <c r="K5678" i="1"/>
  <c r="J5678" i="1"/>
  <c r="I5678" i="1"/>
  <c r="H5678" i="1"/>
  <c r="G5678" i="1"/>
  <c r="M5677" i="1"/>
  <c r="L5677" i="1"/>
  <c r="K5677" i="1"/>
  <c r="J5677" i="1"/>
  <c r="I5677" i="1"/>
  <c r="H5677" i="1"/>
  <c r="G5677" i="1"/>
  <c r="M5676" i="1"/>
  <c r="L5676" i="1"/>
  <c r="K5676" i="1"/>
  <c r="J5676" i="1"/>
  <c r="I5676" i="1"/>
  <c r="H5676" i="1"/>
  <c r="G5676" i="1"/>
  <c r="M5675" i="1"/>
  <c r="L5675" i="1"/>
  <c r="K5675" i="1"/>
  <c r="J5675" i="1"/>
  <c r="I5675" i="1"/>
  <c r="H5675" i="1"/>
  <c r="G5675" i="1"/>
  <c r="M5674" i="1"/>
  <c r="L5674" i="1"/>
  <c r="K5674" i="1"/>
  <c r="J5674" i="1"/>
  <c r="I5674" i="1"/>
  <c r="H5674" i="1"/>
  <c r="G5674" i="1"/>
  <c r="M5673" i="1"/>
  <c r="L5673" i="1"/>
  <c r="K5673" i="1"/>
  <c r="J5673" i="1"/>
  <c r="I5673" i="1"/>
  <c r="H5673" i="1"/>
  <c r="G5673" i="1"/>
  <c r="M5672" i="1"/>
  <c r="L5672" i="1"/>
  <c r="K5672" i="1"/>
  <c r="J5672" i="1"/>
  <c r="I5672" i="1"/>
  <c r="H5672" i="1"/>
  <c r="G5672" i="1"/>
  <c r="M5671" i="1"/>
  <c r="L5671" i="1"/>
  <c r="K5671" i="1"/>
  <c r="J5671" i="1"/>
  <c r="I5671" i="1"/>
  <c r="H5671" i="1"/>
  <c r="G5671" i="1"/>
  <c r="M5670" i="1"/>
  <c r="L5670" i="1"/>
  <c r="K5670" i="1"/>
  <c r="J5670" i="1"/>
  <c r="I5670" i="1"/>
  <c r="H5670" i="1"/>
  <c r="G5670" i="1"/>
  <c r="M5669" i="1"/>
  <c r="L5669" i="1"/>
  <c r="K5669" i="1"/>
  <c r="J5669" i="1"/>
  <c r="I5669" i="1"/>
  <c r="H5669" i="1"/>
  <c r="G5669" i="1"/>
  <c r="M5668" i="1"/>
  <c r="L5668" i="1"/>
  <c r="K5668" i="1"/>
  <c r="J5668" i="1"/>
  <c r="I5668" i="1"/>
  <c r="H5668" i="1"/>
  <c r="G5668" i="1"/>
  <c r="M5667" i="1"/>
  <c r="L5667" i="1"/>
  <c r="K5667" i="1"/>
  <c r="J5667" i="1"/>
  <c r="I5667" i="1"/>
  <c r="H5667" i="1"/>
  <c r="G5667" i="1"/>
  <c r="M5666" i="1"/>
  <c r="L5666" i="1"/>
  <c r="K5666" i="1"/>
  <c r="J5666" i="1"/>
  <c r="I5666" i="1"/>
  <c r="H5666" i="1"/>
  <c r="G5666" i="1"/>
  <c r="M5665" i="1"/>
  <c r="L5665" i="1"/>
  <c r="K5665" i="1"/>
  <c r="J5665" i="1"/>
  <c r="I5665" i="1"/>
  <c r="H5665" i="1"/>
  <c r="G5665" i="1"/>
  <c r="M5664" i="1"/>
  <c r="L5664" i="1"/>
  <c r="K5664" i="1"/>
  <c r="J5664" i="1"/>
  <c r="I5664" i="1"/>
  <c r="H5664" i="1"/>
  <c r="G5664" i="1"/>
  <c r="M5663" i="1"/>
  <c r="L5663" i="1"/>
  <c r="K5663" i="1"/>
  <c r="J5663" i="1"/>
  <c r="I5663" i="1"/>
  <c r="H5663" i="1"/>
  <c r="G5663" i="1"/>
  <c r="M5662" i="1"/>
  <c r="L5662" i="1"/>
  <c r="K5662" i="1"/>
  <c r="J5662" i="1"/>
  <c r="I5662" i="1"/>
  <c r="H5662" i="1"/>
  <c r="G5662" i="1"/>
  <c r="M5661" i="1"/>
  <c r="L5661" i="1"/>
  <c r="K5661" i="1"/>
  <c r="J5661" i="1"/>
  <c r="I5661" i="1"/>
  <c r="H5661" i="1"/>
  <c r="G5661" i="1"/>
  <c r="M5660" i="1"/>
  <c r="L5660" i="1"/>
  <c r="K5660" i="1"/>
  <c r="J5660" i="1"/>
  <c r="I5660" i="1"/>
  <c r="H5660" i="1"/>
  <c r="G5660" i="1"/>
  <c r="M5659" i="1"/>
  <c r="L5659" i="1"/>
  <c r="K5659" i="1"/>
  <c r="J5659" i="1"/>
  <c r="I5659" i="1"/>
  <c r="H5659" i="1"/>
  <c r="G5659" i="1"/>
  <c r="M5658" i="1"/>
  <c r="L5658" i="1"/>
  <c r="K5658" i="1"/>
  <c r="J5658" i="1"/>
  <c r="I5658" i="1"/>
  <c r="H5658" i="1"/>
  <c r="G5658" i="1"/>
  <c r="M5657" i="1"/>
  <c r="L5657" i="1"/>
  <c r="K5657" i="1"/>
  <c r="J5657" i="1"/>
  <c r="I5657" i="1"/>
  <c r="H5657" i="1"/>
  <c r="G5657" i="1"/>
  <c r="M5656" i="1"/>
  <c r="L5656" i="1"/>
  <c r="K5656" i="1"/>
  <c r="J5656" i="1"/>
  <c r="I5656" i="1"/>
  <c r="H5656" i="1"/>
  <c r="G5656" i="1"/>
  <c r="M5655" i="1"/>
  <c r="L5655" i="1"/>
  <c r="K5655" i="1"/>
  <c r="J5655" i="1"/>
  <c r="I5655" i="1"/>
  <c r="H5655" i="1"/>
  <c r="G5655" i="1"/>
  <c r="M5654" i="1"/>
  <c r="L5654" i="1"/>
  <c r="K5654" i="1"/>
  <c r="J5654" i="1"/>
  <c r="I5654" i="1"/>
  <c r="H5654" i="1"/>
  <c r="G5654" i="1"/>
  <c r="M5653" i="1"/>
  <c r="L5653" i="1"/>
  <c r="K5653" i="1"/>
  <c r="J5653" i="1"/>
  <c r="I5653" i="1"/>
  <c r="H5653" i="1"/>
  <c r="G5653" i="1"/>
  <c r="M5652" i="1"/>
  <c r="L5652" i="1"/>
  <c r="K5652" i="1"/>
  <c r="J5652" i="1"/>
  <c r="I5652" i="1"/>
  <c r="H5652" i="1"/>
  <c r="G5652" i="1"/>
  <c r="M5651" i="1"/>
  <c r="L5651" i="1"/>
  <c r="K5651" i="1"/>
  <c r="J5651" i="1"/>
  <c r="I5651" i="1"/>
  <c r="H5651" i="1"/>
  <c r="G5651" i="1"/>
  <c r="M5650" i="1"/>
  <c r="L5650" i="1"/>
  <c r="K5650" i="1"/>
  <c r="J5650" i="1"/>
  <c r="I5650" i="1"/>
  <c r="H5650" i="1"/>
  <c r="G5650" i="1"/>
  <c r="M5649" i="1"/>
  <c r="L5649" i="1"/>
  <c r="K5649" i="1"/>
  <c r="J5649" i="1"/>
  <c r="I5649" i="1"/>
  <c r="H5649" i="1"/>
  <c r="G5649" i="1"/>
  <c r="M5648" i="1"/>
  <c r="L5648" i="1"/>
  <c r="K5648" i="1"/>
  <c r="J5648" i="1"/>
  <c r="I5648" i="1"/>
  <c r="H5648" i="1"/>
  <c r="G5648" i="1"/>
  <c r="M5647" i="1"/>
  <c r="L5647" i="1"/>
  <c r="K5647" i="1"/>
  <c r="J5647" i="1"/>
  <c r="I5647" i="1"/>
  <c r="H5647" i="1"/>
  <c r="G5647" i="1"/>
  <c r="M5646" i="1"/>
  <c r="L5646" i="1"/>
  <c r="K5646" i="1"/>
  <c r="J5646" i="1"/>
  <c r="I5646" i="1"/>
  <c r="H5646" i="1"/>
  <c r="G5646" i="1"/>
  <c r="M5645" i="1"/>
  <c r="L5645" i="1"/>
  <c r="K5645" i="1"/>
  <c r="J5645" i="1"/>
  <c r="I5645" i="1"/>
  <c r="H5645" i="1"/>
  <c r="G5645" i="1"/>
  <c r="M5644" i="1"/>
  <c r="L5644" i="1"/>
  <c r="K5644" i="1"/>
  <c r="J5644" i="1"/>
  <c r="I5644" i="1"/>
  <c r="H5644" i="1"/>
  <c r="G5644" i="1"/>
  <c r="M5643" i="1"/>
  <c r="L5643" i="1"/>
  <c r="K5643" i="1"/>
  <c r="J5643" i="1"/>
  <c r="I5643" i="1"/>
  <c r="H5643" i="1"/>
  <c r="G5643" i="1"/>
  <c r="M5642" i="1"/>
  <c r="L5642" i="1"/>
  <c r="K5642" i="1"/>
  <c r="J5642" i="1"/>
  <c r="I5642" i="1"/>
  <c r="H5642" i="1"/>
  <c r="G5642" i="1"/>
  <c r="M5641" i="1"/>
  <c r="L5641" i="1"/>
  <c r="K5641" i="1"/>
  <c r="J5641" i="1"/>
  <c r="I5641" i="1"/>
  <c r="H5641" i="1"/>
  <c r="G5641" i="1"/>
  <c r="M5640" i="1"/>
  <c r="L5640" i="1"/>
  <c r="K5640" i="1"/>
  <c r="J5640" i="1"/>
  <c r="I5640" i="1"/>
  <c r="H5640" i="1"/>
  <c r="G5640" i="1"/>
  <c r="M5639" i="1"/>
  <c r="L5639" i="1"/>
  <c r="K5639" i="1"/>
  <c r="J5639" i="1"/>
  <c r="I5639" i="1"/>
  <c r="H5639" i="1"/>
  <c r="G5639" i="1"/>
  <c r="M5638" i="1"/>
  <c r="L5638" i="1"/>
  <c r="K5638" i="1"/>
  <c r="J5638" i="1"/>
  <c r="I5638" i="1"/>
  <c r="H5638" i="1"/>
  <c r="G5638" i="1"/>
  <c r="M5637" i="1"/>
  <c r="L5637" i="1"/>
  <c r="K5637" i="1"/>
  <c r="J5637" i="1"/>
  <c r="I5637" i="1"/>
  <c r="H5637" i="1"/>
  <c r="G5637" i="1"/>
  <c r="M5636" i="1"/>
  <c r="L5636" i="1"/>
  <c r="K5636" i="1"/>
  <c r="J5636" i="1"/>
  <c r="I5636" i="1"/>
  <c r="H5636" i="1"/>
  <c r="G5636" i="1"/>
  <c r="M5635" i="1"/>
  <c r="L5635" i="1"/>
  <c r="K5635" i="1"/>
  <c r="J5635" i="1"/>
  <c r="I5635" i="1"/>
  <c r="H5635" i="1"/>
  <c r="G5635" i="1"/>
  <c r="M5634" i="1"/>
  <c r="L5634" i="1"/>
  <c r="K5634" i="1"/>
  <c r="J5634" i="1"/>
  <c r="I5634" i="1"/>
  <c r="H5634" i="1"/>
  <c r="G5634" i="1"/>
  <c r="M5633" i="1"/>
  <c r="L5633" i="1"/>
  <c r="K5633" i="1"/>
  <c r="J5633" i="1"/>
  <c r="I5633" i="1"/>
  <c r="H5633" i="1"/>
  <c r="G5633" i="1"/>
  <c r="M5632" i="1"/>
  <c r="L5632" i="1"/>
  <c r="K5632" i="1"/>
  <c r="J5632" i="1"/>
  <c r="I5632" i="1"/>
  <c r="H5632" i="1"/>
  <c r="G5632" i="1"/>
  <c r="M5631" i="1"/>
  <c r="L5631" i="1"/>
  <c r="K5631" i="1"/>
  <c r="J5631" i="1"/>
  <c r="I5631" i="1"/>
  <c r="H5631" i="1"/>
  <c r="G5631" i="1"/>
  <c r="M5630" i="1"/>
  <c r="L5630" i="1"/>
  <c r="K5630" i="1"/>
  <c r="J5630" i="1"/>
  <c r="I5630" i="1"/>
  <c r="H5630" i="1"/>
  <c r="G5630" i="1"/>
  <c r="M5629" i="1"/>
  <c r="L5629" i="1"/>
  <c r="K5629" i="1"/>
  <c r="J5629" i="1"/>
  <c r="I5629" i="1"/>
  <c r="H5629" i="1"/>
  <c r="G5629" i="1"/>
  <c r="M5628" i="1"/>
  <c r="L5628" i="1"/>
  <c r="K5628" i="1"/>
  <c r="J5628" i="1"/>
  <c r="I5628" i="1"/>
  <c r="H5628" i="1"/>
  <c r="G5628" i="1"/>
  <c r="M5627" i="1"/>
  <c r="L5627" i="1"/>
  <c r="K5627" i="1"/>
  <c r="J5627" i="1"/>
  <c r="I5627" i="1"/>
  <c r="H5627" i="1"/>
  <c r="G5627" i="1"/>
  <c r="M5626" i="1"/>
  <c r="L5626" i="1"/>
  <c r="K5626" i="1"/>
  <c r="J5626" i="1"/>
  <c r="I5626" i="1"/>
  <c r="H5626" i="1"/>
  <c r="G5626" i="1"/>
  <c r="M5625" i="1"/>
  <c r="L5625" i="1"/>
  <c r="K5625" i="1"/>
  <c r="J5625" i="1"/>
  <c r="I5625" i="1"/>
  <c r="H5625" i="1"/>
  <c r="G5625" i="1"/>
  <c r="M5624" i="1"/>
  <c r="L5624" i="1"/>
  <c r="K5624" i="1"/>
  <c r="J5624" i="1"/>
  <c r="I5624" i="1"/>
  <c r="H5624" i="1"/>
  <c r="G5624" i="1"/>
  <c r="M5623" i="1"/>
  <c r="L5623" i="1"/>
  <c r="K5623" i="1"/>
  <c r="J5623" i="1"/>
  <c r="I5623" i="1"/>
  <c r="H5623" i="1"/>
  <c r="G5623" i="1"/>
  <c r="M5622" i="1"/>
  <c r="L5622" i="1"/>
  <c r="K5622" i="1"/>
  <c r="J5622" i="1"/>
  <c r="I5622" i="1"/>
  <c r="H5622" i="1"/>
  <c r="G5622" i="1"/>
  <c r="M5621" i="1"/>
  <c r="L5621" i="1"/>
  <c r="K5621" i="1"/>
  <c r="J5621" i="1"/>
  <c r="I5621" i="1"/>
  <c r="H5621" i="1"/>
  <c r="G5621" i="1"/>
  <c r="M5620" i="1"/>
  <c r="L5620" i="1"/>
  <c r="K5620" i="1"/>
  <c r="J5620" i="1"/>
  <c r="I5620" i="1"/>
  <c r="H5620" i="1"/>
  <c r="G5620" i="1"/>
  <c r="M5619" i="1"/>
  <c r="L5619" i="1"/>
  <c r="K5619" i="1"/>
  <c r="J5619" i="1"/>
  <c r="I5619" i="1"/>
  <c r="H5619" i="1"/>
  <c r="G5619" i="1"/>
  <c r="M5618" i="1"/>
  <c r="L5618" i="1"/>
  <c r="K5618" i="1"/>
  <c r="J5618" i="1"/>
  <c r="I5618" i="1"/>
  <c r="H5618" i="1"/>
  <c r="G5618" i="1"/>
  <c r="M5617" i="1"/>
  <c r="L5617" i="1"/>
  <c r="K5617" i="1"/>
  <c r="J5617" i="1"/>
  <c r="I5617" i="1"/>
  <c r="H5617" i="1"/>
  <c r="G5617" i="1"/>
  <c r="M5616" i="1"/>
  <c r="L5616" i="1"/>
  <c r="K5616" i="1"/>
  <c r="J5616" i="1"/>
  <c r="I5616" i="1"/>
  <c r="H5616" i="1"/>
  <c r="G5616" i="1"/>
  <c r="M5615" i="1"/>
  <c r="L5615" i="1"/>
  <c r="K5615" i="1"/>
  <c r="J5615" i="1"/>
  <c r="I5615" i="1"/>
  <c r="H5615" i="1"/>
  <c r="G5615" i="1"/>
  <c r="M5614" i="1"/>
  <c r="L5614" i="1"/>
  <c r="K5614" i="1"/>
  <c r="J5614" i="1"/>
  <c r="I5614" i="1"/>
  <c r="H5614" i="1"/>
  <c r="G5614" i="1"/>
  <c r="M5613" i="1"/>
  <c r="L5613" i="1"/>
  <c r="K5613" i="1"/>
  <c r="J5613" i="1"/>
  <c r="I5613" i="1"/>
  <c r="H5613" i="1"/>
  <c r="G5613" i="1"/>
  <c r="M5612" i="1"/>
  <c r="L5612" i="1"/>
  <c r="K5612" i="1"/>
  <c r="J5612" i="1"/>
  <c r="I5612" i="1"/>
  <c r="H5612" i="1"/>
  <c r="G5612" i="1"/>
  <c r="M5611" i="1"/>
  <c r="L5611" i="1"/>
  <c r="K5611" i="1"/>
  <c r="J5611" i="1"/>
  <c r="I5611" i="1"/>
  <c r="H5611" i="1"/>
  <c r="G5611" i="1"/>
  <c r="M5610" i="1"/>
  <c r="L5610" i="1"/>
  <c r="K5610" i="1"/>
  <c r="J5610" i="1"/>
  <c r="I5610" i="1"/>
  <c r="H5610" i="1"/>
  <c r="G5610" i="1"/>
  <c r="M5609" i="1"/>
  <c r="L5609" i="1"/>
  <c r="K5609" i="1"/>
  <c r="J5609" i="1"/>
  <c r="I5609" i="1"/>
  <c r="H5609" i="1"/>
  <c r="G5609" i="1"/>
  <c r="M5608" i="1"/>
  <c r="L5608" i="1"/>
  <c r="K5608" i="1"/>
  <c r="J5608" i="1"/>
  <c r="I5608" i="1"/>
  <c r="H5608" i="1"/>
  <c r="G5608" i="1"/>
  <c r="M5607" i="1"/>
  <c r="L5607" i="1"/>
  <c r="K5607" i="1"/>
  <c r="J5607" i="1"/>
  <c r="I5607" i="1"/>
  <c r="H5607" i="1"/>
  <c r="G5607" i="1"/>
  <c r="M5606" i="1"/>
  <c r="L5606" i="1"/>
  <c r="K5606" i="1"/>
  <c r="J5606" i="1"/>
  <c r="I5606" i="1"/>
  <c r="H5606" i="1"/>
  <c r="G5606" i="1"/>
  <c r="M5605" i="1"/>
  <c r="L5605" i="1"/>
  <c r="K5605" i="1"/>
  <c r="J5605" i="1"/>
  <c r="I5605" i="1"/>
  <c r="H5605" i="1"/>
  <c r="G5605" i="1"/>
  <c r="M5604" i="1"/>
  <c r="L5604" i="1"/>
  <c r="K5604" i="1"/>
  <c r="J5604" i="1"/>
  <c r="I5604" i="1"/>
  <c r="H5604" i="1"/>
  <c r="G5604" i="1"/>
  <c r="M5603" i="1"/>
  <c r="L5603" i="1"/>
  <c r="K5603" i="1"/>
  <c r="J5603" i="1"/>
  <c r="I5603" i="1"/>
  <c r="H5603" i="1"/>
  <c r="G5603" i="1"/>
  <c r="M5602" i="1"/>
  <c r="L5602" i="1"/>
  <c r="K5602" i="1"/>
  <c r="J5602" i="1"/>
  <c r="I5602" i="1"/>
  <c r="H5602" i="1"/>
  <c r="G5602" i="1"/>
  <c r="M5601" i="1"/>
  <c r="L5601" i="1"/>
  <c r="K5601" i="1"/>
  <c r="J5601" i="1"/>
  <c r="I5601" i="1"/>
  <c r="H5601" i="1"/>
  <c r="G5601" i="1"/>
  <c r="M5600" i="1"/>
  <c r="L5600" i="1"/>
  <c r="K5600" i="1"/>
  <c r="J5600" i="1"/>
  <c r="I5600" i="1"/>
  <c r="H5600" i="1"/>
  <c r="G5600" i="1"/>
  <c r="M5599" i="1"/>
  <c r="L5599" i="1"/>
  <c r="K5599" i="1"/>
  <c r="J5599" i="1"/>
  <c r="I5599" i="1"/>
  <c r="H5599" i="1"/>
  <c r="G5599" i="1"/>
  <c r="M5598" i="1"/>
  <c r="L5598" i="1"/>
  <c r="K5598" i="1"/>
  <c r="J5598" i="1"/>
  <c r="I5598" i="1"/>
  <c r="H5598" i="1"/>
  <c r="G5598" i="1"/>
  <c r="M5597" i="1"/>
  <c r="L5597" i="1"/>
  <c r="K5597" i="1"/>
  <c r="J5597" i="1"/>
  <c r="I5597" i="1"/>
  <c r="H5597" i="1"/>
  <c r="G5597" i="1"/>
  <c r="M5596" i="1"/>
  <c r="L5596" i="1"/>
  <c r="K5596" i="1"/>
  <c r="J5596" i="1"/>
  <c r="I5596" i="1"/>
  <c r="H5596" i="1"/>
  <c r="G5596" i="1"/>
  <c r="M5595" i="1"/>
  <c r="L5595" i="1"/>
  <c r="K5595" i="1"/>
  <c r="J5595" i="1"/>
  <c r="I5595" i="1"/>
  <c r="H5595" i="1"/>
  <c r="G5595" i="1"/>
  <c r="M5594" i="1"/>
  <c r="L5594" i="1"/>
  <c r="K5594" i="1"/>
  <c r="J5594" i="1"/>
  <c r="I5594" i="1"/>
  <c r="H5594" i="1"/>
  <c r="G5594" i="1"/>
  <c r="M5593" i="1"/>
  <c r="L5593" i="1"/>
  <c r="K5593" i="1"/>
  <c r="J5593" i="1"/>
  <c r="I5593" i="1"/>
  <c r="H5593" i="1"/>
  <c r="G5593" i="1"/>
  <c r="M5592" i="1"/>
  <c r="L5592" i="1"/>
  <c r="K5592" i="1"/>
  <c r="J5592" i="1"/>
  <c r="I5592" i="1"/>
  <c r="H5592" i="1"/>
  <c r="G5592" i="1"/>
  <c r="M5591" i="1"/>
  <c r="L5591" i="1"/>
  <c r="K5591" i="1"/>
  <c r="J5591" i="1"/>
  <c r="I5591" i="1"/>
  <c r="H5591" i="1"/>
  <c r="G5591" i="1"/>
  <c r="M5590" i="1"/>
  <c r="L5590" i="1"/>
  <c r="K5590" i="1"/>
  <c r="J5590" i="1"/>
  <c r="I5590" i="1"/>
  <c r="H5590" i="1"/>
  <c r="G5590" i="1"/>
  <c r="M5589" i="1"/>
  <c r="L5589" i="1"/>
  <c r="K5589" i="1"/>
  <c r="J5589" i="1"/>
  <c r="I5589" i="1"/>
  <c r="H5589" i="1"/>
  <c r="G5589" i="1"/>
  <c r="M5588" i="1"/>
  <c r="L5588" i="1"/>
  <c r="K5588" i="1"/>
  <c r="J5588" i="1"/>
  <c r="I5588" i="1"/>
  <c r="H5588" i="1"/>
  <c r="G5588" i="1"/>
  <c r="M5587" i="1"/>
  <c r="L5587" i="1"/>
  <c r="K5587" i="1"/>
  <c r="J5587" i="1"/>
  <c r="I5587" i="1"/>
  <c r="H5587" i="1"/>
  <c r="G5587" i="1"/>
  <c r="M5586" i="1"/>
  <c r="L5586" i="1"/>
  <c r="K5586" i="1"/>
  <c r="J5586" i="1"/>
  <c r="I5586" i="1"/>
  <c r="H5586" i="1"/>
  <c r="G5586" i="1"/>
  <c r="M5585" i="1"/>
  <c r="L5585" i="1"/>
  <c r="K5585" i="1"/>
  <c r="J5585" i="1"/>
  <c r="I5585" i="1"/>
  <c r="H5585" i="1"/>
  <c r="G5585" i="1"/>
  <c r="M5584" i="1"/>
  <c r="L5584" i="1"/>
  <c r="K5584" i="1"/>
  <c r="J5584" i="1"/>
  <c r="I5584" i="1"/>
  <c r="H5584" i="1"/>
  <c r="G5584" i="1"/>
  <c r="M5583" i="1"/>
  <c r="L5583" i="1"/>
  <c r="K5583" i="1"/>
  <c r="J5583" i="1"/>
  <c r="I5583" i="1"/>
  <c r="H5583" i="1"/>
  <c r="G5583" i="1"/>
  <c r="M5582" i="1"/>
  <c r="L5582" i="1"/>
  <c r="K5582" i="1"/>
  <c r="J5582" i="1"/>
  <c r="I5582" i="1"/>
  <c r="H5582" i="1"/>
  <c r="G5582" i="1"/>
  <c r="M5581" i="1"/>
  <c r="L5581" i="1"/>
  <c r="K5581" i="1"/>
  <c r="J5581" i="1"/>
  <c r="I5581" i="1"/>
  <c r="H5581" i="1"/>
  <c r="G5581" i="1"/>
  <c r="M5580" i="1"/>
  <c r="L5580" i="1"/>
  <c r="K5580" i="1"/>
  <c r="J5580" i="1"/>
  <c r="I5580" i="1"/>
  <c r="H5580" i="1"/>
  <c r="G5580" i="1"/>
  <c r="M5579" i="1"/>
  <c r="L5579" i="1"/>
  <c r="K5579" i="1"/>
  <c r="J5579" i="1"/>
  <c r="I5579" i="1"/>
  <c r="H5579" i="1"/>
  <c r="G5579" i="1"/>
  <c r="M5578" i="1"/>
  <c r="L5578" i="1"/>
  <c r="K5578" i="1"/>
  <c r="J5578" i="1"/>
  <c r="I5578" i="1"/>
  <c r="H5578" i="1"/>
  <c r="G5578" i="1"/>
  <c r="M5577" i="1"/>
  <c r="L5577" i="1"/>
  <c r="K5577" i="1"/>
  <c r="J5577" i="1"/>
  <c r="I5577" i="1"/>
  <c r="H5577" i="1"/>
  <c r="G5577" i="1"/>
  <c r="M5576" i="1"/>
  <c r="L5576" i="1"/>
  <c r="K5576" i="1"/>
  <c r="J5576" i="1"/>
  <c r="I5576" i="1"/>
  <c r="H5576" i="1"/>
  <c r="G5576" i="1"/>
  <c r="M5575" i="1"/>
  <c r="L5575" i="1"/>
  <c r="K5575" i="1"/>
  <c r="J5575" i="1"/>
  <c r="I5575" i="1"/>
  <c r="H5575" i="1"/>
  <c r="G5575" i="1"/>
  <c r="M5574" i="1"/>
  <c r="L5574" i="1"/>
  <c r="K5574" i="1"/>
  <c r="J5574" i="1"/>
  <c r="I5574" i="1"/>
  <c r="H5574" i="1"/>
  <c r="G5574" i="1"/>
  <c r="M5573" i="1"/>
  <c r="L5573" i="1"/>
  <c r="K5573" i="1"/>
  <c r="J5573" i="1"/>
  <c r="I5573" i="1"/>
  <c r="H5573" i="1"/>
  <c r="G5573" i="1"/>
  <c r="M5572" i="1"/>
  <c r="L5572" i="1"/>
  <c r="K5572" i="1"/>
  <c r="J5572" i="1"/>
  <c r="I5572" i="1"/>
  <c r="H5572" i="1"/>
  <c r="G5572" i="1"/>
  <c r="M5571" i="1"/>
  <c r="L5571" i="1"/>
  <c r="K5571" i="1"/>
  <c r="J5571" i="1"/>
  <c r="I5571" i="1"/>
  <c r="H5571" i="1"/>
  <c r="G5571" i="1"/>
  <c r="M5570" i="1"/>
  <c r="L5570" i="1"/>
  <c r="K5570" i="1"/>
  <c r="J5570" i="1"/>
  <c r="I5570" i="1"/>
  <c r="H5570" i="1"/>
  <c r="G5570" i="1"/>
  <c r="M5569" i="1"/>
  <c r="L5569" i="1"/>
  <c r="K5569" i="1"/>
  <c r="J5569" i="1"/>
  <c r="I5569" i="1"/>
  <c r="H5569" i="1"/>
  <c r="G5569" i="1"/>
  <c r="M5568" i="1"/>
  <c r="L5568" i="1"/>
  <c r="K5568" i="1"/>
  <c r="J5568" i="1"/>
  <c r="I5568" i="1"/>
  <c r="H5568" i="1"/>
  <c r="G5568" i="1"/>
  <c r="M5567" i="1"/>
  <c r="L5567" i="1"/>
  <c r="K5567" i="1"/>
  <c r="J5567" i="1"/>
  <c r="I5567" i="1"/>
  <c r="H5567" i="1"/>
  <c r="G5567" i="1"/>
  <c r="M5566" i="1"/>
  <c r="L5566" i="1"/>
  <c r="K5566" i="1"/>
  <c r="J5566" i="1"/>
  <c r="I5566" i="1"/>
  <c r="H5566" i="1"/>
  <c r="G5566" i="1"/>
  <c r="M5565" i="1"/>
  <c r="L5565" i="1"/>
  <c r="K5565" i="1"/>
  <c r="J5565" i="1"/>
  <c r="I5565" i="1"/>
  <c r="H5565" i="1"/>
  <c r="G5565" i="1"/>
  <c r="M5564" i="1"/>
  <c r="L5564" i="1"/>
  <c r="K5564" i="1"/>
  <c r="J5564" i="1"/>
  <c r="I5564" i="1"/>
  <c r="H5564" i="1"/>
  <c r="G5564" i="1"/>
  <c r="M5563" i="1"/>
  <c r="L5563" i="1"/>
  <c r="K5563" i="1"/>
  <c r="J5563" i="1"/>
  <c r="I5563" i="1"/>
  <c r="H5563" i="1"/>
  <c r="G5563" i="1"/>
  <c r="M5562" i="1"/>
  <c r="L5562" i="1"/>
  <c r="K5562" i="1"/>
  <c r="J5562" i="1"/>
  <c r="I5562" i="1"/>
  <c r="H5562" i="1"/>
  <c r="G5562" i="1"/>
  <c r="M5561" i="1"/>
  <c r="L5561" i="1"/>
  <c r="K5561" i="1"/>
  <c r="J5561" i="1"/>
  <c r="I5561" i="1"/>
  <c r="H5561" i="1"/>
  <c r="G5561" i="1"/>
  <c r="M5560" i="1"/>
  <c r="L5560" i="1"/>
  <c r="K5560" i="1"/>
  <c r="J5560" i="1"/>
  <c r="I5560" i="1"/>
  <c r="H5560" i="1"/>
  <c r="G5560" i="1"/>
  <c r="M5559" i="1"/>
  <c r="L5559" i="1"/>
  <c r="K5559" i="1"/>
  <c r="J5559" i="1"/>
  <c r="I5559" i="1"/>
  <c r="H5559" i="1"/>
  <c r="G5559" i="1"/>
  <c r="M5558" i="1"/>
  <c r="L5558" i="1"/>
  <c r="K5558" i="1"/>
  <c r="J5558" i="1"/>
  <c r="I5558" i="1"/>
  <c r="H5558" i="1"/>
  <c r="G5558" i="1"/>
  <c r="M5557" i="1"/>
  <c r="L5557" i="1"/>
  <c r="K5557" i="1"/>
  <c r="J5557" i="1"/>
  <c r="I5557" i="1"/>
  <c r="H5557" i="1"/>
  <c r="G5557" i="1"/>
  <c r="M5556" i="1"/>
  <c r="L5556" i="1"/>
  <c r="K5556" i="1"/>
  <c r="J5556" i="1"/>
  <c r="I5556" i="1"/>
  <c r="H5556" i="1"/>
  <c r="G5556" i="1"/>
  <c r="M5555" i="1"/>
  <c r="L5555" i="1"/>
  <c r="K5555" i="1"/>
  <c r="J5555" i="1"/>
  <c r="I5555" i="1"/>
  <c r="H5555" i="1"/>
  <c r="G5555" i="1"/>
  <c r="M5554" i="1"/>
  <c r="L5554" i="1"/>
  <c r="K5554" i="1"/>
  <c r="J5554" i="1"/>
  <c r="I5554" i="1"/>
  <c r="H5554" i="1"/>
  <c r="G5554" i="1"/>
  <c r="M5553" i="1"/>
  <c r="L5553" i="1"/>
  <c r="K5553" i="1"/>
  <c r="J5553" i="1"/>
  <c r="I5553" i="1"/>
  <c r="H5553" i="1"/>
  <c r="G5553" i="1"/>
  <c r="M5552" i="1"/>
  <c r="L5552" i="1"/>
  <c r="K5552" i="1"/>
  <c r="J5552" i="1"/>
  <c r="I5552" i="1"/>
  <c r="H5552" i="1"/>
  <c r="G5552" i="1"/>
  <c r="M5551" i="1"/>
  <c r="L5551" i="1"/>
  <c r="K5551" i="1"/>
  <c r="J5551" i="1"/>
  <c r="I5551" i="1"/>
  <c r="H5551" i="1"/>
  <c r="G5551" i="1"/>
  <c r="M5550" i="1"/>
  <c r="L5550" i="1"/>
  <c r="K5550" i="1"/>
  <c r="J5550" i="1"/>
  <c r="I5550" i="1"/>
  <c r="H5550" i="1"/>
  <c r="G5550" i="1"/>
  <c r="M5549" i="1"/>
  <c r="L5549" i="1"/>
  <c r="K5549" i="1"/>
  <c r="J5549" i="1"/>
  <c r="I5549" i="1"/>
  <c r="H5549" i="1"/>
  <c r="G5549" i="1"/>
  <c r="M5548" i="1"/>
  <c r="L5548" i="1"/>
  <c r="K5548" i="1"/>
  <c r="J5548" i="1"/>
  <c r="I5548" i="1"/>
  <c r="H5548" i="1"/>
  <c r="G5548" i="1"/>
  <c r="M5547" i="1"/>
  <c r="L5547" i="1"/>
  <c r="K5547" i="1"/>
  <c r="J5547" i="1"/>
  <c r="I5547" i="1"/>
  <c r="H5547" i="1"/>
  <c r="G5547" i="1"/>
  <c r="M5546" i="1"/>
  <c r="L5546" i="1"/>
  <c r="K5546" i="1"/>
  <c r="J5546" i="1"/>
  <c r="I5546" i="1"/>
  <c r="H5546" i="1"/>
  <c r="G5546" i="1"/>
  <c r="M5545" i="1"/>
  <c r="L5545" i="1"/>
  <c r="K5545" i="1"/>
  <c r="J5545" i="1"/>
  <c r="I5545" i="1"/>
  <c r="H5545" i="1"/>
  <c r="G5545" i="1"/>
  <c r="M5544" i="1"/>
  <c r="L5544" i="1"/>
  <c r="K5544" i="1"/>
  <c r="J5544" i="1"/>
  <c r="I5544" i="1"/>
  <c r="H5544" i="1"/>
  <c r="G5544" i="1"/>
  <c r="M5543" i="1"/>
  <c r="L5543" i="1"/>
  <c r="K5543" i="1"/>
  <c r="J5543" i="1"/>
  <c r="I5543" i="1"/>
  <c r="H5543" i="1"/>
  <c r="G5543" i="1"/>
  <c r="M5542" i="1"/>
  <c r="L5542" i="1"/>
  <c r="K5542" i="1"/>
  <c r="J5542" i="1"/>
  <c r="I5542" i="1"/>
  <c r="H5542" i="1"/>
  <c r="G5542" i="1"/>
  <c r="M5541" i="1"/>
  <c r="L5541" i="1"/>
  <c r="K5541" i="1"/>
  <c r="J5541" i="1"/>
  <c r="I5541" i="1"/>
  <c r="H5541" i="1"/>
  <c r="G5541" i="1"/>
  <c r="M5540" i="1"/>
  <c r="L5540" i="1"/>
  <c r="K5540" i="1"/>
  <c r="J5540" i="1"/>
  <c r="I5540" i="1"/>
  <c r="H5540" i="1"/>
  <c r="G5540" i="1"/>
  <c r="M5539" i="1"/>
  <c r="L5539" i="1"/>
  <c r="K5539" i="1"/>
  <c r="J5539" i="1"/>
  <c r="I5539" i="1"/>
  <c r="H5539" i="1"/>
  <c r="G5539" i="1"/>
  <c r="M5538" i="1"/>
  <c r="L5538" i="1"/>
  <c r="K5538" i="1"/>
  <c r="J5538" i="1"/>
  <c r="I5538" i="1"/>
  <c r="H5538" i="1"/>
  <c r="G5538" i="1"/>
  <c r="M5537" i="1"/>
  <c r="L5537" i="1"/>
  <c r="K5537" i="1"/>
  <c r="J5537" i="1"/>
  <c r="I5537" i="1"/>
  <c r="H5537" i="1"/>
  <c r="G5537" i="1"/>
  <c r="M5536" i="1"/>
  <c r="L5536" i="1"/>
  <c r="K5536" i="1"/>
  <c r="J5536" i="1"/>
  <c r="I5536" i="1"/>
  <c r="H5536" i="1"/>
  <c r="G5536" i="1"/>
  <c r="M5535" i="1"/>
  <c r="L5535" i="1"/>
  <c r="K5535" i="1"/>
  <c r="J5535" i="1"/>
  <c r="I5535" i="1"/>
  <c r="H5535" i="1"/>
  <c r="G5535" i="1"/>
  <c r="M5534" i="1"/>
  <c r="L5534" i="1"/>
  <c r="K5534" i="1"/>
  <c r="J5534" i="1"/>
  <c r="I5534" i="1"/>
  <c r="H5534" i="1"/>
  <c r="G5534" i="1"/>
  <c r="M5533" i="1"/>
  <c r="L5533" i="1"/>
  <c r="K5533" i="1"/>
  <c r="J5533" i="1"/>
  <c r="I5533" i="1"/>
  <c r="H5533" i="1"/>
  <c r="G5533" i="1"/>
  <c r="M5532" i="1"/>
  <c r="L5532" i="1"/>
  <c r="K5532" i="1"/>
  <c r="J5532" i="1"/>
  <c r="I5532" i="1"/>
  <c r="H5532" i="1"/>
  <c r="G5532" i="1"/>
  <c r="M5531" i="1"/>
  <c r="L5531" i="1"/>
  <c r="K5531" i="1"/>
  <c r="J5531" i="1"/>
  <c r="I5531" i="1"/>
  <c r="H5531" i="1"/>
  <c r="G5531" i="1"/>
  <c r="M5530" i="1"/>
  <c r="L5530" i="1"/>
  <c r="K5530" i="1"/>
  <c r="J5530" i="1"/>
  <c r="I5530" i="1"/>
  <c r="H5530" i="1"/>
  <c r="G5530" i="1"/>
  <c r="M5529" i="1"/>
  <c r="L5529" i="1"/>
  <c r="K5529" i="1"/>
  <c r="J5529" i="1"/>
  <c r="I5529" i="1"/>
  <c r="H5529" i="1"/>
  <c r="G5529" i="1"/>
  <c r="M5528" i="1"/>
  <c r="L5528" i="1"/>
  <c r="K5528" i="1"/>
  <c r="J5528" i="1"/>
  <c r="I5528" i="1"/>
  <c r="H5528" i="1"/>
  <c r="G5528" i="1"/>
  <c r="M5527" i="1"/>
  <c r="L5527" i="1"/>
  <c r="K5527" i="1"/>
  <c r="J5527" i="1"/>
  <c r="I5527" i="1"/>
  <c r="H5527" i="1"/>
  <c r="G5527" i="1"/>
  <c r="M5526" i="1"/>
  <c r="L5526" i="1"/>
  <c r="K5526" i="1"/>
  <c r="J5526" i="1"/>
  <c r="I5526" i="1"/>
  <c r="H5526" i="1"/>
  <c r="G5526" i="1"/>
  <c r="M5525" i="1"/>
  <c r="L5525" i="1"/>
  <c r="K5525" i="1"/>
  <c r="J5525" i="1"/>
  <c r="I5525" i="1"/>
  <c r="H5525" i="1"/>
  <c r="G5525" i="1"/>
  <c r="M5524" i="1"/>
  <c r="L5524" i="1"/>
  <c r="K5524" i="1"/>
  <c r="J5524" i="1"/>
  <c r="I5524" i="1"/>
  <c r="H5524" i="1"/>
  <c r="G5524" i="1"/>
  <c r="M5523" i="1"/>
  <c r="L5523" i="1"/>
  <c r="K5523" i="1"/>
  <c r="J5523" i="1"/>
  <c r="I5523" i="1"/>
  <c r="H5523" i="1"/>
  <c r="G5523" i="1"/>
  <c r="M5522" i="1"/>
  <c r="L5522" i="1"/>
  <c r="K5522" i="1"/>
  <c r="J5522" i="1"/>
  <c r="I5522" i="1"/>
  <c r="H5522" i="1"/>
  <c r="G5522" i="1"/>
  <c r="M5521" i="1"/>
  <c r="L5521" i="1"/>
  <c r="K5521" i="1"/>
  <c r="J5521" i="1"/>
  <c r="I5521" i="1"/>
  <c r="H5521" i="1"/>
  <c r="G5521" i="1"/>
  <c r="M5520" i="1"/>
  <c r="L5520" i="1"/>
  <c r="K5520" i="1"/>
  <c r="J5520" i="1"/>
  <c r="I5520" i="1"/>
  <c r="H5520" i="1"/>
  <c r="G5520" i="1"/>
  <c r="M5519" i="1"/>
  <c r="L5519" i="1"/>
  <c r="K5519" i="1"/>
  <c r="J5519" i="1"/>
  <c r="I5519" i="1"/>
  <c r="H5519" i="1"/>
  <c r="G5519" i="1"/>
  <c r="M5518" i="1"/>
  <c r="L5518" i="1"/>
  <c r="K5518" i="1"/>
  <c r="J5518" i="1"/>
  <c r="I5518" i="1"/>
  <c r="H5518" i="1"/>
  <c r="G5518" i="1"/>
  <c r="M5517" i="1"/>
  <c r="L5517" i="1"/>
  <c r="K5517" i="1"/>
  <c r="J5517" i="1"/>
  <c r="I5517" i="1"/>
  <c r="H5517" i="1"/>
  <c r="G5517" i="1"/>
  <c r="M5516" i="1"/>
  <c r="L5516" i="1"/>
  <c r="K5516" i="1"/>
  <c r="J5516" i="1"/>
  <c r="I5516" i="1"/>
  <c r="H5516" i="1"/>
  <c r="G5516" i="1"/>
  <c r="M5515" i="1"/>
  <c r="L5515" i="1"/>
  <c r="K5515" i="1"/>
  <c r="J5515" i="1"/>
  <c r="I5515" i="1"/>
  <c r="H5515" i="1"/>
  <c r="G5515" i="1"/>
  <c r="M5514" i="1"/>
  <c r="L5514" i="1"/>
  <c r="K5514" i="1"/>
  <c r="J5514" i="1"/>
  <c r="I5514" i="1"/>
  <c r="H5514" i="1"/>
  <c r="G5514" i="1"/>
  <c r="M5513" i="1"/>
  <c r="L5513" i="1"/>
  <c r="K5513" i="1"/>
  <c r="J5513" i="1"/>
  <c r="I5513" i="1"/>
  <c r="H5513" i="1"/>
  <c r="G5513" i="1"/>
  <c r="M5512" i="1"/>
  <c r="L5512" i="1"/>
  <c r="K5512" i="1"/>
  <c r="J5512" i="1"/>
  <c r="I5512" i="1"/>
  <c r="H5512" i="1"/>
  <c r="G5512" i="1"/>
  <c r="M5511" i="1"/>
  <c r="L5511" i="1"/>
  <c r="K5511" i="1"/>
  <c r="J5511" i="1"/>
  <c r="I5511" i="1"/>
  <c r="H5511" i="1"/>
  <c r="G5511" i="1"/>
  <c r="M5510" i="1"/>
  <c r="L5510" i="1"/>
  <c r="K5510" i="1"/>
  <c r="J5510" i="1"/>
  <c r="I5510" i="1"/>
  <c r="H5510" i="1"/>
  <c r="G5510" i="1"/>
  <c r="M5509" i="1"/>
  <c r="L5509" i="1"/>
  <c r="K5509" i="1"/>
  <c r="J5509" i="1"/>
  <c r="I5509" i="1"/>
  <c r="H5509" i="1"/>
  <c r="G5509" i="1"/>
  <c r="M5508" i="1"/>
  <c r="L5508" i="1"/>
  <c r="K5508" i="1"/>
  <c r="J5508" i="1"/>
  <c r="I5508" i="1"/>
  <c r="H5508" i="1"/>
  <c r="G5508" i="1"/>
  <c r="M5507" i="1"/>
  <c r="L5507" i="1"/>
  <c r="K5507" i="1"/>
  <c r="J5507" i="1"/>
  <c r="I5507" i="1"/>
  <c r="H5507" i="1"/>
  <c r="G5507" i="1"/>
  <c r="M5506" i="1"/>
  <c r="L5506" i="1"/>
  <c r="K5506" i="1"/>
  <c r="J5506" i="1"/>
  <c r="I5506" i="1"/>
  <c r="H5506" i="1"/>
  <c r="G5506" i="1"/>
  <c r="M5505" i="1"/>
  <c r="L5505" i="1"/>
  <c r="K5505" i="1"/>
  <c r="J5505" i="1"/>
  <c r="I5505" i="1"/>
  <c r="H5505" i="1"/>
  <c r="G5505" i="1"/>
  <c r="M5504" i="1"/>
  <c r="L5504" i="1"/>
  <c r="K5504" i="1"/>
  <c r="J5504" i="1"/>
  <c r="I5504" i="1"/>
  <c r="H5504" i="1"/>
  <c r="G5504" i="1"/>
  <c r="M5503" i="1"/>
  <c r="L5503" i="1"/>
  <c r="K5503" i="1"/>
  <c r="J5503" i="1"/>
  <c r="I5503" i="1"/>
  <c r="H5503" i="1"/>
  <c r="G5503" i="1"/>
  <c r="M5502" i="1"/>
  <c r="L5502" i="1"/>
  <c r="K5502" i="1"/>
  <c r="J5502" i="1"/>
  <c r="I5502" i="1"/>
  <c r="H5502" i="1"/>
  <c r="G5502" i="1"/>
  <c r="M5501" i="1"/>
  <c r="L5501" i="1"/>
  <c r="K5501" i="1"/>
  <c r="J5501" i="1"/>
  <c r="I5501" i="1"/>
  <c r="H5501" i="1"/>
  <c r="G5501" i="1"/>
  <c r="M5500" i="1"/>
  <c r="L5500" i="1"/>
  <c r="K5500" i="1"/>
  <c r="J5500" i="1"/>
  <c r="I5500" i="1"/>
  <c r="H5500" i="1"/>
  <c r="G5500" i="1"/>
  <c r="M5499" i="1"/>
  <c r="L5499" i="1"/>
  <c r="K5499" i="1"/>
  <c r="J5499" i="1"/>
  <c r="I5499" i="1"/>
  <c r="H5499" i="1"/>
  <c r="G5499" i="1"/>
  <c r="M5498" i="1"/>
  <c r="L5498" i="1"/>
  <c r="K5498" i="1"/>
  <c r="J5498" i="1"/>
  <c r="I5498" i="1"/>
  <c r="H5498" i="1"/>
  <c r="G5498" i="1"/>
  <c r="M5497" i="1"/>
  <c r="L5497" i="1"/>
  <c r="K5497" i="1"/>
  <c r="J5497" i="1"/>
  <c r="I5497" i="1"/>
  <c r="H5497" i="1"/>
  <c r="G5497" i="1"/>
  <c r="M5496" i="1"/>
  <c r="L5496" i="1"/>
  <c r="K5496" i="1"/>
  <c r="J5496" i="1"/>
  <c r="I5496" i="1"/>
  <c r="H5496" i="1"/>
  <c r="G5496" i="1"/>
  <c r="M5495" i="1"/>
  <c r="L5495" i="1"/>
  <c r="K5495" i="1"/>
  <c r="J5495" i="1"/>
  <c r="I5495" i="1"/>
  <c r="H5495" i="1"/>
  <c r="G5495" i="1"/>
  <c r="M5494" i="1"/>
  <c r="L5494" i="1"/>
  <c r="K5494" i="1"/>
  <c r="J5494" i="1"/>
  <c r="I5494" i="1"/>
  <c r="H5494" i="1"/>
  <c r="G5494" i="1"/>
  <c r="M5493" i="1"/>
  <c r="L5493" i="1"/>
  <c r="K5493" i="1"/>
  <c r="J5493" i="1"/>
  <c r="I5493" i="1"/>
  <c r="H5493" i="1"/>
  <c r="G5493" i="1"/>
  <c r="M5492" i="1"/>
  <c r="L5492" i="1"/>
  <c r="K5492" i="1"/>
  <c r="J5492" i="1"/>
  <c r="I5492" i="1"/>
  <c r="H5492" i="1"/>
  <c r="G5492" i="1"/>
  <c r="M5491" i="1"/>
  <c r="L5491" i="1"/>
  <c r="K5491" i="1"/>
  <c r="J5491" i="1"/>
  <c r="I5491" i="1"/>
  <c r="H5491" i="1"/>
  <c r="G5491" i="1"/>
  <c r="M5490" i="1"/>
  <c r="L5490" i="1"/>
  <c r="K5490" i="1"/>
  <c r="J5490" i="1"/>
  <c r="I5490" i="1"/>
  <c r="H5490" i="1"/>
  <c r="G5490" i="1"/>
  <c r="M5489" i="1"/>
  <c r="L5489" i="1"/>
  <c r="K5489" i="1"/>
  <c r="J5489" i="1"/>
  <c r="I5489" i="1"/>
  <c r="H5489" i="1"/>
  <c r="G5489" i="1"/>
  <c r="M5488" i="1"/>
  <c r="L5488" i="1"/>
  <c r="K5488" i="1"/>
  <c r="J5488" i="1"/>
  <c r="I5488" i="1"/>
  <c r="H5488" i="1"/>
  <c r="G5488" i="1"/>
  <c r="M5487" i="1"/>
  <c r="L5487" i="1"/>
  <c r="K5487" i="1"/>
  <c r="J5487" i="1"/>
  <c r="I5487" i="1"/>
  <c r="H5487" i="1"/>
  <c r="G5487" i="1"/>
  <c r="M5486" i="1"/>
  <c r="L5486" i="1"/>
  <c r="K5486" i="1"/>
  <c r="J5486" i="1"/>
  <c r="I5486" i="1"/>
  <c r="H5486" i="1"/>
  <c r="G5486" i="1"/>
  <c r="M5485" i="1"/>
  <c r="L5485" i="1"/>
  <c r="K5485" i="1"/>
  <c r="J5485" i="1"/>
  <c r="I5485" i="1"/>
  <c r="H5485" i="1"/>
  <c r="G5485" i="1"/>
  <c r="M5484" i="1"/>
  <c r="L5484" i="1"/>
  <c r="K5484" i="1"/>
  <c r="J5484" i="1"/>
  <c r="I5484" i="1"/>
  <c r="H5484" i="1"/>
  <c r="G5484" i="1"/>
  <c r="M5483" i="1"/>
  <c r="L5483" i="1"/>
  <c r="K5483" i="1"/>
  <c r="J5483" i="1"/>
  <c r="I5483" i="1"/>
  <c r="H5483" i="1"/>
  <c r="G5483" i="1"/>
  <c r="M5482" i="1"/>
  <c r="L5482" i="1"/>
  <c r="K5482" i="1"/>
  <c r="J5482" i="1"/>
  <c r="I5482" i="1"/>
  <c r="H5482" i="1"/>
  <c r="G5482" i="1"/>
  <c r="M5481" i="1"/>
  <c r="L5481" i="1"/>
  <c r="K5481" i="1"/>
  <c r="J5481" i="1"/>
  <c r="I5481" i="1"/>
  <c r="H5481" i="1"/>
  <c r="G5481" i="1"/>
  <c r="M5480" i="1"/>
  <c r="L5480" i="1"/>
  <c r="K5480" i="1"/>
  <c r="J5480" i="1"/>
  <c r="I5480" i="1"/>
  <c r="H5480" i="1"/>
  <c r="G5480" i="1"/>
  <c r="M5479" i="1"/>
  <c r="L5479" i="1"/>
  <c r="K5479" i="1"/>
  <c r="J5479" i="1"/>
  <c r="I5479" i="1"/>
  <c r="H5479" i="1"/>
  <c r="G5479" i="1"/>
  <c r="M5478" i="1"/>
  <c r="L5478" i="1"/>
  <c r="K5478" i="1"/>
  <c r="J5478" i="1"/>
  <c r="I5478" i="1"/>
  <c r="H5478" i="1"/>
  <c r="G5478" i="1"/>
  <c r="M5477" i="1"/>
  <c r="L5477" i="1"/>
  <c r="K5477" i="1"/>
  <c r="J5477" i="1"/>
  <c r="I5477" i="1"/>
  <c r="H5477" i="1"/>
  <c r="G5477" i="1"/>
  <c r="M5476" i="1"/>
  <c r="L5476" i="1"/>
  <c r="K5476" i="1"/>
  <c r="J5476" i="1"/>
  <c r="I5476" i="1"/>
  <c r="H5476" i="1"/>
  <c r="G5476" i="1"/>
  <c r="M5475" i="1"/>
  <c r="L5475" i="1"/>
  <c r="K5475" i="1"/>
  <c r="J5475" i="1"/>
  <c r="I5475" i="1"/>
  <c r="H5475" i="1"/>
  <c r="G5475" i="1"/>
  <c r="M5474" i="1"/>
  <c r="L5474" i="1"/>
  <c r="K5474" i="1"/>
  <c r="J5474" i="1"/>
  <c r="I5474" i="1"/>
  <c r="H5474" i="1"/>
  <c r="G5474" i="1"/>
  <c r="M5473" i="1"/>
  <c r="L5473" i="1"/>
  <c r="K5473" i="1"/>
  <c r="J5473" i="1"/>
  <c r="I5473" i="1"/>
  <c r="H5473" i="1"/>
  <c r="G5473" i="1"/>
  <c r="M5472" i="1"/>
  <c r="L5472" i="1"/>
  <c r="K5472" i="1"/>
  <c r="J5472" i="1"/>
  <c r="I5472" i="1"/>
  <c r="H5472" i="1"/>
  <c r="G5472" i="1"/>
  <c r="M5471" i="1"/>
  <c r="L5471" i="1"/>
  <c r="K5471" i="1"/>
  <c r="J5471" i="1"/>
  <c r="I5471" i="1"/>
  <c r="H5471" i="1"/>
  <c r="G5471" i="1"/>
  <c r="M5470" i="1"/>
  <c r="L5470" i="1"/>
  <c r="K5470" i="1"/>
  <c r="J5470" i="1"/>
  <c r="I5470" i="1"/>
  <c r="H5470" i="1"/>
  <c r="G5470" i="1"/>
  <c r="M5469" i="1"/>
  <c r="L5469" i="1"/>
  <c r="K5469" i="1"/>
  <c r="J5469" i="1"/>
  <c r="I5469" i="1"/>
  <c r="H5469" i="1"/>
  <c r="G5469" i="1"/>
  <c r="M5468" i="1"/>
  <c r="L5468" i="1"/>
  <c r="K5468" i="1"/>
  <c r="J5468" i="1"/>
  <c r="I5468" i="1"/>
  <c r="H5468" i="1"/>
  <c r="G5468" i="1"/>
  <c r="M5467" i="1"/>
  <c r="L5467" i="1"/>
  <c r="K5467" i="1"/>
  <c r="J5467" i="1"/>
  <c r="I5467" i="1"/>
  <c r="H5467" i="1"/>
  <c r="G5467" i="1"/>
  <c r="M5466" i="1"/>
  <c r="L5466" i="1"/>
  <c r="K5466" i="1"/>
  <c r="J5466" i="1"/>
  <c r="I5466" i="1"/>
  <c r="H5466" i="1"/>
  <c r="G5466" i="1"/>
  <c r="M5465" i="1"/>
  <c r="L5465" i="1"/>
  <c r="K5465" i="1"/>
  <c r="J5465" i="1"/>
  <c r="I5465" i="1"/>
  <c r="H5465" i="1"/>
  <c r="G5465" i="1"/>
  <c r="M5464" i="1"/>
  <c r="L5464" i="1"/>
  <c r="K5464" i="1"/>
  <c r="J5464" i="1"/>
  <c r="I5464" i="1"/>
  <c r="H5464" i="1"/>
  <c r="G5464" i="1"/>
  <c r="M5463" i="1"/>
  <c r="L5463" i="1"/>
  <c r="K5463" i="1"/>
  <c r="J5463" i="1"/>
  <c r="I5463" i="1"/>
  <c r="H5463" i="1"/>
  <c r="G5463" i="1"/>
  <c r="M5462" i="1"/>
  <c r="L5462" i="1"/>
  <c r="K5462" i="1"/>
  <c r="J5462" i="1"/>
  <c r="I5462" i="1"/>
  <c r="H5462" i="1"/>
  <c r="G5462" i="1"/>
  <c r="M5461" i="1"/>
  <c r="L5461" i="1"/>
  <c r="K5461" i="1"/>
  <c r="J5461" i="1"/>
  <c r="I5461" i="1"/>
  <c r="H5461" i="1"/>
  <c r="G5461" i="1"/>
  <c r="M5460" i="1"/>
  <c r="L5460" i="1"/>
  <c r="K5460" i="1"/>
  <c r="J5460" i="1"/>
  <c r="I5460" i="1"/>
  <c r="H5460" i="1"/>
  <c r="G5460" i="1"/>
  <c r="M5459" i="1"/>
  <c r="L5459" i="1"/>
  <c r="K5459" i="1"/>
  <c r="J5459" i="1"/>
  <c r="I5459" i="1"/>
  <c r="H5459" i="1"/>
  <c r="G5459" i="1"/>
  <c r="M5458" i="1"/>
  <c r="L5458" i="1"/>
  <c r="K5458" i="1"/>
  <c r="J5458" i="1"/>
  <c r="I5458" i="1"/>
  <c r="H5458" i="1"/>
  <c r="G5458" i="1"/>
  <c r="M5457" i="1"/>
  <c r="L5457" i="1"/>
  <c r="K5457" i="1"/>
  <c r="J5457" i="1"/>
  <c r="I5457" i="1"/>
  <c r="H5457" i="1"/>
  <c r="G5457" i="1"/>
  <c r="M5456" i="1"/>
  <c r="L5456" i="1"/>
  <c r="K5456" i="1"/>
  <c r="J5456" i="1"/>
  <c r="I5456" i="1"/>
  <c r="H5456" i="1"/>
  <c r="G5456" i="1"/>
  <c r="M5455" i="1"/>
  <c r="L5455" i="1"/>
  <c r="K5455" i="1"/>
  <c r="J5455" i="1"/>
  <c r="I5455" i="1"/>
  <c r="H5455" i="1"/>
  <c r="G5455" i="1"/>
  <c r="M5454" i="1"/>
  <c r="L5454" i="1"/>
  <c r="K5454" i="1"/>
  <c r="J5454" i="1"/>
  <c r="I5454" i="1"/>
  <c r="H5454" i="1"/>
  <c r="G5454" i="1"/>
  <c r="M5453" i="1"/>
  <c r="L5453" i="1"/>
  <c r="K5453" i="1"/>
  <c r="J5453" i="1"/>
  <c r="I5453" i="1"/>
  <c r="H5453" i="1"/>
  <c r="G5453" i="1"/>
  <c r="M5452" i="1"/>
  <c r="L5452" i="1"/>
  <c r="K5452" i="1"/>
  <c r="J5452" i="1"/>
  <c r="I5452" i="1"/>
  <c r="H5452" i="1"/>
  <c r="G5452" i="1"/>
  <c r="M5451" i="1"/>
  <c r="L5451" i="1"/>
  <c r="K5451" i="1"/>
  <c r="J5451" i="1"/>
  <c r="I5451" i="1"/>
  <c r="H5451" i="1"/>
  <c r="G5451" i="1"/>
  <c r="M5450" i="1"/>
  <c r="L5450" i="1"/>
  <c r="K5450" i="1"/>
  <c r="J5450" i="1"/>
  <c r="I5450" i="1"/>
  <c r="H5450" i="1"/>
  <c r="G5450" i="1"/>
  <c r="M5449" i="1"/>
  <c r="L5449" i="1"/>
  <c r="K5449" i="1"/>
  <c r="J5449" i="1"/>
  <c r="I5449" i="1"/>
  <c r="H5449" i="1"/>
  <c r="G5449" i="1"/>
  <c r="M5448" i="1"/>
  <c r="L5448" i="1"/>
  <c r="K5448" i="1"/>
  <c r="J5448" i="1"/>
  <c r="I5448" i="1"/>
  <c r="H5448" i="1"/>
  <c r="G5448" i="1"/>
  <c r="M5447" i="1"/>
  <c r="L5447" i="1"/>
  <c r="K5447" i="1"/>
  <c r="J5447" i="1"/>
  <c r="I5447" i="1"/>
  <c r="H5447" i="1"/>
  <c r="G5447" i="1"/>
  <c r="M5446" i="1"/>
  <c r="L5446" i="1"/>
  <c r="K5446" i="1"/>
  <c r="J5446" i="1"/>
  <c r="I5446" i="1"/>
  <c r="H5446" i="1"/>
  <c r="G5446" i="1"/>
  <c r="M5445" i="1"/>
  <c r="L5445" i="1"/>
  <c r="K5445" i="1"/>
  <c r="J5445" i="1"/>
  <c r="I5445" i="1"/>
  <c r="H5445" i="1"/>
  <c r="G5445" i="1"/>
  <c r="M5444" i="1"/>
  <c r="L5444" i="1"/>
  <c r="K5444" i="1"/>
  <c r="J5444" i="1"/>
  <c r="I5444" i="1"/>
  <c r="H5444" i="1"/>
  <c r="G5444" i="1"/>
  <c r="M5443" i="1"/>
  <c r="L5443" i="1"/>
  <c r="K5443" i="1"/>
  <c r="J5443" i="1"/>
  <c r="I5443" i="1"/>
  <c r="H5443" i="1"/>
  <c r="G5443" i="1"/>
  <c r="M5442" i="1"/>
  <c r="L5442" i="1"/>
  <c r="K5442" i="1"/>
  <c r="J5442" i="1"/>
  <c r="I5442" i="1"/>
  <c r="H5442" i="1"/>
  <c r="G5442" i="1"/>
  <c r="M5441" i="1"/>
  <c r="L5441" i="1"/>
  <c r="K5441" i="1"/>
  <c r="J5441" i="1"/>
  <c r="I5441" i="1"/>
  <c r="H5441" i="1"/>
  <c r="G5441" i="1"/>
  <c r="M5440" i="1"/>
  <c r="L5440" i="1"/>
  <c r="K5440" i="1"/>
  <c r="J5440" i="1"/>
  <c r="I5440" i="1"/>
  <c r="H5440" i="1"/>
  <c r="G5440" i="1"/>
  <c r="M5439" i="1"/>
  <c r="L5439" i="1"/>
  <c r="K5439" i="1"/>
  <c r="J5439" i="1"/>
  <c r="I5439" i="1"/>
  <c r="H5439" i="1"/>
  <c r="G5439" i="1"/>
  <c r="M5438" i="1"/>
  <c r="L5438" i="1"/>
  <c r="K5438" i="1"/>
  <c r="J5438" i="1"/>
  <c r="I5438" i="1"/>
  <c r="H5438" i="1"/>
  <c r="G5438" i="1"/>
  <c r="M5437" i="1"/>
  <c r="L5437" i="1"/>
  <c r="K5437" i="1"/>
  <c r="J5437" i="1"/>
  <c r="I5437" i="1"/>
  <c r="H5437" i="1"/>
  <c r="G5437" i="1"/>
  <c r="M5436" i="1"/>
  <c r="L5436" i="1"/>
  <c r="K5436" i="1"/>
  <c r="J5436" i="1"/>
  <c r="I5436" i="1"/>
  <c r="H5436" i="1"/>
  <c r="G5436" i="1"/>
  <c r="M5435" i="1"/>
  <c r="L5435" i="1"/>
  <c r="K5435" i="1"/>
  <c r="J5435" i="1"/>
  <c r="I5435" i="1"/>
  <c r="H5435" i="1"/>
  <c r="G5435" i="1"/>
  <c r="M5434" i="1"/>
  <c r="L5434" i="1"/>
  <c r="K5434" i="1"/>
  <c r="J5434" i="1"/>
  <c r="I5434" i="1"/>
  <c r="H5434" i="1"/>
  <c r="G5434" i="1"/>
  <c r="M5433" i="1"/>
  <c r="L5433" i="1"/>
  <c r="K5433" i="1"/>
  <c r="J5433" i="1"/>
  <c r="I5433" i="1"/>
  <c r="H5433" i="1"/>
  <c r="G5433" i="1"/>
  <c r="M5432" i="1"/>
  <c r="L5432" i="1"/>
  <c r="K5432" i="1"/>
  <c r="J5432" i="1"/>
  <c r="I5432" i="1"/>
  <c r="H5432" i="1"/>
  <c r="G5432" i="1"/>
  <c r="M5431" i="1"/>
  <c r="L5431" i="1"/>
  <c r="K5431" i="1"/>
  <c r="J5431" i="1"/>
  <c r="I5431" i="1"/>
  <c r="H5431" i="1"/>
  <c r="G5431" i="1"/>
  <c r="M5430" i="1"/>
  <c r="L5430" i="1"/>
  <c r="K5430" i="1"/>
  <c r="J5430" i="1"/>
  <c r="I5430" i="1"/>
  <c r="H5430" i="1"/>
  <c r="G5430" i="1"/>
  <c r="M5429" i="1"/>
  <c r="L5429" i="1"/>
  <c r="K5429" i="1"/>
  <c r="J5429" i="1"/>
  <c r="I5429" i="1"/>
  <c r="H5429" i="1"/>
  <c r="G5429" i="1"/>
  <c r="M5428" i="1"/>
  <c r="L5428" i="1"/>
  <c r="K5428" i="1"/>
  <c r="J5428" i="1"/>
  <c r="I5428" i="1"/>
  <c r="H5428" i="1"/>
  <c r="G5428" i="1"/>
  <c r="M5427" i="1"/>
  <c r="L5427" i="1"/>
  <c r="K5427" i="1"/>
  <c r="J5427" i="1"/>
  <c r="I5427" i="1"/>
  <c r="H5427" i="1"/>
  <c r="G5427" i="1"/>
  <c r="M5426" i="1"/>
  <c r="L5426" i="1"/>
  <c r="K5426" i="1"/>
  <c r="J5426" i="1"/>
  <c r="I5426" i="1"/>
  <c r="H5426" i="1"/>
  <c r="G5426" i="1"/>
  <c r="M5425" i="1"/>
  <c r="L5425" i="1"/>
  <c r="K5425" i="1"/>
  <c r="J5425" i="1"/>
  <c r="I5425" i="1"/>
  <c r="H5425" i="1"/>
  <c r="G5425" i="1"/>
  <c r="M5424" i="1"/>
  <c r="L5424" i="1"/>
  <c r="K5424" i="1"/>
  <c r="J5424" i="1"/>
  <c r="I5424" i="1"/>
  <c r="H5424" i="1"/>
  <c r="G5424" i="1"/>
  <c r="M5423" i="1"/>
  <c r="L5423" i="1"/>
  <c r="K5423" i="1"/>
  <c r="J5423" i="1"/>
  <c r="I5423" i="1"/>
  <c r="H5423" i="1"/>
  <c r="G5423" i="1"/>
  <c r="M5422" i="1"/>
  <c r="L5422" i="1"/>
  <c r="K5422" i="1"/>
  <c r="J5422" i="1"/>
  <c r="I5422" i="1"/>
  <c r="H5422" i="1"/>
  <c r="G5422" i="1"/>
  <c r="M5421" i="1"/>
  <c r="L5421" i="1"/>
  <c r="K5421" i="1"/>
  <c r="J5421" i="1"/>
  <c r="I5421" i="1"/>
  <c r="H5421" i="1"/>
  <c r="G5421" i="1"/>
  <c r="M5420" i="1"/>
  <c r="L5420" i="1"/>
  <c r="K5420" i="1"/>
  <c r="J5420" i="1"/>
  <c r="I5420" i="1"/>
  <c r="H5420" i="1"/>
  <c r="G5420" i="1"/>
  <c r="M5419" i="1"/>
  <c r="L5419" i="1"/>
  <c r="K5419" i="1"/>
  <c r="J5419" i="1"/>
  <c r="I5419" i="1"/>
  <c r="H5419" i="1"/>
  <c r="G5419" i="1"/>
  <c r="M5418" i="1"/>
  <c r="L5418" i="1"/>
  <c r="K5418" i="1"/>
  <c r="J5418" i="1"/>
  <c r="I5418" i="1"/>
  <c r="H5418" i="1"/>
  <c r="G5418" i="1"/>
  <c r="M5417" i="1"/>
  <c r="L5417" i="1"/>
  <c r="K5417" i="1"/>
  <c r="J5417" i="1"/>
  <c r="I5417" i="1"/>
  <c r="H5417" i="1"/>
  <c r="G5417" i="1"/>
  <c r="M5416" i="1"/>
  <c r="L5416" i="1"/>
  <c r="K5416" i="1"/>
  <c r="J5416" i="1"/>
  <c r="I5416" i="1"/>
  <c r="H5416" i="1"/>
  <c r="G5416" i="1"/>
  <c r="M5415" i="1"/>
  <c r="L5415" i="1"/>
  <c r="K5415" i="1"/>
  <c r="J5415" i="1"/>
  <c r="I5415" i="1"/>
  <c r="H5415" i="1"/>
  <c r="G5415" i="1"/>
  <c r="M5414" i="1"/>
  <c r="L5414" i="1"/>
  <c r="K5414" i="1"/>
  <c r="J5414" i="1"/>
  <c r="I5414" i="1"/>
  <c r="H5414" i="1"/>
  <c r="G5414" i="1"/>
  <c r="M5413" i="1"/>
  <c r="L5413" i="1"/>
  <c r="K5413" i="1"/>
  <c r="J5413" i="1"/>
  <c r="I5413" i="1"/>
  <c r="H5413" i="1"/>
  <c r="G5413" i="1"/>
  <c r="M5412" i="1"/>
  <c r="L5412" i="1"/>
  <c r="K5412" i="1"/>
  <c r="J5412" i="1"/>
  <c r="I5412" i="1"/>
  <c r="H5412" i="1"/>
  <c r="G5412" i="1"/>
  <c r="M5411" i="1"/>
  <c r="L5411" i="1"/>
  <c r="K5411" i="1"/>
  <c r="J5411" i="1"/>
  <c r="I5411" i="1"/>
  <c r="H5411" i="1"/>
  <c r="G5411" i="1"/>
  <c r="M5410" i="1"/>
  <c r="L5410" i="1"/>
  <c r="K5410" i="1"/>
  <c r="J5410" i="1"/>
  <c r="I5410" i="1"/>
  <c r="H5410" i="1"/>
  <c r="G5410" i="1"/>
  <c r="M5409" i="1"/>
  <c r="L5409" i="1"/>
  <c r="K5409" i="1"/>
  <c r="J5409" i="1"/>
  <c r="I5409" i="1"/>
  <c r="H5409" i="1"/>
  <c r="G5409" i="1"/>
  <c r="M5408" i="1"/>
  <c r="L5408" i="1"/>
  <c r="K5408" i="1"/>
  <c r="J5408" i="1"/>
  <c r="I5408" i="1"/>
  <c r="H5408" i="1"/>
  <c r="G5408" i="1"/>
  <c r="M5407" i="1"/>
  <c r="L5407" i="1"/>
  <c r="K5407" i="1"/>
  <c r="J5407" i="1"/>
  <c r="I5407" i="1"/>
  <c r="H5407" i="1"/>
  <c r="G5407" i="1"/>
  <c r="M5406" i="1"/>
  <c r="L5406" i="1"/>
  <c r="K5406" i="1"/>
  <c r="J5406" i="1"/>
  <c r="I5406" i="1"/>
  <c r="H5406" i="1"/>
  <c r="G5406" i="1"/>
  <c r="M5405" i="1"/>
  <c r="L5405" i="1"/>
  <c r="K5405" i="1"/>
  <c r="J5405" i="1"/>
  <c r="I5405" i="1"/>
  <c r="H5405" i="1"/>
  <c r="G5405" i="1"/>
  <c r="M5404" i="1"/>
  <c r="L5404" i="1"/>
  <c r="K5404" i="1"/>
  <c r="J5404" i="1"/>
  <c r="I5404" i="1"/>
  <c r="H5404" i="1"/>
  <c r="G5404" i="1"/>
  <c r="M5403" i="1"/>
  <c r="L5403" i="1"/>
  <c r="K5403" i="1"/>
  <c r="J5403" i="1"/>
  <c r="I5403" i="1"/>
  <c r="H5403" i="1"/>
  <c r="G5403" i="1"/>
  <c r="M5402" i="1"/>
  <c r="L5402" i="1"/>
  <c r="K5402" i="1"/>
  <c r="J5402" i="1"/>
  <c r="I5402" i="1"/>
  <c r="H5402" i="1"/>
  <c r="G5402" i="1"/>
  <c r="M5401" i="1"/>
  <c r="L5401" i="1"/>
  <c r="K5401" i="1"/>
  <c r="J5401" i="1"/>
  <c r="I5401" i="1"/>
  <c r="H5401" i="1"/>
  <c r="G5401" i="1"/>
  <c r="M5400" i="1"/>
  <c r="L5400" i="1"/>
  <c r="K5400" i="1"/>
  <c r="J5400" i="1"/>
  <c r="I5400" i="1"/>
  <c r="H5400" i="1"/>
  <c r="G5400" i="1"/>
  <c r="M5399" i="1"/>
  <c r="L5399" i="1"/>
  <c r="K5399" i="1"/>
  <c r="J5399" i="1"/>
  <c r="I5399" i="1"/>
  <c r="H5399" i="1"/>
  <c r="G5399" i="1"/>
  <c r="M5398" i="1"/>
  <c r="L5398" i="1"/>
  <c r="K5398" i="1"/>
  <c r="J5398" i="1"/>
  <c r="I5398" i="1"/>
  <c r="H5398" i="1"/>
  <c r="G5398" i="1"/>
  <c r="M5397" i="1"/>
  <c r="L5397" i="1"/>
  <c r="K5397" i="1"/>
  <c r="J5397" i="1"/>
  <c r="I5397" i="1"/>
  <c r="H5397" i="1"/>
  <c r="G5397" i="1"/>
  <c r="M5396" i="1"/>
  <c r="L5396" i="1"/>
  <c r="K5396" i="1"/>
  <c r="J5396" i="1"/>
  <c r="I5396" i="1"/>
  <c r="H5396" i="1"/>
  <c r="G5396" i="1"/>
  <c r="M5395" i="1"/>
  <c r="L5395" i="1"/>
  <c r="K5395" i="1"/>
  <c r="J5395" i="1"/>
  <c r="I5395" i="1"/>
  <c r="H5395" i="1"/>
  <c r="G5395" i="1"/>
  <c r="M5394" i="1"/>
  <c r="L5394" i="1"/>
  <c r="K5394" i="1"/>
  <c r="J5394" i="1"/>
  <c r="I5394" i="1"/>
  <c r="H5394" i="1"/>
  <c r="G5394" i="1"/>
  <c r="M5393" i="1"/>
  <c r="L5393" i="1"/>
  <c r="K5393" i="1"/>
  <c r="J5393" i="1"/>
  <c r="I5393" i="1"/>
  <c r="H5393" i="1"/>
  <c r="G5393" i="1"/>
  <c r="M5392" i="1"/>
  <c r="L5392" i="1"/>
  <c r="K5392" i="1"/>
  <c r="J5392" i="1"/>
  <c r="I5392" i="1"/>
  <c r="H5392" i="1"/>
  <c r="G5392" i="1"/>
  <c r="M5391" i="1"/>
  <c r="L5391" i="1"/>
  <c r="K5391" i="1"/>
  <c r="J5391" i="1"/>
  <c r="I5391" i="1"/>
  <c r="H5391" i="1"/>
  <c r="G5391" i="1"/>
  <c r="M5390" i="1"/>
  <c r="L5390" i="1"/>
  <c r="K5390" i="1"/>
  <c r="J5390" i="1"/>
  <c r="I5390" i="1"/>
  <c r="H5390" i="1"/>
  <c r="G5390" i="1"/>
  <c r="M5389" i="1"/>
  <c r="L5389" i="1"/>
  <c r="K5389" i="1"/>
  <c r="J5389" i="1"/>
  <c r="I5389" i="1"/>
  <c r="H5389" i="1"/>
  <c r="G5389" i="1"/>
  <c r="M5388" i="1"/>
  <c r="L5388" i="1"/>
  <c r="K5388" i="1"/>
  <c r="J5388" i="1"/>
  <c r="I5388" i="1"/>
  <c r="H5388" i="1"/>
  <c r="G5388" i="1"/>
  <c r="M5387" i="1"/>
  <c r="L5387" i="1"/>
  <c r="K5387" i="1"/>
  <c r="J5387" i="1"/>
  <c r="I5387" i="1"/>
  <c r="H5387" i="1"/>
  <c r="G5387" i="1"/>
  <c r="M5386" i="1"/>
  <c r="L5386" i="1"/>
  <c r="K5386" i="1"/>
  <c r="J5386" i="1"/>
  <c r="I5386" i="1"/>
  <c r="H5386" i="1"/>
  <c r="G5386" i="1"/>
  <c r="M5385" i="1"/>
  <c r="L5385" i="1"/>
  <c r="K5385" i="1"/>
  <c r="J5385" i="1"/>
  <c r="I5385" i="1"/>
  <c r="H5385" i="1"/>
  <c r="G5385" i="1"/>
  <c r="M5384" i="1"/>
  <c r="L5384" i="1"/>
  <c r="K5384" i="1"/>
  <c r="J5384" i="1"/>
  <c r="I5384" i="1"/>
  <c r="H5384" i="1"/>
  <c r="G5384" i="1"/>
  <c r="M5383" i="1"/>
  <c r="L5383" i="1"/>
  <c r="K5383" i="1"/>
  <c r="J5383" i="1"/>
  <c r="I5383" i="1"/>
  <c r="H5383" i="1"/>
  <c r="G5383" i="1"/>
  <c r="M5382" i="1"/>
  <c r="L5382" i="1"/>
  <c r="K5382" i="1"/>
  <c r="J5382" i="1"/>
  <c r="I5382" i="1"/>
  <c r="H5382" i="1"/>
  <c r="G5382" i="1"/>
  <c r="M5381" i="1"/>
  <c r="L5381" i="1"/>
  <c r="K5381" i="1"/>
  <c r="J5381" i="1"/>
  <c r="I5381" i="1"/>
  <c r="H5381" i="1"/>
  <c r="G5381" i="1"/>
  <c r="M5380" i="1"/>
  <c r="L5380" i="1"/>
  <c r="K5380" i="1"/>
  <c r="J5380" i="1"/>
  <c r="I5380" i="1"/>
  <c r="H5380" i="1"/>
  <c r="G5380" i="1"/>
  <c r="M5379" i="1"/>
  <c r="L5379" i="1"/>
  <c r="K5379" i="1"/>
  <c r="J5379" i="1"/>
  <c r="I5379" i="1"/>
  <c r="H5379" i="1"/>
  <c r="G5379" i="1"/>
  <c r="M5378" i="1"/>
  <c r="L5378" i="1"/>
  <c r="K5378" i="1"/>
  <c r="J5378" i="1"/>
  <c r="I5378" i="1"/>
  <c r="H5378" i="1"/>
  <c r="G5378" i="1"/>
  <c r="M5377" i="1"/>
  <c r="L5377" i="1"/>
  <c r="K5377" i="1"/>
  <c r="J5377" i="1"/>
  <c r="I5377" i="1"/>
  <c r="H5377" i="1"/>
  <c r="G5377" i="1"/>
  <c r="M5376" i="1"/>
  <c r="L5376" i="1"/>
  <c r="K5376" i="1"/>
  <c r="J5376" i="1"/>
  <c r="I5376" i="1"/>
  <c r="H5376" i="1"/>
  <c r="G5376" i="1"/>
  <c r="M5375" i="1"/>
  <c r="L5375" i="1"/>
  <c r="K5375" i="1"/>
  <c r="J5375" i="1"/>
  <c r="I5375" i="1"/>
  <c r="H5375" i="1"/>
  <c r="G5375" i="1"/>
  <c r="M5374" i="1"/>
  <c r="L5374" i="1"/>
  <c r="K5374" i="1"/>
  <c r="J5374" i="1"/>
  <c r="I5374" i="1"/>
  <c r="H5374" i="1"/>
  <c r="G5374" i="1"/>
  <c r="M5373" i="1"/>
  <c r="L5373" i="1"/>
  <c r="K5373" i="1"/>
  <c r="J5373" i="1"/>
  <c r="I5373" i="1"/>
  <c r="H5373" i="1"/>
  <c r="G5373" i="1"/>
  <c r="M5372" i="1"/>
  <c r="L5372" i="1"/>
  <c r="K5372" i="1"/>
  <c r="J5372" i="1"/>
  <c r="I5372" i="1"/>
  <c r="H5372" i="1"/>
  <c r="G5372" i="1"/>
  <c r="M5371" i="1"/>
  <c r="L5371" i="1"/>
  <c r="K5371" i="1"/>
  <c r="J5371" i="1"/>
  <c r="I5371" i="1"/>
  <c r="H5371" i="1"/>
  <c r="G5371" i="1"/>
  <c r="M5370" i="1"/>
  <c r="L5370" i="1"/>
  <c r="K5370" i="1"/>
  <c r="J5370" i="1"/>
  <c r="I5370" i="1"/>
  <c r="H5370" i="1"/>
  <c r="G5370" i="1"/>
  <c r="M5369" i="1"/>
  <c r="L5369" i="1"/>
  <c r="K5369" i="1"/>
  <c r="J5369" i="1"/>
  <c r="I5369" i="1"/>
  <c r="H5369" i="1"/>
  <c r="G5369" i="1"/>
  <c r="M5368" i="1"/>
  <c r="L5368" i="1"/>
  <c r="K5368" i="1"/>
  <c r="J5368" i="1"/>
  <c r="I5368" i="1"/>
  <c r="H5368" i="1"/>
  <c r="G5368" i="1"/>
  <c r="M5367" i="1"/>
  <c r="L5367" i="1"/>
  <c r="K5367" i="1"/>
  <c r="J5367" i="1"/>
  <c r="I5367" i="1"/>
  <c r="H5367" i="1"/>
  <c r="G5367" i="1"/>
  <c r="M5366" i="1"/>
  <c r="L5366" i="1"/>
  <c r="K5366" i="1"/>
  <c r="J5366" i="1"/>
  <c r="I5366" i="1"/>
  <c r="H5366" i="1"/>
  <c r="G5366" i="1"/>
  <c r="M5365" i="1"/>
  <c r="L5365" i="1"/>
  <c r="K5365" i="1"/>
  <c r="J5365" i="1"/>
  <c r="I5365" i="1"/>
  <c r="H5365" i="1"/>
  <c r="G5365" i="1"/>
  <c r="M5364" i="1"/>
  <c r="L5364" i="1"/>
  <c r="K5364" i="1"/>
  <c r="J5364" i="1"/>
  <c r="I5364" i="1"/>
  <c r="H5364" i="1"/>
  <c r="G5364" i="1"/>
  <c r="M5363" i="1"/>
  <c r="L5363" i="1"/>
  <c r="K5363" i="1"/>
  <c r="J5363" i="1"/>
  <c r="I5363" i="1"/>
  <c r="H5363" i="1"/>
  <c r="G5363" i="1"/>
  <c r="M5362" i="1"/>
  <c r="L5362" i="1"/>
  <c r="K5362" i="1"/>
  <c r="J5362" i="1"/>
  <c r="I5362" i="1"/>
  <c r="H5362" i="1"/>
  <c r="G5362" i="1"/>
  <c r="M5361" i="1"/>
  <c r="L5361" i="1"/>
  <c r="K5361" i="1"/>
  <c r="J5361" i="1"/>
  <c r="I5361" i="1"/>
  <c r="H5361" i="1"/>
  <c r="G5361" i="1"/>
  <c r="M5360" i="1"/>
  <c r="L5360" i="1"/>
  <c r="K5360" i="1"/>
  <c r="J5360" i="1"/>
  <c r="I5360" i="1"/>
  <c r="H5360" i="1"/>
  <c r="G5360" i="1"/>
  <c r="M5359" i="1"/>
  <c r="L5359" i="1"/>
  <c r="K5359" i="1"/>
  <c r="J5359" i="1"/>
  <c r="I5359" i="1"/>
  <c r="H5359" i="1"/>
  <c r="G5359" i="1"/>
  <c r="M5358" i="1"/>
  <c r="L5358" i="1"/>
  <c r="K5358" i="1"/>
  <c r="J5358" i="1"/>
  <c r="I5358" i="1"/>
  <c r="H5358" i="1"/>
  <c r="G5358" i="1"/>
  <c r="M5357" i="1"/>
  <c r="L5357" i="1"/>
  <c r="K5357" i="1"/>
  <c r="J5357" i="1"/>
  <c r="I5357" i="1"/>
  <c r="H5357" i="1"/>
  <c r="G5357" i="1"/>
  <c r="M5356" i="1"/>
  <c r="L5356" i="1"/>
  <c r="K5356" i="1"/>
  <c r="J5356" i="1"/>
  <c r="I5356" i="1"/>
  <c r="H5356" i="1"/>
  <c r="G5356" i="1"/>
  <c r="M5355" i="1"/>
  <c r="L5355" i="1"/>
  <c r="K5355" i="1"/>
  <c r="J5355" i="1"/>
  <c r="I5355" i="1"/>
  <c r="H5355" i="1"/>
  <c r="G5355" i="1"/>
  <c r="M5354" i="1"/>
  <c r="L5354" i="1"/>
  <c r="K5354" i="1"/>
  <c r="J5354" i="1"/>
  <c r="I5354" i="1"/>
  <c r="H5354" i="1"/>
  <c r="G5354" i="1"/>
  <c r="M5353" i="1"/>
  <c r="L5353" i="1"/>
  <c r="K5353" i="1"/>
  <c r="J5353" i="1"/>
  <c r="I5353" i="1"/>
  <c r="H5353" i="1"/>
  <c r="G5353" i="1"/>
  <c r="M5352" i="1"/>
  <c r="L5352" i="1"/>
  <c r="K5352" i="1"/>
  <c r="J5352" i="1"/>
  <c r="I5352" i="1"/>
  <c r="H5352" i="1"/>
  <c r="G5352" i="1"/>
  <c r="M5351" i="1"/>
  <c r="L5351" i="1"/>
  <c r="K5351" i="1"/>
  <c r="J5351" i="1"/>
  <c r="I5351" i="1"/>
  <c r="H5351" i="1"/>
  <c r="G5351" i="1"/>
  <c r="M5350" i="1"/>
  <c r="L5350" i="1"/>
  <c r="K5350" i="1"/>
  <c r="J5350" i="1"/>
  <c r="I5350" i="1"/>
  <c r="H5350" i="1"/>
  <c r="G5350" i="1"/>
  <c r="M5349" i="1"/>
  <c r="L5349" i="1"/>
  <c r="K5349" i="1"/>
  <c r="J5349" i="1"/>
  <c r="I5349" i="1"/>
  <c r="H5349" i="1"/>
  <c r="G5349" i="1"/>
  <c r="M5348" i="1"/>
  <c r="L5348" i="1"/>
  <c r="K5348" i="1"/>
  <c r="J5348" i="1"/>
  <c r="I5348" i="1"/>
  <c r="H5348" i="1"/>
  <c r="G5348" i="1"/>
  <c r="M5347" i="1"/>
  <c r="L5347" i="1"/>
  <c r="K5347" i="1"/>
  <c r="J5347" i="1"/>
  <c r="I5347" i="1"/>
  <c r="H5347" i="1"/>
  <c r="G5347" i="1"/>
  <c r="M5346" i="1"/>
  <c r="L5346" i="1"/>
  <c r="K5346" i="1"/>
  <c r="J5346" i="1"/>
  <c r="I5346" i="1"/>
  <c r="H5346" i="1"/>
  <c r="G5346" i="1"/>
  <c r="M5345" i="1"/>
  <c r="L5345" i="1"/>
  <c r="K5345" i="1"/>
  <c r="J5345" i="1"/>
  <c r="I5345" i="1"/>
  <c r="H5345" i="1"/>
  <c r="G5345" i="1"/>
  <c r="M5344" i="1"/>
  <c r="L5344" i="1"/>
  <c r="K5344" i="1"/>
  <c r="J5344" i="1"/>
  <c r="I5344" i="1"/>
  <c r="H5344" i="1"/>
  <c r="G5344" i="1"/>
  <c r="M5343" i="1"/>
  <c r="L5343" i="1"/>
  <c r="K5343" i="1"/>
  <c r="J5343" i="1"/>
  <c r="I5343" i="1"/>
  <c r="H5343" i="1"/>
  <c r="G5343" i="1"/>
  <c r="M5342" i="1"/>
  <c r="L5342" i="1"/>
  <c r="K5342" i="1"/>
  <c r="J5342" i="1"/>
  <c r="I5342" i="1"/>
  <c r="H5342" i="1"/>
  <c r="G5342" i="1"/>
  <c r="M5341" i="1"/>
  <c r="L5341" i="1"/>
  <c r="K5341" i="1"/>
  <c r="J5341" i="1"/>
  <c r="I5341" i="1"/>
  <c r="H5341" i="1"/>
  <c r="G5341" i="1"/>
  <c r="M5340" i="1"/>
  <c r="L5340" i="1"/>
  <c r="K5340" i="1"/>
  <c r="J5340" i="1"/>
  <c r="I5340" i="1"/>
  <c r="H5340" i="1"/>
  <c r="G5340" i="1"/>
  <c r="M5339" i="1"/>
  <c r="L5339" i="1"/>
  <c r="K5339" i="1"/>
  <c r="J5339" i="1"/>
  <c r="I5339" i="1"/>
  <c r="H5339" i="1"/>
  <c r="G5339" i="1"/>
  <c r="M5338" i="1"/>
  <c r="L5338" i="1"/>
  <c r="K5338" i="1"/>
  <c r="J5338" i="1"/>
  <c r="I5338" i="1"/>
  <c r="H5338" i="1"/>
  <c r="G5338" i="1"/>
  <c r="M5337" i="1"/>
  <c r="L5337" i="1"/>
  <c r="K5337" i="1"/>
  <c r="J5337" i="1"/>
  <c r="I5337" i="1"/>
  <c r="H5337" i="1"/>
  <c r="G5337" i="1"/>
  <c r="M5336" i="1"/>
  <c r="L5336" i="1"/>
  <c r="K5336" i="1"/>
  <c r="J5336" i="1"/>
  <c r="I5336" i="1"/>
  <c r="H5336" i="1"/>
  <c r="G5336" i="1"/>
  <c r="M5335" i="1"/>
  <c r="L5335" i="1"/>
  <c r="K5335" i="1"/>
  <c r="J5335" i="1"/>
  <c r="I5335" i="1"/>
  <c r="H5335" i="1"/>
  <c r="G5335" i="1"/>
  <c r="M5334" i="1"/>
  <c r="L5334" i="1"/>
  <c r="K5334" i="1"/>
  <c r="J5334" i="1"/>
  <c r="I5334" i="1"/>
  <c r="H5334" i="1"/>
  <c r="G5334" i="1"/>
  <c r="M5333" i="1"/>
  <c r="L5333" i="1"/>
  <c r="K5333" i="1"/>
  <c r="J5333" i="1"/>
  <c r="I5333" i="1"/>
  <c r="H5333" i="1"/>
  <c r="G5333" i="1"/>
  <c r="M5332" i="1"/>
  <c r="L5332" i="1"/>
  <c r="K5332" i="1"/>
  <c r="J5332" i="1"/>
  <c r="I5332" i="1"/>
  <c r="H5332" i="1"/>
  <c r="G5332" i="1"/>
  <c r="M5331" i="1"/>
  <c r="L5331" i="1"/>
  <c r="K5331" i="1"/>
  <c r="J5331" i="1"/>
  <c r="I5331" i="1"/>
  <c r="H5331" i="1"/>
  <c r="G5331" i="1"/>
  <c r="M5330" i="1"/>
  <c r="L5330" i="1"/>
  <c r="K5330" i="1"/>
  <c r="J5330" i="1"/>
  <c r="I5330" i="1"/>
  <c r="H5330" i="1"/>
  <c r="G5330" i="1"/>
  <c r="M5329" i="1"/>
  <c r="L5329" i="1"/>
  <c r="K5329" i="1"/>
  <c r="J5329" i="1"/>
  <c r="I5329" i="1"/>
  <c r="H5329" i="1"/>
  <c r="G5329" i="1"/>
  <c r="M5328" i="1"/>
  <c r="L5328" i="1"/>
  <c r="K5328" i="1"/>
  <c r="J5328" i="1"/>
  <c r="I5328" i="1"/>
  <c r="H5328" i="1"/>
  <c r="G5328" i="1"/>
  <c r="M5327" i="1"/>
  <c r="L5327" i="1"/>
  <c r="K5327" i="1"/>
  <c r="J5327" i="1"/>
  <c r="I5327" i="1"/>
  <c r="H5327" i="1"/>
  <c r="G5327" i="1"/>
  <c r="M5326" i="1"/>
  <c r="L5326" i="1"/>
  <c r="K5326" i="1"/>
  <c r="J5326" i="1"/>
  <c r="I5326" i="1"/>
  <c r="H5326" i="1"/>
  <c r="G5326" i="1"/>
  <c r="M5325" i="1"/>
  <c r="L5325" i="1"/>
  <c r="K5325" i="1"/>
  <c r="J5325" i="1"/>
  <c r="I5325" i="1"/>
  <c r="H5325" i="1"/>
  <c r="G5325" i="1"/>
  <c r="M5324" i="1"/>
  <c r="L5324" i="1"/>
  <c r="K5324" i="1"/>
  <c r="J5324" i="1"/>
  <c r="I5324" i="1"/>
  <c r="H5324" i="1"/>
  <c r="G5324" i="1"/>
  <c r="M5323" i="1"/>
  <c r="L5323" i="1"/>
  <c r="K5323" i="1"/>
  <c r="J5323" i="1"/>
  <c r="I5323" i="1"/>
  <c r="H5323" i="1"/>
  <c r="G5323" i="1"/>
  <c r="M5322" i="1"/>
  <c r="L5322" i="1"/>
  <c r="K5322" i="1"/>
  <c r="J5322" i="1"/>
  <c r="I5322" i="1"/>
  <c r="H5322" i="1"/>
  <c r="G5322" i="1"/>
  <c r="M5321" i="1"/>
  <c r="L5321" i="1"/>
  <c r="K5321" i="1"/>
  <c r="J5321" i="1"/>
  <c r="I5321" i="1"/>
  <c r="H5321" i="1"/>
  <c r="G5321" i="1"/>
  <c r="M5320" i="1"/>
  <c r="L5320" i="1"/>
  <c r="K5320" i="1"/>
  <c r="J5320" i="1"/>
  <c r="I5320" i="1"/>
  <c r="H5320" i="1"/>
  <c r="G5320" i="1"/>
  <c r="M5319" i="1"/>
  <c r="L5319" i="1"/>
  <c r="K5319" i="1"/>
  <c r="J5319" i="1"/>
  <c r="I5319" i="1"/>
  <c r="H5319" i="1"/>
  <c r="G5319" i="1"/>
  <c r="M5318" i="1"/>
  <c r="L5318" i="1"/>
  <c r="K5318" i="1"/>
  <c r="J5318" i="1"/>
  <c r="I5318" i="1"/>
  <c r="H5318" i="1"/>
  <c r="G5318" i="1"/>
  <c r="M5317" i="1"/>
  <c r="L5317" i="1"/>
  <c r="K5317" i="1"/>
  <c r="J5317" i="1"/>
  <c r="I5317" i="1"/>
  <c r="H5317" i="1"/>
  <c r="G5317" i="1"/>
  <c r="M5316" i="1"/>
  <c r="L5316" i="1"/>
  <c r="K5316" i="1"/>
  <c r="J5316" i="1"/>
  <c r="I5316" i="1"/>
  <c r="H5316" i="1"/>
  <c r="G5316" i="1"/>
  <c r="M5315" i="1"/>
  <c r="L5315" i="1"/>
  <c r="K5315" i="1"/>
  <c r="J5315" i="1"/>
  <c r="I5315" i="1"/>
  <c r="H5315" i="1"/>
  <c r="G5315" i="1"/>
  <c r="M5314" i="1"/>
  <c r="L5314" i="1"/>
  <c r="K5314" i="1"/>
  <c r="J5314" i="1"/>
  <c r="I5314" i="1"/>
  <c r="H5314" i="1"/>
  <c r="G5314" i="1"/>
  <c r="M5313" i="1"/>
  <c r="L5313" i="1"/>
  <c r="K5313" i="1"/>
  <c r="J5313" i="1"/>
  <c r="I5313" i="1"/>
  <c r="H5313" i="1"/>
  <c r="G5313" i="1"/>
  <c r="M5312" i="1"/>
  <c r="L5312" i="1"/>
  <c r="K5312" i="1"/>
  <c r="J5312" i="1"/>
  <c r="I5312" i="1"/>
  <c r="H5312" i="1"/>
  <c r="G5312" i="1"/>
  <c r="M5311" i="1"/>
  <c r="L5311" i="1"/>
  <c r="K5311" i="1"/>
  <c r="J5311" i="1"/>
  <c r="I5311" i="1"/>
  <c r="H5311" i="1"/>
  <c r="G5311" i="1"/>
  <c r="M5310" i="1"/>
  <c r="L5310" i="1"/>
  <c r="K5310" i="1"/>
  <c r="J5310" i="1"/>
  <c r="I5310" i="1"/>
  <c r="H5310" i="1"/>
  <c r="G5310" i="1"/>
  <c r="M5309" i="1"/>
  <c r="L5309" i="1"/>
  <c r="K5309" i="1"/>
  <c r="J5309" i="1"/>
  <c r="I5309" i="1"/>
  <c r="H5309" i="1"/>
  <c r="G5309" i="1"/>
  <c r="M5308" i="1"/>
  <c r="L5308" i="1"/>
  <c r="K5308" i="1"/>
  <c r="J5308" i="1"/>
  <c r="I5308" i="1"/>
  <c r="H5308" i="1"/>
  <c r="G5308" i="1"/>
  <c r="M5307" i="1"/>
  <c r="L5307" i="1"/>
  <c r="K5307" i="1"/>
  <c r="J5307" i="1"/>
  <c r="I5307" i="1"/>
  <c r="H5307" i="1"/>
  <c r="G5307" i="1"/>
  <c r="M5306" i="1"/>
  <c r="L5306" i="1"/>
  <c r="K5306" i="1"/>
  <c r="J5306" i="1"/>
  <c r="I5306" i="1"/>
  <c r="H5306" i="1"/>
  <c r="G5306" i="1"/>
  <c r="M5305" i="1"/>
  <c r="L5305" i="1"/>
  <c r="K5305" i="1"/>
  <c r="J5305" i="1"/>
  <c r="I5305" i="1"/>
  <c r="H5305" i="1"/>
  <c r="G5305" i="1"/>
  <c r="M5304" i="1"/>
  <c r="L5304" i="1"/>
  <c r="K5304" i="1"/>
  <c r="J5304" i="1"/>
  <c r="I5304" i="1"/>
  <c r="H5304" i="1"/>
  <c r="G5304" i="1"/>
  <c r="M5303" i="1"/>
  <c r="L5303" i="1"/>
  <c r="K5303" i="1"/>
  <c r="J5303" i="1"/>
  <c r="I5303" i="1"/>
  <c r="H5303" i="1"/>
  <c r="G5303" i="1"/>
  <c r="M5302" i="1"/>
  <c r="L5302" i="1"/>
  <c r="K5302" i="1"/>
  <c r="J5302" i="1"/>
  <c r="I5302" i="1"/>
  <c r="H5302" i="1"/>
  <c r="G5302" i="1"/>
  <c r="M5301" i="1"/>
  <c r="L5301" i="1"/>
  <c r="K5301" i="1"/>
  <c r="J5301" i="1"/>
  <c r="I5301" i="1"/>
  <c r="H5301" i="1"/>
  <c r="G5301" i="1"/>
  <c r="M5300" i="1"/>
  <c r="L5300" i="1"/>
  <c r="K5300" i="1"/>
  <c r="J5300" i="1"/>
  <c r="I5300" i="1"/>
  <c r="H5300" i="1"/>
  <c r="G5300" i="1"/>
  <c r="M5299" i="1"/>
  <c r="L5299" i="1"/>
  <c r="K5299" i="1"/>
  <c r="J5299" i="1"/>
  <c r="I5299" i="1"/>
  <c r="H5299" i="1"/>
  <c r="G5299" i="1"/>
  <c r="M5298" i="1"/>
  <c r="L5298" i="1"/>
  <c r="K5298" i="1"/>
  <c r="J5298" i="1"/>
  <c r="I5298" i="1"/>
  <c r="H5298" i="1"/>
  <c r="G5298" i="1"/>
  <c r="M5297" i="1"/>
  <c r="L5297" i="1"/>
  <c r="K5297" i="1"/>
  <c r="J5297" i="1"/>
  <c r="I5297" i="1"/>
  <c r="H5297" i="1"/>
  <c r="G5297" i="1"/>
  <c r="M5296" i="1"/>
  <c r="L5296" i="1"/>
  <c r="K5296" i="1"/>
  <c r="J5296" i="1"/>
  <c r="I5296" i="1"/>
  <c r="H5296" i="1"/>
  <c r="G5296" i="1"/>
  <c r="M5295" i="1"/>
  <c r="L5295" i="1"/>
  <c r="K5295" i="1"/>
  <c r="J5295" i="1"/>
  <c r="I5295" i="1"/>
  <c r="H5295" i="1"/>
  <c r="G5295" i="1"/>
  <c r="M5294" i="1"/>
  <c r="L5294" i="1"/>
  <c r="K5294" i="1"/>
  <c r="J5294" i="1"/>
  <c r="I5294" i="1"/>
  <c r="H5294" i="1"/>
  <c r="G5294" i="1"/>
  <c r="M5293" i="1"/>
  <c r="L5293" i="1"/>
  <c r="K5293" i="1"/>
  <c r="J5293" i="1"/>
  <c r="I5293" i="1"/>
  <c r="H5293" i="1"/>
  <c r="G5293" i="1"/>
  <c r="M5292" i="1"/>
  <c r="L5292" i="1"/>
  <c r="K5292" i="1"/>
  <c r="J5292" i="1"/>
  <c r="I5292" i="1"/>
  <c r="H5292" i="1"/>
  <c r="G5292" i="1"/>
  <c r="M5291" i="1"/>
  <c r="L5291" i="1"/>
  <c r="K5291" i="1"/>
  <c r="J5291" i="1"/>
  <c r="I5291" i="1"/>
  <c r="H5291" i="1"/>
  <c r="G5291" i="1"/>
  <c r="M5290" i="1"/>
  <c r="L5290" i="1"/>
  <c r="K5290" i="1"/>
  <c r="J5290" i="1"/>
  <c r="I5290" i="1"/>
  <c r="H5290" i="1"/>
  <c r="G5290" i="1"/>
  <c r="M5289" i="1"/>
  <c r="L5289" i="1"/>
  <c r="K5289" i="1"/>
  <c r="J5289" i="1"/>
  <c r="I5289" i="1"/>
  <c r="H5289" i="1"/>
  <c r="G5289" i="1"/>
  <c r="M5288" i="1"/>
  <c r="L5288" i="1"/>
  <c r="K5288" i="1"/>
  <c r="J5288" i="1"/>
  <c r="I5288" i="1"/>
  <c r="H5288" i="1"/>
  <c r="G5288" i="1"/>
  <c r="M5287" i="1"/>
  <c r="L5287" i="1"/>
  <c r="K5287" i="1"/>
  <c r="J5287" i="1"/>
  <c r="I5287" i="1"/>
  <c r="H5287" i="1"/>
  <c r="G5287" i="1"/>
  <c r="M5286" i="1"/>
  <c r="L5286" i="1"/>
  <c r="K5286" i="1"/>
  <c r="J5286" i="1"/>
  <c r="I5286" i="1"/>
  <c r="H5286" i="1"/>
  <c r="G5286" i="1"/>
  <c r="M5285" i="1"/>
  <c r="L5285" i="1"/>
  <c r="K5285" i="1"/>
  <c r="J5285" i="1"/>
  <c r="I5285" i="1"/>
  <c r="H5285" i="1"/>
  <c r="G5285" i="1"/>
  <c r="M5284" i="1"/>
  <c r="L5284" i="1"/>
  <c r="K5284" i="1"/>
  <c r="J5284" i="1"/>
  <c r="I5284" i="1"/>
  <c r="H5284" i="1"/>
  <c r="G5284" i="1"/>
  <c r="M5283" i="1"/>
  <c r="L5283" i="1"/>
  <c r="K5283" i="1"/>
  <c r="J5283" i="1"/>
  <c r="I5283" i="1"/>
  <c r="H5283" i="1"/>
  <c r="G5283" i="1"/>
  <c r="M5282" i="1"/>
  <c r="L5282" i="1"/>
  <c r="K5282" i="1"/>
  <c r="J5282" i="1"/>
  <c r="I5282" i="1"/>
  <c r="H5282" i="1"/>
  <c r="G5282" i="1"/>
  <c r="M5281" i="1"/>
  <c r="L5281" i="1"/>
  <c r="K5281" i="1"/>
  <c r="J5281" i="1"/>
  <c r="I5281" i="1"/>
  <c r="H5281" i="1"/>
  <c r="G5281" i="1"/>
  <c r="M5280" i="1"/>
  <c r="L5280" i="1"/>
  <c r="K5280" i="1"/>
  <c r="J5280" i="1"/>
  <c r="I5280" i="1"/>
  <c r="H5280" i="1"/>
  <c r="G5280" i="1"/>
  <c r="M5279" i="1"/>
  <c r="L5279" i="1"/>
  <c r="K5279" i="1"/>
  <c r="J5279" i="1"/>
  <c r="I5279" i="1"/>
  <c r="H5279" i="1"/>
  <c r="G5279" i="1"/>
  <c r="M5278" i="1"/>
  <c r="L5278" i="1"/>
  <c r="K5278" i="1"/>
  <c r="J5278" i="1"/>
  <c r="I5278" i="1"/>
  <c r="H5278" i="1"/>
  <c r="G5278" i="1"/>
  <c r="M5277" i="1"/>
  <c r="L5277" i="1"/>
  <c r="K5277" i="1"/>
  <c r="J5277" i="1"/>
  <c r="I5277" i="1"/>
  <c r="H5277" i="1"/>
  <c r="G5277" i="1"/>
  <c r="M5276" i="1"/>
  <c r="L5276" i="1"/>
  <c r="K5276" i="1"/>
  <c r="J5276" i="1"/>
  <c r="I5276" i="1"/>
  <c r="H5276" i="1"/>
  <c r="G5276" i="1"/>
  <c r="M5275" i="1"/>
  <c r="L5275" i="1"/>
  <c r="K5275" i="1"/>
  <c r="J5275" i="1"/>
  <c r="I5275" i="1"/>
  <c r="H5275" i="1"/>
  <c r="G5275" i="1"/>
  <c r="M5274" i="1"/>
  <c r="L5274" i="1"/>
  <c r="K5274" i="1"/>
  <c r="J5274" i="1"/>
  <c r="I5274" i="1"/>
  <c r="H5274" i="1"/>
  <c r="G5274" i="1"/>
  <c r="M5273" i="1"/>
  <c r="L5273" i="1"/>
  <c r="K5273" i="1"/>
  <c r="J5273" i="1"/>
  <c r="I5273" i="1"/>
  <c r="H5273" i="1"/>
  <c r="G5273" i="1"/>
  <c r="M5272" i="1"/>
  <c r="L5272" i="1"/>
  <c r="K5272" i="1"/>
  <c r="J5272" i="1"/>
  <c r="I5272" i="1"/>
  <c r="H5272" i="1"/>
  <c r="G5272" i="1"/>
  <c r="M5271" i="1"/>
  <c r="L5271" i="1"/>
  <c r="K5271" i="1"/>
  <c r="J5271" i="1"/>
  <c r="I5271" i="1"/>
  <c r="H5271" i="1"/>
  <c r="G5271" i="1"/>
  <c r="M5270" i="1"/>
  <c r="L5270" i="1"/>
  <c r="K5270" i="1"/>
  <c r="J5270" i="1"/>
  <c r="I5270" i="1"/>
  <c r="H5270" i="1"/>
  <c r="G5270" i="1"/>
  <c r="M5269" i="1"/>
  <c r="L5269" i="1"/>
  <c r="K5269" i="1"/>
  <c r="J5269" i="1"/>
  <c r="I5269" i="1"/>
  <c r="H5269" i="1"/>
  <c r="G5269" i="1"/>
  <c r="M5268" i="1"/>
  <c r="L5268" i="1"/>
  <c r="K5268" i="1"/>
  <c r="J5268" i="1"/>
  <c r="I5268" i="1"/>
  <c r="H5268" i="1"/>
  <c r="G5268" i="1"/>
  <c r="M5267" i="1"/>
  <c r="L5267" i="1"/>
  <c r="K5267" i="1"/>
  <c r="J5267" i="1"/>
  <c r="I5267" i="1"/>
  <c r="H5267" i="1"/>
  <c r="G5267" i="1"/>
  <c r="M5266" i="1"/>
  <c r="L5266" i="1"/>
  <c r="K5266" i="1"/>
  <c r="J5266" i="1"/>
  <c r="I5266" i="1"/>
  <c r="H5266" i="1"/>
  <c r="G5266" i="1"/>
  <c r="M5265" i="1"/>
  <c r="L5265" i="1"/>
  <c r="K5265" i="1"/>
  <c r="J5265" i="1"/>
  <c r="I5265" i="1"/>
  <c r="H5265" i="1"/>
  <c r="G5265" i="1"/>
  <c r="M5264" i="1"/>
  <c r="L5264" i="1"/>
  <c r="K5264" i="1"/>
  <c r="J5264" i="1"/>
  <c r="I5264" i="1"/>
  <c r="H5264" i="1"/>
  <c r="G5264" i="1"/>
  <c r="M5263" i="1"/>
  <c r="L5263" i="1"/>
  <c r="K5263" i="1"/>
  <c r="J5263" i="1"/>
  <c r="I5263" i="1"/>
  <c r="H5263" i="1"/>
  <c r="G5263" i="1"/>
  <c r="M5262" i="1"/>
  <c r="L5262" i="1"/>
  <c r="K5262" i="1"/>
  <c r="J5262" i="1"/>
  <c r="I5262" i="1"/>
  <c r="H5262" i="1"/>
  <c r="G5262" i="1"/>
  <c r="M5261" i="1"/>
  <c r="L5261" i="1"/>
  <c r="K5261" i="1"/>
  <c r="J5261" i="1"/>
  <c r="I5261" i="1"/>
  <c r="H5261" i="1"/>
  <c r="G5261" i="1"/>
  <c r="M5260" i="1"/>
  <c r="L5260" i="1"/>
  <c r="K5260" i="1"/>
  <c r="J5260" i="1"/>
  <c r="I5260" i="1"/>
  <c r="H5260" i="1"/>
  <c r="G5260" i="1"/>
  <c r="M5259" i="1"/>
  <c r="L5259" i="1"/>
  <c r="K5259" i="1"/>
  <c r="J5259" i="1"/>
  <c r="I5259" i="1"/>
  <c r="H5259" i="1"/>
  <c r="G5259" i="1"/>
  <c r="M5258" i="1"/>
  <c r="L5258" i="1"/>
  <c r="K5258" i="1"/>
  <c r="J5258" i="1"/>
  <c r="I5258" i="1"/>
  <c r="H5258" i="1"/>
  <c r="G5258" i="1"/>
  <c r="M5257" i="1"/>
  <c r="L5257" i="1"/>
  <c r="K5257" i="1"/>
  <c r="J5257" i="1"/>
  <c r="I5257" i="1"/>
  <c r="H5257" i="1"/>
  <c r="G5257" i="1"/>
  <c r="M5256" i="1"/>
  <c r="L5256" i="1"/>
  <c r="K5256" i="1"/>
  <c r="J5256" i="1"/>
  <c r="I5256" i="1"/>
  <c r="H5256" i="1"/>
  <c r="G5256" i="1"/>
  <c r="M5255" i="1"/>
  <c r="L5255" i="1"/>
  <c r="K5255" i="1"/>
  <c r="J5255" i="1"/>
  <c r="I5255" i="1"/>
  <c r="H5255" i="1"/>
  <c r="G5255" i="1"/>
  <c r="M5254" i="1"/>
  <c r="L5254" i="1"/>
  <c r="K5254" i="1"/>
  <c r="J5254" i="1"/>
  <c r="I5254" i="1"/>
  <c r="H5254" i="1"/>
  <c r="G5254" i="1"/>
  <c r="M5253" i="1"/>
  <c r="L5253" i="1"/>
  <c r="K5253" i="1"/>
  <c r="J5253" i="1"/>
  <c r="I5253" i="1"/>
  <c r="H5253" i="1"/>
  <c r="G5253" i="1"/>
  <c r="M5252" i="1"/>
  <c r="L5252" i="1"/>
  <c r="K5252" i="1"/>
  <c r="J5252" i="1"/>
  <c r="I5252" i="1"/>
  <c r="H5252" i="1"/>
  <c r="G5252" i="1"/>
  <c r="M5251" i="1"/>
  <c r="L5251" i="1"/>
  <c r="K5251" i="1"/>
  <c r="J5251" i="1"/>
  <c r="I5251" i="1"/>
  <c r="H5251" i="1"/>
  <c r="G5251" i="1"/>
  <c r="M5250" i="1"/>
  <c r="L5250" i="1"/>
  <c r="K5250" i="1"/>
  <c r="J5250" i="1"/>
  <c r="I5250" i="1"/>
  <c r="H5250" i="1"/>
  <c r="G5250" i="1"/>
  <c r="M5249" i="1"/>
  <c r="L5249" i="1"/>
  <c r="K5249" i="1"/>
  <c r="J5249" i="1"/>
  <c r="I5249" i="1"/>
  <c r="H5249" i="1"/>
  <c r="G5249" i="1"/>
  <c r="M5248" i="1"/>
  <c r="L5248" i="1"/>
  <c r="K5248" i="1"/>
  <c r="J5248" i="1"/>
  <c r="I5248" i="1"/>
  <c r="H5248" i="1"/>
  <c r="G5248" i="1"/>
  <c r="M5247" i="1"/>
  <c r="L5247" i="1"/>
  <c r="K5247" i="1"/>
  <c r="J5247" i="1"/>
  <c r="I5247" i="1"/>
  <c r="H5247" i="1"/>
  <c r="G5247" i="1"/>
  <c r="M5246" i="1"/>
  <c r="L5246" i="1"/>
  <c r="K5246" i="1"/>
  <c r="J5246" i="1"/>
  <c r="I5246" i="1"/>
  <c r="H5246" i="1"/>
  <c r="G5246" i="1"/>
  <c r="M5245" i="1"/>
  <c r="L5245" i="1"/>
  <c r="K5245" i="1"/>
  <c r="J5245" i="1"/>
  <c r="I5245" i="1"/>
  <c r="H5245" i="1"/>
  <c r="G5245" i="1"/>
  <c r="M5244" i="1"/>
  <c r="L5244" i="1"/>
  <c r="K5244" i="1"/>
  <c r="J5244" i="1"/>
  <c r="I5244" i="1"/>
  <c r="H5244" i="1"/>
  <c r="G5244" i="1"/>
  <c r="M5243" i="1"/>
  <c r="L5243" i="1"/>
  <c r="K5243" i="1"/>
  <c r="J5243" i="1"/>
  <c r="I5243" i="1"/>
  <c r="H5243" i="1"/>
  <c r="G5243" i="1"/>
  <c r="M5242" i="1"/>
  <c r="L5242" i="1"/>
  <c r="K5242" i="1"/>
  <c r="J5242" i="1"/>
  <c r="I5242" i="1"/>
  <c r="H5242" i="1"/>
  <c r="G5242" i="1"/>
  <c r="M5241" i="1"/>
  <c r="L5241" i="1"/>
  <c r="K5241" i="1"/>
  <c r="J5241" i="1"/>
  <c r="I5241" i="1"/>
  <c r="H5241" i="1"/>
  <c r="G5241" i="1"/>
  <c r="M5240" i="1"/>
  <c r="L5240" i="1"/>
  <c r="K5240" i="1"/>
  <c r="J5240" i="1"/>
  <c r="I5240" i="1"/>
  <c r="H5240" i="1"/>
  <c r="G5240" i="1"/>
  <c r="M5239" i="1"/>
  <c r="L5239" i="1"/>
  <c r="K5239" i="1"/>
  <c r="J5239" i="1"/>
  <c r="I5239" i="1"/>
  <c r="H5239" i="1"/>
  <c r="G5239" i="1"/>
  <c r="M5238" i="1"/>
  <c r="L5238" i="1"/>
  <c r="K5238" i="1"/>
  <c r="J5238" i="1"/>
  <c r="I5238" i="1"/>
  <c r="H5238" i="1"/>
  <c r="G5238" i="1"/>
  <c r="M5237" i="1"/>
  <c r="L5237" i="1"/>
  <c r="K5237" i="1"/>
  <c r="J5237" i="1"/>
  <c r="I5237" i="1"/>
  <c r="H5237" i="1"/>
  <c r="G5237" i="1"/>
  <c r="M5236" i="1"/>
  <c r="L5236" i="1"/>
  <c r="K5236" i="1"/>
  <c r="J5236" i="1"/>
  <c r="I5236" i="1"/>
  <c r="H5236" i="1"/>
  <c r="G5236" i="1"/>
  <c r="M5235" i="1"/>
  <c r="L5235" i="1"/>
  <c r="K5235" i="1"/>
  <c r="J5235" i="1"/>
  <c r="I5235" i="1"/>
  <c r="H5235" i="1"/>
  <c r="G5235" i="1"/>
  <c r="M5234" i="1"/>
  <c r="L5234" i="1"/>
  <c r="K5234" i="1"/>
  <c r="J5234" i="1"/>
  <c r="I5234" i="1"/>
  <c r="H5234" i="1"/>
  <c r="G5234" i="1"/>
  <c r="M5233" i="1"/>
  <c r="L5233" i="1"/>
  <c r="K5233" i="1"/>
  <c r="J5233" i="1"/>
  <c r="I5233" i="1"/>
  <c r="H5233" i="1"/>
  <c r="G5233" i="1"/>
  <c r="M5232" i="1"/>
  <c r="L5232" i="1"/>
  <c r="K5232" i="1"/>
  <c r="J5232" i="1"/>
  <c r="I5232" i="1"/>
  <c r="H5232" i="1"/>
  <c r="G5232" i="1"/>
  <c r="M5231" i="1"/>
  <c r="L5231" i="1"/>
  <c r="K5231" i="1"/>
  <c r="J5231" i="1"/>
  <c r="I5231" i="1"/>
  <c r="H5231" i="1"/>
  <c r="G5231" i="1"/>
  <c r="M5230" i="1"/>
  <c r="L5230" i="1"/>
  <c r="K5230" i="1"/>
  <c r="J5230" i="1"/>
  <c r="I5230" i="1"/>
  <c r="H5230" i="1"/>
  <c r="G5230" i="1"/>
  <c r="M5229" i="1"/>
  <c r="L5229" i="1"/>
  <c r="K5229" i="1"/>
  <c r="J5229" i="1"/>
  <c r="I5229" i="1"/>
  <c r="H5229" i="1"/>
  <c r="G5229" i="1"/>
  <c r="M5228" i="1"/>
  <c r="L5228" i="1"/>
  <c r="K5228" i="1"/>
  <c r="J5228" i="1"/>
  <c r="I5228" i="1"/>
  <c r="H5228" i="1"/>
  <c r="G5228" i="1"/>
  <c r="M5227" i="1"/>
  <c r="L5227" i="1"/>
  <c r="K5227" i="1"/>
  <c r="J5227" i="1"/>
  <c r="I5227" i="1"/>
  <c r="H5227" i="1"/>
  <c r="G5227" i="1"/>
  <c r="M5226" i="1"/>
  <c r="L5226" i="1"/>
  <c r="K5226" i="1"/>
  <c r="J5226" i="1"/>
  <c r="I5226" i="1"/>
  <c r="H5226" i="1"/>
  <c r="G5226" i="1"/>
  <c r="M5225" i="1"/>
  <c r="L5225" i="1"/>
  <c r="K5225" i="1"/>
  <c r="J5225" i="1"/>
  <c r="I5225" i="1"/>
  <c r="H5225" i="1"/>
  <c r="G5225" i="1"/>
  <c r="M5224" i="1"/>
  <c r="L5224" i="1"/>
  <c r="K5224" i="1"/>
  <c r="J5224" i="1"/>
  <c r="I5224" i="1"/>
  <c r="H5224" i="1"/>
  <c r="G5224" i="1"/>
  <c r="M5223" i="1"/>
  <c r="L5223" i="1"/>
  <c r="K5223" i="1"/>
  <c r="J5223" i="1"/>
  <c r="I5223" i="1"/>
  <c r="H5223" i="1"/>
  <c r="G5223" i="1"/>
  <c r="M5222" i="1"/>
  <c r="L5222" i="1"/>
  <c r="K5222" i="1"/>
  <c r="J5222" i="1"/>
  <c r="I5222" i="1"/>
  <c r="H5222" i="1"/>
  <c r="G5222" i="1"/>
  <c r="M5221" i="1"/>
  <c r="L5221" i="1"/>
  <c r="K5221" i="1"/>
  <c r="J5221" i="1"/>
  <c r="I5221" i="1"/>
  <c r="H5221" i="1"/>
  <c r="G5221" i="1"/>
  <c r="M5220" i="1"/>
  <c r="L5220" i="1"/>
  <c r="K5220" i="1"/>
  <c r="J5220" i="1"/>
  <c r="I5220" i="1"/>
  <c r="H5220" i="1"/>
  <c r="G5220" i="1"/>
  <c r="M5219" i="1"/>
  <c r="L5219" i="1"/>
  <c r="K5219" i="1"/>
  <c r="J5219" i="1"/>
  <c r="I5219" i="1"/>
  <c r="H5219" i="1"/>
  <c r="G5219" i="1"/>
  <c r="M5218" i="1"/>
  <c r="L5218" i="1"/>
  <c r="K5218" i="1"/>
  <c r="J5218" i="1"/>
  <c r="I5218" i="1"/>
  <c r="H5218" i="1"/>
  <c r="G5218" i="1"/>
  <c r="M5217" i="1"/>
  <c r="L5217" i="1"/>
  <c r="K5217" i="1"/>
  <c r="J5217" i="1"/>
  <c r="I5217" i="1"/>
  <c r="H5217" i="1"/>
  <c r="G5217" i="1"/>
  <c r="M5216" i="1"/>
  <c r="L5216" i="1"/>
  <c r="K5216" i="1"/>
  <c r="J5216" i="1"/>
  <c r="I5216" i="1"/>
  <c r="H5216" i="1"/>
  <c r="G5216" i="1"/>
  <c r="M5215" i="1"/>
  <c r="L5215" i="1"/>
  <c r="K5215" i="1"/>
  <c r="J5215" i="1"/>
  <c r="I5215" i="1"/>
  <c r="H5215" i="1"/>
  <c r="G5215" i="1"/>
  <c r="M5214" i="1"/>
  <c r="L5214" i="1"/>
  <c r="K5214" i="1"/>
  <c r="J5214" i="1"/>
  <c r="I5214" i="1"/>
  <c r="H5214" i="1"/>
  <c r="G5214" i="1"/>
  <c r="M5213" i="1"/>
  <c r="L5213" i="1"/>
  <c r="K5213" i="1"/>
  <c r="J5213" i="1"/>
  <c r="I5213" i="1"/>
  <c r="H5213" i="1"/>
  <c r="G5213" i="1"/>
  <c r="M5212" i="1"/>
  <c r="L5212" i="1"/>
  <c r="K5212" i="1"/>
  <c r="J5212" i="1"/>
  <c r="I5212" i="1"/>
  <c r="H5212" i="1"/>
  <c r="G5212" i="1"/>
  <c r="M5211" i="1"/>
  <c r="L5211" i="1"/>
  <c r="K5211" i="1"/>
  <c r="J5211" i="1"/>
  <c r="I5211" i="1"/>
  <c r="H5211" i="1"/>
  <c r="G5211" i="1"/>
  <c r="M5210" i="1"/>
  <c r="L5210" i="1"/>
  <c r="K5210" i="1"/>
  <c r="J5210" i="1"/>
  <c r="I5210" i="1"/>
  <c r="H5210" i="1"/>
  <c r="G5210" i="1"/>
  <c r="M5209" i="1"/>
  <c r="L5209" i="1"/>
  <c r="K5209" i="1"/>
  <c r="J5209" i="1"/>
  <c r="I5209" i="1"/>
  <c r="H5209" i="1"/>
  <c r="G5209" i="1"/>
  <c r="M5208" i="1"/>
  <c r="L5208" i="1"/>
  <c r="K5208" i="1"/>
  <c r="J5208" i="1"/>
  <c r="I5208" i="1"/>
  <c r="H5208" i="1"/>
  <c r="G5208" i="1"/>
  <c r="M5207" i="1"/>
  <c r="L5207" i="1"/>
  <c r="K5207" i="1"/>
  <c r="J5207" i="1"/>
  <c r="I5207" i="1"/>
  <c r="H5207" i="1"/>
  <c r="G5207" i="1"/>
  <c r="M5206" i="1"/>
  <c r="L5206" i="1"/>
  <c r="K5206" i="1"/>
  <c r="J5206" i="1"/>
  <c r="I5206" i="1"/>
  <c r="H5206" i="1"/>
  <c r="G5206" i="1"/>
  <c r="M5205" i="1"/>
  <c r="L5205" i="1"/>
  <c r="K5205" i="1"/>
  <c r="J5205" i="1"/>
  <c r="I5205" i="1"/>
  <c r="H5205" i="1"/>
  <c r="G5205" i="1"/>
  <c r="M5204" i="1"/>
  <c r="L5204" i="1"/>
  <c r="K5204" i="1"/>
  <c r="J5204" i="1"/>
  <c r="I5204" i="1"/>
  <c r="H5204" i="1"/>
  <c r="G5204" i="1"/>
  <c r="M5203" i="1"/>
  <c r="L5203" i="1"/>
  <c r="K5203" i="1"/>
  <c r="J5203" i="1"/>
  <c r="I5203" i="1"/>
  <c r="H5203" i="1"/>
  <c r="G5203" i="1"/>
  <c r="M5202" i="1"/>
  <c r="L5202" i="1"/>
  <c r="K5202" i="1"/>
  <c r="J5202" i="1"/>
  <c r="I5202" i="1"/>
  <c r="H5202" i="1"/>
  <c r="G5202" i="1"/>
  <c r="M5201" i="1"/>
  <c r="L5201" i="1"/>
  <c r="K5201" i="1"/>
  <c r="J5201" i="1"/>
  <c r="I5201" i="1"/>
  <c r="H5201" i="1"/>
  <c r="G5201" i="1"/>
  <c r="M5200" i="1"/>
  <c r="L5200" i="1"/>
  <c r="K5200" i="1"/>
  <c r="J5200" i="1"/>
  <c r="I5200" i="1"/>
  <c r="H5200" i="1"/>
  <c r="G5200" i="1"/>
  <c r="M5199" i="1"/>
  <c r="L5199" i="1"/>
  <c r="K5199" i="1"/>
  <c r="J5199" i="1"/>
  <c r="I5199" i="1"/>
  <c r="H5199" i="1"/>
  <c r="G5199" i="1"/>
  <c r="M5198" i="1"/>
  <c r="L5198" i="1"/>
  <c r="K5198" i="1"/>
  <c r="J5198" i="1"/>
  <c r="I5198" i="1"/>
  <c r="H5198" i="1"/>
  <c r="G5198" i="1"/>
  <c r="M5197" i="1"/>
  <c r="L5197" i="1"/>
  <c r="K5197" i="1"/>
  <c r="J5197" i="1"/>
  <c r="I5197" i="1"/>
  <c r="H5197" i="1"/>
  <c r="G5197" i="1"/>
  <c r="M5196" i="1"/>
  <c r="L5196" i="1"/>
  <c r="K5196" i="1"/>
  <c r="J5196" i="1"/>
  <c r="I5196" i="1"/>
  <c r="H5196" i="1"/>
  <c r="G5196" i="1"/>
  <c r="M5195" i="1"/>
  <c r="L5195" i="1"/>
  <c r="K5195" i="1"/>
  <c r="J5195" i="1"/>
  <c r="I5195" i="1"/>
  <c r="H5195" i="1"/>
  <c r="G5195" i="1"/>
  <c r="M5194" i="1"/>
  <c r="L5194" i="1"/>
  <c r="K5194" i="1"/>
  <c r="J5194" i="1"/>
  <c r="I5194" i="1"/>
  <c r="H5194" i="1"/>
  <c r="G5194" i="1"/>
  <c r="M5193" i="1"/>
  <c r="L5193" i="1"/>
  <c r="K5193" i="1"/>
  <c r="J5193" i="1"/>
  <c r="I5193" i="1"/>
  <c r="H5193" i="1"/>
  <c r="G5193" i="1"/>
  <c r="M5192" i="1"/>
  <c r="L5192" i="1"/>
  <c r="K5192" i="1"/>
  <c r="J5192" i="1"/>
  <c r="I5192" i="1"/>
  <c r="H5192" i="1"/>
  <c r="G5192" i="1"/>
  <c r="M5191" i="1"/>
  <c r="L5191" i="1"/>
  <c r="K5191" i="1"/>
  <c r="J5191" i="1"/>
  <c r="I5191" i="1"/>
  <c r="H5191" i="1"/>
  <c r="G5191" i="1"/>
  <c r="M5190" i="1"/>
  <c r="L5190" i="1"/>
  <c r="K5190" i="1"/>
  <c r="J5190" i="1"/>
  <c r="I5190" i="1"/>
  <c r="H5190" i="1"/>
  <c r="G5190" i="1"/>
  <c r="M5189" i="1"/>
  <c r="L5189" i="1"/>
  <c r="K5189" i="1"/>
  <c r="J5189" i="1"/>
  <c r="I5189" i="1"/>
  <c r="H5189" i="1"/>
  <c r="G5189" i="1"/>
  <c r="M5188" i="1"/>
  <c r="L5188" i="1"/>
  <c r="K5188" i="1"/>
  <c r="J5188" i="1"/>
  <c r="I5188" i="1"/>
  <c r="H5188" i="1"/>
  <c r="G5188" i="1"/>
  <c r="M5187" i="1"/>
  <c r="L5187" i="1"/>
  <c r="K5187" i="1"/>
  <c r="J5187" i="1"/>
  <c r="I5187" i="1"/>
  <c r="H5187" i="1"/>
  <c r="G5187" i="1"/>
  <c r="M5186" i="1"/>
  <c r="L5186" i="1"/>
  <c r="K5186" i="1"/>
  <c r="J5186" i="1"/>
  <c r="I5186" i="1"/>
  <c r="H5186" i="1"/>
  <c r="G5186" i="1"/>
  <c r="M5185" i="1"/>
  <c r="L5185" i="1"/>
  <c r="K5185" i="1"/>
  <c r="J5185" i="1"/>
  <c r="I5185" i="1"/>
  <c r="H5185" i="1"/>
  <c r="G5185" i="1"/>
  <c r="M5184" i="1"/>
  <c r="L5184" i="1"/>
  <c r="K5184" i="1"/>
  <c r="J5184" i="1"/>
  <c r="I5184" i="1"/>
  <c r="H5184" i="1"/>
  <c r="G5184" i="1"/>
  <c r="M5183" i="1"/>
  <c r="L5183" i="1"/>
  <c r="K5183" i="1"/>
  <c r="J5183" i="1"/>
  <c r="I5183" i="1"/>
  <c r="H5183" i="1"/>
  <c r="G5183" i="1"/>
  <c r="M5182" i="1"/>
  <c r="L5182" i="1"/>
  <c r="K5182" i="1"/>
  <c r="J5182" i="1"/>
  <c r="I5182" i="1"/>
  <c r="H5182" i="1"/>
  <c r="G5182" i="1"/>
  <c r="M5181" i="1"/>
  <c r="L5181" i="1"/>
  <c r="K5181" i="1"/>
  <c r="J5181" i="1"/>
  <c r="I5181" i="1"/>
  <c r="H5181" i="1"/>
  <c r="G5181" i="1"/>
  <c r="M5180" i="1"/>
  <c r="L5180" i="1"/>
  <c r="K5180" i="1"/>
  <c r="J5180" i="1"/>
  <c r="I5180" i="1"/>
  <c r="H5180" i="1"/>
  <c r="G5180" i="1"/>
  <c r="M5179" i="1"/>
  <c r="L5179" i="1"/>
  <c r="K5179" i="1"/>
  <c r="J5179" i="1"/>
  <c r="I5179" i="1"/>
  <c r="H5179" i="1"/>
  <c r="G5179" i="1"/>
  <c r="M5178" i="1"/>
  <c r="L5178" i="1"/>
  <c r="K5178" i="1"/>
  <c r="J5178" i="1"/>
  <c r="I5178" i="1"/>
  <c r="H5178" i="1"/>
  <c r="G5178" i="1"/>
  <c r="M5177" i="1"/>
  <c r="L5177" i="1"/>
  <c r="K5177" i="1"/>
  <c r="J5177" i="1"/>
  <c r="I5177" i="1"/>
  <c r="H5177" i="1"/>
  <c r="G5177" i="1"/>
  <c r="M5176" i="1"/>
  <c r="L5176" i="1"/>
  <c r="K5176" i="1"/>
  <c r="J5176" i="1"/>
  <c r="I5176" i="1"/>
  <c r="H5176" i="1"/>
  <c r="G5176" i="1"/>
  <c r="M5175" i="1"/>
  <c r="L5175" i="1"/>
  <c r="K5175" i="1"/>
  <c r="J5175" i="1"/>
  <c r="I5175" i="1"/>
  <c r="H5175" i="1"/>
  <c r="G5175" i="1"/>
  <c r="M5174" i="1"/>
  <c r="L5174" i="1"/>
  <c r="K5174" i="1"/>
  <c r="J5174" i="1"/>
  <c r="I5174" i="1"/>
  <c r="H5174" i="1"/>
  <c r="G5174" i="1"/>
  <c r="M5173" i="1"/>
  <c r="L5173" i="1"/>
  <c r="K5173" i="1"/>
  <c r="J5173" i="1"/>
  <c r="I5173" i="1"/>
  <c r="H5173" i="1"/>
  <c r="G5173" i="1"/>
  <c r="M5172" i="1"/>
  <c r="L5172" i="1"/>
  <c r="K5172" i="1"/>
  <c r="J5172" i="1"/>
  <c r="I5172" i="1"/>
  <c r="H5172" i="1"/>
  <c r="G5172" i="1"/>
  <c r="M5171" i="1"/>
  <c r="L5171" i="1"/>
  <c r="K5171" i="1"/>
  <c r="J5171" i="1"/>
  <c r="I5171" i="1"/>
  <c r="H5171" i="1"/>
  <c r="G5171" i="1"/>
  <c r="M5170" i="1"/>
  <c r="L5170" i="1"/>
  <c r="K5170" i="1"/>
  <c r="J5170" i="1"/>
  <c r="I5170" i="1"/>
  <c r="H5170" i="1"/>
  <c r="G5170" i="1"/>
  <c r="M5169" i="1"/>
  <c r="L5169" i="1"/>
  <c r="K5169" i="1"/>
  <c r="J5169" i="1"/>
  <c r="I5169" i="1"/>
  <c r="H5169" i="1"/>
  <c r="G5169" i="1"/>
  <c r="M5168" i="1"/>
  <c r="L5168" i="1"/>
  <c r="K5168" i="1"/>
  <c r="J5168" i="1"/>
  <c r="I5168" i="1"/>
  <c r="H5168" i="1"/>
  <c r="G5168" i="1"/>
  <c r="M5167" i="1"/>
  <c r="L5167" i="1"/>
  <c r="K5167" i="1"/>
  <c r="J5167" i="1"/>
  <c r="I5167" i="1"/>
  <c r="H5167" i="1"/>
  <c r="G5167" i="1"/>
  <c r="M5166" i="1"/>
  <c r="L5166" i="1"/>
  <c r="K5166" i="1"/>
  <c r="J5166" i="1"/>
  <c r="I5166" i="1"/>
  <c r="H5166" i="1"/>
  <c r="G5166" i="1"/>
  <c r="M5165" i="1"/>
  <c r="L5165" i="1"/>
  <c r="K5165" i="1"/>
  <c r="J5165" i="1"/>
  <c r="I5165" i="1"/>
  <c r="H5165" i="1"/>
  <c r="G5165" i="1"/>
  <c r="M5164" i="1"/>
  <c r="L5164" i="1"/>
  <c r="K5164" i="1"/>
  <c r="J5164" i="1"/>
  <c r="I5164" i="1"/>
  <c r="H5164" i="1"/>
  <c r="G5164" i="1"/>
  <c r="M5163" i="1"/>
  <c r="L5163" i="1"/>
  <c r="K5163" i="1"/>
  <c r="J5163" i="1"/>
  <c r="I5163" i="1"/>
  <c r="H5163" i="1"/>
  <c r="G5163" i="1"/>
  <c r="M5162" i="1"/>
  <c r="L5162" i="1"/>
  <c r="K5162" i="1"/>
  <c r="J5162" i="1"/>
  <c r="I5162" i="1"/>
  <c r="H5162" i="1"/>
  <c r="G5162" i="1"/>
  <c r="M5161" i="1"/>
  <c r="L5161" i="1"/>
  <c r="K5161" i="1"/>
  <c r="J5161" i="1"/>
  <c r="I5161" i="1"/>
  <c r="H5161" i="1"/>
  <c r="G5161" i="1"/>
  <c r="M5160" i="1"/>
  <c r="L5160" i="1"/>
  <c r="K5160" i="1"/>
  <c r="J5160" i="1"/>
  <c r="I5160" i="1"/>
  <c r="H5160" i="1"/>
  <c r="G5160" i="1"/>
  <c r="M5159" i="1"/>
  <c r="L5159" i="1"/>
  <c r="K5159" i="1"/>
  <c r="J5159" i="1"/>
  <c r="I5159" i="1"/>
  <c r="H5159" i="1"/>
  <c r="G5159" i="1"/>
  <c r="M5158" i="1"/>
  <c r="L5158" i="1"/>
  <c r="K5158" i="1"/>
  <c r="J5158" i="1"/>
  <c r="I5158" i="1"/>
  <c r="H5158" i="1"/>
  <c r="G5158" i="1"/>
  <c r="M5157" i="1"/>
  <c r="L5157" i="1"/>
  <c r="K5157" i="1"/>
  <c r="J5157" i="1"/>
  <c r="I5157" i="1"/>
  <c r="H5157" i="1"/>
  <c r="G5157" i="1"/>
  <c r="M5156" i="1"/>
  <c r="L5156" i="1"/>
  <c r="K5156" i="1"/>
  <c r="J5156" i="1"/>
  <c r="I5156" i="1"/>
  <c r="H5156" i="1"/>
  <c r="G5156" i="1"/>
  <c r="M5155" i="1"/>
  <c r="L5155" i="1"/>
  <c r="K5155" i="1"/>
  <c r="J5155" i="1"/>
  <c r="I5155" i="1"/>
  <c r="H5155" i="1"/>
  <c r="G5155" i="1"/>
  <c r="M5154" i="1"/>
  <c r="L5154" i="1"/>
  <c r="K5154" i="1"/>
  <c r="J5154" i="1"/>
  <c r="I5154" i="1"/>
  <c r="H5154" i="1"/>
  <c r="G5154" i="1"/>
  <c r="M5153" i="1"/>
  <c r="L5153" i="1"/>
  <c r="K5153" i="1"/>
  <c r="J5153" i="1"/>
  <c r="I5153" i="1"/>
  <c r="H5153" i="1"/>
  <c r="G5153" i="1"/>
  <c r="M5152" i="1"/>
  <c r="L5152" i="1"/>
  <c r="K5152" i="1"/>
  <c r="J5152" i="1"/>
  <c r="I5152" i="1"/>
  <c r="H5152" i="1"/>
  <c r="G5152" i="1"/>
  <c r="M5151" i="1"/>
  <c r="L5151" i="1"/>
  <c r="K5151" i="1"/>
  <c r="J5151" i="1"/>
  <c r="I5151" i="1"/>
  <c r="H5151" i="1"/>
  <c r="G5151" i="1"/>
  <c r="M5150" i="1"/>
  <c r="L5150" i="1"/>
  <c r="K5150" i="1"/>
  <c r="J5150" i="1"/>
  <c r="I5150" i="1"/>
  <c r="H5150" i="1"/>
  <c r="G5150" i="1"/>
  <c r="M5149" i="1"/>
  <c r="L5149" i="1"/>
  <c r="K5149" i="1"/>
  <c r="J5149" i="1"/>
  <c r="I5149" i="1"/>
  <c r="H5149" i="1"/>
  <c r="G5149" i="1"/>
  <c r="M5148" i="1"/>
  <c r="L5148" i="1"/>
  <c r="K5148" i="1"/>
  <c r="J5148" i="1"/>
  <c r="I5148" i="1"/>
  <c r="H5148" i="1"/>
  <c r="G5148" i="1"/>
  <c r="M5147" i="1"/>
  <c r="L5147" i="1"/>
  <c r="K5147" i="1"/>
  <c r="J5147" i="1"/>
  <c r="I5147" i="1"/>
  <c r="H5147" i="1"/>
  <c r="G5147" i="1"/>
  <c r="M5146" i="1"/>
  <c r="L5146" i="1"/>
  <c r="K5146" i="1"/>
  <c r="J5146" i="1"/>
  <c r="I5146" i="1"/>
  <c r="H5146" i="1"/>
  <c r="G5146" i="1"/>
  <c r="M5145" i="1"/>
  <c r="L5145" i="1"/>
  <c r="K5145" i="1"/>
  <c r="J5145" i="1"/>
  <c r="I5145" i="1"/>
  <c r="H5145" i="1"/>
  <c r="G5145" i="1"/>
  <c r="M5144" i="1"/>
  <c r="L5144" i="1"/>
  <c r="K5144" i="1"/>
  <c r="J5144" i="1"/>
  <c r="I5144" i="1"/>
  <c r="H5144" i="1"/>
  <c r="G5144" i="1"/>
  <c r="M5143" i="1"/>
  <c r="L5143" i="1"/>
  <c r="K5143" i="1"/>
  <c r="J5143" i="1"/>
  <c r="I5143" i="1"/>
  <c r="H5143" i="1"/>
  <c r="G5143" i="1"/>
  <c r="M5142" i="1"/>
  <c r="L5142" i="1"/>
  <c r="K5142" i="1"/>
  <c r="J5142" i="1"/>
  <c r="I5142" i="1"/>
  <c r="H5142" i="1"/>
  <c r="G5142" i="1"/>
  <c r="M5141" i="1"/>
  <c r="L5141" i="1"/>
  <c r="K5141" i="1"/>
  <c r="J5141" i="1"/>
  <c r="I5141" i="1"/>
  <c r="H5141" i="1"/>
  <c r="G5141" i="1"/>
  <c r="M5140" i="1"/>
  <c r="L5140" i="1"/>
  <c r="K5140" i="1"/>
  <c r="J5140" i="1"/>
  <c r="I5140" i="1"/>
  <c r="H5140" i="1"/>
  <c r="G5140" i="1"/>
  <c r="M5139" i="1"/>
  <c r="L5139" i="1"/>
  <c r="K5139" i="1"/>
  <c r="J5139" i="1"/>
  <c r="I5139" i="1"/>
  <c r="H5139" i="1"/>
  <c r="G5139" i="1"/>
  <c r="M5138" i="1"/>
  <c r="L5138" i="1"/>
  <c r="K5138" i="1"/>
  <c r="J5138" i="1"/>
  <c r="I5138" i="1"/>
  <c r="H5138" i="1"/>
  <c r="G5138" i="1"/>
  <c r="M5137" i="1"/>
  <c r="L5137" i="1"/>
  <c r="K5137" i="1"/>
  <c r="J5137" i="1"/>
  <c r="I5137" i="1"/>
  <c r="H5137" i="1"/>
  <c r="G5137" i="1"/>
  <c r="M5136" i="1"/>
  <c r="L5136" i="1"/>
  <c r="K5136" i="1"/>
  <c r="J5136" i="1"/>
  <c r="I5136" i="1"/>
  <c r="H5136" i="1"/>
  <c r="G5136" i="1"/>
  <c r="M5135" i="1"/>
  <c r="L5135" i="1"/>
  <c r="K5135" i="1"/>
  <c r="J5135" i="1"/>
  <c r="I5135" i="1"/>
  <c r="H5135" i="1"/>
  <c r="G5135" i="1"/>
  <c r="M5134" i="1"/>
  <c r="L5134" i="1"/>
  <c r="K5134" i="1"/>
  <c r="J5134" i="1"/>
  <c r="I5134" i="1"/>
  <c r="H5134" i="1"/>
  <c r="G5134" i="1"/>
  <c r="M5133" i="1"/>
  <c r="L5133" i="1"/>
  <c r="K5133" i="1"/>
  <c r="J5133" i="1"/>
  <c r="I5133" i="1"/>
  <c r="H5133" i="1"/>
  <c r="G5133" i="1"/>
  <c r="M5132" i="1"/>
  <c r="L5132" i="1"/>
  <c r="K5132" i="1"/>
  <c r="J5132" i="1"/>
  <c r="I5132" i="1"/>
  <c r="H5132" i="1"/>
  <c r="G5132" i="1"/>
  <c r="M5131" i="1"/>
  <c r="L5131" i="1"/>
  <c r="K5131" i="1"/>
  <c r="J5131" i="1"/>
  <c r="I5131" i="1"/>
  <c r="H5131" i="1"/>
  <c r="G5131" i="1"/>
  <c r="M5130" i="1"/>
  <c r="L5130" i="1"/>
  <c r="K5130" i="1"/>
  <c r="J5130" i="1"/>
  <c r="I5130" i="1"/>
  <c r="H5130" i="1"/>
  <c r="G5130" i="1"/>
  <c r="M5129" i="1"/>
  <c r="L5129" i="1"/>
  <c r="K5129" i="1"/>
  <c r="J5129" i="1"/>
  <c r="I5129" i="1"/>
  <c r="H5129" i="1"/>
  <c r="G5129" i="1"/>
  <c r="M5128" i="1"/>
  <c r="L5128" i="1"/>
  <c r="K5128" i="1"/>
  <c r="J5128" i="1"/>
  <c r="I5128" i="1"/>
  <c r="H5128" i="1"/>
  <c r="G5128" i="1"/>
  <c r="M5127" i="1"/>
  <c r="L5127" i="1"/>
  <c r="K5127" i="1"/>
  <c r="J5127" i="1"/>
  <c r="I5127" i="1"/>
  <c r="H5127" i="1"/>
  <c r="G5127" i="1"/>
  <c r="M5126" i="1"/>
  <c r="L5126" i="1"/>
  <c r="K5126" i="1"/>
  <c r="J5126" i="1"/>
  <c r="I5126" i="1"/>
  <c r="H5126" i="1"/>
  <c r="G5126" i="1"/>
  <c r="M5125" i="1"/>
  <c r="L5125" i="1"/>
  <c r="K5125" i="1"/>
  <c r="J5125" i="1"/>
  <c r="I5125" i="1"/>
  <c r="H5125" i="1"/>
  <c r="G5125" i="1"/>
  <c r="M5124" i="1"/>
  <c r="L5124" i="1"/>
  <c r="K5124" i="1"/>
  <c r="J5124" i="1"/>
  <c r="I5124" i="1"/>
  <c r="H5124" i="1"/>
  <c r="G5124" i="1"/>
  <c r="M5123" i="1"/>
  <c r="L5123" i="1"/>
  <c r="K5123" i="1"/>
  <c r="J5123" i="1"/>
  <c r="I5123" i="1"/>
  <c r="H5123" i="1"/>
  <c r="G5123" i="1"/>
  <c r="M5122" i="1"/>
  <c r="L5122" i="1"/>
  <c r="K5122" i="1"/>
  <c r="J5122" i="1"/>
  <c r="I5122" i="1"/>
  <c r="H5122" i="1"/>
  <c r="G5122" i="1"/>
  <c r="M5121" i="1"/>
  <c r="L5121" i="1"/>
  <c r="K5121" i="1"/>
  <c r="J5121" i="1"/>
  <c r="I5121" i="1"/>
  <c r="H5121" i="1"/>
  <c r="G5121" i="1"/>
  <c r="M5120" i="1"/>
  <c r="L5120" i="1"/>
  <c r="K5120" i="1"/>
  <c r="J5120" i="1"/>
  <c r="I5120" i="1"/>
  <c r="H5120" i="1"/>
  <c r="G5120" i="1"/>
  <c r="M5119" i="1"/>
  <c r="L5119" i="1"/>
  <c r="K5119" i="1"/>
  <c r="J5119" i="1"/>
  <c r="I5119" i="1"/>
  <c r="H5119" i="1"/>
  <c r="G5119" i="1"/>
  <c r="M5118" i="1"/>
  <c r="L5118" i="1"/>
  <c r="K5118" i="1"/>
  <c r="J5118" i="1"/>
  <c r="I5118" i="1"/>
  <c r="H5118" i="1"/>
  <c r="G5118" i="1"/>
  <c r="M5117" i="1"/>
  <c r="L5117" i="1"/>
  <c r="K5117" i="1"/>
  <c r="J5117" i="1"/>
  <c r="I5117" i="1"/>
  <c r="H5117" i="1"/>
  <c r="G5117" i="1"/>
  <c r="M5116" i="1"/>
  <c r="L5116" i="1"/>
  <c r="K5116" i="1"/>
  <c r="J5116" i="1"/>
  <c r="I5116" i="1"/>
  <c r="H5116" i="1"/>
  <c r="G5116" i="1"/>
  <c r="M5115" i="1"/>
  <c r="L5115" i="1"/>
  <c r="K5115" i="1"/>
  <c r="J5115" i="1"/>
  <c r="I5115" i="1"/>
  <c r="H5115" i="1"/>
  <c r="G5115" i="1"/>
  <c r="M5114" i="1"/>
  <c r="L5114" i="1"/>
  <c r="K5114" i="1"/>
  <c r="J5114" i="1"/>
  <c r="I5114" i="1"/>
  <c r="H5114" i="1"/>
  <c r="G5114" i="1"/>
  <c r="M5113" i="1"/>
  <c r="L5113" i="1"/>
  <c r="K5113" i="1"/>
  <c r="J5113" i="1"/>
  <c r="I5113" i="1"/>
  <c r="H5113" i="1"/>
  <c r="G5113" i="1"/>
  <c r="M5112" i="1"/>
  <c r="L5112" i="1"/>
  <c r="K5112" i="1"/>
  <c r="J5112" i="1"/>
  <c r="I5112" i="1"/>
  <c r="H5112" i="1"/>
  <c r="G5112" i="1"/>
  <c r="M5111" i="1"/>
  <c r="L5111" i="1"/>
  <c r="K5111" i="1"/>
  <c r="J5111" i="1"/>
  <c r="I5111" i="1"/>
  <c r="H5111" i="1"/>
  <c r="G5111" i="1"/>
  <c r="M5110" i="1"/>
  <c r="L5110" i="1"/>
  <c r="K5110" i="1"/>
  <c r="J5110" i="1"/>
  <c r="I5110" i="1"/>
  <c r="H5110" i="1"/>
  <c r="G5110" i="1"/>
  <c r="M5109" i="1"/>
  <c r="L5109" i="1"/>
  <c r="K5109" i="1"/>
  <c r="J5109" i="1"/>
  <c r="I5109" i="1"/>
  <c r="H5109" i="1"/>
  <c r="G5109" i="1"/>
  <c r="M5108" i="1"/>
  <c r="L5108" i="1"/>
  <c r="K5108" i="1"/>
  <c r="J5108" i="1"/>
  <c r="I5108" i="1"/>
  <c r="H5108" i="1"/>
  <c r="G5108" i="1"/>
  <c r="M5107" i="1"/>
  <c r="L5107" i="1"/>
  <c r="K5107" i="1"/>
  <c r="J5107" i="1"/>
  <c r="I5107" i="1"/>
  <c r="H5107" i="1"/>
  <c r="G5107" i="1"/>
  <c r="M5106" i="1"/>
  <c r="L5106" i="1"/>
  <c r="K5106" i="1"/>
  <c r="J5106" i="1"/>
  <c r="I5106" i="1"/>
  <c r="H5106" i="1"/>
  <c r="G5106" i="1"/>
  <c r="M5105" i="1"/>
  <c r="L5105" i="1"/>
  <c r="K5105" i="1"/>
  <c r="J5105" i="1"/>
  <c r="I5105" i="1"/>
  <c r="H5105" i="1"/>
  <c r="G5105" i="1"/>
  <c r="M5104" i="1"/>
  <c r="L5104" i="1"/>
  <c r="K5104" i="1"/>
  <c r="J5104" i="1"/>
  <c r="I5104" i="1"/>
  <c r="H5104" i="1"/>
  <c r="G5104" i="1"/>
  <c r="M5103" i="1"/>
  <c r="L5103" i="1"/>
  <c r="K5103" i="1"/>
  <c r="J5103" i="1"/>
  <c r="I5103" i="1"/>
  <c r="H5103" i="1"/>
  <c r="G5103" i="1"/>
  <c r="M5102" i="1"/>
  <c r="L5102" i="1"/>
  <c r="K5102" i="1"/>
  <c r="J5102" i="1"/>
  <c r="I5102" i="1"/>
  <c r="H5102" i="1"/>
  <c r="G5102" i="1"/>
  <c r="M5101" i="1"/>
  <c r="L5101" i="1"/>
  <c r="K5101" i="1"/>
  <c r="J5101" i="1"/>
  <c r="I5101" i="1"/>
  <c r="H5101" i="1"/>
  <c r="G5101" i="1"/>
  <c r="M5100" i="1"/>
  <c r="L5100" i="1"/>
  <c r="K5100" i="1"/>
  <c r="J5100" i="1"/>
  <c r="I5100" i="1"/>
  <c r="H5100" i="1"/>
  <c r="G5100" i="1"/>
  <c r="M5099" i="1"/>
  <c r="L5099" i="1"/>
  <c r="K5099" i="1"/>
  <c r="J5099" i="1"/>
  <c r="I5099" i="1"/>
  <c r="H5099" i="1"/>
  <c r="G5099" i="1"/>
  <c r="M5098" i="1"/>
  <c r="L5098" i="1"/>
  <c r="K5098" i="1"/>
  <c r="J5098" i="1"/>
  <c r="I5098" i="1"/>
  <c r="H5098" i="1"/>
  <c r="G5098" i="1"/>
  <c r="M5097" i="1"/>
  <c r="L5097" i="1"/>
  <c r="K5097" i="1"/>
  <c r="J5097" i="1"/>
  <c r="I5097" i="1"/>
  <c r="H5097" i="1"/>
  <c r="G5097" i="1"/>
  <c r="M5096" i="1"/>
  <c r="L5096" i="1"/>
  <c r="K5096" i="1"/>
  <c r="J5096" i="1"/>
  <c r="I5096" i="1"/>
  <c r="H5096" i="1"/>
  <c r="G5096" i="1"/>
  <c r="M5095" i="1"/>
  <c r="L5095" i="1"/>
  <c r="K5095" i="1"/>
  <c r="J5095" i="1"/>
  <c r="I5095" i="1"/>
  <c r="H5095" i="1"/>
  <c r="G5095" i="1"/>
  <c r="M5094" i="1"/>
  <c r="L5094" i="1"/>
  <c r="K5094" i="1"/>
  <c r="J5094" i="1"/>
  <c r="I5094" i="1"/>
  <c r="H5094" i="1"/>
  <c r="G5094" i="1"/>
  <c r="M5093" i="1"/>
  <c r="L5093" i="1"/>
  <c r="K5093" i="1"/>
  <c r="J5093" i="1"/>
  <c r="I5093" i="1"/>
  <c r="H5093" i="1"/>
  <c r="G5093" i="1"/>
  <c r="M5092" i="1"/>
  <c r="L5092" i="1"/>
  <c r="K5092" i="1"/>
  <c r="J5092" i="1"/>
  <c r="I5092" i="1"/>
  <c r="H5092" i="1"/>
  <c r="G5092" i="1"/>
  <c r="M5091" i="1"/>
  <c r="L5091" i="1"/>
  <c r="K5091" i="1"/>
  <c r="J5091" i="1"/>
  <c r="I5091" i="1"/>
  <c r="H5091" i="1"/>
  <c r="G5091" i="1"/>
  <c r="M5090" i="1"/>
  <c r="L5090" i="1"/>
  <c r="K5090" i="1"/>
  <c r="J5090" i="1"/>
  <c r="I5090" i="1"/>
  <c r="H5090" i="1"/>
  <c r="G5090" i="1"/>
  <c r="M5089" i="1"/>
  <c r="L5089" i="1"/>
  <c r="K5089" i="1"/>
  <c r="J5089" i="1"/>
  <c r="I5089" i="1"/>
  <c r="H5089" i="1"/>
  <c r="G5089" i="1"/>
  <c r="M5088" i="1"/>
  <c r="L5088" i="1"/>
  <c r="K5088" i="1"/>
  <c r="J5088" i="1"/>
  <c r="I5088" i="1"/>
  <c r="H5088" i="1"/>
  <c r="G5088" i="1"/>
  <c r="M5087" i="1"/>
  <c r="L5087" i="1"/>
  <c r="K5087" i="1"/>
  <c r="J5087" i="1"/>
  <c r="I5087" i="1"/>
  <c r="H5087" i="1"/>
  <c r="G5087" i="1"/>
  <c r="M5086" i="1"/>
  <c r="L5086" i="1"/>
  <c r="K5086" i="1"/>
  <c r="J5086" i="1"/>
  <c r="I5086" i="1"/>
  <c r="H5086" i="1"/>
  <c r="G5086" i="1"/>
  <c r="M5085" i="1"/>
  <c r="L5085" i="1"/>
  <c r="K5085" i="1"/>
  <c r="J5085" i="1"/>
  <c r="I5085" i="1"/>
  <c r="H5085" i="1"/>
  <c r="G5085" i="1"/>
  <c r="M5084" i="1"/>
  <c r="L5084" i="1"/>
  <c r="K5084" i="1"/>
  <c r="J5084" i="1"/>
  <c r="I5084" i="1"/>
  <c r="H5084" i="1"/>
  <c r="G5084" i="1"/>
  <c r="M5083" i="1"/>
  <c r="L5083" i="1"/>
  <c r="K5083" i="1"/>
  <c r="J5083" i="1"/>
  <c r="I5083" i="1"/>
  <c r="H5083" i="1"/>
  <c r="G5083" i="1"/>
  <c r="M5082" i="1"/>
  <c r="L5082" i="1"/>
  <c r="K5082" i="1"/>
  <c r="J5082" i="1"/>
  <c r="I5082" i="1"/>
  <c r="H5082" i="1"/>
  <c r="G5082" i="1"/>
  <c r="M5081" i="1"/>
  <c r="L5081" i="1"/>
  <c r="K5081" i="1"/>
  <c r="J5081" i="1"/>
  <c r="I5081" i="1"/>
  <c r="H5081" i="1"/>
  <c r="G5081" i="1"/>
  <c r="M5080" i="1"/>
  <c r="L5080" i="1"/>
  <c r="K5080" i="1"/>
  <c r="J5080" i="1"/>
  <c r="I5080" i="1"/>
  <c r="H5080" i="1"/>
  <c r="G5080" i="1"/>
  <c r="M5079" i="1"/>
  <c r="L5079" i="1"/>
  <c r="K5079" i="1"/>
  <c r="J5079" i="1"/>
  <c r="I5079" i="1"/>
  <c r="H5079" i="1"/>
  <c r="G5079" i="1"/>
  <c r="M5078" i="1"/>
  <c r="L5078" i="1"/>
  <c r="K5078" i="1"/>
  <c r="J5078" i="1"/>
  <c r="I5078" i="1"/>
  <c r="H5078" i="1"/>
  <c r="G5078" i="1"/>
  <c r="M5077" i="1"/>
  <c r="L5077" i="1"/>
  <c r="K5077" i="1"/>
  <c r="J5077" i="1"/>
  <c r="I5077" i="1"/>
  <c r="H5077" i="1"/>
  <c r="G5077" i="1"/>
  <c r="M5076" i="1"/>
  <c r="L5076" i="1"/>
  <c r="K5076" i="1"/>
  <c r="J5076" i="1"/>
  <c r="I5076" i="1"/>
  <c r="H5076" i="1"/>
  <c r="G5076" i="1"/>
  <c r="M5075" i="1"/>
  <c r="L5075" i="1"/>
  <c r="K5075" i="1"/>
  <c r="J5075" i="1"/>
  <c r="I5075" i="1"/>
  <c r="H5075" i="1"/>
  <c r="G5075" i="1"/>
  <c r="M5074" i="1"/>
  <c r="L5074" i="1"/>
  <c r="K5074" i="1"/>
  <c r="J5074" i="1"/>
  <c r="I5074" i="1"/>
  <c r="H5074" i="1"/>
  <c r="G5074" i="1"/>
  <c r="M5073" i="1"/>
  <c r="L5073" i="1"/>
  <c r="K5073" i="1"/>
  <c r="J5073" i="1"/>
  <c r="I5073" i="1"/>
  <c r="H5073" i="1"/>
  <c r="G5073" i="1"/>
  <c r="M5072" i="1"/>
  <c r="L5072" i="1"/>
  <c r="K5072" i="1"/>
  <c r="J5072" i="1"/>
  <c r="I5072" i="1"/>
  <c r="H5072" i="1"/>
  <c r="G5072" i="1"/>
  <c r="M5071" i="1"/>
  <c r="L5071" i="1"/>
  <c r="K5071" i="1"/>
  <c r="J5071" i="1"/>
  <c r="I5071" i="1"/>
  <c r="H5071" i="1"/>
  <c r="G5071" i="1"/>
  <c r="M5070" i="1"/>
  <c r="L5070" i="1"/>
  <c r="K5070" i="1"/>
  <c r="J5070" i="1"/>
  <c r="I5070" i="1"/>
  <c r="H5070" i="1"/>
  <c r="G5070" i="1"/>
  <c r="M5069" i="1"/>
  <c r="L5069" i="1"/>
  <c r="K5069" i="1"/>
  <c r="J5069" i="1"/>
  <c r="I5069" i="1"/>
  <c r="H5069" i="1"/>
  <c r="G5069" i="1"/>
  <c r="M5068" i="1"/>
  <c r="L5068" i="1"/>
  <c r="K5068" i="1"/>
  <c r="J5068" i="1"/>
  <c r="I5068" i="1"/>
  <c r="H5068" i="1"/>
  <c r="G5068" i="1"/>
  <c r="M5067" i="1"/>
  <c r="L5067" i="1"/>
  <c r="K5067" i="1"/>
  <c r="J5067" i="1"/>
  <c r="I5067" i="1"/>
  <c r="H5067" i="1"/>
  <c r="G5067" i="1"/>
  <c r="M5066" i="1"/>
  <c r="L5066" i="1"/>
  <c r="K5066" i="1"/>
  <c r="J5066" i="1"/>
  <c r="I5066" i="1"/>
  <c r="H5066" i="1"/>
  <c r="G5066" i="1"/>
  <c r="M5065" i="1"/>
  <c r="L5065" i="1"/>
  <c r="K5065" i="1"/>
  <c r="J5065" i="1"/>
  <c r="I5065" i="1"/>
  <c r="H5065" i="1"/>
  <c r="G5065" i="1"/>
  <c r="M5064" i="1"/>
  <c r="L5064" i="1"/>
  <c r="K5064" i="1"/>
  <c r="J5064" i="1"/>
  <c r="I5064" i="1"/>
  <c r="H5064" i="1"/>
  <c r="G5064" i="1"/>
  <c r="M5063" i="1"/>
  <c r="L5063" i="1"/>
  <c r="K5063" i="1"/>
  <c r="J5063" i="1"/>
  <c r="I5063" i="1"/>
  <c r="H5063" i="1"/>
  <c r="G5063" i="1"/>
  <c r="M5062" i="1"/>
  <c r="L5062" i="1"/>
  <c r="K5062" i="1"/>
  <c r="J5062" i="1"/>
  <c r="I5062" i="1"/>
  <c r="H5062" i="1"/>
  <c r="G5062" i="1"/>
  <c r="M5061" i="1"/>
  <c r="L5061" i="1"/>
  <c r="K5061" i="1"/>
  <c r="J5061" i="1"/>
  <c r="I5061" i="1"/>
  <c r="H5061" i="1"/>
  <c r="G5061" i="1"/>
  <c r="M5060" i="1"/>
  <c r="L5060" i="1"/>
  <c r="K5060" i="1"/>
  <c r="J5060" i="1"/>
  <c r="I5060" i="1"/>
  <c r="H5060" i="1"/>
  <c r="G5060" i="1"/>
  <c r="M5059" i="1"/>
  <c r="L5059" i="1"/>
  <c r="K5059" i="1"/>
  <c r="J5059" i="1"/>
  <c r="I5059" i="1"/>
  <c r="H5059" i="1"/>
  <c r="G5059" i="1"/>
  <c r="M5058" i="1"/>
  <c r="L5058" i="1"/>
  <c r="K5058" i="1"/>
  <c r="J5058" i="1"/>
  <c r="I5058" i="1"/>
  <c r="H5058" i="1"/>
  <c r="G5058" i="1"/>
  <c r="M5057" i="1"/>
  <c r="L5057" i="1"/>
  <c r="K5057" i="1"/>
  <c r="J5057" i="1"/>
  <c r="I5057" i="1"/>
  <c r="H5057" i="1"/>
  <c r="G5057" i="1"/>
  <c r="M5056" i="1"/>
  <c r="L5056" i="1"/>
  <c r="K5056" i="1"/>
  <c r="J5056" i="1"/>
  <c r="I5056" i="1"/>
  <c r="H5056" i="1"/>
  <c r="G5056" i="1"/>
  <c r="M5055" i="1"/>
  <c r="L5055" i="1"/>
  <c r="K5055" i="1"/>
  <c r="J5055" i="1"/>
  <c r="I5055" i="1"/>
  <c r="H5055" i="1"/>
  <c r="G5055" i="1"/>
  <c r="M5054" i="1"/>
  <c r="L5054" i="1"/>
  <c r="K5054" i="1"/>
  <c r="J5054" i="1"/>
  <c r="I5054" i="1"/>
  <c r="H5054" i="1"/>
  <c r="G5054" i="1"/>
  <c r="M5053" i="1"/>
  <c r="L5053" i="1"/>
  <c r="K5053" i="1"/>
  <c r="J5053" i="1"/>
  <c r="I5053" i="1"/>
  <c r="H5053" i="1"/>
  <c r="G5053" i="1"/>
  <c r="M5052" i="1"/>
  <c r="L5052" i="1"/>
  <c r="K5052" i="1"/>
  <c r="J5052" i="1"/>
  <c r="I5052" i="1"/>
  <c r="H5052" i="1"/>
  <c r="G5052" i="1"/>
  <c r="M5051" i="1"/>
  <c r="L5051" i="1"/>
  <c r="K5051" i="1"/>
  <c r="J5051" i="1"/>
  <c r="I5051" i="1"/>
  <c r="H5051" i="1"/>
  <c r="G5051" i="1"/>
  <c r="M5050" i="1"/>
  <c r="L5050" i="1"/>
  <c r="K5050" i="1"/>
  <c r="J5050" i="1"/>
  <c r="I5050" i="1"/>
  <c r="H5050" i="1"/>
  <c r="G5050" i="1"/>
  <c r="M5049" i="1"/>
  <c r="L5049" i="1"/>
  <c r="K5049" i="1"/>
  <c r="J5049" i="1"/>
  <c r="I5049" i="1"/>
  <c r="H5049" i="1"/>
  <c r="G5049" i="1"/>
  <c r="M5048" i="1"/>
  <c r="L5048" i="1"/>
  <c r="K5048" i="1"/>
  <c r="J5048" i="1"/>
  <c r="I5048" i="1"/>
  <c r="H5048" i="1"/>
  <c r="G5048" i="1"/>
  <c r="M5047" i="1"/>
  <c r="L5047" i="1"/>
  <c r="K5047" i="1"/>
  <c r="J5047" i="1"/>
  <c r="I5047" i="1"/>
  <c r="H5047" i="1"/>
  <c r="G5047" i="1"/>
  <c r="M5046" i="1"/>
  <c r="L5046" i="1"/>
  <c r="K5046" i="1"/>
  <c r="J5046" i="1"/>
  <c r="I5046" i="1"/>
  <c r="H5046" i="1"/>
  <c r="G5046" i="1"/>
  <c r="M5045" i="1"/>
  <c r="L5045" i="1"/>
  <c r="K5045" i="1"/>
  <c r="J5045" i="1"/>
  <c r="I5045" i="1"/>
  <c r="H5045" i="1"/>
  <c r="G5045" i="1"/>
  <c r="M5044" i="1"/>
  <c r="L5044" i="1"/>
  <c r="K5044" i="1"/>
  <c r="J5044" i="1"/>
  <c r="I5044" i="1"/>
  <c r="H5044" i="1"/>
  <c r="G5044" i="1"/>
  <c r="M5043" i="1"/>
  <c r="L5043" i="1"/>
  <c r="K5043" i="1"/>
  <c r="J5043" i="1"/>
  <c r="I5043" i="1"/>
  <c r="H5043" i="1"/>
  <c r="G5043" i="1"/>
  <c r="M5042" i="1"/>
  <c r="L5042" i="1"/>
  <c r="K5042" i="1"/>
  <c r="J5042" i="1"/>
  <c r="I5042" i="1"/>
  <c r="H5042" i="1"/>
  <c r="G5042" i="1"/>
  <c r="M5041" i="1"/>
  <c r="L5041" i="1"/>
  <c r="K5041" i="1"/>
  <c r="J5041" i="1"/>
  <c r="I5041" i="1"/>
  <c r="H5041" i="1"/>
  <c r="G5041" i="1"/>
  <c r="M5040" i="1"/>
  <c r="L5040" i="1"/>
  <c r="K5040" i="1"/>
  <c r="J5040" i="1"/>
  <c r="I5040" i="1"/>
  <c r="H5040" i="1"/>
  <c r="G5040" i="1"/>
  <c r="M5039" i="1"/>
  <c r="L5039" i="1"/>
  <c r="K5039" i="1"/>
  <c r="J5039" i="1"/>
  <c r="I5039" i="1"/>
  <c r="H5039" i="1"/>
  <c r="G5039" i="1"/>
  <c r="M5038" i="1"/>
  <c r="L5038" i="1"/>
  <c r="K5038" i="1"/>
  <c r="J5038" i="1"/>
  <c r="I5038" i="1"/>
  <c r="H5038" i="1"/>
  <c r="G5038" i="1"/>
  <c r="M5037" i="1"/>
  <c r="L5037" i="1"/>
  <c r="K5037" i="1"/>
  <c r="J5037" i="1"/>
  <c r="I5037" i="1"/>
  <c r="H5037" i="1"/>
  <c r="G5037" i="1"/>
  <c r="M5036" i="1"/>
  <c r="L5036" i="1"/>
  <c r="K5036" i="1"/>
  <c r="J5036" i="1"/>
  <c r="I5036" i="1"/>
  <c r="H5036" i="1"/>
  <c r="G5036" i="1"/>
  <c r="M5035" i="1"/>
  <c r="L5035" i="1"/>
  <c r="K5035" i="1"/>
  <c r="J5035" i="1"/>
  <c r="I5035" i="1"/>
  <c r="H5035" i="1"/>
  <c r="G5035" i="1"/>
  <c r="M5034" i="1"/>
  <c r="L5034" i="1"/>
  <c r="K5034" i="1"/>
  <c r="J5034" i="1"/>
  <c r="I5034" i="1"/>
  <c r="H5034" i="1"/>
  <c r="G5034" i="1"/>
  <c r="M5033" i="1"/>
  <c r="L5033" i="1"/>
  <c r="K5033" i="1"/>
  <c r="J5033" i="1"/>
  <c r="I5033" i="1"/>
  <c r="H5033" i="1"/>
  <c r="G5033" i="1"/>
  <c r="M5032" i="1"/>
  <c r="L5032" i="1"/>
  <c r="K5032" i="1"/>
  <c r="J5032" i="1"/>
  <c r="I5032" i="1"/>
  <c r="H5032" i="1"/>
  <c r="G5032" i="1"/>
  <c r="M5031" i="1"/>
  <c r="L5031" i="1"/>
  <c r="K5031" i="1"/>
  <c r="J5031" i="1"/>
  <c r="I5031" i="1"/>
  <c r="H5031" i="1"/>
  <c r="G5031" i="1"/>
  <c r="M5030" i="1"/>
  <c r="L5030" i="1"/>
  <c r="K5030" i="1"/>
  <c r="J5030" i="1"/>
  <c r="I5030" i="1"/>
  <c r="H5030" i="1"/>
  <c r="G5030" i="1"/>
  <c r="M5029" i="1"/>
  <c r="L5029" i="1"/>
  <c r="K5029" i="1"/>
  <c r="J5029" i="1"/>
  <c r="I5029" i="1"/>
  <c r="H5029" i="1"/>
  <c r="G5029" i="1"/>
  <c r="M5028" i="1"/>
  <c r="L5028" i="1"/>
  <c r="K5028" i="1"/>
  <c r="J5028" i="1"/>
  <c r="I5028" i="1"/>
  <c r="H5028" i="1"/>
  <c r="G5028" i="1"/>
  <c r="M5027" i="1"/>
  <c r="L5027" i="1"/>
  <c r="K5027" i="1"/>
  <c r="J5027" i="1"/>
  <c r="I5027" i="1"/>
  <c r="H5027" i="1"/>
  <c r="G5027" i="1"/>
  <c r="M5026" i="1"/>
  <c r="L5026" i="1"/>
  <c r="K5026" i="1"/>
  <c r="J5026" i="1"/>
  <c r="I5026" i="1"/>
  <c r="H5026" i="1"/>
  <c r="G5026" i="1"/>
  <c r="M5025" i="1"/>
  <c r="L5025" i="1"/>
  <c r="K5025" i="1"/>
  <c r="J5025" i="1"/>
  <c r="I5025" i="1"/>
  <c r="H5025" i="1"/>
  <c r="G5025" i="1"/>
  <c r="M5024" i="1"/>
  <c r="L5024" i="1"/>
  <c r="K5024" i="1"/>
  <c r="J5024" i="1"/>
  <c r="I5024" i="1"/>
  <c r="H5024" i="1"/>
  <c r="G5024" i="1"/>
  <c r="M5023" i="1"/>
  <c r="L5023" i="1"/>
  <c r="K5023" i="1"/>
  <c r="J5023" i="1"/>
  <c r="I5023" i="1"/>
  <c r="H5023" i="1"/>
  <c r="G5023" i="1"/>
  <c r="M5022" i="1"/>
  <c r="L5022" i="1"/>
  <c r="K5022" i="1"/>
  <c r="J5022" i="1"/>
  <c r="I5022" i="1"/>
  <c r="H5022" i="1"/>
  <c r="G5022" i="1"/>
  <c r="M5021" i="1"/>
  <c r="L5021" i="1"/>
  <c r="K5021" i="1"/>
  <c r="J5021" i="1"/>
  <c r="I5021" i="1"/>
  <c r="H5021" i="1"/>
  <c r="G5021" i="1"/>
  <c r="M5020" i="1"/>
  <c r="L5020" i="1"/>
  <c r="K5020" i="1"/>
  <c r="J5020" i="1"/>
  <c r="I5020" i="1"/>
  <c r="H5020" i="1"/>
  <c r="G5020" i="1"/>
  <c r="M5019" i="1"/>
  <c r="L5019" i="1"/>
  <c r="K5019" i="1"/>
  <c r="J5019" i="1"/>
  <c r="I5019" i="1"/>
  <c r="H5019" i="1"/>
  <c r="G5019" i="1"/>
  <c r="M5018" i="1"/>
  <c r="L5018" i="1"/>
  <c r="K5018" i="1"/>
  <c r="J5018" i="1"/>
  <c r="I5018" i="1"/>
  <c r="H5018" i="1"/>
  <c r="G5018" i="1"/>
  <c r="M5017" i="1"/>
  <c r="L5017" i="1"/>
  <c r="K5017" i="1"/>
  <c r="J5017" i="1"/>
  <c r="I5017" i="1"/>
  <c r="H5017" i="1"/>
  <c r="G5017" i="1"/>
  <c r="M5016" i="1"/>
  <c r="L5016" i="1"/>
  <c r="K5016" i="1"/>
  <c r="J5016" i="1"/>
  <c r="I5016" i="1"/>
  <c r="H5016" i="1"/>
  <c r="G5016" i="1"/>
  <c r="M5015" i="1"/>
  <c r="L5015" i="1"/>
  <c r="K5015" i="1"/>
  <c r="J5015" i="1"/>
  <c r="I5015" i="1"/>
  <c r="H5015" i="1"/>
  <c r="G5015" i="1"/>
  <c r="M5014" i="1"/>
  <c r="L5014" i="1"/>
  <c r="K5014" i="1"/>
  <c r="J5014" i="1"/>
  <c r="I5014" i="1"/>
  <c r="H5014" i="1"/>
  <c r="G5014" i="1"/>
  <c r="M5013" i="1"/>
  <c r="L5013" i="1"/>
  <c r="K5013" i="1"/>
  <c r="J5013" i="1"/>
  <c r="I5013" i="1"/>
  <c r="H5013" i="1"/>
  <c r="G5013" i="1"/>
  <c r="M5012" i="1"/>
  <c r="L5012" i="1"/>
  <c r="K5012" i="1"/>
  <c r="J5012" i="1"/>
  <c r="I5012" i="1"/>
  <c r="H5012" i="1"/>
  <c r="G5012" i="1"/>
  <c r="M5011" i="1"/>
  <c r="L5011" i="1"/>
  <c r="K5011" i="1"/>
  <c r="J5011" i="1"/>
  <c r="I5011" i="1"/>
  <c r="H5011" i="1"/>
  <c r="G5011" i="1"/>
  <c r="M5010" i="1"/>
  <c r="L5010" i="1"/>
  <c r="K5010" i="1"/>
  <c r="J5010" i="1"/>
  <c r="I5010" i="1"/>
  <c r="H5010" i="1"/>
  <c r="G5010" i="1"/>
  <c r="M5009" i="1"/>
  <c r="L5009" i="1"/>
  <c r="K5009" i="1"/>
  <c r="J5009" i="1"/>
  <c r="I5009" i="1"/>
  <c r="H5009" i="1"/>
  <c r="G5009" i="1"/>
  <c r="M5008" i="1"/>
  <c r="L5008" i="1"/>
  <c r="K5008" i="1"/>
  <c r="J5008" i="1"/>
  <c r="I5008" i="1"/>
  <c r="H5008" i="1"/>
  <c r="G5008" i="1"/>
  <c r="M5007" i="1"/>
  <c r="L5007" i="1"/>
  <c r="K5007" i="1"/>
  <c r="J5007" i="1"/>
  <c r="I5007" i="1"/>
  <c r="H5007" i="1"/>
  <c r="G5007" i="1"/>
  <c r="M5006" i="1"/>
  <c r="L5006" i="1"/>
  <c r="K5006" i="1"/>
  <c r="J5006" i="1"/>
  <c r="I5006" i="1"/>
  <c r="H5006" i="1"/>
  <c r="G5006" i="1"/>
  <c r="M5005" i="1"/>
  <c r="L5005" i="1"/>
  <c r="K5005" i="1"/>
  <c r="J5005" i="1"/>
  <c r="I5005" i="1"/>
  <c r="H5005" i="1"/>
  <c r="G5005" i="1"/>
  <c r="M5004" i="1"/>
  <c r="L5004" i="1"/>
  <c r="K5004" i="1"/>
  <c r="J5004" i="1"/>
  <c r="I5004" i="1"/>
  <c r="H5004" i="1"/>
  <c r="G5004" i="1"/>
  <c r="M5003" i="1"/>
  <c r="L5003" i="1"/>
  <c r="K5003" i="1"/>
  <c r="J5003" i="1"/>
  <c r="I5003" i="1"/>
  <c r="H5003" i="1"/>
  <c r="G5003" i="1"/>
  <c r="M5002" i="1"/>
  <c r="L5002" i="1"/>
  <c r="K5002" i="1"/>
  <c r="J5002" i="1"/>
  <c r="I5002" i="1"/>
  <c r="H5002" i="1"/>
  <c r="G5002" i="1"/>
  <c r="M5001" i="1"/>
  <c r="L5001" i="1"/>
  <c r="K5001" i="1"/>
  <c r="J5001" i="1"/>
  <c r="I5001" i="1"/>
  <c r="H5001" i="1"/>
  <c r="G5001" i="1"/>
  <c r="M5000" i="1"/>
  <c r="L5000" i="1"/>
  <c r="K5000" i="1"/>
  <c r="J5000" i="1"/>
  <c r="I5000" i="1"/>
  <c r="H5000" i="1"/>
  <c r="G5000" i="1"/>
  <c r="M4999" i="1"/>
  <c r="L4999" i="1"/>
  <c r="K4999" i="1"/>
  <c r="J4999" i="1"/>
  <c r="I4999" i="1"/>
  <c r="H4999" i="1"/>
  <c r="G4999" i="1"/>
  <c r="M4998" i="1"/>
  <c r="L4998" i="1"/>
  <c r="K4998" i="1"/>
  <c r="J4998" i="1"/>
  <c r="I4998" i="1"/>
  <c r="H4998" i="1"/>
  <c r="G4998" i="1"/>
  <c r="M4997" i="1"/>
  <c r="L4997" i="1"/>
  <c r="K4997" i="1"/>
  <c r="J4997" i="1"/>
  <c r="I4997" i="1"/>
  <c r="H4997" i="1"/>
  <c r="G4997" i="1"/>
  <c r="M4996" i="1"/>
  <c r="L4996" i="1"/>
  <c r="K4996" i="1"/>
  <c r="J4996" i="1"/>
  <c r="I4996" i="1"/>
  <c r="H4996" i="1"/>
  <c r="G4996" i="1"/>
  <c r="M4995" i="1"/>
  <c r="L4995" i="1"/>
  <c r="K4995" i="1"/>
  <c r="J4995" i="1"/>
  <c r="I4995" i="1"/>
  <c r="H4995" i="1"/>
  <c r="G4995" i="1"/>
  <c r="M4994" i="1"/>
  <c r="L4994" i="1"/>
  <c r="K4994" i="1"/>
  <c r="J4994" i="1"/>
  <c r="I4994" i="1"/>
  <c r="H4994" i="1"/>
  <c r="G4994" i="1"/>
  <c r="M4993" i="1"/>
  <c r="L4993" i="1"/>
  <c r="K4993" i="1"/>
  <c r="J4993" i="1"/>
  <c r="I4993" i="1"/>
  <c r="H4993" i="1"/>
  <c r="G4993" i="1"/>
  <c r="M4992" i="1"/>
  <c r="L4992" i="1"/>
  <c r="K4992" i="1"/>
  <c r="J4992" i="1"/>
  <c r="I4992" i="1"/>
  <c r="H4992" i="1"/>
  <c r="G4992" i="1"/>
  <c r="M4991" i="1"/>
  <c r="L4991" i="1"/>
  <c r="K4991" i="1"/>
  <c r="J4991" i="1"/>
  <c r="I4991" i="1"/>
  <c r="H4991" i="1"/>
  <c r="G4991" i="1"/>
  <c r="M4990" i="1"/>
  <c r="L4990" i="1"/>
  <c r="K4990" i="1"/>
  <c r="J4990" i="1"/>
  <c r="I4990" i="1"/>
  <c r="H4990" i="1"/>
  <c r="G4990" i="1"/>
  <c r="M4989" i="1"/>
  <c r="L4989" i="1"/>
  <c r="K4989" i="1"/>
  <c r="J4989" i="1"/>
  <c r="I4989" i="1"/>
  <c r="H4989" i="1"/>
  <c r="G4989" i="1"/>
  <c r="M4988" i="1"/>
  <c r="L4988" i="1"/>
  <c r="K4988" i="1"/>
  <c r="J4988" i="1"/>
  <c r="I4988" i="1"/>
  <c r="H4988" i="1"/>
  <c r="G4988" i="1"/>
  <c r="M4987" i="1"/>
  <c r="L4987" i="1"/>
  <c r="K4987" i="1"/>
  <c r="J4987" i="1"/>
  <c r="I4987" i="1"/>
  <c r="H4987" i="1"/>
  <c r="G4987" i="1"/>
  <c r="M4986" i="1"/>
  <c r="L4986" i="1"/>
  <c r="K4986" i="1"/>
  <c r="J4986" i="1"/>
  <c r="I4986" i="1"/>
  <c r="H4986" i="1"/>
  <c r="G4986" i="1"/>
  <c r="M4985" i="1"/>
  <c r="L4985" i="1"/>
  <c r="K4985" i="1"/>
  <c r="J4985" i="1"/>
  <c r="I4985" i="1"/>
  <c r="H4985" i="1"/>
  <c r="G4985" i="1"/>
  <c r="M4984" i="1"/>
  <c r="L4984" i="1"/>
  <c r="K4984" i="1"/>
  <c r="J4984" i="1"/>
  <c r="I4984" i="1"/>
  <c r="H4984" i="1"/>
  <c r="G4984" i="1"/>
  <c r="M4983" i="1"/>
  <c r="L4983" i="1"/>
  <c r="K4983" i="1"/>
  <c r="J4983" i="1"/>
  <c r="I4983" i="1"/>
  <c r="H4983" i="1"/>
  <c r="G4983" i="1"/>
  <c r="M4982" i="1"/>
  <c r="L4982" i="1"/>
  <c r="K4982" i="1"/>
  <c r="J4982" i="1"/>
  <c r="I4982" i="1"/>
  <c r="H4982" i="1"/>
  <c r="G4982" i="1"/>
  <c r="M4981" i="1"/>
  <c r="L4981" i="1"/>
  <c r="K4981" i="1"/>
  <c r="J4981" i="1"/>
  <c r="I4981" i="1"/>
  <c r="H4981" i="1"/>
  <c r="G4981" i="1"/>
  <c r="M4980" i="1"/>
  <c r="L4980" i="1"/>
  <c r="K4980" i="1"/>
  <c r="J4980" i="1"/>
  <c r="I4980" i="1"/>
  <c r="H4980" i="1"/>
  <c r="G4980" i="1"/>
  <c r="M4979" i="1"/>
  <c r="L4979" i="1"/>
  <c r="K4979" i="1"/>
  <c r="J4979" i="1"/>
  <c r="I4979" i="1"/>
  <c r="H4979" i="1"/>
  <c r="G4979" i="1"/>
  <c r="M4978" i="1"/>
  <c r="L4978" i="1"/>
  <c r="K4978" i="1"/>
  <c r="J4978" i="1"/>
  <c r="I4978" i="1"/>
  <c r="H4978" i="1"/>
  <c r="G4978" i="1"/>
  <c r="M4977" i="1"/>
  <c r="L4977" i="1"/>
  <c r="K4977" i="1"/>
  <c r="J4977" i="1"/>
  <c r="I4977" i="1"/>
  <c r="H4977" i="1"/>
  <c r="G4977" i="1"/>
  <c r="M4976" i="1"/>
  <c r="L4976" i="1"/>
  <c r="K4976" i="1"/>
  <c r="J4976" i="1"/>
  <c r="I4976" i="1"/>
  <c r="H4976" i="1"/>
  <c r="G4976" i="1"/>
  <c r="M4975" i="1"/>
  <c r="L4975" i="1"/>
  <c r="K4975" i="1"/>
  <c r="J4975" i="1"/>
  <c r="I4975" i="1"/>
  <c r="H4975" i="1"/>
  <c r="G4975" i="1"/>
  <c r="M4974" i="1"/>
  <c r="L4974" i="1"/>
  <c r="K4974" i="1"/>
  <c r="J4974" i="1"/>
  <c r="I4974" i="1"/>
  <c r="H4974" i="1"/>
  <c r="G4974" i="1"/>
  <c r="M4973" i="1"/>
  <c r="L4973" i="1"/>
  <c r="K4973" i="1"/>
  <c r="J4973" i="1"/>
  <c r="I4973" i="1"/>
  <c r="H4973" i="1"/>
  <c r="G4973" i="1"/>
  <c r="M4972" i="1"/>
  <c r="L4972" i="1"/>
  <c r="K4972" i="1"/>
  <c r="J4972" i="1"/>
  <c r="I4972" i="1"/>
  <c r="H4972" i="1"/>
  <c r="G4972" i="1"/>
  <c r="M4971" i="1"/>
  <c r="L4971" i="1"/>
  <c r="K4971" i="1"/>
  <c r="J4971" i="1"/>
  <c r="I4971" i="1"/>
  <c r="H4971" i="1"/>
  <c r="G4971" i="1"/>
  <c r="M4970" i="1"/>
  <c r="L4970" i="1"/>
  <c r="K4970" i="1"/>
  <c r="J4970" i="1"/>
  <c r="I4970" i="1"/>
  <c r="H4970" i="1"/>
  <c r="G4970" i="1"/>
  <c r="M4969" i="1"/>
  <c r="L4969" i="1"/>
  <c r="K4969" i="1"/>
  <c r="J4969" i="1"/>
  <c r="I4969" i="1"/>
  <c r="H4969" i="1"/>
  <c r="G4969" i="1"/>
  <c r="M4968" i="1"/>
  <c r="L4968" i="1"/>
  <c r="K4968" i="1"/>
  <c r="J4968" i="1"/>
  <c r="I4968" i="1"/>
  <c r="H4968" i="1"/>
  <c r="G4968" i="1"/>
  <c r="M4967" i="1"/>
  <c r="L4967" i="1"/>
  <c r="K4967" i="1"/>
  <c r="J4967" i="1"/>
  <c r="I4967" i="1"/>
  <c r="H4967" i="1"/>
  <c r="G4967" i="1"/>
  <c r="M4966" i="1"/>
  <c r="L4966" i="1"/>
  <c r="K4966" i="1"/>
  <c r="J4966" i="1"/>
  <c r="I4966" i="1"/>
  <c r="H4966" i="1"/>
  <c r="G4966" i="1"/>
  <c r="M4965" i="1"/>
  <c r="L4965" i="1"/>
  <c r="K4965" i="1"/>
  <c r="J4965" i="1"/>
  <c r="I4965" i="1"/>
  <c r="H4965" i="1"/>
  <c r="G4965" i="1"/>
  <c r="M4964" i="1"/>
  <c r="L4964" i="1"/>
  <c r="K4964" i="1"/>
  <c r="J4964" i="1"/>
  <c r="I4964" i="1"/>
  <c r="H4964" i="1"/>
  <c r="G4964" i="1"/>
  <c r="M4963" i="1"/>
  <c r="L4963" i="1"/>
  <c r="K4963" i="1"/>
  <c r="J4963" i="1"/>
  <c r="I4963" i="1"/>
  <c r="H4963" i="1"/>
  <c r="G4963" i="1"/>
  <c r="M4962" i="1"/>
  <c r="L4962" i="1"/>
  <c r="K4962" i="1"/>
  <c r="J4962" i="1"/>
  <c r="I4962" i="1"/>
  <c r="H4962" i="1"/>
  <c r="G4962" i="1"/>
  <c r="M4961" i="1"/>
  <c r="L4961" i="1"/>
  <c r="K4961" i="1"/>
  <c r="J4961" i="1"/>
  <c r="I4961" i="1"/>
  <c r="H4961" i="1"/>
  <c r="G4961" i="1"/>
  <c r="M4960" i="1"/>
  <c r="L4960" i="1"/>
  <c r="K4960" i="1"/>
  <c r="J4960" i="1"/>
  <c r="I4960" i="1"/>
  <c r="H4960" i="1"/>
  <c r="G4960" i="1"/>
  <c r="M4959" i="1"/>
  <c r="L4959" i="1"/>
  <c r="K4959" i="1"/>
  <c r="J4959" i="1"/>
  <c r="I4959" i="1"/>
  <c r="H4959" i="1"/>
  <c r="G4959" i="1"/>
  <c r="M4958" i="1"/>
  <c r="L4958" i="1"/>
  <c r="K4958" i="1"/>
  <c r="J4958" i="1"/>
  <c r="I4958" i="1"/>
  <c r="H4958" i="1"/>
  <c r="G4958" i="1"/>
  <c r="M4957" i="1"/>
  <c r="L4957" i="1"/>
  <c r="K4957" i="1"/>
  <c r="J4957" i="1"/>
  <c r="I4957" i="1"/>
  <c r="H4957" i="1"/>
  <c r="G4957" i="1"/>
  <c r="M4956" i="1"/>
  <c r="L4956" i="1"/>
  <c r="K4956" i="1"/>
  <c r="J4956" i="1"/>
  <c r="I4956" i="1"/>
  <c r="H4956" i="1"/>
  <c r="G4956" i="1"/>
  <c r="M4955" i="1"/>
  <c r="L4955" i="1"/>
  <c r="K4955" i="1"/>
  <c r="J4955" i="1"/>
  <c r="I4955" i="1"/>
  <c r="H4955" i="1"/>
  <c r="G4955" i="1"/>
  <c r="M4954" i="1"/>
  <c r="L4954" i="1"/>
  <c r="K4954" i="1"/>
  <c r="J4954" i="1"/>
  <c r="I4954" i="1"/>
  <c r="H4954" i="1"/>
  <c r="G4954" i="1"/>
  <c r="M4953" i="1"/>
  <c r="L4953" i="1"/>
  <c r="K4953" i="1"/>
  <c r="J4953" i="1"/>
  <c r="I4953" i="1"/>
  <c r="H4953" i="1"/>
  <c r="G4953" i="1"/>
  <c r="M4952" i="1"/>
  <c r="L4952" i="1"/>
  <c r="K4952" i="1"/>
  <c r="J4952" i="1"/>
  <c r="I4952" i="1"/>
  <c r="H4952" i="1"/>
  <c r="G4952" i="1"/>
  <c r="M4951" i="1"/>
  <c r="L4951" i="1"/>
  <c r="K4951" i="1"/>
  <c r="J4951" i="1"/>
  <c r="I4951" i="1"/>
  <c r="H4951" i="1"/>
  <c r="G4951" i="1"/>
  <c r="M4950" i="1"/>
  <c r="L4950" i="1"/>
  <c r="K4950" i="1"/>
  <c r="J4950" i="1"/>
  <c r="I4950" i="1"/>
  <c r="H4950" i="1"/>
  <c r="G4950" i="1"/>
  <c r="M4949" i="1"/>
  <c r="L4949" i="1"/>
  <c r="K4949" i="1"/>
  <c r="J4949" i="1"/>
  <c r="I4949" i="1"/>
  <c r="H4949" i="1"/>
  <c r="G4949" i="1"/>
  <c r="M4948" i="1"/>
  <c r="L4948" i="1"/>
  <c r="K4948" i="1"/>
  <c r="J4948" i="1"/>
  <c r="I4948" i="1"/>
  <c r="H4948" i="1"/>
  <c r="G4948" i="1"/>
  <c r="M4947" i="1"/>
  <c r="L4947" i="1"/>
  <c r="K4947" i="1"/>
  <c r="J4947" i="1"/>
  <c r="I4947" i="1"/>
  <c r="H4947" i="1"/>
  <c r="G4947" i="1"/>
  <c r="M4946" i="1"/>
  <c r="L4946" i="1"/>
  <c r="K4946" i="1"/>
  <c r="J4946" i="1"/>
  <c r="I4946" i="1"/>
  <c r="H4946" i="1"/>
  <c r="G4946" i="1"/>
  <c r="M4945" i="1"/>
  <c r="L4945" i="1"/>
  <c r="K4945" i="1"/>
  <c r="J4945" i="1"/>
  <c r="I4945" i="1"/>
  <c r="H4945" i="1"/>
  <c r="G4945" i="1"/>
  <c r="M4944" i="1"/>
  <c r="L4944" i="1"/>
  <c r="K4944" i="1"/>
  <c r="J4944" i="1"/>
  <c r="I4944" i="1"/>
  <c r="H4944" i="1"/>
  <c r="G4944" i="1"/>
  <c r="M4943" i="1"/>
  <c r="L4943" i="1"/>
  <c r="K4943" i="1"/>
  <c r="J4943" i="1"/>
  <c r="I4943" i="1"/>
  <c r="H4943" i="1"/>
  <c r="G4943" i="1"/>
  <c r="M4942" i="1"/>
  <c r="L4942" i="1"/>
  <c r="K4942" i="1"/>
  <c r="J4942" i="1"/>
  <c r="I4942" i="1"/>
  <c r="H4942" i="1"/>
  <c r="G4942" i="1"/>
  <c r="M4941" i="1"/>
  <c r="L4941" i="1"/>
  <c r="K4941" i="1"/>
  <c r="J4941" i="1"/>
  <c r="I4941" i="1"/>
  <c r="H4941" i="1"/>
  <c r="G4941" i="1"/>
  <c r="M4940" i="1"/>
  <c r="L4940" i="1"/>
  <c r="K4940" i="1"/>
  <c r="J4940" i="1"/>
  <c r="I4940" i="1"/>
  <c r="H4940" i="1"/>
  <c r="G4940" i="1"/>
  <c r="M4939" i="1"/>
  <c r="L4939" i="1"/>
  <c r="K4939" i="1"/>
  <c r="J4939" i="1"/>
  <c r="I4939" i="1"/>
  <c r="H4939" i="1"/>
  <c r="G4939" i="1"/>
  <c r="M4938" i="1"/>
  <c r="L4938" i="1"/>
  <c r="K4938" i="1"/>
  <c r="J4938" i="1"/>
  <c r="I4938" i="1"/>
  <c r="H4938" i="1"/>
  <c r="G4938" i="1"/>
  <c r="M4937" i="1"/>
  <c r="L4937" i="1"/>
  <c r="K4937" i="1"/>
  <c r="J4937" i="1"/>
  <c r="I4937" i="1"/>
  <c r="H4937" i="1"/>
  <c r="G4937" i="1"/>
  <c r="M4936" i="1"/>
  <c r="L4936" i="1"/>
  <c r="K4936" i="1"/>
  <c r="J4936" i="1"/>
  <c r="I4936" i="1"/>
  <c r="H4936" i="1"/>
  <c r="G4936" i="1"/>
  <c r="M4935" i="1"/>
  <c r="L4935" i="1"/>
  <c r="K4935" i="1"/>
  <c r="J4935" i="1"/>
  <c r="I4935" i="1"/>
  <c r="H4935" i="1"/>
  <c r="G4935" i="1"/>
  <c r="M4934" i="1"/>
  <c r="L4934" i="1"/>
  <c r="K4934" i="1"/>
  <c r="J4934" i="1"/>
  <c r="I4934" i="1"/>
  <c r="H4934" i="1"/>
  <c r="G4934" i="1"/>
  <c r="M4933" i="1"/>
  <c r="L4933" i="1"/>
  <c r="K4933" i="1"/>
  <c r="J4933" i="1"/>
  <c r="I4933" i="1"/>
  <c r="H4933" i="1"/>
  <c r="G4933" i="1"/>
  <c r="M4932" i="1"/>
  <c r="L4932" i="1"/>
  <c r="K4932" i="1"/>
  <c r="J4932" i="1"/>
  <c r="I4932" i="1"/>
  <c r="H4932" i="1"/>
  <c r="G4932" i="1"/>
  <c r="M4931" i="1"/>
  <c r="L4931" i="1"/>
  <c r="K4931" i="1"/>
  <c r="J4931" i="1"/>
  <c r="I4931" i="1"/>
  <c r="H4931" i="1"/>
  <c r="G4931" i="1"/>
  <c r="M4930" i="1"/>
  <c r="L4930" i="1"/>
  <c r="K4930" i="1"/>
  <c r="J4930" i="1"/>
  <c r="I4930" i="1"/>
  <c r="H4930" i="1"/>
  <c r="G4930" i="1"/>
  <c r="M4929" i="1"/>
  <c r="L4929" i="1"/>
  <c r="K4929" i="1"/>
  <c r="J4929" i="1"/>
  <c r="I4929" i="1"/>
  <c r="H4929" i="1"/>
  <c r="G4929" i="1"/>
  <c r="M4928" i="1"/>
  <c r="L4928" i="1"/>
  <c r="K4928" i="1"/>
  <c r="J4928" i="1"/>
  <c r="I4928" i="1"/>
  <c r="H4928" i="1"/>
  <c r="G4928" i="1"/>
  <c r="M4927" i="1"/>
  <c r="L4927" i="1"/>
  <c r="K4927" i="1"/>
  <c r="J4927" i="1"/>
  <c r="I4927" i="1"/>
  <c r="H4927" i="1"/>
  <c r="G4927" i="1"/>
  <c r="M4926" i="1"/>
  <c r="L4926" i="1"/>
  <c r="K4926" i="1"/>
  <c r="J4926" i="1"/>
  <c r="I4926" i="1"/>
  <c r="H4926" i="1"/>
  <c r="G4926" i="1"/>
  <c r="M4925" i="1"/>
  <c r="L4925" i="1"/>
  <c r="K4925" i="1"/>
  <c r="J4925" i="1"/>
  <c r="I4925" i="1"/>
  <c r="H4925" i="1"/>
  <c r="G4925" i="1"/>
  <c r="M4924" i="1"/>
  <c r="L4924" i="1"/>
  <c r="K4924" i="1"/>
  <c r="J4924" i="1"/>
  <c r="I4924" i="1"/>
  <c r="H4924" i="1"/>
  <c r="G4924" i="1"/>
  <c r="M4923" i="1"/>
  <c r="L4923" i="1"/>
  <c r="K4923" i="1"/>
  <c r="J4923" i="1"/>
  <c r="I4923" i="1"/>
  <c r="H4923" i="1"/>
  <c r="G4923" i="1"/>
  <c r="M4922" i="1"/>
  <c r="L4922" i="1"/>
  <c r="K4922" i="1"/>
  <c r="J4922" i="1"/>
  <c r="I4922" i="1"/>
  <c r="H4922" i="1"/>
  <c r="G4922" i="1"/>
  <c r="M4921" i="1"/>
  <c r="L4921" i="1"/>
  <c r="K4921" i="1"/>
  <c r="J4921" i="1"/>
  <c r="I4921" i="1"/>
  <c r="H4921" i="1"/>
  <c r="G4921" i="1"/>
  <c r="M4920" i="1"/>
  <c r="L4920" i="1"/>
  <c r="K4920" i="1"/>
  <c r="J4920" i="1"/>
  <c r="I4920" i="1"/>
  <c r="H4920" i="1"/>
  <c r="G4920" i="1"/>
  <c r="M4919" i="1"/>
  <c r="L4919" i="1"/>
  <c r="K4919" i="1"/>
  <c r="J4919" i="1"/>
  <c r="I4919" i="1"/>
  <c r="H4919" i="1"/>
  <c r="G4919" i="1"/>
  <c r="M4918" i="1"/>
  <c r="L4918" i="1"/>
  <c r="K4918" i="1"/>
  <c r="J4918" i="1"/>
  <c r="I4918" i="1"/>
  <c r="H4918" i="1"/>
  <c r="G4918" i="1"/>
  <c r="M4917" i="1"/>
  <c r="L4917" i="1"/>
  <c r="K4917" i="1"/>
  <c r="J4917" i="1"/>
  <c r="I4917" i="1"/>
  <c r="H4917" i="1"/>
  <c r="G4917" i="1"/>
  <c r="M4916" i="1"/>
  <c r="L4916" i="1"/>
  <c r="K4916" i="1"/>
  <c r="J4916" i="1"/>
  <c r="I4916" i="1"/>
  <c r="H4916" i="1"/>
  <c r="G4916" i="1"/>
  <c r="M4915" i="1"/>
  <c r="L4915" i="1"/>
  <c r="K4915" i="1"/>
  <c r="J4915" i="1"/>
  <c r="I4915" i="1"/>
  <c r="H4915" i="1"/>
  <c r="G4915" i="1"/>
  <c r="M4914" i="1"/>
  <c r="L4914" i="1"/>
  <c r="K4914" i="1"/>
  <c r="J4914" i="1"/>
  <c r="I4914" i="1"/>
  <c r="H4914" i="1"/>
  <c r="G4914" i="1"/>
  <c r="M4913" i="1"/>
  <c r="L4913" i="1"/>
  <c r="K4913" i="1"/>
  <c r="J4913" i="1"/>
  <c r="I4913" i="1"/>
  <c r="H4913" i="1"/>
  <c r="G4913" i="1"/>
  <c r="M4912" i="1"/>
  <c r="L4912" i="1"/>
  <c r="K4912" i="1"/>
  <c r="J4912" i="1"/>
  <c r="I4912" i="1"/>
  <c r="H4912" i="1"/>
  <c r="G4912" i="1"/>
  <c r="M4911" i="1"/>
  <c r="L4911" i="1"/>
  <c r="K4911" i="1"/>
  <c r="J4911" i="1"/>
  <c r="I4911" i="1"/>
  <c r="H4911" i="1"/>
  <c r="G4911" i="1"/>
  <c r="M4910" i="1"/>
  <c r="L4910" i="1"/>
  <c r="K4910" i="1"/>
  <c r="J4910" i="1"/>
  <c r="I4910" i="1"/>
  <c r="H4910" i="1"/>
  <c r="G4910" i="1"/>
  <c r="M4909" i="1"/>
  <c r="L4909" i="1"/>
  <c r="K4909" i="1"/>
  <c r="J4909" i="1"/>
  <c r="I4909" i="1"/>
  <c r="H4909" i="1"/>
  <c r="G4909" i="1"/>
  <c r="M4908" i="1"/>
  <c r="L4908" i="1"/>
  <c r="K4908" i="1"/>
  <c r="J4908" i="1"/>
  <c r="I4908" i="1"/>
  <c r="H4908" i="1"/>
  <c r="G4908" i="1"/>
  <c r="M4907" i="1"/>
  <c r="L4907" i="1"/>
  <c r="K4907" i="1"/>
  <c r="J4907" i="1"/>
  <c r="I4907" i="1"/>
  <c r="H4907" i="1"/>
  <c r="G4907" i="1"/>
  <c r="M4906" i="1"/>
  <c r="L4906" i="1"/>
  <c r="K4906" i="1"/>
  <c r="J4906" i="1"/>
  <c r="I4906" i="1"/>
  <c r="H4906" i="1"/>
  <c r="G4906" i="1"/>
  <c r="M4905" i="1"/>
  <c r="L4905" i="1"/>
  <c r="K4905" i="1"/>
  <c r="J4905" i="1"/>
  <c r="I4905" i="1"/>
  <c r="H4905" i="1"/>
  <c r="G4905" i="1"/>
  <c r="M4904" i="1"/>
  <c r="L4904" i="1"/>
  <c r="K4904" i="1"/>
  <c r="J4904" i="1"/>
  <c r="I4904" i="1"/>
  <c r="H4904" i="1"/>
  <c r="G4904" i="1"/>
  <c r="M4903" i="1"/>
  <c r="L4903" i="1"/>
  <c r="K4903" i="1"/>
  <c r="J4903" i="1"/>
  <c r="I4903" i="1"/>
  <c r="H4903" i="1"/>
  <c r="G4903" i="1"/>
  <c r="M4902" i="1"/>
  <c r="L4902" i="1"/>
  <c r="K4902" i="1"/>
  <c r="J4902" i="1"/>
  <c r="I4902" i="1"/>
  <c r="H4902" i="1"/>
  <c r="G4902" i="1"/>
  <c r="M4901" i="1"/>
  <c r="L4901" i="1"/>
  <c r="K4901" i="1"/>
  <c r="J4901" i="1"/>
  <c r="I4901" i="1"/>
  <c r="H4901" i="1"/>
  <c r="G4901" i="1"/>
  <c r="M4900" i="1"/>
  <c r="L4900" i="1"/>
  <c r="K4900" i="1"/>
  <c r="J4900" i="1"/>
  <c r="I4900" i="1"/>
  <c r="H4900" i="1"/>
  <c r="G4900" i="1"/>
  <c r="M4899" i="1"/>
  <c r="L4899" i="1"/>
  <c r="K4899" i="1"/>
  <c r="J4899" i="1"/>
  <c r="I4899" i="1"/>
  <c r="H4899" i="1"/>
  <c r="G4899" i="1"/>
  <c r="M4898" i="1"/>
  <c r="L4898" i="1"/>
  <c r="K4898" i="1"/>
  <c r="J4898" i="1"/>
  <c r="I4898" i="1"/>
  <c r="H4898" i="1"/>
  <c r="G4898" i="1"/>
  <c r="M4897" i="1"/>
  <c r="L4897" i="1"/>
  <c r="K4897" i="1"/>
  <c r="J4897" i="1"/>
  <c r="I4897" i="1"/>
  <c r="H4897" i="1"/>
  <c r="G4897" i="1"/>
  <c r="M4896" i="1"/>
  <c r="L4896" i="1"/>
  <c r="K4896" i="1"/>
  <c r="J4896" i="1"/>
  <c r="I4896" i="1"/>
  <c r="H4896" i="1"/>
  <c r="G4896" i="1"/>
  <c r="M4895" i="1"/>
  <c r="L4895" i="1"/>
  <c r="K4895" i="1"/>
  <c r="J4895" i="1"/>
  <c r="I4895" i="1"/>
  <c r="H4895" i="1"/>
  <c r="G4895" i="1"/>
  <c r="M4894" i="1"/>
  <c r="L4894" i="1"/>
  <c r="K4894" i="1"/>
  <c r="J4894" i="1"/>
  <c r="I4894" i="1"/>
  <c r="H4894" i="1"/>
  <c r="G4894" i="1"/>
  <c r="M4893" i="1"/>
  <c r="L4893" i="1"/>
  <c r="K4893" i="1"/>
  <c r="J4893" i="1"/>
  <c r="I4893" i="1"/>
  <c r="H4893" i="1"/>
  <c r="G4893" i="1"/>
  <c r="M4892" i="1"/>
  <c r="L4892" i="1"/>
  <c r="K4892" i="1"/>
  <c r="J4892" i="1"/>
  <c r="I4892" i="1"/>
  <c r="H4892" i="1"/>
  <c r="G4892" i="1"/>
  <c r="M4891" i="1"/>
  <c r="L4891" i="1"/>
  <c r="K4891" i="1"/>
  <c r="J4891" i="1"/>
  <c r="I4891" i="1"/>
  <c r="H4891" i="1"/>
  <c r="G4891" i="1"/>
  <c r="M4890" i="1"/>
  <c r="L4890" i="1"/>
  <c r="K4890" i="1"/>
  <c r="J4890" i="1"/>
  <c r="I4890" i="1"/>
  <c r="H4890" i="1"/>
  <c r="G4890" i="1"/>
  <c r="M4889" i="1"/>
  <c r="L4889" i="1"/>
  <c r="K4889" i="1"/>
  <c r="J4889" i="1"/>
  <c r="I4889" i="1"/>
  <c r="H4889" i="1"/>
  <c r="G4889" i="1"/>
  <c r="M4888" i="1"/>
  <c r="L4888" i="1"/>
  <c r="K4888" i="1"/>
  <c r="J4888" i="1"/>
  <c r="I4888" i="1"/>
  <c r="H4888" i="1"/>
  <c r="G4888" i="1"/>
  <c r="M4887" i="1"/>
  <c r="L4887" i="1"/>
  <c r="K4887" i="1"/>
  <c r="J4887" i="1"/>
  <c r="I4887" i="1"/>
  <c r="H4887" i="1"/>
  <c r="G4887" i="1"/>
  <c r="M4886" i="1"/>
  <c r="L4886" i="1"/>
  <c r="K4886" i="1"/>
  <c r="J4886" i="1"/>
  <c r="I4886" i="1"/>
  <c r="H4886" i="1"/>
  <c r="G4886" i="1"/>
  <c r="M4885" i="1"/>
  <c r="L4885" i="1"/>
  <c r="K4885" i="1"/>
  <c r="J4885" i="1"/>
  <c r="I4885" i="1"/>
  <c r="H4885" i="1"/>
  <c r="G4885" i="1"/>
  <c r="M4884" i="1"/>
  <c r="L4884" i="1"/>
  <c r="K4884" i="1"/>
  <c r="J4884" i="1"/>
  <c r="I4884" i="1"/>
  <c r="H4884" i="1"/>
  <c r="G4884" i="1"/>
  <c r="M4883" i="1"/>
  <c r="L4883" i="1"/>
  <c r="K4883" i="1"/>
  <c r="J4883" i="1"/>
  <c r="I4883" i="1"/>
  <c r="H4883" i="1"/>
  <c r="G4883" i="1"/>
  <c r="M4882" i="1"/>
  <c r="L4882" i="1"/>
  <c r="K4882" i="1"/>
  <c r="J4882" i="1"/>
  <c r="I4882" i="1"/>
  <c r="H4882" i="1"/>
  <c r="G4882" i="1"/>
  <c r="M4881" i="1"/>
  <c r="L4881" i="1"/>
  <c r="K4881" i="1"/>
  <c r="J4881" i="1"/>
  <c r="I4881" i="1"/>
  <c r="H4881" i="1"/>
  <c r="G4881" i="1"/>
  <c r="M4880" i="1"/>
  <c r="L4880" i="1"/>
  <c r="K4880" i="1"/>
  <c r="J4880" i="1"/>
  <c r="I4880" i="1"/>
  <c r="H4880" i="1"/>
  <c r="G4880" i="1"/>
  <c r="M4879" i="1"/>
  <c r="L4879" i="1"/>
  <c r="K4879" i="1"/>
  <c r="J4879" i="1"/>
  <c r="I4879" i="1"/>
  <c r="H4879" i="1"/>
  <c r="G4879" i="1"/>
  <c r="M4878" i="1"/>
  <c r="L4878" i="1"/>
  <c r="K4878" i="1"/>
  <c r="J4878" i="1"/>
  <c r="I4878" i="1"/>
  <c r="H4878" i="1"/>
  <c r="G4878" i="1"/>
  <c r="M4877" i="1"/>
  <c r="L4877" i="1"/>
  <c r="K4877" i="1"/>
  <c r="J4877" i="1"/>
  <c r="I4877" i="1"/>
  <c r="H4877" i="1"/>
  <c r="G4877" i="1"/>
  <c r="M4876" i="1"/>
  <c r="L4876" i="1"/>
  <c r="K4876" i="1"/>
  <c r="J4876" i="1"/>
  <c r="I4876" i="1"/>
  <c r="H4876" i="1"/>
  <c r="G4876" i="1"/>
  <c r="M4875" i="1"/>
  <c r="L4875" i="1"/>
  <c r="K4875" i="1"/>
  <c r="J4875" i="1"/>
  <c r="I4875" i="1"/>
  <c r="H4875" i="1"/>
  <c r="G4875" i="1"/>
  <c r="M4874" i="1"/>
  <c r="L4874" i="1"/>
  <c r="K4874" i="1"/>
  <c r="J4874" i="1"/>
  <c r="I4874" i="1"/>
  <c r="H4874" i="1"/>
  <c r="G4874" i="1"/>
  <c r="M4873" i="1"/>
  <c r="L4873" i="1"/>
  <c r="K4873" i="1"/>
  <c r="J4873" i="1"/>
  <c r="I4873" i="1"/>
  <c r="H4873" i="1"/>
  <c r="G4873" i="1"/>
  <c r="M4872" i="1"/>
  <c r="L4872" i="1"/>
  <c r="K4872" i="1"/>
  <c r="J4872" i="1"/>
  <c r="I4872" i="1"/>
  <c r="H4872" i="1"/>
  <c r="G4872" i="1"/>
  <c r="M4871" i="1"/>
  <c r="L4871" i="1"/>
  <c r="K4871" i="1"/>
  <c r="J4871" i="1"/>
  <c r="I4871" i="1"/>
  <c r="H4871" i="1"/>
  <c r="G4871" i="1"/>
  <c r="M4870" i="1"/>
  <c r="L4870" i="1"/>
  <c r="K4870" i="1"/>
  <c r="J4870" i="1"/>
  <c r="I4870" i="1"/>
  <c r="H4870" i="1"/>
  <c r="G4870" i="1"/>
  <c r="M4869" i="1"/>
  <c r="L4869" i="1"/>
  <c r="K4869" i="1"/>
  <c r="J4869" i="1"/>
  <c r="I4869" i="1"/>
  <c r="H4869" i="1"/>
  <c r="G4869" i="1"/>
  <c r="M4868" i="1"/>
  <c r="L4868" i="1"/>
  <c r="K4868" i="1"/>
  <c r="J4868" i="1"/>
  <c r="I4868" i="1"/>
  <c r="H4868" i="1"/>
  <c r="G4868" i="1"/>
  <c r="M4867" i="1"/>
  <c r="L4867" i="1"/>
  <c r="K4867" i="1"/>
  <c r="J4867" i="1"/>
  <c r="I4867" i="1"/>
  <c r="H4867" i="1"/>
  <c r="G4867" i="1"/>
  <c r="M4866" i="1"/>
  <c r="L4866" i="1"/>
  <c r="K4866" i="1"/>
  <c r="J4866" i="1"/>
  <c r="I4866" i="1"/>
  <c r="H4866" i="1"/>
  <c r="G4866" i="1"/>
  <c r="M4865" i="1"/>
  <c r="L4865" i="1"/>
  <c r="K4865" i="1"/>
  <c r="J4865" i="1"/>
  <c r="I4865" i="1"/>
  <c r="H4865" i="1"/>
  <c r="G4865" i="1"/>
  <c r="M4864" i="1"/>
  <c r="L4864" i="1"/>
  <c r="K4864" i="1"/>
  <c r="J4864" i="1"/>
  <c r="I4864" i="1"/>
  <c r="H4864" i="1"/>
  <c r="G4864" i="1"/>
  <c r="M4863" i="1"/>
  <c r="L4863" i="1"/>
  <c r="K4863" i="1"/>
  <c r="J4863" i="1"/>
  <c r="I4863" i="1"/>
  <c r="H4863" i="1"/>
  <c r="G4863" i="1"/>
  <c r="M4862" i="1"/>
  <c r="L4862" i="1"/>
  <c r="K4862" i="1"/>
  <c r="J4862" i="1"/>
  <c r="I4862" i="1"/>
  <c r="H4862" i="1"/>
  <c r="G4862" i="1"/>
  <c r="M4861" i="1"/>
  <c r="L4861" i="1"/>
  <c r="K4861" i="1"/>
  <c r="J4861" i="1"/>
  <c r="I4861" i="1"/>
  <c r="H4861" i="1"/>
  <c r="G4861" i="1"/>
  <c r="M4860" i="1"/>
  <c r="L4860" i="1"/>
  <c r="K4860" i="1"/>
  <c r="J4860" i="1"/>
  <c r="I4860" i="1"/>
  <c r="H4860" i="1"/>
  <c r="G4860" i="1"/>
  <c r="M4859" i="1"/>
  <c r="L4859" i="1"/>
  <c r="K4859" i="1"/>
  <c r="J4859" i="1"/>
  <c r="I4859" i="1"/>
  <c r="H4859" i="1"/>
  <c r="G4859" i="1"/>
  <c r="M4858" i="1"/>
  <c r="L4858" i="1"/>
  <c r="K4858" i="1"/>
  <c r="J4858" i="1"/>
  <c r="I4858" i="1"/>
  <c r="H4858" i="1"/>
  <c r="G4858" i="1"/>
  <c r="M4857" i="1"/>
  <c r="L4857" i="1"/>
  <c r="K4857" i="1"/>
  <c r="J4857" i="1"/>
  <c r="I4857" i="1"/>
  <c r="H4857" i="1"/>
  <c r="G4857" i="1"/>
  <c r="M4856" i="1"/>
  <c r="L4856" i="1"/>
  <c r="K4856" i="1"/>
  <c r="J4856" i="1"/>
  <c r="I4856" i="1"/>
  <c r="H4856" i="1"/>
  <c r="G4856" i="1"/>
  <c r="M4855" i="1"/>
  <c r="L4855" i="1"/>
  <c r="K4855" i="1"/>
  <c r="J4855" i="1"/>
  <c r="I4855" i="1"/>
  <c r="H4855" i="1"/>
  <c r="G4855" i="1"/>
  <c r="M4854" i="1"/>
  <c r="L4854" i="1"/>
  <c r="K4854" i="1"/>
  <c r="J4854" i="1"/>
  <c r="I4854" i="1"/>
  <c r="H4854" i="1"/>
  <c r="G4854" i="1"/>
  <c r="M4853" i="1"/>
  <c r="L4853" i="1"/>
  <c r="K4853" i="1"/>
  <c r="J4853" i="1"/>
  <c r="I4853" i="1"/>
  <c r="H4853" i="1"/>
  <c r="G4853" i="1"/>
  <c r="M4852" i="1"/>
  <c r="L4852" i="1"/>
  <c r="K4852" i="1"/>
  <c r="J4852" i="1"/>
  <c r="I4852" i="1"/>
  <c r="H4852" i="1"/>
  <c r="G4852" i="1"/>
  <c r="M4851" i="1"/>
  <c r="L4851" i="1"/>
  <c r="K4851" i="1"/>
  <c r="J4851" i="1"/>
  <c r="I4851" i="1"/>
  <c r="H4851" i="1"/>
  <c r="G4851" i="1"/>
  <c r="M4850" i="1"/>
  <c r="L4850" i="1"/>
  <c r="K4850" i="1"/>
  <c r="J4850" i="1"/>
  <c r="I4850" i="1"/>
  <c r="H4850" i="1"/>
  <c r="G4850" i="1"/>
  <c r="M4849" i="1"/>
  <c r="L4849" i="1"/>
  <c r="K4849" i="1"/>
  <c r="J4849" i="1"/>
  <c r="I4849" i="1"/>
  <c r="H4849" i="1"/>
  <c r="G4849" i="1"/>
  <c r="M4848" i="1"/>
  <c r="L4848" i="1"/>
  <c r="K4848" i="1"/>
  <c r="J4848" i="1"/>
  <c r="I4848" i="1"/>
  <c r="H4848" i="1"/>
  <c r="G4848" i="1"/>
  <c r="M4847" i="1"/>
  <c r="L4847" i="1"/>
  <c r="K4847" i="1"/>
  <c r="J4847" i="1"/>
  <c r="I4847" i="1"/>
  <c r="H4847" i="1"/>
  <c r="G4847" i="1"/>
  <c r="M4846" i="1"/>
  <c r="L4846" i="1"/>
  <c r="K4846" i="1"/>
  <c r="J4846" i="1"/>
  <c r="I4846" i="1"/>
  <c r="H4846" i="1"/>
  <c r="G4846" i="1"/>
  <c r="M4845" i="1"/>
  <c r="L4845" i="1"/>
  <c r="K4845" i="1"/>
  <c r="J4845" i="1"/>
  <c r="I4845" i="1"/>
  <c r="H4845" i="1"/>
  <c r="G4845" i="1"/>
  <c r="M4844" i="1"/>
  <c r="L4844" i="1"/>
  <c r="K4844" i="1"/>
  <c r="J4844" i="1"/>
  <c r="I4844" i="1"/>
  <c r="H4844" i="1"/>
  <c r="G4844" i="1"/>
  <c r="M4843" i="1"/>
  <c r="L4843" i="1"/>
  <c r="K4843" i="1"/>
  <c r="J4843" i="1"/>
  <c r="I4843" i="1"/>
  <c r="H4843" i="1"/>
  <c r="G4843" i="1"/>
  <c r="M4842" i="1"/>
  <c r="L4842" i="1"/>
  <c r="K4842" i="1"/>
  <c r="J4842" i="1"/>
  <c r="I4842" i="1"/>
  <c r="H4842" i="1"/>
  <c r="G4842" i="1"/>
  <c r="M4841" i="1"/>
  <c r="L4841" i="1"/>
  <c r="K4841" i="1"/>
  <c r="J4841" i="1"/>
  <c r="I4841" i="1"/>
  <c r="H4841" i="1"/>
  <c r="G4841" i="1"/>
  <c r="M4840" i="1"/>
  <c r="L4840" i="1"/>
  <c r="K4840" i="1"/>
  <c r="J4840" i="1"/>
  <c r="I4840" i="1"/>
  <c r="H4840" i="1"/>
  <c r="G4840" i="1"/>
  <c r="M4839" i="1"/>
  <c r="L4839" i="1"/>
  <c r="K4839" i="1"/>
  <c r="J4839" i="1"/>
  <c r="I4839" i="1"/>
  <c r="H4839" i="1"/>
  <c r="G4839" i="1"/>
  <c r="M4838" i="1"/>
  <c r="L4838" i="1"/>
  <c r="K4838" i="1"/>
  <c r="J4838" i="1"/>
  <c r="I4838" i="1"/>
  <c r="H4838" i="1"/>
  <c r="G4838" i="1"/>
  <c r="M4837" i="1"/>
  <c r="L4837" i="1"/>
  <c r="K4837" i="1"/>
  <c r="J4837" i="1"/>
  <c r="I4837" i="1"/>
  <c r="H4837" i="1"/>
  <c r="G4837" i="1"/>
  <c r="M4836" i="1"/>
  <c r="L4836" i="1"/>
  <c r="K4836" i="1"/>
  <c r="J4836" i="1"/>
  <c r="I4836" i="1"/>
  <c r="H4836" i="1"/>
  <c r="G4836" i="1"/>
  <c r="M4835" i="1"/>
  <c r="L4835" i="1"/>
  <c r="K4835" i="1"/>
  <c r="J4835" i="1"/>
  <c r="I4835" i="1"/>
  <c r="H4835" i="1"/>
  <c r="G4835" i="1"/>
  <c r="M4834" i="1"/>
  <c r="L4834" i="1"/>
  <c r="K4834" i="1"/>
  <c r="J4834" i="1"/>
  <c r="I4834" i="1"/>
  <c r="H4834" i="1"/>
  <c r="G4834" i="1"/>
  <c r="M4833" i="1"/>
  <c r="L4833" i="1"/>
  <c r="K4833" i="1"/>
  <c r="J4833" i="1"/>
  <c r="I4833" i="1"/>
  <c r="H4833" i="1"/>
  <c r="G4833" i="1"/>
  <c r="M4832" i="1"/>
  <c r="L4832" i="1"/>
  <c r="K4832" i="1"/>
  <c r="J4832" i="1"/>
  <c r="I4832" i="1"/>
  <c r="H4832" i="1"/>
  <c r="G4832" i="1"/>
  <c r="M4831" i="1"/>
  <c r="L4831" i="1"/>
  <c r="K4831" i="1"/>
  <c r="J4831" i="1"/>
  <c r="I4831" i="1"/>
  <c r="H4831" i="1"/>
  <c r="G4831" i="1"/>
  <c r="M4830" i="1"/>
  <c r="L4830" i="1"/>
  <c r="K4830" i="1"/>
  <c r="J4830" i="1"/>
  <c r="I4830" i="1"/>
  <c r="H4830" i="1"/>
  <c r="G4830" i="1"/>
  <c r="M4829" i="1"/>
  <c r="L4829" i="1"/>
  <c r="K4829" i="1"/>
  <c r="J4829" i="1"/>
  <c r="I4829" i="1"/>
  <c r="H4829" i="1"/>
  <c r="G4829" i="1"/>
  <c r="M4828" i="1"/>
  <c r="L4828" i="1"/>
  <c r="K4828" i="1"/>
  <c r="J4828" i="1"/>
  <c r="I4828" i="1"/>
  <c r="H4828" i="1"/>
  <c r="G4828" i="1"/>
  <c r="M4827" i="1"/>
  <c r="L4827" i="1"/>
  <c r="K4827" i="1"/>
  <c r="J4827" i="1"/>
  <c r="I4827" i="1"/>
  <c r="H4827" i="1"/>
  <c r="G4827" i="1"/>
  <c r="M4826" i="1"/>
  <c r="L4826" i="1"/>
  <c r="K4826" i="1"/>
  <c r="J4826" i="1"/>
  <c r="I4826" i="1"/>
  <c r="H4826" i="1"/>
  <c r="G4826" i="1"/>
  <c r="M4825" i="1"/>
  <c r="L4825" i="1"/>
  <c r="K4825" i="1"/>
  <c r="J4825" i="1"/>
  <c r="I4825" i="1"/>
  <c r="H4825" i="1"/>
  <c r="G4825" i="1"/>
  <c r="M4824" i="1"/>
  <c r="L4824" i="1"/>
  <c r="K4824" i="1"/>
  <c r="J4824" i="1"/>
  <c r="I4824" i="1"/>
  <c r="H4824" i="1"/>
  <c r="G4824" i="1"/>
  <c r="M4823" i="1"/>
  <c r="L4823" i="1"/>
  <c r="K4823" i="1"/>
  <c r="J4823" i="1"/>
  <c r="I4823" i="1"/>
  <c r="H4823" i="1"/>
  <c r="G4823" i="1"/>
  <c r="M4822" i="1"/>
  <c r="L4822" i="1"/>
  <c r="K4822" i="1"/>
  <c r="J4822" i="1"/>
  <c r="I4822" i="1"/>
  <c r="H4822" i="1"/>
  <c r="G4822" i="1"/>
  <c r="M4821" i="1"/>
  <c r="L4821" i="1"/>
  <c r="K4821" i="1"/>
  <c r="J4821" i="1"/>
  <c r="I4821" i="1"/>
  <c r="H4821" i="1"/>
  <c r="G4821" i="1"/>
  <c r="M4820" i="1"/>
  <c r="L4820" i="1"/>
  <c r="K4820" i="1"/>
  <c r="J4820" i="1"/>
  <c r="I4820" i="1"/>
  <c r="H4820" i="1"/>
  <c r="G4820" i="1"/>
  <c r="M4819" i="1"/>
  <c r="L4819" i="1"/>
  <c r="K4819" i="1"/>
  <c r="J4819" i="1"/>
  <c r="I4819" i="1"/>
  <c r="H4819" i="1"/>
  <c r="G4819" i="1"/>
  <c r="M4818" i="1"/>
  <c r="L4818" i="1"/>
  <c r="K4818" i="1"/>
  <c r="J4818" i="1"/>
  <c r="I4818" i="1"/>
  <c r="H4818" i="1"/>
  <c r="G4818" i="1"/>
  <c r="M4817" i="1"/>
  <c r="L4817" i="1"/>
  <c r="K4817" i="1"/>
  <c r="J4817" i="1"/>
  <c r="I4817" i="1"/>
  <c r="H4817" i="1"/>
  <c r="G4817" i="1"/>
  <c r="M4816" i="1"/>
  <c r="L4816" i="1"/>
  <c r="K4816" i="1"/>
  <c r="J4816" i="1"/>
  <c r="I4816" i="1"/>
  <c r="H4816" i="1"/>
  <c r="G4816" i="1"/>
  <c r="M4815" i="1"/>
  <c r="L4815" i="1"/>
  <c r="K4815" i="1"/>
  <c r="J4815" i="1"/>
  <c r="I4815" i="1"/>
  <c r="H4815" i="1"/>
  <c r="G4815" i="1"/>
  <c r="M4814" i="1"/>
  <c r="L4814" i="1"/>
  <c r="K4814" i="1"/>
  <c r="J4814" i="1"/>
  <c r="I4814" i="1"/>
  <c r="H4814" i="1"/>
  <c r="G4814" i="1"/>
  <c r="M4813" i="1"/>
  <c r="L4813" i="1"/>
  <c r="K4813" i="1"/>
  <c r="J4813" i="1"/>
  <c r="I4813" i="1"/>
  <c r="H4813" i="1"/>
  <c r="G4813" i="1"/>
  <c r="M4812" i="1"/>
  <c r="L4812" i="1"/>
  <c r="K4812" i="1"/>
  <c r="J4812" i="1"/>
  <c r="I4812" i="1"/>
  <c r="H4812" i="1"/>
  <c r="G4812" i="1"/>
  <c r="M4811" i="1"/>
  <c r="L4811" i="1"/>
  <c r="K4811" i="1"/>
  <c r="J4811" i="1"/>
  <c r="I4811" i="1"/>
  <c r="H4811" i="1"/>
  <c r="G4811" i="1"/>
  <c r="M4810" i="1"/>
  <c r="L4810" i="1"/>
  <c r="K4810" i="1"/>
  <c r="J4810" i="1"/>
  <c r="I4810" i="1"/>
  <c r="H4810" i="1"/>
  <c r="G4810" i="1"/>
  <c r="M4809" i="1"/>
  <c r="L4809" i="1"/>
  <c r="K4809" i="1"/>
  <c r="J4809" i="1"/>
  <c r="I4809" i="1"/>
  <c r="H4809" i="1"/>
  <c r="G4809" i="1"/>
  <c r="M4808" i="1"/>
  <c r="L4808" i="1"/>
  <c r="K4808" i="1"/>
  <c r="J4808" i="1"/>
  <c r="I4808" i="1"/>
  <c r="H4808" i="1"/>
  <c r="G4808" i="1"/>
  <c r="M4807" i="1"/>
  <c r="L4807" i="1"/>
  <c r="K4807" i="1"/>
  <c r="J4807" i="1"/>
  <c r="I4807" i="1"/>
  <c r="H4807" i="1"/>
  <c r="G4807" i="1"/>
  <c r="M4806" i="1"/>
  <c r="L4806" i="1"/>
  <c r="K4806" i="1"/>
  <c r="J4806" i="1"/>
  <c r="I4806" i="1"/>
  <c r="H4806" i="1"/>
  <c r="G4806" i="1"/>
  <c r="M4805" i="1"/>
  <c r="L4805" i="1"/>
  <c r="K4805" i="1"/>
  <c r="J4805" i="1"/>
  <c r="I4805" i="1"/>
  <c r="H4805" i="1"/>
  <c r="G4805" i="1"/>
  <c r="M4804" i="1"/>
  <c r="L4804" i="1"/>
  <c r="K4804" i="1"/>
  <c r="J4804" i="1"/>
  <c r="I4804" i="1"/>
  <c r="H4804" i="1"/>
  <c r="G4804" i="1"/>
  <c r="M4803" i="1"/>
  <c r="L4803" i="1"/>
  <c r="K4803" i="1"/>
  <c r="J4803" i="1"/>
  <c r="I4803" i="1"/>
  <c r="H4803" i="1"/>
  <c r="G4803" i="1"/>
  <c r="M4802" i="1"/>
  <c r="L4802" i="1"/>
  <c r="K4802" i="1"/>
  <c r="J4802" i="1"/>
  <c r="I4802" i="1"/>
  <c r="H4802" i="1"/>
  <c r="G4802" i="1"/>
  <c r="M4801" i="1"/>
  <c r="L4801" i="1"/>
  <c r="K4801" i="1"/>
  <c r="J4801" i="1"/>
  <c r="I4801" i="1"/>
  <c r="H4801" i="1"/>
  <c r="G4801" i="1"/>
  <c r="M4800" i="1"/>
  <c r="L4800" i="1"/>
  <c r="K4800" i="1"/>
  <c r="J4800" i="1"/>
  <c r="I4800" i="1"/>
  <c r="H4800" i="1"/>
  <c r="G4800" i="1"/>
  <c r="M4799" i="1"/>
  <c r="L4799" i="1"/>
  <c r="K4799" i="1"/>
  <c r="J4799" i="1"/>
  <c r="I4799" i="1"/>
  <c r="H4799" i="1"/>
  <c r="G4799" i="1"/>
  <c r="M4798" i="1"/>
  <c r="L4798" i="1"/>
  <c r="K4798" i="1"/>
  <c r="J4798" i="1"/>
  <c r="I4798" i="1"/>
  <c r="H4798" i="1"/>
  <c r="G4798" i="1"/>
  <c r="M4797" i="1"/>
  <c r="L4797" i="1"/>
  <c r="K4797" i="1"/>
  <c r="J4797" i="1"/>
  <c r="I4797" i="1"/>
  <c r="H4797" i="1"/>
  <c r="G4797" i="1"/>
  <c r="M4796" i="1"/>
  <c r="L4796" i="1"/>
  <c r="K4796" i="1"/>
  <c r="J4796" i="1"/>
  <c r="I4796" i="1"/>
  <c r="H4796" i="1"/>
  <c r="G4796" i="1"/>
  <c r="M4795" i="1"/>
  <c r="L4795" i="1"/>
  <c r="K4795" i="1"/>
  <c r="J4795" i="1"/>
  <c r="I4795" i="1"/>
  <c r="H4795" i="1"/>
  <c r="G4795" i="1"/>
  <c r="M4794" i="1"/>
  <c r="L4794" i="1"/>
  <c r="K4794" i="1"/>
  <c r="J4794" i="1"/>
  <c r="I4794" i="1"/>
  <c r="H4794" i="1"/>
  <c r="G4794" i="1"/>
  <c r="M4793" i="1"/>
  <c r="L4793" i="1"/>
  <c r="K4793" i="1"/>
  <c r="J4793" i="1"/>
  <c r="I4793" i="1"/>
  <c r="H4793" i="1"/>
  <c r="G4793" i="1"/>
  <c r="M4792" i="1"/>
  <c r="L4792" i="1"/>
  <c r="K4792" i="1"/>
  <c r="J4792" i="1"/>
  <c r="I4792" i="1"/>
  <c r="H4792" i="1"/>
  <c r="G4792" i="1"/>
  <c r="M4791" i="1"/>
  <c r="L4791" i="1"/>
  <c r="K4791" i="1"/>
  <c r="J4791" i="1"/>
  <c r="I4791" i="1"/>
  <c r="H4791" i="1"/>
  <c r="G4791" i="1"/>
  <c r="M4790" i="1"/>
  <c r="L4790" i="1"/>
  <c r="K4790" i="1"/>
  <c r="J4790" i="1"/>
  <c r="I4790" i="1"/>
  <c r="H4790" i="1"/>
  <c r="G4790" i="1"/>
  <c r="M4789" i="1"/>
  <c r="L4789" i="1"/>
  <c r="K4789" i="1"/>
  <c r="J4789" i="1"/>
  <c r="I4789" i="1"/>
  <c r="H4789" i="1"/>
  <c r="G4789" i="1"/>
  <c r="M4788" i="1"/>
  <c r="L4788" i="1"/>
  <c r="K4788" i="1"/>
  <c r="J4788" i="1"/>
  <c r="I4788" i="1"/>
  <c r="H4788" i="1"/>
  <c r="G4788" i="1"/>
  <c r="M4787" i="1"/>
  <c r="L4787" i="1"/>
  <c r="K4787" i="1"/>
  <c r="J4787" i="1"/>
  <c r="I4787" i="1"/>
  <c r="H4787" i="1"/>
  <c r="G4787" i="1"/>
  <c r="M4786" i="1"/>
  <c r="L4786" i="1"/>
  <c r="K4786" i="1"/>
  <c r="J4786" i="1"/>
  <c r="I4786" i="1"/>
  <c r="H4786" i="1"/>
  <c r="G4786" i="1"/>
  <c r="M4785" i="1"/>
  <c r="L4785" i="1"/>
  <c r="K4785" i="1"/>
  <c r="J4785" i="1"/>
  <c r="I4785" i="1"/>
  <c r="H4785" i="1"/>
  <c r="G4785" i="1"/>
  <c r="M4784" i="1"/>
  <c r="L4784" i="1"/>
  <c r="K4784" i="1"/>
  <c r="J4784" i="1"/>
  <c r="I4784" i="1"/>
  <c r="H4784" i="1"/>
  <c r="G4784" i="1"/>
  <c r="M4783" i="1"/>
  <c r="L4783" i="1"/>
  <c r="K4783" i="1"/>
  <c r="J4783" i="1"/>
  <c r="I4783" i="1"/>
  <c r="H4783" i="1"/>
  <c r="G4783" i="1"/>
  <c r="M4782" i="1"/>
  <c r="L4782" i="1"/>
  <c r="K4782" i="1"/>
  <c r="J4782" i="1"/>
  <c r="I4782" i="1"/>
  <c r="H4782" i="1"/>
  <c r="G4782" i="1"/>
  <c r="M4781" i="1"/>
  <c r="L4781" i="1"/>
  <c r="K4781" i="1"/>
  <c r="J4781" i="1"/>
  <c r="I4781" i="1"/>
  <c r="H4781" i="1"/>
  <c r="G4781" i="1"/>
  <c r="M4780" i="1"/>
  <c r="L4780" i="1"/>
  <c r="K4780" i="1"/>
  <c r="J4780" i="1"/>
  <c r="I4780" i="1"/>
  <c r="H4780" i="1"/>
  <c r="G4780" i="1"/>
  <c r="M4779" i="1"/>
  <c r="L4779" i="1"/>
  <c r="K4779" i="1"/>
  <c r="J4779" i="1"/>
  <c r="I4779" i="1"/>
  <c r="H4779" i="1"/>
  <c r="G4779" i="1"/>
  <c r="M4778" i="1"/>
  <c r="L4778" i="1"/>
  <c r="K4778" i="1"/>
  <c r="J4778" i="1"/>
  <c r="I4778" i="1"/>
  <c r="H4778" i="1"/>
  <c r="G4778" i="1"/>
  <c r="M4777" i="1"/>
  <c r="L4777" i="1"/>
  <c r="K4777" i="1"/>
  <c r="J4777" i="1"/>
  <c r="I4777" i="1"/>
  <c r="H4777" i="1"/>
  <c r="G4777" i="1"/>
  <c r="M4776" i="1"/>
  <c r="L4776" i="1"/>
  <c r="K4776" i="1"/>
  <c r="J4776" i="1"/>
  <c r="I4776" i="1"/>
  <c r="H4776" i="1"/>
  <c r="G4776" i="1"/>
  <c r="M4775" i="1"/>
  <c r="L4775" i="1"/>
  <c r="K4775" i="1"/>
  <c r="J4775" i="1"/>
  <c r="I4775" i="1"/>
  <c r="H4775" i="1"/>
  <c r="G4775" i="1"/>
  <c r="M4774" i="1"/>
  <c r="L4774" i="1"/>
  <c r="K4774" i="1"/>
  <c r="J4774" i="1"/>
  <c r="I4774" i="1"/>
  <c r="H4774" i="1"/>
  <c r="G4774" i="1"/>
  <c r="M4773" i="1"/>
  <c r="L4773" i="1"/>
  <c r="K4773" i="1"/>
  <c r="J4773" i="1"/>
  <c r="I4773" i="1"/>
  <c r="H4773" i="1"/>
  <c r="G4773" i="1"/>
  <c r="M4772" i="1"/>
  <c r="L4772" i="1"/>
  <c r="K4772" i="1"/>
  <c r="J4772" i="1"/>
  <c r="I4772" i="1"/>
  <c r="H4772" i="1"/>
  <c r="G4772" i="1"/>
  <c r="M4771" i="1"/>
  <c r="L4771" i="1"/>
  <c r="K4771" i="1"/>
  <c r="J4771" i="1"/>
  <c r="I4771" i="1"/>
  <c r="H4771" i="1"/>
  <c r="G4771" i="1"/>
  <c r="M4770" i="1"/>
  <c r="L4770" i="1"/>
  <c r="K4770" i="1"/>
  <c r="J4770" i="1"/>
  <c r="I4770" i="1"/>
  <c r="H4770" i="1"/>
  <c r="G4770" i="1"/>
  <c r="M4769" i="1"/>
  <c r="L4769" i="1"/>
  <c r="K4769" i="1"/>
  <c r="J4769" i="1"/>
  <c r="I4769" i="1"/>
  <c r="H4769" i="1"/>
  <c r="G4769" i="1"/>
  <c r="M4768" i="1"/>
  <c r="L4768" i="1"/>
  <c r="K4768" i="1"/>
  <c r="J4768" i="1"/>
  <c r="I4768" i="1"/>
  <c r="H4768" i="1"/>
  <c r="G4768" i="1"/>
  <c r="M4767" i="1"/>
  <c r="L4767" i="1"/>
  <c r="K4767" i="1"/>
  <c r="J4767" i="1"/>
  <c r="I4767" i="1"/>
  <c r="H4767" i="1"/>
  <c r="G4767" i="1"/>
  <c r="M4766" i="1"/>
  <c r="L4766" i="1"/>
  <c r="K4766" i="1"/>
  <c r="J4766" i="1"/>
  <c r="I4766" i="1"/>
  <c r="H4766" i="1"/>
  <c r="G4766" i="1"/>
  <c r="M4765" i="1"/>
  <c r="L4765" i="1"/>
  <c r="K4765" i="1"/>
  <c r="J4765" i="1"/>
  <c r="I4765" i="1"/>
  <c r="H4765" i="1"/>
  <c r="G4765" i="1"/>
  <c r="M4764" i="1"/>
  <c r="L4764" i="1"/>
  <c r="K4764" i="1"/>
  <c r="J4764" i="1"/>
  <c r="I4764" i="1"/>
  <c r="H4764" i="1"/>
  <c r="G4764" i="1"/>
  <c r="M4763" i="1"/>
  <c r="L4763" i="1"/>
  <c r="K4763" i="1"/>
  <c r="J4763" i="1"/>
  <c r="I4763" i="1"/>
  <c r="H4763" i="1"/>
  <c r="G4763" i="1"/>
  <c r="M4762" i="1"/>
  <c r="L4762" i="1"/>
  <c r="K4762" i="1"/>
  <c r="J4762" i="1"/>
  <c r="I4762" i="1"/>
  <c r="H4762" i="1"/>
  <c r="G4762" i="1"/>
  <c r="M4761" i="1"/>
  <c r="L4761" i="1"/>
  <c r="K4761" i="1"/>
  <c r="J4761" i="1"/>
  <c r="I4761" i="1"/>
  <c r="H4761" i="1"/>
  <c r="G4761" i="1"/>
  <c r="M4760" i="1"/>
  <c r="L4760" i="1"/>
  <c r="K4760" i="1"/>
  <c r="J4760" i="1"/>
  <c r="I4760" i="1"/>
  <c r="H4760" i="1"/>
  <c r="G4760" i="1"/>
  <c r="M4759" i="1"/>
  <c r="L4759" i="1"/>
  <c r="K4759" i="1"/>
  <c r="J4759" i="1"/>
  <c r="I4759" i="1"/>
  <c r="H4759" i="1"/>
  <c r="G4759" i="1"/>
  <c r="M4758" i="1"/>
  <c r="L4758" i="1"/>
  <c r="K4758" i="1"/>
  <c r="J4758" i="1"/>
  <c r="I4758" i="1"/>
  <c r="H4758" i="1"/>
  <c r="G4758" i="1"/>
  <c r="M4757" i="1"/>
  <c r="L4757" i="1"/>
  <c r="K4757" i="1"/>
  <c r="J4757" i="1"/>
  <c r="I4757" i="1"/>
  <c r="H4757" i="1"/>
  <c r="G4757" i="1"/>
  <c r="M4756" i="1"/>
  <c r="L4756" i="1"/>
  <c r="K4756" i="1"/>
  <c r="J4756" i="1"/>
  <c r="I4756" i="1"/>
  <c r="H4756" i="1"/>
  <c r="G4756" i="1"/>
  <c r="M4755" i="1"/>
  <c r="L4755" i="1"/>
  <c r="K4755" i="1"/>
  <c r="J4755" i="1"/>
  <c r="I4755" i="1"/>
  <c r="H4755" i="1"/>
  <c r="G4755" i="1"/>
  <c r="M4754" i="1"/>
  <c r="L4754" i="1"/>
  <c r="K4754" i="1"/>
  <c r="J4754" i="1"/>
  <c r="I4754" i="1"/>
  <c r="H4754" i="1"/>
  <c r="G4754" i="1"/>
  <c r="M4753" i="1"/>
  <c r="L4753" i="1"/>
  <c r="K4753" i="1"/>
  <c r="J4753" i="1"/>
  <c r="I4753" i="1"/>
  <c r="H4753" i="1"/>
  <c r="G4753" i="1"/>
  <c r="M4752" i="1"/>
  <c r="L4752" i="1"/>
  <c r="K4752" i="1"/>
  <c r="J4752" i="1"/>
  <c r="I4752" i="1"/>
  <c r="H4752" i="1"/>
  <c r="G4752" i="1"/>
  <c r="M4751" i="1"/>
  <c r="L4751" i="1"/>
  <c r="K4751" i="1"/>
  <c r="J4751" i="1"/>
  <c r="I4751" i="1"/>
  <c r="H4751" i="1"/>
  <c r="G4751" i="1"/>
  <c r="M4750" i="1"/>
  <c r="L4750" i="1"/>
  <c r="K4750" i="1"/>
  <c r="J4750" i="1"/>
  <c r="I4750" i="1"/>
  <c r="H4750" i="1"/>
  <c r="G4750" i="1"/>
  <c r="M4749" i="1"/>
  <c r="L4749" i="1"/>
  <c r="K4749" i="1"/>
  <c r="J4749" i="1"/>
  <c r="I4749" i="1"/>
  <c r="H4749" i="1"/>
  <c r="G4749" i="1"/>
  <c r="M4748" i="1"/>
  <c r="L4748" i="1"/>
  <c r="K4748" i="1"/>
  <c r="J4748" i="1"/>
  <c r="I4748" i="1"/>
  <c r="H4748" i="1"/>
  <c r="G4748" i="1"/>
  <c r="M4747" i="1"/>
  <c r="L4747" i="1"/>
  <c r="K4747" i="1"/>
  <c r="J4747" i="1"/>
  <c r="I4747" i="1"/>
  <c r="H4747" i="1"/>
  <c r="G4747" i="1"/>
  <c r="M4746" i="1"/>
  <c r="L4746" i="1"/>
  <c r="K4746" i="1"/>
  <c r="J4746" i="1"/>
  <c r="I4746" i="1"/>
  <c r="H4746" i="1"/>
  <c r="G4746" i="1"/>
  <c r="M4745" i="1"/>
  <c r="L4745" i="1"/>
  <c r="K4745" i="1"/>
  <c r="J4745" i="1"/>
  <c r="I4745" i="1"/>
  <c r="H4745" i="1"/>
  <c r="G4745" i="1"/>
  <c r="M4744" i="1"/>
  <c r="L4744" i="1"/>
  <c r="K4744" i="1"/>
  <c r="J4744" i="1"/>
  <c r="I4744" i="1"/>
  <c r="H4744" i="1"/>
  <c r="G4744" i="1"/>
  <c r="M4743" i="1"/>
  <c r="L4743" i="1"/>
  <c r="K4743" i="1"/>
  <c r="J4743" i="1"/>
  <c r="I4743" i="1"/>
  <c r="H4743" i="1"/>
  <c r="G4743" i="1"/>
  <c r="M4742" i="1"/>
  <c r="L4742" i="1"/>
  <c r="K4742" i="1"/>
  <c r="J4742" i="1"/>
  <c r="I4742" i="1"/>
  <c r="H4742" i="1"/>
  <c r="G4742" i="1"/>
  <c r="M4741" i="1"/>
  <c r="L4741" i="1"/>
  <c r="K4741" i="1"/>
  <c r="J4741" i="1"/>
  <c r="I4741" i="1"/>
  <c r="H4741" i="1"/>
  <c r="G4741" i="1"/>
  <c r="M4740" i="1"/>
  <c r="L4740" i="1"/>
  <c r="K4740" i="1"/>
  <c r="J4740" i="1"/>
  <c r="I4740" i="1"/>
  <c r="H4740" i="1"/>
  <c r="G4740" i="1"/>
  <c r="M4739" i="1"/>
  <c r="L4739" i="1"/>
  <c r="K4739" i="1"/>
  <c r="J4739" i="1"/>
  <c r="I4739" i="1"/>
  <c r="H4739" i="1"/>
  <c r="G4739" i="1"/>
  <c r="M4738" i="1"/>
  <c r="L4738" i="1"/>
  <c r="K4738" i="1"/>
  <c r="J4738" i="1"/>
  <c r="I4738" i="1"/>
  <c r="H4738" i="1"/>
  <c r="G4738" i="1"/>
  <c r="M4737" i="1"/>
  <c r="L4737" i="1"/>
  <c r="K4737" i="1"/>
  <c r="J4737" i="1"/>
  <c r="I4737" i="1"/>
  <c r="H4737" i="1"/>
  <c r="G4737" i="1"/>
  <c r="M4736" i="1"/>
  <c r="L4736" i="1"/>
  <c r="K4736" i="1"/>
  <c r="J4736" i="1"/>
  <c r="I4736" i="1"/>
  <c r="H4736" i="1"/>
  <c r="G4736" i="1"/>
  <c r="M4735" i="1"/>
  <c r="L4735" i="1"/>
  <c r="K4735" i="1"/>
  <c r="J4735" i="1"/>
  <c r="I4735" i="1"/>
  <c r="H4735" i="1"/>
  <c r="G4735" i="1"/>
  <c r="M4734" i="1"/>
  <c r="L4734" i="1"/>
  <c r="K4734" i="1"/>
  <c r="J4734" i="1"/>
  <c r="I4734" i="1"/>
  <c r="H4734" i="1"/>
  <c r="G4734" i="1"/>
  <c r="M4733" i="1"/>
  <c r="L4733" i="1"/>
  <c r="K4733" i="1"/>
  <c r="J4733" i="1"/>
  <c r="I4733" i="1"/>
  <c r="H4733" i="1"/>
  <c r="G4733" i="1"/>
  <c r="M4732" i="1"/>
  <c r="L4732" i="1"/>
  <c r="K4732" i="1"/>
  <c r="J4732" i="1"/>
  <c r="I4732" i="1"/>
  <c r="H4732" i="1"/>
  <c r="G4732" i="1"/>
  <c r="M4731" i="1"/>
  <c r="L4731" i="1"/>
  <c r="K4731" i="1"/>
  <c r="J4731" i="1"/>
  <c r="I4731" i="1"/>
  <c r="H4731" i="1"/>
  <c r="G4731" i="1"/>
  <c r="M4730" i="1"/>
  <c r="L4730" i="1"/>
  <c r="K4730" i="1"/>
  <c r="J4730" i="1"/>
  <c r="I4730" i="1"/>
  <c r="H4730" i="1"/>
  <c r="G4730" i="1"/>
  <c r="M4729" i="1"/>
  <c r="L4729" i="1"/>
  <c r="K4729" i="1"/>
  <c r="J4729" i="1"/>
  <c r="I4729" i="1"/>
  <c r="H4729" i="1"/>
  <c r="G4729" i="1"/>
  <c r="M4728" i="1"/>
  <c r="L4728" i="1"/>
  <c r="K4728" i="1"/>
  <c r="J4728" i="1"/>
  <c r="I4728" i="1"/>
  <c r="H4728" i="1"/>
  <c r="G4728" i="1"/>
  <c r="M4727" i="1"/>
  <c r="L4727" i="1"/>
  <c r="K4727" i="1"/>
  <c r="J4727" i="1"/>
  <c r="I4727" i="1"/>
  <c r="H4727" i="1"/>
  <c r="G4727" i="1"/>
  <c r="M4726" i="1"/>
  <c r="L4726" i="1"/>
  <c r="K4726" i="1"/>
  <c r="J4726" i="1"/>
  <c r="I4726" i="1"/>
  <c r="H4726" i="1"/>
  <c r="G4726" i="1"/>
  <c r="M4725" i="1"/>
  <c r="L4725" i="1"/>
  <c r="K4725" i="1"/>
  <c r="J4725" i="1"/>
  <c r="I4725" i="1"/>
  <c r="H4725" i="1"/>
  <c r="G4725" i="1"/>
  <c r="M4724" i="1"/>
  <c r="L4724" i="1"/>
  <c r="K4724" i="1"/>
  <c r="J4724" i="1"/>
  <c r="I4724" i="1"/>
  <c r="H4724" i="1"/>
  <c r="G4724" i="1"/>
  <c r="M4723" i="1"/>
  <c r="L4723" i="1"/>
  <c r="K4723" i="1"/>
  <c r="J4723" i="1"/>
  <c r="I4723" i="1"/>
  <c r="H4723" i="1"/>
  <c r="G4723" i="1"/>
  <c r="M4722" i="1"/>
  <c r="L4722" i="1"/>
  <c r="K4722" i="1"/>
  <c r="J4722" i="1"/>
  <c r="I4722" i="1"/>
  <c r="H4722" i="1"/>
  <c r="G4722" i="1"/>
  <c r="M4721" i="1"/>
  <c r="L4721" i="1"/>
  <c r="K4721" i="1"/>
  <c r="J4721" i="1"/>
  <c r="I4721" i="1"/>
  <c r="H4721" i="1"/>
  <c r="G4721" i="1"/>
  <c r="M4720" i="1"/>
  <c r="L4720" i="1"/>
  <c r="K4720" i="1"/>
  <c r="J4720" i="1"/>
  <c r="I4720" i="1"/>
  <c r="H4720" i="1"/>
  <c r="G4720" i="1"/>
  <c r="M4719" i="1"/>
  <c r="L4719" i="1"/>
  <c r="K4719" i="1"/>
  <c r="J4719" i="1"/>
  <c r="I4719" i="1"/>
  <c r="H4719" i="1"/>
  <c r="G4719" i="1"/>
  <c r="M4718" i="1"/>
  <c r="L4718" i="1"/>
  <c r="K4718" i="1"/>
  <c r="J4718" i="1"/>
  <c r="I4718" i="1"/>
  <c r="H4718" i="1"/>
  <c r="G4718" i="1"/>
  <c r="M4717" i="1"/>
  <c r="L4717" i="1"/>
  <c r="K4717" i="1"/>
  <c r="J4717" i="1"/>
  <c r="I4717" i="1"/>
  <c r="H4717" i="1"/>
  <c r="G4717" i="1"/>
  <c r="M4716" i="1"/>
  <c r="L4716" i="1"/>
  <c r="K4716" i="1"/>
  <c r="J4716" i="1"/>
  <c r="I4716" i="1"/>
  <c r="H4716" i="1"/>
  <c r="G4716" i="1"/>
  <c r="M4715" i="1"/>
  <c r="L4715" i="1"/>
  <c r="K4715" i="1"/>
  <c r="J4715" i="1"/>
  <c r="I4715" i="1"/>
  <c r="H4715" i="1"/>
  <c r="G4715" i="1"/>
  <c r="M4714" i="1"/>
  <c r="L4714" i="1"/>
  <c r="K4714" i="1"/>
  <c r="J4714" i="1"/>
  <c r="I4714" i="1"/>
  <c r="H4714" i="1"/>
  <c r="G4714" i="1"/>
  <c r="M4713" i="1"/>
  <c r="L4713" i="1"/>
  <c r="K4713" i="1"/>
  <c r="J4713" i="1"/>
  <c r="I4713" i="1"/>
  <c r="H4713" i="1"/>
  <c r="G4713" i="1"/>
  <c r="M4712" i="1"/>
  <c r="L4712" i="1"/>
  <c r="K4712" i="1"/>
  <c r="J4712" i="1"/>
  <c r="I4712" i="1"/>
  <c r="H4712" i="1"/>
  <c r="G4712" i="1"/>
  <c r="M4711" i="1"/>
  <c r="L4711" i="1"/>
  <c r="K4711" i="1"/>
  <c r="J4711" i="1"/>
  <c r="I4711" i="1"/>
  <c r="H4711" i="1"/>
  <c r="G4711" i="1"/>
  <c r="M4710" i="1"/>
  <c r="L4710" i="1"/>
  <c r="K4710" i="1"/>
  <c r="J4710" i="1"/>
  <c r="I4710" i="1"/>
  <c r="H4710" i="1"/>
  <c r="G4710" i="1"/>
  <c r="M4709" i="1"/>
  <c r="L4709" i="1"/>
  <c r="K4709" i="1"/>
  <c r="J4709" i="1"/>
  <c r="I4709" i="1"/>
  <c r="H4709" i="1"/>
  <c r="G4709" i="1"/>
  <c r="M4708" i="1"/>
  <c r="L4708" i="1"/>
  <c r="K4708" i="1"/>
  <c r="J4708" i="1"/>
  <c r="I4708" i="1"/>
  <c r="H4708" i="1"/>
  <c r="G4708" i="1"/>
  <c r="M4707" i="1"/>
  <c r="L4707" i="1"/>
  <c r="K4707" i="1"/>
  <c r="J4707" i="1"/>
  <c r="I4707" i="1"/>
  <c r="H4707" i="1"/>
  <c r="G4707" i="1"/>
  <c r="M4706" i="1"/>
  <c r="L4706" i="1"/>
  <c r="K4706" i="1"/>
  <c r="J4706" i="1"/>
  <c r="I4706" i="1"/>
  <c r="H4706" i="1"/>
  <c r="G4706" i="1"/>
  <c r="M4705" i="1"/>
  <c r="L4705" i="1"/>
  <c r="K4705" i="1"/>
  <c r="J4705" i="1"/>
  <c r="I4705" i="1"/>
  <c r="H4705" i="1"/>
  <c r="G4705" i="1"/>
  <c r="M4704" i="1"/>
  <c r="L4704" i="1"/>
  <c r="K4704" i="1"/>
  <c r="J4704" i="1"/>
  <c r="I4704" i="1"/>
  <c r="H4704" i="1"/>
  <c r="G4704" i="1"/>
  <c r="M4703" i="1"/>
  <c r="L4703" i="1"/>
  <c r="K4703" i="1"/>
  <c r="J4703" i="1"/>
  <c r="I4703" i="1"/>
  <c r="H4703" i="1"/>
  <c r="G4703" i="1"/>
  <c r="M4702" i="1"/>
  <c r="L4702" i="1"/>
  <c r="K4702" i="1"/>
  <c r="J4702" i="1"/>
  <c r="I4702" i="1"/>
  <c r="H4702" i="1"/>
  <c r="G4702" i="1"/>
  <c r="M4701" i="1"/>
  <c r="L4701" i="1"/>
  <c r="K4701" i="1"/>
  <c r="J4701" i="1"/>
  <c r="I4701" i="1"/>
  <c r="H4701" i="1"/>
  <c r="G4701" i="1"/>
  <c r="M4700" i="1"/>
  <c r="L4700" i="1"/>
  <c r="K4700" i="1"/>
  <c r="J4700" i="1"/>
  <c r="I4700" i="1"/>
  <c r="H4700" i="1"/>
  <c r="G4700" i="1"/>
  <c r="M4699" i="1"/>
  <c r="L4699" i="1"/>
  <c r="K4699" i="1"/>
  <c r="J4699" i="1"/>
  <c r="I4699" i="1"/>
  <c r="H4699" i="1"/>
  <c r="G4699" i="1"/>
  <c r="M4698" i="1"/>
  <c r="L4698" i="1"/>
  <c r="K4698" i="1"/>
  <c r="J4698" i="1"/>
  <c r="I4698" i="1"/>
  <c r="H4698" i="1"/>
  <c r="G4698" i="1"/>
  <c r="M4697" i="1"/>
  <c r="L4697" i="1"/>
  <c r="K4697" i="1"/>
  <c r="J4697" i="1"/>
  <c r="I4697" i="1"/>
  <c r="H4697" i="1"/>
  <c r="G4697" i="1"/>
  <c r="M4696" i="1"/>
  <c r="L4696" i="1"/>
  <c r="K4696" i="1"/>
  <c r="J4696" i="1"/>
  <c r="I4696" i="1"/>
  <c r="H4696" i="1"/>
  <c r="G4696" i="1"/>
  <c r="M4695" i="1"/>
  <c r="L4695" i="1"/>
  <c r="K4695" i="1"/>
  <c r="J4695" i="1"/>
  <c r="I4695" i="1"/>
  <c r="H4695" i="1"/>
  <c r="G4695" i="1"/>
  <c r="M4694" i="1"/>
  <c r="L4694" i="1"/>
  <c r="K4694" i="1"/>
  <c r="J4694" i="1"/>
  <c r="I4694" i="1"/>
  <c r="H4694" i="1"/>
  <c r="G4694" i="1"/>
  <c r="M4693" i="1"/>
  <c r="L4693" i="1"/>
  <c r="K4693" i="1"/>
  <c r="J4693" i="1"/>
  <c r="I4693" i="1"/>
  <c r="H4693" i="1"/>
  <c r="G4693" i="1"/>
  <c r="M4692" i="1"/>
  <c r="L4692" i="1"/>
  <c r="K4692" i="1"/>
  <c r="J4692" i="1"/>
  <c r="I4692" i="1"/>
  <c r="H4692" i="1"/>
  <c r="G4692" i="1"/>
  <c r="M4691" i="1"/>
  <c r="L4691" i="1"/>
  <c r="K4691" i="1"/>
  <c r="J4691" i="1"/>
  <c r="I4691" i="1"/>
  <c r="H4691" i="1"/>
  <c r="G4691" i="1"/>
  <c r="M4690" i="1"/>
  <c r="L4690" i="1"/>
  <c r="K4690" i="1"/>
  <c r="J4690" i="1"/>
  <c r="I4690" i="1"/>
  <c r="H4690" i="1"/>
  <c r="G4690" i="1"/>
  <c r="M4689" i="1"/>
  <c r="L4689" i="1"/>
  <c r="K4689" i="1"/>
  <c r="J4689" i="1"/>
  <c r="I4689" i="1"/>
  <c r="H4689" i="1"/>
  <c r="G4689" i="1"/>
  <c r="M4688" i="1"/>
  <c r="L4688" i="1"/>
  <c r="K4688" i="1"/>
  <c r="J4688" i="1"/>
  <c r="I4688" i="1"/>
  <c r="H4688" i="1"/>
  <c r="G4688" i="1"/>
  <c r="M4687" i="1"/>
  <c r="L4687" i="1"/>
  <c r="K4687" i="1"/>
  <c r="J4687" i="1"/>
  <c r="I4687" i="1"/>
  <c r="H4687" i="1"/>
  <c r="G4687" i="1"/>
  <c r="M4686" i="1"/>
  <c r="L4686" i="1"/>
  <c r="K4686" i="1"/>
  <c r="J4686" i="1"/>
  <c r="I4686" i="1"/>
  <c r="H4686" i="1"/>
  <c r="G4686" i="1"/>
  <c r="M4685" i="1"/>
  <c r="L4685" i="1"/>
  <c r="K4685" i="1"/>
  <c r="J4685" i="1"/>
  <c r="I4685" i="1"/>
  <c r="H4685" i="1"/>
  <c r="G4685" i="1"/>
  <c r="M4684" i="1"/>
  <c r="L4684" i="1"/>
  <c r="K4684" i="1"/>
  <c r="J4684" i="1"/>
  <c r="I4684" i="1"/>
  <c r="H4684" i="1"/>
  <c r="G4684" i="1"/>
  <c r="M4683" i="1"/>
  <c r="L4683" i="1"/>
  <c r="K4683" i="1"/>
  <c r="J4683" i="1"/>
  <c r="I4683" i="1"/>
  <c r="H4683" i="1"/>
  <c r="G4683" i="1"/>
  <c r="M4682" i="1"/>
  <c r="L4682" i="1"/>
  <c r="K4682" i="1"/>
  <c r="J4682" i="1"/>
  <c r="I4682" i="1"/>
  <c r="H4682" i="1"/>
  <c r="G4682" i="1"/>
  <c r="M4681" i="1"/>
  <c r="L4681" i="1"/>
  <c r="K4681" i="1"/>
  <c r="J4681" i="1"/>
  <c r="I4681" i="1"/>
  <c r="H4681" i="1"/>
  <c r="G4681" i="1"/>
  <c r="M4680" i="1"/>
  <c r="L4680" i="1"/>
  <c r="K4680" i="1"/>
  <c r="J4680" i="1"/>
  <c r="I4680" i="1"/>
  <c r="H4680" i="1"/>
  <c r="G4680" i="1"/>
  <c r="M4679" i="1"/>
  <c r="L4679" i="1"/>
  <c r="K4679" i="1"/>
  <c r="J4679" i="1"/>
  <c r="I4679" i="1"/>
  <c r="H4679" i="1"/>
  <c r="G4679" i="1"/>
  <c r="M4678" i="1"/>
  <c r="L4678" i="1"/>
  <c r="K4678" i="1"/>
  <c r="J4678" i="1"/>
  <c r="I4678" i="1"/>
  <c r="H4678" i="1"/>
  <c r="G4678" i="1"/>
  <c r="M4677" i="1"/>
  <c r="L4677" i="1"/>
  <c r="K4677" i="1"/>
  <c r="J4677" i="1"/>
  <c r="I4677" i="1"/>
  <c r="H4677" i="1"/>
  <c r="G4677" i="1"/>
  <c r="M4676" i="1"/>
  <c r="L4676" i="1"/>
  <c r="K4676" i="1"/>
  <c r="J4676" i="1"/>
  <c r="I4676" i="1"/>
  <c r="H4676" i="1"/>
  <c r="G4676" i="1"/>
  <c r="M4675" i="1"/>
  <c r="L4675" i="1"/>
  <c r="K4675" i="1"/>
  <c r="J4675" i="1"/>
  <c r="I4675" i="1"/>
  <c r="H4675" i="1"/>
  <c r="G4675" i="1"/>
  <c r="M4674" i="1"/>
  <c r="L4674" i="1"/>
  <c r="K4674" i="1"/>
  <c r="J4674" i="1"/>
  <c r="I4674" i="1"/>
  <c r="H4674" i="1"/>
  <c r="G4674" i="1"/>
  <c r="M4673" i="1"/>
  <c r="L4673" i="1"/>
  <c r="K4673" i="1"/>
  <c r="J4673" i="1"/>
  <c r="I4673" i="1"/>
  <c r="H4673" i="1"/>
  <c r="G4673" i="1"/>
  <c r="M4672" i="1"/>
  <c r="L4672" i="1"/>
  <c r="K4672" i="1"/>
  <c r="J4672" i="1"/>
  <c r="I4672" i="1"/>
  <c r="H4672" i="1"/>
  <c r="G4672" i="1"/>
  <c r="M4671" i="1"/>
  <c r="L4671" i="1"/>
  <c r="K4671" i="1"/>
  <c r="J4671" i="1"/>
  <c r="I4671" i="1"/>
  <c r="H4671" i="1"/>
  <c r="G4671" i="1"/>
  <c r="M4670" i="1"/>
  <c r="L4670" i="1"/>
  <c r="K4670" i="1"/>
  <c r="J4670" i="1"/>
  <c r="I4670" i="1"/>
  <c r="H4670" i="1"/>
  <c r="G4670" i="1"/>
  <c r="M4669" i="1"/>
  <c r="L4669" i="1"/>
  <c r="K4669" i="1"/>
  <c r="J4669" i="1"/>
  <c r="I4669" i="1"/>
  <c r="H4669" i="1"/>
  <c r="G4669" i="1"/>
  <c r="M4668" i="1"/>
  <c r="L4668" i="1"/>
  <c r="K4668" i="1"/>
  <c r="J4668" i="1"/>
  <c r="I4668" i="1"/>
  <c r="H4668" i="1"/>
  <c r="G4668" i="1"/>
  <c r="M4667" i="1"/>
  <c r="L4667" i="1"/>
  <c r="K4667" i="1"/>
  <c r="J4667" i="1"/>
  <c r="I4667" i="1"/>
  <c r="H4667" i="1"/>
  <c r="G4667" i="1"/>
  <c r="M4666" i="1"/>
  <c r="L4666" i="1"/>
  <c r="K4666" i="1"/>
  <c r="J4666" i="1"/>
  <c r="I4666" i="1"/>
  <c r="H4666" i="1"/>
  <c r="G4666" i="1"/>
  <c r="M4665" i="1"/>
  <c r="L4665" i="1"/>
  <c r="K4665" i="1"/>
  <c r="J4665" i="1"/>
  <c r="I4665" i="1"/>
  <c r="H4665" i="1"/>
  <c r="G4665" i="1"/>
  <c r="M4664" i="1"/>
  <c r="L4664" i="1"/>
  <c r="K4664" i="1"/>
  <c r="J4664" i="1"/>
  <c r="I4664" i="1"/>
  <c r="H4664" i="1"/>
  <c r="G4664" i="1"/>
  <c r="M4663" i="1"/>
  <c r="L4663" i="1"/>
  <c r="K4663" i="1"/>
  <c r="J4663" i="1"/>
  <c r="I4663" i="1"/>
  <c r="H4663" i="1"/>
  <c r="G4663" i="1"/>
  <c r="M4662" i="1"/>
  <c r="L4662" i="1"/>
  <c r="K4662" i="1"/>
  <c r="J4662" i="1"/>
  <c r="I4662" i="1"/>
  <c r="H4662" i="1"/>
  <c r="G4662" i="1"/>
  <c r="M4661" i="1"/>
  <c r="L4661" i="1"/>
  <c r="K4661" i="1"/>
  <c r="J4661" i="1"/>
  <c r="I4661" i="1"/>
  <c r="H4661" i="1"/>
  <c r="G4661" i="1"/>
  <c r="M4660" i="1"/>
  <c r="L4660" i="1"/>
  <c r="K4660" i="1"/>
  <c r="J4660" i="1"/>
  <c r="I4660" i="1"/>
  <c r="H4660" i="1"/>
  <c r="G4660" i="1"/>
  <c r="M4659" i="1"/>
  <c r="L4659" i="1"/>
  <c r="K4659" i="1"/>
  <c r="J4659" i="1"/>
  <c r="I4659" i="1"/>
  <c r="H4659" i="1"/>
  <c r="G4659" i="1"/>
  <c r="M4658" i="1"/>
  <c r="L4658" i="1"/>
  <c r="K4658" i="1"/>
  <c r="J4658" i="1"/>
  <c r="I4658" i="1"/>
  <c r="H4658" i="1"/>
  <c r="G4658" i="1"/>
  <c r="M4657" i="1"/>
  <c r="L4657" i="1"/>
  <c r="K4657" i="1"/>
  <c r="J4657" i="1"/>
  <c r="I4657" i="1"/>
  <c r="H4657" i="1"/>
  <c r="G4657" i="1"/>
  <c r="M4656" i="1"/>
  <c r="L4656" i="1"/>
  <c r="K4656" i="1"/>
  <c r="J4656" i="1"/>
  <c r="I4656" i="1"/>
  <c r="H4656" i="1"/>
  <c r="G4656" i="1"/>
  <c r="M4655" i="1"/>
  <c r="L4655" i="1"/>
  <c r="K4655" i="1"/>
  <c r="J4655" i="1"/>
  <c r="I4655" i="1"/>
  <c r="H4655" i="1"/>
  <c r="G4655" i="1"/>
  <c r="M4654" i="1"/>
  <c r="L4654" i="1"/>
  <c r="K4654" i="1"/>
  <c r="J4654" i="1"/>
  <c r="I4654" i="1"/>
  <c r="H4654" i="1"/>
  <c r="G4654" i="1"/>
  <c r="M4653" i="1"/>
  <c r="L4653" i="1"/>
  <c r="K4653" i="1"/>
  <c r="J4653" i="1"/>
  <c r="I4653" i="1"/>
  <c r="H4653" i="1"/>
  <c r="G4653" i="1"/>
  <c r="M4652" i="1"/>
  <c r="L4652" i="1"/>
  <c r="K4652" i="1"/>
  <c r="J4652" i="1"/>
  <c r="I4652" i="1"/>
  <c r="H4652" i="1"/>
  <c r="G4652" i="1"/>
  <c r="M4651" i="1"/>
  <c r="L4651" i="1"/>
  <c r="K4651" i="1"/>
  <c r="J4651" i="1"/>
  <c r="I4651" i="1"/>
  <c r="H4651" i="1"/>
  <c r="G4651" i="1"/>
  <c r="M4650" i="1"/>
  <c r="L4650" i="1"/>
  <c r="K4650" i="1"/>
  <c r="J4650" i="1"/>
  <c r="I4650" i="1"/>
  <c r="H4650" i="1"/>
  <c r="G4650" i="1"/>
  <c r="M4649" i="1"/>
  <c r="L4649" i="1"/>
  <c r="K4649" i="1"/>
  <c r="J4649" i="1"/>
  <c r="I4649" i="1"/>
  <c r="H4649" i="1"/>
  <c r="G4649" i="1"/>
  <c r="M4648" i="1"/>
  <c r="L4648" i="1"/>
  <c r="K4648" i="1"/>
  <c r="J4648" i="1"/>
  <c r="I4648" i="1"/>
  <c r="H4648" i="1"/>
  <c r="G4648" i="1"/>
  <c r="M4647" i="1"/>
  <c r="L4647" i="1"/>
  <c r="K4647" i="1"/>
  <c r="J4647" i="1"/>
  <c r="I4647" i="1"/>
  <c r="H4647" i="1"/>
  <c r="G4647" i="1"/>
  <c r="M4646" i="1"/>
  <c r="L4646" i="1"/>
  <c r="K4646" i="1"/>
  <c r="J4646" i="1"/>
  <c r="I4646" i="1"/>
  <c r="H4646" i="1"/>
  <c r="G4646" i="1"/>
  <c r="M4645" i="1"/>
  <c r="L4645" i="1"/>
  <c r="K4645" i="1"/>
  <c r="J4645" i="1"/>
  <c r="I4645" i="1"/>
  <c r="H4645" i="1"/>
  <c r="G4645" i="1"/>
  <c r="M4644" i="1"/>
  <c r="L4644" i="1"/>
  <c r="K4644" i="1"/>
  <c r="J4644" i="1"/>
  <c r="I4644" i="1"/>
  <c r="H4644" i="1"/>
  <c r="G4644" i="1"/>
  <c r="M4643" i="1"/>
  <c r="L4643" i="1"/>
  <c r="K4643" i="1"/>
  <c r="J4643" i="1"/>
  <c r="I4643" i="1"/>
  <c r="H4643" i="1"/>
  <c r="G4643" i="1"/>
  <c r="M4642" i="1"/>
  <c r="L4642" i="1"/>
  <c r="K4642" i="1"/>
  <c r="J4642" i="1"/>
  <c r="I4642" i="1"/>
  <c r="H4642" i="1"/>
  <c r="G4642" i="1"/>
  <c r="M4641" i="1"/>
  <c r="L4641" i="1"/>
  <c r="K4641" i="1"/>
  <c r="J4641" i="1"/>
  <c r="I4641" i="1"/>
  <c r="H4641" i="1"/>
  <c r="G4641" i="1"/>
  <c r="M4640" i="1"/>
  <c r="L4640" i="1"/>
  <c r="K4640" i="1"/>
  <c r="J4640" i="1"/>
  <c r="I4640" i="1"/>
  <c r="H4640" i="1"/>
  <c r="G4640" i="1"/>
  <c r="M4639" i="1"/>
  <c r="L4639" i="1"/>
  <c r="K4639" i="1"/>
  <c r="J4639" i="1"/>
  <c r="I4639" i="1"/>
  <c r="H4639" i="1"/>
  <c r="G4639" i="1"/>
  <c r="M4638" i="1"/>
  <c r="L4638" i="1"/>
  <c r="K4638" i="1"/>
  <c r="J4638" i="1"/>
  <c r="I4638" i="1"/>
  <c r="H4638" i="1"/>
  <c r="G4638" i="1"/>
  <c r="M4637" i="1"/>
  <c r="L4637" i="1"/>
  <c r="K4637" i="1"/>
  <c r="J4637" i="1"/>
  <c r="I4637" i="1"/>
  <c r="H4637" i="1"/>
  <c r="G4637" i="1"/>
  <c r="M4636" i="1"/>
  <c r="L4636" i="1"/>
  <c r="K4636" i="1"/>
  <c r="J4636" i="1"/>
  <c r="I4636" i="1"/>
  <c r="H4636" i="1"/>
  <c r="G4636" i="1"/>
  <c r="M4635" i="1"/>
  <c r="L4635" i="1"/>
  <c r="K4635" i="1"/>
  <c r="J4635" i="1"/>
  <c r="I4635" i="1"/>
  <c r="H4635" i="1"/>
  <c r="G4635" i="1"/>
  <c r="M4634" i="1"/>
  <c r="L4634" i="1"/>
  <c r="K4634" i="1"/>
  <c r="J4634" i="1"/>
  <c r="I4634" i="1"/>
  <c r="H4634" i="1"/>
  <c r="G4634" i="1"/>
  <c r="M4633" i="1"/>
  <c r="L4633" i="1"/>
  <c r="K4633" i="1"/>
  <c r="J4633" i="1"/>
  <c r="I4633" i="1"/>
  <c r="H4633" i="1"/>
  <c r="G4633" i="1"/>
  <c r="M4632" i="1"/>
  <c r="L4632" i="1"/>
  <c r="K4632" i="1"/>
  <c r="J4632" i="1"/>
  <c r="I4632" i="1"/>
  <c r="H4632" i="1"/>
  <c r="G4632" i="1"/>
  <c r="M4631" i="1"/>
  <c r="L4631" i="1"/>
  <c r="K4631" i="1"/>
  <c r="J4631" i="1"/>
  <c r="I4631" i="1"/>
  <c r="H4631" i="1"/>
  <c r="G4631" i="1"/>
  <c r="M4630" i="1"/>
  <c r="L4630" i="1"/>
  <c r="K4630" i="1"/>
  <c r="J4630" i="1"/>
  <c r="I4630" i="1"/>
  <c r="H4630" i="1"/>
  <c r="G4630" i="1"/>
  <c r="M4629" i="1"/>
  <c r="L4629" i="1"/>
  <c r="K4629" i="1"/>
  <c r="J4629" i="1"/>
  <c r="I4629" i="1"/>
  <c r="H4629" i="1"/>
  <c r="G4629" i="1"/>
  <c r="M4628" i="1"/>
  <c r="L4628" i="1"/>
  <c r="K4628" i="1"/>
  <c r="J4628" i="1"/>
  <c r="I4628" i="1"/>
  <c r="H4628" i="1"/>
  <c r="G4628" i="1"/>
  <c r="M4627" i="1"/>
  <c r="L4627" i="1"/>
  <c r="K4627" i="1"/>
  <c r="J4627" i="1"/>
  <c r="I4627" i="1"/>
  <c r="H4627" i="1"/>
  <c r="G4627" i="1"/>
  <c r="M4626" i="1"/>
  <c r="L4626" i="1"/>
  <c r="K4626" i="1"/>
  <c r="J4626" i="1"/>
  <c r="I4626" i="1"/>
  <c r="H4626" i="1"/>
  <c r="G4626" i="1"/>
  <c r="M4625" i="1"/>
  <c r="L4625" i="1"/>
  <c r="K4625" i="1"/>
  <c r="J4625" i="1"/>
  <c r="I4625" i="1"/>
  <c r="H4625" i="1"/>
  <c r="G4625" i="1"/>
  <c r="M4624" i="1"/>
  <c r="L4624" i="1"/>
  <c r="K4624" i="1"/>
  <c r="J4624" i="1"/>
  <c r="I4624" i="1"/>
  <c r="H4624" i="1"/>
  <c r="G4624" i="1"/>
  <c r="M4623" i="1"/>
  <c r="L4623" i="1"/>
  <c r="K4623" i="1"/>
  <c r="J4623" i="1"/>
  <c r="I4623" i="1"/>
  <c r="H4623" i="1"/>
  <c r="G4623" i="1"/>
  <c r="M4622" i="1"/>
  <c r="L4622" i="1"/>
  <c r="K4622" i="1"/>
  <c r="J4622" i="1"/>
  <c r="I4622" i="1"/>
  <c r="H4622" i="1"/>
  <c r="G4622" i="1"/>
  <c r="M4621" i="1"/>
  <c r="L4621" i="1"/>
  <c r="K4621" i="1"/>
  <c r="J4621" i="1"/>
  <c r="I4621" i="1"/>
  <c r="H4621" i="1"/>
  <c r="G4621" i="1"/>
  <c r="M4620" i="1"/>
  <c r="L4620" i="1"/>
  <c r="K4620" i="1"/>
  <c r="J4620" i="1"/>
  <c r="I4620" i="1"/>
  <c r="H4620" i="1"/>
  <c r="G4620" i="1"/>
  <c r="M4619" i="1"/>
  <c r="L4619" i="1"/>
  <c r="K4619" i="1"/>
  <c r="J4619" i="1"/>
  <c r="I4619" i="1"/>
  <c r="H4619" i="1"/>
  <c r="G4619" i="1"/>
  <c r="M4618" i="1"/>
  <c r="L4618" i="1"/>
  <c r="K4618" i="1"/>
  <c r="J4618" i="1"/>
  <c r="I4618" i="1"/>
  <c r="H4618" i="1"/>
  <c r="G4618" i="1"/>
  <c r="M4617" i="1"/>
  <c r="L4617" i="1"/>
  <c r="K4617" i="1"/>
  <c r="J4617" i="1"/>
  <c r="I4617" i="1"/>
  <c r="H4617" i="1"/>
  <c r="G4617" i="1"/>
  <c r="M4616" i="1"/>
  <c r="L4616" i="1"/>
  <c r="K4616" i="1"/>
  <c r="J4616" i="1"/>
  <c r="I4616" i="1"/>
  <c r="H4616" i="1"/>
  <c r="G4616" i="1"/>
  <c r="M4615" i="1"/>
  <c r="L4615" i="1"/>
  <c r="K4615" i="1"/>
  <c r="J4615" i="1"/>
  <c r="I4615" i="1"/>
  <c r="H4615" i="1"/>
  <c r="G4615" i="1"/>
  <c r="M4614" i="1"/>
  <c r="L4614" i="1"/>
  <c r="K4614" i="1"/>
  <c r="J4614" i="1"/>
  <c r="I4614" i="1"/>
  <c r="H4614" i="1"/>
  <c r="G4614" i="1"/>
  <c r="M4613" i="1"/>
  <c r="L4613" i="1"/>
  <c r="K4613" i="1"/>
  <c r="J4613" i="1"/>
  <c r="I4613" i="1"/>
  <c r="H4613" i="1"/>
  <c r="G4613" i="1"/>
  <c r="M4612" i="1"/>
  <c r="L4612" i="1"/>
  <c r="K4612" i="1"/>
  <c r="J4612" i="1"/>
  <c r="I4612" i="1"/>
  <c r="H4612" i="1"/>
  <c r="G4612" i="1"/>
  <c r="M4611" i="1"/>
  <c r="L4611" i="1"/>
  <c r="K4611" i="1"/>
  <c r="J4611" i="1"/>
  <c r="I4611" i="1"/>
  <c r="H4611" i="1"/>
  <c r="G4611" i="1"/>
  <c r="M4610" i="1"/>
  <c r="L4610" i="1"/>
  <c r="K4610" i="1"/>
  <c r="J4610" i="1"/>
  <c r="I4610" i="1"/>
  <c r="H4610" i="1"/>
  <c r="G4610" i="1"/>
  <c r="M4609" i="1"/>
  <c r="L4609" i="1"/>
  <c r="K4609" i="1"/>
  <c r="J4609" i="1"/>
  <c r="I4609" i="1"/>
  <c r="H4609" i="1"/>
  <c r="G4609" i="1"/>
  <c r="M4608" i="1"/>
  <c r="L4608" i="1"/>
  <c r="K4608" i="1"/>
  <c r="J4608" i="1"/>
  <c r="I4608" i="1"/>
  <c r="H4608" i="1"/>
  <c r="G4608" i="1"/>
  <c r="M4607" i="1"/>
  <c r="L4607" i="1"/>
  <c r="K4607" i="1"/>
  <c r="J4607" i="1"/>
  <c r="I4607" i="1"/>
  <c r="H4607" i="1"/>
  <c r="G4607" i="1"/>
  <c r="M4606" i="1"/>
  <c r="L4606" i="1"/>
  <c r="K4606" i="1"/>
  <c r="J4606" i="1"/>
  <c r="I4606" i="1"/>
  <c r="H4606" i="1"/>
  <c r="G4606" i="1"/>
  <c r="M4605" i="1"/>
  <c r="L4605" i="1"/>
  <c r="K4605" i="1"/>
  <c r="J4605" i="1"/>
  <c r="I4605" i="1"/>
  <c r="H4605" i="1"/>
  <c r="G4605" i="1"/>
  <c r="M4604" i="1"/>
  <c r="L4604" i="1"/>
  <c r="K4604" i="1"/>
  <c r="J4604" i="1"/>
  <c r="I4604" i="1"/>
  <c r="H4604" i="1"/>
  <c r="G4604" i="1"/>
  <c r="M4603" i="1"/>
  <c r="L4603" i="1"/>
  <c r="K4603" i="1"/>
  <c r="J4603" i="1"/>
  <c r="I4603" i="1"/>
  <c r="H4603" i="1"/>
  <c r="G4603" i="1"/>
  <c r="M4602" i="1"/>
  <c r="L4602" i="1"/>
  <c r="K4602" i="1"/>
  <c r="J4602" i="1"/>
  <c r="I4602" i="1"/>
  <c r="H4602" i="1"/>
  <c r="G4602" i="1"/>
  <c r="M4601" i="1"/>
  <c r="L4601" i="1"/>
  <c r="K4601" i="1"/>
  <c r="J4601" i="1"/>
  <c r="I4601" i="1"/>
  <c r="H4601" i="1"/>
  <c r="G4601" i="1"/>
  <c r="M4600" i="1"/>
  <c r="L4600" i="1"/>
  <c r="K4600" i="1"/>
  <c r="J4600" i="1"/>
  <c r="I4600" i="1"/>
  <c r="H4600" i="1"/>
  <c r="G4600" i="1"/>
  <c r="M4599" i="1"/>
  <c r="L4599" i="1"/>
  <c r="K4599" i="1"/>
  <c r="J4599" i="1"/>
  <c r="I4599" i="1"/>
  <c r="H4599" i="1"/>
  <c r="G4599" i="1"/>
  <c r="M4598" i="1"/>
  <c r="L4598" i="1"/>
  <c r="K4598" i="1"/>
  <c r="J4598" i="1"/>
  <c r="I4598" i="1"/>
  <c r="H4598" i="1"/>
  <c r="G4598" i="1"/>
  <c r="M4597" i="1"/>
  <c r="L4597" i="1"/>
  <c r="K4597" i="1"/>
  <c r="J4597" i="1"/>
  <c r="I4597" i="1"/>
  <c r="H4597" i="1"/>
  <c r="G4597" i="1"/>
  <c r="M4596" i="1"/>
  <c r="L4596" i="1"/>
  <c r="K4596" i="1"/>
  <c r="J4596" i="1"/>
  <c r="I4596" i="1"/>
  <c r="H4596" i="1"/>
  <c r="G4596" i="1"/>
  <c r="M4595" i="1"/>
  <c r="L4595" i="1"/>
  <c r="K4595" i="1"/>
  <c r="J4595" i="1"/>
  <c r="I4595" i="1"/>
  <c r="H4595" i="1"/>
  <c r="G4595" i="1"/>
  <c r="M4594" i="1"/>
  <c r="L4594" i="1"/>
  <c r="K4594" i="1"/>
  <c r="J4594" i="1"/>
  <c r="I4594" i="1"/>
  <c r="H4594" i="1"/>
  <c r="G4594" i="1"/>
  <c r="M4593" i="1"/>
  <c r="L4593" i="1"/>
  <c r="K4593" i="1"/>
  <c r="J4593" i="1"/>
  <c r="I4593" i="1"/>
  <c r="H4593" i="1"/>
  <c r="G4593" i="1"/>
  <c r="M4592" i="1"/>
  <c r="L4592" i="1"/>
  <c r="K4592" i="1"/>
  <c r="J4592" i="1"/>
  <c r="I4592" i="1"/>
  <c r="H4592" i="1"/>
  <c r="G4592" i="1"/>
  <c r="M4591" i="1"/>
  <c r="L4591" i="1"/>
  <c r="K4591" i="1"/>
  <c r="J4591" i="1"/>
  <c r="I4591" i="1"/>
  <c r="H4591" i="1"/>
  <c r="G4591" i="1"/>
  <c r="M4590" i="1"/>
  <c r="L4590" i="1"/>
  <c r="K4590" i="1"/>
  <c r="J4590" i="1"/>
  <c r="I4590" i="1"/>
  <c r="H4590" i="1"/>
  <c r="G4590" i="1"/>
  <c r="M4589" i="1"/>
  <c r="L4589" i="1"/>
  <c r="K4589" i="1"/>
  <c r="J4589" i="1"/>
  <c r="I4589" i="1"/>
  <c r="H4589" i="1"/>
  <c r="G4589" i="1"/>
  <c r="M4588" i="1"/>
  <c r="L4588" i="1"/>
  <c r="K4588" i="1"/>
  <c r="J4588" i="1"/>
  <c r="I4588" i="1"/>
  <c r="H4588" i="1"/>
  <c r="G4588" i="1"/>
  <c r="M4587" i="1"/>
  <c r="L4587" i="1"/>
  <c r="K4587" i="1"/>
  <c r="J4587" i="1"/>
  <c r="I4587" i="1"/>
  <c r="H4587" i="1"/>
  <c r="G4587" i="1"/>
  <c r="M4586" i="1"/>
  <c r="L4586" i="1"/>
  <c r="K4586" i="1"/>
  <c r="J4586" i="1"/>
  <c r="I4586" i="1"/>
  <c r="H4586" i="1"/>
  <c r="G4586" i="1"/>
  <c r="M4585" i="1"/>
  <c r="L4585" i="1"/>
  <c r="K4585" i="1"/>
  <c r="J4585" i="1"/>
  <c r="I4585" i="1"/>
  <c r="H4585" i="1"/>
  <c r="G4585" i="1"/>
  <c r="M4584" i="1"/>
  <c r="L4584" i="1"/>
  <c r="K4584" i="1"/>
  <c r="J4584" i="1"/>
  <c r="I4584" i="1"/>
  <c r="H4584" i="1"/>
  <c r="G4584" i="1"/>
  <c r="M4583" i="1"/>
  <c r="L4583" i="1"/>
  <c r="K4583" i="1"/>
  <c r="J4583" i="1"/>
  <c r="I4583" i="1"/>
  <c r="H4583" i="1"/>
  <c r="G4583" i="1"/>
  <c r="M4582" i="1"/>
  <c r="L4582" i="1"/>
  <c r="K4582" i="1"/>
  <c r="J4582" i="1"/>
  <c r="I4582" i="1"/>
  <c r="H4582" i="1"/>
  <c r="G4582" i="1"/>
  <c r="M4581" i="1"/>
  <c r="L4581" i="1"/>
  <c r="K4581" i="1"/>
  <c r="J4581" i="1"/>
  <c r="I4581" i="1"/>
  <c r="H4581" i="1"/>
  <c r="G4581" i="1"/>
  <c r="M4580" i="1"/>
  <c r="L4580" i="1"/>
  <c r="K4580" i="1"/>
  <c r="J4580" i="1"/>
  <c r="I4580" i="1"/>
  <c r="H4580" i="1"/>
  <c r="G4580" i="1"/>
  <c r="M4579" i="1"/>
  <c r="L4579" i="1"/>
  <c r="K4579" i="1"/>
  <c r="J4579" i="1"/>
  <c r="I4579" i="1"/>
  <c r="H4579" i="1"/>
  <c r="G4579" i="1"/>
  <c r="M4578" i="1"/>
  <c r="L4578" i="1"/>
  <c r="K4578" i="1"/>
  <c r="J4578" i="1"/>
  <c r="I4578" i="1"/>
  <c r="H4578" i="1"/>
  <c r="G4578" i="1"/>
  <c r="M4577" i="1"/>
  <c r="L4577" i="1"/>
  <c r="K4577" i="1"/>
  <c r="J4577" i="1"/>
  <c r="I4577" i="1"/>
  <c r="H4577" i="1"/>
  <c r="G4577" i="1"/>
  <c r="M4576" i="1"/>
  <c r="L4576" i="1"/>
  <c r="K4576" i="1"/>
  <c r="J4576" i="1"/>
  <c r="I4576" i="1"/>
  <c r="H4576" i="1"/>
  <c r="G4576" i="1"/>
  <c r="M4575" i="1"/>
  <c r="L4575" i="1"/>
  <c r="K4575" i="1"/>
  <c r="J4575" i="1"/>
  <c r="I4575" i="1"/>
  <c r="H4575" i="1"/>
  <c r="G4575" i="1"/>
  <c r="M4574" i="1"/>
  <c r="L4574" i="1"/>
  <c r="K4574" i="1"/>
  <c r="J4574" i="1"/>
  <c r="I4574" i="1"/>
  <c r="H4574" i="1"/>
  <c r="G4574" i="1"/>
  <c r="M4573" i="1"/>
  <c r="L4573" i="1"/>
  <c r="K4573" i="1"/>
  <c r="J4573" i="1"/>
  <c r="I4573" i="1"/>
  <c r="H4573" i="1"/>
  <c r="G4573" i="1"/>
  <c r="M4572" i="1"/>
  <c r="L4572" i="1"/>
  <c r="K4572" i="1"/>
  <c r="J4572" i="1"/>
  <c r="I4572" i="1"/>
  <c r="H4572" i="1"/>
  <c r="G4572" i="1"/>
  <c r="M4571" i="1"/>
  <c r="L4571" i="1"/>
  <c r="K4571" i="1"/>
  <c r="J4571" i="1"/>
  <c r="I4571" i="1"/>
  <c r="H4571" i="1"/>
  <c r="G4571" i="1"/>
  <c r="M4570" i="1"/>
  <c r="L4570" i="1"/>
  <c r="K4570" i="1"/>
  <c r="J4570" i="1"/>
  <c r="I4570" i="1"/>
  <c r="H4570" i="1"/>
  <c r="G4570" i="1"/>
  <c r="M4569" i="1"/>
  <c r="L4569" i="1"/>
  <c r="K4569" i="1"/>
  <c r="J4569" i="1"/>
  <c r="I4569" i="1"/>
  <c r="H4569" i="1"/>
  <c r="G4569" i="1"/>
  <c r="M4568" i="1"/>
  <c r="L4568" i="1"/>
  <c r="K4568" i="1"/>
  <c r="J4568" i="1"/>
  <c r="I4568" i="1"/>
  <c r="H4568" i="1"/>
  <c r="G4568" i="1"/>
  <c r="M4567" i="1"/>
  <c r="L4567" i="1"/>
  <c r="K4567" i="1"/>
  <c r="J4567" i="1"/>
  <c r="I4567" i="1"/>
  <c r="H4567" i="1"/>
  <c r="G4567" i="1"/>
  <c r="M4566" i="1"/>
  <c r="L4566" i="1"/>
  <c r="K4566" i="1"/>
  <c r="J4566" i="1"/>
  <c r="I4566" i="1"/>
  <c r="H4566" i="1"/>
  <c r="G4566" i="1"/>
  <c r="M4565" i="1"/>
  <c r="L4565" i="1"/>
  <c r="K4565" i="1"/>
  <c r="J4565" i="1"/>
  <c r="I4565" i="1"/>
  <c r="H4565" i="1"/>
  <c r="G4565" i="1"/>
  <c r="M4564" i="1"/>
  <c r="L4564" i="1"/>
  <c r="K4564" i="1"/>
  <c r="J4564" i="1"/>
  <c r="I4564" i="1"/>
  <c r="H4564" i="1"/>
  <c r="G4564" i="1"/>
  <c r="M4563" i="1"/>
  <c r="L4563" i="1"/>
  <c r="K4563" i="1"/>
  <c r="J4563" i="1"/>
  <c r="I4563" i="1"/>
  <c r="H4563" i="1"/>
  <c r="G4563" i="1"/>
  <c r="M4562" i="1"/>
  <c r="L4562" i="1"/>
  <c r="K4562" i="1"/>
  <c r="J4562" i="1"/>
  <c r="I4562" i="1"/>
  <c r="H4562" i="1"/>
  <c r="G4562" i="1"/>
  <c r="M4561" i="1"/>
  <c r="L4561" i="1"/>
  <c r="K4561" i="1"/>
  <c r="J4561" i="1"/>
  <c r="I4561" i="1"/>
  <c r="H4561" i="1"/>
  <c r="G4561" i="1"/>
  <c r="M4560" i="1"/>
  <c r="L4560" i="1"/>
  <c r="K4560" i="1"/>
  <c r="J4560" i="1"/>
  <c r="I4560" i="1"/>
  <c r="H4560" i="1"/>
  <c r="G4560" i="1"/>
  <c r="M4559" i="1"/>
  <c r="L4559" i="1"/>
  <c r="K4559" i="1"/>
  <c r="J4559" i="1"/>
  <c r="I4559" i="1"/>
  <c r="H4559" i="1"/>
  <c r="G4559" i="1"/>
  <c r="M4558" i="1"/>
  <c r="L4558" i="1"/>
  <c r="K4558" i="1"/>
  <c r="J4558" i="1"/>
  <c r="I4558" i="1"/>
  <c r="H4558" i="1"/>
  <c r="G4558" i="1"/>
  <c r="M4557" i="1"/>
  <c r="L4557" i="1"/>
  <c r="K4557" i="1"/>
  <c r="J4557" i="1"/>
  <c r="I4557" i="1"/>
  <c r="H4557" i="1"/>
  <c r="G4557" i="1"/>
  <c r="M4556" i="1"/>
  <c r="L4556" i="1"/>
  <c r="K4556" i="1"/>
  <c r="J4556" i="1"/>
  <c r="I4556" i="1"/>
  <c r="H4556" i="1"/>
  <c r="G4556" i="1"/>
  <c r="M4555" i="1"/>
  <c r="L4555" i="1"/>
  <c r="K4555" i="1"/>
  <c r="J4555" i="1"/>
  <c r="I4555" i="1"/>
  <c r="H4555" i="1"/>
  <c r="G4555" i="1"/>
  <c r="M4554" i="1"/>
  <c r="L4554" i="1"/>
  <c r="K4554" i="1"/>
  <c r="J4554" i="1"/>
  <c r="I4554" i="1"/>
  <c r="H4554" i="1"/>
  <c r="G4554" i="1"/>
  <c r="M4553" i="1"/>
  <c r="L4553" i="1"/>
  <c r="K4553" i="1"/>
  <c r="J4553" i="1"/>
  <c r="I4553" i="1"/>
  <c r="H4553" i="1"/>
  <c r="G4553" i="1"/>
  <c r="M4552" i="1"/>
  <c r="L4552" i="1"/>
  <c r="K4552" i="1"/>
  <c r="J4552" i="1"/>
  <c r="I4552" i="1"/>
  <c r="H4552" i="1"/>
  <c r="G4552" i="1"/>
  <c r="M4551" i="1"/>
  <c r="L4551" i="1"/>
  <c r="K4551" i="1"/>
  <c r="J4551" i="1"/>
  <c r="I4551" i="1"/>
  <c r="H4551" i="1"/>
  <c r="G4551" i="1"/>
  <c r="M4550" i="1"/>
  <c r="L4550" i="1"/>
  <c r="K4550" i="1"/>
  <c r="J4550" i="1"/>
  <c r="I4550" i="1"/>
  <c r="H4550" i="1"/>
  <c r="G4550" i="1"/>
  <c r="M4549" i="1"/>
  <c r="L4549" i="1"/>
  <c r="K4549" i="1"/>
  <c r="J4549" i="1"/>
  <c r="I4549" i="1"/>
  <c r="H4549" i="1"/>
  <c r="G4549" i="1"/>
  <c r="M4548" i="1"/>
  <c r="L4548" i="1"/>
  <c r="K4548" i="1"/>
  <c r="J4548" i="1"/>
  <c r="I4548" i="1"/>
  <c r="H4548" i="1"/>
  <c r="G4548" i="1"/>
  <c r="M4547" i="1"/>
  <c r="L4547" i="1"/>
  <c r="K4547" i="1"/>
  <c r="J4547" i="1"/>
  <c r="I4547" i="1"/>
  <c r="H4547" i="1"/>
  <c r="G4547" i="1"/>
  <c r="M4546" i="1"/>
  <c r="L4546" i="1"/>
  <c r="K4546" i="1"/>
  <c r="J4546" i="1"/>
  <c r="I4546" i="1"/>
  <c r="H4546" i="1"/>
  <c r="G4546" i="1"/>
  <c r="M4545" i="1"/>
  <c r="L4545" i="1"/>
  <c r="K4545" i="1"/>
  <c r="J4545" i="1"/>
  <c r="I4545" i="1"/>
  <c r="H4545" i="1"/>
  <c r="G4545" i="1"/>
  <c r="M4544" i="1"/>
  <c r="L4544" i="1"/>
  <c r="K4544" i="1"/>
  <c r="J4544" i="1"/>
  <c r="I4544" i="1"/>
  <c r="H4544" i="1"/>
  <c r="G4544" i="1"/>
  <c r="M4543" i="1"/>
  <c r="L4543" i="1"/>
  <c r="K4543" i="1"/>
  <c r="J4543" i="1"/>
  <c r="I4543" i="1"/>
  <c r="H4543" i="1"/>
  <c r="G4543" i="1"/>
  <c r="M4542" i="1"/>
  <c r="L4542" i="1"/>
  <c r="K4542" i="1"/>
  <c r="J4542" i="1"/>
  <c r="I4542" i="1"/>
  <c r="H4542" i="1"/>
  <c r="G4542" i="1"/>
  <c r="M4541" i="1"/>
  <c r="L4541" i="1"/>
  <c r="K4541" i="1"/>
  <c r="J4541" i="1"/>
  <c r="I4541" i="1"/>
  <c r="H4541" i="1"/>
  <c r="G4541" i="1"/>
  <c r="M4540" i="1"/>
  <c r="L4540" i="1"/>
  <c r="K4540" i="1"/>
  <c r="J4540" i="1"/>
  <c r="I4540" i="1"/>
  <c r="H4540" i="1"/>
  <c r="G4540" i="1"/>
  <c r="M4539" i="1"/>
  <c r="L4539" i="1"/>
  <c r="K4539" i="1"/>
  <c r="J4539" i="1"/>
  <c r="I4539" i="1"/>
  <c r="H4539" i="1"/>
  <c r="G4539" i="1"/>
  <c r="M4538" i="1"/>
  <c r="L4538" i="1"/>
  <c r="K4538" i="1"/>
  <c r="J4538" i="1"/>
  <c r="I4538" i="1"/>
  <c r="H4538" i="1"/>
  <c r="G4538" i="1"/>
  <c r="M4537" i="1"/>
  <c r="L4537" i="1"/>
  <c r="K4537" i="1"/>
  <c r="J4537" i="1"/>
  <c r="I4537" i="1"/>
  <c r="H4537" i="1"/>
  <c r="G4537" i="1"/>
  <c r="M4536" i="1"/>
  <c r="L4536" i="1"/>
  <c r="K4536" i="1"/>
  <c r="J4536" i="1"/>
  <c r="I4536" i="1"/>
  <c r="H4536" i="1"/>
  <c r="G4536" i="1"/>
  <c r="M4535" i="1"/>
  <c r="L4535" i="1"/>
  <c r="K4535" i="1"/>
  <c r="J4535" i="1"/>
  <c r="I4535" i="1"/>
  <c r="H4535" i="1"/>
  <c r="G4535" i="1"/>
  <c r="M4534" i="1"/>
  <c r="L4534" i="1"/>
  <c r="K4534" i="1"/>
  <c r="J4534" i="1"/>
  <c r="I4534" i="1"/>
  <c r="H4534" i="1"/>
  <c r="G4534" i="1"/>
  <c r="M4533" i="1"/>
  <c r="L4533" i="1"/>
  <c r="K4533" i="1"/>
  <c r="J4533" i="1"/>
  <c r="I4533" i="1"/>
  <c r="H4533" i="1"/>
  <c r="G4533" i="1"/>
  <c r="M4532" i="1"/>
  <c r="L4532" i="1"/>
  <c r="K4532" i="1"/>
  <c r="J4532" i="1"/>
  <c r="I4532" i="1"/>
  <c r="H4532" i="1"/>
  <c r="G4532" i="1"/>
  <c r="M4531" i="1"/>
  <c r="L4531" i="1"/>
  <c r="K4531" i="1"/>
  <c r="J4531" i="1"/>
  <c r="I4531" i="1"/>
  <c r="H4531" i="1"/>
  <c r="G4531" i="1"/>
  <c r="M4530" i="1"/>
  <c r="L4530" i="1"/>
  <c r="K4530" i="1"/>
  <c r="J4530" i="1"/>
  <c r="I4530" i="1"/>
  <c r="H4530" i="1"/>
  <c r="G4530" i="1"/>
  <c r="M4529" i="1"/>
  <c r="L4529" i="1"/>
  <c r="K4529" i="1"/>
  <c r="J4529" i="1"/>
  <c r="I4529" i="1"/>
  <c r="H4529" i="1"/>
  <c r="G4529" i="1"/>
  <c r="M4528" i="1"/>
  <c r="L4528" i="1"/>
  <c r="K4528" i="1"/>
  <c r="J4528" i="1"/>
  <c r="I4528" i="1"/>
  <c r="H4528" i="1"/>
  <c r="G4528" i="1"/>
  <c r="M4527" i="1"/>
  <c r="L4527" i="1"/>
  <c r="K4527" i="1"/>
  <c r="J4527" i="1"/>
  <c r="I4527" i="1"/>
  <c r="H4527" i="1"/>
  <c r="G4527" i="1"/>
  <c r="M4526" i="1"/>
  <c r="L4526" i="1"/>
  <c r="K4526" i="1"/>
  <c r="J4526" i="1"/>
  <c r="I4526" i="1"/>
  <c r="H4526" i="1"/>
  <c r="G4526" i="1"/>
  <c r="M4525" i="1"/>
  <c r="L4525" i="1"/>
  <c r="K4525" i="1"/>
  <c r="J4525" i="1"/>
  <c r="I4525" i="1"/>
  <c r="H4525" i="1"/>
  <c r="G4525" i="1"/>
  <c r="M4524" i="1"/>
  <c r="L4524" i="1"/>
  <c r="K4524" i="1"/>
  <c r="J4524" i="1"/>
  <c r="I4524" i="1"/>
  <c r="H4524" i="1"/>
  <c r="G4524" i="1"/>
  <c r="M4523" i="1"/>
  <c r="L4523" i="1"/>
  <c r="K4523" i="1"/>
  <c r="J4523" i="1"/>
  <c r="I4523" i="1"/>
  <c r="H4523" i="1"/>
  <c r="G4523" i="1"/>
  <c r="M4522" i="1"/>
  <c r="L4522" i="1"/>
  <c r="K4522" i="1"/>
  <c r="J4522" i="1"/>
  <c r="I4522" i="1"/>
  <c r="H4522" i="1"/>
  <c r="G4522" i="1"/>
  <c r="M4521" i="1"/>
  <c r="L4521" i="1"/>
  <c r="K4521" i="1"/>
  <c r="J4521" i="1"/>
  <c r="I4521" i="1"/>
  <c r="H4521" i="1"/>
  <c r="G4521" i="1"/>
  <c r="M4520" i="1"/>
  <c r="L4520" i="1"/>
  <c r="K4520" i="1"/>
  <c r="J4520" i="1"/>
  <c r="I4520" i="1"/>
  <c r="H4520" i="1"/>
  <c r="G4520" i="1"/>
  <c r="M4519" i="1"/>
  <c r="L4519" i="1"/>
  <c r="K4519" i="1"/>
  <c r="J4519" i="1"/>
  <c r="I4519" i="1"/>
  <c r="H4519" i="1"/>
  <c r="G4519" i="1"/>
  <c r="M4518" i="1"/>
  <c r="L4518" i="1"/>
  <c r="K4518" i="1"/>
  <c r="J4518" i="1"/>
  <c r="I4518" i="1"/>
  <c r="H4518" i="1"/>
  <c r="G4518" i="1"/>
  <c r="M4517" i="1"/>
  <c r="L4517" i="1"/>
  <c r="K4517" i="1"/>
  <c r="J4517" i="1"/>
  <c r="I4517" i="1"/>
  <c r="H4517" i="1"/>
  <c r="G4517" i="1"/>
  <c r="M4516" i="1"/>
  <c r="L4516" i="1"/>
  <c r="K4516" i="1"/>
  <c r="J4516" i="1"/>
  <c r="I4516" i="1"/>
  <c r="H4516" i="1"/>
  <c r="G4516" i="1"/>
  <c r="M4515" i="1"/>
  <c r="L4515" i="1"/>
  <c r="K4515" i="1"/>
  <c r="J4515" i="1"/>
  <c r="I4515" i="1"/>
  <c r="H4515" i="1"/>
  <c r="G4515" i="1"/>
  <c r="M4514" i="1"/>
  <c r="L4514" i="1"/>
  <c r="K4514" i="1"/>
  <c r="J4514" i="1"/>
  <c r="I4514" i="1"/>
  <c r="H4514" i="1"/>
  <c r="G4514" i="1"/>
  <c r="M4513" i="1"/>
  <c r="L4513" i="1"/>
  <c r="K4513" i="1"/>
  <c r="J4513" i="1"/>
  <c r="I4513" i="1"/>
  <c r="H4513" i="1"/>
  <c r="G4513" i="1"/>
  <c r="M4512" i="1"/>
  <c r="L4512" i="1"/>
  <c r="K4512" i="1"/>
  <c r="J4512" i="1"/>
  <c r="I4512" i="1"/>
  <c r="H4512" i="1"/>
  <c r="G4512" i="1"/>
  <c r="M4511" i="1"/>
  <c r="L4511" i="1"/>
  <c r="K4511" i="1"/>
  <c r="J4511" i="1"/>
  <c r="I4511" i="1"/>
  <c r="H4511" i="1"/>
  <c r="G4511" i="1"/>
  <c r="M4510" i="1"/>
  <c r="L4510" i="1"/>
  <c r="K4510" i="1"/>
  <c r="J4510" i="1"/>
  <c r="I4510" i="1"/>
  <c r="H4510" i="1"/>
  <c r="G4510" i="1"/>
  <c r="M4509" i="1"/>
  <c r="L4509" i="1"/>
  <c r="K4509" i="1"/>
  <c r="J4509" i="1"/>
  <c r="I4509" i="1"/>
  <c r="H4509" i="1"/>
  <c r="G4509" i="1"/>
  <c r="M4508" i="1"/>
  <c r="L4508" i="1"/>
  <c r="K4508" i="1"/>
  <c r="J4508" i="1"/>
  <c r="I4508" i="1"/>
  <c r="H4508" i="1"/>
  <c r="G4508" i="1"/>
  <c r="M4507" i="1"/>
  <c r="L4507" i="1"/>
  <c r="K4507" i="1"/>
  <c r="J4507" i="1"/>
  <c r="I4507" i="1"/>
  <c r="H4507" i="1"/>
  <c r="G4507" i="1"/>
  <c r="M4506" i="1"/>
  <c r="L4506" i="1"/>
  <c r="K4506" i="1"/>
  <c r="J4506" i="1"/>
  <c r="I4506" i="1"/>
  <c r="H4506" i="1"/>
  <c r="G4506" i="1"/>
  <c r="M4505" i="1"/>
  <c r="L4505" i="1"/>
  <c r="K4505" i="1"/>
  <c r="J4505" i="1"/>
  <c r="I4505" i="1"/>
  <c r="H4505" i="1"/>
  <c r="G4505" i="1"/>
  <c r="M4504" i="1"/>
  <c r="L4504" i="1"/>
  <c r="K4504" i="1"/>
  <c r="J4504" i="1"/>
  <c r="I4504" i="1"/>
  <c r="H4504" i="1"/>
  <c r="G4504" i="1"/>
  <c r="M4503" i="1"/>
  <c r="L4503" i="1"/>
  <c r="K4503" i="1"/>
  <c r="J4503" i="1"/>
  <c r="I4503" i="1"/>
  <c r="H4503" i="1"/>
  <c r="G4503" i="1"/>
  <c r="M4502" i="1"/>
  <c r="L4502" i="1"/>
  <c r="K4502" i="1"/>
  <c r="J4502" i="1"/>
  <c r="I4502" i="1"/>
  <c r="H4502" i="1"/>
  <c r="G4502" i="1"/>
  <c r="M4501" i="1"/>
  <c r="L4501" i="1"/>
  <c r="K4501" i="1"/>
  <c r="J4501" i="1"/>
  <c r="I4501" i="1"/>
  <c r="H4501" i="1"/>
  <c r="G4501" i="1"/>
  <c r="M4500" i="1"/>
  <c r="L4500" i="1"/>
  <c r="K4500" i="1"/>
  <c r="J4500" i="1"/>
  <c r="I4500" i="1"/>
  <c r="H4500" i="1"/>
  <c r="G4500" i="1"/>
  <c r="M4499" i="1"/>
  <c r="L4499" i="1"/>
  <c r="K4499" i="1"/>
  <c r="J4499" i="1"/>
  <c r="I4499" i="1"/>
  <c r="H4499" i="1"/>
  <c r="G4499" i="1"/>
  <c r="M4498" i="1"/>
  <c r="L4498" i="1"/>
  <c r="K4498" i="1"/>
  <c r="J4498" i="1"/>
  <c r="I4498" i="1"/>
  <c r="H4498" i="1"/>
  <c r="G4498" i="1"/>
  <c r="M4497" i="1"/>
  <c r="L4497" i="1"/>
  <c r="K4497" i="1"/>
  <c r="J4497" i="1"/>
  <c r="I4497" i="1"/>
  <c r="H4497" i="1"/>
  <c r="G4497" i="1"/>
  <c r="M4496" i="1"/>
  <c r="L4496" i="1"/>
  <c r="K4496" i="1"/>
  <c r="J4496" i="1"/>
  <c r="I4496" i="1"/>
  <c r="H4496" i="1"/>
  <c r="G4496" i="1"/>
  <c r="M4495" i="1"/>
  <c r="L4495" i="1"/>
  <c r="K4495" i="1"/>
  <c r="J4495" i="1"/>
  <c r="I4495" i="1"/>
  <c r="H4495" i="1"/>
  <c r="G4495" i="1"/>
  <c r="M4494" i="1"/>
  <c r="L4494" i="1"/>
  <c r="K4494" i="1"/>
  <c r="J4494" i="1"/>
  <c r="I4494" i="1"/>
  <c r="H4494" i="1"/>
  <c r="G4494" i="1"/>
  <c r="M4493" i="1"/>
  <c r="L4493" i="1"/>
  <c r="K4493" i="1"/>
  <c r="J4493" i="1"/>
  <c r="I4493" i="1"/>
  <c r="H4493" i="1"/>
  <c r="G4493" i="1"/>
  <c r="M4492" i="1"/>
  <c r="L4492" i="1"/>
  <c r="K4492" i="1"/>
  <c r="J4492" i="1"/>
  <c r="I4492" i="1"/>
  <c r="H4492" i="1"/>
  <c r="G4492" i="1"/>
  <c r="M4491" i="1"/>
  <c r="L4491" i="1"/>
  <c r="K4491" i="1"/>
  <c r="J4491" i="1"/>
  <c r="I4491" i="1"/>
  <c r="H4491" i="1"/>
  <c r="G4491" i="1"/>
  <c r="M4490" i="1"/>
  <c r="L4490" i="1"/>
  <c r="K4490" i="1"/>
  <c r="J4490" i="1"/>
  <c r="I4490" i="1"/>
  <c r="H4490" i="1"/>
  <c r="G4490" i="1"/>
  <c r="M4489" i="1"/>
  <c r="L4489" i="1"/>
  <c r="K4489" i="1"/>
  <c r="J4489" i="1"/>
  <c r="I4489" i="1"/>
  <c r="H4489" i="1"/>
  <c r="G4489" i="1"/>
  <c r="M4488" i="1"/>
  <c r="L4488" i="1"/>
  <c r="K4488" i="1"/>
  <c r="J4488" i="1"/>
  <c r="I4488" i="1"/>
  <c r="H4488" i="1"/>
  <c r="G4488" i="1"/>
  <c r="M4487" i="1"/>
  <c r="L4487" i="1"/>
  <c r="K4487" i="1"/>
  <c r="J4487" i="1"/>
  <c r="I4487" i="1"/>
  <c r="H4487" i="1"/>
  <c r="G4487" i="1"/>
  <c r="M4486" i="1"/>
  <c r="L4486" i="1"/>
  <c r="K4486" i="1"/>
  <c r="J4486" i="1"/>
  <c r="I4486" i="1"/>
  <c r="H4486" i="1"/>
  <c r="G4486" i="1"/>
  <c r="M4485" i="1"/>
  <c r="L4485" i="1"/>
  <c r="K4485" i="1"/>
  <c r="J4485" i="1"/>
  <c r="I4485" i="1"/>
  <c r="H4485" i="1"/>
  <c r="G4485" i="1"/>
  <c r="M4484" i="1"/>
  <c r="L4484" i="1"/>
  <c r="K4484" i="1"/>
  <c r="J4484" i="1"/>
  <c r="I4484" i="1"/>
  <c r="H4484" i="1"/>
  <c r="G4484" i="1"/>
  <c r="M4483" i="1"/>
  <c r="L4483" i="1"/>
  <c r="K4483" i="1"/>
  <c r="J4483" i="1"/>
  <c r="I4483" i="1"/>
  <c r="H4483" i="1"/>
  <c r="G4483" i="1"/>
  <c r="M4482" i="1"/>
  <c r="L4482" i="1"/>
  <c r="K4482" i="1"/>
  <c r="J4482" i="1"/>
  <c r="I4482" i="1"/>
  <c r="H4482" i="1"/>
  <c r="G4482" i="1"/>
  <c r="M4481" i="1"/>
  <c r="L4481" i="1"/>
  <c r="K4481" i="1"/>
  <c r="J4481" i="1"/>
  <c r="I4481" i="1"/>
  <c r="H4481" i="1"/>
  <c r="G4481" i="1"/>
  <c r="M4480" i="1"/>
  <c r="L4480" i="1"/>
  <c r="K4480" i="1"/>
  <c r="J4480" i="1"/>
  <c r="I4480" i="1"/>
  <c r="H4480" i="1"/>
  <c r="G4480" i="1"/>
  <c r="M4479" i="1"/>
  <c r="L4479" i="1"/>
  <c r="K4479" i="1"/>
  <c r="J4479" i="1"/>
  <c r="I4479" i="1"/>
  <c r="H4479" i="1"/>
  <c r="G4479" i="1"/>
  <c r="M4478" i="1"/>
  <c r="L4478" i="1"/>
  <c r="K4478" i="1"/>
  <c r="J4478" i="1"/>
  <c r="I4478" i="1"/>
  <c r="H4478" i="1"/>
  <c r="G4478" i="1"/>
  <c r="M4477" i="1"/>
  <c r="L4477" i="1"/>
  <c r="K4477" i="1"/>
  <c r="J4477" i="1"/>
  <c r="I4477" i="1"/>
  <c r="H4477" i="1"/>
  <c r="G4477" i="1"/>
  <c r="M4476" i="1"/>
  <c r="L4476" i="1"/>
  <c r="K4476" i="1"/>
  <c r="J4476" i="1"/>
  <c r="I4476" i="1"/>
  <c r="H4476" i="1"/>
  <c r="G4476" i="1"/>
  <c r="M4475" i="1"/>
  <c r="L4475" i="1"/>
  <c r="K4475" i="1"/>
  <c r="J4475" i="1"/>
  <c r="I4475" i="1"/>
  <c r="H4475" i="1"/>
  <c r="G4475" i="1"/>
  <c r="M4474" i="1"/>
  <c r="L4474" i="1"/>
  <c r="K4474" i="1"/>
  <c r="J4474" i="1"/>
  <c r="I4474" i="1"/>
  <c r="H4474" i="1"/>
  <c r="G4474" i="1"/>
  <c r="M4473" i="1"/>
  <c r="L4473" i="1"/>
  <c r="K4473" i="1"/>
  <c r="J4473" i="1"/>
  <c r="I4473" i="1"/>
  <c r="H4473" i="1"/>
  <c r="G4473" i="1"/>
  <c r="M4472" i="1"/>
  <c r="L4472" i="1"/>
  <c r="K4472" i="1"/>
  <c r="J4472" i="1"/>
  <c r="I4472" i="1"/>
  <c r="H4472" i="1"/>
  <c r="G4472" i="1"/>
  <c r="M4471" i="1"/>
  <c r="L4471" i="1"/>
  <c r="K4471" i="1"/>
  <c r="J4471" i="1"/>
  <c r="I4471" i="1"/>
  <c r="H4471" i="1"/>
  <c r="G4471" i="1"/>
  <c r="M4470" i="1"/>
  <c r="L4470" i="1"/>
  <c r="K4470" i="1"/>
  <c r="J4470" i="1"/>
  <c r="I4470" i="1"/>
  <c r="H4470" i="1"/>
  <c r="G4470" i="1"/>
  <c r="M4469" i="1"/>
  <c r="L4469" i="1"/>
  <c r="K4469" i="1"/>
  <c r="J4469" i="1"/>
  <c r="I4469" i="1"/>
  <c r="H4469" i="1"/>
  <c r="G4469" i="1"/>
  <c r="M4468" i="1"/>
  <c r="L4468" i="1"/>
  <c r="K4468" i="1"/>
  <c r="J4468" i="1"/>
  <c r="I4468" i="1"/>
  <c r="H4468" i="1"/>
  <c r="G4468" i="1"/>
  <c r="M4467" i="1"/>
  <c r="L4467" i="1"/>
  <c r="K4467" i="1"/>
  <c r="J4467" i="1"/>
  <c r="I4467" i="1"/>
  <c r="H4467" i="1"/>
  <c r="G4467" i="1"/>
  <c r="M4466" i="1"/>
  <c r="L4466" i="1"/>
  <c r="K4466" i="1"/>
  <c r="J4466" i="1"/>
  <c r="I4466" i="1"/>
  <c r="H4466" i="1"/>
  <c r="G4466" i="1"/>
  <c r="M4465" i="1"/>
  <c r="L4465" i="1"/>
  <c r="K4465" i="1"/>
  <c r="J4465" i="1"/>
  <c r="I4465" i="1"/>
  <c r="H4465" i="1"/>
  <c r="G4465" i="1"/>
  <c r="M4464" i="1"/>
  <c r="L4464" i="1"/>
  <c r="K4464" i="1"/>
  <c r="J4464" i="1"/>
  <c r="I4464" i="1"/>
  <c r="H4464" i="1"/>
  <c r="G4464" i="1"/>
  <c r="M4463" i="1"/>
  <c r="L4463" i="1"/>
  <c r="K4463" i="1"/>
  <c r="J4463" i="1"/>
  <c r="I4463" i="1"/>
  <c r="H4463" i="1"/>
  <c r="G4463" i="1"/>
  <c r="M4462" i="1"/>
  <c r="L4462" i="1"/>
  <c r="K4462" i="1"/>
  <c r="J4462" i="1"/>
  <c r="I4462" i="1"/>
  <c r="H4462" i="1"/>
  <c r="G4462" i="1"/>
  <c r="M4461" i="1"/>
  <c r="L4461" i="1"/>
  <c r="K4461" i="1"/>
  <c r="J4461" i="1"/>
  <c r="I4461" i="1"/>
  <c r="H4461" i="1"/>
  <c r="G4461" i="1"/>
  <c r="M4460" i="1"/>
  <c r="L4460" i="1"/>
  <c r="K4460" i="1"/>
  <c r="J4460" i="1"/>
  <c r="I4460" i="1"/>
  <c r="H4460" i="1"/>
  <c r="G4460" i="1"/>
  <c r="M4459" i="1"/>
  <c r="L4459" i="1"/>
  <c r="K4459" i="1"/>
  <c r="J4459" i="1"/>
  <c r="I4459" i="1"/>
  <c r="H4459" i="1"/>
  <c r="G4459" i="1"/>
  <c r="M4458" i="1"/>
  <c r="L4458" i="1"/>
  <c r="K4458" i="1"/>
  <c r="J4458" i="1"/>
  <c r="I4458" i="1"/>
  <c r="H4458" i="1"/>
  <c r="G4458" i="1"/>
  <c r="M4457" i="1"/>
  <c r="L4457" i="1"/>
  <c r="K4457" i="1"/>
  <c r="J4457" i="1"/>
  <c r="I4457" i="1"/>
  <c r="H4457" i="1"/>
  <c r="G4457" i="1"/>
  <c r="M4456" i="1"/>
  <c r="L4456" i="1"/>
  <c r="K4456" i="1"/>
  <c r="J4456" i="1"/>
  <c r="I4456" i="1"/>
  <c r="H4456" i="1"/>
  <c r="G4456" i="1"/>
  <c r="M4455" i="1"/>
  <c r="L4455" i="1"/>
  <c r="K4455" i="1"/>
  <c r="J4455" i="1"/>
  <c r="I4455" i="1"/>
  <c r="H4455" i="1"/>
  <c r="G4455" i="1"/>
  <c r="M4454" i="1"/>
  <c r="L4454" i="1"/>
  <c r="K4454" i="1"/>
  <c r="J4454" i="1"/>
  <c r="I4454" i="1"/>
  <c r="H4454" i="1"/>
  <c r="G4454" i="1"/>
  <c r="M4453" i="1"/>
  <c r="L4453" i="1"/>
  <c r="K4453" i="1"/>
  <c r="J4453" i="1"/>
  <c r="I4453" i="1"/>
  <c r="H4453" i="1"/>
  <c r="G4453" i="1"/>
  <c r="M4452" i="1"/>
  <c r="L4452" i="1"/>
  <c r="K4452" i="1"/>
  <c r="J4452" i="1"/>
  <c r="I4452" i="1"/>
  <c r="H4452" i="1"/>
  <c r="G4452" i="1"/>
  <c r="M4451" i="1"/>
  <c r="L4451" i="1"/>
  <c r="K4451" i="1"/>
  <c r="J4451" i="1"/>
  <c r="I4451" i="1"/>
  <c r="H4451" i="1"/>
  <c r="G4451" i="1"/>
  <c r="M4450" i="1"/>
  <c r="L4450" i="1"/>
  <c r="K4450" i="1"/>
  <c r="J4450" i="1"/>
  <c r="I4450" i="1"/>
  <c r="H4450" i="1"/>
  <c r="G4450" i="1"/>
  <c r="M4449" i="1"/>
  <c r="L4449" i="1"/>
  <c r="K4449" i="1"/>
  <c r="J4449" i="1"/>
  <c r="I4449" i="1"/>
  <c r="H4449" i="1"/>
  <c r="G4449" i="1"/>
  <c r="M4448" i="1"/>
  <c r="L4448" i="1"/>
  <c r="K4448" i="1"/>
  <c r="J4448" i="1"/>
  <c r="I4448" i="1"/>
  <c r="H4448" i="1"/>
  <c r="G4448" i="1"/>
  <c r="M4447" i="1"/>
  <c r="L4447" i="1"/>
  <c r="K4447" i="1"/>
  <c r="J4447" i="1"/>
  <c r="I4447" i="1"/>
  <c r="H4447" i="1"/>
  <c r="G4447" i="1"/>
  <c r="M4446" i="1"/>
  <c r="L4446" i="1"/>
  <c r="K4446" i="1"/>
  <c r="J4446" i="1"/>
  <c r="I4446" i="1"/>
  <c r="H4446" i="1"/>
  <c r="G4446" i="1"/>
  <c r="M4445" i="1"/>
  <c r="L4445" i="1"/>
  <c r="K4445" i="1"/>
  <c r="J4445" i="1"/>
  <c r="I4445" i="1"/>
  <c r="H4445" i="1"/>
  <c r="G4445" i="1"/>
  <c r="M4444" i="1"/>
  <c r="L4444" i="1"/>
  <c r="K4444" i="1"/>
  <c r="J4444" i="1"/>
  <c r="I4444" i="1"/>
  <c r="H4444" i="1"/>
  <c r="G4444" i="1"/>
  <c r="M4443" i="1"/>
  <c r="L4443" i="1"/>
  <c r="K4443" i="1"/>
  <c r="J4443" i="1"/>
  <c r="I4443" i="1"/>
  <c r="H4443" i="1"/>
  <c r="G4443" i="1"/>
  <c r="M4442" i="1"/>
  <c r="L4442" i="1"/>
  <c r="K4442" i="1"/>
  <c r="J4442" i="1"/>
  <c r="I4442" i="1"/>
  <c r="H4442" i="1"/>
  <c r="G4442" i="1"/>
  <c r="M4441" i="1"/>
  <c r="L4441" i="1"/>
  <c r="K4441" i="1"/>
  <c r="J4441" i="1"/>
  <c r="I4441" i="1"/>
  <c r="H4441" i="1"/>
  <c r="G4441" i="1"/>
  <c r="M4440" i="1"/>
  <c r="L4440" i="1"/>
  <c r="K4440" i="1"/>
  <c r="J4440" i="1"/>
  <c r="I4440" i="1"/>
  <c r="H4440" i="1"/>
  <c r="G4440" i="1"/>
  <c r="M4439" i="1"/>
  <c r="L4439" i="1"/>
  <c r="K4439" i="1"/>
  <c r="J4439" i="1"/>
  <c r="I4439" i="1"/>
  <c r="H4439" i="1"/>
  <c r="G4439" i="1"/>
  <c r="M4438" i="1"/>
  <c r="L4438" i="1"/>
  <c r="K4438" i="1"/>
  <c r="J4438" i="1"/>
  <c r="I4438" i="1"/>
  <c r="H4438" i="1"/>
  <c r="G4438" i="1"/>
  <c r="M4437" i="1"/>
  <c r="L4437" i="1"/>
  <c r="K4437" i="1"/>
  <c r="J4437" i="1"/>
  <c r="I4437" i="1"/>
  <c r="H4437" i="1"/>
  <c r="G4437" i="1"/>
  <c r="M4436" i="1"/>
  <c r="L4436" i="1"/>
  <c r="K4436" i="1"/>
  <c r="J4436" i="1"/>
  <c r="I4436" i="1"/>
  <c r="H4436" i="1"/>
  <c r="G4436" i="1"/>
  <c r="M4435" i="1"/>
  <c r="L4435" i="1"/>
  <c r="K4435" i="1"/>
  <c r="J4435" i="1"/>
  <c r="I4435" i="1"/>
  <c r="H4435" i="1"/>
  <c r="G4435" i="1"/>
  <c r="M4434" i="1"/>
  <c r="L4434" i="1"/>
  <c r="K4434" i="1"/>
  <c r="J4434" i="1"/>
  <c r="I4434" i="1"/>
  <c r="H4434" i="1"/>
  <c r="G4434" i="1"/>
  <c r="M4433" i="1"/>
  <c r="L4433" i="1"/>
  <c r="K4433" i="1"/>
  <c r="J4433" i="1"/>
  <c r="I4433" i="1"/>
  <c r="H4433" i="1"/>
  <c r="G4433" i="1"/>
  <c r="M4432" i="1"/>
  <c r="L4432" i="1"/>
  <c r="K4432" i="1"/>
  <c r="J4432" i="1"/>
  <c r="I4432" i="1"/>
  <c r="H4432" i="1"/>
  <c r="G4432" i="1"/>
  <c r="M4431" i="1"/>
  <c r="L4431" i="1"/>
  <c r="K4431" i="1"/>
  <c r="J4431" i="1"/>
  <c r="I4431" i="1"/>
  <c r="H4431" i="1"/>
  <c r="G4431" i="1"/>
  <c r="M4430" i="1"/>
  <c r="L4430" i="1"/>
  <c r="K4430" i="1"/>
  <c r="J4430" i="1"/>
  <c r="I4430" i="1"/>
  <c r="H4430" i="1"/>
  <c r="G4430" i="1"/>
  <c r="M4429" i="1"/>
  <c r="L4429" i="1"/>
  <c r="K4429" i="1"/>
  <c r="J4429" i="1"/>
  <c r="I4429" i="1"/>
  <c r="H4429" i="1"/>
  <c r="G4429" i="1"/>
  <c r="M4428" i="1"/>
  <c r="L4428" i="1"/>
  <c r="K4428" i="1"/>
  <c r="J4428" i="1"/>
  <c r="I4428" i="1"/>
  <c r="H4428" i="1"/>
  <c r="G4428" i="1"/>
  <c r="M4427" i="1"/>
  <c r="L4427" i="1"/>
  <c r="K4427" i="1"/>
  <c r="J4427" i="1"/>
  <c r="I4427" i="1"/>
  <c r="H4427" i="1"/>
  <c r="G4427" i="1"/>
  <c r="M4426" i="1"/>
  <c r="L4426" i="1"/>
  <c r="K4426" i="1"/>
  <c r="J4426" i="1"/>
  <c r="I4426" i="1"/>
  <c r="H4426" i="1"/>
  <c r="G4426" i="1"/>
  <c r="M4425" i="1"/>
  <c r="L4425" i="1"/>
  <c r="K4425" i="1"/>
  <c r="J4425" i="1"/>
  <c r="I4425" i="1"/>
  <c r="H4425" i="1"/>
  <c r="G4425" i="1"/>
  <c r="M4424" i="1"/>
  <c r="L4424" i="1"/>
  <c r="K4424" i="1"/>
  <c r="J4424" i="1"/>
  <c r="I4424" i="1"/>
  <c r="H4424" i="1"/>
  <c r="G4424" i="1"/>
  <c r="M4423" i="1"/>
  <c r="L4423" i="1"/>
  <c r="K4423" i="1"/>
  <c r="J4423" i="1"/>
  <c r="I4423" i="1"/>
  <c r="H4423" i="1"/>
  <c r="G4423" i="1"/>
  <c r="M4422" i="1"/>
  <c r="L4422" i="1"/>
  <c r="K4422" i="1"/>
  <c r="J4422" i="1"/>
  <c r="I4422" i="1"/>
  <c r="H4422" i="1"/>
  <c r="G4422" i="1"/>
  <c r="M4421" i="1"/>
  <c r="L4421" i="1"/>
  <c r="K4421" i="1"/>
  <c r="J4421" i="1"/>
  <c r="I4421" i="1"/>
  <c r="H4421" i="1"/>
  <c r="G4421" i="1"/>
  <c r="M4420" i="1"/>
  <c r="L4420" i="1"/>
  <c r="K4420" i="1"/>
  <c r="J4420" i="1"/>
  <c r="I4420" i="1"/>
  <c r="H4420" i="1"/>
  <c r="G4420" i="1"/>
  <c r="M4419" i="1"/>
  <c r="L4419" i="1"/>
  <c r="K4419" i="1"/>
  <c r="J4419" i="1"/>
  <c r="I4419" i="1"/>
  <c r="H4419" i="1"/>
  <c r="G4419" i="1"/>
  <c r="M4418" i="1"/>
  <c r="L4418" i="1"/>
  <c r="K4418" i="1"/>
  <c r="J4418" i="1"/>
  <c r="I4418" i="1"/>
  <c r="H4418" i="1"/>
  <c r="G4418" i="1"/>
  <c r="M4417" i="1"/>
  <c r="L4417" i="1"/>
  <c r="K4417" i="1"/>
  <c r="J4417" i="1"/>
  <c r="I4417" i="1"/>
  <c r="H4417" i="1"/>
  <c r="G4417" i="1"/>
  <c r="M4416" i="1"/>
  <c r="L4416" i="1"/>
  <c r="K4416" i="1"/>
  <c r="J4416" i="1"/>
  <c r="I4416" i="1"/>
  <c r="H4416" i="1"/>
  <c r="G4416" i="1"/>
  <c r="M4415" i="1"/>
  <c r="L4415" i="1"/>
  <c r="K4415" i="1"/>
  <c r="J4415" i="1"/>
  <c r="I4415" i="1"/>
  <c r="H4415" i="1"/>
  <c r="G4415" i="1"/>
  <c r="M4414" i="1"/>
  <c r="L4414" i="1"/>
  <c r="K4414" i="1"/>
  <c r="J4414" i="1"/>
  <c r="I4414" i="1"/>
  <c r="H4414" i="1"/>
  <c r="G4414" i="1"/>
  <c r="M4413" i="1"/>
  <c r="L4413" i="1"/>
  <c r="K4413" i="1"/>
  <c r="J4413" i="1"/>
  <c r="I4413" i="1"/>
  <c r="H4413" i="1"/>
  <c r="G4413" i="1"/>
  <c r="M4412" i="1"/>
  <c r="L4412" i="1"/>
  <c r="K4412" i="1"/>
  <c r="J4412" i="1"/>
  <c r="I4412" i="1"/>
  <c r="H4412" i="1"/>
  <c r="G4412" i="1"/>
  <c r="M4411" i="1"/>
  <c r="L4411" i="1"/>
  <c r="K4411" i="1"/>
  <c r="J4411" i="1"/>
  <c r="I4411" i="1"/>
  <c r="H4411" i="1"/>
  <c r="G4411" i="1"/>
  <c r="M4410" i="1"/>
  <c r="L4410" i="1"/>
  <c r="K4410" i="1"/>
  <c r="J4410" i="1"/>
  <c r="I4410" i="1"/>
  <c r="H4410" i="1"/>
  <c r="G4410" i="1"/>
  <c r="M4409" i="1"/>
  <c r="L4409" i="1"/>
  <c r="K4409" i="1"/>
  <c r="J4409" i="1"/>
  <c r="I4409" i="1"/>
  <c r="H4409" i="1"/>
  <c r="G4409" i="1"/>
  <c r="M4408" i="1"/>
  <c r="L4408" i="1"/>
  <c r="K4408" i="1"/>
  <c r="J4408" i="1"/>
  <c r="I4408" i="1"/>
  <c r="H4408" i="1"/>
  <c r="G4408" i="1"/>
  <c r="M4407" i="1"/>
  <c r="L4407" i="1"/>
  <c r="K4407" i="1"/>
  <c r="J4407" i="1"/>
  <c r="I4407" i="1"/>
  <c r="H4407" i="1"/>
  <c r="G4407" i="1"/>
  <c r="M4406" i="1"/>
  <c r="L4406" i="1"/>
  <c r="K4406" i="1"/>
  <c r="J4406" i="1"/>
  <c r="I4406" i="1"/>
  <c r="H4406" i="1"/>
  <c r="G4406" i="1"/>
  <c r="M4405" i="1"/>
  <c r="L4405" i="1"/>
  <c r="K4405" i="1"/>
  <c r="J4405" i="1"/>
  <c r="I4405" i="1"/>
  <c r="H4405" i="1"/>
  <c r="G4405" i="1"/>
  <c r="M4404" i="1"/>
  <c r="L4404" i="1"/>
  <c r="K4404" i="1"/>
  <c r="J4404" i="1"/>
  <c r="I4404" i="1"/>
  <c r="H4404" i="1"/>
  <c r="G4404" i="1"/>
  <c r="M4403" i="1"/>
  <c r="L4403" i="1"/>
  <c r="K4403" i="1"/>
  <c r="J4403" i="1"/>
  <c r="I4403" i="1"/>
  <c r="H4403" i="1"/>
  <c r="G4403" i="1"/>
  <c r="M4402" i="1"/>
  <c r="L4402" i="1"/>
  <c r="K4402" i="1"/>
  <c r="J4402" i="1"/>
  <c r="I4402" i="1"/>
  <c r="H4402" i="1"/>
  <c r="G4402" i="1"/>
  <c r="M4401" i="1"/>
  <c r="L4401" i="1"/>
  <c r="K4401" i="1"/>
  <c r="J4401" i="1"/>
  <c r="I4401" i="1"/>
  <c r="H4401" i="1"/>
  <c r="G4401" i="1"/>
  <c r="M4400" i="1"/>
  <c r="L4400" i="1"/>
  <c r="K4400" i="1"/>
  <c r="J4400" i="1"/>
  <c r="I4400" i="1"/>
  <c r="H4400" i="1"/>
  <c r="G4400" i="1"/>
  <c r="M4399" i="1"/>
  <c r="L4399" i="1"/>
  <c r="K4399" i="1"/>
  <c r="J4399" i="1"/>
  <c r="I4399" i="1"/>
  <c r="H4399" i="1"/>
  <c r="G4399" i="1"/>
  <c r="M4398" i="1"/>
  <c r="L4398" i="1"/>
  <c r="K4398" i="1"/>
  <c r="J4398" i="1"/>
  <c r="I4398" i="1"/>
  <c r="H4398" i="1"/>
  <c r="G4398" i="1"/>
  <c r="M4397" i="1"/>
  <c r="L4397" i="1"/>
  <c r="K4397" i="1"/>
  <c r="J4397" i="1"/>
  <c r="I4397" i="1"/>
  <c r="H4397" i="1"/>
  <c r="G4397" i="1"/>
  <c r="M4396" i="1"/>
  <c r="L4396" i="1"/>
  <c r="K4396" i="1"/>
  <c r="J4396" i="1"/>
  <c r="I4396" i="1"/>
  <c r="H4396" i="1"/>
  <c r="G4396" i="1"/>
  <c r="M4395" i="1"/>
  <c r="L4395" i="1"/>
  <c r="K4395" i="1"/>
  <c r="J4395" i="1"/>
  <c r="I4395" i="1"/>
  <c r="H4395" i="1"/>
  <c r="G4395" i="1"/>
  <c r="M4394" i="1"/>
  <c r="L4394" i="1"/>
  <c r="K4394" i="1"/>
  <c r="J4394" i="1"/>
  <c r="I4394" i="1"/>
  <c r="H4394" i="1"/>
  <c r="G4394" i="1"/>
  <c r="M4393" i="1"/>
  <c r="L4393" i="1"/>
  <c r="K4393" i="1"/>
  <c r="J4393" i="1"/>
  <c r="I4393" i="1"/>
  <c r="H4393" i="1"/>
  <c r="G4393" i="1"/>
  <c r="M4392" i="1"/>
  <c r="L4392" i="1"/>
  <c r="K4392" i="1"/>
  <c r="J4392" i="1"/>
  <c r="I4392" i="1"/>
  <c r="H4392" i="1"/>
  <c r="G4392" i="1"/>
  <c r="M4391" i="1"/>
  <c r="L4391" i="1"/>
  <c r="K4391" i="1"/>
  <c r="J4391" i="1"/>
  <c r="I4391" i="1"/>
  <c r="H4391" i="1"/>
  <c r="G4391" i="1"/>
  <c r="M4390" i="1"/>
  <c r="L4390" i="1"/>
  <c r="K4390" i="1"/>
  <c r="J4390" i="1"/>
  <c r="I4390" i="1"/>
  <c r="H4390" i="1"/>
  <c r="G4390" i="1"/>
  <c r="M4389" i="1"/>
  <c r="L4389" i="1"/>
  <c r="K4389" i="1"/>
  <c r="J4389" i="1"/>
  <c r="I4389" i="1"/>
  <c r="H4389" i="1"/>
  <c r="G4389" i="1"/>
  <c r="M4388" i="1"/>
  <c r="L4388" i="1"/>
  <c r="K4388" i="1"/>
  <c r="J4388" i="1"/>
  <c r="I4388" i="1"/>
  <c r="H4388" i="1"/>
  <c r="G4388" i="1"/>
  <c r="M4387" i="1"/>
  <c r="L4387" i="1"/>
  <c r="K4387" i="1"/>
  <c r="J4387" i="1"/>
  <c r="I4387" i="1"/>
  <c r="H4387" i="1"/>
  <c r="G4387" i="1"/>
  <c r="M4386" i="1"/>
  <c r="L4386" i="1"/>
  <c r="K4386" i="1"/>
  <c r="J4386" i="1"/>
  <c r="I4386" i="1"/>
  <c r="H4386" i="1"/>
  <c r="G4386" i="1"/>
  <c r="M4385" i="1"/>
  <c r="L4385" i="1"/>
  <c r="K4385" i="1"/>
  <c r="J4385" i="1"/>
  <c r="I4385" i="1"/>
  <c r="H4385" i="1"/>
  <c r="G4385" i="1"/>
  <c r="M4384" i="1"/>
  <c r="L4384" i="1"/>
  <c r="K4384" i="1"/>
  <c r="J4384" i="1"/>
  <c r="I4384" i="1"/>
  <c r="H4384" i="1"/>
  <c r="G4384" i="1"/>
  <c r="M4383" i="1"/>
  <c r="L4383" i="1"/>
  <c r="K4383" i="1"/>
  <c r="J4383" i="1"/>
  <c r="I4383" i="1"/>
  <c r="H4383" i="1"/>
  <c r="G4383" i="1"/>
  <c r="M4382" i="1"/>
  <c r="L4382" i="1"/>
  <c r="K4382" i="1"/>
  <c r="J4382" i="1"/>
  <c r="I4382" i="1"/>
  <c r="H4382" i="1"/>
  <c r="G4382" i="1"/>
  <c r="M4381" i="1"/>
  <c r="L4381" i="1"/>
  <c r="K4381" i="1"/>
  <c r="J4381" i="1"/>
  <c r="I4381" i="1"/>
  <c r="H4381" i="1"/>
  <c r="G4381" i="1"/>
  <c r="M4380" i="1"/>
  <c r="L4380" i="1"/>
  <c r="K4380" i="1"/>
  <c r="J4380" i="1"/>
  <c r="I4380" i="1"/>
  <c r="H4380" i="1"/>
  <c r="G4380" i="1"/>
  <c r="M4379" i="1"/>
  <c r="L4379" i="1"/>
  <c r="K4379" i="1"/>
  <c r="J4379" i="1"/>
  <c r="I4379" i="1"/>
  <c r="H4379" i="1"/>
  <c r="G4379" i="1"/>
  <c r="M4378" i="1"/>
  <c r="L4378" i="1"/>
  <c r="K4378" i="1"/>
  <c r="J4378" i="1"/>
  <c r="I4378" i="1"/>
  <c r="H4378" i="1"/>
  <c r="G4378" i="1"/>
  <c r="M4377" i="1"/>
  <c r="L4377" i="1"/>
  <c r="K4377" i="1"/>
  <c r="J4377" i="1"/>
  <c r="I4377" i="1"/>
  <c r="H4377" i="1"/>
  <c r="G4377" i="1"/>
  <c r="M4376" i="1"/>
  <c r="L4376" i="1"/>
  <c r="K4376" i="1"/>
  <c r="J4376" i="1"/>
  <c r="I4376" i="1"/>
  <c r="H4376" i="1"/>
  <c r="G4376" i="1"/>
  <c r="M4375" i="1"/>
  <c r="L4375" i="1"/>
  <c r="K4375" i="1"/>
  <c r="J4375" i="1"/>
  <c r="I4375" i="1"/>
  <c r="H4375" i="1"/>
  <c r="G4375" i="1"/>
  <c r="M4374" i="1"/>
  <c r="L4374" i="1"/>
  <c r="K4374" i="1"/>
  <c r="J4374" i="1"/>
  <c r="I4374" i="1"/>
  <c r="H4374" i="1"/>
  <c r="G4374" i="1"/>
  <c r="M4373" i="1"/>
  <c r="L4373" i="1"/>
  <c r="K4373" i="1"/>
  <c r="J4373" i="1"/>
  <c r="I4373" i="1"/>
  <c r="H4373" i="1"/>
  <c r="G4373" i="1"/>
  <c r="M4372" i="1"/>
  <c r="L4372" i="1"/>
  <c r="K4372" i="1"/>
  <c r="J4372" i="1"/>
  <c r="I4372" i="1"/>
  <c r="H4372" i="1"/>
  <c r="G4372" i="1"/>
  <c r="M4371" i="1"/>
  <c r="L4371" i="1"/>
  <c r="K4371" i="1"/>
  <c r="J4371" i="1"/>
  <c r="I4371" i="1"/>
  <c r="H4371" i="1"/>
  <c r="G4371" i="1"/>
  <c r="M4370" i="1"/>
  <c r="L4370" i="1"/>
  <c r="K4370" i="1"/>
  <c r="J4370" i="1"/>
  <c r="I4370" i="1"/>
  <c r="H4370" i="1"/>
  <c r="G4370" i="1"/>
  <c r="M4369" i="1"/>
  <c r="L4369" i="1"/>
  <c r="K4369" i="1"/>
  <c r="J4369" i="1"/>
  <c r="I4369" i="1"/>
  <c r="H4369" i="1"/>
  <c r="G4369" i="1"/>
  <c r="M4368" i="1"/>
  <c r="L4368" i="1"/>
  <c r="K4368" i="1"/>
  <c r="J4368" i="1"/>
  <c r="I4368" i="1"/>
  <c r="H4368" i="1"/>
  <c r="G4368" i="1"/>
  <c r="M4367" i="1"/>
  <c r="L4367" i="1"/>
  <c r="K4367" i="1"/>
  <c r="J4367" i="1"/>
  <c r="I4367" i="1"/>
  <c r="H4367" i="1"/>
  <c r="G4367" i="1"/>
  <c r="M4366" i="1"/>
  <c r="L4366" i="1"/>
  <c r="K4366" i="1"/>
  <c r="J4366" i="1"/>
  <c r="I4366" i="1"/>
  <c r="H4366" i="1"/>
  <c r="G4366" i="1"/>
  <c r="M4365" i="1"/>
  <c r="L4365" i="1"/>
  <c r="K4365" i="1"/>
  <c r="J4365" i="1"/>
  <c r="I4365" i="1"/>
  <c r="H4365" i="1"/>
  <c r="G4365" i="1"/>
  <c r="M4364" i="1"/>
  <c r="L4364" i="1"/>
  <c r="K4364" i="1"/>
  <c r="J4364" i="1"/>
  <c r="I4364" i="1"/>
  <c r="H4364" i="1"/>
  <c r="G4364" i="1"/>
  <c r="M4363" i="1"/>
  <c r="L4363" i="1"/>
  <c r="K4363" i="1"/>
  <c r="J4363" i="1"/>
  <c r="I4363" i="1"/>
  <c r="H4363" i="1"/>
  <c r="G4363" i="1"/>
  <c r="M4362" i="1"/>
  <c r="L4362" i="1"/>
  <c r="K4362" i="1"/>
  <c r="J4362" i="1"/>
  <c r="I4362" i="1"/>
  <c r="H4362" i="1"/>
  <c r="G4362" i="1"/>
  <c r="M4361" i="1"/>
  <c r="L4361" i="1"/>
  <c r="K4361" i="1"/>
  <c r="J4361" i="1"/>
  <c r="I4361" i="1"/>
  <c r="H4361" i="1"/>
  <c r="G4361" i="1"/>
  <c r="M4360" i="1"/>
  <c r="L4360" i="1"/>
  <c r="K4360" i="1"/>
  <c r="J4360" i="1"/>
  <c r="I4360" i="1"/>
  <c r="H4360" i="1"/>
  <c r="G4360" i="1"/>
  <c r="M4359" i="1"/>
  <c r="L4359" i="1"/>
  <c r="K4359" i="1"/>
  <c r="J4359" i="1"/>
  <c r="I4359" i="1"/>
  <c r="H4359" i="1"/>
  <c r="G4359" i="1"/>
  <c r="M4358" i="1"/>
  <c r="L4358" i="1"/>
  <c r="K4358" i="1"/>
  <c r="J4358" i="1"/>
  <c r="I4358" i="1"/>
  <c r="H4358" i="1"/>
  <c r="G4358" i="1"/>
  <c r="M4357" i="1"/>
  <c r="L4357" i="1"/>
  <c r="K4357" i="1"/>
  <c r="J4357" i="1"/>
  <c r="I4357" i="1"/>
  <c r="H4357" i="1"/>
  <c r="G4357" i="1"/>
  <c r="M4356" i="1"/>
  <c r="L4356" i="1"/>
  <c r="K4356" i="1"/>
  <c r="J4356" i="1"/>
  <c r="I4356" i="1"/>
  <c r="H4356" i="1"/>
  <c r="G4356" i="1"/>
  <c r="M4355" i="1"/>
  <c r="L4355" i="1"/>
  <c r="K4355" i="1"/>
  <c r="J4355" i="1"/>
  <c r="I4355" i="1"/>
  <c r="H4355" i="1"/>
  <c r="G4355" i="1"/>
  <c r="M4354" i="1"/>
  <c r="L4354" i="1"/>
  <c r="K4354" i="1"/>
  <c r="J4354" i="1"/>
  <c r="I4354" i="1"/>
  <c r="H4354" i="1"/>
  <c r="G4354" i="1"/>
  <c r="M4353" i="1"/>
  <c r="L4353" i="1"/>
  <c r="K4353" i="1"/>
  <c r="J4353" i="1"/>
  <c r="I4353" i="1"/>
  <c r="H4353" i="1"/>
  <c r="G4353" i="1"/>
  <c r="M4352" i="1"/>
  <c r="L4352" i="1"/>
  <c r="K4352" i="1"/>
  <c r="J4352" i="1"/>
  <c r="I4352" i="1"/>
  <c r="H4352" i="1"/>
  <c r="G4352" i="1"/>
  <c r="M4351" i="1"/>
  <c r="L4351" i="1"/>
  <c r="K4351" i="1"/>
  <c r="J4351" i="1"/>
  <c r="I4351" i="1"/>
  <c r="H4351" i="1"/>
  <c r="G4351" i="1"/>
  <c r="M4350" i="1"/>
  <c r="L4350" i="1"/>
  <c r="K4350" i="1"/>
  <c r="J4350" i="1"/>
  <c r="I4350" i="1"/>
  <c r="H4350" i="1"/>
  <c r="G4350" i="1"/>
  <c r="M4349" i="1"/>
  <c r="L4349" i="1"/>
  <c r="K4349" i="1"/>
  <c r="J4349" i="1"/>
  <c r="I4349" i="1"/>
  <c r="H4349" i="1"/>
  <c r="G4349" i="1"/>
  <c r="M4348" i="1"/>
  <c r="L4348" i="1"/>
  <c r="K4348" i="1"/>
  <c r="J4348" i="1"/>
  <c r="I4348" i="1"/>
  <c r="H4348" i="1"/>
  <c r="G4348" i="1"/>
  <c r="M4347" i="1"/>
  <c r="L4347" i="1"/>
  <c r="K4347" i="1"/>
  <c r="J4347" i="1"/>
  <c r="I4347" i="1"/>
  <c r="H4347" i="1"/>
  <c r="G4347" i="1"/>
  <c r="M4346" i="1"/>
  <c r="L4346" i="1"/>
  <c r="K4346" i="1"/>
  <c r="J4346" i="1"/>
  <c r="I4346" i="1"/>
  <c r="H4346" i="1"/>
  <c r="G4346" i="1"/>
  <c r="M4345" i="1"/>
  <c r="L4345" i="1"/>
  <c r="K4345" i="1"/>
  <c r="J4345" i="1"/>
  <c r="I4345" i="1"/>
  <c r="H4345" i="1"/>
  <c r="G4345" i="1"/>
  <c r="M4344" i="1"/>
  <c r="L4344" i="1"/>
  <c r="K4344" i="1"/>
  <c r="J4344" i="1"/>
  <c r="I4344" i="1"/>
  <c r="H4344" i="1"/>
  <c r="G4344" i="1"/>
  <c r="M4343" i="1"/>
  <c r="L4343" i="1"/>
  <c r="K4343" i="1"/>
  <c r="J4343" i="1"/>
  <c r="I4343" i="1"/>
  <c r="H4343" i="1"/>
  <c r="G4343" i="1"/>
  <c r="M4342" i="1"/>
  <c r="L4342" i="1"/>
  <c r="K4342" i="1"/>
  <c r="J4342" i="1"/>
  <c r="I4342" i="1"/>
  <c r="H4342" i="1"/>
  <c r="G4342" i="1"/>
  <c r="M4341" i="1"/>
  <c r="L4341" i="1"/>
  <c r="K4341" i="1"/>
  <c r="J4341" i="1"/>
  <c r="I4341" i="1"/>
  <c r="H4341" i="1"/>
  <c r="G4341" i="1"/>
  <c r="M4340" i="1"/>
  <c r="L4340" i="1"/>
  <c r="K4340" i="1"/>
  <c r="J4340" i="1"/>
  <c r="I4340" i="1"/>
  <c r="H4340" i="1"/>
  <c r="G4340" i="1"/>
  <c r="M4339" i="1"/>
  <c r="L4339" i="1"/>
  <c r="K4339" i="1"/>
  <c r="J4339" i="1"/>
  <c r="I4339" i="1"/>
  <c r="H4339" i="1"/>
  <c r="G4339" i="1"/>
  <c r="M4338" i="1"/>
  <c r="L4338" i="1"/>
  <c r="K4338" i="1"/>
  <c r="J4338" i="1"/>
  <c r="I4338" i="1"/>
  <c r="H4338" i="1"/>
  <c r="G4338" i="1"/>
  <c r="M4337" i="1"/>
  <c r="L4337" i="1"/>
  <c r="K4337" i="1"/>
  <c r="J4337" i="1"/>
  <c r="I4337" i="1"/>
  <c r="H4337" i="1"/>
  <c r="G4337" i="1"/>
  <c r="M4336" i="1"/>
  <c r="L4336" i="1"/>
  <c r="K4336" i="1"/>
  <c r="J4336" i="1"/>
  <c r="I4336" i="1"/>
  <c r="H4336" i="1"/>
  <c r="G4336" i="1"/>
  <c r="M4335" i="1"/>
  <c r="L4335" i="1"/>
  <c r="K4335" i="1"/>
  <c r="J4335" i="1"/>
  <c r="I4335" i="1"/>
  <c r="H4335" i="1"/>
  <c r="G4335" i="1"/>
  <c r="M4334" i="1"/>
  <c r="L4334" i="1"/>
  <c r="K4334" i="1"/>
  <c r="J4334" i="1"/>
  <c r="I4334" i="1"/>
  <c r="H4334" i="1"/>
  <c r="G4334" i="1"/>
  <c r="M4333" i="1"/>
  <c r="L4333" i="1"/>
  <c r="K4333" i="1"/>
  <c r="J4333" i="1"/>
  <c r="I4333" i="1"/>
  <c r="H4333" i="1"/>
  <c r="G4333" i="1"/>
  <c r="M4332" i="1"/>
  <c r="L4332" i="1"/>
  <c r="K4332" i="1"/>
  <c r="J4332" i="1"/>
  <c r="I4332" i="1"/>
  <c r="H4332" i="1"/>
  <c r="G4332" i="1"/>
  <c r="M4331" i="1"/>
  <c r="L4331" i="1"/>
  <c r="K4331" i="1"/>
  <c r="J4331" i="1"/>
  <c r="I4331" i="1"/>
  <c r="H4331" i="1"/>
  <c r="G4331" i="1"/>
  <c r="M4330" i="1"/>
  <c r="L4330" i="1"/>
  <c r="K4330" i="1"/>
  <c r="J4330" i="1"/>
  <c r="I4330" i="1"/>
  <c r="H4330" i="1"/>
  <c r="G4330" i="1"/>
  <c r="M4329" i="1"/>
  <c r="L4329" i="1"/>
  <c r="K4329" i="1"/>
  <c r="J4329" i="1"/>
  <c r="I4329" i="1"/>
  <c r="H4329" i="1"/>
  <c r="G4329" i="1"/>
  <c r="M4328" i="1"/>
  <c r="L4328" i="1"/>
  <c r="K4328" i="1"/>
  <c r="J4328" i="1"/>
  <c r="I4328" i="1"/>
  <c r="H4328" i="1"/>
  <c r="G4328" i="1"/>
  <c r="M4327" i="1"/>
  <c r="L4327" i="1"/>
  <c r="K4327" i="1"/>
  <c r="J4327" i="1"/>
  <c r="I4327" i="1"/>
  <c r="H4327" i="1"/>
  <c r="G4327" i="1"/>
  <c r="M4326" i="1"/>
  <c r="L4326" i="1"/>
  <c r="K4326" i="1"/>
  <c r="J4326" i="1"/>
  <c r="I4326" i="1"/>
  <c r="H4326" i="1"/>
  <c r="G4326" i="1"/>
  <c r="M4325" i="1"/>
  <c r="L4325" i="1"/>
  <c r="K4325" i="1"/>
  <c r="J4325" i="1"/>
  <c r="I4325" i="1"/>
  <c r="H4325" i="1"/>
  <c r="G4325" i="1"/>
  <c r="M4324" i="1"/>
  <c r="L4324" i="1"/>
  <c r="K4324" i="1"/>
  <c r="J4324" i="1"/>
  <c r="I4324" i="1"/>
  <c r="H4324" i="1"/>
  <c r="G4324" i="1"/>
  <c r="M4323" i="1"/>
  <c r="L4323" i="1"/>
  <c r="K4323" i="1"/>
  <c r="J4323" i="1"/>
  <c r="I4323" i="1"/>
  <c r="H4323" i="1"/>
  <c r="G4323" i="1"/>
  <c r="M4322" i="1"/>
  <c r="L4322" i="1"/>
  <c r="K4322" i="1"/>
  <c r="J4322" i="1"/>
  <c r="I4322" i="1"/>
  <c r="H4322" i="1"/>
  <c r="G4322" i="1"/>
  <c r="M4321" i="1"/>
  <c r="L4321" i="1"/>
  <c r="K4321" i="1"/>
  <c r="J4321" i="1"/>
  <c r="I4321" i="1"/>
  <c r="H4321" i="1"/>
  <c r="G4321" i="1"/>
  <c r="M4320" i="1"/>
  <c r="L4320" i="1"/>
  <c r="K4320" i="1"/>
  <c r="J4320" i="1"/>
  <c r="I4320" i="1"/>
  <c r="H4320" i="1"/>
  <c r="G4320" i="1"/>
  <c r="M4319" i="1"/>
  <c r="L4319" i="1"/>
  <c r="K4319" i="1"/>
  <c r="J4319" i="1"/>
  <c r="I4319" i="1"/>
  <c r="H4319" i="1"/>
  <c r="G4319" i="1"/>
  <c r="M4318" i="1"/>
  <c r="L4318" i="1"/>
  <c r="K4318" i="1"/>
  <c r="J4318" i="1"/>
  <c r="I4318" i="1"/>
  <c r="H4318" i="1"/>
  <c r="G4318" i="1"/>
  <c r="M4317" i="1"/>
  <c r="L4317" i="1"/>
  <c r="K4317" i="1"/>
  <c r="J4317" i="1"/>
  <c r="I4317" i="1"/>
  <c r="H4317" i="1"/>
  <c r="G4317" i="1"/>
  <c r="M4316" i="1"/>
  <c r="L4316" i="1"/>
  <c r="K4316" i="1"/>
  <c r="J4316" i="1"/>
  <c r="I4316" i="1"/>
  <c r="H4316" i="1"/>
  <c r="G4316" i="1"/>
  <c r="M4315" i="1"/>
  <c r="L4315" i="1"/>
  <c r="K4315" i="1"/>
  <c r="J4315" i="1"/>
  <c r="I4315" i="1"/>
  <c r="H4315" i="1"/>
  <c r="G4315" i="1"/>
  <c r="M4314" i="1"/>
  <c r="L4314" i="1"/>
  <c r="K4314" i="1"/>
  <c r="J4314" i="1"/>
  <c r="I4314" i="1"/>
  <c r="H4314" i="1"/>
  <c r="G4314" i="1"/>
  <c r="M4313" i="1"/>
  <c r="L4313" i="1"/>
  <c r="K4313" i="1"/>
  <c r="J4313" i="1"/>
  <c r="I4313" i="1"/>
  <c r="H4313" i="1"/>
  <c r="G4313" i="1"/>
  <c r="M4312" i="1"/>
  <c r="L4312" i="1"/>
  <c r="K4312" i="1"/>
  <c r="J4312" i="1"/>
  <c r="I4312" i="1"/>
  <c r="H4312" i="1"/>
  <c r="G4312" i="1"/>
  <c r="M4311" i="1"/>
  <c r="L4311" i="1"/>
  <c r="K4311" i="1"/>
  <c r="J4311" i="1"/>
  <c r="I4311" i="1"/>
  <c r="H4311" i="1"/>
  <c r="G4311" i="1"/>
  <c r="M4310" i="1"/>
  <c r="L4310" i="1"/>
  <c r="K4310" i="1"/>
  <c r="J4310" i="1"/>
  <c r="I4310" i="1"/>
  <c r="H4310" i="1"/>
  <c r="G4310" i="1"/>
  <c r="M4309" i="1"/>
  <c r="L4309" i="1"/>
  <c r="K4309" i="1"/>
  <c r="J4309" i="1"/>
  <c r="I4309" i="1"/>
  <c r="H4309" i="1"/>
  <c r="G4309" i="1"/>
  <c r="M4308" i="1"/>
  <c r="L4308" i="1"/>
  <c r="K4308" i="1"/>
  <c r="J4308" i="1"/>
  <c r="I4308" i="1"/>
  <c r="H4308" i="1"/>
  <c r="G4308" i="1"/>
  <c r="M4307" i="1"/>
  <c r="L4307" i="1"/>
  <c r="K4307" i="1"/>
  <c r="J4307" i="1"/>
  <c r="I4307" i="1"/>
  <c r="H4307" i="1"/>
  <c r="G4307" i="1"/>
  <c r="M4306" i="1"/>
  <c r="L4306" i="1"/>
  <c r="K4306" i="1"/>
  <c r="J4306" i="1"/>
  <c r="I4306" i="1"/>
  <c r="H4306" i="1"/>
  <c r="G4306" i="1"/>
  <c r="M4305" i="1"/>
  <c r="L4305" i="1"/>
  <c r="K4305" i="1"/>
  <c r="J4305" i="1"/>
  <c r="I4305" i="1"/>
  <c r="H4305" i="1"/>
  <c r="G4305" i="1"/>
  <c r="M4304" i="1"/>
  <c r="L4304" i="1"/>
  <c r="K4304" i="1"/>
  <c r="J4304" i="1"/>
  <c r="I4304" i="1"/>
  <c r="H4304" i="1"/>
  <c r="G4304" i="1"/>
  <c r="M4303" i="1"/>
  <c r="L4303" i="1"/>
  <c r="K4303" i="1"/>
  <c r="J4303" i="1"/>
  <c r="I4303" i="1"/>
  <c r="H4303" i="1"/>
  <c r="G4303" i="1"/>
  <c r="M4302" i="1"/>
  <c r="L4302" i="1"/>
  <c r="K4302" i="1"/>
  <c r="J4302" i="1"/>
  <c r="I4302" i="1"/>
  <c r="H4302" i="1"/>
  <c r="G4302" i="1"/>
  <c r="M4301" i="1"/>
  <c r="L4301" i="1"/>
  <c r="K4301" i="1"/>
  <c r="J4301" i="1"/>
  <c r="I4301" i="1"/>
  <c r="H4301" i="1"/>
  <c r="G4301" i="1"/>
  <c r="M4300" i="1"/>
  <c r="L4300" i="1"/>
  <c r="K4300" i="1"/>
  <c r="J4300" i="1"/>
  <c r="I4300" i="1"/>
  <c r="H4300" i="1"/>
  <c r="G4300" i="1"/>
  <c r="M4299" i="1"/>
  <c r="L4299" i="1"/>
  <c r="K4299" i="1"/>
  <c r="J4299" i="1"/>
  <c r="I4299" i="1"/>
  <c r="H4299" i="1"/>
  <c r="G4299" i="1"/>
  <c r="M4298" i="1"/>
  <c r="L4298" i="1"/>
  <c r="K4298" i="1"/>
  <c r="J4298" i="1"/>
  <c r="I4298" i="1"/>
  <c r="H4298" i="1"/>
  <c r="G4298" i="1"/>
  <c r="M4297" i="1"/>
  <c r="L4297" i="1"/>
  <c r="K4297" i="1"/>
  <c r="J4297" i="1"/>
  <c r="I4297" i="1"/>
  <c r="H4297" i="1"/>
  <c r="G4297" i="1"/>
  <c r="M4296" i="1"/>
  <c r="L4296" i="1"/>
  <c r="K4296" i="1"/>
  <c r="J4296" i="1"/>
  <c r="I4296" i="1"/>
  <c r="H4296" i="1"/>
  <c r="G4296" i="1"/>
  <c r="M4295" i="1"/>
  <c r="L4295" i="1"/>
  <c r="K4295" i="1"/>
  <c r="J4295" i="1"/>
  <c r="I4295" i="1"/>
  <c r="H4295" i="1"/>
  <c r="G4295" i="1"/>
  <c r="M4294" i="1"/>
  <c r="L4294" i="1"/>
  <c r="K4294" i="1"/>
  <c r="J4294" i="1"/>
  <c r="I4294" i="1"/>
  <c r="H4294" i="1"/>
  <c r="G4294" i="1"/>
  <c r="M4293" i="1"/>
  <c r="L4293" i="1"/>
  <c r="K4293" i="1"/>
  <c r="J4293" i="1"/>
  <c r="I4293" i="1"/>
  <c r="H4293" i="1"/>
  <c r="G4293" i="1"/>
  <c r="M4292" i="1"/>
  <c r="L4292" i="1"/>
  <c r="K4292" i="1"/>
  <c r="J4292" i="1"/>
  <c r="I4292" i="1"/>
  <c r="H4292" i="1"/>
  <c r="G4292" i="1"/>
  <c r="M4291" i="1"/>
  <c r="L4291" i="1"/>
  <c r="K4291" i="1"/>
  <c r="J4291" i="1"/>
  <c r="I4291" i="1"/>
  <c r="H4291" i="1"/>
  <c r="G4291" i="1"/>
  <c r="M4290" i="1"/>
  <c r="L4290" i="1"/>
  <c r="K4290" i="1"/>
  <c r="J4290" i="1"/>
  <c r="I4290" i="1"/>
  <c r="H4290" i="1"/>
  <c r="G4290" i="1"/>
  <c r="M4289" i="1"/>
  <c r="L4289" i="1"/>
  <c r="K4289" i="1"/>
  <c r="J4289" i="1"/>
  <c r="I4289" i="1"/>
  <c r="H4289" i="1"/>
  <c r="G4289" i="1"/>
  <c r="M4288" i="1"/>
  <c r="L4288" i="1"/>
  <c r="K4288" i="1"/>
  <c r="J4288" i="1"/>
  <c r="I4288" i="1"/>
  <c r="H4288" i="1"/>
  <c r="G4288" i="1"/>
  <c r="M4287" i="1"/>
  <c r="L4287" i="1"/>
  <c r="K4287" i="1"/>
  <c r="J4287" i="1"/>
  <c r="I4287" i="1"/>
  <c r="H4287" i="1"/>
  <c r="G4287" i="1"/>
  <c r="M4286" i="1"/>
  <c r="L4286" i="1"/>
  <c r="K4286" i="1"/>
  <c r="J4286" i="1"/>
  <c r="I4286" i="1"/>
  <c r="H4286" i="1"/>
  <c r="G4286" i="1"/>
  <c r="M4285" i="1"/>
  <c r="L4285" i="1"/>
  <c r="K4285" i="1"/>
  <c r="J4285" i="1"/>
  <c r="I4285" i="1"/>
  <c r="H4285" i="1"/>
  <c r="G4285" i="1"/>
  <c r="M4284" i="1"/>
  <c r="L4284" i="1"/>
  <c r="K4284" i="1"/>
  <c r="J4284" i="1"/>
  <c r="I4284" i="1"/>
  <c r="H4284" i="1"/>
  <c r="G4284" i="1"/>
  <c r="M4283" i="1"/>
  <c r="L4283" i="1"/>
  <c r="K4283" i="1"/>
  <c r="J4283" i="1"/>
  <c r="I4283" i="1"/>
  <c r="H4283" i="1"/>
  <c r="G4283" i="1"/>
  <c r="M4282" i="1"/>
  <c r="L4282" i="1"/>
  <c r="K4282" i="1"/>
  <c r="J4282" i="1"/>
  <c r="I4282" i="1"/>
  <c r="H4282" i="1"/>
  <c r="G4282" i="1"/>
  <c r="M4281" i="1"/>
  <c r="L4281" i="1"/>
  <c r="K4281" i="1"/>
  <c r="J4281" i="1"/>
  <c r="I4281" i="1"/>
  <c r="H4281" i="1"/>
  <c r="G4281" i="1"/>
  <c r="M4280" i="1"/>
  <c r="L4280" i="1"/>
  <c r="K4280" i="1"/>
  <c r="J4280" i="1"/>
  <c r="I4280" i="1"/>
  <c r="H4280" i="1"/>
  <c r="G4280" i="1"/>
  <c r="M4279" i="1"/>
  <c r="L4279" i="1"/>
  <c r="K4279" i="1"/>
  <c r="J4279" i="1"/>
  <c r="I4279" i="1"/>
  <c r="H4279" i="1"/>
  <c r="G4279" i="1"/>
  <c r="M4278" i="1"/>
  <c r="L4278" i="1"/>
  <c r="K4278" i="1"/>
  <c r="J4278" i="1"/>
  <c r="I4278" i="1"/>
  <c r="H4278" i="1"/>
  <c r="G4278" i="1"/>
  <c r="M4277" i="1"/>
  <c r="L4277" i="1"/>
  <c r="K4277" i="1"/>
  <c r="J4277" i="1"/>
  <c r="I4277" i="1"/>
  <c r="H4277" i="1"/>
  <c r="G4277" i="1"/>
  <c r="M4276" i="1"/>
  <c r="L4276" i="1"/>
  <c r="K4276" i="1"/>
  <c r="J4276" i="1"/>
  <c r="I4276" i="1"/>
  <c r="H4276" i="1"/>
  <c r="G4276" i="1"/>
  <c r="M4275" i="1"/>
  <c r="L4275" i="1"/>
  <c r="K4275" i="1"/>
  <c r="J4275" i="1"/>
  <c r="I4275" i="1"/>
  <c r="H4275" i="1"/>
  <c r="G4275" i="1"/>
  <c r="M4274" i="1"/>
  <c r="L4274" i="1"/>
  <c r="K4274" i="1"/>
  <c r="J4274" i="1"/>
  <c r="I4274" i="1"/>
  <c r="H4274" i="1"/>
  <c r="G4274" i="1"/>
  <c r="M4273" i="1"/>
  <c r="L4273" i="1"/>
  <c r="K4273" i="1"/>
  <c r="J4273" i="1"/>
  <c r="I4273" i="1"/>
  <c r="H4273" i="1"/>
  <c r="G4273" i="1"/>
  <c r="M4272" i="1"/>
  <c r="L4272" i="1"/>
  <c r="K4272" i="1"/>
  <c r="J4272" i="1"/>
  <c r="I4272" i="1"/>
  <c r="H4272" i="1"/>
  <c r="G4272" i="1"/>
  <c r="M4271" i="1"/>
  <c r="L4271" i="1"/>
  <c r="K4271" i="1"/>
  <c r="J4271" i="1"/>
  <c r="I4271" i="1"/>
  <c r="H4271" i="1"/>
  <c r="G4271" i="1"/>
  <c r="M4270" i="1"/>
  <c r="L4270" i="1"/>
  <c r="K4270" i="1"/>
  <c r="J4270" i="1"/>
  <c r="I4270" i="1"/>
  <c r="H4270" i="1"/>
  <c r="G4270" i="1"/>
  <c r="M4269" i="1"/>
  <c r="L4269" i="1"/>
  <c r="K4269" i="1"/>
  <c r="J4269" i="1"/>
  <c r="I4269" i="1"/>
  <c r="H4269" i="1"/>
  <c r="G4269" i="1"/>
  <c r="M4268" i="1"/>
  <c r="L4268" i="1"/>
  <c r="K4268" i="1"/>
  <c r="J4268" i="1"/>
  <c r="I4268" i="1"/>
  <c r="H4268" i="1"/>
  <c r="G4268" i="1"/>
  <c r="M4267" i="1"/>
  <c r="L4267" i="1"/>
  <c r="K4267" i="1"/>
  <c r="J4267" i="1"/>
  <c r="I4267" i="1"/>
  <c r="H4267" i="1"/>
  <c r="G4267" i="1"/>
  <c r="M4266" i="1"/>
  <c r="L4266" i="1"/>
  <c r="K4266" i="1"/>
  <c r="J4266" i="1"/>
  <c r="I4266" i="1"/>
  <c r="H4266" i="1"/>
  <c r="G4266" i="1"/>
  <c r="M4265" i="1"/>
  <c r="L4265" i="1"/>
  <c r="K4265" i="1"/>
  <c r="J4265" i="1"/>
  <c r="I4265" i="1"/>
  <c r="H4265" i="1"/>
  <c r="G4265" i="1"/>
  <c r="M4264" i="1"/>
  <c r="L4264" i="1"/>
  <c r="K4264" i="1"/>
  <c r="J4264" i="1"/>
  <c r="I4264" i="1"/>
  <c r="H4264" i="1"/>
  <c r="G4264" i="1"/>
  <c r="M4263" i="1"/>
  <c r="L4263" i="1"/>
  <c r="K4263" i="1"/>
  <c r="J4263" i="1"/>
  <c r="I4263" i="1"/>
  <c r="H4263" i="1"/>
  <c r="G4263" i="1"/>
  <c r="M4262" i="1"/>
  <c r="L4262" i="1"/>
  <c r="K4262" i="1"/>
  <c r="J4262" i="1"/>
  <c r="I4262" i="1"/>
  <c r="H4262" i="1"/>
  <c r="G4262" i="1"/>
  <c r="M4261" i="1"/>
  <c r="L4261" i="1"/>
  <c r="K4261" i="1"/>
  <c r="J4261" i="1"/>
  <c r="I4261" i="1"/>
  <c r="H4261" i="1"/>
  <c r="G4261" i="1"/>
  <c r="M4260" i="1"/>
  <c r="L4260" i="1"/>
  <c r="K4260" i="1"/>
  <c r="J4260" i="1"/>
  <c r="I4260" i="1"/>
  <c r="H4260" i="1"/>
  <c r="G4260" i="1"/>
  <c r="M4259" i="1"/>
  <c r="L4259" i="1"/>
  <c r="K4259" i="1"/>
  <c r="J4259" i="1"/>
  <c r="I4259" i="1"/>
  <c r="H4259" i="1"/>
  <c r="G4259" i="1"/>
  <c r="M4258" i="1"/>
  <c r="L4258" i="1"/>
  <c r="K4258" i="1"/>
  <c r="J4258" i="1"/>
  <c r="I4258" i="1"/>
  <c r="H4258" i="1"/>
  <c r="G4258" i="1"/>
  <c r="M4257" i="1"/>
  <c r="L4257" i="1"/>
  <c r="K4257" i="1"/>
  <c r="J4257" i="1"/>
  <c r="I4257" i="1"/>
  <c r="H4257" i="1"/>
  <c r="G4257" i="1"/>
  <c r="M4256" i="1"/>
  <c r="L4256" i="1"/>
  <c r="K4256" i="1"/>
  <c r="J4256" i="1"/>
  <c r="I4256" i="1"/>
  <c r="H4256" i="1"/>
  <c r="G4256" i="1"/>
  <c r="M4255" i="1"/>
  <c r="L4255" i="1"/>
  <c r="K4255" i="1"/>
  <c r="J4255" i="1"/>
  <c r="I4255" i="1"/>
  <c r="H4255" i="1"/>
  <c r="G4255" i="1"/>
  <c r="M4254" i="1"/>
  <c r="L4254" i="1"/>
  <c r="K4254" i="1"/>
  <c r="J4254" i="1"/>
  <c r="I4254" i="1"/>
  <c r="H4254" i="1"/>
  <c r="G4254" i="1"/>
  <c r="M4253" i="1"/>
  <c r="L4253" i="1"/>
  <c r="K4253" i="1"/>
  <c r="J4253" i="1"/>
  <c r="I4253" i="1"/>
  <c r="H4253" i="1"/>
  <c r="G4253" i="1"/>
  <c r="M4252" i="1"/>
  <c r="L4252" i="1"/>
  <c r="K4252" i="1"/>
  <c r="J4252" i="1"/>
  <c r="I4252" i="1"/>
  <c r="H4252" i="1"/>
  <c r="G4252" i="1"/>
  <c r="M4251" i="1"/>
  <c r="L4251" i="1"/>
  <c r="K4251" i="1"/>
  <c r="J4251" i="1"/>
  <c r="I4251" i="1"/>
  <c r="H4251" i="1"/>
  <c r="G4251" i="1"/>
  <c r="M4250" i="1"/>
  <c r="L4250" i="1"/>
  <c r="K4250" i="1"/>
  <c r="J4250" i="1"/>
  <c r="I4250" i="1"/>
  <c r="H4250" i="1"/>
  <c r="G4250" i="1"/>
  <c r="M4249" i="1"/>
  <c r="L4249" i="1"/>
  <c r="K4249" i="1"/>
  <c r="J4249" i="1"/>
  <c r="I4249" i="1"/>
  <c r="H4249" i="1"/>
  <c r="G4249" i="1"/>
  <c r="M4248" i="1"/>
  <c r="L4248" i="1"/>
  <c r="K4248" i="1"/>
  <c r="J4248" i="1"/>
  <c r="I4248" i="1"/>
  <c r="H4248" i="1"/>
  <c r="G4248" i="1"/>
  <c r="M4247" i="1"/>
  <c r="L4247" i="1"/>
  <c r="K4247" i="1"/>
  <c r="J4247" i="1"/>
  <c r="I4247" i="1"/>
  <c r="H4247" i="1"/>
  <c r="G4247" i="1"/>
  <c r="M4246" i="1"/>
  <c r="L4246" i="1"/>
  <c r="K4246" i="1"/>
  <c r="J4246" i="1"/>
  <c r="I4246" i="1"/>
  <c r="H4246" i="1"/>
  <c r="G4246" i="1"/>
  <c r="M4245" i="1"/>
  <c r="L4245" i="1"/>
  <c r="K4245" i="1"/>
  <c r="J4245" i="1"/>
  <c r="I4245" i="1"/>
  <c r="H4245" i="1"/>
  <c r="G4245" i="1"/>
  <c r="M4244" i="1"/>
  <c r="L4244" i="1"/>
  <c r="K4244" i="1"/>
  <c r="J4244" i="1"/>
  <c r="I4244" i="1"/>
  <c r="H4244" i="1"/>
  <c r="G4244" i="1"/>
  <c r="M4243" i="1"/>
  <c r="L4243" i="1"/>
  <c r="K4243" i="1"/>
  <c r="J4243" i="1"/>
  <c r="I4243" i="1"/>
  <c r="H4243" i="1"/>
  <c r="G4243" i="1"/>
  <c r="M4242" i="1"/>
  <c r="L4242" i="1"/>
  <c r="K4242" i="1"/>
  <c r="J4242" i="1"/>
  <c r="I4242" i="1"/>
  <c r="H4242" i="1"/>
  <c r="G4242" i="1"/>
  <c r="M4241" i="1"/>
  <c r="L4241" i="1"/>
  <c r="K4241" i="1"/>
  <c r="J4241" i="1"/>
  <c r="I4241" i="1"/>
  <c r="H4241" i="1"/>
  <c r="G4241" i="1"/>
  <c r="M4240" i="1"/>
  <c r="L4240" i="1"/>
  <c r="K4240" i="1"/>
  <c r="J4240" i="1"/>
  <c r="I4240" i="1"/>
  <c r="H4240" i="1"/>
  <c r="G4240" i="1"/>
  <c r="M4239" i="1"/>
  <c r="L4239" i="1"/>
  <c r="K4239" i="1"/>
  <c r="J4239" i="1"/>
  <c r="I4239" i="1"/>
  <c r="H4239" i="1"/>
  <c r="G4239" i="1"/>
  <c r="M4238" i="1"/>
  <c r="L4238" i="1"/>
  <c r="K4238" i="1"/>
  <c r="J4238" i="1"/>
  <c r="I4238" i="1"/>
  <c r="H4238" i="1"/>
  <c r="G4238" i="1"/>
  <c r="M4237" i="1"/>
  <c r="L4237" i="1"/>
  <c r="K4237" i="1"/>
  <c r="J4237" i="1"/>
  <c r="I4237" i="1"/>
  <c r="H4237" i="1"/>
  <c r="G4237" i="1"/>
  <c r="M4236" i="1"/>
  <c r="L4236" i="1"/>
  <c r="K4236" i="1"/>
  <c r="J4236" i="1"/>
  <c r="I4236" i="1"/>
  <c r="H4236" i="1"/>
  <c r="G4236" i="1"/>
  <c r="M4235" i="1"/>
  <c r="L4235" i="1"/>
  <c r="K4235" i="1"/>
  <c r="J4235" i="1"/>
  <c r="I4235" i="1"/>
  <c r="H4235" i="1"/>
  <c r="G4235" i="1"/>
  <c r="M4234" i="1"/>
  <c r="L4234" i="1"/>
  <c r="K4234" i="1"/>
  <c r="J4234" i="1"/>
  <c r="I4234" i="1"/>
  <c r="H4234" i="1"/>
  <c r="G4234" i="1"/>
  <c r="M4233" i="1"/>
  <c r="L4233" i="1"/>
  <c r="K4233" i="1"/>
  <c r="J4233" i="1"/>
  <c r="I4233" i="1"/>
  <c r="H4233" i="1"/>
  <c r="G4233" i="1"/>
  <c r="M4232" i="1"/>
  <c r="L4232" i="1"/>
  <c r="K4232" i="1"/>
  <c r="J4232" i="1"/>
  <c r="I4232" i="1"/>
  <c r="H4232" i="1"/>
  <c r="G4232" i="1"/>
  <c r="M4231" i="1"/>
  <c r="L4231" i="1"/>
  <c r="K4231" i="1"/>
  <c r="J4231" i="1"/>
  <c r="I4231" i="1"/>
  <c r="H4231" i="1"/>
  <c r="G4231" i="1"/>
  <c r="M4230" i="1"/>
  <c r="L4230" i="1"/>
  <c r="K4230" i="1"/>
  <c r="J4230" i="1"/>
  <c r="I4230" i="1"/>
  <c r="H4230" i="1"/>
  <c r="G4230" i="1"/>
  <c r="M4229" i="1"/>
  <c r="L4229" i="1"/>
  <c r="K4229" i="1"/>
  <c r="J4229" i="1"/>
  <c r="I4229" i="1"/>
  <c r="H4229" i="1"/>
  <c r="G4229" i="1"/>
  <c r="M4228" i="1"/>
  <c r="L4228" i="1"/>
  <c r="K4228" i="1"/>
  <c r="J4228" i="1"/>
  <c r="I4228" i="1"/>
  <c r="H4228" i="1"/>
  <c r="G4228" i="1"/>
  <c r="M4227" i="1"/>
  <c r="L4227" i="1"/>
  <c r="K4227" i="1"/>
  <c r="J4227" i="1"/>
  <c r="I4227" i="1"/>
  <c r="H4227" i="1"/>
  <c r="G4227" i="1"/>
  <c r="M4226" i="1"/>
  <c r="L4226" i="1"/>
  <c r="K4226" i="1"/>
  <c r="J4226" i="1"/>
  <c r="I4226" i="1"/>
  <c r="H4226" i="1"/>
  <c r="G4226" i="1"/>
  <c r="M4225" i="1"/>
  <c r="L4225" i="1"/>
  <c r="K4225" i="1"/>
  <c r="J4225" i="1"/>
  <c r="I4225" i="1"/>
  <c r="H4225" i="1"/>
  <c r="G4225" i="1"/>
  <c r="M4224" i="1"/>
  <c r="L4224" i="1"/>
  <c r="K4224" i="1"/>
  <c r="J4224" i="1"/>
  <c r="I4224" i="1"/>
  <c r="H4224" i="1"/>
  <c r="G4224" i="1"/>
  <c r="M4223" i="1"/>
  <c r="L4223" i="1"/>
  <c r="K4223" i="1"/>
  <c r="J4223" i="1"/>
  <c r="I4223" i="1"/>
  <c r="H4223" i="1"/>
  <c r="G4223" i="1"/>
  <c r="M4222" i="1"/>
  <c r="L4222" i="1"/>
  <c r="K4222" i="1"/>
  <c r="J4222" i="1"/>
  <c r="I4222" i="1"/>
  <c r="H4222" i="1"/>
  <c r="G4222" i="1"/>
  <c r="M4221" i="1"/>
  <c r="L4221" i="1"/>
  <c r="K4221" i="1"/>
  <c r="J4221" i="1"/>
  <c r="I4221" i="1"/>
  <c r="H4221" i="1"/>
  <c r="G4221" i="1"/>
  <c r="M4220" i="1"/>
  <c r="L4220" i="1"/>
  <c r="K4220" i="1"/>
  <c r="J4220" i="1"/>
  <c r="I4220" i="1"/>
  <c r="H4220" i="1"/>
  <c r="G4220" i="1"/>
  <c r="M4219" i="1"/>
  <c r="L4219" i="1"/>
  <c r="K4219" i="1"/>
  <c r="J4219" i="1"/>
  <c r="I4219" i="1"/>
  <c r="H4219" i="1"/>
  <c r="G4219" i="1"/>
  <c r="M4218" i="1"/>
  <c r="L4218" i="1"/>
  <c r="K4218" i="1"/>
  <c r="J4218" i="1"/>
  <c r="I4218" i="1"/>
  <c r="H4218" i="1"/>
  <c r="G4218" i="1"/>
  <c r="M4217" i="1"/>
  <c r="L4217" i="1"/>
  <c r="K4217" i="1"/>
  <c r="J4217" i="1"/>
  <c r="I4217" i="1"/>
  <c r="H4217" i="1"/>
  <c r="G4217" i="1"/>
  <c r="M4216" i="1"/>
  <c r="L4216" i="1"/>
  <c r="K4216" i="1"/>
  <c r="J4216" i="1"/>
  <c r="I4216" i="1"/>
  <c r="H4216" i="1"/>
  <c r="G4216" i="1"/>
  <c r="M4215" i="1"/>
  <c r="L4215" i="1"/>
  <c r="K4215" i="1"/>
  <c r="J4215" i="1"/>
  <c r="I4215" i="1"/>
  <c r="H4215" i="1"/>
  <c r="G4215" i="1"/>
  <c r="M4214" i="1"/>
  <c r="L4214" i="1"/>
  <c r="K4214" i="1"/>
  <c r="J4214" i="1"/>
  <c r="I4214" i="1"/>
  <c r="H4214" i="1"/>
  <c r="G4214" i="1"/>
  <c r="M4213" i="1"/>
  <c r="L4213" i="1"/>
  <c r="K4213" i="1"/>
  <c r="J4213" i="1"/>
  <c r="I4213" i="1"/>
  <c r="H4213" i="1"/>
  <c r="G4213" i="1"/>
  <c r="M4212" i="1"/>
  <c r="L4212" i="1"/>
  <c r="K4212" i="1"/>
  <c r="J4212" i="1"/>
  <c r="I4212" i="1"/>
  <c r="H4212" i="1"/>
  <c r="G4212" i="1"/>
  <c r="M4211" i="1"/>
  <c r="L4211" i="1"/>
  <c r="K4211" i="1"/>
  <c r="J4211" i="1"/>
  <c r="I4211" i="1"/>
  <c r="H4211" i="1"/>
  <c r="G4211" i="1"/>
  <c r="M4210" i="1"/>
  <c r="L4210" i="1"/>
  <c r="K4210" i="1"/>
  <c r="J4210" i="1"/>
  <c r="I4210" i="1"/>
  <c r="H4210" i="1"/>
  <c r="G4210" i="1"/>
  <c r="M4209" i="1"/>
  <c r="L4209" i="1"/>
  <c r="K4209" i="1"/>
  <c r="J4209" i="1"/>
  <c r="I4209" i="1"/>
  <c r="H4209" i="1"/>
  <c r="G4209" i="1"/>
  <c r="M4208" i="1"/>
  <c r="L4208" i="1"/>
  <c r="K4208" i="1"/>
  <c r="J4208" i="1"/>
  <c r="I4208" i="1"/>
  <c r="H4208" i="1"/>
  <c r="G4208" i="1"/>
  <c r="M4207" i="1"/>
  <c r="L4207" i="1"/>
  <c r="K4207" i="1"/>
  <c r="J4207" i="1"/>
  <c r="I4207" i="1"/>
  <c r="H4207" i="1"/>
  <c r="G4207" i="1"/>
  <c r="M4206" i="1"/>
  <c r="L4206" i="1"/>
  <c r="K4206" i="1"/>
  <c r="J4206" i="1"/>
  <c r="I4206" i="1"/>
  <c r="H4206" i="1"/>
  <c r="G4206" i="1"/>
  <c r="M4205" i="1"/>
  <c r="L4205" i="1"/>
  <c r="K4205" i="1"/>
  <c r="J4205" i="1"/>
  <c r="I4205" i="1"/>
  <c r="H4205" i="1"/>
  <c r="G4205" i="1"/>
  <c r="M4204" i="1"/>
  <c r="L4204" i="1"/>
  <c r="K4204" i="1"/>
  <c r="J4204" i="1"/>
  <c r="I4204" i="1"/>
  <c r="H4204" i="1"/>
  <c r="G4204" i="1"/>
  <c r="M4203" i="1"/>
  <c r="L4203" i="1"/>
  <c r="K4203" i="1"/>
  <c r="J4203" i="1"/>
  <c r="I4203" i="1"/>
  <c r="H4203" i="1"/>
  <c r="G4203" i="1"/>
  <c r="M4202" i="1"/>
  <c r="L4202" i="1"/>
  <c r="K4202" i="1"/>
  <c r="J4202" i="1"/>
  <c r="I4202" i="1"/>
  <c r="H4202" i="1"/>
  <c r="G4202" i="1"/>
  <c r="M4201" i="1"/>
  <c r="L4201" i="1"/>
  <c r="K4201" i="1"/>
  <c r="J4201" i="1"/>
  <c r="I4201" i="1"/>
  <c r="H4201" i="1"/>
  <c r="G4201" i="1"/>
  <c r="M4200" i="1"/>
  <c r="L4200" i="1"/>
  <c r="K4200" i="1"/>
  <c r="J4200" i="1"/>
  <c r="I4200" i="1"/>
  <c r="H4200" i="1"/>
  <c r="G4200" i="1"/>
  <c r="M4199" i="1"/>
  <c r="L4199" i="1"/>
  <c r="K4199" i="1"/>
  <c r="J4199" i="1"/>
  <c r="I4199" i="1"/>
  <c r="H4199" i="1"/>
  <c r="G4199" i="1"/>
  <c r="M4198" i="1"/>
  <c r="L4198" i="1"/>
  <c r="K4198" i="1"/>
  <c r="J4198" i="1"/>
  <c r="I4198" i="1"/>
  <c r="H4198" i="1"/>
  <c r="G4198" i="1"/>
  <c r="M4197" i="1"/>
  <c r="L4197" i="1"/>
  <c r="K4197" i="1"/>
  <c r="J4197" i="1"/>
  <c r="I4197" i="1"/>
  <c r="H4197" i="1"/>
  <c r="G4197" i="1"/>
  <c r="M4196" i="1"/>
  <c r="L4196" i="1"/>
  <c r="K4196" i="1"/>
  <c r="J4196" i="1"/>
  <c r="I4196" i="1"/>
  <c r="H4196" i="1"/>
  <c r="G4196" i="1"/>
  <c r="M4195" i="1"/>
  <c r="L4195" i="1"/>
  <c r="K4195" i="1"/>
  <c r="J4195" i="1"/>
  <c r="I4195" i="1"/>
  <c r="H4195" i="1"/>
  <c r="G4195" i="1"/>
  <c r="M4194" i="1"/>
  <c r="L4194" i="1"/>
  <c r="K4194" i="1"/>
  <c r="J4194" i="1"/>
  <c r="I4194" i="1"/>
  <c r="H4194" i="1"/>
  <c r="G4194" i="1"/>
  <c r="M4193" i="1"/>
  <c r="L4193" i="1"/>
  <c r="K4193" i="1"/>
  <c r="J4193" i="1"/>
  <c r="I4193" i="1"/>
  <c r="H4193" i="1"/>
  <c r="G4193" i="1"/>
  <c r="M4192" i="1"/>
  <c r="L4192" i="1"/>
  <c r="K4192" i="1"/>
  <c r="J4192" i="1"/>
  <c r="I4192" i="1"/>
  <c r="H4192" i="1"/>
  <c r="G4192" i="1"/>
  <c r="M4191" i="1"/>
  <c r="L4191" i="1"/>
  <c r="K4191" i="1"/>
  <c r="J4191" i="1"/>
  <c r="I4191" i="1"/>
  <c r="H4191" i="1"/>
  <c r="G4191" i="1"/>
  <c r="M4190" i="1"/>
  <c r="L4190" i="1"/>
  <c r="K4190" i="1"/>
  <c r="J4190" i="1"/>
  <c r="I4190" i="1"/>
  <c r="H4190" i="1"/>
  <c r="G4190" i="1"/>
  <c r="M4189" i="1"/>
  <c r="L4189" i="1"/>
  <c r="K4189" i="1"/>
  <c r="J4189" i="1"/>
  <c r="I4189" i="1"/>
  <c r="H4189" i="1"/>
  <c r="G4189" i="1"/>
  <c r="M4188" i="1"/>
  <c r="L4188" i="1"/>
  <c r="K4188" i="1"/>
  <c r="J4188" i="1"/>
  <c r="I4188" i="1"/>
  <c r="H4188" i="1"/>
  <c r="G4188" i="1"/>
  <c r="M4187" i="1"/>
  <c r="L4187" i="1"/>
  <c r="K4187" i="1"/>
  <c r="J4187" i="1"/>
  <c r="I4187" i="1"/>
  <c r="H4187" i="1"/>
  <c r="G4187" i="1"/>
  <c r="M4186" i="1"/>
  <c r="L4186" i="1"/>
  <c r="K4186" i="1"/>
  <c r="J4186" i="1"/>
  <c r="I4186" i="1"/>
  <c r="H4186" i="1"/>
  <c r="G4186" i="1"/>
  <c r="M4185" i="1"/>
  <c r="L4185" i="1"/>
  <c r="K4185" i="1"/>
  <c r="J4185" i="1"/>
  <c r="I4185" i="1"/>
  <c r="H4185" i="1"/>
  <c r="G4185" i="1"/>
  <c r="M4184" i="1"/>
  <c r="L4184" i="1"/>
  <c r="K4184" i="1"/>
  <c r="J4184" i="1"/>
  <c r="I4184" i="1"/>
  <c r="H4184" i="1"/>
  <c r="G4184" i="1"/>
  <c r="M4183" i="1"/>
  <c r="L4183" i="1"/>
  <c r="K4183" i="1"/>
  <c r="J4183" i="1"/>
  <c r="I4183" i="1"/>
  <c r="H4183" i="1"/>
  <c r="G4183" i="1"/>
  <c r="M4182" i="1"/>
  <c r="L4182" i="1"/>
  <c r="K4182" i="1"/>
  <c r="J4182" i="1"/>
  <c r="I4182" i="1"/>
  <c r="H4182" i="1"/>
  <c r="G4182" i="1"/>
  <c r="M4181" i="1"/>
  <c r="L4181" i="1"/>
  <c r="K4181" i="1"/>
  <c r="J4181" i="1"/>
  <c r="I4181" i="1"/>
  <c r="H4181" i="1"/>
  <c r="G4181" i="1"/>
  <c r="M4180" i="1"/>
  <c r="L4180" i="1"/>
  <c r="K4180" i="1"/>
  <c r="J4180" i="1"/>
  <c r="I4180" i="1"/>
  <c r="H4180" i="1"/>
  <c r="G4180" i="1"/>
  <c r="M4179" i="1"/>
  <c r="L4179" i="1"/>
  <c r="K4179" i="1"/>
  <c r="J4179" i="1"/>
  <c r="I4179" i="1"/>
  <c r="H4179" i="1"/>
  <c r="G4179" i="1"/>
  <c r="M4178" i="1"/>
  <c r="L4178" i="1"/>
  <c r="K4178" i="1"/>
  <c r="J4178" i="1"/>
  <c r="I4178" i="1"/>
  <c r="H4178" i="1"/>
  <c r="G4178" i="1"/>
  <c r="M4177" i="1"/>
  <c r="L4177" i="1"/>
  <c r="K4177" i="1"/>
  <c r="J4177" i="1"/>
  <c r="I4177" i="1"/>
  <c r="H4177" i="1"/>
  <c r="G4177" i="1"/>
  <c r="M4176" i="1"/>
  <c r="L4176" i="1"/>
  <c r="K4176" i="1"/>
  <c r="J4176" i="1"/>
  <c r="I4176" i="1"/>
  <c r="H4176" i="1"/>
  <c r="G4176" i="1"/>
  <c r="M4175" i="1"/>
  <c r="L4175" i="1"/>
  <c r="K4175" i="1"/>
  <c r="J4175" i="1"/>
  <c r="I4175" i="1"/>
  <c r="H4175" i="1"/>
  <c r="G4175" i="1"/>
  <c r="M4174" i="1"/>
  <c r="L4174" i="1"/>
  <c r="K4174" i="1"/>
  <c r="J4174" i="1"/>
  <c r="I4174" i="1"/>
  <c r="H4174" i="1"/>
  <c r="G4174" i="1"/>
  <c r="M4173" i="1"/>
  <c r="L4173" i="1"/>
  <c r="K4173" i="1"/>
  <c r="J4173" i="1"/>
  <c r="I4173" i="1"/>
  <c r="H4173" i="1"/>
  <c r="G4173" i="1"/>
  <c r="M4172" i="1"/>
  <c r="L4172" i="1"/>
  <c r="K4172" i="1"/>
  <c r="J4172" i="1"/>
  <c r="I4172" i="1"/>
  <c r="H4172" i="1"/>
  <c r="G4172" i="1"/>
  <c r="M4171" i="1"/>
  <c r="L4171" i="1"/>
  <c r="K4171" i="1"/>
  <c r="J4171" i="1"/>
  <c r="I4171" i="1"/>
  <c r="H4171" i="1"/>
  <c r="G4171" i="1"/>
  <c r="M4170" i="1"/>
  <c r="L4170" i="1"/>
  <c r="K4170" i="1"/>
  <c r="J4170" i="1"/>
  <c r="I4170" i="1"/>
  <c r="H4170" i="1"/>
  <c r="G4170" i="1"/>
  <c r="M4169" i="1"/>
  <c r="L4169" i="1"/>
  <c r="K4169" i="1"/>
  <c r="J4169" i="1"/>
  <c r="I4169" i="1"/>
  <c r="H4169" i="1"/>
  <c r="G4169" i="1"/>
  <c r="M4168" i="1"/>
  <c r="L4168" i="1"/>
  <c r="K4168" i="1"/>
  <c r="J4168" i="1"/>
  <c r="I4168" i="1"/>
  <c r="H4168" i="1"/>
  <c r="G4168" i="1"/>
  <c r="M4167" i="1"/>
  <c r="L4167" i="1"/>
  <c r="K4167" i="1"/>
  <c r="J4167" i="1"/>
  <c r="I4167" i="1"/>
  <c r="H4167" i="1"/>
  <c r="G4167" i="1"/>
  <c r="M4166" i="1"/>
  <c r="L4166" i="1"/>
  <c r="K4166" i="1"/>
  <c r="J4166" i="1"/>
  <c r="I4166" i="1"/>
  <c r="H4166" i="1"/>
  <c r="G4166" i="1"/>
  <c r="M4165" i="1"/>
  <c r="L4165" i="1"/>
  <c r="K4165" i="1"/>
  <c r="J4165" i="1"/>
  <c r="I4165" i="1"/>
  <c r="H4165" i="1"/>
  <c r="G4165" i="1"/>
  <c r="M4164" i="1"/>
  <c r="L4164" i="1"/>
  <c r="K4164" i="1"/>
  <c r="J4164" i="1"/>
  <c r="I4164" i="1"/>
  <c r="H4164" i="1"/>
  <c r="G4164" i="1"/>
  <c r="M4163" i="1"/>
  <c r="L4163" i="1"/>
  <c r="K4163" i="1"/>
  <c r="J4163" i="1"/>
  <c r="I4163" i="1"/>
  <c r="H4163" i="1"/>
  <c r="G4163" i="1"/>
  <c r="M4162" i="1"/>
  <c r="L4162" i="1"/>
  <c r="K4162" i="1"/>
  <c r="J4162" i="1"/>
  <c r="I4162" i="1"/>
  <c r="H4162" i="1"/>
  <c r="G4162" i="1"/>
  <c r="M4161" i="1"/>
  <c r="L4161" i="1"/>
  <c r="K4161" i="1"/>
  <c r="J4161" i="1"/>
  <c r="I4161" i="1"/>
  <c r="H4161" i="1"/>
  <c r="G4161" i="1"/>
  <c r="M4160" i="1"/>
  <c r="L4160" i="1"/>
  <c r="K4160" i="1"/>
  <c r="J4160" i="1"/>
  <c r="I4160" i="1"/>
  <c r="H4160" i="1"/>
  <c r="G4160" i="1"/>
  <c r="M4159" i="1"/>
  <c r="L4159" i="1"/>
  <c r="K4159" i="1"/>
  <c r="J4159" i="1"/>
  <c r="I4159" i="1"/>
  <c r="H4159" i="1"/>
  <c r="G4159" i="1"/>
  <c r="M4158" i="1"/>
  <c r="L4158" i="1"/>
  <c r="K4158" i="1"/>
  <c r="J4158" i="1"/>
  <c r="I4158" i="1"/>
  <c r="H4158" i="1"/>
  <c r="G4158" i="1"/>
  <c r="M4157" i="1"/>
  <c r="L4157" i="1"/>
  <c r="K4157" i="1"/>
  <c r="J4157" i="1"/>
  <c r="I4157" i="1"/>
  <c r="H4157" i="1"/>
  <c r="G4157" i="1"/>
  <c r="M4156" i="1"/>
  <c r="L4156" i="1"/>
  <c r="K4156" i="1"/>
  <c r="J4156" i="1"/>
  <c r="I4156" i="1"/>
  <c r="H4156" i="1"/>
  <c r="G4156" i="1"/>
  <c r="M4155" i="1"/>
  <c r="L4155" i="1"/>
  <c r="K4155" i="1"/>
  <c r="J4155" i="1"/>
  <c r="I4155" i="1"/>
  <c r="H4155" i="1"/>
  <c r="G4155" i="1"/>
  <c r="M4154" i="1"/>
  <c r="L4154" i="1"/>
  <c r="K4154" i="1"/>
  <c r="J4154" i="1"/>
  <c r="I4154" i="1"/>
  <c r="H4154" i="1"/>
  <c r="G4154" i="1"/>
  <c r="M4153" i="1"/>
  <c r="L4153" i="1"/>
  <c r="K4153" i="1"/>
  <c r="J4153" i="1"/>
  <c r="I4153" i="1"/>
  <c r="H4153" i="1"/>
  <c r="G4153" i="1"/>
  <c r="M4152" i="1"/>
  <c r="L4152" i="1"/>
  <c r="K4152" i="1"/>
  <c r="J4152" i="1"/>
  <c r="I4152" i="1"/>
  <c r="H4152" i="1"/>
  <c r="G4152" i="1"/>
  <c r="M4151" i="1"/>
  <c r="L4151" i="1"/>
  <c r="K4151" i="1"/>
  <c r="J4151" i="1"/>
  <c r="I4151" i="1"/>
  <c r="H4151" i="1"/>
  <c r="G4151" i="1"/>
  <c r="M4150" i="1"/>
  <c r="L4150" i="1"/>
  <c r="K4150" i="1"/>
  <c r="J4150" i="1"/>
  <c r="I4150" i="1"/>
  <c r="H4150" i="1"/>
  <c r="G4150" i="1"/>
  <c r="M4149" i="1"/>
  <c r="L4149" i="1"/>
  <c r="K4149" i="1"/>
  <c r="J4149" i="1"/>
  <c r="I4149" i="1"/>
  <c r="H4149" i="1"/>
  <c r="G4149" i="1"/>
  <c r="M4148" i="1"/>
  <c r="L4148" i="1"/>
  <c r="K4148" i="1"/>
  <c r="J4148" i="1"/>
  <c r="I4148" i="1"/>
  <c r="H4148" i="1"/>
  <c r="G4148" i="1"/>
  <c r="M4147" i="1"/>
  <c r="L4147" i="1"/>
  <c r="K4147" i="1"/>
  <c r="J4147" i="1"/>
  <c r="I4147" i="1"/>
  <c r="H4147" i="1"/>
  <c r="G4147" i="1"/>
  <c r="M4146" i="1"/>
  <c r="L4146" i="1"/>
  <c r="K4146" i="1"/>
  <c r="J4146" i="1"/>
  <c r="I4146" i="1"/>
  <c r="H4146" i="1"/>
  <c r="G4146" i="1"/>
  <c r="M4145" i="1"/>
  <c r="L4145" i="1"/>
  <c r="K4145" i="1"/>
  <c r="J4145" i="1"/>
  <c r="I4145" i="1"/>
  <c r="H4145" i="1"/>
  <c r="G4145" i="1"/>
  <c r="M4144" i="1"/>
  <c r="L4144" i="1"/>
  <c r="K4144" i="1"/>
  <c r="J4144" i="1"/>
  <c r="I4144" i="1"/>
  <c r="H4144" i="1"/>
  <c r="G4144" i="1"/>
  <c r="M4143" i="1"/>
  <c r="L4143" i="1"/>
  <c r="K4143" i="1"/>
  <c r="J4143" i="1"/>
  <c r="I4143" i="1"/>
  <c r="H4143" i="1"/>
  <c r="G4143" i="1"/>
  <c r="M4142" i="1"/>
  <c r="L4142" i="1"/>
  <c r="K4142" i="1"/>
  <c r="J4142" i="1"/>
  <c r="I4142" i="1"/>
  <c r="H4142" i="1"/>
  <c r="G4142" i="1"/>
  <c r="M4141" i="1"/>
  <c r="L4141" i="1"/>
  <c r="K4141" i="1"/>
  <c r="J4141" i="1"/>
  <c r="I4141" i="1"/>
  <c r="H4141" i="1"/>
  <c r="G4141" i="1"/>
  <c r="M4140" i="1"/>
  <c r="L4140" i="1"/>
  <c r="K4140" i="1"/>
  <c r="J4140" i="1"/>
  <c r="I4140" i="1"/>
  <c r="H4140" i="1"/>
  <c r="G4140" i="1"/>
  <c r="M4139" i="1"/>
  <c r="L4139" i="1"/>
  <c r="K4139" i="1"/>
  <c r="J4139" i="1"/>
  <c r="I4139" i="1"/>
  <c r="H4139" i="1"/>
  <c r="G4139" i="1"/>
  <c r="M4138" i="1"/>
  <c r="L4138" i="1"/>
  <c r="K4138" i="1"/>
  <c r="J4138" i="1"/>
  <c r="I4138" i="1"/>
  <c r="H4138" i="1"/>
  <c r="G4138" i="1"/>
  <c r="M4137" i="1"/>
  <c r="L4137" i="1"/>
  <c r="K4137" i="1"/>
  <c r="J4137" i="1"/>
  <c r="I4137" i="1"/>
  <c r="H4137" i="1"/>
  <c r="G4137" i="1"/>
  <c r="M4136" i="1"/>
  <c r="L4136" i="1"/>
  <c r="K4136" i="1"/>
  <c r="J4136" i="1"/>
  <c r="I4136" i="1"/>
  <c r="H4136" i="1"/>
  <c r="G4136" i="1"/>
  <c r="M4135" i="1"/>
  <c r="L4135" i="1"/>
  <c r="K4135" i="1"/>
  <c r="J4135" i="1"/>
  <c r="I4135" i="1"/>
  <c r="H4135" i="1"/>
  <c r="G4135" i="1"/>
  <c r="M4134" i="1"/>
  <c r="L4134" i="1"/>
  <c r="K4134" i="1"/>
  <c r="J4134" i="1"/>
  <c r="I4134" i="1"/>
  <c r="H4134" i="1"/>
  <c r="G4134" i="1"/>
  <c r="M4133" i="1"/>
  <c r="L4133" i="1"/>
  <c r="K4133" i="1"/>
  <c r="J4133" i="1"/>
  <c r="I4133" i="1"/>
  <c r="H4133" i="1"/>
  <c r="G4133" i="1"/>
  <c r="M4132" i="1"/>
  <c r="L4132" i="1"/>
  <c r="K4132" i="1"/>
  <c r="J4132" i="1"/>
  <c r="I4132" i="1"/>
  <c r="H4132" i="1"/>
  <c r="G4132" i="1"/>
  <c r="M4131" i="1"/>
  <c r="L4131" i="1"/>
  <c r="K4131" i="1"/>
  <c r="J4131" i="1"/>
  <c r="I4131" i="1"/>
  <c r="H4131" i="1"/>
  <c r="G4131" i="1"/>
  <c r="M4130" i="1"/>
  <c r="L4130" i="1"/>
  <c r="K4130" i="1"/>
  <c r="J4130" i="1"/>
  <c r="I4130" i="1"/>
  <c r="H4130" i="1"/>
  <c r="G4130" i="1"/>
  <c r="M4129" i="1"/>
  <c r="L4129" i="1"/>
  <c r="K4129" i="1"/>
  <c r="J4129" i="1"/>
  <c r="I4129" i="1"/>
  <c r="H4129" i="1"/>
  <c r="G4129" i="1"/>
  <c r="M4128" i="1"/>
  <c r="L4128" i="1"/>
  <c r="K4128" i="1"/>
  <c r="J4128" i="1"/>
  <c r="I4128" i="1"/>
  <c r="H4128" i="1"/>
  <c r="G4128" i="1"/>
  <c r="M4127" i="1"/>
  <c r="L4127" i="1"/>
  <c r="K4127" i="1"/>
  <c r="J4127" i="1"/>
  <c r="I4127" i="1"/>
  <c r="H4127" i="1"/>
  <c r="G4127" i="1"/>
  <c r="M4126" i="1"/>
  <c r="L4126" i="1"/>
  <c r="K4126" i="1"/>
  <c r="J4126" i="1"/>
  <c r="I4126" i="1"/>
  <c r="H4126" i="1"/>
  <c r="G4126" i="1"/>
  <c r="M4125" i="1"/>
  <c r="L4125" i="1"/>
  <c r="K4125" i="1"/>
  <c r="J4125" i="1"/>
  <c r="I4125" i="1"/>
  <c r="H4125" i="1"/>
  <c r="G4125" i="1"/>
  <c r="M4124" i="1"/>
  <c r="L4124" i="1"/>
  <c r="K4124" i="1"/>
  <c r="J4124" i="1"/>
  <c r="I4124" i="1"/>
  <c r="H4124" i="1"/>
  <c r="G4124" i="1"/>
  <c r="M4123" i="1"/>
  <c r="L4123" i="1"/>
  <c r="K4123" i="1"/>
  <c r="J4123" i="1"/>
  <c r="I4123" i="1"/>
  <c r="H4123" i="1"/>
  <c r="G4123" i="1"/>
  <c r="M4122" i="1"/>
  <c r="L4122" i="1"/>
  <c r="K4122" i="1"/>
  <c r="J4122" i="1"/>
  <c r="I4122" i="1"/>
  <c r="H4122" i="1"/>
  <c r="G4122" i="1"/>
  <c r="M4121" i="1"/>
  <c r="L4121" i="1"/>
  <c r="K4121" i="1"/>
  <c r="J4121" i="1"/>
  <c r="I4121" i="1"/>
  <c r="H4121" i="1"/>
  <c r="G4121" i="1"/>
  <c r="M4120" i="1"/>
  <c r="L4120" i="1"/>
  <c r="K4120" i="1"/>
  <c r="J4120" i="1"/>
  <c r="I4120" i="1"/>
  <c r="H4120" i="1"/>
  <c r="G4120" i="1"/>
  <c r="M4119" i="1"/>
  <c r="L4119" i="1"/>
  <c r="K4119" i="1"/>
  <c r="J4119" i="1"/>
  <c r="I4119" i="1"/>
  <c r="H4119" i="1"/>
  <c r="G4119" i="1"/>
  <c r="M4118" i="1"/>
  <c r="L4118" i="1"/>
  <c r="K4118" i="1"/>
  <c r="J4118" i="1"/>
  <c r="I4118" i="1"/>
  <c r="H4118" i="1"/>
  <c r="G4118" i="1"/>
  <c r="M4117" i="1"/>
  <c r="L4117" i="1"/>
  <c r="K4117" i="1"/>
  <c r="J4117" i="1"/>
  <c r="I4117" i="1"/>
  <c r="H4117" i="1"/>
  <c r="G4117" i="1"/>
  <c r="M4116" i="1"/>
  <c r="L4116" i="1"/>
  <c r="K4116" i="1"/>
  <c r="J4116" i="1"/>
  <c r="I4116" i="1"/>
  <c r="H4116" i="1"/>
  <c r="G4116" i="1"/>
  <c r="M4115" i="1"/>
  <c r="L4115" i="1"/>
  <c r="K4115" i="1"/>
  <c r="J4115" i="1"/>
  <c r="I4115" i="1"/>
  <c r="H4115" i="1"/>
  <c r="G4115" i="1"/>
  <c r="M4114" i="1"/>
  <c r="L4114" i="1"/>
  <c r="K4114" i="1"/>
  <c r="J4114" i="1"/>
  <c r="I4114" i="1"/>
  <c r="H4114" i="1"/>
  <c r="G4114" i="1"/>
  <c r="M4113" i="1"/>
  <c r="L4113" i="1"/>
  <c r="K4113" i="1"/>
  <c r="J4113" i="1"/>
  <c r="I4113" i="1"/>
  <c r="H4113" i="1"/>
  <c r="G4113" i="1"/>
  <c r="M4112" i="1"/>
  <c r="L4112" i="1"/>
  <c r="K4112" i="1"/>
  <c r="J4112" i="1"/>
  <c r="I4112" i="1"/>
  <c r="H4112" i="1"/>
  <c r="G4112" i="1"/>
  <c r="M4111" i="1"/>
  <c r="L4111" i="1"/>
  <c r="K4111" i="1"/>
  <c r="J4111" i="1"/>
  <c r="I4111" i="1"/>
  <c r="H4111" i="1"/>
  <c r="G4111" i="1"/>
  <c r="M4110" i="1"/>
  <c r="L4110" i="1"/>
  <c r="K4110" i="1"/>
  <c r="J4110" i="1"/>
  <c r="I4110" i="1"/>
  <c r="H4110" i="1"/>
  <c r="G4110" i="1"/>
  <c r="M4109" i="1"/>
  <c r="L4109" i="1"/>
  <c r="K4109" i="1"/>
  <c r="J4109" i="1"/>
  <c r="I4109" i="1"/>
  <c r="H4109" i="1"/>
  <c r="G4109" i="1"/>
  <c r="M4108" i="1"/>
  <c r="L4108" i="1"/>
  <c r="K4108" i="1"/>
  <c r="J4108" i="1"/>
  <c r="I4108" i="1"/>
  <c r="H4108" i="1"/>
  <c r="G4108" i="1"/>
  <c r="M4107" i="1"/>
  <c r="L4107" i="1"/>
  <c r="K4107" i="1"/>
  <c r="J4107" i="1"/>
  <c r="I4107" i="1"/>
  <c r="H4107" i="1"/>
  <c r="G4107" i="1"/>
  <c r="M4106" i="1"/>
  <c r="L4106" i="1"/>
  <c r="K4106" i="1"/>
  <c r="J4106" i="1"/>
  <c r="I4106" i="1"/>
  <c r="H4106" i="1"/>
  <c r="G4106" i="1"/>
  <c r="M4105" i="1"/>
  <c r="L4105" i="1"/>
  <c r="K4105" i="1"/>
  <c r="J4105" i="1"/>
  <c r="I4105" i="1"/>
  <c r="H4105" i="1"/>
  <c r="G4105" i="1"/>
  <c r="M4104" i="1"/>
  <c r="L4104" i="1"/>
  <c r="K4104" i="1"/>
  <c r="J4104" i="1"/>
  <c r="I4104" i="1"/>
  <c r="H4104" i="1"/>
  <c r="G4104" i="1"/>
  <c r="M4103" i="1"/>
  <c r="L4103" i="1"/>
  <c r="K4103" i="1"/>
  <c r="J4103" i="1"/>
  <c r="I4103" i="1"/>
  <c r="H4103" i="1"/>
  <c r="G4103" i="1"/>
  <c r="M4102" i="1"/>
  <c r="L4102" i="1"/>
  <c r="K4102" i="1"/>
  <c r="J4102" i="1"/>
  <c r="I4102" i="1"/>
  <c r="H4102" i="1"/>
  <c r="G4102" i="1"/>
  <c r="M4101" i="1"/>
  <c r="L4101" i="1"/>
  <c r="K4101" i="1"/>
  <c r="J4101" i="1"/>
  <c r="I4101" i="1"/>
  <c r="H4101" i="1"/>
  <c r="G4101" i="1"/>
  <c r="M4100" i="1"/>
  <c r="L4100" i="1"/>
  <c r="K4100" i="1"/>
  <c r="J4100" i="1"/>
  <c r="I4100" i="1"/>
  <c r="H4100" i="1"/>
  <c r="G4100" i="1"/>
  <c r="M4099" i="1"/>
  <c r="L4099" i="1"/>
  <c r="K4099" i="1"/>
  <c r="J4099" i="1"/>
  <c r="I4099" i="1"/>
  <c r="H4099" i="1"/>
  <c r="G4099" i="1"/>
  <c r="M4098" i="1"/>
  <c r="L4098" i="1"/>
  <c r="K4098" i="1"/>
  <c r="J4098" i="1"/>
  <c r="I4098" i="1"/>
  <c r="H4098" i="1"/>
  <c r="G4098" i="1"/>
  <c r="M4097" i="1"/>
  <c r="L4097" i="1"/>
  <c r="K4097" i="1"/>
  <c r="J4097" i="1"/>
  <c r="I4097" i="1"/>
  <c r="H4097" i="1"/>
  <c r="G4097" i="1"/>
  <c r="M4096" i="1"/>
  <c r="L4096" i="1"/>
  <c r="K4096" i="1"/>
  <c r="J4096" i="1"/>
  <c r="I4096" i="1"/>
  <c r="H4096" i="1"/>
  <c r="G4096" i="1"/>
  <c r="M4095" i="1"/>
  <c r="L4095" i="1"/>
  <c r="K4095" i="1"/>
  <c r="J4095" i="1"/>
  <c r="I4095" i="1"/>
  <c r="H4095" i="1"/>
  <c r="G4095" i="1"/>
  <c r="M4094" i="1"/>
  <c r="L4094" i="1"/>
  <c r="K4094" i="1"/>
  <c r="J4094" i="1"/>
  <c r="I4094" i="1"/>
  <c r="H4094" i="1"/>
  <c r="G4094" i="1"/>
  <c r="M4093" i="1"/>
  <c r="L4093" i="1"/>
  <c r="K4093" i="1"/>
  <c r="J4093" i="1"/>
  <c r="I4093" i="1"/>
  <c r="H4093" i="1"/>
  <c r="G4093" i="1"/>
  <c r="M4092" i="1"/>
  <c r="L4092" i="1"/>
  <c r="K4092" i="1"/>
  <c r="J4092" i="1"/>
  <c r="I4092" i="1"/>
  <c r="H4092" i="1"/>
  <c r="G4092" i="1"/>
  <c r="M4091" i="1"/>
  <c r="L4091" i="1"/>
  <c r="K4091" i="1"/>
  <c r="J4091" i="1"/>
  <c r="I4091" i="1"/>
  <c r="H4091" i="1"/>
  <c r="G4091" i="1"/>
  <c r="M4090" i="1"/>
  <c r="L4090" i="1"/>
  <c r="K4090" i="1"/>
  <c r="J4090" i="1"/>
  <c r="I4090" i="1"/>
  <c r="H4090" i="1"/>
  <c r="G4090" i="1"/>
  <c r="M4089" i="1"/>
  <c r="L4089" i="1"/>
  <c r="K4089" i="1"/>
  <c r="J4089" i="1"/>
  <c r="I4089" i="1"/>
  <c r="H4089" i="1"/>
  <c r="G4089" i="1"/>
  <c r="M4088" i="1"/>
  <c r="L4088" i="1"/>
  <c r="K4088" i="1"/>
  <c r="J4088" i="1"/>
  <c r="I4088" i="1"/>
  <c r="H4088" i="1"/>
  <c r="G4088" i="1"/>
  <c r="M4087" i="1"/>
  <c r="L4087" i="1"/>
  <c r="K4087" i="1"/>
  <c r="J4087" i="1"/>
  <c r="I4087" i="1"/>
  <c r="H4087" i="1"/>
  <c r="G4087" i="1"/>
  <c r="M4086" i="1"/>
  <c r="L4086" i="1"/>
  <c r="K4086" i="1"/>
  <c r="J4086" i="1"/>
  <c r="I4086" i="1"/>
  <c r="H4086" i="1"/>
  <c r="G4086" i="1"/>
  <c r="M4085" i="1"/>
  <c r="L4085" i="1"/>
  <c r="K4085" i="1"/>
  <c r="J4085" i="1"/>
  <c r="I4085" i="1"/>
  <c r="H4085" i="1"/>
  <c r="G4085" i="1"/>
  <c r="M4084" i="1"/>
  <c r="L4084" i="1"/>
  <c r="K4084" i="1"/>
  <c r="J4084" i="1"/>
  <c r="I4084" i="1"/>
  <c r="H4084" i="1"/>
  <c r="G4084" i="1"/>
  <c r="M4083" i="1"/>
  <c r="L4083" i="1"/>
  <c r="K4083" i="1"/>
  <c r="J4083" i="1"/>
  <c r="I4083" i="1"/>
  <c r="H4083" i="1"/>
  <c r="G4083" i="1"/>
  <c r="M4082" i="1"/>
  <c r="L4082" i="1"/>
  <c r="K4082" i="1"/>
  <c r="J4082" i="1"/>
  <c r="I4082" i="1"/>
  <c r="H4082" i="1"/>
  <c r="G4082" i="1"/>
  <c r="M4081" i="1"/>
  <c r="L4081" i="1"/>
  <c r="K4081" i="1"/>
  <c r="J4081" i="1"/>
  <c r="I4081" i="1"/>
  <c r="H4081" i="1"/>
  <c r="G4081" i="1"/>
  <c r="M4080" i="1"/>
  <c r="L4080" i="1"/>
  <c r="K4080" i="1"/>
  <c r="J4080" i="1"/>
  <c r="I4080" i="1"/>
  <c r="H4080" i="1"/>
  <c r="G4080" i="1"/>
  <c r="M4079" i="1"/>
  <c r="L4079" i="1"/>
  <c r="K4079" i="1"/>
  <c r="J4079" i="1"/>
  <c r="I4079" i="1"/>
  <c r="H4079" i="1"/>
  <c r="G4079" i="1"/>
  <c r="M4078" i="1"/>
  <c r="L4078" i="1"/>
  <c r="K4078" i="1"/>
  <c r="J4078" i="1"/>
  <c r="I4078" i="1"/>
  <c r="H4078" i="1"/>
  <c r="G4078" i="1"/>
  <c r="M4077" i="1"/>
  <c r="L4077" i="1"/>
  <c r="K4077" i="1"/>
  <c r="J4077" i="1"/>
  <c r="I4077" i="1"/>
  <c r="H4077" i="1"/>
  <c r="G4077" i="1"/>
  <c r="M4076" i="1"/>
  <c r="L4076" i="1"/>
  <c r="K4076" i="1"/>
  <c r="J4076" i="1"/>
  <c r="I4076" i="1"/>
  <c r="H4076" i="1"/>
  <c r="G4076" i="1"/>
  <c r="M4075" i="1"/>
  <c r="L4075" i="1"/>
  <c r="K4075" i="1"/>
  <c r="J4075" i="1"/>
  <c r="I4075" i="1"/>
  <c r="H4075" i="1"/>
  <c r="G4075" i="1"/>
  <c r="M4074" i="1"/>
  <c r="L4074" i="1"/>
  <c r="K4074" i="1"/>
  <c r="J4074" i="1"/>
  <c r="I4074" i="1"/>
  <c r="H4074" i="1"/>
  <c r="G4074" i="1"/>
  <c r="M4073" i="1"/>
  <c r="L4073" i="1"/>
  <c r="K4073" i="1"/>
  <c r="J4073" i="1"/>
  <c r="I4073" i="1"/>
  <c r="H4073" i="1"/>
  <c r="G4073" i="1"/>
  <c r="M4072" i="1"/>
  <c r="L4072" i="1"/>
  <c r="K4072" i="1"/>
  <c r="J4072" i="1"/>
  <c r="I4072" i="1"/>
  <c r="H4072" i="1"/>
  <c r="G4072" i="1"/>
  <c r="M4071" i="1"/>
  <c r="L4071" i="1"/>
  <c r="K4071" i="1"/>
  <c r="J4071" i="1"/>
  <c r="I4071" i="1"/>
  <c r="H4071" i="1"/>
  <c r="G4071" i="1"/>
  <c r="M4070" i="1"/>
  <c r="L4070" i="1"/>
  <c r="K4070" i="1"/>
  <c r="J4070" i="1"/>
  <c r="I4070" i="1"/>
  <c r="H4070" i="1"/>
  <c r="G4070" i="1"/>
  <c r="M4069" i="1"/>
  <c r="L4069" i="1"/>
  <c r="K4069" i="1"/>
  <c r="J4069" i="1"/>
  <c r="I4069" i="1"/>
  <c r="H4069" i="1"/>
  <c r="G4069" i="1"/>
  <c r="M4068" i="1"/>
  <c r="L4068" i="1"/>
  <c r="K4068" i="1"/>
  <c r="J4068" i="1"/>
  <c r="I4068" i="1"/>
  <c r="H4068" i="1"/>
  <c r="G4068" i="1"/>
  <c r="M4067" i="1"/>
  <c r="L4067" i="1"/>
  <c r="K4067" i="1"/>
  <c r="J4067" i="1"/>
  <c r="I4067" i="1"/>
  <c r="H4067" i="1"/>
  <c r="G4067" i="1"/>
  <c r="M4066" i="1"/>
  <c r="L4066" i="1"/>
  <c r="K4066" i="1"/>
  <c r="J4066" i="1"/>
  <c r="I4066" i="1"/>
  <c r="H4066" i="1"/>
  <c r="G4066" i="1"/>
  <c r="M4065" i="1"/>
  <c r="L4065" i="1"/>
  <c r="K4065" i="1"/>
  <c r="J4065" i="1"/>
  <c r="I4065" i="1"/>
  <c r="H4065" i="1"/>
  <c r="G4065" i="1"/>
  <c r="M4064" i="1"/>
  <c r="L4064" i="1"/>
  <c r="K4064" i="1"/>
  <c r="J4064" i="1"/>
  <c r="I4064" i="1"/>
  <c r="H4064" i="1"/>
  <c r="G4064" i="1"/>
  <c r="M4063" i="1"/>
  <c r="L4063" i="1"/>
  <c r="K4063" i="1"/>
  <c r="J4063" i="1"/>
  <c r="I4063" i="1"/>
  <c r="H4063" i="1"/>
  <c r="G4063" i="1"/>
  <c r="M4062" i="1"/>
  <c r="L4062" i="1"/>
  <c r="K4062" i="1"/>
  <c r="J4062" i="1"/>
  <c r="I4062" i="1"/>
  <c r="H4062" i="1"/>
  <c r="G4062" i="1"/>
  <c r="M4061" i="1"/>
  <c r="L4061" i="1"/>
  <c r="K4061" i="1"/>
  <c r="J4061" i="1"/>
  <c r="I4061" i="1"/>
  <c r="H4061" i="1"/>
  <c r="G4061" i="1"/>
  <c r="M4060" i="1"/>
  <c r="L4060" i="1"/>
  <c r="K4060" i="1"/>
  <c r="J4060" i="1"/>
  <c r="I4060" i="1"/>
  <c r="H4060" i="1"/>
  <c r="G4060" i="1"/>
  <c r="M4059" i="1"/>
  <c r="L4059" i="1"/>
  <c r="K4059" i="1"/>
  <c r="J4059" i="1"/>
  <c r="I4059" i="1"/>
  <c r="H4059" i="1"/>
  <c r="G4059" i="1"/>
  <c r="M4058" i="1"/>
  <c r="L4058" i="1"/>
  <c r="K4058" i="1"/>
  <c r="J4058" i="1"/>
  <c r="I4058" i="1"/>
  <c r="H4058" i="1"/>
  <c r="G4058" i="1"/>
  <c r="M4057" i="1"/>
  <c r="L4057" i="1"/>
  <c r="K4057" i="1"/>
  <c r="J4057" i="1"/>
  <c r="I4057" i="1"/>
  <c r="H4057" i="1"/>
  <c r="G4057" i="1"/>
  <c r="M4056" i="1"/>
  <c r="L4056" i="1"/>
  <c r="K4056" i="1"/>
  <c r="J4056" i="1"/>
  <c r="I4056" i="1"/>
  <c r="H4056" i="1"/>
  <c r="G4056" i="1"/>
  <c r="M4055" i="1"/>
  <c r="L4055" i="1"/>
  <c r="K4055" i="1"/>
  <c r="J4055" i="1"/>
  <c r="I4055" i="1"/>
  <c r="H4055" i="1"/>
  <c r="G4055" i="1"/>
  <c r="M4054" i="1"/>
  <c r="L4054" i="1"/>
  <c r="K4054" i="1"/>
  <c r="J4054" i="1"/>
  <c r="I4054" i="1"/>
  <c r="H4054" i="1"/>
  <c r="G4054" i="1"/>
  <c r="M4053" i="1"/>
  <c r="L4053" i="1"/>
  <c r="K4053" i="1"/>
  <c r="J4053" i="1"/>
  <c r="I4053" i="1"/>
  <c r="H4053" i="1"/>
  <c r="G4053" i="1"/>
  <c r="M4052" i="1"/>
  <c r="L4052" i="1"/>
  <c r="K4052" i="1"/>
  <c r="J4052" i="1"/>
  <c r="I4052" i="1"/>
  <c r="H4052" i="1"/>
  <c r="G4052" i="1"/>
  <c r="M4051" i="1"/>
  <c r="L4051" i="1"/>
  <c r="K4051" i="1"/>
  <c r="J4051" i="1"/>
  <c r="I4051" i="1"/>
  <c r="H4051" i="1"/>
  <c r="G4051" i="1"/>
  <c r="M4050" i="1"/>
  <c r="L4050" i="1"/>
  <c r="K4050" i="1"/>
  <c r="J4050" i="1"/>
  <c r="I4050" i="1"/>
  <c r="H4050" i="1"/>
  <c r="G4050" i="1"/>
  <c r="M4049" i="1"/>
  <c r="L4049" i="1"/>
  <c r="K4049" i="1"/>
  <c r="J4049" i="1"/>
  <c r="I4049" i="1"/>
  <c r="H4049" i="1"/>
  <c r="G4049" i="1"/>
  <c r="M4048" i="1"/>
  <c r="L4048" i="1"/>
  <c r="K4048" i="1"/>
  <c r="J4048" i="1"/>
  <c r="I4048" i="1"/>
  <c r="H4048" i="1"/>
  <c r="G4048" i="1"/>
  <c r="M4047" i="1"/>
  <c r="L4047" i="1"/>
  <c r="K4047" i="1"/>
  <c r="J4047" i="1"/>
  <c r="I4047" i="1"/>
  <c r="H4047" i="1"/>
  <c r="G4047" i="1"/>
  <c r="M4046" i="1"/>
  <c r="L4046" i="1"/>
  <c r="K4046" i="1"/>
  <c r="J4046" i="1"/>
  <c r="I4046" i="1"/>
  <c r="H4046" i="1"/>
  <c r="G4046" i="1"/>
  <c r="M4045" i="1"/>
  <c r="L4045" i="1"/>
  <c r="K4045" i="1"/>
  <c r="J4045" i="1"/>
  <c r="I4045" i="1"/>
  <c r="H4045" i="1"/>
  <c r="G4045" i="1"/>
  <c r="M4044" i="1"/>
  <c r="L4044" i="1"/>
  <c r="K4044" i="1"/>
  <c r="J4044" i="1"/>
  <c r="I4044" i="1"/>
  <c r="H4044" i="1"/>
  <c r="G4044" i="1"/>
  <c r="M4043" i="1"/>
  <c r="L4043" i="1"/>
  <c r="K4043" i="1"/>
  <c r="J4043" i="1"/>
  <c r="I4043" i="1"/>
  <c r="H4043" i="1"/>
  <c r="G4043" i="1"/>
  <c r="M4042" i="1"/>
  <c r="L4042" i="1"/>
  <c r="K4042" i="1"/>
  <c r="J4042" i="1"/>
  <c r="I4042" i="1"/>
  <c r="H4042" i="1"/>
  <c r="G4042" i="1"/>
  <c r="M4041" i="1"/>
  <c r="L4041" i="1"/>
  <c r="K4041" i="1"/>
  <c r="J4041" i="1"/>
  <c r="I4041" i="1"/>
  <c r="H4041" i="1"/>
  <c r="G4041" i="1"/>
  <c r="M4040" i="1"/>
  <c r="L4040" i="1"/>
  <c r="K4040" i="1"/>
  <c r="J4040" i="1"/>
  <c r="I4040" i="1"/>
  <c r="H4040" i="1"/>
  <c r="G4040" i="1"/>
  <c r="M4039" i="1"/>
  <c r="L4039" i="1"/>
  <c r="K4039" i="1"/>
  <c r="J4039" i="1"/>
  <c r="I4039" i="1"/>
  <c r="H4039" i="1"/>
  <c r="G4039" i="1"/>
  <c r="M4038" i="1"/>
  <c r="L4038" i="1"/>
  <c r="K4038" i="1"/>
  <c r="J4038" i="1"/>
  <c r="I4038" i="1"/>
  <c r="H4038" i="1"/>
  <c r="G4038" i="1"/>
  <c r="M4037" i="1"/>
  <c r="L4037" i="1"/>
  <c r="K4037" i="1"/>
  <c r="J4037" i="1"/>
  <c r="I4037" i="1"/>
  <c r="H4037" i="1"/>
  <c r="G4037" i="1"/>
  <c r="M4036" i="1"/>
  <c r="L4036" i="1"/>
  <c r="K4036" i="1"/>
  <c r="J4036" i="1"/>
  <c r="I4036" i="1"/>
  <c r="H4036" i="1"/>
  <c r="G4036" i="1"/>
  <c r="M4035" i="1"/>
  <c r="L4035" i="1"/>
  <c r="K4035" i="1"/>
  <c r="J4035" i="1"/>
  <c r="I4035" i="1"/>
  <c r="H4035" i="1"/>
  <c r="G4035" i="1"/>
  <c r="M4034" i="1"/>
  <c r="L4034" i="1"/>
  <c r="K4034" i="1"/>
  <c r="J4034" i="1"/>
  <c r="I4034" i="1"/>
  <c r="H4034" i="1"/>
  <c r="G4034" i="1"/>
  <c r="M4033" i="1"/>
  <c r="L4033" i="1"/>
  <c r="K4033" i="1"/>
  <c r="J4033" i="1"/>
  <c r="I4033" i="1"/>
  <c r="H4033" i="1"/>
  <c r="G4033" i="1"/>
  <c r="M4032" i="1"/>
  <c r="L4032" i="1"/>
  <c r="K4032" i="1"/>
  <c r="J4032" i="1"/>
  <c r="I4032" i="1"/>
  <c r="H4032" i="1"/>
  <c r="G4032" i="1"/>
  <c r="M4031" i="1"/>
  <c r="L4031" i="1"/>
  <c r="K4031" i="1"/>
  <c r="J4031" i="1"/>
  <c r="I4031" i="1"/>
  <c r="H4031" i="1"/>
  <c r="G4031" i="1"/>
  <c r="M4030" i="1"/>
  <c r="L4030" i="1"/>
  <c r="K4030" i="1"/>
  <c r="J4030" i="1"/>
  <c r="I4030" i="1"/>
  <c r="H4030" i="1"/>
  <c r="G4030" i="1"/>
  <c r="M4029" i="1"/>
  <c r="L4029" i="1"/>
  <c r="K4029" i="1"/>
  <c r="J4029" i="1"/>
  <c r="I4029" i="1"/>
  <c r="H4029" i="1"/>
  <c r="G4029" i="1"/>
  <c r="M4028" i="1"/>
  <c r="L4028" i="1"/>
  <c r="K4028" i="1"/>
  <c r="J4028" i="1"/>
  <c r="I4028" i="1"/>
  <c r="H4028" i="1"/>
  <c r="G4028" i="1"/>
  <c r="M4027" i="1"/>
  <c r="L4027" i="1"/>
  <c r="K4027" i="1"/>
  <c r="J4027" i="1"/>
  <c r="I4027" i="1"/>
  <c r="H4027" i="1"/>
  <c r="G4027" i="1"/>
  <c r="M4026" i="1"/>
  <c r="L4026" i="1"/>
  <c r="K4026" i="1"/>
  <c r="J4026" i="1"/>
  <c r="I4026" i="1"/>
  <c r="H4026" i="1"/>
  <c r="G4026" i="1"/>
  <c r="M4025" i="1"/>
  <c r="L4025" i="1"/>
  <c r="K4025" i="1"/>
  <c r="J4025" i="1"/>
  <c r="I4025" i="1"/>
  <c r="H4025" i="1"/>
  <c r="G4025" i="1"/>
  <c r="M4024" i="1"/>
  <c r="L4024" i="1"/>
  <c r="K4024" i="1"/>
  <c r="J4024" i="1"/>
  <c r="I4024" i="1"/>
  <c r="H4024" i="1"/>
  <c r="G4024" i="1"/>
  <c r="M4023" i="1"/>
  <c r="L4023" i="1"/>
  <c r="K4023" i="1"/>
  <c r="J4023" i="1"/>
  <c r="I4023" i="1"/>
  <c r="H4023" i="1"/>
  <c r="G4023" i="1"/>
  <c r="M4022" i="1"/>
  <c r="L4022" i="1"/>
  <c r="K4022" i="1"/>
  <c r="J4022" i="1"/>
  <c r="I4022" i="1"/>
  <c r="H4022" i="1"/>
  <c r="G4022" i="1"/>
  <c r="M4021" i="1"/>
  <c r="L4021" i="1"/>
  <c r="K4021" i="1"/>
  <c r="J4021" i="1"/>
  <c r="I4021" i="1"/>
  <c r="H4021" i="1"/>
  <c r="G4021" i="1"/>
  <c r="M4020" i="1"/>
  <c r="L4020" i="1"/>
  <c r="K4020" i="1"/>
  <c r="J4020" i="1"/>
  <c r="I4020" i="1"/>
  <c r="H4020" i="1"/>
  <c r="G4020" i="1"/>
  <c r="M4019" i="1"/>
  <c r="L4019" i="1"/>
  <c r="K4019" i="1"/>
  <c r="J4019" i="1"/>
  <c r="I4019" i="1"/>
  <c r="H4019" i="1"/>
  <c r="G4019" i="1"/>
  <c r="M4018" i="1"/>
  <c r="L4018" i="1"/>
  <c r="K4018" i="1"/>
  <c r="J4018" i="1"/>
  <c r="I4018" i="1"/>
  <c r="H4018" i="1"/>
  <c r="G4018" i="1"/>
  <c r="M4017" i="1"/>
  <c r="L4017" i="1"/>
  <c r="K4017" i="1"/>
  <c r="J4017" i="1"/>
  <c r="I4017" i="1"/>
  <c r="H4017" i="1"/>
  <c r="G4017" i="1"/>
  <c r="M4016" i="1"/>
  <c r="L4016" i="1"/>
  <c r="K4016" i="1"/>
  <c r="J4016" i="1"/>
  <c r="I4016" i="1"/>
  <c r="H4016" i="1"/>
  <c r="G4016" i="1"/>
  <c r="M4015" i="1"/>
  <c r="L4015" i="1"/>
  <c r="K4015" i="1"/>
  <c r="J4015" i="1"/>
  <c r="I4015" i="1"/>
  <c r="H4015" i="1"/>
  <c r="G4015" i="1"/>
  <c r="M4014" i="1"/>
  <c r="L4014" i="1"/>
  <c r="K4014" i="1"/>
  <c r="J4014" i="1"/>
  <c r="I4014" i="1"/>
  <c r="H4014" i="1"/>
  <c r="G4014" i="1"/>
  <c r="M4013" i="1"/>
  <c r="L4013" i="1"/>
  <c r="K4013" i="1"/>
  <c r="J4013" i="1"/>
  <c r="I4013" i="1"/>
  <c r="H4013" i="1"/>
  <c r="G4013" i="1"/>
  <c r="M4012" i="1"/>
  <c r="L4012" i="1"/>
  <c r="K4012" i="1"/>
  <c r="J4012" i="1"/>
  <c r="I4012" i="1"/>
  <c r="H4012" i="1"/>
  <c r="G4012" i="1"/>
  <c r="M4011" i="1"/>
  <c r="L4011" i="1"/>
  <c r="K4011" i="1"/>
  <c r="J4011" i="1"/>
  <c r="I4011" i="1"/>
  <c r="H4011" i="1"/>
  <c r="G4011" i="1"/>
  <c r="M4010" i="1"/>
  <c r="L4010" i="1"/>
  <c r="K4010" i="1"/>
  <c r="J4010" i="1"/>
  <c r="I4010" i="1"/>
  <c r="H4010" i="1"/>
  <c r="G4010" i="1"/>
  <c r="M4009" i="1"/>
  <c r="L4009" i="1"/>
  <c r="K4009" i="1"/>
  <c r="J4009" i="1"/>
  <c r="I4009" i="1"/>
  <c r="H4009" i="1"/>
  <c r="G4009" i="1"/>
  <c r="M4008" i="1"/>
  <c r="L4008" i="1"/>
  <c r="K4008" i="1"/>
  <c r="J4008" i="1"/>
  <c r="I4008" i="1"/>
  <c r="H4008" i="1"/>
  <c r="G4008" i="1"/>
  <c r="M4007" i="1"/>
  <c r="L4007" i="1"/>
  <c r="K4007" i="1"/>
  <c r="J4007" i="1"/>
  <c r="I4007" i="1"/>
  <c r="H4007" i="1"/>
  <c r="G4007" i="1"/>
  <c r="M4006" i="1"/>
  <c r="L4006" i="1"/>
  <c r="K4006" i="1"/>
  <c r="J4006" i="1"/>
  <c r="I4006" i="1"/>
  <c r="H4006" i="1"/>
  <c r="G4006" i="1"/>
  <c r="M4005" i="1"/>
  <c r="L4005" i="1"/>
  <c r="K4005" i="1"/>
  <c r="J4005" i="1"/>
  <c r="I4005" i="1"/>
  <c r="H4005" i="1"/>
  <c r="G4005" i="1"/>
  <c r="M4004" i="1"/>
  <c r="L4004" i="1"/>
  <c r="K4004" i="1"/>
  <c r="J4004" i="1"/>
  <c r="I4004" i="1"/>
  <c r="H4004" i="1"/>
  <c r="G4004" i="1"/>
  <c r="M4003" i="1"/>
  <c r="L4003" i="1"/>
  <c r="K4003" i="1"/>
  <c r="J4003" i="1"/>
  <c r="I4003" i="1"/>
  <c r="H4003" i="1"/>
  <c r="G4003" i="1"/>
  <c r="M4002" i="1"/>
  <c r="L4002" i="1"/>
  <c r="K4002" i="1"/>
  <c r="J4002" i="1"/>
  <c r="I4002" i="1"/>
  <c r="H4002" i="1"/>
  <c r="G4002" i="1"/>
  <c r="M4001" i="1"/>
  <c r="L4001" i="1"/>
  <c r="K4001" i="1"/>
  <c r="J4001" i="1"/>
  <c r="I4001" i="1"/>
  <c r="H4001" i="1"/>
  <c r="G4001" i="1"/>
  <c r="M4000" i="1"/>
  <c r="L4000" i="1"/>
  <c r="K4000" i="1"/>
  <c r="J4000" i="1"/>
  <c r="I4000" i="1"/>
  <c r="H4000" i="1"/>
  <c r="G4000" i="1"/>
  <c r="M3999" i="1"/>
  <c r="L3999" i="1"/>
  <c r="K3999" i="1"/>
  <c r="J3999" i="1"/>
  <c r="I3999" i="1"/>
  <c r="H3999" i="1"/>
  <c r="G3999" i="1"/>
  <c r="M3998" i="1"/>
  <c r="L3998" i="1"/>
  <c r="K3998" i="1"/>
  <c r="J3998" i="1"/>
  <c r="I3998" i="1"/>
  <c r="H3998" i="1"/>
  <c r="G3998" i="1"/>
  <c r="M3997" i="1"/>
  <c r="L3997" i="1"/>
  <c r="K3997" i="1"/>
  <c r="J3997" i="1"/>
  <c r="I3997" i="1"/>
  <c r="H3997" i="1"/>
  <c r="G3997" i="1"/>
  <c r="M3996" i="1"/>
  <c r="L3996" i="1"/>
  <c r="K3996" i="1"/>
  <c r="J3996" i="1"/>
  <c r="I3996" i="1"/>
  <c r="H3996" i="1"/>
  <c r="G3996" i="1"/>
  <c r="M3995" i="1"/>
  <c r="L3995" i="1"/>
  <c r="K3995" i="1"/>
  <c r="J3995" i="1"/>
  <c r="I3995" i="1"/>
  <c r="H3995" i="1"/>
  <c r="G3995" i="1"/>
  <c r="M3994" i="1"/>
  <c r="L3994" i="1"/>
  <c r="K3994" i="1"/>
  <c r="J3994" i="1"/>
  <c r="I3994" i="1"/>
  <c r="H3994" i="1"/>
  <c r="G3994" i="1"/>
  <c r="M3993" i="1"/>
  <c r="L3993" i="1"/>
  <c r="K3993" i="1"/>
  <c r="J3993" i="1"/>
  <c r="I3993" i="1"/>
  <c r="H3993" i="1"/>
  <c r="G3993" i="1"/>
  <c r="M3992" i="1"/>
  <c r="L3992" i="1"/>
  <c r="K3992" i="1"/>
  <c r="J3992" i="1"/>
  <c r="I3992" i="1"/>
  <c r="H3992" i="1"/>
  <c r="G3992" i="1"/>
  <c r="M3991" i="1"/>
  <c r="L3991" i="1"/>
  <c r="K3991" i="1"/>
  <c r="J3991" i="1"/>
  <c r="I3991" i="1"/>
  <c r="H3991" i="1"/>
  <c r="G3991" i="1"/>
  <c r="M3990" i="1"/>
  <c r="L3990" i="1"/>
  <c r="K3990" i="1"/>
  <c r="J3990" i="1"/>
  <c r="I3990" i="1"/>
  <c r="H3990" i="1"/>
  <c r="G3990" i="1"/>
  <c r="M3989" i="1"/>
  <c r="L3989" i="1"/>
  <c r="K3989" i="1"/>
  <c r="J3989" i="1"/>
  <c r="I3989" i="1"/>
  <c r="H3989" i="1"/>
  <c r="G3989" i="1"/>
  <c r="M3988" i="1"/>
  <c r="L3988" i="1"/>
  <c r="K3988" i="1"/>
  <c r="J3988" i="1"/>
  <c r="I3988" i="1"/>
  <c r="H3988" i="1"/>
  <c r="G3988" i="1"/>
  <c r="M3987" i="1"/>
  <c r="L3987" i="1"/>
  <c r="K3987" i="1"/>
  <c r="J3987" i="1"/>
  <c r="I3987" i="1"/>
  <c r="H3987" i="1"/>
  <c r="G3987" i="1"/>
  <c r="M3986" i="1"/>
  <c r="L3986" i="1"/>
  <c r="K3986" i="1"/>
  <c r="J3986" i="1"/>
  <c r="I3986" i="1"/>
  <c r="H3986" i="1"/>
  <c r="G3986" i="1"/>
  <c r="M3985" i="1"/>
  <c r="L3985" i="1"/>
  <c r="K3985" i="1"/>
  <c r="J3985" i="1"/>
  <c r="I3985" i="1"/>
  <c r="H3985" i="1"/>
  <c r="G3985" i="1"/>
  <c r="M3984" i="1"/>
  <c r="L3984" i="1"/>
  <c r="K3984" i="1"/>
  <c r="J3984" i="1"/>
  <c r="I3984" i="1"/>
  <c r="H3984" i="1"/>
  <c r="G3984" i="1"/>
  <c r="M3983" i="1"/>
  <c r="L3983" i="1"/>
  <c r="K3983" i="1"/>
  <c r="J3983" i="1"/>
  <c r="I3983" i="1"/>
  <c r="H3983" i="1"/>
  <c r="G3983" i="1"/>
  <c r="M3982" i="1"/>
  <c r="L3982" i="1"/>
  <c r="K3982" i="1"/>
  <c r="J3982" i="1"/>
  <c r="I3982" i="1"/>
  <c r="H3982" i="1"/>
  <c r="G3982" i="1"/>
  <c r="M3981" i="1"/>
  <c r="L3981" i="1"/>
  <c r="K3981" i="1"/>
  <c r="J3981" i="1"/>
  <c r="I3981" i="1"/>
  <c r="H3981" i="1"/>
  <c r="G3981" i="1"/>
  <c r="M3980" i="1"/>
  <c r="L3980" i="1"/>
  <c r="K3980" i="1"/>
  <c r="J3980" i="1"/>
  <c r="I3980" i="1"/>
  <c r="H3980" i="1"/>
  <c r="G3980" i="1"/>
  <c r="M3979" i="1"/>
  <c r="L3979" i="1"/>
  <c r="K3979" i="1"/>
  <c r="J3979" i="1"/>
  <c r="I3979" i="1"/>
  <c r="H3979" i="1"/>
  <c r="G3979" i="1"/>
  <c r="M3978" i="1"/>
  <c r="L3978" i="1"/>
  <c r="K3978" i="1"/>
  <c r="J3978" i="1"/>
  <c r="I3978" i="1"/>
  <c r="H3978" i="1"/>
  <c r="G3978" i="1"/>
  <c r="M3977" i="1"/>
  <c r="L3977" i="1"/>
  <c r="K3977" i="1"/>
  <c r="J3977" i="1"/>
  <c r="I3977" i="1"/>
  <c r="H3977" i="1"/>
  <c r="G3977" i="1"/>
  <c r="M3976" i="1"/>
  <c r="L3976" i="1"/>
  <c r="K3976" i="1"/>
  <c r="J3976" i="1"/>
  <c r="I3976" i="1"/>
  <c r="H3976" i="1"/>
  <c r="G3976" i="1"/>
  <c r="M3975" i="1"/>
  <c r="L3975" i="1"/>
  <c r="K3975" i="1"/>
  <c r="J3975" i="1"/>
  <c r="I3975" i="1"/>
  <c r="H3975" i="1"/>
  <c r="G3975" i="1"/>
  <c r="M3974" i="1"/>
  <c r="L3974" i="1"/>
  <c r="K3974" i="1"/>
  <c r="J3974" i="1"/>
  <c r="I3974" i="1"/>
  <c r="H3974" i="1"/>
  <c r="G3974" i="1"/>
  <c r="M3973" i="1"/>
  <c r="L3973" i="1"/>
  <c r="K3973" i="1"/>
  <c r="J3973" i="1"/>
  <c r="I3973" i="1"/>
  <c r="H3973" i="1"/>
  <c r="G3973" i="1"/>
  <c r="M3972" i="1"/>
  <c r="L3972" i="1"/>
  <c r="K3972" i="1"/>
  <c r="J3972" i="1"/>
  <c r="I3972" i="1"/>
  <c r="H3972" i="1"/>
  <c r="G3972" i="1"/>
  <c r="M3971" i="1"/>
  <c r="L3971" i="1"/>
  <c r="K3971" i="1"/>
  <c r="J3971" i="1"/>
  <c r="I3971" i="1"/>
  <c r="H3971" i="1"/>
  <c r="G3971" i="1"/>
  <c r="M3970" i="1"/>
  <c r="L3970" i="1"/>
  <c r="K3970" i="1"/>
  <c r="J3970" i="1"/>
  <c r="I3970" i="1"/>
  <c r="H3970" i="1"/>
  <c r="G3970" i="1"/>
  <c r="M3969" i="1"/>
  <c r="L3969" i="1"/>
  <c r="K3969" i="1"/>
  <c r="J3969" i="1"/>
  <c r="I3969" i="1"/>
  <c r="H3969" i="1"/>
  <c r="G3969" i="1"/>
  <c r="M3968" i="1"/>
  <c r="L3968" i="1"/>
  <c r="K3968" i="1"/>
  <c r="J3968" i="1"/>
  <c r="I3968" i="1"/>
  <c r="H3968" i="1"/>
  <c r="G3968" i="1"/>
  <c r="M3967" i="1"/>
  <c r="L3967" i="1"/>
  <c r="K3967" i="1"/>
  <c r="J3967" i="1"/>
  <c r="I3967" i="1"/>
  <c r="H3967" i="1"/>
  <c r="G3967" i="1"/>
  <c r="M3966" i="1"/>
  <c r="L3966" i="1"/>
  <c r="K3966" i="1"/>
  <c r="J3966" i="1"/>
  <c r="I3966" i="1"/>
  <c r="H3966" i="1"/>
  <c r="G3966" i="1"/>
  <c r="M3965" i="1"/>
  <c r="L3965" i="1"/>
  <c r="K3965" i="1"/>
  <c r="J3965" i="1"/>
  <c r="I3965" i="1"/>
  <c r="H3965" i="1"/>
  <c r="G3965" i="1"/>
  <c r="M3964" i="1"/>
  <c r="L3964" i="1"/>
  <c r="K3964" i="1"/>
  <c r="J3964" i="1"/>
  <c r="I3964" i="1"/>
  <c r="H3964" i="1"/>
  <c r="G3964" i="1"/>
  <c r="M3963" i="1"/>
  <c r="L3963" i="1"/>
  <c r="K3963" i="1"/>
  <c r="J3963" i="1"/>
  <c r="I3963" i="1"/>
  <c r="H3963" i="1"/>
  <c r="G3963" i="1"/>
  <c r="M3962" i="1"/>
  <c r="L3962" i="1"/>
  <c r="K3962" i="1"/>
  <c r="J3962" i="1"/>
  <c r="I3962" i="1"/>
  <c r="H3962" i="1"/>
  <c r="G3962" i="1"/>
  <c r="M3961" i="1"/>
  <c r="L3961" i="1"/>
  <c r="K3961" i="1"/>
  <c r="J3961" i="1"/>
  <c r="I3961" i="1"/>
  <c r="H3961" i="1"/>
  <c r="G3961" i="1"/>
  <c r="M3960" i="1"/>
  <c r="L3960" i="1"/>
  <c r="K3960" i="1"/>
  <c r="J3960" i="1"/>
  <c r="I3960" i="1"/>
  <c r="H3960" i="1"/>
  <c r="G3960" i="1"/>
  <c r="M3959" i="1"/>
  <c r="L3959" i="1"/>
  <c r="K3959" i="1"/>
  <c r="J3959" i="1"/>
  <c r="I3959" i="1"/>
  <c r="H3959" i="1"/>
  <c r="G3959" i="1"/>
  <c r="M3958" i="1"/>
  <c r="L3958" i="1"/>
  <c r="K3958" i="1"/>
  <c r="J3958" i="1"/>
  <c r="I3958" i="1"/>
  <c r="H3958" i="1"/>
  <c r="G3958" i="1"/>
  <c r="M3957" i="1"/>
  <c r="L3957" i="1"/>
  <c r="K3957" i="1"/>
  <c r="J3957" i="1"/>
  <c r="I3957" i="1"/>
  <c r="H3957" i="1"/>
  <c r="G3957" i="1"/>
  <c r="M3956" i="1"/>
  <c r="L3956" i="1"/>
  <c r="K3956" i="1"/>
  <c r="J3956" i="1"/>
  <c r="I3956" i="1"/>
  <c r="H3956" i="1"/>
  <c r="G3956" i="1"/>
  <c r="M3955" i="1"/>
  <c r="L3955" i="1"/>
  <c r="K3955" i="1"/>
  <c r="J3955" i="1"/>
  <c r="I3955" i="1"/>
  <c r="H3955" i="1"/>
  <c r="G3955" i="1"/>
  <c r="M3954" i="1"/>
  <c r="L3954" i="1"/>
  <c r="K3954" i="1"/>
  <c r="J3954" i="1"/>
  <c r="I3954" i="1"/>
  <c r="H3954" i="1"/>
  <c r="G3954" i="1"/>
  <c r="M3953" i="1"/>
  <c r="L3953" i="1"/>
  <c r="K3953" i="1"/>
  <c r="J3953" i="1"/>
  <c r="I3953" i="1"/>
  <c r="H3953" i="1"/>
  <c r="G3953" i="1"/>
  <c r="M3952" i="1"/>
  <c r="L3952" i="1"/>
  <c r="K3952" i="1"/>
  <c r="J3952" i="1"/>
  <c r="I3952" i="1"/>
  <c r="H3952" i="1"/>
  <c r="G3952" i="1"/>
  <c r="M3951" i="1"/>
  <c r="L3951" i="1"/>
  <c r="K3951" i="1"/>
  <c r="J3951" i="1"/>
  <c r="I3951" i="1"/>
  <c r="H3951" i="1"/>
  <c r="G3951" i="1"/>
  <c r="M3950" i="1"/>
  <c r="L3950" i="1"/>
  <c r="K3950" i="1"/>
  <c r="J3950" i="1"/>
  <c r="I3950" i="1"/>
  <c r="H3950" i="1"/>
  <c r="G3950" i="1"/>
  <c r="M3949" i="1"/>
  <c r="L3949" i="1"/>
  <c r="K3949" i="1"/>
  <c r="J3949" i="1"/>
  <c r="I3949" i="1"/>
  <c r="H3949" i="1"/>
  <c r="G3949" i="1"/>
  <c r="M3948" i="1"/>
  <c r="L3948" i="1"/>
  <c r="K3948" i="1"/>
  <c r="J3948" i="1"/>
  <c r="I3948" i="1"/>
  <c r="H3948" i="1"/>
  <c r="G3948" i="1"/>
  <c r="M3947" i="1"/>
  <c r="L3947" i="1"/>
  <c r="K3947" i="1"/>
  <c r="J3947" i="1"/>
  <c r="I3947" i="1"/>
  <c r="H3947" i="1"/>
  <c r="G3947" i="1"/>
  <c r="M3946" i="1"/>
  <c r="L3946" i="1"/>
  <c r="K3946" i="1"/>
  <c r="J3946" i="1"/>
  <c r="I3946" i="1"/>
  <c r="H3946" i="1"/>
  <c r="G3946" i="1"/>
  <c r="M3945" i="1"/>
  <c r="L3945" i="1"/>
  <c r="K3945" i="1"/>
  <c r="J3945" i="1"/>
  <c r="I3945" i="1"/>
  <c r="H3945" i="1"/>
  <c r="G3945" i="1"/>
  <c r="M3944" i="1"/>
  <c r="L3944" i="1"/>
  <c r="K3944" i="1"/>
  <c r="J3944" i="1"/>
  <c r="I3944" i="1"/>
  <c r="H3944" i="1"/>
  <c r="G3944" i="1"/>
  <c r="M3943" i="1"/>
  <c r="L3943" i="1"/>
  <c r="K3943" i="1"/>
  <c r="J3943" i="1"/>
  <c r="I3943" i="1"/>
  <c r="H3943" i="1"/>
  <c r="G3943" i="1"/>
  <c r="M3942" i="1"/>
  <c r="L3942" i="1"/>
  <c r="K3942" i="1"/>
  <c r="J3942" i="1"/>
  <c r="I3942" i="1"/>
  <c r="H3942" i="1"/>
  <c r="G3942" i="1"/>
  <c r="M3941" i="1"/>
  <c r="L3941" i="1"/>
  <c r="K3941" i="1"/>
  <c r="J3941" i="1"/>
  <c r="I3941" i="1"/>
  <c r="H3941" i="1"/>
  <c r="G3941" i="1"/>
  <c r="M3940" i="1"/>
  <c r="L3940" i="1"/>
  <c r="K3940" i="1"/>
  <c r="J3940" i="1"/>
  <c r="I3940" i="1"/>
  <c r="H3940" i="1"/>
  <c r="G3940" i="1"/>
  <c r="M3939" i="1"/>
  <c r="L3939" i="1"/>
  <c r="K3939" i="1"/>
  <c r="J3939" i="1"/>
  <c r="I3939" i="1"/>
  <c r="H3939" i="1"/>
  <c r="G3939" i="1"/>
  <c r="M3938" i="1"/>
  <c r="L3938" i="1"/>
  <c r="K3938" i="1"/>
  <c r="J3938" i="1"/>
  <c r="I3938" i="1"/>
  <c r="H3938" i="1"/>
  <c r="G3938" i="1"/>
  <c r="M3937" i="1"/>
  <c r="L3937" i="1"/>
  <c r="K3937" i="1"/>
  <c r="J3937" i="1"/>
  <c r="I3937" i="1"/>
  <c r="H3937" i="1"/>
  <c r="G3937" i="1"/>
  <c r="M3936" i="1"/>
  <c r="L3936" i="1"/>
  <c r="K3936" i="1"/>
  <c r="J3936" i="1"/>
  <c r="I3936" i="1"/>
  <c r="H3936" i="1"/>
  <c r="G3936" i="1"/>
  <c r="M3935" i="1"/>
  <c r="L3935" i="1"/>
  <c r="K3935" i="1"/>
  <c r="J3935" i="1"/>
  <c r="I3935" i="1"/>
  <c r="H3935" i="1"/>
  <c r="G3935" i="1"/>
  <c r="M3934" i="1"/>
  <c r="L3934" i="1"/>
  <c r="K3934" i="1"/>
  <c r="J3934" i="1"/>
  <c r="I3934" i="1"/>
  <c r="H3934" i="1"/>
  <c r="G3934" i="1"/>
  <c r="M3933" i="1"/>
  <c r="L3933" i="1"/>
  <c r="K3933" i="1"/>
  <c r="J3933" i="1"/>
  <c r="I3933" i="1"/>
  <c r="H3933" i="1"/>
  <c r="G3933" i="1"/>
  <c r="M3932" i="1"/>
  <c r="L3932" i="1"/>
  <c r="K3932" i="1"/>
  <c r="J3932" i="1"/>
  <c r="I3932" i="1"/>
  <c r="H3932" i="1"/>
  <c r="G3932" i="1"/>
  <c r="M3931" i="1"/>
  <c r="L3931" i="1"/>
  <c r="K3931" i="1"/>
  <c r="J3931" i="1"/>
  <c r="I3931" i="1"/>
  <c r="H3931" i="1"/>
  <c r="G3931" i="1"/>
  <c r="M3930" i="1"/>
  <c r="L3930" i="1"/>
  <c r="K3930" i="1"/>
  <c r="J3930" i="1"/>
  <c r="I3930" i="1"/>
  <c r="H3930" i="1"/>
  <c r="G3930" i="1"/>
  <c r="M3929" i="1"/>
  <c r="L3929" i="1"/>
  <c r="K3929" i="1"/>
  <c r="J3929" i="1"/>
  <c r="I3929" i="1"/>
  <c r="H3929" i="1"/>
  <c r="G3929" i="1"/>
  <c r="M3928" i="1"/>
  <c r="L3928" i="1"/>
  <c r="K3928" i="1"/>
  <c r="J3928" i="1"/>
  <c r="I3928" i="1"/>
  <c r="H3928" i="1"/>
  <c r="G3928" i="1"/>
  <c r="M3927" i="1"/>
  <c r="L3927" i="1"/>
  <c r="K3927" i="1"/>
  <c r="J3927" i="1"/>
  <c r="I3927" i="1"/>
  <c r="H3927" i="1"/>
  <c r="G3927" i="1"/>
  <c r="M3926" i="1"/>
  <c r="L3926" i="1"/>
  <c r="K3926" i="1"/>
  <c r="J3926" i="1"/>
  <c r="I3926" i="1"/>
  <c r="H3926" i="1"/>
  <c r="G3926" i="1"/>
  <c r="M3925" i="1"/>
  <c r="L3925" i="1"/>
  <c r="K3925" i="1"/>
  <c r="J3925" i="1"/>
  <c r="I3925" i="1"/>
  <c r="H3925" i="1"/>
  <c r="G3925" i="1"/>
  <c r="M3924" i="1"/>
  <c r="L3924" i="1"/>
  <c r="K3924" i="1"/>
  <c r="J3924" i="1"/>
  <c r="I3924" i="1"/>
  <c r="H3924" i="1"/>
  <c r="G3924" i="1"/>
  <c r="M3923" i="1"/>
  <c r="L3923" i="1"/>
  <c r="K3923" i="1"/>
  <c r="J3923" i="1"/>
  <c r="I3923" i="1"/>
  <c r="H3923" i="1"/>
  <c r="G3923" i="1"/>
  <c r="M3922" i="1"/>
  <c r="L3922" i="1"/>
  <c r="K3922" i="1"/>
  <c r="J3922" i="1"/>
  <c r="I3922" i="1"/>
  <c r="H3922" i="1"/>
  <c r="G3922" i="1"/>
  <c r="M3921" i="1"/>
  <c r="L3921" i="1"/>
  <c r="K3921" i="1"/>
  <c r="J3921" i="1"/>
  <c r="I3921" i="1"/>
  <c r="H3921" i="1"/>
  <c r="G3921" i="1"/>
  <c r="M3920" i="1"/>
  <c r="L3920" i="1"/>
  <c r="K3920" i="1"/>
  <c r="J3920" i="1"/>
  <c r="I3920" i="1"/>
  <c r="H3920" i="1"/>
  <c r="G3920" i="1"/>
  <c r="M3919" i="1"/>
  <c r="L3919" i="1"/>
  <c r="K3919" i="1"/>
  <c r="J3919" i="1"/>
  <c r="I3919" i="1"/>
  <c r="H3919" i="1"/>
  <c r="G3919" i="1"/>
  <c r="M3918" i="1"/>
  <c r="L3918" i="1"/>
  <c r="K3918" i="1"/>
  <c r="J3918" i="1"/>
  <c r="I3918" i="1"/>
  <c r="H3918" i="1"/>
  <c r="G3918" i="1"/>
  <c r="M3917" i="1"/>
  <c r="L3917" i="1"/>
  <c r="K3917" i="1"/>
  <c r="J3917" i="1"/>
  <c r="I3917" i="1"/>
  <c r="H3917" i="1"/>
  <c r="G3917" i="1"/>
  <c r="M3916" i="1"/>
  <c r="L3916" i="1"/>
  <c r="K3916" i="1"/>
  <c r="J3916" i="1"/>
  <c r="I3916" i="1"/>
  <c r="H3916" i="1"/>
  <c r="G3916" i="1"/>
  <c r="M3915" i="1"/>
  <c r="L3915" i="1"/>
  <c r="K3915" i="1"/>
  <c r="J3915" i="1"/>
  <c r="I3915" i="1"/>
  <c r="H3915" i="1"/>
  <c r="G3915" i="1"/>
  <c r="M3914" i="1"/>
  <c r="L3914" i="1"/>
  <c r="K3914" i="1"/>
  <c r="J3914" i="1"/>
  <c r="I3914" i="1"/>
  <c r="H3914" i="1"/>
  <c r="G3914" i="1"/>
  <c r="M3913" i="1"/>
  <c r="L3913" i="1"/>
  <c r="K3913" i="1"/>
  <c r="J3913" i="1"/>
  <c r="I3913" i="1"/>
  <c r="H3913" i="1"/>
  <c r="G3913" i="1"/>
  <c r="M3912" i="1"/>
  <c r="L3912" i="1"/>
  <c r="K3912" i="1"/>
  <c r="J3912" i="1"/>
  <c r="I3912" i="1"/>
  <c r="H3912" i="1"/>
  <c r="G3912" i="1"/>
  <c r="M3911" i="1"/>
  <c r="L3911" i="1"/>
  <c r="K3911" i="1"/>
  <c r="J3911" i="1"/>
  <c r="I3911" i="1"/>
  <c r="H3911" i="1"/>
  <c r="G3911" i="1"/>
  <c r="M3910" i="1"/>
  <c r="L3910" i="1"/>
  <c r="K3910" i="1"/>
  <c r="J3910" i="1"/>
  <c r="I3910" i="1"/>
  <c r="H3910" i="1"/>
  <c r="G3910" i="1"/>
  <c r="M3909" i="1"/>
  <c r="L3909" i="1"/>
  <c r="K3909" i="1"/>
  <c r="J3909" i="1"/>
  <c r="I3909" i="1"/>
  <c r="H3909" i="1"/>
  <c r="G3909" i="1"/>
  <c r="M3908" i="1"/>
  <c r="L3908" i="1"/>
  <c r="K3908" i="1"/>
  <c r="J3908" i="1"/>
  <c r="I3908" i="1"/>
  <c r="H3908" i="1"/>
  <c r="G3908" i="1"/>
  <c r="M3907" i="1"/>
  <c r="L3907" i="1"/>
  <c r="K3907" i="1"/>
  <c r="J3907" i="1"/>
  <c r="I3907" i="1"/>
  <c r="H3907" i="1"/>
  <c r="G3907" i="1"/>
  <c r="M3906" i="1"/>
  <c r="L3906" i="1"/>
  <c r="K3906" i="1"/>
  <c r="J3906" i="1"/>
  <c r="I3906" i="1"/>
  <c r="H3906" i="1"/>
  <c r="G3906" i="1"/>
  <c r="M3905" i="1"/>
  <c r="L3905" i="1"/>
  <c r="K3905" i="1"/>
  <c r="J3905" i="1"/>
  <c r="I3905" i="1"/>
  <c r="H3905" i="1"/>
  <c r="G3905" i="1"/>
  <c r="M3904" i="1"/>
  <c r="L3904" i="1"/>
  <c r="K3904" i="1"/>
  <c r="J3904" i="1"/>
  <c r="I3904" i="1"/>
  <c r="H3904" i="1"/>
  <c r="G3904" i="1"/>
  <c r="M3903" i="1"/>
  <c r="L3903" i="1"/>
  <c r="K3903" i="1"/>
  <c r="J3903" i="1"/>
  <c r="I3903" i="1"/>
  <c r="H3903" i="1"/>
  <c r="G3903" i="1"/>
  <c r="M3902" i="1"/>
  <c r="L3902" i="1"/>
  <c r="K3902" i="1"/>
  <c r="J3902" i="1"/>
  <c r="I3902" i="1"/>
  <c r="H3902" i="1"/>
  <c r="G3902" i="1"/>
  <c r="M3901" i="1"/>
  <c r="L3901" i="1"/>
  <c r="K3901" i="1"/>
  <c r="J3901" i="1"/>
  <c r="I3901" i="1"/>
  <c r="H3901" i="1"/>
  <c r="G3901" i="1"/>
  <c r="M3900" i="1"/>
  <c r="L3900" i="1"/>
  <c r="K3900" i="1"/>
  <c r="J3900" i="1"/>
  <c r="I3900" i="1"/>
  <c r="H3900" i="1"/>
  <c r="G3900" i="1"/>
  <c r="M3899" i="1"/>
  <c r="L3899" i="1"/>
  <c r="K3899" i="1"/>
  <c r="J3899" i="1"/>
  <c r="I3899" i="1"/>
  <c r="H3899" i="1"/>
  <c r="G3899" i="1"/>
  <c r="M3898" i="1"/>
  <c r="L3898" i="1"/>
  <c r="K3898" i="1"/>
  <c r="J3898" i="1"/>
  <c r="I3898" i="1"/>
  <c r="H3898" i="1"/>
  <c r="G3898" i="1"/>
  <c r="M3897" i="1"/>
  <c r="L3897" i="1"/>
  <c r="K3897" i="1"/>
  <c r="J3897" i="1"/>
  <c r="I3897" i="1"/>
  <c r="H3897" i="1"/>
  <c r="G3897" i="1"/>
  <c r="M3896" i="1"/>
  <c r="L3896" i="1"/>
  <c r="K3896" i="1"/>
  <c r="J3896" i="1"/>
  <c r="I3896" i="1"/>
  <c r="H3896" i="1"/>
  <c r="G3896" i="1"/>
  <c r="M3895" i="1"/>
  <c r="L3895" i="1"/>
  <c r="K3895" i="1"/>
  <c r="J3895" i="1"/>
  <c r="I3895" i="1"/>
  <c r="H3895" i="1"/>
  <c r="G3895" i="1"/>
  <c r="M3894" i="1"/>
  <c r="L3894" i="1"/>
  <c r="K3894" i="1"/>
  <c r="J3894" i="1"/>
  <c r="I3894" i="1"/>
  <c r="H3894" i="1"/>
  <c r="G3894" i="1"/>
  <c r="M3893" i="1"/>
  <c r="L3893" i="1"/>
  <c r="K3893" i="1"/>
  <c r="J3893" i="1"/>
  <c r="I3893" i="1"/>
  <c r="H3893" i="1"/>
  <c r="G3893" i="1"/>
  <c r="M3892" i="1"/>
  <c r="L3892" i="1"/>
  <c r="K3892" i="1"/>
  <c r="J3892" i="1"/>
  <c r="I3892" i="1"/>
  <c r="H3892" i="1"/>
  <c r="G3892" i="1"/>
  <c r="M3891" i="1"/>
  <c r="L3891" i="1"/>
  <c r="K3891" i="1"/>
  <c r="J3891" i="1"/>
  <c r="I3891" i="1"/>
  <c r="H3891" i="1"/>
  <c r="G3891" i="1"/>
  <c r="M3890" i="1"/>
  <c r="L3890" i="1"/>
  <c r="K3890" i="1"/>
  <c r="J3890" i="1"/>
  <c r="I3890" i="1"/>
  <c r="H3890" i="1"/>
  <c r="G3890" i="1"/>
  <c r="M3889" i="1"/>
  <c r="L3889" i="1"/>
  <c r="K3889" i="1"/>
  <c r="J3889" i="1"/>
  <c r="I3889" i="1"/>
  <c r="H3889" i="1"/>
  <c r="G3889" i="1"/>
  <c r="M3888" i="1"/>
  <c r="L3888" i="1"/>
  <c r="K3888" i="1"/>
  <c r="J3888" i="1"/>
  <c r="I3888" i="1"/>
  <c r="H3888" i="1"/>
  <c r="G3888" i="1"/>
  <c r="M3887" i="1"/>
  <c r="L3887" i="1"/>
  <c r="K3887" i="1"/>
  <c r="J3887" i="1"/>
  <c r="I3887" i="1"/>
  <c r="H3887" i="1"/>
  <c r="G3887" i="1"/>
  <c r="M3886" i="1"/>
  <c r="L3886" i="1"/>
  <c r="K3886" i="1"/>
  <c r="J3886" i="1"/>
  <c r="I3886" i="1"/>
  <c r="H3886" i="1"/>
  <c r="G3886" i="1"/>
  <c r="M3885" i="1"/>
  <c r="L3885" i="1"/>
  <c r="K3885" i="1"/>
  <c r="J3885" i="1"/>
  <c r="I3885" i="1"/>
  <c r="H3885" i="1"/>
  <c r="G3885" i="1"/>
  <c r="M3884" i="1"/>
  <c r="L3884" i="1"/>
  <c r="K3884" i="1"/>
  <c r="J3884" i="1"/>
  <c r="I3884" i="1"/>
  <c r="H3884" i="1"/>
  <c r="G3884" i="1"/>
  <c r="M3883" i="1"/>
  <c r="L3883" i="1"/>
  <c r="K3883" i="1"/>
  <c r="J3883" i="1"/>
  <c r="I3883" i="1"/>
  <c r="H3883" i="1"/>
  <c r="G3883" i="1"/>
  <c r="M3882" i="1"/>
  <c r="L3882" i="1"/>
  <c r="K3882" i="1"/>
  <c r="J3882" i="1"/>
  <c r="I3882" i="1"/>
  <c r="H3882" i="1"/>
  <c r="G3882" i="1"/>
  <c r="M3881" i="1"/>
  <c r="L3881" i="1"/>
  <c r="K3881" i="1"/>
  <c r="J3881" i="1"/>
  <c r="I3881" i="1"/>
  <c r="H3881" i="1"/>
  <c r="G3881" i="1"/>
  <c r="M3880" i="1"/>
  <c r="L3880" i="1"/>
  <c r="K3880" i="1"/>
  <c r="J3880" i="1"/>
  <c r="I3880" i="1"/>
  <c r="H3880" i="1"/>
  <c r="G3880" i="1"/>
  <c r="M3879" i="1"/>
  <c r="L3879" i="1"/>
  <c r="K3879" i="1"/>
  <c r="J3879" i="1"/>
  <c r="I3879" i="1"/>
  <c r="H3879" i="1"/>
  <c r="G3879" i="1"/>
  <c r="M3878" i="1"/>
  <c r="L3878" i="1"/>
  <c r="K3878" i="1"/>
  <c r="J3878" i="1"/>
  <c r="I3878" i="1"/>
  <c r="H3878" i="1"/>
  <c r="G3878" i="1"/>
  <c r="M3877" i="1"/>
  <c r="L3877" i="1"/>
  <c r="K3877" i="1"/>
  <c r="J3877" i="1"/>
  <c r="I3877" i="1"/>
  <c r="H3877" i="1"/>
  <c r="G3877" i="1"/>
  <c r="M3876" i="1"/>
  <c r="L3876" i="1"/>
  <c r="K3876" i="1"/>
  <c r="J3876" i="1"/>
  <c r="I3876" i="1"/>
  <c r="H3876" i="1"/>
  <c r="G3876" i="1"/>
  <c r="M3875" i="1"/>
  <c r="L3875" i="1"/>
  <c r="K3875" i="1"/>
  <c r="J3875" i="1"/>
  <c r="I3875" i="1"/>
  <c r="H3875" i="1"/>
  <c r="G3875" i="1"/>
  <c r="M3874" i="1"/>
  <c r="L3874" i="1"/>
  <c r="K3874" i="1"/>
  <c r="J3874" i="1"/>
  <c r="I3874" i="1"/>
  <c r="H3874" i="1"/>
  <c r="G3874" i="1"/>
  <c r="M3873" i="1"/>
  <c r="L3873" i="1"/>
  <c r="K3873" i="1"/>
  <c r="J3873" i="1"/>
  <c r="I3873" i="1"/>
  <c r="H3873" i="1"/>
  <c r="G3873" i="1"/>
  <c r="M3872" i="1"/>
  <c r="L3872" i="1"/>
  <c r="K3872" i="1"/>
  <c r="J3872" i="1"/>
  <c r="I3872" i="1"/>
  <c r="H3872" i="1"/>
  <c r="G3872" i="1"/>
  <c r="M3871" i="1"/>
  <c r="L3871" i="1"/>
  <c r="K3871" i="1"/>
  <c r="J3871" i="1"/>
  <c r="I3871" i="1"/>
  <c r="H3871" i="1"/>
  <c r="G3871" i="1"/>
  <c r="M3870" i="1"/>
  <c r="L3870" i="1"/>
  <c r="K3870" i="1"/>
  <c r="J3870" i="1"/>
  <c r="I3870" i="1"/>
  <c r="H3870" i="1"/>
  <c r="G3870" i="1"/>
  <c r="M3869" i="1"/>
  <c r="L3869" i="1"/>
  <c r="K3869" i="1"/>
  <c r="J3869" i="1"/>
  <c r="I3869" i="1"/>
  <c r="H3869" i="1"/>
  <c r="G3869" i="1"/>
  <c r="M3868" i="1"/>
  <c r="L3868" i="1"/>
  <c r="K3868" i="1"/>
  <c r="J3868" i="1"/>
  <c r="I3868" i="1"/>
  <c r="H3868" i="1"/>
  <c r="G3868" i="1"/>
  <c r="M3867" i="1"/>
  <c r="L3867" i="1"/>
  <c r="K3867" i="1"/>
  <c r="J3867" i="1"/>
  <c r="I3867" i="1"/>
  <c r="H3867" i="1"/>
  <c r="G3867" i="1"/>
  <c r="M3866" i="1"/>
  <c r="L3866" i="1"/>
  <c r="K3866" i="1"/>
  <c r="J3866" i="1"/>
  <c r="I3866" i="1"/>
  <c r="H3866" i="1"/>
  <c r="G3866" i="1"/>
  <c r="M3865" i="1"/>
  <c r="L3865" i="1"/>
  <c r="K3865" i="1"/>
  <c r="J3865" i="1"/>
  <c r="I3865" i="1"/>
  <c r="H3865" i="1"/>
  <c r="G3865" i="1"/>
  <c r="M3864" i="1"/>
  <c r="L3864" i="1"/>
  <c r="K3864" i="1"/>
  <c r="J3864" i="1"/>
  <c r="I3864" i="1"/>
  <c r="H3864" i="1"/>
  <c r="G3864" i="1"/>
  <c r="M3863" i="1"/>
  <c r="L3863" i="1"/>
  <c r="K3863" i="1"/>
  <c r="J3863" i="1"/>
  <c r="I3863" i="1"/>
  <c r="H3863" i="1"/>
  <c r="G3863" i="1"/>
  <c r="M3862" i="1"/>
  <c r="L3862" i="1"/>
  <c r="K3862" i="1"/>
  <c r="J3862" i="1"/>
  <c r="I3862" i="1"/>
  <c r="H3862" i="1"/>
  <c r="G3862" i="1"/>
  <c r="M3861" i="1"/>
  <c r="L3861" i="1"/>
  <c r="K3861" i="1"/>
  <c r="J3861" i="1"/>
  <c r="I3861" i="1"/>
  <c r="H3861" i="1"/>
  <c r="G3861" i="1"/>
  <c r="M3860" i="1"/>
  <c r="L3860" i="1"/>
  <c r="K3860" i="1"/>
  <c r="J3860" i="1"/>
  <c r="I3860" i="1"/>
  <c r="H3860" i="1"/>
  <c r="G3860" i="1"/>
  <c r="M3859" i="1"/>
  <c r="L3859" i="1"/>
  <c r="K3859" i="1"/>
  <c r="J3859" i="1"/>
  <c r="I3859" i="1"/>
  <c r="H3859" i="1"/>
  <c r="G3859" i="1"/>
  <c r="M3858" i="1"/>
  <c r="L3858" i="1"/>
  <c r="K3858" i="1"/>
  <c r="J3858" i="1"/>
  <c r="I3858" i="1"/>
  <c r="H3858" i="1"/>
  <c r="G3858" i="1"/>
  <c r="M3857" i="1"/>
  <c r="L3857" i="1"/>
  <c r="K3857" i="1"/>
  <c r="J3857" i="1"/>
  <c r="I3857" i="1"/>
  <c r="H3857" i="1"/>
  <c r="G3857" i="1"/>
  <c r="M3856" i="1"/>
  <c r="L3856" i="1"/>
  <c r="K3856" i="1"/>
  <c r="J3856" i="1"/>
  <c r="I3856" i="1"/>
  <c r="H3856" i="1"/>
  <c r="G3856" i="1"/>
  <c r="M3855" i="1"/>
  <c r="L3855" i="1"/>
  <c r="K3855" i="1"/>
  <c r="J3855" i="1"/>
  <c r="I3855" i="1"/>
  <c r="H3855" i="1"/>
  <c r="G3855" i="1"/>
  <c r="M3854" i="1"/>
  <c r="L3854" i="1"/>
  <c r="K3854" i="1"/>
  <c r="J3854" i="1"/>
  <c r="I3854" i="1"/>
  <c r="H3854" i="1"/>
  <c r="G3854" i="1"/>
  <c r="M3853" i="1"/>
  <c r="L3853" i="1"/>
  <c r="K3853" i="1"/>
  <c r="J3853" i="1"/>
  <c r="I3853" i="1"/>
  <c r="H3853" i="1"/>
  <c r="G3853" i="1"/>
  <c r="M3852" i="1"/>
  <c r="L3852" i="1"/>
  <c r="K3852" i="1"/>
  <c r="J3852" i="1"/>
  <c r="I3852" i="1"/>
  <c r="H3852" i="1"/>
  <c r="G3852" i="1"/>
  <c r="M3851" i="1"/>
  <c r="L3851" i="1"/>
  <c r="K3851" i="1"/>
  <c r="J3851" i="1"/>
  <c r="I3851" i="1"/>
  <c r="H3851" i="1"/>
  <c r="G3851" i="1"/>
  <c r="M3850" i="1"/>
  <c r="L3850" i="1"/>
  <c r="K3850" i="1"/>
  <c r="J3850" i="1"/>
  <c r="I3850" i="1"/>
  <c r="H3850" i="1"/>
  <c r="G3850" i="1"/>
  <c r="M3849" i="1"/>
  <c r="L3849" i="1"/>
  <c r="K3849" i="1"/>
  <c r="J3849" i="1"/>
  <c r="I3849" i="1"/>
  <c r="H3849" i="1"/>
  <c r="G3849" i="1"/>
  <c r="M3848" i="1"/>
  <c r="L3848" i="1"/>
  <c r="K3848" i="1"/>
  <c r="J3848" i="1"/>
  <c r="I3848" i="1"/>
  <c r="H3848" i="1"/>
  <c r="G3848" i="1"/>
  <c r="M3847" i="1"/>
  <c r="L3847" i="1"/>
  <c r="K3847" i="1"/>
  <c r="J3847" i="1"/>
  <c r="I3847" i="1"/>
  <c r="H3847" i="1"/>
  <c r="G3847" i="1"/>
  <c r="M3846" i="1"/>
  <c r="L3846" i="1"/>
  <c r="K3846" i="1"/>
  <c r="J3846" i="1"/>
  <c r="I3846" i="1"/>
  <c r="H3846" i="1"/>
  <c r="G3846" i="1"/>
  <c r="M3845" i="1"/>
  <c r="L3845" i="1"/>
  <c r="K3845" i="1"/>
  <c r="J3845" i="1"/>
  <c r="I3845" i="1"/>
  <c r="H3845" i="1"/>
  <c r="G3845" i="1"/>
  <c r="M3844" i="1"/>
  <c r="L3844" i="1"/>
  <c r="K3844" i="1"/>
  <c r="J3844" i="1"/>
  <c r="I3844" i="1"/>
  <c r="H3844" i="1"/>
  <c r="G3844" i="1"/>
  <c r="M3843" i="1"/>
  <c r="L3843" i="1"/>
  <c r="K3843" i="1"/>
  <c r="J3843" i="1"/>
  <c r="I3843" i="1"/>
  <c r="H3843" i="1"/>
  <c r="G3843" i="1"/>
  <c r="M3842" i="1"/>
  <c r="L3842" i="1"/>
  <c r="K3842" i="1"/>
  <c r="J3842" i="1"/>
  <c r="I3842" i="1"/>
  <c r="H3842" i="1"/>
  <c r="G3842" i="1"/>
  <c r="M3841" i="1"/>
  <c r="L3841" i="1"/>
  <c r="K3841" i="1"/>
  <c r="J3841" i="1"/>
  <c r="I3841" i="1"/>
  <c r="H3841" i="1"/>
  <c r="G3841" i="1"/>
  <c r="M3840" i="1"/>
  <c r="L3840" i="1"/>
  <c r="K3840" i="1"/>
  <c r="J3840" i="1"/>
  <c r="I3840" i="1"/>
  <c r="H3840" i="1"/>
  <c r="G3840" i="1"/>
  <c r="M3839" i="1"/>
  <c r="L3839" i="1"/>
  <c r="K3839" i="1"/>
  <c r="J3839" i="1"/>
  <c r="I3839" i="1"/>
  <c r="H3839" i="1"/>
  <c r="G3839" i="1"/>
  <c r="M3838" i="1"/>
  <c r="L3838" i="1"/>
  <c r="K3838" i="1"/>
  <c r="J3838" i="1"/>
  <c r="I3838" i="1"/>
  <c r="H3838" i="1"/>
  <c r="G3838" i="1"/>
  <c r="M3837" i="1"/>
  <c r="L3837" i="1"/>
  <c r="K3837" i="1"/>
  <c r="J3837" i="1"/>
  <c r="I3837" i="1"/>
  <c r="H3837" i="1"/>
  <c r="G3837" i="1"/>
  <c r="M3836" i="1"/>
  <c r="L3836" i="1"/>
  <c r="K3836" i="1"/>
  <c r="J3836" i="1"/>
  <c r="I3836" i="1"/>
  <c r="H3836" i="1"/>
  <c r="G3836" i="1"/>
  <c r="M3835" i="1"/>
  <c r="L3835" i="1"/>
  <c r="K3835" i="1"/>
  <c r="J3835" i="1"/>
  <c r="I3835" i="1"/>
  <c r="H3835" i="1"/>
  <c r="G3835" i="1"/>
  <c r="M3834" i="1"/>
  <c r="L3834" i="1"/>
  <c r="K3834" i="1"/>
  <c r="J3834" i="1"/>
  <c r="I3834" i="1"/>
  <c r="H3834" i="1"/>
  <c r="G3834" i="1"/>
  <c r="M3833" i="1"/>
  <c r="L3833" i="1"/>
  <c r="K3833" i="1"/>
  <c r="J3833" i="1"/>
  <c r="I3833" i="1"/>
  <c r="H3833" i="1"/>
  <c r="G3833" i="1"/>
  <c r="M3832" i="1"/>
  <c r="L3832" i="1"/>
  <c r="K3832" i="1"/>
  <c r="J3832" i="1"/>
  <c r="I3832" i="1"/>
  <c r="H3832" i="1"/>
  <c r="G3832" i="1"/>
  <c r="M3831" i="1"/>
  <c r="L3831" i="1"/>
  <c r="K3831" i="1"/>
  <c r="J3831" i="1"/>
  <c r="I3831" i="1"/>
  <c r="H3831" i="1"/>
  <c r="G3831" i="1"/>
  <c r="M3830" i="1"/>
  <c r="L3830" i="1"/>
  <c r="K3830" i="1"/>
  <c r="J3830" i="1"/>
  <c r="I3830" i="1"/>
  <c r="H3830" i="1"/>
  <c r="G3830" i="1"/>
  <c r="M3829" i="1"/>
  <c r="L3829" i="1"/>
  <c r="K3829" i="1"/>
  <c r="J3829" i="1"/>
  <c r="I3829" i="1"/>
  <c r="H3829" i="1"/>
  <c r="G3829" i="1"/>
  <c r="M3828" i="1"/>
  <c r="L3828" i="1"/>
  <c r="K3828" i="1"/>
  <c r="J3828" i="1"/>
  <c r="I3828" i="1"/>
  <c r="H3828" i="1"/>
  <c r="G3828" i="1"/>
  <c r="M3827" i="1"/>
  <c r="L3827" i="1"/>
  <c r="K3827" i="1"/>
  <c r="J3827" i="1"/>
  <c r="I3827" i="1"/>
  <c r="H3827" i="1"/>
  <c r="G3827" i="1"/>
  <c r="M3826" i="1"/>
  <c r="L3826" i="1"/>
  <c r="K3826" i="1"/>
  <c r="J3826" i="1"/>
  <c r="I3826" i="1"/>
  <c r="H3826" i="1"/>
  <c r="G3826" i="1"/>
  <c r="M3825" i="1"/>
  <c r="L3825" i="1"/>
  <c r="K3825" i="1"/>
  <c r="J3825" i="1"/>
  <c r="I3825" i="1"/>
  <c r="H3825" i="1"/>
  <c r="G3825" i="1"/>
  <c r="M3824" i="1"/>
  <c r="L3824" i="1"/>
  <c r="K3824" i="1"/>
  <c r="J3824" i="1"/>
  <c r="I3824" i="1"/>
  <c r="H3824" i="1"/>
  <c r="G3824" i="1"/>
  <c r="M3823" i="1"/>
  <c r="L3823" i="1"/>
  <c r="K3823" i="1"/>
  <c r="J3823" i="1"/>
  <c r="I3823" i="1"/>
  <c r="H3823" i="1"/>
  <c r="G3823" i="1"/>
  <c r="M3822" i="1"/>
  <c r="L3822" i="1"/>
  <c r="K3822" i="1"/>
  <c r="J3822" i="1"/>
  <c r="I3822" i="1"/>
  <c r="H3822" i="1"/>
  <c r="G3822" i="1"/>
  <c r="M3821" i="1"/>
  <c r="L3821" i="1"/>
  <c r="K3821" i="1"/>
  <c r="J3821" i="1"/>
  <c r="I3821" i="1"/>
  <c r="H3821" i="1"/>
  <c r="G3821" i="1"/>
  <c r="M3820" i="1"/>
  <c r="L3820" i="1"/>
  <c r="K3820" i="1"/>
  <c r="J3820" i="1"/>
  <c r="I3820" i="1"/>
  <c r="H3820" i="1"/>
  <c r="G3820" i="1"/>
  <c r="M3819" i="1"/>
  <c r="L3819" i="1"/>
  <c r="K3819" i="1"/>
  <c r="J3819" i="1"/>
  <c r="I3819" i="1"/>
  <c r="H3819" i="1"/>
  <c r="G3819" i="1"/>
  <c r="M3818" i="1"/>
  <c r="L3818" i="1"/>
  <c r="K3818" i="1"/>
  <c r="J3818" i="1"/>
  <c r="I3818" i="1"/>
  <c r="H3818" i="1"/>
  <c r="G3818" i="1"/>
  <c r="M3817" i="1"/>
  <c r="L3817" i="1"/>
  <c r="K3817" i="1"/>
  <c r="J3817" i="1"/>
  <c r="I3817" i="1"/>
  <c r="H3817" i="1"/>
  <c r="G3817" i="1"/>
  <c r="M3816" i="1"/>
  <c r="L3816" i="1"/>
  <c r="K3816" i="1"/>
  <c r="J3816" i="1"/>
  <c r="I3816" i="1"/>
  <c r="H3816" i="1"/>
  <c r="G3816" i="1"/>
  <c r="M3815" i="1"/>
  <c r="L3815" i="1"/>
  <c r="K3815" i="1"/>
  <c r="J3815" i="1"/>
  <c r="I3815" i="1"/>
  <c r="H3815" i="1"/>
  <c r="G3815" i="1"/>
  <c r="M3814" i="1"/>
  <c r="L3814" i="1"/>
  <c r="K3814" i="1"/>
  <c r="J3814" i="1"/>
  <c r="I3814" i="1"/>
  <c r="H3814" i="1"/>
  <c r="G3814" i="1"/>
  <c r="M3813" i="1"/>
  <c r="L3813" i="1"/>
  <c r="K3813" i="1"/>
  <c r="J3813" i="1"/>
  <c r="I3813" i="1"/>
  <c r="H3813" i="1"/>
  <c r="G3813" i="1"/>
  <c r="M3812" i="1"/>
  <c r="L3812" i="1"/>
  <c r="K3812" i="1"/>
  <c r="J3812" i="1"/>
  <c r="I3812" i="1"/>
  <c r="H3812" i="1"/>
  <c r="G3812" i="1"/>
  <c r="M3811" i="1"/>
  <c r="L3811" i="1"/>
  <c r="K3811" i="1"/>
  <c r="J3811" i="1"/>
  <c r="I3811" i="1"/>
  <c r="H3811" i="1"/>
  <c r="G3811" i="1"/>
  <c r="M3810" i="1"/>
  <c r="L3810" i="1"/>
  <c r="K3810" i="1"/>
  <c r="J3810" i="1"/>
  <c r="I3810" i="1"/>
  <c r="H3810" i="1"/>
  <c r="G3810" i="1"/>
  <c r="M3809" i="1"/>
  <c r="L3809" i="1"/>
  <c r="K3809" i="1"/>
  <c r="J3809" i="1"/>
  <c r="I3809" i="1"/>
  <c r="H3809" i="1"/>
  <c r="G3809" i="1"/>
  <c r="M3808" i="1"/>
  <c r="L3808" i="1"/>
  <c r="K3808" i="1"/>
  <c r="J3808" i="1"/>
  <c r="I3808" i="1"/>
  <c r="H3808" i="1"/>
  <c r="G3808" i="1"/>
  <c r="M3807" i="1"/>
  <c r="L3807" i="1"/>
  <c r="K3807" i="1"/>
  <c r="J3807" i="1"/>
  <c r="I3807" i="1"/>
  <c r="H3807" i="1"/>
  <c r="G3807" i="1"/>
  <c r="M3806" i="1"/>
  <c r="L3806" i="1"/>
  <c r="K3806" i="1"/>
  <c r="J3806" i="1"/>
  <c r="I3806" i="1"/>
  <c r="H3806" i="1"/>
  <c r="G3806" i="1"/>
  <c r="M3805" i="1"/>
  <c r="L3805" i="1"/>
  <c r="K3805" i="1"/>
  <c r="J3805" i="1"/>
  <c r="I3805" i="1"/>
  <c r="H3805" i="1"/>
  <c r="G3805" i="1"/>
  <c r="M3804" i="1"/>
  <c r="L3804" i="1"/>
  <c r="K3804" i="1"/>
  <c r="J3804" i="1"/>
  <c r="I3804" i="1"/>
  <c r="H3804" i="1"/>
  <c r="G3804" i="1"/>
  <c r="M3803" i="1"/>
  <c r="L3803" i="1"/>
  <c r="K3803" i="1"/>
  <c r="J3803" i="1"/>
  <c r="I3803" i="1"/>
  <c r="H3803" i="1"/>
  <c r="G3803" i="1"/>
  <c r="M3802" i="1"/>
  <c r="L3802" i="1"/>
  <c r="K3802" i="1"/>
  <c r="J3802" i="1"/>
  <c r="I3802" i="1"/>
  <c r="H3802" i="1"/>
  <c r="G3802" i="1"/>
  <c r="M3801" i="1"/>
  <c r="L3801" i="1"/>
  <c r="K3801" i="1"/>
  <c r="J3801" i="1"/>
  <c r="I3801" i="1"/>
  <c r="H3801" i="1"/>
  <c r="G3801" i="1"/>
  <c r="M3800" i="1"/>
  <c r="L3800" i="1"/>
  <c r="K3800" i="1"/>
  <c r="J3800" i="1"/>
  <c r="I3800" i="1"/>
  <c r="H3800" i="1"/>
  <c r="G3800" i="1"/>
  <c r="M3799" i="1"/>
  <c r="L3799" i="1"/>
  <c r="K3799" i="1"/>
  <c r="J3799" i="1"/>
  <c r="I3799" i="1"/>
  <c r="H3799" i="1"/>
  <c r="G3799" i="1"/>
  <c r="M3798" i="1"/>
  <c r="L3798" i="1"/>
  <c r="K3798" i="1"/>
  <c r="J3798" i="1"/>
  <c r="I3798" i="1"/>
  <c r="H3798" i="1"/>
  <c r="G3798" i="1"/>
  <c r="M3797" i="1"/>
  <c r="L3797" i="1"/>
  <c r="K3797" i="1"/>
  <c r="J3797" i="1"/>
  <c r="I3797" i="1"/>
  <c r="H3797" i="1"/>
  <c r="G3797" i="1"/>
  <c r="M3796" i="1"/>
  <c r="L3796" i="1"/>
  <c r="K3796" i="1"/>
  <c r="J3796" i="1"/>
  <c r="I3796" i="1"/>
  <c r="H3796" i="1"/>
  <c r="G3796" i="1"/>
  <c r="M3795" i="1"/>
  <c r="L3795" i="1"/>
  <c r="K3795" i="1"/>
  <c r="J3795" i="1"/>
  <c r="I3795" i="1"/>
  <c r="H3795" i="1"/>
  <c r="G3795" i="1"/>
  <c r="M3794" i="1"/>
  <c r="L3794" i="1"/>
  <c r="K3794" i="1"/>
  <c r="J3794" i="1"/>
  <c r="I3794" i="1"/>
  <c r="H3794" i="1"/>
  <c r="G3794" i="1"/>
  <c r="M3793" i="1"/>
  <c r="L3793" i="1"/>
  <c r="K3793" i="1"/>
  <c r="J3793" i="1"/>
  <c r="I3793" i="1"/>
  <c r="H3793" i="1"/>
  <c r="G3793" i="1"/>
  <c r="M3792" i="1"/>
  <c r="L3792" i="1"/>
  <c r="K3792" i="1"/>
  <c r="J3792" i="1"/>
  <c r="I3792" i="1"/>
  <c r="H3792" i="1"/>
  <c r="G3792" i="1"/>
  <c r="M3791" i="1"/>
  <c r="L3791" i="1"/>
  <c r="K3791" i="1"/>
  <c r="J3791" i="1"/>
  <c r="I3791" i="1"/>
  <c r="H3791" i="1"/>
  <c r="G3791" i="1"/>
  <c r="M3790" i="1"/>
  <c r="L3790" i="1"/>
  <c r="K3790" i="1"/>
  <c r="J3790" i="1"/>
  <c r="I3790" i="1"/>
  <c r="H3790" i="1"/>
  <c r="G3790" i="1"/>
  <c r="M3789" i="1"/>
  <c r="L3789" i="1"/>
  <c r="K3789" i="1"/>
  <c r="J3789" i="1"/>
  <c r="I3789" i="1"/>
  <c r="H3789" i="1"/>
  <c r="G3789" i="1"/>
  <c r="M3788" i="1"/>
  <c r="L3788" i="1"/>
  <c r="K3788" i="1"/>
  <c r="J3788" i="1"/>
  <c r="I3788" i="1"/>
  <c r="H3788" i="1"/>
  <c r="G3788" i="1"/>
  <c r="M3787" i="1"/>
  <c r="L3787" i="1"/>
  <c r="K3787" i="1"/>
  <c r="J3787" i="1"/>
  <c r="I3787" i="1"/>
  <c r="H3787" i="1"/>
  <c r="G3787" i="1"/>
  <c r="M3786" i="1"/>
  <c r="L3786" i="1"/>
  <c r="K3786" i="1"/>
  <c r="J3786" i="1"/>
  <c r="I3786" i="1"/>
  <c r="H3786" i="1"/>
  <c r="G3786" i="1"/>
  <c r="M3785" i="1"/>
  <c r="L3785" i="1"/>
  <c r="K3785" i="1"/>
  <c r="J3785" i="1"/>
  <c r="I3785" i="1"/>
  <c r="H3785" i="1"/>
  <c r="G3785" i="1"/>
  <c r="M3784" i="1"/>
  <c r="L3784" i="1"/>
  <c r="K3784" i="1"/>
  <c r="J3784" i="1"/>
  <c r="I3784" i="1"/>
  <c r="H3784" i="1"/>
  <c r="G3784" i="1"/>
  <c r="M3783" i="1"/>
  <c r="L3783" i="1"/>
  <c r="K3783" i="1"/>
  <c r="J3783" i="1"/>
  <c r="I3783" i="1"/>
  <c r="H3783" i="1"/>
  <c r="G3783" i="1"/>
  <c r="M3782" i="1"/>
  <c r="L3782" i="1"/>
  <c r="K3782" i="1"/>
  <c r="J3782" i="1"/>
  <c r="I3782" i="1"/>
  <c r="H3782" i="1"/>
  <c r="G3782" i="1"/>
  <c r="M3781" i="1"/>
  <c r="L3781" i="1"/>
  <c r="K3781" i="1"/>
  <c r="J3781" i="1"/>
  <c r="I3781" i="1"/>
  <c r="H3781" i="1"/>
  <c r="G3781" i="1"/>
  <c r="M3780" i="1"/>
  <c r="L3780" i="1"/>
  <c r="K3780" i="1"/>
  <c r="J3780" i="1"/>
  <c r="I3780" i="1"/>
  <c r="H3780" i="1"/>
  <c r="G3780" i="1"/>
  <c r="M3779" i="1"/>
  <c r="L3779" i="1"/>
  <c r="K3779" i="1"/>
  <c r="J3779" i="1"/>
  <c r="I3779" i="1"/>
  <c r="H3779" i="1"/>
  <c r="G3779" i="1"/>
  <c r="M3778" i="1"/>
  <c r="L3778" i="1"/>
  <c r="K3778" i="1"/>
  <c r="J3778" i="1"/>
  <c r="I3778" i="1"/>
  <c r="H3778" i="1"/>
  <c r="G3778" i="1"/>
  <c r="M3777" i="1"/>
  <c r="L3777" i="1"/>
  <c r="K3777" i="1"/>
  <c r="J3777" i="1"/>
  <c r="I3777" i="1"/>
  <c r="H3777" i="1"/>
  <c r="G3777" i="1"/>
  <c r="M3776" i="1"/>
  <c r="L3776" i="1"/>
  <c r="K3776" i="1"/>
  <c r="J3776" i="1"/>
  <c r="I3776" i="1"/>
  <c r="H3776" i="1"/>
  <c r="G3776" i="1"/>
  <c r="M3775" i="1"/>
  <c r="L3775" i="1"/>
  <c r="K3775" i="1"/>
  <c r="J3775" i="1"/>
  <c r="I3775" i="1"/>
  <c r="H3775" i="1"/>
  <c r="G3775" i="1"/>
  <c r="M3774" i="1"/>
  <c r="L3774" i="1"/>
  <c r="K3774" i="1"/>
  <c r="J3774" i="1"/>
  <c r="I3774" i="1"/>
  <c r="H3774" i="1"/>
  <c r="G3774" i="1"/>
  <c r="M3773" i="1"/>
  <c r="L3773" i="1"/>
  <c r="K3773" i="1"/>
  <c r="J3773" i="1"/>
  <c r="I3773" i="1"/>
  <c r="H3773" i="1"/>
  <c r="G3773" i="1"/>
  <c r="M3772" i="1"/>
  <c r="L3772" i="1"/>
  <c r="K3772" i="1"/>
  <c r="J3772" i="1"/>
  <c r="I3772" i="1"/>
  <c r="H3772" i="1"/>
  <c r="G3772" i="1"/>
  <c r="M3771" i="1"/>
  <c r="L3771" i="1"/>
  <c r="K3771" i="1"/>
  <c r="J3771" i="1"/>
  <c r="I3771" i="1"/>
  <c r="H3771" i="1"/>
  <c r="G3771" i="1"/>
  <c r="M3770" i="1"/>
  <c r="L3770" i="1"/>
  <c r="K3770" i="1"/>
  <c r="J3770" i="1"/>
  <c r="I3770" i="1"/>
  <c r="H3770" i="1"/>
  <c r="G3770" i="1"/>
  <c r="M3769" i="1"/>
  <c r="L3769" i="1"/>
  <c r="K3769" i="1"/>
  <c r="J3769" i="1"/>
  <c r="I3769" i="1"/>
  <c r="H3769" i="1"/>
  <c r="G3769" i="1"/>
  <c r="M3768" i="1"/>
  <c r="L3768" i="1"/>
  <c r="K3768" i="1"/>
  <c r="J3768" i="1"/>
  <c r="I3768" i="1"/>
  <c r="H3768" i="1"/>
  <c r="G3768" i="1"/>
  <c r="M3767" i="1"/>
  <c r="L3767" i="1"/>
  <c r="K3767" i="1"/>
  <c r="J3767" i="1"/>
  <c r="I3767" i="1"/>
  <c r="H3767" i="1"/>
  <c r="G3767" i="1"/>
  <c r="M3766" i="1"/>
  <c r="L3766" i="1"/>
  <c r="K3766" i="1"/>
  <c r="J3766" i="1"/>
  <c r="I3766" i="1"/>
  <c r="H3766" i="1"/>
  <c r="G3766" i="1"/>
  <c r="M3765" i="1"/>
  <c r="L3765" i="1"/>
  <c r="K3765" i="1"/>
  <c r="J3765" i="1"/>
  <c r="I3765" i="1"/>
  <c r="H3765" i="1"/>
  <c r="G3765" i="1"/>
  <c r="M3764" i="1"/>
  <c r="L3764" i="1"/>
  <c r="K3764" i="1"/>
  <c r="J3764" i="1"/>
  <c r="I3764" i="1"/>
  <c r="H3764" i="1"/>
  <c r="G3764" i="1"/>
  <c r="M3763" i="1"/>
  <c r="L3763" i="1"/>
  <c r="K3763" i="1"/>
  <c r="J3763" i="1"/>
  <c r="I3763" i="1"/>
  <c r="H3763" i="1"/>
  <c r="G3763" i="1"/>
  <c r="M3762" i="1"/>
  <c r="L3762" i="1"/>
  <c r="K3762" i="1"/>
  <c r="J3762" i="1"/>
  <c r="I3762" i="1"/>
  <c r="H3762" i="1"/>
  <c r="G3762" i="1"/>
  <c r="M3761" i="1"/>
  <c r="L3761" i="1"/>
  <c r="K3761" i="1"/>
  <c r="J3761" i="1"/>
  <c r="I3761" i="1"/>
  <c r="H3761" i="1"/>
  <c r="G3761" i="1"/>
  <c r="M3760" i="1"/>
  <c r="L3760" i="1"/>
  <c r="K3760" i="1"/>
  <c r="J3760" i="1"/>
  <c r="I3760" i="1"/>
  <c r="H3760" i="1"/>
  <c r="G3760" i="1"/>
  <c r="M3759" i="1"/>
  <c r="L3759" i="1"/>
  <c r="K3759" i="1"/>
  <c r="J3759" i="1"/>
  <c r="I3759" i="1"/>
  <c r="H3759" i="1"/>
  <c r="G3759" i="1"/>
  <c r="M3758" i="1"/>
  <c r="L3758" i="1"/>
  <c r="K3758" i="1"/>
  <c r="J3758" i="1"/>
  <c r="I3758" i="1"/>
  <c r="H3758" i="1"/>
  <c r="G3758" i="1"/>
  <c r="M3757" i="1"/>
  <c r="L3757" i="1"/>
  <c r="K3757" i="1"/>
  <c r="J3757" i="1"/>
  <c r="I3757" i="1"/>
  <c r="H3757" i="1"/>
  <c r="G3757" i="1"/>
  <c r="M3756" i="1"/>
  <c r="L3756" i="1"/>
  <c r="K3756" i="1"/>
  <c r="J3756" i="1"/>
  <c r="I3756" i="1"/>
  <c r="H3756" i="1"/>
  <c r="G3756" i="1"/>
  <c r="M3755" i="1"/>
  <c r="L3755" i="1"/>
  <c r="K3755" i="1"/>
  <c r="J3755" i="1"/>
  <c r="I3755" i="1"/>
  <c r="H3755" i="1"/>
  <c r="G3755" i="1"/>
  <c r="M3754" i="1"/>
  <c r="L3754" i="1"/>
  <c r="K3754" i="1"/>
  <c r="J3754" i="1"/>
  <c r="I3754" i="1"/>
  <c r="H3754" i="1"/>
  <c r="G3754" i="1"/>
  <c r="M3753" i="1"/>
  <c r="L3753" i="1"/>
  <c r="K3753" i="1"/>
  <c r="J3753" i="1"/>
  <c r="I3753" i="1"/>
  <c r="H3753" i="1"/>
  <c r="G3753" i="1"/>
  <c r="M3752" i="1"/>
  <c r="L3752" i="1"/>
  <c r="K3752" i="1"/>
  <c r="J3752" i="1"/>
  <c r="I3752" i="1"/>
  <c r="H3752" i="1"/>
  <c r="G3752" i="1"/>
  <c r="M3751" i="1"/>
  <c r="L3751" i="1"/>
  <c r="K3751" i="1"/>
  <c r="J3751" i="1"/>
  <c r="I3751" i="1"/>
  <c r="H3751" i="1"/>
  <c r="G3751" i="1"/>
  <c r="M3750" i="1"/>
  <c r="L3750" i="1"/>
  <c r="K3750" i="1"/>
  <c r="J3750" i="1"/>
  <c r="I3750" i="1"/>
  <c r="H3750" i="1"/>
  <c r="G3750" i="1"/>
  <c r="M3749" i="1"/>
  <c r="L3749" i="1"/>
  <c r="K3749" i="1"/>
  <c r="J3749" i="1"/>
  <c r="I3749" i="1"/>
  <c r="H3749" i="1"/>
  <c r="G3749" i="1"/>
  <c r="M3748" i="1"/>
  <c r="L3748" i="1"/>
  <c r="K3748" i="1"/>
  <c r="J3748" i="1"/>
  <c r="I3748" i="1"/>
  <c r="H3748" i="1"/>
  <c r="G3748" i="1"/>
  <c r="M3747" i="1"/>
  <c r="L3747" i="1"/>
  <c r="K3747" i="1"/>
  <c r="J3747" i="1"/>
  <c r="I3747" i="1"/>
  <c r="H3747" i="1"/>
  <c r="G3747" i="1"/>
  <c r="M3746" i="1"/>
  <c r="L3746" i="1"/>
  <c r="K3746" i="1"/>
  <c r="J3746" i="1"/>
  <c r="I3746" i="1"/>
  <c r="H3746" i="1"/>
  <c r="G3746" i="1"/>
  <c r="M3745" i="1"/>
  <c r="L3745" i="1"/>
  <c r="K3745" i="1"/>
  <c r="J3745" i="1"/>
  <c r="I3745" i="1"/>
  <c r="H3745" i="1"/>
  <c r="G3745" i="1"/>
  <c r="M3744" i="1"/>
  <c r="L3744" i="1"/>
  <c r="K3744" i="1"/>
  <c r="J3744" i="1"/>
  <c r="I3744" i="1"/>
  <c r="H3744" i="1"/>
  <c r="G3744" i="1"/>
  <c r="M3743" i="1"/>
  <c r="L3743" i="1"/>
  <c r="K3743" i="1"/>
  <c r="J3743" i="1"/>
  <c r="I3743" i="1"/>
  <c r="H3743" i="1"/>
  <c r="G3743" i="1"/>
  <c r="M3742" i="1"/>
  <c r="L3742" i="1"/>
  <c r="K3742" i="1"/>
  <c r="J3742" i="1"/>
  <c r="I3742" i="1"/>
  <c r="H3742" i="1"/>
  <c r="G3742" i="1"/>
  <c r="M3741" i="1"/>
  <c r="L3741" i="1"/>
  <c r="K3741" i="1"/>
  <c r="J3741" i="1"/>
  <c r="I3741" i="1"/>
  <c r="H3741" i="1"/>
  <c r="G3741" i="1"/>
  <c r="M3740" i="1"/>
  <c r="L3740" i="1"/>
  <c r="K3740" i="1"/>
  <c r="J3740" i="1"/>
  <c r="I3740" i="1"/>
  <c r="H3740" i="1"/>
  <c r="G3740" i="1"/>
  <c r="M3739" i="1"/>
  <c r="L3739" i="1"/>
  <c r="K3739" i="1"/>
  <c r="J3739" i="1"/>
  <c r="I3739" i="1"/>
  <c r="H3739" i="1"/>
  <c r="G3739" i="1"/>
  <c r="M3738" i="1"/>
  <c r="L3738" i="1"/>
  <c r="K3738" i="1"/>
  <c r="J3738" i="1"/>
  <c r="I3738" i="1"/>
  <c r="H3738" i="1"/>
  <c r="G3738" i="1"/>
  <c r="M3737" i="1"/>
  <c r="L3737" i="1"/>
  <c r="K3737" i="1"/>
  <c r="J3737" i="1"/>
  <c r="I3737" i="1"/>
  <c r="H3737" i="1"/>
  <c r="G3737" i="1"/>
  <c r="M3736" i="1"/>
  <c r="L3736" i="1"/>
  <c r="K3736" i="1"/>
  <c r="J3736" i="1"/>
  <c r="I3736" i="1"/>
  <c r="H3736" i="1"/>
  <c r="G3736" i="1"/>
  <c r="M3735" i="1"/>
  <c r="L3735" i="1"/>
  <c r="K3735" i="1"/>
  <c r="J3735" i="1"/>
  <c r="I3735" i="1"/>
  <c r="H3735" i="1"/>
  <c r="G3735" i="1"/>
  <c r="M3734" i="1"/>
  <c r="L3734" i="1"/>
  <c r="K3734" i="1"/>
  <c r="J3734" i="1"/>
  <c r="I3734" i="1"/>
  <c r="H3734" i="1"/>
  <c r="G3734" i="1"/>
  <c r="M3733" i="1"/>
  <c r="L3733" i="1"/>
  <c r="K3733" i="1"/>
  <c r="J3733" i="1"/>
  <c r="I3733" i="1"/>
  <c r="H3733" i="1"/>
  <c r="G3733" i="1"/>
  <c r="M3732" i="1"/>
  <c r="L3732" i="1"/>
  <c r="K3732" i="1"/>
  <c r="J3732" i="1"/>
  <c r="I3732" i="1"/>
  <c r="H3732" i="1"/>
  <c r="G3732" i="1"/>
  <c r="M3731" i="1"/>
  <c r="L3731" i="1"/>
  <c r="K3731" i="1"/>
  <c r="J3731" i="1"/>
  <c r="I3731" i="1"/>
  <c r="H3731" i="1"/>
  <c r="G3731" i="1"/>
  <c r="M3730" i="1"/>
  <c r="L3730" i="1"/>
  <c r="K3730" i="1"/>
  <c r="J3730" i="1"/>
  <c r="I3730" i="1"/>
  <c r="H3730" i="1"/>
  <c r="G3730" i="1"/>
  <c r="M3729" i="1"/>
  <c r="L3729" i="1"/>
  <c r="K3729" i="1"/>
  <c r="J3729" i="1"/>
  <c r="I3729" i="1"/>
  <c r="H3729" i="1"/>
  <c r="G3729" i="1"/>
  <c r="M3728" i="1"/>
  <c r="L3728" i="1"/>
  <c r="K3728" i="1"/>
  <c r="J3728" i="1"/>
  <c r="I3728" i="1"/>
  <c r="H3728" i="1"/>
  <c r="G3728" i="1"/>
  <c r="M3727" i="1"/>
  <c r="L3727" i="1"/>
  <c r="K3727" i="1"/>
  <c r="J3727" i="1"/>
  <c r="I3727" i="1"/>
  <c r="H3727" i="1"/>
  <c r="G3727" i="1"/>
  <c r="M3726" i="1"/>
  <c r="L3726" i="1"/>
  <c r="K3726" i="1"/>
  <c r="J3726" i="1"/>
  <c r="I3726" i="1"/>
  <c r="H3726" i="1"/>
  <c r="G3726" i="1"/>
  <c r="M3725" i="1"/>
  <c r="L3725" i="1"/>
  <c r="K3725" i="1"/>
  <c r="J3725" i="1"/>
  <c r="I3725" i="1"/>
  <c r="H3725" i="1"/>
  <c r="G3725" i="1"/>
  <c r="M3724" i="1"/>
  <c r="L3724" i="1"/>
  <c r="K3724" i="1"/>
  <c r="J3724" i="1"/>
  <c r="I3724" i="1"/>
  <c r="H3724" i="1"/>
  <c r="G3724" i="1"/>
  <c r="M3723" i="1"/>
  <c r="L3723" i="1"/>
  <c r="K3723" i="1"/>
  <c r="J3723" i="1"/>
  <c r="I3723" i="1"/>
  <c r="H3723" i="1"/>
  <c r="G3723" i="1"/>
  <c r="M3722" i="1"/>
  <c r="L3722" i="1"/>
  <c r="K3722" i="1"/>
  <c r="J3722" i="1"/>
  <c r="I3722" i="1"/>
  <c r="H3722" i="1"/>
  <c r="G3722" i="1"/>
  <c r="M3721" i="1"/>
  <c r="L3721" i="1"/>
  <c r="K3721" i="1"/>
  <c r="J3721" i="1"/>
  <c r="I3721" i="1"/>
  <c r="H3721" i="1"/>
  <c r="G3721" i="1"/>
  <c r="M3720" i="1"/>
  <c r="L3720" i="1"/>
  <c r="K3720" i="1"/>
  <c r="J3720" i="1"/>
  <c r="I3720" i="1"/>
  <c r="H3720" i="1"/>
  <c r="G3720" i="1"/>
  <c r="M3719" i="1"/>
  <c r="L3719" i="1"/>
  <c r="K3719" i="1"/>
  <c r="J3719" i="1"/>
  <c r="I3719" i="1"/>
  <c r="H3719" i="1"/>
  <c r="G3719" i="1"/>
  <c r="M3718" i="1"/>
  <c r="L3718" i="1"/>
  <c r="K3718" i="1"/>
  <c r="J3718" i="1"/>
  <c r="I3718" i="1"/>
  <c r="H3718" i="1"/>
  <c r="G3718" i="1"/>
  <c r="M3717" i="1"/>
  <c r="L3717" i="1"/>
  <c r="K3717" i="1"/>
  <c r="J3717" i="1"/>
  <c r="I3717" i="1"/>
  <c r="H3717" i="1"/>
  <c r="G3717" i="1"/>
  <c r="M3716" i="1"/>
  <c r="L3716" i="1"/>
  <c r="K3716" i="1"/>
  <c r="J3716" i="1"/>
  <c r="I3716" i="1"/>
  <c r="H3716" i="1"/>
  <c r="G3716" i="1"/>
  <c r="M3715" i="1"/>
  <c r="L3715" i="1"/>
  <c r="K3715" i="1"/>
  <c r="J3715" i="1"/>
  <c r="I3715" i="1"/>
  <c r="H3715" i="1"/>
  <c r="G3715" i="1"/>
  <c r="M3714" i="1"/>
  <c r="L3714" i="1"/>
  <c r="K3714" i="1"/>
  <c r="J3714" i="1"/>
  <c r="I3714" i="1"/>
  <c r="H3714" i="1"/>
  <c r="G3714" i="1"/>
  <c r="M3713" i="1"/>
  <c r="L3713" i="1"/>
  <c r="K3713" i="1"/>
  <c r="J3713" i="1"/>
  <c r="I3713" i="1"/>
  <c r="H3713" i="1"/>
  <c r="G3713" i="1"/>
  <c r="M3712" i="1"/>
  <c r="L3712" i="1"/>
  <c r="K3712" i="1"/>
  <c r="J3712" i="1"/>
  <c r="I3712" i="1"/>
  <c r="H3712" i="1"/>
  <c r="G3712" i="1"/>
  <c r="M3711" i="1"/>
  <c r="L3711" i="1"/>
  <c r="K3711" i="1"/>
  <c r="J3711" i="1"/>
  <c r="I3711" i="1"/>
  <c r="H3711" i="1"/>
  <c r="G3711" i="1"/>
  <c r="M3710" i="1"/>
  <c r="L3710" i="1"/>
  <c r="K3710" i="1"/>
  <c r="J3710" i="1"/>
  <c r="I3710" i="1"/>
  <c r="H3710" i="1"/>
  <c r="G3710" i="1"/>
  <c r="M3709" i="1"/>
  <c r="L3709" i="1"/>
  <c r="K3709" i="1"/>
  <c r="J3709" i="1"/>
  <c r="I3709" i="1"/>
  <c r="H3709" i="1"/>
  <c r="G3709" i="1"/>
  <c r="M3708" i="1"/>
  <c r="L3708" i="1"/>
  <c r="K3708" i="1"/>
  <c r="J3708" i="1"/>
  <c r="I3708" i="1"/>
  <c r="H3708" i="1"/>
  <c r="G3708" i="1"/>
  <c r="M3707" i="1"/>
  <c r="L3707" i="1"/>
  <c r="K3707" i="1"/>
  <c r="J3707" i="1"/>
  <c r="I3707" i="1"/>
  <c r="H3707" i="1"/>
  <c r="G3707" i="1"/>
  <c r="M3706" i="1"/>
  <c r="L3706" i="1"/>
  <c r="K3706" i="1"/>
  <c r="J3706" i="1"/>
  <c r="I3706" i="1"/>
  <c r="H3706" i="1"/>
  <c r="G3706" i="1"/>
  <c r="M3705" i="1"/>
  <c r="L3705" i="1"/>
  <c r="K3705" i="1"/>
  <c r="J3705" i="1"/>
  <c r="I3705" i="1"/>
  <c r="H3705" i="1"/>
  <c r="G3705" i="1"/>
  <c r="M3704" i="1"/>
  <c r="L3704" i="1"/>
  <c r="K3704" i="1"/>
  <c r="J3704" i="1"/>
  <c r="I3704" i="1"/>
  <c r="H3704" i="1"/>
  <c r="G3704" i="1"/>
  <c r="M3703" i="1"/>
  <c r="L3703" i="1"/>
  <c r="K3703" i="1"/>
  <c r="J3703" i="1"/>
  <c r="I3703" i="1"/>
  <c r="H3703" i="1"/>
  <c r="G3703" i="1"/>
  <c r="M3702" i="1"/>
  <c r="L3702" i="1"/>
  <c r="K3702" i="1"/>
  <c r="J3702" i="1"/>
  <c r="I3702" i="1"/>
  <c r="H3702" i="1"/>
  <c r="G3702" i="1"/>
  <c r="M3701" i="1"/>
  <c r="L3701" i="1"/>
  <c r="K3701" i="1"/>
  <c r="J3701" i="1"/>
  <c r="I3701" i="1"/>
  <c r="H3701" i="1"/>
  <c r="G3701" i="1"/>
  <c r="M3700" i="1"/>
  <c r="L3700" i="1"/>
  <c r="K3700" i="1"/>
  <c r="J3700" i="1"/>
  <c r="I3700" i="1"/>
  <c r="H3700" i="1"/>
  <c r="G3700" i="1"/>
  <c r="M3699" i="1"/>
  <c r="L3699" i="1"/>
  <c r="K3699" i="1"/>
  <c r="J3699" i="1"/>
  <c r="I3699" i="1"/>
  <c r="H3699" i="1"/>
  <c r="G3699" i="1"/>
  <c r="M3698" i="1"/>
  <c r="L3698" i="1"/>
  <c r="K3698" i="1"/>
  <c r="J3698" i="1"/>
  <c r="I3698" i="1"/>
  <c r="H3698" i="1"/>
  <c r="G3698" i="1"/>
  <c r="M3697" i="1"/>
  <c r="L3697" i="1"/>
  <c r="K3697" i="1"/>
  <c r="J3697" i="1"/>
  <c r="I3697" i="1"/>
  <c r="H3697" i="1"/>
  <c r="G3697" i="1"/>
  <c r="M3696" i="1"/>
  <c r="L3696" i="1"/>
  <c r="K3696" i="1"/>
  <c r="J3696" i="1"/>
  <c r="I3696" i="1"/>
  <c r="H3696" i="1"/>
  <c r="G3696" i="1"/>
  <c r="M3695" i="1"/>
  <c r="L3695" i="1"/>
  <c r="K3695" i="1"/>
  <c r="J3695" i="1"/>
  <c r="I3695" i="1"/>
  <c r="H3695" i="1"/>
  <c r="G3695" i="1"/>
  <c r="M3694" i="1"/>
  <c r="L3694" i="1"/>
  <c r="K3694" i="1"/>
  <c r="J3694" i="1"/>
  <c r="I3694" i="1"/>
  <c r="H3694" i="1"/>
  <c r="G3694" i="1"/>
  <c r="M3693" i="1"/>
  <c r="L3693" i="1"/>
  <c r="K3693" i="1"/>
  <c r="J3693" i="1"/>
  <c r="I3693" i="1"/>
  <c r="H3693" i="1"/>
  <c r="G3693" i="1"/>
  <c r="M3692" i="1"/>
  <c r="L3692" i="1"/>
  <c r="K3692" i="1"/>
  <c r="J3692" i="1"/>
  <c r="I3692" i="1"/>
  <c r="H3692" i="1"/>
  <c r="G3692" i="1"/>
  <c r="M3691" i="1"/>
  <c r="L3691" i="1"/>
  <c r="K3691" i="1"/>
  <c r="J3691" i="1"/>
  <c r="I3691" i="1"/>
  <c r="H3691" i="1"/>
  <c r="G3691" i="1"/>
  <c r="M3690" i="1"/>
  <c r="L3690" i="1"/>
  <c r="K3690" i="1"/>
  <c r="J3690" i="1"/>
  <c r="I3690" i="1"/>
  <c r="H3690" i="1"/>
  <c r="G3690" i="1"/>
  <c r="M3689" i="1"/>
  <c r="L3689" i="1"/>
  <c r="K3689" i="1"/>
  <c r="J3689" i="1"/>
  <c r="I3689" i="1"/>
  <c r="H3689" i="1"/>
  <c r="G3689" i="1"/>
  <c r="M3688" i="1"/>
  <c r="L3688" i="1"/>
  <c r="K3688" i="1"/>
  <c r="J3688" i="1"/>
  <c r="I3688" i="1"/>
  <c r="H3688" i="1"/>
  <c r="G3688" i="1"/>
  <c r="M3687" i="1"/>
  <c r="L3687" i="1"/>
  <c r="K3687" i="1"/>
  <c r="J3687" i="1"/>
  <c r="I3687" i="1"/>
  <c r="H3687" i="1"/>
  <c r="G3687" i="1"/>
  <c r="M3686" i="1"/>
  <c r="L3686" i="1"/>
  <c r="K3686" i="1"/>
  <c r="J3686" i="1"/>
  <c r="I3686" i="1"/>
  <c r="H3686" i="1"/>
  <c r="G3686" i="1"/>
  <c r="M3685" i="1"/>
  <c r="L3685" i="1"/>
  <c r="K3685" i="1"/>
  <c r="J3685" i="1"/>
  <c r="I3685" i="1"/>
  <c r="H3685" i="1"/>
  <c r="G3685" i="1"/>
  <c r="M3684" i="1"/>
  <c r="L3684" i="1"/>
  <c r="K3684" i="1"/>
  <c r="J3684" i="1"/>
  <c r="I3684" i="1"/>
  <c r="H3684" i="1"/>
  <c r="G3684" i="1"/>
  <c r="M3683" i="1"/>
  <c r="L3683" i="1"/>
  <c r="K3683" i="1"/>
  <c r="J3683" i="1"/>
  <c r="I3683" i="1"/>
  <c r="H3683" i="1"/>
  <c r="G3683" i="1"/>
  <c r="M3682" i="1"/>
  <c r="L3682" i="1"/>
  <c r="K3682" i="1"/>
  <c r="J3682" i="1"/>
  <c r="I3682" i="1"/>
  <c r="H3682" i="1"/>
  <c r="G3682" i="1"/>
  <c r="M3681" i="1"/>
  <c r="L3681" i="1"/>
  <c r="K3681" i="1"/>
  <c r="J3681" i="1"/>
  <c r="I3681" i="1"/>
  <c r="H3681" i="1"/>
  <c r="G3681" i="1"/>
  <c r="M3680" i="1"/>
  <c r="L3680" i="1"/>
  <c r="K3680" i="1"/>
  <c r="J3680" i="1"/>
  <c r="I3680" i="1"/>
  <c r="H3680" i="1"/>
  <c r="G3680" i="1"/>
  <c r="M3679" i="1"/>
  <c r="L3679" i="1"/>
  <c r="K3679" i="1"/>
  <c r="J3679" i="1"/>
  <c r="I3679" i="1"/>
  <c r="H3679" i="1"/>
  <c r="G3679" i="1"/>
  <c r="M3678" i="1"/>
  <c r="L3678" i="1"/>
  <c r="K3678" i="1"/>
  <c r="J3678" i="1"/>
  <c r="I3678" i="1"/>
  <c r="H3678" i="1"/>
  <c r="G3678" i="1"/>
  <c r="M3677" i="1"/>
  <c r="L3677" i="1"/>
  <c r="K3677" i="1"/>
  <c r="J3677" i="1"/>
  <c r="I3677" i="1"/>
  <c r="H3677" i="1"/>
  <c r="G3677" i="1"/>
  <c r="M3676" i="1"/>
  <c r="L3676" i="1"/>
  <c r="K3676" i="1"/>
  <c r="J3676" i="1"/>
  <c r="I3676" i="1"/>
  <c r="H3676" i="1"/>
  <c r="G3676" i="1"/>
  <c r="M3675" i="1"/>
  <c r="L3675" i="1"/>
  <c r="K3675" i="1"/>
  <c r="J3675" i="1"/>
  <c r="I3675" i="1"/>
  <c r="H3675" i="1"/>
  <c r="G3675" i="1"/>
  <c r="M3674" i="1"/>
  <c r="L3674" i="1"/>
  <c r="K3674" i="1"/>
  <c r="J3674" i="1"/>
  <c r="I3674" i="1"/>
  <c r="H3674" i="1"/>
  <c r="G3674" i="1"/>
  <c r="M3673" i="1"/>
  <c r="L3673" i="1"/>
  <c r="K3673" i="1"/>
  <c r="J3673" i="1"/>
  <c r="I3673" i="1"/>
  <c r="H3673" i="1"/>
  <c r="G3673" i="1"/>
  <c r="M3672" i="1"/>
  <c r="L3672" i="1"/>
  <c r="K3672" i="1"/>
  <c r="J3672" i="1"/>
  <c r="I3672" i="1"/>
  <c r="H3672" i="1"/>
  <c r="G3672" i="1"/>
  <c r="M3671" i="1"/>
  <c r="L3671" i="1"/>
  <c r="K3671" i="1"/>
  <c r="J3671" i="1"/>
  <c r="I3671" i="1"/>
  <c r="H3671" i="1"/>
  <c r="G3671" i="1"/>
  <c r="M3670" i="1"/>
  <c r="L3670" i="1"/>
  <c r="K3670" i="1"/>
  <c r="J3670" i="1"/>
  <c r="I3670" i="1"/>
  <c r="H3670" i="1"/>
  <c r="G3670" i="1"/>
  <c r="M3669" i="1"/>
  <c r="L3669" i="1"/>
  <c r="K3669" i="1"/>
  <c r="J3669" i="1"/>
  <c r="I3669" i="1"/>
  <c r="H3669" i="1"/>
  <c r="G3669" i="1"/>
  <c r="M3668" i="1"/>
  <c r="L3668" i="1"/>
  <c r="K3668" i="1"/>
  <c r="J3668" i="1"/>
  <c r="I3668" i="1"/>
  <c r="H3668" i="1"/>
  <c r="G3668" i="1"/>
  <c r="M3667" i="1"/>
  <c r="L3667" i="1"/>
  <c r="K3667" i="1"/>
  <c r="J3667" i="1"/>
  <c r="I3667" i="1"/>
  <c r="H3667" i="1"/>
  <c r="G3667" i="1"/>
  <c r="M3666" i="1"/>
  <c r="L3666" i="1"/>
  <c r="K3666" i="1"/>
  <c r="J3666" i="1"/>
  <c r="I3666" i="1"/>
  <c r="H3666" i="1"/>
  <c r="G3666" i="1"/>
  <c r="M3665" i="1"/>
  <c r="L3665" i="1"/>
  <c r="K3665" i="1"/>
  <c r="J3665" i="1"/>
  <c r="I3665" i="1"/>
  <c r="H3665" i="1"/>
  <c r="G3665" i="1"/>
  <c r="M3664" i="1"/>
  <c r="L3664" i="1"/>
  <c r="K3664" i="1"/>
  <c r="J3664" i="1"/>
  <c r="I3664" i="1"/>
  <c r="H3664" i="1"/>
  <c r="G3664" i="1"/>
  <c r="M3663" i="1"/>
  <c r="L3663" i="1"/>
  <c r="K3663" i="1"/>
  <c r="J3663" i="1"/>
  <c r="I3663" i="1"/>
  <c r="H3663" i="1"/>
  <c r="G3663" i="1"/>
  <c r="M3662" i="1"/>
  <c r="L3662" i="1"/>
  <c r="K3662" i="1"/>
  <c r="J3662" i="1"/>
  <c r="I3662" i="1"/>
  <c r="H3662" i="1"/>
  <c r="G3662" i="1"/>
  <c r="M3661" i="1"/>
  <c r="L3661" i="1"/>
  <c r="K3661" i="1"/>
  <c r="J3661" i="1"/>
  <c r="I3661" i="1"/>
  <c r="H3661" i="1"/>
  <c r="G3661" i="1"/>
  <c r="M3660" i="1"/>
  <c r="L3660" i="1"/>
  <c r="K3660" i="1"/>
  <c r="J3660" i="1"/>
  <c r="I3660" i="1"/>
  <c r="H3660" i="1"/>
  <c r="G3660" i="1"/>
  <c r="M3659" i="1"/>
  <c r="L3659" i="1"/>
  <c r="K3659" i="1"/>
  <c r="J3659" i="1"/>
  <c r="I3659" i="1"/>
  <c r="H3659" i="1"/>
  <c r="G3659" i="1"/>
  <c r="M3658" i="1"/>
  <c r="L3658" i="1"/>
  <c r="K3658" i="1"/>
  <c r="J3658" i="1"/>
  <c r="I3658" i="1"/>
  <c r="H3658" i="1"/>
  <c r="G3658" i="1"/>
  <c r="M3657" i="1"/>
  <c r="L3657" i="1"/>
  <c r="K3657" i="1"/>
  <c r="J3657" i="1"/>
  <c r="I3657" i="1"/>
  <c r="H3657" i="1"/>
  <c r="G3657" i="1"/>
  <c r="M3656" i="1"/>
  <c r="L3656" i="1"/>
  <c r="K3656" i="1"/>
  <c r="J3656" i="1"/>
  <c r="I3656" i="1"/>
  <c r="H3656" i="1"/>
  <c r="G3656" i="1"/>
  <c r="M3655" i="1"/>
  <c r="L3655" i="1"/>
  <c r="K3655" i="1"/>
  <c r="J3655" i="1"/>
  <c r="I3655" i="1"/>
  <c r="H3655" i="1"/>
  <c r="G3655" i="1"/>
  <c r="M3654" i="1"/>
  <c r="L3654" i="1"/>
  <c r="K3654" i="1"/>
  <c r="J3654" i="1"/>
  <c r="I3654" i="1"/>
  <c r="H3654" i="1"/>
  <c r="G3654" i="1"/>
  <c r="M3653" i="1"/>
  <c r="L3653" i="1"/>
  <c r="K3653" i="1"/>
  <c r="J3653" i="1"/>
  <c r="I3653" i="1"/>
  <c r="H3653" i="1"/>
  <c r="G3653" i="1"/>
  <c r="M3652" i="1"/>
  <c r="L3652" i="1"/>
  <c r="K3652" i="1"/>
  <c r="J3652" i="1"/>
  <c r="I3652" i="1"/>
  <c r="H3652" i="1"/>
  <c r="G3652" i="1"/>
  <c r="M3651" i="1"/>
  <c r="L3651" i="1"/>
  <c r="K3651" i="1"/>
  <c r="J3651" i="1"/>
  <c r="I3651" i="1"/>
  <c r="H3651" i="1"/>
  <c r="G3651" i="1"/>
  <c r="M3650" i="1"/>
  <c r="L3650" i="1"/>
  <c r="K3650" i="1"/>
  <c r="J3650" i="1"/>
  <c r="I3650" i="1"/>
  <c r="H3650" i="1"/>
  <c r="G3650" i="1"/>
  <c r="M3649" i="1"/>
  <c r="L3649" i="1"/>
  <c r="K3649" i="1"/>
  <c r="J3649" i="1"/>
  <c r="I3649" i="1"/>
  <c r="H3649" i="1"/>
  <c r="G3649" i="1"/>
  <c r="M3648" i="1"/>
  <c r="L3648" i="1"/>
  <c r="K3648" i="1"/>
  <c r="J3648" i="1"/>
  <c r="I3648" i="1"/>
  <c r="H3648" i="1"/>
  <c r="G3648" i="1"/>
  <c r="M3647" i="1"/>
  <c r="L3647" i="1"/>
  <c r="K3647" i="1"/>
  <c r="J3647" i="1"/>
  <c r="I3647" i="1"/>
  <c r="H3647" i="1"/>
  <c r="G3647" i="1"/>
  <c r="M3646" i="1"/>
  <c r="L3646" i="1"/>
  <c r="K3646" i="1"/>
  <c r="J3646" i="1"/>
  <c r="I3646" i="1"/>
  <c r="H3646" i="1"/>
  <c r="G3646" i="1"/>
  <c r="M3645" i="1"/>
  <c r="L3645" i="1"/>
  <c r="K3645" i="1"/>
  <c r="J3645" i="1"/>
  <c r="I3645" i="1"/>
  <c r="H3645" i="1"/>
  <c r="G3645" i="1"/>
  <c r="M3644" i="1"/>
  <c r="L3644" i="1"/>
  <c r="K3644" i="1"/>
  <c r="J3644" i="1"/>
  <c r="I3644" i="1"/>
  <c r="H3644" i="1"/>
  <c r="G3644" i="1"/>
  <c r="M3643" i="1"/>
  <c r="L3643" i="1"/>
  <c r="K3643" i="1"/>
  <c r="J3643" i="1"/>
  <c r="I3643" i="1"/>
  <c r="H3643" i="1"/>
  <c r="G3643" i="1"/>
  <c r="M3642" i="1"/>
  <c r="L3642" i="1"/>
  <c r="K3642" i="1"/>
  <c r="J3642" i="1"/>
  <c r="I3642" i="1"/>
  <c r="H3642" i="1"/>
  <c r="G3642" i="1"/>
  <c r="M3641" i="1"/>
  <c r="L3641" i="1"/>
  <c r="K3641" i="1"/>
  <c r="J3641" i="1"/>
  <c r="I3641" i="1"/>
  <c r="H3641" i="1"/>
  <c r="G3641" i="1"/>
  <c r="M3640" i="1"/>
  <c r="L3640" i="1"/>
  <c r="K3640" i="1"/>
  <c r="J3640" i="1"/>
  <c r="I3640" i="1"/>
  <c r="H3640" i="1"/>
  <c r="G3640" i="1"/>
  <c r="M3639" i="1"/>
  <c r="L3639" i="1"/>
  <c r="K3639" i="1"/>
  <c r="J3639" i="1"/>
  <c r="I3639" i="1"/>
  <c r="H3639" i="1"/>
  <c r="G3639" i="1"/>
  <c r="M3638" i="1"/>
  <c r="L3638" i="1"/>
  <c r="K3638" i="1"/>
  <c r="J3638" i="1"/>
  <c r="I3638" i="1"/>
  <c r="H3638" i="1"/>
  <c r="G3638" i="1"/>
  <c r="M3637" i="1"/>
  <c r="L3637" i="1"/>
  <c r="K3637" i="1"/>
  <c r="J3637" i="1"/>
  <c r="I3637" i="1"/>
  <c r="H3637" i="1"/>
  <c r="G3637" i="1"/>
  <c r="M3636" i="1"/>
  <c r="L3636" i="1"/>
  <c r="K3636" i="1"/>
  <c r="J3636" i="1"/>
  <c r="I3636" i="1"/>
  <c r="H3636" i="1"/>
  <c r="G3636" i="1"/>
  <c r="M3635" i="1"/>
  <c r="L3635" i="1"/>
  <c r="K3635" i="1"/>
  <c r="J3635" i="1"/>
  <c r="I3635" i="1"/>
  <c r="H3635" i="1"/>
  <c r="G3635" i="1"/>
  <c r="M3634" i="1"/>
  <c r="L3634" i="1"/>
  <c r="K3634" i="1"/>
  <c r="J3634" i="1"/>
  <c r="I3634" i="1"/>
  <c r="H3634" i="1"/>
  <c r="G3634" i="1"/>
  <c r="M3633" i="1"/>
  <c r="L3633" i="1"/>
  <c r="K3633" i="1"/>
  <c r="J3633" i="1"/>
  <c r="I3633" i="1"/>
  <c r="H3633" i="1"/>
  <c r="G3633" i="1"/>
  <c r="M3632" i="1"/>
  <c r="L3632" i="1"/>
  <c r="K3632" i="1"/>
  <c r="J3632" i="1"/>
  <c r="I3632" i="1"/>
  <c r="H3632" i="1"/>
  <c r="G3632" i="1"/>
  <c r="M3631" i="1"/>
  <c r="L3631" i="1"/>
  <c r="K3631" i="1"/>
  <c r="J3631" i="1"/>
  <c r="I3631" i="1"/>
  <c r="H3631" i="1"/>
  <c r="G3631" i="1"/>
  <c r="M3630" i="1"/>
  <c r="L3630" i="1"/>
  <c r="K3630" i="1"/>
  <c r="J3630" i="1"/>
  <c r="I3630" i="1"/>
  <c r="H3630" i="1"/>
  <c r="G3630" i="1"/>
  <c r="M3629" i="1"/>
  <c r="L3629" i="1"/>
  <c r="K3629" i="1"/>
  <c r="J3629" i="1"/>
  <c r="I3629" i="1"/>
  <c r="H3629" i="1"/>
  <c r="G3629" i="1"/>
  <c r="M3628" i="1"/>
  <c r="L3628" i="1"/>
  <c r="K3628" i="1"/>
  <c r="J3628" i="1"/>
  <c r="I3628" i="1"/>
  <c r="H3628" i="1"/>
  <c r="G3628" i="1"/>
  <c r="M3627" i="1"/>
  <c r="L3627" i="1"/>
  <c r="K3627" i="1"/>
  <c r="J3627" i="1"/>
  <c r="I3627" i="1"/>
  <c r="H3627" i="1"/>
  <c r="G3627" i="1"/>
  <c r="M3626" i="1"/>
  <c r="L3626" i="1"/>
  <c r="K3626" i="1"/>
  <c r="J3626" i="1"/>
  <c r="I3626" i="1"/>
  <c r="H3626" i="1"/>
  <c r="G3626" i="1"/>
  <c r="M3625" i="1"/>
  <c r="L3625" i="1"/>
  <c r="K3625" i="1"/>
  <c r="J3625" i="1"/>
  <c r="I3625" i="1"/>
  <c r="H3625" i="1"/>
  <c r="G3625" i="1"/>
  <c r="M3624" i="1"/>
  <c r="L3624" i="1"/>
  <c r="K3624" i="1"/>
  <c r="J3624" i="1"/>
  <c r="I3624" i="1"/>
  <c r="H3624" i="1"/>
  <c r="G3624" i="1"/>
  <c r="M3623" i="1"/>
  <c r="L3623" i="1"/>
  <c r="K3623" i="1"/>
  <c r="J3623" i="1"/>
  <c r="I3623" i="1"/>
  <c r="H3623" i="1"/>
  <c r="G3623" i="1"/>
  <c r="M3622" i="1"/>
  <c r="L3622" i="1"/>
  <c r="K3622" i="1"/>
  <c r="J3622" i="1"/>
  <c r="I3622" i="1"/>
  <c r="H3622" i="1"/>
  <c r="G3622" i="1"/>
  <c r="M3621" i="1"/>
  <c r="L3621" i="1"/>
  <c r="K3621" i="1"/>
  <c r="J3621" i="1"/>
  <c r="I3621" i="1"/>
  <c r="H3621" i="1"/>
  <c r="G3621" i="1"/>
  <c r="M3620" i="1"/>
  <c r="L3620" i="1"/>
  <c r="K3620" i="1"/>
  <c r="J3620" i="1"/>
  <c r="I3620" i="1"/>
  <c r="H3620" i="1"/>
  <c r="G3620" i="1"/>
  <c r="M3619" i="1"/>
  <c r="L3619" i="1"/>
  <c r="K3619" i="1"/>
  <c r="J3619" i="1"/>
  <c r="I3619" i="1"/>
  <c r="H3619" i="1"/>
  <c r="G3619" i="1"/>
  <c r="M3618" i="1"/>
  <c r="L3618" i="1"/>
  <c r="K3618" i="1"/>
  <c r="J3618" i="1"/>
  <c r="I3618" i="1"/>
  <c r="H3618" i="1"/>
  <c r="G3618" i="1"/>
  <c r="M3617" i="1"/>
  <c r="L3617" i="1"/>
  <c r="K3617" i="1"/>
  <c r="J3617" i="1"/>
  <c r="I3617" i="1"/>
  <c r="H3617" i="1"/>
  <c r="G3617" i="1"/>
  <c r="M3616" i="1"/>
  <c r="L3616" i="1"/>
  <c r="K3616" i="1"/>
  <c r="J3616" i="1"/>
  <c r="I3616" i="1"/>
  <c r="H3616" i="1"/>
  <c r="G3616" i="1"/>
  <c r="M3615" i="1"/>
  <c r="L3615" i="1"/>
  <c r="K3615" i="1"/>
  <c r="J3615" i="1"/>
  <c r="I3615" i="1"/>
  <c r="H3615" i="1"/>
  <c r="G3615" i="1"/>
  <c r="M3614" i="1"/>
  <c r="L3614" i="1"/>
  <c r="K3614" i="1"/>
  <c r="J3614" i="1"/>
  <c r="I3614" i="1"/>
  <c r="H3614" i="1"/>
  <c r="G3614" i="1"/>
  <c r="M3613" i="1"/>
  <c r="L3613" i="1"/>
  <c r="K3613" i="1"/>
  <c r="J3613" i="1"/>
  <c r="I3613" i="1"/>
  <c r="H3613" i="1"/>
  <c r="G3613" i="1"/>
  <c r="M3612" i="1"/>
  <c r="L3612" i="1"/>
  <c r="K3612" i="1"/>
  <c r="J3612" i="1"/>
  <c r="I3612" i="1"/>
  <c r="H3612" i="1"/>
  <c r="G3612" i="1"/>
  <c r="M3611" i="1"/>
  <c r="L3611" i="1"/>
  <c r="K3611" i="1"/>
  <c r="J3611" i="1"/>
  <c r="I3611" i="1"/>
  <c r="H3611" i="1"/>
  <c r="G3611" i="1"/>
  <c r="M3610" i="1"/>
  <c r="L3610" i="1"/>
  <c r="K3610" i="1"/>
  <c r="J3610" i="1"/>
  <c r="I3610" i="1"/>
  <c r="H3610" i="1"/>
  <c r="G3610" i="1"/>
  <c r="M3609" i="1"/>
  <c r="L3609" i="1"/>
  <c r="K3609" i="1"/>
  <c r="J3609" i="1"/>
  <c r="I3609" i="1"/>
  <c r="H3609" i="1"/>
  <c r="G3609" i="1"/>
  <c r="M3608" i="1"/>
  <c r="L3608" i="1"/>
  <c r="K3608" i="1"/>
  <c r="J3608" i="1"/>
  <c r="I3608" i="1"/>
  <c r="H3608" i="1"/>
  <c r="G3608" i="1"/>
  <c r="M3607" i="1"/>
  <c r="L3607" i="1"/>
  <c r="K3607" i="1"/>
  <c r="J3607" i="1"/>
  <c r="I3607" i="1"/>
  <c r="H3607" i="1"/>
  <c r="G3607" i="1"/>
  <c r="M3606" i="1"/>
  <c r="L3606" i="1"/>
  <c r="K3606" i="1"/>
  <c r="J3606" i="1"/>
  <c r="I3606" i="1"/>
  <c r="H3606" i="1"/>
  <c r="G3606" i="1"/>
  <c r="M3605" i="1"/>
  <c r="L3605" i="1"/>
  <c r="K3605" i="1"/>
  <c r="J3605" i="1"/>
  <c r="I3605" i="1"/>
  <c r="H3605" i="1"/>
  <c r="G3605" i="1"/>
  <c r="M3604" i="1"/>
  <c r="L3604" i="1"/>
  <c r="K3604" i="1"/>
  <c r="J3604" i="1"/>
  <c r="I3604" i="1"/>
  <c r="H3604" i="1"/>
  <c r="G3604" i="1"/>
  <c r="M3603" i="1"/>
  <c r="L3603" i="1"/>
  <c r="K3603" i="1"/>
  <c r="J3603" i="1"/>
  <c r="I3603" i="1"/>
  <c r="H3603" i="1"/>
  <c r="G3603" i="1"/>
  <c r="M3602" i="1"/>
  <c r="L3602" i="1"/>
  <c r="K3602" i="1"/>
  <c r="J3602" i="1"/>
  <c r="I3602" i="1"/>
  <c r="H3602" i="1"/>
  <c r="G3602" i="1"/>
  <c r="M3601" i="1"/>
  <c r="L3601" i="1"/>
  <c r="K3601" i="1"/>
  <c r="J3601" i="1"/>
  <c r="I3601" i="1"/>
  <c r="H3601" i="1"/>
  <c r="G3601" i="1"/>
  <c r="M3600" i="1"/>
  <c r="L3600" i="1"/>
  <c r="K3600" i="1"/>
  <c r="J3600" i="1"/>
  <c r="I3600" i="1"/>
  <c r="H3600" i="1"/>
  <c r="G3600" i="1"/>
  <c r="M3599" i="1"/>
  <c r="L3599" i="1"/>
  <c r="K3599" i="1"/>
  <c r="J3599" i="1"/>
  <c r="I3599" i="1"/>
  <c r="H3599" i="1"/>
  <c r="G3599" i="1"/>
  <c r="M3598" i="1"/>
  <c r="L3598" i="1"/>
  <c r="K3598" i="1"/>
  <c r="J3598" i="1"/>
  <c r="I3598" i="1"/>
  <c r="H3598" i="1"/>
  <c r="G3598" i="1"/>
  <c r="M3597" i="1"/>
  <c r="L3597" i="1"/>
  <c r="K3597" i="1"/>
  <c r="J3597" i="1"/>
  <c r="I3597" i="1"/>
  <c r="H3597" i="1"/>
  <c r="G3597" i="1"/>
  <c r="M3596" i="1"/>
  <c r="L3596" i="1"/>
  <c r="K3596" i="1"/>
  <c r="J3596" i="1"/>
  <c r="I3596" i="1"/>
  <c r="H3596" i="1"/>
  <c r="G3596" i="1"/>
  <c r="M3595" i="1"/>
  <c r="L3595" i="1"/>
  <c r="K3595" i="1"/>
  <c r="J3595" i="1"/>
  <c r="I3595" i="1"/>
  <c r="H3595" i="1"/>
  <c r="G3595" i="1"/>
  <c r="M3594" i="1"/>
  <c r="L3594" i="1"/>
  <c r="K3594" i="1"/>
  <c r="J3594" i="1"/>
  <c r="I3594" i="1"/>
  <c r="H3594" i="1"/>
  <c r="G3594" i="1"/>
  <c r="M3593" i="1"/>
  <c r="L3593" i="1"/>
  <c r="K3593" i="1"/>
  <c r="J3593" i="1"/>
  <c r="I3593" i="1"/>
  <c r="H3593" i="1"/>
  <c r="G3593" i="1"/>
  <c r="M3592" i="1"/>
  <c r="L3592" i="1"/>
  <c r="K3592" i="1"/>
  <c r="J3592" i="1"/>
  <c r="I3592" i="1"/>
  <c r="H3592" i="1"/>
  <c r="G3592" i="1"/>
  <c r="M3591" i="1"/>
  <c r="L3591" i="1"/>
  <c r="K3591" i="1"/>
  <c r="J3591" i="1"/>
  <c r="I3591" i="1"/>
  <c r="H3591" i="1"/>
  <c r="G3591" i="1"/>
  <c r="M3590" i="1"/>
  <c r="L3590" i="1"/>
  <c r="K3590" i="1"/>
  <c r="J3590" i="1"/>
  <c r="I3590" i="1"/>
  <c r="H3590" i="1"/>
  <c r="G3590" i="1"/>
  <c r="M3589" i="1"/>
  <c r="L3589" i="1"/>
  <c r="K3589" i="1"/>
  <c r="J3589" i="1"/>
  <c r="I3589" i="1"/>
  <c r="H3589" i="1"/>
  <c r="G3589" i="1"/>
  <c r="M3588" i="1"/>
  <c r="L3588" i="1"/>
  <c r="K3588" i="1"/>
  <c r="J3588" i="1"/>
  <c r="I3588" i="1"/>
  <c r="H3588" i="1"/>
  <c r="G3588" i="1"/>
  <c r="M3587" i="1"/>
  <c r="L3587" i="1"/>
  <c r="K3587" i="1"/>
  <c r="J3587" i="1"/>
  <c r="I3587" i="1"/>
  <c r="H3587" i="1"/>
  <c r="G3587" i="1"/>
  <c r="M3586" i="1"/>
  <c r="L3586" i="1"/>
  <c r="K3586" i="1"/>
  <c r="J3586" i="1"/>
  <c r="I3586" i="1"/>
  <c r="H3586" i="1"/>
  <c r="G3586" i="1"/>
  <c r="M3585" i="1"/>
  <c r="L3585" i="1"/>
  <c r="K3585" i="1"/>
  <c r="J3585" i="1"/>
  <c r="I3585" i="1"/>
  <c r="H3585" i="1"/>
  <c r="G3585" i="1"/>
  <c r="M3584" i="1"/>
  <c r="L3584" i="1"/>
  <c r="K3584" i="1"/>
  <c r="J3584" i="1"/>
  <c r="I3584" i="1"/>
  <c r="H3584" i="1"/>
  <c r="G3584" i="1"/>
  <c r="M3583" i="1"/>
  <c r="L3583" i="1"/>
  <c r="K3583" i="1"/>
  <c r="J3583" i="1"/>
  <c r="I3583" i="1"/>
  <c r="H3583" i="1"/>
  <c r="G3583" i="1"/>
  <c r="M3582" i="1"/>
  <c r="L3582" i="1"/>
  <c r="K3582" i="1"/>
  <c r="J3582" i="1"/>
  <c r="I3582" i="1"/>
  <c r="H3582" i="1"/>
  <c r="G3582" i="1"/>
  <c r="M3581" i="1"/>
  <c r="L3581" i="1"/>
  <c r="K3581" i="1"/>
  <c r="J3581" i="1"/>
  <c r="I3581" i="1"/>
  <c r="H3581" i="1"/>
  <c r="G3581" i="1"/>
  <c r="M3580" i="1"/>
  <c r="L3580" i="1"/>
  <c r="K3580" i="1"/>
  <c r="J3580" i="1"/>
  <c r="I3580" i="1"/>
  <c r="H3580" i="1"/>
  <c r="G3580" i="1"/>
  <c r="M3579" i="1"/>
  <c r="L3579" i="1"/>
  <c r="K3579" i="1"/>
  <c r="J3579" i="1"/>
  <c r="I3579" i="1"/>
  <c r="H3579" i="1"/>
  <c r="G3579" i="1"/>
  <c r="M3578" i="1"/>
  <c r="L3578" i="1"/>
  <c r="K3578" i="1"/>
  <c r="J3578" i="1"/>
  <c r="I3578" i="1"/>
  <c r="H3578" i="1"/>
  <c r="G3578" i="1"/>
  <c r="M3577" i="1"/>
  <c r="L3577" i="1"/>
  <c r="K3577" i="1"/>
  <c r="J3577" i="1"/>
  <c r="I3577" i="1"/>
  <c r="H3577" i="1"/>
  <c r="G3577" i="1"/>
  <c r="M3576" i="1"/>
  <c r="L3576" i="1"/>
  <c r="K3576" i="1"/>
  <c r="J3576" i="1"/>
  <c r="I3576" i="1"/>
  <c r="H3576" i="1"/>
  <c r="G3576" i="1"/>
  <c r="M3575" i="1"/>
  <c r="L3575" i="1"/>
  <c r="K3575" i="1"/>
  <c r="J3575" i="1"/>
  <c r="I3575" i="1"/>
  <c r="H3575" i="1"/>
  <c r="G3575" i="1"/>
  <c r="M3574" i="1"/>
  <c r="L3574" i="1"/>
  <c r="K3574" i="1"/>
  <c r="J3574" i="1"/>
  <c r="I3574" i="1"/>
  <c r="H3574" i="1"/>
  <c r="G3574" i="1"/>
  <c r="M3573" i="1"/>
  <c r="L3573" i="1"/>
  <c r="K3573" i="1"/>
  <c r="J3573" i="1"/>
  <c r="I3573" i="1"/>
  <c r="H3573" i="1"/>
  <c r="G3573" i="1"/>
  <c r="M3572" i="1"/>
  <c r="L3572" i="1"/>
  <c r="K3572" i="1"/>
  <c r="J3572" i="1"/>
  <c r="I3572" i="1"/>
  <c r="H3572" i="1"/>
  <c r="G3572" i="1"/>
  <c r="M3571" i="1"/>
  <c r="L3571" i="1"/>
  <c r="K3571" i="1"/>
  <c r="J3571" i="1"/>
  <c r="I3571" i="1"/>
  <c r="H3571" i="1"/>
  <c r="G3571" i="1"/>
  <c r="M3570" i="1"/>
  <c r="L3570" i="1"/>
  <c r="K3570" i="1"/>
  <c r="J3570" i="1"/>
  <c r="I3570" i="1"/>
  <c r="H3570" i="1"/>
  <c r="G3570" i="1"/>
  <c r="M3569" i="1"/>
  <c r="L3569" i="1"/>
  <c r="K3569" i="1"/>
  <c r="J3569" i="1"/>
  <c r="I3569" i="1"/>
  <c r="H3569" i="1"/>
  <c r="G3569" i="1"/>
  <c r="M3568" i="1"/>
  <c r="L3568" i="1"/>
  <c r="K3568" i="1"/>
  <c r="J3568" i="1"/>
  <c r="I3568" i="1"/>
  <c r="H3568" i="1"/>
  <c r="G3568" i="1"/>
  <c r="M3567" i="1"/>
  <c r="L3567" i="1"/>
  <c r="K3567" i="1"/>
  <c r="J3567" i="1"/>
  <c r="I3567" i="1"/>
  <c r="H3567" i="1"/>
  <c r="G3567" i="1"/>
  <c r="M3566" i="1"/>
  <c r="L3566" i="1"/>
  <c r="K3566" i="1"/>
  <c r="J3566" i="1"/>
  <c r="I3566" i="1"/>
  <c r="H3566" i="1"/>
  <c r="G3566" i="1"/>
  <c r="M3565" i="1"/>
  <c r="L3565" i="1"/>
  <c r="K3565" i="1"/>
  <c r="J3565" i="1"/>
  <c r="I3565" i="1"/>
  <c r="H3565" i="1"/>
  <c r="G3565" i="1"/>
  <c r="M3564" i="1"/>
  <c r="L3564" i="1"/>
  <c r="K3564" i="1"/>
  <c r="J3564" i="1"/>
  <c r="I3564" i="1"/>
  <c r="H3564" i="1"/>
  <c r="G3564" i="1"/>
  <c r="M3563" i="1"/>
  <c r="L3563" i="1"/>
  <c r="K3563" i="1"/>
  <c r="J3563" i="1"/>
  <c r="I3563" i="1"/>
  <c r="H3563" i="1"/>
  <c r="G3563" i="1"/>
  <c r="M3562" i="1"/>
  <c r="L3562" i="1"/>
  <c r="K3562" i="1"/>
  <c r="J3562" i="1"/>
  <c r="I3562" i="1"/>
  <c r="H3562" i="1"/>
  <c r="G3562" i="1"/>
  <c r="M3561" i="1"/>
  <c r="L3561" i="1"/>
  <c r="K3561" i="1"/>
  <c r="J3561" i="1"/>
  <c r="I3561" i="1"/>
  <c r="H3561" i="1"/>
  <c r="G3561" i="1"/>
  <c r="M3560" i="1"/>
  <c r="L3560" i="1"/>
  <c r="K3560" i="1"/>
  <c r="J3560" i="1"/>
  <c r="I3560" i="1"/>
  <c r="H3560" i="1"/>
  <c r="G3560" i="1"/>
  <c r="M3559" i="1"/>
  <c r="L3559" i="1"/>
  <c r="K3559" i="1"/>
  <c r="J3559" i="1"/>
  <c r="I3559" i="1"/>
  <c r="H3559" i="1"/>
  <c r="G3559" i="1"/>
  <c r="M3558" i="1"/>
  <c r="L3558" i="1"/>
  <c r="K3558" i="1"/>
  <c r="J3558" i="1"/>
  <c r="I3558" i="1"/>
  <c r="H3558" i="1"/>
  <c r="G3558" i="1"/>
  <c r="M3557" i="1"/>
  <c r="L3557" i="1"/>
  <c r="K3557" i="1"/>
  <c r="J3557" i="1"/>
  <c r="I3557" i="1"/>
  <c r="H3557" i="1"/>
  <c r="G3557" i="1"/>
  <c r="M3556" i="1"/>
  <c r="L3556" i="1"/>
  <c r="K3556" i="1"/>
  <c r="J3556" i="1"/>
  <c r="I3556" i="1"/>
  <c r="H3556" i="1"/>
  <c r="G3556" i="1"/>
  <c r="M3555" i="1"/>
  <c r="L3555" i="1"/>
  <c r="K3555" i="1"/>
  <c r="J3555" i="1"/>
  <c r="I3555" i="1"/>
  <c r="H3555" i="1"/>
  <c r="G3555" i="1"/>
  <c r="M3554" i="1"/>
  <c r="L3554" i="1"/>
  <c r="K3554" i="1"/>
  <c r="J3554" i="1"/>
  <c r="I3554" i="1"/>
  <c r="H3554" i="1"/>
  <c r="G3554" i="1"/>
  <c r="M3553" i="1"/>
  <c r="L3553" i="1"/>
  <c r="K3553" i="1"/>
  <c r="J3553" i="1"/>
  <c r="I3553" i="1"/>
  <c r="H3553" i="1"/>
  <c r="G3553" i="1"/>
  <c r="M3552" i="1"/>
  <c r="L3552" i="1"/>
  <c r="K3552" i="1"/>
  <c r="J3552" i="1"/>
  <c r="I3552" i="1"/>
  <c r="H3552" i="1"/>
  <c r="G3552" i="1"/>
  <c r="M3551" i="1"/>
  <c r="L3551" i="1"/>
  <c r="K3551" i="1"/>
  <c r="J3551" i="1"/>
  <c r="I3551" i="1"/>
  <c r="H3551" i="1"/>
  <c r="G3551" i="1"/>
  <c r="M3550" i="1"/>
  <c r="L3550" i="1"/>
  <c r="K3550" i="1"/>
  <c r="J3550" i="1"/>
  <c r="I3550" i="1"/>
  <c r="H3550" i="1"/>
  <c r="G3550" i="1"/>
  <c r="M3549" i="1"/>
  <c r="L3549" i="1"/>
  <c r="K3549" i="1"/>
  <c r="J3549" i="1"/>
  <c r="I3549" i="1"/>
  <c r="H3549" i="1"/>
  <c r="G3549" i="1"/>
  <c r="M3548" i="1"/>
  <c r="L3548" i="1"/>
  <c r="K3548" i="1"/>
  <c r="J3548" i="1"/>
  <c r="I3548" i="1"/>
  <c r="H3548" i="1"/>
  <c r="G3548" i="1"/>
  <c r="M3547" i="1"/>
  <c r="L3547" i="1"/>
  <c r="K3547" i="1"/>
  <c r="J3547" i="1"/>
  <c r="I3547" i="1"/>
  <c r="H3547" i="1"/>
  <c r="G3547" i="1"/>
  <c r="M3546" i="1"/>
  <c r="L3546" i="1"/>
  <c r="K3546" i="1"/>
  <c r="J3546" i="1"/>
  <c r="I3546" i="1"/>
  <c r="H3546" i="1"/>
  <c r="G3546" i="1"/>
  <c r="M3545" i="1"/>
  <c r="L3545" i="1"/>
  <c r="K3545" i="1"/>
  <c r="J3545" i="1"/>
  <c r="I3545" i="1"/>
  <c r="H3545" i="1"/>
  <c r="G3545" i="1"/>
  <c r="M3544" i="1"/>
  <c r="L3544" i="1"/>
  <c r="K3544" i="1"/>
  <c r="J3544" i="1"/>
  <c r="I3544" i="1"/>
  <c r="H3544" i="1"/>
  <c r="G3544" i="1"/>
  <c r="M3543" i="1"/>
  <c r="L3543" i="1"/>
  <c r="K3543" i="1"/>
  <c r="J3543" i="1"/>
  <c r="I3543" i="1"/>
  <c r="H3543" i="1"/>
  <c r="G3543" i="1"/>
  <c r="M3542" i="1"/>
  <c r="L3542" i="1"/>
  <c r="K3542" i="1"/>
  <c r="J3542" i="1"/>
  <c r="I3542" i="1"/>
  <c r="H3542" i="1"/>
  <c r="G3542" i="1"/>
  <c r="M3541" i="1"/>
  <c r="L3541" i="1"/>
  <c r="K3541" i="1"/>
  <c r="J3541" i="1"/>
  <c r="I3541" i="1"/>
  <c r="H3541" i="1"/>
  <c r="G3541" i="1"/>
  <c r="M3540" i="1"/>
  <c r="L3540" i="1"/>
  <c r="K3540" i="1"/>
  <c r="J3540" i="1"/>
  <c r="I3540" i="1"/>
  <c r="H3540" i="1"/>
  <c r="G3540" i="1"/>
  <c r="M3539" i="1"/>
  <c r="L3539" i="1"/>
  <c r="K3539" i="1"/>
  <c r="J3539" i="1"/>
  <c r="I3539" i="1"/>
  <c r="H3539" i="1"/>
  <c r="G3539" i="1"/>
  <c r="M3538" i="1"/>
  <c r="L3538" i="1"/>
  <c r="K3538" i="1"/>
  <c r="J3538" i="1"/>
  <c r="I3538" i="1"/>
  <c r="H3538" i="1"/>
  <c r="G3538" i="1"/>
  <c r="M3537" i="1"/>
  <c r="L3537" i="1"/>
  <c r="K3537" i="1"/>
  <c r="J3537" i="1"/>
  <c r="I3537" i="1"/>
  <c r="H3537" i="1"/>
  <c r="G3537" i="1"/>
  <c r="M3536" i="1"/>
  <c r="L3536" i="1"/>
  <c r="K3536" i="1"/>
  <c r="J3536" i="1"/>
  <c r="I3536" i="1"/>
  <c r="H3536" i="1"/>
  <c r="G3536" i="1"/>
  <c r="M3535" i="1"/>
  <c r="L3535" i="1"/>
  <c r="K3535" i="1"/>
  <c r="J3535" i="1"/>
  <c r="I3535" i="1"/>
  <c r="H3535" i="1"/>
  <c r="G3535" i="1"/>
  <c r="M3534" i="1"/>
  <c r="L3534" i="1"/>
  <c r="K3534" i="1"/>
  <c r="J3534" i="1"/>
  <c r="I3534" i="1"/>
  <c r="H3534" i="1"/>
  <c r="G3534" i="1"/>
  <c r="M3533" i="1"/>
  <c r="L3533" i="1"/>
  <c r="K3533" i="1"/>
  <c r="J3533" i="1"/>
  <c r="I3533" i="1"/>
  <c r="H3533" i="1"/>
  <c r="G3533" i="1"/>
  <c r="M3532" i="1"/>
  <c r="L3532" i="1"/>
  <c r="K3532" i="1"/>
  <c r="J3532" i="1"/>
  <c r="I3532" i="1"/>
  <c r="H3532" i="1"/>
  <c r="G3532" i="1"/>
  <c r="M3531" i="1"/>
  <c r="L3531" i="1"/>
  <c r="K3531" i="1"/>
  <c r="J3531" i="1"/>
  <c r="I3531" i="1"/>
  <c r="H3531" i="1"/>
  <c r="G3531" i="1"/>
  <c r="M3530" i="1"/>
  <c r="L3530" i="1"/>
  <c r="K3530" i="1"/>
  <c r="J3530" i="1"/>
  <c r="I3530" i="1"/>
  <c r="H3530" i="1"/>
  <c r="G3530" i="1"/>
  <c r="M3529" i="1"/>
  <c r="L3529" i="1"/>
  <c r="K3529" i="1"/>
  <c r="J3529" i="1"/>
  <c r="I3529" i="1"/>
  <c r="H3529" i="1"/>
  <c r="G3529" i="1"/>
  <c r="M3528" i="1"/>
  <c r="L3528" i="1"/>
  <c r="K3528" i="1"/>
  <c r="J3528" i="1"/>
  <c r="I3528" i="1"/>
  <c r="H3528" i="1"/>
  <c r="G3528" i="1"/>
  <c r="M3527" i="1"/>
  <c r="L3527" i="1"/>
  <c r="K3527" i="1"/>
  <c r="J3527" i="1"/>
  <c r="I3527" i="1"/>
  <c r="H3527" i="1"/>
  <c r="G3527" i="1"/>
  <c r="M3526" i="1"/>
  <c r="L3526" i="1"/>
  <c r="K3526" i="1"/>
  <c r="J3526" i="1"/>
  <c r="I3526" i="1"/>
  <c r="H3526" i="1"/>
  <c r="G3526" i="1"/>
  <c r="M3525" i="1"/>
  <c r="L3525" i="1"/>
  <c r="K3525" i="1"/>
  <c r="J3525" i="1"/>
  <c r="I3525" i="1"/>
  <c r="H3525" i="1"/>
  <c r="G3525" i="1"/>
  <c r="M3524" i="1"/>
  <c r="L3524" i="1"/>
  <c r="K3524" i="1"/>
  <c r="J3524" i="1"/>
  <c r="I3524" i="1"/>
  <c r="H3524" i="1"/>
  <c r="G3524" i="1"/>
  <c r="M3523" i="1"/>
  <c r="L3523" i="1"/>
  <c r="K3523" i="1"/>
  <c r="J3523" i="1"/>
  <c r="I3523" i="1"/>
  <c r="H3523" i="1"/>
  <c r="G3523" i="1"/>
  <c r="M3522" i="1"/>
  <c r="L3522" i="1"/>
  <c r="K3522" i="1"/>
  <c r="J3522" i="1"/>
  <c r="I3522" i="1"/>
  <c r="H3522" i="1"/>
  <c r="G3522" i="1"/>
  <c r="M3521" i="1"/>
  <c r="L3521" i="1"/>
  <c r="K3521" i="1"/>
  <c r="J3521" i="1"/>
  <c r="I3521" i="1"/>
  <c r="H3521" i="1"/>
  <c r="G3521" i="1"/>
  <c r="M3520" i="1"/>
  <c r="L3520" i="1"/>
  <c r="K3520" i="1"/>
  <c r="J3520" i="1"/>
  <c r="I3520" i="1"/>
  <c r="H3520" i="1"/>
  <c r="G3520" i="1"/>
  <c r="M3519" i="1"/>
  <c r="L3519" i="1"/>
  <c r="K3519" i="1"/>
  <c r="J3519" i="1"/>
  <c r="I3519" i="1"/>
  <c r="H3519" i="1"/>
  <c r="G3519" i="1"/>
  <c r="M3518" i="1"/>
  <c r="L3518" i="1"/>
  <c r="K3518" i="1"/>
  <c r="J3518" i="1"/>
  <c r="I3518" i="1"/>
  <c r="H3518" i="1"/>
  <c r="G3518" i="1"/>
  <c r="M3517" i="1"/>
  <c r="L3517" i="1"/>
  <c r="K3517" i="1"/>
  <c r="J3517" i="1"/>
  <c r="I3517" i="1"/>
  <c r="H3517" i="1"/>
  <c r="G3517" i="1"/>
  <c r="M3516" i="1"/>
  <c r="L3516" i="1"/>
  <c r="K3516" i="1"/>
  <c r="J3516" i="1"/>
  <c r="I3516" i="1"/>
  <c r="H3516" i="1"/>
  <c r="G3516" i="1"/>
  <c r="M3515" i="1"/>
  <c r="L3515" i="1"/>
  <c r="K3515" i="1"/>
  <c r="J3515" i="1"/>
  <c r="I3515" i="1"/>
  <c r="H3515" i="1"/>
  <c r="G3515" i="1"/>
  <c r="M3514" i="1"/>
  <c r="L3514" i="1"/>
  <c r="K3514" i="1"/>
  <c r="J3514" i="1"/>
  <c r="I3514" i="1"/>
  <c r="H3514" i="1"/>
  <c r="G3514" i="1"/>
  <c r="M3513" i="1"/>
  <c r="L3513" i="1"/>
  <c r="K3513" i="1"/>
  <c r="J3513" i="1"/>
  <c r="I3513" i="1"/>
  <c r="H3513" i="1"/>
  <c r="G3513" i="1"/>
  <c r="M3512" i="1"/>
  <c r="L3512" i="1"/>
  <c r="K3512" i="1"/>
  <c r="J3512" i="1"/>
  <c r="I3512" i="1"/>
  <c r="H3512" i="1"/>
  <c r="G3512" i="1"/>
  <c r="M3511" i="1"/>
  <c r="L3511" i="1"/>
  <c r="K3511" i="1"/>
  <c r="J3511" i="1"/>
  <c r="I3511" i="1"/>
  <c r="H3511" i="1"/>
  <c r="G3511" i="1"/>
  <c r="M3510" i="1"/>
  <c r="L3510" i="1"/>
  <c r="K3510" i="1"/>
  <c r="J3510" i="1"/>
  <c r="I3510" i="1"/>
  <c r="H3510" i="1"/>
  <c r="G3510" i="1"/>
  <c r="M3509" i="1"/>
  <c r="L3509" i="1"/>
  <c r="K3509" i="1"/>
  <c r="J3509" i="1"/>
  <c r="I3509" i="1"/>
  <c r="H3509" i="1"/>
  <c r="G3509" i="1"/>
  <c r="M3508" i="1"/>
  <c r="L3508" i="1"/>
  <c r="K3508" i="1"/>
  <c r="J3508" i="1"/>
  <c r="I3508" i="1"/>
  <c r="H3508" i="1"/>
  <c r="G3508" i="1"/>
  <c r="M3507" i="1"/>
  <c r="L3507" i="1"/>
  <c r="K3507" i="1"/>
  <c r="J3507" i="1"/>
  <c r="I3507" i="1"/>
  <c r="H3507" i="1"/>
  <c r="G3507" i="1"/>
  <c r="M3506" i="1"/>
  <c r="L3506" i="1"/>
  <c r="K3506" i="1"/>
  <c r="J3506" i="1"/>
  <c r="I3506" i="1"/>
  <c r="H3506" i="1"/>
  <c r="G3506" i="1"/>
  <c r="M3505" i="1"/>
  <c r="L3505" i="1"/>
  <c r="K3505" i="1"/>
  <c r="J3505" i="1"/>
  <c r="I3505" i="1"/>
  <c r="H3505" i="1"/>
  <c r="G3505" i="1"/>
  <c r="M3504" i="1"/>
  <c r="L3504" i="1"/>
  <c r="K3504" i="1"/>
  <c r="J3504" i="1"/>
  <c r="I3504" i="1"/>
  <c r="H3504" i="1"/>
  <c r="G3504" i="1"/>
  <c r="M3503" i="1"/>
  <c r="L3503" i="1"/>
  <c r="K3503" i="1"/>
  <c r="J3503" i="1"/>
  <c r="I3503" i="1"/>
  <c r="H3503" i="1"/>
  <c r="G3503" i="1"/>
  <c r="M3502" i="1"/>
  <c r="L3502" i="1"/>
  <c r="K3502" i="1"/>
  <c r="J3502" i="1"/>
  <c r="I3502" i="1"/>
  <c r="H3502" i="1"/>
  <c r="G3502" i="1"/>
  <c r="M3501" i="1"/>
  <c r="L3501" i="1"/>
  <c r="K3501" i="1"/>
  <c r="J3501" i="1"/>
  <c r="I3501" i="1"/>
  <c r="H3501" i="1"/>
  <c r="G3501" i="1"/>
  <c r="M3500" i="1"/>
  <c r="L3500" i="1"/>
  <c r="K3500" i="1"/>
  <c r="J3500" i="1"/>
  <c r="I3500" i="1"/>
  <c r="H3500" i="1"/>
  <c r="G3500" i="1"/>
  <c r="M3499" i="1"/>
  <c r="L3499" i="1"/>
  <c r="K3499" i="1"/>
  <c r="J3499" i="1"/>
  <c r="I3499" i="1"/>
  <c r="H3499" i="1"/>
  <c r="G3499" i="1"/>
  <c r="M3498" i="1"/>
  <c r="L3498" i="1"/>
  <c r="K3498" i="1"/>
  <c r="J3498" i="1"/>
  <c r="I3498" i="1"/>
  <c r="H3498" i="1"/>
  <c r="G3498" i="1"/>
  <c r="M3497" i="1"/>
  <c r="L3497" i="1"/>
  <c r="K3497" i="1"/>
  <c r="J3497" i="1"/>
  <c r="I3497" i="1"/>
  <c r="H3497" i="1"/>
  <c r="G3497" i="1"/>
  <c r="M3496" i="1"/>
  <c r="L3496" i="1"/>
  <c r="K3496" i="1"/>
  <c r="J3496" i="1"/>
  <c r="I3496" i="1"/>
  <c r="H3496" i="1"/>
  <c r="G3496" i="1"/>
  <c r="M3495" i="1"/>
  <c r="L3495" i="1"/>
  <c r="K3495" i="1"/>
  <c r="J3495" i="1"/>
  <c r="I3495" i="1"/>
  <c r="H3495" i="1"/>
  <c r="G3495" i="1"/>
  <c r="M3494" i="1"/>
  <c r="L3494" i="1"/>
  <c r="K3494" i="1"/>
  <c r="J3494" i="1"/>
  <c r="I3494" i="1"/>
  <c r="H3494" i="1"/>
  <c r="G3494" i="1"/>
  <c r="M3493" i="1"/>
  <c r="L3493" i="1"/>
  <c r="K3493" i="1"/>
  <c r="J3493" i="1"/>
  <c r="I3493" i="1"/>
  <c r="H3493" i="1"/>
  <c r="G3493" i="1"/>
  <c r="M3492" i="1"/>
  <c r="L3492" i="1"/>
  <c r="K3492" i="1"/>
  <c r="J3492" i="1"/>
  <c r="I3492" i="1"/>
  <c r="H3492" i="1"/>
  <c r="G3492" i="1"/>
  <c r="M3491" i="1"/>
  <c r="L3491" i="1"/>
  <c r="K3491" i="1"/>
  <c r="J3491" i="1"/>
  <c r="I3491" i="1"/>
  <c r="H3491" i="1"/>
  <c r="G3491" i="1"/>
  <c r="M3490" i="1"/>
  <c r="L3490" i="1"/>
  <c r="K3490" i="1"/>
  <c r="J3490" i="1"/>
  <c r="I3490" i="1"/>
  <c r="H3490" i="1"/>
  <c r="G3490" i="1"/>
  <c r="M3489" i="1"/>
  <c r="L3489" i="1"/>
  <c r="K3489" i="1"/>
  <c r="J3489" i="1"/>
  <c r="I3489" i="1"/>
  <c r="H3489" i="1"/>
  <c r="G3489" i="1"/>
  <c r="M3488" i="1"/>
  <c r="L3488" i="1"/>
  <c r="K3488" i="1"/>
  <c r="J3488" i="1"/>
  <c r="I3488" i="1"/>
  <c r="H3488" i="1"/>
  <c r="G3488" i="1"/>
  <c r="M3487" i="1"/>
  <c r="L3487" i="1"/>
  <c r="K3487" i="1"/>
  <c r="J3487" i="1"/>
  <c r="I3487" i="1"/>
  <c r="H3487" i="1"/>
  <c r="G3487" i="1"/>
  <c r="M3486" i="1"/>
  <c r="L3486" i="1"/>
  <c r="K3486" i="1"/>
  <c r="J3486" i="1"/>
  <c r="I3486" i="1"/>
  <c r="H3486" i="1"/>
  <c r="G3486" i="1"/>
  <c r="M3485" i="1"/>
  <c r="L3485" i="1"/>
  <c r="K3485" i="1"/>
  <c r="J3485" i="1"/>
  <c r="I3485" i="1"/>
  <c r="H3485" i="1"/>
  <c r="G3485" i="1"/>
  <c r="M3484" i="1"/>
  <c r="L3484" i="1"/>
  <c r="K3484" i="1"/>
  <c r="J3484" i="1"/>
  <c r="I3484" i="1"/>
  <c r="H3484" i="1"/>
  <c r="G3484" i="1"/>
  <c r="M3483" i="1"/>
  <c r="L3483" i="1"/>
  <c r="K3483" i="1"/>
  <c r="J3483" i="1"/>
  <c r="I3483" i="1"/>
  <c r="H3483" i="1"/>
  <c r="G3483" i="1"/>
  <c r="M3482" i="1"/>
  <c r="L3482" i="1"/>
  <c r="K3482" i="1"/>
  <c r="J3482" i="1"/>
  <c r="I3482" i="1"/>
  <c r="H3482" i="1"/>
  <c r="G3482" i="1"/>
  <c r="M3481" i="1"/>
  <c r="L3481" i="1"/>
  <c r="K3481" i="1"/>
  <c r="J3481" i="1"/>
  <c r="I3481" i="1"/>
  <c r="H3481" i="1"/>
  <c r="G3481" i="1"/>
  <c r="M3480" i="1"/>
  <c r="L3480" i="1"/>
  <c r="K3480" i="1"/>
  <c r="J3480" i="1"/>
  <c r="I3480" i="1"/>
  <c r="H3480" i="1"/>
  <c r="G3480" i="1"/>
  <c r="M3479" i="1"/>
  <c r="L3479" i="1"/>
  <c r="K3479" i="1"/>
  <c r="J3479" i="1"/>
  <c r="I3479" i="1"/>
  <c r="H3479" i="1"/>
  <c r="G3479" i="1"/>
  <c r="M3478" i="1"/>
  <c r="L3478" i="1"/>
  <c r="K3478" i="1"/>
  <c r="J3478" i="1"/>
  <c r="I3478" i="1"/>
  <c r="H3478" i="1"/>
  <c r="G3478" i="1"/>
  <c r="M3477" i="1"/>
  <c r="L3477" i="1"/>
  <c r="K3477" i="1"/>
  <c r="J3477" i="1"/>
  <c r="I3477" i="1"/>
  <c r="H3477" i="1"/>
  <c r="G3477" i="1"/>
  <c r="M3476" i="1"/>
  <c r="L3476" i="1"/>
  <c r="K3476" i="1"/>
  <c r="J3476" i="1"/>
  <c r="I3476" i="1"/>
  <c r="H3476" i="1"/>
  <c r="G3476" i="1"/>
  <c r="M3475" i="1"/>
  <c r="L3475" i="1"/>
  <c r="K3475" i="1"/>
  <c r="J3475" i="1"/>
  <c r="I3475" i="1"/>
  <c r="H3475" i="1"/>
  <c r="G3475" i="1"/>
  <c r="M3474" i="1"/>
  <c r="L3474" i="1"/>
  <c r="K3474" i="1"/>
  <c r="J3474" i="1"/>
  <c r="I3474" i="1"/>
  <c r="H3474" i="1"/>
  <c r="G3474" i="1"/>
  <c r="M3473" i="1"/>
  <c r="L3473" i="1"/>
  <c r="K3473" i="1"/>
  <c r="J3473" i="1"/>
  <c r="I3473" i="1"/>
  <c r="H3473" i="1"/>
  <c r="G3473" i="1"/>
  <c r="M3472" i="1"/>
  <c r="L3472" i="1"/>
  <c r="K3472" i="1"/>
  <c r="J3472" i="1"/>
  <c r="I3472" i="1"/>
  <c r="H3472" i="1"/>
  <c r="G3472" i="1"/>
  <c r="M3471" i="1"/>
  <c r="L3471" i="1"/>
  <c r="K3471" i="1"/>
  <c r="J3471" i="1"/>
  <c r="I3471" i="1"/>
  <c r="H3471" i="1"/>
  <c r="G3471" i="1"/>
  <c r="M3470" i="1"/>
  <c r="L3470" i="1"/>
  <c r="K3470" i="1"/>
  <c r="J3470" i="1"/>
  <c r="I3470" i="1"/>
  <c r="H3470" i="1"/>
  <c r="G3470" i="1"/>
  <c r="M3469" i="1"/>
  <c r="L3469" i="1"/>
  <c r="K3469" i="1"/>
  <c r="J3469" i="1"/>
  <c r="I3469" i="1"/>
  <c r="H3469" i="1"/>
  <c r="G3469" i="1"/>
  <c r="M3468" i="1"/>
  <c r="L3468" i="1"/>
  <c r="K3468" i="1"/>
  <c r="J3468" i="1"/>
  <c r="I3468" i="1"/>
  <c r="H3468" i="1"/>
  <c r="G3468" i="1"/>
  <c r="M3467" i="1"/>
  <c r="L3467" i="1"/>
  <c r="K3467" i="1"/>
  <c r="J3467" i="1"/>
  <c r="I3467" i="1"/>
  <c r="H3467" i="1"/>
  <c r="G3467" i="1"/>
  <c r="M3466" i="1"/>
  <c r="L3466" i="1"/>
  <c r="K3466" i="1"/>
  <c r="J3466" i="1"/>
  <c r="I3466" i="1"/>
  <c r="H3466" i="1"/>
  <c r="G3466" i="1"/>
  <c r="M3465" i="1"/>
  <c r="L3465" i="1"/>
  <c r="K3465" i="1"/>
  <c r="J3465" i="1"/>
  <c r="I3465" i="1"/>
  <c r="H3465" i="1"/>
  <c r="G3465" i="1"/>
  <c r="M3464" i="1"/>
  <c r="L3464" i="1"/>
  <c r="K3464" i="1"/>
  <c r="J3464" i="1"/>
  <c r="I3464" i="1"/>
  <c r="H3464" i="1"/>
  <c r="G3464" i="1"/>
  <c r="M3463" i="1"/>
  <c r="L3463" i="1"/>
  <c r="K3463" i="1"/>
  <c r="J3463" i="1"/>
  <c r="I3463" i="1"/>
  <c r="H3463" i="1"/>
  <c r="G3463" i="1"/>
  <c r="M3462" i="1"/>
  <c r="L3462" i="1"/>
  <c r="K3462" i="1"/>
  <c r="J3462" i="1"/>
  <c r="I3462" i="1"/>
  <c r="H3462" i="1"/>
  <c r="G3462" i="1"/>
  <c r="M3461" i="1"/>
  <c r="L3461" i="1"/>
  <c r="K3461" i="1"/>
  <c r="J3461" i="1"/>
  <c r="I3461" i="1"/>
  <c r="H3461" i="1"/>
  <c r="G3461" i="1"/>
  <c r="M3460" i="1"/>
  <c r="L3460" i="1"/>
  <c r="K3460" i="1"/>
  <c r="J3460" i="1"/>
  <c r="I3460" i="1"/>
  <c r="H3460" i="1"/>
  <c r="G3460" i="1"/>
  <c r="M3459" i="1"/>
  <c r="L3459" i="1"/>
  <c r="K3459" i="1"/>
  <c r="J3459" i="1"/>
  <c r="I3459" i="1"/>
  <c r="H3459" i="1"/>
  <c r="G3459" i="1"/>
  <c r="M3458" i="1"/>
  <c r="L3458" i="1"/>
  <c r="K3458" i="1"/>
  <c r="J3458" i="1"/>
  <c r="I3458" i="1"/>
  <c r="H3458" i="1"/>
  <c r="G3458" i="1"/>
  <c r="M3457" i="1"/>
  <c r="L3457" i="1"/>
  <c r="K3457" i="1"/>
  <c r="J3457" i="1"/>
  <c r="I3457" i="1"/>
  <c r="H3457" i="1"/>
  <c r="G3457" i="1"/>
  <c r="M3456" i="1"/>
  <c r="L3456" i="1"/>
  <c r="K3456" i="1"/>
  <c r="J3456" i="1"/>
  <c r="I3456" i="1"/>
  <c r="H3456" i="1"/>
  <c r="G3456" i="1"/>
  <c r="M3455" i="1"/>
  <c r="L3455" i="1"/>
  <c r="K3455" i="1"/>
  <c r="J3455" i="1"/>
  <c r="I3455" i="1"/>
  <c r="H3455" i="1"/>
  <c r="G3455" i="1"/>
  <c r="M3454" i="1"/>
  <c r="L3454" i="1"/>
  <c r="K3454" i="1"/>
  <c r="J3454" i="1"/>
  <c r="I3454" i="1"/>
  <c r="H3454" i="1"/>
  <c r="G3454" i="1"/>
  <c r="M3453" i="1"/>
  <c r="L3453" i="1"/>
  <c r="K3453" i="1"/>
  <c r="J3453" i="1"/>
  <c r="I3453" i="1"/>
  <c r="H3453" i="1"/>
  <c r="G3453" i="1"/>
  <c r="M3452" i="1"/>
  <c r="L3452" i="1"/>
  <c r="K3452" i="1"/>
  <c r="J3452" i="1"/>
  <c r="I3452" i="1"/>
  <c r="H3452" i="1"/>
  <c r="G3452" i="1"/>
  <c r="M3451" i="1"/>
  <c r="L3451" i="1"/>
  <c r="K3451" i="1"/>
  <c r="J3451" i="1"/>
  <c r="I3451" i="1"/>
  <c r="H3451" i="1"/>
  <c r="G3451" i="1"/>
  <c r="M3450" i="1"/>
  <c r="L3450" i="1"/>
  <c r="K3450" i="1"/>
  <c r="J3450" i="1"/>
  <c r="I3450" i="1"/>
  <c r="H3450" i="1"/>
  <c r="G3450" i="1"/>
  <c r="M3449" i="1"/>
  <c r="L3449" i="1"/>
  <c r="K3449" i="1"/>
  <c r="J3449" i="1"/>
  <c r="I3449" i="1"/>
  <c r="H3449" i="1"/>
  <c r="G3449" i="1"/>
  <c r="M3448" i="1"/>
  <c r="L3448" i="1"/>
  <c r="K3448" i="1"/>
  <c r="J3448" i="1"/>
  <c r="I3448" i="1"/>
  <c r="H3448" i="1"/>
  <c r="G3448" i="1"/>
  <c r="M3447" i="1"/>
  <c r="L3447" i="1"/>
  <c r="K3447" i="1"/>
  <c r="J3447" i="1"/>
  <c r="I3447" i="1"/>
  <c r="H3447" i="1"/>
  <c r="G3447" i="1"/>
  <c r="M3446" i="1"/>
  <c r="L3446" i="1"/>
  <c r="K3446" i="1"/>
  <c r="J3446" i="1"/>
  <c r="I3446" i="1"/>
  <c r="H3446" i="1"/>
  <c r="G3446" i="1"/>
  <c r="M3445" i="1"/>
  <c r="L3445" i="1"/>
  <c r="K3445" i="1"/>
  <c r="J3445" i="1"/>
  <c r="I3445" i="1"/>
  <c r="H3445" i="1"/>
  <c r="G3445" i="1"/>
  <c r="M3444" i="1"/>
  <c r="L3444" i="1"/>
  <c r="K3444" i="1"/>
  <c r="J3444" i="1"/>
  <c r="I3444" i="1"/>
  <c r="H3444" i="1"/>
  <c r="G3444" i="1"/>
  <c r="M3443" i="1"/>
  <c r="L3443" i="1"/>
  <c r="K3443" i="1"/>
  <c r="J3443" i="1"/>
  <c r="I3443" i="1"/>
  <c r="H3443" i="1"/>
  <c r="G3443" i="1"/>
  <c r="M3442" i="1"/>
  <c r="L3442" i="1"/>
  <c r="K3442" i="1"/>
  <c r="J3442" i="1"/>
  <c r="I3442" i="1"/>
  <c r="H3442" i="1"/>
  <c r="G3442" i="1"/>
  <c r="M3441" i="1"/>
  <c r="L3441" i="1"/>
  <c r="K3441" i="1"/>
  <c r="J3441" i="1"/>
  <c r="I3441" i="1"/>
  <c r="H3441" i="1"/>
  <c r="G3441" i="1"/>
  <c r="M3440" i="1"/>
  <c r="L3440" i="1"/>
  <c r="K3440" i="1"/>
  <c r="J3440" i="1"/>
  <c r="I3440" i="1"/>
  <c r="H3440" i="1"/>
  <c r="G3440" i="1"/>
  <c r="M3439" i="1"/>
  <c r="L3439" i="1"/>
  <c r="K3439" i="1"/>
  <c r="J3439" i="1"/>
  <c r="I3439" i="1"/>
  <c r="H3439" i="1"/>
  <c r="G3439" i="1"/>
  <c r="M3438" i="1"/>
  <c r="L3438" i="1"/>
  <c r="K3438" i="1"/>
  <c r="J3438" i="1"/>
  <c r="I3438" i="1"/>
  <c r="H3438" i="1"/>
  <c r="G3438" i="1"/>
  <c r="M3437" i="1"/>
  <c r="L3437" i="1"/>
  <c r="K3437" i="1"/>
  <c r="J3437" i="1"/>
  <c r="I3437" i="1"/>
  <c r="H3437" i="1"/>
  <c r="G3437" i="1"/>
  <c r="M3436" i="1"/>
  <c r="L3436" i="1"/>
  <c r="K3436" i="1"/>
  <c r="J3436" i="1"/>
  <c r="I3436" i="1"/>
  <c r="H3436" i="1"/>
  <c r="G3436" i="1"/>
  <c r="M3435" i="1"/>
  <c r="L3435" i="1"/>
  <c r="K3435" i="1"/>
  <c r="J3435" i="1"/>
  <c r="I3435" i="1"/>
  <c r="H3435" i="1"/>
  <c r="G3435" i="1"/>
  <c r="M3434" i="1"/>
  <c r="L3434" i="1"/>
  <c r="K3434" i="1"/>
  <c r="J3434" i="1"/>
  <c r="I3434" i="1"/>
  <c r="H3434" i="1"/>
  <c r="G3434" i="1"/>
  <c r="M3433" i="1"/>
  <c r="L3433" i="1"/>
  <c r="K3433" i="1"/>
  <c r="J3433" i="1"/>
  <c r="I3433" i="1"/>
  <c r="H3433" i="1"/>
  <c r="G3433" i="1"/>
  <c r="M3432" i="1"/>
  <c r="L3432" i="1"/>
  <c r="K3432" i="1"/>
  <c r="J3432" i="1"/>
  <c r="I3432" i="1"/>
  <c r="H3432" i="1"/>
  <c r="G3432" i="1"/>
  <c r="M3431" i="1"/>
  <c r="L3431" i="1"/>
  <c r="K3431" i="1"/>
  <c r="J3431" i="1"/>
  <c r="I3431" i="1"/>
  <c r="H3431" i="1"/>
  <c r="G3431" i="1"/>
  <c r="M3430" i="1"/>
  <c r="L3430" i="1"/>
  <c r="K3430" i="1"/>
  <c r="J3430" i="1"/>
  <c r="I3430" i="1"/>
  <c r="H3430" i="1"/>
  <c r="G3430" i="1"/>
  <c r="M3429" i="1"/>
  <c r="L3429" i="1"/>
  <c r="K3429" i="1"/>
  <c r="J3429" i="1"/>
  <c r="I3429" i="1"/>
  <c r="H3429" i="1"/>
  <c r="G3429" i="1"/>
  <c r="M3428" i="1"/>
  <c r="L3428" i="1"/>
  <c r="K3428" i="1"/>
  <c r="J3428" i="1"/>
  <c r="I3428" i="1"/>
  <c r="H3428" i="1"/>
  <c r="G3428" i="1"/>
  <c r="M3427" i="1"/>
  <c r="L3427" i="1"/>
  <c r="K3427" i="1"/>
  <c r="J3427" i="1"/>
  <c r="I3427" i="1"/>
  <c r="H3427" i="1"/>
  <c r="G3427" i="1"/>
  <c r="M3426" i="1"/>
  <c r="L3426" i="1"/>
  <c r="K3426" i="1"/>
  <c r="J3426" i="1"/>
  <c r="I3426" i="1"/>
  <c r="H3426" i="1"/>
  <c r="G3426" i="1"/>
  <c r="M3425" i="1"/>
  <c r="L3425" i="1"/>
  <c r="K3425" i="1"/>
  <c r="J3425" i="1"/>
  <c r="I3425" i="1"/>
  <c r="H3425" i="1"/>
  <c r="G3425" i="1"/>
  <c r="M3424" i="1"/>
  <c r="L3424" i="1"/>
  <c r="K3424" i="1"/>
  <c r="J3424" i="1"/>
  <c r="I3424" i="1"/>
  <c r="H3424" i="1"/>
  <c r="G3424" i="1"/>
  <c r="M3423" i="1"/>
  <c r="L3423" i="1"/>
  <c r="K3423" i="1"/>
  <c r="J3423" i="1"/>
  <c r="I3423" i="1"/>
  <c r="H3423" i="1"/>
  <c r="G3423" i="1"/>
  <c r="M3422" i="1"/>
  <c r="L3422" i="1"/>
  <c r="K3422" i="1"/>
  <c r="J3422" i="1"/>
  <c r="I3422" i="1"/>
  <c r="H3422" i="1"/>
  <c r="G3422" i="1"/>
  <c r="M3421" i="1"/>
  <c r="L3421" i="1"/>
  <c r="K3421" i="1"/>
  <c r="J3421" i="1"/>
  <c r="I3421" i="1"/>
  <c r="H3421" i="1"/>
  <c r="G3421" i="1"/>
  <c r="M3420" i="1"/>
  <c r="L3420" i="1"/>
  <c r="K3420" i="1"/>
  <c r="J3420" i="1"/>
  <c r="I3420" i="1"/>
  <c r="H3420" i="1"/>
  <c r="G3420" i="1"/>
  <c r="M3419" i="1"/>
  <c r="L3419" i="1"/>
  <c r="K3419" i="1"/>
  <c r="J3419" i="1"/>
  <c r="I3419" i="1"/>
  <c r="H3419" i="1"/>
  <c r="G3419" i="1"/>
  <c r="M3418" i="1"/>
  <c r="L3418" i="1"/>
  <c r="K3418" i="1"/>
  <c r="J3418" i="1"/>
  <c r="I3418" i="1"/>
  <c r="H3418" i="1"/>
  <c r="G3418" i="1"/>
  <c r="M3417" i="1"/>
  <c r="L3417" i="1"/>
  <c r="K3417" i="1"/>
  <c r="J3417" i="1"/>
  <c r="I3417" i="1"/>
  <c r="H3417" i="1"/>
  <c r="G3417" i="1"/>
  <c r="M3416" i="1"/>
  <c r="L3416" i="1"/>
  <c r="K3416" i="1"/>
  <c r="J3416" i="1"/>
  <c r="I3416" i="1"/>
  <c r="H3416" i="1"/>
  <c r="G3416" i="1"/>
  <c r="M3415" i="1"/>
  <c r="L3415" i="1"/>
  <c r="K3415" i="1"/>
  <c r="J3415" i="1"/>
  <c r="I3415" i="1"/>
  <c r="H3415" i="1"/>
  <c r="G3415" i="1"/>
  <c r="M3414" i="1"/>
  <c r="L3414" i="1"/>
  <c r="K3414" i="1"/>
  <c r="J3414" i="1"/>
  <c r="I3414" i="1"/>
  <c r="H3414" i="1"/>
  <c r="G3414" i="1"/>
  <c r="M3413" i="1"/>
  <c r="L3413" i="1"/>
  <c r="K3413" i="1"/>
  <c r="J3413" i="1"/>
  <c r="I3413" i="1"/>
  <c r="H3413" i="1"/>
  <c r="G3413" i="1"/>
  <c r="M3412" i="1"/>
  <c r="L3412" i="1"/>
  <c r="K3412" i="1"/>
  <c r="J3412" i="1"/>
  <c r="I3412" i="1"/>
  <c r="H3412" i="1"/>
  <c r="G3412" i="1"/>
  <c r="M3411" i="1"/>
  <c r="L3411" i="1"/>
  <c r="K3411" i="1"/>
  <c r="J3411" i="1"/>
  <c r="I3411" i="1"/>
  <c r="H3411" i="1"/>
  <c r="G3411" i="1"/>
  <c r="M3410" i="1"/>
  <c r="L3410" i="1"/>
  <c r="K3410" i="1"/>
  <c r="J3410" i="1"/>
  <c r="I3410" i="1"/>
  <c r="H3410" i="1"/>
  <c r="G3410" i="1"/>
  <c r="M3409" i="1"/>
  <c r="L3409" i="1"/>
  <c r="K3409" i="1"/>
  <c r="J3409" i="1"/>
  <c r="I3409" i="1"/>
  <c r="H3409" i="1"/>
  <c r="G3409" i="1"/>
  <c r="M3408" i="1"/>
  <c r="L3408" i="1"/>
  <c r="K3408" i="1"/>
  <c r="J3408" i="1"/>
  <c r="I3408" i="1"/>
  <c r="H3408" i="1"/>
  <c r="G3408" i="1"/>
  <c r="M3407" i="1"/>
  <c r="L3407" i="1"/>
  <c r="K3407" i="1"/>
  <c r="J3407" i="1"/>
  <c r="I3407" i="1"/>
  <c r="H3407" i="1"/>
  <c r="G3407" i="1"/>
  <c r="M3406" i="1"/>
  <c r="L3406" i="1"/>
  <c r="K3406" i="1"/>
  <c r="J3406" i="1"/>
  <c r="I3406" i="1"/>
  <c r="H3406" i="1"/>
  <c r="G3406" i="1"/>
  <c r="M3405" i="1"/>
  <c r="L3405" i="1"/>
  <c r="K3405" i="1"/>
  <c r="J3405" i="1"/>
  <c r="I3405" i="1"/>
  <c r="H3405" i="1"/>
  <c r="G3405" i="1"/>
  <c r="M3404" i="1"/>
  <c r="L3404" i="1"/>
  <c r="K3404" i="1"/>
  <c r="J3404" i="1"/>
  <c r="I3404" i="1"/>
  <c r="H3404" i="1"/>
  <c r="G3404" i="1"/>
  <c r="M3403" i="1"/>
  <c r="L3403" i="1"/>
  <c r="K3403" i="1"/>
  <c r="J3403" i="1"/>
  <c r="I3403" i="1"/>
  <c r="H3403" i="1"/>
  <c r="G3403" i="1"/>
  <c r="M3402" i="1"/>
  <c r="L3402" i="1"/>
  <c r="K3402" i="1"/>
  <c r="J3402" i="1"/>
  <c r="I3402" i="1"/>
  <c r="H3402" i="1"/>
  <c r="G3402" i="1"/>
  <c r="M3401" i="1"/>
  <c r="L3401" i="1"/>
  <c r="K3401" i="1"/>
  <c r="J3401" i="1"/>
  <c r="I3401" i="1"/>
  <c r="H3401" i="1"/>
  <c r="G3401" i="1"/>
  <c r="M3400" i="1"/>
  <c r="L3400" i="1"/>
  <c r="K3400" i="1"/>
  <c r="J3400" i="1"/>
  <c r="I3400" i="1"/>
  <c r="H3400" i="1"/>
  <c r="G3400" i="1"/>
  <c r="M3399" i="1"/>
  <c r="L3399" i="1"/>
  <c r="K3399" i="1"/>
  <c r="J3399" i="1"/>
  <c r="I3399" i="1"/>
  <c r="H3399" i="1"/>
  <c r="G3399" i="1"/>
  <c r="M3398" i="1"/>
  <c r="L3398" i="1"/>
  <c r="K3398" i="1"/>
  <c r="J3398" i="1"/>
  <c r="I3398" i="1"/>
  <c r="H3398" i="1"/>
  <c r="G3398" i="1"/>
  <c r="M3397" i="1"/>
  <c r="L3397" i="1"/>
  <c r="K3397" i="1"/>
  <c r="J3397" i="1"/>
  <c r="I3397" i="1"/>
  <c r="H3397" i="1"/>
  <c r="G3397" i="1"/>
  <c r="M3396" i="1"/>
  <c r="L3396" i="1"/>
  <c r="K3396" i="1"/>
  <c r="J3396" i="1"/>
  <c r="I3396" i="1"/>
  <c r="H3396" i="1"/>
  <c r="G3396" i="1"/>
  <c r="M3395" i="1"/>
  <c r="L3395" i="1"/>
  <c r="K3395" i="1"/>
  <c r="J3395" i="1"/>
  <c r="I3395" i="1"/>
  <c r="H3395" i="1"/>
  <c r="G3395" i="1"/>
  <c r="M3394" i="1"/>
  <c r="L3394" i="1"/>
  <c r="K3394" i="1"/>
  <c r="J3394" i="1"/>
  <c r="I3394" i="1"/>
  <c r="H3394" i="1"/>
  <c r="G3394" i="1"/>
  <c r="M3393" i="1"/>
  <c r="L3393" i="1"/>
  <c r="K3393" i="1"/>
  <c r="J3393" i="1"/>
  <c r="I3393" i="1"/>
  <c r="H3393" i="1"/>
  <c r="G3393" i="1"/>
  <c r="M3392" i="1"/>
  <c r="L3392" i="1"/>
  <c r="K3392" i="1"/>
  <c r="J3392" i="1"/>
  <c r="I3392" i="1"/>
  <c r="H3392" i="1"/>
  <c r="G3392" i="1"/>
  <c r="M3391" i="1"/>
  <c r="L3391" i="1"/>
  <c r="K3391" i="1"/>
  <c r="J3391" i="1"/>
  <c r="I3391" i="1"/>
  <c r="H3391" i="1"/>
  <c r="G3391" i="1"/>
  <c r="M3390" i="1"/>
  <c r="L3390" i="1"/>
  <c r="K3390" i="1"/>
  <c r="J3390" i="1"/>
  <c r="I3390" i="1"/>
  <c r="H3390" i="1"/>
  <c r="G3390" i="1"/>
  <c r="M3389" i="1"/>
  <c r="L3389" i="1"/>
  <c r="K3389" i="1"/>
  <c r="J3389" i="1"/>
  <c r="I3389" i="1"/>
  <c r="H3389" i="1"/>
  <c r="G3389" i="1"/>
  <c r="M3388" i="1"/>
  <c r="L3388" i="1"/>
  <c r="K3388" i="1"/>
  <c r="J3388" i="1"/>
  <c r="I3388" i="1"/>
  <c r="H3388" i="1"/>
  <c r="G3388" i="1"/>
  <c r="M3387" i="1"/>
  <c r="L3387" i="1"/>
  <c r="K3387" i="1"/>
  <c r="J3387" i="1"/>
  <c r="I3387" i="1"/>
  <c r="H3387" i="1"/>
  <c r="G3387" i="1"/>
  <c r="M3386" i="1"/>
  <c r="L3386" i="1"/>
  <c r="K3386" i="1"/>
  <c r="J3386" i="1"/>
  <c r="I3386" i="1"/>
  <c r="H3386" i="1"/>
  <c r="G3386" i="1"/>
  <c r="M3385" i="1"/>
  <c r="L3385" i="1"/>
  <c r="K3385" i="1"/>
  <c r="J3385" i="1"/>
  <c r="I3385" i="1"/>
  <c r="H3385" i="1"/>
  <c r="G3385" i="1"/>
  <c r="M3384" i="1"/>
  <c r="L3384" i="1"/>
  <c r="K3384" i="1"/>
  <c r="J3384" i="1"/>
  <c r="I3384" i="1"/>
  <c r="H3384" i="1"/>
  <c r="G3384" i="1"/>
  <c r="M3383" i="1"/>
  <c r="L3383" i="1"/>
  <c r="K3383" i="1"/>
  <c r="J3383" i="1"/>
  <c r="I3383" i="1"/>
  <c r="H3383" i="1"/>
  <c r="G3383" i="1"/>
  <c r="M3382" i="1"/>
  <c r="L3382" i="1"/>
  <c r="K3382" i="1"/>
  <c r="J3382" i="1"/>
  <c r="I3382" i="1"/>
  <c r="H3382" i="1"/>
  <c r="G3382" i="1"/>
  <c r="M3381" i="1"/>
  <c r="L3381" i="1"/>
  <c r="K3381" i="1"/>
  <c r="J3381" i="1"/>
  <c r="I3381" i="1"/>
  <c r="H3381" i="1"/>
  <c r="G3381" i="1"/>
  <c r="M3380" i="1"/>
  <c r="L3380" i="1"/>
  <c r="K3380" i="1"/>
  <c r="J3380" i="1"/>
  <c r="I3380" i="1"/>
  <c r="H3380" i="1"/>
  <c r="G3380" i="1"/>
  <c r="M3379" i="1"/>
  <c r="L3379" i="1"/>
  <c r="K3379" i="1"/>
  <c r="J3379" i="1"/>
  <c r="I3379" i="1"/>
  <c r="H3379" i="1"/>
  <c r="G3379" i="1"/>
  <c r="M3378" i="1"/>
  <c r="L3378" i="1"/>
  <c r="K3378" i="1"/>
  <c r="J3378" i="1"/>
  <c r="I3378" i="1"/>
  <c r="H3378" i="1"/>
  <c r="G3378" i="1"/>
  <c r="M3377" i="1"/>
  <c r="L3377" i="1"/>
  <c r="K3377" i="1"/>
  <c r="J3377" i="1"/>
  <c r="I3377" i="1"/>
  <c r="H3377" i="1"/>
  <c r="G3377" i="1"/>
  <c r="M3376" i="1"/>
  <c r="L3376" i="1"/>
  <c r="K3376" i="1"/>
  <c r="J3376" i="1"/>
  <c r="I3376" i="1"/>
  <c r="H3376" i="1"/>
  <c r="G3376" i="1"/>
  <c r="M3375" i="1"/>
  <c r="L3375" i="1"/>
  <c r="K3375" i="1"/>
  <c r="J3375" i="1"/>
  <c r="I3375" i="1"/>
  <c r="H3375" i="1"/>
  <c r="G3375" i="1"/>
  <c r="M3374" i="1"/>
  <c r="L3374" i="1"/>
  <c r="K3374" i="1"/>
  <c r="J3374" i="1"/>
  <c r="I3374" i="1"/>
  <c r="H3374" i="1"/>
  <c r="G3374" i="1"/>
  <c r="M3373" i="1"/>
  <c r="L3373" i="1"/>
  <c r="K3373" i="1"/>
  <c r="J3373" i="1"/>
  <c r="I3373" i="1"/>
  <c r="H3373" i="1"/>
  <c r="G3373" i="1"/>
  <c r="M3372" i="1"/>
  <c r="L3372" i="1"/>
  <c r="K3372" i="1"/>
  <c r="J3372" i="1"/>
  <c r="I3372" i="1"/>
  <c r="H3372" i="1"/>
  <c r="G3372" i="1"/>
  <c r="M3371" i="1"/>
  <c r="L3371" i="1"/>
  <c r="K3371" i="1"/>
  <c r="J3371" i="1"/>
  <c r="I3371" i="1"/>
  <c r="H3371" i="1"/>
  <c r="G3371" i="1"/>
  <c r="M3370" i="1"/>
  <c r="L3370" i="1"/>
  <c r="K3370" i="1"/>
  <c r="J3370" i="1"/>
  <c r="I3370" i="1"/>
  <c r="H3370" i="1"/>
  <c r="G3370" i="1"/>
  <c r="M3369" i="1"/>
  <c r="L3369" i="1"/>
  <c r="K3369" i="1"/>
  <c r="J3369" i="1"/>
  <c r="I3369" i="1"/>
  <c r="H3369" i="1"/>
  <c r="G3369" i="1"/>
  <c r="M3368" i="1"/>
  <c r="L3368" i="1"/>
  <c r="K3368" i="1"/>
  <c r="J3368" i="1"/>
  <c r="I3368" i="1"/>
  <c r="H3368" i="1"/>
  <c r="G3368" i="1"/>
  <c r="M3367" i="1"/>
  <c r="L3367" i="1"/>
  <c r="K3367" i="1"/>
  <c r="J3367" i="1"/>
  <c r="I3367" i="1"/>
  <c r="H3367" i="1"/>
  <c r="G3367" i="1"/>
  <c r="M3366" i="1"/>
  <c r="L3366" i="1"/>
  <c r="K3366" i="1"/>
  <c r="J3366" i="1"/>
  <c r="I3366" i="1"/>
  <c r="H3366" i="1"/>
  <c r="G3366" i="1"/>
  <c r="M3365" i="1"/>
  <c r="L3365" i="1"/>
  <c r="K3365" i="1"/>
  <c r="J3365" i="1"/>
  <c r="I3365" i="1"/>
  <c r="H3365" i="1"/>
  <c r="G3365" i="1"/>
  <c r="M3364" i="1"/>
  <c r="L3364" i="1"/>
  <c r="K3364" i="1"/>
  <c r="J3364" i="1"/>
  <c r="I3364" i="1"/>
  <c r="H3364" i="1"/>
  <c r="G3364" i="1"/>
  <c r="M3363" i="1"/>
  <c r="L3363" i="1"/>
  <c r="K3363" i="1"/>
  <c r="J3363" i="1"/>
  <c r="I3363" i="1"/>
  <c r="H3363" i="1"/>
  <c r="G3363" i="1"/>
  <c r="M3362" i="1"/>
  <c r="L3362" i="1"/>
  <c r="K3362" i="1"/>
  <c r="J3362" i="1"/>
  <c r="I3362" i="1"/>
  <c r="H3362" i="1"/>
  <c r="G3362" i="1"/>
  <c r="M3361" i="1"/>
  <c r="L3361" i="1"/>
  <c r="K3361" i="1"/>
  <c r="J3361" i="1"/>
  <c r="I3361" i="1"/>
  <c r="H3361" i="1"/>
  <c r="G3361" i="1"/>
  <c r="M3360" i="1"/>
  <c r="L3360" i="1"/>
  <c r="K3360" i="1"/>
  <c r="J3360" i="1"/>
  <c r="I3360" i="1"/>
  <c r="H3360" i="1"/>
  <c r="G3360" i="1"/>
  <c r="M3359" i="1"/>
  <c r="L3359" i="1"/>
  <c r="K3359" i="1"/>
  <c r="J3359" i="1"/>
  <c r="I3359" i="1"/>
  <c r="H3359" i="1"/>
  <c r="G3359" i="1"/>
  <c r="M3358" i="1"/>
  <c r="L3358" i="1"/>
  <c r="K3358" i="1"/>
  <c r="J3358" i="1"/>
  <c r="I3358" i="1"/>
  <c r="H3358" i="1"/>
  <c r="G3358" i="1"/>
  <c r="M3357" i="1"/>
  <c r="L3357" i="1"/>
  <c r="K3357" i="1"/>
  <c r="J3357" i="1"/>
  <c r="I3357" i="1"/>
  <c r="H3357" i="1"/>
  <c r="G3357" i="1"/>
  <c r="M3356" i="1"/>
  <c r="L3356" i="1"/>
  <c r="K3356" i="1"/>
  <c r="J3356" i="1"/>
  <c r="I3356" i="1"/>
  <c r="H3356" i="1"/>
  <c r="G3356" i="1"/>
  <c r="M3355" i="1"/>
  <c r="L3355" i="1"/>
  <c r="K3355" i="1"/>
  <c r="J3355" i="1"/>
  <c r="I3355" i="1"/>
  <c r="H3355" i="1"/>
  <c r="G3355" i="1"/>
  <c r="M3354" i="1"/>
  <c r="L3354" i="1"/>
  <c r="K3354" i="1"/>
  <c r="J3354" i="1"/>
  <c r="I3354" i="1"/>
  <c r="H3354" i="1"/>
  <c r="G3354" i="1"/>
  <c r="M3353" i="1"/>
  <c r="L3353" i="1"/>
  <c r="K3353" i="1"/>
  <c r="J3353" i="1"/>
  <c r="I3353" i="1"/>
  <c r="H3353" i="1"/>
  <c r="G3353" i="1"/>
  <c r="M3352" i="1"/>
  <c r="L3352" i="1"/>
  <c r="K3352" i="1"/>
  <c r="J3352" i="1"/>
  <c r="I3352" i="1"/>
  <c r="H3352" i="1"/>
  <c r="G3352" i="1"/>
  <c r="M3351" i="1"/>
  <c r="L3351" i="1"/>
  <c r="K3351" i="1"/>
  <c r="J3351" i="1"/>
  <c r="I3351" i="1"/>
  <c r="H3351" i="1"/>
  <c r="G3351" i="1"/>
  <c r="M3350" i="1"/>
  <c r="L3350" i="1"/>
  <c r="K3350" i="1"/>
  <c r="J3350" i="1"/>
  <c r="I3350" i="1"/>
  <c r="H3350" i="1"/>
  <c r="G3350" i="1"/>
  <c r="M3349" i="1"/>
  <c r="L3349" i="1"/>
  <c r="K3349" i="1"/>
  <c r="J3349" i="1"/>
  <c r="I3349" i="1"/>
  <c r="H3349" i="1"/>
  <c r="G3349" i="1"/>
  <c r="M3348" i="1"/>
  <c r="L3348" i="1"/>
  <c r="K3348" i="1"/>
  <c r="J3348" i="1"/>
  <c r="I3348" i="1"/>
  <c r="H3348" i="1"/>
  <c r="G3348" i="1"/>
  <c r="M3347" i="1"/>
  <c r="L3347" i="1"/>
  <c r="K3347" i="1"/>
  <c r="J3347" i="1"/>
  <c r="I3347" i="1"/>
  <c r="H3347" i="1"/>
  <c r="G3347" i="1"/>
  <c r="M3346" i="1"/>
  <c r="L3346" i="1"/>
  <c r="K3346" i="1"/>
  <c r="J3346" i="1"/>
  <c r="I3346" i="1"/>
  <c r="H3346" i="1"/>
  <c r="G3346" i="1"/>
  <c r="M3345" i="1"/>
  <c r="L3345" i="1"/>
  <c r="K3345" i="1"/>
  <c r="J3345" i="1"/>
  <c r="I3345" i="1"/>
  <c r="H3345" i="1"/>
  <c r="G3345" i="1"/>
  <c r="M3344" i="1"/>
  <c r="L3344" i="1"/>
  <c r="K3344" i="1"/>
  <c r="J3344" i="1"/>
  <c r="I3344" i="1"/>
  <c r="H3344" i="1"/>
  <c r="G3344" i="1"/>
  <c r="M3343" i="1"/>
  <c r="L3343" i="1"/>
  <c r="K3343" i="1"/>
  <c r="J3343" i="1"/>
  <c r="I3343" i="1"/>
  <c r="H3343" i="1"/>
  <c r="G3343" i="1"/>
  <c r="M3342" i="1"/>
  <c r="L3342" i="1"/>
  <c r="K3342" i="1"/>
  <c r="J3342" i="1"/>
  <c r="I3342" i="1"/>
  <c r="H3342" i="1"/>
  <c r="G3342" i="1"/>
  <c r="M3341" i="1"/>
  <c r="L3341" i="1"/>
  <c r="K3341" i="1"/>
  <c r="J3341" i="1"/>
  <c r="I3341" i="1"/>
  <c r="H3341" i="1"/>
  <c r="G3341" i="1"/>
  <c r="M3340" i="1"/>
  <c r="L3340" i="1"/>
  <c r="K3340" i="1"/>
  <c r="J3340" i="1"/>
  <c r="I3340" i="1"/>
  <c r="H3340" i="1"/>
  <c r="G3340" i="1"/>
  <c r="M3339" i="1"/>
  <c r="L3339" i="1"/>
  <c r="K3339" i="1"/>
  <c r="J3339" i="1"/>
  <c r="I3339" i="1"/>
  <c r="H3339" i="1"/>
  <c r="G3339" i="1"/>
  <c r="M3338" i="1"/>
  <c r="L3338" i="1"/>
  <c r="K3338" i="1"/>
  <c r="J3338" i="1"/>
  <c r="I3338" i="1"/>
  <c r="H3338" i="1"/>
  <c r="G3338" i="1"/>
  <c r="M3337" i="1"/>
  <c r="L3337" i="1"/>
  <c r="K3337" i="1"/>
  <c r="J3337" i="1"/>
  <c r="I3337" i="1"/>
  <c r="H3337" i="1"/>
  <c r="G3337" i="1"/>
  <c r="M3336" i="1"/>
  <c r="L3336" i="1"/>
  <c r="K3336" i="1"/>
  <c r="J3336" i="1"/>
  <c r="I3336" i="1"/>
  <c r="H3336" i="1"/>
  <c r="G3336" i="1"/>
  <c r="M3335" i="1"/>
  <c r="L3335" i="1"/>
  <c r="K3335" i="1"/>
  <c r="J3335" i="1"/>
  <c r="I3335" i="1"/>
  <c r="H3335" i="1"/>
  <c r="G3335" i="1"/>
  <c r="M3334" i="1"/>
  <c r="L3334" i="1"/>
  <c r="K3334" i="1"/>
  <c r="J3334" i="1"/>
  <c r="I3334" i="1"/>
  <c r="H3334" i="1"/>
  <c r="G3334" i="1"/>
  <c r="M3333" i="1"/>
  <c r="L3333" i="1"/>
  <c r="K3333" i="1"/>
  <c r="J3333" i="1"/>
  <c r="I3333" i="1"/>
  <c r="H3333" i="1"/>
  <c r="G3333" i="1"/>
  <c r="M3332" i="1"/>
  <c r="L3332" i="1"/>
  <c r="K3332" i="1"/>
  <c r="J3332" i="1"/>
  <c r="I3332" i="1"/>
  <c r="H3332" i="1"/>
  <c r="G3332" i="1"/>
  <c r="M3331" i="1"/>
  <c r="L3331" i="1"/>
  <c r="K3331" i="1"/>
  <c r="J3331" i="1"/>
  <c r="I3331" i="1"/>
  <c r="H3331" i="1"/>
  <c r="G3331" i="1"/>
  <c r="M3330" i="1"/>
  <c r="L3330" i="1"/>
  <c r="K3330" i="1"/>
  <c r="J3330" i="1"/>
  <c r="I3330" i="1"/>
  <c r="H3330" i="1"/>
  <c r="G3330" i="1"/>
  <c r="M3329" i="1"/>
  <c r="L3329" i="1"/>
  <c r="K3329" i="1"/>
  <c r="J3329" i="1"/>
  <c r="I3329" i="1"/>
  <c r="H3329" i="1"/>
  <c r="G3329" i="1"/>
  <c r="M3328" i="1"/>
  <c r="L3328" i="1"/>
  <c r="K3328" i="1"/>
  <c r="J3328" i="1"/>
  <c r="I3328" i="1"/>
  <c r="H3328" i="1"/>
  <c r="G3328" i="1"/>
  <c r="M3327" i="1"/>
  <c r="L3327" i="1"/>
  <c r="K3327" i="1"/>
  <c r="J3327" i="1"/>
  <c r="I3327" i="1"/>
  <c r="H3327" i="1"/>
  <c r="G3327" i="1"/>
  <c r="M3326" i="1"/>
  <c r="L3326" i="1"/>
  <c r="K3326" i="1"/>
  <c r="J3326" i="1"/>
  <c r="I3326" i="1"/>
  <c r="H3326" i="1"/>
  <c r="G3326" i="1"/>
  <c r="M3325" i="1"/>
  <c r="L3325" i="1"/>
  <c r="K3325" i="1"/>
  <c r="J3325" i="1"/>
  <c r="I3325" i="1"/>
  <c r="H3325" i="1"/>
  <c r="G3325" i="1"/>
  <c r="M3324" i="1"/>
  <c r="L3324" i="1"/>
  <c r="K3324" i="1"/>
  <c r="J3324" i="1"/>
  <c r="I3324" i="1"/>
  <c r="H3324" i="1"/>
  <c r="G3324" i="1"/>
  <c r="M3323" i="1"/>
  <c r="L3323" i="1"/>
  <c r="K3323" i="1"/>
  <c r="J3323" i="1"/>
  <c r="I3323" i="1"/>
  <c r="H3323" i="1"/>
  <c r="G3323" i="1"/>
  <c r="M3322" i="1"/>
  <c r="L3322" i="1"/>
  <c r="K3322" i="1"/>
  <c r="J3322" i="1"/>
  <c r="I3322" i="1"/>
  <c r="H3322" i="1"/>
  <c r="G3322" i="1"/>
  <c r="M3321" i="1"/>
  <c r="L3321" i="1"/>
  <c r="K3321" i="1"/>
  <c r="J3321" i="1"/>
  <c r="I3321" i="1"/>
  <c r="H3321" i="1"/>
  <c r="G3321" i="1"/>
  <c r="M3320" i="1"/>
  <c r="L3320" i="1"/>
  <c r="K3320" i="1"/>
  <c r="J3320" i="1"/>
  <c r="I3320" i="1"/>
  <c r="H3320" i="1"/>
  <c r="G3320" i="1"/>
  <c r="M3319" i="1"/>
  <c r="L3319" i="1"/>
  <c r="K3319" i="1"/>
  <c r="J3319" i="1"/>
  <c r="I3319" i="1"/>
  <c r="H3319" i="1"/>
  <c r="G3319" i="1"/>
  <c r="M3318" i="1"/>
  <c r="L3318" i="1"/>
  <c r="K3318" i="1"/>
  <c r="J3318" i="1"/>
  <c r="I3318" i="1"/>
  <c r="H3318" i="1"/>
  <c r="G3318" i="1"/>
  <c r="M3317" i="1"/>
  <c r="L3317" i="1"/>
  <c r="K3317" i="1"/>
  <c r="J3317" i="1"/>
  <c r="I3317" i="1"/>
  <c r="H3317" i="1"/>
  <c r="G3317" i="1"/>
  <c r="M3316" i="1"/>
  <c r="L3316" i="1"/>
  <c r="K3316" i="1"/>
  <c r="J3316" i="1"/>
  <c r="I3316" i="1"/>
  <c r="H3316" i="1"/>
  <c r="G3316" i="1"/>
  <c r="M3315" i="1"/>
  <c r="L3315" i="1"/>
  <c r="K3315" i="1"/>
  <c r="J3315" i="1"/>
  <c r="I3315" i="1"/>
  <c r="H3315" i="1"/>
  <c r="G3315" i="1"/>
  <c r="M3314" i="1"/>
  <c r="L3314" i="1"/>
  <c r="K3314" i="1"/>
  <c r="J3314" i="1"/>
  <c r="I3314" i="1"/>
  <c r="H3314" i="1"/>
  <c r="G3314" i="1"/>
  <c r="M3313" i="1"/>
  <c r="L3313" i="1"/>
  <c r="K3313" i="1"/>
  <c r="J3313" i="1"/>
  <c r="I3313" i="1"/>
  <c r="H3313" i="1"/>
  <c r="G3313" i="1"/>
  <c r="M3312" i="1"/>
  <c r="L3312" i="1"/>
  <c r="K3312" i="1"/>
  <c r="J3312" i="1"/>
  <c r="I3312" i="1"/>
  <c r="H3312" i="1"/>
  <c r="G3312" i="1"/>
  <c r="M3311" i="1"/>
  <c r="L3311" i="1"/>
  <c r="K3311" i="1"/>
  <c r="J3311" i="1"/>
  <c r="I3311" i="1"/>
  <c r="H3311" i="1"/>
  <c r="G3311" i="1"/>
  <c r="M3310" i="1"/>
  <c r="L3310" i="1"/>
  <c r="K3310" i="1"/>
  <c r="J3310" i="1"/>
  <c r="I3310" i="1"/>
  <c r="H3310" i="1"/>
  <c r="G3310" i="1"/>
  <c r="M3309" i="1"/>
  <c r="L3309" i="1"/>
  <c r="K3309" i="1"/>
  <c r="J3309" i="1"/>
  <c r="I3309" i="1"/>
  <c r="H3309" i="1"/>
  <c r="G3309" i="1"/>
  <c r="M3308" i="1"/>
  <c r="L3308" i="1"/>
  <c r="K3308" i="1"/>
  <c r="J3308" i="1"/>
  <c r="I3308" i="1"/>
  <c r="H3308" i="1"/>
  <c r="G3308" i="1"/>
  <c r="M3307" i="1"/>
  <c r="L3307" i="1"/>
  <c r="K3307" i="1"/>
  <c r="J3307" i="1"/>
  <c r="I3307" i="1"/>
  <c r="H3307" i="1"/>
  <c r="G3307" i="1"/>
  <c r="M3306" i="1"/>
  <c r="L3306" i="1"/>
  <c r="K3306" i="1"/>
  <c r="J3306" i="1"/>
  <c r="I3306" i="1"/>
  <c r="H3306" i="1"/>
  <c r="G3306" i="1"/>
  <c r="M3305" i="1"/>
  <c r="L3305" i="1"/>
  <c r="K3305" i="1"/>
  <c r="J3305" i="1"/>
  <c r="I3305" i="1"/>
  <c r="H3305" i="1"/>
  <c r="G3305" i="1"/>
  <c r="M3304" i="1"/>
  <c r="L3304" i="1"/>
  <c r="K3304" i="1"/>
  <c r="J3304" i="1"/>
  <c r="I3304" i="1"/>
  <c r="H3304" i="1"/>
  <c r="G3304" i="1"/>
  <c r="M3303" i="1"/>
  <c r="L3303" i="1"/>
  <c r="K3303" i="1"/>
  <c r="J3303" i="1"/>
  <c r="I3303" i="1"/>
  <c r="H3303" i="1"/>
  <c r="G3303" i="1"/>
  <c r="M3302" i="1"/>
  <c r="L3302" i="1"/>
  <c r="K3302" i="1"/>
  <c r="J3302" i="1"/>
  <c r="I3302" i="1"/>
  <c r="H3302" i="1"/>
  <c r="G3302" i="1"/>
  <c r="M3301" i="1"/>
  <c r="L3301" i="1"/>
  <c r="K3301" i="1"/>
  <c r="J3301" i="1"/>
  <c r="I3301" i="1"/>
  <c r="H3301" i="1"/>
  <c r="G3301" i="1"/>
  <c r="M3300" i="1"/>
  <c r="L3300" i="1"/>
  <c r="K3300" i="1"/>
  <c r="J3300" i="1"/>
  <c r="I3300" i="1"/>
  <c r="H3300" i="1"/>
  <c r="G3300" i="1"/>
  <c r="M3299" i="1"/>
  <c r="L3299" i="1"/>
  <c r="K3299" i="1"/>
  <c r="J3299" i="1"/>
  <c r="I3299" i="1"/>
  <c r="H3299" i="1"/>
  <c r="G3299" i="1"/>
  <c r="M3298" i="1"/>
  <c r="L3298" i="1"/>
  <c r="K3298" i="1"/>
  <c r="J3298" i="1"/>
  <c r="I3298" i="1"/>
  <c r="H3298" i="1"/>
  <c r="G3298" i="1"/>
  <c r="M3297" i="1"/>
  <c r="L3297" i="1"/>
  <c r="K3297" i="1"/>
  <c r="J3297" i="1"/>
  <c r="I3297" i="1"/>
  <c r="H3297" i="1"/>
  <c r="G3297" i="1"/>
  <c r="M3296" i="1"/>
  <c r="L3296" i="1"/>
  <c r="K3296" i="1"/>
  <c r="J3296" i="1"/>
  <c r="I3296" i="1"/>
  <c r="H3296" i="1"/>
  <c r="G3296" i="1"/>
  <c r="M3295" i="1"/>
  <c r="L3295" i="1"/>
  <c r="K3295" i="1"/>
  <c r="J3295" i="1"/>
  <c r="I3295" i="1"/>
  <c r="H3295" i="1"/>
  <c r="G3295" i="1"/>
  <c r="M3294" i="1"/>
  <c r="L3294" i="1"/>
  <c r="K3294" i="1"/>
  <c r="J3294" i="1"/>
  <c r="I3294" i="1"/>
  <c r="H3294" i="1"/>
  <c r="G3294" i="1"/>
  <c r="M3293" i="1"/>
  <c r="L3293" i="1"/>
  <c r="K3293" i="1"/>
  <c r="J3293" i="1"/>
  <c r="I3293" i="1"/>
  <c r="H3293" i="1"/>
  <c r="G3293" i="1"/>
  <c r="M3292" i="1"/>
  <c r="L3292" i="1"/>
  <c r="K3292" i="1"/>
  <c r="J3292" i="1"/>
  <c r="I3292" i="1"/>
  <c r="H3292" i="1"/>
  <c r="G3292" i="1"/>
  <c r="M3291" i="1"/>
  <c r="L3291" i="1"/>
  <c r="K3291" i="1"/>
  <c r="J3291" i="1"/>
  <c r="I3291" i="1"/>
  <c r="H3291" i="1"/>
  <c r="G3291" i="1"/>
  <c r="M3290" i="1"/>
  <c r="L3290" i="1"/>
  <c r="K3290" i="1"/>
  <c r="J3290" i="1"/>
  <c r="I3290" i="1"/>
  <c r="H3290" i="1"/>
  <c r="G3290" i="1"/>
  <c r="M3289" i="1"/>
  <c r="L3289" i="1"/>
  <c r="K3289" i="1"/>
  <c r="J3289" i="1"/>
  <c r="I3289" i="1"/>
  <c r="H3289" i="1"/>
  <c r="G3289" i="1"/>
  <c r="M3288" i="1"/>
  <c r="L3288" i="1"/>
  <c r="K3288" i="1"/>
  <c r="J3288" i="1"/>
  <c r="I3288" i="1"/>
  <c r="H3288" i="1"/>
  <c r="G3288" i="1"/>
  <c r="M3287" i="1"/>
  <c r="L3287" i="1"/>
  <c r="K3287" i="1"/>
  <c r="J3287" i="1"/>
  <c r="I3287" i="1"/>
  <c r="H3287" i="1"/>
  <c r="G3287" i="1"/>
  <c r="M3286" i="1"/>
  <c r="L3286" i="1"/>
  <c r="K3286" i="1"/>
  <c r="J3286" i="1"/>
  <c r="I3286" i="1"/>
  <c r="H3286" i="1"/>
  <c r="G3286" i="1"/>
  <c r="M3285" i="1"/>
  <c r="L3285" i="1"/>
  <c r="K3285" i="1"/>
  <c r="J3285" i="1"/>
  <c r="I3285" i="1"/>
  <c r="H3285" i="1"/>
  <c r="G3285" i="1"/>
  <c r="M3284" i="1"/>
  <c r="L3284" i="1"/>
  <c r="K3284" i="1"/>
  <c r="J3284" i="1"/>
  <c r="I3284" i="1"/>
  <c r="H3284" i="1"/>
  <c r="G3284" i="1"/>
  <c r="M3283" i="1"/>
  <c r="L3283" i="1"/>
  <c r="K3283" i="1"/>
  <c r="J3283" i="1"/>
  <c r="I3283" i="1"/>
  <c r="H3283" i="1"/>
  <c r="G3283" i="1"/>
  <c r="M3282" i="1"/>
  <c r="L3282" i="1"/>
  <c r="K3282" i="1"/>
  <c r="J3282" i="1"/>
  <c r="I3282" i="1"/>
  <c r="H3282" i="1"/>
  <c r="G3282" i="1"/>
  <c r="M3281" i="1"/>
  <c r="L3281" i="1"/>
  <c r="K3281" i="1"/>
  <c r="J3281" i="1"/>
  <c r="I3281" i="1"/>
  <c r="H3281" i="1"/>
  <c r="G3281" i="1"/>
  <c r="M3280" i="1"/>
  <c r="L3280" i="1"/>
  <c r="K3280" i="1"/>
  <c r="J3280" i="1"/>
  <c r="I3280" i="1"/>
  <c r="H3280" i="1"/>
  <c r="G3280" i="1"/>
  <c r="M3279" i="1"/>
  <c r="L3279" i="1"/>
  <c r="K3279" i="1"/>
  <c r="J3279" i="1"/>
  <c r="I3279" i="1"/>
  <c r="H3279" i="1"/>
  <c r="G3279" i="1"/>
  <c r="M3278" i="1"/>
  <c r="L3278" i="1"/>
  <c r="K3278" i="1"/>
  <c r="J3278" i="1"/>
  <c r="I3278" i="1"/>
  <c r="H3278" i="1"/>
  <c r="G3278" i="1"/>
  <c r="M3277" i="1"/>
  <c r="L3277" i="1"/>
  <c r="K3277" i="1"/>
  <c r="J3277" i="1"/>
  <c r="I3277" i="1"/>
  <c r="H3277" i="1"/>
  <c r="G3277" i="1"/>
  <c r="M3276" i="1"/>
  <c r="L3276" i="1"/>
  <c r="K3276" i="1"/>
  <c r="J3276" i="1"/>
  <c r="I3276" i="1"/>
  <c r="H3276" i="1"/>
  <c r="G3276" i="1"/>
  <c r="M3275" i="1"/>
  <c r="L3275" i="1"/>
  <c r="K3275" i="1"/>
  <c r="J3275" i="1"/>
  <c r="I3275" i="1"/>
  <c r="H3275" i="1"/>
  <c r="G3275" i="1"/>
  <c r="M3274" i="1"/>
  <c r="L3274" i="1"/>
  <c r="K3274" i="1"/>
  <c r="J3274" i="1"/>
  <c r="I3274" i="1"/>
  <c r="H3274" i="1"/>
  <c r="G3274" i="1"/>
  <c r="M3273" i="1"/>
  <c r="L3273" i="1"/>
  <c r="K3273" i="1"/>
  <c r="J3273" i="1"/>
  <c r="I3273" i="1"/>
  <c r="H3273" i="1"/>
  <c r="G3273" i="1"/>
  <c r="M3272" i="1"/>
  <c r="L3272" i="1"/>
  <c r="K3272" i="1"/>
  <c r="J3272" i="1"/>
  <c r="I3272" i="1"/>
  <c r="H3272" i="1"/>
  <c r="G3272" i="1"/>
  <c r="M3271" i="1"/>
  <c r="L3271" i="1"/>
  <c r="K3271" i="1"/>
  <c r="J3271" i="1"/>
  <c r="I3271" i="1"/>
  <c r="H3271" i="1"/>
  <c r="G3271" i="1"/>
  <c r="M3270" i="1"/>
  <c r="L3270" i="1"/>
  <c r="K3270" i="1"/>
  <c r="J3270" i="1"/>
  <c r="I3270" i="1"/>
  <c r="H3270" i="1"/>
  <c r="G3270" i="1"/>
  <c r="M3269" i="1"/>
  <c r="L3269" i="1"/>
  <c r="K3269" i="1"/>
  <c r="J3269" i="1"/>
  <c r="I3269" i="1"/>
  <c r="H3269" i="1"/>
  <c r="G3269" i="1"/>
  <c r="M3268" i="1"/>
  <c r="L3268" i="1"/>
  <c r="K3268" i="1"/>
  <c r="J3268" i="1"/>
  <c r="I3268" i="1"/>
  <c r="H3268" i="1"/>
  <c r="G3268" i="1"/>
  <c r="M3267" i="1"/>
  <c r="L3267" i="1"/>
  <c r="K3267" i="1"/>
  <c r="J3267" i="1"/>
  <c r="I3267" i="1"/>
  <c r="H3267" i="1"/>
  <c r="G3267" i="1"/>
  <c r="M3266" i="1"/>
  <c r="L3266" i="1"/>
  <c r="K3266" i="1"/>
  <c r="J3266" i="1"/>
  <c r="I3266" i="1"/>
  <c r="H3266" i="1"/>
  <c r="G3266" i="1"/>
  <c r="M3265" i="1"/>
  <c r="L3265" i="1"/>
  <c r="K3265" i="1"/>
  <c r="J3265" i="1"/>
  <c r="I3265" i="1"/>
  <c r="H3265" i="1"/>
  <c r="G3265" i="1"/>
  <c r="M3264" i="1"/>
  <c r="L3264" i="1"/>
  <c r="K3264" i="1"/>
  <c r="J3264" i="1"/>
  <c r="I3264" i="1"/>
  <c r="H3264" i="1"/>
  <c r="G3264" i="1"/>
  <c r="M3263" i="1"/>
  <c r="L3263" i="1"/>
  <c r="K3263" i="1"/>
  <c r="J3263" i="1"/>
  <c r="I3263" i="1"/>
  <c r="H3263" i="1"/>
  <c r="G3263" i="1"/>
  <c r="M3262" i="1"/>
  <c r="L3262" i="1"/>
  <c r="K3262" i="1"/>
  <c r="J3262" i="1"/>
  <c r="I3262" i="1"/>
  <c r="H3262" i="1"/>
  <c r="G3262" i="1"/>
  <c r="M3261" i="1"/>
  <c r="L3261" i="1"/>
  <c r="K3261" i="1"/>
  <c r="J3261" i="1"/>
  <c r="I3261" i="1"/>
  <c r="H3261" i="1"/>
  <c r="G3261" i="1"/>
  <c r="M3260" i="1"/>
  <c r="L3260" i="1"/>
  <c r="K3260" i="1"/>
  <c r="J3260" i="1"/>
  <c r="I3260" i="1"/>
  <c r="H3260" i="1"/>
  <c r="G3260" i="1"/>
  <c r="M3259" i="1"/>
  <c r="L3259" i="1"/>
  <c r="K3259" i="1"/>
  <c r="J3259" i="1"/>
  <c r="I3259" i="1"/>
  <c r="H3259" i="1"/>
  <c r="G3259" i="1"/>
  <c r="M3258" i="1"/>
  <c r="L3258" i="1"/>
  <c r="K3258" i="1"/>
  <c r="J3258" i="1"/>
  <c r="I3258" i="1"/>
  <c r="H3258" i="1"/>
  <c r="G3258" i="1"/>
  <c r="M3257" i="1"/>
  <c r="L3257" i="1"/>
  <c r="K3257" i="1"/>
  <c r="J3257" i="1"/>
  <c r="I3257" i="1"/>
  <c r="H3257" i="1"/>
  <c r="G3257" i="1"/>
  <c r="M3256" i="1"/>
  <c r="L3256" i="1"/>
  <c r="K3256" i="1"/>
  <c r="J3256" i="1"/>
  <c r="I3256" i="1"/>
  <c r="H3256" i="1"/>
  <c r="G3256" i="1"/>
  <c r="M3255" i="1"/>
  <c r="L3255" i="1"/>
  <c r="K3255" i="1"/>
  <c r="J3255" i="1"/>
  <c r="I3255" i="1"/>
  <c r="H3255" i="1"/>
  <c r="G3255" i="1"/>
  <c r="M3254" i="1"/>
  <c r="L3254" i="1"/>
  <c r="K3254" i="1"/>
  <c r="J3254" i="1"/>
  <c r="I3254" i="1"/>
  <c r="H3254" i="1"/>
  <c r="G3254" i="1"/>
  <c r="M3253" i="1"/>
  <c r="L3253" i="1"/>
  <c r="K3253" i="1"/>
  <c r="J3253" i="1"/>
  <c r="I3253" i="1"/>
  <c r="H3253" i="1"/>
  <c r="G3253" i="1"/>
  <c r="M3252" i="1"/>
  <c r="L3252" i="1"/>
  <c r="K3252" i="1"/>
  <c r="J3252" i="1"/>
  <c r="I3252" i="1"/>
  <c r="H3252" i="1"/>
  <c r="G3252" i="1"/>
  <c r="M3251" i="1"/>
  <c r="L3251" i="1"/>
  <c r="K3251" i="1"/>
  <c r="J3251" i="1"/>
  <c r="I3251" i="1"/>
  <c r="H3251" i="1"/>
  <c r="G3251" i="1"/>
  <c r="M3250" i="1"/>
  <c r="L3250" i="1"/>
  <c r="K3250" i="1"/>
  <c r="J3250" i="1"/>
  <c r="I3250" i="1"/>
  <c r="H3250" i="1"/>
  <c r="G3250" i="1"/>
  <c r="M3249" i="1"/>
  <c r="L3249" i="1"/>
  <c r="K3249" i="1"/>
  <c r="J3249" i="1"/>
  <c r="I3249" i="1"/>
  <c r="H3249" i="1"/>
  <c r="G3249" i="1"/>
  <c r="M3248" i="1"/>
  <c r="L3248" i="1"/>
  <c r="K3248" i="1"/>
  <c r="J3248" i="1"/>
  <c r="I3248" i="1"/>
  <c r="H3248" i="1"/>
  <c r="G3248" i="1"/>
  <c r="M3247" i="1"/>
  <c r="L3247" i="1"/>
  <c r="K3247" i="1"/>
  <c r="J3247" i="1"/>
  <c r="I3247" i="1"/>
  <c r="H3247" i="1"/>
  <c r="G3247" i="1"/>
  <c r="M3246" i="1"/>
  <c r="L3246" i="1"/>
  <c r="K3246" i="1"/>
  <c r="J3246" i="1"/>
  <c r="I3246" i="1"/>
  <c r="H3246" i="1"/>
  <c r="G3246" i="1"/>
  <c r="M3245" i="1"/>
  <c r="L3245" i="1"/>
  <c r="K3245" i="1"/>
  <c r="J3245" i="1"/>
  <c r="I3245" i="1"/>
  <c r="H3245" i="1"/>
  <c r="G3245" i="1"/>
  <c r="M3244" i="1"/>
  <c r="L3244" i="1"/>
  <c r="K3244" i="1"/>
  <c r="J3244" i="1"/>
  <c r="I3244" i="1"/>
  <c r="H3244" i="1"/>
  <c r="G3244" i="1"/>
  <c r="M3243" i="1"/>
  <c r="L3243" i="1"/>
  <c r="K3243" i="1"/>
  <c r="J3243" i="1"/>
  <c r="I3243" i="1"/>
  <c r="H3243" i="1"/>
  <c r="G3243" i="1"/>
  <c r="M3242" i="1"/>
  <c r="L3242" i="1"/>
  <c r="K3242" i="1"/>
  <c r="J3242" i="1"/>
  <c r="I3242" i="1"/>
  <c r="H3242" i="1"/>
  <c r="G3242" i="1"/>
  <c r="M3241" i="1"/>
  <c r="L3241" i="1"/>
  <c r="K3241" i="1"/>
  <c r="J3241" i="1"/>
  <c r="I3241" i="1"/>
  <c r="H3241" i="1"/>
  <c r="G3241" i="1"/>
  <c r="M3240" i="1"/>
  <c r="L3240" i="1"/>
  <c r="K3240" i="1"/>
  <c r="J3240" i="1"/>
  <c r="I3240" i="1"/>
  <c r="H3240" i="1"/>
  <c r="G3240" i="1"/>
  <c r="M3239" i="1"/>
  <c r="L3239" i="1"/>
  <c r="K3239" i="1"/>
  <c r="J3239" i="1"/>
  <c r="I3239" i="1"/>
  <c r="H3239" i="1"/>
  <c r="G3239" i="1"/>
  <c r="M3238" i="1"/>
  <c r="L3238" i="1"/>
  <c r="K3238" i="1"/>
  <c r="J3238" i="1"/>
  <c r="I3238" i="1"/>
  <c r="H3238" i="1"/>
  <c r="G3238" i="1"/>
  <c r="M3237" i="1"/>
  <c r="L3237" i="1"/>
  <c r="K3237" i="1"/>
  <c r="J3237" i="1"/>
  <c r="I3237" i="1"/>
  <c r="H3237" i="1"/>
  <c r="G3237" i="1"/>
  <c r="M3236" i="1"/>
  <c r="L3236" i="1"/>
  <c r="K3236" i="1"/>
  <c r="J3236" i="1"/>
  <c r="I3236" i="1"/>
  <c r="H3236" i="1"/>
  <c r="G3236" i="1"/>
  <c r="M3235" i="1"/>
  <c r="L3235" i="1"/>
  <c r="K3235" i="1"/>
  <c r="J3235" i="1"/>
  <c r="I3235" i="1"/>
  <c r="H3235" i="1"/>
  <c r="G3235" i="1"/>
  <c r="M3234" i="1"/>
  <c r="L3234" i="1"/>
  <c r="K3234" i="1"/>
  <c r="J3234" i="1"/>
  <c r="I3234" i="1"/>
  <c r="H3234" i="1"/>
  <c r="G3234" i="1"/>
  <c r="M3233" i="1"/>
  <c r="L3233" i="1"/>
  <c r="K3233" i="1"/>
  <c r="J3233" i="1"/>
  <c r="I3233" i="1"/>
  <c r="H3233" i="1"/>
  <c r="G3233" i="1"/>
  <c r="M3232" i="1"/>
  <c r="L3232" i="1"/>
  <c r="K3232" i="1"/>
  <c r="J3232" i="1"/>
  <c r="I3232" i="1"/>
  <c r="H3232" i="1"/>
  <c r="G3232" i="1"/>
  <c r="M3231" i="1"/>
  <c r="L3231" i="1"/>
  <c r="K3231" i="1"/>
  <c r="J3231" i="1"/>
  <c r="I3231" i="1"/>
  <c r="H3231" i="1"/>
  <c r="G3231" i="1"/>
  <c r="M3230" i="1"/>
  <c r="L3230" i="1"/>
  <c r="K3230" i="1"/>
  <c r="J3230" i="1"/>
  <c r="I3230" i="1"/>
  <c r="H3230" i="1"/>
  <c r="G3230" i="1"/>
  <c r="M3229" i="1"/>
  <c r="L3229" i="1"/>
  <c r="K3229" i="1"/>
  <c r="J3229" i="1"/>
  <c r="I3229" i="1"/>
  <c r="H3229" i="1"/>
  <c r="G3229" i="1"/>
  <c r="M3228" i="1"/>
  <c r="L3228" i="1"/>
  <c r="K3228" i="1"/>
  <c r="J3228" i="1"/>
  <c r="I3228" i="1"/>
  <c r="H3228" i="1"/>
  <c r="G3228" i="1"/>
  <c r="M3227" i="1"/>
  <c r="L3227" i="1"/>
  <c r="K3227" i="1"/>
  <c r="J3227" i="1"/>
  <c r="I3227" i="1"/>
  <c r="H3227" i="1"/>
  <c r="G3227" i="1"/>
  <c r="M3226" i="1"/>
  <c r="L3226" i="1"/>
  <c r="K3226" i="1"/>
  <c r="J3226" i="1"/>
  <c r="I3226" i="1"/>
  <c r="H3226" i="1"/>
  <c r="G3226" i="1"/>
  <c r="M3225" i="1"/>
  <c r="L3225" i="1"/>
  <c r="K3225" i="1"/>
  <c r="J3225" i="1"/>
  <c r="I3225" i="1"/>
  <c r="H3225" i="1"/>
  <c r="G3225" i="1"/>
  <c r="M3224" i="1"/>
  <c r="L3224" i="1"/>
  <c r="K3224" i="1"/>
  <c r="J3224" i="1"/>
  <c r="I3224" i="1"/>
  <c r="H3224" i="1"/>
  <c r="G3224" i="1"/>
  <c r="M3223" i="1"/>
  <c r="L3223" i="1"/>
  <c r="K3223" i="1"/>
  <c r="J3223" i="1"/>
  <c r="I3223" i="1"/>
  <c r="H3223" i="1"/>
  <c r="G3223" i="1"/>
  <c r="M3222" i="1"/>
  <c r="L3222" i="1"/>
  <c r="K3222" i="1"/>
  <c r="J3222" i="1"/>
  <c r="I3222" i="1"/>
  <c r="H3222" i="1"/>
  <c r="G3222" i="1"/>
  <c r="M3221" i="1"/>
  <c r="L3221" i="1"/>
  <c r="K3221" i="1"/>
  <c r="J3221" i="1"/>
  <c r="I3221" i="1"/>
  <c r="H3221" i="1"/>
  <c r="G3221" i="1"/>
  <c r="M3220" i="1"/>
  <c r="L3220" i="1"/>
  <c r="K3220" i="1"/>
  <c r="J3220" i="1"/>
  <c r="I3220" i="1"/>
  <c r="H3220" i="1"/>
  <c r="G3220" i="1"/>
  <c r="M3219" i="1"/>
  <c r="L3219" i="1"/>
  <c r="K3219" i="1"/>
  <c r="J3219" i="1"/>
  <c r="I3219" i="1"/>
  <c r="H3219" i="1"/>
  <c r="G3219" i="1"/>
  <c r="M3218" i="1"/>
  <c r="L3218" i="1"/>
  <c r="K3218" i="1"/>
  <c r="J3218" i="1"/>
  <c r="I3218" i="1"/>
  <c r="H3218" i="1"/>
  <c r="G3218" i="1"/>
  <c r="M3217" i="1"/>
  <c r="L3217" i="1"/>
  <c r="K3217" i="1"/>
  <c r="J3217" i="1"/>
  <c r="I3217" i="1"/>
  <c r="H3217" i="1"/>
  <c r="G3217" i="1"/>
  <c r="M3216" i="1"/>
  <c r="L3216" i="1"/>
  <c r="K3216" i="1"/>
  <c r="J3216" i="1"/>
  <c r="I3216" i="1"/>
  <c r="H3216" i="1"/>
  <c r="G3216" i="1"/>
  <c r="M3215" i="1"/>
  <c r="L3215" i="1"/>
  <c r="K3215" i="1"/>
  <c r="J3215" i="1"/>
  <c r="I3215" i="1"/>
  <c r="H3215" i="1"/>
  <c r="G3215" i="1"/>
  <c r="M3214" i="1"/>
  <c r="L3214" i="1"/>
  <c r="K3214" i="1"/>
  <c r="J3214" i="1"/>
  <c r="I3214" i="1"/>
  <c r="H3214" i="1"/>
  <c r="G3214" i="1"/>
  <c r="M3213" i="1"/>
  <c r="L3213" i="1"/>
  <c r="K3213" i="1"/>
  <c r="J3213" i="1"/>
  <c r="I3213" i="1"/>
  <c r="H3213" i="1"/>
  <c r="G3213" i="1"/>
  <c r="M3212" i="1"/>
  <c r="L3212" i="1"/>
  <c r="K3212" i="1"/>
  <c r="J3212" i="1"/>
  <c r="I3212" i="1"/>
  <c r="H3212" i="1"/>
  <c r="G3212" i="1"/>
  <c r="M3211" i="1"/>
  <c r="L3211" i="1"/>
  <c r="K3211" i="1"/>
  <c r="J3211" i="1"/>
  <c r="I3211" i="1"/>
  <c r="H3211" i="1"/>
  <c r="G3211" i="1"/>
  <c r="M3210" i="1"/>
  <c r="L3210" i="1"/>
  <c r="K3210" i="1"/>
  <c r="J3210" i="1"/>
  <c r="I3210" i="1"/>
  <c r="H3210" i="1"/>
  <c r="G3210" i="1"/>
  <c r="M3209" i="1"/>
  <c r="L3209" i="1"/>
  <c r="K3209" i="1"/>
  <c r="J3209" i="1"/>
  <c r="I3209" i="1"/>
  <c r="H3209" i="1"/>
  <c r="G3209" i="1"/>
  <c r="M3208" i="1"/>
  <c r="L3208" i="1"/>
  <c r="K3208" i="1"/>
  <c r="J3208" i="1"/>
  <c r="I3208" i="1"/>
  <c r="H3208" i="1"/>
  <c r="G3208" i="1"/>
  <c r="M3207" i="1"/>
  <c r="L3207" i="1"/>
  <c r="K3207" i="1"/>
  <c r="J3207" i="1"/>
  <c r="I3207" i="1"/>
  <c r="H3207" i="1"/>
  <c r="G3207" i="1"/>
  <c r="M3206" i="1"/>
  <c r="L3206" i="1"/>
  <c r="K3206" i="1"/>
  <c r="J3206" i="1"/>
  <c r="I3206" i="1"/>
  <c r="H3206" i="1"/>
  <c r="G3206" i="1"/>
  <c r="M3205" i="1"/>
  <c r="L3205" i="1"/>
  <c r="K3205" i="1"/>
  <c r="J3205" i="1"/>
  <c r="I3205" i="1"/>
  <c r="H3205" i="1"/>
  <c r="G3205" i="1"/>
  <c r="M3204" i="1"/>
  <c r="L3204" i="1"/>
  <c r="K3204" i="1"/>
  <c r="J3204" i="1"/>
  <c r="I3204" i="1"/>
  <c r="H3204" i="1"/>
  <c r="G3204" i="1"/>
  <c r="M3203" i="1"/>
  <c r="L3203" i="1"/>
  <c r="K3203" i="1"/>
  <c r="J3203" i="1"/>
  <c r="I3203" i="1"/>
  <c r="H3203" i="1"/>
  <c r="G3203" i="1"/>
  <c r="M3202" i="1"/>
  <c r="L3202" i="1"/>
  <c r="K3202" i="1"/>
  <c r="J3202" i="1"/>
  <c r="I3202" i="1"/>
  <c r="H3202" i="1"/>
  <c r="G3202" i="1"/>
  <c r="M3201" i="1"/>
  <c r="L3201" i="1"/>
  <c r="K3201" i="1"/>
  <c r="J3201" i="1"/>
  <c r="I3201" i="1"/>
  <c r="H3201" i="1"/>
  <c r="G3201" i="1"/>
  <c r="M3200" i="1"/>
  <c r="L3200" i="1"/>
  <c r="K3200" i="1"/>
  <c r="J3200" i="1"/>
  <c r="I3200" i="1"/>
  <c r="H3200" i="1"/>
  <c r="G3200" i="1"/>
  <c r="M3199" i="1"/>
  <c r="L3199" i="1"/>
  <c r="K3199" i="1"/>
  <c r="J3199" i="1"/>
  <c r="I3199" i="1"/>
  <c r="H3199" i="1"/>
  <c r="G3199" i="1"/>
  <c r="M3198" i="1"/>
  <c r="L3198" i="1"/>
  <c r="K3198" i="1"/>
  <c r="J3198" i="1"/>
  <c r="I3198" i="1"/>
  <c r="H3198" i="1"/>
  <c r="G3198" i="1"/>
  <c r="M3197" i="1"/>
  <c r="L3197" i="1"/>
  <c r="K3197" i="1"/>
  <c r="J3197" i="1"/>
  <c r="I3197" i="1"/>
  <c r="H3197" i="1"/>
  <c r="G3197" i="1"/>
  <c r="M3196" i="1"/>
  <c r="L3196" i="1"/>
  <c r="K3196" i="1"/>
  <c r="J3196" i="1"/>
  <c r="I3196" i="1"/>
  <c r="H3196" i="1"/>
  <c r="G3196" i="1"/>
  <c r="M3195" i="1"/>
  <c r="L3195" i="1"/>
  <c r="K3195" i="1"/>
  <c r="J3195" i="1"/>
  <c r="I3195" i="1"/>
  <c r="H3195" i="1"/>
  <c r="G3195" i="1"/>
  <c r="M3194" i="1"/>
  <c r="L3194" i="1"/>
  <c r="K3194" i="1"/>
  <c r="J3194" i="1"/>
  <c r="I3194" i="1"/>
  <c r="H3194" i="1"/>
  <c r="G3194" i="1"/>
  <c r="M3193" i="1"/>
  <c r="L3193" i="1"/>
  <c r="K3193" i="1"/>
  <c r="J3193" i="1"/>
  <c r="I3193" i="1"/>
  <c r="H3193" i="1"/>
  <c r="G3193" i="1"/>
  <c r="M3192" i="1"/>
  <c r="L3192" i="1"/>
  <c r="K3192" i="1"/>
  <c r="J3192" i="1"/>
  <c r="I3192" i="1"/>
  <c r="H3192" i="1"/>
  <c r="G3192" i="1"/>
  <c r="M3191" i="1"/>
  <c r="L3191" i="1"/>
  <c r="K3191" i="1"/>
  <c r="J3191" i="1"/>
  <c r="I3191" i="1"/>
  <c r="H3191" i="1"/>
  <c r="G3191" i="1"/>
  <c r="M3190" i="1"/>
  <c r="L3190" i="1"/>
  <c r="K3190" i="1"/>
  <c r="J3190" i="1"/>
  <c r="I3190" i="1"/>
  <c r="H3190" i="1"/>
  <c r="G3190" i="1"/>
  <c r="M3189" i="1"/>
  <c r="L3189" i="1"/>
  <c r="K3189" i="1"/>
  <c r="J3189" i="1"/>
  <c r="I3189" i="1"/>
  <c r="H3189" i="1"/>
  <c r="G3189" i="1"/>
  <c r="M3188" i="1"/>
  <c r="L3188" i="1"/>
  <c r="K3188" i="1"/>
  <c r="J3188" i="1"/>
  <c r="I3188" i="1"/>
  <c r="H3188" i="1"/>
  <c r="G3188" i="1"/>
  <c r="M3187" i="1"/>
  <c r="L3187" i="1"/>
  <c r="K3187" i="1"/>
  <c r="J3187" i="1"/>
  <c r="I3187" i="1"/>
  <c r="H3187" i="1"/>
  <c r="G3187" i="1"/>
  <c r="M3186" i="1"/>
  <c r="L3186" i="1"/>
  <c r="K3186" i="1"/>
  <c r="J3186" i="1"/>
  <c r="I3186" i="1"/>
  <c r="H3186" i="1"/>
  <c r="G3186" i="1"/>
  <c r="M3185" i="1"/>
  <c r="L3185" i="1"/>
  <c r="K3185" i="1"/>
  <c r="J3185" i="1"/>
  <c r="I3185" i="1"/>
  <c r="H3185" i="1"/>
  <c r="G3185" i="1"/>
  <c r="M3184" i="1"/>
  <c r="L3184" i="1"/>
  <c r="K3184" i="1"/>
  <c r="J3184" i="1"/>
  <c r="I3184" i="1"/>
  <c r="H3184" i="1"/>
  <c r="G3184" i="1"/>
  <c r="M3183" i="1"/>
  <c r="L3183" i="1"/>
  <c r="K3183" i="1"/>
  <c r="J3183" i="1"/>
  <c r="I3183" i="1"/>
  <c r="H3183" i="1"/>
  <c r="G3183" i="1"/>
  <c r="M3182" i="1"/>
  <c r="L3182" i="1"/>
  <c r="K3182" i="1"/>
  <c r="J3182" i="1"/>
  <c r="I3182" i="1"/>
  <c r="H3182" i="1"/>
  <c r="G3182" i="1"/>
  <c r="M3181" i="1"/>
  <c r="L3181" i="1"/>
  <c r="K3181" i="1"/>
  <c r="J3181" i="1"/>
  <c r="I3181" i="1"/>
  <c r="H3181" i="1"/>
  <c r="G3181" i="1"/>
  <c r="M3180" i="1"/>
  <c r="L3180" i="1"/>
  <c r="K3180" i="1"/>
  <c r="J3180" i="1"/>
  <c r="I3180" i="1"/>
  <c r="H3180" i="1"/>
  <c r="G3180" i="1"/>
  <c r="M3179" i="1"/>
  <c r="L3179" i="1"/>
  <c r="K3179" i="1"/>
  <c r="J3179" i="1"/>
  <c r="I3179" i="1"/>
  <c r="H3179" i="1"/>
  <c r="G3179" i="1"/>
  <c r="M3178" i="1"/>
  <c r="L3178" i="1"/>
  <c r="K3178" i="1"/>
  <c r="J3178" i="1"/>
  <c r="I3178" i="1"/>
  <c r="H3178" i="1"/>
  <c r="G3178" i="1"/>
  <c r="M3177" i="1"/>
  <c r="L3177" i="1"/>
  <c r="K3177" i="1"/>
  <c r="J3177" i="1"/>
  <c r="I3177" i="1"/>
  <c r="H3177" i="1"/>
  <c r="G3177" i="1"/>
  <c r="M3176" i="1"/>
  <c r="L3176" i="1"/>
  <c r="K3176" i="1"/>
  <c r="J3176" i="1"/>
  <c r="I3176" i="1"/>
  <c r="H3176" i="1"/>
  <c r="G3176" i="1"/>
  <c r="M3175" i="1"/>
  <c r="L3175" i="1"/>
  <c r="K3175" i="1"/>
  <c r="J3175" i="1"/>
  <c r="I3175" i="1"/>
  <c r="H3175" i="1"/>
  <c r="G3175" i="1"/>
  <c r="M3174" i="1"/>
  <c r="L3174" i="1"/>
  <c r="K3174" i="1"/>
  <c r="J3174" i="1"/>
  <c r="I3174" i="1"/>
  <c r="H3174" i="1"/>
  <c r="G3174" i="1"/>
  <c r="M3173" i="1"/>
  <c r="L3173" i="1"/>
  <c r="K3173" i="1"/>
  <c r="J3173" i="1"/>
  <c r="I3173" i="1"/>
  <c r="H3173" i="1"/>
  <c r="G3173" i="1"/>
  <c r="M3172" i="1"/>
  <c r="L3172" i="1"/>
  <c r="K3172" i="1"/>
  <c r="J3172" i="1"/>
  <c r="I3172" i="1"/>
  <c r="H3172" i="1"/>
  <c r="G3172" i="1"/>
  <c r="M3171" i="1"/>
  <c r="L3171" i="1"/>
  <c r="K3171" i="1"/>
  <c r="J3171" i="1"/>
  <c r="I3171" i="1"/>
  <c r="H3171" i="1"/>
  <c r="G3171" i="1"/>
  <c r="M3170" i="1"/>
  <c r="L3170" i="1"/>
  <c r="K3170" i="1"/>
  <c r="J3170" i="1"/>
  <c r="I3170" i="1"/>
  <c r="H3170" i="1"/>
  <c r="G3170" i="1"/>
  <c r="M3169" i="1"/>
  <c r="L3169" i="1"/>
  <c r="K3169" i="1"/>
  <c r="J3169" i="1"/>
  <c r="I3169" i="1"/>
  <c r="H3169" i="1"/>
  <c r="G3169" i="1"/>
  <c r="M3168" i="1"/>
  <c r="L3168" i="1"/>
  <c r="K3168" i="1"/>
  <c r="J3168" i="1"/>
  <c r="I3168" i="1"/>
  <c r="H3168" i="1"/>
  <c r="G3168" i="1"/>
  <c r="M3167" i="1"/>
  <c r="L3167" i="1"/>
  <c r="K3167" i="1"/>
  <c r="J3167" i="1"/>
  <c r="I3167" i="1"/>
  <c r="H3167" i="1"/>
  <c r="G3167" i="1"/>
  <c r="M3166" i="1"/>
  <c r="L3166" i="1"/>
  <c r="K3166" i="1"/>
  <c r="J3166" i="1"/>
  <c r="I3166" i="1"/>
  <c r="H3166" i="1"/>
  <c r="G3166" i="1"/>
  <c r="M3165" i="1"/>
  <c r="L3165" i="1"/>
  <c r="K3165" i="1"/>
  <c r="J3165" i="1"/>
  <c r="I3165" i="1"/>
  <c r="H3165" i="1"/>
  <c r="G3165" i="1"/>
  <c r="M3164" i="1"/>
  <c r="L3164" i="1"/>
  <c r="K3164" i="1"/>
  <c r="J3164" i="1"/>
  <c r="I3164" i="1"/>
  <c r="H3164" i="1"/>
  <c r="G3164" i="1"/>
  <c r="M3163" i="1"/>
  <c r="L3163" i="1"/>
  <c r="K3163" i="1"/>
  <c r="J3163" i="1"/>
  <c r="I3163" i="1"/>
  <c r="H3163" i="1"/>
  <c r="G3163" i="1"/>
  <c r="M3162" i="1"/>
  <c r="L3162" i="1"/>
  <c r="K3162" i="1"/>
  <c r="J3162" i="1"/>
  <c r="I3162" i="1"/>
  <c r="H3162" i="1"/>
  <c r="G3162" i="1"/>
  <c r="M3161" i="1"/>
  <c r="L3161" i="1"/>
  <c r="K3161" i="1"/>
  <c r="J3161" i="1"/>
  <c r="I3161" i="1"/>
  <c r="H3161" i="1"/>
  <c r="G3161" i="1"/>
  <c r="M3160" i="1"/>
  <c r="L3160" i="1"/>
  <c r="K3160" i="1"/>
  <c r="J3160" i="1"/>
  <c r="I3160" i="1"/>
  <c r="H3160" i="1"/>
  <c r="G3160" i="1"/>
  <c r="M3159" i="1"/>
  <c r="L3159" i="1"/>
  <c r="K3159" i="1"/>
  <c r="J3159" i="1"/>
  <c r="I3159" i="1"/>
  <c r="H3159" i="1"/>
  <c r="G3159" i="1"/>
  <c r="M3158" i="1"/>
  <c r="L3158" i="1"/>
  <c r="K3158" i="1"/>
  <c r="J3158" i="1"/>
  <c r="I3158" i="1"/>
  <c r="H3158" i="1"/>
  <c r="G3158" i="1"/>
  <c r="M3157" i="1"/>
  <c r="L3157" i="1"/>
  <c r="K3157" i="1"/>
  <c r="J3157" i="1"/>
  <c r="I3157" i="1"/>
  <c r="H3157" i="1"/>
  <c r="G3157" i="1"/>
  <c r="M3156" i="1"/>
  <c r="L3156" i="1"/>
  <c r="K3156" i="1"/>
  <c r="J3156" i="1"/>
  <c r="I3156" i="1"/>
  <c r="H3156" i="1"/>
  <c r="G3156" i="1"/>
  <c r="M3155" i="1"/>
  <c r="L3155" i="1"/>
  <c r="K3155" i="1"/>
  <c r="J3155" i="1"/>
  <c r="I3155" i="1"/>
  <c r="H3155" i="1"/>
  <c r="G3155" i="1"/>
  <c r="M3154" i="1"/>
  <c r="L3154" i="1"/>
  <c r="K3154" i="1"/>
  <c r="J3154" i="1"/>
  <c r="I3154" i="1"/>
  <c r="H3154" i="1"/>
  <c r="G3154" i="1"/>
  <c r="M3153" i="1"/>
  <c r="L3153" i="1"/>
  <c r="K3153" i="1"/>
  <c r="J3153" i="1"/>
  <c r="I3153" i="1"/>
  <c r="H3153" i="1"/>
  <c r="G3153" i="1"/>
  <c r="M3152" i="1"/>
  <c r="L3152" i="1"/>
  <c r="K3152" i="1"/>
  <c r="J3152" i="1"/>
  <c r="I3152" i="1"/>
  <c r="H3152" i="1"/>
  <c r="G3152" i="1"/>
  <c r="M3151" i="1"/>
  <c r="L3151" i="1"/>
  <c r="K3151" i="1"/>
  <c r="J3151" i="1"/>
  <c r="I3151" i="1"/>
  <c r="H3151" i="1"/>
  <c r="G3151" i="1"/>
  <c r="M3150" i="1"/>
  <c r="L3150" i="1"/>
  <c r="K3150" i="1"/>
  <c r="J3150" i="1"/>
  <c r="I3150" i="1"/>
  <c r="H3150" i="1"/>
  <c r="G3150" i="1"/>
  <c r="M3149" i="1"/>
  <c r="L3149" i="1"/>
  <c r="K3149" i="1"/>
  <c r="J3149" i="1"/>
  <c r="I3149" i="1"/>
  <c r="H3149" i="1"/>
  <c r="G3149" i="1"/>
  <c r="M3148" i="1"/>
  <c r="L3148" i="1"/>
  <c r="K3148" i="1"/>
  <c r="J3148" i="1"/>
  <c r="I3148" i="1"/>
  <c r="H3148" i="1"/>
  <c r="G3148" i="1"/>
  <c r="M3147" i="1"/>
  <c r="L3147" i="1"/>
  <c r="K3147" i="1"/>
  <c r="J3147" i="1"/>
  <c r="I3147" i="1"/>
  <c r="H3147" i="1"/>
  <c r="G3147" i="1"/>
  <c r="M3146" i="1"/>
  <c r="L3146" i="1"/>
  <c r="K3146" i="1"/>
  <c r="J3146" i="1"/>
  <c r="I3146" i="1"/>
  <c r="H3146" i="1"/>
  <c r="G3146" i="1"/>
  <c r="M3145" i="1"/>
  <c r="L3145" i="1"/>
  <c r="K3145" i="1"/>
  <c r="J3145" i="1"/>
  <c r="I3145" i="1"/>
  <c r="H3145" i="1"/>
  <c r="G3145" i="1"/>
  <c r="M3144" i="1"/>
  <c r="L3144" i="1"/>
  <c r="K3144" i="1"/>
  <c r="J3144" i="1"/>
  <c r="I3144" i="1"/>
  <c r="H3144" i="1"/>
  <c r="G3144" i="1"/>
  <c r="M3143" i="1"/>
  <c r="L3143" i="1"/>
  <c r="K3143" i="1"/>
  <c r="J3143" i="1"/>
  <c r="I3143" i="1"/>
  <c r="H3143" i="1"/>
  <c r="G3143" i="1"/>
  <c r="M3142" i="1"/>
  <c r="L3142" i="1"/>
  <c r="K3142" i="1"/>
  <c r="J3142" i="1"/>
  <c r="I3142" i="1"/>
  <c r="H3142" i="1"/>
  <c r="G3142" i="1"/>
  <c r="M3141" i="1"/>
  <c r="L3141" i="1"/>
  <c r="K3141" i="1"/>
  <c r="J3141" i="1"/>
  <c r="I3141" i="1"/>
  <c r="H3141" i="1"/>
  <c r="G3141" i="1"/>
  <c r="M3140" i="1"/>
  <c r="L3140" i="1"/>
  <c r="K3140" i="1"/>
  <c r="J3140" i="1"/>
  <c r="I3140" i="1"/>
  <c r="H3140" i="1"/>
  <c r="G3140" i="1"/>
  <c r="M3139" i="1"/>
  <c r="L3139" i="1"/>
  <c r="K3139" i="1"/>
  <c r="J3139" i="1"/>
  <c r="I3139" i="1"/>
  <c r="H3139" i="1"/>
  <c r="G3139" i="1"/>
  <c r="M3138" i="1"/>
  <c r="L3138" i="1"/>
  <c r="K3138" i="1"/>
  <c r="J3138" i="1"/>
  <c r="I3138" i="1"/>
  <c r="H3138" i="1"/>
  <c r="G3138" i="1"/>
  <c r="M3137" i="1"/>
  <c r="L3137" i="1"/>
  <c r="K3137" i="1"/>
  <c r="J3137" i="1"/>
  <c r="I3137" i="1"/>
  <c r="H3137" i="1"/>
  <c r="G3137" i="1"/>
  <c r="M3136" i="1"/>
  <c r="L3136" i="1"/>
  <c r="K3136" i="1"/>
  <c r="J3136" i="1"/>
  <c r="I3136" i="1"/>
  <c r="H3136" i="1"/>
  <c r="G3136" i="1"/>
  <c r="M3135" i="1"/>
  <c r="L3135" i="1"/>
  <c r="K3135" i="1"/>
  <c r="J3135" i="1"/>
  <c r="I3135" i="1"/>
  <c r="H3135" i="1"/>
  <c r="G3135" i="1"/>
  <c r="M3134" i="1"/>
  <c r="L3134" i="1"/>
  <c r="K3134" i="1"/>
  <c r="J3134" i="1"/>
  <c r="I3134" i="1"/>
  <c r="H3134" i="1"/>
  <c r="G3134" i="1"/>
  <c r="M3133" i="1"/>
  <c r="L3133" i="1"/>
  <c r="K3133" i="1"/>
  <c r="J3133" i="1"/>
  <c r="I3133" i="1"/>
  <c r="H3133" i="1"/>
  <c r="G3133" i="1"/>
  <c r="M3132" i="1"/>
  <c r="L3132" i="1"/>
  <c r="K3132" i="1"/>
  <c r="J3132" i="1"/>
  <c r="I3132" i="1"/>
  <c r="H3132" i="1"/>
  <c r="G3132" i="1"/>
  <c r="M3131" i="1"/>
  <c r="L3131" i="1"/>
  <c r="K3131" i="1"/>
  <c r="J3131" i="1"/>
  <c r="I3131" i="1"/>
  <c r="H3131" i="1"/>
  <c r="G3131" i="1"/>
  <c r="M3130" i="1"/>
  <c r="L3130" i="1"/>
  <c r="K3130" i="1"/>
  <c r="J3130" i="1"/>
  <c r="I3130" i="1"/>
  <c r="H3130" i="1"/>
  <c r="G3130" i="1"/>
  <c r="M3129" i="1"/>
  <c r="L3129" i="1"/>
  <c r="K3129" i="1"/>
  <c r="J3129" i="1"/>
  <c r="I3129" i="1"/>
  <c r="H3129" i="1"/>
  <c r="G3129" i="1"/>
  <c r="M3128" i="1"/>
  <c r="L3128" i="1"/>
  <c r="K3128" i="1"/>
  <c r="J3128" i="1"/>
  <c r="I3128" i="1"/>
  <c r="H3128" i="1"/>
  <c r="G3128" i="1"/>
  <c r="M3127" i="1"/>
  <c r="L3127" i="1"/>
  <c r="K3127" i="1"/>
  <c r="J3127" i="1"/>
  <c r="I3127" i="1"/>
  <c r="H3127" i="1"/>
  <c r="G3127" i="1"/>
  <c r="M3126" i="1"/>
  <c r="L3126" i="1"/>
  <c r="K3126" i="1"/>
  <c r="J3126" i="1"/>
  <c r="I3126" i="1"/>
  <c r="H3126" i="1"/>
  <c r="G3126" i="1"/>
  <c r="M3125" i="1"/>
  <c r="L3125" i="1"/>
  <c r="K3125" i="1"/>
  <c r="J3125" i="1"/>
  <c r="I3125" i="1"/>
  <c r="H3125" i="1"/>
  <c r="G3125" i="1"/>
  <c r="M3124" i="1"/>
  <c r="L3124" i="1"/>
  <c r="K3124" i="1"/>
  <c r="J3124" i="1"/>
  <c r="I3124" i="1"/>
  <c r="H3124" i="1"/>
  <c r="G3124" i="1"/>
  <c r="M3123" i="1"/>
  <c r="L3123" i="1"/>
  <c r="K3123" i="1"/>
  <c r="J3123" i="1"/>
  <c r="I3123" i="1"/>
  <c r="H3123" i="1"/>
  <c r="G3123" i="1"/>
  <c r="M3122" i="1"/>
  <c r="L3122" i="1"/>
  <c r="K3122" i="1"/>
  <c r="J3122" i="1"/>
  <c r="I3122" i="1"/>
  <c r="H3122" i="1"/>
  <c r="G3122" i="1"/>
  <c r="M3121" i="1"/>
  <c r="L3121" i="1"/>
  <c r="K3121" i="1"/>
  <c r="J3121" i="1"/>
  <c r="I3121" i="1"/>
  <c r="H3121" i="1"/>
  <c r="G3121" i="1"/>
  <c r="M3120" i="1"/>
  <c r="L3120" i="1"/>
  <c r="K3120" i="1"/>
  <c r="J3120" i="1"/>
  <c r="I3120" i="1"/>
  <c r="H3120" i="1"/>
  <c r="G3120" i="1"/>
  <c r="M3119" i="1"/>
  <c r="L3119" i="1"/>
  <c r="K3119" i="1"/>
  <c r="J3119" i="1"/>
  <c r="I3119" i="1"/>
  <c r="H3119" i="1"/>
  <c r="G3119" i="1"/>
  <c r="M3118" i="1"/>
  <c r="L3118" i="1"/>
  <c r="K3118" i="1"/>
  <c r="J3118" i="1"/>
  <c r="I3118" i="1"/>
  <c r="H3118" i="1"/>
  <c r="G3118" i="1"/>
  <c r="M3117" i="1"/>
  <c r="L3117" i="1"/>
  <c r="K3117" i="1"/>
  <c r="J3117" i="1"/>
  <c r="I3117" i="1"/>
  <c r="H3117" i="1"/>
  <c r="G3117" i="1"/>
  <c r="M3116" i="1"/>
  <c r="L3116" i="1"/>
  <c r="K3116" i="1"/>
  <c r="J3116" i="1"/>
  <c r="I3116" i="1"/>
  <c r="H3116" i="1"/>
  <c r="G3116" i="1"/>
  <c r="M3115" i="1"/>
  <c r="L3115" i="1"/>
  <c r="K3115" i="1"/>
  <c r="J3115" i="1"/>
  <c r="I3115" i="1"/>
  <c r="H3115" i="1"/>
  <c r="G3115" i="1"/>
  <c r="M3114" i="1"/>
  <c r="L3114" i="1"/>
  <c r="K3114" i="1"/>
  <c r="J3114" i="1"/>
  <c r="I3114" i="1"/>
  <c r="H3114" i="1"/>
  <c r="G3114" i="1"/>
  <c r="M3113" i="1"/>
  <c r="L3113" i="1"/>
  <c r="K3113" i="1"/>
  <c r="J3113" i="1"/>
  <c r="I3113" i="1"/>
  <c r="H3113" i="1"/>
  <c r="G3113" i="1"/>
  <c r="M3112" i="1"/>
  <c r="L3112" i="1"/>
  <c r="K3112" i="1"/>
  <c r="J3112" i="1"/>
  <c r="I3112" i="1"/>
  <c r="H3112" i="1"/>
  <c r="G3112" i="1"/>
  <c r="M3111" i="1"/>
  <c r="L3111" i="1"/>
  <c r="K3111" i="1"/>
  <c r="J3111" i="1"/>
  <c r="I3111" i="1"/>
  <c r="H3111" i="1"/>
  <c r="G3111" i="1"/>
  <c r="M3110" i="1"/>
  <c r="L3110" i="1"/>
  <c r="K3110" i="1"/>
  <c r="J3110" i="1"/>
  <c r="I3110" i="1"/>
  <c r="H3110" i="1"/>
  <c r="G3110" i="1"/>
  <c r="M3109" i="1"/>
  <c r="L3109" i="1"/>
  <c r="K3109" i="1"/>
  <c r="J3109" i="1"/>
  <c r="I3109" i="1"/>
  <c r="H3109" i="1"/>
  <c r="G3109" i="1"/>
  <c r="M3108" i="1"/>
  <c r="L3108" i="1"/>
  <c r="K3108" i="1"/>
  <c r="J3108" i="1"/>
  <c r="I3108" i="1"/>
  <c r="H3108" i="1"/>
  <c r="G3108" i="1"/>
  <c r="M3107" i="1"/>
  <c r="L3107" i="1"/>
  <c r="K3107" i="1"/>
  <c r="J3107" i="1"/>
  <c r="I3107" i="1"/>
  <c r="H3107" i="1"/>
  <c r="G3107" i="1"/>
  <c r="M3106" i="1"/>
  <c r="L3106" i="1"/>
  <c r="K3106" i="1"/>
  <c r="J3106" i="1"/>
  <c r="I3106" i="1"/>
  <c r="H3106" i="1"/>
  <c r="G3106" i="1"/>
  <c r="M3105" i="1"/>
  <c r="L3105" i="1"/>
  <c r="K3105" i="1"/>
  <c r="J3105" i="1"/>
  <c r="I3105" i="1"/>
  <c r="H3105" i="1"/>
  <c r="G3105" i="1"/>
  <c r="M3104" i="1"/>
  <c r="L3104" i="1"/>
  <c r="K3104" i="1"/>
  <c r="J3104" i="1"/>
  <c r="I3104" i="1"/>
  <c r="H3104" i="1"/>
  <c r="G3104" i="1"/>
  <c r="M3103" i="1"/>
  <c r="L3103" i="1"/>
  <c r="K3103" i="1"/>
  <c r="J3103" i="1"/>
  <c r="I3103" i="1"/>
  <c r="H3103" i="1"/>
  <c r="G3103" i="1"/>
  <c r="M3102" i="1"/>
  <c r="L3102" i="1"/>
  <c r="K3102" i="1"/>
  <c r="J3102" i="1"/>
  <c r="I3102" i="1"/>
  <c r="H3102" i="1"/>
  <c r="G3102" i="1"/>
  <c r="M3101" i="1"/>
  <c r="L3101" i="1"/>
  <c r="K3101" i="1"/>
  <c r="J3101" i="1"/>
  <c r="I3101" i="1"/>
  <c r="H3101" i="1"/>
  <c r="G3101" i="1"/>
  <c r="M3100" i="1"/>
  <c r="L3100" i="1"/>
  <c r="K3100" i="1"/>
  <c r="J3100" i="1"/>
  <c r="I3100" i="1"/>
  <c r="H3100" i="1"/>
  <c r="G3100" i="1"/>
  <c r="M3099" i="1"/>
  <c r="L3099" i="1"/>
  <c r="K3099" i="1"/>
  <c r="J3099" i="1"/>
  <c r="I3099" i="1"/>
  <c r="H3099" i="1"/>
  <c r="G3099" i="1"/>
  <c r="M3098" i="1"/>
  <c r="L3098" i="1"/>
  <c r="K3098" i="1"/>
  <c r="J3098" i="1"/>
  <c r="I3098" i="1"/>
  <c r="H3098" i="1"/>
  <c r="G3098" i="1"/>
  <c r="M3097" i="1"/>
  <c r="L3097" i="1"/>
  <c r="K3097" i="1"/>
  <c r="J3097" i="1"/>
  <c r="I3097" i="1"/>
  <c r="H3097" i="1"/>
  <c r="G3097" i="1"/>
  <c r="M3096" i="1"/>
  <c r="L3096" i="1"/>
  <c r="K3096" i="1"/>
  <c r="J3096" i="1"/>
  <c r="I3096" i="1"/>
  <c r="H3096" i="1"/>
  <c r="G3096" i="1"/>
  <c r="M3095" i="1"/>
  <c r="L3095" i="1"/>
  <c r="K3095" i="1"/>
  <c r="J3095" i="1"/>
  <c r="I3095" i="1"/>
  <c r="H3095" i="1"/>
  <c r="G3095" i="1"/>
  <c r="M3094" i="1"/>
  <c r="L3094" i="1"/>
  <c r="K3094" i="1"/>
  <c r="J3094" i="1"/>
  <c r="I3094" i="1"/>
  <c r="H3094" i="1"/>
  <c r="G3094" i="1"/>
  <c r="M3093" i="1"/>
  <c r="L3093" i="1"/>
  <c r="K3093" i="1"/>
  <c r="J3093" i="1"/>
  <c r="I3093" i="1"/>
  <c r="H3093" i="1"/>
  <c r="G3093" i="1"/>
  <c r="M3092" i="1"/>
  <c r="L3092" i="1"/>
  <c r="K3092" i="1"/>
  <c r="J3092" i="1"/>
  <c r="I3092" i="1"/>
  <c r="H3092" i="1"/>
  <c r="G3092" i="1"/>
  <c r="M3091" i="1"/>
  <c r="L3091" i="1"/>
  <c r="K3091" i="1"/>
  <c r="J3091" i="1"/>
  <c r="I3091" i="1"/>
  <c r="H3091" i="1"/>
  <c r="G3091" i="1"/>
  <c r="M3090" i="1"/>
  <c r="L3090" i="1"/>
  <c r="K3090" i="1"/>
  <c r="J3090" i="1"/>
  <c r="I3090" i="1"/>
  <c r="H3090" i="1"/>
  <c r="G3090" i="1"/>
  <c r="M3089" i="1"/>
  <c r="L3089" i="1"/>
  <c r="K3089" i="1"/>
  <c r="J3089" i="1"/>
  <c r="I3089" i="1"/>
  <c r="H3089" i="1"/>
  <c r="G3089" i="1"/>
  <c r="M3088" i="1"/>
  <c r="L3088" i="1"/>
  <c r="K3088" i="1"/>
  <c r="J3088" i="1"/>
  <c r="I3088" i="1"/>
  <c r="H3088" i="1"/>
  <c r="G3088" i="1"/>
  <c r="M3087" i="1"/>
  <c r="L3087" i="1"/>
  <c r="K3087" i="1"/>
  <c r="J3087" i="1"/>
  <c r="I3087" i="1"/>
  <c r="H3087" i="1"/>
  <c r="G3087" i="1"/>
  <c r="M3086" i="1"/>
  <c r="L3086" i="1"/>
  <c r="K3086" i="1"/>
  <c r="J3086" i="1"/>
  <c r="I3086" i="1"/>
  <c r="H3086" i="1"/>
  <c r="G3086" i="1"/>
  <c r="M3085" i="1"/>
  <c r="L3085" i="1"/>
  <c r="K3085" i="1"/>
  <c r="J3085" i="1"/>
  <c r="I3085" i="1"/>
  <c r="H3085" i="1"/>
  <c r="G3085" i="1"/>
  <c r="M3084" i="1"/>
  <c r="L3084" i="1"/>
  <c r="K3084" i="1"/>
  <c r="J3084" i="1"/>
  <c r="I3084" i="1"/>
  <c r="H3084" i="1"/>
  <c r="G3084" i="1"/>
  <c r="M3083" i="1"/>
  <c r="L3083" i="1"/>
  <c r="K3083" i="1"/>
  <c r="J3083" i="1"/>
  <c r="I3083" i="1"/>
  <c r="H3083" i="1"/>
  <c r="G3083" i="1"/>
  <c r="M3082" i="1"/>
  <c r="L3082" i="1"/>
  <c r="K3082" i="1"/>
  <c r="J3082" i="1"/>
  <c r="I3082" i="1"/>
  <c r="H3082" i="1"/>
  <c r="G3082" i="1"/>
  <c r="M3081" i="1"/>
  <c r="L3081" i="1"/>
  <c r="K3081" i="1"/>
  <c r="J3081" i="1"/>
  <c r="I3081" i="1"/>
  <c r="H3081" i="1"/>
  <c r="G3081" i="1"/>
  <c r="M3080" i="1"/>
  <c r="L3080" i="1"/>
  <c r="K3080" i="1"/>
  <c r="J3080" i="1"/>
  <c r="I3080" i="1"/>
  <c r="H3080" i="1"/>
  <c r="G3080" i="1"/>
  <c r="M3079" i="1"/>
  <c r="L3079" i="1"/>
  <c r="K3079" i="1"/>
  <c r="J3079" i="1"/>
  <c r="I3079" i="1"/>
  <c r="H3079" i="1"/>
  <c r="G3079" i="1"/>
  <c r="M3078" i="1"/>
  <c r="L3078" i="1"/>
  <c r="K3078" i="1"/>
  <c r="J3078" i="1"/>
  <c r="I3078" i="1"/>
  <c r="H3078" i="1"/>
  <c r="G3078" i="1"/>
  <c r="M3077" i="1"/>
  <c r="L3077" i="1"/>
  <c r="K3077" i="1"/>
  <c r="J3077" i="1"/>
  <c r="I3077" i="1"/>
  <c r="H3077" i="1"/>
  <c r="G3077" i="1"/>
  <c r="M3076" i="1"/>
  <c r="L3076" i="1"/>
  <c r="K3076" i="1"/>
  <c r="J3076" i="1"/>
  <c r="I3076" i="1"/>
  <c r="H3076" i="1"/>
  <c r="G3076" i="1"/>
  <c r="M3075" i="1"/>
  <c r="L3075" i="1"/>
  <c r="K3075" i="1"/>
  <c r="J3075" i="1"/>
  <c r="I3075" i="1"/>
  <c r="H3075" i="1"/>
  <c r="G3075" i="1"/>
  <c r="M3074" i="1"/>
  <c r="L3074" i="1"/>
  <c r="K3074" i="1"/>
  <c r="J3074" i="1"/>
  <c r="I3074" i="1"/>
  <c r="H3074" i="1"/>
  <c r="G3074" i="1"/>
  <c r="M3073" i="1"/>
  <c r="L3073" i="1"/>
  <c r="K3073" i="1"/>
  <c r="J3073" i="1"/>
  <c r="I3073" i="1"/>
  <c r="H3073" i="1"/>
  <c r="G3073" i="1"/>
  <c r="M3072" i="1"/>
  <c r="L3072" i="1"/>
  <c r="K3072" i="1"/>
  <c r="J3072" i="1"/>
  <c r="I3072" i="1"/>
  <c r="H3072" i="1"/>
  <c r="G3072" i="1"/>
  <c r="M3071" i="1"/>
  <c r="L3071" i="1"/>
  <c r="K3071" i="1"/>
  <c r="J3071" i="1"/>
  <c r="I3071" i="1"/>
  <c r="H3071" i="1"/>
  <c r="G3071" i="1"/>
  <c r="M3070" i="1"/>
  <c r="L3070" i="1"/>
  <c r="K3070" i="1"/>
  <c r="J3070" i="1"/>
  <c r="I3070" i="1"/>
  <c r="H3070" i="1"/>
  <c r="G3070" i="1"/>
  <c r="M3069" i="1"/>
  <c r="L3069" i="1"/>
  <c r="K3069" i="1"/>
  <c r="J3069" i="1"/>
  <c r="I3069" i="1"/>
  <c r="H3069" i="1"/>
  <c r="G3069" i="1"/>
  <c r="M3068" i="1"/>
  <c r="L3068" i="1"/>
  <c r="K3068" i="1"/>
  <c r="J3068" i="1"/>
  <c r="I3068" i="1"/>
  <c r="H3068" i="1"/>
  <c r="G3068" i="1"/>
  <c r="M3067" i="1"/>
  <c r="L3067" i="1"/>
  <c r="K3067" i="1"/>
  <c r="J3067" i="1"/>
  <c r="I3067" i="1"/>
  <c r="H3067" i="1"/>
  <c r="G3067" i="1"/>
  <c r="M3066" i="1"/>
  <c r="L3066" i="1"/>
  <c r="K3066" i="1"/>
  <c r="J3066" i="1"/>
  <c r="I3066" i="1"/>
  <c r="H3066" i="1"/>
  <c r="G3066" i="1"/>
  <c r="M3065" i="1"/>
  <c r="L3065" i="1"/>
  <c r="K3065" i="1"/>
  <c r="J3065" i="1"/>
  <c r="I3065" i="1"/>
  <c r="H3065" i="1"/>
  <c r="G3065" i="1"/>
  <c r="M3064" i="1"/>
  <c r="L3064" i="1"/>
  <c r="K3064" i="1"/>
  <c r="J3064" i="1"/>
  <c r="I3064" i="1"/>
  <c r="H3064" i="1"/>
  <c r="G3064" i="1"/>
  <c r="M3063" i="1"/>
  <c r="L3063" i="1"/>
  <c r="K3063" i="1"/>
  <c r="J3063" i="1"/>
  <c r="I3063" i="1"/>
  <c r="H3063" i="1"/>
  <c r="G3063" i="1"/>
  <c r="M3062" i="1"/>
  <c r="L3062" i="1"/>
  <c r="K3062" i="1"/>
  <c r="J3062" i="1"/>
  <c r="I3062" i="1"/>
  <c r="H3062" i="1"/>
  <c r="G3062" i="1"/>
  <c r="M3061" i="1"/>
  <c r="L3061" i="1"/>
  <c r="K3061" i="1"/>
  <c r="J3061" i="1"/>
  <c r="I3061" i="1"/>
  <c r="H3061" i="1"/>
  <c r="G3061" i="1"/>
  <c r="M3060" i="1"/>
  <c r="L3060" i="1"/>
  <c r="K3060" i="1"/>
  <c r="J3060" i="1"/>
  <c r="I3060" i="1"/>
  <c r="H3060" i="1"/>
  <c r="G3060" i="1"/>
  <c r="M3059" i="1"/>
  <c r="L3059" i="1"/>
  <c r="K3059" i="1"/>
  <c r="J3059" i="1"/>
  <c r="I3059" i="1"/>
  <c r="H3059" i="1"/>
  <c r="G3059" i="1"/>
  <c r="M3058" i="1"/>
  <c r="L3058" i="1"/>
  <c r="K3058" i="1"/>
  <c r="J3058" i="1"/>
  <c r="I3058" i="1"/>
  <c r="H3058" i="1"/>
  <c r="G3058" i="1"/>
  <c r="M3057" i="1"/>
  <c r="L3057" i="1"/>
  <c r="K3057" i="1"/>
  <c r="J3057" i="1"/>
  <c r="I3057" i="1"/>
  <c r="H3057" i="1"/>
  <c r="G3057" i="1"/>
  <c r="M3056" i="1"/>
  <c r="L3056" i="1"/>
  <c r="K3056" i="1"/>
  <c r="J3056" i="1"/>
  <c r="I3056" i="1"/>
  <c r="H3056" i="1"/>
  <c r="G3056" i="1"/>
  <c r="M3055" i="1"/>
  <c r="L3055" i="1"/>
  <c r="K3055" i="1"/>
  <c r="J3055" i="1"/>
  <c r="I3055" i="1"/>
  <c r="H3055" i="1"/>
  <c r="G3055" i="1"/>
  <c r="M3054" i="1"/>
  <c r="L3054" i="1"/>
  <c r="K3054" i="1"/>
  <c r="J3054" i="1"/>
  <c r="I3054" i="1"/>
  <c r="H3054" i="1"/>
  <c r="G3054" i="1"/>
  <c r="M3053" i="1"/>
  <c r="L3053" i="1"/>
  <c r="K3053" i="1"/>
  <c r="J3053" i="1"/>
  <c r="I3053" i="1"/>
  <c r="H3053" i="1"/>
  <c r="G3053" i="1"/>
  <c r="M3052" i="1"/>
  <c r="L3052" i="1"/>
  <c r="K3052" i="1"/>
  <c r="J3052" i="1"/>
  <c r="I3052" i="1"/>
  <c r="H3052" i="1"/>
  <c r="G3052" i="1"/>
  <c r="M3051" i="1"/>
  <c r="L3051" i="1"/>
  <c r="K3051" i="1"/>
  <c r="J3051" i="1"/>
  <c r="I3051" i="1"/>
  <c r="H3051" i="1"/>
  <c r="G3051" i="1"/>
  <c r="M3050" i="1"/>
  <c r="L3050" i="1"/>
  <c r="K3050" i="1"/>
  <c r="J3050" i="1"/>
  <c r="I3050" i="1"/>
  <c r="H3050" i="1"/>
  <c r="G3050" i="1"/>
  <c r="M3049" i="1"/>
  <c r="L3049" i="1"/>
  <c r="K3049" i="1"/>
  <c r="J3049" i="1"/>
  <c r="I3049" i="1"/>
  <c r="H3049" i="1"/>
  <c r="G3049" i="1"/>
  <c r="M3048" i="1"/>
  <c r="L3048" i="1"/>
  <c r="K3048" i="1"/>
  <c r="J3048" i="1"/>
  <c r="I3048" i="1"/>
  <c r="H3048" i="1"/>
  <c r="G3048" i="1"/>
  <c r="M3047" i="1"/>
  <c r="L3047" i="1"/>
  <c r="K3047" i="1"/>
  <c r="J3047" i="1"/>
  <c r="I3047" i="1"/>
  <c r="H3047" i="1"/>
  <c r="G3047" i="1"/>
  <c r="M3046" i="1"/>
  <c r="L3046" i="1"/>
  <c r="K3046" i="1"/>
  <c r="J3046" i="1"/>
  <c r="I3046" i="1"/>
  <c r="H3046" i="1"/>
  <c r="G3046" i="1"/>
  <c r="M3045" i="1"/>
  <c r="L3045" i="1"/>
  <c r="K3045" i="1"/>
  <c r="J3045" i="1"/>
  <c r="I3045" i="1"/>
  <c r="H3045" i="1"/>
  <c r="G3045" i="1"/>
  <c r="M3044" i="1"/>
  <c r="L3044" i="1"/>
  <c r="K3044" i="1"/>
  <c r="J3044" i="1"/>
  <c r="I3044" i="1"/>
  <c r="H3044" i="1"/>
  <c r="G3044" i="1"/>
  <c r="M3043" i="1"/>
  <c r="L3043" i="1"/>
  <c r="K3043" i="1"/>
  <c r="J3043" i="1"/>
  <c r="I3043" i="1"/>
  <c r="H3043" i="1"/>
  <c r="G3043" i="1"/>
  <c r="M3042" i="1"/>
  <c r="L3042" i="1"/>
  <c r="K3042" i="1"/>
  <c r="J3042" i="1"/>
  <c r="I3042" i="1"/>
  <c r="H3042" i="1"/>
  <c r="G3042" i="1"/>
  <c r="M3041" i="1"/>
  <c r="L3041" i="1"/>
  <c r="K3041" i="1"/>
  <c r="J3041" i="1"/>
  <c r="I3041" i="1"/>
  <c r="H3041" i="1"/>
  <c r="G3041" i="1"/>
  <c r="M3040" i="1"/>
  <c r="L3040" i="1"/>
  <c r="K3040" i="1"/>
  <c r="J3040" i="1"/>
  <c r="I3040" i="1"/>
  <c r="H3040" i="1"/>
  <c r="G3040" i="1"/>
  <c r="M3039" i="1"/>
  <c r="L3039" i="1"/>
  <c r="K3039" i="1"/>
  <c r="J3039" i="1"/>
  <c r="I3039" i="1"/>
  <c r="H3039" i="1"/>
  <c r="G3039" i="1"/>
  <c r="M3038" i="1"/>
  <c r="L3038" i="1"/>
  <c r="K3038" i="1"/>
  <c r="J3038" i="1"/>
  <c r="I3038" i="1"/>
  <c r="H3038" i="1"/>
  <c r="G3038" i="1"/>
  <c r="M3037" i="1"/>
  <c r="L3037" i="1"/>
  <c r="K3037" i="1"/>
  <c r="J3037" i="1"/>
  <c r="I3037" i="1"/>
  <c r="H3037" i="1"/>
  <c r="G3037" i="1"/>
  <c r="M3036" i="1"/>
  <c r="L3036" i="1"/>
  <c r="K3036" i="1"/>
  <c r="J3036" i="1"/>
  <c r="I3036" i="1"/>
  <c r="H3036" i="1"/>
  <c r="G3036" i="1"/>
  <c r="M3035" i="1"/>
  <c r="L3035" i="1"/>
  <c r="K3035" i="1"/>
  <c r="J3035" i="1"/>
  <c r="I3035" i="1"/>
  <c r="H3035" i="1"/>
  <c r="G3035" i="1"/>
  <c r="M3034" i="1"/>
  <c r="L3034" i="1"/>
  <c r="K3034" i="1"/>
  <c r="J3034" i="1"/>
  <c r="I3034" i="1"/>
  <c r="H3034" i="1"/>
  <c r="G3034" i="1"/>
  <c r="M3033" i="1"/>
  <c r="L3033" i="1"/>
  <c r="K3033" i="1"/>
  <c r="J3033" i="1"/>
  <c r="I3033" i="1"/>
  <c r="H3033" i="1"/>
  <c r="G3033" i="1"/>
  <c r="M3032" i="1"/>
  <c r="L3032" i="1"/>
  <c r="K3032" i="1"/>
  <c r="J3032" i="1"/>
  <c r="I3032" i="1"/>
  <c r="H3032" i="1"/>
  <c r="G3032" i="1"/>
  <c r="M3031" i="1"/>
  <c r="L3031" i="1"/>
  <c r="K3031" i="1"/>
  <c r="J3031" i="1"/>
  <c r="I3031" i="1"/>
  <c r="H3031" i="1"/>
  <c r="G3031" i="1"/>
  <c r="M3030" i="1"/>
  <c r="L3030" i="1"/>
  <c r="K3030" i="1"/>
  <c r="J3030" i="1"/>
  <c r="I3030" i="1"/>
  <c r="H3030" i="1"/>
  <c r="G3030" i="1"/>
  <c r="M3029" i="1"/>
  <c r="L3029" i="1"/>
  <c r="K3029" i="1"/>
  <c r="J3029" i="1"/>
  <c r="I3029" i="1"/>
  <c r="H3029" i="1"/>
  <c r="G3029" i="1"/>
  <c r="M3028" i="1"/>
  <c r="L3028" i="1"/>
  <c r="K3028" i="1"/>
  <c r="J3028" i="1"/>
  <c r="I3028" i="1"/>
  <c r="H3028" i="1"/>
  <c r="G3028" i="1"/>
  <c r="M3027" i="1"/>
  <c r="L3027" i="1"/>
  <c r="K3027" i="1"/>
  <c r="J3027" i="1"/>
  <c r="I3027" i="1"/>
  <c r="H3027" i="1"/>
  <c r="G3027" i="1"/>
  <c r="M3026" i="1"/>
  <c r="L3026" i="1"/>
  <c r="K3026" i="1"/>
  <c r="J3026" i="1"/>
  <c r="I3026" i="1"/>
  <c r="H3026" i="1"/>
  <c r="G3026" i="1"/>
  <c r="M3025" i="1"/>
  <c r="L3025" i="1"/>
  <c r="K3025" i="1"/>
  <c r="J3025" i="1"/>
  <c r="I3025" i="1"/>
  <c r="H3025" i="1"/>
  <c r="G3025" i="1"/>
  <c r="M3024" i="1"/>
  <c r="L3024" i="1"/>
  <c r="K3024" i="1"/>
  <c r="J3024" i="1"/>
  <c r="I3024" i="1"/>
  <c r="H3024" i="1"/>
  <c r="G3024" i="1"/>
  <c r="M3023" i="1"/>
  <c r="L3023" i="1"/>
  <c r="K3023" i="1"/>
  <c r="J3023" i="1"/>
  <c r="I3023" i="1"/>
  <c r="H3023" i="1"/>
  <c r="G3023" i="1"/>
  <c r="M3022" i="1"/>
  <c r="L3022" i="1"/>
  <c r="K3022" i="1"/>
  <c r="J3022" i="1"/>
  <c r="I3022" i="1"/>
  <c r="H3022" i="1"/>
  <c r="G3022" i="1"/>
  <c r="M3021" i="1"/>
  <c r="L3021" i="1"/>
  <c r="K3021" i="1"/>
  <c r="J3021" i="1"/>
  <c r="I3021" i="1"/>
  <c r="H3021" i="1"/>
  <c r="G3021" i="1"/>
  <c r="M3020" i="1"/>
  <c r="L3020" i="1"/>
  <c r="K3020" i="1"/>
  <c r="J3020" i="1"/>
  <c r="I3020" i="1"/>
  <c r="H3020" i="1"/>
  <c r="G3020" i="1"/>
  <c r="M3019" i="1"/>
  <c r="L3019" i="1"/>
  <c r="K3019" i="1"/>
  <c r="J3019" i="1"/>
  <c r="I3019" i="1"/>
  <c r="H3019" i="1"/>
  <c r="G3019" i="1"/>
  <c r="M3018" i="1"/>
  <c r="L3018" i="1"/>
  <c r="K3018" i="1"/>
  <c r="J3018" i="1"/>
  <c r="I3018" i="1"/>
  <c r="H3018" i="1"/>
  <c r="G3018" i="1"/>
  <c r="M3017" i="1"/>
  <c r="L3017" i="1"/>
  <c r="K3017" i="1"/>
  <c r="J3017" i="1"/>
  <c r="I3017" i="1"/>
  <c r="H3017" i="1"/>
  <c r="G3017" i="1"/>
  <c r="M3016" i="1"/>
  <c r="L3016" i="1"/>
  <c r="K3016" i="1"/>
  <c r="J3016" i="1"/>
  <c r="I3016" i="1"/>
  <c r="H3016" i="1"/>
  <c r="G3016" i="1"/>
  <c r="M3015" i="1"/>
  <c r="L3015" i="1"/>
  <c r="K3015" i="1"/>
  <c r="J3015" i="1"/>
  <c r="I3015" i="1"/>
  <c r="H3015" i="1"/>
  <c r="G3015" i="1"/>
  <c r="M3014" i="1"/>
  <c r="L3014" i="1"/>
  <c r="K3014" i="1"/>
  <c r="J3014" i="1"/>
  <c r="I3014" i="1"/>
  <c r="H3014" i="1"/>
  <c r="G3014" i="1"/>
  <c r="M3013" i="1"/>
  <c r="L3013" i="1"/>
  <c r="K3013" i="1"/>
  <c r="J3013" i="1"/>
  <c r="I3013" i="1"/>
  <c r="H3013" i="1"/>
  <c r="G3013" i="1"/>
  <c r="M3012" i="1"/>
  <c r="L3012" i="1"/>
  <c r="K3012" i="1"/>
  <c r="J3012" i="1"/>
  <c r="I3012" i="1"/>
  <c r="H3012" i="1"/>
  <c r="G3012" i="1"/>
  <c r="M3011" i="1"/>
  <c r="L3011" i="1"/>
  <c r="K3011" i="1"/>
  <c r="J3011" i="1"/>
  <c r="I3011" i="1"/>
  <c r="H3011" i="1"/>
  <c r="G3011" i="1"/>
  <c r="M3010" i="1"/>
  <c r="L3010" i="1"/>
  <c r="K3010" i="1"/>
  <c r="J3010" i="1"/>
  <c r="I3010" i="1"/>
  <c r="H3010" i="1"/>
  <c r="G3010" i="1"/>
  <c r="M3009" i="1"/>
  <c r="L3009" i="1"/>
  <c r="K3009" i="1"/>
  <c r="J3009" i="1"/>
  <c r="I3009" i="1"/>
  <c r="H3009" i="1"/>
  <c r="G3009" i="1"/>
  <c r="M3008" i="1"/>
  <c r="L3008" i="1"/>
  <c r="K3008" i="1"/>
  <c r="J3008" i="1"/>
  <c r="I3008" i="1"/>
  <c r="H3008" i="1"/>
  <c r="G3008" i="1"/>
  <c r="M3007" i="1"/>
  <c r="L3007" i="1"/>
  <c r="K3007" i="1"/>
  <c r="J3007" i="1"/>
  <c r="I3007" i="1"/>
  <c r="H3007" i="1"/>
  <c r="G3007" i="1"/>
  <c r="M3006" i="1"/>
  <c r="L3006" i="1"/>
  <c r="K3006" i="1"/>
  <c r="J3006" i="1"/>
  <c r="I3006" i="1"/>
  <c r="H3006" i="1"/>
  <c r="G3006" i="1"/>
  <c r="M3005" i="1"/>
  <c r="L3005" i="1"/>
  <c r="K3005" i="1"/>
  <c r="J3005" i="1"/>
  <c r="I3005" i="1"/>
  <c r="H3005" i="1"/>
  <c r="G3005" i="1"/>
  <c r="M3004" i="1"/>
  <c r="L3004" i="1"/>
  <c r="K3004" i="1"/>
  <c r="J3004" i="1"/>
  <c r="I3004" i="1"/>
  <c r="H3004" i="1"/>
  <c r="G3004" i="1"/>
  <c r="M3003" i="1"/>
  <c r="L3003" i="1"/>
  <c r="K3003" i="1"/>
  <c r="J3003" i="1"/>
  <c r="I3003" i="1"/>
  <c r="H3003" i="1"/>
  <c r="G3003" i="1"/>
  <c r="M3002" i="1"/>
  <c r="L3002" i="1"/>
  <c r="K3002" i="1"/>
  <c r="J3002" i="1"/>
  <c r="I3002" i="1"/>
  <c r="H3002" i="1"/>
  <c r="G3002" i="1"/>
  <c r="M3001" i="1"/>
  <c r="L3001" i="1"/>
  <c r="K3001" i="1"/>
  <c r="J3001" i="1"/>
  <c r="I3001" i="1"/>
  <c r="H3001" i="1"/>
  <c r="G3001" i="1"/>
  <c r="M3000" i="1"/>
  <c r="L3000" i="1"/>
  <c r="K3000" i="1"/>
  <c r="J3000" i="1"/>
  <c r="I3000" i="1"/>
  <c r="H3000" i="1"/>
  <c r="G3000" i="1"/>
  <c r="M2999" i="1"/>
  <c r="L2999" i="1"/>
  <c r="K2999" i="1"/>
  <c r="J2999" i="1"/>
  <c r="I2999" i="1"/>
  <c r="H2999" i="1"/>
  <c r="G2999" i="1"/>
  <c r="M2998" i="1"/>
  <c r="L2998" i="1"/>
  <c r="K2998" i="1"/>
  <c r="J2998" i="1"/>
  <c r="I2998" i="1"/>
  <c r="H2998" i="1"/>
  <c r="G2998" i="1"/>
  <c r="M2997" i="1"/>
  <c r="L2997" i="1"/>
  <c r="K2997" i="1"/>
  <c r="J2997" i="1"/>
  <c r="I2997" i="1"/>
  <c r="H2997" i="1"/>
  <c r="G2997" i="1"/>
  <c r="M2996" i="1"/>
  <c r="L2996" i="1"/>
  <c r="K2996" i="1"/>
  <c r="J2996" i="1"/>
  <c r="I2996" i="1"/>
  <c r="H2996" i="1"/>
  <c r="G2996" i="1"/>
  <c r="M2995" i="1"/>
  <c r="L2995" i="1"/>
  <c r="K2995" i="1"/>
  <c r="J2995" i="1"/>
  <c r="I2995" i="1"/>
  <c r="H2995" i="1"/>
  <c r="G2995" i="1"/>
  <c r="M2994" i="1"/>
  <c r="L2994" i="1"/>
  <c r="K2994" i="1"/>
  <c r="J2994" i="1"/>
  <c r="I2994" i="1"/>
  <c r="H2994" i="1"/>
  <c r="G2994" i="1"/>
  <c r="M2993" i="1"/>
  <c r="L2993" i="1"/>
  <c r="K2993" i="1"/>
  <c r="J2993" i="1"/>
  <c r="I2993" i="1"/>
  <c r="H2993" i="1"/>
  <c r="G2993" i="1"/>
  <c r="M2992" i="1"/>
  <c r="L2992" i="1"/>
  <c r="K2992" i="1"/>
  <c r="J2992" i="1"/>
  <c r="I2992" i="1"/>
  <c r="H2992" i="1"/>
  <c r="G2992" i="1"/>
  <c r="M2991" i="1"/>
  <c r="L2991" i="1"/>
  <c r="K2991" i="1"/>
  <c r="J2991" i="1"/>
  <c r="I2991" i="1"/>
  <c r="H2991" i="1"/>
  <c r="G2991" i="1"/>
  <c r="M2990" i="1"/>
  <c r="L2990" i="1"/>
  <c r="K2990" i="1"/>
  <c r="J2990" i="1"/>
  <c r="I2990" i="1"/>
  <c r="H2990" i="1"/>
  <c r="G2990" i="1"/>
  <c r="M2989" i="1"/>
  <c r="L2989" i="1"/>
  <c r="K2989" i="1"/>
  <c r="J2989" i="1"/>
  <c r="I2989" i="1"/>
  <c r="H2989" i="1"/>
  <c r="G2989" i="1"/>
  <c r="M2988" i="1"/>
  <c r="L2988" i="1"/>
  <c r="K2988" i="1"/>
  <c r="J2988" i="1"/>
  <c r="I2988" i="1"/>
  <c r="H2988" i="1"/>
  <c r="G2988" i="1"/>
  <c r="M2987" i="1"/>
  <c r="L2987" i="1"/>
  <c r="K2987" i="1"/>
  <c r="J2987" i="1"/>
  <c r="I2987" i="1"/>
  <c r="H2987" i="1"/>
  <c r="G2987" i="1"/>
  <c r="M2986" i="1"/>
  <c r="L2986" i="1"/>
  <c r="K2986" i="1"/>
  <c r="J2986" i="1"/>
  <c r="I2986" i="1"/>
  <c r="H2986" i="1"/>
  <c r="G2986" i="1"/>
  <c r="M2985" i="1"/>
  <c r="L2985" i="1"/>
  <c r="K2985" i="1"/>
  <c r="J2985" i="1"/>
  <c r="I2985" i="1"/>
  <c r="H2985" i="1"/>
  <c r="G2985" i="1"/>
  <c r="M2984" i="1"/>
  <c r="L2984" i="1"/>
  <c r="K2984" i="1"/>
  <c r="J2984" i="1"/>
  <c r="I2984" i="1"/>
  <c r="H2984" i="1"/>
  <c r="G2984" i="1"/>
  <c r="M2983" i="1"/>
  <c r="L2983" i="1"/>
  <c r="K2983" i="1"/>
  <c r="J2983" i="1"/>
  <c r="I2983" i="1"/>
  <c r="H2983" i="1"/>
  <c r="G2983" i="1"/>
  <c r="M2982" i="1"/>
  <c r="L2982" i="1"/>
  <c r="K2982" i="1"/>
  <c r="J2982" i="1"/>
  <c r="I2982" i="1"/>
  <c r="H2982" i="1"/>
  <c r="G2982" i="1"/>
  <c r="M2981" i="1"/>
  <c r="L2981" i="1"/>
  <c r="K2981" i="1"/>
  <c r="J2981" i="1"/>
  <c r="I2981" i="1"/>
  <c r="H2981" i="1"/>
  <c r="G2981" i="1"/>
  <c r="M2980" i="1"/>
  <c r="L2980" i="1"/>
  <c r="K2980" i="1"/>
  <c r="J2980" i="1"/>
  <c r="I2980" i="1"/>
  <c r="H2980" i="1"/>
  <c r="G2980" i="1"/>
  <c r="M2979" i="1"/>
  <c r="L2979" i="1"/>
  <c r="K2979" i="1"/>
  <c r="J2979" i="1"/>
  <c r="I2979" i="1"/>
  <c r="H2979" i="1"/>
  <c r="G2979" i="1"/>
  <c r="M2978" i="1"/>
  <c r="L2978" i="1"/>
  <c r="K2978" i="1"/>
  <c r="J2978" i="1"/>
  <c r="I2978" i="1"/>
  <c r="H2978" i="1"/>
  <c r="G2978" i="1"/>
  <c r="M2977" i="1"/>
  <c r="L2977" i="1"/>
  <c r="K2977" i="1"/>
  <c r="J2977" i="1"/>
  <c r="I2977" i="1"/>
  <c r="H2977" i="1"/>
  <c r="G2977" i="1"/>
  <c r="M2976" i="1"/>
  <c r="L2976" i="1"/>
  <c r="K2976" i="1"/>
  <c r="J2976" i="1"/>
  <c r="I2976" i="1"/>
  <c r="H2976" i="1"/>
  <c r="G2976" i="1"/>
  <c r="M2975" i="1"/>
  <c r="L2975" i="1"/>
  <c r="K2975" i="1"/>
  <c r="J2975" i="1"/>
  <c r="I2975" i="1"/>
  <c r="H2975" i="1"/>
  <c r="G2975" i="1"/>
  <c r="M2974" i="1"/>
  <c r="L2974" i="1"/>
  <c r="K2974" i="1"/>
  <c r="J2974" i="1"/>
  <c r="I2974" i="1"/>
  <c r="H2974" i="1"/>
  <c r="G2974" i="1"/>
  <c r="M2973" i="1"/>
  <c r="L2973" i="1"/>
  <c r="K2973" i="1"/>
  <c r="J2973" i="1"/>
  <c r="I2973" i="1"/>
  <c r="H2973" i="1"/>
  <c r="G2973" i="1"/>
  <c r="M2972" i="1"/>
  <c r="L2972" i="1"/>
  <c r="K2972" i="1"/>
  <c r="J2972" i="1"/>
  <c r="I2972" i="1"/>
  <c r="H2972" i="1"/>
  <c r="G2972" i="1"/>
  <c r="M2971" i="1"/>
  <c r="L2971" i="1"/>
  <c r="K2971" i="1"/>
  <c r="J2971" i="1"/>
  <c r="I2971" i="1"/>
  <c r="H2971" i="1"/>
  <c r="G2971" i="1"/>
  <c r="M2970" i="1"/>
  <c r="L2970" i="1"/>
  <c r="K2970" i="1"/>
  <c r="J2970" i="1"/>
  <c r="I2970" i="1"/>
  <c r="H2970" i="1"/>
  <c r="G2970" i="1"/>
  <c r="M2969" i="1"/>
  <c r="L2969" i="1"/>
  <c r="K2969" i="1"/>
  <c r="J2969" i="1"/>
  <c r="I2969" i="1"/>
  <c r="H2969" i="1"/>
  <c r="G2969" i="1"/>
  <c r="M2968" i="1"/>
  <c r="L2968" i="1"/>
  <c r="K2968" i="1"/>
  <c r="J2968" i="1"/>
  <c r="I2968" i="1"/>
  <c r="H2968" i="1"/>
  <c r="G2968" i="1"/>
  <c r="M2967" i="1"/>
  <c r="L2967" i="1"/>
  <c r="K2967" i="1"/>
  <c r="J2967" i="1"/>
  <c r="I2967" i="1"/>
  <c r="H2967" i="1"/>
  <c r="G2967" i="1"/>
  <c r="M2966" i="1"/>
  <c r="L2966" i="1"/>
  <c r="K2966" i="1"/>
  <c r="J2966" i="1"/>
  <c r="I2966" i="1"/>
  <c r="H2966" i="1"/>
  <c r="G2966" i="1"/>
  <c r="M2965" i="1"/>
  <c r="L2965" i="1"/>
  <c r="K2965" i="1"/>
  <c r="J2965" i="1"/>
  <c r="I2965" i="1"/>
  <c r="H2965" i="1"/>
  <c r="G2965" i="1"/>
  <c r="M2964" i="1"/>
  <c r="L2964" i="1"/>
  <c r="K2964" i="1"/>
  <c r="J2964" i="1"/>
  <c r="I2964" i="1"/>
  <c r="H2964" i="1"/>
  <c r="G2964" i="1"/>
  <c r="M2963" i="1"/>
  <c r="L2963" i="1"/>
  <c r="K2963" i="1"/>
  <c r="J2963" i="1"/>
  <c r="I2963" i="1"/>
  <c r="H2963" i="1"/>
  <c r="G2963" i="1"/>
  <c r="M2962" i="1"/>
  <c r="L2962" i="1"/>
  <c r="K2962" i="1"/>
  <c r="J2962" i="1"/>
  <c r="I2962" i="1"/>
  <c r="H2962" i="1"/>
  <c r="G2962" i="1"/>
  <c r="M2961" i="1"/>
  <c r="L2961" i="1"/>
  <c r="K2961" i="1"/>
  <c r="J2961" i="1"/>
  <c r="I2961" i="1"/>
  <c r="H2961" i="1"/>
  <c r="G2961" i="1"/>
  <c r="M2960" i="1"/>
  <c r="L2960" i="1"/>
  <c r="K2960" i="1"/>
  <c r="J2960" i="1"/>
  <c r="I2960" i="1"/>
  <c r="H2960" i="1"/>
  <c r="G2960" i="1"/>
  <c r="M2959" i="1"/>
  <c r="L2959" i="1"/>
  <c r="K2959" i="1"/>
  <c r="J2959" i="1"/>
  <c r="I2959" i="1"/>
  <c r="H2959" i="1"/>
  <c r="G2959" i="1"/>
  <c r="M2958" i="1"/>
  <c r="L2958" i="1"/>
  <c r="K2958" i="1"/>
  <c r="J2958" i="1"/>
  <c r="I2958" i="1"/>
  <c r="H2958" i="1"/>
  <c r="G2958" i="1"/>
  <c r="M2957" i="1"/>
  <c r="L2957" i="1"/>
  <c r="K2957" i="1"/>
  <c r="J2957" i="1"/>
  <c r="I2957" i="1"/>
  <c r="H2957" i="1"/>
  <c r="G2957" i="1"/>
  <c r="M2956" i="1"/>
  <c r="L2956" i="1"/>
  <c r="K2956" i="1"/>
  <c r="J2956" i="1"/>
  <c r="I2956" i="1"/>
  <c r="H2956" i="1"/>
  <c r="G2956" i="1"/>
  <c r="M2955" i="1"/>
  <c r="L2955" i="1"/>
  <c r="K2955" i="1"/>
  <c r="J2955" i="1"/>
  <c r="I2955" i="1"/>
  <c r="H2955" i="1"/>
  <c r="G2955" i="1"/>
  <c r="M2954" i="1"/>
  <c r="L2954" i="1"/>
  <c r="K2954" i="1"/>
  <c r="J2954" i="1"/>
  <c r="I2954" i="1"/>
  <c r="H2954" i="1"/>
  <c r="G2954" i="1"/>
  <c r="M2953" i="1"/>
  <c r="L2953" i="1"/>
  <c r="K2953" i="1"/>
  <c r="J2953" i="1"/>
  <c r="I2953" i="1"/>
  <c r="H2953" i="1"/>
  <c r="G2953" i="1"/>
  <c r="M2952" i="1"/>
  <c r="L2952" i="1"/>
  <c r="K2952" i="1"/>
  <c r="J2952" i="1"/>
  <c r="I2952" i="1"/>
  <c r="H2952" i="1"/>
  <c r="G2952" i="1"/>
  <c r="M2951" i="1"/>
  <c r="L2951" i="1"/>
  <c r="K2951" i="1"/>
  <c r="J2951" i="1"/>
  <c r="I2951" i="1"/>
  <c r="H2951" i="1"/>
  <c r="G2951" i="1"/>
  <c r="M2950" i="1"/>
  <c r="L2950" i="1"/>
  <c r="K2950" i="1"/>
  <c r="J2950" i="1"/>
  <c r="I2950" i="1"/>
  <c r="H2950" i="1"/>
  <c r="G2950" i="1"/>
  <c r="M2949" i="1"/>
  <c r="L2949" i="1"/>
  <c r="K2949" i="1"/>
  <c r="J2949" i="1"/>
  <c r="I2949" i="1"/>
  <c r="H2949" i="1"/>
  <c r="G2949" i="1"/>
  <c r="M2948" i="1"/>
  <c r="L2948" i="1"/>
  <c r="K2948" i="1"/>
  <c r="J2948" i="1"/>
  <c r="I2948" i="1"/>
  <c r="H2948" i="1"/>
  <c r="G2948" i="1"/>
  <c r="M2947" i="1"/>
  <c r="L2947" i="1"/>
  <c r="K2947" i="1"/>
  <c r="J2947" i="1"/>
  <c r="I2947" i="1"/>
  <c r="H2947" i="1"/>
  <c r="G2947" i="1"/>
  <c r="M2946" i="1"/>
  <c r="L2946" i="1"/>
  <c r="K2946" i="1"/>
  <c r="J2946" i="1"/>
  <c r="I2946" i="1"/>
  <c r="H2946" i="1"/>
  <c r="G2946" i="1"/>
  <c r="M2945" i="1"/>
  <c r="L2945" i="1"/>
  <c r="K2945" i="1"/>
  <c r="J2945" i="1"/>
  <c r="I2945" i="1"/>
  <c r="H2945" i="1"/>
  <c r="G2945" i="1"/>
  <c r="M2944" i="1"/>
  <c r="L2944" i="1"/>
  <c r="K2944" i="1"/>
  <c r="J2944" i="1"/>
  <c r="I2944" i="1"/>
  <c r="H2944" i="1"/>
  <c r="G2944" i="1"/>
  <c r="M2943" i="1"/>
  <c r="L2943" i="1"/>
  <c r="K2943" i="1"/>
  <c r="J2943" i="1"/>
  <c r="I2943" i="1"/>
  <c r="H2943" i="1"/>
  <c r="G2943" i="1"/>
  <c r="M2942" i="1"/>
  <c r="L2942" i="1"/>
  <c r="K2942" i="1"/>
  <c r="J2942" i="1"/>
  <c r="I2942" i="1"/>
  <c r="H2942" i="1"/>
  <c r="G2942" i="1"/>
  <c r="M2941" i="1"/>
  <c r="L2941" i="1"/>
  <c r="K2941" i="1"/>
  <c r="J2941" i="1"/>
  <c r="I2941" i="1"/>
  <c r="H2941" i="1"/>
  <c r="G2941" i="1"/>
  <c r="M2940" i="1"/>
  <c r="L2940" i="1"/>
  <c r="K2940" i="1"/>
  <c r="J2940" i="1"/>
  <c r="I2940" i="1"/>
  <c r="H2940" i="1"/>
  <c r="G2940" i="1"/>
  <c r="M2939" i="1"/>
  <c r="L2939" i="1"/>
  <c r="K2939" i="1"/>
  <c r="J2939" i="1"/>
  <c r="I2939" i="1"/>
  <c r="H2939" i="1"/>
  <c r="G2939" i="1"/>
  <c r="M2938" i="1"/>
  <c r="L2938" i="1"/>
  <c r="K2938" i="1"/>
  <c r="J2938" i="1"/>
  <c r="I2938" i="1"/>
  <c r="H2938" i="1"/>
  <c r="G2938" i="1"/>
  <c r="M2937" i="1"/>
  <c r="L2937" i="1"/>
  <c r="K2937" i="1"/>
  <c r="J2937" i="1"/>
  <c r="I2937" i="1"/>
  <c r="H2937" i="1"/>
  <c r="G2937" i="1"/>
  <c r="M2936" i="1"/>
  <c r="L2936" i="1"/>
  <c r="K2936" i="1"/>
  <c r="J2936" i="1"/>
  <c r="I2936" i="1"/>
  <c r="H2936" i="1"/>
  <c r="G2936" i="1"/>
  <c r="M2935" i="1"/>
  <c r="L2935" i="1"/>
  <c r="K2935" i="1"/>
  <c r="J2935" i="1"/>
  <c r="I2935" i="1"/>
  <c r="H2935" i="1"/>
  <c r="G2935" i="1"/>
  <c r="M2934" i="1"/>
  <c r="L2934" i="1"/>
  <c r="K2934" i="1"/>
  <c r="J2934" i="1"/>
  <c r="I2934" i="1"/>
  <c r="H2934" i="1"/>
  <c r="G2934" i="1"/>
  <c r="M2933" i="1"/>
  <c r="L2933" i="1"/>
  <c r="K2933" i="1"/>
  <c r="J2933" i="1"/>
  <c r="I2933" i="1"/>
  <c r="H2933" i="1"/>
  <c r="G2933" i="1"/>
  <c r="M2932" i="1"/>
  <c r="L2932" i="1"/>
  <c r="K2932" i="1"/>
  <c r="J2932" i="1"/>
  <c r="I2932" i="1"/>
  <c r="H2932" i="1"/>
  <c r="G2932" i="1"/>
  <c r="M2931" i="1"/>
  <c r="L2931" i="1"/>
  <c r="K2931" i="1"/>
  <c r="J2931" i="1"/>
  <c r="I2931" i="1"/>
  <c r="H2931" i="1"/>
  <c r="G2931" i="1"/>
  <c r="M2930" i="1"/>
  <c r="L2930" i="1"/>
  <c r="K2930" i="1"/>
  <c r="J2930" i="1"/>
  <c r="I2930" i="1"/>
  <c r="H2930" i="1"/>
  <c r="G2930" i="1"/>
  <c r="M2929" i="1"/>
  <c r="L2929" i="1"/>
  <c r="K2929" i="1"/>
  <c r="J2929" i="1"/>
  <c r="I2929" i="1"/>
  <c r="H2929" i="1"/>
  <c r="G2929" i="1"/>
  <c r="M2928" i="1"/>
  <c r="L2928" i="1"/>
  <c r="K2928" i="1"/>
  <c r="J2928" i="1"/>
  <c r="I2928" i="1"/>
  <c r="H2928" i="1"/>
  <c r="G2928" i="1"/>
  <c r="M2927" i="1"/>
  <c r="L2927" i="1"/>
  <c r="K2927" i="1"/>
  <c r="J2927" i="1"/>
  <c r="I2927" i="1"/>
  <c r="H2927" i="1"/>
  <c r="G2927" i="1"/>
  <c r="M2926" i="1"/>
  <c r="L2926" i="1"/>
  <c r="K2926" i="1"/>
  <c r="J2926" i="1"/>
  <c r="I2926" i="1"/>
  <c r="H2926" i="1"/>
  <c r="G2926" i="1"/>
  <c r="M2925" i="1"/>
  <c r="L2925" i="1"/>
  <c r="K2925" i="1"/>
  <c r="J2925" i="1"/>
  <c r="I2925" i="1"/>
  <c r="H2925" i="1"/>
  <c r="G2925" i="1"/>
  <c r="M2924" i="1"/>
  <c r="L2924" i="1"/>
  <c r="K2924" i="1"/>
  <c r="J2924" i="1"/>
  <c r="I2924" i="1"/>
  <c r="H2924" i="1"/>
  <c r="G2924" i="1"/>
  <c r="M2923" i="1"/>
  <c r="L2923" i="1"/>
  <c r="K2923" i="1"/>
  <c r="J2923" i="1"/>
  <c r="I2923" i="1"/>
  <c r="H2923" i="1"/>
  <c r="G2923" i="1"/>
  <c r="M2922" i="1"/>
  <c r="L2922" i="1"/>
  <c r="K2922" i="1"/>
  <c r="J2922" i="1"/>
  <c r="I2922" i="1"/>
  <c r="H2922" i="1"/>
  <c r="G2922" i="1"/>
  <c r="M2921" i="1"/>
  <c r="L2921" i="1"/>
  <c r="K2921" i="1"/>
  <c r="J2921" i="1"/>
  <c r="I2921" i="1"/>
  <c r="H2921" i="1"/>
  <c r="G2921" i="1"/>
  <c r="M2920" i="1"/>
  <c r="L2920" i="1"/>
  <c r="K2920" i="1"/>
  <c r="J2920" i="1"/>
  <c r="I2920" i="1"/>
  <c r="H2920" i="1"/>
  <c r="G2920" i="1"/>
  <c r="M2919" i="1"/>
  <c r="L2919" i="1"/>
  <c r="K2919" i="1"/>
  <c r="J2919" i="1"/>
  <c r="I2919" i="1"/>
  <c r="H2919" i="1"/>
  <c r="G2919" i="1"/>
  <c r="M2918" i="1"/>
  <c r="L2918" i="1"/>
  <c r="K2918" i="1"/>
  <c r="J2918" i="1"/>
  <c r="I2918" i="1"/>
  <c r="H2918" i="1"/>
  <c r="G2918" i="1"/>
  <c r="M2917" i="1"/>
  <c r="L2917" i="1"/>
  <c r="K2917" i="1"/>
  <c r="J2917" i="1"/>
  <c r="I2917" i="1"/>
  <c r="H2917" i="1"/>
  <c r="G2917" i="1"/>
  <c r="M2916" i="1"/>
  <c r="L2916" i="1"/>
  <c r="K2916" i="1"/>
  <c r="J2916" i="1"/>
  <c r="I2916" i="1"/>
  <c r="H2916" i="1"/>
  <c r="G2916" i="1"/>
  <c r="M2915" i="1"/>
  <c r="L2915" i="1"/>
  <c r="K2915" i="1"/>
  <c r="J2915" i="1"/>
  <c r="I2915" i="1"/>
  <c r="H2915" i="1"/>
  <c r="G2915" i="1"/>
  <c r="M2914" i="1"/>
  <c r="L2914" i="1"/>
  <c r="K2914" i="1"/>
  <c r="J2914" i="1"/>
  <c r="I2914" i="1"/>
  <c r="H2914" i="1"/>
  <c r="G2914" i="1"/>
  <c r="M2913" i="1"/>
  <c r="L2913" i="1"/>
  <c r="K2913" i="1"/>
  <c r="J2913" i="1"/>
  <c r="I2913" i="1"/>
  <c r="H2913" i="1"/>
  <c r="G2913" i="1"/>
  <c r="M2912" i="1"/>
  <c r="L2912" i="1"/>
  <c r="K2912" i="1"/>
  <c r="J2912" i="1"/>
  <c r="I2912" i="1"/>
  <c r="H2912" i="1"/>
  <c r="G2912" i="1"/>
  <c r="M2911" i="1"/>
  <c r="L2911" i="1"/>
  <c r="K2911" i="1"/>
  <c r="J2911" i="1"/>
  <c r="I2911" i="1"/>
  <c r="H2911" i="1"/>
  <c r="G2911" i="1"/>
  <c r="M2910" i="1"/>
  <c r="L2910" i="1"/>
  <c r="K2910" i="1"/>
  <c r="J2910" i="1"/>
  <c r="I2910" i="1"/>
  <c r="H2910" i="1"/>
  <c r="G2910" i="1"/>
  <c r="M2909" i="1"/>
  <c r="L2909" i="1"/>
  <c r="K2909" i="1"/>
  <c r="J2909" i="1"/>
  <c r="I2909" i="1"/>
  <c r="H2909" i="1"/>
  <c r="G2909" i="1"/>
  <c r="M2908" i="1"/>
  <c r="L2908" i="1"/>
  <c r="K2908" i="1"/>
  <c r="J2908" i="1"/>
  <c r="I2908" i="1"/>
  <c r="H2908" i="1"/>
  <c r="G2908" i="1"/>
  <c r="M2907" i="1"/>
  <c r="L2907" i="1"/>
  <c r="K2907" i="1"/>
  <c r="J2907" i="1"/>
  <c r="I2907" i="1"/>
  <c r="H2907" i="1"/>
  <c r="G2907" i="1"/>
  <c r="M2906" i="1"/>
  <c r="L2906" i="1"/>
  <c r="K2906" i="1"/>
  <c r="J2906" i="1"/>
  <c r="I2906" i="1"/>
  <c r="H2906" i="1"/>
  <c r="G2906" i="1"/>
  <c r="M2905" i="1"/>
  <c r="L2905" i="1"/>
  <c r="K2905" i="1"/>
  <c r="J2905" i="1"/>
  <c r="I2905" i="1"/>
  <c r="H2905" i="1"/>
  <c r="G2905" i="1"/>
  <c r="M2904" i="1"/>
  <c r="L2904" i="1"/>
  <c r="K2904" i="1"/>
  <c r="J2904" i="1"/>
  <c r="I2904" i="1"/>
  <c r="H2904" i="1"/>
  <c r="G2904" i="1"/>
  <c r="M2903" i="1"/>
  <c r="L2903" i="1"/>
  <c r="K2903" i="1"/>
  <c r="J2903" i="1"/>
  <c r="I2903" i="1"/>
  <c r="H2903" i="1"/>
  <c r="G2903" i="1"/>
  <c r="M2902" i="1"/>
  <c r="L2902" i="1"/>
  <c r="K2902" i="1"/>
  <c r="J2902" i="1"/>
  <c r="I2902" i="1"/>
  <c r="H2902" i="1"/>
  <c r="G2902" i="1"/>
  <c r="M2901" i="1"/>
  <c r="L2901" i="1"/>
  <c r="K2901" i="1"/>
  <c r="J2901" i="1"/>
  <c r="I2901" i="1"/>
  <c r="H2901" i="1"/>
  <c r="G2901" i="1"/>
  <c r="M2900" i="1"/>
  <c r="L2900" i="1"/>
  <c r="K2900" i="1"/>
  <c r="J2900" i="1"/>
  <c r="I2900" i="1"/>
  <c r="H2900" i="1"/>
  <c r="G2900" i="1"/>
  <c r="M2899" i="1"/>
  <c r="L2899" i="1"/>
  <c r="K2899" i="1"/>
  <c r="J2899" i="1"/>
  <c r="I2899" i="1"/>
  <c r="H2899" i="1"/>
  <c r="G2899" i="1"/>
  <c r="M2898" i="1"/>
  <c r="L2898" i="1"/>
  <c r="K2898" i="1"/>
  <c r="J2898" i="1"/>
  <c r="I2898" i="1"/>
  <c r="H2898" i="1"/>
  <c r="G2898" i="1"/>
  <c r="M2897" i="1"/>
  <c r="L2897" i="1"/>
  <c r="K2897" i="1"/>
  <c r="J2897" i="1"/>
  <c r="I2897" i="1"/>
  <c r="H2897" i="1"/>
  <c r="G2897" i="1"/>
  <c r="M2896" i="1"/>
  <c r="L2896" i="1"/>
  <c r="K2896" i="1"/>
  <c r="J2896" i="1"/>
  <c r="I2896" i="1"/>
  <c r="H2896" i="1"/>
  <c r="G2896" i="1"/>
  <c r="M2895" i="1"/>
  <c r="L2895" i="1"/>
  <c r="K2895" i="1"/>
  <c r="J2895" i="1"/>
  <c r="I2895" i="1"/>
  <c r="H2895" i="1"/>
  <c r="G2895" i="1"/>
  <c r="M2894" i="1"/>
  <c r="L2894" i="1"/>
  <c r="K2894" i="1"/>
  <c r="J2894" i="1"/>
  <c r="I2894" i="1"/>
  <c r="H2894" i="1"/>
  <c r="G2894" i="1"/>
  <c r="M2893" i="1"/>
  <c r="L2893" i="1"/>
  <c r="K2893" i="1"/>
  <c r="J2893" i="1"/>
  <c r="I2893" i="1"/>
  <c r="H2893" i="1"/>
  <c r="G2893" i="1"/>
  <c r="M2892" i="1"/>
  <c r="L2892" i="1"/>
  <c r="K2892" i="1"/>
  <c r="J2892" i="1"/>
  <c r="I2892" i="1"/>
  <c r="H2892" i="1"/>
  <c r="G2892" i="1"/>
  <c r="M2891" i="1"/>
  <c r="L2891" i="1"/>
  <c r="K2891" i="1"/>
  <c r="J2891" i="1"/>
  <c r="I2891" i="1"/>
  <c r="H2891" i="1"/>
  <c r="G2891" i="1"/>
  <c r="M2890" i="1"/>
  <c r="L2890" i="1"/>
  <c r="K2890" i="1"/>
  <c r="J2890" i="1"/>
  <c r="I2890" i="1"/>
  <c r="H2890" i="1"/>
  <c r="G2890" i="1"/>
  <c r="M2889" i="1"/>
  <c r="L2889" i="1"/>
  <c r="K2889" i="1"/>
  <c r="J2889" i="1"/>
  <c r="I2889" i="1"/>
  <c r="H2889" i="1"/>
  <c r="G2889" i="1"/>
  <c r="M2888" i="1"/>
  <c r="L2888" i="1"/>
  <c r="K2888" i="1"/>
  <c r="J2888" i="1"/>
  <c r="I2888" i="1"/>
  <c r="H2888" i="1"/>
  <c r="G2888" i="1"/>
  <c r="M2887" i="1"/>
  <c r="L2887" i="1"/>
  <c r="K2887" i="1"/>
  <c r="J2887" i="1"/>
  <c r="I2887" i="1"/>
  <c r="H2887" i="1"/>
  <c r="G2887" i="1"/>
  <c r="M2886" i="1"/>
  <c r="L2886" i="1"/>
  <c r="K2886" i="1"/>
  <c r="J2886" i="1"/>
  <c r="I2886" i="1"/>
  <c r="H2886" i="1"/>
  <c r="G2886" i="1"/>
  <c r="M2885" i="1"/>
  <c r="L2885" i="1"/>
  <c r="K2885" i="1"/>
  <c r="J2885" i="1"/>
  <c r="I2885" i="1"/>
  <c r="H2885" i="1"/>
  <c r="G2885" i="1"/>
  <c r="M2884" i="1"/>
  <c r="L2884" i="1"/>
  <c r="K2884" i="1"/>
  <c r="J2884" i="1"/>
  <c r="I2884" i="1"/>
  <c r="H2884" i="1"/>
  <c r="G2884" i="1"/>
  <c r="M2883" i="1"/>
  <c r="L2883" i="1"/>
  <c r="K2883" i="1"/>
  <c r="J2883" i="1"/>
  <c r="I2883" i="1"/>
  <c r="H2883" i="1"/>
  <c r="G2883" i="1"/>
  <c r="M2882" i="1"/>
  <c r="L2882" i="1"/>
  <c r="K2882" i="1"/>
  <c r="J2882" i="1"/>
  <c r="I2882" i="1"/>
  <c r="H2882" i="1"/>
  <c r="G2882" i="1"/>
  <c r="M2881" i="1"/>
  <c r="L2881" i="1"/>
  <c r="K2881" i="1"/>
  <c r="J2881" i="1"/>
  <c r="I2881" i="1"/>
  <c r="H2881" i="1"/>
  <c r="G2881" i="1"/>
  <c r="M2880" i="1"/>
  <c r="L2880" i="1"/>
  <c r="K2880" i="1"/>
  <c r="J2880" i="1"/>
  <c r="I2880" i="1"/>
  <c r="H2880" i="1"/>
  <c r="G2880" i="1"/>
  <c r="M2879" i="1"/>
  <c r="L2879" i="1"/>
  <c r="K2879" i="1"/>
  <c r="J2879" i="1"/>
  <c r="I2879" i="1"/>
  <c r="H2879" i="1"/>
  <c r="G2879" i="1"/>
  <c r="M2878" i="1"/>
  <c r="L2878" i="1"/>
  <c r="K2878" i="1"/>
  <c r="J2878" i="1"/>
  <c r="I2878" i="1"/>
  <c r="H2878" i="1"/>
  <c r="G2878" i="1"/>
  <c r="M2877" i="1"/>
  <c r="L2877" i="1"/>
  <c r="K2877" i="1"/>
  <c r="J2877" i="1"/>
  <c r="I2877" i="1"/>
  <c r="H2877" i="1"/>
  <c r="G2877" i="1"/>
  <c r="M2876" i="1"/>
  <c r="L2876" i="1"/>
  <c r="K2876" i="1"/>
  <c r="J2876" i="1"/>
  <c r="I2876" i="1"/>
  <c r="H2876" i="1"/>
  <c r="G2876" i="1"/>
  <c r="M2875" i="1"/>
  <c r="L2875" i="1"/>
  <c r="K2875" i="1"/>
  <c r="J2875" i="1"/>
  <c r="I2875" i="1"/>
  <c r="H2875" i="1"/>
  <c r="G2875" i="1"/>
  <c r="M2874" i="1"/>
  <c r="L2874" i="1"/>
  <c r="K2874" i="1"/>
  <c r="J2874" i="1"/>
  <c r="I2874" i="1"/>
  <c r="H2874" i="1"/>
  <c r="G2874" i="1"/>
  <c r="M2873" i="1"/>
  <c r="L2873" i="1"/>
  <c r="K2873" i="1"/>
  <c r="J2873" i="1"/>
  <c r="I2873" i="1"/>
  <c r="H2873" i="1"/>
  <c r="G2873" i="1"/>
  <c r="M2872" i="1"/>
  <c r="L2872" i="1"/>
  <c r="K2872" i="1"/>
  <c r="J2872" i="1"/>
  <c r="I2872" i="1"/>
  <c r="H2872" i="1"/>
  <c r="G2872" i="1"/>
  <c r="M2871" i="1"/>
  <c r="L2871" i="1"/>
  <c r="K2871" i="1"/>
  <c r="J2871" i="1"/>
  <c r="I2871" i="1"/>
  <c r="H2871" i="1"/>
  <c r="G2871" i="1"/>
  <c r="M2870" i="1"/>
  <c r="L2870" i="1"/>
  <c r="K2870" i="1"/>
  <c r="J2870" i="1"/>
  <c r="I2870" i="1"/>
  <c r="H2870" i="1"/>
  <c r="G2870" i="1"/>
  <c r="M2869" i="1"/>
  <c r="L2869" i="1"/>
  <c r="K2869" i="1"/>
  <c r="J2869" i="1"/>
  <c r="I2869" i="1"/>
  <c r="H2869" i="1"/>
  <c r="G2869" i="1"/>
  <c r="M2868" i="1"/>
  <c r="L2868" i="1"/>
  <c r="K2868" i="1"/>
  <c r="J2868" i="1"/>
  <c r="I2868" i="1"/>
  <c r="H2868" i="1"/>
  <c r="G2868" i="1"/>
  <c r="M2867" i="1"/>
  <c r="L2867" i="1"/>
  <c r="K2867" i="1"/>
  <c r="J2867" i="1"/>
  <c r="I2867" i="1"/>
  <c r="H2867" i="1"/>
  <c r="G2867" i="1"/>
  <c r="M2866" i="1"/>
  <c r="L2866" i="1"/>
  <c r="K2866" i="1"/>
  <c r="J2866" i="1"/>
  <c r="I2866" i="1"/>
  <c r="H2866" i="1"/>
  <c r="G2866" i="1"/>
  <c r="M2865" i="1"/>
  <c r="L2865" i="1"/>
  <c r="K2865" i="1"/>
  <c r="J2865" i="1"/>
  <c r="I2865" i="1"/>
  <c r="H2865" i="1"/>
  <c r="G2865" i="1"/>
  <c r="M2864" i="1"/>
  <c r="L2864" i="1"/>
  <c r="K2864" i="1"/>
  <c r="J2864" i="1"/>
  <c r="I2864" i="1"/>
  <c r="H2864" i="1"/>
  <c r="G2864" i="1"/>
  <c r="M2863" i="1"/>
  <c r="L2863" i="1"/>
  <c r="K2863" i="1"/>
  <c r="J2863" i="1"/>
  <c r="I2863" i="1"/>
  <c r="H2863" i="1"/>
  <c r="G2863" i="1"/>
  <c r="M2862" i="1"/>
  <c r="L2862" i="1"/>
  <c r="K2862" i="1"/>
  <c r="J2862" i="1"/>
  <c r="I2862" i="1"/>
  <c r="H2862" i="1"/>
  <c r="G2862" i="1"/>
  <c r="M2861" i="1"/>
  <c r="L2861" i="1"/>
  <c r="K2861" i="1"/>
  <c r="J2861" i="1"/>
  <c r="I2861" i="1"/>
  <c r="H2861" i="1"/>
  <c r="G2861" i="1"/>
  <c r="M2860" i="1"/>
  <c r="L2860" i="1"/>
  <c r="K2860" i="1"/>
  <c r="J2860" i="1"/>
  <c r="I2860" i="1"/>
  <c r="H2860" i="1"/>
  <c r="G2860" i="1"/>
  <c r="M2859" i="1"/>
  <c r="L2859" i="1"/>
  <c r="K2859" i="1"/>
  <c r="J2859" i="1"/>
  <c r="I2859" i="1"/>
  <c r="H2859" i="1"/>
  <c r="G2859" i="1"/>
  <c r="M2858" i="1"/>
  <c r="L2858" i="1"/>
  <c r="K2858" i="1"/>
  <c r="J2858" i="1"/>
  <c r="I2858" i="1"/>
  <c r="H2858" i="1"/>
  <c r="G2858" i="1"/>
  <c r="M2857" i="1"/>
  <c r="L2857" i="1"/>
  <c r="K2857" i="1"/>
  <c r="J2857" i="1"/>
  <c r="I2857" i="1"/>
  <c r="H2857" i="1"/>
  <c r="G2857" i="1"/>
  <c r="M2856" i="1"/>
  <c r="L2856" i="1"/>
  <c r="K2856" i="1"/>
  <c r="J2856" i="1"/>
  <c r="I2856" i="1"/>
  <c r="H2856" i="1"/>
  <c r="G2856" i="1"/>
  <c r="M2855" i="1"/>
  <c r="L2855" i="1"/>
  <c r="K2855" i="1"/>
  <c r="J2855" i="1"/>
  <c r="I2855" i="1"/>
  <c r="H2855" i="1"/>
  <c r="G2855" i="1"/>
  <c r="M2854" i="1"/>
  <c r="L2854" i="1"/>
  <c r="K2854" i="1"/>
  <c r="J2854" i="1"/>
  <c r="I2854" i="1"/>
  <c r="H2854" i="1"/>
  <c r="G2854" i="1"/>
  <c r="M2853" i="1"/>
  <c r="L2853" i="1"/>
  <c r="K2853" i="1"/>
  <c r="J2853" i="1"/>
  <c r="I2853" i="1"/>
  <c r="H2853" i="1"/>
  <c r="G2853" i="1"/>
  <c r="M2852" i="1"/>
  <c r="L2852" i="1"/>
  <c r="K2852" i="1"/>
  <c r="J2852" i="1"/>
  <c r="I2852" i="1"/>
  <c r="H2852" i="1"/>
  <c r="G2852" i="1"/>
  <c r="M2851" i="1"/>
  <c r="L2851" i="1"/>
  <c r="K2851" i="1"/>
  <c r="J2851" i="1"/>
  <c r="I2851" i="1"/>
  <c r="H2851" i="1"/>
  <c r="G2851" i="1"/>
  <c r="M2850" i="1"/>
  <c r="L2850" i="1"/>
  <c r="K2850" i="1"/>
  <c r="J2850" i="1"/>
  <c r="I2850" i="1"/>
  <c r="H2850" i="1"/>
  <c r="G2850" i="1"/>
  <c r="M2849" i="1"/>
  <c r="L2849" i="1"/>
  <c r="K2849" i="1"/>
  <c r="J2849" i="1"/>
  <c r="I2849" i="1"/>
  <c r="H2849" i="1"/>
  <c r="G2849" i="1"/>
  <c r="M2848" i="1"/>
  <c r="L2848" i="1"/>
  <c r="K2848" i="1"/>
  <c r="J2848" i="1"/>
  <c r="I2848" i="1"/>
  <c r="H2848" i="1"/>
  <c r="G2848" i="1"/>
  <c r="M2847" i="1"/>
  <c r="L2847" i="1"/>
  <c r="K2847" i="1"/>
  <c r="J2847" i="1"/>
  <c r="I2847" i="1"/>
  <c r="H2847" i="1"/>
  <c r="G2847" i="1"/>
  <c r="M2846" i="1"/>
  <c r="L2846" i="1"/>
  <c r="K2846" i="1"/>
  <c r="J2846" i="1"/>
  <c r="I2846" i="1"/>
  <c r="H2846" i="1"/>
  <c r="G2846" i="1"/>
  <c r="M2845" i="1"/>
  <c r="L2845" i="1"/>
  <c r="K2845" i="1"/>
  <c r="J2845" i="1"/>
  <c r="I2845" i="1"/>
  <c r="H2845" i="1"/>
  <c r="G2845" i="1"/>
  <c r="M2844" i="1"/>
  <c r="L2844" i="1"/>
  <c r="K2844" i="1"/>
  <c r="J2844" i="1"/>
  <c r="I2844" i="1"/>
  <c r="H2844" i="1"/>
  <c r="G2844" i="1"/>
  <c r="M2843" i="1"/>
  <c r="L2843" i="1"/>
  <c r="K2843" i="1"/>
  <c r="J2843" i="1"/>
  <c r="I2843" i="1"/>
  <c r="H2843" i="1"/>
  <c r="G2843" i="1"/>
  <c r="M2842" i="1"/>
  <c r="L2842" i="1"/>
  <c r="K2842" i="1"/>
  <c r="J2842" i="1"/>
  <c r="I2842" i="1"/>
  <c r="H2842" i="1"/>
  <c r="G2842" i="1"/>
  <c r="M2841" i="1"/>
  <c r="L2841" i="1"/>
  <c r="K2841" i="1"/>
  <c r="J2841" i="1"/>
  <c r="I2841" i="1"/>
  <c r="H2841" i="1"/>
  <c r="G2841" i="1"/>
  <c r="M2840" i="1"/>
  <c r="L2840" i="1"/>
  <c r="K2840" i="1"/>
  <c r="J2840" i="1"/>
  <c r="I2840" i="1"/>
  <c r="H2840" i="1"/>
  <c r="G2840" i="1"/>
  <c r="M2839" i="1"/>
  <c r="L2839" i="1"/>
  <c r="K2839" i="1"/>
  <c r="J2839" i="1"/>
  <c r="I2839" i="1"/>
  <c r="H2839" i="1"/>
  <c r="G2839" i="1"/>
  <c r="M2838" i="1"/>
  <c r="L2838" i="1"/>
  <c r="K2838" i="1"/>
  <c r="J2838" i="1"/>
  <c r="I2838" i="1"/>
  <c r="H2838" i="1"/>
  <c r="G2838" i="1"/>
  <c r="M2837" i="1"/>
  <c r="L2837" i="1"/>
  <c r="K2837" i="1"/>
  <c r="J2837" i="1"/>
  <c r="I2837" i="1"/>
  <c r="H2837" i="1"/>
  <c r="G2837" i="1"/>
  <c r="M2836" i="1"/>
  <c r="L2836" i="1"/>
  <c r="K2836" i="1"/>
  <c r="J2836" i="1"/>
  <c r="I2836" i="1"/>
  <c r="H2836" i="1"/>
  <c r="G2836" i="1"/>
  <c r="M2835" i="1"/>
  <c r="L2835" i="1"/>
  <c r="K2835" i="1"/>
  <c r="J2835" i="1"/>
  <c r="I2835" i="1"/>
  <c r="H2835" i="1"/>
  <c r="G2835" i="1"/>
  <c r="M2834" i="1"/>
  <c r="L2834" i="1"/>
  <c r="K2834" i="1"/>
  <c r="J2834" i="1"/>
  <c r="I2834" i="1"/>
  <c r="H2834" i="1"/>
  <c r="G2834" i="1"/>
  <c r="M2833" i="1"/>
  <c r="L2833" i="1"/>
  <c r="K2833" i="1"/>
  <c r="J2833" i="1"/>
  <c r="I2833" i="1"/>
  <c r="H2833" i="1"/>
  <c r="G2833" i="1"/>
  <c r="M2832" i="1"/>
  <c r="L2832" i="1"/>
  <c r="K2832" i="1"/>
  <c r="J2832" i="1"/>
  <c r="I2832" i="1"/>
  <c r="H2832" i="1"/>
  <c r="G2832" i="1"/>
  <c r="M2831" i="1"/>
  <c r="L2831" i="1"/>
  <c r="K2831" i="1"/>
  <c r="J2831" i="1"/>
  <c r="I2831" i="1"/>
  <c r="H2831" i="1"/>
  <c r="G2831" i="1"/>
  <c r="M2830" i="1"/>
  <c r="L2830" i="1"/>
  <c r="K2830" i="1"/>
  <c r="J2830" i="1"/>
  <c r="I2830" i="1"/>
  <c r="H2830" i="1"/>
  <c r="G2830" i="1"/>
  <c r="M2829" i="1"/>
  <c r="L2829" i="1"/>
  <c r="K2829" i="1"/>
  <c r="J2829" i="1"/>
  <c r="I2829" i="1"/>
  <c r="H2829" i="1"/>
  <c r="G2829" i="1"/>
  <c r="M2828" i="1"/>
  <c r="L2828" i="1"/>
  <c r="K2828" i="1"/>
  <c r="J2828" i="1"/>
  <c r="I2828" i="1"/>
  <c r="H2828" i="1"/>
  <c r="G2828" i="1"/>
  <c r="M2827" i="1"/>
  <c r="L2827" i="1"/>
  <c r="K2827" i="1"/>
  <c r="J2827" i="1"/>
  <c r="I2827" i="1"/>
  <c r="H2827" i="1"/>
  <c r="G2827" i="1"/>
  <c r="M2826" i="1"/>
  <c r="L2826" i="1"/>
  <c r="K2826" i="1"/>
  <c r="J2826" i="1"/>
  <c r="I2826" i="1"/>
  <c r="H2826" i="1"/>
  <c r="G2826" i="1"/>
  <c r="M2825" i="1"/>
  <c r="L2825" i="1"/>
  <c r="K2825" i="1"/>
  <c r="J2825" i="1"/>
  <c r="I2825" i="1"/>
  <c r="H2825" i="1"/>
  <c r="G2825" i="1"/>
  <c r="M2824" i="1"/>
  <c r="L2824" i="1"/>
  <c r="K2824" i="1"/>
  <c r="J2824" i="1"/>
  <c r="I2824" i="1"/>
  <c r="H2824" i="1"/>
  <c r="G2824" i="1"/>
  <c r="M2823" i="1"/>
  <c r="L2823" i="1"/>
  <c r="K2823" i="1"/>
  <c r="J2823" i="1"/>
  <c r="I2823" i="1"/>
  <c r="H2823" i="1"/>
  <c r="G2823" i="1"/>
  <c r="M2822" i="1"/>
  <c r="L2822" i="1"/>
  <c r="K2822" i="1"/>
  <c r="J2822" i="1"/>
  <c r="I2822" i="1"/>
  <c r="H2822" i="1"/>
  <c r="G2822" i="1"/>
  <c r="M2821" i="1"/>
  <c r="L2821" i="1"/>
  <c r="K2821" i="1"/>
  <c r="J2821" i="1"/>
  <c r="I2821" i="1"/>
  <c r="H2821" i="1"/>
  <c r="G2821" i="1"/>
  <c r="M2820" i="1"/>
  <c r="L2820" i="1"/>
  <c r="K2820" i="1"/>
  <c r="J2820" i="1"/>
  <c r="I2820" i="1"/>
  <c r="H2820" i="1"/>
  <c r="G2820" i="1"/>
  <c r="M2819" i="1"/>
  <c r="L2819" i="1"/>
  <c r="K2819" i="1"/>
  <c r="J2819" i="1"/>
  <c r="I2819" i="1"/>
  <c r="H2819" i="1"/>
  <c r="G2819" i="1"/>
  <c r="M2818" i="1"/>
  <c r="L2818" i="1"/>
  <c r="K2818" i="1"/>
  <c r="J2818" i="1"/>
  <c r="I2818" i="1"/>
  <c r="H2818" i="1"/>
  <c r="G2818" i="1"/>
  <c r="M2817" i="1"/>
  <c r="L2817" i="1"/>
  <c r="K2817" i="1"/>
  <c r="J2817" i="1"/>
  <c r="I2817" i="1"/>
  <c r="H2817" i="1"/>
  <c r="G2817" i="1"/>
  <c r="M2816" i="1"/>
  <c r="L2816" i="1"/>
  <c r="K2816" i="1"/>
  <c r="J2816" i="1"/>
  <c r="I2816" i="1"/>
  <c r="H2816" i="1"/>
  <c r="G2816" i="1"/>
  <c r="M2815" i="1"/>
  <c r="L2815" i="1"/>
  <c r="K2815" i="1"/>
  <c r="J2815" i="1"/>
  <c r="I2815" i="1"/>
  <c r="H2815" i="1"/>
  <c r="G2815" i="1"/>
  <c r="M2814" i="1"/>
  <c r="L2814" i="1"/>
  <c r="K2814" i="1"/>
  <c r="J2814" i="1"/>
  <c r="I2814" i="1"/>
  <c r="H2814" i="1"/>
  <c r="G2814" i="1"/>
  <c r="M2813" i="1"/>
  <c r="L2813" i="1"/>
  <c r="K2813" i="1"/>
  <c r="J2813" i="1"/>
  <c r="I2813" i="1"/>
  <c r="H2813" i="1"/>
  <c r="G2813" i="1"/>
  <c r="M2812" i="1"/>
  <c r="L2812" i="1"/>
  <c r="K2812" i="1"/>
  <c r="J2812" i="1"/>
  <c r="I2812" i="1"/>
  <c r="H2812" i="1"/>
  <c r="G2812" i="1"/>
  <c r="M2811" i="1"/>
  <c r="L2811" i="1"/>
  <c r="K2811" i="1"/>
  <c r="J2811" i="1"/>
  <c r="I2811" i="1"/>
  <c r="H2811" i="1"/>
  <c r="G2811" i="1"/>
  <c r="M2810" i="1"/>
  <c r="L2810" i="1"/>
  <c r="K2810" i="1"/>
  <c r="J2810" i="1"/>
  <c r="I2810" i="1"/>
  <c r="H2810" i="1"/>
  <c r="G2810" i="1"/>
  <c r="M2809" i="1"/>
  <c r="L2809" i="1"/>
  <c r="K2809" i="1"/>
  <c r="J2809" i="1"/>
  <c r="I2809" i="1"/>
  <c r="H2809" i="1"/>
  <c r="G2809" i="1"/>
  <c r="M2808" i="1"/>
  <c r="L2808" i="1"/>
  <c r="K2808" i="1"/>
  <c r="J2808" i="1"/>
  <c r="I2808" i="1"/>
  <c r="H2808" i="1"/>
  <c r="G2808" i="1"/>
  <c r="M2807" i="1"/>
  <c r="L2807" i="1"/>
  <c r="K2807" i="1"/>
  <c r="J2807" i="1"/>
  <c r="I2807" i="1"/>
  <c r="H2807" i="1"/>
  <c r="G2807" i="1"/>
  <c r="M2806" i="1"/>
  <c r="L2806" i="1"/>
  <c r="K2806" i="1"/>
  <c r="J2806" i="1"/>
  <c r="I2806" i="1"/>
  <c r="H2806" i="1"/>
  <c r="G2806" i="1"/>
  <c r="M2805" i="1"/>
  <c r="L2805" i="1"/>
  <c r="K2805" i="1"/>
  <c r="J2805" i="1"/>
  <c r="I2805" i="1"/>
  <c r="H2805" i="1"/>
  <c r="G2805" i="1"/>
  <c r="M2804" i="1"/>
  <c r="L2804" i="1"/>
  <c r="K2804" i="1"/>
  <c r="J2804" i="1"/>
  <c r="I2804" i="1"/>
  <c r="H2804" i="1"/>
  <c r="G2804" i="1"/>
  <c r="M2803" i="1"/>
  <c r="L2803" i="1"/>
  <c r="K2803" i="1"/>
  <c r="J2803" i="1"/>
  <c r="I2803" i="1"/>
  <c r="H2803" i="1"/>
  <c r="G2803" i="1"/>
  <c r="M2802" i="1"/>
  <c r="L2802" i="1"/>
  <c r="K2802" i="1"/>
  <c r="J2802" i="1"/>
  <c r="I2802" i="1"/>
  <c r="H2802" i="1"/>
  <c r="G2802" i="1"/>
  <c r="M2801" i="1"/>
  <c r="L2801" i="1"/>
  <c r="K2801" i="1"/>
  <c r="J2801" i="1"/>
  <c r="I2801" i="1"/>
  <c r="H2801" i="1"/>
  <c r="G2801" i="1"/>
  <c r="M2800" i="1"/>
  <c r="L2800" i="1"/>
  <c r="K2800" i="1"/>
  <c r="J2800" i="1"/>
  <c r="I2800" i="1"/>
  <c r="H2800" i="1"/>
  <c r="G2800" i="1"/>
  <c r="M2799" i="1"/>
  <c r="L2799" i="1"/>
  <c r="K2799" i="1"/>
  <c r="J2799" i="1"/>
  <c r="I2799" i="1"/>
  <c r="H2799" i="1"/>
  <c r="G2799" i="1"/>
  <c r="M2798" i="1"/>
  <c r="L2798" i="1"/>
  <c r="K2798" i="1"/>
  <c r="J2798" i="1"/>
  <c r="I2798" i="1"/>
  <c r="H2798" i="1"/>
  <c r="G2798" i="1"/>
  <c r="M2797" i="1"/>
  <c r="L2797" i="1"/>
  <c r="K2797" i="1"/>
  <c r="J2797" i="1"/>
  <c r="I2797" i="1"/>
  <c r="H2797" i="1"/>
  <c r="G2797" i="1"/>
  <c r="M2796" i="1"/>
  <c r="L2796" i="1"/>
  <c r="K2796" i="1"/>
  <c r="J2796" i="1"/>
  <c r="I2796" i="1"/>
  <c r="H2796" i="1"/>
  <c r="G2796" i="1"/>
  <c r="M2795" i="1"/>
  <c r="L2795" i="1"/>
  <c r="K2795" i="1"/>
  <c r="J2795" i="1"/>
  <c r="I2795" i="1"/>
  <c r="H2795" i="1"/>
  <c r="G2795" i="1"/>
  <c r="M2794" i="1"/>
  <c r="L2794" i="1"/>
  <c r="K2794" i="1"/>
  <c r="J2794" i="1"/>
  <c r="I2794" i="1"/>
  <c r="H2794" i="1"/>
  <c r="G2794" i="1"/>
  <c r="M2793" i="1"/>
  <c r="L2793" i="1"/>
  <c r="K2793" i="1"/>
  <c r="J2793" i="1"/>
  <c r="I2793" i="1"/>
  <c r="H2793" i="1"/>
  <c r="G2793" i="1"/>
  <c r="M2792" i="1"/>
  <c r="L2792" i="1"/>
  <c r="K2792" i="1"/>
  <c r="J2792" i="1"/>
  <c r="I2792" i="1"/>
  <c r="H2792" i="1"/>
  <c r="G2792" i="1"/>
  <c r="M2791" i="1"/>
  <c r="L2791" i="1"/>
  <c r="K2791" i="1"/>
  <c r="J2791" i="1"/>
  <c r="I2791" i="1"/>
  <c r="H2791" i="1"/>
  <c r="G2791" i="1"/>
  <c r="M2790" i="1"/>
  <c r="L2790" i="1"/>
  <c r="K2790" i="1"/>
  <c r="J2790" i="1"/>
  <c r="I2790" i="1"/>
  <c r="H2790" i="1"/>
  <c r="G2790" i="1"/>
  <c r="M2789" i="1"/>
  <c r="L2789" i="1"/>
  <c r="K2789" i="1"/>
  <c r="J2789" i="1"/>
  <c r="I2789" i="1"/>
  <c r="H2789" i="1"/>
  <c r="G2789" i="1"/>
  <c r="M2788" i="1"/>
  <c r="L2788" i="1"/>
  <c r="K2788" i="1"/>
  <c r="J2788" i="1"/>
  <c r="I2788" i="1"/>
  <c r="H2788" i="1"/>
  <c r="G2788" i="1"/>
  <c r="M2787" i="1"/>
  <c r="L2787" i="1"/>
  <c r="K2787" i="1"/>
  <c r="J2787" i="1"/>
  <c r="I2787" i="1"/>
  <c r="H2787" i="1"/>
  <c r="G2787" i="1"/>
  <c r="M2786" i="1"/>
  <c r="L2786" i="1"/>
  <c r="K2786" i="1"/>
  <c r="J2786" i="1"/>
  <c r="I2786" i="1"/>
  <c r="H2786" i="1"/>
  <c r="G2786" i="1"/>
  <c r="M2785" i="1"/>
  <c r="L2785" i="1"/>
  <c r="K2785" i="1"/>
  <c r="J2785" i="1"/>
  <c r="I2785" i="1"/>
  <c r="H2785" i="1"/>
  <c r="G2785" i="1"/>
  <c r="M2784" i="1"/>
  <c r="L2784" i="1"/>
  <c r="K2784" i="1"/>
  <c r="J2784" i="1"/>
  <c r="I2784" i="1"/>
  <c r="H2784" i="1"/>
  <c r="G2784" i="1"/>
  <c r="M2783" i="1"/>
  <c r="L2783" i="1"/>
  <c r="K2783" i="1"/>
  <c r="J2783" i="1"/>
  <c r="I2783" i="1"/>
  <c r="H2783" i="1"/>
  <c r="G2783" i="1"/>
  <c r="M2782" i="1"/>
  <c r="L2782" i="1"/>
  <c r="K2782" i="1"/>
  <c r="J2782" i="1"/>
  <c r="I2782" i="1"/>
  <c r="H2782" i="1"/>
  <c r="G2782" i="1"/>
  <c r="M2781" i="1"/>
  <c r="L2781" i="1"/>
  <c r="K2781" i="1"/>
  <c r="J2781" i="1"/>
  <c r="I2781" i="1"/>
  <c r="H2781" i="1"/>
  <c r="G2781" i="1"/>
  <c r="M2780" i="1"/>
  <c r="L2780" i="1"/>
  <c r="K2780" i="1"/>
  <c r="J2780" i="1"/>
  <c r="I2780" i="1"/>
  <c r="H2780" i="1"/>
  <c r="G2780" i="1"/>
  <c r="M2779" i="1"/>
  <c r="L2779" i="1"/>
  <c r="K2779" i="1"/>
  <c r="J2779" i="1"/>
  <c r="I2779" i="1"/>
  <c r="H2779" i="1"/>
  <c r="G2779" i="1"/>
  <c r="M2778" i="1"/>
  <c r="L2778" i="1"/>
  <c r="K2778" i="1"/>
  <c r="J2778" i="1"/>
  <c r="I2778" i="1"/>
  <c r="H2778" i="1"/>
  <c r="G2778" i="1"/>
  <c r="M2777" i="1"/>
  <c r="L2777" i="1"/>
  <c r="K2777" i="1"/>
  <c r="J2777" i="1"/>
  <c r="I2777" i="1"/>
  <c r="H2777" i="1"/>
  <c r="G2777" i="1"/>
  <c r="M2776" i="1"/>
  <c r="L2776" i="1"/>
  <c r="K2776" i="1"/>
  <c r="J2776" i="1"/>
  <c r="I2776" i="1"/>
  <c r="H2776" i="1"/>
  <c r="G2776" i="1"/>
  <c r="M2775" i="1"/>
  <c r="L2775" i="1"/>
  <c r="K2775" i="1"/>
  <c r="J2775" i="1"/>
  <c r="I2775" i="1"/>
  <c r="H2775" i="1"/>
  <c r="G2775" i="1"/>
  <c r="M2774" i="1"/>
  <c r="L2774" i="1"/>
  <c r="K2774" i="1"/>
  <c r="J2774" i="1"/>
  <c r="I2774" i="1"/>
  <c r="H2774" i="1"/>
  <c r="G2774" i="1"/>
  <c r="M2773" i="1"/>
  <c r="L2773" i="1"/>
  <c r="K2773" i="1"/>
  <c r="J2773" i="1"/>
  <c r="I2773" i="1"/>
  <c r="H2773" i="1"/>
  <c r="G2773" i="1"/>
  <c r="M2772" i="1"/>
  <c r="L2772" i="1"/>
  <c r="K2772" i="1"/>
  <c r="J2772" i="1"/>
  <c r="I2772" i="1"/>
  <c r="H2772" i="1"/>
  <c r="G2772" i="1"/>
  <c r="M2771" i="1"/>
  <c r="L2771" i="1"/>
  <c r="K2771" i="1"/>
  <c r="J2771" i="1"/>
  <c r="I2771" i="1"/>
  <c r="H2771" i="1"/>
  <c r="G2771" i="1"/>
  <c r="M2770" i="1"/>
  <c r="L2770" i="1"/>
  <c r="K2770" i="1"/>
  <c r="J2770" i="1"/>
  <c r="I2770" i="1"/>
  <c r="H2770" i="1"/>
  <c r="G2770" i="1"/>
  <c r="M2769" i="1"/>
  <c r="L2769" i="1"/>
  <c r="K2769" i="1"/>
  <c r="J2769" i="1"/>
  <c r="I2769" i="1"/>
  <c r="H2769" i="1"/>
  <c r="G2769" i="1"/>
  <c r="M2768" i="1"/>
  <c r="L2768" i="1"/>
  <c r="K2768" i="1"/>
  <c r="J2768" i="1"/>
  <c r="I2768" i="1"/>
  <c r="H2768" i="1"/>
  <c r="G2768" i="1"/>
  <c r="M2767" i="1"/>
  <c r="L2767" i="1"/>
  <c r="K2767" i="1"/>
  <c r="J2767" i="1"/>
  <c r="I2767" i="1"/>
  <c r="H2767" i="1"/>
  <c r="G2767" i="1"/>
  <c r="M2766" i="1"/>
  <c r="L2766" i="1"/>
  <c r="K2766" i="1"/>
  <c r="J2766" i="1"/>
  <c r="I2766" i="1"/>
  <c r="H2766" i="1"/>
  <c r="G2766" i="1"/>
  <c r="M2765" i="1"/>
  <c r="L2765" i="1"/>
  <c r="K2765" i="1"/>
  <c r="J2765" i="1"/>
  <c r="I2765" i="1"/>
  <c r="H2765" i="1"/>
  <c r="G2765" i="1"/>
  <c r="M2764" i="1"/>
  <c r="L2764" i="1"/>
  <c r="K2764" i="1"/>
  <c r="J2764" i="1"/>
  <c r="I2764" i="1"/>
  <c r="H2764" i="1"/>
  <c r="G2764" i="1"/>
  <c r="M2763" i="1"/>
  <c r="L2763" i="1"/>
  <c r="K2763" i="1"/>
  <c r="J2763" i="1"/>
  <c r="I2763" i="1"/>
  <c r="H2763" i="1"/>
  <c r="G2763" i="1"/>
  <c r="M2762" i="1"/>
  <c r="L2762" i="1"/>
  <c r="K2762" i="1"/>
  <c r="J2762" i="1"/>
  <c r="I2762" i="1"/>
  <c r="H2762" i="1"/>
  <c r="G2762" i="1"/>
  <c r="M2761" i="1"/>
  <c r="L2761" i="1"/>
  <c r="K2761" i="1"/>
  <c r="J2761" i="1"/>
  <c r="I2761" i="1"/>
  <c r="H2761" i="1"/>
  <c r="G2761" i="1"/>
  <c r="M2760" i="1"/>
  <c r="L2760" i="1"/>
  <c r="K2760" i="1"/>
  <c r="J2760" i="1"/>
  <c r="I2760" i="1"/>
  <c r="H2760" i="1"/>
  <c r="G2760" i="1"/>
  <c r="M2759" i="1"/>
  <c r="L2759" i="1"/>
  <c r="K2759" i="1"/>
  <c r="J2759" i="1"/>
  <c r="I2759" i="1"/>
  <c r="H2759" i="1"/>
  <c r="G2759" i="1"/>
  <c r="M2758" i="1"/>
  <c r="L2758" i="1"/>
  <c r="K2758" i="1"/>
  <c r="J2758" i="1"/>
  <c r="I2758" i="1"/>
  <c r="H2758" i="1"/>
  <c r="G2758" i="1"/>
  <c r="M2757" i="1"/>
  <c r="L2757" i="1"/>
  <c r="K2757" i="1"/>
  <c r="J2757" i="1"/>
  <c r="I2757" i="1"/>
  <c r="H2757" i="1"/>
  <c r="G2757" i="1"/>
  <c r="M2756" i="1"/>
  <c r="L2756" i="1"/>
  <c r="K2756" i="1"/>
  <c r="J2756" i="1"/>
  <c r="I2756" i="1"/>
  <c r="H2756" i="1"/>
  <c r="G2756" i="1"/>
  <c r="M2755" i="1"/>
  <c r="L2755" i="1"/>
  <c r="K2755" i="1"/>
  <c r="J2755" i="1"/>
  <c r="I2755" i="1"/>
  <c r="H2755" i="1"/>
  <c r="G2755" i="1"/>
  <c r="M2754" i="1"/>
  <c r="L2754" i="1"/>
  <c r="K2754" i="1"/>
  <c r="J2754" i="1"/>
  <c r="I2754" i="1"/>
  <c r="H2754" i="1"/>
  <c r="G2754" i="1"/>
  <c r="M2753" i="1"/>
  <c r="L2753" i="1"/>
  <c r="K2753" i="1"/>
  <c r="J2753" i="1"/>
  <c r="I2753" i="1"/>
  <c r="H2753" i="1"/>
  <c r="G2753" i="1"/>
  <c r="M2752" i="1"/>
  <c r="L2752" i="1"/>
  <c r="K2752" i="1"/>
  <c r="J2752" i="1"/>
  <c r="I2752" i="1"/>
  <c r="H2752" i="1"/>
  <c r="G2752" i="1"/>
  <c r="M2751" i="1"/>
  <c r="L2751" i="1"/>
  <c r="K2751" i="1"/>
  <c r="J2751" i="1"/>
  <c r="I2751" i="1"/>
  <c r="H2751" i="1"/>
  <c r="G2751" i="1"/>
  <c r="M2750" i="1"/>
  <c r="L2750" i="1"/>
  <c r="K2750" i="1"/>
  <c r="J2750" i="1"/>
  <c r="I2750" i="1"/>
  <c r="H2750" i="1"/>
  <c r="G2750" i="1"/>
  <c r="M2749" i="1"/>
  <c r="L2749" i="1"/>
  <c r="K2749" i="1"/>
  <c r="J2749" i="1"/>
  <c r="I2749" i="1"/>
  <c r="H2749" i="1"/>
  <c r="G2749" i="1"/>
  <c r="M2748" i="1"/>
  <c r="L2748" i="1"/>
  <c r="K2748" i="1"/>
  <c r="J2748" i="1"/>
  <c r="I2748" i="1"/>
  <c r="H2748" i="1"/>
  <c r="G2748" i="1"/>
  <c r="M2747" i="1"/>
  <c r="L2747" i="1"/>
  <c r="K2747" i="1"/>
  <c r="J2747" i="1"/>
  <c r="I2747" i="1"/>
  <c r="H2747" i="1"/>
  <c r="G2747" i="1"/>
  <c r="M2746" i="1"/>
  <c r="L2746" i="1"/>
  <c r="K2746" i="1"/>
  <c r="J2746" i="1"/>
  <c r="I2746" i="1"/>
  <c r="H2746" i="1"/>
  <c r="G2746" i="1"/>
  <c r="M2745" i="1"/>
  <c r="L2745" i="1"/>
  <c r="K2745" i="1"/>
  <c r="J2745" i="1"/>
  <c r="I2745" i="1"/>
  <c r="H2745" i="1"/>
  <c r="G2745" i="1"/>
  <c r="M2744" i="1"/>
  <c r="L2744" i="1"/>
  <c r="K2744" i="1"/>
  <c r="J2744" i="1"/>
  <c r="I2744" i="1"/>
  <c r="H2744" i="1"/>
  <c r="G2744" i="1"/>
  <c r="M2743" i="1"/>
  <c r="L2743" i="1"/>
  <c r="K2743" i="1"/>
  <c r="J2743" i="1"/>
  <c r="I2743" i="1"/>
  <c r="H2743" i="1"/>
  <c r="G2743" i="1"/>
  <c r="M2742" i="1"/>
  <c r="L2742" i="1"/>
  <c r="K2742" i="1"/>
  <c r="J2742" i="1"/>
  <c r="I2742" i="1"/>
  <c r="H2742" i="1"/>
  <c r="G2742" i="1"/>
  <c r="M2741" i="1"/>
  <c r="L2741" i="1"/>
  <c r="K2741" i="1"/>
  <c r="J2741" i="1"/>
  <c r="I2741" i="1"/>
  <c r="H2741" i="1"/>
  <c r="G2741" i="1"/>
  <c r="M2740" i="1"/>
  <c r="L2740" i="1"/>
  <c r="K2740" i="1"/>
  <c r="J2740" i="1"/>
  <c r="I2740" i="1"/>
  <c r="H2740" i="1"/>
  <c r="G2740" i="1"/>
  <c r="M2739" i="1"/>
  <c r="L2739" i="1"/>
  <c r="K2739" i="1"/>
  <c r="J2739" i="1"/>
  <c r="I2739" i="1"/>
  <c r="H2739" i="1"/>
  <c r="G2739" i="1"/>
  <c r="M2738" i="1"/>
  <c r="L2738" i="1"/>
  <c r="K2738" i="1"/>
  <c r="J2738" i="1"/>
  <c r="I2738" i="1"/>
  <c r="H2738" i="1"/>
  <c r="G2738" i="1"/>
  <c r="M2737" i="1"/>
  <c r="L2737" i="1"/>
  <c r="K2737" i="1"/>
  <c r="J2737" i="1"/>
  <c r="I2737" i="1"/>
  <c r="H2737" i="1"/>
  <c r="G2737" i="1"/>
  <c r="M2736" i="1"/>
  <c r="L2736" i="1"/>
  <c r="K2736" i="1"/>
  <c r="J2736" i="1"/>
  <c r="I2736" i="1"/>
  <c r="H2736" i="1"/>
  <c r="G2736" i="1"/>
  <c r="M2735" i="1"/>
  <c r="L2735" i="1"/>
  <c r="K2735" i="1"/>
  <c r="J2735" i="1"/>
  <c r="I2735" i="1"/>
  <c r="H2735" i="1"/>
  <c r="G2735" i="1"/>
  <c r="M2734" i="1"/>
  <c r="L2734" i="1"/>
  <c r="K2734" i="1"/>
  <c r="J2734" i="1"/>
  <c r="I2734" i="1"/>
  <c r="H2734" i="1"/>
  <c r="G2734" i="1"/>
  <c r="M2733" i="1"/>
  <c r="L2733" i="1"/>
  <c r="K2733" i="1"/>
  <c r="J2733" i="1"/>
  <c r="I2733" i="1"/>
  <c r="H2733" i="1"/>
  <c r="G2733" i="1"/>
  <c r="M2732" i="1"/>
  <c r="L2732" i="1"/>
  <c r="K2732" i="1"/>
  <c r="J2732" i="1"/>
  <c r="I2732" i="1"/>
  <c r="H2732" i="1"/>
  <c r="G2732" i="1"/>
  <c r="M2731" i="1"/>
  <c r="L2731" i="1"/>
  <c r="K2731" i="1"/>
  <c r="J2731" i="1"/>
  <c r="I2731" i="1"/>
  <c r="H2731" i="1"/>
  <c r="G2731" i="1"/>
  <c r="M2730" i="1"/>
  <c r="L2730" i="1"/>
  <c r="K2730" i="1"/>
  <c r="J2730" i="1"/>
  <c r="I2730" i="1"/>
  <c r="H2730" i="1"/>
  <c r="G2730" i="1"/>
  <c r="M2729" i="1"/>
  <c r="L2729" i="1"/>
  <c r="K2729" i="1"/>
  <c r="J2729" i="1"/>
  <c r="I2729" i="1"/>
  <c r="H2729" i="1"/>
  <c r="G2729" i="1"/>
  <c r="M2728" i="1"/>
  <c r="L2728" i="1"/>
  <c r="K2728" i="1"/>
  <c r="J2728" i="1"/>
  <c r="I2728" i="1"/>
  <c r="H2728" i="1"/>
  <c r="G2728" i="1"/>
  <c r="M2727" i="1"/>
  <c r="L2727" i="1"/>
  <c r="K2727" i="1"/>
  <c r="J2727" i="1"/>
  <c r="I2727" i="1"/>
  <c r="H2727" i="1"/>
  <c r="G2727" i="1"/>
  <c r="M2726" i="1"/>
  <c r="L2726" i="1"/>
  <c r="K2726" i="1"/>
  <c r="J2726" i="1"/>
  <c r="I2726" i="1"/>
  <c r="H2726" i="1"/>
  <c r="G2726" i="1"/>
  <c r="M2725" i="1"/>
  <c r="L2725" i="1"/>
  <c r="K2725" i="1"/>
  <c r="J2725" i="1"/>
  <c r="I2725" i="1"/>
  <c r="H2725" i="1"/>
  <c r="G2725" i="1"/>
  <c r="M2724" i="1"/>
  <c r="L2724" i="1"/>
  <c r="K2724" i="1"/>
  <c r="J2724" i="1"/>
  <c r="I2724" i="1"/>
  <c r="H2724" i="1"/>
  <c r="G2724" i="1"/>
  <c r="M2723" i="1"/>
  <c r="L2723" i="1"/>
  <c r="K2723" i="1"/>
  <c r="J2723" i="1"/>
  <c r="I2723" i="1"/>
  <c r="H2723" i="1"/>
  <c r="G2723" i="1"/>
  <c r="M2722" i="1"/>
  <c r="L2722" i="1"/>
  <c r="K2722" i="1"/>
  <c r="J2722" i="1"/>
  <c r="I2722" i="1"/>
  <c r="H2722" i="1"/>
  <c r="G2722" i="1"/>
  <c r="M2721" i="1"/>
  <c r="L2721" i="1"/>
  <c r="K2721" i="1"/>
  <c r="J2721" i="1"/>
  <c r="I2721" i="1"/>
  <c r="H2721" i="1"/>
  <c r="G2721" i="1"/>
  <c r="M2720" i="1"/>
  <c r="L2720" i="1"/>
  <c r="K2720" i="1"/>
  <c r="J2720" i="1"/>
  <c r="I2720" i="1"/>
  <c r="H2720" i="1"/>
  <c r="G2720" i="1"/>
  <c r="M2719" i="1"/>
  <c r="L2719" i="1"/>
  <c r="K2719" i="1"/>
  <c r="J2719" i="1"/>
  <c r="I2719" i="1"/>
  <c r="H2719" i="1"/>
  <c r="G2719" i="1"/>
  <c r="M2718" i="1"/>
  <c r="L2718" i="1"/>
  <c r="K2718" i="1"/>
  <c r="J2718" i="1"/>
  <c r="I2718" i="1"/>
  <c r="H2718" i="1"/>
  <c r="G2718" i="1"/>
  <c r="M2717" i="1"/>
  <c r="L2717" i="1"/>
  <c r="K2717" i="1"/>
  <c r="J2717" i="1"/>
  <c r="I2717" i="1"/>
  <c r="H2717" i="1"/>
  <c r="G2717" i="1"/>
  <c r="M2716" i="1"/>
  <c r="L2716" i="1"/>
  <c r="K2716" i="1"/>
  <c r="J2716" i="1"/>
  <c r="I2716" i="1"/>
  <c r="H2716" i="1"/>
  <c r="G2716" i="1"/>
  <c r="M2715" i="1"/>
  <c r="L2715" i="1"/>
  <c r="K2715" i="1"/>
  <c r="J2715" i="1"/>
  <c r="I2715" i="1"/>
  <c r="H2715" i="1"/>
  <c r="G2715" i="1"/>
  <c r="M2714" i="1"/>
  <c r="L2714" i="1"/>
  <c r="K2714" i="1"/>
  <c r="J2714" i="1"/>
  <c r="I2714" i="1"/>
  <c r="H2714" i="1"/>
  <c r="G2714" i="1"/>
  <c r="M2713" i="1"/>
  <c r="L2713" i="1"/>
  <c r="K2713" i="1"/>
  <c r="J2713" i="1"/>
  <c r="I2713" i="1"/>
  <c r="H2713" i="1"/>
  <c r="G2713" i="1"/>
  <c r="M2712" i="1"/>
  <c r="L2712" i="1"/>
  <c r="K2712" i="1"/>
  <c r="J2712" i="1"/>
  <c r="I2712" i="1"/>
  <c r="H2712" i="1"/>
  <c r="G2712" i="1"/>
  <c r="M2711" i="1"/>
  <c r="L2711" i="1"/>
  <c r="K2711" i="1"/>
  <c r="J2711" i="1"/>
  <c r="I2711" i="1"/>
  <c r="H2711" i="1"/>
  <c r="G2711" i="1"/>
  <c r="M2710" i="1"/>
  <c r="L2710" i="1"/>
  <c r="K2710" i="1"/>
  <c r="J2710" i="1"/>
  <c r="I2710" i="1"/>
  <c r="H2710" i="1"/>
  <c r="G2710" i="1"/>
  <c r="M2709" i="1"/>
  <c r="L2709" i="1"/>
  <c r="K2709" i="1"/>
  <c r="J2709" i="1"/>
  <c r="I2709" i="1"/>
  <c r="H2709" i="1"/>
  <c r="G2709" i="1"/>
  <c r="M2708" i="1"/>
  <c r="L2708" i="1"/>
  <c r="K2708" i="1"/>
  <c r="J2708" i="1"/>
  <c r="I2708" i="1"/>
  <c r="H2708" i="1"/>
  <c r="G2708" i="1"/>
  <c r="M2707" i="1"/>
  <c r="L2707" i="1"/>
  <c r="K2707" i="1"/>
  <c r="J2707" i="1"/>
  <c r="I2707" i="1"/>
  <c r="H2707" i="1"/>
  <c r="G2707" i="1"/>
  <c r="M2706" i="1"/>
  <c r="L2706" i="1"/>
  <c r="K2706" i="1"/>
  <c r="J2706" i="1"/>
  <c r="I2706" i="1"/>
  <c r="H2706" i="1"/>
  <c r="G2706" i="1"/>
  <c r="M2705" i="1"/>
  <c r="L2705" i="1"/>
  <c r="K2705" i="1"/>
  <c r="J2705" i="1"/>
  <c r="I2705" i="1"/>
  <c r="H2705" i="1"/>
  <c r="G2705" i="1"/>
  <c r="M2704" i="1"/>
  <c r="L2704" i="1"/>
  <c r="K2704" i="1"/>
  <c r="J2704" i="1"/>
  <c r="I2704" i="1"/>
  <c r="H2704" i="1"/>
  <c r="G2704" i="1"/>
  <c r="M2703" i="1"/>
  <c r="L2703" i="1"/>
  <c r="K2703" i="1"/>
  <c r="J2703" i="1"/>
  <c r="I2703" i="1"/>
  <c r="H2703" i="1"/>
  <c r="G2703" i="1"/>
  <c r="M2702" i="1"/>
  <c r="L2702" i="1"/>
  <c r="K2702" i="1"/>
  <c r="J2702" i="1"/>
  <c r="I2702" i="1"/>
  <c r="H2702" i="1"/>
  <c r="G2702" i="1"/>
  <c r="M2701" i="1"/>
  <c r="L2701" i="1"/>
  <c r="K2701" i="1"/>
  <c r="J2701" i="1"/>
  <c r="I2701" i="1"/>
  <c r="H2701" i="1"/>
  <c r="G2701" i="1"/>
  <c r="M2700" i="1"/>
  <c r="L2700" i="1"/>
  <c r="K2700" i="1"/>
  <c r="J2700" i="1"/>
  <c r="I2700" i="1"/>
  <c r="H2700" i="1"/>
  <c r="G2700" i="1"/>
  <c r="M2699" i="1"/>
  <c r="L2699" i="1"/>
  <c r="K2699" i="1"/>
  <c r="J2699" i="1"/>
  <c r="I2699" i="1"/>
  <c r="H2699" i="1"/>
  <c r="G2699" i="1"/>
  <c r="M2698" i="1"/>
  <c r="L2698" i="1"/>
  <c r="K2698" i="1"/>
  <c r="J2698" i="1"/>
  <c r="I2698" i="1"/>
  <c r="H2698" i="1"/>
  <c r="G2698" i="1"/>
  <c r="M2697" i="1"/>
  <c r="L2697" i="1"/>
  <c r="K2697" i="1"/>
  <c r="J2697" i="1"/>
  <c r="I2697" i="1"/>
  <c r="H2697" i="1"/>
  <c r="G2697" i="1"/>
  <c r="M2696" i="1"/>
  <c r="L2696" i="1"/>
  <c r="K2696" i="1"/>
  <c r="J2696" i="1"/>
  <c r="I2696" i="1"/>
  <c r="H2696" i="1"/>
  <c r="G2696" i="1"/>
  <c r="M2695" i="1"/>
  <c r="L2695" i="1"/>
  <c r="K2695" i="1"/>
  <c r="J2695" i="1"/>
  <c r="I2695" i="1"/>
  <c r="H2695" i="1"/>
  <c r="G2695" i="1"/>
  <c r="M2694" i="1"/>
  <c r="L2694" i="1"/>
  <c r="K2694" i="1"/>
  <c r="J2694" i="1"/>
  <c r="I2694" i="1"/>
  <c r="H2694" i="1"/>
  <c r="G2694" i="1"/>
  <c r="M2693" i="1"/>
  <c r="L2693" i="1"/>
  <c r="K2693" i="1"/>
  <c r="J2693" i="1"/>
  <c r="I2693" i="1"/>
  <c r="H2693" i="1"/>
  <c r="G2693" i="1"/>
  <c r="M2692" i="1"/>
  <c r="L2692" i="1"/>
  <c r="K2692" i="1"/>
  <c r="J2692" i="1"/>
  <c r="I2692" i="1"/>
  <c r="H2692" i="1"/>
  <c r="G2692" i="1"/>
  <c r="M2691" i="1"/>
  <c r="L2691" i="1"/>
  <c r="K2691" i="1"/>
  <c r="J2691" i="1"/>
  <c r="I2691" i="1"/>
  <c r="H2691" i="1"/>
  <c r="G2691" i="1"/>
  <c r="M2690" i="1"/>
  <c r="L2690" i="1"/>
  <c r="K2690" i="1"/>
  <c r="J2690" i="1"/>
  <c r="I2690" i="1"/>
  <c r="H2690" i="1"/>
  <c r="G2690" i="1"/>
  <c r="M2689" i="1"/>
  <c r="L2689" i="1"/>
  <c r="K2689" i="1"/>
  <c r="J2689" i="1"/>
  <c r="I2689" i="1"/>
  <c r="H2689" i="1"/>
  <c r="G2689" i="1"/>
  <c r="M2688" i="1"/>
  <c r="L2688" i="1"/>
  <c r="K2688" i="1"/>
  <c r="J2688" i="1"/>
  <c r="I2688" i="1"/>
  <c r="H2688" i="1"/>
  <c r="G2688" i="1"/>
  <c r="M2687" i="1"/>
  <c r="L2687" i="1"/>
  <c r="K2687" i="1"/>
  <c r="J2687" i="1"/>
  <c r="I2687" i="1"/>
  <c r="H2687" i="1"/>
  <c r="G2687" i="1"/>
  <c r="M2686" i="1"/>
  <c r="L2686" i="1"/>
  <c r="K2686" i="1"/>
  <c r="J2686" i="1"/>
  <c r="I2686" i="1"/>
  <c r="H2686" i="1"/>
  <c r="G2686" i="1"/>
  <c r="M2685" i="1"/>
  <c r="L2685" i="1"/>
  <c r="K2685" i="1"/>
  <c r="J2685" i="1"/>
  <c r="I2685" i="1"/>
  <c r="H2685" i="1"/>
  <c r="G2685" i="1"/>
  <c r="M2684" i="1"/>
  <c r="L2684" i="1"/>
  <c r="K2684" i="1"/>
  <c r="J2684" i="1"/>
  <c r="I2684" i="1"/>
  <c r="H2684" i="1"/>
  <c r="G2684" i="1"/>
  <c r="M2683" i="1"/>
  <c r="L2683" i="1"/>
  <c r="K2683" i="1"/>
  <c r="J2683" i="1"/>
  <c r="I2683" i="1"/>
  <c r="H2683" i="1"/>
  <c r="G2683" i="1"/>
  <c r="M2682" i="1"/>
  <c r="L2682" i="1"/>
  <c r="K2682" i="1"/>
  <c r="J2682" i="1"/>
  <c r="I2682" i="1"/>
  <c r="H2682" i="1"/>
  <c r="G2682" i="1"/>
  <c r="M2681" i="1"/>
  <c r="L2681" i="1"/>
  <c r="K2681" i="1"/>
  <c r="J2681" i="1"/>
  <c r="I2681" i="1"/>
  <c r="H2681" i="1"/>
  <c r="G2681" i="1"/>
  <c r="M2680" i="1"/>
  <c r="L2680" i="1"/>
  <c r="K2680" i="1"/>
  <c r="J2680" i="1"/>
  <c r="I2680" i="1"/>
  <c r="H2680" i="1"/>
  <c r="G2680" i="1"/>
  <c r="M2679" i="1"/>
  <c r="L2679" i="1"/>
  <c r="K2679" i="1"/>
  <c r="J2679" i="1"/>
  <c r="I2679" i="1"/>
  <c r="H2679" i="1"/>
  <c r="G2679" i="1"/>
  <c r="M2678" i="1"/>
  <c r="L2678" i="1"/>
  <c r="K2678" i="1"/>
  <c r="J2678" i="1"/>
  <c r="I2678" i="1"/>
  <c r="H2678" i="1"/>
  <c r="G2678" i="1"/>
  <c r="M2677" i="1"/>
  <c r="L2677" i="1"/>
  <c r="K2677" i="1"/>
  <c r="J2677" i="1"/>
  <c r="I2677" i="1"/>
  <c r="H2677" i="1"/>
  <c r="G2677" i="1"/>
  <c r="M2676" i="1"/>
  <c r="L2676" i="1"/>
  <c r="K2676" i="1"/>
  <c r="J2676" i="1"/>
  <c r="I2676" i="1"/>
  <c r="H2676" i="1"/>
  <c r="G2676" i="1"/>
  <c r="M2675" i="1"/>
  <c r="L2675" i="1"/>
  <c r="K2675" i="1"/>
  <c r="J2675" i="1"/>
  <c r="I2675" i="1"/>
  <c r="H2675" i="1"/>
  <c r="G2675" i="1"/>
  <c r="M2674" i="1"/>
  <c r="L2674" i="1"/>
  <c r="K2674" i="1"/>
  <c r="J2674" i="1"/>
  <c r="I2674" i="1"/>
  <c r="H2674" i="1"/>
  <c r="G2674" i="1"/>
  <c r="M2673" i="1"/>
  <c r="L2673" i="1"/>
  <c r="K2673" i="1"/>
  <c r="J2673" i="1"/>
  <c r="I2673" i="1"/>
  <c r="H2673" i="1"/>
  <c r="G2673" i="1"/>
  <c r="M2672" i="1"/>
  <c r="L2672" i="1"/>
  <c r="K2672" i="1"/>
  <c r="J2672" i="1"/>
  <c r="I2672" i="1"/>
  <c r="H2672" i="1"/>
  <c r="G2672" i="1"/>
  <c r="M2671" i="1"/>
  <c r="L2671" i="1"/>
  <c r="K2671" i="1"/>
  <c r="J2671" i="1"/>
  <c r="I2671" i="1"/>
  <c r="H2671" i="1"/>
  <c r="G2671" i="1"/>
  <c r="M2670" i="1"/>
  <c r="L2670" i="1"/>
  <c r="K2670" i="1"/>
  <c r="J2670" i="1"/>
  <c r="I2670" i="1"/>
  <c r="H2670" i="1"/>
  <c r="G2670" i="1"/>
  <c r="M2669" i="1"/>
  <c r="L2669" i="1"/>
  <c r="K2669" i="1"/>
  <c r="J2669" i="1"/>
  <c r="I2669" i="1"/>
  <c r="H2669" i="1"/>
  <c r="G2669" i="1"/>
  <c r="M2668" i="1"/>
  <c r="L2668" i="1"/>
  <c r="K2668" i="1"/>
  <c r="J2668" i="1"/>
  <c r="I2668" i="1"/>
  <c r="H2668" i="1"/>
  <c r="G2668" i="1"/>
  <c r="M2667" i="1"/>
  <c r="L2667" i="1"/>
  <c r="K2667" i="1"/>
  <c r="J2667" i="1"/>
  <c r="I2667" i="1"/>
  <c r="H2667" i="1"/>
  <c r="G2667" i="1"/>
  <c r="M2666" i="1"/>
  <c r="L2666" i="1"/>
  <c r="K2666" i="1"/>
  <c r="J2666" i="1"/>
  <c r="I2666" i="1"/>
  <c r="H2666" i="1"/>
  <c r="G2666" i="1"/>
  <c r="M2665" i="1"/>
  <c r="L2665" i="1"/>
  <c r="K2665" i="1"/>
  <c r="J2665" i="1"/>
  <c r="I2665" i="1"/>
  <c r="H2665" i="1"/>
  <c r="G2665" i="1"/>
  <c r="M2664" i="1"/>
  <c r="L2664" i="1"/>
  <c r="K2664" i="1"/>
  <c r="J2664" i="1"/>
  <c r="I2664" i="1"/>
  <c r="H2664" i="1"/>
  <c r="G2664" i="1"/>
  <c r="M2663" i="1"/>
  <c r="L2663" i="1"/>
  <c r="K2663" i="1"/>
  <c r="J2663" i="1"/>
  <c r="I2663" i="1"/>
  <c r="H2663" i="1"/>
  <c r="G2663" i="1"/>
  <c r="M2662" i="1"/>
  <c r="L2662" i="1"/>
  <c r="K2662" i="1"/>
  <c r="J2662" i="1"/>
  <c r="I2662" i="1"/>
  <c r="H2662" i="1"/>
  <c r="G2662" i="1"/>
  <c r="M2661" i="1"/>
  <c r="L2661" i="1"/>
  <c r="K2661" i="1"/>
  <c r="J2661" i="1"/>
  <c r="I2661" i="1"/>
  <c r="H2661" i="1"/>
  <c r="G2661" i="1"/>
  <c r="M2660" i="1"/>
  <c r="L2660" i="1"/>
  <c r="K2660" i="1"/>
  <c r="J2660" i="1"/>
  <c r="I2660" i="1"/>
  <c r="H2660" i="1"/>
  <c r="G2660" i="1"/>
  <c r="M2659" i="1"/>
  <c r="L2659" i="1"/>
  <c r="K2659" i="1"/>
  <c r="J2659" i="1"/>
  <c r="I2659" i="1"/>
  <c r="H2659" i="1"/>
  <c r="G2659" i="1"/>
  <c r="M2658" i="1"/>
  <c r="L2658" i="1"/>
  <c r="K2658" i="1"/>
  <c r="J2658" i="1"/>
  <c r="I2658" i="1"/>
  <c r="H2658" i="1"/>
  <c r="G2658" i="1"/>
  <c r="M2657" i="1"/>
  <c r="L2657" i="1"/>
  <c r="K2657" i="1"/>
  <c r="J2657" i="1"/>
  <c r="I2657" i="1"/>
  <c r="H2657" i="1"/>
  <c r="G2657" i="1"/>
  <c r="M2656" i="1"/>
  <c r="L2656" i="1"/>
  <c r="K2656" i="1"/>
  <c r="J2656" i="1"/>
  <c r="I2656" i="1"/>
  <c r="H2656" i="1"/>
  <c r="G2656" i="1"/>
  <c r="M2655" i="1"/>
  <c r="L2655" i="1"/>
  <c r="K2655" i="1"/>
  <c r="J2655" i="1"/>
  <c r="I2655" i="1"/>
  <c r="H2655" i="1"/>
  <c r="G2655" i="1"/>
  <c r="M2654" i="1"/>
  <c r="L2654" i="1"/>
  <c r="K2654" i="1"/>
  <c r="J2654" i="1"/>
  <c r="I2654" i="1"/>
  <c r="H2654" i="1"/>
  <c r="G2654" i="1"/>
  <c r="M2653" i="1"/>
  <c r="L2653" i="1"/>
  <c r="K2653" i="1"/>
  <c r="J2653" i="1"/>
  <c r="I2653" i="1"/>
  <c r="H2653" i="1"/>
  <c r="G2653" i="1"/>
  <c r="M2652" i="1"/>
  <c r="L2652" i="1"/>
  <c r="K2652" i="1"/>
  <c r="J2652" i="1"/>
  <c r="I2652" i="1"/>
  <c r="H2652" i="1"/>
  <c r="G2652" i="1"/>
  <c r="M2651" i="1"/>
  <c r="L2651" i="1"/>
  <c r="K2651" i="1"/>
  <c r="J2651" i="1"/>
  <c r="I2651" i="1"/>
  <c r="H2651" i="1"/>
  <c r="G2651" i="1"/>
  <c r="M2650" i="1"/>
  <c r="L2650" i="1"/>
  <c r="K2650" i="1"/>
  <c r="J2650" i="1"/>
  <c r="I2650" i="1"/>
  <c r="H2650" i="1"/>
  <c r="G2650" i="1"/>
  <c r="M2649" i="1"/>
  <c r="L2649" i="1"/>
  <c r="K2649" i="1"/>
  <c r="J2649" i="1"/>
  <c r="I2649" i="1"/>
  <c r="H2649" i="1"/>
  <c r="G2649" i="1"/>
  <c r="M2648" i="1"/>
  <c r="L2648" i="1"/>
  <c r="K2648" i="1"/>
  <c r="J2648" i="1"/>
  <c r="I2648" i="1"/>
  <c r="H2648" i="1"/>
  <c r="G2648" i="1"/>
  <c r="M2647" i="1"/>
  <c r="L2647" i="1"/>
  <c r="K2647" i="1"/>
  <c r="J2647" i="1"/>
  <c r="I2647" i="1"/>
  <c r="H2647" i="1"/>
  <c r="G2647" i="1"/>
  <c r="M2646" i="1"/>
  <c r="L2646" i="1"/>
  <c r="K2646" i="1"/>
  <c r="J2646" i="1"/>
  <c r="I2646" i="1"/>
  <c r="H2646" i="1"/>
  <c r="G2646" i="1"/>
  <c r="M2645" i="1"/>
  <c r="L2645" i="1"/>
  <c r="K2645" i="1"/>
  <c r="J2645" i="1"/>
  <c r="I2645" i="1"/>
  <c r="H2645" i="1"/>
  <c r="G2645" i="1"/>
  <c r="M2644" i="1"/>
  <c r="L2644" i="1"/>
  <c r="K2644" i="1"/>
  <c r="J2644" i="1"/>
  <c r="I2644" i="1"/>
  <c r="H2644" i="1"/>
  <c r="G2644" i="1"/>
  <c r="M2643" i="1"/>
  <c r="L2643" i="1"/>
  <c r="K2643" i="1"/>
  <c r="J2643" i="1"/>
  <c r="I2643" i="1"/>
  <c r="H2643" i="1"/>
  <c r="G2643" i="1"/>
  <c r="M2642" i="1"/>
  <c r="L2642" i="1"/>
  <c r="K2642" i="1"/>
  <c r="J2642" i="1"/>
  <c r="I2642" i="1"/>
  <c r="H2642" i="1"/>
  <c r="G2642" i="1"/>
  <c r="M2641" i="1"/>
  <c r="L2641" i="1"/>
  <c r="K2641" i="1"/>
  <c r="J2641" i="1"/>
  <c r="I2641" i="1"/>
  <c r="H2641" i="1"/>
  <c r="G2641" i="1"/>
  <c r="M2640" i="1"/>
  <c r="L2640" i="1"/>
  <c r="K2640" i="1"/>
  <c r="J2640" i="1"/>
  <c r="I2640" i="1"/>
  <c r="H2640" i="1"/>
  <c r="G2640" i="1"/>
  <c r="M2639" i="1"/>
  <c r="L2639" i="1"/>
  <c r="K2639" i="1"/>
  <c r="J2639" i="1"/>
  <c r="I2639" i="1"/>
  <c r="H2639" i="1"/>
  <c r="G2639" i="1"/>
  <c r="M2638" i="1"/>
  <c r="L2638" i="1"/>
  <c r="K2638" i="1"/>
  <c r="J2638" i="1"/>
  <c r="I2638" i="1"/>
  <c r="H2638" i="1"/>
  <c r="G2638" i="1"/>
  <c r="M2637" i="1"/>
  <c r="L2637" i="1"/>
  <c r="K2637" i="1"/>
  <c r="J2637" i="1"/>
  <c r="I2637" i="1"/>
  <c r="H2637" i="1"/>
  <c r="G2637" i="1"/>
  <c r="M2636" i="1"/>
  <c r="L2636" i="1"/>
  <c r="K2636" i="1"/>
  <c r="J2636" i="1"/>
  <c r="I2636" i="1"/>
  <c r="H2636" i="1"/>
  <c r="G2636" i="1"/>
  <c r="M2635" i="1"/>
  <c r="L2635" i="1"/>
  <c r="K2635" i="1"/>
  <c r="J2635" i="1"/>
  <c r="I2635" i="1"/>
  <c r="H2635" i="1"/>
  <c r="G2635" i="1"/>
  <c r="M2634" i="1"/>
  <c r="L2634" i="1"/>
  <c r="K2634" i="1"/>
  <c r="J2634" i="1"/>
  <c r="I2634" i="1"/>
  <c r="H2634" i="1"/>
  <c r="G2634" i="1"/>
  <c r="M2633" i="1"/>
  <c r="L2633" i="1"/>
  <c r="K2633" i="1"/>
  <c r="J2633" i="1"/>
  <c r="I2633" i="1"/>
  <c r="H2633" i="1"/>
  <c r="G2633" i="1"/>
  <c r="M2632" i="1"/>
  <c r="L2632" i="1"/>
  <c r="K2632" i="1"/>
  <c r="J2632" i="1"/>
  <c r="I2632" i="1"/>
  <c r="H2632" i="1"/>
  <c r="G2632" i="1"/>
  <c r="M2631" i="1"/>
  <c r="L2631" i="1"/>
  <c r="K2631" i="1"/>
  <c r="J2631" i="1"/>
  <c r="I2631" i="1"/>
  <c r="H2631" i="1"/>
  <c r="G2631" i="1"/>
  <c r="M2630" i="1"/>
  <c r="L2630" i="1"/>
  <c r="K2630" i="1"/>
  <c r="J2630" i="1"/>
  <c r="I2630" i="1"/>
  <c r="H2630" i="1"/>
  <c r="G2630" i="1"/>
  <c r="M2629" i="1"/>
  <c r="L2629" i="1"/>
  <c r="K2629" i="1"/>
  <c r="J2629" i="1"/>
  <c r="I2629" i="1"/>
  <c r="H2629" i="1"/>
  <c r="G2629" i="1"/>
  <c r="M2628" i="1"/>
  <c r="L2628" i="1"/>
  <c r="K2628" i="1"/>
  <c r="J2628" i="1"/>
  <c r="I2628" i="1"/>
  <c r="H2628" i="1"/>
  <c r="G2628" i="1"/>
  <c r="M2627" i="1"/>
  <c r="L2627" i="1"/>
  <c r="K2627" i="1"/>
  <c r="J2627" i="1"/>
  <c r="I2627" i="1"/>
  <c r="H2627" i="1"/>
  <c r="G2627" i="1"/>
  <c r="M2626" i="1"/>
  <c r="L2626" i="1"/>
  <c r="K2626" i="1"/>
  <c r="J2626" i="1"/>
  <c r="I2626" i="1"/>
  <c r="H2626" i="1"/>
  <c r="G2626" i="1"/>
  <c r="M2625" i="1"/>
  <c r="L2625" i="1"/>
  <c r="K2625" i="1"/>
  <c r="J2625" i="1"/>
  <c r="I2625" i="1"/>
  <c r="H2625" i="1"/>
  <c r="G2625" i="1"/>
  <c r="M2624" i="1"/>
  <c r="L2624" i="1"/>
  <c r="K2624" i="1"/>
  <c r="J2624" i="1"/>
  <c r="I2624" i="1"/>
  <c r="H2624" i="1"/>
  <c r="G2624" i="1"/>
  <c r="M2623" i="1"/>
  <c r="L2623" i="1"/>
  <c r="K2623" i="1"/>
  <c r="J2623" i="1"/>
  <c r="I2623" i="1"/>
  <c r="H2623" i="1"/>
  <c r="G2623" i="1"/>
  <c r="M2622" i="1"/>
  <c r="L2622" i="1"/>
  <c r="K2622" i="1"/>
  <c r="J2622" i="1"/>
  <c r="I2622" i="1"/>
  <c r="H2622" i="1"/>
  <c r="G2622" i="1"/>
  <c r="M2621" i="1"/>
  <c r="L2621" i="1"/>
  <c r="K2621" i="1"/>
  <c r="J2621" i="1"/>
  <c r="I2621" i="1"/>
  <c r="H2621" i="1"/>
  <c r="G2621" i="1"/>
  <c r="M2620" i="1"/>
  <c r="L2620" i="1"/>
  <c r="K2620" i="1"/>
  <c r="J2620" i="1"/>
  <c r="I2620" i="1"/>
  <c r="H2620" i="1"/>
  <c r="G2620" i="1"/>
  <c r="M2619" i="1"/>
  <c r="L2619" i="1"/>
  <c r="K2619" i="1"/>
  <c r="J2619" i="1"/>
  <c r="I2619" i="1"/>
  <c r="H2619" i="1"/>
  <c r="G2619" i="1"/>
  <c r="M2618" i="1"/>
  <c r="L2618" i="1"/>
  <c r="K2618" i="1"/>
  <c r="J2618" i="1"/>
  <c r="I2618" i="1"/>
  <c r="H2618" i="1"/>
  <c r="G2618" i="1"/>
  <c r="M2617" i="1"/>
  <c r="L2617" i="1"/>
  <c r="K2617" i="1"/>
  <c r="J2617" i="1"/>
  <c r="I2617" i="1"/>
  <c r="H2617" i="1"/>
  <c r="G2617" i="1"/>
  <c r="M2616" i="1"/>
  <c r="L2616" i="1"/>
  <c r="K2616" i="1"/>
  <c r="J2616" i="1"/>
  <c r="I2616" i="1"/>
  <c r="H2616" i="1"/>
  <c r="G2616" i="1"/>
  <c r="M2615" i="1"/>
  <c r="L2615" i="1"/>
  <c r="K2615" i="1"/>
  <c r="J2615" i="1"/>
  <c r="I2615" i="1"/>
  <c r="H2615" i="1"/>
  <c r="G2615" i="1"/>
  <c r="M2614" i="1"/>
  <c r="L2614" i="1"/>
  <c r="K2614" i="1"/>
  <c r="J2614" i="1"/>
  <c r="I2614" i="1"/>
  <c r="H2614" i="1"/>
  <c r="G2614" i="1"/>
  <c r="M2613" i="1"/>
  <c r="L2613" i="1"/>
  <c r="K2613" i="1"/>
  <c r="J2613" i="1"/>
  <c r="I2613" i="1"/>
  <c r="H2613" i="1"/>
  <c r="G2613" i="1"/>
  <c r="M2612" i="1"/>
  <c r="L2612" i="1"/>
  <c r="K2612" i="1"/>
  <c r="J2612" i="1"/>
  <c r="I2612" i="1"/>
  <c r="H2612" i="1"/>
  <c r="G2612" i="1"/>
  <c r="M2611" i="1"/>
  <c r="L2611" i="1"/>
  <c r="K2611" i="1"/>
  <c r="J2611" i="1"/>
  <c r="I2611" i="1"/>
  <c r="H2611" i="1"/>
  <c r="G2611" i="1"/>
  <c r="M2610" i="1"/>
  <c r="L2610" i="1"/>
  <c r="K2610" i="1"/>
  <c r="J2610" i="1"/>
  <c r="I2610" i="1"/>
  <c r="H2610" i="1"/>
  <c r="G2610" i="1"/>
  <c r="M2609" i="1"/>
  <c r="L2609" i="1"/>
  <c r="K2609" i="1"/>
  <c r="J2609" i="1"/>
  <c r="I2609" i="1"/>
  <c r="H2609" i="1"/>
  <c r="G2609" i="1"/>
  <c r="M2608" i="1"/>
  <c r="L2608" i="1"/>
  <c r="K2608" i="1"/>
  <c r="J2608" i="1"/>
  <c r="I2608" i="1"/>
  <c r="H2608" i="1"/>
  <c r="G2608" i="1"/>
  <c r="M2607" i="1"/>
  <c r="L2607" i="1"/>
  <c r="K2607" i="1"/>
  <c r="J2607" i="1"/>
  <c r="I2607" i="1"/>
  <c r="H2607" i="1"/>
  <c r="G2607" i="1"/>
  <c r="M2606" i="1"/>
  <c r="L2606" i="1"/>
  <c r="K2606" i="1"/>
  <c r="J2606" i="1"/>
  <c r="I2606" i="1"/>
  <c r="H2606" i="1"/>
  <c r="G2606" i="1"/>
  <c r="M2605" i="1"/>
  <c r="L2605" i="1"/>
  <c r="K2605" i="1"/>
  <c r="J2605" i="1"/>
  <c r="I2605" i="1"/>
  <c r="H2605" i="1"/>
  <c r="G2605" i="1"/>
  <c r="M2604" i="1"/>
  <c r="L2604" i="1"/>
  <c r="K2604" i="1"/>
  <c r="J2604" i="1"/>
  <c r="I2604" i="1"/>
  <c r="H2604" i="1"/>
  <c r="G2604" i="1"/>
  <c r="M2603" i="1"/>
  <c r="L2603" i="1"/>
  <c r="K2603" i="1"/>
  <c r="J2603" i="1"/>
  <c r="I2603" i="1"/>
  <c r="H2603" i="1"/>
  <c r="G2603" i="1"/>
  <c r="M2602" i="1"/>
  <c r="L2602" i="1"/>
  <c r="K2602" i="1"/>
  <c r="J2602" i="1"/>
  <c r="I2602" i="1"/>
  <c r="H2602" i="1"/>
  <c r="G2602" i="1"/>
  <c r="M2601" i="1"/>
  <c r="L2601" i="1"/>
  <c r="K2601" i="1"/>
  <c r="J2601" i="1"/>
  <c r="I2601" i="1"/>
  <c r="H2601" i="1"/>
  <c r="G2601" i="1"/>
  <c r="M2600" i="1"/>
  <c r="L2600" i="1"/>
  <c r="K2600" i="1"/>
  <c r="J2600" i="1"/>
  <c r="I2600" i="1"/>
  <c r="H2600" i="1"/>
  <c r="G2600" i="1"/>
  <c r="M2599" i="1"/>
  <c r="L2599" i="1"/>
  <c r="K2599" i="1"/>
  <c r="J2599" i="1"/>
  <c r="I2599" i="1"/>
  <c r="H2599" i="1"/>
  <c r="G2599" i="1"/>
  <c r="M2598" i="1"/>
  <c r="L2598" i="1"/>
  <c r="K2598" i="1"/>
  <c r="J2598" i="1"/>
  <c r="I2598" i="1"/>
  <c r="H2598" i="1"/>
  <c r="G2598" i="1"/>
  <c r="M2597" i="1"/>
  <c r="L2597" i="1"/>
  <c r="K2597" i="1"/>
  <c r="J2597" i="1"/>
  <c r="I2597" i="1"/>
  <c r="H2597" i="1"/>
  <c r="G2597" i="1"/>
  <c r="M2596" i="1"/>
  <c r="L2596" i="1"/>
  <c r="K2596" i="1"/>
  <c r="J2596" i="1"/>
  <c r="I2596" i="1"/>
  <c r="H2596" i="1"/>
  <c r="G2596" i="1"/>
  <c r="M2595" i="1"/>
  <c r="L2595" i="1"/>
  <c r="K2595" i="1"/>
  <c r="J2595" i="1"/>
  <c r="I2595" i="1"/>
  <c r="H2595" i="1"/>
  <c r="G2595" i="1"/>
  <c r="M2594" i="1"/>
  <c r="L2594" i="1"/>
  <c r="K2594" i="1"/>
  <c r="J2594" i="1"/>
  <c r="I2594" i="1"/>
  <c r="H2594" i="1"/>
  <c r="G2594" i="1"/>
  <c r="M2593" i="1"/>
  <c r="L2593" i="1"/>
  <c r="K2593" i="1"/>
  <c r="J2593" i="1"/>
  <c r="I2593" i="1"/>
  <c r="H2593" i="1"/>
  <c r="G2593" i="1"/>
  <c r="M2592" i="1"/>
  <c r="L2592" i="1"/>
  <c r="K2592" i="1"/>
  <c r="J2592" i="1"/>
  <c r="I2592" i="1"/>
  <c r="H2592" i="1"/>
  <c r="G2592" i="1"/>
  <c r="M2591" i="1"/>
  <c r="L2591" i="1"/>
  <c r="K2591" i="1"/>
  <c r="J2591" i="1"/>
  <c r="I2591" i="1"/>
  <c r="H2591" i="1"/>
  <c r="G2591" i="1"/>
  <c r="M2590" i="1"/>
  <c r="L2590" i="1"/>
  <c r="K2590" i="1"/>
  <c r="J2590" i="1"/>
  <c r="I2590" i="1"/>
  <c r="H2590" i="1"/>
  <c r="G2590" i="1"/>
  <c r="M2589" i="1"/>
  <c r="L2589" i="1"/>
  <c r="K2589" i="1"/>
  <c r="J2589" i="1"/>
  <c r="I2589" i="1"/>
  <c r="H2589" i="1"/>
  <c r="G2589" i="1"/>
  <c r="M2588" i="1"/>
  <c r="L2588" i="1"/>
  <c r="K2588" i="1"/>
  <c r="J2588" i="1"/>
  <c r="I2588" i="1"/>
  <c r="H2588" i="1"/>
  <c r="G2588" i="1"/>
  <c r="M2587" i="1"/>
  <c r="L2587" i="1"/>
  <c r="K2587" i="1"/>
  <c r="J2587" i="1"/>
  <c r="I2587" i="1"/>
  <c r="H2587" i="1"/>
  <c r="G2587" i="1"/>
  <c r="M2586" i="1"/>
  <c r="L2586" i="1"/>
  <c r="K2586" i="1"/>
  <c r="J2586" i="1"/>
  <c r="I2586" i="1"/>
  <c r="H2586" i="1"/>
  <c r="G2586" i="1"/>
  <c r="M2585" i="1"/>
  <c r="L2585" i="1"/>
  <c r="K2585" i="1"/>
  <c r="J2585" i="1"/>
  <c r="I2585" i="1"/>
  <c r="H2585" i="1"/>
  <c r="G2585" i="1"/>
  <c r="M2584" i="1"/>
  <c r="L2584" i="1"/>
  <c r="K2584" i="1"/>
  <c r="J2584" i="1"/>
  <c r="I2584" i="1"/>
  <c r="H2584" i="1"/>
  <c r="G2584" i="1"/>
  <c r="M2583" i="1"/>
  <c r="L2583" i="1"/>
  <c r="K2583" i="1"/>
  <c r="J2583" i="1"/>
  <c r="I2583" i="1"/>
  <c r="H2583" i="1"/>
  <c r="G2583" i="1"/>
  <c r="M2582" i="1"/>
  <c r="L2582" i="1"/>
  <c r="K2582" i="1"/>
  <c r="J2582" i="1"/>
  <c r="I2582" i="1"/>
  <c r="H2582" i="1"/>
  <c r="G2582" i="1"/>
  <c r="M2581" i="1"/>
  <c r="L2581" i="1"/>
  <c r="K2581" i="1"/>
  <c r="J2581" i="1"/>
  <c r="I2581" i="1"/>
  <c r="H2581" i="1"/>
  <c r="G2581" i="1"/>
  <c r="M2580" i="1"/>
  <c r="L2580" i="1"/>
  <c r="K2580" i="1"/>
  <c r="J2580" i="1"/>
  <c r="I2580" i="1"/>
  <c r="H2580" i="1"/>
  <c r="G2580" i="1"/>
  <c r="M2579" i="1"/>
  <c r="L2579" i="1"/>
  <c r="K2579" i="1"/>
  <c r="J2579" i="1"/>
  <c r="I2579" i="1"/>
  <c r="H2579" i="1"/>
  <c r="G2579" i="1"/>
  <c r="M2578" i="1"/>
  <c r="L2578" i="1"/>
  <c r="K2578" i="1"/>
  <c r="J2578" i="1"/>
  <c r="I2578" i="1"/>
  <c r="H2578" i="1"/>
  <c r="G2578" i="1"/>
  <c r="M2577" i="1"/>
  <c r="L2577" i="1"/>
  <c r="K2577" i="1"/>
  <c r="J2577" i="1"/>
  <c r="I2577" i="1"/>
  <c r="H2577" i="1"/>
  <c r="G2577" i="1"/>
  <c r="M2576" i="1"/>
  <c r="L2576" i="1"/>
  <c r="K2576" i="1"/>
  <c r="J2576" i="1"/>
  <c r="I2576" i="1"/>
  <c r="H2576" i="1"/>
  <c r="G2576" i="1"/>
  <c r="M2575" i="1"/>
  <c r="L2575" i="1"/>
  <c r="K2575" i="1"/>
  <c r="J2575" i="1"/>
  <c r="I2575" i="1"/>
  <c r="H2575" i="1"/>
  <c r="G2575" i="1"/>
  <c r="M2574" i="1"/>
  <c r="L2574" i="1"/>
  <c r="K2574" i="1"/>
  <c r="J2574" i="1"/>
  <c r="I2574" i="1"/>
  <c r="H2574" i="1"/>
  <c r="G2574" i="1"/>
  <c r="M2573" i="1"/>
  <c r="L2573" i="1"/>
  <c r="K2573" i="1"/>
  <c r="J2573" i="1"/>
  <c r="I2573" i="1"/>
  <c r="H2573" i="1"/>
  <c r="G2573" i="1"/>
  <c r="M2572" i="1"/>
  <c r="L2572" i="1"/>
  <c r="K2572" i="1"/>
  <c r="J2572" i="1"/>
  <c r="I2572" i="1"/>
  <c r="H2572" i="1"/>
  <c r="G2572" i="1"/>
  <c r="M2571" i="1"/>
  <c r="L2571" i="1"/>
  <c r="K2571" i="1"/>
  <c r="J2571" i="1"/>
  <c r="I2571" i="1"/>
  <c r="H2571" i="1"/>
  <c r="G2571" i="1"/>
  <c r="M2570" i="1"/>
  <c r="L2570" i="1"/>
  <c r="K2570" i="1"/>
  <c r="J2570" i="1"/>
  <c r="I2570" i="1"/>
  <c r="H2570" i="1"/>
  <c r="G2570" i="1"/>
  <c r="M2569" i="1"/>
  <c r="L2569" i="1"/>
  <c r="K2569" i="1"/>
  <c r="J2569" i="1"/>
  <c r="I2569" i="1"/>
  <c r="H2569" i="1"/>
  <c r="G2569" i="1"/>
  <c r="M2568" i="1"/>
  <c r="L2568" i="1"/>
  <c r="K2568" i="1"/>
  <c r="J2568" i="1"/>
  <c r="I2568" i="1"/>
  <c r="H2568" i="1"/>
  <c r="G2568" i="1"/>
  <c r="M2567" i="1"/>
  <c r="L2567" i="1"/>
  <c r="K2567" i="1"/>
  <c r="J2567" i="1"/>
  <c r="I2567" i="1"/>
  <c r="H2567" i="1"/>
  <c r="G2567" i="1"/>
  <c r="M2566" i="1"/>
  <c r="L2566" i="1"/>
  <c r="K2566" i="1"/>
  <c r="J2566" i="1"/>
  <c r="I2566" i="1"/>
  <c r="H2566" i="1"/>
  <c r="G2566" i="1"/>
  <c r="M2565" i="1"/>
  <c r="L2565" i="1"/>
  <c r="K2565" i="1"/>
  <c r="J2565" i="1"/>
  <c r="I2565" i="1"/>
  <c r="H2565" i="1"/>
  <c r="G2565" i="1"/>
  <c r="M2564" i="1"/>
  <c r="L2564" i="1"/>
  <c r="K2564" i="1"/>
  <c r="J2564" i="1"/>
  <c r="I2564" i="1"/>
  <c r="H2564" i="1"/>
  <c r="G2564" i="1"/>
  <c r="M2563" i="1"/>
  <c r="L2563" i="1"/>
  <c r="K2563" i="1"/>
  <c r="J2563" i="1"/>
  <c r="I2563" i="1"/>
  <c r="H2563" i="1"/>
  <c r="G2563" i="1"/>
  <c r="M2562" i="1"/>
  <c r="L2562" i="1"/>
  <c r="K2562" i="1"/>
  <c r="J2562" i="1"/>
  <c r="I2562" i="1"/>
  <c r="H2562" i="1"/>
  <c r="G2562" i="1"/>
  <c r="M2561" i="1"/>
  <c r="L2561" i="1"/>
  <c r="K2561" i="1"/>
  <c r="J2561" i="1"/>
  <c r="I2561" i="1"/>
  <c r="H2561" i="1"/>
  <c r="G2561" i="1"/>
  <c r="M2560" i="1"/>
  <c r="L2560" i="1"/>
  <c r="K2560" i="1"/>
  <c r="J2560" i="1"/>
  <c r="I2560" i="1"/>
  <c r="H2560" i="1"/>
  <c r="G2560" i="1"/>
  <c r="M2559" i="1"/>
  <c r="L2559" i="1"/>
  <c r="K2559" i="1"/>
  <c r="J2559" i="1"/>
  <c r="I2559" i="1"/>
  <c r="H2559" i="1"/>
  <c r="G2559" i="1"/>
  <c r="M2558" i="1"/>
  <c r="L2558" i="1"/>
  <c r="K2558" i="1"/>
  <c r="J2558" i="1"/>
  <c r="I2558" i="1"/>
  <c r="H2558" i="1"/>
  <c r="G2558" i="1"/>
  <c r="M2557" i="1"/>
  <c r="L2557" i="1"/>
  <c r="K2557" i="1"/>
  <c r="J2557" i="1"/>
  <c r="I2557" i="1"/>
  <c r="H2557" i="1"/>
  <c r="G2557" i="1"/>
  <c r="M2556" i="1"/>
  <c r="L2556" i="1"/>
  <c r="K2556" i="1"/>
  <c r="J2556" i="1"/>
  <c r="I2556" i="1"/>
  <c r="H2556" i="1"/>
  <c r="G2556" i="1"/>
  <c r="M2555" i="1"/>
  <c r="L2555" i="1"/>
  <c r="K2555" i="1"/>
  <c r="J2555" i="1"/>
  <c r="I2555" i="1"/>
  <c r="H2555" i="1"/>
  <c r="G2555" i="1"/>
  <c r="M2554" i="1"/>
  <c r="L2554" i="1"/>
  <c r="K2554" i="1"/>
  <c r="J2554" i="1"/>
  <c r="I2554" i="1"/>
  <c r="H2554" i="1"/>
  <c r="G2554" i="1"/>
  <c r="M2553" i="1"/>
  <c r="L2553" i="1"/>
  <c r="K2553" i="1"/>
  <c r="J2553" i="1"/>
  <c r="I2553" i="1"/>
  <c r="H2553" i="1"/>
  <c r="G2553" i="1"/>
  <c r="M2552" i="1"/>
  <c r="L2552" i="1"/>
  <c r="K2552" i="1"/>
  <c r="J2552" i="1"/>
  <c r="I2552" i="1"/>
  <c r="H2552" i="1"/>
  <c r="G2552" i="1"/>
  <c r="M2551" i="1"/>
  <c r="L2551" i="1"/>
  <c r="K2551" i="1"/>
  <c r="J2551" i="1"/>
  <c r="I2551" i="1"/>
  <c r="H2551" i="1"/>
  <c r="G2551" i="1"/>
  <c r="M2550" i="1"/>
  <c r="L2550" i="1"/>
  <c r="K2550" i="1"/>
  <c r="J2550" i="1"/>
  <c r="I2550" i="1"/>
  <c r="H2550" i="1"/>
  <c r="G2550" i="1"/>
  <c r="M2549" i="1"/>
  <c r="L2549" i="1"/>
  <c r="K2549" i="1"/>
  <c r="J2549" i="1"/>
  <c r="I2549" i="1"/>
  <c r="H2549" i="1"/>
  <c r="G2549" i="1"/>
  <c r="M2548" i="1"/>
  <c r="L2548" i="1"/>
  <c r="K2548" i="1"/>
  <c r="J2548" i="1"/>
  <c r="I2548" i="1"/>
  <c r="H2548" i="1"/>
  <c r="G2548" i="1"/>
  <c r="M2547" i="1"/>
  <c r="L2547" i="1"/>
  <c r="K2547" i="1"/>
  <c r="J2547" i="1"/>
  <c r="I2547" i="1"/>
  <c r="H2547" i="1"/>
  <c r="G2547" i="1"/>
  <c r="M2546" i="1"/>
  <c r="L2546" i="1"/>
  <c r="K2546" i="1"/>
  <c r="J2546" i="1"/>
  <c r="I2546" i="1"/>
  <c r="H2546" i="1"/>
  <c r="G2546" i="1"/>
  <c r="M2545" i="1"/>
  <c r="L2545" i="1"/>
  <c r="K2545" i="1"/>
  <c r="J2545" i="1"/>
  <c r="I2545" i="1"/>
  <c r="H2545" i="1"/>
  <c r="G2545" i="1"/>
  <c r="M2544" i="1"/>
  <c r="L2544" i="1"/>
  <c r="K2544" i="1"/>
  <c r="J2544" i="1"/>
  <c r="I2544" i="1"/>
  <c r="H2544" i="1"/>
  <c r="G2544" i="1"/>
  <c r="M2543" i="1"/>
  <c r="L2543" i="1"/>
  <c r="K2543" i="1"/>
  <c r="J2543" i="1"/>
  <c r="I2543" i="1"/>
  <c r="H2543" i="1"/>
  <c r="G2543" i="1"/>
  <c r="M2542" i="1"/>
  <c r="L2542" i="1"/>
  <c r="K2542" i="1"/>
  <c r="J2542" i="1"/>
  <c r="I2542" i="1"/>
  <c r="H2542" i="1"/>
  <c r="G2542" i="1"/>
  <c r="M2541" i="1"/>
  <c r="L2541" i="1"/>
  <c r="K2541" i="1"/>
  <c r="J2541" i="1"/>
  <c r="I2541" i="1"/>
  <c r="H2541" i="1"/>
  <c r="G2541" i="1"/>
  <c r="M2540" i="1"/>
  <c r="L2540" i="1"/>
  <c r="K2540" i="1"/>
  <c r="J2540" i="1"/>
  <c r="I2540" i="1"/>
  <c r="H2540" i="1"/>
  <c r="G2540" i="1"/>
  <c r="M2539" i="1"/>
  <c r="L2539" i="1"/>
  <c r="K2539" i="1"/>
  <c r="J2539" i="1"/>
  <c r="I2539" i="1"/>
  <c r="H2539" i="1"/>
  <c r="G2539" i="1"/>
  <c r="M2538" i="1"/>
  <c r="L2538" i="1"/>
  <c r="K2538" i="1"/>
  <c r="J2538" i="1"/>
  <c r="I2538" i="1"/>
  <c r="H2538" i="1"/>
  <c r="G2538" i="1"/>
  <c r="M2537" i="1"/>
  <c r="L2537" i="1"/>
  <c r="K2537" i="1"/>
  <c r="J2537" i="1"/>
  <c r="I2537" i="1"/>
  <c r="H2537" i="1"/>
  <c r="G2537" i="1"/>
  <c r="M2536" i="1"/>
  <c r="L2536" i="1"/>
  <c r="K2536" i="1"/>
  <c r="J2536" i="1"/>
  <c r="I2536" i="1"/>
  <c r="H2536" i="1"/>
  <c r="G2536" i="1"/>
  <c r="M2535" i="1"/>
  <c r="L2535" i="1"/>
  <c r="K2535" i="1"/>
  <c r="J2535" i="1"/>
  <c r="I2535" i="1"/>
  <c r="H2535" i="1"/>
  <c r="G2535" i="1"/>
  <c r="M2534" i="1"/>
  <c r="L2534" i="1"/>
  <c r="K2534" i="1"/>
  <c r="J2534" i="1"/>
  <c r="I2534" i="1"/>
  <c r="H2534" i="1"/>
  <c r="G2534" i="1"/>
  <c r="M2533" i="1"/>
  <c r="L2533" i="1"/>
  <c r="K2533" i="1"/>
  <c r="J2533" i="1"/>
  <c r="I2533" i="1"/>
  <c r="H2533" i="1"/>
  <c r="G2533" i="1"/>
  <c r="M2532" i="1"/>
  <c r="L2532" i="1"/>
  <c r="K2532" i="1"/>
  <c r="J2532" i="1"/>
  <c r="I2532" i="1"/>
  <c r="H2532" i="1"/>
  <c r="G2532" i="1"/>
  <c r="M2531" i="1"/>
  <c r="L2531" i="1"/>
  <c r="K2531" i="1"/>
  <c r="J2531" i="1"/>
  <c r="I2531" i="1"/>
  <c r="H2531" i="1"/>
  <c r="G2531" i="1"/>
  <c r="M2530" i="1"/>
  <c r="L2530" i="1"/>
  <c r="K2530" i="1"/>
  <c r="J2530" i="1"/>
  <c r="I2530" i="1"/>
  <c r="H2530" i="1"/>
  <c r="G2530" i="1"/>
  <c r="M2529" i="1"/>
  <c r="L2529" i="1"/>
  <c r="K2529" i="1"/>
  <c r="J2529" i="1"/>
  <c r="I2529" i="1"/>
  <c r="H2529" i="1"/>
  <c r="G2529" i="1"/>
  <c r="M2528" i="1"/>
  <c r="L2528" i="1"/>
  <c r="K2528" i="1"/>
  <c r="J2528" i="1"/>
  <c r="I2528" i="1"/>
  <c r="H2528" i="1"/>
  <c r="G2528" i="1"/>
  <c r="M2527" i="1"/>
  <c r="L2527" i="1"/>
  <c r="K2527" i="1"/>
  <c r="J2527" i="1"/>
  <c r="I2527" i="1"/>
  <c r="H2527" i="1"/>
  <c r="G2527" i="1"/>
  <c r="M2526" i="1"/>
  <c r="L2526" i="1"/>
  <c r="K2526" i="1"/>
  <c r="J2526" i="1"/>
  <c r="I2526" i="1"/>
  <c r="H2526" i="1"/>
  <c r="G2526" i="1"/>
  <c r="M2525" i="1"/>
  <c r="L2525" i="1"/>
  <c r="K2525" i="1"/>
  <c r="J2525" i="1"/>
  <c r="I2525" i="1"/>
  <c r="H2525" i="1"/>
  <c r="G2525" i="1"/>
  <c r="M2524" i="1"/>
  <c r="L2524" i="1"/>
  <c r="K2524" i="1"/>
  <c r="J2524" i="1"/>
  <c r="I2524" i="1"/>
  <c r="H2524" i="1"/>
  <c r="G2524" i="1"/>
  <c r="M2523" i="1"/>
  <c r="L2523" i="1"/>
  <c r="K2523" i="1"/>
  <c r="J2523" i="1"/>
  <c r="I2523" i="1"/>
  <c r="H2523" i="1"/>
  <c r="G2523" i="1"/>
  <c r="M2522" i="1"/>
  <c r="L2522" i="1"/>
  <c r="K2522" i="1"/>
  <c r="J2522" i="1"/>
  <c r="I2522" i="1"/>
  <c r="H2522" i="1"/>
  <c r="G2522" i="1"/>
  <c r="M2521" i="1"/>
  <c r="L2521" i="1"/>
  <c r="K2521" i="1"/>
  <c r="J2521" i="1"/>
  <c r="I2521" i="1"/>
  <c r="H2521" i="1"/>
  <c r="G2521" i="1"/>
  <c r="M2520" i="1"/>
  <c r="L2520" i="1"/>
  <c r="K2520" i="1"/>
  <c r="J2520" i="1"/>
  <c r="I2520" i="1"/>
  <c r="H2520" i="1"/>
  <c r="G2520" i="1"/>
  <c r="M2519" i="1"/>
  <c r="L2519" i="1"/>
  <c r="K2519" i="1"/>
  <c r="J2519" i="1"/>
  <c r="I2519" i="1"/>
  <c r="H2519" i="1"/>
  <c r="G2519" i="1"/>
  <c r="M2518" i="1"/>
  <c r="L2518" i="1"/>
  <c r="K2518" i="1"/>
  <c r="J2518" i="1"/>
  <c r="I2518" i="1"/>
  <c r="H2518" i="1"/>
  <c r="G2518" i="1"/>
  <c r="M2517" i="1"/>
  <c r="L2517" i="1"/>
  <c r="K2517" i="1"/>
  <c r="J2517" i="1"/>
  <c r="I2517" i="1"/>
  <c r="H2517" i="1"/>
  <c r="G2517" i="1"/>
  <c r="M2516" i="1"/>
  <c r="L2516" i="1"/>
  <c r="K2516" i="1"/>
  <c r="J2516" i="1"/>
  <c r="I2516" i="1"/>
  <c r="H2516" i="1"/>
  <c r="G2516" i="1"/>
  <c r="M2515" i="1"/>
  <c r="L2515" i="1"/>
  <c r="K2515" i="1"/>
  <c r="J2515" i="1"/>
  <c r="I2515" i="1"/>
  <c r="H2515" i="1"/>
  <c r="G2515" i="1"/>
  <c r="M2514" i="1"/>
  <c r="L2514" i="1"/>
  <c r="K2514" i="1"/>
  <c r="J2514" i="1"/>
  <c r="I2514" i="1"/>
  <c r="H2514" i="1"/>
  <c r="G2514" i="1"/>
  <c r="M2513" i="1"/>
  <c r="L2513" i="1"/>
  <c r="K2513" i="1"/>
  <c r="J2513" i="1"/>
  <c r="I2513" i="1"/>
  <c r="H2513" i="1"/>
  <c r="G2513" i="1"/>
  <c r="M2512" i="1"/>
  <c r="L2512" i="1"/>
  <c r="K2512" i="1"/>
  <c r="J2512" i="1"/>
  <c r="I2512" i="1"/>
  <c r="H2512" i="1"/>
  <c r="G2512" i="1"/>
  <c r="M2511" i="1"/>
  <c r="L2511" i="1"/>
  <c r="K2511" i="1"/>
  <c r="J2511" i="1"/>
  <c r="I2511" i="1"/>
  <c r="H2511" i="1"/>
  <c r="G2511" i="1"/>
  <c r="M2510" i="1"/>
  <c r="L2510" i="1"/>
  <c r="K2510" i="1"/>
  <c r="J2510" i="1"/>
  <c r="I2510" i="1"/>
  <c r="H2510" i="1"/>
  <c r="G2510" i="1"/>
  <c r="M2509" i="1"/>
  <c r="L2509" i="1"/>
  <c r="K2509" i="1"/>
  <c r="J2509" i="1"/>
  <c r="I2509" i="1"/>
  <c r="H2509" i="1"/>
  <c r="G2509" i="1"/>
  <c r="M2508" i="1"/>
  <c r="L2508" i="1"/>
  <c r="K2508" i="1"/>
  <c r="J2508" i="1"/>
  <c r="I2508" i="1"/>
  <c r="H2508" i="1"/>
  <c r="G2508" i="1"/>
  <c r="M2507" i="1"/>
  <c r="L2507" i="1"/>
  <c r="K2507" i="1"/>
  <c r="J2507" i="1"/>
  <c r="I2507" i="1"/>
  <c r="H2507" i="1"/>
  <c r="G2507" i="1"/>
  <c r="M2506" i="1"/>
  <c r="L2506" i="1"/>
  <c r="K2506" i="1"/>
  <c r="J2506" i="1"/>
  <c r="I2506" i="1"/>
  <c r="H2506" i="1"/>
  <c r="G2506" i="1"/>
  <c r="M2505" i="1"/>
  <c r="L2505" i="1"/>
  <c r="K2505" i="1"/>
  <c r="J2505" i="1"/>
  <c r="I2505" i="1"/>
  <c r="H2505" i="1"/>
  <c r="G2505" i="1"/>
  <c r="M2504" i="1"/>
  <c r="L2504" i="1"/>
  <c r="K2504" i="1"/>
  <c r="J2504" i="1"/>
  <c r="I2504" i="1"/>
  <c r="H2504" i="1"/>
  <c r="G2504" i="1"/>
  <c r="M2503" i="1"/>
  <c r="L2503" i="1"/>
  <c r="K2503" i="1"/>
  <c r="J2503" i="1"/>
  <c r="I2503" i="1"/>
  <c r="H2503" i="1"/>
  <c r="G2503" i="1"/>
  <c r="M2502" i="1"/>
  <c r="L2502" i="1"/>
  <c r="K2502" i="1"/>
  <c r="J2502" i="1"/>
  <c r="I2502" i="1"/>
  <c r="H2502" i="1"/>
  <c r="G2502" i="1"/>
  <c r="M2501" i="1"/>
  <c r="L2501" i="1"/>
  <c r="K2501" i="1"/>
  <c r="J2501" i="1"/>
  <c r="I2501" i="1"/>
  <c r="H2501" i="1"/>
  <c r="G2501" i="1"/>
  <c r="M2500" i="1"/>
  <c r="L2500" i="1"/>
  <c r="K2500" i="1"/>
  <c r="J2500" i="1"/>
  <c r="I2500" i="1"/>
  <c r="H2500" i="1"/>
  <c r="G2500" i="1"/>
  <c r="M2499" i="1"/>
  <c r="L2499" i="1"/>
  <c r="K2499" i="1"/>
  <c r="J2499" i="1"/>
  <c r="I2499" i="1"/>
  <c r="H2499" i="1"/>
  <c r="G2499" i="1"/>
  <c r="M2498" i="1"/>
  <c r="L2498" i="1"/>
  <c r="K2498" i="1"/>
  <c r="J2498" i="1"/>
  <c r="I2498" i="1"/>
  <c r="H2498" i="1"/>
  <c r="G2498" i="1"/>
  <c r="M2497" i="1"/>
  <c r="L2497" i="1"/>
  <c r="K2497" i="1"/>
  <c r="J2497" i="1"/>
  <c r="I2497" i="1"/>
  <c r="H2497" i="1"/>
  <c r="G2497" i="1"/>
  <c r="M2496" i="1"/>
  <c r="L2496" i="1"/>
  <c r="K2496" i="1"/>
  <c r="J2496" i="1"/>
  <c r="I2496" i="1"/>
  <c r="H2496" i="1"/>
  <c r="G2496" i="1"/>
  <c r="M2495" i="1"/>
  <c r="L2495" i="1"/>
  <c r="K2495" i="1"/>
  <c r="J2495" i="1"/>
  <c r="I2495" i="1"/>
  <c r="H2495" i="1"/>
  <c r="G2495" i="1"/>
  <c r="M2494" i="1"/>
  <c r="L2494" i="1"/>
  <c r="K2494" i="1"/>
  <c r="J2494" i="1"/>
  <c r="I2494" i="1"/>
  <c r="H2494" i="1"/>
  <c r="G2494" i="1"/>
  <c r="M2493" i="1"/>
  <c r="L2493" i="1"/>
  <c r="K2493" i="1"/>
  <c r="J2493" i="1"/>
  <c r="I2493" i="1"/>
  <c r="H2493" i="1"/>
  <c r="G2493" i="1"/>
  <c r="M2492" i="1"/>
  <c r="L2492" i="1"/>
  <c r="K2492" i="1"/>
  <c r="J2492" i="1"/>
  <c r="I2492" i="1"/>
  <c r="H2492" i="1"/>
  <c r="G2492" i="1"/>
  <c r="M2491" i="1"/>
  <c r="L2491" i="1"/>
  <c r="K2491" i="1"/>
  <c r="J2491" i="1"/>
  <c r="I2491" i="1"/>
  <c r="H2491" i="1"/>
  <c r="G2491" i="1"/>
  <c r="M2490" i="1"/>
  <c r="L2490" i="1"/>
  <c r="K2490" i="1"/>
  <c r="J2490" i="1"/>
  <c r="I2490" i="1"/>
  <c r="H2490" i="1"/>
  <c r="G2490" i="1"/>
  <c r="M2489" i="1"/>
  <c r="L2489" i="1"/>
  <c r="K2489" i="1"/>
  <c r="J2489" i="1"/>
  <c r="I2489" i="1"/>
  <c r="H2489" i="1"/>
  <c r="G2489" i="1"/>
  <c r="M2488" i="1"/>
  <c r="L2488" i="1"/>
  <c r="K2488" i="1"/>
  <c r="J2488" i="1"/>
  <c r="I2488" i="1"/>
  <c r="H2488" i="1"/>
  <c r="G2488" i="1"/>
  <c r="M2487" i="1"/>
  <c r="L2487" i="1"/>
  <c r="K2487" i="1"/>
  <c r="J2487" i="1"/>
  <c r="I2487" i="1"/>
  <c r="H2487" i="1"/>
  <c r="G2487" i="1"/>
  <c r="M2486" i="1"/>
  <c r="L2486" i="1"/>
  <c r="K2486" i="1"/>
  <c r="J2486" i="1"/>
  <c r="I2486" i="1"/>
  <c r="H2486" i="1"/>
  <c r="G2486" i="1"/>
  <c r="M2485" i="1"/>
  <c r="L2485" i="1"/>
  <c r="K2485" i="1"/>
  <c r="J2485" i="1"/>
  <c r="I2485" i="1"/>
  <c r="H2485" i="1"/>
  <c r="G2485" i="1"/>
  <c r="M2484" i="1"/>
  <c r="L2484" i="1"/>
  <c r="K2484" i="1"/>
  <c r="J2484" i="1"/>
  <c r="I2484" i="1"/>
  <c r="H2484" i="1"/>
  <c r="G2484" i="1"/>
  <c r="M2483" i="1"/>
  <c r="L2483" i="1"/>
  <c r="K2483" i="1"/>
  <c r="J2483" i="1"/>
  <c r="I2483" i="1"/>
  <c r="H2483" i="1"/>
  <c r="G2483" i="1"/>
  <c r="M2482" i="1"/>
  <c r="L2482" i="1"/>
  <c r="K2482" i="1"/>
  <c r="J2482" i="1"/>
  <c r="I2482" i="1"/>
  <c r="H2482" i="1"/>
  <c r="G2482" i="1"/>
  <c r="M2481" i="1"/>
  <c r="L2481" i="1"/>
  <c r="K2481" i="1"/>
  <c r="J2481" i="1"/>
  <c r="I2481" i="1"/>
  <c r="H2481" i="1"/>
  <c r="G2481" i="1"/>
  <c r="M2480" i="1"/>
  <c r="L2480" i="1"/>
  <c r="K2480" i="1"/>
  <c r="J2480" i="1"/>
  <c r="I2480" i="1"/>
  <c r="H2480" i="1"/>
  <c r="G2480" i="1"/>
  <c r="M2479" i="1"/>
  <c r="L2479" i="1"/>
  <c r="K2479" i="1"/>
  <c r="J2479" i="1"/>
  <c r="I2479" i="1"/>
  <c r="H2479" i="1"/>
  <c r="G2479" i="1"/>
  <c r="M2478" i="1"/>
  <c r="L2478" i="1"/>
  <c r="K2478" i="1"/>
  <c r="J2478" i="1"/>
  <c r="I2478" i="1"/>
  <c r="H2478" i="1"/>
  <c r="G2478" i="1"/>
  <c r="M2477" i="1"/>
  <c r="L2477" i="1"/>
  <c r="K2477" i="1"/>
  <c r="J2477" i="1"/>
  <c r="I2477" i="1"/>
  <c r="H2477" i="1"/>
  <c r="G2477" i="1"/>
  <c r="M2476" i="1"/>
  <c r="L2476" i="1"/>
  <c r="K2476" i="1"/>
  <c r="J2476" i="1"/>
  <c r="I2476" i="1"/>
  <c r="H2476" i="1"/>
  <c r="G2476" i="1"/>
  <c r="M2475" i="1"/>
  <c r="L2475" i="1"/>
  <c r="K2475" i="1"/>
  <c r="J2475" i="1"/>
  <c r="I2475" i="1"/>
  <c r="H2475" i="1"/>
  <c r="G2475" i="1"/>
  <c r="M2474" i="1"/>
  <c r="L2474" i="1"/>
  <c r="K2474" i="1"/>
  <c r="J2474" i="1"/>
  <c r="I2474" i="1"/>
  <c r="H2474" i="1"/>
  <c r="G2474" i="1"/>
  <c r="M2473" i="1"/>
  <c r="L2473" i="1"/>
  <c r="K2473" i="1"/>
  <c r="J2473" i="1"/>
  <c r="I2473" i="1"/>
  <c r="H2473" i="1"/>
  <c r="G2473" i="1"/>
  <c r="M2472" i="1"/>
  <c r="L2472" i="1"/>
  <c r="K2472" i="1"/>
  <c r="J2472" i="1"/>
  <c r="I2472" i="1"/>
  <c r="H2472" i="1"/>
  <c r="G2472" i="1"/>
  <c r="M2471" i="1"/>
  <c r="L2471" i="1"/>
  <c r="K2471" i="1"/>
  <c r="J2471" i="1"/>
  <c r="I2471" i="1"/>
  <c r="H2471" i="1"/>
  <c r="G2471" i="1"/>
  <c r="M2470" i="1"/>
  <c r="L2470" i="1"/>
  <c r="K2470" i="1"/>
  <c r="J2470" i="1"/>
  <c r="I2470" i="1"/>
  <c r="H2470" i="1"/>
  <c r="G2470" i="1"/>
  <c r="M2469" i="1"/>
  <c r="L2469" i="1"/>
  <c r="K2469" i="1"/>
  <c r="J2469" i="1"/>
  <c r="I2469" i="1"/>
  <c r="H2469" i="1"/>
  <c r="G2469" i="1"/>
  <c r="M2468" i="1"/>
  <c r="L2468" i="1"/>
  <c r="K2468" i="1"/>
  <c r="J2468" i="1"/>
  <c r="I2468" i="1"/>
  <c r="H2468" i="1"/>
  <c r="G2468" i="1"/>
  <c r="M2467" i="1"/>
  <c r="L2467" i="1"/>
  <c r="K2467" i="1"/>
  <c r="J2467" i="1"/>
  <c r="I2467" i="1"/>
  <c r="H2467" i="1"/>
  <c r="G2467" i="1"/>
  <c r="M2466" i="1"/>
  <c r="L2466" i="1"/>
  <c r="K2466" i="1"/>
  <c r="J2466" i="1"/>
  <c r="I2466" i="1"/>
  <c r="H2466" i="1"/>
  <c r="G2466" i="1"/>
  <c r="M2465" i="1"/>
  <c r="L2465" i="1"/>
  <c r="K2465" i="1"/>
  <c r="J2465" i="1"/>
  <c r="I2465" i="1"/>
  <c r="H2465" i="1"/>
  <c r="G2465" i="1"/>
  <c r="M2464" i="1"/>
  <c r="L2464" i="1"/>
  <c r="K2464" i="1"/>
  <c r="J2464" i="1"/>
  <c r="I2464" i="1"/>
  <c r="H2464" i="1"/>
  <c r="G2464" i="1"/>
  <c r="M2463" i="1"/>
  <c r="L2463" i="1"/>
  <c r="K2463" i="1"/>
  <c r="J2463" i="1"/>
  <c r="I2463" i="1"/>
  <c r="H2463" i="1"/>
  <c r="G2463" i="1"/>
  <c r="M2462" i="1"/>
  <c r="L2462" i="1"/>
  <c r="K2462" i="1"/>
  <c r="J2462" i="1"/>
  <c r="I2462" i="1"/>
  <c r="H2462" i="1"/>
  <c r="G2462" i="1"/>
  <c r="M2461" i="1"/>
  <c r="L2461" i="1"/>
  <c r="K2461" i="1"/>
  <c r="J2461" i="1"/>
  <c r="I2461" i="1"/>
  <c r="H2461" i="1"/>
  <c r="G2461" i="1"/>
  <c r="M2460" i="1"/>
  <c r="L2460" i="1"/>
  <c r="K2460" i="1"/>
  <c r="J2460" i="1"/>
  <c r="I2460" i="1"/>
  <c r="H2460" i="1"/>
  <c r="G2460" i="1"/>
  <c r="M2459" i="1"/>
  <c r="L2459" i="1"/>
  <c r="K2459" i="1"/>
  <c r="J2459" i="1"/>
  <c r="I2459" i="1"/>
  <c r="H2459" i="1"/>
  <c r="G2459" i="1"/>
  <c r="M2458" i="1"/>
  <c r="L2458" i="1"/>
  <c r="K2458" i="1"/>
  <c r="J2458" i="1"/>
  <c r="I2458" i="1"/>
  <c r="H2458" i="1"/>
  <c r="G2458" i="1"/>
  <c r="M2457" i="1"/>
  <c r="L2457" i="1"/>
  <c r="K2457" i="1"/>
  <c r="J2457" i="1"/>
  <c r="I2457" i="1"/>
  <c r="H2457" i="1"/>
  <c r="G2457" i="1"/>
  <c r="M2456" i="1"/>
  <c r="L2456" i="1"/>
  <c r="K2456" i="1"/>
  <c r="J2456" i="1"/>
  <c r="I2456" i="1"/>
  <c r="H2456" i="1"/>
  <c r="G2456" i="1"/>
  <c r="M2455" i="1"/>
  <c r="L2455" i="1"/>
  <c r="K2455" i="1"/>
  <c r="J2455" i="1"/>
  <c r="I2455" i="1"/>
  <c r="H2455" i="1"/>
  <c r="G2455" i="1"/>
  <c r="M2454" i="1"/>
  <c r="L2454" i="1"/>
  <c r="K2454" i="1"/>
  <c r="J2454" i="1"/>
  <c r="I2454" i="1"/>
  <c r="H2454" i="1"/>
  <c r="G2454" i="1"/>
  <c r="M2453" i="1"/>
  <c r="L2453" i="1"/>
  <c r="K2453" i="1"/>
  <c r="J2453" i="1"/>
  <c r="I2453" i="1"/>
  <c r="H2453" i="1"/>
  <c r="G2453" i="1"/>
  <c r="M2452" i="1"/>
  <c r="L2452" i="1"/>
  <c r="K2452" i="1"/>
  <c r="J2452" i="1"/>
  <c r="I2452" i="1"/>
  <c r="H2452" i="1"/>
  <c r="G2452" i="1"/>
  <c r="M2451" i="1"/>
  <c r="L2451" i="1"/>
  <c r="K2451" i="1"/>
  <c r="J2451" i="1"/>
  <c r="I2451" i="1"/>
  <c r="H2451" i="1"/>
  <c r="G2451" i="1"/>
  <c r="M2450" i="1"/>
  <c r="L2450" i="1"/>
  <c r="K2450" i="1"/>
  <c r="J2450" i="1"/>
  <c r="I2450" i="1"/>
  <c r="H2450" i="1"/>
  <c r="G2450" i="1"/>
  <c r="M2449" i="1"/>
  <c r="L2449" i="1"/>
  <c r="K2449" i="1"/>
  <c r="J2449" i="1"/>
  <c r="I2449" i="1"/>
  <c r="H2449" i="1"/>
  <c r="G2449" i="1"/>
  <c r="M2448" i="1"/>
  <c r="L2448" i="1"/>
  <c r="K2448" i="1"/>
  <c r="J2448" i="1"/>
  <c r="I2448" i="1"/>
  <c r="H2448" i="1"/>
  <c r="G2448" i="1"/>
  <c r="M2447" i="1"/>
  <c r="L2447" i="1"/>
  <c r="K2447" i="1"/>
  <c r="J2447" i="1"/>
  <c r="I2447" i="1"/>
  <c r="H2447" i="1"/>
  <c r="G2447" i="1"/>
  <c r="M2446" i="1"/>
  <c r="L2446" i="1"/>
  <c r="K2446" i="1"/>
  <c r="J2446" i="1"/>
  <c r="I2446" i="1"/>
  <c r="H2446" i="1"/>
  <c r="G2446" i="1"/>
  <c r="M2445" i="1"/>
  <c r="L2445" i="1"/>
  <c r="K2445" i="1"/>
  <c r="J2445" i="1"/>
  <c r="I2445" i="1"/>
  <c r="H2445" i="1"/>
  <c r="G2445" i="1"/>
  <c r="M2444" i="1"/>
  <c r="L2444" i="1"/>
  <c r="K2444" i="1"/>
  <c r="J2444" i="1"/>
  <c r="I2444" i="1"/>
  <c r="H2444" i="1"/>
  <c r="G2444" i="1"/>
  <c r="M2443" i="1"/>
  <c r="L2443" i="1"/>
  <c r="K2443" i="1"/>
  <c r="J2443" i="1"/>
  <c r="I2443" i="1"/>
  <c r="H2443" i="1"/>
  <c r="G2443" i="1"/>
  <c r="M2442" i="1"/>
  <c r="L2442" i="1"/>
  <c r="K2442" i="1"/>
  <c r="J2442" i="1"/>
  <c r="I2442" i="1"/>
  <c r="H2442" i="1"/>
  <c r="G2442" i="1"/>
  <c r="M2441" i="1"/>
  <c r="L2441" i="1"/>
  <c r="K2441" i="1"/>
  <c r="J2441" i="1"/>
  <c r="I2441" i="1"/>
  <c r="H2441" i="1"/>
  <c r="G2441" i="1"/>
  <c r="M2440" i="1"/>
  <c r="L2440" i="1"/>
  <c r="K2440" i="1"/>
  <c r="J2440" i="1"/>
  <c r="I2440" i="1"/>
  <c r="H2440" i="1"/>
  <c r="G2440" i="1"/>
  <c r="M2439" i="1"/>
  <c r="L2439" i="1"/>
  <c r="K2439" i="1"/>
  <c r="J2439" i="1"/>
  <c r="I2439" i="1"/>
  <c r="H2439" i="1"/>
  <c r="G2439" i="1"/>
  <c r="M2438" i="1"/>
  <c r="L2438" i="1"/>
  <c r="K2438" i="1"/>
  <c r="J2438" i="1"/>
  <c r="I2438" i="1"/>
  <c r="H2438" i="1"/>
  <c r="G2438" i="1"/>
  <c r="M2437" i="1"/>
  <c r="L2437" i="1"/>
  <c r="K2437" i="1"/>
  <c r="J2437" i="1"/>
  <c r="I2437" i="1"/>
  <c r="H2437" i="1"/>
  <c r="G2437" i="1"/>
  <c r="M2436" i="1"/>
  <c r="L2436" i="1"/>
  <c r="K2436" i="1"/>
  <c r="J2436" i="1"/>
  <c r="I2436" i="1"/>
  <c r="H2436" i="1"/>
  <c r="G2436" i="1"/>
  <c r="M2435" i="1"/>
  <c r="L2435" i="1"/>
  <c r="K2435" i="1"/>
  <c r="J2435" i="1"/>
  <c r="I2435" i="1"/>
  <c r="H2435" i="1"/>
  <c r="G2435" i="1"/>
  <c r="M2434" i="1"/>
  <c r="L2434" i="1"/>
  <c r="K2434" i="1"/>
  <c r="J2434" i="1"/>
  <c r="I2434" i="1"/>
  <c r="H2434" i="1"/>
  <c r="G2434" i="1"/>
  <c r="M2433" i="1"/>
  <c r="L2433" i="1"/>
  <c r="K2433" i="1"/>
  <c r="J2433" i="1"/>
  <c r="I2433" i="1"/>
  <c r="H2433" i="1"/>
  <c r="G2433" i="1"/>
  <c r="M2432" i="1"/>
  <c r="L2432" i="1"/>
  <c r="K2432" i="1"/>
  <c r="J2432" i="1"/>
  <c r="I2432" i="1"/>
  <c r="H2432" i="1"/>
  <c r="G2432" i="1"/>
  <c r="M2431" i="1"/>
  <c r="L2431" i="1"/>
  <c r="K2431" i="1"/>
  <c r="J2431" i="1"/>
  <c r="I2431" i="1"/>
  <c r="H2431" i="1"/>
  <c r="G2431" i="1"/>
  <c r="M2430" i="1"/>
  <c r="L2430" i="1"/>
  <c r="K2430" i="1"/>
  <c r="J2430" i="1"/>
  <c r="I2430" i="1"/>
  <c r="H2430" i="1"/>
  <c r="G2430" i="1"/>
  <c r="M2429" i="1"/>
  <c r="L2429" i="1"/>
  <c r="K2429" i="1"/>
  <c r="J2429" i="1"/>
  <c r="I2429" i="1"/>
  <c r="H2429" i="1"/>
  <c r="G2429" i="1"/>
  <c r="M2428" i="1"/>
  <c r="L2428" i="1"/>
  <c r="K2428" i="1"/>
  <c r="J2428" i="1"/>
  <c r="I2428" i="1"/>
  <c r="H2428" i="1"/>
  <c r="G2428" i="1"/>
  <c r="M2427" i="1"/>
  <c r="L2427" i="1"/>
  <c r="K2427" i="1"/>
  <c r="J2427" i="1"/>
  <c r="I2427" i="1"/>
  <c r="H2427" i="1"/>
  <c r="G2427" i="1"/>
  <c r="M2426" i="1"/>
  <c r="L2426" i="1"/>
  <c r="K2426" i="1"/>
  <c r="J2426" i="1"/>
  <c r="I2426" i="1"/>
  <c r="H2426" i="1"/>
  <c r="G2426" i="1"/>
  <c r="M2425" i="1"/>
  <c r="L2425" i="1"/>
  <c r="K2425" i="1"/>
  <c r="J2425" i="1"/>
  <c r="I2425" i="1"/>
  <c r="H2425" i="1"/>
  <c r="G2425" i="1"/>
  <c r="M2424" i="1"/>
  <c r="L2424" i="1"/>
  <c r="K2424" i="1"/>
  <c r="J2424" i="1"/>
  <c r="I2424" i="1"/>
  <c r="H2424" i="1"/>
  <c r="G2424" i="1"/>
  <c r="M2423" i="1"/>
  <c r="L2423" i="1"/>
  <c r="K2423" i="1"/>
  <c r="J2423" i="1"/>
  <c r="I2423" i="1"/>
  <c r="H2423" i="1"/>
  <c r="G2423" i="1"/>
  <c r="M2422" i="1"/>
  <c r="L2422" i="1"/>
  <c r="K2422" i="1"/>
  <c r="J2422" i="1"/>
  <c r="I2422" i="1"/>
  <c r="H2422" i="1"/>
  <c r="G2422" i="1"/>
  <c r="M2421" i="1"/>
  <c r="L2421" i="1"/>
  <c r="K2421" i="1"/>
  <c r="J2421" i="1"/>
  <c r="I2421" i="1"/>
  <c r="H2421" i="1"/>
  <c r="G2421" i="1"/>
  <c r="M2420" i="1"/>
  <c r="L2420" i="1"/>
  <c r="K2420" i="1"/>
  <c r="J2420" i="1"/>
  <c r="I2420" i="1"/>
  <c r="H2420" i="1"/>
  <c r="G2420" i="1"/>
  <c r="M2419" i="1"/>
  <c r="L2419" i="1"/>
  <c r="K2419" i="1"/>
  <c r="J2419" i="1"/>
  <c r="I2419" i="1"/>
  <c r="H2419" i="1"/>
  <c r="G2419" i="1"/>
  <c r="M2418" i="1"/>
  <c r="L2418" i="1"/>
  <c r="K2418" i="1"/>
  <c r="J2418" i="1"/>
  <c r="I2418" i="1"/>
  <c r="H2418" i="1"/>
  <c r="G2418" i="1"/>
  <c r="M2417" i="1"/>
  <c r="L2417" i="1"/>
  <c r="K2417" i="1"/>
  <c r="J2417" i="1"/>
  <c r="I2417" i="1"/>
  <c r="H2417" i="1"/>
  <c r="G2417" i="1"/>
  <c r="M2416" i="1"/>
  <c r="L2416" i="1"/>
  <c r="K2416" i="1"/>
  <c r="J2416" i="1"/>
  <c r="I2416" i="1"/>
  <c r="H2416" i="1"/>
  <c r="G2416" i="1"/>
  <c r="M2415" i="1"/>
  <c r="L2415" i="1"/>
  <c r="K2415" i="1"/>
  <c r="J2415" i="1"/>
  <c r="I2415" i="1"/>
  <c r="H2415" i="1"/>
  <c r="G2415" i="1"/>
  <c r="M2414" i="1"/>
  <c r="L2414" i="1"/>
  <c r="K2414" i="1"/>
  <c r="J2414" i="1"/>
  <c r="I2414" i="1"/>
  <c r="H2414" i="1"/>
  <c r="G2414" i="1"/>
  <c r="M2413" i="1"/>
  <c r="L2413" i="1"/>
  <c r="K2413" i="1"/>
  <c r="J2413" i="1"/>
  <c r="I2413" i="1"/>
  <c r="H2413" i="1"/>
  <c r="G2413" i="1"/>
  <c r="M2412" i="1"/>
  <c r="L2412" i="1"/>
  <c r="K2412" i="1"/>
  <c r="J2412" i="1"/>
  <c r="I2412" i="1"/>
  <c r="H2412" i="1"/>
  <c r="G2412" i="1"/>
  <c r="M2411" i="1"/>
  <c r="L2411" i="1"/>
  <c r="K2411" i="1"/>
  <c r="J2411" i="1"/>
  <c r="I2411" i="1"/>
  <c r="H2411" i="1"/>
  <c r="G2411" i="1"/>
  <c r="M2410" i="1"/>
  <c r="L2410" i="1"/>
  <c r="K2410" i="1"/>
  <c r="J2410" i="1"/>
  <c r="I2410" i="1"/>
  <c r="H2410" i="1"/>
  <c r="G2410" i="1"/>
  <c r="M2409" i="1"/>
  <c r="L2409" i="1"/>
  <c r="K2409" i="1"/>
  <c r="J2409" i="1"/>
  <c r="I2409" i="1"/>
  <c r="H2409" i="1"/>
  <c r="G2409" i="1"/>
  <c r="M2408" i="1"/>
  <c r="L2408" i="1"/>
  <c r="K2408" i="1"/>
  <c r="J2408" i="1"/>
  <c r="I2408" i="1"/>
  <c r="H2408" i="1"/>
  <c r="G2408" i="1"/>
  <c r="M2407" i="1"/>
  <c r="L2407" i="1"/>
  <c r="K2407" i="1"/>
  <c r="J2407" i="1"/>
  <c r="I2407" i="1"/>
  <c r="H2407" i="1"/>
  <c r="G2407" i="1"/>
  <c r="M2406" i="1"/>
  <c r="L2406" i="1"/>
  <c r="K2406" i="1"/>
  <c r="J2406" i="1"/>
  <c r="I2406" i="1"/>
  <c r="H2406" i="1"/>
  <c r="G2406" i="1"/>
  <c r="M2405" i="1"/>
  <c r="L2405" i="1"/>
  <c r="K2405" i="1"/>
  <c r="J2405" i="1"/>
  <c r="I2405" i="1"/>
  <c r="H2405" i="1"/>
  <c r="G2405" i="1"/>
  <c r="M2404" i="1"/>
  <c r="L2404" i="1"/>
  <c r="K2404" i="1"/>
  <c r="J2404" i="1"/>
  <c r="I2404" i="1"/>
  <c r="H2404" i="1"/>
  <c r="G2404" i="1"/>
  <c r="M2403" i="1"/>
  <c r="L2403" i="1"/>
  <c r="K2403" i="1"/>
  <c r="J2403" i="1"/>
  <c r="I2403" i="1"/>
  <c r="H2403" i="1"/>
  <c r="G2403" i="1"/>
  <c r="M2402" i="1"/>
  <c r="L2402" i="1"/>
  <c r="K2402" i="1"/>
  <c r="J2402" i="1"/>
  <c r="I2402" i="1"/>
  <c r="H2402" i="1"/>
  <c r="G2402" i="1"/>
  <c r="M2401" i="1"/>
  <c r="L2401" i="1"/>
  <c r="K2401" i="1"/>
  <c r="J2401" i="1"/>
  <c r="I2401" i="1"/>
  <c r="H2401" i="1"/>
  <c r="G2401" i="1"/>
  <c r="M2400" i="1"/>
  <c r="L2400" i="1"/>
  <c r="K2400" i="1"/>
  <c r="J2400" i="1"/>
  <c r="I2400" i="1"/>
  <c r="H2400" i="1"/>
  <c r="G2400" i="1"/>
  <c r="M2399" i="1"/>
  <c r="L2399" i="1"/>
  <c r="K2399" i="1"/>
  <c r="J2399" i="1"/>
  <c r="I2399" i="1"/>
  <c r="H2399" i="1"/>
  <c r="G2399" i="1"/>
  <c r="M2398" i="1"/>
  <c r="L2398" i="1"/>
  <c r="K2398" i="1"/>
  <c r="J2398" i="1"/>
  <c r="I2398" i="1"/>
  <c r="H2398" i="1"/>
  <c r="G2398" i="1"/>
  <c r="M2397" i="1"/>
  <c r="L2397" i="1"/>
  <c r="K2397" i="1"/>
  <c r="J2397" i="1"/>
  <c r="I2397" i="1"/>
  <c r="H2397" i="1"/>
  <c r="G2397" i="1"/>
  <c r="M2396" i="1"/>
  <c r="L2396" i="1"/>
  <c r="K2396" i="1"/>
  <c r="J2396" i="1"/>
  <c r="I2396" i="1"/>
  <c r="H2396" i="1"/>
  <c r="G2396" i="1"/>
  <c r="M2395" i="1"/>
  <c r="L2395" i="1"/>
  <c r="K2395" i="1"/>
  <c r="J2395" i="1"/>
  <c r="I2395" i="1"/>
  <c r="H2395" i="1"/>
  <c r="G2395" i="1"/>
  <c r="M2394" i="1"/>
  <c r="L2394" i="1"/>
  <c r="K2394" i="1"/>
  <c r="J2394" i="1"/>
  <c r="I2394" i="1"/>
  <c r="H2394" i="1"/>
  <c r="G2394" i="1"/>
  <c r="M2393" i="1"/>
  <c r="L2393" i="1"/>
  <c r="K2393" i="1"/>
  <c r="J2393" i="1"/>
  <c r="I2393" i="1"/>
  <c r="H2393" i="1"/>
  <c r="G2393" i="1"/>
  <c r="M2392" i="1"/>
  <c r="L2392" i="1"/>
  <c r="K2392" i="1"/>
  <c r="J2392" i="1"/>
  <c r="I2392" i="1"/>
  <c r="H2392" i="1"/>
  <c r="G2392" i="1"/>
  <c r="M2391" i="1"/>
  <c r="L2391" i="1"/>
  <c r="K2391" i="1"/>
  <c r="J2391" i="1"/>
  <c r="I2391" i="1"/>
  <c r="H2391" i="1"/>
  <c r="G2391" i="1"/>
  <c r="M2390" i="1"/>
  <c r="L2390" i="1"/>
  <c r="K2390" i="1"/>
  <c r="J2390" i="1"/>
  <c r="I2390" i="1"/>
  <c r="H2390" i="1"/>
  <c r="G2390" i="1"/>
  <c r="M2389" i="1"/>
  <c r="L2389" i="1"/>
  <c r="K2389" i="1"/>
  <c r="J2389" i="1"/>
  <c r="I2389" i="1"/>
  <c r="H2389" i="1"/>
  <c r="G2389" i="1"/>
  <c r="M2388" i="1"/>
  <c r="L2388" i="1"/>
  <c r="K2388" i="1"/>
  <c r="J2388" i="1"/>
  <c r="I2388" i="1"/>
  <c r="H2388" i="1"/>
  <c r="G2388" i="1"/>
  <c r="M2387" i="1"/>
  <c r="L2387" i="1"/>
  <c r="K2387" i="1"/>
  <c r="J2387" i="1"/>
  <c r="I2387" i="1"/>
  <c r="H2387" i="1"/>
  <c r="G2387" i="1"/>
  <c r="M2386" i="1"/>
  <c r="L2386" i="1"/>
  <c r="K2386" i="1"/>
  <c r="J2386" i="1"/>
  <c r="I2386" i="1"/>
  <c r="H2386" i="1"/>
  <c r="G2386" i="1"/>
  <c r="M2385" i="1"/>
  <c r="L2385" i="1"/>
  <c r="K2385" i="1"/>
  <c r="J2385" i="1"/>
  <c r="I2385" i="1"/>
  <c r="H2385" i="1"/>
  <c r="G2385" i="1"/>
  <c r="M2384" i="1"/>
  <c r="L2384" i="1"/>
  <c r="K2384" i="1"/>
  <c r="J2384" i="1"/>
  <c r="I2384" i="1"/>
  <c r="H2384" i="1"/>
  <c r="G2384" i="1"/>
  <c r="M2383" i="1"/>
  <c r="L2383" i="1"/>
  <c r="K2383" i="1"/>
  <c r="J2383" i="1"/>
  <c r="I2383" i="1"/>
  <c r="H2383" i="1"/>
  <c r="G2383" i="1"/>
  <c r="M2382" i="1"/>
  <c r="L2382" i="1"/>
  <c r="K2382" i="1"/>
  <c r="J2382" i="1"/>
  <c r="I2382" i="1"/>
  <c r="H2382" i="1"/>
  <c r="G2382" i="1"/>
  <c r="M2381" i="1"/>
  <c r="L2381" i="1"/>
  <c r="K2381" i="1"/>
  <c r="J2381" i="1"/>
  <c r="I2381" i="1"/>
  <c r="H2381" i="1"/>
  <c r="G2381" i="1"/>
  <c r="M2380" i="1"/>
  <c r="L2380" i="1"/>
  <c r="K2380" i="1"/>
  <c r="J2380" i="1"/>
  <c r="I2380" i="1"/>
  <c r="H2380" i="1"/>
  <c r="G2380" i="1"/>
  <c r="M2379" i="1"/>
  <c r="L2379" i="1"/>
  <c r="K2379" i="1"/>
  <c r="J2379" i="1"/>
  <c r="I2379" i="1"/>
  <c r="H2379" i="1"/>
  <c r="G2379" i="1"/>
  <c r="M2378" i="1"/>
  <c r="L2378" i="1"/>
  <c r="K2378" i="1"/>
  <c r="J2378" i="1"/>
  <c r="I2378" i="1"/>
  <c r="H2378" i="1"/>
  <c r="G2378" i="1"/>
  <c r="M2377" i="1"/>
  <c r="L2377" i="1"/>
  <c r="K2377" i="1"/>
  <c r="J2377" i="1"/>
  <c r="I2377" i="1"/>
  <c r="H2377" i="1"/>
  <c r="G2377" i="1"/>
  <c r="M2376" i="1"/>
  <c r="L2376" i="1"/>
  <c r="K2376" i="1"/>
  <c r="J2376" i="1"/>
  <c r="I2376" i="1"/>
  <c r="H2376" i="1"/>
  <c r="G2376" i="1"/>
  <c r="M2375" i="1"/>
  <c r="L2375" i="1"/>
  <c r="K2375" i="1"/>
  <c r="J2375" i="1"/>
  <c r="I2375" i="1"/>
  <c r="H2375" i="1"/>
  <c r="G2375" i="1"/>
  <c r="M2374" i="1"/>
  <c r="L2374" i="1"/>
  <c r="K2374" i="1"/>
  <c r="J2374" i="1"/>
  <c r="I2374" i="1"/>
  <c r="H2374" i="1"/>
  <c r="G2374" i="1"/>
  <c r="M2373" i="1"/>
  <c r="L2373" i="1"/>
  <c r="K2373" i="1"/>
  <c r="J2373" i="1"/>
  <c r="I2373" i="1"/>
  <c r="H2373" i="1"/>
  <c r="G2373" i="1"/>
  <c r="M2372" i="1"/>
  <c r="L2372" i="1"/>
  <c r="K2372" i="1"/>
  <c r="J2372" i="1"/>
  <c r="I2372" i="1"/>
  <c r="H2372" i="1"/>
  <c r="G2372" i="1"/>
  <c r="M2371" i="1"/>
  <c r="L2371" i="1"/>
  <c r="K2371" i="1"/>
  <c r="J2371" i="1"/>
  <c r="I2371" i="1"/>
  <c r="H2371" i="1"/>
  <c r="G2371" i="1"/>
  <c r="M2370" i="1"/>
  <c r="L2370" i="1"/>
  <c r="K2370" i="1"/>
  <c r="J2370" i="1"/>
  <c r="I2370" i="1"/>
  <c r="H2370" i="1"/>
  <c r="G2370" i="1"/>
  <c r="M2369" i="1"/>
  <c r="L2369" i="1"/>
  <c r="K2369" i="1"/>
  <c r="J2369" i="1"/>
  <c r="I2369" i="1"/>
  <c r="H2369" i="1"/>
  <c r="G2369" i="1"/>
  <c r="M2368" i="1"/>
  <c r="L2368" i="1"/>
  <c r="K2368" i="1"/>
  <c r="J2368" i="1"/>
  <c r="I2368" i="1"/>
  <c r="H2368" i="1"/>
  <c r="G2368" i="1"/>
  <c r="M2367" i="1"/>
  <c r="L2367" i="1"/>
  <c r="K2367" i="1"/>
  <c r="J2367" i="1"/>
  <c r="I2367" i="1"/>
  <c r="H2367" i="1"/>
  <c r="G2367" i="1"/>
  <c r="M2366" i="1"/>
  <c r="L2366" i="1"/>
  <c r="K2366" i="1"/>
  <c r="J2366" i="1"/>
  <c r="I2366" i="1"/>
  <c r="H2366" i="1"/>
  <c r="G2366" i="1"/>
  <c r="M2365" i="1"/>
  <c r="L2365" i="1"/>
  <c r="K2365" i="1"/>
  <c r="J2365" i="1"/>
  <c r="I2365" i="1"/>
  <c r="H2365" i="1"/>
  <c r="G2365" i="1"/>
  <c r="M2364" i="1"/>
  <c r="L2364" i="1"/>
  <c r="K2364" i="1"/>
  <c r="J2364" i="1"/>
  <c r="I2364" i="1"/>
  <c r="H2364" i="1"/>
  <c r="G2364" i="1"/>
  <c r="M2363" i="1"/>
  <c r="L2363" i="1"/>
  <c r="K2363" i="1"/>
  <c r="J2363" i="1"/>
  <c r="I2363" i="1"/>
  <c r="H2363" i="1"/>
  <c r="G2363" i="1"/>
  <c r="M2362" i="1"/>
  <c r="L2362" i="1"/>
  <c r="K2362" i="1"/>
  <c r="J2362" i="1"/>
  <c r="I2362" i="1"/>
  <c r="H2362" i="1"/>
  <c r="G2362" i="1"/>
  <c r="M2361" i="1"/>
  <c r="L2361" i="1"/>
  <c r="K2361" i="1"/>
  <c r="J2361" i="1"/>
  <c r="I2361" i="1"/>
  <c r="H2361" i="1"/>
  <c r="G2361" i="1"/>
  <c r="M2360" i="1"/>
  <c r="L2360" i="1"/>
  <c r="K2360" i="1"/>
  <c r="J2360" i="1"/>
  <c r="I2360" i="1"/>
  <c r="H2360" i="1"/>
  <c r="G2360" i="1"/>
  <c r="M2359" i="1"/>
  <c r="L2359" i="1"/>
  <c r="K2359" i="1"/>
  <c r="J2359" i="1"/>
  <c r="I2359" i="1"/>
  <c r="H2359" i="1"/>
  <c r="G2359" i="1"/>
  <c r="M2358" i="1"/>
  <c r="L2358" i="1"/>
  <c r="K2358" i="1"/>
  <c r="J2358" i="1"/>
  <c r="I2358" i="1"/>
  <c r="H2358" i="1"/>
  <c r="G2358" i="1"/>
  <c r="M2357" i="1"/>
  <c r="L2357" i="1"/>
  <c r="K2357" i="1"/>
  <c r="J2357" i="1"/>
  <c r="I2357" i="1"/>
  <c r="H2357" i="1"/>
  <c r="G2357" i="1"/>
  <c r="M2356" i="1"/>
  <c r="L2356" i="1"/>
  <c r="K2356" i="1"/>
  <c r="J2356" i="1"/>
  <c r="I2356" i="1"/>
  <c r="H2356" i="1"/>
  <c r="G2356" i="1"/>
  <c r="M2355" i="1"/>
  <c r="L2355" i="1"/>
  <c r="K2355" i="1"/>
  <c r="J2355" i="1"/>
  <c r="I2355" i="1"/>
  <c r="H2355" i="1"/>
  <c r="G2355" i="1"/>
  <c r="M2354" i="1"/>
  <c r="L2354" i="1"/>
  <c r="K2354" i="1"/>
  <c r="J2354" i="1"/>
  <c r="I2354" i="1"/>
  <c r="H2354" i="1"/>
  <c r="G2354" i="1"/>
  <c r="M2353" i="1"/>
  <c r="L2353" i="1"/>
  <c r="K2353" i="1"/>
  <c r="J2353" i="1"/>
  <c r="I2353" i="1"/>
  <c r="H2353" i="1"/>
  <c r="G2353" i="1"/>
  <c r="M2352" i="1"/>
  <c r="L2352" i="1"/>
  <c r="K2352" i="1"/>
  <c r="J2352" i="1"/>
  <c r="I2352" i="1"/>
  <c r="H2352" i="1"/>
  <c r="G2352" i="1"/>
  <c r="M2351" i="1"/>
  <c r="L2351" i="1"/>
  <c r="K2351" i="1"/>
  <c r="J2351" i="1"/>
  <c r="I2351" i="1"/>
  <c r="H2351" i="1"/>
  <c r="G2351" i="1"/>
  <c r="M2350" i="1"/>
  <c r="L2350" i="1"/>
  <c r="K2350" i="1"/>
  <c r="J2350" i="1"/>
  <c r="I2350" i="1"/>
  <c r="H2350" i="1"/>
  <c r="G2350" i="1"/>
  <c r="M2349" i="1"/>
  <c r="L2349" i="1"/>
  <c r="K2349" i="1"/>
  <c r="J2349" i="1"/>
  <c r="I2349" i="1"/>
  <c r="H2349" i="1"/>
  <c r="G2349" i="1"/>
  <c r="M2348" i="1"/>
  <c r="L2348" i="1"/>
  <c r="K2348" i="1"/>
  <c r="J2348" i="1"/>
  <c r="I2348" i="1"/>
  <c r="H2348" i="1"/>
  <c r="G2348" i="1"/>
  <c r="M2347" i="1"/>
  <c r="L2347" i="1"/>
  <c r="K2347" i="1"/>
  <c r="J2347" i="1"/>
  <c r="I2347" i="1"/>
  <c r="H2347" i="1"/>
  <c r="G2347" i="1"/>
  <c r="M2346" i="1"/>
  <c r="L2346" i="1"/>
  <c r="K2346" i="1"/>
  <c r="J2346" i="1"/>
  <c r="I2346" i="1"/>
  <c r="H2346" i="1"/>
  <c r="G2346" i="1"/>
  <c r="M2345" i="1"/>
  <c r="L2345" i="1"/>
  <c r="K2345" i="1"/>
  <c r="J2345" i="1"/>
  <c r="I2345" i="1"/>
  <c r="H2345" i="1"/>
  <c r="G2345" i="1"/>
  <c r="M2344" i="1"/>
  <c r="L2344" i="1"/>
  <c r="K2344" i="1"/>
  <c r="J2344" i="1"/>
  <c r="I2344" i="1"/>
  <c r="H2344" i="1"/>
  <c r="G2344" i="1"/>
  <c r="M2343" i="1"/>
  <c r="L2343" i="1"/>
  <c r="K2343" i="1"/>
  <c r="J2343" i="1"/>
  <c r="I2343" i="1"/>
  <c r="H2343" i="1"/>
  <c r="G2343" i="1"/>
  <c r="M2342" i="1"/>
  <c r="L2342" i="1"/>
  <c r="K2342" i="1"/>
  <c r="J2342" i="1"/>
  <c r="I2342" i="1"/>
  <c r="H2342" i="1"/>
  <c r="G2342" i="1"/>
  <c r="M2341" i="1"/>
  <c r="L2341" i="1"/>
  <c r="K2341" i="1"/>
  <c r="J2341" i="1"/>
  <c r="I2341" i="1"/>
  <c r="H2341" i="1"/>
  <c r="G2341" i="1"/>
  <c r="M2340" i="1"/>
  <c r="L2340" i="1"/>
  <c r="K2340" i="1"/>
  <c r="J2340" i="1"/>
  <c r="I2340" i="1"/>
  <c r="H2340" i="1"/>
  <c r="G2340" i="1"/>
  <c r="M2339" i="1"/>
  <c r="L2339" i="1"/>
  <c r="K2339" i="1"/>
  <c r="J2339" i="1"/>
  <c r="I2339" i="1"/>
  <c r="H2339" i="1"/>
  <c r="G2339" i="1"/>
  <c r="M2338" i="1"/>
  <c r="L2338" i="1"/>
  <c r="K2338" i="1"/>
  <c r="J2338" i="1"/>
  <c r="I2338" i="1"/>
  <c r="H2338" i="1"/>
  <c r="G2338" i="1"/>
  <c r="M2337" i="1"/>
  <c r="L2337" i="1"/>
  <c r="K2337" i="1"/>
  <c r="J2337" i="1"/>
  <c r="I2337" i="1"/>
  <c r="H2337" i="1"/>
  <c r="G2337" i="1"/>
  <c r="M2336" i="1"/>
  <c r="L2336" i="1"/>
  <c r="K2336" i="1"/>
  <c r="J2336" i="1"/>
  <c r="I2336" i="1"/>
  <c r="H2336" i="1"/>
  <c r="G2336" i="1"/>
  <c r="M2335" i="1"/>
  <c r="L2335" i="1"/>
  <c r="K2335" i="1"/>
  <c r="J2335" i="1"/>
  <c r="I2335" i="1"/>
  <c r="H2335" i="1"/>
  <c r="G2335" i="1"/>
  <c r="M2334" i="1"/>
  <c r="L2334" i="1"/>
  <c r="K2334" i="1"/>
  <c r="J2334" i="1"/>
  <c r="I2334" i="1"/>
  <c r="H2334" i="1"/>
  <c r="G2334" i="1"/>
  <c r="M2333" i="1"/>
  <c r="L2333" i="1"/>
  <c r="K2333" i="1"/>
  <c r="J2333" i="1"/>
  <c r="I2333" i="1"/>
  <c r="H2333" i="1"/>
  <c r="G2333" i="1"/>
  <c r="M2332" i="1"/>
  <c r="L2332" i="1"/>
  <c r="K2332" i="1"/>
  <c r="J2332" i="1"/>
  <c r="I2332" i="1"/>
  <c r="H2332" i="1"/>
  <c r="G2332" i="1"/>
  <c r="M2331" i="1"/>
  <c r="L2331" i="1"/>
  <c r="K2331" i="1"/>
  <c r="J2331" i="1"/>
  <c r="I2331" i="1"/>
  <c r="H2331" i="1"/>
  <c r="G2331" i="1"/>
  <c r="M2330" i="1"/>
  <c r="L2330" i="1"/>
  <c r="K2330" i="1"/>
  <c r="J2330" i="1"/>
  <c r="I2330" i="1"/>
  <c r="H2330" i="1"/>
  <c r="G2330" i="1"/>
  <c r="M2329" i="1"/>
  <c r="L2329" i="1"/>
  <c r="K2329" i="1"/>
  <c r="J2329" i="1"/>
  <c r="I2329" i="1"/>
  <c r="H2329" i="1"/>
  <c r="G2329" i="1"/>
  <c r="M2328" i="1"/>
  <c r="L2328" i="1"/>
  <c r="K2328" i="1"/>
  <c r="J2328" i="1"/>
  <c r="I2328" i="1"/>
  <c r="H2328" i="1"/>
  <c r="G2328" i="1"/>
  <c r="M2327" i="1"/>
  <c r="L2327" i="1"/>
  <c r="K2327" i="1"/>
  <c r="J2327" i="1"/>
  <c r="I2327" i="1"/>
  <c r="H2327" i="1"/>
  <c r="G2327" i="1"/>
  <c r="M2326" i="1"/>
  <c r="L2326" i="1"/>
  <c r="K2326" i="1"/>
  <c r="J2326" i="1"/>
  <c r="I2326" i="1"/>
  <c r="H2326" i="1"/>
  <c r="G2326" i="1"/>
  <c r="M2325" i="1"/>
  <c r="L2325" i="1"/>
  <c r="K2325" i="1"/>
  <c r="J2325" i="1"/>
  <c r="I2325" i="1"/>
  <c r="H2325" i="1"/>
  <c r="G2325" i="1"/>
  <c r="M2324" i="1"/>
  <c r="L2324" i="1"/>
  <c r="K2324" i="1"/>
  <c r="J2324" i="1"/>
  <c r="I2324" i="1"/>
  <c r="H2324" i="1"/>
  <c r="G2324" i="1"/>
  <c r="M2323" i="1"/>
  <c r="L2323" i="1"/>
  <c r="K2323" i="1"/>
  <c r="J2323" i="1"/>
  <c r="I2323" i="1"/>
  <c r="H2323" i="1"/>
  <c r="G2323" i="1"/>
  <c r="M2322" i="1"/>
  <c r="L2322" i="1"/>
  <c r="K2322" i="1"/>
  <c r="J2322" i="1"/>
  <c r="I2322" i="1"/>
  <c r="H2322" i="1"/>
  <c r="G2322" i="1"/>
  <c r="M2321" i="1"/>
  <c r="L2321" i="1"/>
  <c r="K2321" i="1"/>
  <c r="J2321" i="1"/>
  <c r="I2321" i="1"/>
  <c r="H2321" i="1"/>
  <c r="G2321" i="1"/>
  <c r="M2320" i="1"/>
  <c r="L2320" i="1"/>
  <c r="K2320" i="1"/>
  <c r="J2320" i="1"/>
  <c r="I2320" i="1"/>
  <c r="H2320" i="1"/>
  <c r="G2320" i="1"/>
  <c r="M2319" i="1"/>
  <c r="L2319" i="1"/>
  <c r="K2319" i="1"/>
  <c r="J2319" i="1"/>
  <c r="I2319" i="1"/>
  <c r="H2319" i="1"/>
  <c r="G2319" i="1"/>
  <c r="M2318" i="1"/>
  <c r="L2318" i="1"/>
  <c r="K2318" i="1"/>
  <c r="J2318" i="1"/>
  <c r="I2318" i="1"/>
  <c r="H2318" i="1"/>
  <c r="G2318" i="1"/>
  <c r="M2317" i="1"/>
  <c r="L2317" i="1"/>
  <c r="K2317" i="1"/>
  <c r="J2317" i="1"/>
  <c r="I2317" i="1"/>
  <c r="H2317" i="1"/>
  <c r="G2317" i="1"/>
  <c r="M2316" i="1"/>
  <c r="L2316" i="1"/>
  <c r="K2316" i="1"/>
  <c r="J2316" i="1"/>
  <c r="I2316" i="1"/>
  <c r="H2316" i="1"/>
  <c r="G2316" i="1"/>
  <c r="M2315" i="1"/>
  <c r="L2315" i="1"/>
  <c r="K2315" i="1"/>
  <c r="J2315" i="1"/>
  <c r="I2315" i="1"/>
  <c r="H2315" i="1"/>
  <c r="G2315" i="1"/>
  <c r="M2314" i="1"/>
  <c r="L2314" i="1"/>
  <c r="K2314" i="1"/>
  <c r="J2314" i="1"/>
  <c r="I2314" i="1"/>
  <c r="H2314" i="1"/>
  <c r="G2314" i="1"/>
  <c r="M2313" i="1"/>
  <c r="L2313" i="1"/>
  <c r="K2313" i="1"/>
  <c r="J2313" i="1"/>
  <c r="I2313" i="1"/>
  <c r="H2313" i="1"/>
  <c r="G2313" i="1"/>
  <c r="M2312" i="1"/>
  <c r="L2312" i="1"/>
  <c r="K2312" i="1"/>
  <c r="J2312" i="1"/>
  <c r="I2312" i="1"/>
  <c r="H2312" i="1"/>
  <c r="G2312" i="1"/>
  <c r="M2311" i="1"/>
  <c r="L2311" i="1"/>
  <c r="K2311" i="1"/>
  <c r="J2311" i="1"/>
  <c r="I2311" i="1"/>
  <c r="H2311" i="1"/>
  <c r="G2311" i="1"/>
  <c r="M2310" i="1"/>
  <c r="L2310" i="1"/>
  <c r="K2310" i="1"/>
  <c r="J2310" i="1"/>
  <c r="I2310" i="1"/>
  <c r="H2310" i="1"/>
  <c r="G2310" i="1"/>
  <c r="M2309" i="1"/>
  <c r="L2309" i="1"/>
  <c r="K2309" i="1"/>
  <c r="J2309" i="1"/>
  <c r="I2309" i="1"/>
  <c r="H2309" i="1"/>
  <c r="G2309" i="1"/>
  <c r="M2308" i="1"/>
  <c r="L2308" i="1"/>
  <c r="K2308" i="1"/>
  <c r="J2308" i="1"/>
  <c r="I2308" i="1"/>
  <c r="H2308" i="1"/>
  <c r="G2308" i="1"/>
  <c r="M2307" i="1"/>
  <c r="L2307" i="1"/>
  <c r="K2307" i="1"/>
  <c r="J2307" i="1"/>
  <c r="I2307" i="1"/>
  <c r="H2307" i="1"/>
  <c r="G2307" i="1"/>
  <c r="M2306" i="1"/>
  <c r="L2306" i="1"/>
  <c r="K2306" i="1"/>
  <c r="J2306" i="1"/>
  <c r="I2306" i="1"/>
  <c r="H2306" i="1"/>
  <c r="G2306" i="1"/>
  <c r="M2305" i="1"/>
  <c r="L2305" i="1"/>
  <c r="K2305" i="1"/>
  <c r="J2305" i="1"/>
  <c r="I2305" i="1"/>
  <c r="H2305" i="1"/>
  <c r="G2305" i="1"/>
  <c r="M2304" i="1"/>
  <c r="L2304" i="1"/>
  <c r="K2304" i="1"/>
  <c r="J2304" i="1"/>
  <c r="I2304" i="1"/>
  <c r="H2304" i="1"/>
  <c r="G2304" i="1"/>
  <c r="M2303" i="1"/>
  <c r="L2303" i="1"/>
  <c r="K2303" i="1"/>
  <c r="J2303" i="1"/>
  <c r="I2303" i="1"/>
  <c r="H2303" i="1"/>
  <c r="G2303" i="1"/>
  <c r="M2302" i="1"/>
  <c r="L2302" i="1"/>
  <c r="K2302" i="1"/>
  <c r="J2302" i="1"/>
  <c r="I2302" i="1"/>
  <c r="H2302" i="1"/>
  <c r="G2302" i="1"/>
  <c r="M2301" i="1"/>
  <c r="L2301" i="1"/>
  <c r="K2301" i="1"/>
  <c r="J2301" i="1"/>
  <c r="I2301" i="1"/>
  <c r="H2301" i="1"/>
  <c r="G2301" i="1"/>
  <c r="M2300" i="1"/>
  <c r="L2300" i="1"/>
  <c r="K2300" i="1"/>
  <c r="J2300" i="1"/>
  <c r="I2300" i="1"/>
  <c r="H2300" i="1"/>
  <c r="G2300" i="1"/>
  <c r="M2299" i="1"/>
  <c r="L2299" i="1"/>
  <c r="K2299" i="1"/>
  <c r="J2299" i="1"/>
  <c r="I2299" i="1"/>
  <c r="H2299" i="1"/>
  <c r="G2299" i="1"/>
  <c r="M2298" i="1"/>
  <c r="L2298" i="1"/>
  <c r="K2298" i="1"/>
  <c r="J2298" i="1"/>
  <c r="I2298" i="1"/>
  <c r="H2298" i="1"/>
  <c r="G2298" i="1"/>
  <c r="M2297" i="1"/>
  <c r="L2297" i="1"/>
  <c r="K2297" i="1"/>
  <c r="J2297" i="1"/>
  <c r="I2297" i="1"/>
  <c r="H2297" i="1"/>
  <c r="G2297" i="1"/>
  <c r="M2296" i="1"/>
  <c r="L2296" i="1"/>
  <c r="K2296" i="1"/>
  <c r="J2296" i="1"/>
  <c r="I2296" i="1"/>
  <c r="H2296" i="1"/>
  <c r="G2296" i="1"/>
  <c r="M2295" i="1"/>
  <c r="L2295" i="1"/>
  <c r="K2295" i="1"/>
  <c r="J2295" i="1"/>
  <c r="I2295" i="1"/>
  <c r="H2295" i="1"/>
  <c r="G2295" i="1"/>
  <c r="M2294" i="1"/>
  <c r="L2294" i="1"/>
  <c r="K2294" i="1"/>
  <c r="J2294" i="1"/>
  <c r="I2294" i="1"/>
  <c r="H2294" i="1"/>
  <c r="G2294" i="1"/>
  <c r="M2293" i="1"/>
  <c r="L2293" i="1"/>
  <c r="K2293" i="1"/>
  <c r="J2293" i="1"/>
  <c r="I2293" i="1"/>
  <c r="H2293" i="1"/>
  <c r="G2293" i="1"/>
  <c r="M2292" i="1"/>
  <c r="L2292" i="1"/>
  <c r="K2292" i="1"/>
  <c r="J2292" i="1"/>
  <c r="I2292" i="1"/>
  <c r="H2292" i="1"/>
  <c r="G2292" i="1"/>
  <c r="M2291" i="1"/>
  <c r="L2291" i="1"/>
  <c r="K2291" i="1"/>
  <c r="J2291" i="1"/>
  <c r="I2291" i="1"/>
  <c r="H2291" i="1"/>
  <c r="G2291" i="1"/>
  <c r="M2290" i="1"/>
  <c r="L2290" i="1"/>
  <c r="K2290" i="1"/>
  <c r="J2290" i="1"/>
  <c r="I2290" i="1"/>
  <c r="H2290" i="1"/>
  <c r="G2290" i="1"/>
  <c r="M2289" i="1"/>
  <c r="L2289" i="1"/>
  <c r="K2289" i="1"/>
  <c r="J2289" i="1"/>
  <c r="I2289" i="1"/>
  <c r="H2289" i="1"/>
  <c r="G2289" i="1"/>
  <c r="M2288" i="1"/>
  <c r="L2288" i="1"/>
  <c r="K2288" i="1"/>
  <c r="J2288" i="1"/>
  <c r="I2288" i="1"/>
  <c r="H2288" i="1"/>
  <c r="G2288" i="1"/>
  <c r="M2287" i="1"/>
  <c r="L2287" i="1"/>
  <c r="K2287" i="1"/>
  <c r="J2287" i="1"/>
  <c r="I2287" i="1"/>
  <c r="H2287" i="1"/>
  <c r="G2287" i="1"/>
  <c r="M2286" i="1"/>
  <c r="L2286" i="1"/>
  <c r="K2286" i="1"/>
  <c r="J2286" i="1"/>
  <c r="I2286" i="1"/>
  <c r="H2286" i="1"/>
  <c r="G2286" i="1"/>
  <c r="M2285" i="1"/>
  <c r="L2285" i="1"/>
  <c r="K2285" i="1"/>
  <c r="J2285" i="1"/>
  <c r="I2285" i="1"/>
  <c r="H2285" i="1"/>
  <c r="G2285" i="1"/>
  <c r="M2284" i="1"/>
  <c r="L2284" i="1"/>
  <c r="K2284" i="1"/>
  <c r="J2284" i="1"/>
  <c r="I2284" i="1"/>
  <c r="H2284" i="1"/>
  <c r="G2284" i="1"/>
  <c r="M2283" i="1"/>
  <c r="L2283" i="1"/>
  <c r="K2283" i="1"/>
  <c r="J2283" i="1"/>
  <c r="I2283" i="1"/>
  <c r="H2283" i="1"/>
  <c r="G2283" i="1"/>
  <c r="M2282" i="1"/>
  <c r="L2282" i="1"/>
  <c r="K2282" i="1"/>
  <c r="J2282" i="1"/>
  <c r="I2282" i="1"/>
  <c r="H2282" i="1"/>
  <c r="G2282" i="1"/>
  <c r="M2281" i="1"/>
  <c r="L2281" i="1"/>
  <c r="K2281" i="1"/>
  <c r="J2281" i="1"/>
  <c r="I2281" i="1"/>
  <c r="H2281" i="1"/>
  <c r="G2281" i="1"/>
  <c r="M2280" i="1"/>
  <c r="L2280" i="1"/>
  <c r="K2280" i="1"/>
  <c r="J2280" i="1"/>
  <c r="I2280" i="1"/>
  <c r="H2280" i="1"/>
  <c r="G2280" i="1"/>
  <c r="M2279" i="1"/>
  <c r="L2279" i="1"/>
  <c r="K2279" i="1"/>
  <c r="J2279" i="1"/>
  <c r="I2279" i="1"/>
  <c r="H2279" i="1"/>
  <c r="G2279" i="1"/>
  <c r="M2278" i="1"/>
  <c r="L2278" i="1"/>
  <c r="K2278" i="1"/>
  <c r="J2278" i="1"/>
  <c r="I2278" i="1"/>
  <c r="H2278" i="1"/>
  <c r="G2278" i="1"/>
  <c r="M2277" i="1"/>
  <c r="L2277" i="1"/>
  <c r="K2277" i="1"/>
  <c r="J2277" i="1"/>
  <c r="I2277" i="1"/>
  <c r="H2277" i="1"/>
  <c r="G2277" i="1"/>
  <c r="M2276" i="1"/>
  <c r="L2276" i="1"/>
  <c r="K2276" i="1"/>
  <c r="J2276" i="1"/>
  <c r="I2276" i="1"/>
  <c r="H2276" i="1"/>
  <c r="G2276" i="1"/>
  <c r="M2275" i="1"/>
  <c r="L2275" i="1"/>
  <c r="K2275" i="1"/>
  <c r="J2275" i="1"/>
  <c r="I2275" i="1"/>
  <c r="H2275" i="1"/>
  <c r="G2275" i="1"/>
  <c r="M2274" i="1"/>
  <c r="L2274" i="1"/>
  <c r="K2274" i="1"/>
  <c r="J2274" i="1"/>
  <c r="I2274" i="1"/>
  <c r="H2274" i="1"/>
  <c r="G2274" i="1"/>
  <c r="M2273" i="1"/>
  <c r="L2273" i="1"/>
  <c r="K2273" i="1"/>
  <c r="J2273" i="1"/>
  <c r="I2273" i="1"/>
  <c r="H2273" i="1"/>
  <c r="G2273" i="1"/>
  <c r="M2272" i="1"/>
  <c r="L2272" i="1"/>
  <c r="K2272" i="1"/>
  <c r="J2272" i="1"/>
  <c r="I2272" i="1"/>
  <c r="H2272" i="1"/>
  <c r="G2272" i="1"/>
  <c r="M2271" i="1"/>
  <c r="L2271" i="1"/>
  <c r="K2271" i="1"/>
  <c r="J2271" i="1"/>
  <c r="I2271" i="1"/>
  <c r="H2271" i="1"/>
  <c r="G2271" i="1"/>
  <c r="M2270" i="1"/>
  <c r="L2270" i="1"/>
  <c r="K2270" i="1"/>
  <c r="J2270" i="1"/>
  <c r="I2270" i="1"/>
  <c r="H2270" i="1"/>
  <c r="G2270" i="1"/>
  <c r="M2269" i="1"/>
  <c r="L2269" i="1"/>
  <c r="K2269" i="1"/>
  <c r="J2269" i="1"/>
  <c r="I2269" i="1"/>
  <c r="H2269" i="1"/>
  <c r="G2269" i="1"/>
  <c r="M2268" i="1"/>
  <c r="L2268" i="1"/>
  <c r="K2268" i="1"/>
  <c r="J2268" i="1"/>
  <c r="I2268" i="1"/>
  <c r="H2268" i="1"/>
  <c r="G2268" i="1"/>
  <c r="M2267" i="1"/>
  <c r="L2267" i="1"/>
  <c r="K2267" i="1"/>
  <c r="J2267" i="1"/>
  <c r="I2267" i="1"/>
  <c r="H2267" i="1"/>
  <c r="G2267" i="1"/>
  <c r="M2266" i="1"/>
  <c r="L2266" i="1"/>
  <c r="K2266" i="1"/>
  <c r="J2266" i="1"/>
  <c r="I2266" i="1"/>
  <c r="H2266" i="1"/>
  <c r="G2266" i="1"/>
  <c r="M2265" i="1"/>
  <c r="L2265" i="1"/>
  <c r="K2265" i="1"/>
  <c r="J2265" i="1"/>
  <c r="I2265" i="1"/>
  <c r="H2265" i="1"/>
  <c r="G2265" i="1"/>
  <c r="M2264" i="1"/>
  <c r="L2264" i="1"/>
  <c r="K2264" i="1"/>
  <c r="J2264" i="1"/>
  <c r="I2264" i="1"/>
  <c r="H2264" i="1"/>
  <c r="G2264" i="1"/>
  <c r="M2263" i="1"/>
  <c r="L2263" i="1"/>
  <c r="K2263" i="1"/>
  <c r="J2263" i="1"/>
  <c r="I2263" i="1"/>
  <c r="H2263" i="1"/>
  <c r="G2263" i="1"/>
  <c r="M2262" i="1"/>
  <c r="L2262" i="1"/>
  <c r="K2262" i="1"/>
  <c r="J2262" i="1"/>
  <c r="I2262" i="1"/>
  <c r="H2262" i="1"/>
  <c r="G2262" i="1"/>
  <c r="M2261" i="1"/>
  <c r="L2261" i="1"/>
  <c r="K2261" i="1"/>
  <c r="J2261" i="1"/>
  <c r="I2261" i="1"/>
  <c r="H2261" i="1"/>
  <c r="G2261" i="1"/>
  <c r="M2260" i="1"/>
  <c r="L2260" i="1"/>
  <c r="K2260" i="1"/>
  <c r="J2260" i="1"/>
  <c r="I2260" i="1"/>
  <c r="H2260" i="1"/>
  <c r="G2260" i="1"/>
  <c r="M2259" i="1"/>
  <c r="L2259" i="1"/>
  <c r="K2259" i="1"/>
  <c r="J2259" i="1"/>
  <c r="I2259" i="1"/>
  <c r="H2259" i="1"/>
  <c r="G2259" i="1"/>
  <c r="M2258" i="1"/>
  <c r="L2258" i="1"/>
  <c r="K2258" i="1"/>
  <c r="J2258" i="1"/>
  <c r="I2258" i="1"/>
  <c r="H2258" i="1"/>
  <c r="G2258" i="1"/>
  <c r="M2257" i="1"/>
  <c r="L2257" i="1"/>
  <c r="K2257" i="1"/>
  <c r="J2257" i="1"/>
  <c r="I2257" i="1"/>
  <c r="H2257" i="1"/>
  <c r="G2257" i="1"/>
  <c r="M2256" i="1"/>
  <c r="L2256" i="1"/>
  <c r="K2256" i="1"/>
  <c r="J2256" i="1"/>
  <c r="I2256" i="1"/>
  <c r="H2256" i="1"/>
  <c r="G2256" i="1"/>
  <c r="M2255" i="1"/>
  <c r="L2255" i="1"/>
  <c r="K2255" i="1"/>
  <c r="J2255" i="1"/>
  <c r="I2255" i="1"/>
  <c r="H2255" i="1"/>
  <c r="G2255" i="1"/>
  <c r="M2254" i="1"/>
  <c r="L2254" i="1"/>
  <c r="K2254" i="1"/>
  <c r="J2254" i="1"/>
  <c r="I2254" i="1"/>
  <c r="H2254" i="1"/>
  <c r="G2254" i="1"/>
  <c r="M2253" i="1"/>
  <c r="L2253" i="1"/>
  <c r="K2253" i="1"/>
  <c r="J2253" i="1"/>
  <c r="I2253" i="1"/>
  <c r="H2253" i="1"/>
  <c r="G2253" i="1"/>
  <c r="M2252" i="1"/>
  <c r="L2252" i="1"/>
  <c r="K2252" i="1"/>
  <c r="J2252" i="1"/>
  <c r="I2252" i="1"/>
  <c r="H2252" i="1"/>
  <c r="G2252" i="1"/>
  <c r="M2251" i="1"/>
  <c r="L2251" i="1"/>
  <c r="K2251" i="1"/>
  <c r="J2251" i="1"/>
  <c r="I2251" i="1"/>
  <c r="H2251" i="1"/>
  <c r="G2251" i="1"/>
  <c r="M2250" i="1"/>
  <c r="L2250" i="1"/>
  <c r="K2250" i="1"/>
  <c r="J2250" i="1"/>
  <c r="I2250" i="1"/>
  <c r="H2250" i="1"/>
  <c r="G2250" i="1"/>
  <c r="M2249" i="1"/>
  <c r="L2249" i="1"/>
  <c r="K2249" i="1"/>
  <c r="J2249" i="1"/>
  <c r="I2249" i="1"/>
  <c r="H2249" i="1"/>
  <c r="G2249" i="1"/>
  <c r="M2248" i="1"/>
  <c r="L2248" i="1"/>
  <c r="K2248" i="1"/>
  <c r="J2248" i="1"/>
  <c r="I2248" i="1"/>
  <c r="H2248" i="1"/>
  <c r="G2248" i="1"/>
  <c r="M2247" i="1"/>
  <c r="L2247" i="1"/>
  <c r="K2247" i="1"/>
  <c r="J2247" i="1"/>
  <c r="I2247" i="1"/>
  <c r="H2247" i="1"/>
  <c r="G2247" i="1"/>
  <c r="M2246" i="1"/>
  <c r="L2246" i="1"/>
  <c r="K2246" i="1"/>
  <c r="J2246" i="1"/>
  <c r="I2246" i="1"/>
  <c r="H2246" i="1"/>
  <c r="G2246" i="1"/>
  <c r="M2245" i="1"/>
  <c r="L2245" i="1"/>
  <c r="K2245" i="1"/>
  <c r="J2245" i="1"/>
  <c r="I2245" i="1"/>
  <c r="H2245" i="1"/>
  <c r="G2245" i="1"/>
  <c r="M2244" i="1"/>
  <c r="L2244" i="1"/>
  <c r="K2244" i="1"/>
  <c r="J2244" i="1"/>
  <c r="I2244" i="1"/>
  <c r="H2244" i="1"/>
  <c r="G2244" i="1"/>
  <c r="M2243" i="1"/>
  <c r="L2243" i="1"/>
  <c r="K2243" i="1"/>
  <c r="J2243" i="1"/>
  <c r="I2243" i="1"/>
  <c r="H2243" i="1"/>
  <c r="G2243" i="1"/>
  <c r="M2242" i="1"/>
  <c r="L2242" i="1"/>
  <c r="K2242" i="1"/>
  <c r="J2242" i="1"/>
  <c r="I2242" i="1"/>
  <c r="H2242" i="1"/>
  <c r="G2242" i="1"/>
  <c r="M2241" i="1"/>
  <c r="L2241" i="1"/>
  <c r="K2241" i="1"/>
  <c r="J2241" i="1"/>
  <c r="I2241" i="1"/>
  <c r="H2241" i="1"/>
  <c r="G2241" i="1"/>
  <c r="M2240" i="1"/>
  <c r="L2240" i="1"/>
  <c r="K2240" i="1"/>
  <c r="J2240" i="1"/>
  <c r="I2240" i="1"/>
  <c r="H2240" i="1"/>
  <c r="G2240" i="1"/>
  <c r="M2239" i="1"/>
  <c r="L2239" i="1"/>
  <c r="K2239" i="1"/>
  <c r="J2239" i="1"/>
  <c r="I2239" i="1"/>
  <c r="H2239" i="1"/>
  <c r="G2239" i="1"/>
  <c r="M2238" i="1"/>
  <c r="L2238" i="1"/>
  <c r="K2238" i="1"/>
  <c r="J2238" i="1"/>
  <c r="I2238" i="1"/>
  <c r="H2238" i="1"/>
  <c r="G2238" i="1"/>
  <c r="M2237" i="1"/>
  <c r="L2237" i="1"/>
  <c r="K2237" i="1"/>
  <c r="J2237" i="1"/>
  <c r="I2237" i="1"/>
  <c r="H2237" i="1"/>
  <c r="G2237" i="1"/>
  <c r="M2236" i="1"/>
  <c r="L2236" i="1"/>
  <c r="K2236" i="1"/>
  <c r="J2236" i="1"/>
  <c r="I2236" i="1"/>
  <c r="H2236" i="1"/>
  <c r="G2236" i="1"/>
  <c r="M2235" i="1"/>
  <c r="L2235" i="1"/>
  <c r="K2235" i="1"/>
  <c r="J2235" i="1"/>
  <c r="I2235" i="1"/>
  <c r="H2235" i="1"/>
  <c r="G2235" i="1"/>
  <c r="M2234" i="1"/>
  <c r="L2234" i="1"/>
  <c r="K2234" i="1"/>
  <c r="J2234" i="1"/>
  <c r="I2234" i="1"/>
  <c r="H2234" i="1"/>
  <c r="G2234" i="1"/>
  <c r="M2233" i="1"/>
  <c r="L2233" i="1"/>
  <c r="K2233" i="1"/>
  <c r="J2233" i="1"/>
  <c r="I2233" i="1"/>
  <c r="H2233" i="1"/>
  <c r="G2233" i="1"/>
  <c r="M2232" i="1"/>
  <c r="L2232" i="1"/>
  <c r="K2232" i="1"/>
  <c r="J2232" i="1"/>
  <c r="I2232" i="1"/>
  <c r="H2232" i="1"/>
  <c r="G2232" i="1"/>
  <c r="M2231" i="1"/>
  <c r="L2231" i="1"/>
  <c r="K2231" i="1"/>
  <c r="J2231" i="1"/>
  <c r="I2231" i="1"/>
  <c r="H2231" i="1"/>
  <c r="G2231" i="1"/>
  <c r="M2230" i="1"/>
  <c r="L2230" i="1"/>
  <c r="K2230" i="1"/>
  <c r="J2230" i="1"/>
  <c r="I2230" i="1"/>
  <c r="H2230" i="1"/>
  <c r="G2230" i="1"/>
  <c r="M2229" i="1"/>
  <c r="L2229" i="1"/>
  <c r="K2229" i="1"/>
  <c r="J2229" i="1"/>
  <c r="I2229" i="1"/>
  <c r="H2229" i="1"/>
  <c r="G2229" i="1"/>
  <c r="M2228" i="1"/>
  <c r="L2228" i="1"/>
  <c r="K2228" i="1"/>
  <c r="J2228" i="1"/>
  <c r="I2228" i="1"/>
  <c r="H2228" i="1"/>
  <c r="G2228" i="1"/>
  <c r="M2227" i="1"/>
  <c r="L2227" i="1"/>
  <c r="K2227" i="1"/>
  <c r="J2227" i="1"/>
  <c r="I2227" i="1"/>
  <c r="H2227" i="1"/>
  <c r="G2227" i="1"/>
  <c r="M2226" i="1"/>
  <c r="L2226" i="1"/>
  <c r="K2226" i="1"/>
  <c r="J2226" i="1"/>
  <c r="I2226" i="1"/>
  <c r="H2226" i="1"/>
  <c r="G2226" i="1"/>
  <c r="M2225" i="1"/>
  <c r="L2225" i="1"/>
  <c r="K2225" i="1"/>
  <c r="J2225" i="1"/>
  <c r="I2225" i="1"/>
  <c r="H2225" i="1"/>
  <c r="G2225" i="1"/>
  <c r="M2224" i="1"/>
  <c r="L2224" i="1"/>
  <c r="K2224" i="1"/>
  <c r="J2224" i="1"/>
  <c r="I2224" i="1"/>
  <c r="H2224" i="1"/>
  <c r="G2224" i="1"/>
  <c r="M2223" i="1"/>
  <c r="L2223" i="1"/>
  <c r="K2223" i="1"/>
  <c r="J2223" i="1"/>
  <c r="I2223" i="1"/>
  <c r="H2223" i="1"/>
  <c r="G2223" i="1"/>
  <c r="M2222" i="1"/>
  <c r="L2222" i="1"/>
  <c r="K2222" i="1"/>
  <c r="J2222" i="1"/>
  <c r="I2222" i="1"/>
  <c r="H2222" i="1"/>
  <c r="G2222" i="1"/>
  <c r="M2221" i="1"/>
  <c r="L2221" i="1"/>
  <c r="K2221" i="1"/>
  <c r="J2221" i="1"/>
  <c r="I2221" i="1"/>
  <c r="H2221" i="1"/>
  <c r="G2221" i="1"/>
  <c r="M2220" i="1"/>
  <c r="L2220" i="1"/>
  <c r="K2220" i="1"/>
  <c r="J2220" i="1"/>
  <c r="I2220" i="1"/>
  <c r="H2220" i="1"/>
  <c r="G2220" i="1"/>
  <c r="M2219" i="1"/>
  <c r="L2219" i="1"/>
  <c r="K2219" i="1"/>
  <c r="J2219" i="1"/>
  <c r="I2219" i="1"/>
  <c r="H2219" i="1"/>
  <c r="G2219" i="1"/>
  <c r="M2218" i="1"/>
  <c r="L2218" i="1"/>
  <c r="K2218" i="1"/>
  <c r="J2218" i="1"/>
  <c r="I2218" i="1"/>
  <c r="H2218" i="1"/>
  <c r="G2218" i="1"/>
  <c r="M2217" i="1"/>
  <c r="L2217" i="1"/>
  <c r="K2217" i="1"/>
  <c r="J2217" i="1"/>
  <c r="I2217" i="1"/>
  <c r="H2217" i="1"/>
  <c r="G2217" i="1"/>
  <c r="M2216" i="1"/>
  <c r="L2216" i="1"/>
  <c r="K2216" i="1"/>
  <c r="J2216" i="1"/>
  <c r="I2216" i="1"/>
  <c r="H2216" i="1"/>
  <c r="G2216" i="1"/>
  <c r="M2215" i="1"/>
  <c r="L2215" i="1"/>
  <c r="K2215" i="1"/>
  <c r="J2215" i="1"/>
  <c r="I2215" i="1"/>
  <c r="H2215" i="1"/>
  <c r="G2215" i="1"/>
  <c r="M2214" i="1"/>
  <c r="L2214" i="1"/>
  <c r="K2214" i="1"/>
  <c r="J2214" i="1"/>
  <c r="I2214" i="1"/>
  <c r="H2214" i="1"/>
  <c r="G2214" i="1"/>
  <c r="M2213" i="1"/>
  <c r="L2213" i="1"/>
  <c r="K2213" i="1"/>
  <c r="J2213" i="1"/>
  <c r="I2213" i="1"/>
  <c r="H2213" i="1"/>
  <c r="G2213" i="1"/>
  <c r="M2212" i="1"/>
  <c r="L2212" i="1"/>
  <c r="K2212" i="1"/>
  <c r="J2212" i="1"/>
  <c r="I2212" i="1"/>
  <c r="H2212" i="1"/>
  <c r="G2212" i="1"/>
  <c r="M2211" i="1"/>
  <c r="L2211" i="1"/>
  <c r="K2211" i="1"/>
  <c r="J2211" i="1"/>
  <c r="I2211" i="1"/>
  <c r="H2211" i="1"/>
  <c r="G2211" i="1"/>
  <c r="M2210" i="1"/>
  <c r="L2210" i="1"/>
  <c r="K2210" i="1"/>
  <c r="J2210" i="1"/>
  <c r="I2210" i="1"/>
  <c r="H2210" i="1"/>
  <c r="G2210" i="1"/>
  <c r="M2209" i="1"/>
  <c r="L2209" i="1"/>
  <c r="K2209" i="1"/>
  <c r="J2209" i="1"/>
  <c r="I2209" i="1"/>
  <c r="H2209" i="1"/>
  <c r="G2209" i="1"/>
  <c r="M2208" i="1"/>
  <c r="L2208" i="1"/>
  <c r="K2208" i="1"/>
  <c r="J2208" i="1"/>
  <c r="I2208" i="1"/>
  <c r="H2208" i="1"/>
  <c r="G2208" i="1"/>
  <c r="M2207" i="1"/>
  <c r="L2207" i="1"/>
  <c r="K2207" i="1"/>
  <c r="J2207" i="1"/>
  <c r="I2207" i="1"/>
  <c r="H2207" i="1"/>
  <c r="G2207" i="1"/>
  <c r="M2206" i="1"/>
  <c r="L2206" i="1"/>
  <c r="K2206" i="1"/>
  <c r="J2206" i="1"/>
  <c r="I2206" i="1"/>
  <c r="H2206" i="1"/>
  <c r="G2206" i="1"/>
  <c r="M2205" i="1"/>
  <c r="L2205" i="1"/>
  <c r="K2205" i="1"/>
  <c r="J2205" i="1"/>
  <c r="I2205" i="1"/>
  <c r="H2205" i="1"/>
  <c r="G2205" i="1"/>
  <c r="M2204" i="1"/>
  <c r="L2204" i="1"/>
  <c r="K2204" i="1"/>
  <c r="J2204" i="1"/>
  <c r="I2204" i="1"/>
  <c r="H2204" i="1"/>
  <c r="G2204" i="1"/>
  <c r="M2203" i="1"/>
  <c r="L2203" i="1"/>
  <c r="K2203" i="1"/>
  <c r="J2203" i="1"/>
  <c r="I2203" i="1"/>
  <c r="H2203" i="1"/>
  <c r="G2203" i="1"/>
  <c r="M2202" i="1"/>
  <c r="L2202" i="1"/>
  <c r="K2202" i="1"/>
  <c r="J2202" i="1"/>
  <c r="I2202" i="1"/>
  <c r="H2202" i="1"/>
  <c r="G2202" i="1"/>
  <c r="M2201" i="1"/>
  <c r="L2201" i="1"/>
  <c r="K2201" i="1"/>
  <c r="J2201" i="1"/>
  <c r="I2201" i="1"/>
  <c r="H2201" i="1"/>
  <c r="G2201" i="1"/>
  <c r="M2200" i="1"/>
  <c r="L2200" i="1"/>
  <c r="K2200" i="1"/>
  <c r="J2200" i="1"/>
  <c r="I2200" i="1"/>
  <c r="H2200" i="1"/>
  <c r="G2200" i="1"/>
  <c r="M2199" i="1"/>
  <c r="L2199" i="1"/>
  <c r="K2199" i="1"/>
  <c r="J2199" i="1"/>
  <c r="I2199" i="1"/>
  <c r="H2199" i="1"/>
  <c r="G2199" i="1"/>
  <c r="M2198" i="1"/>
  <c r="L2198" i="1"/>
  <c r="K2198" i="1"/>
  <c r="J2198" i="1"/>
  <c r="I2198" i="1"/>
  <c r="H2198" i="1"/>
  <c r="G2198" i="1"/>
  <c r="M2197" i="1"/>
  <c r="L2197" i="1"/>
  <c r="K2197" i="1"/>
  <c r="J2197" i="1"/>
  <c r="I2197" i="1"/>
  <c r="H2197" i="1"/>
  <c r="G2197" i="1"/>
  <c r="M2196" i="1"/>
  <c r="L2196" i="1"/>
  <c r="K2196" i="1"/>
  <c r="J2196" i="1"/>
  <c r="I2196" i="1"/>
  <c r="H2196" i="1"/>
  <c r="G2196" i="1"/>
  <c r="M2195" i="1"/>
  <c r="L2195" i="1"/>
  <c r="K2195" i="1"/>
  <c r="J2195" i="1"/>
  <c r="I2195" i="1"/>
  <c r="H2195" i="1"/>
  <c r="G2195" i="1"/>
  <c r="M2194" i="1"/>
  <c r="L2194" i="1"/>
  <c r="K2194" i="1"/>
  <c r="J2194" i="1"/>
  <c r="I2194" i="1"/>
  <c r="H2194" i="1"/>
  <c r="G2194" i="1"/>
  <c r="M2193" i="1"/>
  <c r="L2193" i="1"/>
  <c r="K2193" i="1"/>
  <c r="J2193" i="1"/>
  <c r="I2193" i="1"/>
  <c r="H2193" i="1"/>
  <c r="G2193" i="1"/>
  <c r="M2192" i="1"/>
  <c r="L2192" i="1"/>
  <c r="K2192" i="1"/>
  <c r="J2192" i="1"/>
  <c r="I2192" i="1"/>
  <c r="H2192" i="1"/>
  <c r="G2192" i="1"/>
  <c r="M2191" i="1"/>
  <c r="L2191" i="1"/>
  <c r="K2191" i="1"/>
  <c r="J2191" i="1"/>
  <c r="I2191" i="1"/>
  <c r="H2191" i="1"/>
  <c r="G2191" i="1"/>
  <c r="M2190" i="1"/>
  <c r="L2190" i="1"/>
  <c r="K2190" i="1"/>
  <c r="J2190" i="1"/>
  <c r="I2190" i="1"/>
  <c r="H2190" i="1"/>
  <c r="G2190" i="1"/>
  <c r="M2189" i="1"/>
  <c r="L2189" i="1"/>
  <c r="K2189" i="1"/>
  <c r="J2189" i="1"/>
  <c r="I2189" i="1"/>
  <c r="H2189" i="1"/>
  <c r="G2189" i="1"/>
  <c r="M2188" i="1"/>
  <c r="L2188" i="1"/>
  <c r="K2188" i="1"/>
  <c r="J2188" i="1"/>
  <c r="I2188" i="1"/>
  <c r="H2188" i="1"/>
  <c r="G2188" i="1"/>
  <c r="M2187" i="1"/>
  <c r="L2187" i="1"/>
  <c r="K2187" i="1"/>
  <c r="J2187" i="1"/>
  <c r="I2187" i="1"/>
  <c r="H2187" i="1"/>
  <c r="G2187" i="1"/>
  <c r="M2186" i="1"/>
  <c r="L2186" i="1"/>
  <c r="K2186" i="1"/>
  <c r="J2186" i="1"/>
  <c r="I2186" i="1"/>
  <c r="H2186" i="1"/>
  <c r="G2186" i="1"/>
  <c r="M2185" i="1"/>
  <c r="L2185" i="1"/>
  <c r="K2185" i="1"/>
  <c r="J2185" i="1"/>
  <c r="I2185" i="1"/>
  <c r="H2185" i="1"/>
  <c r="G2185" i="1"/>
  <c r="M2184" i="1"/>
  <c r="L2184" i="1"/>
  <c r="K2184" i="1"/>
  <c r="J2184" i="1"/>
  <c r="I2184" i="1"/>
  <c r="H2184" i="1"/>
  <c r="G2184" i="1"/>
  <c r="M2183" i="1"/>
  <c r="L2183" i="1"/>
  <c r="K2183" i="1"/>
  <c r="J2183" i="1"/>
  <c r="I2183" i="1"/>
  <c r="H2183" i="1"/>
  <c r="G2183" i="1"/>
  <c r="M2182" i="1"/>
  <c r="L2182" i="1"/>
  <c r="K2182" i="1"/>
  <c r="J2182" i="1"/>
  <c r="I2182" i="1"/>
  <c r="H2182" i="1"/>
  <c r="G2182" i="1"/>
  <c r="M2181" i="1"/>
  <c r="L2181" i="1"/>
  <c r="K2181" i="1"/>
  <c r="J2181" i="1"/>
  <c r="I2181" i="1"/>
  <c r="H2181" i="1"/>
  <c r="G2181" i="1"/>
  <c r="M2180" i="1"/>
  <c r="L2180" i="1"/>
  <c r="K2180" i="1"/>
  <c r="J2180" i="1"/>
  <c r="I2180" i="1"/>
  <c r="H2180" i="1"/>
  <c r="G2180" i="1"/>
  <c r="M2179" i="1"/>
  <c r="L2179" i="1"/>
  <c r="K2179" i="1"/>
  <c r="J2179" i="1"/>
  <c r="I2179" i="1"/>
  <c r="H2179" i="1"/>
  <c r="G2179" i="1"/>
  <c r="M2178" i="1"/>
  <c r="L2178" i="1"/>
  <c r="K2178" i="1"/>
  <c r="J2178" i="1"/>
  <c r="I2178" i="1"/>
  <c r="H2178" i="1"/>
  <c r="G2178" i="1"/>
  <c r="M2177" i="1"/>
  <c r="L2177" i="1"/>
  <c r="K2177" i="1"/>
  <c r="J2177" i="1"/>
  <c r="I2177" i="1"/>
  <c r="H2177" i="1"/>
  <c r="G2177" i="1"/>
  <c r="M2176" i="1"/>
  <c r="L2176" i="1"/>
  <c r="K2176" i="1"/>
  <c r="J2176" i="1"/>
  <c r="I2176" i="1"/>
  <c r="H2176" i="1"/>
  <c r="G2176" i="1"/>
  <c r="M2175" i="1"/>
  <c r="L2175" i="1"/>
  <c r="K2175" i="1"/>
  <c r="J2175" i="1"/>
  <c r="I2175" i="1"/>
  <c r="H2175" i="1"/>
  <c r="G2175" i="1"/>
  <c r="M2174" i="1"/>
  <c r="L2174" i="1"/>
  <c r="K2174" i="1"/>
  <c r="J2174" i="1"/>
  <c r="I2174" i="1"/>
  <c r="H2174" i="1"/>
  <c r="G2174" i="1"/>
  <c r="M2173" i="1"/>
  <c r="L2173" i="1"/>
  <c r="K2173" i="1"/>
  <c r="J2173" i="1"/>
  <c r="I2173" i="1"/>
  <c r="H2173" i="1"/>
  <c r="G2173" i="1"/>
  <c r="M2172" i="1"/>
  <c r="L2172" i="1"/>
  <c r="K2172" i="1"/>
  <c r="J2172" i="1"/>
  <c r="I2172" i="1"/>
  <c r="H2172" i="1"/>
  <c r="G2172" i="1"/>
  <c r="M2171" i="1"/>
  <c r="L2171" i="1"/>
  <c r="K2171" i="1"/>
  <c r="J2171" i="1"/>
  <c r="I2171" i="1"/>
  <c r="H2171" i="1"/>
  <c r="G2171" i="1"/>
  <c r="M2170" i="1"/>
  <c r="L2170" i="1"/>
  <c r="K2170" i="1"/>
  <c r="J2170" i="1"/>
  <c r="I2170" i="1"/>
  <c r="H2170" i="1"/>
  <c r="G2170" i="1"/>
  <c r="M2169" i="1"/>
  <c r="L2169" i="1"/>
  <c r="K2169" i="1"/>
  <c r="J2169" i="1"/>
  <c r="I2169" i="1"/>
  <c r="H2169" i="1"/>
  <c r="G2169" i="1"/>
  <c r="M2168" i="1"/>
  <c r="L2168" i="1"/>
  <c r="K2168" i="1"/>
  <c r="J2168" i="1"/>
  <c r="I2168" i="1"/>
  <c r="H2168" i="1"/>
  <c r="G2168" i="1"/>
  <c r="M2167" i="1"/>
  <c r="L2167" i="1"/>
  <c r="K2167" i="1"/>
  <c r="J2167" i="1"/>
  <c r="I2167" i="1"/>
  <c r="H2167" i="1"/>
  <c r="G2167" i="1"/>
  <c r="M2166" i="1"/>
  <c r="L2166" i="1"/>
  <c r="K2166" i="1"/>
  <c r="J2166" i="1"/>
  <c r="I2166" i="1"/>
  <c r="H2166" i="1"/>
  <c r="G2166" i="1"/>
  <c r="M2165" i="1"/>
  <c r="L2165" i="1"/>
  <c r="K2165" i="1"/>
  <c r="J2165" i="1"/>
  <c r="I2165" i="1"/>
  <c r="H2165" i="1"/>
  <c r="G2165" i="1"/>
  <c r="M2164" i="1"/>
  <c r="L2164" i="1"/>
  <c r="K2164" i="1"/>
  <c r="J2164" i="1"/>
  <c r="I2164" i="1"/>
  <c r="H2164" i="1"/>
  <c r="G2164" i="1"/>
  <c r="M2163" i="1"/>
  <c r="L2163" i="1"/>
  <c r="K2163" i="1"/>
  <c r="J2163" i="1"/>
  <c r="I2163" i="1"/>
  <c r="H2163" i="1"/>
  <c r="G2163" i="1"/>
  <c r="M2162" i="1"/>
  <c r="L2162" i="1"/>
  <c r="K2162" i="1"/>
  <c r="J2162" i="1"/>
  <c r="I2162" i="1"/>
  <c r="H2162" i="1"/>
  <c r="G2162" i="1"/>
  <c r="M2161" i="1"/>
  <c r="L2161" i="1"/>
  <c r="K2161" i="1"/>
  <c r="J2161" i="1"/>
  <c r="I2161" i="1"/>
  <c r="H2161" i="1"/>
  <c r="G2161" i="1"/>
  <c r="M2160" i="1"/>
  <c r="L2160" i="1"/>
  <c r="K2160" i="1"/>
  <c r="J2160" i="1"/>
  <c r="I2160" i="1"/>
  <c r="H2160" i="1"/>
  <c r="G2160" i="1"/>
  <c r="M2159" i="1"/>
  <c r="L2159" i="1"/>
  <c r="K2159" i="1"/>
  <c r="J2159" i="1"/>
  <c r="I2159" i="1"/>
  <c r="H2159" i="1"/>
  <c r="G2159" i="1"/>
  <c r="M2158" i="1"/>
  <c r="L2158" i="1"/>
  <c r="K2158" i="1"/>
  <c r="J2158" i="1"/>
  <c r="I2158" i="1"/>
  <c r="H2158" i="1"/>
  <c r="G2158" i="1"/>
  <c r="M2157" i="1"/>
  <c r="L2157" i="1"/>
  <c r="K2157" i="1"/>
  <c r="J2157" i="1"/>
  <c r="I2157" i="1"/>
  <c r="H2157" i="1"/>
  <c r="G2157" i="1"/>
  <c r="M2156" i="1"/>
  <c r="L2156" i="1"/>
  <c r="K2156" i="1"/>
  <c r="J2156" i="1"/>
  <c r="I2156" i="1"/>
  <c r="H2156" i="1"/>
  <c r="G2156" i="1"/>
  <c r="M2155" i="1"/>
  <c r="L2155" i="1"/>
  <c r="K2155" i="1"/>
  <c r="J2155" i="1"/>
  <c r="I2155" i="1"/>
  <c r="H2155" i="1"/>
  <c r="G2155" i="1"/>
  <c r="M2154" i="1"/>
  <c r="L2154" i="1"/>
  <c r="K2154" i="1"/>
  <c r="J2154" i="1"/>
  <c r="I2154" i="1"/>
  <c r="H2154" i="1"/>
  <c r="G2154" i="1"/>
  <c r="M2153" i="1"/>
  <c r="L2153" i="1"/>
  <c r="K2153" i="1"/>
  <c r="J2153" i="1"/>
  <c r="I2153" i="1"/>
  <c r="H2153" i="1"/>
  <c r="G2153" i="1"/>
  <c r="M2152" i="1"/>
  <c r="L2152" i="1"/>
  <c r="K2152" i="1"/>
  <c r="J2152" i="1"/>
  <c r="I2152" i="1"/>
  <c r="H2152" i="1"/>
  <c r="G2152" i="1"/>
  <c r="M2151" i="1"/>
  <c r="L2151" i="1"/>
  <c r="K2151" i="1"/>
  <c r="J2151" i="1"/>
  <c r="I2151" i="1"/>
  <c r="H2151" i="1"/>
  <c r="G2151" i="1"/>
  <c r="M2150" i="1"/>
  <c r="L2150" i="1"/>
  <c r="K2150" i="1"/>
  <c r="J2150" i="1"/>
  <c r="I2150" i="1"/>
  <c r="H2150" i="1"/>
  <c r="G2150" i="1"/>
  <c r="M2149" i="1"/>
  <c r="L2149" i="1"/>
  <c r="K2149" i="1"/>
  <c r="J2149" i="1"/>
  <c r="I2149" i="1"/>
  <c r="H2149" i="1"/>
  <c r="G2149" i="1"/>
  <c r="M2148" i="1"/>
  <c r="L2148" i="1"/>
  <c r="K2148" i="1"/>
  <c r="J2148" i="1"/>
  <c r="I2148" i="1"/>
  <c r="H2148" i="1"/>
  <c r="G2148" i="1"/>
  <c r="M2147" i="1"/>
  <c r="L2147" i="1"/>
  <c r="K2147" i="1"/>
  <c r="J2147" i="1"/>
  <c r="I2147" i="1"/>
  <c r="H2147" i="1"/>
  <c r="G2147" i="1"/>
  <c r="M2146" i="1"/>
  <c r="L2146" i="1"/>
  <c r="K2146" i="1"/>
  <c r="J2146" i="1"/>
  <c r="I2146" i="1"/>
  <c r="H2146" i="1"/>
  <c r="G2146" i="1"/>
  <c r="M2145" i="1"/>
  <c r="L2145" i="1"/>
  <c r="K2145" i="1"/>
  <c r="J2145" i="1"/>
  <c r="I2145" i="1"/>
  <c r="H2145" i="1"/>
  <c r="G2145" i="1"/>
  <c r="M2144" i="1"/>
  <c r="L2144" i="1"/>
  <c r="K2144" i="1"/>
  <c r="J2144" i="1"/>
  <c r="I2144" i="1"/>
  <c r="H2144" i="1"/>
  <c r="G2144" i="1"/>
  <c r="M2143" i="1"/>
  <c r="L2143" i="1"/>
  <c r="K2143" i="1"/>
  <c r="J2143" i="1"/>
  <c r="I2143" i="1"/>
  <c r="H2143" i="1"/>
  <c r="G2143" i="1"/>
  <c r="M2142" i="1"/>
  <c r="L2142" i="1"/>
  <c r="K2142" i="1"/>
  <c r="J2142" i="1"/>
  <c r="I2142" i="1"/>
  <c r="H2142" i="1"/>
  <c r="G2142" i="1"/>
  <c r="M2141" i="1"/>
  <c r="L2141" i="1"/>
  <c r="K2141" i="1"/>
  <c r="J2141" i="1"/>
  <c r="I2141" i="1"/>
  <c r="H2141" i="1"/>
  <c r="G2141" i="1"/>
  <c r="M2140" i="1"/>
  <c r="L2140" i="1"/>
  <c r="K2140" i="1"/>
  <c r="J2140" i="1"/>
  <c r="I2140" i="1"/>
  <c r="H2140" i="1"/>
  <c r="G2140" i="1"/>
  <c r="M2139" i="1"/>
  <c r="L2139" i="1"/>
  <c r="K2139" i="1"/>
  <c r="J2139" i="1"/>
  <c r="I2139" i="1"/>
  <c r="H2139" i="1"/>
  <c r="G2139" i="1"/>
  <c r="M2138" i="1"/>
  <c r="L2138" i="1"/>
  <c r="K2138" i="1"/>
  <c r="J2138" i="1"/>
  <c r="I2138" i="1"/>
  <c r="H2138" i="1"/>
  <c r="G2138" i="1"/>
  <c r="M2137" i="1"/>
  <c r="L2137" i="1"/>
  <c r="K2137" i="1"/>
  <c r="J2137" i="1"/>
  <c r="I2137" i="1"/>
  <c r="H2137" i="1"/>
  <c r="G2137" i="1"/>
  <c r="M2136" i="1"/>
  <c r="L2136" i="1"/>
  <c r="K2136" i="1"/>
  <c r="J2136" i="1"/>
  <c r="I2136" i="1"/>
  <c r="H2136" i="1"/>
  <c r="G2136" i="1"/>
  <c r="M2135" i="1"/>
  <c r="L2135" i="1"/>
  <c r="K2135" i="1"/>
  <c r="J2135" i="1"/>
  <c r="I2135" i="1"/>
  <c r="H2135" i="1"/>
  <c r="G2135" i="1"/>
  <c r="M2134" i="1"/>
  <c r="L2134" i="1"/>
  <c r="K2134" i="1"/>
  <c r="J2134" i="1"/>
  <c r="I2134" i="1"/>
  <c r="H2134" i="1"/>
  <c r="G2134" i="1"/>
  <c r="M2133" i="1"/>
  <c r="L2133" i="1"/>
  <c r="K2133" i="1"/>
  <c r="J2133" i="1"/>
  <c r="I2133" i="1"/>
  <c r="H2133" i="1"/>
  <c r="G2133" i="1"/>
  <c r="M2132" i="1"/>
  <c r="L2132" i="1"/>
  <c r="K2132" i="1"/>
  <c r="J2132" i="1"/>
  <c r="I2132" i="1"/>
  <c r="H2132" i="1"/>
  <c r="G2132" i="1"/>
  <c r="M2131" i="1"/>
  <c r="L2131" i="1"/>
  <c r="K2131" i="1"/>
  <c r="J2131" i="1"/>
  <c r="I2131" i="1"/>
  <c r="H2131" i="1"/>
  <c r="G2131" i="1"/>
  <c r="M2130" i="1"/>
  <c r="L2130" i="1"/>
  <c r="K2130" i="1"/>
  <c r="J2130" i="1"/>
  <c r="I2130" i="1"/>
  <c r="H2130" i="1"/>
  <c r="G2130" i="1"/>
  <c r="M2129" i="1"/>
  <c r="L2129" i="1"/>
  <c r="K2129" i="1"/>
  <c r="J2129" i="1"/>
  <c r="I2129" i="1"/>
  <c r="H2129" i="1"/>
  <c r="G2129" i="1"/>
  <c r="M2128" i="1"/>
  <c r="L2128" i="1"/>
  <c r="K2128" i="1"/>
  <c r="J2128" i="1"/>
  <c r="I2128" i="1"/>
  <c r="H2128" i="1"/>
  <c r="G2128" i="1"/>
  <c r="M2127" i="1"/>
  <c r="L2127" i="1"/>
  <c r="K2127" i="1"/>
  <c r="J2127" i="1"/>
  <c r="I2127" i="1"/>
  <c r="H2127" i="1"/>
  <c r="G2127" i="1"/>
  <c r="M2126" i="1"/>
  <c r="L2126" i="1"/>
  <c r="K2126" i="1"/>
  <c r="J2126" i="1"/>
  <c r="I2126" i="1"/>
  <c r="H2126" i="1"/>
  <c r="G2126" i="1"/>
  <c r="M2125" i="1"/>
  <c r="L2125" i="1"/>
  <c r="K2125" i="1"/>
  <c r="J2125" i="1"/>
  <c r="I2125" i="1"/>
  <c r="H2125" i="1"/>
  <c r="G2125" i="1"/>
  <c r="M2124" i="1"/>
  <c r="L2124" i="1"/>
  <c r="K2124" i="1"/>
  <c r="J2124" i="1"/>
  <c r="I2124" i="1"/>
  <c r="H2124" i="1"/>
  <c r="G2124" i="1"/>
  <c r="M2123" i="1"/>
  <c r="L2123" i="1"/>
  <c r="K2123" i="1"/>
  <c r="J2123" i="1"/>
  <c r="I2123" i="1"/>
  <c r="H2123" i="1"/>
  <c r="G2123" i="1"/>
  <c r="M2122" i="1"/>
  <c r="L2122" i="1"/>
  <c r="K2122" i="1"/>
  <c r="J2122" i="1"/>
  <c r="I2122" i="1"/>
  <c r="H2122" i="1"/>
  <c r="G2122" i="1"/>
  <c r="M2121" i="1"/>
  <c r="L2121" i="1"/>
  <c r="K2121" i="1"/>
  <c r="J2121" i="1"/>
  <c r="I2121" i="1"/>
  <c r="H2121" i="1"/>
  <c r="G2121" i="1"/>
  <c r="M2120" i="1"/>
  <c r="L2120" i="1"/>
  <c r="K2120" i="1"/>
  <c r="J2120" i="1"/>
  <c r="I2120" i="1"/>
  <c r="H2120" i="1"/>
  <c r="G2120" i="1"/>
  <c r="M2119" i="1"/>
  <c r="L2119" i="1"/>
  <c r="K2119" i="1"/>
  <c r="J2119" i="1"/>
  <c r="I2119" i="1"/>
  <c r="H2119" i="1"/>
  <c r="G2119" i="1"/>
  <c r="M2118" i="1"/>
  <c r="L2118" i="1"/>
  <c r="K2118" i="1"/>
  <c r="J2118" i="1"/>
  <c r="I2118" i="1"/>
  <c r="H2118" i="1"/>
  <c r="G2118" i="1"/>
  <c r="M2117" i="1"/>
  <c r="L2117" i="1"/>
  <c r="K2117" i="1"/>
  <c r="J2117" i="1"/>
  <c r="I2117" i="1"/>
  <c r="H2117" i="1"/>
  <c r="G2117" i="1"/>
  <c r="M2116" i="1"/>
  <c r="L2116" i="1"/>
  <c r="K2116" i="1"/>
  <c r="J2116" i="1"/>
  <c r="I2116" i="1"/>
  <c r="H2116" i="1"/>
  <c r="G2116" i="1"/>
  <c r="M2115" i="1"/>
  <c r="L2115" i="1"/>
  <c r="K2115" i="1"/>
  <c r="J2115" i="1"/>
  <c r="I2115" i="1"/>
  <c r="H2115" i="1"/>
  <c r="G2115" i="1"/>
  <c r="M2114" i="1"/>
  <c r="L2114" i="1"/>
  <c r="K2114" i="1"/>
  <c r="J2114" i="1"/>
  <c r="I2114" i="1"/>
  <c r="H2114" i="1"/>
  <c r="G2114" i="1"/>
  <c r="M2113" i="1"/>
  <c r="L2113" i="1"/>
  <c r="K2113" i="1"/>
  <c r="J2113" i="1"/>
  <c r="I2113" i="1"/>
  <c r="H2113" i="1"/>
  <c r="G2113" i="1"/>
  <c r="M2112" i="1"/>
  <c r="L2112" i="1"/>
  <c r="K2112" i="1"/>
  <c r="J2112" i="1"/>
  <c r="I2112" i="1"/>
  <c r="H2112" i="1"/>
  <c r="G2112" i="1"/>
  <c r="M2111" i="1"/>
  <c r="L2111" i="1"/>
  <c r="K2111" i="1"/>
  <c r="J2111" i="1"/>
  <c r="I2111" i="1"/>
  <c r="H2111" i="1"/>
  <c r="G2111" i="1"/>
  <c r="M2110" i="1"/>
  <c r="L2110" i="1"/>
  <c r="K2110" i="1"/>
  <c r="J2110" i="1"/>
  <c r="I2110" i="1"/>
  <c r="H2110" i="1"/>
  <c r="G2110" i="1"/>
  <c r="M2109" i="1"/>
  <c r="L2109" i="1"/>
  <c r="K2109" i="1"/>
  <c r="J2109" i="1"/>
  <c r="I2109" i="1"/>
  <c r="H2109" i="1"/>
  <c r="G2109" i="1"/>
  <c r="M2108" i="1"/>
  <c r="L2108" i="1"/>
  <c r="K2108" i="1"/>
  <c r="J2108" i="1"/>
  <c r="I2108" i="1"/>
  <c r="H2108" i="1"/>
  <c r="G2108" i="1"/>
  <c r="M2107" i="1"/>
  <c r="L2107" i="1"/>
  <c r="K2107" i="1"/>
  <c r="J2107" i="1"/>
  <c r="I2107" i="1"/>
  <c r="H2107" i="1"/>
  <c r="G2107" i="1"/>
  <c r="M2106" i="1"/>
  <c r="L2106" i="1"/>
  <c r="K2106" i="1"/>
  <c r="J2106" i="1"/>
  <c r="I2106" i="1"/>
  <c r="H2106" i="1"/>
  <c r="G2106" i="1"/>
  <c r="M2105" i="1"/>
  <c r="L2105" i="1"/>
  <c r="K2105" i="1"/>
  <c r="J2105" i="1"/>
  <c r="I2105" i="1"/>
  <c r="H2105" i="1"/>
  <c r="G2105" i="1"/>
  <c r="M2104" i="1"/>
  <c r="L2104" i="1"/>
  <c r="K2104" i="1"/>
  <c r="J2104" i="1"/>
  <c r="I2104" i="1"/>
  <c r="H2104" i="1"/>
  <c r="G2104" i="1"/>
  <c r="M2103" i="1"/>
  <c r="L2103" i="1"/>
  <c r="K2103" i="1"/>
  <c r="J2103" i="1"/>
  <c r="I2103" i="1"/>
  <c r="H2103" i="1"/>
  <c r="G2103" i="1"/>
  <c r="M2102" i="1"/>
  <c r="L2102" i="1"/>
  <c r="K2102" i="1"/>
  <c r="J2102" i="1"/>
  <c r="I2102" i="1"/>
  <c r="H2102" i="1"/>
  <c r="G2102" i="1"/>
  <c r="M2101" i="1"/>
  <c r="L2101" i="1"/>
  <c r="K2101" i="1"/>
  <c r="J2101" i="1"/>
  <c r="I2101" i="1"/>
  <c r="H2101" i="1"/>
  <c r="G2101" i="1"/>
  <c r="M2100" i="1"/>
  <c r="L2100" i="1"/>
  <c r="K2100" i="1"/>
  <c r="J2100" i="1"/>
  <c r="I2100" i="1"/>
  <c r="H2100" i="1"/>
  <c r="G2100" i="1"/>
  <c r="M2099" i="1"/>
  <c r="L2099" i="1"/>
  <c r="K2099" i="1"/>
  <c r="J2099" i="1"/>
  <c r="I2099" i="1"/>
  <c r="H2099" i="1"/>
  <c r="G2099" i="1"/>
  <c r="M2098" i="1"/>
  <c r="L2098" i="1"/>
  <c r="K2098" i="1"/>
  <c r="J2098" i="1"/>
  <c r="I2098" i="1"/>
  <c r="H2098" i="1"/>
  <c r="G2098" i="1"/>
  <c r="M2097" i="1"/>
  <c r="L2097" i="1"/>
  <c r="K2097" i="1"/>
  <c r="J2097" i="1"/>
  <c r="I2097" i="1"/>
  <c r="H2097" i="1"/>
  <c r="G2097" i="1"/>
  <c r="M2096" i="1"/>
  <c r="L2096" i="1"/>
  <c r="K2096" i="1"/>
  <c r="J2096" i="1"/>
  <c r="I2096" i="1"/>
  <c r="H2096" i="1"/>
  <c r="G2096" i="1"/>
  <c r="M2095" i="1"/>
  <c r="L2095" i="1"/>
  <c r="K2095" i="1"/>
  <c r="J2095" i="1"/>
  <c r="I2095" i="1"/>
  <c r="H2095" i="1"/>
  <c r="G2095" i="1"/>
  <c r="M2094" i="1"/>
  <c r="L2094" i="1"/>
  <c r="K2094" i="1"/>
  <c r="J2094" i="1"/>
  <c r="I2094" i="1"/>
  <c r="H2094" i="1"/>
  <c r="G2094" i="1"/>
  <c r="M2093" i="1"/>
  <c r="L2093" i="1"/>
  <c r="K2093" i="1"/>
  <c r="J2093" i="1"/>
  <c r="I2093" i="1"/>
  <c r="H2093" i="1"/>
  <c r="G2093" i="1"/>
  <c r="M2092" i="1"/>
  <c r="L2092" i="1"/>
  <c r="K2092" i="1"/>
  <c r="J2092" i="1"/>
  <c r="I2092" i="1"/>
  <c r="H2092" i="1"/>
  <c r="G2092" i="1"/>
  <c r="M2091" i="1"/>
  <c r="L2091" i="1"/>
  <c r="K2091" i="1"/>
  <c r="J2091" i="1"/>
  <c r="I2091" i="1"/>
  <c r="H2091" i="1"/>
  <c r="G2091" i="1"/>
  <c r="M2090" i="1"/>
  <c r="L2090" i="1"/>
  <c r="K2090" i="1"/>
  <c r="J2090" i="1"/>
  <c r="I2090" i="1"/>
  <c r="H2090" i="1"/>
  <c r="G2090" i="1"/>
  <c r="M2089" i="1"/>
  <c r="L2089" i="1"/>
  <c r="K2089" i="1"/>
  <c r="J2089" i="1"/>
  <c r="I2089" i="1"/>
  <c r="H2089" i="1"/>
  <c r="G2089" i="1"/>
  <c r="M2088" i="1"/>
  <c r="L2088" i="1"/>
  <c r="K2088" i="1"/>
  <c r="J2088" i="1"/>
  <c r="I2088" i="1"/>
  <c r="H2088" i="1"/>
  <c r="G2088" i="1"/>
  <c r="M2087" i="1"/>
  <c r="L2087" i="1"/>
  <c r="K2087" i="1"/>
  <c r="J2087" i="1"/>
  <c r="I2087" i="1"/>
  <c r="H2087" i="1"/>
  <c r="G2087" i="1"/>
  <c r="M2086" i="1"/>
  <c r="L2086" i="1"/>
  <c r="K2086" i="1"/>
  <c r="J2086" i="1"/>
  <c r="I2086" i="1"/>
  <c r="H2086" i="1"/>
  <c r="G2086" i="1"/>
  <c r="M2085" i="1"/>
  <c r="L2085" i="1"/>
  <c r="K2085" i="1"/>
  <c r="J2085" i="1"/>
  <c r="I2085" i="1"/>
  <c r="H2085" i="1"/>
  <c r="G2085" i="1"/>
  <c r="M2084" i="1"/>
  <c r="L2084" i="1"/>
  <c r="K2084" i="1"/>
  <c r="J2084" i="1"/>
  <c r="I2084" i="1"/>
  <c r="H2084" i="1"/>
  <c r="G2084" i="1"/>
  <c r="M2083" i="1"/>
  <c r="L2083" i="1"/>
  <c r="K2083" i="1"/>
  <c r="J2083" i="1"/>
  <c r="I2083" i="1"/>
  <c r="H2083" i="1"/>
  <c r="G2083" i="1"/>
  <c r="M2082" i="1"/>
  <c r="L2082" i="1"/>
  <c r="K2082" i="1"/>
  <c r="J2082" i="1"/>
  <c r="I2082" i="1"/>
  <c r="H2082" i="1"/>
  <c r="G2082" i="1"/>
  <c r="M2081" i="1"/>
  <c r="L2081" i="1"/>
  <c r="K2081" i="1"/>
  <c r="J2081" i="1"/>
  <c r="I2081" i="1"/>
  <c r="H2081" i="1"/>
  <c r="G2081" i="1"/>
  <c r="M2080" i="1"/>
  <c r="L2080" i="1"/>
  <c r="K2080" i="1"/>
  <c r="J2080" i="1"/>
  <c r="I2080" i="1"/>
  <c r="H2080" i="1"/>
  <c r="G2080" i="1"/>
  <c r="M2079" i="1"/>
  <c r="L2079" i="1"/>
  <c r="K2079" i="1"/>
  <c r="J2079" i="1"/>
  <c r="I2079" i="1"/>
  <c r="H2079" i="1"/>
  <c r="G2079" i="1"/>
  <c r="M2078" i="1"/>
  <c r="L2078" i="1"/>
  <c r="K2078" i="1"/>
  <c r="J2078" i="1"/>
  <c r="I2078" i="1"/>
  <c r="H2078" i="1"/>
  <c r="G2078" i="1"/>
  <c r="M2077" i="1"/>
  <c r="L2077" i="1"/>
  <c r="K2077" i="1"/>
  <c r="J2077" i="1"/>
  <c r="I2077" i="1"/>
  <c r="H2077" i="1"/>
  <c r="G2077" i="1"/>
  <c r="M2076" i="1"/>
  <c r="L2076" i="1"/>
  <c r="K2076" i="1"/>
  <c r="J2076" i="1"/>
  <c r="I2076" i="1"/>
  <c r="H2076" i="1"/>
  <c r="G2076" i="1"/>
  <c r="M2075" i="1"/>
  <c r="L2075" i="1"/>
  <c r="K2075" i="1"/>
  <c r="J2075" i="1"/>
  <c r="I2075" i="1"/>
  <c r="H2075" i="1"/>
  <c r="G2075" i="1"/>
  <c r="M2074" i="1"/>
  <c r="L2074" i="1"/>
  <c r="K2074" i="1"/>
  <c r="J2074" i="1"/>
  <c r="I2074" i="1"/>
  <c r="H2074" i="1"/>
  <c r="G2074" i="1"/>
  <c r="M2073" i="1"/>
  <c r="L2073" i="1"/>
  <c r="K2073" i="1"/>
  <c r="J2073" i="1"/>
  <c r="I2073" i="1"/>
  <c r="H2073" i="1"/>
  <c r="G2073" i="1"/>
  <c r="M2072" i="1"/>
  <c r="L2072" i="1"/>
  <c r="K2072" i="1"/>
  <c r="J2072" i="1"/>
  <c r="I2072" i="1"/>
  <c r="H2072" i="1"/>
  <c r="G2072" i="1"/>
  <c r="M2071" i="1"/>
  <c r="L2071" i="1"/>
  <c r="K2071" i="1"/>
  <c r="J2071" i="1"/>
  <c r="I2071" i="1"/>
  <c r="H2071" i="1"/>
  <c r="G2071" i="1"/>
  <c r="M2070" i="1"/>
  <c r="L2070" i="1"/>
  <c r="K2070" i="1"/>
  <c r="J2070" i="1"/>
  <c r="I2070" i="1"/>
  <c r="H2070" i="1"/>
  <c r="G2070" i="1"/>
  <c r="M2069" i="1"/>
  <c r="L2069" i="1"/>
  <c r="K2069" i="1"/>
  <c r="J2069" i="1"/>
  <c r="I2069" i="1"/>
  <c r="H2069" i="1"/>
  <c r="G2069" i="1"/>
  <c r="M2068" i="1"/>
  <c r="L2068" i="1"/>
  <c r="K2068" i="1"/>
  <c r="J2068" i="1"/>
  <c r="I2068" i="1"/>
  <c r="H2068" i="1"/>
  <c r="G2068" i="1"/>
  <c r="M2067" i="1"/>
  <c r="L2067" i="1"/>
  <c r="K2067" i="1"/>
  <c r="J2067" i="1"/>
  <c r="I2067" i="1"/>
  <c r="H2067" i="1"/>
  <c r="G2067" i="1"/>
  <c r="M2066" i="1"/>
  <c r="L2066" i="1"/>
  <c r="K2066" i="1"/>
  <c r="J2066" i="1"/>
  <c r="I2066" i="1"/>
  <c r="H2066" i="1"/>
  <c r="G2066" i="1"/>
  <c r="M2065" i="1"/>
  <c r="L2065" i="1"/>
  <c r="K2065" i="1"/>
  <c r="J2065" i="1"/>
  <c r="I2065" i="1"/>
  <c r="H2065" i="1"/>
  <c r="G2065" i="1"/>
  <c r="M2064" i="1"/>
  <c r="L2064" i="1"/>
  <c r="K2064" i="1"/>
  <c r="J2064" i="1"/>
  <c r="I2064" i="1"/>
  <c r="H2064" i="1"/>
  <c r="G2064" i="1"/>
  <c r="M2063" i="1"/>
  <c r="L2063" i="1"/>
  <c r="K2063" i="1"/>
  <c r="J2063" i="1"/>
  <c r="I2063" i="1"/>
  <c r="H2063" i="1"/>
  <c r="G2063" i="1"/>
  <c r="M2062" i="1"/>
  <c r="L2062" i="1"/>
  <c r="K2062" i="1"/>
  <c r="J2062" i="1"/>
  <c r="I2062" i="1"/>
  <c r="H2062" i="1"/>
  <c r="G2062" i="1"/>
  <c r="M2061" i="1"/>
  <c r="L2061" i="1"/>
  <c r="K2061" i="1"/>
  <c r="J2061" i="1"/>
  <c r="I2061" i="1"/>
  <c r="H2061" i="1"/>
  <c r="G2061" i="1"/>
  <c r="M2060" i="1"/>
  <c r="L2060" i="1"/>
  <c r="K2060" i="1"/>
  <c r="J2060" i="1"/>
  <c r="I2060" i="1"/>
  <c r="H2060" i="1"/>
  <c r="G2060" i="1"/>
  <c r="M2059" i="1"/>
  <c r="L2059" i="1"/>
  <c r="K2059" i="1"/>
  <c r="J2059" i="1"/>
  <c r="I2059" i="1"/>
  <c r="H2059" i="1"/>
  <c r="G2059" i="1"/>
  <c r="M2058" i="1"/>
  <c r="L2058" i="1"/>
  <c r="K2058" i="1"/>
  <c r="J2058" i="1"/>
  <c r="I2058" i="1"/>
  <c r="H2058" i="1"/>
  <c r="G2058" i="1"/>
  <c r="M2057" i="1"/>
  <c r="L2057" i="1"/>
  <c r="K2057" i="1"/>
  <c r="J2057" i="1"/>
  <c r="I2057" i="1"/>
  <c r="H2057" i="1"/>
  <c r="G2057" i="1"/>
  <c r="M2056" i="1"/>
  <c r="L2056" i="1"/>
  <c r="K2056" i="1"/>
  <c r="J2056" i="1"/>
  <c r="I2056" i="1"/>
  <c r="H2056" i="1"/>
  <c r="G2056" i="1"/>
  <c r="M2055" i="1"/>
  <c r="L2055" i="1"/>
  <c r="K2055" i="1"/>
  <c r="J2055" i="1"/>
  <c r="I2055" i="1"/>
  <c r="H2055" i="1"/>
  <c r="G2055" i="1"/>
  <c r="M2054" i="1"/>
  <c r="L2054" i="1"/>
  <c r="K2054" i="1"/>
  <c r="J2054" i="1"/>
  <c r="I2054" i="1"/>
  <c r="H2054" i="1"/>
  <c r="G2054" i="1"/>
  <c r="M2053" i="1"/>
  <c r="L2053" i="1"/>
  <c r="K2053" i="1"/>
  <c r="J2053" i="1"/>
  <c r="I2053" i="1"/>
  <c r="H2053" i="1"/>
  <c r="G2053" i="1"/>
  <c r="M2052" i="1"/>
  <c r="L2052" i="1"/>
  <c r="K2052" i="1"/>
  <c r="J2052" i="1"/>
  <c r="I2052" i="1"/>
  <c r="H2052" i="1"/>
  <c r="G2052" i="1"/>
  <c r="M2051" i="1"/>
  <c r="L2051" i="1"/>
  <c r="K2051" i="1"/>
  <c r="J2051" i="1"/>
  <c r="I2051" i="1"/>
  <c r="H2051" i="1"/>
  <c r="G2051" i="1"/>
  <c r="M2050" i="1"/>
  <c r="L2050" i="1"/>
  <c r="K2050" i="1"/>
  <c r="J2050" i="1"/>
  <c r="I2050" i="1"/>
  <c r="H2050" i="1"/>
  <c r="G2050" i="1"/>
  <c r="M2049" i="1"/>
  <c r="L2049" i="1"/>
  <c r="K2049" i="1"/>
  <c r="J2049" i="1"/>
  <c r="I2049" i="1"/>
  <c r="H2049" i="1"/>
  <c r="G2049" i="1"/>
  <c r="M2048" i="1"/>
  <c r="L2048" i="1"/>
  <c r="K2048" i="1"/>
  <c r="J2048" i="1"/>
  <c r="I2048" i="1"/>
  <c r="H2048" i="1"/>
  <c r="G2048" i="1"/>
  <c r="M2047" i="1"/>
  <c r="L2047" i="1"/>
  <c r="K2047" i="1"/>
  <c r="J2047" i="1"/>
  <c r="I2047" i="1"/>
  <c r="H2047" i="1"/>
  <c r="G2047" i="1"/>
  <c r="M2046" i="1"/>
  <c r="L2046" i="1"/>
  <c r="K2046" i="1"/>
  <c r="J2046" i="1"/>
  <c r="I2046" i="1"/>
  <c r="H2046" i="1"/>
  <c r="G2046" i="1"/>
  <c r="M2045" i="1"/>
  <c r="L2045" i="1"/>
  <c r="K2045" i="1"/>
  <c r="J2045" i="1"/>
  <c r="I2045" i="1"/>
  <c r="H2045" i="1"/>
  <c r="G2045" i="1"/>
  <c r="M2044" i="1"/>
  <c r="L2044" i="1"/>
  <c r="K2044" i="1"/>
  <c r="J2044" i="1"/>
  <c r="I2044" i="1"/>
  <c r="H2044" i="1"/>
  <c r="G2044" i="1"/>
  <c r="M2043" i="1"/>
  <c r="L2043" i="1"/>
  <c r="K2043" i="1"/>
  <c r="J2043" i="1"/>
  <c r="I2043" i="1"/>
  <c r="H2043" i="1"/>
  <c r="G2043" i="1"/>
  <c r="M2042" i="1"/>
  <c r="L2042" i="1"/>
  <c r="K2042" i="1"/>
  <c r="J2042" i="1"/>
  <c r="I2042" i="1"/>
  <c r="H2042" i="1"/>
  <c r="G2042" i="1"/>
  <c r="M2041" i="1"/>
  <c r="L2041" i="1"/>
  <c r="K2041" i="1"/>
  <c r="J2041" i="1"/>
  <c r="I2041" i="1"/>
  <c r="H2041" i="1"/>
  <c r="G2041" i="1"/>
  <c r="M2040" i="1"/>
  <c r="L2040" i="1"/>
  <c r="K2040" i="1"/>
  <c r="J2040" i="1"/>
  <c r="I2040" i="1"/>
  <c r="H2040" i="1"/>
  <c r="G2040" i="1"/>
  <c r="M2039" i="1"/>
  <c r="L2039" i="1"/>
  <c r="K2039" i="1"/>
  <c r="J2039" i="1"/>
  <c r="I2039" i="1"/>
  <c r="H2039" i="1"/>
  <c r="G2039" i="1"/>
  <c r="M2038" i="1"/>
  <c r="L2038" i="1"/>
  <c r="K2038" i="1"/>
  <c r="J2038" i="1"/>
  <c r="I2038" i="1"/>
  <c r="H2038" i="1"/>
  <c r="G2038" i="1"/>
  <c r="M2037" i="1"/>
  <c r="L2037" i="1"/>
  <c r="K2037" i="1"/>
  <c r="J2037" i="1"/>
  <c r="I2037" i="1"/>
  <c r="H2037" i="1"/>
  <c r="G2037" i="1"/>
  <c r="M2036" i="1"/>
  <c r="L2036" i="1"/>
  <c r="K2036" i="1"/>
  <c r="J2036" i="1"/>
  <c r="I2036" i="1"/>
  <c r="H2036" i="1"/>
  <c r="G2036" i="1"/>
  <c r="M2035" i="1"/>
  <c r="L2035" i="1"/>
  <c r="K2035" i="1"/>
  <c r="J2035" i="1"/>
  <c r="I2035" i="1"/>
  <c r="H2035" i="1"/>
  <c r="G2035" i="1"/>
  <c r="M2034" i="1"/>
  <c r="L2034" i="1"/>
  <c r="K2034" i="1"/>
  <c r="J2034" i="1"/>
  <c r="I2034" i="1"/>
  <c r="H2034" i="1"/>
  <c r="G2034" i="1"/>
  <c r="M2033" i="1"/>
  <c r="L2033" i="1"/>
  <c r="K2033" i="1"/>
  <c r="J2033" i="1"/>
  <c r="I2033" i="1"/>
  <c r="H2033" i="1"/>
  <c r="G2033" i="1"/>
  <c r="M2032" i="1"/>
  <c r="L2032" i="1"/>
  <c r="K2032" i="1"/>
  <c r="J2032" i="1"/>
  <c r="I2032" i="1"/>
  <c r="H2032" i="1"/>
  <c r="G2032" i="1"/>
  <c r="M2031" i="1"/>
  <c r="L2031" i="1"/>
  <c r="K2031" i="1"/>
  <c r="J2031" i="1"/>
  <c r="I2031" i="1"/>
  <c r="H2031" i="1"/>
  <c r="G2031" i="1"/>
  <c r="M2030" i="1"/>
  <c r="L2030" i="1"/>
  <c r="K2030" i="1"/>
  <c r="J2030" i="1"/>
  <c r="I2030" i="1"/>
  <c r="H2030" i="1"/>
  <c r="G2030" i="1"/>
  <c r="M2029" i="1"/>
  <c r="L2029" i="1"/>
  <c r="K2029" i="1"/>
  <c r="J2029" i="1"/>
  <c r="I2029" i="1"/>
  <c r="H2029" i="1"/>
  <c r="G2029" i="1"/>
  <c r="M2028" i="1"/>
  <c r="L2028" i="1"/>
  <c r="K2028" i="1"/>
  <c r="J2028" i="1"/>
  <c r="I2028" i="1"/>
  <c r="H2028" i="1"/>
  <c r="G2028" i="1"/>
  <c r="M2027" i="1"/>
  <c r="L2027" i="1"/>
  <c r="K2027" i="1"/>
  <c r="J2027" i="1"/>
  <c r="I2027" i="1"/>
  <c r="H2027" i="1"/>
  <c r="G2027" i="1"/>
  <c r="M2026" i="1"/>
  <c r="L2026" i="1"/>
  <c r="K2026" i="1"/>
  <c r="J2026" i="1"/>
  <c r="I2026" i="1"/>
  <c r="H2026" i="1"/>
  <c r="G2026" i="1"/>
  <c r="M2025" i="1"/>
  <c r="L2025" i="1"/>
  <c r="K2025" i="1"/>
  <c r="J2025" i="1"/>
  <c r="I2025" i="1"/>
  <c r="H2025" i="1"/>
  <c r="G2025" i="1"/>
  <c r="M2024" i="1"/>
  <c r="L2024" i="1"/>
  <c r="K2024" i="1"/>
  <c r="J2024" i="1"/>
  <c r="I2024" i="1"/>
  <c r="H2024" i="1"/>
  <c r="G2024" i="1"/>
  <c r="M2023" i="1"/>
  <c r="L2023" i="1"/>
  <c r="K2023" i="1"/>
  <c r="J2023" i="1"/>
  <c r="I2023" i="1"/>
  <c r="H2023" i="1"/>
  <c r="G2023" i="1"/>
  <c r="M2022" i="1"/>
  <c r="L2022" i="1"/>
  <c r="K2022" i="1"/>
  <c r="J2022" i="1"/>
  <c r="I2022" i="1"/>
  <c r="H2022" i="1"/>
  <c r="G2022" i="1"/>
  <c r="M2021" i="1"/>
  <c r="L2021" i="1"/>
  <c r="K2021" i="1"/>
  <c r="J2021" i="1"/>
  <c r="I2021" i="1"/>
  <c r="H2021" i="1"/>
  <c r="G2021" i="1"/>
  <c r="M2020" i="1"/>
  <c r="L2020" i="1"/>
  <c r="K2020" i="1"/>
  <c r="J2020" i="1"/>
  <c r="I2020" i="1"/>
  <c r="H2020" i="1"/>
  <c r="G2020" i="1"/>
  <c r="M2019" i="1"/>
  <c r="L2019" i="1"/>
  <c r="K2019" i="1"/>
  <c r="J2019" i="1"/>
  <c r="I2019" i="1"/>
  <c r="H2019" i="1"/>
  <c r="G2019" i="1"/>
  <c r="M2018" i="1"/>
  <c r="L2018" i="1"/>
  <c r="K2018" i="1"/>
  <c r="J2018" i="1"/>
  <c r="I2018" i="1"/>
  <c r="H2018" i="1"/>
  <c r="G2018" i="1"/>
  <c r="M2017" i="1"/>
  <c r="L2017" i="1"/>
  <c r="K2017" i="1"/>
  <c r="J2017" i="1"/>
  <c r="I2017" i="1"/>
  <c r="H2017" i="1"/>
  <c r="G2017" i="1"/>
  <c r="M2016" i="1"/>
  <c r="L2016" i="1"/>
  <c r="K2016" i="1"/>
  <c r="J2016" i="1"/>
  <c r="I2016" i="1"/>
  <c r="H2016" i="1"/>
  <c r="G2016" i="1"/>
  <c r="M2015" i="1"/>
  <c r="L2015" i="1"/>
  <c r="K2015" i="1"/>
  <c r="J2015" i="1"/>
  <c r="I2015" i="1"/>
  <c r="H2015" i="1"/>
  <c r="G2015" i="1"/>
  <c r="M2014" i="1"/>
  <c r="L2014" i="1"/>
  <c r="K2014" i="1"/>
  <c r="J2014" i="1"/>
  <c r="I2014" i="1"/>
  <c r="H2014" i="1"/>
  <c r="G2014" i="1"/>
  <c r="M2013" i="1"/>
  <c r="L2013" i="1"/>
  <c r="K2013" i="1"/>
  <c r="J2013" i="1"/>
  <c r="I2013" i="1"/>
  <c r="H2013" i="1"/>
  <c r="G2013" i="1"/>
  <c r="M2012" i="1"/>
  <c r="L2012" i="1"/>
  <c r="K2012" i="1"/>
  <c r="J2012" i="1"/>
  <c r="I2012" i="1"/>
  <c r="H2012" i="1"/>
  <c r="G2012" i="1"/>
  <c r="M2011" i="1"/>
  <c r="L2011" i="1"/>
  <c r="K2011" i="1"/>
  <c r="J2011" i="1"/>
  <c r="I2011" i="1"/>
  <c r="H2011" i="1"/>
  <c r="G2011" i="1"/>
  <c r="M2010" i="1"/>
  <c r="L2010" i="1"/>
  <c r="K2010" i="1"/>
  <c r="J2010" i="1"/>
  <c r="I2010" i="1"/>
  <c r="H2010" i="1"/>
  <c r="G2010" i="1"/>
  <c r="M2009" i="1"/>
  <c r="L2009" i="1"/>
  <c r="K2009" i="1"/>
  <c r="J2009" i="1"/>
  <c r="I2009" i="1"/>
  <c r="H2009" i="1"/>
  <c r="G2009" i="1"/>
  <c r="M2008" i="1"/>
  <c r="L2008" i="1"/>
  <c r="K2008" i="1"/>
  <c r="J2008" i="1"/>
  <c r="I2008" i="1"/>
  <c r="H2008" i="1"/>
  <c r="G2008" i="1"/>
  <c r="M2007" i="1"/>
  <c r="L2007" i="1"/>
  <c r="K2007" i="1"/>
  <c r="J2007" i="1"/>
  <c r="I2007" i="1"/>
  <c r="H2007" i="1"/>
  <c r="G2007" i="1"/>
  <c r="M2006" i="1"/>
  <c r="L2006" i="1"/>
  <c r="K2006" i="1"/>
  <c r="J2006" i="1"/>
  <c r="I2006" i="1"/>
  <c r="H2006" i="1"/>
  <c r="G2006" i="1"/>
  <c r="M2005" i="1"/>
  <c r="L2005" i="1"/>
  <c r="K2005" i="1"/>
  <c r="J2005" i="1"/>
  <c r="I2005" i="1"/>
  <c r="H2005" i="1"/>
  <c r="G2005" i="1"/>
  <c r="M2004" i="1"/>
  <c r="L2004" i="1"/>
  <c r="K2004" i="1"/>
  <c r="J2004" i="1"/>
  <c r="I2004" i="1"/>
  <c r="H2004" i="1"/>
  <c r="G2004" i="1"/>
  <c r="M2003" i="1"/>
  <c r="L2003" i="1"/>
  <c r="K2003" i="1"/>
  <c r="J2003" i="1"/>
  <c r="I2003" i="1"/>
  <c r="H2003" i="1"/>
  <c r="G2003" i="1"/>
  <c r="M2002" i="1"/>
  <c r="L2002" i="1"/>
  <c r="K2002" i="1"/>
  <c r="J2002" i="1"/>
  <c r="I2002" i="1"/>
  <c r="H2002" i="1"/>
  <c r="G2002" i="1"/>
  <c r="M2001" i="1"/>
  <c r="L2001" i="1"/>
  <c r="K2001" i="1"/>
  <c r="J2001" i="1"/>
  <c r="I2001" i="1"/>
  <c r="H2001" i="1"/>
  <c r="G2001" i="1"/>
  <c r="M2000" i="1"/>
  <c r="L2000" i="1"/>
  <c r="K2000" i="1"/>
  <c r="J2000" i="1"/>
  <c r="I2000" i="1"/>
  <c r="H2000" i="1"/>
  <c r="G2000" i="1"/>
  <c r="M1999" i="1"/>
  <c r="L1999" i="1"/>
  <c r="K1999" i="1"/>
  <c r="J1999" i="1"/>
  <c r="I1999" i="1"/>
  <c r="H1999" i="1"/>
  <c r="G1999" i="1"/>
  <c r="M1998" i="1"/>
  <c r="L1998" i="1"/>
  <c r="K1998" i="1"/>
  <c r="J1998" i="1"/>
  <c r="I1998" i="1"/>
  <c r="H1998" i="1"/>
  <c r="G1998" i="1"/>
  <c r="M1997" i="1"/>
  <c r="L1997" i="1"/>
  <c r="K1997" i="1"/>
  <c r="J1997" i="1"/>
  <c r="I1997" i="1"/>
  <c r="H1997" i="1"/>
  <c r="G1997" i="1"/>
  <c r="M1996" i="1"/>
  <c r="L1996" i="1"/>
  <c r="K1996" i="1"/>
  <c r="J1996" i="1"/>
  <c r="I1996" i="1"/>
  <c r="H1996" i="1"/>
  <c r="G1996" i="1"/>
  <c r="M1995" i="1"/>
  <c r="L1995" i="1"/>
  <c r="K1995" i="1"/>
  <c r="J1995" i="1"/>
  <c r="I1995" i="1"/>
  <c r="H1995" i="1"/>
  <c r="G1995" i="1"/>
  <c r="M1994" i="1"/>
  <c r="L1994" i="1"/>
  <c r="K1994" i="1"/>
  <c r="J1994" i="1"/>
  <c r="I1994" i="1"/>
  <c r="H1994" i="1"/>
  <c r="G1994" i="1"/>
  <c r="M1993" i="1"/>
  <c r="L1993" i="1"/>
  <c r="K1993" i="1"/>
  <c r="J1993" i="1"/>
  <c r="I1993" i="1"/>
  <c r="H1993" i="1"/>
  <c r="G1993" i="1"/>
  <c r="M1992" i="1"/>
  <c r="L1992" i="1"/>
  <c r="K1992" i="1"/>
  <c r="J1992" i="1"/>
  <c r="I1992" i="1"/>
  <c r="H1992" i="1"/>
  <c r="G1992" i="1"/>
  <c r="M1991" i="1"/>
  <c r="L1991" i="1"/>
  <c r="K1991" i="1"/>
  <c r="J1991" i="1"/>
  <c r="I1991" i="1"/>
  <c r="H1991" i="1"/>
  <c r="G1991" i="1"/>
  <c r="M1990" i="1"/>
  <c r="L1990" i="1"/>
  <c r="K1990" i="1"/>
  <c r="J1990" i="1"/>
  <c r="I1990" i="1"/>
  <c r="H1990" i="1"/>
  <c r="G1990" i="1"/>
  <c r="M1989" i="1"/>
  <c r="L1989" i="1"/>
  <c r="K1989" i="1"/>
  <c r="J1989" i="1"/>
  <c r="I1989" i="1"/>
  <c r="H1989" i="1"/>
  <c r="G1989" i="1"/>
  <c r="M1988" i="1"/>
  <c r="L1988" i="1"/>
  <c r="K1988" i="1"/>
  <c r="J1988" i="1"/>
  <c r="I1988" i="1"/>
  <c r="H1988" i="1"/>
  <c r="G1988" i="1"/>
  <c r="M1987" i="1"/>
  <c r="L1987" i="1"/>
  <c r="K1987" i="1"/>
  <c r="J1987" i="1"/>
  <c r="I1987" i="1"/>
  <c r="H1987" i="1"/>
  <c r="G1987" i="1"/>
  <c r="M1986" i="1"/>
  <c r="L1986" i="1"/>
  <c r="K1986" i="1"/>
  <c r="J1986" i="1"/>
  <c r="I1986" i="1"/>
  <c r="H1986" i="1"/>
  <c r="G1986" i="1"/>
  <c r="M1985" i="1"/>
  <c r="L1985" i="1"/>
  <c r="K1985" i="1"/>
  <c r="J1985" i="1"/>
  <c r="I1985" i="1"/>
  <c r="H1985" i="1"/>
  <c r="G1985" i="1"/>
  <c r="M1984" i="1"/>
  <c r="L1984" i="1"/>
  <c r="K1984" i="1"/>
  <c r="J1984" i="1"/>
  <c r="I1984" i="1"/>
  <c r="H1984" i="1"/>
  <c r="G1984" i="1"/>
  <c r="M1983" i="1"/>
  <c r="L1983" i="1"/>
  <c r="K1983" i="1"/>
  <c r="J1983" i="1"/>
  <c r="I1983" i="1"/>
  <c r="H1983" i="1"/>
  <c r="G1983" i="1"/>
  <c r="M1982" i="1"/>
  <c r="L1982" i="1"/>
  <c r="K1982" i="1"/>
  <c r="J1982" i="1"/>
  <c r="I1982" i="1"/>
  <c r="H1982" i="1"/>
  <c r="G1982" i="1"/>
  <c r="M1981" i="1"/>
  <c r="L1981" i="1"/>
  <c r="K1981" i="1"/>
  <c r="J1981" i="1"/>
  <c r="I1981" i="1"/>
  <c r="H1981" i="1"/>
  <c r="G1981" i="1"/>
  <c r="M1980" i="1"/>
  <c r="L1980" i="1"/>
  <c r="K1980" i="1"/>
  <c r="J1980" i="1"/>
  <c r="I1980" i="1"/>
  <c r="H1980" i="1"/>
  <c r="G1980" i="1"/>
  <c r="M1979" i="1"/>
  <c r="L1979" i="1"/>
  <c r="K1979" i="1"/>
  <c r="J1979" i="1"/>
  <c r="I1979" i="1"/>
  <c r="H1979" i="1"/>
  <c r="G1979" i="1"/>
  <c r="M1978" i="1"/>
  <c r="L1978" i="1"/>
  <c r="K1978" i="1"/>
  <c r="J1978" i="1"/>
  <c r="I1978" i="1"/>
  <c r="H1978" i="1"/>
  <c r="G1978" i="1"/>
  <c r="M1977" i="1"/>
  <c r="L1977" i="1"/>
  <c r="K1977" i="1"/>
  <c r="J1977" i="1"/>
  <c r="I1977" i="1"/>
  <c r="H1977" i="1"/>
  <c r="G1977" i="1"/>
  <c r="M1976" i="1"/>
  <c r="L1976" i="1"/>
  <c r="K1976" i="1"/>
  <c r="J1976" i="1"/>
  <c r="I1976" i="1"/>
  <c r="H1976" i="1"/>
  <c r="G1976" i="1"/>
  <c r="M1975" i="1"/>
  <c r="L1975" i="1"/>
  <c r="K1975" i="1"/>
  <c r="J1975" i="1"/>
  <c r="I1975" i="1"/>
  <c r="H1975" i="1"/>
  <c r="G1975" i="1"/>
  <c r="M1974" i="1"/>
  <c r="L1974" i="1"/>
  <c r="K1974" i="1"/>
  <c r="J1974" i="1"/>
  <c r="I1974" i="1"/>
  <c r="H1974" i="1"/>
  <c r="G1974" i="1"/>
  <c r="M1973" i="1"/>
  <c r="L1973" i="1"/>
  <c r="K1973" i="1"/>
  <c r="J1973" i="1"/>
  <c r="I1973" i="1"/>
  <c r="H1973" i="1"/>
  <c r="G1973" i="1"/>
  <c r="M1972" i="1"/>
  <c r="L1972" i="1"/>
  <c r="K1972" i="1"/>
  <c r="J1972" i="1"/>
  <c r="I1972" i="1"/>
  <c r="H1972" i="1"/>
  <c r="G1972" i="1"/>
  <c r="M1971" i="1"/>
  <c r="L1971" i="1"/>
  <c r="K1971" i="1"/>
  <c r="J1971" i="1"/>
  <c r="I1971" i="1"/>
  <c r="H1971" i="1"/>
  <c r="G1971" i="1"/>
  <c r="M1970" i="1"/>
  <c r="L1970" i="1"/>
  <c r="K1970" i="1"/>
  <c r="J1970" i="1"/>
  <c r="I1970" i="1"/>
  <c r="H1970" i="1"/>
  <c r="G1970" i="1"/>
  <c r="M1969" i="1"/>
  <c r="L1969" i="1"/>
  <c r="K1969" i="1"/>
  <c r="J1969" i="1"/>
  <c r="I1969" i="1"/>
  <c r="H1969" i="1"/>
  <c r="G1969" i="1"/>
  <c r="M1968" i="1"/>
  <c r="L1968" i="1"/>
  <c r="K1968" i="1"/>
  <c r="J1968" i="1"/>
  <c r="I1968" i="1"/>
  <c r="H1968" i="1"/>
  <c r="G1968" i="1"/>
  <c r="M1967" i="1"/>
  <c r="L1967" i="1"/>
  <c r="K1967" i="1"/>
  <c r="J1967" i="1"/>
  <c r="I1967" i="1"/>
  <c r="H1967" i="1"/>
  <c r="G1967" i="1"/>
  <c r="M1966" i="1"/>
  <c r="L1966" i="1"/>
  <c r="K1966" i="1"/>
  <c r="J1966" i="1"/>
  <c r="I1966" i="1"/>
  <c r="H1966" i="1"/>
  <c r="G1966" i="1"/>
  <c r="M1965" i="1"/>
  <c r="L1965" i="1"/>
  <c r="K1965" i="1"/>
  <c r="J1965" i="1"/>
  <c r="I1965" i="1"/>
  <c r="H1965" i="1"/>
  <c r="G1965" i="1"/>
  <c r="M1964" i="1"/>
  <c r="L1964" i="1"/>
  <c r="K1964" i="1"/>
  <c r="J1964" i="1"/>
  <c r="I1964" i="1"/>
  <c r="H1964" i="1"/>
  <c r="G1964" i="1"/>
  <c r="M1963" i="1"/>
  <c r="L1963" i="1"/>
  <c r="K1963" i="1"/>
  <c r="J1963" i="1"/>
  <c r="I1963" i="1"/>
  <c r="H1963" i="1"/>
  <c r="G1963" i="1"/>
  <c r="M1962" i="1"/>
  <c r="L1962" i="1"/>
  <c r="K1962" i="1"/>
  <c r="J1962" i="1"/>
  <c r="I1962" i="1"/>
  <c r="H1962" i="1"/>
  <c r="G1962" i="1"/>
  <c r="M1961" i="1"/>
  <c r="L1961" i="1"/>
  <c r="K1961" i="1"/>
  <c r="J1961" i="1"/>
  <c r="I1961" i="1"/>
  <c r="H1961" i="1"/>
  <c r="G1961" i="1"/>
  <c r="M1960" i="1"/>
  <c r="L1960" i="1"/>
  <c r="K1960" i="1"/>
  <c r="J1960" i="1"/>
  <c r="I1960" i="1"/>
  <c r="H1960" i="1"/>
  <c r="G1960" i="1"/>
  <c r="M1959" i="1"/>
  <c r="L1959" i="1"/>
  <c r="K1959" i="1"/>
  <c r="J1959" i="1"/>
  <c r="I1959" i="1"/>
  <c r="H1959" i="1"/>
  <c r="G1959" i="1"/>
  <c r="M1958" i="1"/>
  <c r="L1958" i="1"/>
  <c r="K1958" i="1"/>
  <c r="J1958" i="1"/>
  <c r="I1958" i="1"/>
  <c r="H1958" i="1"/>
  <c r="G1958" i="1"/>
  <c r="M1957" i="1"/>
  <c r="L1957" i="1"/>
  <c r="K1957" i="1"/>
  <c r="J1957" i="1"/>
  <c r="I1957" i="1"/>
  <c r="H1957" i="1"/>
  <c r="G1957" i="1"/>
  <c r="M1956" i="1"/>
  <c r="L1956" i="1"/>
  <c r="K1956" i="1"/>
  <c r="J1956" i="1"/>
  <c r="I1956" i="1"/>
  <c r="H1956" i="1"/>
  <c r="G1956" i="1"/>
  <c r="M1955" i="1"/>
  <c r="L1955" i="1"/>
  <c r="K1955" i="1"/>
  <c r="J1955" i="1"/>
  <c r="I1955" i="1"/>
  <c r="H1955" i="1"/>
  <c r="G1955" i="1"/>
  <c r="M1954" i="1"/>
  <c r="L1954" i="1"/>
  <c r="K1954" i="1"/>
  <c r="J1954" i="1"/>
  <c r="I1954" i="1"/>
  <c r="H1954" i="1"/>
  <c r="G1954" i="1"/>
  <c r="M1953" i="1"/>
  <c r="L1953" i="1"/>
  <c r="K1953" i="1"/>
  <c r="J1953" i="1"/>
  <c r="I1953" i="1"/>
  <c r="H1953" i="1"/>
  <c r="G1953" i="1"/>
  <c r="M1952" i="1"/>
  <c r="L1952" i="1"/>
  <c r="K1952" i="1"/>
  <c r="J1952" i="1"/>
  <c r="I1952" i="1"/>
  <c r="H1952" i="1"/>
  <c r="G1952" i="1"/>
  <c r="M1951" i="1"/>
  <c r="L1951" i="1"/>
  <c r="K1951" i="1"/>
  <c r="J1951" i="1"/>
  <c r="I1951" i="1"/>
  <c r="H1951" i="1"/>
  <c r="G1951" i="1"/>
  <c r="M1950" i="1"/>
  <c r="L1950" i="1"/>
  <c r="K1950" i="1"/>
  <c r="J1950" i="1"/>
  <c r="I1950" i="1"/>
  <c r="H1950" i="1"/>
  <c r="G1950" i="1"/>
  <c r="M1949" i="1"/>
  <c r="L1949" i="1"/>
  <c r="K1949" i="1"/>
  <c r="J1949" i="1"/>
  <c r="I1949" i="1"/>
  <c r="H1949" i="1"/>
  <c r="G1949" i="1"/>
  <c r="M1948" i="1"/>
  <c r="L1948" i="1"/>
  <c r="K1948" i="1"/>
  <c r="J1948" i="1"/>
  <c r="I1948" i="1"/>
  <c r="H1948" i="1"/>
  <c r="G1948" i="1"/>
  <c r="M1947" i="1"/>
  <c r="L1947" i="1"/>
  <c r="K1947" i="1"/>
  <c r="J1947" i="1"/>
  <c r="I1947" i="1"/>
  <c r="H1947" i="1"/>
  <c r="G1947" i="1"/>
  <c r="M1946" i="1"/>
  <c r="L1946" i="1"/>
  <c r="K1946" i="1"/>
  <c r="J1946" i="1"/>
  <c r="I1946" i="1"/>
  <c r="H1946" i="1"/>
  <c r="G1946" i="1"/>
  <c r="M1945" i="1"/>
  <c r="L1945" i="1"/>
  <c r="K1945" i="1"/>
  <c r="J1945" i="1"/>
  <c r="I1945" i="1"/>
  <c r="H1945" i="1"/>
  <c r="G1945" i="1"/>
  <c r="M1944" i="1"/>
  <c r="L1944" i="1"/>
  <c r="K1944" i="1"/>
  <c r="J1944" i="1"/>
  <c r="I1944" i="1"/>
  <c r="H1944" i="1"/>
  <c r="G1944" i="1"/>
  <c r="M1943" i="1"/>
  <c r="L1943" i="1"/>
  <c r="K1943" i="1"/>
  <c r="J1943" i="1"/>
  <c r="I1943" i="1"/>
  <c r="H1943" i="1"/>
  <c r="G1943" i="1"/>
  <c r="M1942" i="1"/>
  <c r="L1942" i="1"/>
  <c r="K1942" i="1"/>
  <c r="J1942" i="1"/>
  <c r="I1942" i="1"/>
  <c r="H1942" i="1"/>
  <c r="G1942" i="1"/>
  <c r="M1941" i="1"/>
  <c r="L1941" i="1"/>
  <c r="K1941" i="1"/>
  <c r="J1941" i="1"/>
  <c r="I1941" i="1"/>
  <c r="H1941" i="1"/>
  <c r="G1941" i="1"/>
  <c r="M1940" i="1"/>
  <c r="L1940" i="1"/>
  <c r="K1940" i="1"/>
  <c r="J1940" i="1"/>
  <c r="I1940" i="1"/>
  <c r="H1940" i="1"/>
  <c r="G1940" i="1"/>
  <c r="M1939" i="1"/>
  <c r="L1939" i="1"/>
  <c r="K1939" i="1"/>
  <c r="J1939" i="1"/>
  <c r="I1939" i="1"/>
  <c r="H1939" i="1"/>
  <c r="G1939" i="1"/>
  <c r="M1938" i="1"/>
  <c r="L1938" i="1"/>
  <c r="K1938" i="1"/>
  <c r="J1938" i="1"/>
  <c r="I1938" i="1"/>
  <c r="H1938" i="1"/>
  <c r="G1938" i="1"/>
  <c r="M1937" i="1"/>
  <c r="L1937" i="1"/>
  <c r="K1937" i="1"/>
  <c r="J1937" i="1"/>
  <c r="I1937" i="1"/>
  <c r="H1937" i="1"/>
  <c r="G1937" i="1"/>
  <c r="M1936" i="1"/>
  <c r="L1936" i="1"/>
  <c r="K1936" i="1"/>
  <c r="J1936" i="1"/>
  <c r="I1936" i="1"/>
  <c r="H1936" i="1"/>
  <c r="G1936" i="1"/>
  <c r="M1935" i="1"/>
  <c r="L1935" i="1"/>
  <c r="K1935" i="1"/>
  <c r="J1935" i="1"/>
  <c r="I1935" i="1"/>
  <c r="H1935" i="1"/>
  <c r="G1935" i="1"/>
  <c r="M1934" i="1"/>
  <c r="L1934" i="1"/>
  <c r="K1934" i="1"/>
  <c r="J1934" i="1"/>
  <c r="I1934" i="1"/>
  <c r="H1934" i="1"/>
  <c r="G1934" i="1"/>
  <c r="M1933" i="1"/>
  <c r="L1933" i="1"/>
  <c r="K1933" i="1"/>
  <c r="J1933" i="1"/>
  <c r="I1933" i="1"/>
  <c r="H1933" i="1"/>
  <c r="G1933" i="1"/>
  <c r="M1932" i="1"/>
  <c r="L1932" i="1"/>
  <c r="K1932" i="1"/>
  <c r="J1932" i="1"/>
  <c r="I1932" i="1"/>
  <c r="H1932" i="1"/>
  <c r="G1932" i="1"/>
  <c r="M1931" i="1"/>
  <c r="L1931" i="1"/>
  <c r="K1931" i="1"/>
  <c r="J1931" i="1"/>
  <c r="I1931" i="1"/>
  <c r="H1931" i="1"/>
  <c r="G1931" i="1"/>
  <c r="M1930" i="1"/>
  <c r="L1930" i="1"/>
  <c r="K1930" i="1"/>
  <c r="J1930" i="1"/>
  <c r="I1930" i="1"/>
  <c r="H1930" i="1"/>
  <c r="G1930" i="1"/>
  <c r="M1929" i="1"/>
  <c r="L1929" i="1"/>
  <c r="K1929" i="1"/>
  <c r="J1929" i="1"/>
  <c r="I1929" i="1"/>
  <c r="H1929" i="1"/>
  <c r="G1929" i="1"/>
  <c r="M1928" i="1"/>
  <c r="L1928" i="1"/>
  <c r="K1928" i="1"/>
  <c r="J1928" i="1"/>
  <c r="I1928" i="1"/>
  <c r="H1928" i="1"/>
  <c r="G1928" i="1"/>
  <c r="M1927" i="1"/>
  <c r="L1927" i="1"/>
  <c r="K1927" i="1"/>
  <c r="J1927" i="1"/>
  <c r="I1927" i="1"/>
  <c r="H1927" i="1"/>
  <c r="G1927" i="1"/>
  <c r="M1926" i="1"/>
  <c r="L1926" i="1"/>
  <c r="K1926" i="1"/>
  <c r="J1926" i="1"/>
  <c r="I1926" i="1"/>
  <c r="H1926" i="1"/>
  <c r="G1926" i="1"/>
  <c r="M1925" i="1"/>
  <c r="L1925" i="1"/>
  <c r="K1925" i="1"/>
  <c r="J1925" i="1"/>
  <c r="I1925" i="1"/>
  <c r="H1925" i="1"/>
  <c r="G1925" i="1"/>
  <c r="M1924" i="1"/>
  <c r="L1924" i="1"/>
  <c r="K1924" i="1"/>
  <c r="J1924" i="1"/>
  <c r="I1924" i="1"/>
  <c r="H1924" i="1"/>
  <c r="G1924" i="1"/>
  <c r="M1923" i="1"/>
  <c r="L1923" i="1"/>
  <c r="K1923" i="1"/>
  <c r="J1923" i="1"/>
  <c r="I1923" i="1"/>
  <c r="H1923" i="1"/>
  <c r="G1923" i="1"/>
  <c r="M1922" i="1"/>
  <c r="L1922" i="1"/>
  <c r="K1922" i="1"/>
  <c r="J1922" i="1"/>
  <c r="I1922" i="1"/>
  <c r="H1922" i="1"/>
  <c r="G1922" i="1"/>
  <c r="M1921" i="1"/>
  <c r="L1921" i="1"/>
  <c r="K1921" i="1"/>
  <c r="J1921" i="1"/>
  <c r="I1921" i="1"/>
  <c r="H1921" i="1"/>
  <c r="G1921" i="1"/>
  <c r="M1920" i="1"/>
  <c r="L1920" i="1"/>
  <c r="K1920" i="1"/>
  <c r="J1920" i="1"/>
  <c r="I1920" i="1"/>
  <c r="H1920" i="1"/>
  <c r="G1920" i="1"/>
  <c r="M1919" i="1"/>
  <c r="L1919" i="1"/>
  <c r="K1919" i="1"/>
  <c r="J1919" i="1"/>
  <c r="I1919" i="1"/>
  <c r="H1919" i="1"/>
  <c r="G1919" i="1"/>
  <c r="M1918" i="1"/>
  <c r="L1918" i="1"/>
  <c r="K1918" i="1"/>
  <c r="J1918" i="1"/>
  <c r="I1918" i="1"/>
  <c r="H1918" i="1"/>
  <c r="G1918" i="1"/>
  <c r="M1917" i="1"/>
  <c r="L1917" i="1"/>
  <c r="K1917" i="1"/>
  <c r="J1917" i="1"/>
  <c r="I1917" i="1"/>
  <c r="H1917" i="1"/>
  <c r="G1917" i="1"/>
  <c r="M1916" i="1"/>
  <c r="L1916" i="1"/>
  <c r="K1916" i="1"/>
  <c r="J1916" i="1"/>
  <c r="I1916" i="1"/>
  <c r="H1916" i="1"/>
  <c r="G1916" i="1"/>
  <c r="M1915" i="1"/>
  <c r="L1915" i="1"/>
  <c r="K1915" i="1"/>
  <c r="J1915" i="1"/>
  <c r="I1915" i="1"/>
  <c r="H1915" i="1"/>
  <c r="G1915" i="1"/>
  <c r="M1914" i="1"/>
  <c r="L1914" i="1"/>
  <c r="K1914" i="1"/>
  <c r="J1914" i="1"/>
  <c r="I1914" i="1"/>
  <c r="H1914" i="1"/>
  <c r="G1914" i="1"/>
  <c r="M1913" i="1"/>
  <c r="L1913" i="1"/>
  <c r="K1913" i="1"/>
  <c r="J1913" i="1"/>
  <c r="I1913" i="1"/>
  <c r="H1913" i="1"/>
  <c r="G1913" i="1"/>
  <c r="M1912" i="1"/>
  <c r="L1912" i="1"/>
  <c r="K1912" i="1"/>
  <c r="J1912" i="1"/>
  <c r="I1912" i="1"/>
  <c r="H1912" i="1"/>
  <c r="G1912" i="1"/>
  <c r="M1911" i="1"/>
  <c r="L1911" i="1"/>
  <c r="K1911" i="1"/>
  <c r="J1911" i="1"/>
  <c r="I1911" i="1"/>
  <c r="H1911" i="1"/>
  <c r="G1911" i="1"/>
  <c r="M1910" i="1"/>
  <c r="L1910" i="1"/>
  <c r="K1910" i="1"/>
  <c r="J1910" i="1"/>
  <c r="I1910" i="1"/>
  <c r="H1910" i="1"/>
  <c r="G1910" i="1"/>
  <c r="M1909" i="1"/>
  <c r="L1909" i="1"/>
  <c r="K1909" i="1"/>
  <c r="J1909" i="1"/>
  <c r="I1909" i="1"/>
  <c r="H1909" i="1"/>
  <c r="G1909" i="1"/>
  <c r="M1908" i="1"/>
  <c r="L1908" i="1"/>
  <c r="K1908" i="1"/>
  <c r="J1908" i="1"/>
  <c r="I1908" i="1"/>
  <c r="H1908" i="1"/>
  <c r="G1908" i="1"/>
  <c r="M1907" i="1"/>
  <c r="L1907" i="1"/>
  <c r="K1907" i="1"/>
  <c r="J1907" i="1"/>
  <c r="I1907" i="1"/>
  <c r="H1907" i="1"/>
  <c r="G1907" i="1"/>
  <c r="M1906" i="1"/>
  <c r="L1906" i="1"/>
  <c r="K1906" i="1"/>
  <c r="J1906" i="1"/>
  <c r="I1906" i="1"/>
  <c r="H1906" i="1"/>
  <c r="G1906" i="1"/>
  <c r="M1905" i="1"/>
  <c r="L1905" i="1"/>
  <c r="K1905" i="1"/>
  <c r="J1905" i="1"/>
  <c r="I1905" i="1"/>
  <c r="H1905" i="1"/>
  <c r="G1905" i="1"/>
  <c r="M1904" i="1"/>
  <c r="L1904" i="1"/>
  <c r="K1904" i="1"/>
  <c r="J1904" i="1"/>
  <c r="I1904" i="1"/>
  <c r="H1904" i="1"/>
  <c r="G1904" i="1"/>
  <c r="M1903" i="1"/>
  <c r="L1903" i="1"/>
  <c r="K1903" i="1"/>
  <c r="J1903" i="1"/>
  <c r="I1903" i="1"/>
  <c r="H1903" i="1"/>
  <c r="G1903" i="1"/>
  <c r="M1902" i="1"/>
  <c r="L1902" i="1"/>
  <c r="K1902" i="1"/>
  <c r="J1902" i="1"/>
  <c r="I1902" i="1"/>
  <c r="H1902" i="1"/>
  <c r="G1902" i="1"/>
  <c r="M1901" i="1"/>
  <c r="L1901" i="1"/>
  <c r="K1901" i="1"/>
  <c r="J1901" i="1"/>
  <c r="I1901" i="1"/>
  <c r="H1901" i="1"/>
  <c r="G1901" i="1"/>
  <c r="M1900" i="1"/>
  <c r="L1900" i="1"/>
  <c r="K1900" i="1"/>
  <c r="J1900" i="1"/>
  <c r="I1900" i="1"/>
  <c r="H1900" i="1"/>
  <c r="G1900" i="1"/>
  <c r="M1899" i="1"/>
  <c r="L1899" i="1"/>
  <c r="K1899" i="1"/>
  <c r="J1899" i="1"/>
  <c r="I1899" i="1"/>
  <c r="H1899" i="1"/>
  <c r="G1899" i="1"/>
  <c r="M1898" i="1"/>
  <c r="L1898" i="1"/>
  <c r="K1898" i="1"/>
  <c r="J1898" i="1"/>
  <c r="I1898" i="1"/>
  <c r="H1898" i="1"/>
  <c r="G1898" i="1"/>
  <c r="M1897" i="1"/>
  <c r="L1897" i="1"/>
  <c r="K1897" i="1"/>
  <c r="J1897" i="1"/>
  <c r="I1897" i="1"/>
  <c r="H1897" i="1"/>
  <c r="G1897" i="1"/>
  <c r="M1896" i="1"/>
  <c r="L1896" i="1"/>
  <c r="K1896" i="1"/>
  <c r="J1896" i="1"/>
  <c r="I1896" i="1"/>
  <c r="H1896" i="1"/>
  <c r="G1896" i="1"/>
  <c r="M1895" i="1"/>
  <c r="L1895" i="1"/>
  <c r="K1895" i="1"/>
  <c r="J1895" i="1"/>
  <c r="I1895" i="1"/>
  <c r="H1895" i="1"/>
  <c r="G1895" i="1"/>
  <c r="M1894" i="1"/>
  <c r="L1894" i="1"/>
  <c r="K1894" i="1"/>
  <c r="J1894" i="1"/>
  <c r="I1894" i="1"/>
  <c r="H1894" i="1"/>
  <c r="G1894" i="1"/>
  <c r="M1893" i="1"/>
  <c r="L1893" i="1"/>
  <c r="K1893" i="1"/>
  <c r="J1893" i="1"/>
  <c r="I1893" i="1"/>
  <c r="H1893" i="1"/>
  <c r="G1893" i="1"/>
  <c r="M1892" i="1"/>
  <c r="L1892" i="1"/>
  <c r="K1892" i="1"/>
  <c r="J1892" i="1"/>
  <c r="I1892" i="1"/>
  <c r="H1892" i="1"/>
  <c r="G1892" i="1"/>
  <c r="M1891" i="1"/>
  <c r="L1891" i="1"/>
  <c r="K1891" i="1"/>
  <c r="J1891" i="1"/>
  <c r="I1891" i="1"/>
  <c r="H1891" i="1"/>
  <c r="G1891" i="1"/>
  <c r="M1890" i="1"/>
  <c r="L1890" i="1"/>
  <c r="K1890" i="1"/>
  <c r="J1890" i="1"/>
  <c r="I1890" i="1"/>
  <c r="H1890" i="1"/>
  <c r="G1890" i="1"/>
  <c r="M1889" i="1"/>
  <c r="L1889" i="1"/>
  <c r="K1889" i="1"/>
  <c r="J1889" i="1"/>
  <c r="I1889" i="1"/>
  <c r="H1889" i="1"/>
  <c r="G1889" i="1"/>
  <c r="M1888" i="1"/>
  <c r="L1888" i="1"/>
  <c r="K1888" i="1"/>
  <c r="J1888" i="1"/>
  <c r="I1888" i="1"/>
  <c r="H1888" i="1"/>
  <c r="G1888" i="1"/>
  <c r="M1887" i="1"/>
  <c r="L1887" i="1"/>
  <c r="K1887" i="1"/>
  <c r="J1887" i="1"/>
  <c r="I1887" i="1"/>
  <c r="H1887" i="1"/>
  <c r="G1887" i="1"/>
  <c r="M1886" i="1"/>
  <c r="L1886" i="1"/>
  <c r="K1886" i="1"/>
  <c r="J1886" i="1"/>
  <c r="I1886" i="1"/>
  <c r="H1886" i="1"/>
  <c r="G1886" i="1"/>
  <c r="M1885" i="1"/>
  <c r="L1885" i="1"/>
  <c r="K1885" i="1"/>
  <c r="J1885" i="1"/>
  <c r="I1885" i="1"/>
  <c r="H1885" i="1"/>
  <c r="G1885" i="1"/>
  <c r="M1884" i="1"/>
  <c r="L1884" i="1"/>
  <c r="K1884" i="1"/>
  <c r="J1884" i="1"/>
  <c r="I1884" i="1"/>
  <c r="H1884" i="1"/>
  <c r="G1884" i="1"/>
  <c r="M1883" i="1"/>
  <c r="L1883" i="1"/>
  <c r="K1883" i="1"/>
  <c r="J1883" i="1"/>
  <c r="I1883" i="1"/>
  <c r="H1883" i="1"/>
  <c r="G1883" i="1"/>
  <c r="M1882" i="1"/>
  <c r="L1882" i="1"/>
  <c r="K1882" i="1"/>
  <c r="J1882" i="1"/>
  <c r="I1882" i="1"/>
  <c r="H1882" i="1"/>
  <c r="G1882" i="1"/>
  <c r="M1881" i="1"/>
  <c r="L1881" i="1"/>
  <c r="K1881" i="1"/>
  <c r="J1881" i="1"/>
  <c r="I1881" i="1"/>
  <c r="H1881" i="1"/>
  <c r="G1881" i="1"/>
  <c r="M1880" i="1"/>
  <c r="L1880" i="1"/>
  <c r="K1880" i="1"/>
  <c r="J1880" i="1"/>
  <c r="I1880" i="1"/>
  <c r="H1880" i="1"/>
  <c r="G1880" i="1"/>
  <c r="M1879" i="1"/>
  <c r="L1879" i="1"/>
  <c r="K1879" i="1"/>
  <c r="J1879" i="1"/>
  <c r="I1879" i="1"/>
  <c r="H1879" i="1"/>
  <c r="G1879" i="1"/>
  <c r="M1878" i="1"/>
  <c r="L1878" i="1"/>
  <c r="K1878" i="1"/>
  <c r="J1878" i="1"/>
  <c r="I1878" i="1"/>
  <c r="H1878" i="1"/>
  <c r="G1878" i="1"/>
  <c r="M1877" i="1"/>
  <c r="L1877" i="1"/>
  <c r="K1877" i="1"/>
  <c r="J1877" i="1"/>
  <c r="I1877" i="1"/>
  <c r="H1877" i="1"/>
  <c r="G1877" i="1"/>
  <c r="M1876" i="1"/>
  <c r="L1876" i="1"/>
  <c r="K1876" i="1"/>
  <c r="J1876" i="1"/>
  <c r="I1876" i="1"/>
  <c r="H1876" i="1"/>
  <c r="G1876" i="1"/>
  <c r="M1875" i="1"/>
  <c r="L1875" i="1"/>
  <c r="K1875" i="1"/>
  <c r="J1875" i="1"/>
  <c r="I1875" i="1"/>
  <c r="H1875" i="1"/>
  <c r="G1875" i="1"/>
  <c r="M1874" i="1"/>
  <c r="L1874" i="1"/>
  <c r="K1874" i="1"/>
  <c r="J1874" i="1"/>
  <c r="I1874" i="1"/>
  <c r="H1874" i="1"/>
  <c r="G1874" i="1"/>
  <c r="M1873" i="1"/>
  <c r="L1873" i="1"/>
  <c r="K1873" i="1"/>
  <c r="J1873" i="1"/>
  <c r="I1873" i="1"/>
  <c r="H1873" i="1"/>
  <c r="G1873" i="1"/>
  <c r="M1872" i="1"/>
  <c r="L1872" i="1"/>
  <c r="K1872" i="1"/>
  <c r="J1872" i="1"/>
  <c r="I1872" i="1"/>
  <c r="H1872" i="1"/>
  <c r="G1872" i="1"/>
  <c r="M1871" i="1"/>
  <c r="L1871" i="1"/>
  <c r="K1871" i="1"/>
  <c r="J1871" i="1"/>
  <c r="I1871" i="1"/>
  <c r="H1871" i="1"/>
  <c r="G1871" i="1"/>
  <c r="M1870" i="1"/>
  <c r="L1870" i="1"/>
  <c r="K1870" i="1"/>
  <c r="J1870" i="1"/>
  <c r="I1870" i="1"/>
  <c r="H1870" i="1"/>
  <c r="G1870" i="1"/>
  <c r="M1869" i="1"/>
  <c r="L1869" i="1"/>
  <c r="K1869" i="1"/>
  <c r="J1869" i="1"/>
  <c r="I1869" i="1"/>
  <c r="H1869" i="1"/>
  <c r="G1869" i="1"/>
  <c r="M1868" i="1"/>
  <c r="L1868" i="1"/>
  <c r="K1868" i="1"/>
  <c r="J1868" i="1"/>
  <c r="I1868" i="1"/>
  <c r="H1868" i="1"/>
  <c r="G1868" i="1"/>
  <c r="M1867" i="1"/>
  <c r="L1867" i="1"/>
  <c r="K1867" i="1"/>
  <c r="J1867" i="1"/>
  <c r="I1867" i="1"/>
  <c r="H1867" i="1"/>
  <c r="G1867" i="1"/>
  <c r="M1866" i="1"/>
  <c r="L1866" i="1"/>
  <c r="K1866" i="1"/>
  <c r="J1866" i="1"/>
  <c r="I1866" i="1"/>
  <c r="H1866" i="1"/>
  <c r="G1866" i="1"/>
  <c r="M1865" i="1"/>
  <c r="L1865" i="1"/>
  <c r="K1865" i="1"/>
  <c r="J1865" i="1"/>
  <c r="I1865" i="1"/>
  <c r="H1865" i="1"/>
  <c r="G1865" i="1"/>
  <c r="M1864" i="1"/>
  <c r="L1864" i="1"/>
  <c r="K1864" i="1"/>
  <c r="J1864" i="1"/>
  <c r="I1864" i="1"/>
  <c r="H1864" i="1"/>
  <c r="G1864" i="1"/>
  <c r="M1863" i="1"/>
  <c r="L1863" i="1"/>
  <c r="K1863" i="1"/>
  <c r="J1863" i="1"/>
  <c r="I1863" i="1"/>
  <c r="H1863" i="1"/>
  <c r="G1863" i="1"/>
  <c r="M1862" i="1"/>
  <c r="L1862" i="1"/>
  <c r="K1862" i="1"/>
  <c r="J1862" i="1"/>
  <c r="I1862" i="1"/>
  <c r="H1862" i="1"/>
  <c r="G1862" i="1"/>
  <c r="M1861" i="1"/>
  <c r="L1861" i="1"/>
  <c r="K1861" i="1"/>
  <c r="J1861" i="1"/>
  <c r="I1861" i="1"/>
  <c r="H1861" i="1"/>
  <c r="G1861" i="1"/>
  <c r="M1860" i="1"/>
  <c r="L1860" i="1"/>
  <c r="K1860" i="1"/>
  <c r="J1860" i="1"/>
  <c r="I1860" i="1"/>
  <c r="H1860" i="1"/>
  <c r="G1860" i="1"/>
  <c r="M1859" i="1"/>
  <c r="L1859" i="1"/>
  <c r="K1859" i="1"/>
  <c r="J1859" i="1"/>
  <c r="I1859" i="1"/>
  <c r="H1859" i="1"/>
  <c r="G1859" i="1"/>
  <c r="M1858" i="1"/>
  <c r="L1858" i="1"/>
  <c r="K1858" i="1"/>
  <c r="J1858" i="1"/>
  <c r="I1858" i="1"/>
  <c r="H1858" i="1"/>
  <c r="G1858" i="1"/>
  <c r="M1857" i="1"/>
  <c r="L1857" i="1"/>
  <c r="K1857" i="1"/>
  <c r="J1857" i="1"/>
  <c r="I1857" i="1"/>
  <c r="H1857" i="1"/>
  <c r="G1857" i="1"/>
  <c r="M1856" i="1"/>
  <c r="L1856" i="1"/>
  <c r="K1856" i="1"/>
  <c r="J1856" i="1"/>
  <c r="I1856" i="1"/>
  <c r="H1856" i="1"/>
  <c r="G1856" i="1"/>
  <c r="M1855" i="1"/>
  <c r="L1855" i="1"/>
  <c r="K1855" i="1"/>
  <c r="J1855" i="1"/>
  <c r="I1855" i="1"/>
  <c r="H1855" i="1"/>
  <c r="G1855" i="1"/>
  <c r="M1854" i="1"/>
  <c r="L1854" i="1"/>
  <c r="K1854" i="1"/>
  <c r="J1854" i="1"/>
  <c r="I1854" i="1"/>
  <c r="H1854" i="1"/>
  <c r="G1854" i="1"/>
  <c r="M1853" i="1"/>
  <c r="L1853" i="1"/>
  <c r="K1853" i="1"/>
  <c r="J1853" i="1"/>
  <c r="I1853" i="1"/>
  <c r="H1853" i="1"/>
  <c r="G1853" i="1"/>
  <c r="M1852" i="1"/>
  <c r="L1852" i="1"/>
  <c r="K1852" i="1"/>
  <c r="J1852" i="1"/>
  <c r="I1852" i="1"/>
  <c r="H1852" i="1"/>
  <c r="G1852" i="1"/>
  <c r="M1851" i="1"/>
  <c r="L1851" i="1"/>
  <c r="K1851" i="1"/>
  <c r="J1851" i="1"/>
  <c r="I1851" i="1"/>
  <c r="H1851" i="1"/>
  <c r="G1851" i="1"/>
  <c r="M1850" i="1"/>
  <c r="L1850" i="1"/>
  <c r="K1850" i="1"/>
  <c r="J1850" i="1"/>
  <c r="I1850" i="1"/>
  <c r="H1850" i="1"/>
  <c r="G1850" i="1"/>
  <c r="M1849" i="1"/>
  <c r="L1849" i="1"/>
  <c r="K1849" i="1"/>
  <c r="J1849" i="1"/>
  <c r="I1849" i="1"/>
  <c r="H1849" i="1"/>
  <c r="G1849" i="1"/>
  <c r="M1848" i="1"/>
  <c r="L1848" i="1"/>
  <c r="K1848" i="1"/>
  <c r="J1848" i="1"/>
  <c r="I1848" i="1"/>
  <c r="H1848" i="1"/>
  <c r="G1848" i="1"/>
  <c r="M1847" i="1"/>
  <c r="L1847" i="1"/>
  <c r="K1847" i="1"/>
  <c r="J1847" i="1"/>
  <c r="I1847" i="1"/>
  <c r="H1847" i="1"/>
  <c r="G1847" i="1"/>
  <c r="M1846" i="1"/>
  <c r="L1846" i="1"/>
  <c r="K1846" i="1"/>
  <c r="J1846" i="1"/>
  <c r="I1846" i="1"/>
  <c r="H1846" i="1"/>
  <c r="G1846" i="1"/>
  <c r="M1845" i="1"/>
  <c r="L1845" i="1"/>
  <c r="K1845" i="1"/>
  <c r="J1845" i="1"/>
  <c r="I1845" i="1"/>
  <c r="H1845" i="1"/>
  <c r="G1845" i="1"/>
  <c r="M1844" i="1"/>
  <c r="L1844" i="1"/>
  <c r="K1844" i="1"/>
  <c r="J1844" i="1"/>
  <c r="I1844" i="1"/>
  <c r="H1844" i="1"/>
  <c r="G1844" i="1"/>
  <c r="M1843" i="1"/>
  <c r="L1843" i="1"/>
  <c r="K1843" i="1"/>
  <c r="J1843" i="1"/>
  <c r="I1843" i="1"/>
  <c r="H1843" i="1"/>
  <c r="G1843" i="1"/>
  <c r="M1842" i="1"/>
  <c r="L1842" i="1"/>
  <c r="K1842" i="1"/>
  <c r="J1842" i="1"/>
  <c r="I1842" i="1"/>
  <c r="H1842" i="1"/>
  <c r="G1842" i="1"/>
  <c r="M1841" i="1"/>
  <c r="L1841" i="1"/>
  <c r="K1841" i="1"/>
  <c r="J1841" i="1"/>
  <c r="I1841" i="1"/>
  <c r="H1841" i="1"/>
  <c r="G1841" i="1"/>
  <c r="M1840" i="1"/>
  <c r="L1840" i="1"/>
  <c r="K1840" i="1"/>
  <c r="J1840" i="1"/>
  <c r="I1840" i="1"/>
  <c r="H1840" i="1"/>
  <c r="G1840" i="1"/>
  <c r="M1839" i="1"/>
  <c r="L1839" i="1"/>
  <c r="K1839" i="1"/>
  <c r="J1839" i="1"/>
  <c r="I1839" i="1"/>
  <c r="H1839" i="1"/>
  <c r="G1839" i="1"/>
  <c r="M1838" i="1"/>
  <c r="L1838" i="1"/>
  <c r="K1838" i="1"/>
  <c r="J1838" i="1"/>
  <c r="I1838" i="1"/>
  <c r="H1838" i="1"/>
  <c r="G1838" i="1"/>
  <c r="M1837" i="1"/>
  <c r="L1837" i="1"/>
  <c r="K1837" i="1"/>
  <c r="J1837" i="1"/>
  <c r="I1837" i="1"/>
  <c r="H1837" i="1"/>
  <c r="G1837" i="1"/>
  <c r="M1836" i="1"/>
  <c r="L1836" i="1"/>
  <c r="K1836" i="1"/>
  <c r="J1836" i="1"/>
  <c r="I1836" i="1"/>
  <c r="H1836" i="1"/>
  <c r="G1836" i="1"/>
  <c r="M1835" i="1"/>
  <c r="L1835" i="1"/>
  <c r="K1835" i="1"/>
  <c r="J1835" i="1"/>
  <c r="I1835" i="1"/>
  <c r="H1835" i="1"/>
  <c r="G1835" i="1"/>
  <c r="M1834" i="1"/>
  <c r="L1834" i="1"/>
  <c r="K1834" i="1"/>
  <c r="J1834" i="1"/>
  <c r="I1834" i="1"/>
  <c r="H1834" i="1"/>
  <c r="G1834" i="1"/>
  <c r="M1833" i="1"/>
  <c r="L1833" i="1"/>
  <c r="K1833" i="1"/>
  <c r="J1833" i="1"/>
  <c r="I1833" i="1"/>
  <c r="H1833" i="1"/>
  <c r="G1833" i="1"/>
  <c r="M1832" i="1"/>
  <c r="L1832" i="1"/>
  <c r="K1832" i="1"/>
  <c r="J1832" i="1"/>
  <c r="I1832" i="1"/>
  <c r="H1832" i="1"/>
  <c r="G1832" i="1"/>
  <c r="M1831" i="1"/>
  <c r="L1831" i="1"/>
  <c r="K1831" i="1"/>
  <c r="J1831" i="1"/>
  <c r="I1831" i="1"/>
  <c r="H1831" i="1"/>
  <c r="G1831" i="1"/>
  <c r="M1830" i="1"/>
  <c r="L1830" i="1"/>
  <c r="K1830" i="1"/>
  <c r="J1830" i="1"/>
  <c r="I1830" i="1"/>
  <c r="H1830" i="1"/>
  <c r="G1830" i="1"/>
  <c r="M1829" i="1"/>
  <c r="L1829" i="1"/>
  <c r="K1829" i="1"/>
  <c r="J1829" i="1"/>
  <c r="I1829" i="1"/>
  <c r="H1829" i="1"/>
  <c r="G1829" i="1"/>
  <c r="M1828" i="1"/>
  <c r="L1828" i="1"/>
  <c r="K1828" i="1"/>
  <c r="J1828" i="1"/>
  <c r="I1828" i="1"/>
  <c r="H1828" i="1"/>
  <c r="G1828" i="1"/>
  <c r="M1827" i="1"/>
  <c r="L1827" i="1"/>
  <c r="K1827" i="1"/>
  <c r="J1827" i="1"/>
  <c r="I1827" i="1"/>
  <c r="H1827" i="1"/>
  <c r="G1827" i="1"/>
  <c r="M1826" i="1"/>
  <c r="L1826" i="1"/>
  <c r="K1826" i="1"/>
  <c r="J1826" i="1"/>
  <c r="I1826" i="1"/>
  <c r="H1826" i="1"/>
  <c r="G1826" i="1"/>
  <c r="M1825" i="1"/>
  <c r="L1825" i="1"/>
  <c r="K1825" i="1"/>
  <c r="J1825" i="1"/>
  <c r="I1825" i="1"/>
  <c r="H1825" i="1"/>
  <c r="G1825" i="1"/>
  <c r="M1824" i="1"/>
  <c r="L1824" i="1"/>
  <c r="K1824" i="1"/>
  <c r="J1824" i="1"/>
  <c r="I1824" i="1"/>
  <c r="H1824" i="1"/>
  <c r="G1824" i="1"/>
  <c r="M1823" i="1"/>
  <c r="L1823" i="1"/>
  <c r="K1823" i="1"/>
  <c r="J1823" i="1"/>
  <c r="I1823" i="1"/>
  <c r="H1823" i="1"/>
  <c r="G1823" i="1"/>
  <c r="M1822" i="1"/>
  <c r="L1822" i="1"/>
  <c r="K1822" i="1"/>
  <c r="J1822" i="1"/>
  <c r="I1822" i="1"/>
  <c r="H1822" i="1"/>
  <c r="G1822" i="1"/>
  <c r="M1821" i="1"/>
  <c r="L1821" i="1"/>
  <c r="K1821" i="1"/>
  <c r="J1821" i="1"/>
  <c r="I1821" i="1"/>
  <c r="H1821" i="1"/>
  <c r="G1821" i="1"/>
  <c r="M1820" i="1"/>
  <c r="L1820" i="1"/>
  <c r="K1820" i="1"/>
  <c r="J1820" i="1"/>
  <c r="I1820" i="1"/>
  <c r="H1820" i="1"/>
  <c r="G1820" i="1"/>
  <c r="M1819" i="1"/>
  <c r="L1819" i="1"/>
  <c r="K1819" i="1"/>
  <c r="J1819" i="1"/>
  <c r="I1819" i="1"/>
  <c r="H1819" i="1"/>
  <c r="G1819" i="1"/>
  <c r="M1818" i="1"/>
  <c r="L1818" i="1"/>
  <c r="K1818" i="1"/>
  <c r="J1818" i="1"/>
  <c r="I1818" i="1"/>
  <c r="H1818" i="1"/>
  <c r="G1818" i="1"/>
  <c r="M1817" i="1"/>
  <c r="L1817" i="1"/>
  <c r="K1817" i="1"/>
  <c r="J1817" i="1"/>
  <c r="I1817" i="1"/>
  <c r="H1817" i="1"/>
  <c r="G1817" i="1"/>
  <c r="M1816" i="1"/>
  <c r="L1816" i="1"/>
  <c r="K1816" i="1"/>
  <c r="J1816" i="1"/>
  <c r="I1816" i="1"/>
  <c r="H1816" i="1"/>
  <c r="G1816" i="1"/>
  <c r="M1815" i="1"/>
  <c r="L1815" i="1"/>
  <c r="K1815" i="1"/>
  <c r="J1815" i="1"/>
  <c r="I1815" i="1"/>
  <c r="H1815" i="1"/>
  <c r="G1815" i="1"/>
  <c r="M1814" i="1"/>
  <c r="L1814" i="1"/>
  <c r="K1814" i="1"/>
  <c r="J1814" i="1"/>
  <c r="I1814" i="1"/>
  <c r="H1814" i="1"/>
  <c r="G1814" i="1"/>
  <c r="M1813" i="1"/>
  <c r="L1813" i="1"/>
  <c r="K1813" i="1"/>
  <c r="J1813" i="1"/>
  <c r="I1813" i="1"/>
  <c r="H1813" i="1"/>
  <c r="G1813" i="1"/>
  <c r="M1812" i="1"/>
  <c r="L1812" i="1"/>
  <c r="K1812" i="1"/>
  <c r="J1812" i="1"/>
  <c r="I1812" i="1"/>
  <c r="H1812" i="1"/>
  <c r="G1812" i="1"/>
  <c r="M1811" i="1"/>
  <c r="L1811" i="1"/>
  <c r="K1811" i="1"/>
  <c r="J1811" i="1"/>
  <c r="I1811" i="1"/>
  <c r="H1811" i="1"/>
  <c r="G1811" i="1"/>
  <c r="M1810" i="1"/>
  <c r="L1810" i="1"/>
  <c r="K1810" i="1"/>
  <c r="J1810" i="1"/>
  <c r="I1810" i="1"/>
  <c r="H1810" i="1"/>
  <c r="G1810" i="1"/>
  <c r="M1809" i="1"/>
  <c r="L1809" i="1"/>
  <c r="K1809" i="1"/>
  <c r="J1809" i="1"/>
  <c r="I1809" i="1"/>
  <c r="H1809" i="1"/>
  <c r="G1809" i="1"/>
  <c r="M1808" i="1"/>
  <c r="L1808" i="1"/>
  <c r="K1808" i="1"/>
  <c r="J1808" i="1"/>
  <c r="I1808" i="1"/>
  <c r="H1808" i="1"/>
  <c r="G1808" i="1"/>
  <c r="M1807" i="1"/>
  <c r="L1807" i="1"/>
  <c r="K1807" i="1"/>
  <c r="J1807" i="1"/>
  <c r="I1807" i="1"/>
  <c r="H1807" i="1"/>
  <c r="G1807" i="1"/>
  <c r="M1806" i="1"/>
  <c r="L1806" i="1"/>
  <c r="K1806" i="1"/>
  <c r="J1806" i="1"/>
  <c r="I1806" i="1"/>
  <c r="H1806" i="1"/>
  <c r="G1806" i="1"/>
  <c r="M1805" i="1"/>
  <c r="L1805" i="1"/>
  <c r="K1805" i="1"/>
  <c r="J1805" i="1"/>
  <c r="I1805" i="1"/>
  <c r="H1805" i="1"/>
  <c r="G1805" i="1"/>
  <c r="M1804" i="1"/>
  <c r="L1804" i="1"/>
  <c r="K1804" i="1"/>
  <c r="J1804" i="1"/>
  <c r="I1804" i="1"/>
  <c r="H1804" i="1"/>
  <c r="G1804" i="1"/>
  <c r="M1803" i="1"/>
  <c r="L1803" i="1"/>
  <c r="K1803" i="1"/>
  <c r="J1803" i="1"/>
  <c r="I1803" i="1"/>
  <c r="H1803" i="1"/>
  <c r="G1803" i="1"/>
  <c r="M1802" i="1"/>
  <c r="L1802" i="1"/>
  <c r="K1802" i="1"/>
  <c r="J1802" i="1"/>
  <c r="I1802" i="1"/>
  <c r="H1802" i="1"/>
  <c r="G1802" i="1"/>
  <c r="M1801" i="1"/>
  <c r="L1801" i="1"/>
  <c r="K1801" i="1"/>
  <c r="J1801" i="1"/>
  <c r="I1801" i="1"/>
  <c r="H1801" i="1"/>
  <c r="G1801" i="1"/>
  <c r="M1800" i="1"/>
  <c r="L1800" i="1"/>
  <c r="K1800" i="1"/>
  <c r="J1800" i="1"/>
  <c r="I1800" i="1"/>
  <c r="H1800" i="1"/>
  <c r="G1800" i="1"/>
  <c r="M1799" i="1"/>
  <c r="L1799" i="1"/>
  <c r="K1799" i="1"/>
  <c r="J1799" i="1"/>
  <c r="I1799" i="1"/>
  <c r="H1799" i="1"/>
  <c r="G1799" i="1"/>
  <c r="M1798" i="1"/>
  <c r="L1798" i="1"/>
  <c r="K1798" i="1"/>
  <c r="J1798" i="1"/>
  <c r="I1798" i="1"/>
  <c r="H1798" i="1"/>
  <c r="G1798" i="1"/>
  <c r="M1797" i="1"/>
  <c r="L1797" i="1"/>
  <c r="K1797" i="1"/>
  <c r="J1797" i="1"/>
  <c r="I1797" i="1"/>
  <c r="H1797" i="1"/>
  <c r="G1797" i="1"/>
  <c r="M1796" i="1"/>
  <c r="L1796" i="1"/>
  <c r="K1796" i="1"/>
  <c r="J1796" i="1"/>
  <c r="I1796" i="1"/>
  <c r="H1796" i="1"/>
  <c r="G1796" i="1"/>
  <c r="M1795" i="1"/>
  <c r="L1795" i="1"/>
  <c r="K1795" i="1"/>
  <c r="J1795" i="1"/>
  <c r="I1795" i="1"/>
  <c r="H1795" i="1"/>
  <c r="G1795" i="1"/>
  <c r="M1794" i="1"/>
  <c r="L1794" i="1"/>
  <c r="K1794" i="1"/>
  <c r="J1794" i="1"/>
  <c r="I1794" i="1"/>
  <c r="H1794" i="1"/>
  <c r="G1794" i="1"/>
  <c r="M1793" i="1"/>
  <c r="L1793" i="1"/>
  <c r="K1793" i="1"/>
  <c r="J1793" i="1"/>
  <c r="I1793" i="1"/>
  <c r="H1793" i="1"/>
  <c r="G1793" i="1"/>
  <c r="M1792" i="1"/>
  <c r="L1792" i="1"/>
  <c r="K1792" i="1"/>
  <c r="J1792" i="1"/>
  <c r="I1792" i="1"/>
  <c r="H1792" i="1"/>
  <c r="G1792" i="1"/>
  <c r="M1791" i="1"/>
  <c r="L1791" i="1"/>
  <c r="K1791" i="1"/>
  <c r="J1791" i="1"/>
  <c r="I1791" i="1"/>
  <c r="H1791" i="1"/>
  <c r="G1791" i="1"/>
  <c r="M1790" i="1"/>
  <c r="L1790" i="1"/>
  <c r="K1790" i="1"/>
  <c r="J1790" i="1"/>
  <c r="I1790" i="1"/>
  <c r="H1790" i="1"/>
  <c r="G1790" i="1"/>
  <c r="M1789" i="1"/>
  <c r="L1789" i="1"/>
  <c r="K1789" i="1"/>
  <c r="J1789" i="1"/>
  <c r="I1789" i="1"/>
  <c r="H1789" i="1"/>
  <c r="G1789" i="1"/>
  <c r="M1788" i="1"/>
  <c r="L1788" i="1"/>
  <c r="K1788" i="1"/>
  <c r="J1788" i="1"/>
  <c r="I1788" i="1"/>
  <c r="H1788" i="1"/>
  <c r="G1788" i="1"/>
  <c r="M1787" i="1"/>
  <c r="L1787" i="1"/>
  <c r="K1787" i="1"/>
  <c r="J1787" i="1"/>
  <c r="I1787" i="1"/>
  <c r="H1787" i="1"/>
  <c r="G1787" i="1"/>
  <c r="M1786" i="1"/>
  <c r="L1786" i="1"/>
  <c r="K1786" i="1"/>
  <c r="J1786" i="1"/>
  <c r="I1786" i="1"/>
  <c r="H1786" i="1"/>
  <c r="G1786" i="1"/>
  <c r="M1785" i="1"/>
  <c r="L1785" i="1"/>
  <c r="K1785" i="1"/>
  <c r="J1785" i="1"/>
  <c r="I1785" i="1"/>
  <c r="H1785" i="1"/>
  <c r="G1785" i="1"/>
  <c r="M1784" i="1"/>
  <c r="L1784" i="1"/>
  <c r="K1784" i="1"/>
  <c r="J1784" i="1"/>
  <c r="I1784" i="1"/>
  <c r="H1784" i="1"/>
  <c r="G1784" i="1"/>
  <c r="M1783" i="1"/>
  <c r="L1783" i="1"/>
  <c r="K1783" i="1"/>
  <c r="J1783" i="1"/>
  <c r="I1783" i="1"/>
  <c r="H1783" i="1"/>
  <c r="G1783" i="1"/>
  <c r="M1782" i="1"/>
  <c r="L1782" i="1"/>
  <c r="K1782" i="1"/>
  <c r="J1782" i="1"/>
  <c r="I1782" i="1"/>
  <c r="H1782" i="1"/>
  <c r="G1782" i="1"/>
  <c r="M1781" i="1"/>
  <c r="L1781" i="1"/>
  <c r="K1781" i="1"/>
  <c r="J1781" i="1"/>
  <c r="I1781" i="1"/>
  <c r="H1781" i="1"/>
  <c r="G1781" i="1"/>
  <c r="M1780" i="1"/>
  <c r="L1780" i="1"/>
  <c r="K1780" i="1"/>
  <c r="J1780" i="1"/>
  <c r="I1780" i="1"/>
  <c r="H1780" i="1"/>
  <c r="G1780" i="1"/>
  <c r="M1779" i="1"/>
  <c r="L1779" i="1"/>
  <c r="K1779" i="1"/>
  <c r="J1779" i="1"/>
  <c r="I1779" i="1"/>
  <c r="H1779" i="1"/>
  <c r="G1779" i="1"/>
  <c r="M1778" i="1"/>
  <c r="L1778" i="1"/>
  <c r="K1778" i="1"/>
  <c r="J1778" i="1"/>
  <c r="I1778" i="1"/>
  <c r="H1778" i="1"/>
  <c r="G1778" i="1"/>
  <c r="M1777" i="1"/>
  <c r="L1777" i="1"/>
  <c r="K1777" i="1"/>
  <c r="J1777" i="1"/>
  <c r="I1777" i="1"/>
  <c r="H1777" i="1"/>
  <c r="G1777" i="1"/>
  <c r="M1776" i="1"/>
  <c r="L1776" i="1"/>
  <c r="K1776" i="1"/>
  <c r="J1776" i="1"/>
  <c r="I1776" i="1"/>
  <c r="H1776" i="1"/>
  <c r="G1776" i="1"/>
  <c r="M1775" i="1"/>
  <c r="L1775" i="1"/>
  <c r="K1775" i="1"/>
  <c r="J1775" i="1"/>
  <c r="I1775" i="1"/>
  <c r="H1775" i="1"/>
  <c r="G1775" i="1"/>
  <c r="M1774" i="1"/>
  <c r="L1774" i="1"/>
  <c r="K1774" i="1"/>
  <c r="J1774" i="1"/>
  <c r="I1774" i="1"/>
  <c r="H1774" i="1"/>
  <c r="G1774" i="1"/>
  <c r="M1773" i="1"/>
  <c r="L1773" i="1"/>
  <c r="K1773" i="1"/>
  <c r="J1773" i="1"/>
  <c r="I1773" i="1"/>
  <c r="H1773" i="1"/>
  <c r="G1773" i="1"/>
  <c r="M1772" i="1"/>
  <c r="L1772" i="1"/>
  <c r="K1772" i="1"/>
  <c r="J1772" i="1"/>
  <c r="I1772" i="1"/>
  <c r="H1772" i="1"/>
  <c r="G1772" i="1"/>
  <c r="M1771" i="1"/>
  <c r="L1771" i="1"/>
  <c r="K1771" i="1"/>
  <c r="J1771" i="1"/>
  <c r="I1771" i="1"/>
  <c r="H1771" i="1"/>
  <c r="G1771" i="1"/>
  <c r="M1770" i="1"/>
  <c r="L1770" i="1"/>
  <c r="K1770" i="1"/>
  <c r="J1770" i="1"/>
  <c r="I1770" i="1"/>
  <c r="H1770" i="1"/>
  <c r="G1770" i="1"/>
  <c r="M1769" i="1"/>
  <c r="L1769" i="1"/>
  <c r="K1769" i="1"/>
  <c r="J1769" i="1"/>
  <c r="I1769" i="1"/>
  <c r="H1769" i="1"/>
  <c r="G1769" i="1"/>
  <c r="M1768" i="1"/>
  <c r="L1768" i="1"/>
  <c r="K1768" i="1"/>
  <c r="J1768" i="1"/>
  <c r="I1768" i="1"/>
  <c r="H1768" i="1"/>
  <c r="G1768" i="1"/>
  <c r="M1767" i="1"/>
  <c r="L1767" i="1"/>
  <c r="K1767" i="1"/>
  <c r="J1767" i="1"/>
  <c r="I1767" i="1"/>
  <c r="H1767" i="1"/>
  <c r="G1767" i="1"/>
  <c r="M1766" i="1"/>
  <c r="L1766" i="1"/>
  <c r="K1766" i="1"/>
  <c r="J1766" i="1"/>
  <c r="I1766" i="1"/>
  <c r="H1766" i="1"/>
  <c r="G1766" i="1"/>
  <c r="M1765" i="1"/>
  <c r="L1765" i="1"/>
  <c r="K1765" i="1"/>
  <c r="J1765" i="1"/>
  <c r="I1765" i="1"/>
  <c r="H1765" i="1"/>
  <c r="G1765" i="1"/>
  <c r="M1764" i="1"/>
  <c r="L1764" i="1"/>
  <c r="K1764" i="1"/>
  <c r="J1764" i="1"/>
  <c r="I1764" i="1"/>
  <c r="H1764" i="1"/>
  <c r="G1764" i="1"/>
  <c r="M1763" i="1"/>
  <c r="L1763" i="1"/>
  <c r="K1763" i="1"/>
  <c r="J1763" i="1"/>
  <c r="I1763" i="1"/>
  <c r="H1763" i="1"/>
  <c r="G1763" i="1"/>
  <c r="M1762" i="1"/>
  <c r="L1762" i="1"/>
  <c r="K1762" i="1"/>
  <c r="J1762" i="1"/>
  <c r="I1762" i="1"/>
  <c r="H1762" i="1"/>
  <c r="G1762" i="1"/>
  <c r="M1761" i="1"/>
  <c r="L1761" i="1"/>
  <c r="K1761" i="1"/>
  <c r="J1761" i="1"/>
  <c r="I1761" i="1"/>
  <c r="H1761" i="1"/>
  <c r="G1761" i="1"/>
  <c r="M1760" i="1"/>
  <c r="L1760" i="1"/>
  <c r="K1760" i="1"/>
  <c r="J1760" i="1"/>
  <c r="I1760" i="1"/>
  <c r="H1760" i="1"/>
  <c r="G1760" i="1"/>
  <c r="M1759" i="1"/>
  <c r="L1759" i="1"/>
  <c r="K1759" i="1"/>
  <c r="J1759" i="1"/>
  <c r="I1759" i="1"/>
  <c r="H1759" i="1"/>
  <c r="G1759" i="1"/>
  <c r="M1758" i="1"/>
  <c r="L1758" i="1"/>
  <c r="K1758" i="1"/>
  <c r="J1758" i="1"/>
  <c r="I1758" i="1"/>
  <c r="H1758" i="1"/>
  <c r="G1758" i="1"/>
  <c r="M1757" i="1"/>
  <c r="L1757" i="1"/>
  <c r="K1757" i="1"/>
  <c r="J1757" i="1"/>
  <c r="I1757" i="1"/>
  <c r="H1757" i="1"/>
  <c r="G1757" i="1"/>
  <c r="M1756" i="1"/>
  <c r="L1756" i="1"/>
  <c r="K1756" i="1"/>
  <c r="J1756" i="1"/>
  <c r="I1756" i="1"/>
  <c r="H1756" i="1"/>
  <c r="G1756" i="1"/>
  <c r="M1755" i="1"/>
  <c r="L1755" i="1"/>
  <c r="K1755" i="1"/>
  <c r="J1755" i="1"/>
  <c r="I1755" i="1"/>
  <c r="H1755" i="1"/>
  <c r="G1755" i="1"/>
  <c r="M1754" i="1"/>
  <c r="L1754" i="1"/>
  <c r="K1754" i="1"/>
  <c r="J1754" i="1"/>
  <c r="I1754" i="1"/>
  <c r="H1754" i="1"/>
  <c r="G1754" i="1"/>
  <c r="M1753" i="1"/>
  <c r="L1753" i="1"/>
  <c r="K1753" i="1"/>
  <c r="J1753" i="1"/>
  <c r="I1753" i="1"/>
  <c r="H1753" i="1"/>
  <c r="G1753" i="1"/>
  <c r="M1752" i="1"/>
  <c r="L1752" i="1"/>
  <c r="K1752" i="1"/>
  <c r="J1752" i="1"/>
  <c r="I1752" i="1"/>
  <c r="H1752" i="1"/>
  <c r="G1752" i="1"/>
  <c r="M1751" i="1"/>
  <c r="L1751" i="1"/>
  <c r="K1751" i="1"/>
  <c r="J1751" i="1"/>
  <c r="I1751" i="1"/>
  <c r="H1751" i="1"/>
  <c r="G1751" i="1"/>
  <c r="M1750" i="1"/>
  <c r="L1750" i="1"/>
  <c r="K1750" i="1"/>
  <c r="J1750" i="1"/>
  <c r="I1750" i="1"/>
  <c r="H1750" i="1"/>
  <c r="G1750" i="1"/>
  <c r="M1749" i="1"/>
  <c r="L1749" i="1"/>
  <c r="K1749" i="1"/>
  <c r="J1749" i="1"/>
  <c r="I1749" i="1"/>
  <c r="H1749" i="1"/>
  <c r="G1749" i="1"/>
  <c r="M1748" i="1"/>
  <c r="L1748" i="1"/>
  <c r="K1748" i="1"/>
  <c r="J1748" i="1"/>
  <c r="I1748" i="1"/>
  <c r="H1748" i="1"/>
  <c r="G1748" i="1"/>
  <c r="M1747" i="1"/>
  <c r="L1747" i="1"/>
  <c r="K1747" i="1"/>
  <c r="J1747" i="1"/>
  <c r="I1747" i="1"/>
  <c r="H1747" i="1"/>
  <c r="G1747" i="1"/>
  <c r="M1746" i="1"/>
  <c r="L1746" i="1"/>
  <c r="K1746" i="1"/>
  <c r="J1746" i="1"/>
  <c r="I1746" i="1"/>
  <c r="H1746" i="1"/>
  <c r="G1746" i="1"/>
  <c r="M1745" i="1"/>
  <c r="L1745" i="1"/>
  <c r="K1745" i="1"/>
  <c r="J1745" i="1"/>
  <c r="I1745" i="1"/>
  <c r="H1745" i="1"/>
  <c r="G1745" i="1"/>
  <c r="M1744" i="1"/>
  <c r="L1744" i="1"/>
  <c r="K1744" i="1"/>
  <c r="J1744" i="1"/>
  <c r="I1744" i="1"/>
  <c r="H1744" i="1"/>
  <c r="G1744" i="1"/>
  <c r="M1743" i="1"/>
  <c r="L1743" i="1"/>
  <c r="K1743" i="1"/>
  <c r="J1743" i="1"/>
  <c r="I1743" i="1"/>
  <c r="H1743" i="1"/>
  <c r="G1743" i="1"/>
  <c r="M1742" i="1"/>
  <c r="L1742" i="1"/>
  <c r="K1742" i="1"/>
  <c r="J1742" i="1"/>
  <c r="I1742" i="1"/>
  <c r="H1742" i="1"/>
  <c r="G1742" i="1"/>
  <c r="M1741" i="1"/>
  <c r="L1741" i="1"/>
  <c r="K1741" i="1"/>
  <c r="J1741" i="1"/>
  <c r="I1741" i="1"/>
  <c r="H1741" i="1"/>
  <c r="G1741" i="1"/>
  <c r="M1740" i="1"/>
  <c r="L1740" i="1"/>
  <c r="K1740" i="1"/>
  <c r="J1740" i="1"/>
  <c r="I1740" i="1"/>
  <c r="H1740" i="1"/>
  <c r="G1740" i="1"/>
  <c r="M1739" i="1"/>
  <c r="L1739" i="1"/>
  <c r="K1739" i="1"/>
  <c r="J1739" i="1"/>
  <c r="I1739" i="1"/>
  <c r="H1739" i="1"/>
  <c r="G1739" i="1"/>
  <c r="M1738" i="1"/>
  <c r="L1738" i="1"/>
  <c r="K1738" i="1"/>
  <c r="J1738" i="1"/>
  <c r="I1738" i="1"/>
  <c r="H1738" i="1"/>
  <c r="G1738" i="1"/>
  <c r="M1737" i="1"/>
  <c r="L1737" i="1"/>
  <c r="K1737" i="1"/>
  <c r="J1737" i="1"/>
  <c r="I1737" i="1"/>
  <c r="H1737" i="1"/>
  <c r="G1737" i="1"/>
  <c r="M1736" i="1"/>
  <c r="L1736" i="1"/>
  <c r="K1736" i="1"/>
  <c r="J1736" i="1"/>
  <c r="I1736" i="1"/>
  <c r="H1736" i="1"/>
  <c r="G1736" i="1"/>
  <c r="M1735" i="1"/>
  <c r="L1735" i="1"/>
  <c r="K1735" i="1"/>
  <c r="J1735" i="1"/>
  <c r="I1735" i="1"/>
  <c r="H1735" i="1"/>
  <c r="G1735" i="1"/>
  <c r="M1734" i="1"/>
  <c r="L1734" i="1"/>
  <c r="K1734" i="1"/>
  <c r="J1734" i="1"/>
  <c r="I1734" i="1"/>
  <c r="H1734" i="1"/>
  <c r="G1734" i="1"/>
  <c r="M1733" i="1"/>
  <c r="L1733" i="1"/>
  <c r="K1733" i="1"/>
  <c r="J1733" i="1"/>
  <c r="I1733" i="1"/>
  <c r="H1733" i="1"/>
  <c r="G1733" i="1"/>
  <c r="M1732" i="1"/>
  <c r="L1732" i="1"/>
  <c r="K1732" i="1"/>
  <c r="J1732" i="1"/>
  <c r="I1732" i="1"/>
  <c r="H1732" i="1"/>
  <c r="G1732" i="1"/>
  <c r="M1731" i="1"/>
  <c r="L1731" i="1"/>
  <c r="K1731" i="1"/>
  <c r="J1731" i="1"/>
  <c r="I1731" i="1"/>
  <c r="H1731" i="1"/>
  <c r="G1731" i="1"/>
  <c r="M1730" i="1"/>
  <c r="L1730" i="1"/>
  <c r="K1730" i="1"/>
  <c r="J1730" i="1"/>
  <c r="I1730" i="1"/>
  <c r="H1730" i="1"/>
  <c r="G1730" i="1"/>
  <c r="M1729" i="1"/>
  <c r="L1729" i="1"/>
  <c r="K1729" i="1"/>
  <c r="J1729" i="1"/>
  <c r="I1729" i="1"/>
  <c r="H1729" i="1"/>
  <c r="G1729" i="1"/>
  <c r="M1728" i="1"/>
  <c r="L1728" i="1"/>
  <c r="K1728" i="1"/>
  <c r="J1728" i="1"/>
  <c r="I1728" i="1"/>
  <c r="H1728" i="1"/>
  <c r="G1728" i="1"/>
  <c r="M1727" i="1"/>
  <c r="L1727" i="1"/>
  <c r="K1727" i="1"/>
  <c r="J1727" i="1"/>
  <c r="I1727" i="1"/>
  <c r="H1727" i="1"/>
  <c r="G1727" i="1"/>
  <c r="M1726" i="1"/>
  <c r="L1726" i="1"/>
  <c r="K1726" i="1"/>
  <c r="J1726" i="1"/>
  <c r="I1726" i="1"/>
  <c r="H1726" i="1"/>
  <c r="G1726" i="1"/>
  <c r="M1725" i="1"/>
  <c r="L1725" i="1"/>
  <c r="K1725" i="1"/>
  <c r="J1725" i="1"/>
  <c r="I1725" i="1"/>
  <c r="H1725" i="1"/>
  <c r="G1725" i="1"/>
  <c r="M1724" i="1"/>
  <c r="L1724" i="1"/>
  <c r="K1724" i="1"/>
  <c r="J1724" i="1"/>
  <c r="I1724" i="1"/>
  <c r="H1724" i="1"/>
  <c r="G1724" i="1"/>
  <c r="M1723" i="1"/>
  <c r="L1723" i="1"/>
  <c r="K1723" i="1"/>
  <c r="J1723" i="1"/>
  <c r="I1723" i="1"/>
  <c r="H1723" i="1"/>
  <c r="G1723" i="1"/>
  <c r="M1722" i="1"/>
  <c r="L1722" i="1"/>
  <c r="K1722" i="1"/>
  <c r="J1722" i="1"/>
  <c r="I1722" i="1"/>
  <c r="H1722" i="1"/>
  <c r="G1722" i="1"/>
  <c r="M1721" i="1"/>
  <c r="L1721" i="1"/>
  <c r="K1721" i="1"/>
  <c r="J1721" i="1"/>
  <c r="I1721" i="1"/>
  <c r="H1721" i="1"/>
  <c r="G1721" i="1"/>
  <c r="M1720" i="1"/>
  <c r="L1720" i="1"/>
  <c r="K1720" i="1"/>
  <c r="J1720" i="1"/>
  <c r="I1720" i="1"/>
  <c r="H1720" i="1"/>
  <c r="G1720" i="1"/>
  <c r="M1719" i="1"/>
  <c r="L1719" i="1"/>
  <c r="K1719" i="1"/>
  <c r="J1719" i="1"/>
  <c r="I1719" i="1"/>
  <c r="H1719" i="1"/>
  <c r="G1719" i="1"/>
  <c r="M1718" i="1"/>
  <c r="L1718" i="1"/>
  <c r="K1718" i="1"/>
  <c r="J1718" i="1"/>
  <c r="I1718" i="1"/>
  <c r="H1718" i="1"/>
  <c r="G1718" i="1"/>
  <c r="M1717" i="1"/>
  <c r="L1717" i="1"/>
  <c r="K1717" i="1"/>
  <c r="J1717" i="1"/>
  <c r="I1717" i="1"/>
  <c r="H1717" i="1"/>
  <c r="G1717" i="1"/>
  <c r="M1716" i="1"/>
  <c r="L1716" i="1"/>
  <c r="K1716" i="1"/>
  <c r="J1716" i="1"/>
  <c r="I1716" i="1"/>
  <c r="H1716" i="1"/>
  <c r="G1716" i="1"/>
  <c r="M1715" i="1"/>
  <c r="L1715" i="1"/>
  <c r="K1715" i="1"/>
  <c r="J1715" i="1"/>
  <c r="I1715" i="1"/>
  <c r="H1715" i="1"/>
  <c r="G1715" i="1"/>
  <c r="M1714" i="1"/>
  <c r="L1714" i="1"/>
  <c r="K1714" i="1"/>
  <c r="J1714" i="1"/>
  <c r="I1714" i="1"/>
  <c r="H1714" i="1"/>
  <c r="G1714" i="1"/>
  <c r="M1713" i="1"/>
  <c r="L1713" i="1"/>
  <c r="K1713" i="1"/>
  <c r="J1713" i="1"/>
  <c r="I1713" i="1"/>
  <c r="H1713" i="1"/>
  <c r="G1713" i="1"/>
  <c r="M1712" i="1"/>
  <c r="L1712" i="1"/>
  <c r="K1712" i="1"/>
  <c r="J1712" i="1"/>
  <c r="I1712" i="1"/>
  <c r="H1712" i="1"/>
  <c r="G1712" i="1"/>
  <c r="M1711" i="1"/>
  <c r="L1711" i="1"/>
  <c r="K1711" i="1"/>
  <c r="J1711" i="1"/>
  <c r="I1711" i="1"/>
  <c r="H1711" i="1"/>
  <c r="G1711" i="1"/>
  <c r="M1710" i="1"/>
  <c r="L1710" i="1"/>
  <c r="K1710" i="1"/>
  <c r="J1710" i="1"/>
  <c r="I1710" i="1"/>
  <c r="H1710" i="1"/>
  <c r="G1710" i="1"/>
  <c r="M1709" i="1"/>
  <c r="L1709" i="1"/>
  <c r="K1709" i="1"/>
  <c r="J1709" i="1"/>
  <c r="I1709" i="1"/>
  <c r="H1709" i="1"/>
  <c r="G1709" i="1"/>
  <c r="M1708" i="1"/>
  <c r="L1708" i="1"/>
  <c r="K1708" i="1"/>
  <c r="J1708" i="1"/>
  <c r="I1708" i="1"/>
  <c r="H1708" i="1"/>
  <c r="G1708" i="1"/>
  <c r="M1707" i="1"/>
  <c r="L1707" i="1"/>
  <c r="K1707" i="1"/>
  <c r="J1707" i="1"/>
  <c r="I1707" i="1"/>
  <c r="H1707" i="1"/>
  <c r="G1707" i="1"/>
  <c r="M1706" i="1"/>
  <c r="L1706" i="1"/>
  <c r="K1706" i="1"/>
  <c r="J1706" i="1"/>
  <c r="I1706" i="1"/>
  <c r="H1706" i="1"/>
  <c r="G1706" i="1"/>
  <c r="M1705" i="1"/>
  <c r="L1705" i="1"/>
  <c r="K1705" i="1"/>
  <c r="J1705" i="1"/>
  <c r="I1705" i="1"/>
  <c r="H1705" i="1"/>
  <c r="G1705" i="1"/>
  <c r="M1704" i="1"/>
  <c r="L1704" i="1"/>
  <c r="K1704" i="1"/>
  <c r="J1704" i="1"/>
  <c r="I1704" i="1"/>
  <c r="H1704" i="1"/>
  <c r="G1704" i="1"/>
  <c r="M1703" i="1"/>
  <c r="L1703" i="1"/>
  <c r="K1703" i="1"/>
  <c r="J1703" i="1"/>
  <c r="I1703" i="1"/>
  <c r="H1703" i="1"/>
  <c r="G1703" i="1"/>
  <c r="M1702" i="1"/>
  <c r="L1702" i="1"/>
  <c r="K1702" i="1"/>
  <c r="J1702" i="1"/>
  <c r="I1702" i="1"/>
  <c r="H1702" i="1"/>
  <c r="G1702" i="1"/>
  <c r="M1701" i="1"/>
  <c r="L1701" i="1"/>
  <c r="K1701" i="1"/>
  <c r="J1701" i="1"/>
  <c r="I1701" i="1"/>
  <c r="H1701" i="1"/>
  <c r="G1701" i="1"/>
  <c r="M1700" i="1"/>
  <c r="L1700" i="1"/>
  <c r="K1700" i="1"/>
  <c r="J1700" i="1"/>
  <c r="I1700" i="1"/>
  <c r="H1700" i="1"/>
  <c r="G1700" i="1"/>
  <c r="M1699" i="1"/>
  <c r="L1699" i="1"/>
  <c r="K1699" i="1"/>
  <c r="J1699" i="1"/>
  <c r="I1699" i="1"/>
  <c r="H1699" i="1"/>
  <c r="G1699" i="1"/>
  <c r="M1698" i="1"/>
  <c r="L1698" i="1"/>
  <c r="K1698" i="1"/>
  <c r="J1698" i="1"/>
  <c r="I1698" i="1"/>
  <c r="H1698" i="1"/>
  <c r="G1698" i="1"/>
  <c r="M1697" i="1"/>
  <c r="L1697" i="1"/>
  <c r="K1697" i="1"/>
  <c r="J1697" i="1"/>
  <c r="I1697" i="1"/>
  <c r="H1697" i="1"/>
  <c r="G1697" i="1"/>
  <c r="M1696" i="1"/>
  <c r="L1696" i="1"/>
  <c r="K1696" i="1"/>
  <c r="J1696" i="1"/>
  <c r="I1696" i="1"/>
  <c r="H1696" i="1"/>
  <c r="G1696" i="1"/>
  <c r="M1695" i="1"/>
  <c r="L1695" i="1"/>
  <c r="K1695" i="1"/>
  <c r="J1695" i="1"/>
  <c r="I1695" i="1"/>
  <c r="H1695" i="1"/>
  <c r="G1695" i="1"/>
  <c r="M1694" i="1"/>
  <c r="L1694" i="1"/>
  <c r="K1694" i="1"/>
  <c r="J1694" i="1"/>
  <c r="I1694" i="1"/>
  <c r="H1694" i="1"/>
  <c r="G1694" i="1"/>
  <c r="M1693" i="1"/>
  <c r="L1693" i="1"/>
  <c r="K1693" i="1"/>
  <c r="J1693" i="1"/>
  <c r="I1693" i="1"/>
  <c r="H1693" i="1"/>
  <c r="G1693" i="1"/>
  <c r="M1692" i="1"/>
  <c r="L1692" i="1"/>
  <c r="K1692" i="1"/>
  <c r="J1692" i="1"/>
  <c r="I1692" i="1"/>
  <c r="H1692" i="1"/>
  <c r="G1692" i="1"/>
  <c r="M1691" i="1"/>
  <c r="L1691" i="1"/>
  <c r="K1691" i="1"/>
  <c r="J1691" i="1"/>
  <c r="I1691" i="1"/>
  <c r="H1691" i="1"/>
  <c r="G1691" i="1"/>
  <c r="M1690" i="1"/>
  <c r="L1690" i="1"/>
  <c r="K1690" i="1"/>
  <c r="J1690" i="1"/>
  <c r="I1690" i="1"/>
  <c r="H1690" i="1"/>
  <c r="G1690" i="1"/>
  <c r="M1689" i="1"/>
  <c r="L1689" i="1"/>
  <c r="K1689" i="1"/>
  <c r="J1689" i="1"/>
  <c r="I1689" i="1"/>
  <c r="H1689" i="1"/>
  <c r="G1689" i="1"/>
  <c r="M1688" i="1"/>
  <c r="L1688" i="1"/>
  <c r="K1688" i="1"/>
  <c r="J1688" i="1"/>
  <c r="I1688" i="1"/>
  <c r="H1688" i="1"/>
  <c r="G1688" i="1"/>
  <c r="M1687" i="1"/>
  <c r="L1687" i="1"/>
  <c r="K1687" i="1"/>
  <c r="J1687" i="1"/>
  <c r="I1687" i="1"/>
  <c r="H1687" i="1"/>
  <c r="G1687" i="1"/>
  <c r="M1686" i="1"/>
  <c r="L1686" i="1"/>
  <c r="K1686" i="1"/>
  <c r="J1686" i="1"/>
  <c r="I1686" i="1"/>
  <c r="H1686" i="1"/>
  <c r="G1686" i="1"/>
  <c r="M1685" i="1"/>
  <c r="L1685" i="1"/>
  <c r="K1685" i="1"/>
  <c r="J1685" i="1"/>
  <c r="I1685" i="1"/>
  <c r="H1685" i="1"/>
  <c r="G1685" i="1"/>
  <c r="M1684" i="1"/>
  <c r="L1684" i="1"/>
  <c r="K1684" i="1"/>
  <c r="J1684" i="1"/>
  <c r="I1684" i="1"/>
  <c r="H1684" i="1"/>
  <c r="G1684" i="1"/>
  <c r="M1683" i="1"/>
  <c r="L1683" i="1"/>
  <c r="K1683" i="1"/>
  <c r="J1683" i="1"/>
  <c r="I1683" i="1"/>
  <c r="H1683" i="1"/>
  <c r="G1683" i="1"/>
  <c r="M1682" i="1"/>
  <c r="L1682" i="1"/>
  <c r="K1682" i="1"/>
  <c r="J1682" i="1"/>
  <c r="I1682" i="1"/>
  <c r="H1682" i="1"/>
  <c r="G1682" i="1"/>
  <c r="M1681" i="1"/>
  <c r="L1681" i="1"/>
  <c r="K1681" i="1"/>
  <c r="J1681" i="1"/>
  <c r="I1681" i="1"/>
  <c r="H1681" i="1"/>
  <c r="G1681" i="1"/>
  <c r="M1680" i="1"/>
  <c r="L1680" i="1"/>
  <c r="K1680" i="1"/>
  <c r="J1680" i="1"/>
  <c r="I1680" i="1"/>
  <c r="H1680" i="1"/>
  <c r="G1680" i="1"/>
  <c r="M1679" i="1"/>
  <c r="L1679" i="1"/>
  <c r="K1679" i="1"/>
  <c r="J1679" i="1"/>
  <c r="I1679" i="1"/>
  <c r="H1679" i="1"/>
  <c r="G1679" i="1"/>
  <c r="M1678" i="1"/>
  <c r="L1678" i="1"/>
  <c r="K1678" i="1"/>
  <c r="J1678" i="1"/>
  <c r="I1678" i="1"/>
  <c r="H1678" i="1"/>
  <c r="G1678" i="1"/>
  <c r="M1677" i="1"/>
  <c r="L1677" i="1"/>
  <c r="K1677" i="1"/>
  <c r="J1677" i="1"/>
  <c r="I1677" i="1"/>
  <c r="H1677" i="1"/>
  <c r="G1677" i="1"/>
  <c r="M1676" i="1"/>
  <c r="L1676" i="1"/>
  <c r="K1676" i="1"/>
  <c r="J1676" i="1"/>
  <c r="I1676" i="1"/>
  <c r="H1676" i="1"/>
  <c r="G1676" i="1"/>
  <c r="M1675" i="1"/>
  <c r="L1675" i="1"/>
  <c r="K1675" i="1"/>
  <c r="J1675" i="1"/>
  <c r="I1675" i="1"/>
  <c r="H1675" i="1"/>
  <c r="G1675" i="1"/>
  <c r="M1674" i="1"/>
  <c r="L1674" i="1"/>
  <c r="K1674" i="1"/>
  <c r="J1674" i="1"/>
  <c r="I1674" i="1"/>
  <c r="H1674" i="1"/>
  <c r="G1674" i="1"/>
  <c r="M1673" i="1"/>
  <c r="L1673" i="1"/>
  <c r="K1673" i="1"/>
  <c r="J1673" i="1"/>
  <c r="I1673" i="1"/>
  <c r="H1673" i="1"/>
  <c r="G1673" i="1"/>
  <c r="M1672" i="1"/>
  <c r="L1672" i="1"/>
  <c r="K1672" i="1"/>
  <c r="J1672" i="1"/>
  <c r="I1672" i="1"/>
  <c r="H1672" i="1"/>
  <c r="G1672" i="1"/>
  <c r="M1671" i="1"/>
  <c r="L1671" i="1"/>
  <c r="K1671" i="1"/>
  <c r="J1671" i="1"/>
  <c r="I1671" i="1"/>
  <c r="H1671" i="1"/>
  <c r="G1671" i="1"/>
  <c r="M1670" i="1"/>
  <c r="L1670" i="1"/>
  <c r="K1670" i="1"/>
  <c r="J1670" i="1"/>
  <c r="I1670" i="1"/>
  <c r="H1670" i="1"/>
  <c r="G1670" i="1"/>
  <c r="M1669" i="1"/>
  <c r="L1669" i="1"/>
  <c r="K1669" i="1"/>
  <c r="J1669" i="1"/>
  <c r="I1669" i="1"/>
  <c r="H1669" i="1"/>
  <c r="G1669" i="1"/>
  <c r="M1668" i="1"/>
  <c r="L1668" i="1"/>
  <c r="K1668" i="1"/>
  <c r="J1668" i="1"/>
  <c r="I1668" i="1"/>
  <c r="H1668" i="1"/>
  <c r="G1668" i="1"/>
  <c r="M1667" i="1"/>
  <c r="L1667" i="1"/>
  <c r="K1667" i="1"/>
  <c r="J1667" i="1"/>
  <c r="I1667" i="1"/>
  <c r="H1667" i="1"/>
  <c r="G1667" i="1"/>
  <c r="M1666" i="1"/>
  <c r="L1666" i="1"/>
  <c r="K1666" i="1"/>
  <c r="J1666" i="1"/>
  <c r="I1666" i="1"/>
  <c r="H1666" i="1"/>
  <c r="G1666" i="1"/>
  <c r="M1665" i="1"/>
  <c r="L1665" i="1"/>
  <c r="K1665" i="1"/>
  <c r="J1665" i="1"/>
  <c r="I1665" i="1"/>
  <c r="H1665" i="1"/>
  <c r="G1665" i="1"/>
  <c r="M1664" i="1"/>
  <c r="L1664" i="1"/>
  <c r="K1664" i="1"/>
  <c r="J1664" i="1"/>
  <c r="I1664" i="1"/>
  <c r="H1664" i="1"/>
  <c r="G1664" i="1"/>
  <c r="M1663" i="1"/>
  <c r="L1663" i="1"/>
  <c r="K1663" i="1"/>
  <c r="J1663" i="1"/>
  <c r="I1663" i="1"/>
  <c r="H1663" i="1"/>
  <c r="G1663" i="1"/>
  <c r="M1662" i="1"/>
  <c r="L1662" i="1"/>
  <c r="K1662" i="1"/>
  <c r="J1662" i="1"/>
  <c r="I1662" i="1"/>
  <c r="H1662" i="1"/>
  <c r="G1662" i="1"/>
  <c r="M1661" i="1"/>
  <c r="L1661" i="1"/>
  <c r="K1661" i="1"/>
  <c r="J1661" i="1"/>
  <c r="I1661" i="1"/>
  <c r="H1661" i="1"/>
  <c r="G1661" i="1"/>
  <c r="M1660" i="1"/>
  <c r="L1660" i="1"/>
  <c r="K1660" i="1"/>
  <c r="J1660" i="1"/>
  <c r="I1660" i="1"/>
  <c r="H1660" i="1"/>
  <c r="G1660" i="1"/>
  <c r="M1659" i="1"/>
  <c r="L1659" i="1"/>
  <c r="K1659" i="1"/>
  <c r="J1659" i="1"/>
  <c r="I1659" i="1"/>
  <c r="H1659" i="1"/>
  <c r="G1659" i="1"/>
  <c r="M1658" i="1"/>
  <c r="L1658" i="1"/>
  <c r="K1658" i="1"/>
  <c r="J1658" i="1"/>
  <c r="I1658" i="1"/>
  <c r="H1658" i="1"/>
  <c r="G1658" i="1"/>
  <c r="M1657" i="1"/>
  <c r="L1657" i="1"/>
  <c r="K1657" i="1"/>
  <c r="J1657" i="1"/>
  <c r="I1657" i="1"/>
  <c r="H1657" i="1"/>
  <c r="G1657" i="1"/>
  <c r="M1656" i="1"/>
  <c r="L1656" i="1"/>
  <c r="K1656" i="1"/>
  <c r="J1656" i="1"/>
  <c r="I1656" i="1"/>
  <c r="H1656" i="1"/>
  <c r="G1656" i="1"/>
  <c r="M1655" i="1"/>
  <c r="L1655" i="1"/>
  <c r="K1655" i="1"/>
  <c r="J1655" i="1"/>
  <c r="I1655" i="1"/>
  <c r="H1655" i="1"/>
  <c r="G1655" i="1"/>
  <c r="M1654" i="1"/>
  <c r="L1654" i="1"/>
  <c r="K1654" i="1"/>
  <c r="J1654" i="1"/>
  <c r="I1654" i="1"/>
  <c r="H1654" i="1"/>
  <c r="G1654" i="1"/>
  <c r="M1653" i="1"/>
  <c r="L1653" i="1"/>
  <c r="K1653" i="1"/>
  <c r="J1653" i="1"/>
  <c r="I1653" i="1"/>
  <c r="H1653" i="1"/>
  <c r="G1653" i="1"/>
  <c r="M1652" i="1"/>
  <c r="L1652" i="1"/>
  <c r="K1652" i="1"/>
  <c r="J1652" i="1"/>
  <c r="I1652" i="1"/>
  <c r="H1652" i="1"/>
  <c r="G1652" i="1"/>
  <c r="M1651" i="1"/>
  <c r="L1651" i="1"/>
  <c r="K1651" i="1"/>
  <c r="J1651" i="1"/>
  <c r="I1651" i="1"/>
  <c r="H1651" i="1"/>
  <c r="G1651" i="1"/>
  <c r="M1650" i="1"/>
  <c r="L1650" i="1"/>
  <c r="K1650" i="1"/>
  <c r="J1650" i="1"/>
  <c r="I1650" i="1"/>
  <c r="H1650" i="1"/>
  <c r="G1650" i="1"/>
  <c r="M1649" i="1"/>
  <c r="L1649" i="1"/>
  <c r="K1649" i="1"/>
  <c r="J1649" i="1"/>
  <c r="I1649" i="1"/>
  <c r="H1649" i="1"/>
  <c r="G1649" i="1"/>
  <c r="M1648" i="1"/>
  <c r="L1648" i="1"/>
  <c r="K1648" i="1"/>
  <c r="J1648" i="1"/>
  <c r="I1648" i="1"/>
  <c r="H1648" i="1"/>
  <c r="G1648" i="1"/>
  <c r="M1647" i="1"/>
  <c r="L1647" i="1"/>
  <c r="K1647" i="1"/>
  <c r="J1647" i="1"/>
  <c r="I1647" i="1"/>
  <c r="H1647" i="1"/>
  <c r="G1647" i="1"/>
  <c r="M1646" i="1"/>
  <c r="L1646" i="1"/>
  <c r="K1646" i="1"/>
  <c r="J1646" i="1"/>
  <c r="I1646" i="1"/>
  <c r="H1646" i="1"/>
  <c r="G1646" i="1"/>
  <c r="M1645" i="1"/>
  <c r="L1645" i="1"/>
  <c r="K1645" i="1"/>
  <c r="J1645" i="1"/>
  <c r="I1645" i="1"/>
  <c r="H1645" i="1"/>
  <c r="G1645" i="1"/>
  <c r="M1644" i="1"/>
  <c r="L1644" i="1"/>
  <c r="K1644" i="1"/>
  <c r="J1644" i="1"/>
  <c r="I1644" i="1"/>
  <c r="H1644" i="1"/>
  <c r="G1644" i="1"/>
  <c r="M1643" i="1"/>
  <c r="L1643" i="1"/>
  <c r="K1643" i="1"/>
  <c r="J1643" i="1"/>
  <c r="I1643" i="1"/>
  <c r="H1643" i="1"/>
  <c r="G1643" i="1"/>
  <c r="M1642" i="1"/>
  <c r="L1642" i="1"/>
  <c r="K1642" i="1"/>
  <c r="J1642" i="1"/>
  <c r="I1642" i="1"/>
  <c r="H1642" i="1"/>
  <c r="G1642" i="1"/>
  <c r="M1641" i="1"/>
  <c r="L1641" i="1"/>
  <c r="K1641" i="1"/>
  <c r="J1641" i="1"/>
  <c r="I1641" i="1"/>
  <c r="H1641" i="1"/>
  <c r="G1641" i="1"/>
  <c r="M1640" i="1"/>
  <c r="L1640" i="1"/>
  <c r="K1640" i="1"/>
  <c r="J1640" i="1"/>
  <c r="I1640" i="1"/>
  <c r="H1640" i="1"/>
  <c r="G1640" i="1"/>
  <c r="M1639" i="1"/>
  <c r="L1639" i="1"/>
  <c r="K1639" i="1"/>
  <c r="J1639" i="1"/>
  <c r="I1639" i="1"/>
  <c r="H1639" i="1"/>
  <c r="G1639" i="1"/>
  <c r="M1638" i="1"/>
  <c r="L1638" i="1"/>
  <c r="K1638" i="1"/>
  <c r="J1638" i="1"/>
  <c r="I1638" i="1"/>
  <c r="H1638" i="1"/>
  <c r="G1638" i="1"/>
  <c r="M1637" i="1"/>
  <c r="L1637" i="1"/>
  <c r="K1637" i="1"/>
  <c r="J1637" i="1"/>
  <c r="I1637" i="1"/>
  <c r="H1637" i="1"/>
  <c r="G1637" i="1"/>
  <c r="M1636" i="1"/>
  <c r="L1636" i="1"/>
  <c r="K1636" i="1"/>
  <c r="J1636" i="1"/>
  <c r="I1636" i="1"/>
  <c r="H1636" i="1"/>
  <c r="G1636" i="1"/>
  <c r="M1635" i="1"/>
  <c r="L1635" i="1"/>
  <c r="K1635" i="1"/>
  <c r="J1635" i="1"/>
  <c r="I1635" i="1"/>
  <c r="H1635" i="1"/>
  <c r="G1635" i="1"/>
  <c r="M1634" i="1"/>
  <c r="L1634" i="1"/>
  <c r="K1634" i="1"/>
  <c r="J1634" i="1"/>
  <c r="I1634" i="1"/>
  <c r="H1634" i="1"/>
  <c r="G1634" i="1"/>
  <c r="M1633" i="1"/>
  <c r="L1633" i="1"/>
  <c r="K1633" i="1"/>
  <c r="J1633" i="1"/>
  <c r="I1633" i="1"/>
  <c r="H1633" i="1"/>
  <c r="G1633" i="1"/>
  <c r="M1632" i="1"/>
  <c r="L1632" i="1"/>
  <c r="K1632" i="1"/>
  <c r="J1632" i="1"/>
  <c r="I1632" i="1"/>
  <c r="H1632" i="1"/>
  <c r="G1632" i="1"/>
  <c r="M1631" i="1"/>
  <c r="L1631" i="1"/>
  <c r="K1631" i="1"/>
  <c r="J1631" i="1"/>
  <c r="I1631" i="1"/>
  <c r="H1631" i="1"/>
  <c r="G1631" i="1"/>
  <c r="M1630" i="1"/>
  <c r="L1630" i="1"/>
  <c r="K1630" i="1"/>
  <c r="J1630" i="1"/>
  <c r="I1630" i="1"/>
  <c r="H1630" i="1"/>
  <c r="G1630" i="1"/>
  <c r="M1629" i="1"/>
  <c r="L1629" i="1"/>
  <c r="K1629" i="1"/>
  <c r="J1629" i="1"/>
  <c r="I1629" i="1"/>
  <c r="H1629" i="1"/>
  <c r="G1629" i="1"/>
  <c r="M1628" i="1"/>
  <c r="L1628" i="1"/>
  <c r="K1628" i="1"/>
  <c r="J1628" i="1"/>
  <c r="I1628" i="1"/>
  <c r="H1628" i="1"/>
  <c r="G1628" i="1"/>
  <c r="M1627" i="1"/>
  <c r="L1627" i="1"/>
  <c r="K1627" i="1"/>
  <c r="J1627" i="1"/>
  <c r="I1627" i="1"/>
  <c r="H1627" i="1"/>
  <c r="G1627" i="1"/>
  <c r="M1626" i="1"/>
  <c r="L1626" i="1"/>
  <c r="K1626" i="1"/>
  <c r="J1626" i="1"/>
  <c r="I1626" i="1"/>
  <c r="H1626" i="1"/>
  <c r="G1626" i="1"/>
  <c r="M1625" i="1"/>
  <c r="L1625" i="1"/>
  <c r="K1625" i="1"/>
  <c r="J1625" i="1"/>
  <c r="I1625" i="1"/>
  <c r="H1625" i="1"/>
  <c r="G1625" i="1"/>
  <c r="M1624" i="1"/>
  <c r="L1624" i="1"/>
  <c r="K1624" i="1"/>
  <c r="J1624" i="1"/>
  <c r="I1624" i="1"/>
  <c r="H1624" i="1"/>
  <c r="G1624" i="1"/>
  <c r="M1623" i="1"/>
  <c r="L1623" i="1"/>
  <c r="K1623" i="1"/>
  <c r="J1623" i="1"/>
  <c r="I1623" i="1"/>
  <c r="H1623" i="1"/>
  <c r="G1623" i="1"/>
  <c r="M1622" i="1"/>
  <c r="L1622" i="1"/>
  <c r="K1622" i="1"/>
  <c r="J1622" i="1"/>
  <c r="I1622" i="1"/>
  <c r="H1622" i="1"/>
  <c r="G1622" i="1"/>
  <c r="M1621" i="1"/>
  <c r="L1621" i="1"/>
  <c r="K1621" i="1"/>
  <c r="J1621" i="1"/>
  <c r="I1621" i="1"/>
  <c r="H1621" i="1"/>
  <c r="G1621" i="1"/>
  <c r="M1620" i="1"/>
  <c r="L1620" i="1"/>
  <c r="K1620" i="1"/>
  <c r="J1620" i="1"/>
  <c r="I1620" i="1"/>
  <c r="H1620" i="1"/>
  <c r="G1620" i="1"/>
  <c r="M1619" i="1"/>
  <c r="L1619" i="1"/>
  <c r="K1619" i="1"/>
  <c r="J1619" i="1"/>
  <c r="I1619" i="1"/>
  <c r="H1619" i="1"/>
  <c r="G1619" i="1"/>
  <c r="M1618" i="1"/>
  <c r="L1618" i="1"/>
  <c r="K1618" i="1"/>
  <c r="J1618" i="1"/>
  <c r="I1618" i="1"/>
  <c r="H1618" i="1"/>
  <c r="G1618" i="1"/>
  <c r="M1617" i="1"/>
  <c r="L1617" i="1"/>
  <c r="K1617" i="1"/>
  <c r="J1617" i="1"/>
  <c r="I1617" i="1"/>
  <c r="H1617" i="1"/>
  <c r="G1617" i="1"/>
  <c r="M1616" i="1"/>
  <c r="L1616" i="1"/>
  <c r="K1616" i="1"/>
  <c r="J1616" i="1"/>
  <c r="I1616" i="1"/>
  <c r="H1616" i="1"/>
  <c r="G1616" i="1"/>
  <c r="M1615" i="1"/>
  <c r="L1615" i="1"/>
  <c r="K1615" i="1"/>
  <c r="J1615" i="1"/>
  <c r="I1615" i="1"/>
  <c r="H1615" i="1"/>
  <c r="G1615" i="1"/>
  <c r="M1614" i="1"/>
  <c r="L1614" i="1"/>
  <c r="K1614" i="1"/>
  <c r="J1614" i="1"/>
  <c r="I1614" i="1"/>
  <c r="H1614" i="1"/>
  <c r="G1614" i="1"/>
  <c r="M1613" i="1"/>
  <c r="L1613" i="1"/>
  <c r="K1613" i="1"/>
  <c r="J1613" i="1"/>
  <c r="I1613" i="1"/>
  <c r="H1613" i="1"/>
  <c r="G1613" i="1"/>
  <c r="M1612" i="1"/>
  <c r="L1612" i="1"/>
  <c r="K1612" i="1"/>
  <c r="J1612" i="1"/>
  <c r="I1612" i="1"/>
  <c r="H1612" i="1"/>
  <c r="G1612" i="1"/>
  <c r="M1611" i="1"/>
  <c r="L1611" i="1"/>
  <c r="K1611" i="1"/>
  <c r="J1611" i="1"/>
  <c r="I1611" i="1"/>
  <c r="H1611" i="1"/>
  <c r="G1611" i="1"/>
  <c r="M1610" i="1"/>
  <c r="L1610" i="1"/>
  <c r="K1610" i="1"/>
  <c r="J1610" i="1"/>
  <c r="I1610" i="1"/>
  <c r="H1610" i="1"/>
  <c r="G1610" i="1"/>
  <c r="M1609" i="1"/>
  <c r="L1609" i="1"/>
  <c r="K1609" i="1"/>
  <c r="J1609" i="1"/>
  <c r="I1609" i="1"/>
  <c r="H1609" i="1"/>
  <c r="G1609" i="1"/>
  <c r="M1608" i="1"/>
  <c r="L1608" i="1"/>
  <c r="K1608" i="1"/>
  <c r="J1608" i="1"/>
  <c r="I1608" i="1"/>
  <c r="H1608" i="1"/>
  <c r="G1608" i="1"/>
  <c r="M1607" i="1"/>
  <c r="L1607" i="1"/>
  <c r="K1607" i="1"/>
  <c r="J1607" i="1"/>
  <c r="I1607" i="1"/>
  <c r="H1607" i="1"/>
  <c r="G1607" i="1"/>
  <c r="M1606" i="1"/>
  <c r="L1606" i="1"/>
  <c r="K1606" i="1"/>
  <c r="J1606" i="1"/>
  <c r="I1606" i="1"/>
  <c r="H1606" i="1"/>
  <c r="G1606" i="1"/>
  <c r="M1605" i="1"/>
  <c r="L1605" i="1"/>
  <c r="K1605" i="1"/>
  <c r="J1605" i="1"/>
  <c r="I1605" i="1"/>
  <c r="H1605" i="1"/>
  <c r="G1605" i="1"/>
  <c r="M1604" i="1"/>
  <c r="L1604" i="1"/>
  <c r="K1604" i="1"/>
  <c r="J1604" i="1"/>
  <c r="I1604" i="1"/>
  <c r="H1604" i="1"/>
  <c r="G1604" i="1"/>
  <c r="M1603" i="1"/>
  <c r="L1603" i="1"/>
  <c r="K1603" i="1"/>
  <c r="J1603" i="1"/>
  <c r="I1603" i="1"/>
  <c r="H1603" i="1"/>
  <c r="G1603" i="1"/>
  <c r="M1602" i="1"/>
  <c r="L1602" i="1"/>
  <c r="K1602" i="1"/>
  <c r="J1602" i="1"/>
  <c r="I1602" i="1"/>
  <c r="H1602" i="1"/>
  <c r="G1602" i="1"/>
  <c r="M1601" i="1"/>
  <c r="L1601" i="1"/>
  <c r="K1601" i="1"/>
  <c r="J1601" i="1"/>
  <c r="I1601" i="1"/>
  <c r="H1601" i="1"/>
  <c r="G1601" i="1"/>
  <c r="M1600" i="1"/>
  <c r="L1600" i="1"/>
  <c r="K1600" i="1"/>
  <c r="J1600" i="1"/>
  <c r="I1600" i="1"/>
  <c r="H1600" i="1"/>
  <c r="G1600" i="1"/>
  <c r="M1599" i="1"/>
  <c r="L1599" i="1"/>
  <c r="K1599" i="1"/>
  <c r="J1599" i="1"/>
  <c r="I1599" i="1"/>
  <c r="H1599" i="1"/>
  <c r="G1599" i="1"/>
  <c r="M1598" i="1"/>
  <c r="L1598" i="1"/>
  <c r="K1598" i="1"/>
  <c r="J1598" i="1"/>
  <c r="I1598" i="1"/>
  <c r="H1598" i="1"/>
  <c r="G1598" i="1"/>
  <c r="M1597" i="1"/>
  <c r="L1597" i="1"/>
  <c r="K1597" i="1"/>
  <c r="J1597" i="1"/>
  <c r="I1597" i="1"/>
  <c r="H1597" i="1"/>
  <c r="G1597" i="1"/>
  <c r="M1596" i="1"/>
  <c r="L1596" i="1"/>
  <c r="K1596" i="1"/>
  <c r="J1596" i="1"/>
  <c r="I1596" i="1"/>
  <c r="H1596" i="1"/>
  <c r="G1596" i="1"/>
  <c r="M1595" i="1"/>
  <c r="L1595" i="1"/>
  <c r="K1595" i="1"/>
  <c r="J1595" i="1"/>
  <c r="I1595" i="1"/>
  <c r="H1595" i="1"/>
  <c r="G1595" i="1"/>
  <c r="M1594" i="1"/>
  <c r="L1594" i="1"/>
  <c r="K1594" i="1"/>
  <c r="J1594" i="1"/>
  <c r="I1594" i="1"/>
  <c r="H1594" i="1"/>
  <c r="G1594" i="1"/>
  <c r="M1593" i="1"/>
  <c r="L1593" i="1"/>
  <c r="K1593" i="1"/>
  <c r="J1593" i="1"/>
  <c r="I1593" i="1"/>
  <c r="H1593" i="1"/>
  <c r="G1593" i="1"/>
  <c r="M1592" i="1"/>
  <c r="L1592" i="1"/>
  <c r="K1592" i="1"/>
  <c r="J1592" i="1"/>
  <c r="I1592" i="1"/>
  <c r="H1592" i="1"/>
  <c r="G1592" i="1"/>
  <c r="M1591" i="1"/>
  <c r="L1591" i="1"/>
  <c r="K1591" i="1"/>
  <c r="J1591" i="1"/>
  <c r="I1591" i="1"/>
  <c r="H1591" i="1"/>
  <c r="G1591" i="1"/>
  <c r="M1590" i="1"/>
  <c r="L1590" i="1"/>
  <c r="K1590" i="1"/>
  <c r="J1590" i="1"/>
  <c r="I1590" i="1"/>
  <c r="H1590" i="1"/>
  <c r="G1590" i="1"/>
  <c r="M1589" i="1"/>
  <c r="L1589" i="1"/>
  <c r="K1589" i="1"/>
  <c r="J1589" i="1"/>
  <c r="I1589" i="1"/>
  <c r="H1589" i="1"/>
  <c r="G1589" i="1"/>
  <c r="M1588" i="1"/>
  <c r="L1588" i="1"/>
  <c r="K1588" i="1"/>
  <c r="J1588" i="1"/>
  <c r="I1588" i="1"/>
  <c r="H1588" i="1"/>
  <c r="G1588" i="1"/>
  <c r="M1587" i="1"/>
  <c r="L1587" i="1"/>
  <c r="K1587" i="1"/>
  <c r="J1587" i="1"/>
  <c r="I1587" i="1"/>
  <c r="H1587" i="1"/>
  <c r="G1587" i="1"/>
  <c r="M1586" i="1"/>
  <c r="L1586" i="1"/>
  <c r="K1586" i="1"/>
  <c r="J1586" i="1"/>
  <c r="I1586" i="1"/>
  <c r="H1586" i="1"/>
  <c r="G1586" i="1"/>
  <c r="M1585" i="1"/>
  <c r="L1585" i="1"/>
  <c r="K1585" i="1"/>
  <c r="J1585" i="1"/>
  <c r="I1585" i="1"/>
  <c r="H1585" i="1"/>
  <c r="G1585" i="1"/>
  <c r="M1584" i="1"/>
  <c r="L1584" i="1"/>
  <c r="K1584" i="1"/>
  <c r="J1584" i="1"/>
  <c r="I1584" i="1"/>
  <c r="H1584" i="1"/>
  <c r="G1584" i="1"/>
  <c r="M1583" i="1"/>
  <c r="L1583" i="1"/>
  <c r="K1583" i="1"/>
  <c r="J1583" i="1"/>
  <c r="I1583" i="1"/>
  <c r="H1583" i="1"/>
  <c r="G1583" i="1"/>
  <c r="M1582" i="1"/>
  <c r="L1582" i="1"/>
  <c r="K1582" i="1"/>
  <c r="J1582" i="1"/>
  <c r="I1582" i="1"/>
  <c r="H1582" i="1"/>
  <c r="G1582" i="1"/>
  <c r="M1581" i="1"/>
  <c r="L1581" i="1"/>
  <c r="K1581" i="1"/>
  <c r="J1581" i="1"/>
  <c r="I1581" i="1"/>
  <c r="H1581" i="1"/>
  <c r="G1581" i="1"/>
  <c r="M1580" i="1"/>
  <c r="L1580" i="1"/>
  <c r="K1580" i="1"/>
  <c r="J1580" i="1"/>
  <c r="I1580" i="1"/>
  <c r="H1580" i="1"/>
  <c r="G1580" i="1"/>
  <c r="M1579" i="1"/>
  <c r="L1579" i="1"/>
  <c r="K1579" i="1"/>
  <c r="J1579" i="1"/>
  <c r="I1579" i="1"/>
  <c r="H1579" i="1"/>
  <c r="G1579" i="1"/>
  <c r="M1578" i="1"/>
  <c r="L1578" i="1"/>
  <c r="K1578" i="1"/>
  <c r="J1578" i="1"/>
  <c r="I1578" i="1"/>
  <c r="H1578" i="1"/>
  <c r="G1578" i="1"/>
  <c r="M1577" i="1"/>
  <c r="L1577" i="1"/>
  <c r="K1577" i="1"/>
  <c r="J1577" i="1"/>
  <c r="I1577" i="1"/>
  <c r="H1577" i="1"/>
  <c r="G1577" i="1"/>
  <c r="M1576" i="1"/>
  <c r="L1576" i="1"/>
  <c r="K1576" i="1"/>
  <c r="J1576" i="1"/>
  <c r="I1576" i="1"/>
  <c r="H1576" i="1"/>
  <c r="G1576" i="1"/>
  <c r="M1575" i="1"/>
  <c r="L1575" i="1"/>
  <c r="K1575" i="1"/>
  <c r="J1575" i="1"/>
  <c r="I1575" i="1"/>
  <c r="H1575" i="1"/>
  <c r="G1575" i="1"/>
  <c r="M1574" i="1"/>
  <c r="L1574" i="1"/>
  <c r="K1574" i="1"/>
  <c r="J1574" i="1"/>
  <c r="I1574" i="1"/>
  <c r="H1574" i="1"/>
  <c r="G1574" i="1"/>
  <c r="M1573" i="1"/>
  <c r="L1573" i="1"/>
  <c r="K1573" i="1"/>
  <c r="J1573" i="1"/>
  <c r="I1573" i="1"/>
  <c r="H1573" i="1"/>
  <c r="G1573" i="1"/>
  <c r="M1572" i="1"/>
  <c r="L1572" i="1"/>
  <c r="K1572" i="1"/>
  <c r="J1572" i="1"/>
  <c r="I1572" i="1"/>
  <c r="H1572" i="1"/>
  <c r="G1572" i="1"/>
  <c r="M1571" i="1"/>
  <c r="L1571" i="1"/>
  <c r="K1571" i="1"/>
  <c r="J1571" i="1"/>
  <c r="I1571" i="1"/>
  <c r="H1571" i="1"/>
  <c r="G1571" i="1"/>
  <c r="M1570" i="1"/>
  <c r="L1570" i="1"/>
  <c r="K1570" i="1"/>
  <c r="J1570" i="1"/>
  <c r="I1570" i="1"/>
  <c r="H1570" i="1"/>
  <c r="G1570" i="1"/>
  <c r="M1569" i="1"/>
  <c r="L1569" i="1"/>
  <c r="K1569" i="1"/>
  <c r="J1569" i="1"/>
  <c r="I1569" i="1"/>
  <c r="H1569" i="1"/>
  <c r="G1569" i="1"/>
  <c r="M1568" i="1"/>
  <c r="L1568" i="1"/>
  <c r="K1568" i="1"/>
  <c r="J1568" i="1"/>
  <c r="I1568" i="1"/>
  <c r="H1568" i="1"/>
  <c r="G1568" i="1"/>
  <c r="M1567" i="1"/>
  <c r="L1567" i="1"/>
  <c r="K1567" i="1"/>
  <c r="J1567" i="1"/>
  <c r="I1567" i="1"/>
  <c r="H1567" i="1"/>
  <c r="G1567" i="1"/>
  <c r="M1566" i="1"/>
  <c r="L1566" i="1"/>
  <c r="K1566" i="1"/>
  <c r="J1566" i="1"/>
  <c r="I1566" i="1"/>
  <c r="H1566" i="1"/>
  <c r="G1566" i="1"/>
  <c r="M1565" i="1"/>
  <c r="L1565" i="1"/>
  <c r="K1565" i="1"/>
  <c r="J1565" i="1"/>
  <c r="I1565" i="1"/>
  <c r="H1565" i="1"/>
  <c r="G1565" i="1"/>
  <c r="M1564" i="1"/>
  <c r="L1564" i="1"/>
  <c r="K1564" i="1"/>
  <c r="J1564" i="1"/>
  <c r="I1564" i="1"/>
  <c r="H1564" i="1"/>
  <c r="G1564" i="1"/>
  <c r="M1563" i="1"/>
  <c r="L1563" i="1"/>
  <c r="K1563" i="1"/>
  <c r="J1563" i="1"/>
  <c r="I1563" i="1"/>
  <c r="H1563" i="1"/>
  <c r="G1563" i="1"/>
  <c r="M1562" i="1"/>
  <c r="L1562" i="1"/>
  <c r="K1562" i="1"/>
  <c r="J1562" i="1"/>
  <c r="I1562" i="1"/>
  <c r="H1562" i="1"/>
  <c r="G1562" i="1"/>
  <c r="M1561" i="1"/>
  <c r="L1561" i="1"/>
  <c r="K1561" i="1"/>
  <c r="J1561" i="1"/>
  <c r="I1561" i="1"/>
  <c r="H1561" i="1"/>
  <c r="G1561" i="1"/>
  <c r="M1560" i="1"/>
  <c r="L1560" i="1"/>
  <c r="K1560" i="1"/>
  <c r="J1560" i="1"/>
  <c r="I1560" i="1"/>
  <c r="H1560" i="1"/>
  <c r="G1560" i="1"/>
  <c r="M1559" i="1"/>
  <c r="L1559" i="1"/>
  <c r="K1559" i="1"/>
  <c r="J1559" i="1"/>
  <c r="I1559" i="1"/>
  <c r="H1559" i="1"/>
  <c r="G1559" i="1"/>
  <c r="M1558" i="1"/>
  <c r="L1558" i="1"/>
  <c r="K1558" i="1"/>
  <c r="J1558" i="1"/>
  <c r="I1558" i="1"/>
  <c r="H1558" i="1"/>
  <c r="G1558" i="1"/>
  <c r="M1557" i="1"/>
  <c r="L1557" i="1"/>
  <c r="K1557" i="1"/>
  <c r="J1557" i="1"/>
  <c r="I1557" i="1"/>
  <c r="H1557" i="1"/>
  <c r="G1557" i="1"/>
  <c r="M1556" i="1"/>
  <c r="L1556" i="1"/>
  <c r="K1556" i="1"/>
  <c r="J1556" i="1"/>
  <c r="I1556" i="1"/>
  <c r="H1556" i="1"/>
  <c r="G1556" i="1"/>
  <c r="M1555" i="1"/>
  <c r="L1555" i="1"/>
  <c r="K1555" i="1"/>
  <c r="J1555" i="1"/>
  <c r="I1555" i="1"/>
  <c r="H1555" i="1"/>
  <c r="G1555" i="1"/>
  <c r="M1554" i="1"/>
  <c r="L1554" i="1"/>
  <c r="K1554" i="1"/>
  <c r="J1554" i="1"/>
  <c r="I1554" i="1"/>
  <c r="H1554" i="1"/>
  <c r="G1554" i="1"/>
  <c r="M1553" i="1"/>
  <c r="L1553" i="1"/>
  <c r="K1553" i="1"/>
  <c r="J1553" i="1"/>
  <c r="I1553" i="1"/>
  <c r="H1553" i="1"/>
  <c r="G1553" i="1"/>
  <c r="M1552" i="1"/>
  <c r="L1552" i="1"/>
  <c r="K1552" i="1"/>
  <c r="J1552" i="1"/>
  <c r="I1552" i="1"/>
  <c r="H1552" i="1"/>
  <c r="G1552" i="1"/>
  <c r="M1551" i="1"/>
  <c r="L1551" i="1"/>
  <c r="K1551" i="1"/>
  <c r="J1551" i="1"/>
  <c r="I1551" i="1"/>
  <c r="H1551" i="1"/>
  <c r="G1551" i="1"/>
  <c r="M1550" i="1"/>
  <c r="L1550" i="1"/>
  <c r="K1550" i="1"/>
  <c r="J1550" i="1"/>
  <c r="I1550" i="1"/>
  <c r="H1550" i="1"/>
  <c r="G1550" i="1"/>
  <c r="M1549" i="1"/>
  <c r="L1549" i="1"/>
  <c r="K1549" i="1"/>
  <c r="J1549" i="1"/>
  <c r="I1549" i="1"/>
  <c r="H1549" i="1"/>
  <c r="G1549" i="1"/>
  <c r="M1548" i="1"/>
  <c r="L1548" i="1"/>
  <c r="K1548" i="1"/>
  <c r="J1548" i="1"/>
  <c r="I1548" i="1"/>
  <c r="H1548" i="1"/>
  <c r="G1548" i="1"/>
  <c r="M1547" i="1"/>
  <c r="L1547" i="1"/>
  <c r="K1547" i="1"/>
  <c r="J1547" i="1"/>
  <c r="I1547" i="1"/>
  <c r="H1547" i="1"/>
  <c r="G1547" i="1"/>
  <c r="M1546" i="1"/>
  <c r="L1546" i="1"/>
  <c r="K1546" i="1"/>
  <c r="J1546" i="1"/>
  <c r="I1546" i="1"/>
  <c r="H1546" i="1"/>
  <c r="G1546" i="1"/>
  <c r="M1545" i="1"/>
  <c r="L1545" i="1"/>
  <c r="K1545" i="1"/>
  <c r="J1545" i="1"/>
  <c r="I1545" i="1"/>
  <c r="H1545" i="1"/>
  <c r="G1545" i="1"/>
  <c r="M1544" i="1"/>
  <c r="L1544" i="1"/>
  <c r="K1544" i="1"/>
  <c r="J1544" i="1"/>
  <c r="I1544" i="1"/>
  <c r="H1544" i="1"/>
  <c r="G1544" i="1"/>
  <c r="M1543" i="1"/>
  <c r="L1543" i="1"/>
  <c r="K1543" i="1"/>
  <c r="J1543" i="1"/>
  <c r="I1543" i="1"/>
  <c r="H1543" i="1"/>
  <c r="G1543" i="1"/>
  <c r="M1542" i="1"/>
  <c r="L1542" i="1"/>
  <c r="K1542" i="1"/>
  <c r="J1542" i="1"/>
  <c r="I1542" i="1"/>
  <c r="H1542" i="1"/>
  <c r="G1542" i="1"/>
  <c r="M1541" i="1"/>
  <c r="L1541" i="1"/>
  <c r="K1541" i="1"/>
  <c r="J1541" i="1"/>
  <c r="I1541" i="1"/>
  <c r="H1541" i="1"/>
  <c r="G1541" i="1"/>
  <c r="M1540" i="1"/>
  <c r="L1540" i="1"/>
  <c r="K1540" i="1"/>
  <c r="J1540" i="1"/>
  <c r="I1540" i="1"/>
  <c r="H1540" i="1"/>
  <c r="G1540" i="1"/>
  <c r="M1539" i="1"/>
  <c r="L1539" i="1"/>
  <c r="K1539" i="1"/>
  <c r="J1539" i="1"/>
  <c r="I1539" i="1"/>
  <c r="H1539" i="1"/>
  <c r="G1539" i="1"/>
  <c r="M1538" i="1"/>
  <c r="L1538" i="1"/>
  <c r="K1538" i="1"/>
  <c r="J1538" i="1"/>
  <c r="I1538" i="1"/>
  <c r="H1538" i="1"/>
  <c r="G1538" i="1"/>
  <c r="M1537" i="1"/>
  <c r="L1537" i="1"/>
  <c r="K1537" i="1"/>
  <c r="J1537" i="1"/>
  <c r="I1537" i="1"/>
  <c r="H1537" i="1"/>
  <c r="G1537" i="1"/>
  <c r="M1536" i="1"/>
  <c r="L1536" i="1"/>
  <c r="K1536" i="1"/>
  <c r="J1536" i="1"/>
  <c r="I1536" i="1"/>
  <c r="H1536" i="1"/>
  <c r="G1536" i="1"/>
  <c r="M1535" i="1"/>
  <c r="L1535" i="1"/>
  <c r="K1535" i="1"/>
  <c r="J1535" i="1"/>
  <c r="I1535" i="1"/>
  <c r="H1535" i="1"/>
  <c r="G1535" i="1"/>
  <c r="M1534" i="1"/>
  <c r="L1534" i="1"/>
  <c r="K1534" i="1"/>
  <c r="J1534" i="1"/>
  <c r="I1534" i="1"/>
  <c r="H1534" i="1"/>
  <c r="G1534" i="1"/>
  <c r="M1533" i="1"/>
  <c r="L1533" i="1"/>
  <c r="K1533" i="1"/>
  <c r="J1533" i="1"/>
  <c r="I1533" i="1"/>
  <c r="H1533" i="1"/>
  <c r="G1533" i="1"/>
  <c r="M1532" i="1"/>
  <c r="L1532" i="1"/>
  <c r="K1532" i="1"/>
  <c r="J1532" i="1"/>
  <c r="I1532" i="1"/>
  <c r="H1532" i="1"/>
  <c r="G1532" i="1"/>
  <c r="M1531" i="1"/>
  <c r="L1531" i="1"/>
  <c r="K1531" i="1"/>
  <c r="J1531" i="1"/>
  <c r="I1531" i="1"/>
  <c r="H1531" i="1"/>
  <c r="G1531" i="1"/>
  <c r="M1530" i="1"/>
  <c r="L1530" i="1"/>
  <c r="K1530" i="1"/>
  <c r="J1530" i="1"/>
  <c r="I1530" i="1"/>
  <c r="H1530" i="1"/>
  <c r="G1530" i="1"/>
  <c r="M1529" i="1"/>
  <c r="L1529" i="1"/>
  <c r="K1529" i="1"/>
  <c r="J1529" i="1"/>
  <c r="I1529" i="1"/>
  <c r="H1529" i="1"/>
  <c r="G1529" i="1"/>
  <c r="M1528" i="1"/>
  <c r="L1528" i="1"/>
  <c r="K1528" i="1"/>
  <c r="J1528" i="1"/>
  <c r="I1528" i="1"/>
  <c r="H1528" i="1"/>
  <c r="G1528" i="1"/>
  <c r="M1527" i="1"/>
  <c r="L1527" i="1"/>
  <c r="K1527" i="1"/>
  <c r="J1527" i="1"/>
  <c r="I1527" i="1"/>
  <c r="H1527" i="1"/>
  <c r="G1527" i="1"/>
  <c r="M1526" i="1"/>
  <c r="L1526" i="1"/>
  <c r="K1526" i="1"/>
  <c r="J1526" i="1"/>
  <c r="I1526" i="1"/>
  <c r="H1526" i="1"/>
  <c r="G1526" i="1"/>
  <c r="M1525" i="1"/>
  <c r="L1525" i="1"/>
  <c r="K1525" i="1"/>
  <c r="J1525" i="1"/>
  <c r="I1525" i="1"/>
  <c r="H1525" i="1"/>
  <c r="G1525" i="1"/>
  <c r="M1524" i="1"/>
  <c r="L1524" i="1"/>
  <c r="K1524" i="1"/>
  <c r="J1524" i="1"/>
  <c r="I1524" i="1"/>
  <c r="H1524" i="1"/>
  <c r="G1524" i="1"/>
  <c r="M1523" i="1"/>
  <c r="L1523" i="1"/>
  <c r="K1523" i="1"/>
  <c r="J1523" i="1"/>
  <c r="I1523" i="1"/>
  <c r="H1523" i="1"/>
  <c r="G1523" i="1"/>
  <c r="M1522" i="1"/>
  <c r="L1522" i="1"/>
  <c r="K1522" i="1"/>
  <c r="J1522" i="1"/>
  <c r="I1522" i="1"/>
  <c r="H1522" i="1"/>
  <c r="G1522" i="1"/>
  <c r="M1521" i="1"/>
  <c r="L1521" i="1"/>
  <c r="K1521" i="1"/>
  <c r="J1521" i="1"/>
  <c r="I1521" i="1"/>
  <c r="H1521" i="1"/>
  <c r="G1521" i="1"/>
  <c r="M1520" i="1"/>
  <c r="L1520" i="1"/>
  <c r="K1520" i="1"/>
  <c r="J1520" i="1"/>
  <c r="I1520" i="1"/>
  <c r="H1520" i="1"/>
  <c r="G1520" i="1"/>
  <c r="M1519" i="1"/>
  <c r="L1519" i="1"/>
  <c r="K1519" i="1"/>
  <c r="J1519" i="1"/>
  <c r="I1519" i="1"/>
  <c r="H1519" i="1"/>
  <c r="G1519" i="1"/>
  <c r="M1518" i="1"/>
  <c r="L1518" i="1"/>
  <c r="K1518" i="1"/>
  <c r="J1518" i="1"/>
  <c r="I1518" i="1"/>
  <c r="H1518" i="1"/>
  <c r="G1518" i="1"/>
  <c r="M1517" i="1"/>
  <c r="L1517" i="1"/>
  <c r="K1517" i="1"/>
  <c r="J1517" i="1"/>
  <c r="I1517" i="1"/>
  <c r="H1517" i="1"/>
  <c r="G1517" i="1"/>
  <c r="M1516" i="1"/>
  <c r="L1516" i="1"/>
  <c r="K1516" i="1"/>
  <c r="J1516" i="1"/>
  <c r="I1516" i="1"/>
  <c r="H1516" i="1"/>
  <c r="G1516" i="1"/>
  <c r="M1515" i="1"/>
  <c r="L1515" i="1"/>
  <c r="K1515" i="1"/>
  <c r="J1515" i="1"/>
  <c r="I1515" i="1"/>
  <c r="H1515" i="1"/>
  <c r="G1515" i="1"/>
  <c r="M1514" i="1"/>
  <c r="L1514" i="1"/>
  <c r="K1514" i="1"/>
  <c r="J1514" i="1"/>
  <c r="I1514" i="1"/>
  <c r="H1514" i="1"/>
  <c r="G1514" i="1"/>
  <c r="M1513" i="1"/>
  <c r="L1513" i="1"/>
  <c r="K1513" i="1"/>
  <c r="J1513" i="1"/>
  <c r="I1513" i="1"/>
  <c r="H1513" i="1"/>
  <c r="G1513" i="1"/>
  <c r="M1512" i="1"/>
  <c r="L1512" i="1"/>
  <c r="K1512" i="1"/>
  <c r="J1512" i="1"/>
  <c r="I1512" i="1"/>
  <c r="H1512" i="1"/>
  <c r="G1512" i="1"/>
  <c r="M1511" i="1"/>
  <c r="L1511" i="1"/>
  <c r="K1511" i="1"/>
  <c r="J1511" i="1"/>
  <c r="I1511" i="1"/>
  <c r="H1511" i="1"/>
  <c r="G1511" i="1"/>
  <c r="M1510" i="1"/>
  <c r="L1510" i="1"/>
  <c r="K1510" i="1"/>
  <c r="J1510" i="1"/>
  <c r="I1510" i="1"/>
  <c r="H1510" i="1"/>
  <c r="G1510" i="1"/>
  <c r="M1509" i="1"/>
  <c r="L1509" i="1"/>
  <c r="K1509" i="1"/>
  <c r="J1509" i="1"/>
  <c r="I1509" i="1"/>
  <c r="H1509" i="1"/>
  <c r="G1509" i="1"/>
  <c r="M1508" i="1"/>
  <c r="L1508" i="1"/>
  <c r="K1508" i="1"/>
  <c r="J1508" i="1"/>
  <c r="I1508" i="1"/>
  <c r="H1508" i="1"/>
  <c r="G1508" i="1"/>
  <c r="M1507" i="1"/>
  <c r="L1507" i="1"/>
  <c r="K1507" i="1"/>
  <c r="J1507" i="1"/>
  <c r="I1507" i="1"/>
  <c r="H1507" i="1"/>
  <c r="G1507" i="1"/>
  <c r="M1506" i="1"/>
  <c r="L1506" i="1"/>
  <c r="K1506" i="1"/>
  <c r="J1506" i="1"/>
  <c r="I1506" i="1"/>
  <c r="H1506" i="1"/>
  <c r="G1506" i="1"/>
  <c r="M1505" i="1"/>
  <c r="L1505" i="1"/>
  <c r="K1505" i="1"/>
  <c r="J1505" i="1"/>
  <c r="I1505" i="1"/>
  <c r="H1505" i="1"/>
  <c r="G1505" i="1"/>
  <c r="M1504" i="1"/>
  <c r="L1504" i="1"/>
  <c r="K1504" i="1"/>
  <c r="J1504" i="1"/>
  <c r="I1504" i="1"/>
  <c r="H1504" i="1"/>
  <c r="G1504" i="1"/>
  <c r="M1503" i="1"/>
  <c r="L1503" i="1"/>
  <c r="K1503" i="1"/>
  <c r="J1503" i="1"/>
  <c r="I1503" i="1"/>
  <c r="H1503" i="1"/>
  <c r="G1503" i="1"/>
  <c r="M1502" i="1"/>
  <c r="L1502" i="1"/>
  <c r="K1502" i="1"/>
  <c r="J1502" i="1"/>
  <c r="I1502" i="1"/>
  <c r="H1502" i="1"/>
  <c r="G1502" i="1"/>
  <c r="M1501" i="1"/>
  <c r="L1501" i="1"/>
  <c r="K1501" i="1"/>
  <c r="J1501" i="1"/>
  <c r="I1501" i="1"/>
  <c r="H1501" i="1"/>
  <c r="G1501" i="1"/>
  <c r="M1500" i="1"/>
  <c r="L1500" i="1"/>
  <c r="K1500" i="1"/>
  <c r="J1500" i="1"/>
  <c r="I1500" i="1"/>
  <c r="H1500" i="1"/>
  <c r="G1500" i="1"/>
  <c r="M1499" i="1"/>
  <c r="L1499" i="1"/>
  <c r="K1499" i="1"/>
  <c r="J1499" i="1"/>
  <c r="I1499" i="1"/>
  <c r="H1499" i="1"/>
  <c r="G1499" i="1"/>
  <c r="M1498" i="1"/>
  <c r="L1498" i="1"/>
  <c r="K1498" i="1"/>
  <c r="J1498" i="1"/>
  <c r="I1498" i="1"/>
  <c r="H1498" i="1"/>
  <c r="G1498" i="1"/>
  <c r="M1497" i="1"/>
  <c r="L1497" i="1"/>
  <c r="K1497" i="1"/>
  <c r="J1497" i="1"/>
  <c r="I1497" i="1"/>
  <c r="H1497" i="1"/>
  <c r="G1497" i="1"/>
  <c r="M1496" i="1"/>
  <c r="L1496" i="1"/>
  <c r="K1496" i="1"/>
  <c r="J1496" i="1"/>
  <c r="I1496" i="1"/>
  <c r="H1496" i="1"/>
  <c r="G1496" i="1"/>
  <c r="M1495" i="1"/>
  <c r="L1495" i="1"/>
  <c r="K1495" i="1"/>
  <c r="J1495" i="1"/>
  <c r="I1495" i="1"/>
  <c r="H1495" i="1"/>
  <c r="G1495" i="1"/>
  <c r="M1494" i="1"/>
  <c r="L1494" i="1"/>
  <c r="K1494" i="1"/>
  <c r="J1494" i="1"/>
  <c r="I1494" i="1"/>
  <c r="H1494" i="1"/>
  <c r="G1494" i="1"/>
  <c r="M1493" i="1"/>
  <c r="L1493" i="1"/>
  <c r="K1493" i="1"/>
  <c r="J1493" i="1"/>
  <c r="I1493" i="1"/>
  <c r="H1493" i="1"/>
  <c r="G1493" i="1"/>
  <c r="M1492" i="1"/>
  <c r="L1492" i="1"/>
  <c r="K1492" i="1"/>
  <c r="J1492" i="1"/>
  <c r="I1492" i="1"/>
  <c r="H1492" i="1"/>
  <c r="G1492" i="1"/>
  <c r="M1491" i="1"/>
  <c r="L1491" i="1"/>
  <c r="K1491" i="1"/>
  <c r="J1491" i="1"/>
  <c r="I1491" i="1"/>
  <c r="H1491" i="1"/>
  <c r="G1491" i="1"/>
  <c r="M1490" i="1"/>
  <c r="L1490" i="1"/>
  <c r="K1490" i="1"/>
  <c r="J1490" i="1"/>
  <c r="I1490" i="1"/>
  <c r="H1490" i="1"/>
  <c r="G1490" i="1"/>
  <c r="M1489" i="1"/>
  <c r="L1489" i="1"/>
  <c r="K1489" i="1"/>
  <c r="J1489" i="1"/>
  <c r="I1489" i="1"/>
  <c r="H1489" i="1"/>
  <c r="G1489" i="1"/>
  <c r="M1488" i="1"/>
  <c r="L1488" i="1"/>
  <c r="K1488" i="1"/>
  <c r="J1488" i="1"/>
  <c r="I1488" i="1"/>
  <c r="H1488" i="1"/>
  <c r="G1488" i="1"/>
  <c r="M1487" i="1"/>
  <c r="L1487" i="1"/>
  <c r="K1487" i="1"/>
  <c r="J1487" i="1"/>
  <c r="I1487" i="1"/>
  <c r="H1487" i="1"/>
  <c r="G1487" i="1"/>
  <c r="M1486" i="1"/>
  <c r="L1486" i="1"/>
  <c r="K1486" i="1"/>
  <c r="J1486" i="1"/>
  <c r="I1486" i="1"/>
  <c r="H1486" i="1"/>
  <c r="G1486" i="1"/>
  <c r="M1485" i="1"/>
  <c r="L1485" i="1"/>
  <c r="K1485" i="1"/>
  <c r="J1485" i="1"/>
  <c r="I1485" i="1"/>
  <c r="H1485" i="1"/>
  <c r="G1485" i="1"/>
  <c r="M1484" i="1"/>
  <c r="L1484" i="1"/>
  <c r="K1484" i="1"/>
  <c r="J1484" i="1"/>
  <c r="I1484" i="1"/>
  <c r="H1484" i="1"/>
  <c r="G1484" i="1"/>
  <c r="M1483" i="1"/>
  <c r="L1483" i="1"/>
  <c r="K1483" i="1"/>
  <c r="J1483" i="1"/>
  <c r="I1483" i="1"/>
  <c r="H1483" i="1"/>
  <c r="G1483" i="1"/>
  <c r="M1482" i="1"/>
  <c r="L1482" i="1"/>
  <c r="K1482" i="1"/>
  <c r="J1482" i="1"/>
  <c r="I1482" i="1"/>
  <c r="H1482" i="1"/>
  <c r="G1482" i="1"/>
  <c r="M1481" i="1"/>
  <c r="L1481" i="1"/>
  <c r="K1481" i="1"/>
  <c r="J1481" i="1"/>
  <c r="I1481" i="1"/>
  <c r="H1481" i="1"/>
  <c r="G1481" i="1"/>
  <c r="M1480" i="1"/>
  <c r="L1480" i="1"/>
  <c r="K1480" i="1"/>
  <c r="J1480" i="1"/>
  <c r="I1480" i="1"/>
  <c r="H1480" i="1"/>
  <c r="G1480" i="1"/>
  <c r="M1479" i="1"/>
  <c r="L1479" i="1"/>
  <c r="K1479" i="1"/>
  <c r="J1479" i="1"/>
  <c r="I1479" i="1"/>
  <c r="H1479" i="1"/>
  <c r="G1479" i="1"/>
  <c r="M1478" i="1"/>
  <c r="L1478" i="1"/>
  <c r="K1478" i="1"/>
  <c r="J1478" i="1"/>
  <c r="I1478" i="1"/>
  <c r="H1478" i="1"/>
  <c r="G1478" i="1"/>
  <c r="M1477" i="1"/>
  <c r="L1477" i="1"/>
  <c r="K1477" i="1"/>
  <c r="J1477" i="1"/>
  <c r="I1477" i="1"/>
  <c r="H1477" i="1"/>
  <c r="G1477" i="1"/>
  <c r="M1476" i="1"/>
  <c r="L1476" i="1"/>
  <c r="K1476" i="1"/>
  <c r="J1476" i="1"/>
  <c r="I1476" i="1"/>
  <c r="H1476" i="1"/>
  <c r="G1476" i="1"/>
  <c r="M1475" i="1"/>
  <c r="L1475" i="1"/>
  <c r="K1475" i="1"/>
  <c r="J1475" i="1"/>
  <c r="I1475" i="1"/>
  <c r="H1475" i="1"/>
  <c r="G1475" i="1"/>
  <c r="M1474" i="1"/>
  <c r="L1474" i="1"/>
  <c r="K1474" i="1"/>
  <c r="J1474" i="1"/>
  <c r="I1474" i="1"/>
  <c r="H1474" i="1"/>
  <c r="G1474" i="1"/>
  <c r="M1473" i="1"/>
  <c r="L1473" i="1"/>
  <c r="K1473" i="1"/>
  <c r="J1473" i="1"/>
  <c r="I1473" i="1"/>
  <c r="H1473" i="1"/>
  <c r="G1473" i="1"/>
  <c r="M1472" i="1"/>
  <c r="L1472" i="1"/>
  <c r="K1472" i="1"/>
  <c r="J1472" i="1"/>
  <c r="I1472" i="1"/>
  <c r="H1472" i="1"/>
  <c r="G1472" i="1"/>
  <c r="M1471" i="1"/>
  <c r="L1471" i="1"/>
  <c r="K1471" i="1"/>
  <c r="J1471" i="1"/>
  <c r="I1471" i="1"/>
  <c r="H1471" i="1"/>
  <c r="G1471" i="1"/>
  <c r="M1470" i="1"/>
  <c r="L1470" i="1"/>
  <c r="K1470" i="1"/>
  <c r="J1470" i="1"/>
  <c r="I1470" i="1"/>
  <c r="H1470" i="1"/>
  <c r="G1470" i="1"/>
  <c r="M1469" i="1"/>
  <c r="L1469" i="1"/>
  <c r="K1469" i="1"/>
  <c r="J1469" i="1"/>
  <c r="I1469" i="1"/>
  <c r="H1469" i="1"/>
  <c r="G1469" i="1"/>
  <c r="M1468" i="1"/>
  <c r="L1468" i="1"/>
  <c r="K1468" i="1"/>
  <c r="J1468" i="1"/>
  <c r="I1468" i="1"/>
  <c r="H1468" i="1"/>
  <c r="G1468" i="1"/>
  <c r="M1467" i="1"/>
  <c r="L1467" i="1"/>
  <c r="K1467" i="1"/>
  <c r="J1467" i="1"/>
  <c r="I1467" i="1"/>
  <c r="H1467" i="1"/>
  <c r="G1467" i="1"/>
  <c r="M1466" i="1"/>
  <c r="L1466" i="1"/>
  <c r="K1466" i="1"/>
  <c r="J1466" i="1"/>
  <c r="I1466" i="1"/>
  <c r="H1466" i="1"/>
  <c r="G1466" i="1"/>
  <c r="M1465" i="1"/>
  <c r="L1465" i="1"/>
  <c r="K1465" i="1"/>
  <c r="J1465" i="1"/>
  <c r="I1465" i="1"/>
  <c r="H1465" i="1"/>
  <c r="G1465" i="1"/>
  <c r="M1464" i="1"/>
  <c r="L1464" i="1"/>
  <c r="K1464" i="1"/>
  <c r="J1464" i="1"/>
  <c r="I1464" i="1"/>
  <c r="H1464" i="1"/>
  <c r="G1464" i="1"/>
  <c r="M1463" i="1"/>
  <c r="L1463" i="1"/>
  <c r="K1463" i="1"/>
  <c r="J1463" i="1"/>
  <c r="I1463" i="1"/>
  <c r="H1463" i="1"/>
  <c r="G1463" i="1"/>
  <c r="M1462" i="1"/>
  <c r="L1462" i="1"/>
  <c r="K1462" i="1"/>
  <c r="J1462" i="1"/>
  <c r="I1462" i="1"/>
  <c r="H1462" i="1"/>
  <c r="G1462" i="1"/>
  <c r="M1461" i="1"/>
  <c r="L1461" i="1"/>
  <c r="K1461" i="1"/>
  <c r="J1461" i="1"/>
  <c r="I1461" i="1"/>
  <c r="H1461" i="1"/>
  <c r="G1461" i="1"/>
  <c r="M1460" i="1"/>
  <c r="L1460" i="1"/>
  <c r="K1460" i="1"/>
  <c r="J1460" i="1"/>
  <c r="I1460" i="1"/>
  <c r="H1460" i="1"/>
  <c r="G1460" i="1"/>
  <c r="M1459" i="1"/>
  <c r="L1459" i="1"/>
  <c r="K1459" i="1"/>
  <c r="J1459" i="1"/>
  <c r="I1459" i="1"/>
  <c r="H1459" i="1"/>
  <c r="G1459" i="1"/>
  <c r="M1458" i="1"/>
  <c r="L1458" i="1"/>
  <c r="K1458" i="1"/>
  <c r="J1458" i="1"/>
  <c r="I1458" i="1"/>
  <c r="H1458" i="1"/>
  <c r="G1458" i="1"/>
  <c r="M1457" i="1"/>
  <c r="L1457" i="1"/>
  <c r="K1457" i="1"/>
  <c r="J1457" i="1"/>
  <c r="I1457" i="1"/>
  <c r="H1457" i="1"/>
  <c r="G1457" i="1"/>
  <c r="M1456" i="1"/>
  <c r="L1456" i="1"/>
  <c r="K1456" i="1"/>
  <c r="J1456" i="1"/>
  <c r="I1456" i="1"/>
  <c r="H1456" i="1"/>
  <c r="G1456" i="1"/>
  <c r="M1455" i="1"/>
  <c r="L1455" i="1"/>
  <c r="K1455" i="1"/>
  <c r="J1455" i="1"/>
  <c r="I1455" i="1"/>
  <c r="H1455" i="1"/>
  <c r="G1455" i="1"/>
  <c r="M1454" i="1"/>
  <c r="L1454" i="1"/>
  <c r="K1454" i="1"/>
  <c r="J1454" i="1"/>
  <c r="I1454" i="1"/>
  <c r="H1454" i="1"/>
  <c r="G1454" i="1"/>
  <c r="M1453" i="1"/>
  <c r="L1453" i="1"/>
  <c r="K1453" i="1"/>
  <c r="J1453" i="1"/>
  <c r="I1453" i="1"/>
  <c r="H1453" i="1"/>
  <c r="G1453" i="1"/>
  <c r="M1452" i="1"/>
  <c r="L1452" i="1"/>
  <c r="K1452" i="1"/>
  <c r="J1452" i="1"/>
  <c r="I1452" i="1"/>
  <c r="H1452" i="1"/>
  <c r="G1452" i="1"/>
  <c r="M1451" i="1"/>
  <c r="L1451" i="1"/>
  <c r="K1451" i="1"/>
  <c r="J1451" i="1"/>
  <c r="I1451" i="1"/>
  <c r="H1451" i="1"/>
  <c r="G1451" i="1"/>
  <c r="M1450" i="1"/>
  <c r="L1450" i="1"/>
  <c r="K1450" i="1"/>
  <c r="J1450" i="1"/>
  <c r="I1450" i="1"/>
  <c r="H1450" i="1"/>
  <c r="G1450" i="1"/>
  <c r="M1449" i="1"/>
  <c r="L1449" i="1"/>
  <c r="K1449" i="1"/>
  <c r="J1449" i="1"/>
  <c r="I1449" i="1"/>
  <c r="H1449" i="1"/>
  <c r="G1449" i="1"/>
  <c r="M1448" i="1"/>
  <c r="L1448" i="1"/>
  <c r="K1448" i="1"/>
  <c r="J1448" i="1"/>
  <c r="I1448" i="1"/>
  <c r="H1448" i="1"/>
  <c r="G1448" i="1"/>
  <c r="M1447" i="1"/>
  <c r="L1447" i="1"/>
  <c r="K1447" i="1"/>
  <c r="J1447" i="1"/>
  <c r="I1447" i="1"/>
  <c r="H1447" i="1"/>
  <c r="G1447" i="1"/>
  <c r="M1446" i="1"/>
  <c r="L1446" i="1"/>
  <c r="K1446" i="1"/>
  <c r="J1446" i="1"/>
  <c r="I1446" i="1"/>
  <c r="H1446" i="1"/>
  <c r="G1446" i="1"/>
  <c r="M1445" i="1"/>
  <c r="L1445" i="1"/>
  <c r="K1445" i="1"/>
  <c r="J1445" i="1"/>
  <c r="I1445" i="1"/>
  <c r="H1445" i="1"/>
  <c r="G1445" i="1"/>
  <c r="M1444" i="1"/>
  <c r="L1444" i="1"/>
  <c r="K1444" i="1"/>
  <c r="J1444" i="1"/>
  <c r="I1444" i="1"/>
  <c r="H1444" i="1"/>
  <c r="G1444" i="1"/>
  <c r="M1443" i="1"/>
  <c r="L1443" i="1"/>
  <c r="K1443" i="1"/>
  <c r="J1443" i="1"/>
  <c r="I1443" i="1"/>
  <c r="H1443" i="1"/>
  <c r="G1443" i="1"/>
  <c r="M1442" i="1"/>
  <c r="L1442" i="1"/>
  <c r="K1442" i="1"/>
  <c r="J1442" i="1"/>
  <c r="I1442" i="1"/>
  <c r="H1442" i="1"/>
  <c r="G1442" i="1"/>
  <c r="M1441" i="1"/>
  <c r="L1441" i="1"/>
  <c r="K1441" i="1"/>
  <c r="J1441" i="1"/>
  <c r="I1441" i="1"/>
  <c r="H1441" i="1"/>
  <c r="G1441" i="1"/>
  <c r="M1440" i="1"/>
  <c r="L1440" i="1"/>
  <c r="K1440" i="1"/>
  <c r="J1440" i="1"/>
  <c r="I1440" i="1"/>
  <c r="H1440" i="1"/>
  <c r="G1440" i="1"/>
  <c r="M1439" i="1"/>
  <c r="L1439" i="1"/>
  <c r="K1439" i="1"/>
  <c r="J1439" i="1"/>
  <c r="I1439" i="1"/>
  <c r="H1439" i="1"/>
  <c r="G1439" i="1"/>
  <c r="M1438" i="1"/>
  <c r="L1438" i="1"/>
  <c r="K1438" i="1"/>
  <c r="J1438" i="1"/>
  <c r="I1438" i="1"/>
  <c r="H1438" i="1"/>
  <c r="G1438" i="1"/>
  <c r="M1437" i="1"/>
  <c r="L1437" i="1"/>
  <c r="K1437" i="1"/>
  <c r="J1437" i="1"/>
  <c r="I1437" i="1"/>
  <c r="H1437" i="1"/>
  <c r="G1437" i="1"/>
  <c r="M1436" i="1"/>
  <c r="L1436" i="1"/>
  <c r="K1436" i="1"/>
  <c r="J1436" i="1"/>
  <c r="I1436" i="1"/>
  <c r="H1436" i="1"/>
  <c r="G1436" i="1"/>
  <c r="M1435" i="1"/>
  <c r="L1435" i="1"/>
  <c r="K1435" i="1"/>
  <c r="J1435" i="1"/>
  <c r="I1435" i="1"/>
  <c r="H1435" i="1"/>
  <c r="G1435" i="1"/>
  <c r="M1434" i="1"/>
  <c r="L1434" i="1"/>
  <c r="K1434" i="1"/>
  <c r="J1434" i="1"/>
  <c r="I1434" i="1"/>
  <c r="H1434" i="1"/>
  <c r="G1434" i="1"/>
  <c r="M1433" i="1"/>
  <c r="L1433" i="1"/>
  <c r="K1433" i="1"/>
  <c r="J1433" i="1"/>
  <c r="I1433" i="1"/>
  <c r="H1433" i="1"/>
  <c r="G1433" i="1"/>
  <c r="M1432" i="1"/>
  <c r="L1432" i="1"/>
  <c r="K1432" i="1"/>
  <c r="J1432" i="1"/>
  <c r="I1432" i="1"/>
  <c r="H1432" i="1"/>
  <c r="G1432" i="1"/>
  <c r="M1431" i="1"/>
  <c r="L1431" i="1"/>
  <c r="K1431" i="1"/>
  <c r="J1431" i="1"/>
  <c r="I1431" i="1"/>
  <c r="H1431" i="1"/>
  <c r="G1431" i="1"/>
  <c r="M1430" i="1"/>
  <c r="L1430" i="1"/>
  <c r="K1430" i="1"/>
  <c r="J1430" i="1"/>
  <c r="I1430" i="1"/>
  <c r="H1430" i="1"/>
  <c r="G1430" i="1"/>
  <c r="M1429" i="1"/>
  <c r="L1429" i="1"/>
  <c r="K1429" i="1"/>
  <c r="J1429" i="1"/>
  <c r="I1429" i="1"/>
  <c r="H1429" i="1"/>
  <c r="G1429" i="1"/>
  <c r="M1428" i="1"/>
  <c r="L1428" i="1"/>
  <c r="K1428" i="1"/>
  <c r="J1428" i="1"/>
  <c r="I1428" i="1"/>
  <c r="H1428" i="1"/>
  <c r="G1428" i="1"/>
  <c r="M1427" i="1"/>
  <c r="L1427" i="1"/>
  <c r="K1427" i="1"/>
  <c r="J1427" i="1"/>
  <c r="I1427" i="1"/>
  <c r="H1427" i="1"/>
  <c r="G1427" i="1"/>
  <c r="M1426" i="1"/>
  <c r="L1426" i="1"/>
  <c r="K1426" i="1"/>
  <c r="J1426" i="1"/>
  <c r="I1426" i="1"/>
  <c r="H1426" i="1"/>
  <c r="G1426" i="1"/>
  <c r="M1425" i="1"/>
  <c r="L1425" i="1"/>
  <c r="K1425" i="1"/>
  <c r="J1425" i="1"/>
  <c r="I1425" i="1"/>
  <c r="H1425" i="1"/>
  <c r="G1425" i="1"/>
  <c r="M1424" i="1"/>
  <c r="L1424" i="1"/>
  <c r="K1424" i="1"/>
  <c r="J1424" i="1"/>
  <c r="I1424" i="1"/>
  <c r="H1424" i="1"/>
  <c r="G1424" i="1"/>
  <c r="M1423" i="1"/>
  <c r="L1423" i="1"/>
  <c r="K1423" i="1"/>
  <c r="J1423" i="1"/>
  <c r="I1423" i="1"/>
  <c r="H1423" i="1"/>
  <c r="G1423" i="1"/>
  <c r="M1422" i="1"/>
  <c r="L1422" i="1"/>
  <c r="K1422" i="1"/>
  <c r="J1422" i="1"/>
  <c r="I1422" i="1"/>
  <c r="H1422" i="1"/>
  <c r="G1422" i="1"/>
  <c r="M1421" i="1"/>
  <c r="L1421" i="1"/>
  <c r="K1421" i="1"/>
  <c r="J1421" i="1"/>
  <c r="I1421" i="1"/>
  <c r="H1421" i="1"/>
  <c r="G1421" i="1"/>
  <c r="M1420" i="1"/>
  <c r="L1420" i="1"/>
  <c r="K1420" i="1"/>
  <c r="J1420" i="1"/>
  <c r="I1420" i="1"/>
  <c r="H1420" i="1"/>
  <c r="G1420" i="1"/>
  <c r="M1419" i="1"/>
  <c r="L1419" i="1"/>
  <c r="K1419" i="1"/>
  <c r="J1419" i="1"/>
  <c r="I1419" i="1"/>
  <c r="H1419" i="1"/>
  <c r="G1419" i="1"/>
  <c r="M1418" i="1"/>
  <c r="L1418" i="1"/>
  <c r="K1418" i="1"/>
  <c r="J1418" i="1"/>
  <c r="I1418" i="1"/>
  <c r="H1418" i="1"/>
  <c r="G1418" i="1"/>
  <c r="M1417" i="1"/>
  <c r="L1417" i="1"/>
  <c r="K1417" i="1"/>
  <c r="J1417" i="1"/>
  <c r="I1417" i="1"/>
  <c r="H1417" i="1"/>
  <c r="G1417" i="1"/>
  <c r="M1416" i="1"/>
  <c r="L1416" i="1"/>
  <c r="K1416" i="1"/>
  <c r="J1416" i="1"/>
  <c r="I1416" i="1"/>
  <c r="H1416" i="1"/>
  <c r="G1416" i="1"/>
  <c r="M1415" i="1"/>
  <c r="L1415" i="1"/>
  <c r="K1415" i="1"/>
  <c r="J1415" i="1"/>
  <c r="I1415" i="1"/>
  <c r="H1415" i="1"/>
  <c r="G1415" i="1"/>
  <c r="M1414" i="1"/>
  <c r="L1414" i="1"/>
  <c r="K1414" i="1"/>
  <c r="J1414" i="1"/>
  <c r="I1414" i="1"/>
  <c r="H1414" i="1"/>
  <c r="G1414" i="1"/>
  <c r="M1413" i="1"/>
  <c r="L1413" i="1"/>
  <c r="K1413" i="1"/>
  <c r="J1413" i="1"/>
  <c r="I1413" i="1"/>
  <c r="H1413" i="1"/>
  <c r="G1413" i="1"/>
  <c r="M1412" i="1"/>
  <c r="L1412" i="1"/>
  <c r="K1412" i="1"/>
  <c r="J1412" i="1"/>
  <c r="I1412" i="1"/>
  <c r="H1412" i="1"/>
  <c r="G1412" i="1"/>
  <c r="M1411" i="1"/>
  <c r="L1411" i="1"/>
  <c r="K1411" i="1"/>
  <c r="J1411" i="1"/>
  <c r="I1411" i="1"/>
  <c r="H1411" i="1"/>
  <c r="G1411" i="1"/>
  <c r="M1410" i="1"/>
  <c r="L1410" i="1"/>
  <c r="K1410" i="1"/>
  <c r="J1410" i="1"/>
  <c r="I1410" i="1"/>
  <c r="H1410" i="1"/>
  <c r="G1410" i="1"/>
  <c r="M1409" i="1"/>
  <c r="L1409" i="1"/>
  <c r="K1409" i="1"/>
  <c r="J1409" i="1"/>
  <c r="I1409" i="1"/>
  <c r="H1409" i="1"/>
  <c r="G1409" i="1"/>
  <c r="M1408" i="1"/>
  <c r="L1408" i="1"/>
  <c r="K1408" i="1"/>
  <c r="J1408" i="1"/>
  <c r="I1408" i="1"/>
  <c r="H1408" i="1"/>
  <c r="G1408" i="1"/>
  <c r="M1407" i="1"/>
  <c r="L1407" i="1"/>
  <c r="K1407" i="1"/>
  <c r="J1407" i="1"/>
  <c r="I1407" i="1"/>
  <c r="H1407" i="1"/>
  <c r="G1407" i="1"/>
  <c r="M1406" i="1"/>
  <c r="L1406" i="1"/>
  <c r="K1406" i="1"/>
  <c r="J1406" i="1"/>
  <c r="I1406" i="1"/>
  <c r="H1406" i="1"/>
  <c r="G1406" i="1"/>
  <c r="M1405" i="1"/>
  <c r="L1405" i="1"/>
  <c r="K1405" i="1"/>
  <c r="J1405" i="1"/>
  <c r="I1405" i="1"/>
  <c r="H1405" i="1"/>
  <c r="G1405" i="1"/>
  <c r="M1404" i="1"/>
  <c r="L1404" i="1"/>
  <c r="K1404" i="1"/>
  <c r="J1404" i="1"/>
  <c r="I1404" i="1"/>
  <c r="H1404" i="1"/>
  <c r="G1404" i="1"/>
  <c r="M1403" i="1"/>
  <c r="L1403" i="1"/>
  <c r="K1403" i="1"/>
  <c r="J1403" i="1"/>
  <c r="I1403" i="1"/>
  <c r="H1403" i="1"/>
  <c r="G1403" i="1"/>
  <c r="M1402" i="1"/>
  <c r="L1402" i="1"/>
  <c r="K1402" i="1"/>
  <c r="J1402" i="1"/>
  <c r="I1402" i="1"/>
  <c r="H1402" i="1"/>
  <c r="G1402" i="1"/>
  <c r="M1401" i="1"/>
  <c r="L1401" i="1"/>
  <c r="K1401" i="1"/>
  <c r="J1401" i="1"/>
  <c r="I1401" i="1"/>
  <c r="H1401" i="1"/>
  <c r="G1401" i="1"/>
  <c r="M1400" i="1"/>
  <c r="L1400" i="1"/>
  <c r="K1400" i="1"/>
  <c r="J1400" i="1"/>
  <c r="I1400" i="1"/>
  <c r="H1400" i="1"/>
  <c r="G1400" i="1"/>
  <c r="M1399" i="1"/>
  <c r="L1399" i="1"/>
  <c r="K1399" i="1"/>
  <c r="J1399" i="1"/>
  <c r="I1399" i="1"/>
  <c r="H1399" i="1"/>
  <c r="G1399" i="1"/>
  <c r="M1398" i="1"/>
  <c r="L1398" i="1"/>
  <c r="K1398" i="1"/>
  <c r="J1398" i="1"/>
  <c r="I1398" i="1"/>
  <c r="H1398" i="1"/>
  <c r="G1398" i="1"/>
  <c r="M1397" i="1"/>
  <c r="L1397" i="1"/>
  <c r="K1397" i="1"/>
  <c r="J1397" i="1"/>
  <c r="I1397" i="1"/>
  <c r="H1397" i="1"/>
  <c r="G1397" i="1"/>
  <c r="M1396" i="1"/>
  <c r="L1396" i="1"/>
  <c r="K1396" i="1"/>
  <c r="J1396" i="1"/>
  <c r="I1396" i="1"/>
  <c r="H1396" i="1"/>
  <c r="G1396" i="1"/>
  <c r="M1395" i="1"/>
  <c r="L1395" i="1"/>
  <c r="K1395" i="1"/>
  <c r="J1395" i="1"/>
  <c r="I1395" i="1"/>
  <c r="H1395" i="1"/>
  <c r="G1395" i="1"/>
  <c r="M1394" i="1"/>
  <c r="L1394" i="1"/>
  <c r="K1394" i="1"/>
  <c r="J1394" i="1"/>
  <c r="I1394" i="1"/>
  <c r="H1394" i="1"/>
  <c r="G1394" i="1"/>
  <c r="M1393" i="1"/>
  <c r="L1393" i="1"/>
  <c r="K1393" i="1"/>
  <c r="J1393" i="1"/>
  <c r="I1393" i="1"/>
  <c r="H1393" i="1"/>
  <c r="G1393" i="1"/>
  <c r="M1392" i="1"/>
  <c r="L1392" i="1"/>
  <c r="K1392" i="1"/>
  <c r="J1392" i="1"/>
  <c r="I1392" i="1"/>
  <c r="H1392" i="1"/>
  <c r="G1392" i="1"/>
  <c r="M1391" i="1"/>
  <c r="L1391" i="1"/>
  <c r="K1391" i="1"/>
  <c r="J1391" i="1"/>
  <c r="I1391" i="1"/>
  <c r="H1391" i="1"/>
  <c r="G1391" i="1"/>
  <c r="M1390" i="1"/>
  <c r="L1390" i="1"/>
  <c r="K1390" i="1"/>
  <c r="J1390" i="1"/>
  <c r="I1390" i="1"/>
  <c r="H1390" i="1"/>
  <c r="G1390" i="1"/>
  <c r="M1389" i="1"/>
  <c r="L1389" i="1"/>
  <c r="K1389" i="1"/>
  <c r="J1389" i="1"/>
  <c r="I1389" i="1"/>
  <c r="H1389" i="1"/>
  <c r="G1389" i="1"/>
  <c r="M1388" i="1"/>
  <c r="L1388" i="1"/>
  <c r="K1388" i="1"/>
  <c r="J1388" i="1"/>
  <c r="I1388" i="1"/>
  <c r="H1388" i="1"/>
  <c r="G1388" i="1"/>
  <c r="M1387" i="1"/>
  <c r="L1387" i="1"/>
  <c r="K1387" i="1"/>
  <c r="J1387" i="1"/>
  <c r="I1387" i="1"/>
  <c r="H1387" i="1"/>
  <c r="G1387" i="1"/>
  <c r="M1386" i="1"/>
  <c r="L1386" i="1"/>
  <c r="K1386" i="1"/>
  <c r="J1386" i="1"/>
  <c r="I1386" i="1"/>
  <c r="H1386" i="1"/>
  <c r="G1386" i="1"/>
  <c r="M1385" i="1"/>
  <c r="L1385" i="1"/>
  <c r="K1385" i="1"/>
  <c r="J1385" i="1"/>
  <c r="I1385" i="1"/>
  <c r="H1385" i="1"/>
  <c r="G1385" i="1"/>
  <c r="M1384" i="1"/>
  <c r="L1384" i="1"/>
  <c r="K1384" i="1"/>
  <c r="J1384" i="1"/>
  <c r="I1384" i="1"/>
  <c r="H1384" i="1"/>
  <c r="G1384" i="1"/>
  <c r="M1383" i="1"/>
  <c r="L1383" i="1"/>
  <c r="K1383" i="1"/>
  <c r="J1383" i="1"/>
  <c r="I1383" i="1"/>
  <c r="H1383" i="1"/>
  <c r="G1383" i="1"/>
  <c r="M1382" i="1"/>
  <c r="L1382" i="1"/>
  <c r="K1382" i="1"/>
  <c r="J1382" i="1"/>
  <c r="I1382" i="1"/>
  <c r="H1382" i="1"/>
  <c r="G1382" i="1"/>
  <c r="M1381" i="1"/>
  <c r="L1381" i="1"/>
  <c r="K1381" i="1"/>
  <c r="J1381" i="1"/>
  <c r="I1381" i="1"/>
  <c r="H1381" i="1"/>
  <c r="G1381" i="1"/>
  <c r="M1380" i="1"/>
  <c r="L1380" i="1"/>
  <c r="K1380" i="1"/>
  <c r="J1380" i="1"/>
  <c r="I1380" i="1"/>
  <c r="H1380" i="1"/>
  <c r="G1380" i="1"/>
  <c r="M1379" i="1"/>
  <c r="L1379" i="1"/>
  <c r="K1379" i="1"/>
  <c r="J1379" i="1"/>
  <c r="I1379" i="1"/>
  <c r="H1379" i="1"/>
  <c r="G1379" i="1"/>
  <c r="M1378" i="1"/>
  <c r="L1378" i="1"/>
  <c r="K1378" i="1"/>
  <c r="J1378" i="1"/>
  <c r="I1378" i="1"/>
  <c r="H1378" i="1"/>
  <c r="G1378" i="1"/>
  <c r="M1377" i="1"/>
  <c r="L1377" i="1"/>
  <c r="K1377" i="1"/>
  <c r="J1377" i="1"/>
  <c r="I1377" i="1"/>
  <c r="H1377" i="1"/>
  <c r="G1377" i="1"/>
  <c r="M1376" i="1"/>
  <c r="L1376" i="1"/>
  <c r="K1376" i="1"/>
  <c r="J1376" i="1"/>
  <c r="I1376" i="1"/>
  <c r="H1376" i="1"/>
  <c r="G1376" i="1"/>
  <c r="M1375" i="1"/>
  <c r="L1375" i="1"/>
  <c r="K1375" i="1"/>
  <c r="J1375" i="1"/>
  <c r="I1375" i="1"/>
  <c r="H1375" i="1"/>
  <c r="G1375" i="1"/>
  <c r="M1374" i="1"/>
  <c r="L1374" i="1"/>
  <c r="K1374" i="1"/>
  <c r="J1374" i="1"/>
  <c r="I1374" i="1"/>
  <c r="H1374" i="1"/>
  <c r="G1374" i="1"/>
  <c r="M1373" i="1"/>
  <c r="L1373" i="1"/>
  <c r="K1373" i="1"/>
  <c r="J1373" i="1"/>
  <c r="I1373" i="1"/>
  <c r="H1373" i="1"/>
  <c r="G1373" i="1"/>
  <c r="M1372" i="1"/>
  <c r="L1372" i="1"/>
  <c r="K1372" i="1"/>
  <c r="J1372" i="1"/>
  <c r="I1372" i="1"/>
  <c r="H1372" i="1"/>
  <c r="G1372" i="1"/>
  <c r="M1371" i="1"/>
  <c r="L1371" i="1"/>
  <c r="K1371" i="1"/>
  <c r="J1371" i="1"/>
  <c r="I1371" i="1"/>
  <c r="H1371" i="1"/>
  <c r="G1371" i="1"/>
  <c r="M1370" i="1"/>
  <c r="L1370" i="1"/>
  <c r="K1370" i="1"/>
  <c r="J1370" i="1"/>
  <c r="I1370" i="1"/>
  <c r="H1370" i="1"/>
  <c r="G1370" i="1"/>
  <c r="M1369" i="1"/>
  <c r="L1369" i="1"/>
  <c r="K1369" i="1"/>
  <c r="J1369" i="1"/>
  <c r="I1369" i="1"/>
  <c r="H1369" i="1"/>
  <c r="G1369" i="1"/>
  <c r="M1368" i="1"/>
  <c r="L1368" i="1"/>
  <c r="K1368" i="1"/>
  <c r="J1368" i="1"/>
  <c r="I1368" i="1"/>
  <c r="H1368" i="1"/>
  <c r="G1368" i="1"/>
  <c r="M1367" i="1"/>
  <c r="L1367" i="1"/>
  <c r="K1367" i="1"/>
  <c r="J1367" i="1"/>
  <c r="I1367" i="1"/>
  <c r="H1367" i="1"/>
  <c r="G1367" i="1"/>
  <c r="M1366" i="1"/>
  <c r="L1366" i="1"/>
  <c r="K1366" i="1"/>
  <c r="J1366" i="1"/>
  <c r="I1366" i="1"/>
  <c r="H1366" i="1"/>
  <c r="G1366" i="1"/>
  <c r="M1365" i="1"/>
  <c r="L1365" i="1"/>
  <c r="K1365" i="1"/>
  <c r="J1365" i="1"/>
  <c r="I1365" i="1"/>
  <c r="H1365" i="1"/>
  <c r="G1365" i="1"/>
  <c r="M1364" i="1"/>
  <c r="L1364" i="1"/>
  <c r="K1364" i="1"/>
  <c r="J1364" i="1"/>
  <c r="I1364" i="1"/>
  <c r="H1364" i="1"/>
  <c r="G1364" i="1"/>
  <c r="M1363" i="1"/>
  <c r="L1363" i="1"/>
  <c r="K1363" i="1"/>
  <c r="J1363" i="1"/>
  <c r="I1363" i="1"/>
  <c r="H1363" i="1"/>
  <c r="G1363" i="1"/>
  <c r="M1362" i="1"/>
  <c r="L1362" i="1"/>
  <c r="K1362" i="1"/>
  <c r="J1362" i="1"/>
  <c r="I1362" i="1"/>
  <c r="H1362" i="1"/>
  <c r="G1362" i="1"/>
  <c r="M1361" i="1"/>
  <c r="L1361" i="1"/>
  <c r="K1361" i="1"/>
  <c r="J1361" i="1"/>
  <c r="I1361" i="1"/>
  <c r="H1361" i="1"/>
  <c r="G1361" i="1"/>
  <c r="M1360" i="1"/>
  <c r="L1360" i="1"/>
  <c r="K1360" i="1"/>
  <c r="J1360" i="1"/>
  <c r="I1360" i="1"/>
  <c r="H1360" i="1"/>
  <c r="G1360" i="1"/>
  <c r="M1359" i="1"/>
  <c r="L1359" i="1"/>
  <c r="K1359" i="1"/>
  <c r="J1359" i="1"/>
  <c r="I1359" i="1"/>
  <c r="H1359" i="1"/>
  <c r="G1359" i="1"/>
  <c r="M1358" i="1"/>
  <c r="L1358" i="1"/>
  <c r="K1358" i="1"/>
  <c r="J1358" i="1"/>
  <c r="I1358" i="1"/>
  <c r="H1358" i="1"/>
  <c r="G1358" i="1"/>
  <c r="M1357" i="1"/>
  <c r="L1357" i="1"/>
  <c r="K1357" i="1"/>
  <c r="J1357" i="1"/>
  <c r="I1357" i="1"/>
  <c r="H1357" i="1"/>
  <c r="G1357" i="1"/>
  <c r="M1356" i="1"/>
  <c r="L1356" i="1"/>
  <c r="K1356" i="1"/>
  <c r="J1356" i="1"/>
  <c r="I1356" i="1"/>
  <c r="H1356" i="1"/>
  <c r="G1356" i="1"/>
  <c r="M1355" i="1"/>
  <c r="L1355" i="1"/>
  <c r="K1355" i="1"/>
  <c r="J1355" i="1"/>
  <c r="I1355" i="1"/>
  <c r="H1355" i="1"/>
  <c r="G1355" i="1"/>
  <c r="M1354" i="1"/>
  <c r="L1354" i="1"/>
  <c r="K1354" i="1"/>
  <c r="J1354" i="1"/>
  <c r="I1354" i="1"/>
  <c r="H1354" i="1"/>
  <c r="G1354" i="1"/>
  <c r="M1353" i="1"/>
  <c r="L1353" i="1"/>
  <c r="K1353" i="1"/>
  <c r="J1353" i="1"/>
  <c r="I1353" i="1"/>
  <c r="H1353" i="1"/>
  <c r="G1353" i="1"/>
  <c r="M1352" i="1"/>
  <c r="L1352" i="1"/>
  <c r="K1352" i="1"/>
  <c r="J1352" i="1"/>
  <c r="I1352" i="1"/>
  <c r="H1352" i="1"/>
  <c r="G1352" i="1"/>
  <c r="M1351" i="1"/>
  <c r="L1351" i="1"/>
  <c r="K1351" i="1"/>
  <c r="J1351" i="1"/>
  <c r="I1351" i="1"/>
  <c r="H1351" i="1"/>
  <c r="G1351" i="1"/>
  <c r="M1350" i="1"/>
  <c r="L1350" i="1"/>
  <c r="K1350" i="1"/>
  <c r="J1350" i="1"/>
  <c r="I1350" i="1"/>
  <c r="H1350" i="1"/>
  <c r="G1350" i="1"/>
  <c r="M1349" i="1"/>
  <c r="L1349" i="1"/>
  <c r="K1349" i="1"/>
  <c r="J1349" i="1"/>
  <c r="I1349" i="1"/>
  <c r="H1349" i="1"/>
  <c r="G1349" i="1"/>
  <c r="M1348" i="1"/>
  <c r="L1348" i="1"/>
  <c r="K1348" i="1"/>
  <c r="J1348" i="1"/>
  <c r="I1348" i="1"/>
  <c r="H1348" i="1"/>
  <c r="G1348" i="1"/>
  <c r="M1347" i="1"/>
  <c r="L1347" i="1"/>
  <c r="K1347" i="1"/>
  <c r="J1347" i="1"/>
  <c r="I1347" i="1"/>
  <c r="H1347" i="1"/>
  <c r="G1347" i="1"/>
  <c r="M1346" i="1"/>
  <c r="L1346" i="1"/>
  <c r="K1346" i="1"/>
  <c r="J1346" i="1"/>
  <c r="I1346" i="1"/>
  <c r="H1346" i="1"/>
  <c r="G1346" i="1"/>
  <c r="M1345" i="1"/>
  <c r="L1345" i="1"/>
  <c r="K1345" i="1"/>
  <c r="J1345" i="1"/>
  <c r="I1345" i="1"/>
  <c r="H1345" i="1"/>
  <c r="G1345" i="1"/>
  <c r="M1344" i="1"/>
  <c r="L1344" i="1"/>
  <c r="K1344" i="1"/>
  <c r="J1344" i="1"/>
  <c r="I1344" i="1"/>
  <c r="H1344" i="1"/>
  <c r="G1344" i="1"/>
  <c r="M1343" i="1"/>
  <c r="L1343" i="1"/>
  <c r="K1343" i="1"/>
  <c r="J1343" i="1"/>
  <c r="I1343" i="1"/>
  <c r="H1343" i="1"/>
  <c r="G1343" i="1"/>
  <c r="M1342" i="1"/>
  <c r="L1342" i="1"/>
  <c r="K1342" i="1"/>
  <c r="J1342" i="1"/>
  <c r="I1342" i="1"/>
  <c r="H1342" i="1"/>
  <c r="G1342" i="1"/>
  <c r="M1341" i="1"/>
  <c r="L1341" i="1"/>
  <c r="K1341" i="1"/>
  <c r="J1341" i="1"/>
  <c r="I1341" i="1"/>
  <c r="H1341" i="1"/>
  <c r="G1341" i="1"/>
  <c r="M1340" i="1"/>
  <c r="L1340" i="1"/>
  <c r="K1340" i="1"/>
  <c r="J1340" i="1"/>
  <c r="I1340" i="1"/>
  <c r="H1340" i="1"/>
  <c r="G1340" i="1"/>
  <c r="M1339" i="1"/>
  <c r="L1339" i="1"/>
  <c r="K1339" i="1"/>
  <c r="J1339" i="1"/>
  <c r="I1339" i="1"/>
  <c r="H1339" i="1"/>
  <c r="G1339" i="1"/>
  <c r="M1338" i="1"/>
  <c r="L1338" i="1"/>
  <c r="K1338" i="1"/>
  <c r="J1338" i="1"/>
  <c r="I1338" i="1"/>
  <c r="H1338" i="1"/>
  <c r="G1338" i="1"/>
  <c r="M1337" i="1"/>
  <c r="L1337" i="1"/>
  <c r="K1337" i="1"/>
  <c r="J1337" i="1"/>
  <c r="I1337" i="1"/>
  <c r="H1337" i="1"/>
  <c r="G1337" i="1"/>
  <c r="M1336" i="1"/>
  <c r="L1336" i="1"/>
  <c r="K1336" i="1"/>
  <c r="J1336" i="1"/>
  <c r="I1336" i="1"/>
  <c r="H1336" i="1"/>
  <c r="G1336" i="1"/>
  <c r="M1335" i="1"/>
  <c r="L1335" i="1"/>
  <c r="K1335" i="1"/>
  <c r="J1335" i="1"/>
  <c r="I1335" i="1"/>
  <c r="H1335" i="1"/>
  <c r="G1335" i="1"/>
  <c r="M1334" i="1"/>
  <c r="L1334" i="1"/>
  <c r="K1334" i="1"/>
  <c r="J1334" i="1"/>
  <c r="I1334" i="1"/>
  <c r="H1334" i="1"/>
  <c r="G1334" i="1"/>
  <c r="M1333" i="1"/>
  <c r="L1333" i="1"/>
  <c r="K1333" i="1"/>
  <c r="J1333" i="1"/>
  <c r="I1333" i="1"/>
  <c r="H1333" i="1"/>
  <c r="G1333" i="1"/>
  <c r="M1332" i="1"/>
  <c r="L1332" i="1"/>
  <c r="K1332" i="1"/>
  <c r="J1332" i="1"/>
  <c r="I1332" i="1"/>
  <c r="H1332" i="1"/>
  <c r="G1332" i="1"/>
  <c r="M1331" i="1"/>
  <c r="L1331" i="1"/>
  <c r="K1331" i="1"/>
  <c r="J1331" i="1"/>
  <c r="I1331" i="1"/>
  <c r="H1331" i="1"/>
  <c r="G1331" i="1"/>
  <c r="M1330" i="1"/>
  <c r="L1330" i="1"/>
  <c r="K1330" i="1"/>
  <c r="J1330" i="1"/>
  <c r="I1330" i="1"/>
  <c r="H1330" i="1"/>
  <c r="G1330" i="1"/>
  <c r="M1329" i="1"/>
  <c r="L1329" i="1"/>
  <c r="K1329" i="1"/>
  <c r="J1329" i="1"/>
  <c r="I1329" i="1"/>
  <c r="H1329" i="1"/>
  <c r="G1329" i="1"/>
  <c r="M1328" i="1"/>
  <c r="L1328" i="1"/>
  <c r="K1328" i="1"/>
  <c r="J1328" i="1"/>
  <c r="I1328" i="1"/>
  <c r="H1328" i="1"/>
  <c r="G1328" i="1"/>
  <c r="M1327" i="1"/>
  <c r="L1327" i="1"/>
  <c r="K1327" i="1"/>
  <c r="J1327" i="1"/>
  <c r="I1327" i="1"/>
  <c r="H1327" i="1"/>
  <c r="G1327" i="1"/>
  <c r="M1326" i="1"/>
  <c r="L1326" i="1"/>
  <c r="K1326" i="1"/>
  <c r="J1326" i="1"/>
  <c r="I1326" i="1"/>
  <c r="H1326" i="1"/>
  <c r="G1326" i="1"/>
  <c r="M1325" i="1"/>
  <c r="L1325" i="1"/>
  <c r="K1325" i="1"/>
  <c r="J1325" i="1"/>
  <c r="I1325" i="1"/>
  <c r="H1325" i="1"/>
  <c r="G1325" i="1"/>
  <c r="M1324" i="1"/>
  <c r="L1324" i="1"/>
  <c r="K1324" i="1"/>
  <c r="J1324" i="1"/>
  <c r="I1324" i="1"/>
  <c r="H1324" i="1"/>
  <c r="G1324" i="1"/>
  <c r="M1323" i="1"/>
  <c r="L1323" i="1"/>
  <c r="K1323" i="1"/>
  <c r="J1323" i="1"/>
  <c r="I1323" i="1"/>
  <c r="H1323" i="1"/>
  <c r="G1323" i="1"/>
  <c r="M1322" i="1"/>
  <c r="L1322" i="1"/>
  <c r="K1322" i="1"/>
  <c r="J1322" i="1"/>
  <c r="I1322" i="1"/>
  <c r="H1322" i="1"/>
  <c r="G1322" i="1"/>
  <c r="M1321" i="1"/>
  <c r="L1321" i="1"/>
  <c r="K1321" i="1"/>
  <c r="J1321" i="1"/>
  <c r="I1321" i="1"/>
  <c r="H1321" i="1"/>
  <c r="G1321" i="1"/>
  <c r="M1320" i="1"/>
  <c r="L1320" i="1"/>
  <c r="K1320" i="1"/>
  <c r="J1320" i="1"/>
  <c r="I1320" i="1"/>
  <c r="H1320" i="1"/>
  <c r="G1320" i="1"/>
  <c r="M1319" i="1"/>
  <c r="L1319" i="1"/>
  <c r="K1319" i="1"/>
  <c r="J1319" i="1"/>
  <c r="I1319" i="1"/>
  <c r="H1319" i="1"/>
  <c r="G1319" i="1"/>
  <c r="M1318" i="1"/>
  <c r="L1318" i="1"/>
  <c r="K1318" i="1"/>
  <c r="J1318" i="1"/>
  <c r="I1318" i="1"/>
  <c r="H1318" i="1"/>
  <c r="G1318" i="1"/>
  <c r="M1317" i="1"/>
  <c r="L1317" i="1"/>
  <c r="K1317" i="1"/>
  <c r="J1317" i="1"/>
  <c r="I1317" i="1"/>
  <c r="H1317" i="1"/>
  <c r="G1317" i="1"/>
  <c r="M1316" i="1"/>
  <c r="L1316" i="1"/>
  <c r="K1316" i="1"/>
  <c r="J1316" i="1"/>
  <c r="I1316" i="1"/>
  <c r="H1316" i="1"/>
  <c r="G1316" i="1"/>
  <c r="M1315" i="1"/>
  <c r="L1315" i="1"/>
  <c r="K1315" i="1"/>
  <c r="J1315" i="1"/>
  <c r="I1315" i="1"/>
  <c r="H1315" i="1"/>
  <c r="G1315" i="1"/>
  <c r="M1314" i="1"/>
  <c r="L1314" i="1"/>
  <c r="K1314" i="1"/>
  <c r="J1314" i="1"/>
  <c r="I1314" i="1"/>
  <c r="H1314" i="1"/>
  <c r="G1314" i="1"/>
  <c r="M1313" i="1"/>
  <c r="L1313" i="1"/>
  <c r="K1313" i="1"/>
  <c r="J1313" i="1"/>
  <c r="I1313" i="1"/>
  <c r="H1313" i="1"/>
  <c r="G1313" i="1"/>
  <c r="M1312" i="1"/>
  <c r="L1312" i="1"/>
  <c r="K1312" i="1"/>
  <c r="J1312" i="1"/>
  <c r="I1312" i="1"/>
  <c r="H1312" i="1"/>
  <c r="G1312" i="1"/>
  <c r="M1311" i="1"/>
  <c r="L1311" i="1"/>
  <c r="K1311" i="1"/>
  <c r="J1311" i="1"/>
  <c r="I1311" i="1"/>
  <c r="H1311" i="1"/>
  <c r="G1311" i="1"/>
  <c r="M1310" i="1"/>
  <c r="L1310" i="1"/>
  <c r="K1310" i="1"/>
  <c r="J1310" i="1"/>
  <c r="I1310" i="1"/>
  <c r="H1310" i="1"/>
  <c r="G1310" i="1"/>
  <c r="M1309" i="1"/>
  <c r="L1309" i="1"/>
  <c r="K1309" i="1"/>
  <c r="J1309" i="1"/>
  <c r="I1309" i="1"/>
  <c r="H1309" i="1"/>
  <c r="G1309" i="1"/>
  <c r="M1308" i="1"/>
  <c r="L1308" i="1"/>
  <c r="K1308" i="1"/>
  <c r="J1308" i="1"/>
  <c r="I1308" i="1"/>
  <c r="H1308" i="1"/>
  <c r="G1308" i="1"/>
  <c r="M1307" i="1"/>
  <c r="L1307" i="1"/>
  <c r="K1307" i="1"/>
  <c r="J1307" i="1"/>
  <c r="I1307" i="1"/>
  <c r="H1307" i="1"/>
  <c r="G1307" i="1"/>
  <c r="M1306" i="1"/>
  <c r="L1306" i="1"/>
  <c r="K1306" i="1"/>
  <c r="J1306" i="1"/>
  <c r="I1306" i="1"/>
  <c r="H1306" i="1"/>
  <c r="G1306" i="1"/>
  <c r="M1305" i="1"/>
  <c r="L1305" i="1"/>
  <c r="K1305" i="1"/>
  <c r="J1305" i="1"/>
  <c r="I1305" i="1"/>
  <c r="H1305" i="1"/>
  <c r="G1305" i="1"/>
  <c r="M1304" i="1"/>
  <c r="L1304" i="1"/>
  <c r="K1304" i="1"/>
  <c r="J1304" i="1"/>
  <c r="I1304" i="1"/>
  <c r="H1304" i="1"/>
  <c r="G1304" i="1"/>
  <c r="M1303" i="1"/>
  <c r="L1303" i="1"/>
  <c r="K1303" i="1"/>
  <c r="J1303" i="1"/>
  <c r="I1303" i="1"/>
  <c r="H1303" i="1"/>
  <c r="G1303" i="1"/>
  <c r="M1302" i="1"/>
  <c r="L1302" i="1"/>
  <c r="K1302" i="1"/>
  <c r="J1302" i="1"/>
  <c r="I1302" i="1"/>
  <c r="H1302" i="1"/>
  <c r="G1302" i="1"/>
  <c r="M1301" i="1"/>
  <c r="L1301" i="1"/>
  <c r="K1301" i="1"/>
  <c r="J1301" i="1"/>
  <c r="I1301" i="1"/>
  <c r="H1301" i="1"/>
  <c r="G1301" i="1"/>
  <c r="M1300" i="1"/>
  <c r="L1300" i="1"/>
  <c r="K1300" i="1"/>
  <c r="J1300" i="1"/>
  <c r="I1300" i="1"/>
  <c r="H1300" i="1"/>
  <c r="G1300" i="1"/>
  <c r="M1299" i="1"/>
  <c r="L1299" i="1"/>
  <c r="K1299" i="1"/>
  <c r="J1299" i="1"/>
  <c r="I1299" i="1"/>
  <c r="H1299" i="1"/>
  <c r="G1299" i="1"/>
  <c r="M1298" i="1"/>
  <c r="L1298" i="1"/>
  <c r="K1298" i="1"/>
  <c r="J1298" i="1"/>
  <c r="I1298" i="1"/>
  <c r="H1298" i="1"/>
  <c r="G1298" i="1"/>
  <c r="M1297" i="1"/>
  <c r="L1297" i="1"/>
  <c r="K1297" i="1"/>
  <c r="J1297" i="1"/>
  <c r="I1297" i="1"/>
  <c r="H1297" i="1"/>
  <c r="G1297" i="1"/>
  <c r="M1296" i="1"/>
  <c r="L1296" i="1"/>
  <c r="K1296" i="1"/>
  <c r="J1296" i="1"/>
  <c r="I1296" i="1"/>
  <c r="H1296" i="1"/>
  <c r="G1296" i="1"/>
  <c r="M1295" i="1"/>
  <c r="L1295" i="1"/>
  <c r="K1295" i="1"/>
  <c r="J1295" i="1"/>
  <c r="I1295" i="1"/>
  <c r="H1295" i="1"/>
  <c r="G1295" i="1"/>
  <c r="M1294" i="1"/>
  <c r="L1294" i="1"/>
  <c r="K1294" i="1"/>
  <c r="J1294" i="1"/>
  <c r="I1294" i="1"/>
  <c r="H1294" i="1"/>
  <c r="G1294" i="1"/>
  <c r="M1293" i="1"/>
  <c r="L1293" i="1"/>
  <c r="K1293" i="1"/>
  <c r="J1293" i="1"/>
  <c r="I1293" i="1"/>
  <c r="H1293" i="1"/>
  <c r="G1293" i="1"/>
  <c r="M1292" i="1"/>
  <c r="L1292" i="1"/>
  <c r="K1292" i="1"/>
  <c r="J1292" i="1"/>
  <c r="I1292" i="1"/>
  <c r="H1292" i="1"/>
  <c r="G1292" i="1"/>
  <c r="M1291" i="1"/>
  <c r="L1291" i="1"/>
  <c r="K1291" i="1"/>
  <c r="J1291" i="1"/>
  <c r="I1291" i="1"/>
  <c r="H1291" i="1"/>
  <c r="G1291" i="1"/>
  <c r="M1290" i="1"/>
  <c r="L1290" i="1"/>
  <c r="K1290" i="1"/>
  <c r="J1290" i="1"/>
  <c r="I1290" i="1"/>
  <c r="H1290" i="1"/>
  <c r="G1290" i="1"/>
  <c r="M1289" i="1"/>
  <c r="L1289" i="1"/>
  <c r="K1289" i="1"/>
  <c r="J1289" i="1"/>
  <c r="I1289" i="1"/>
  <c r="H1289" i="1"/>
  <c r="G1289" i="1"/>
  <c r="M1288" i="1"/>
  <c r="L1288" i="1"/>
  <c r="K1288" i="1"/>
  <c r="J1288" i="1"/>
  <c r="I1288" i="1"/>
  <c r="H1288" i="1"/>
  <c r="G1288" i="1"/>
  <c r="M1287" i="1"/>
  <c r="L1287" i="1"/>
  <c r="K1287" i="1"/>
  <c r="J1287" i="1"/>
  <c r="I1287" i="1"/>
  <c r="H1287" i="1"/>
  <c r="G1287" i="1"/>
  <c r="M1286" i="1"/>
  <c r="L1286" i="1"/>
  <c r="K1286" i="1"/>
  <c r="J1286" i="1"/>
  <c r="I1286" i="1"/>
  <c r="H1286" i="1"/>
  <c r="G1286" i="1"/>
  <c r="M1285" i="1"/>
  <c r="L1285" i="1"/>
  <c r="K1285" i="1"/>
  <c r="J1285" i="1"/>
  <c r="I1285" i="1"/>
  <c r="H1285" i="1"/>
  <c r="G1285" i="1"/>
  <c r="M1284" i="1"/>
  <c r="L1284" i="1"/>
  <c r="K1284" i="1"/>
  <c r="J1284" i="1"/>
  <c r="I1284" i="1"/>
  <c r="H1284" i="1"/>
  <c r="G1284" i="1"/>
  <c r="M1283" i="1"/>
  <c r="L1283" i="1"/>
  <c r="K1283" i="1"/>
  <c r="J1283" i="1"/>
  <c r="I1283" i="1"/>
  <c r="H1283" i="1"/>
  <c r="G1283" i="1"/>
  <c r="M1282" i="1"/>
  <c r="L1282" i="1"/>
  <c r="K1282" i="1"/>
  <c r="J1282" i="1"/>
  <c r="I1282" i="1"/>
  <c r="H1282" i="1"/>
  <c r="G1282" i="1"/>
  <c r="M1281" i="1"/>
  <c r="L1281" i="1"/>
  <c r="K1281" i="1"/>
  <c r="J1281" i="1"/>
  <c r="I1281" i="1"/>
  <c r="H1281" i="1"/>
  <c r="G1281" i="1"/>
  <c r="M1280" i="1"/>
  <c r="L1280" i="1"/>
  <c r="K1280" i="1"/>
  <c r="J1280" i="1"/>
  <c r="I1280" i="1"/>
  <c r="H1280" i="1"/>
  <c r="G1280" i="1"/>
  <c r="M1279" i="1"/>
  <c r="L1279" i="1"/>
  <c r="K1279" i="1"/>
  <c r="J1279" i="1"/>
  <c r="I1279" i="1"/>
  <c r="H1279" i="1"/>
  <c r="G1279" i="1"/>
  <c r="M1278" i="1"/>
  <c r="L1278" i="1"/>
  <c r="K1278" i="1"/>
  <c r="J1278" i="1"/>
  <c r="I1278" i="1"/>
  <c r="H1278" i="1"/>
  <c r="G1278" i="1"/>
  <c r="M1277" i="1"/>
  <c r="L1277" i="1"/>
  <c r="K1277" i="1"/>
  <c r="J1277" i="1"/>
  <c r="I1277" i="1"/>
  <c r="H1277" i="1"/>
  <c r="G1277" i="1"/>
  <c r="M1276" i="1"/>
  <c r="L1276" i="1"/>
  <c r="K1276" i="1"/>
  <c r="J1276" i="1"/>
  <c r="I1276" i="1"/>
  <c r="H1276" i="1"/>
  <c r="G1276" i="1"/>
  <c r="M1275" i="1"/>
  <c r="L1275" i="1"/>
  <c r="K1275" i="1"/>
  <c r="J1275" i="1"/>
  <c r="I1275" i="1"/>
  <c r="H1275" i="1"/>
  <c r="G1275" i="1"/>
  <c r="M1274" i="1"/>
  <c r="L1274" i="1"/>
  <c r="K1274" i="1"/>
  <c r="J1274" i="1"/>
  <c r="I1274" i="1"/>
  <c r="H1274" i="1"/>
  <c r="G1274" i="1"/>
  <c r="M1273" i="1"/>
  <c r="L1273" i="1"/>
  <c r="K1273" i="1"/>
  <c r="J1273" i="1"/>
  <c r="I1273" i="1"/>
  <c r="H1273" i="1"/>
  <c r="G1273" i="1"/>
  <c r="M1272" i="1"/>
  <c r="L1272" i="1"/>
  <c r="K1272" i="1"/>
  <c r="J1272" i="1"/>
  <c r="I1272" i="1"/>
  <c r="H1272" i="1"/>
  <c r="G1272" i="1"/>
  <c r="M1271" i="1"/>
  <c r="L1271" i="1"/>
  <c r="K1271" i="1"/>
  <c r="J1271" i="1"/>
  <c r="I1271" i="1"/>
  <c r="H1271" i="1"/>
  <c r="G1271" i="1"/>
  <c r="M1270" i="1"/>
  <c r="L1270" i="1"/>
  <c r="K1270" i="1"/>
  <c r="J1270" i="1"/>
  <c r="I1270" i="1"/>
  <c r="H1270" i="1"/>
  <c r="G1270" i="1"/>
  <c r="M1269" i="1"/>
  <c r="L1269" i="1"/>
  <c r="K1269" i="1"/>
  <c r="J1269" i="1"/>
  <c r="I1269" i="1"/>
  <c r="H1269" i="1"/>
  <c r="G1269" i="1"/>
  <c r="M1268" i="1"/>
  <c r="L1268" i="1"/>
  <c r="K1268" i="1"/>
  <c r="J1268" i="1"/>
  <c r="I1268" i="1"/>
  <c r="H1268" i="1"/>
  <c r="G1268" i="1"/>
  <c r="M1267" i="1"/>
  <c r="L1267" i="1"/>
  <c r="K1267" i="1"/>
  <c r="J1267" i="1"/>
  <c r="I1267" i="1"/>
  <c r="H1267" i="1"/>
  <c r="G1267" i="1"/>
  <c r="M1266" i="1"/>
  <c r="L1266" i="1"/>
  <c r="K1266" i="1"/>
  <c r="J1266" i="1"/>
  <c r="I1266" i="1"/>
  <c r="H1266" i="1"/>
  <c r="G1266" i="1"/>
  <c r="M1265" i="1"/>
  <c r="L1265" i="1"/>
  <c r="K1265" i="1"/>
  <c r="J1265" i="1"/>
  <c r="I1265" i="1"/>
  <c r="H1265" i="1"/>
  <c r="G1265" i="1"/>
  <c r="M1264" i="1"/>
  <c r="L1264" i="1"/>
  <c r="K1264" i="1"/>
  <c r="J1264" i="1"/>
  <c r="I1264" i="1"/>
  <c r="H1264" i="1"/>
  <c r="G1264" i="1"/>
  <c r="M1263" i="1"/>
  <c r="L1263" i="1"/>
  <c r="K1263" i="1"/>
  <c r="J1263" i="1"/>
  <c r="I1263" i="1"/>
  <c r="H1263" i="1"/>
  <c r="G1263" i="1"/>
  <c r="M1262" i="1"/>
  <c r="L1262" i="1"/>
  <c r="K1262" i="1"/>
  <c r="J1262" i="1"/>
  <c r="I1262" i="1"/>
  <c r="H1262" i="1"/>
  <c r="G1262" i="1"/>
  <c r="M1261" i="1"/>
  <c r="L1261" i="1"/>
  <c r="K1261" i="1"/>
  <c r="J1261" i="1"/>
  <c r="I1261" i="1"/>
  <c r="H1261" i="1"/>
  <c r="G1261" i="1"/>
  <c r="M1260" i="1"/>
  <c r="L1260" i="1"/>
  <c r="K1260" i="1"/>
  <c r="J1260" i="1"/>
  <c r="I1260" i="1"/>
  <c r="H1260" i="1"/>
  <c r="G1260" i="1"/>
  <c r="M1259" i="1"/>
  <c r="L1259" i="1"/>
  <c r="K1259" i="1"/>
  <c r="J1259" i="1"/>
  <c r="I1259" i="1"/>
  <c r="H1259" i="1"/>
  <c r="G1259" i="1"/>
  <c r="M1258" i="1"/>
  <c r="L1258" i="1"/>
  <c r="K1258" i="1"/>
  <c r="J1258" i="1"/>
  <c r="I1258" i="1"/>
  <c r="H1258" i="1"/>
  <c r="G1258" i="1"/>
  <c r="M1257" i="1"/>
  <c r="L1257" i="1"/>
  <c r="K1257" i="1"/>
  <c r="J1257" i="1"/>
  <c r="I1257" i="1"/>
  <c r="H1257" i="1"/>
  <c r="G1257" i="1"/>
  <c r="M1256" i="1"/>
  <c r="L1256" i="1"/>
  <c r="K1256" i="1"/>
  <c r="J1256" i="1"/>
  <c r="I1256" i="1"/>
  <c r="H1256" i="1"/>
  <c r="G1256" i="1"/>
  <c r="M1255" i="1"/>
  <c r="L1255" i="1"/>
  <c r="K1255" i="1"/>
  <c r="J1255" i="1"/>
  <c r="I1255" i="1"/>
  <c r="H1255" i="1"/>
  <c r="G1255" i="1"/>
  <c r="M1254" i="1"/>
  <c r="L1254" i="1"/>
  <c r="K1254" i="1"/>
  <c r="J1254" i="1"/>
  <c r="I1254" i="1"/>
  <c r="H1254" i="1"/>
  <c r="G1254" i="1"/>
  <c r="M1253" i="1"/>
  <c r="L1253" i="1"/>
  <c r="K1253" i="1"/>
  <c r="J1253" i="1"/>
  <c r="I1253" i="1"/>
  <c r="H1253" i="1"/>
  <c r="G1253" i="1"/>
  <c r="M1252" i="1"/>
  <c r="L1252" i="1"/>
  <c r="K1252" i="1"/>
  <c r="J1252" i="1"/>
  <c r="I1252" i="1"/>
  <c r="H1252" i="1"/>
  <c r="G1252" i="1"/>
  <c r="M1251" i="1"/>
  <c r="L1251" i="1"/>
  <c r="K1251" i="1"/>
  <c r="J1251" i="1"/>
  <c r="I1251" i="1"/>
  <c r="H1251" i="1"/>
  <c r="G1251" i="1"/>
  <c r="M1250" i="1"/>
  <c r="L1250" i="1"/>
  <c r="K1250" i="1"/>
  <c r="J1250" i="1"/>
  <c r="I1250" i="1"/>
  <c r="H1250" i="1"/>
  <c r="G1250" i="1"/>
  <c r="M1249" i="1"/>
  <c r="L1249" i="1"/>
  <c r="K1249" i="1"/>
  <c r="J1249" i="1"/>
  <c r="I1249" i="1"/>
  <c r="H1249" i="1"/>
  <c r="G1249" i="1"/>
  <c r="M1248" i="1"/>
  <c r="L1248" i="1"/>
  <c r="K1248" i="1"/>
  <c r="J1248" i="1"/>
  <c r="I1248" i="1"/>
  <c r="H1248" i="1"/>
  <c r="G1248" i="1"/>
  <c r="M1247" i="1"/>
  <c r="L1247" i="1"/>
  <c r="K1247" i="1"/>
  <c r="J1247" i="1"/>
  <c r="I1247" i="1"/>
  <c r="H1247" i="1"/>
  <c r="G1247" i="1"/>
  <c r="M1246" i="1"/>
  <c r="L1246" i="1"/>
  <c r="K1246" i="1"/>
  <c r="J1246" i="1"/>
  <c r="I1246" i="1"/>
  <c r="H1246" i="1"/>
  <c r="G1246" i="1"/>
  <c r="M1245" i="1"/>
  <c r="L1245" i="1"/>
  <c r="K1245" i="1"/>
  <c r="J1245" i="1"/>
  <c r="I1245" i="1"/>
  <c r="H1245" i="1"/>
  <c r="G1245" i="1"/>
  <c r="M1244" i="1"/>
  <c r="L1244" i="1"/>
  <c r="K1244" i="1"/>
  <c r="J1244" i="1"/>
  <c r="I1244" i="1"/>
  <c r="H1244" i="1"/>
  <c r="G1244" i="1"/>
  <c r="M1243" i="1"/>
  <c r="L1243" i="1"/>
  <c r="K1243" i="1"/>
  <c r="J1243" i="1"/>
  <c r="I1243" i="1"/>
  <c r="H1243" i="1"/>
  <c r="G1243" i="1"/>
  <c r="M1242" i="1"/>
  <c r="L1242" i="1"/>
  <c r="K1242" i="1"/>
  <c r="J1242" i="1"/>
  <c r="I1242" i="1"/>
  <c r="H1242" i="1"/>
  <c r="G1242" i="1"/>
  <c r="M1241" i="1"/>
  <c r="L1241" i="1"/>
  <c r="K1241" i="1"/>
  <c r="J1241" i="1"/>
  <c r="I1241" i="1"/>
  <c r="H1241" i="1"/>
  <c r="G1241" i="1"/>
  <c r="M1240" i="1"/>
  <c r="L1240" i="1"/>
  <c r="K1240" i="1"/>
  <c r="J1240" i="1"/>
  <c r="I1240" i="1"/>
  <c r="H1240" i="1"/>
  <c r="G1240" i="1"/>
  <c r="M1239" i="1"/>
  <c r="L1239" i="1"/>
  <c r="K1239" i="1"/>
  <c r="J1239" i="1"/>
  <c r="I1239" i="1"/>
  <c r="H1239" i="1"/>
  <c r="G1239" i="1"/>
  <c r="M1238" i="1"/>
  <c r="L1238" i="1"/>
  <c r="K1238" i="1"/>
  <c r="J1238" i="1"/>
  <c r="I1238" i="1"/>
  <c r="H1238" i="1"/>
  <c r="G1238" i="1"/>
  <c r="M1237" i="1"/>
  <c r="L1237" i="1"/>
  <c r="K1237" i="1"/>
  <c r="J1237" i="1"/>
  <c r="I1237" i="1"/>
  <c r="H1237" i="1"/>
  <c r="G1237" i="1"/>
  <c r="M1236" i="1"/>
  <c r="L1236" i="1"/>
  <c r="K1236" i="1"/>
  <c r="J1236" i="1"/>
  <c r="I1236" i="1"/>
  <c r="H1236" i="1"/>
  <c r="G1236" i="1"/>
  <c r="M1235" i="1"/>
  <c r="L1235" i="1"/>
  <c r="K1235" i="1"/>
  <c r="J1235" i="1"/>
  <c r="I1235" i="1"/>
  <c r="H1235" i="1"/>
  <c r="G1235" i="1"/>
  <c r="M1234" i="1"/>
  <c r="L1234" i="1"/>
  <c r="K1234" i="1"/>
  <c r="J1234" i="1"/>
  <c r="I1234" i="1"/>
  <c r="H1234" i="1"/>
  <c r="G1234" i="1"/>
  <c r="M1233" i="1"/>
  <c r="L1233" i="1"/>
  <c r="K1233" i="1"/>
  <c r="J1233" i="1"/>
  <c r="I1233" i="1"/>
  <c r="H1233" i="1"/>
  <c r="G1233" i="1"/>
  <c r="M1232" i="1"/>
  <c r="L1232" i="1"/>
  <c r="K1232" i="1"/>
  <c r="J1232" i="1"/>
  <c r="I1232" i="1"/>
  <c r="H1232" i="1"/>
  <c r="G1232" i="1"/>
  <c r="M1231" i="1"/>
  <c r="L1231" i="1"/>
  <c r="K1231" i="1"/>
  <c r="J1231" i="1"/>
  <c r="I1231" i="1"/>
  <c r="H1231" i="1"/>
  <c r="G1231" i="1"/>
  <c r="M1230" i="1"/>
  <c r="L1230" i="1"/>
  <c r="K1230" i="1"/>
  <c r="J1230" i="1"/>
  <c r="I1230" i="1"/>
  <c r="H1230" i="1"/>
  <c r="G1230" i="1"/>
  <c r="M1229" i="1"/>
  <c r="L1229" i="1"/>
  <c r="K1229" i="1"/>
  <c r="J1229" i="1"/>
  <c r="I1229" i="1"/>
  <c r="H1229" i="1"/>
  <c r="G1229" i="1"/>
  <c r="M1228" i="1"/>
  <c r="L1228" i="1"/>
  <c r="K1228" i="1"/>
  <c r="J1228" i="1"/>
  <c r="I1228" i="1"/>
  <c r="H1228" i="1"/>
  <c r="G1228" i="1"/>
  <c r="M1227" i="1"/>
  <c r="L1227" i="1"/>
  <c r="K1227" i="1"/>
  <c r="J1227" i="1"/>
  <c r="I1227" i="1"/>
  <c r="H1227" i="1"/>
  <c r="G1227" i="1"/>
  <c r="M1226" i="1"/>
  <c r="L1226" i="1"/>
  <c r="K1226" i="1"/>
  <c r="J1226" i="1"/>
  <c r="I1226" i="1"/>
  <c r="H1226" i="1"/>
  <c r="G1226" i="1"/>
  <c r="M1225" i="1"/>
  <c r="L1225" i="1"/>
  <c r="K1225" i="1"/>
  <c r="J1225" i="1"/>
  <c r="I1225" i="1"/>
  <c r="H1225" i="1"/>
  <c r="G1225" i="1"/>
  <c r="M1224" i="1"/>
  <c r="L1224" i="1"/>
  <c r="K1224" i="1"/>
  <c r="J1224" i="1"/>
  <c r="I1224" i="1"/>
  <c r="H1224" i="1"/>
  <c r="G1224" i="1"/>
  <c r="M1223" i="1"/>
  <c r="L1223" i="1"/>
  <c r="K1223" i="1"/>
  <c r="J1223" i="1"/>
  <c r="I1223" i="1"/>
  <c r="H1223" i="1"/>
  <c r="G1223" i="1"/>
  <c r="M1222" i="1"/>
  <c r="L1222" i="1"/>
  <c r="K1222" i="1"/>
  <c r="J1222" i="1"/>
  <c r="I1222" i="1"/>
  <c r="H1222" i="1"/>
  <c r="G1222" i="1"/>
  <c r="M1221" i="1"/>
  <c r="L1221" i="1"/>
  <c r="K1221" i="1"/>
  <c r="J1221" i="1"/>
  <c r="I1221" i="1"/>
  <c r="H1221" i="1"/>
  <c r="G1221" i="1"/>
  <c r="M1220" i="1"/>
  <c r="L1220" i="1"/>
  <c r="K1220" i="1"/>
  <c r="J1220" i="1"/>
  <c r="I1220" i="1"/>
  <c r="H1220" i="1"/>
  <c r="G1220" i="1"/>
  <c r="M1219" i="1"/>
  <c r="L1219" i="1"/>
  <c r="K1219" i="1"/>
  <c r="J1219" i="1"/>
  <c r="I1219" i="1"/>
  <c r="H1219" i="1"/>
  <c r="G1219" i="1"/>
  <c r="M1218" i="1"/>
  <c r="L1218" i="1"/>
  <c r="K1218" i="1"/>
  <c r="J1218" i="1"/>
  <c r="I1218" i="1"/>
  <c r="H1218" i="1"/>
  <c r="G1218" i="1"/>
  <c r="M1217" i="1"/>
  <c r="L1217" i="1"/>
  <c r="K1217" i="1"/>
  <c r="J1217" i="1"/>
  <c r="I1217" i="1"/>
  <c r="H1217" i="1"/>
  <c r="G1217" i="1"/>
  <c r="M1216" i="1"/>
  <c r="L1216" i="1"/>
  <c r="K1216" i="1"/>
  <c r="J1216" i="1"/>
  <c r="I1216" i="1"/>
  <c r="H1216" i="1"/>
  <c r="G1216" i="1"/>
  <c r="M1215" i="1"/>
  <c r="L1215" i="1"/>
  <c r="K1215" i="1"/>
  <c r="J1215" i="1"/>
  <c r="I1215" i="1"/>
  <c r="H1215" i="1"/>
  <c r="G1215" i="1"/>
  <c r="M1214" i="1"/>
  <c r="L1214" i="1"/>
  <c r="K1214" i="1"/>
  <c r="J1214" i="1"/>
  <c r="I1214" i="1"/>
  <c r="H1214" i="1"/>
  <c r="G1214" i="1"/>
  <c r="M1213" i="1"/>
  <c r="L1213" i="1"/>
  <c r="K1213" i="1"/>
  <c r="J1213" i="1"/>
  <c r="I1213" i="1"/>
  <c r="H1213" i="1"/>
  <c r="G1213" i="1"/>
  <c r="M1212" i="1"/>
  <c r="L1212" i="1"/>
  <c r="K1212" i="1"/>
  <c r="J1212" i="1"/>
  <c r="I1212" i="1"/>
  <c r="H1212" i="1"/>
  <c r="G1212" i="1"/>
  <c r="M1211" i="1"/>
  <c r="L1211" i="1"/>
  <c r="K1211" i="1"/>
  <c r="J1211" i="1"/>
  <c r="I1211" i="1"/>
  <c r="H1211" i="1"/>
  <c r="G1211" i="1"/>
  <c r="M1210" i="1"/>
  <c r="L1210" i="1"/>
  <c r="K1210" i="1"/>
  <c r="J1210" i="1"/>
  <c r="I1210" i="1"/>
  <c r="H1210" i="1"/>
  <c r="G1210" i="1"/>
  <c r="M1209" i="1"/>
  <c r="L1209" i="1"/>
  <c r="K1209" i="1"/>
  <c r="J1209" i="1"/>
  <c r="I1209" i="1"/>
  <c r="H1209" i="1"/>
  <c r="G1209" i="1"/>
  <c r="M1208" i="1"/>
  <c r="L1208" i="1"/>
  <c r="K1208" i="1"/>
  <c r="J1208" i="1"/>
  <c r="I1208" i="1"/>
  <c r="H1208" i="1"/>
  <c r="G1208" i="1"/>
  <c r="M1207" i="1"/>
  <c r="L1207" i="1"/>
  <c r="K1207" i="1"/>
  <c r="J1207" i="1"/>
  <c r="I1207" i="1"/>
  <c r="H1207" i="1"/>
  <c r="G1207" i="1"/>
  <c r="M1206" i="1"/>
  <c r="L1206" i="1"/>
  <c r="K1206" i="1"/>
  <c r="J1206" i="1"/>
  <c r="I1206" i="1"/>
  <c r="H1206" i="1"/>
  <c r="G1206" i="1"/>
  <c r="M1205" i="1"/>
  <c r="L1205" i="1"/>
  <c r="K1205" i="1"/>
  <c r="J1205" i="1"/>
  <c r="I1205" i="1"/>
  <c r="H1205" i="1"/>
  <c r="G1205" i="1"/>
  <c r="M1204" i="1"/>
  <c r="L1204" i="1"/>
  <c r="K1204" i="1"/>
  <c r="J1204" i="1"/>
  <c r="I1204" i="1"/>
  <c r="H1204" i="1"/>
  <c r="G1204" i="1"/>
  <c r="M1203" i="1"/>
  <c r="L1203" i="1"/>
  <c r="K1203" i="1"/>
  <c r="J1203" i="1"/>
  <c r="I1203" i="1"/>
  <c r="H1203" i="1"/>
  <c r="G1203" i="1"/>
  <c r="M1202" i="1"/>
  <c r="L1202" i="1"/>
  <c r="K1202" i="1"/>
  <c r="J1202" i="1"/>
  <c r="I1202" i="1"/>
  <c r="H1202" i="1"/>
  <c r="G1202" i="1"/>
  <c r="M1201" i="1"/>
  <c r="L1201" i="1"/>
  <c r="K1201" i="1"/>
  <c r="J1201" i="1"/>
  <c r="I1201" i="1"/>
  <c r="H1201" i="1"/>
  <c r="G1201" i="1"/>
  <c r="M1200" i="1"/>
  <c r="L1200" i="1"/>
  <c r="K1200" i="1"/>
  <c r="J1200" i="1"/>
  <c r="I1200" i="1"/>
  <c r="H1200" i="1"/>
  <c r="G1200" i="1"/>
  <c r="M1199" i="1"/>
  <c r="L1199" i="1"/>
  <c r="K1199" i="1"/>
  <c r="J1199" i="1"/>
  <c r="I1199" i="1"/>
  <c r="H1199" i="1"/>
  <c r="G1199" i="1"/>
  <c r="M1198" i="1"/>
  <c r="L1198" i="1"/>
  <c r="K1198" i="1"/>
  <c r="J1198" i="1"/>
  <c r="I1198" i="1"/>
  <c r="H1198" i="1"/>
  <c r="G1198" i="1"/>
  <c r="M1197" i="1"/>
  <c r="L1197" i="1"/>
  <c r="K1197" i="1"/>
  <c r="J1197" i="1"/>
  <c r="I1197" i="1"/>
  <c r="H1197" i="1"/>
  <c r="G1197" i="1"/>
  <c r="M1196" i="1"/>
  <c r="L1196" i="1"/>
  <c r="K1196" i="1"/>
  <c r="J1196" i="1"/>
  <c r="I1196" i="1"/>
  <c r="H1196" i="1"/>
  <c r="G1196" i="1"/>
  <c r="M1195" i="1"/>
  <c r="L1195" i="1"/>
  <c r="K1195" i="1"/>
  <c r="J1195" i="1"/>
  <c r="I1195" i="1"/>
  <c r="H1195" i="1"/>
  <c r="G1195" i="1"/>
  <c r="M1194" i="1"/>
  <c r="L1194" i="1"/>
  <c r="K1194" i="1"/>
  <c r="J1194" i="1"/>
  <c r="I1194" i="1"/>
  <c r="H1194" i="1"/>
  <c r="G1194" i="1"/>
  <c r="M1193" i="1"/>
  <c r="L1193" i="1"/>
  <c r="K1193" i="1"/>
  <c r="J1193" i="1"/>
  <c r="I1193" i="1"/>
  <c r="H1193" i="1"/>
  <c r="G1193" i="1"/>
  <c r="M1192" i="1"/>
  <c r="L1192" i="1"/>
  <c r="K1192" i="1"/>
  <c r="J1192" i="1"/>
  <c r="I1192" i="1"/>
  <c r="H1192" i="1"/>
  <c r="G1192" i="1"/>
  <c r="M1191" i="1"/>
  <c r="L1191" i="1"/>
  <c r="K1191" i="1"/>
  <c r="J1191" i="1"/>
  <c r="I1191" i="1"/>
  <c r="H1191" i="1"/>
  <c r="G1191" i="1"/>
  <c r="M1190" i="1"/>
  <c r="L1190" i="1"/>
  <c r="K1190" i="1"/>
  <c r="J1190" i="1"/>
  <c r="I1190" i="1"/>
  <c r="H1190" i="1"/>
  <c r="G1190" i="1"/>
  <c r="M1189" i="1"/>
  <c r="L1189" i="1"/>
  <c r="K1189" i="1"/>
  <c r="J1189" i="1"/>
  <c r="I1189" i="1"/>
  <c r="H1189" i="1"/>
  <c r="G1189" i="1"/>
  <c r="M1188" i="1"/>
  <c r="L1188" i="1"/>
  <c r="K1188" i="1"/>
  <c r="J1188" i="1"/>
  <c r="I1188" i="1"/>
  <c r="H1188" i="1"/>
  <c r="G1188" i="1"/>
  <c r="M1187" i="1"/>
  <c r="L1187" i="1"/>
  <c r="K1187" i="1"/>
  <c r="J1187" i="1"/>
  <c r="I1187" i="1"/>
  <c r="H1187" i="1"/>
  <c r="G1187" i="1"/>
  <c r="M1186" i="1"/>
  <c r="L1186" i="1"/>
  <c r="K1186" i="1"/>
  <c r="J1186" i="1"/>
  <c r="I1186" i="1"/>
  <c r="H1186" i="1"/>
  <c r="G1186" i="1"/>
  <c r="M1185" i="1"/>
  <c r="L1185" i="1"/>
  <c r="K1185" i="1"/>
  <c r="J1185" i="1"/>
  <c r="I1185" i="1"/>
  <c r="H1185" i="1"/>
  <c r="G1185" i="1"/>
  <c r="M1184" i="1"/>
  <c r="L1184" i="1"/>
  <c r="K1184" i="1"/>
  <c r="J1184" i="1"/>
  <c r="I1184" i="1"/>
  <c r="H1184" i="1"/>
  <c r="G1184" i="1"/>
  <c r="M1183" i="1"/>
  <c r="L1183" i="1"/>
  <c r="K1183" i="1"/>
  <c r="J1183" i="1"/>
  <c r="I1183" i="1"/>
  <c r="H1183" i="1"/>
  <c r="G1183" i="1"/>
  <c r="M1182" i="1"/>
  <c r="L1182" i="1"/>
  <c r="K1182" i="1"/>
  <c r="J1182" i="1"/>
  <c r="I1182" i="1"/>
  <c r="H1182" i="1"/>
  <c r="G1182" i="1"/>
  <c r="M1181" i="1"/>
  <c r="L1181" i="1"/>
  <c r="K1181" i="1"/>
  <c r="J1181" i="1"/>
  <c r="I1181" i="1"/>
  <c r="H1181" i="1"/>
  <c r="G1181" i="1"/>
  <c r="M1180" i="1"/>
  <c r="L1180" i="1"/>
  <c r="K1180" i="1"/>
  <c r="J1180" i="1"/>
  <c r="I1180" i="1"/>
  <c r="H1180" i="1"/>
  <c r="G1180" i="1"/>
  <c r="M1179" i="1"/>
  <c r="L1179" i="1"/>
  <c r="K1179" i="1"/>
  <c r="J1179" i="1"/>
  <c r="I1179" i="1"/>
  <c r="H1179" i="1"/>
  <c r="G1179" i="1"/>
  <c r="M1178" i="1"/>
  <c r="L1178" i="1"/>
  <c r="K1178" i="1"/>
  <c r="J1178" i="1"/>
  <c r="I1178" i="1"/>
  <c r="H1178" i="1"/>
  <c r="G1178" i="1"/>
  <c r="M1177" i="1"/>
  <c r="L1177" i="1"/>
  <c r="K1177" i="1"/>
  <c r="J1177" i="1"/>
  <c r="I1177" i="1"/>
  <c r="H1177" i="1"/>
  <c r="G1177" i="1"/>
  <c r="M1176" i="1"/>
  <c r="L1176" i="1"/>
  <c r="K1176" i="1"/>
  <c r="J1176" i="1"/>
  <c r="I1176" i="1"/>
  <c r="H1176" i="1"/>
  <c r="G1176" i="1"/>
  <c r="M1175" i="1"/>
  <c r="L1175" i="1"/>
  <c r="K1175" i="1"/>
  <c r="J1175" i="1"/>
  <c r="I1175" i="1"/>
  <c r="H1175" i="1"/>
  <c r="G1175" i="1"/>
  <c r="M1174" i="1"/>
  <c r="L1174" i="1"/>
  <c r="K1174" i="1"/>
  <c r="J1174" i="1"/>
  <c r="I1174" i="1"/>
  <c r="H1174" i="1"/>
  <c r="G1174" i="1"/>
  <c r="M1173" i="1"/>
  <c r="L1173" i="1"/>
  <c r="K1173" i="1"/>
  <c r="J1173" i="1"/>
  <c r="I1173" i="1"/>
  <c r="H1173" i="1"/>
  <c r="G1173" i="1"/>
  <c r="M1172" i="1"/>
  <c r="L1172" i="1"/>
  <c r="K1172" i="1"/>
  <c r="J1172" i="1"/>
  <c r="I1172" i="1"/>
  <c r="H1172" i="1"/>
  <c r="G1172" i="1"/>
  <c r="M1171" i="1"/>
  <c r="L1171" i="1"/>
  <c r="K1171" i="1"/>
  <c r="J1171" i="1"/>
  <c r="I1171" i="1"/>
  <c r="H1171" i="1"/>
  <c r="G1171" i="1"/>
  <c r="M1170" i="1"/>
  <c r="L1170" i="1"/>
  <c r="K1170" i="1"/>
  <c r="J1170" i="1"/>
  <c r="I1170" i="1"/>
  <c r="H1170" i="1"/>
  <c r="G1170" i="1"/>
  <c r="M1169" i="1"/>
  <c r="L1169" i="1"/>
  <c r="K1169" i="1"/>
  <c r="J1169" i="1"/>
  <c r="I1169" i="1"/>
  <c r="H1169" i="1"/>
  <c r="G1169" i="1"/>
  <c r="M1168" i="1"/>
  <c r="L1168" i="1"/>
  <c r="K1168" i="1"/>
  <c r="J1168" i="1"/>
  <c r="I1168" i="1"/>
  <c r="H1168" i="1"/>
  <c r="G1168" i="1"/>
  <c r="M1167" i="1"/>
  <c r="L1167" i="1"/>
  <c r="K1167" i="1"/>
  <c r="J1167" i="1"/>
  <c r="I1167" i="1"/>
  <c r="H1167" i="1"/>
  <c r="G1167" i="1"/>
  <c r="M1166" i="1"/>
  <c r="L1166" i="1"/>
  <c r="K1166" i="1"/>
  <c r="J1166" i="1"/>
  <c r="I1166" i="1"/>
  <c r="H1166" i="1"/>
  <c r="G1166" i="1"/>
  <c r="M1165" i="1"/>
  <c r="L1165" i="1"/>
  <c r="K1165" i="1"/>
  <c r="J1165" i="1"/>
  <c r="I1165" i="1"/>
  <c r="H1165" i="1"/>
  <c r="G1165" i="1"/>
  <c r="M1164" i="1"/>
  <c r="L1164" i="1"/>
  <c r="K1164" i="1"/>
  <c r="J1164" i="1"/>
  <c r="I1164" i="1"/>
  <c r="H1164" i="1"/>
  <c r="G1164" i="1"/>
  <c r="M1163" i="1"/>
  <c r="L1163" i="1"/>
  <c r="K1163" i="1"/>
  <c r="J1163" i="1"/>
  <c r="I1163" i="1"/>
  <c r="H1163" i="1"/>
  <c r="G1163" i="1"/>
  <c r="M1162" i="1"/>
  <c r="L1162" i="1"/>
  <c r="K1162" i="1"/>
  <c r="J1162" i="1"/>
  <c r="I1162" i="1"/>
  <c r="H1162" i="1"/>
  <c r="G1162" i="1"/>
  <c r="M1161" i="1"/>
  <c r="L1161" i="1"/>
  <c r="K1161" i="1"/>
  <c r="J1161" i="1"/>
  <c r="I1161" i="1"/>
  <c r="H1161" i="1"/>
  <c r="G1161" i="1"/>
  <c r="M1160" i="1"/>
  <c r="L1160" i="1"/>
  <c r="K1160" i="1"/>
  <c r="J1160" i="1"/>
  <c r="I1160" i="1"/>
  <c r="H1160" i="1"/>
  <c r="G1160" i="1"/>
  <c r="M1159" i="1"/>
  <c r="L1159" i="1"/>
  <c r="K1159" i="1"/>
  <c r="J1159" i="1"/>
  <c r="I1159" i="1"/>
  <c r="H1159" i="1"/>
  <c r="G1159" i="1"/>
  <c r="M1158" i="1"/>
  <c r="L1158" i="1"/>
  <c r="K1158" i="1"/>
  <c r="J1158" i="1"/>
  <c r="I1158" i="1"/>
  <c r="H1158" i="1"/>
  <c r="G1158" i="1"/>
  <c r="M1157" i="1"/>
  <c r="L1157" i="1"/>
  <c r="K1157" i="1"/>
  <c r="J1157" i="1"/>
  <c r="I1157" i="1"/>
  <c r="H1157" i="1"/>
  <c r="G1157" i="1"/>
  <c r="M1156" i="1"/>
  <c r="L1156" i="1"/>
  <c r="K1156" i="1"/>
  <c r="J1156" i="1"/>
  <c r="I1156" i="1"/>
  <c r="H1156" i="1"/>
  <c r="G1156" i="1"/>
  <c r="M1155" i="1"/>
  <c r="L1155" i="1"/>
  <c r="K1155" i="1"/>
  <c r="J1155" i="1"/>
  <c r="I1155" i="1"/>
  <c r="H1155" i="1"/>
  <c r="G1155" i="1"/>
  <c r="M1154" i="1"/>
  <c r="L1154" i="1"/>
  <c r="K1154" i="1"/>
  <c r="J1154" i="1"/>
  <c r="I1154" i="1"/>
  <c r="H1154" i="1"/>
  <c r="G1154" i="1"/>
  <c r="M1153" i="1"/>
  <c r="L1153" i="1"/>
  <c r="K1153" i="1"/>
  <c r="J1153" i="1"/>
  <c r="I1153" i="1"/>
  <c r="H1153" i="1"/>
  <c r="G1153" i="1"/>
  <c r="M1152" i="1"/>
  <c r="L1152" i="1"/>
  <c r="K1152" i="1"/>
  <c r="J1152" i="1"/>
  <c r="I1152" i="1"/>
  <c r="H1152" i="1"/>
  <c r="G1152" i="1"/>
  <c r="M1151" i="1"/>
  <c r="L1151" i="1"/>
  <c r="K1151" i="1"/>
  <c r="J1151" i="1"/>
  <c r="I1151" i="1"/>
  <c r="H1151" i="1"/>
  <c r="G1151" i="1"/>
  <c r="M1150" i="1"/>
  <c r="L1150" i="1"/>
  <c r="K1150" i="1"/>
  <c r="J1150" i="1"/>
  <c r="I1150" i="1"/>
  <c r="H1150" i="1"/>
  <c r="G1150" i="1"/>
  <c r="M1149" i="1"/>
  <c r="L1149" i="1"/>
  <c r="K1149" i="1"/>
  <c r="J1149" i="1"/>
  <c r="I1149" i="1"/>
  <c r="H1149" i="1"/>
  <c r="G1149" i="1"/>
  <c r="M1148" i="1"/>
  <c r="L1148" i="1"/>
  <c r="K1148" i="1"/>
  <c r="J1148" i="1"/>
  <c r="I1148" i="1"/>
  <c r="H1148" i="1"/>
  <c r="G1148" i="1"/>
  <c r="M1147" i="1"/>
  <c r="L1147" i="1"/>
  <c r="K1147" i="1"/>
  <c r="J1147" i="1"/>
  <c r="I1147" i="1"/>
  <c r="H1147" i="1"/>
  <c r="G1147" i="1"/>
  <c r="M1146" i="1"/>
  <c r="L1146" i="1"/>
  <c r="K1146" i="1"/>
  <c r="J1146" i="1"/>
  <c r="I1146" i="1"/>
  <c r="H1146" i="1"/>
  <c r="G1146" i="1"/>
  <c r="M1145" i="1"/>
  <c r="L1145" i="1"/>
  <c r="K1145" i="1"/>
  <c r="J1145" i="1"/>
  <c r="I1145" i="1"/>
  <c r="H1145" i="1"/>
  <c r="G1145" i="1"/>
  <c r="M1144" i="1"/>
  <c r="L1144" i="1"/>
  <c r="K1144" i="1"/>
  <c r="J1144" i="1"/>
  <c r="I1144" i="1"/>
  <c r="H1144" i="1"/>
  <c r="G1144" i="1"/>
  <c r="M1143" i="1"/>
  <c r="L1143" i="1"/>
  <c r="K1143" i="1"/>
  <c r="J1143" i="1"/>
  <c r="I1143" i="1"/>
  <c r="H1143" i="1"/>
  <c r="G1143" i="1"/>
  <c r="M1142" i="1"/>
  <c r="L1142" i="1"/>
  <c r="K1142" i="1"/>
  <c r="J1142" i="1"/>
  <c r="I1142" i="1"/>
  <c r="H1142" i="1"/>
  <c r="G1142" i="1"/>
  <c r="M1141" i="1"/>
  <c r="L1141" i="1"/>
  <c r="K1141" i="1"/>
  <c r="J1141" i="1"/>
  <c r="I1141" i="1"/>
  <c r="H1141" i="1"/>
  <c r="G1141" i="1"/>
  <c r="M1140" i="1"/>
  <c r="L1140" i="1"/>
  <c r="K1140" i="1"/>
  <c r="J1140" i="1"/>
  <c r="I1140" i="1"/>
  <c r="H1140" i="1"/>
  <c r="G1140" i="1"/>
  <c r="M1139" i="1"/>
  <c r="L1139" i="1"/>
  <c r="K1139" i="1"/>
  <c r="J1139" i="1"/>
  <c r="I1139" i="1"/>
  <c r="H1139" i="1"/>
  <c r="G1139" i="1"/>
  <c r="M1138" i="1"/>
  <c r="L1138" i="1"/>
  <c r="K1138" i="1"/>
  <c r="J1138" i="1"/>
  <c r="I1138" i="1"/>
  <c r="H1138" i="1"/>
  <c r="G1138" i="1"/>
  <c r="M1137" i="1"/>
  <c r="L1137" i="1"/>
  <c r="K1137" i="1"/>
  <c r="J1137" i="1"/>
  <c r="I1137" i="1"/>
  <c r="H1137" i="1"/>
  <c r="G1137" i="1"/>
  <c r="M1136" i="1"/>
  <c r="L1136" i="1"/>
  <c r="K1136" i="1"/>
  <c r="J1136" i="1"/>
  <c r="I1136" i="1"/>
  <c r="H1136" i="1"/>
  <c r="G1136" i="1"/>
  <c r="M1135" i="1"/>
  <c r="L1135" i="1"/>
  <c r="K1135" i="1"/>
  <c r="J1135" i="1"/>
  <c r="I1135" i="1"/>
  <c r="H1135" i="1"/>
  <c r="G1135" i="1"/>
  <c r="M1134" i="1"/>
  <c r="L1134" i="1"/>
  <c r="K1134" i="1"/>
  <c r="J1134" i="1"/>
  <c r="I1134" i="1"/>
  <c r="H1134" i="1"/>
  <c r="G1134" i="1"/>
  <c r="M1133" i="1"/>
  <c r="L1133" i="1"/>
  <c r="K1133" i="1"/>
  <c r="J1133" i="1"/>
  <c r="I1133" i="1"/>
  <c r="H1133" i="1"/>
  <c r="G1133" i="1"/>
  <c r="M1132" i="1"/>
  <c r="L1132" i="1"/>
  <c r="K1132" i="1"/>
  <c r="J1132" i="1"/>
  <c r="I1132" i="1"/>
  <c r="H1132" i="1"/>
  <c r="G1132" i="1"/>
  <c r="M1131" i="1"/>
  <c r="L1131" i="1"/>
  <c r="K1131" i="1"/>
  <c r="J1131" i="1"/>
  <c r="I1131" i="1"/>
  <c r="H1131" i="1"/>
  <c r="G1131" i="1"/>
  <c r="M1130" i="1"/>
  <c r="L1130" i="1"/>
  <c r="K1130" i="1"/>
  <c r="J1130" i="1"/>
  <c r="I1130" i="1"/>
  <c r="H1130" i="1"/>
  <c r="G1130" i="1"/>
  <c r="M1129" i="1"/>
  <c r="L1129" i="1"/>
  <c r="K1129" i="1"/>
  <c r="J1129" i="1"/>
  <c r="I1129" i="1"/>
  <c r="H1129" i="1"/>
  <c r="G1129" i="1"/>
  <c r="M1128" i="1"/>
  <c r="L1128" i="1"/>
  <c r="K1128" i="1"/>
  <c r="J1128" i="1"/>
  <c r="I1128" i="1"/>
  <c r="H1128" i="1"/>
  <c r="G1128" i="1"/>
  <c r="M1127" i="1"/>
  <c r="L1127" i="1"/>
  <c r="K1127" i="1"/>
  <c r="J1127" i="1"/>
  <c r="I1127" i="1"/>
  <c r="H1127" i="1"/>
  <c r="G1127" i="1"/>
  <c r="M1126" i="1"/>
  <c r="L1126" i="1"/>
  <c r="K1126" i="1"/>
  <c r="J1126" i="1"/>
  <c r="I1126" i="1"/>
  <c r="H1126" i="1"/>
  <c r="G1126" i="1"/>
  <c r="M1125" i="1"/>
  <c r="L1125" i="1"/>
  <c r="K1125" i="1"/>
  <c r="J1125" i="1"/>
  <c r="I1125" i="1"/>
  <c r="H1125" i="1"/>
  <c r="G1125" i="1"/>
  <c r="M1124" i="1"/>
  <c r="L1124" i="1"/>
  <c r="K1124" i="1"/>
  <c r="J1124" i="1"/>
  <c r="I1124" i="1"/>
  <c r="H1124" i="1"/>
  <c r="G1124" i="1"/>
  <c r="M1123" i="1"/>
  <c r="L1123" i="1"/>
  <c r="K1123" i="1"/>
  <c r="J1123" i="1"/>
  <c r="I1123" i="1"/>
  <c r="H1123" i="1"/>
  <c r="G1123" i="1"/>
  <c r="M1122" i="1"/>
  <c r="L1122" i="1"/>
  <c r="K1122" i="1"/>
  <c r="J1122" i="1"/>
  <c r="I1122" i="1"/>
  <c r="H1122" i="1"/>
  <c r="G1122" i="1"/>
  <c r="M1121" i="1"/>
  <c r="L1121" i="1"/>
  <c r="K1121" i="1"/>
  <c r="J1121" i="1"/>
  <c r="I1121" i="1"/>
  <c r="H1121" i="1"/>
  <c r="G1121" i="1"/>
  <c r="M1120" i="1"/>
  <c r="L1120" i="1"/>
  <c r="K1120" i="1"/>
  <c r="J1120" i="1"/>
  <c r="I1120" i="1"/>
  <c r="H1120" i="1"/>
  <c r="G1120" i="1"/>
  <c r="M1119" i="1"/>
  <c r="L1119" i="1"/>
  <c r="K1119" i="1"/>
  <c r="J1119" i="1"/>
  <c r="I1119" i="1"/>
  <c r="H1119" i="1"/>
  <c r="G1119" i="1"/>
  <c r="M1118" i="1"/>
  <c r="L1118" i="1"/>
  <c r="K1118" i="1"/>
  <c r="J1118" i="1"/>
  <c r="I1118" i="1"/>
  <c r="H1118" i="1"/>
  <c r="G1118" i="1"/>
  <c r="M1117" i="1"/>
  <c r="L1117" i="1"/>
  <c r="K1117" i="1"/>
  <c r="J1117" i="1"/>
  <c r="I1117" i="1"/>
  <c r="H1117" i="1"/>
  <c r="G1117" i="1"/>
  <c r="M1116" i="1"/>
  <c r="L1116" i="1"/>
  <c r="K1116" i="1"/>
  <c r="J1116" i="1"/>
  <c r="I1116" i="1"/>
  <c r="H1116" i="1"/>
  <c r="G1116" i="1"/>
  <c r="M1115" i="1"/>
  <c r="L1115" i="1"/>
  <c r="K1115" i="1"/>
  <c r="J1115" i="1"/>
  <c r="I1115" i="1"/>
  <c r="H1115" i="1"/>
  <c r="G1115" i="1"/>
  <c r="M1114" i="1"/>
  <c r="L1114" i="1"/>
  <c r="K1114" i="1"/>
  <c r="J1114" i="1"/>
  <c r="I1114" i="1"/>
  <c r="H1114" i="1"/>
  <c r="G1114" i="1"/>
  <c r="M1113" i="1"/>
  <c r="L1113" i="1"/>
  <c r="K1113" i="1"/>
  <c r="J1113" i="1"/>
  <c r="I1113" i="1"/>
  <c r="H1113" i="1"/>
  <c r="G1113" i="1"/>
  <c r="M1112" i="1"/>
  <c r="L1112" i="1"/>
  <c r="K1112" i="1"/>
  <c r="J1112" i="1"/>
  <c r="I1112" i="1"/>
  <c r="H1112" i="1"/>
  <c r="G1112" i="1"/>
  <c r="M1111" i="1"/>
  <c r="L1111" i="1"/>
  <c r="K1111" i="1"/>
  <c r="J1111" i="1"/>
  <c r="I1111" i="1"/>
  <c r="H1111" i="1"/>
  <c r="G1111" i="1"/>
  <c r="M1110" i="1"/>
  <c r="L1110" i="1"/>
  <c r="K1110" i="1"/>
  <c r="J1110" i="1"/>
  <c r="I1110" i="1"/>
  <c r="H1110" i="1"/>
  <c r="G1110" i="1"/>
  <c r="M1109" i="1"/>
  <c r="L1109" i="1"/>
  <c r="K1109" i="1"/>
  <c r="J1109" i="1"/>
  <c r="I1109" i="1"/>
  <c r="H1109" i="1"/>
  <c r="G1109" i="1"/>
  <c r="M1108" i="1"/>
  <c r="L1108" i="1"/>
  <c r="K1108" i="1"/>
  <c r="J1108" i="1"/>
  <c r="I1108" i="1"/>
  <c r="H1108" i="1"/>
  <c r="G1108" i="1"/>
  <c r="M1107" i="1"/>
  <c r="L1107" i="1"/>
  <c r="K1107" i="1"/>
  <c r="J1107" i="1"/>
  <c r="I1107" i="1"/>
  <c r="H1107" i="1"/>
  <c r="G1107" i="1"/>
  <c r="M1106" i="1"/>
  <c r="L1106" i="1"/>
  <c r="K1106" i="1"/>
  <c r="J1106" i="1"/>
  <c r="I1106" i="1"/>
  <c r="H1106" i="1"/>
  <c r="G1106" i="1"/>
  <c r="M1105" i="1"/>
  <c r="L1105" i="1"/>
  <c r="K1105" i="1"/>
  <c r="J1105" i="1"/>
  <c r="I1105" i="1"/>
  <c r="H1105" i="1"/>
  <c r="G1105" i="1"/>
  <c r="M1104" i="1"/>
  <c r="L1104" i="1"/>
  <c r="K1104" i="1"/>
  <c r="J1104" i="1"/>
  <c r="I1104" i="1"/>
  <c r="H1104" i="1"/>
  <c r="G1104" i="1"/>
  <c r="M1103" i="1"/>
  <c r="L1103" i="1"/>
  <c r="K1103" i="1"/>
  <c r="J1103" i="1"/>
  <c r="I1103" i="1"/>
  <c r="H1103" i="1"/>
  <c r="G1103" i="1"/>
  <c r="M1102" i="1"/>
  <c r="L1102" i="1"/>
  <c r="K1102" i="1"/>
  <c r="J1102" i="1"/>
  <c r="I1102" i="1"/>
  <c r="H1102" i="1"/>
  <c r="G1102" i="1"/>
  <c r="M1101" i="1"/>
  <c r="L1101" i="1"/>
  <c r="K1101" i="1"/>
  <c r="J1101" i="1"/>
  <c r="I1101" i="1"/>
  <c r="H1101" i="1"/>
  <c r="G1101" i="1"/>
  <c r="M1100" i="1"/>
  <c r="L1100" i="1"/>
  <c r="K1100" i="1"/>
  <c r="J1100" i="1"/>
  <c r="I1100" i="1"/>
  <c r="H1100" i="1"/>
  <c r="G1100" i="1"/>
  <c r="M1099" i="1"/>
  <c r="L1099" i="1"/>
  <c r="K1099" i="1"/>
  <c r="J1099" i="1"/>
  <c r="I1099" i="1"/>
  <c r="H1099" i="1"/>
  <c r="G1099" i="1"/>
  <c r="M1098" i="1"/>
  <c r="L1098" i="1"/>
  <c r="K1098" i="1"/>
  <c r="J1098" i="1"/>
  <c r="I1098" i="1"/>
  <c r="H1098" i="1"/>
  <c r="G1098" i="1"/>
  <c r="M1097" i="1"/>
  <c r="L1097" i="1"/>
  <c r="K1097" i="1"/>
  <c r="J1097" i="1"/>
  <c r="I1097" i="1"/>
  <c r="H1097" i="1"/>
  <c r="G1097" i="1"/>
  <c r="M1096" i="1"/>
  <c r="L1096" i="1"/>
  <c r="K1096" i="1"/>
  <c r="J1096" i="1"/>
  <c r="I1096" i="1"/>
  <c r="H1096" i="1"/>
  <c r="G1096" i="1"/>
  <c r="M1095" i="1"/>
  <c r="L1095" i="1"/>
  <c r="K1095" i="1"/>
  <c r="J1095" i="1"/>
  <c r="I1095" i="1"/>
  <c r="H1095" i="1"/>
  <c r="G1095" i="1"/>
  <c r="M1094" i="1"/>
  <c r="L1094" i="1"/>
  <c r="K1094" i="1"/>
  <c r="J1094" i="1"/>
  <c r="I1094" i="1"/>
  <c r="H1094" i="1"/>
  <c r="G1094" i="1"/>
  <c r="M1093" i="1"/>
  <c r="L1093" i="1"/>
  <c r="K1093" i="1"/>
  <c r="J1093" i="1"/>
  <c r="I1093" i="1"/>
  <c r="H1093" i="1"/>
  <c r="G1093" i="1"/>
  <c r="M1092" i="1"/>
  <c r="L1092" i="1"/>
  <c r="K1092" i="1"/>
  <c r="J1092" i="1"/>
  <c r="I1092" i="1"/>
  <c r="H1092" i="1"/>
  <c r="G1092" i="1"/>
  <c r="M1091" i="1"/>
  <c r="L1091" i="1"/>
  <c r="K1091" i="1"/>
  <c r="J1091" i="1"/>
  <c r="I1091" i="1"/>
  <c r="H1091" i="1"/>
  <c r="G1091" i="1"/>
  <c r="M1090" i="1"/>
  <c r="L1090" i="1"/>
  <c r="K1090" i="1"/>
  <c r="J1090" i="1"/>
  <c r="I1090" i="1"/>
  <c r="H1090" i="1"/>
  <c r="G1090" i="1"/>
  <c r="M1089" i="1"/>
  <c r="L1089" i="1"/>
  <c r="K1089" i="1"/>
  <c r="J1089" i="1"/>
  <c r="I1089" i="1"/>
  <c r="H1089" i="1"/>
  <c r="G1089" i="1"/>
  <c r="M1088" i="1"/>
  <c r="L1088" i="1"/>
  <c r="K1088" i="1"/>
  <c r="J1088" i="1"/>
  <c r="I1088" i="1"/>
  <c r="H1088" i="1"/>
  <c r="G1088" i="1"/>
  <c r="M1087" i="1"/>
  <c r="L1087" i="1"/>
  <c r="K1087" i="1"/>
  <c r="J1087" i="1"/>
  <c r="I1087" i="1"/>
  <c r="H1087" i="1"/>
  <c r="G1087" i="1"/>
  <c r="M1086" i="1"/>
  <c r="L1086" i="1"/>
  <c r="K1086" i="1"/>
  <c r="J1086" i="1"/>
  <c r="I1086" i="1"/>
  <c r="H1086" i="1"/>
  <c r="G1086" i="1"/>
  <c r="M1085" i="1"/>
  <c r="L1085" i="1"/>
  <c r="K1085" i="1"/>
  <c r="J1085" i="1"/>
  <c r="I1085" i="1"/>
  <c r="H1085" i="1"/>
  <c r="G1085" i="1"/>
  <c r="M1084" i="1"/>
  <c r="L1084" i="1"/>
  <c r="K1084" i="1"/>
  <c r="J1084" i="1"/>
  <c r="I1084" i="1"/>
  <c r="H1084" i="1"/>
  <c r="G1084" i="1"/>
  <c r="M1083" i="1"/>
  <c r="L1083" i="1"/>
  <c r="K1083" i="1"/>
  <c r="J1083" i="1"/>
  <c r="I1083" i="1"/>
  <c r="H1083" i="1"/>
  <c r="G1083" i="1"/>
  <c r="M1082" i="1"/>
  <c r="L1082" i="1"/>
  <c r="K1082" i="1"/>
  <c r="J1082" i="1"/>
  <c r="I1082" i="1"/>
  <c r="H1082" i="1"/>
  <c r="G1082" i="1"/>
  <c r="M1081" i="1"/>
  <c r="L1081" i="1"/>
  <c r="K1081" i="1"/>
  <c r="J1081" i="1"/>
  <c r="I1081" i="1"/>
  <c r="H1081" i="1"/>
  <c r="G1081" i="1"/>
  <c r="M1080" i="1"/>
  <c r="L1080" i="1"/>
  <c r="K1080" i="1"/>
  <c r="J1080" i="1"/>
  <c r="I1080" i="1"/>
  <c r="H1080" i="1"/>
  <c r="G1080" i="1"/>
  <c r="M1079" i="1"/>
  <c r="L1079" i="1"/>
  <c r="K1079" i="1"/>
  <c r="J1079" i="1"/>
  <c r="I1079" i="1"/>
  <c r="H1079" i="1"/>
  <c r="G1079" i="1"/>
  <c r="M1078" i="1"/>
  <c r="L1078" i="1"/>
  <c r="K1078" i="1"/>
  <c r="J1078" i="1"/>
  <c r="I1078" i="1"/>
  <c r="H1078" i="1"/>
  <c r="G1078" i="1"/>
  <c r="M1077" i="1"/>
  <c r="L1077" i="1"/>
  <c r="K1077" i="1"/>
  <c r="J1077" i="1"/>
  <c r="I1077" i="1"/>
  <c r="H1077" i="1"/>
  <c r="G1077" i="1"/>
  <c r="M1076" i="1"/>
  <c r="L1076" i="1"/>
  <c r="K1076" i="1"/>
  <c r="J1076" i="1"/>
  <c r="I1076" i="1"/>
  <c r="H1076" i="1"/>
  <c r="G1076" i="1"/>
  <c r="M1075" i="1"/>
  <c r="L1075" i="1"/>
  <c r="K1075" i="1"/>
  <c r="J1075" i="1"/>
  <c r="I1075" i="1"/>
  <c r="H1075" i="1"/>
  <c r="G1075" i="1"/>
  <c r="M1074" i="1"/>
  <c r="L1074" i="1"/>
  <c r="K1074" i="1"/>
  <c r="J1074" i="1"/>
  <c r="I1074" i="1"/>
  <c r="H1074" i="1"/>
  <c r="G1074" i="1"/>
  <c r="M1073" i="1"/>
  <c r="L1073" i="1"/>
  <c r="K1073" i="1"/>
  <c r="J1073" i="1"/>
  <c r="I1073" i="1"/>
  <c r="H1073" i="1"/>
  <c r="G1073" i="1"/>
  <c r="M1072" i="1"/>
  <c r="L1072" i="1"/>
  <c r="K1072" i="1"/>
  <c r="J1072" i="1"/>
  <c r="I1072" i="1"/>
  <c r="H1072" i="1"/>
  <c r="G1072" i="1"/>
  <c r="M1071" i="1"/>
  <c r="L1071" i="1"/>
  <c r="K1071" i="1"/>
  <c r="J1071" i="1"/>
  <c r="I1071" i="1"/>
  <c r="H1071" i="1"/>
  <c r="G1071" i="1"/>
  <c r="M1070" i="1"/>
  <c r="L1070" i="1"/>
  <c r="K1070" i="1"/>
  <c r="J1070" i="1"/>
  <c r="I1070" i="1"/>
  <c r="H1070" i="1"/>
  <c r="G1070" i="1"/>
  <c r="M1069" i="1"/>
  <c r="L1069" i="1"/>
  <c r="K1069" i="1"/>
  <c r="J1069" i="1"/>
  <c r="I1069" i="1"/>
  <c r="H1069" i="1"/>
  <c r="G1069" i="1"/>
  <c r="M1068" i="1"/>
  <c r="L1068" i="1"/>
  <c r="K1068" i="1"/>
  <c r="J1068" i="1"/>
  <c r="I1068" i="1"/>
  <c r="H1068" i="1"/>
  <c r="G1068" i="1"/>
  <c r="M1067" i="1"/>
  <c r="L1067" i="1"/>
  <c r="K1067" i="1"/>
  <c r="J1067" i="1"/>
  <c r="I1067" i="1"/>
  <c r="H1067" i="1"/>
  <c r="G1067" i="1"/>
  <c r="M1066" i="1"/>
  <c r="L1066" i="1"/>
  <c r="K1066" i="1"/>
  <c r="J1066" i="1"/>
  <c r="I1066" i="1"/>
  <c r="H1066" i="1"/>
  <c r="G1066" i="1"/>
  <c r="M1065" i="1"/>
  <c r="L1065" i="1"/>
  <c r="K1065" i="1"/>
  <c r="J1065" i="1"/>
  <c r="I1065" i="1"/>
  <c r="H1065" i="1"/>
  <c r="G1065" i="1"/>
  <c r="M1064" i="1"/>
  <c r="L1064" i="1"/>
  <c r="K1064" i="1"/>
  <c r="J1064" i="1"/>
  <c r="I1064" i="1"/>
  <c r="H1064" i="1"/>
  <c r="G1064" i="1"/>
  <c r="M1063" i="1"/>
  <c r="L1063" i="1"/>
  <c r="K1063" i="1"/>
  <c r="J1063" i="1"/>
  <c r="I1063" i="1"/>
  <c r="H1063" i="1"/>
  <c r="G1063" i="1"/>
  <c r="M1062" i="1"/>
  <c r="L1062" i="1"/>
  <c r="K1062" i="1"/>
  <c r="J1062" i="1"/>
  <c r="I1062" i="1"/>
  <c r="H1062" i="1"/>
  <c r="G1062" i="1"/>
  <c r="M1061" i="1"/>
  <c r="L1061" i="1"/>
  <c r="K1061" i="1"/>
  <c r="J1061" i="1"/>
  <c r="I1061" i="1"/>
  <c r="H1061" i="1"/>
  <c r="G1061" i="1"/>
  <c r="M1060" i="1"/>
  <c r="L1060" i="1"/>
  <c r="K1060" i="1"/>
  <c r="J1060" i="1"/>
  <c r="I1060" i="1"/>
  <c r="H1060" i="1"/>
  <c r="G1060" i="1"/>
  <c r="M1059" i="1"/>
  <c r="L1059" i="1"/>
  <c r="K1059" i="1"/>
  <c r="J1059" i="1"/>
  <c r="I1059" i="1"/>
  <c r="H1059" i="1"/>
  <c r="G1059" i="1"/>
  <c r="M1058" i="1"/>
  <c r="L1058" i="1"/>
  <c r="K1058" i="1"/>
  <c r="J1058" i="1"/>
  <c r="I1058" i="1"/>
  <c r="H1058" i="1"/>
  <c r="G1058" i="1"/>
  <c r="M1057" i="1"/>
  <c r="L1057" i="1"/>
  <c r="K1057" i="1"/>
  <c r="J1057" i="1"/>
  <c r="I1057" i="1"/>
  <c r="H1057" i="1"/>
  <c r="G1057" i="1"/>
  <c r="M1056" i="1"/>
  <c r="L1056" i="1"/>
  <c r="K1056" i="1"/>
  <c r="J1056" i="1"/>
  <c r="I1056" i="1"/>
  <c r="H1056" i="1"/>
  <c r="G1056" i="1"/>
  <c r="M1055" i="1"/>
  <c r="L1055" i="1"/>
  <c r="K1055" i="1"/>
  <c r="J1055" i="1"/>
  <c r="I1055" i="1"/>
  <c r="H1055" i="1"/>
  <c r="G1055" i="1"/>
  <c r="M1054" i="1"/>
  <c r="L1054" i="1"/>
  <c r="K1054" i="1"/>
  <c r="J1054" i="1"/>
  <c r="I1054" i="1"/>
  <c r="H1054" i="1"/>
  <c r="G1054" i="1"/>
  <c r="M1053" i="1"/>
  <c r="L1053" i="1"/>
  <c r="K1053" i="1"/>
  <c r="J1053" i="1"/>
  <c r="I1053" i="1"/>
  <c r="H1053" i="1"/>
  <c r="G1053" i="1"/>
  <c r="M1052" i="1"/>
  <c r="L1052" i="1"/>
  <c r="K1052" i="1"/>
  <c r="J1052" i="1"/>
  <c r="I1052" i="1"/>
  <c r="H1052" i="1"/>
  <c r="G1052" i="1"/>
  <c r="M1051" i="1"/>
  <c r="L1051" i="1"/>
  <c r="K1051" i="1"/>
  <c r="J1051" i="1"/>
  <c r="I1051" i="1"/>
  <c r="H1051" i="1"/>
  <c r="G1051" i="1"/>
  <c r="M1050" i="1"/>
  <c r="L1050" i="1"/>
  <c r="K1050" i="1"/>
  <c r="J1050" i="1"/>
  <c r="I1050" i="1"/>
  <c r="H1050" i="1"/>
  <c r="G1050" i="1"/>
  <c r="M1049" i="1"/>
  <c r="L1049" i="1"/>
  <c r="K1049" i="1"/>
  <c r="J1049" i="1"/>
  <c r="I1049" i="1"/>
  <c r="H1049" i="1"/>
  <c r="G1049" i="1"/>
  <c r="M1048" i="1"/>
  <c r="L1048" i="1"/>
  <c r="K1048" i="1"/>
  <c r="J1048" i="1"/>
  <c r="I1048" i="1"/>
  <c r="H1048" i="1"/>
  <c r="G1048" i="1"/>
  <c r="M1047" i="1"/>
  <c r="L1047" i="1"/>
  <c r="K1047" i="1"/>
  <c r="J1047" i="1"/>
  <c r="I1047" i="1"/>
  <c r="H1047" i="1"/>
  <c r="G1047" i="1"/>
  <c r="M1046" i="1"/>
  <c r="L1046" i="1"/>
  <c r="K1046" i="1"/>
  <c r="J1046" i="1"/>
  <c r="I1046" i="1"/>
  <c r="H1046" i="1"/>
  <c r="G1046" i="1"/>
  <c r="M1045" i="1"/>
  <c r="L1045" i="1"/>
  <c r="K1045" i="1"/>
  <c r="J1045" i="1"/>
  <c r="I1045" i="1"/>
  <c r="H1045" i="1"/>
  <c r="G1045" i="1"/>
  <c r="M1044" i="1"/>
  <c r="L1044" i="1"/>
  <c r="K1044" i="1"/>
  <c r="J1044" i="1"/>
  <c r="I1044" i="1"/>
  <c r="H1044" i="1"/>
  <c r="G1044" i="1"/>
  <c r="M1043" i="1"/>
  <c r="L1043" i="1"/>
  <c r="K1043" i="1"/>
  <c r="J1043" i="1"/>
  <c r="I1043" i="1"/>
  <c r="H1043" i="1"/>
  <c r="G1043" i="1"/>
  <c r="M1042" i="1"/>
  <c r="L1042" i="1"/>
  <c r="K1042" i="1"/>
  <c r="J1042" i="1"/>
  <c r="I1042" i="1"/>
  <c r="H1042" i="1"/>
  <c r="G1042" i="1"/>
  <c r="M1041" i="1"/>
  <c r="L1041" i="1"/>
  <c r="K1041" i="1"/>
  <c r="J1041" i="1"/>
  <c r="I1041" i="1"/>
  <c r="H1041" i="1"/>
  <c r="G1041" i="1"/>
  <c r="M1040" i="1"/>
  <c r="L1040" i="1"/>
  <c r="K1040" i="1"/>
  <c r="J1040" i="1"/>
  <c r="I1040" i="1"/>
  <c r="H1040" i="1"/>
  <c r="G1040" i="1"/>
  <c r="M1039" i="1"/>
  <c r="L1039" i="1"/>
  <c r="K1039" i="1"/>
  <c r="J1039" i="1"/>
  <c r="I1039" i="1"/>
  <c r="H1039" i="1"/>
  <c r="G1039" i="1"/>
  <c r="M1038" i="1"/>
  <c r="L1038" i="1"/>
  <c r="K1038" i="1"/>
  <c r="J1038" i="1"/>
  <c r="I1038" i="1"/>
  <c r="H1038" i="1"/>
  <c r="G1038" i="1"/>
  <c r="M1037" i="1"/>
  <c r="L1037" i="1"/>
  <c r="K1037" i="1"/>
  <c r="J1037" i="1"/>
  <c r="I1037" i="1"/>
  <c r="H1037" i="1"/>
  <c r="G1037" i="1"/>
  <c r="M1036" i="1"/>
  <c r="L1036" i="1"/>
  <c r="K1036" i="1"/>
  <c r="J1036" i="1"/>
  <c r="I1036" i="1"/>
  <c r="H1036" i="1"/>
  <c r="G1036" i="1"/>
  <c r="M1035" i="1"/>
  <c r="L1035" i="1"/>
  <c r="K1035" i="1"/>
  <c r="J1035" i="1"/>
  <c r="I1035" i="1"/>
  <c r="H1035" i="1"/>
  <c r="G1035" i="1"/>
  <c r="M1034" i="1"/>
  <c r="L1034" i="1"/>
  <c r="K1034" i="1"/>
  <c r="J1034" i="1"/>
  <c r="I1034" i="1"/>
  <c r="H1034" i="1"/>
  <c r="G1034" i="1"/>
  <c r="M1033" i="1"/>
  <c r="L1033" i="1"/>
  <c r="K1033" i="1"/>
  <c r="J1033" i="1"/>
  <c r="I1033" i="1"/>
  <c r="H1033" i="1"/>
  <c r="G1033" i="1"/>
  <c r="M1032" i="1"/>
  <c r="L1032" i="1"/>
  <c r="K1032" i="1"/>
  <c r="J1032" i="1"/>
  <c r="I1032" i="1"/>
  <c r="H1032" i="1"/>
  <c r="G1032" i="1"/>
  <c r="M1031" i="1"/>
  <c r="L1031" i="1"/>
  <c r="K1031" i="1"/>
  <c r="J1031" i="1"/>
  <c r="I1031" i="1"/>
  <c r="H1031" i="1"/>
  <c r="G1031" i="1"/>
  <c r="M1030" i="1"/>
  <c r="L1030" i="1"/>
  <c r="K1030" i="1"/>
  <c r="J1030" i="1"/>
  <c r="I1030" i="1"/>
  <c r="H1030" i="1"/>
  <c r="G1030" i="1"/>
  <c r="M1029" i="1"/>
  <c r="L1029" i="1"/>
  <c r="K1029" i="1"/>
  <c r="J1029" i="1"/>
  <c r="I1029" i="1"/>
  <c r="H1029" i="1"/>
  <c r="G1029" i="1"/>
  <c r="M1028" i="1"/>
  <c r="L1028" i="1"/>
  <c r="K1028" i="1"/>
  <c r="J1028" i="1"/>
  <c r="I1028" i="1"/>
  <c r="H1028" i="1"/>
  <c r="G1028" i="1"/>
  <c r="M1027" i="1"/>
  <c r="L1027" i="1"/>
  <c r="K1027" i="1"/>
  <c r="J1027" i="1"/>
  <c r="I1027" i="1"/>
  <c r="H1027" i="1"/>
  <c r="G1027" i="1"/>
  <c r="M1026" i="1"/>
  <c r="L1026" i="1"/>
  <c r="K1026" i="1"/>
  <c r="J1026" i="1"/>
  <c r="I1026" i="1"/>
  <c r="H1026" i="1"/>
  <c r="G1026" i="1"/>
  <c r="M1025" i="1"/>
  <c r="L1025" i="1"/>
  <c r="K1025" i="1"/>
  <c r="J1025" i="1"/>
  <c r="I1025" i="1"/>
  <c r="H1025" i="1"/>
  <c r="G1025" i="1"/>
  <c r="M1024" i="1"/>
  <c r="L1024" i="1"/>
  <c r="K1024" i="1"/>
  <c r="J1024" i="1"/>
  <c r="I1024" i="1"/>
  <c r="H1024" i="1"/>
  <c r="G1024" i="1"/>
  <c r="M1023" i="1"/>
  <c r="L1023" i="1"/>
  <c r="K1023" i="1"/>
  <c r="J1023" i="1"/>
  <c r="I1023" i="1"/>
  <c r="H1023" i="1"/>
  <c r="G1023" i="1"/>
  <c r="M1022" i="1"/>
  <c r="L1022" i="1"/>
  <c r="K1022" i="1"/>
  <c r="J1022" i="1"/>
  <c r="I1022" i="1"/>
  <c r="H1022" i="1"/>
  <c r="G1022" i="1"/>
  <c r="M1021" i="1"/>
  <c r="L1021" i="1"/>
  <c r="K1021" i="1"/>
  <c r="J1021" i="1"/>
  <c r="I1021" i="1"/>
  <c r="H1021" i="1"/>
  <c r="G1021" i="1"/>
  <c r="M1020" i="1"/>
  <c r="L1020" i="1"/>
  <c r="K1020" i="1"/>
  <c r="J1020" i="1"/>
  <c r="I1020" i="1"/>
  <c r="H1020" i="1"/>
  <c r="G1020" i="1"/>
  <c r="M1019" i="1"/>
  <c r="L1019" i="1"/>
  <c r="K1019" i="1"/>
  <c r="J1019" i="1"/>
  <c r="I1019" i="1"/>
  <c r="H1019" i="1"/>
  <c r="G1019" i="1"/>
  <c r="M1018" i="1"/>
  <c r="L1018" i="1"/>
  <c r="K1018" i="1"/>
  <c r="J1018" i="1"/>
  <c r="I1018" i="1"/>
  <c r="H1018" i="1"/>
  <c r="G1018" i="1"/>
  <c r="M1017" i="1"/>
  <c r="L1017" i="1"/>
  <c r="K1017" i="1"/>
  <c r="J1017" i="1"/>
  <c r="I1017" i="1"/>
  <c r="H1017" i="1"/>
  <c r="G1017" i="1"/>
  <c r="M1016" i="1"/>
  <c r="L1016" i="1"/>
  <c r="K1016" i="1"/>
  <c r="J1016" i="1"/>
  <c r="I1016" i="1"/>
  <c r="H1016" i="1"/>
  <c r="G1016" i="1"/>
  <c r="M1015" i="1"/>
  <c r="L1015" i="1"/>
  <c r="K1015" i="1"/>
  <c r="J1015" i="1"/>
  <c r="I1015" i="1"/>
  <c r="H1015" i="1"/>
  <c r="G1015" i="1"/>
  <c r="M1014" i="1"/>
  <c r="L1014" i="1"/>
  <c r="K1014" i="1"/>
  <c r="J1014" i="1"/>
  <c r="I1014" i="1"/>
  <c r="H1014" i="1"/>
  <c r="G1014" i="1"/>
  <c r="M1013" i="1"/>
  <c r="L1013" i="1"/>
  <c r="K1013" i="1"/>
  <c r="J1013" i="1"/>
  <c r="I1013" i="1"/>
  <c r="H1013" i="1"/>
  <c r="G1013" i="1"/>
  <c r="M1012" i="1"/>
  <c r="L1012" i="1"/>
  <c r="K1012" i="1"/>
  <c r="J1012" i="1"/>
  <c r="I1012" i="1"/>
  <c r="H1012" i="1"/>
  <c r="G1012" i="1"/>
  <c r="M1011" i="1"/>
  <c r="L1011" i="1"/>
  <c r="K1011" i="1"/>
  <c r="J1011" i="1"/>
  <c r="I1011" i="1"/>
  <c r="H1011" i="1"/>
  <c r="G1011" i="1"/>
  <c r="M1010" i="1"/>
  <c r="L1010" i="1"/>
  <c r="K1010" i="1"/>
  <c r="J1010" i="1"/>
  <c r="I1010" i="1"/>
  <c r="H1010" i="1"/>
  <c r="G1010" i="1"/>
  <c r="M1009" i="1"/>
  <c r="L1009" i="1"/>
  <c r="K1009" i="1"/>
  <c r="J1009" i="1"/>
  <c r="I1009" i="1"/>
  <c r="H1009" i="1"/>
  <c r="G1009" i="1"/>
  <c r="M1008" i="1"/>
  <c r="L1008" i="1"/>
  <c r="K1008" i="1"/>
  <c r="J1008" i="1"/>
  <c r="I1008" i="1"/>
  <c r="H1008" i="1"/>
  <c r="G1008" i="1"/>
  <c r="M1007" i="1"/>
  <c r="L1007" i="1"/>
  <c r="K1007" i="1"/>
  <c r="J1007" i="1"/>
  <c r="I1007" i="1"/>
  <c r="H1007" i="1"/>
  <c r="G1007" i="1"/>
  <c r="M1006" i="1"/>
  <c r="L1006" i="1"/>
  <c r="K1006" i="1"/>
  <c r="J1006" i="1"/>
  <c r="I1006" i="1"/>
  <c r="H1006" i="1"/>
  <c r="G1006" i="1"/>
  <c r="M1005" i="1"/>
  <c r="L1005" i="1"/>
  <c r="K1005" i="1"/>
  <c r="J1005" i="1"/>
  <c r="I1005" i="1"/>
  <c r="H1005" i="1"/>
  <c r="G1005" i="1"/>
  <c r="M1004" i="1"/>
  <c r="L1004" i="1"/>
  <c r="K1004" i="1"/>
  <c r="J1004" i="1"/>
  <c r="I1004" i="1"/>
  <c r="H1004" i="1"/>
  <c r="G1004" i="1"/>
  <c r="M1003" i="1"/>
  <c r="L1003" i="1"/>
  <c r="K1003" i="1"/>
  <c r="J1003" i="1"/>
  <c r="I1003" i="1"/>
  <c r="H1003" i="1"/>
  <c r="G1003" i="1"/>
  <c r="M1002" i="1"/>
  <c r="L1002" i="1"/>
  <c r="K1002" i="1"/>
  <c r="J1002" i="1"/>
  <c r="I1002" i="1"/>
  <c r="H1002" i="1"/>
  <c r="G1002" i="1"/>
  <c r="M1001" i="1"/>
  <c r="L1001" i="1"/>
  <c r="K1001" i="1"/>
  <c r="J1001" i="1"/>
  <c r="I1001" i="1"/>
  <c r="H1001" i="1"/>
  <c r="G1001" i="1"/>
  <c r="M1000" i="1"/>
  <c r="L1000" i="1"/>
  <c r="K1000" i="1"/>
  <c r="J1000" i="1"/>
  <c r="I1000" i="1"/>
  <c r="H1000" i="1"/>
  <c r="G1000" i="1"/>
  <c r="M999" i="1"/>
  <c r="L999" i="1"/>
  <c r="K999" i="1"/>
  <c r="J999" i="1"/>
  <c r="I999" i="1"/>
  <c r="H999" i="1"/>
  <c r="G999" i="1"/>
  <c r="M998" i="1"/>
  <c r="L998" i="1"/>
  <c r="K998" i="1"/>
  <c r="J998" i="1"/>
  <c r="I998" i="1"/>
  <c r="H998" i="1"/>
  <c r="G998" i="1"/>
  <c r="M997" i="1"/>
  <c r="L997" i="1"/>
  <c r="K997" i="1"/>
  <c r="J997" i="1"/>
  <c r="I997" i="1"/>
  <c r="H997" i="1"/>
  <c r="G997" i="1"/>
  <c r="M996" i="1"/>
  <c r="L996" i="1"/>
  <c r="K996" i="1"/>
  <c r="J996" i="1"/>
  <c r="I996" i="1"/>
  <c r="H996" i="1"/>
  <c r="G996" i="1"/>
  <c r="M995" i="1"/>
  <c r="L995" i="1"/>
  <c r="K995" i="1"/>
  <c r="J995" i="1"/>
  <c r="I995" i="1"/>
  <c r="H995" i="1"/>
  <c r="G995" i="1"/>
  <c r="M994" i="1"/>
  <c r="L994" i="1"/>
  <c r="K994" i="1"/>
  <c r="J994" i="1"/>
  <c r="I994" i="1"/>
  <c r="H994" i="1"/>
  <c r="G994" i="1"/>
  <c r="M993" i="1"/>
  <c r="L993" i="1"/>
  <c r="K993" i="1"/>
  <c r="J993" i="1"/>
  <c r="I993" i="1"/>
  <c r="H993" i="1"/>
  <c r="G993" i="1"/>
  <c r="M992" i="1"/>
  <c r="L992" i="1"/>
  <c r="K992" i="1"/>
  <c r="J992" i="1"/>
  <c r="I992" i="1"/>
  <c r="H992" i="1"/>
  <c r="G992" i="1"/>
  <c r="M991" i="1"/>
  <c r="L991" i="1"/>
  <c r="K991" i="1"/>
  <c r="J991" i="1"/>
  <c r="I991" i="1"/>
  <c r="H991" i="1"/>
  <c r="G991" i="1"/>
  <c r="M990" i="1"/>
  <c r="L990" i="1"/>
  <c r="K990" i="1"/>
  <c r="J990" i="1"/>
  <c r="I990" i="1"/>
  <c r="H990" i="1"/>
  <c r="G990" i="1"/>
  <c r="M989" i="1"/>
  <c r="L989" i="1"/>
  <c r="K989" i="1"/>
  <c r="J989" i="1"/>
  <c r="I989" i="1"/>
  <c r="H989" i="1"/>
  <c r="G989" i="1"/>
  <c r="M988" i="1"/>
  <c r="L988" i="1"/>
  <c r="K988" i="1"/>
  <c r="J988" i="1"/>
  <c r="I988" i="1"/>
  <c r="H988" i="1"/>
  <c r="G988" i="1"/>
  <c r="M987" i="1"/>
  <c r="L987" i="1"/>
  <c r="K987" i="1"/>
  <c r="J987" i="1"/>
  <c r="I987" i="1"/>
  <c r="H987" i="1"/>
  <c r="G987" i="1"/>
  <c r="M986" i="1"/>
  <c r="L986" i="1"/>
  <c r="K986" i="1"/>
  <c r="J986" i="1"/>
  <c r="I986" i="1"/>
  <c r="H986" i="1"/>
  <c r="G986" i="1"/>
  <c r="M985" i="1"/>
  <c r="L985" i="1"/>
  <c r="K985" i="1"/>
  <c r="J985" i="1"/>
  <c r="I985" i="1"/>
  <c r="H985" i="1"/>
  <c r="G985" i="1"/>
  <c r="M984" i="1"/>
  <c r="L984" i="1"/>
  <c r="K984" i="1"/>
  <c r="J984" i="1"/>
  <c r="I984" i="1"/>
  <c r="H984" i="1"/>
  <c r="G984" i="1"/>
  <c r="M983" i="1"/>
  <c r="L983" i="1"/>
  <c r="K983" i="1"/>
  <c r="J983" i="1"/>
  <c r="I983" i="1"/>
  <c r="H983" i="1"/>
  <c r="G983" i="1"/>
  <c r="M982" i="1"/>
  <c r="L982" i="1"/>
  <c r="K982" i="1"/>
  <c r="J982" i="1"/>
  <c r="I982" i="1"/>
  <c r="H982" i="1"/>
  <c r="G982" i="1"/>
  <c r="M981" i="1"/>
  <c r="L981" i="1"/>
  <c r="K981" i="1"/>
  <c r="J981" i="1"/>
  <c r="I981" i="1"/>
  <c r="H981" i="1"/>
  <c r="G981" i="1"/>
  <c r="M980" i="1"/>
  <c r="L980" i="1"/>
  <c r="K980" i="1"/>
  <c r="J980" i="1"/>
  <c r="I980" i="1"/>
  <c r="H980" i="1"/>
  <c r="G980" i="1"/>
  <c r="M979" i="1"/>
  <c r="L979" i="1"/>
  <c r="K979" i="1"/>
  <c r="J979" i="1"/>
  <c r="I979" i="1"/>
  <c r="H979" i="1"/>
  <c r="G979" i="1"/>
  <c r="M978" i="1"/>
  <c r="L978" i="1"/>
  <c r="K978" i="1"/>
  <c r="J978" i="1"/>
  <c r="I978" i="1"/>
  <c r="H978" i="1"/>
  <c r="G978" i="1"/>
  <c r="M977" i="1"/>
  <c r="L977" i="1"/>
  <c r="K977" i="1"/>
  <c r="J977" i="1"/>
  <c r="I977" i="1"/>
  <c r="H977" i="1"/>
  <c r="G977" i="1"/>
  <c r="M976" i="1"/>
  <c r="L976" i="1"/>
  <c r="K976" i="1"/>
  <c r="J976" i="1"/>
  <c r="I976" i="1"/>
  <c r="H976" i="1"/>
  <c r="G976" i="1"/>
  <c r="M975" i="1"/>
  <c r="L975" i="1"/>
  <c r="K975" i="1"/>
  <c r="J975" i="1"/>
  <c r="I975" i="1"/>
  <c r="H975" i="1"/>
  <c r="G975" i="1"/>
  <c r="M974" i="1"/>
  <c r="L974" i="1"/>
  <c r="K974" i="1"/>
  <c r="J974" i="1"/>
  <c r="I974" i="1"/>
  <c r="H974" i="1"/>
  <c r="G974" i="1"/>
  <c r="M973" i="1"/>
  <c r="L973" i="1"/>
  <c r="K973" i="1"/>
  <c r="J973" i="1"/>
  <c r="I973" i="1"/>
  <c r="H973" i="1"/>
  <c r="G973" i="1"/>
  <c r="M972" i="1"/>
  <c r="L972" i="1"/>
  <c r="K972" i="1"/>
  <c r="J972" i="1"/>
  <c r="I972" i="1"/>
  <c r="H972" i="1"/>
  <c r="G972" i="1"/>
  <c r="M971" i="1"/>
  <c r="L971" i="1"/>
  <c r="K971" i="1"/>
  <c r="J971" i="1"/>
  <c r="I971" i="1"/>
  <c r="H971" i="1"/>
  <c r="G971" i="1"/>
  <c r="M970" i="1"/>
  <c r="L970" i="1"/>
  <c r="K970" i="1"/>
  <c r="J970" i="1"/>
  <c r="I970" i="1"/>
  <c r="H970" i="1"/>
  <c r="G970" i="1"/>
  <c r="M969" i="1"/>
  <c r="L969" i="1"/>
  <c r="K969" i="1"/>
  <c r="J969" i="1"/>
  <c r="I969" i="1"/>
  <c r="H969" i="1"/>
  <c r="G969" i="1"/>
  <c r="M968" i="1"/>
  <c r="L968" i="1"/>
  <c r="K968" i="1"/>
  <c r="J968" i="1"/>
  <c r="I968" i="1"/>
  <c r="H968" i="1"/>
  <c r="G968" i="1"/>
  <c r="M967" i="1"/>
  <c r="L967" i="1"/>
  <c r="K967" i="1"/>
  <c r="J967" i="1"/>
  <c r="I967" i="1"/>
  <c r="H967" i="1"/>
  <c r="G967" i="1"/>
  <c r="M966" i="1"/>
  <c r="L966" i="1"/>
  <c r="K966" i="1"/>
  <c r="J966" i="1"/>
  <c r="I966" i="1"/>
  <c r="H966" i="1"/>
  <c r="G966" i="1"/>
  <c r="M965" i="1"/>
  <c r="L965" i="1"/>
  <c r="K965" i="1"/>
  <c r="J965" i="1"/>
  <c r="I965" i="1"/>
  <c r="H965" i="1"/>
  <c r="G965" i="1"/>
  <c r="M964" i="1"/>
  <c r="L964" i="1"/>
  <c r="K964" i="1"/>
  <c r="J964" i="1"/>
  <c r="I964" i="1"/>
  <c r="H964" i="1"/>
  <c r="G964" i="1"/>
  <c r="M963" i="1"/>
  <c r="L963" i="1"/>
  <c r="K963" i="1"/>
  <c r="J963" i="1"/>
  <c r="I963" i="1"/>
  <c r="H963" i="1"/>
  <c r="G963" i="1"/>
  <c r="M962" i="1"/>
  <c r="L962" i="1"/>
  <c r="K962" i="1"/>
  <c r="J962" i="1"/>
  <c r="I962" i="1"/>
  <c r="H962" i="1"/>
  <c r="G962" i="1"/>
  <c r="M961" i="1"/>
  <c r="L961" i="1"/>
  <c r="K961" i="1"/>
  <c r="J961" i="1"/>
  <c r="I961" i="1"/>
  <c r="H961" i="1"/>
  <c r="G961" i="1"/>
  <c r="M960" i="1"/>
  <c r="L960" i="1"/>
  <c r="K960" i="1"/>
  <c r="J960" i="1"/>
  <c r="I960" i="1"/>
  <c r="H960" i="1"/>
  <c r="G960" i="1"/>
  <c r="M959" i="1"/>
  <c r="L959" i="1"/>
  <c r="K959" i="1"/>
  <c r="J959" i="1"/>
  <c r="I959" i="1"/>
  <c r="H959" i="1"/>
  <c r="G959" i="1"/>
  <c r="M958" i="1"/>
  <c r="L958" i="1"/>
  <c r="K958" i="1"/>
  <c r="J958" i="1"/>
  <c r="I958" i="1"/>
  <c r="H958" i="1"/>
  <c r="G958" i="1"/>
  <c r="M957" i="1"/>
  <c r="L957" i="1"/>
  <c r="K957" i="1"/>
  <c r="J957" i="1"/>
  <c r="I957" i="1"/>
  <c r="H957" i="1"/>
  <c r="G957" i="1"/>
  <c r="M956" i="1"/>
  <c r="L956" i="1"/>
  <c r="K956" i="1"/>
  <c r="J956" i="1"/>
  <c r="I956" i="1"/>
  <c r="H956" i="1"/>
  <c r="G956" i="1"/>
  <c r="M955" i="1"/>
  <c r="L955" i="1"/>
  <c r="K955" i="1"/>
  <c r="J955" i="1"/>
  <c r="I955" i="1"/>
  <c r="H955" i="1"/>
  <c r="G955" i="1"/>
  <c r="M954" i="1"/>
  <c r="L954" i="1"/>
  <c r="K954" i="1"/>
  <c r="J954" i="1"/>
  <c r="I954" i="1"/>
  <c r="H954" i="1"/>
  <c r="G954" i="1"/>
  <c r="M953" i="1"/>
  <c r="L953" i="1"/>
  <c r="K953" i="1"/>
  <c r="J953" i="1"/>
  <c r="I953" i="1"/>
  <c r="H953" i="1"/>
  <c r="G953" i="1"/>
  <c r="M952" i="1"/>
  <c r="L952" i="1"/>
  <c r="K952" i="1"/>
  <c r="J952" i="1"/>
  <c r="I952" i="1"/>
  <c r="H952" i="1"/>
  <c r="G952" i="1"/>
  <c r="M951" i="1"/>
  <c r="L951" i="1"/>
  <c r="K951" i="1"/>
  <c r="J951" i="1"/>
  <c r="I951" i="1"/>
  <c r="H951" i="1"/>
  <c r="G951" i="1"/>
  <c r="M950" i="1"/>
  <c r="L950" i="1"/>
  <c r="K950" i="1"/>
  <c r="J950" i="1"/>
  <c r="I950" i="1"/>
  <c r="H950" i="1"/>
  <c r="G950" i="1"/>
  <c r="M949" i="1"/>
  <c r="L949" i="1"/>
  <c r="K949" i="1"/>
  <c r="J949" i="1"/>
  <c r="I949" i="1"/>
  <c r="H949" i="1"/>
  <c r="G949" i="1"/>
  <c r="M948" i="1"/>
  <c r="L948" i="1"/>
  <c r="K948" i="1"/>
  <c r="J948" i="1"/>
  <c r="I948" i="1"/>
  <c r="H948" i="1"/>
  <c r="G948" i="1"/>
  <c r="M947" i="1"/>
  <c r="L947" i="1"/>
  <c r="K947" i="1"/>
  <c r="J947" i="1"/>
  <c r="I947" i="1"/>
  <c r="H947" i="1"/>
  <c r="G947" i="1"/>
  <c r="M946" i="1"/>
  <c r="L946" i="1"/>
  <c r="K946" i="1"/>
  <c r="J946" i="1"/>
  <c r="I946" i="1"/>
  <c r="H946" i="1"/>
  <c r="G946" i="1"/>
  <c r="M945" i="1"/>
  <c r="L945" i="1"/>
  <c r="K945" i="1"/>
  <c r="J945" i="1"/>
  <c r="I945" i="1"/>
  <c r="H945" i="1"/>
  <c r="G945" i="1"/>
  <c r="M944" i="1"/>
  <c r="L944" i="1"/>
  <c r="K944" i="1"/>
  <c r="J944" i="1"/>
  <c r="I944" i="1"/>
  <c r="H944" i="1"/>
  <c r="G944" i="1"/>
  <c r="M943" i="1"/>
  <c r="L943" i="1"/>
  <c r="K943" i="1"/>
  <c r="J943" i="1"/>
  <c r="I943" i="1"/>
  <c r="H943" i="1"/>
  <c r="G943" i="1"/>
  <c r="M942" i="1"/>
  <c r="L942" i="1"/>
  <c r="K942" i="1"/>
  <c r="J942" i="1"/>
  <c r="I942" i="1"/>
  <c r="H942" i="1"/>
  <c r="G942" i="1"/>
  <c r="M941" i="1"/>
  <c r="L941" i="1"/>
  <c r="K941" i="1"/>
  <c r="J941" i="1"/>
  <c r="I941" i="1"/>
  <c r="H941" i="1"/>
  <c r="G941" i="1"/>
  <c r="M940" i="1"/>
  <c r="L940" i="1"/>
  <c r="K940" i="1"/>
  <c r="J940" i="1"/>
  <c r="I940" i="1"/>
  <c r="H940" i="1"/>
  <c r="G940" i="1"/>
  <c r="M939" i="1"/>
  <c r="L939" i="1"/>
  <c r="K939" i="1"/>
  <c r="J939" i="1"/>
  <c r="I939" i="1"/>
  <c r="H939" i="1"/>
  <c r="G939" i="1"/>
  <c r="M938" i="1"/>
  <c r="L938" i="1"/>
  <c r="K938" i="1"/>
  <c r="J938" i="1"/>
  <c r="I938" i="1"/>
  <c r="H938" i="1"/>
  <c r="G938" i="1"/>
  <c r="M937" i="1"/>
  <c r="L937" i="1"/>
  <c r="K937" i="1"/>
  <c r="J937" i="1"/>
  <c r="I937" i="1"/>
  <c r="H937" i="1"/>
  <c r="G937" i="1"/>
  <c r="M936" i="1"/>
  <c r="L936" i="1"/>
  <c r="K936" i="1"/>
  <c r="J936" i="1"/>
  <c r="I936" i="1"/>
  <c r="H936" i="1"/>
  <c r="G936" i="1"/>
  <c r="M935" i="1"/>
  <c r="L935" i="1"/>
  <c r="K935" i="1"/>
  <c r="J935" i="1"/>
  <c r="I935" i="1"/>
  <c r="H935" i="1"/>
  <c r="G935" i="1"/>
  <c r="M934" i="1"/>
  <c r="L934" i="1"/>
  <c r="K934" i="1"/>
  <c r="J934" i="1"/>
  <c r="I934" i="1"/>
  <c r="H934" i="1"/>
  <c r="G934" i="1"/>
  <c r="M933" i="1"/>
  <c r="L933" i="1"/>
  <c r="K933" i="1"/>
  <c r="J933" i="1"/>
  <c r="I933" i="1"/>
  <c r="H933" i="1"/>
  <c r="G933" i="1"/>
  <c r="M932" i="1"/>
  <c r="L932" i="1"/>
  <c r="K932" i="1"/>
  <c r="J932" i="1"/>
  <c r="I932" i="1"/>
  <c r="H932" i="1"/>
  <c r="G932" i="1"/>
  <c r="M931" i="1"/>
  <c r="L931" i="1"/>
  <c r="K931" i="1"/>
  <c r="J931" i="1"/>
  <c r="I931" i="1"/>
  <c r="H931" i="1"/>
  <c r="G931" i="1"/>
  <c r="M930" i="1"/>
  <c r="L930" i="1"/>
  <c r="K930" i="1"/>
  <c r="J930" i="1"/>
  <c r="I930" i="1"/>
  <c r="H930" i="1"/>
  <c r="G930" i="1"/>
  <c r="M929" i="1"/>
  <c r="L929" i="1"/>
  <c r="K929" i="1"/>
  <c r="J929" i="1"/>
  <c r="I929" i="1"/>
  <c r="H929" i="1"/>
  <c r="G929" i="1"/>
  <c r="M928" i="1"/>
  <c r="L928" i="1"/>
  <c r="K928" i="1"/>
  <c r="J928" i="1"/>
  <c r="I928" i="1"/>
  <c r="H928" i="1"/>
  <c r="G928" i="1"/>
  <c r="M927" i="1"/>
  <c r="L927" i="1"/>
  <c r="K927" i="1"/>
  <c r="J927" i="1"/>
  <c r="I927" i="1"/>
  <c r="H927" i="1"/>
  <c r="G927" i="1"/>
  <c r="M926" i="1"/>
  <c r="L926" i="1"/>
  <c r="K926" i="1"/>
  <c r="J926" i="1"/>
  <c r="I926" i="1"/>
  <c r="H926" i="1"/>
  <c r="G926" i="1"/>
  <c r="M925" i="1"/>
  <c r="L925" i="1"/>
  <c r="K925" i="1"/>
  <c r="J925" i="1"/>
  <c r="I925" i="1"/>
  <c r="H925" i="1"/>
  <c r="G925" i="1"/>
  <c r="M924" i="1"/>
  <c r="L924" i="1"/>
  <c r="K924" i="1"/>
  <c r="J924" i="1"/>
  <c r="I924" i="1"/>
  <c r="H924" i="1"/>
  <c r="G924" i="1"/>
  <c r="M923" i="1"/>
  <c r="L923" i="1"/>
  <c r="K923" i="1"/>
  <c r="J923" i="1"/>
  <c r="I923" i="1"/>
  <c r="H923" i="1"/>
  <c r="G923" i="1"/>
  <c r="M922" i="1"/>
  <c r="L922" i="1"/>
  <c r="K922" i="1"/>
  <c r="J922" i="1"/>
  <c r="I922" i="1"/>
  <c r="H922" i="1"/>
  <c r="G922" i="1"/>
  <c r="M921" i="1"/>
  <c r="L921" i="1"/>
  <c r="K921" i="1"/>
  <c r="J921" i="1"/>
  <c r="I921" i="1"/>
  <c r="H921" i="1"/>
  <c r="G921" i="1"/>
  <c r="M920" i="1"/>
  <c r="L920" i="1"/>
  <c r="K920" i="1"/>
  <c r="J920" i="1"/>
  <c r="I920" i="1"/>
  <c r="H920" i="1"/>
  <c r="G920" i="1"/>
  <c r="M919" i="1"/>
  <c r="L919" i="1"/>
  <c r="K919" i="1"/>
  <c r="J919" i="1"/>
  <c r="I919" i="1"/>
  <c r="H919" i="1"/>
  <c r="G919" i="1"/>
  <c r="M918" i="1"/>
  <c r="L918" i="1"/>
  <c r="K918" i="1"/>
  <c r="J918" i="1"/>
  <c r="I918" i="1"/>
  <c r="H918" i="1"/>
  <c r="G918" i="1"/>
  <c r="M917" i="1"/>
  <c r="L917" i="1"/>
  <c r="K917" i="1"/>
  <c r="J917" i="1"/>
  <c r="I917" i="1"/>
  <c r="H917" i="1"/>
  <c r="G917" i="1"/>
  <c r="M916" i="1"/>
  <c r="L916" i="1"/>
  <c r="K916" i="1"/>
  <c r="J916" i="1"/>
  <c r="I916" i="1"/>
  <c r="H916" i="1"/>
  <c r="G916" i="1"/>
  <c r="M915" i="1"/>
  <c r="L915" i="1"/>
  <c r="K915" i="1"/>
  <c r="J915" i="1"/>
  <c r="I915" i="1"/>
  <c r="H915" i="1"/>
  <c r="G915" i="1"/>
  <c r="M914" i="1"/>
  <c r="L914" i="1"/>
  <c r="K914" i="1"/>
  <c r="J914" i="1"/>
  <c r="I914" i="1"/>
  <c r="H914" i="1"/>
  <c r="G914" i="1"/>
  <c r="M913" i="1"/>
  <c r="L913" i="1"/>
  <c r="K913" i="1"/>
  <c r="J913" i="1"/>
  <c r="I913" i="1"/>
  <c r="H913" i="1"/>
  <c r="G913" i="1"/>
  <c r="M912" i="1"/>
  <c r="L912" i="1"/>
  <c r="K912" i="1"/>
  <c r="J912" i="1"/>
  <c r="I912" i="1"/>
  <c r="H912" i="1"/>
  <c r="G912" i="1"/>
  <c r="M911" i="1"/>
  <c r="L911" i="1"/>
  <c r="K911" i="1"/>
  <c r="J911" i="1"/>
  <c r="I911" i="1"/>
  <c r="H911" i="1"/>
  <c r="G911" i="1"/>
  <c r="M910" i="1"/>
  <c r="L910" i="1"/>
  <c r="K910" i="1"/>
  <c r="J910" i="1"/>
  <c r="I910" i="1"/>
  <c r="H910" i="1"/>
  <c r="G910" i="1"/>
  <c r="M909" i="1"/>
  <c r="L909" i="1"/>
  <c r="K909" i="1"/>
  <c r="J909" i="1"/>
  <c r="I909" i="1"/>
  <c r="H909" i="1"/>
  <c r="G909" i="1"/>
  <c r="M908" i="1"/>
  <c r="L908" i="1"/>
  <c r="K908" i="1"/>
  <c r="J908" i="1"/>
  <c r="I908" i="1"/>
  <c r="H908" i="1"/>
  <c r="G908" i="1"/>
  <c r="M907" i="1"/>
  <c r="L907" i="1"/>
  <c r="K907" i="1"/>
  <c r="J907" i="1"/>
  <c r="I907" i="1"/>
  <c r="H907" i="1"/>
  <c r="G907" i="1"/>
  <c r="M906" i="1"/>
  <c r="L906" i="1"/>
  <c r="K906" i="1"/>
  <c r="J906" i="1"/>
  <c r="I906" i="1"/>
  <c r="H906" i="1"/>
  <c r="G906" i="1"/>
  <c r="M905" i="1"/>
  <c r="L905" i="1"/>
  <c r="K905" i="1"/>
  <c r="J905" i="1"/>
  <c r="I905" i="1"/>
  <c r="H905" i="1"/>
  <c r="G905" i="1"/>
  <c r="M904" i="1"/>
  <c r="L904" i="1"/>
  <c r="K904" i="1"/>
  <c r="J904" i="1"/>
  <c r="I904" i="1"/>
  <c r="H904" i="1"/>
  <c r="G904" i="1"/>
  <c r="M903" i="1"/>
  <c r="L903" i="1"/>
  <c r="K903" i="1"/>
  <c r="J903" i="1"/>
  <c r="I903" i="1"/>
  <c r="H903" i="1"/>
  <c r="G903" i="1"/>
  <c r="M902" i="1"/>
  <c r="L902" i="1"/>
  <c r="K902" i="1"/>
  <c r="J902" i="1"/>
  <c r="I902" i="1"/>
  <c r="H902" i="1"/>
  <c r="G902" i="1"/>
  <c r="M901" i="1"/>
  <c r="L901" i="1"/>
  <c r="K901" i="1"/>
  <c r="J901" i="1"/>
  <c r="I901" i="1"/>
  <c r="H901" i="1"/>
  <c r="G901" i="1"/>
  <c r="M900" i="1"/>
  <c r="L900" i="1"/>
  <c r="K900" i="1"/>
  <c r="J900" i="1"/>
  <c r="I900" i="1"/>
  <c r="H900" i="1"/>
  <c r="G900" i="1"/>
  <c r="M899" i="1"/>
  <c r="L899" i="1"/>
  <c r="K899" i="1"/>
  <c r="J899" i="1"/>
  <c r="I899" i="1"/>
  <c r="H899" i="1"/>
  <c r="G899" i="1"/>
  <c r="M898" i="1"/>
  <c r="L898" i="1"/>
  <c r="K898" i="1"/>
  <c r="J898" i="1"/>
  <c r="I898" i="1"/>
  <c r="H898" i="1"/>
  <c r="G898" i="1"/>
  <c r="M897" i="1"/>
  <c r="L897" i="1"/>
  <c r="K897" i="1"/>
  <c r="J897" i="1"/>
  <c r="I897" i="1"/>
  <c r="H897" i="1"/>
  <c r="G897" i="1"/>
  <c r="M896" i="1"/>
  <c r="L896" i="1"/>
  <c r="K896" i="1"/>
  <c r="J896" i="1"/>
  <c r="I896" i="1"/>
  <c r="H896" i="1"/>
  <c r="G896" i="1"/>
  <c r="M895" i="1"/>
  <c r="L895" i="1"/>
  <c r="K895" i="1"/>
  <c r="J895" i="1"/>
  <c r="I895" i="1"/>
  <c r="H895" i="1"/>
  <c r="G895" i="1"/>
  <c r="M894" i="1"/>
  <c r="L894" i="1"/>
  <c r="K894" i="1"/>
  <c r="J894" i="1"/>
  <c r="I894" i="1"/>
  <c r="H894" i="1"/>
  <c r="G894" i="1"/>
  <c r="M893" i="1"/>
  <c r="L893" i="1"/>
  <c r="K893" i="1"/>
  <c r="J893" i="1"/>
  <c r="I893" i="1"/>
  <c r="H893" i="1"/>
  <c r="G893" i="1"/>
  <c r="M892" i="1"/>
  <c r="L892" i="1"/>
  <c r="K892" i="1"/>
  <c r="J892" i="1"/>
  <c r="I892" i="1"/>
  <c r="H892" i="1"/>
  <c r="G892" i="1"/>
  <c r="M891" i="1"/>
  <c r="L891" i="1"/>
  <c r="K891" i="1"/>
  <c r="J891" i="1"/>
  <c r="I891" i="1"/>
  <c r="H891" i="1"/>
  <c r="G891" i="1"/>
  <c r="M890" i="1"/>
  <c r="L890" i="1"/>
  <c r="K890" i="1"/>
  <c r="J890" i="1"/>
  <c r="I890" i="1"/>
  <c r="H890" i="1"/>
  <c r="G890" i="1"/>
  <c r="M889" i="1"/>
  <c r="L889" i="1"/>
  <c r="K889" i="1"/>
  <c r="J889" i="1"/>
  <c r="I889" i="1"/>
  <c r="H889" i="1"/>
  <c r="G889" i="1"/>
  <c r="M888" i="1"/>
  <c r="L888" i="1"/>
  <c r="K888" i="1"/>
  <c r="J888" i="1"/>
  <c r="I888" i="1"/>
  <c r="H888" i="1"/>
  <c r="G888" i="1"/>
  <c r="M887" i="1"/>
  <c r="L887" i="1"/>
  <c r="K887" i="1"/>
  <c r="J887" i="1"/>
  <c r="I887" i="1"/>
  <c r="H887" i="1"/>
  <c r="G887" i="1"/>
  <c r="M886" i="1"/>
  <c r="L886" i="1"/>
  <c r="K886" i="1"/>
  <c r="J886" i="1"/>
  <c r="I886" i="1"/>
  <c r="H886" i="1"/>
  <c r="G886" i="1"/>
  <c r="M885" i="1"/>
  <c r="L885" i="1"/>
  <c r="K885" i="1"/>
  <c r="J885" i="1"/>
  <c r="I885" i="1"/>
  <c r="H885" i="1"/>
  <c r="G885" i="1"/>
  <c r="M884" i="1"/>
  <c r="L884" i="1"/>
  <c r="K884" i="1"/>
  <c r="J884" i="1"/>
  <c r="I884" i="1"/>
  <c r="H884" i="1"/>
  <c r="G884" i="1"/>
  <c r="M883" i="1"/>
  <c r="L883" i="1"/>
  <c r="K883" i="1"/>
  <c r="J883" i="1"/>
  <c r="I883" i="1"/>
  <c r="H883" i="1"/>
  <c r="G883" i="1"/>
  <c r="M882" i="1"/>
  <c r="L882" i="1"/>
  <c r="K882" i="1"/>
  <c r="J882" i="1"/>
  <c r="I882" i="1"/>
  <c r="H882" i="1"/>
  <c r="G882" i="1"/>
  <c r="M881" i="1"/>
  <c r="L881" i="1"/>
  <c r="K881" i="1"/>
  <c r="J881" i="1"/>
  <c r="I881" i="1"/>
  <c r="H881" i="1"/>
  <c r="G881" i="1"/>
  <c r="M880" i="1"/>
  <c r="L880" i="1"/>
  <c r="K880" i="1"/>
  <c r="J880" i="1"/>
  <c r="I880" i="1"/>
  <c r="H880" i="1"/>
  <c r="G880" i="1"/>
  <c r="M879" i="1"/>
  <c r="L879" i="1"/>
  <c r="K879" i="1"/>
  <c r="J879" i="1"/>
  <c r="I879" i="1"/>
  <c r="H879" i="1"/>
  <c r="G879" i="1"/>
  <c r="M878" i="1"/>
  <c r="L878" i="1"/>
  <c r="K878" i="1"/>
  <c r="J878" i="1"/>
  <c r="I878" i="1"/>
  <c r="H878" i="1"/>
  <c r="G878" i="1"/>
  <c r="M877" i="1"/>
  <c r="L877" i="1"/>
  <c r="K877" i="1"/>
  <c r="J877" i="1"/>
  <c r="I877" i="1"/>
  <c r="H877" i="1"/>
  <c r="G877" i="1"/>
  <c r="M876" i="1"/>
  <c r="L876" i="1"/>
  <c r="K876" i="1"/>
  <c r="J876" i="1"/>
  <c r="I876" i="1"/>
  <c r="H876" i="1"/>
  <c r="G876" i="1"/>
  <c r="M875" i="1"/>
  <c r="L875" i="1"/>
  <c r="K875" i="1"/>
  <c r="J875" i="1"/>
  <c r="I875" i="1"/>
  <c r="H875" i="1"/>
  <c r="G875" i="1"/>
  <c r="M874" i="1"/>
  <c r="L874" i="1"/>
  <c r="K874" i="1"/>
  <c r="J874" i="1"/>
  <c r="I874" i="1"/>
  <c r="H874" i="1"/>
  <c r="G874" i="1"/>
  <c r="M873" i="1"/>
  <c r="L873" i="1"/>
  <c r="K873" i="1"/>
  <c r="J873" i="1"/>
  <c r="I873" i="1"/>
  <c r="H873" i="1"/>
  <c r="G873" i="1"/>
  <c r="M872" i="1"/>
  <c r="L872" i="1"/>
  <c r="K872" i="1"/>
  <c r="J872" i="1"/>
  <c r="I872" i="1"/>
  <c r="H872" i="1"/>
  <c r="G872" i="1"/>
  <c r="M871" i="1"/>
  <c r="L871" i="1"/>
  <c r="K871" i="1"/>
  <c r="J871" i="1"/>
  <c r="I871" i="1"/>
  <c r="H871" i="1"/>
  <c r="G871" i="1"/>
  <c r="M870" i="1"/>
  <c r="L870" i="1"/>
  <c r="K870" i="1"/>
  <c r="J870" i="1"/>
  <c r="I870" i="1"/>
  <c r="H870" i="1"/>
  <c r="G870" i="1"/>
  <c r="M869" i="1"/>
  <c r="L869" i="1"/>
  <c r="K869" i="1"/>
  <c r="J869" i="1"/>
  <c r="I869" i="1"/>
  <c r="H869" i="1"/>
  <c r="G869" i="1"/>
  <c r="M868" i="1"/>
  <c r="L868" i="1"/>
  <c r="K868" i="1"/>
  <c r="J868" i="1"/>
  <c r="I868" i="1"/>
  <c r="H868" i="1"/>
  <c r="G868" i="1"/>
  <c r="M867" i="1"/>
  <c r="L867" i="1"/>
  <c r="K867" i="1"/>
  <c r="J867" i="1"/>
  <c r="I867" i="1"/>
  <c r="H867" i="1"/>
  <c r="G867" i="1"/>
  <c r="M866" i="1"/>
  <c r="L866" i="1"/>
  <c r="K866" i="1"/>
  <c r="J866" i="1"/>
  <c r="I866" i="1"/>
  <c r="H866" i="1"/>
  <c r="G866" i="1"/>
  <c r="M865" i="1"/>
  <c r="L865" i="1"/>
  <c r="K865" i="1"/>
  <c r="J865" i="1"/>
  <c r="I865" i="1"/>
  <c r="H865" i="1"/>
  <c r="G865" i="1"/>
  <c r="M864" i="1"/>
  <c r="L864" i="1"/>
  <c r="K864" i="1"/>
  <c r="J864" i="1"/>
  <c r="I864" i="1"/>
  <c r="H864" i="1"/>
  <c r="G864" i="1"/>
  <c r="M863" i="1"/>
  <c r="L863" i="1"/>
  <c r="K863" i="1"/>
  <c r="J863" i="1"/>
  <c r="I863" i="1"/>
  <c r="H863" i="1"/>
  <c r="G863" i="1"/>
  <c r="M862" i="1"/>
  <c r="L862" i="1"/>
  <c r="K862" i="1"/>
  <c r="J862" i="1"/>
  <c r="I862" i="1"/>
  <c r="H862" i="1"/>
  <c r="G862" i="1"/>
  <c r="M861" i="1"/>
  <c r="L861" i="1"/>
  <c r="K861" i="1"/>
  <c r="J861" i="1"/>
  <c r="I861" i="1"/>
  <c r="H861" i="1"/>
  <c r="G861" i="1"/>
  <c r="M860" i="1"/>
  <c r="L860" i="1"/>
  <c r="K860" i="1"/>
  <c r="J860" i="1"/>
  <c r="I860" i="1"/>
  <c r="H860" i="1"/>
  <c r="G860" i="1"/>
  <c r="M859" i="1"/>
  <c r="L859" i="1"/>
  <c r="K859" i="1"/>
  <c r="J859" i="1"/>
  <c r="I859" i="1"/>
  <c r="H859" i="1"/>
  <c r="G859" i="1"/>
  <c r="M858" i="1"/>
  <c r="L858" i="1"/>
  <c r="K858" i="1"/>
  <c r="J858" i="1"/>
  <c r="I858" i="1"/>
  <c r="H858" i="1"/>
  <c r="G858" i="1"/>
  <c r="M857" i="1"/>
  <c r="L857" i="1"/>
  <c r="K857" i="1"/>
  <c r="J857" i="1"/>
  <c r="I857" i="1"/>
  <c r="H857" i="1"/>
  <c r="G857" i="1"/>
  <c r="M856" i="1"/>
  <c r="L856" i="1"/>
  <c r="K856" i="1"/>
  <c r="J856" i="1"/>
  <c r="I856" i="1"/>
  <c r="H856" i="1"/>
  <c r="G856" i="1"/>
  <c r="M855" i="1"/>
  <c r="L855" i="1"/>
  <c r="K855" i="1"/>
  <c r="J855" i="1"/>
  <c r="I855" i="1"/>
  <c r="H855" i="1"/>
  <c r="G855" i="1"/>
  <c r="M854" i="1"/>
  <c r="L854" i="1"/>
  <c r="K854" i="1"/>
  <c r="J854" i="1"/>
  <c r="I854" i="1"/>
  <c r="H854" i="1"/>
  <c r="G854" i="1"/>
  <c r="M853" i="1"/>
  <c r="L853" i="1"/>
  <c r="K853" i="1"/>
  <c r="J853" i="1"/>
  <c r="I853" i="1"/>
  <c r="H853" i="1"/>
  <c r="G853" i="1"/>
  <c r="M852" i="1"/>
  <c r="L852" i="1"/>
  <c r="K852" i="1"/>
  <c r="J852" i="1"/>
  <c r="I852" i="1"/>
  <c r="H852" i="1"/>
  <c r="G852" i="1"/>
  <c r="M851" i="1"/>
  <c r="L851" i="1"/>
  <c r="K851" i="1"/>
  <c r="J851" i="1"/>
  <c r="I851" i="1"/>
  <c r="H851" i="1"/>
  <c r="G851" i="1"/>
  <c r="M850" i="1"/>
  <c r="L850" i="1"/>
  <c r="K850" i="1"/>
  <c r="J850" i="1"/>
  <c r="I850" i="1"/>
  <c r="H850" i="1"/>
  <c r="G850" i="1"/>
  <c r="M849" i="1"/>
  <c r="L849" i="1"/>
  <c r="K849" i="1"/>
  <c r="J849" i="1"/>
  <c r="I849" i="1"/>
  <c r="H849" i="1"/>
  <c r="G849" i="1"/>
  <c r="M848" i="1"/>
  <c r="L848" i="1"/>
  <c r="K848" i="1"/>
  <c r="J848" i="1"/>
  <c r="I848" i="1"/>
  <c r="H848" i="1"/>
  <c r="G848" i="1"/>
  <c r="M847" i="1"/>
  <c r="L847" i="1"/>
  <c r="K847" i="1"/>
  <c r="J847" i="1"/>
  <c r="I847" i="1"/>
  <c r="H847" i="1"/>
  <c r="G847" i="1"/>
  <c r="M846" i="1"/>
  <c r="L846" i="1"/>
  <c r="K846" i="1"/>
  <c r="J846" i="1"/>
  <c r="I846" i="1"/>
  <c r="H846" i="1"/>
  <c r="G846" i="1"/>
  <c r="M845" i="1"/>
  <c r="L845" i="1"/>
  <c r="K845" i="1"/>
  <c r="J845" i="1"/>
  <c r="I845" i="1"/>
  <c r="H845" i="1"/>
  <c r="G845" i="1"/>
  <c r="M844" i="1"/>
  <c r="L844" i="1"/>
  <c r="K844" i="1"/>
  <c r="J844" i="1"/>
  <c r="I844" i="1"/>
  <c r="H844" i="1"/>
  <c r="G844" i="1"/>
  <c r="M843" i="1"/>
  <c r="L843" i="1"/>
  <c r="K843" i="1"/>
  <c r="J843" i="1"/>
  <c r="I843" i="1"/>
  <c r="H843" i="1"/>
  <c r="G843" i="1"/>
  <c r="M842" i="1"/>
  <c r="L842" i="1"/>
  <c r="K842" i="1"/>
  <c r="J842" i="1"/>
  <c r="I842" i="1"/>
  <c r="H842" i="1"/>
  <c r="G842" i="1"/>
  <c r="M841" i="1"/>
  <c r="L841" i="1"/>
  <c r="K841" i="1"/>
  <c r="J841" i="1"/>
  <c r="I841" i="1"/>
  <c r="H841" i="1"/>
  <c r="G841" i="1"/>
  <c r="M840" i="1"/>
  <c r="L840" i="1"/>
  <c r="K840" i="1"/>
  <c r="J840" i="1"/>
  <c r="I840" i="1"/>
  <c r="H840" i="1"/>
  <c r="G840" i="1"/>
  <c r="M839" i="1"/>
  <c r="L839" i="1"/>
  <c r="K839" i="1"/>
  <c r="J839" i="1"/>
  <c r="I839" i="1"/>
  <c r="H839" i="1"/>
  <c r="G839" i="1"/>
  <c r="M838" i="1"/>
  <c r="L838" i="1"/>
  <c r="K838" i="1"/>
  <c r="J838" i="1"/>
  <c r="I838" i="1"/>
  <c r="H838" i="1"/>
  <c r="G838" i="1"/>
  <c r="M837" i="1"/>
  <c r="L837" i="1"/>
  <c r="K837" i="1"/>
  <c r="J837" i="1"/>
  <c r="I837" i="1"/>
  <c r="H837" i="1"/>
  <c r="G837" i="1"/>
  <c r="M836" i="1"/>
  <c r="L836" i="1"/>
  <c r="K836" i="1"/>
  <c r="J836" i="1"/>
  <c r="I836" i="1"/>
  <c r="H836" i="1"/>
  <c r="G836" i="1"/>
  <c r="M835" i="1"/>
  <c r="L835" i="1"/>
  <c r="K835" i="1"/>
  <c r="J835" i="1"/>
  <c r="I835" i="1"/>
  <c r="H835" i="1"/>
  <c r="G835" i="1"/>
  <c r="M834" i="1"/>
  <c r="L834" i="1"/>
  <c r="K834" i="1"/>
  <c r="J834" i="1"/>
  <c r="I834" i="1"/>
  <c r="H834" i="1"/>
  <c r="G834" i="1"/>
  <c r="M833" i="1"/>
  <c r="L833" i="1"/>
  <c r="K833" i="1"/>
  <c r="J833" i="1"/>
  <c r="I833" i="1"/>
  <c r="H833" i="1"/>
  <c r="G833" i="1"/>
  <c r="M832" i="1"/>
  <c r="L832" i="1"/>
  <c r="K832" i="1"/>
  <c r="J832" i="1"/>
  <c r="I832" i="1"/>
  <c r="H832" i="1"/>
  <c r="G832" i="1"/>
  <c r="M831" i="1"/>
  <c r="L831" i="1"/>
  <c r="K831" i="1"/>
  <c r="J831" i="1"/>
  <c r="I831" i="1"/>
  <c r="H831" i="1"/>
  <c r="G831" i="1"/>
  <c r="M830" i="1"/>
  <c r="L830" i="1"/>
  <c r="K830" i="1"/>
  <c r="J830" i="1"/>
  <c r="I830" i="1"/>
  <c r="H830" i="1"/>
  <c r="G830" i="1"/>
  <c r="M829" i="1"/>
  <c r="L829" i="1"/>
  <c r="K829" i="1"/>
  <c r="J829" i="1"/>
  <c r="I829" i="1"/>
  <c r="H829" i="1"/>
  <c r="G829" i="1"/>
  <c r="M828" i="1"/>
  <c r="L828" i="1"/>
  <c r="K828" i="1"/>
  <c r="J828" i="1"/>
  <c r="I828" i="1"/>
  <c r="H828" i="1"/>
  <c r="G828" i="1"/>
  <c r="M827" i="1"/>
  <c r="L827" i="1"/>
  <c r="K827" i="1"/>
  <c r="J827" i="1"/>
  <c r="I827" i="1"/>
  <c r="H827" i="1"/>
  <c r="G827" i="1"/>
  <c r="M826" i="1"/>
  <c r="L826" i="1"/>
  <c r="K826" i="1"/>
  <c r="J826" i="1"/>
  <c r="I826" i="1"/>
  <c r="H826" i="1"/>
  <c r="G826" i="1"/>
  <c r="M825" i="1"/>
  <c r="L825" i="1"/>
  <c r="K825" i="1"/>
  <c r="J825" i="1"/>
  <c r="I825" i="1"/>
  <c r="H825" i="1"/>
  <c r="G825" i="1"/>
  <c r="M824" i="1"/>
  <c r="L824" i="1"/>
  <c r="K824" i="1"/>
  <c r="J824" i="1"/>
  <c r="I824" i="1"/>
  <c r="H824" i="1"/>
  <c r="G824" i="1"/>
  <c r="M823" i="1"/>
  <c r="L823" i="1"/>
  <c r="K823" i="1"/>
  <c r="J823" i="1"/>
  <c r="I823" i="1"/>
  <c r="H823" i="1"/>
  <c r="G823" i="1"/>
  <c r="M822" i="1"/>
  <c r="L822" i="1"/>
  <c r="K822" i="1"/>
  <c r="J822" i="1"/>
  <c r="I822" i="1"/>
  <c r="H822" i="1"/>
  <c r="G822" i="1"/>
  <c r="M821" i="1"/>
  <c r="L821" i="1"/>
  <c r="K821" i="1"/>
  <c r="J821" i="1"/>
  <c r="I821" i="1"/>
  <c r="H821" i="1"/>
  <c r="G821" i="1"/>
  <c r="M820" i="1"/>
  <c r="L820" i="1"/>
  <c r="K820" i="1"/>
  <c r="J820" i="1"/>
  <c r="I820" i="1"/>
  <c r="H820" i="1"/>
  <c r="G820" i="1"/>
  <c r="M819" i="1"/>
  <c r="L819" i="1"/>
  <c r="K819" i="1"/>
  <c r="J819" i="1"/>
  <c r="I819" i="1"/>
  <c r="H819" i="1"/>
  <c r="G819" i="1"/>
  <c r="M818" i="1"/>
  <c r="L818" i="1"/>
  <c r="K818" i="1"/>
  <c r="J818" i="1"/>
  <c r="I818" i="1"/>
  <c r="H818" i="1"/>
  <c r="G818" i="1"/>
  <c r="M817" i="1"/>
  <c r="L817" i="1"/>
  <c r="K817" i="1"/>
  <c r="J817" i="1"/>
  <c r="I817" i="1"/>
  <c r="H817" i="1"/>
  <c r="G817" i="1"/>
  <c r="M816" i="1"/>
  <c r="L816" i="1"/>
  <c r="K816" i="1"/>
  <c r="J816" i="1"/>
  <c r="I816" i="1"/>
  <c r="H816" i="1"/>
  <c r="G816" i="1"/>
  <c r="M815" i="1"/>
  <c r="L815" i="1"/>
  <c r="K815" i="1"/>
  <c r="J815" i="1"/>
  <c r="I815" i="1"/>
  <c r="H815" i="1"/>
  <c r="G815" i="1"/>
  <c r="M814" i="1"/>
  <c r="L814" i="1"/>
  <c r="K814" i="1"/>
  <c r="J814" i="1"/>
  <c r="I814" i="1"/>
  <c r="H814" i="1"/>
  <c r="G814" i="1"/>
  <c r="M813" i="1"/>
  <c r="L813" i="1"/>
  <c r="K813" i="1"/>
  <c r="J813" i="1"/>
  <c r="I813" i="1"/>
  <c r="H813" i="1"/>
  <c r="G813" i="1"/>
  <c r="M812" i="1"/>
  <c r="L812" i="1"/>
  <c r="K812" i="1"/>
  <c r="J812" i="1"/>
  <c r="I812" i="1"/>
  <c r="H812" i="1"/>
  <c r="G812" i="1"/>
  <c r="M811" i="1"/>
  <c r="L811" i="1"/>
  <c r="K811" i="1"/>
  <c r="J811" i="1"/>
  <c r="I811" i="1"/>
  <c r="H811" i="1"/>
  <c r="G811" i="1"/>
  <c r="M810" i="1"/>
  <c r="L810" i="1"/>
  <c r="K810" i="1"/>
  <c r="J810" i="1"/>
  <c r="I810" i="1"/>
  <c r="H810" i="1"/>
  <c r="G810" i="1"/>
  <c r="M809" i="1"/>
  <c r="L809" i="1"/>
  <c r="K809" i="1"/>
  <c r="J809" i="1"/>
  <c r="I809" i="1"/>
  <c r="H809" i="1"/>
  <c r="G809" i="1"/>
  <c r="M808" i="1"/>
  <c r="L808" i="1"/>
  <c r="K808" i="1"/>
  <c r="J808" i="1"/>
  <c r="I808" i="1"/>
  <c r="H808" i="1"/>
  <c r="G808" i="1"/>
  <c r="M807" i="1"/>
  <c r="L807" i="1"/>
  <c r="K807" i="1"/>
  <c r="J807" i="1"/>
  <c r="I807" i="1"/>
  <c r="H807" i="1"/>
  <c r="G807" i="1"/>
  <c r="M806" i="1"/>
  <c r="L806" i="1"/>
  <c r="K806" i="1"/>
  <c r="J806" i="1"/>
  <c r="I806" i="1"/>
  <c r="H806" i="1"/>
  <c r="G806" i="1"/>
  <c r="M805" i="1"/>
  <c r="L805" i="1"/>
  <c r="K805" i="1"/>
  <c r="J805" i="1"/>
  <c r="I805" i="1"/>
  <c r="H805" i="1"/>
  <c r="G805" i="1"/>
  <c r="M804" i="1"/>
  <c r="L804" i="1"/>
  <c r="K804" i="1"/>
  <c r="J804" i="1"/>
  <c r="I804" i="1"/>
  <c r="H804" i="1"/>
  <c r="G804" i="1"/>
  <c r="M803" i="1"/>
  <c r="L803" i="1"/>
  <c r="K803" i="1"/>
  <c r="J803" i="1"/>
  <c r="I803" i="1"/>
  <c r="H803" i="1"/>
  <c r="G803" i="1"/>
  <c r="M802" i="1"/>
  <c r="L802" i="1"/>
  <c r="K802" i="1"/>
  <c r="J802" i="1"/>
  <c r="I802" i="1"/>
  <c r="H802" i="1"/>
  <c r="G802" i="1"/>
  <c r="M801" i="1"/>
  <c r="L801" i="1"/>
  <c r="K801" i="1"/>
  <c r="J801" i="1"/>
  <c r="I801" i="1"/>
  <c r="H801" i="1"/>
  <c r="G801" i="1"/>
  <c r="M800" i="1"/>
  <c r="L800" i="1"/>
  <c r="K800" i="1"/>
  <c r="J800" i="1"/>
  <c r="I800" i="1"/>
  <c r="H800" i="1"/>
  <c r="G800" i="1"/>
  <c r="M799" i="1"/>
  <c r="L799" i="1"/>
  <c r="K799" i="1"/>
  <c r="J799" i="1"/>
  <c r="I799" i="1"/>
  <c r="H799" i="1"/>
  <c r="G799" i="1"/>
  <c r="M798" i="1"/>
  <c r="L798" i="1"/>
  <c r="K798" i="1"/>
  <c r="J798" i="1"/>
  <c r="I798" i="1"/>
  <c r="H798" i="1"/>
  <c r="G798" i="1"/>
  <c r="M797" i="1"/>
  <c r="L797" i="1"/>
  <c r="K797" i="1"/>
  <c r="J797" i="1"/>
  <c r="I797" i="1"/>
  <c r="H797" i="1"/>
  <c r="G797" i="1"/>
  <c r="M796" i="1"/>
  <c r="L796" i="1"/>
  <c r="K796" i="1"/>
  <c r="J796" i="1"/>
  <c r="I796" i="1"/>
  <c r="H796" i="1"/>
  <c r="G796" i="1"/>
  <c r="M795" i="1"/>
  <c r="L795" i="1"/>
  <c r="K795" i="1"/>
  <c r="J795" i="1"/>
  <c r="I795" i="1"/>
  <c r="H795" i="1"/>
  <c r="G795" i="1"/>
  <c r="M794" i="1"/>
  <c r="L794" i="1"/>
  <c r="K794" i="1"/>
  <c r="J794" i="1"/>
  <c r="I794" i="1"/>
  <c r="H794" i="1"/>
  <c r="G794" i="1"/>
  <c r="M793" i="1"/>
  <c r="L793" i="1"/>
  <c r="K793" i="1"/>
  <c r="J793" i="1"/>
  <c r="I793" i="1"/>
  <c r="H793" i="1"/>
  <c r="G793" i="1"/>
  <c r="M792" i="1"/>
  <c r="L792" i="1"/>
  <c r="K792" i="1"/>
  <c r="J792" i="1"/>
  <c r="I792" i="1"/>
  <c r="H792" i="1"/>
  <c r="G792" i="1"/>
  <c r="M791" i="1"/>
  <c r="L791" i="1"/>
  <c r="K791" i="1"/>
  <c r="J791" i="1"/>
  <c r="I791" i="1"/>
  <c r="H791" i="1"/>
  <c r="G791" i="1"/>
  <c r="M790" i="1"/>
  <c r="L790" i="1"/>
  <c r="K790" i="1"/>
  <c r="J790" i="1"/>
  <c r="I790" i="1"/>
  <c r="H790" i="1"/>
  <c r="G790" i="1"/>
  <c r="M789" i="1"/>
  <c r="L789" i="1"/>
  <c r="K789" i="1"/>
  <c r="J789" i="1"/>
  <c r="I789" i="1"/>
  <c r="H789" i="1"/>
  <c r="G789" i="1"/>
  <c r="M788" i="1"/>
  <c r="L788" i="1"/>
  <c r="K788" i="1"/>
  <c r="J788" i="1"/>
  <c r="I788" i="1"/>
  <c r="H788" i="1"/>
  <c r="G788" i="1"/>
  <c r="M787" i="1"/>
  <c r="L787" i="1"/>
  <c r="K787" i="1"/>
  <c r="J787" i="1"/>
  <c r="I787" i="1"/>
  <c r="H787" i="1"/>
  <c r="G787" i="1"/>
  <c r="M786" i="1"/>
  <c r="L786" i="1"/>
  <c r="K786" i="1"/>
  <c r="J786" i="1"/>
  <c r="I786" i="1"/>
  <c r="H786" i="1"/>
  <c r="G786" i="1"/>
  <c r="M785" i="1"/>
  <c r="L785" i="1"/>
  <c r="K785" i="1"/>
  <c r="J785" i="1"/>
  <c r="I785" i="1"/>
  <c r="H785" i="1"/>
  <c r="G785" i="1"/>
  <c r="M784" i="1"/>
  <c r="L784" i="1"/>
  <c r="K784" i="1"/>
  <c r="J784" i="1"/>
  <c r="I784" i="1"/>
  <c r="H784" i="1"/>
  <c r="G784" i="1"/>
  <c r="M783" i="1"/>
  <c r="L783" i="1"/>
  <c r="K783" i="1"/>
  <c r="J783" i="1"/>
  <c r="I783" i="1"/>
  <c r="H783" i="1"/>
  <c r="G783" i="1"/>
  <c r="M782" i="1"/>
  <c r="L782" i="1"/>
  <c r="K782" i="1"/>
  <c r="J782" i="1"/>
  <c r="I782" i="1"/>
  <c r="H782" i="1"/>
  <c r="G782" i="1"/>
  <c r="M781" i="1"/>
  <c r="L781" i="1"/>
  <c r="K781" i="1"/>
  <c r="J781" i="1"/>
  <c r="I781" i="1"/>
  <c r="H781" i="1"/>
  <c r="G781" i="1"/>
  <c r="M780" i="1"/>
  <c r="L780" i="1"/>
  <c r="K780" i="1"/>
  <c r="J780" i="1"/>
  <c r="I780" i="1"/>
  <c r="H780" i="1"/>
  <c r="G780" i="1"/>
  <c r="M779" i="1"/>
  <c r="L779" i="1"/>
  <c r="K779" i="1"/>
  <c r="J779" i="1"/>
  <c r="I779" i="1"/>
  <c r="H779" i="1"/>
  <c r="G779" i="1"/>
  <c r="M778" i="1"/>
  <c r="L778" i="1"/>
  <c r="K778" i="1"/>
  <c r="J778" i="1"/>
  <c r="I778" i="1"/>
  <c r="H778" i="1"/>
  <c r="G778" i="1"/>
  <c r="M777" i="1"/>
  <c r="L777" i="1"/>
  <c r="K777" i="1"/>
  <c r="J777" i="1"/>
  <c r="I777" i="1"/>
  <c r="H777" i="1"/>
  <c r="G777" i="1"/>
  <c r="M776" i="1"/>
  <c r="L776" i="1"/>
  <c r="K776" i="1"/>
  <c r="J776" i="1"/>
  <c r="I776" i="1"/>
  <c r="H776" i="1"/>
  <c r="G776" i="1"/>
  <c r="M775" i="1"/>
  <c r="L775" i="1"/>
  <c r="K775" i="1"/>
  <c r="J775" i="1"/>
  <c r="I775" i="1"/>
  <c r="H775" i="1"/>
  <c r="G775" i="1"/>
  <c r="M774" i="1"/>
  <c r="L774" i="1"/>
  <c r="K774" i="1"/>
  <c r="J774" i="1"/>
  <c r="I774" i="1"/>
  <c r="H774" i="1"/>
  <c r="G774" i="1"/>
  <c r="M773" i="1"/>
  <c r="L773" i="1"/>
  <c r="K773" i="1"/>
  <c r="J773" i="1"/>
  <c r="I773" i="1"/>
  <c r="H773" i="1"/>
  <c r="G773" i="1"/>
  <c r="M772" i="1"/>
  <c r="L772" i="1"/>
  <c r="K772" i="1"/>
  <c r="J772" i="1"/>
  <c r="I772" i="1"/>
  <c r="H772" i="1"/>
  <c r="G772" i="1"/>
  <c r="M771" i="1"/>
  <c r="L771" i="1"/>
  <c r="K771" i="1"/>
  <c r="J771" i="1"/>
  <c r="I771" i="1"/>
  <c r="H771" i="1"/>
  <c r="G771" i="1"/>
  <c r="M770" i="1"/>
  <c r="L770" i="1"/>
  <c r="K770" i="1"/>
  <c r="J770" i="1"/>
  <c r="I770" i="1"/>
  <c r="H770" i="1"/>
  <c r="G770" i="1"/>
  <c r="M769" i="1"/>
  <c r="L769" i="1"/>
  <c r="K769" i="1"/>
  <c r="J769" i="1"/>
  <c r="I769" i="1"/>
  <c r="H769" i="1"/>
  <c r="G769" i="1"/>
  <c r="M768" i="1"/>
  <c r="L768" i="1"/>
  <c r="K768" i="1"/>
  <c r="J768" i="1"/>
  <c r="I768" i="1"/>
  <c r="H768" i="1"/>
  <c r="G768" i="1"/>
  <c r="M767" i="1"/>
  <c r="L767" i="1"/>
  <c r="K767" i="1"/>
  <c r="J767" i="1"/>
  <c r="I767" i="1"/>
  <c r="H767" i="1"/>
  <c r="G767" i="1"/>
  <c r="M766" i="1"/>
  <c r="L766" i="1"/>
  <c r="K766" i="1"/>
  <c r="J766" i="1"/>
  <c r="I766" i="1"/>
  <c r="H766" i="1"/>
  <c r="G766" i="1"/>
  <c r="M765" i="1"/>
  <c r="L765" i="1"/>
  <c r="K765" i="1"/>
  <c r="J765" i="1"/>
  <c r="I765" i="1"/>
  <c r="H765" i="1"/>
  <c r="G765" i="1"/>
  <c r="M764" i="1"/>
  <c r="L764" i="1"/>
  <c r="K764" i="1"/>
  <c r="J764" i="1"/>
  <c r="I764" i="1"/>
  <c r="H764" i="1"/>
  <c r="G764" i="1"/>
  <c r="M763" i="1"/>
  <c r="L763" i="1"/>
  <c r="K763" i="1"/>
  <c r="J763" i="1"/>
  <c r="I763" i="1"/>
  <c r="H763" i="1"/>
  <c r="G763" i="1"/>
  <c r="M762" i="1"/>
  <c r="L762" i="1"/>
  <c r="K762" i="1"/>
  <c r="J762" i="1"/>
  <c r="I762" i="1"/>
  <c r="H762" i="1"/>
  <c r="G762" i="1"/>
  <c r="M761" i="1"/>
  <c r="L761" i="1"/>
  <c r="K761" i="1"/>
  <c r="J761" i="1"/>
  <c r="I761" i="1"/>
  <c r="H761" i="1"/>
  <c r="G761" i="1"/>
  <c r="M760" i="1"/>
  <c r="L760" i="1"/>
  <c r="K760" i="1"/>
  <c r="J760" i="1"/>
  <c r="I760" i="1"/>
  <c r="H760" i="1"/>
  <c r="G760" i="1"/>
  <c r="M759" i="1"/>
  <c r="L759" i="1"/>
  <c r="K759" i="1"/>
  <c r="J759" i="1"/>
  <c r="I759" i="1"/>
  <c r="H759" i="1"/>
  <c r="G759" i="1"/>
  <c r="M758" i="1"/>
  <c r="L758" i="1"/>
  <c r="K758" i="1"/>
  <c r="J758" i="1"/>
  <c r="I758" i="1"/>
  <c r="H758" i="1"/>
  <c r="G758" i="1"/>
  <c r="M757" i="1"/>
  <c r="L757" i="1"/>
  <c r="K757" i="1"/>
  <c r="J757" i="1"/>
  <c r="I757" i="1"/>
  <c r="H757" i="1"/>
  <c r="G757" i="1"/>
  <c r="M756" i="1"/>
  <c r="L756" i="1"/>
  <c r="K756" i="1"/>
  <c r="J756" i="1"/>
  <c r="I756" i="1"/>
  <c r="H756" i="1"/>
  <c r="G756" i="1"/>
  <c r="M755" i="1"/>
  <c r="L755" i="1"/>
  <c r="K755" i="1"/>
  <c r="J755" i="1"/>
  <c r="I755" i="1"/>
  <c r="H755" i="1"/>
  <c r="G755" i="1"/>
  <c r="M754" i="1"/>
  <c r="L754" i="1"/>
  <c r="K754" i="1"/>
  <c r="J754" i="1"/>
  <c r="I754" i="1"/>
  <c r="H754" i="1"/>
  <c r="G754" i="1"/>
  <c r="M753" i="1"/>
  <c r="L753" i="1"/>
  <c r="K753" i="1"/>
  <c r="J753" i="1"/>
  <c r="I753" i="1"/>
  <c r="H753" i="1"/>
  <c r="G753" i="1"/>
  <c r="M752" i="1"/>
  <c r="L752" i="1"/>
  <c r="K752" i="1"/>
  <c r="J752" i="1"/>
  <c r="I752" i="1"/>
  <c r="H752" i="1"/>
  <c r="G752" i="1"/>
  <c r="M751" i="1"/>
  <c r="L751" i="1"/>
  <c r="K751" i="1"/>
  <c r="J751" i="1"/>
  <c r="I751" i="1"/>
  <c r="H751" i="1"/>
  <c r="G751" i="1"/>
  <c r="M750" i="1"/>
  <c r="L750" i="1"/>
  <c r="K750" i="1"/>
  <c r="J750" i="1"/>
  <c r="I750" i="1"/>
  <c r="H750" i="1"/>
  <c r="G750" i="1"/>
  <c r="M749" i="1"/>
  <c r="L749" i="1"/>
  <c r="K749" i="1"/>
  <c r="J749" i="1"/>
  <c r="I749" i="1"/>
  <c r="H749" i="1"/>
  <c r="G749" i="1"/>
  <c r="M748" i="1"/>
  <c r="L748" i="1"/>
  <c r="K748" i="1"/>
  <c r="J748" i="1"/>
  <c r="I748" i="1"/>
  <c r="H748" i="1"/>
  <c r="G748" i="1"/>
  <c r="M747" i="1"/>
  <c r="L747" i="1"/>
  <c r="K747" i="1"/>
  <c r="J747" i="1"/>
  <c r="I747" i="1"/>
  <c r="H747" i="1"/>
  <c r="G747" i="1"/>
  <c r="M746" i="1"/>
  <c r="L746" i="1"/>
  <c r="K746" i="1"/>
  <c r="J746" i="1"/>
  <c r="I746" i="1"/>
  <c r="H746" i="1"/>
  <c r="G746" i="1"/>
  <c r="M745" i="1"/>
  <c r="L745" i="1"/>
  <c r="K745" i="1"/>
  <c r="J745" i="1"/>
  <c r="I745" i="1"/>
  <c r="H745" i="1"/>
  <c r="G745" i="1"/>
  <c r="M744" i="1"/>
  <c r="L744" i="1"/>
  <c r="K744" i="1"/>
  <c r="J744" i="1"/>
  <c r="I744" i="1"/>
  <c r="H744" i="1"/>
  <c r="G744" i="1"/>
  <c r="M743" i="1"/>
  <c r="L743" i="1"/>
  <c r="K743" i="1"/>
  <c r="J743" i="1"/>
  <c r="I743" i="1"/>
  <c r="H743" i="1"/>
  <c r="G743" i="1"/>
  <c r="M742" i="1"/>
  <c r="L742" i="1"/>
  <c r="K742" i="1"/>
  <c r="J742" i="1"/>
  <c r="I742" i="1"/>
  <c r="H742" i="1"/>
  <c r="G742" i="1"/>
  <c r="M741" i="1"/>
  <c r="L741" i="1"/>
  <c r="K741" i="1"/>
  <c r="J741" i="1"/>
  <c r="I741" i="1"/>
  <c r="H741" i="1"/>
  <c r="G741" i="1"/>
  <c r="M740" i="1"/>
  <c r="L740" i="1"/>
  <c r="K740" i="1"/>
  <c r="J740" i="1"/>
  <c r="I740" i="1"/>
  <c r="H740" i="1"/>
  <c r="G740" i="1"/>
  <c r="M739" i="1"/>
  <c r="L739" i="1"/>
  <c r="K739" i="1"/>
  <c r="J739" i="1"/>
  <c r="I739" i="1"/>
  <c r="H739" i="1"/>
  <c r="G739" i="1"/>
  <c r="M738" i="1"/>
  <c r="L738" i="1"/>
  <c r="K738" i="1"/>
  <c r="J738" i="1"/>
  <c r="I738" i="1"/>
  <c r="H738" i="1"/>
  <c r="G738" i="1"/>
  <c r="M737" i="1"/>
  <c r="L737" i="1"/>
  <c r="K737" i="1"/>
  <c r="J737" i="1"/>
  <c r="I737" i="1"/>
  <c r="H737" i="1"/>
  <c r="G737" i="1"/>
  <c r="M736" i="1"/>
  <c r="L736" i="1"/>
  <c r="K736" i="1"/>
  <c r="J736" i="1"/>
  <c r="I736" i="1"/>
  <c r="H736" i="1"/>
  <c r="G736" i="1"/>
  <c r="M735" i="1"/>
  <c r="L735" i="1"/>
  <c r="K735" i="1"/>
  <c r="J735" i="1"/>
  <c r="I735" i="1"/>
  <c r="H735" i="1"/>
  <c r="G735" i="1"/>
  <c r="M734" i="1"/>
  <c r="L734" i="1"/>
  <c r="K734" i="1"/>
  <c r="J734" i="1"/>
  <c r="I734" i="1"/>
  <c r="H734" i="1"/>
  <c r="G734" i="1"/>
  <c r="M733" i="1"/>
  <c r="L733" i="1"/>
  <c r="K733" i="1"/>
  <c r="J733" i="1"/>
  <c r="I733" i="1"/>
  <c r="H733" i="1"/>
  <c r="G733" i="1"/>
  <c r="M732" i="1"/>
  <c r="L732" i="1"/>
  <c r="K732" i="1"/>
  <c r="J732" i="1"/>
  <c r="I732" i="1"/>
  <c r="H732" i="1"/>
  <c r="G732" i="1"/>
  <c r="M731" i="1"/>
  <c r="L731" i="1"/>
  <c r="K731" i="1"/>
  <c r="J731" i="1"/>
  <c r="I731" i="1"/>
  <c r="H731" i="1"/>
  <c r="G731" i="1"/>
  <c r="M730" i="1"/>
  <c r="L730" i="1"/>
  <c r="K730" i="1"/>
  <c r="J730" i="1"/>
  <c r="I730" i="1"/>
  <c r="H730" i="1"/>
  <c r="G730" i="1"/>
  <c r="M729" i="1"/>
  <c r="L729" i="1"/>
  <c r="K729" i="1"/>
  <c r="J729" i="1"/>
  <c r="I729" i="1"/>
  <c r="H729" i="1"/>
  <c r="G729" i="1"/>
  <c r="M728" i="1"/>
  <c r="L728" i="1"/>
  <c r="K728" i="1"/>
  <c r="J728" i="1"/>
  <c r="I728" i="1"/>
  <c r="H728" i="1"/>
  <c r="G728" i="1"/>
  <c r="M727" i="1"/>
  <c r="L727" i="1"/>
  <c r="K727" i="1"/>
  <c r="J727" i="1"/>
  <c r="I727" i="1"/>
  <c r="H727" i="1"/>
  <c r="G727" i="1"/>
  <c r="M726" i="1"/>
  <c r="L726" i="1"/>
  <c r="K726" i="1"/>
  <c r="J726" i="1"/>
  <c r="I726" i="1"/>
  <c r="H726" i="1"/>
  <c r="G726" i="1"/>
  <c r="M725" i="1"/>
  <c r="L725" i="1"/>
  <c r="K725" i="1"/>
  <c r="J725" i="1"/>
  <c r="I725" i="1"/>
  <c r="H725" i="1"/>
  <c r="G725" i="1"/>
  <c r="M724" i="1"/>
  <c r="L724" i="1"/>
  <c r="K724" i="1"/>
  <c r="J724" i="1"/>
  <c r="I724" i="1"/>
  <c r="H724" i="1"/>
  <c r="G724" i="1"/>
  <c r="M723" i="1"/>
  <c r="L723" i="1"/>
  <c r="K723" i="1"/>
  <c r="J723" i="1"/>
  <c r="I723" i="1"/>
  <c r="H723" i="1"/>
  <c r="G723" i="1"/>
  <c r="M722" i="1"/>
  <c r="L722" i="1"/>
  <c r="K722" i="1"/>
  <c r="J722" i="1"/>
  <c r="I722" i="1"/>
  <c r="H722" i="1"/>
  <c r="G722" i="1"/>
  <c r="M721" i="1"/>
  <c r="L721" i="1"/>
  <c r="K721" i="1"/>
  <c r="J721" i="1"/>
  <c r="I721" i="1"/>
  <c r="H721" i="1"/>
  <c r="G721" i="1"/>
  <c r="M720" i="1"/>
  <c r="L720" i="1"/>
  <c r="K720" i="1"/>
  <c r="J720" i="1"/>
  <c r="I720" i="1"/>
  <c r="H720" i="1"/>
  <c r="G720" i="1"/>
  <c r="M719" i="1"/>
  <c r="L719" i="1"/>
  <c r="K719" i="1"/>
  <c r="J719" i="1"/>
  <c r="I719" i="1"/>
  <c r="H719" i="1"/>
  <c r="G719" i="1"/>
  <c r="M718" i="1"/>
  <c r="L718" i="1"/>
  <c r="K718" i="1"/>
  <c r="J718" i="1"/>
  <c r="I718" i="1"/>
  <c r="H718" i="1"/>
  <c r="G718" i="1"/>
  <c r="M717" i="1"/>
  <c r="L717" i="1"/>
  <c r="K717" i="1"/>
  <c r="J717" i="1"/>
  <c r="I717" i="1"/>
  <c r="H717" i="1"/>
  <c r="G717" i="1"/>
  <c r="M716" i="1"/>
  <c r="L716" i="1"/>
  <c r="K716" i="1"/>
  <c r="J716" i="1"/>
  <c r="I716" i="1"/>
  <c r="H716" i="1"/>
  <c r="G716" i="1"/>
  <c r="M715" i="1"/>
  <c r="L715" i="1"/>
  <c r="K715" i="1"/>
  <c r="J715" i="1"/>
  <c r="I715" i="1"/>
  <c r="H715" i="1"/>
  <c r="G715" i="1"/>
  <c r="M714" i="1"/>
  <c r="L714" i="1"/>
  <c r="K714" i="1"/>
  <c r="J714" i="1"/>
  <c r="I714" i="1"/>
  <c r="H714" i="1"/>
  <c r="G714" i="1"/>
  <c r="M713" i="1"/>
  <c r="L713" i="1"/>
  <c r="K713" i="1"/>
  <c r="J713" i="1"/>
  <c r="I713" i="1"/>
  <c r="H713" i="1"/>
  <c r="G713" i="1"/>
  <c r="M712" i="1"/>
  <c r="L712" i="1"/>
  <c r="K712" i="1"/>
  <c r="J712" i="1"/>
  <c r="I712" i="1"/>
  <c r="H712" i="1"/>
  <c r="G712" i="1"/>
  <c r="M711" i="1"/>
  <c r="L711" i="1"/>
  <c r="K711" i="1"/>
  <c r="J711" i="1"/>
  <c r="I711" i="1"/>
  <c r="H711" i="1"/>
  <c r="G711" i="1"/>
  <c r="M710" i="1"/>
  <c r="L710" i="1"/>
  <c r="K710" i="1"/>
  <c r="J710" i="1"/>
  <c r="I710" i="1"/>
  <c r="H710" i="1"/>
  <c r="G710" i="1"/>
  <c r="M709" i="1"/>
  <c r="L709" i="1"/>
  <c r="K709" i="1"/>
  <c r="J709" i="1"/>
  <c r="I709" i="1"/>
  <c r="H709" i="1"/>
  <c r="G709" i="1"/>
  <c r="M708" i="1"/>
  <c r="L708" i="1"/>
  <c r="K708" i="1"/>
  <c r="J708" i="1"/>
  <c r="I708" i="1"/>
  <c r="H708" i="1"/>
  <c r="G708" i="1"/>
  <c r="M707" i="1"/>
  <c r="L707" i="1"/>
  <c r="K707" i="1"/>
  <c r="J707" i="1"/>
  <c r="I707" i="1"/>
  <c r="H707" i="1"/>
  <c r="G707" i="1"/>
  <c r="M706" i="1"/>
  <c r="L706" i="1"/>
  <c r="K706" i="1"/>
  <c r="J706" i="1"/>
  <c r="I706" i="1"/>
  <c r="H706" i="1"/>
  <c r="G706" i="1"/>
  <c r="M705" i="1"/>
  <c r="L705" i="1"/>
  <c r="K705" i="1"/>
  <c r="J705" i="1"/>
  <c r="I705" i="1"/>
  <c r="H705" i="1"/>
  <c r="G705" i="1"/>
  <c r="M704" i="1"/>
  <c r="L704" i="1"/>
  <c r="K704" i="1"/>
  <c r="J704" i="1"/>
  <c r="I704" i="1"/>
  <c r="H704" i="1"/>
  <c r="G704" i="1"/>
  <c r="M703" i="1"/>
  <c r="L703" i="1"/>
  <c r="K703" i="1"/>
  <c r="J703" i="1"/>
  <c r="I703" i="1"/>
  <c r="H703" i="1"/>
  <c r="G703" i="1"/>
  <c r="M702" i="1"/>
  <c r="L702" i="1"/>
  <c r="K702" i="1"/>
  <c r="J702" i="1"/>
  <c r="I702" i="1"/>
  <c r="H702" i="1"/>
  <c r="G702" i="1"/>
  <c r="M701" i="1"/>
  <c r="L701" i="1"/>
  <c r="K701" i="1"/>
  <c r="J701" i="1"/>
  <c r="I701" i="1"/>
  <c r="H701" i="1"/>
  <c r="G701" i="1"/>
  <c r="M700" i="1"/>
  <c r="L700" i="1"/>
  <c r="K700" i="1"/>
  <c r="J700" i="1"/>
  <c r="I700" i="1"/>
  <c r="H700" i="1"/>
  <c r="G700" i="1"/>
  <c r="M699" i="1"/>
  <c r="L699" i="1"/>
  <c r="K699" i="1"/>
  <c r="J699" i="1"/>
  <c r="I699" i="1"/>
  <c r="H699" i="1"/>
  <c r="G699" i="1"/>
  <c r="M698" i="1"/>
  <c r="L698" i="1"/>
  <c r="K698" i="1"/>
  <c r="J698" i="1"/>
  <c r="I698" i="1"/>
  <c r="H698" i="1"/>
  <c r="G698" i="1"/>
  <c r="M697" i="1"/>
  <c r="L697" i="1"/>
  <c r="K697" i="1"/>
  <c r="J697" i="1"/>
  <c r="I697" i="1"/>
  <c r="H697" i="1"/>
  <c r="G697" i="1"/>
  <c r="M696" i="1"/>
  <c r="L696" i="1"/>
  <c r="K696" i="1"/>
  <c r="J696" i="1"/>
  <c r="I696" i="1"/>
  <c r="H696" i="1"/>
  <c r="G696" i="1"/>
  <c r="M695" i="1"/>
  <c r="L695" i="1"/>
  <c r="K695" i="1"/>
  <c r="J695" i="1"/>
  <c r="I695" i="1"/>
  <c r="H695" i="1"/>
  <c r="G695" i="1"/>
  <c r="M694" i="1"/>
  <c r="L694" i="1"/>
  <c r="K694" i="1"/>
  <c r="J694" i="1"/>
  <c r="I694" i="1"/>
  <c r="H694" i="1"/>
  <c r="G694" i="1"/>
  <c r="M693" i="1"/>
  <c r="L693" i="1"/>
  <c r="K693" i="1"/>
  <c r="J693" i="1"/>
  <c r="I693" i="1"/>
  <c r="H693" i="1"/>
  <c r="G693" i="1"/>
  <c r="M692" i="1"/>
  <c r="L692" i="1"/>
  <c r="K692" i="1"/>
  <c r="J692" i="1"/>
  <c r="I692" i="1"/>
  <c r="H692" i="1"/>
  <c r="G692" i="1"/>
  <c r="M691" i="1"/>
  <c r="L691" i="1"/>
  <c r="K691" i="1"/>
  <c r="J691" i="1"/>
  <c r="I691" i="1"/>
  <c r="H691" i="1"/>
  <c r="G691" i="1"/>
  <c r="M690" i="1"/>
  <c r="L690" i="1"/>
  <c r="K690" i="1"/>
  <c r="J690" i="1"/>
  <c r="I690" i="1"/>
  <c r="H690" i="1"/>
  <c r="G690" i="1"/>
  <c r="M689" i="1"/>
  <c r="L689" i="1"/>
  <c r="K689" i="1"/>
  <c r="J689" i="1"/>
  <c r="I689" i="1"/>
  <c r="H689" i="1"/>
  <c r="G689" i="1"/>
  <c r="M688" i="1"/>
  <c r="L688" i="1"/>
  <c r="K688" i="1"/>
  <c r="J688" i="1"/>
  <c r="I688" i="1"/>
  <c r="H688" i="1"/>
  <c r="G688" i="1"/>
  <c r="M687" i="1"/>
  <c r="L687" i="1"/>
  <c r="K687" i="1"/>
  <c r="J687" i="1"/>
  <c r="I687" i="1"/>
  <c r="H687" i="1"/>
  <c r="G687" i="1"/>
  <c r="M686" i="1"/>
  <c r="L686" i="1"/>
  <c r="K686" i="1"/>
  <c r="J686" i="1"/>
  <c r="I686" i="1"/>
  <c r="H686" i="1"/>
  <c r="G686" i="1"/>
  <c r="M685" i="1"/>
  <c r="L685" i="1"/>
  <c r="K685" i="1"/>
  <c r="J685" i="1"/>
  <c r="I685" i="1"/>
  <c r="H685" i="1"/>
  <c r="G685" i="1"/>
  <c r="M684" i="1"/>
  <c r="L684" i="1"/>
  <c r="K684" i="1"/>
  <c r="J684" i="1"/>
  <c r="I684" i="1"/>
  <c r="H684" i="1"/>
  <c r="G684" i="1"/>
  <c r="M683" i="1"/>
  <c r="L683" i="1"/>
  <c r="K683" i="1"/>
  <c r="J683" i="1"/>
  <c r="I683" i="1"/>
  <c r="H683" i="1"/>
  <c r="G683" i="1"/>
  <c r="M682" i="1"/>
  <c r="L682" i="1"/>
  <c r="K682" i="1"/>
  <c r="J682" i="1"/>
  <c r="I682" i="1"/>
  <c r="H682" i="1"/>
  <c r="G682" i="1"/>
  <c r="M681" i="1"/>
  <c r="L681" i="1"/>
  <c r="K681" i="1"/>
  <c r="J681" i="1"/>
  <c r="I681" i="1"/>
  <c r="H681" i="1"/>
  <c r="G681" i="1"/>
  <c r="M680" i="1"/>
  <c r="L680" i="1"/>
  <c r="K680" i="1"/>
  <c r="J680" i="1"/>
  <c r="I680" i="1"/>
  <c r="H680" i="1"/>
  <c r="G680" i="1"/>
  <c r="M679" i="1"/>
  <c r="L679" i="1"/>
  <c r="K679" i="1"/>
  <c r="J679" i="1"/>
  <c r="I679" i="1"/>
  <c r="H679" i="1"/>
  <c r="G679" i="1"/>
  <c r="M678" i="1"/>
  <c r="L678" i="1"/>
  <c r="K678" i="1"/>
  <c r="J678" i="1"/>
  <c r="I678" i="1"/>
  <c r="H678" i="1"/>
  <c r="G678" i="1"/>
  <c r="M677" i="1"/>
  <c r="L677" i="1"/>
  <c r="K677" i="1"/>
  <c r="J677" i="1"/>
  <c r="I677" i="1"/>
  <c r="H677" i="1"/>
  <c r="G677" i="1"/>
  <c r="M676" i="1"/>
  <c r="L676" i="1"/>
  <c r="K676" i="1"/>
  <c r="J676" i="1"/>
  <c r="I676" i="1"/>
  <c r="H676" i="1"/>
  <c r="G676" i="1"/>
  <c r="M675" i="1"/>
  <c r="L675" i="1"/>
  <c r="K675" i="1"/>
  <c r="J675" i="1"/>
  <c r="I675" i="1"/>
  <c r="H675" i="1"/>
  <c r="G675" i="1"/>
  <c r="M674" i="1"/>
  <c r="L674" i="1"/>
  <c r="K674" i="1"/>
  <c r="J674" i="1"/>
  <c r="I674" i="1"/>
  <c r="H674" i="1"/>
  <c r="G674" i="1"/>
  <c r="M673" i="1"/>
  <c r="L673" i="1"/>
  <c r="K673" i="1"/>
  <c r="J673" i="1"/>
  <c r="I673" i="1"/>
  <c r="H673" i="1"/>
  <c r="G673" i="1"/>
  <c r="M672" i="1"/>
  <c r="L672" i="1"/>
  <c r="K672" i="1"/>
  <c r="J672" i="1"/>
  <c r="I672" i="1"/>
  <c r="H672" i="1"/>
  <c r="G672" i="1"/>
  <c r="M671" i="1"/>
  <c r="L671" i="1"/>
  <c r="K671" i="1"/>
  <c r="J671" i="1"/>
  <c r="I671" i="1"/>
  <c r="H671" i="1"/>
  <c r="G671" i="1"/>
  <c r="M670" i="1"/>
  <c r="L670" i="1"/>
  <c r="K670" i="1"/>
  <c r="J670" i="1"/>
  <c r="I670" i="1"/>
  <c r="H670" i="1"/>
  <c r="G670" i="1"/>
  <c r="M669" i="1"/>
  <c r="L669" i="1"/>
  <c r="K669" i="1"/>
  <c r="J669" i="1"/>
  <c r="I669" i="1"/>
  <c r="H669" i="1"/>
  <c r="G669" i="1"/>
  <c r="M668" i="1"/>
  <c r="L668" i="1"/>
  <c r="K668" i="1"/>
  <c r="J668" i="1"/>
  <c r="I668" i="1"/>
  <c r="H668" i="1"/>
  <c r="G668" i="1"/>
  <c r="M667" i="1"/>
  <c r="L667" i="1"/>
  <c r="K667" i="1"/>
  <c r="J667" i="1"/>
  <c r="I667" i="1"/>
  <c r="H667" i="1"/>
  <c r="G667" i="1"/>
  <c r="M666" i="1"/>
  <c r="L666" i="1"/>
  <c r="K666" i="1"/>
  <c r="J666" i="1"/>
  <c r="I666" i="1"/>
  <c r="H666" i="1"/>
  <c r="G666" i="1"/>
  <c r="M665" i="1"/>
  <c r="L665" i="1"/>
  <c r="K665" i="1"/>
  <c r="J665" i="1"/>
  <c r="I665" i="1"/>
  <c r="H665" i="1"/>
  <c r="G665" i="1"/>
  <c r="M664" i="1"/>
  <c r="L664" i="1"/>
  <c r="K664" i="1"/>
  <c r="J664" i="1"/>
  <c r="I664" i="1"/>
  <c r="H664" i="1"/>
  <c r="G664" i="1"/>
  <c r="M663" i="1"/>
  <c r="L663" i="1"/>
  <c r="K663" i="1"/>
  <c r="J663" i="1"/>
  <c r="I663" i="1"/>
  <c r="H663" i="1"/>
  <c r="G663" i="1"/>
  <c r="M662" i="1"/>
  <c r="L662" i="1"/>
  <c r="K662" i="1"/>
  <c r="J662" i="1"/>
  <c r="I662" i="1"/>
  <c r="H662" i="1"/>
  <c r="G662" i="1"/>
  <c r="M661" i="1"/>
  <c r="L661" i="1"/>
  <c r="K661" i="1"/>
  <c r="J661" i="1"/>
  <c r="I661" i="1"/>
  <c r="H661" i="1"/>
  <c r="G661" i="1"/>
  <c r="M660" i="1"/>
  <c r="L660" i="1"/>
  <c r="K660" i="1"/>
  <c r="J660" i="1"/>
  <c r="I660" i="1"/>
  <c r="H660" i="1"/>
  <c r="G660" i="1"/>
  <c r="M659" i="1"/>
  <c r="L659" i="1"/>
  <c r="K659" i="1"/>
  <c r="J659" i="1"/>
  <c r="I659" i="1"/>
  <c r="H659" i="1"/>
  <c r="G659" i="1"/>
  <c r="M658" i="1"/>
  <c r="L658" i="1"/>
  <c r="K658" i="1"/>
  <c r="J658" i="1"/>
  <c r="I658" i="1"/>
  <c r="H658" i="1"/>
  <c r="G658" i="1"/>
  <c r="M657" i="1"/>
  <c r="L657" i="1"/>
  <c r="K657" i="1"/>
  <c r="J657" i="1"/>
  <c r="I657" i="1"/>
  <c r="H657" i="1"/>
  <c r="G657" i="1"/>
  <c r="M656" i="1"/>
  <c r="L656" i="1"/>
  <c r="K656" i="1"/>
  <c r="J656" i="1"/>
  <c r="I656" i="1"/>
  <c r="H656" i="1"/>
  <c r="G656" i="1"/>
  <c r="M655" i="1"/>
  <c r="L655" i="1"/>
  <c r="K655" i="1"/>
  <c r="J655" i="1"/>
  <c r="I655" i="1"/>
  <c r="H655" i="1"/>
  <c r="G655" i="1"/>
  <c r="M654" i="1"/>
  <c r="L654" i="1"/>
  <c r="K654" i="1"/>
  <c r="J654" i="1"/>
  <c r="I654" i="1"/>
  <c r="H654" i="1"/>
  <c r="G654" i="1"/>
  <c r="M653" i="1"/>
  <c r="L653" i="1"/>
  <c r="K653" i="1"/>
  <c r="J653" i="1"/>
  <c r="I653" i="1"/>
  <c r="H653" i="1"/>
  <c r="G653" i="1"/>
  <c r="M652" i="1"/>
  <c r="L652" i="1"/>
  <c r="K652" i="1"/>
  <c r="J652" i="1"/>
  <c r="I652" i="1"/>
  <c r="H652" i="1"/>
  <c r="G652" i="1"/>
  <c r="M651" i="1"/>
  <c r="L651" i="1"/>
  <c r="K651" i="1"/>
  <c r="J651" i="1"/>
  <c r="I651" i="1"/>
  <c r="H651" i="1"/>
  <c r="G651" i="1"/>
  <c r="M650" i="1"/>
  <c r="L650" i="1"/>
  <c r="K650" i="1"/>
  <c r="J650" i="1"/>
  <c r="I650" i="1"/>
  <c r="H650" i="1"/>
  <c r="G650" i="1"/>
  <c r="M649" i="1"/>
  <c r="L649" i="1"/>
  <c r="K649" i="1"/>
  <c r="J649" i="1"/>
  <c r="I649" i="1"/>
  <c r="H649" i="1"/>
  <c r="G649" i="1"/>
  <c r="M648" i="1"/>
  <c r="L648" i="1"/>
  <c r="K648" i="1"/>
  <c r="J648" i="1"/>
  <c r="I648" i="1"/>
  <c r="H648" i="1"/>
  <c r="G648" i="1"/>
  <c r="M647" i="1"/>
  <c r="L647" i="1"/>
  <c r="K647" i="1"/>
  <c r="J647" i="1"/>
  <c r="I647" i="1"/>
  <c r="H647" i="1"/>
  <c r="G647" i="1"/>
  <c r="M646" i="1"/>
  <c r="L646" i="1"/>
  <c r="K646" i="1"/>
  <c r="J646" i="1"/>
  <c r="I646" i="1"/>
  <c r="H646" i="1"/>
  <c r="G646" i="1"/>
  <c r="M645" i="1"/>
  <c r="L645" i="1"/>
  <c r="K645" i="1"/>
  <c r="J645" i="1"/>
  <c r="I645" i="1"/>
  <c r="H645" i="1"/>
  <c r="G645" i="1"/>
  <c r="M644" i="1"/>
  <c r="L644" i="1"/>
  <c r="K644" i="1"/>
  <c r="J644" i="1"/>
  <c r="I644" i="1"/>
  <c r="H644" i="1"/>
  <c r="G644" i="1"/>
  <c r="M643" i="1"/>
  <c r="L643" i="1"/>
  <c r="K643" i="1"/>
  <c r="J643" i="1"/>
  <c r="I643" i="1"/>
  <c r="H643" i="1"/>
  <c r="G643" i="1"/>
  <c r="M642" i="1"/>
  <c r="L642" i="1"/>
  <c r="K642" i="1"/>
  <c r="J642" i="1"/>
  <c r="I642" i="1"/>
  <c r="H642" i="1"/>
  <c r="G642" i="1"/>
  <c r="M641" i="1"/>
  <c r="L641" i="1"/>
  <c r="K641" i="1"/>
  <c r="J641" i="1"/>
  <c r="I641" i="1"/>
  <c r="H641" i="1"/>
  <c r="G641" i="1"/>
  <c r="M640" i="1"/>
  <c r="L640" i="1"/>
  <c r="K640" i="1"/>
  <c r="J640" i="1"/>
  <c r="I640" i="1"/>
  <c r="H640" i="1"/>
  <c r="G640" i="1"/>
  <c r="M639" i="1"/>
  <c r="L639" i="1"/>
  <c r="K639" i="1"/>
  <c r="J639" i="1"/>
  <c r="I639" i="1"/>
  <c r="H639" i="1"/>
  <c r="G639" i="1"/>
  <c r="M638" i="1"/>
  <c r="L638" i="1"/>
  <c r="K638" i="1"/>
  <c r="J638" i="1"/>
  <c r="I638" i="1"/>
  <c r="H638" i="1"/>
  <c r="G638" i="1"/>
  <c r="M637" i="1"/>
  <c r="L637" i="1"/>
  <c r="K637" i="1"/>
  <c r="J637" i="1"/>
  <c r="I637" i="1"/>
  <c r="H637" i="1"/>
  <c r="G637" i="1"/>
  <c r="M636" i="1"/>
  <c r="L636" i="1"/>
  <c r="K636" i="1"/>
  <c r="J636" i="1"/>
  <c r="I636" i="1"/>
  <c r="H636" i="1"/>
  <c r="G636" i="1"/>
  <c r="M635" i="1"/>
  <c r="L635" i="1"/>
  <c r="K635" i="1"/>
  <c r="J635" i="1"/>
  <c r="I635" i="1"/>
  <c r="H635" i="1"/>
  <c r="G635" i="1"/>
  <c r="M634" i="1"/>
  <c r="L634" i="1"/>
  <c r="K634" i="1"/>
  <c r="J634" i="1"/>
  <c r="I634" i="1"/>
  <c r="H634" i="1"/>
  <c r="G634" i="1"/>
  <c r="M633" i="1"/>
  <c r="L633" i="1"/>
  <c r="K633" i="1"/>
  <c r="J633" i="1"/>
  <c r="I633" i="1"/>
  <c r="H633" i="1"/>
  <c r="G633" i="1"/>
  <c r="M632" i="1"/>
  <c r="L632" i="1"/>
  <c r="K632" i="1"/>
  <c r="J632" i="1"/>
  <c r="I632" i="1"/>
  <c r="H632" i="1"/>
  <c r="G632" i="1"/>
  <c r="M631" i="1"/>
  <c r="L631" i="1"/>
  <c r="K631" i="1"/>
  <c r="J631" i="1"/>
  <c r="I631" i="1"/>
  <c r="H631" i="1"/>
  <c r="G631" i="1"/>
  <c r="M630" i="1"/>
  <c r="L630" i="1"/>
  <c r="K630" i="1"/>
  <c r="J630" i="1"/>
  <c r="I630" i="1"/>
  <c r="H630" i="1"/>
  <c r="G630" i="1"/>
  <c r="M629" i="1"/>
  <c r="L629" i="1"/>
  <c r="K629" i="1"/>
  <c r="J629" i="1"/>
  <c r="I629" i="1"/>
  <c r="H629" i="1"/>
  <c r="G629" i="1"/>
  <c r="M628" i="1"/>
  <c r="L628" i="1"/>
  <c r="K628" i="1"/>
  <c r="J628" i="1"/>
  <c r="I628" i="1"/>
  <c r="H628" i="1"/>
  <c r="G628" i="1"/>
  <c r="M627" i="1"/>
  <c r="L627" i="1"/>
  <c r="K627" i="1"/>
  <c r="J627" i="1"/>
  <c r="I627" i="1"/>
  <c r="H627" i="1"/>
  <c r="G627" i="1"/>
  <c r="M626" i="1"/>
  <c r="L626" i="1"/>
  <c r="K626" i="1"/>
  <c r="J626" i="1"/>
  <c r="I626" i="1"/>
  <c r="H626" i="1"/>
  <c r="G626" i="1"/>
  <c r="M625" i="1"/>
  <c r="L625" i="1"/>
  <c r="K625" i="1"/>
  <c r="J625" i="1"/>
  <c r="I625" i="1"/>
  <c r="H625" i="1"/>
  <c r="G625" i="1"/>
  <c r="M624" i="1"/>
  <c r="L624" i="1"/>
  <c r="K624" i="1"/>
  <c r="J624" i="1"/>
  <c r="I624" i="1"/>
  <c r="H624" i="1"/>
  <c r="G624" i="1"/>
  <c r="M623" i="1"/>
  <c r="L623" i="1"/>
  <c r="K623" i="1"/>
  <c r="J623" i="1"/>
  <c r="I623" i="1"/>
  <c r="H623" i="1"/>
  <c r="G623" i="1"/>
  <c r="M622" i="1"/>
  <c r="L622" i="1"/>
  <c r="K622" i="1"/>
  <c r="J622" i="1"/>
  <c r="I622" i="1"/>
  <c r="H622" i="1"/>
  <c r="G622" i="1"/>
  <c r="M621" i="1"/>
  <c r="L621" i="1"/>
  <c r="K621" i="1"/>
  <c r="J621" i="1"/>
  <c r="I621" i="1"/>
  <c r="H621" i="1"/>
  <c r="G621" i="1"/>
  <c r="M620" i="1"/>
  <c r="L620" i="1"/>
  <c r="K620" i="1"/>
  <c r="J620" i="1"/>
  <c r="I620" i="1"/>
  <c r="H620" i="1"/>
  <c r="G620" i="1"/>
  <c r="M619" i="1"/>
  <c r="L619" i="1"/>
  <c r="K619" i="1"/>
  <c r="J619" i="1"/>
  <c r="I619" i="1"/>
  <c r="H619" i="1"/>
  <c r="G619" i="1"/>
  <c r="M618" i="1"/>
  <c r="L618" i="1"/>
  <c r="K618" i="1"/>
  <c r="J618" i="1"/>
  <c r="I618" i="1"/>
  <c r="H618" i="1"/>
  <c r="G618" i="1"/>
  <c r="M617" i="1"/>
  <c r="L617" i="1"/>
  <c r="K617" i="1"/>
  <c r="J617" i="1"/>
  <c r="I617" i="1"/>
  <c r="H617" i="1"/>
  <c r="G617" i="1"/>
  <c r="M616" i="1"/>
  <c r="L616" i="1"/>
  <c r="K616" i="1"/>
  <c r="J616" i="1"/>
  <c r="I616" i="1"/>
  <c r="H616" i="1"/>
  <c r="G616" i="1"/>
  <c r="M615" i="1"/>
  <c r="L615" i="1"/>
  <c r="K615" i="1"/>
  <c r="J615" i="1"/>
  <c r="I615" i="1"/>
  <c r="H615" i="1"/>
  <c r="G615" i="1"/>
  <c r="M614" i="1"/>
  <c r="L614" i="1"/>
  <c r="K614" i="1"/>
  <c r="J614" i="1"/>
  <c r="I614" i="1"/>
  <c r="H614" i="1"/>
  <c r="G614" i="1"/>
  <c r="M613" i="1"/>
  <c r="L613" i="1"/>
  <c r="K613" i="1"/>
  <c r="J613" i="1"/>
  <c r="I613" i="1"/>
  <c r="H613" i="1"/>
  <c r="G613" i="1"/>
  <c r="M612" i="1"/>
  <c r="L612" i="1"/>
  <c r="K612" i="1"/>
  <c r="J612" i="1"/>
  <c r="I612" i="1"/>
  <c r="H612" i="1"/>
  <c r="G612" i="1"/>
  <c r="M611" i="1"/>
  <c r="L611" i="1"/>
  <c r="K611" i="1"/>
  <c r="J611" i="1"/>
  <c r="I611" i="1"/>
  <c r="H611" i="1"/>
  <c r="G611" i="1"/>
  <c r="M610" i="1"/>
  <c r="L610" i="1"/>
  <c r="K610" i="1"/>
  <c r="J610" i="1"/>
  <c r="I610" i="1"/>
  <c r="H610" i="1"/>
  <c r="G610" i="1"/>
  <c r="M609" i="1"/>
  <c r="L609" i="1"/>
  <c r="K609" i="1"/>
  <c r="J609" i="1"/>
  <c r="I609" i="1"/>
  <c r="H609" i="1"/>
  <c r="G609" i="1"/>
  <c r="M608" i="1"/>
  <c r="L608" i="1"/>
  <c r="K608" i="1"/>
  <c r="J608" i="1"/>
  <c r="I608" i="1"/>
  <c r="H608" i="1"/>
  <c r="G608" i="1"/>
  <c r="M607" i="1"/>
  <c r="L607" i="1"/>
  <c r="K607" i="1"/>
  <c r="J607" i="1"/>
  <c r="I607" i="1"/>
  <c r="H607" i="1"/>
  <c r="G607" i="1"/>
  <c r="M606" i="1"/>
  <c r="L606" i="1"/>
  <c r="K606" i="1"/>
  <c r="J606" i="1"/>
  <c r="I606" i="1"/>
  <c r="H606" i="1"/>
  <c r="G606" i="1"/>
  <c r="M605" i="1"/>
  <c r="L605" i="1"/>
  <c r="K605" i="1"/>
  <c r="J605" i="1"/>
  <c r="I605" i="1"/>
  <c r="H605" i="1"/>
  <c r="G605" i="1"/>
  <c r="M604" i="1"/>
  <c r="L604" i="1"/>
  <c r="K604" i="1"/>
  <c r="J604" i="1"/>
  <c r="I604" i="1"/>
  <c r="H604" i="1"/>
  <c r="G604" i="1"/>
  <c r="M603" i="1"/>
  <c r="L603" i="1"/>
  <c r="K603" i="1"/>
  <c r="J603" i="1"/>
  <c r="I603" i="1"/>
  <c r="H603" i="1"/>
  <c r="G603" i="1"/>
  <c r="M602" i="1"/>
  <c r="L602" i="1"/>
  <c r="K602" i="1"/>
  <c r="J602" i="1"/>
  <c r="I602" i="1"/>
  <c r="H602" i="1"/>
  <c r="G602" i="1"/>
  <c r="M601" i="1"/>
  <c r="L601" i="1"/>
  <c r="K601" i="1"/>
  <c r="J601" i="1"/>
  <c r="I601" i="1"/>
  <c r="H601" i="1"/>
  <c r="G601" i="1"/>
  <c r="M600" i="1"/>
  <c r="L600" i="1"/>
  <c r="K600" i="1"/>
  <c r="J600" i="1"/>
  <c r="I600" i="1"/>
  <c r="H600" i="1"/>
  <c r="G600" i="1"/>
  <c r="M599" i="1"/>
  <c r="L599" i="1"/>
  <c r="K599" i="1"/>
  <c r="J599" i="1"/>
  <c r="I599" i="1"/>
  <c r="H599" i="1"/>
  <c r="G599" i="1"/>
  <c r="M598" i="1"/>
  <c r="L598" i="1"/>
  <c r="K598" i="1"/>
  <c r="J598" i="1"/>
  <c r="I598" i="1"/>
  <c r="H598" i="1"/>
  <c r="G598" i="1"/>
  <c r="M597" i="1"/>
  <c r="L597" i="1"/>
  <c r="K597" i="1"/>
  <c r="J597" i="1"/>
  <c r="I597" i="1"/>
  <c r="H597" i="1"/>
  <c r="G597" i="1"/>
  <c r="M596" i="1"/>
  <c r="L596" i="1"/>
  <c r="K596" i="1"/>
  <c r="J596" i="1"/>
  <c r="I596" i="1"/>
  <c r="H596" i="1"/>
  <c r="G596" i="1"/>
  <c r="M595" i="1"/>
  <c r="L595" i="1"/>
  <c r="K595" i="1"/>
  <c r="J595" i="1"/>
  <c r="I595" i="1"/>
  <c r="H595" i="1"/>
  <c r="G595" i="1"/>
  <c r="M594" i="1"/>
  <c r="L594" i="1"/>
  <c r="K594" i="1"/>
  <c r="J594" i="1"/>
  <c r="I594" i="1"/>
  <c r="H594" i="1"/>
  <c r="G594" i="1"/>
  <c r="M593" i="1"/>
  <c r="L593" i="1"/>
  <c r="K593" i="1"/>
  <c r="J593" i="1"/>
  <c r="I593" i="1"/>
  <c r="H593" i="1"/>
  <c r="G593" i="1"/>
  <c r="M592" i="1"/>
  <c r="L592" i="1"/>
  <c r="K592" i="1"/>
  <c r="J592" i="1"/>
  <c r="I592" i="1"/>
  <c r="H592" i="1"/>
  <c r="G592" i="1"/>
  <c r="M591" i="1"/>
  <c r="L591" i="1"/>
  <c r="K591" i="1"/>
  <c r="J591" i="1"/>
  <c r="I591" i="1"/>
  <c r="H591" i="1"/>
  <c r="G591" i="1"/>
  <c r="M590" i="1"/>
  <c r="L590" i="1"/>
  <c r="K590" i="1"/>
  <c r="J590" i="1"/>
  <c r="I590" i="1"/>
  <c r="H590" i="1"/>
  <c r="G590" i="1"/>
  <c r="M589" i="1"/>
  <c r="L589" i="1"/>
  <c r="K589" i="1"/>
  <c r="J589" i="1"/>
  <c r="I589" i="1"/>
  <c r="H589" i="1"/>
  <c r="G589" i="1"/>
  <c r="M588" i="1"/>
  <c r="L588" i="1"/>
  <c r="K588" i="1"/>
  <c r="J588" i="1"/>
  <c r="I588" i="1"/>
  <c r="H588" i="1"/>
  <c r="G588" i="1"/>
  <c r="M587" i="1"/>
  <c r="L587" i="1"/>
  <c r="K587" i="1"/>
  <c r="J587" i="1"/>
  <c r="I587" i="1"/>
  <c r="H587" i="1"/>
  <c r="G587" i="1"/>
  <c r="M586" i="1"/>
  <c r="L586" i="1"/>
  <c r="K586" i="1"/>
  <c r="J586" i="1"/>
  <c r="I586" i="1"/>
  <c r="H586" i="1"/>
  <c r="G586" i="1"/>
  <c r="M585" i="1"/>
  <c r="L585" i="1"/>
  <c r="K585" i="1"/>
  <c r="J585" i="1"/>
  <c r="I585" i="1"/>
  <c r="H585" i="1"/>
  <c r="G585" i="1"/>
  <c r="M584" i="1"/>
  <c r="L584" i="1"/>
  <c r="K584" i="1"/>
  <c r="J584" i="1"/>
  <c r="I584" i="1"/>
  <c r="H584" i="1"/>
  <c r="G584" i="1"/>
  <c r="M583" i="1"/>
  <c r="L583" i="1"/>
  <c r="K583" i="1"/>
  <c r="J583" i="1"/>
  <c r="I583" i="1"/>
  <c r="H583" i="1"/>
  <c r="G583" i="1"/>
  <c r="M582" i="1"/>
  <c r="L582" i="1"/>
  <c r="K582" i="1"/>
  <c r="J582" i="1"/>
  <c r="I582" i="1"/>
  <c r="H582" i="1"/>
  <c r="G582" i="1"/>
  <c r="M581" i="1"/>
  <c r="L581" i="1"/>
  <c r="K581" i="1"/>
  <c r="J581" i="1"/>
  <c r="I581" i="1"/>
  <c r="H581" i="1"/>
  <c r="G581" i="1"/>
  <c r="M580" i="1"/>
  <c r="L580" i="1"/>
  <c r="K580" i="1"/>
  <c r="J580" i="1"/>
  <c r="I580" i="1"/>
  <c r="H580" i="1"/>
  <c r="G580" i="1"/>
  <c r="M579" i="1"/>
  <c r="L579" i="1"/>
  <c r="K579" i="1"/>
  <c r="J579" i="1"/>
  <c r="I579" i="1"/>
  <c r="H579" i="1"/>
  <c r="G579" i="1"/>
  <c r="M578" i="1"/>
  <c r="L578" i="1"/>
  <c r="K578" i="1"/>
  <c r="J578" i="1"/>
  <c r="I578" i="1"/>
  <c r="H578" i="1"/>
  <c r="G578" i="1"/>
  <c r="M577" i="1"/>
  <c r="L577" i="1"/>
  <c r="K577" i="1"/>
  <c r="J577" i="1"/>
  <c r="I577" i="1"/>
  <c r="H577" i="1"/>
  <c r="G577" i="1"/>
  <c r="M576" i="1"/>
  <c r="L576" i="1"/>
  <c r="K576" i="1"/>
  <c r="J576" i="1"/>
  <c r="I576" i="1"/>
  <c r="H576" i="1"/>
  <c r="G576" i="1"/>
  <c r="M575" i="1"/>
  <c r="L575" i="1"/>
  <c r="K575" i="1"/>
  <c r="J575" i="1"/>
  <c r="I575" i="1"/>
  <c r="H575" i="1"/>
  <c r="G575" i="1"/>
  <c r="M574" i="1"/>
  <c r="L574" i="1"/>
  <c r="K574" i="1"/>
  <c r="J574" i="1"/>
  <c r="I574" i="1"/>
  <c r="H574" i="1"/>
  <c r="G574" i="1"/>
  <c r="M573" i="1"/>
  <c r="L573" i="1"/>
  <c r="K573" i="1"/>
  <c r="J573" i="1"/>
  <c r="I573" i="1"/>
  <c r="H573" i="1"/>
  <c r="G573" i="1"/>
  <c r="M572" i="1"/>
  <c r="L572" i="1"/>
  <c r="K572" i="1"/>
  <c r="J572" i="1"/>
  <c r="I572" i="1"/>
  <c r="H572" i="1"/>
  <c r="G572" i="1"/>
  <c r="M571" i="1"/>
  <c r="L571" i="1"/>
  <c r="K571" i="1"/>
  <c r="J571" i="1"/>
  <c r="I571" i="1"/>
  <c r="H571" i="1"/>
  <c r="G571" i="1"/>
  <c r="M570" i="1"/>
  <c r="L570" i="1"/>
  <c r="K570" i="1"/>
  <c r="J570" i="1"/>
  <c r="I570" i="1"/>
  <c r="H570" i="1"/>
  <c r="G570" i="1"/>
  <c r="M569" i="1"/>
  <c r="L569" i="1"/>
  <c r="K569" i="1"/>
  <c r="J569" i="1"/>
  <c r="I569" i="1"/>
  <c r="H569" i="1"/>
  <c r="G569" i="1"/>
  <c r="M568" i="1"/>
  <c r="L568" i="1"/>
  <c r="K568" i="1"/>
  <c r="J568" i="1"/>
  <c r="I568" i="1"/>
  <c r="H568" i="1"/>
  <c r="G568" i="1"/>
  <c r="M567" i="1"/>
  <c r="L567" i="1"/>
  <c r="K567" i="1"/>
  <c r="J567" i="1"/>
  <c r="I567" i="1"/>
  <c r="H567" i="1"/>
  <c r="G567" i="1"/>
  <c r="M566" i="1"/>
  <c r="L566" i="1"/>
  <c r="K566" i="1"/>
  <c r="J566" i="1"/>
  <c r="I566" i="1"/>
  <c r="H566" i="1"/>
  <c r="G566" i="1"/>
  <c r="M565" i="1"/>
  <c r="L565" i="1"/>
  <c r="K565" i="1"/>
  <c r="J565" i="1"/>
  <c r="I565" i="1"/>
  <c r="H565" i="1"/>
  <c r="G565" i="1"/>
  <c r="M564" i="1"/>
  <c r="L564" i="1"/>
  <c r="K564" i="1"/>
  <c r="J564" i="1"/>
  <c r="I564" i="1"/>
  <c r="H564" i="1"/>
  <c r="G564" i="1"/>
  <c r="M563" i="1"/>
  <c r="L563" i="1"/>
  <c r="K563" i="1"/>
  <c r="J563" i="1"/>
  <c r="I563" i="1"/>
  <c r="H563" i="1"/>
  <c r="G563" i="1"/>
  <c r="M562" i="1"/>
  <c r="L562" i="1"/>
  <c r="K562" i="1"/>
  <c r="J562" i="1"/>
  <c r="I562" i="1"/>
  <c r="H562" i="1"/>
  <c r="G562" i="1"/>
  <c r="M561" i="1"/>
  <c r="L561" i="1"/>
  <c r="K561" i="1"/>
  <c r="J561" i="1"/>
  <c r="I561" i="1"/>
  <c r="H561" i="1"/>
  <c r="G561" i="1"/>
  <c r="M560" i="1"/>
  <c r="L560" i="1"/>
  <c r="K560" i="1"/>
  <c r="J560" i="1"/>
  <c r="I560" i="1"/>
  <c r="H560" i="1"/>
  <c r="G560" i="1"/>
  <c r="M559" i="1"/>
  <c r="L559" i="1"/>
  <c r="K559" i="1"/>
  <c r="J559" i="1"/>
  <c r="I559" i="1"/>
  <c r="H559" i="1"/>
  <c r="G559" i="1"/>
  <c r="M558" i="1"/>
  <c r="L558" i="1"/>
  <c r="K558" i="1"/>
  <c r="J558" i="1"/>
  <c r="I558" i="1"/>
  <c r="H558" i="1"/>
  <c r="G558" i="1"/>
  <c r="M557" i="1"/>
  <c r="L557" i="1"/>
  <c r="K557" i="1"/>
  <c r="J557" i="1"/>
  <c r="I557" i="1"/>
  <c r="H557" i="1"/>
  <c r="G557" i="1"/>
  <c r="M556" i="1"/>
  <c r="L556" i="1"/>
  <c r="K556" i="1"/>
  <c r="J556" i="1"/>
  <c r="I556" i="1"/>
  <c r="H556" i="1"/>
  <c r="G556" i="1"/>
  <c r="M555" i="1"/>
  <c r="L555" i="1"/>
  <c r="K555" i="1"/>
  <c r="J555" i="1"/>
  <c r="I555" i="1"/>
  <c r="H555" i="1"/>
  <c r="G555" i="1"/>
  <c r="M554" i="1"/>
  <c r="L554" i="1"/>
  <c r="K554" i="1"/>
  <c r="J554" i="1"/>
  <c r="I554" i="1"/>
  <c r="H554" i="1"/>
  <c r="G554" i="1"/>
  <c r="M553" i="1"/>
  <c r="L553" i="1"/>
  <c r="K553" i="1"/>
  <c r="J553" i="1"/>
  <c r="I553" i="1"/>
  <c r="H553" i="1"/>
  <c r="G553" i="1"/>
  <c r="M552" i="1"/>
  <c r="L552" i="1"/>
  <c r="K552" i="1"/>
  <c r="J552" i="1"/>
  <c r="I552" i="1"/>
  <c r="H552" i="1"/>
  <c r="G552" i="1"/>
  <c r="M551" i="1"/>
  <c r="L551" i="1"/>
  <c r="K551" i="1"/>
  <c r="J551" i="1"/>
  <c r="I551" i="1"/>
  <c r="H551" i="1"/>
  <c r="G551" i="1"/>
  <c r="M550" i="1"/>
  <c r="L550" i="1"/>
  <c r="K550" i="1"/>
  <c r="J550" i="1"/>
  <c r="I550" i="1"/>
  <c r="H550" i="1"/>
  <c r="G550" i="1"/>
  <c r="M549" i="1"/>
  <c r="L549" i="1"/>
  <c r="K549" i="1"/>
  <c r="J549" i="1"/>
  <c r="I549" i="1"/>
  <c r="H549" i="1"/>
  <c r="G549" i="1"/>
  <c r="M548" i="1"/>
  <c r="L548" i="1"/>
  <c r="K548" i="1"/>
  <c r="J548" i="1"/>
  <c r="I548" i="1"/>
  <c r="H548" i="1"/>
  <c r="G548" i="1"/>
  <c r="M547" i="1"/>
  <c r="L547" i="1"/>
  <c r="K547" i="1"/>
  <c r="J547" i="1"/>
  <c r="I547" i="1"/>
  <c r="H547" i="1"/>
  <c r="G547" i="1"/>
  <c r="M546" i="1"/>
  <c r="L546" i="1"/>
  <c r="K546" i="1"/>
  <c r="J546" i="1"/>
  <c r="I546" i="1"/>
  <c r="H546" i="1"/>
  <c r="G546" i="1"/>
  <c r="M545" i="1"/>
  <c r="L545" i="1"/>
  <c r="K545" i="1"/>
  <c r="J545" i="1"/>
  <c r="I545" i="1"/>
  <c r="H545" i="1"/>
  <c r="G545" i="1"/>
  <c r="M544" i="1"/>
  <c r="L544" i="1"/>
  <c r="K544" i="1"/>
  <c r="J544" i="1"/>
  <c r="I544" i="1"/>
  <c r="H544" i="1"/>
  <c r="G544" i="1"/>
  <c r="M543" i="1"/>
  <c r="L543" i="1"/>
  <c r="K543" i="1"/>
  <c r="J543" i="1"/>
  <c r="I543" i="1"/>
  <c r="H543" i="1"/>
  <c r="G543" i="1"/>
  <c r="M542" i="1"/>
  <c r="L542" i="1"/>
  <c r="K542" i="1"/>
  <c r="J542" i="1"/>
  <c r="I542" i="1"/>
  <c r="H542" i="1"/>
  <c r="G542" i="1"/>
  <c r="M541" i="1"/>
  <c r="L541" i="1"/>
  <c r="K541" i="1"/>
  <c r="J541" i="1"/>
  <c r="I541" i="1"/>
  <c r="H541" i="1"/>
  <c r="G541" i="1"/>
  <c r="M540" i="1"/>
  <c r="L540" i="1"/>
  <c r="K540" i="1"/>
  <c r="J540" i="1"/>
  <c r="I540" i="1"/>
  <c r="H540" i="1"/>
  <c r="G540" i="1"/>
  <c r="M539" i="1"/>
  <c r="L539" i="1"/>
  <c r="K539" i="1"/>
  <c r="J539" i="1"/>
  <c r="I539" i="1"/>
  <c r="H539" i="1"/>
  <c r="G539" i="1"/>
  <c r="M538" i="1"/>
  <c r="L538" i="1"/>
  <c r="K538" i="1"/>
  <c r="J538" i="1"/>
  <c r="I538" i="1"/>
  <c r="H538" i="1"/>
  <c r="G538" i="1"/>
  <c r="M537" i="1"/>
  <c r="L537" i="1"/>
  <c r="K537" i="1"/>
  <c r="J537" i="1"/>
  <c r="I537" i="1"/>
  <c r="H537" i="1"/>
  <c r="G537" i="1"/>
  <c r="M536" i="1"/>
  <c r="L536" i="1"/>
  <c r="K536" i="1"/>
  <c r="J536" i="1"/>
  <c r="I536" i="1"/>
  <c r="H536" i="1"/>
  <c r="G536" i="1"/>
  <c r="M535" i="1"/>
  <c r="L535" i="1"/>
  <c r="K535" i="1"/>
  <c r="J535" i="1"/>
  <c r="I535" i="1"/>
  <c r="H535" i="1"/>
  <c r="G535" i="1"/>
  <c r="M534" i="1"/>
  <c r="L534" i="1"/>
  <c r="K534" i="1"/>
  <c r="J534" i="1"/>
  <c r="I534" i="1"/>
  <c r="H534" i="1"/>
  <c r="G534" i="1"/>
  <c r="M533" i="1"/>
  <c r="L533" i="1"/>
  <c r="K533" i="1"/>
  <c r="J533" i="1"/>
  <c r="I533" i="1"/>
  <c r="H533" i="1"/>
  <c r="G533" i="1"/>
  <c r="M532" i="1"/>
  <c r="L532" i="1"/>
  <c r="K532" i="1"/>
  <c r="J532" i="1"/>
  <c r="I532" i="1"/>
  <c r="H532" i="1"/>
  <c r="G532" i="1"/>
  <c r="M531" i="1"/>
  <c r="L531" i="1"/>
  <c r="K531" i="1"/>
  <c r="J531" i="1"/>
  <c r="I531" i="1"/>
  <c r="H531" i="1"/>
  <c r="G531" i="1"/>
  <c r="M530" i="1"/>
  <c r="L530" i="1"/>
  <c r="K530" i="1"/>
  <c r="J530" i="1"/>
  <c r="I530" i="1"/>
  <c r="H530" i="1"/>
  <c r="G530" i="1"/>
  <c r="M529" i="1"/>
  <c r="L529" i="1"/>
  <c r="K529" i="1"/>
  <c r="J529" i="1"/>
  <c r="I529" i="1"/>
  <c r="H529" i="1"/>
  <c r="G529" i="1"/>
  <c r="M528" i="1"/>
  <c r="L528" i="1"/>
  <c r="K528" i="1"/>
  <c r="J528" i="1"/>
  <c r="I528" i="1"/>
  <c r="H528" i="1"/>
  <c r="G528" i="1"/>
  <c r="M527" i="1"/>
  <c r="L527" i="1"/>
  <c r="K527" i="1"/>
  <c r="J527" i="1"/>
  <c r="I527" i="1"/>
  <c r="H527" i="1"/>
  <c r="G527" i="1"/>
  <c r="M526" i="1"/>
  <c r="L526" i="1"/>
  <c r="K526" i="1"/>
  <c r="J526" i="1"/>
  <c r="I526" i="1"/>
  <c r="H526" i="1"/>
  <c r="G526" i="1"/>
  <c r="M525" i="1"/>
  <c r="L525" i="1"/>
  <c r="K525" i="1"/>
  <c r="J525" i="1"/>
  <c r="I525" i="1"/>
  <c r="H525" i="1"/>
  <c r="G525" i="1"/>
  <c r="M524" i="1"/>
  <c r="L524" i="1"/>
  <c r="K524" i="1"/>
  <c r="J524" i="1"/>
  <c r="I524" i="1"/>
  <c r="H524" i="1"/>
  <c r="G524" i="1"/>
  <c r="M523" i="1"/>
  <c r="L523" i="1"/>
  <c r="K523" i="1"/>
  <c r="J523" i="1"/>
  <c r="I523" i="1"/>
  <c r="H523" i="1"/>
  <c r="G523" i="1"/>
  <c r="M522" i="1"/>
  <c r="L522" i="1"/>
  <c r="K522" i="1"/>
  <c r="J522" i="1"/>
  <c r="I522" i="1"/>
  <c r="H522" i="1"/>
  <c r="G522" i="1"/>
  <c r="M521" i="1"/>
  <c r="L521" i="1"/>
  <c r="K521" i="1"/>
  <c r="J521" i="1"/>
  <c r="I521" i="1"/>
  <c r="H521" i="1"/>
  <c r="G521" i="1"/>
  <c r="M520" i="1"/>
  <c r="L520" i="1"/>
  <c r="K520" i="1"/>
  <c r="J520" i="1"/>
  <c r="I520" i="1"/>
  <c r="H520" i="1"/>
  <c r="G520" i="1"/>
  <c r="M519" i="1"/>
  <c r="L519" i="1"/>
  <c r="K519" i="1"/>
  <c r="J519" i="1"/>
  <c r="I519" i="1"/>
  <c r="H519" i="1"/>
  <c r="G519" i="1"/>
  <c r="M518" i="1"/>
  <c r="L518" i="1"/>
  <c r="K518" i="1"/>
  <c r="J518" i="1"/>
  <c r="I518" i="1"/>
  <c r="H518" i="1"/>
  <c r="G518" i="1"/>
  <c r="M517" i="1"/>
  <c r="L517" i="1"/>
  <c r="K517" i="1"/>
  <c r="J517" i="1"/>
  <c r="I517" i="1"/>
  <c r="H517" i="1"/>
  <c r="G517" i="1"/>
  <c r="M516" i="1"/>
  <c r="L516" i="1"/>
  <c r="K516" i="1"/>
  <c r="J516" i="1"/>
  <c r="I516" i="1"/>
  <c r="H516" i="1"/>
  <c r="G516" i="1"/>
  <c r="M515" i="1"/>
  <c r="L515" i="1"/>
  <c r="K515" i="1"/>
  <c r="J515" i="1"/>
  <c r="I515" i="1"/>
  <c r="H515" i="1"/>
  <c r="G515" i="1"/>
  <c r="M514" i="1"/>
  <c r="L514" i="1"/>
  <c r="K514" i="1"/>
  <c r="J514" i="1"/>
  <c r="I514" i="1"/>
  <c r="H514" i="1"/>
  <c r="G514" i="1"/>
  <c r="M513" i="1"/>
  <c r="L513" i="1"/>
  <c r="K513" i="1"/>
  <c r="J513" i="1"/>
  <c r="I513" i="1"/>
  <c r="H513" i="1"/>
  <c r="G513" i="1"/>
  <c r="M512" i="1"/>
  <c r="L512" i="1"/>
  <c r="K512" i="1"/>
  <c r="J512" i="1"/>
  <c r="I512" i="1"/>
  <c r="H512" i="1"/>
  <c r="G512" i="1"/>
  <c r="M511" i="1"/>
  <c r="L511" i="1"/>
  <c r="K511" i="1"/>
  <c r="J511" i="1"/>
  <c r="I511" i="1"/>
  <c r="H511" i="1"/>
  <c r="G511" i="1"/>
  <c r="M510" i="1"/>
  <c r="L510" i="1"/>
  <c r="K510" i="1"/>
  <c r="J510" i="1"/>
  <c r="I510" i="1"/>
  <c r="H510" i="1"/>
  <c r="G510" i="1"/>
  <c r="M509" i="1"/>
  <c r="L509" i="1"/>
  <c r="K509" i="1"/>
  <c r="J509" i="1"/>
  <c r="I509" i="1"/>
  <c r="H509" i="1"/>
  <c r="G509" i="1"/>
  <c r="M508" i="1"/>
  <c r="L508" i="1"/>
  <c r="K508" i="1"/>
  <c r="J508" i="1"/>
  <c r="I508" i="1"/>
  <c r="H508" i="1"/>
  <c r="G508" i="1"/>
  <c r="M507" i="1"/>
  <c r="L507" i="1"/>
  <c r="K507" i="1"/>
  <c r="J507" i="1"/>
  <c r="I507" i="1"/>
  <c r="H507" i="1"/>
  <c r="G507" i="1"/>
  <c r="M506" i="1"/>
  <c r="L506" i="1"/>
  <c r="K506" i="1"/>
  <c r="J506" i="1"/>
  <c r="I506" i="1"/>
  <c r="H506" i="1"/>
  <c r="G506" i="1"/>
  <c r="M505" i="1"/>
  <c r="L505" i="1"/>
  <c r="K505" i="1"/>
  <c r="J505" i="1"/>
  <c r="I505" i="1"/>
  <c r="H505" i="1"/>
  <c r="G505" i="1"/>
  <c r="M504" i="1"/>
  <c r="L504" i="1"/>
  <c r="K504" i="1"/>
  <c r="J504" i="1"/>
  <c r="I504" i="1"/>
  <c r="H504" i="1"/>
  <c r="G504" i="1"/>
  <c r="M503" i="1"/>
  <c r="L503" i="1"/>
  <c r="K503" i="1"/>
  <c r="J503" i="1"/>
  <c r="I503" i="1"/>
  <c r="H503" i="1"/>
  <c r="G503" i="1"/>
  <c r="M502" i="1"/>
  <c r="L502" i="1"/>
  <c r="K502" i="1"/>
  <c r="J502" i="1"/>
  <c r="I502" i="1"/>
  <c r="H502" i="1"/>
  <c r="G502" i="1"/>
  <c r="M501" i="1"/>
  <c r="L501" i="1"/>
  <c r="K501" i="1"/>
  <c r="J501" i="1"/>
  <c r="I501" i="1"/>
  <c r="H501" i="1"/>
  <c r="G501" i="1"/>
  <c r="M500" i="1"/>
  <c r="L500" i="1"/>
  <c r="K500" i="1"/>
  <c r="J500" i="1"/>
  <c r="I500" i="1"/>
  <c r="H500" i="1"/>
  <c r="G500" i="1"/>
  <c r="M499" i="1"/>
  <c r="L499" i="1"/>
  <c r="K499" i="1"/>
  <c r="J499" i="1"/>
  <c r="I499" i="1"/>
  <c r="H499" i="1"/>
  <c r="G499" i="1"/>
  <c r="M498" i="1"/>
  <c r="L498" i="1"/>
  <c r="K498" i="1"/>
  <c r="J498" i="1"/>
  <c r="I498" i="1"/>
  <c r="H498" i="1"/>
  <c r="G498" i="1"/>
  <c r="M497" i="1"/>
  <c r="L497" i="1"/>
  <c r="K497" i="1"/>
  <c r="J497" i="1"/>
  <c r="I497" i="1"/>
  <c r="H497" i="1"/>
  <c r="G497" i="1"/>
  <c r="M496" i="1"/>
  <c r="L496" i="1"/>
  <c r="K496" i="1"/>
  <c r="J496" i="1"/>
  <c r="I496" i="1"/>
  <c r="H496" i="1"/>
  <c r="G496" i="1"/>
  <c r="M495" i="1"/>
  <c r="L495" i="1"/>
  <c r="K495" i="1"/>
  <c r="J495" i="1"/>
  <c r="I495" i="1"/>
  <c r="H495" i="1"/>
  <c r="G495" i="1"/>
  <c r="M494" i="1"/>
  <c r="L494" i="1"/>
  <c r="K494" i="1"/>
  <c r="J494" i="1"/>
  <c r="I494" i="1"/>
  <c r="H494" i="1"/>
  <c r="G494" i="1"/>
  <c r="M493" i="1"/>
  <c r="L493" i="1"/>
  <c r="K493" i="1"/>
  <c r="J493" i="1"/>
  <c r="I493" i="1"/>
  <c r="H493" i="1"/>
  <c r="G493" i="1"/>
  <c r="M492" i="1"/>
  <c r="L492" i="1"/>
  <c r="K492" i="1"/>
  <c r="J492" i="1"/>
  <c r="I492" i="1"/>
  <c r="H492" i="1"/>
  <c r="G492" i="1"/>
  <c r="M491" i="1"/>
  <c r="L491" i="1"/>
  <c r="K491" i="1"/>
  <c r="J491" i="1"/>
  <c r="I491" i="1"/>
  <c r="H491" i="1"/>
  <c r="G491" i="1"/>
  <c r="M490" i="1"/>
  <c r="L490" i="1"/>
  <c r="K490" i="1"/>
  <c r="J490" i="1"/>
  <c r="I490" i="1"/>
  <c r="H490" i="1"/>
  <c r="G490" i="1"/>
  <c r="M489" i="1"/>
  <c r="L489" i="1"/>
  <c r="K489" i="1"/>
  <c r="J489" i="1"/>
  <c r="I489" i="1"/>
  <c r="H489" i="1"/>
  <c r="G489" i="1"/>
  <c r="M488" i="1"/>
  <c r="L488" i="1"/>
  <c r="K488" i="1"/>
  <c r="J488" i="1"/>
  <c r="I488" i="1"/>
  <c r="H488" i="1"/>
  <c r="G488" i="1"/>
  <c r="M487" i="1"/>
  <c r="L487" i="1"/>
  <c r="K487" i="1"/>
  <c r="J487" i="1"/>
  <c r="I487" i="1"/>
  <c r="H487" i="1"/>
  <c r="G487" i="1"/>
  <c r="M486" i="1"/>
  <c r="L486" i="1"/>
  <c r="K486" i="1"/>
  <c r="J486" i="1"/>
  <c r="I486" i="1"/>
  <c r="H486" i="1"/>
  <c r="G486" i="1"/>
  <c r="M485" i="1"/>
  <c r="L485" i="1"/>
  <c r="K485" i="1"/>
  <c r="J485" i="1"/>
  <c r="I485" i="1"/>
  <c r="H485" i="1"/>
  <c r="G485" i="1"/>
  <c r="M484" i="1"/>
  <c r="L484" i="1"/>
  <c r="K484" i="1"/>
  <c r="J484" i="1"/>
  <c r="I484" i="1"/>
  <c r="H484" i="1"/>
  <c r="G484" i="1"/>
  <c r="M483" i="1"/>
  <c r="L483" i="1"/>
  <c r="K483" i="1"/>
  <c r="J483" i="1"/>
  <c r="I483" i="1"/>
  <c r="H483" i="1"/>
  <c r="G483" i="1"/>
  <c r="M482" i="1"/>
  <c r="L482" i="1"/>
  <c r="K482" i="1"/>
  <c r="J482" i="1"/>
  <c r="I482" i="1"/>
  <c r="H482" i="1"/>
  <c r="G482" i="1"/>
  <c r="M481" i="1"/>
  <c r="L481" i="1"/>
  <c r="K481" i="1"/>
  <c r="J481" i="1"/>
  <c r="I481" i="1"/>
  <c r="H481" i="1"/>
  <c r="G481" i="1"/>
  <c r="M480" i="1"/>
  <c r="L480" i="1"/>
  <c r="K480" i="1"/>
  <c r="J480" i="1"/>
  <c r="I480" i="1"/>
  <c r="H480" i="1"/>
  <c r="G480" i="1"/>
  <c r="M479" i="1"/>
  <c r="L479" i="1"/>
  <c r="K479" i="1"/>
  <c r="J479" i="1"/>
  <c r="I479" i="1"/>
  <c r="H479" i="1"/>
  <c r="G479" i="1"/>
  <c r="M478" i="1"/>
  <c r="L478" i="1"/>
  <c r="K478" i="1"/>
  <c r="J478" i="1"/>
  <c r="I478" i="1"/>
  <c r="H478" i="1"/>
  <c r="G478" i="1"/>
  <c r="M477" i="1"/>
  <c r="L477" i="1"/>
  <c r="K477" i="1"/>
  <c r="J477" i="1"/>
  <c r="I477" i="1"/>
  <c r="H477" i="1"/>
  <c r="G477" i="1"/>
  <c r="M476" i="1"/>
  <c r="L476" i="1"/>
  <c r="K476" i="1"/>
  <c r="J476" i="1"/>
  <c r="I476" i="1"/>
  <c r="H476" i="1"/>
  <c r="G476" i="1"/>
  <c r="M475" i="1"/>
  <c r="L475" i="1"/>
  <c r="K475" i="1"/>
  <c r="J475" i="1"/>
  <c r="I475" i="1"/>
  <c r="H475" i="1"/>
  <c r="G475" i="1"/>
  <c r="M474" i="1"/>
  <c r="L474" i="1"/>
  <c r="K474" i="1"/>
  <c r="J474" i="1"/>
  <c r="I474" i="1"/>
  <c r="H474" i="1"/>
  <c r="G474" i="1"/>
  <c r="M473" i="1"/>
  <c r="L473" i="1"/>
  <c r="K473" i="1"/>
  <c r="J473" i="1"/>
  <c r="I473" i="1"/>
  <c r="H473" i="1"/>
  <c r="G473" i="1"/>
  <c r="M472" i="1"/>
  <c r="L472" i="1"/>
  <c r="K472" i="1"/>
  <c r="J472" i="1"/>
  <c r="I472" i="1"/>
  <c r="H472" i="1"/>
  <c r="G472" i="1"/>
  <c r="M471" i="1"/>
  <c r="L471" i="1"/>
  <c r="K471" i="1"/>
  <c r="J471" i="1"/>
  <c r="I471" i="1"/>
  <c r="H471" i="1"/>
  <c r="G471" i="1"/>
  <c r="M470" i="1"/>
  <c r="L470" i="1"/>
  <c r="K470" i="1"/>
  <c r="J470" i="1"/>
  <c r="I470" i="1"/>
  <c r="H470" i="1"/>
  <c r="G470" i="1"/>
  <c r="M469" i="1"/>
  <c r="L469" i="1"/>
  <c r="K469" i="1"/>
  <c r="J469" i="1"/>
  <c r="I469" i="1"/>
  <c r="H469" i="1"/>
  <c r="G469" i="1"/>
  <c r="M468" i="1"/>
  <c r="L468" i="1"/>
  <c r="K468" i="1"/>
  <c r="J468" i="1"/>
  <c r="I468" i="1"/>
  <c r="H468" i="1"/>
  <c r="G468" i="1"/>
  <c r="M467" i="1"/>
  <c r="L467" i="1"/>
  <c r="K467" i="1"/>
  <c r="J467" i="1"/>
  <c r="I467" i="1"/>
  <c r="H467" i="1"/>
  <c r="G467" i="1"/>
  <c r="M466" i="1"/>
  <c r="L466" i="1"/>
  <c r="K466" i="1"/>
  <c r="J466" i="1"/>
  <c r="I466" i="1"/>
  <c r="H466" i="1"/>
  <c r="G466" i="1"/>
  <c r="M465" i="1"/>
  <c r="L465" i="1"/>
  <c r="K465" i="1"/>
  <c r="J465" i="1"/>
  <c r="I465" i="1"/>
  <c r="H465" i="1"/>
  <c r="G465" i="1"/>
  <c r="M464" i="1"/>
  <c r="L464" i="1"/>
  <c r="K464" i="1"/>
  <c r="J464" i="1"/>
  <c r="I464" i="1"/>
  <c r="H464" i="1"/>
  <c r="G464" i="1"/>
  <c r="M463" i="1"/>
  <c r="L463" i="1"/>
  <c r="K463" i="1"/>
  <c r="J463" i="1"/>
  <c r="I463" i="1"/>
  <c r="H463" i="1"/>
  <c r="G463" i="1"/>
  <c r="M462" i="1"/>
  <c r="L462" i="1"/>
  <c r="K462" i="1"/>
  <c r="J462" i="1"/>
  <c r="I462" i="1"/>
  <c r="H462" i="1"/>
  <c r="G462" i="1"/>
  <c r="M461" i="1"/>
  <c r="L461" i="1"/>
  <c r="K461" i="1"/>
  <c r="J461" i="1"/>
  <c r="I461" i="1"/>
  <c r="H461" i="1"/>
  <c r="G461" i="1"/>
  <c r="M460" i="1"/>
  <c r="L460" i="1"/>
  <c r="K460" i="1"/>
  <c r="J460" i="1"/>
  <c r="I460" i="1"/>
  <c r="H460" i="1"/>
  <c r="G460" i="1"/>
  <c r="M459" i="1"/>
  <c r="L459" i="1"/>
  <c r="K459" i="1"/>
  <c r="J459" i="1"/>
  <c r="I459" i="1"/>
  <c r="H459" i="1"/>
  <c r="G459" i="1"/>
  <c r="M458" i="1"/>
  <c r="L458" i="1"/>
  <c r="K458" i="1"/>
  <c r="J458" i="1"/>
  <c r="I458" i="1"/>
  <c r="H458" i="1"/>
  <c r="G458" i="1"/>
  <c r="M457" i="1"/>
  <c r="L457" i="1"/>
  <c r="K457" i="1"/>
  <c r="J457" i="1"/>
  <c r="I457" i="1"/>
  <c r="H457" i="1"/>
  <c r="G457" i="1"/>
  <c r="M456" i="1"/>
  <c r="L456" i="1"/>
  <c r="K456" i="1"/>
  <c r="J456" i="1"/>
  <c r="I456" i="1"/>
  <c r="H456" i="1"/>
  <c r="G456" i="1"/>
  <c r="M455" i="1"/>
  <c r="L455" i="1"/>
  <c r="K455" i="1"/>
  <c r="J455" i="1"/>
  <c r="I455" i="1"/>
  <c r="H455" i="1"/>
  <c r="G455" i="1"/>
  <c r="M454" i="1"/>
  <c r="L454" i="1"/>
  <c r="K454" i="1"/>
  <c r="J454" i="1"/>
  <c r="I454" i="1"/>
  <c r="H454" i="1"/>
  <c r="G454" i="1"/>
  <c r="M453" i="1"/>
  <c r="L453" i="1"/>
  <c r="K453" i="1"/>
  <c r="J453" i="1"/>
  <c r="I453" i="1"/>
  <c r="H453" i="1"/>
  <c r="G453" i="1"/>
  <c r="M452" i="1"/>
  <c r="L452" i="1"/>
  <c r="K452" i="1"/>
  <c r="J452" i="1"/>
  <c r="I452" i="1"/>
  <c r="H452" i="1"/>
  <c r="G452" i="1"/>
  <c r="M451" i="1"/>
  <c r="L451" i="1"/>
  <c r="K451" i="1"/>
  <c r="J451" i="1"/>
  <c r="I451" i="1"/>
  <c r="H451" i="1"/>
  <c r="G451" i="1"/>
  <c r="M450" i="1"/>
  <c r="L450" i="1"/>
  <c r="K450" i="1"/>
  <c r="J450" i="1"/>
  <c r="I450" i="1"/>
  <c r="H450" i="1"/>
  <c r="G450" i="1"/>
  <c r="M449" i="1"/>
  <c r="L449" i="1"/>
  <c r="K449" i="1"/>
  <c r="J449" i="1"/>
  <c r="I449" i="1"/>
  <c r="H449" i="1"/>
  <c r="G449" i="1"/>
  <c r="M448" i="1"/>
  <c r="L448" i="1"/>
  <c r="K448" i="1"/>
  <c r="J448" i="1"/>
  <c r="I448" i="1"/>
  <c r="H448" i="1"/>
  <c r="G448" i="1"/>
  <c r="M447" i="1"/>
  <c r="L447" i="1"/>
  <c r="K447" i="1"/>
  <c r="J447" i="1"/>
  <c r="I447" i="1"/>
  <c r="H447" i="1"/>
  <c r="G447" i="1"/>
  <c r="M446" i="1"/>
  <c r="L446" i="1"/>
  <c r="K446" i="1"/>
  <c r="J446" i="1"/>
  <c r="I446" i="1"/>
  <c r="H446" i="1"/>
  <c r="G446" i="1"/>
  <c r="M445" i="1"/>
  <c r="L445" i="1"/>
  <c r="K445" i="1"/>
  <c r="J445" i="1"/>
  <c r="I445" i="1"/>
  <c r="H445" i="1"/>
  <c r="G445" i="1"/>
  <c r="M444" i="1"/>
  <c r="L444" i="1"/>
  <c r="K444" i="1"/>
  <c r="J444" i="1"/>
  <c r="I444" i="1"/>
  <c r="H444" i="1"/>
  <c r="G444" i="1"/>
  <c r="M443" i="1"/>
  <c r="L443" i="1"/>
  <c r="K443" i="1"/>
  <c r="J443" i="1"/>
  <c r="I443" i="1"/>
  <c r="H443" i="1"/>
  <c r="G443" i="1"/>
  <c r="M442" i="1"/>
  <c r="L442" i="1"/>
  <c r="K442" i="1"/>
  <c r="J442" i="1"/>
  <c r="I442" i="1"/>
  <c r="H442" i="1"/>
  <c r="G442" i="1"/>
  <c r="M441" i="1"/>
  <c r="L441" i="1"/>
  <c r="K441" i="1"/>
  <c r="J441" i="1"/>
  <c r="I441" i="1"/>
  <c r="H441" i="1"/>
  <c r="G441" i="1"/>
  <c r="M440" i="1"/>
  <c r="L440" i="1"/>
  <c r="K440" i="1"/>
  <c r="J440" i="1"/>
  <c r="I440" i="1"/>
  <c r="H440" i="1"/>
  <c r="G440" i="1"/>
  <c r="M439" i="1"/>
  <c r="L439" i="1"/>
  <c r="K439" i="1"/>
  <c r="J439" i="1"/>
  <c r="I439" i="1"/>
  <c r="H439" i="1"/>
  <c r="G439" i="1"/>
  <c r="M438" i="1"/>
  <c r="L438" i="1"/>
  <c r="K438" i="1"/>
  <c r="J438" i="1"/>
  <c r="I438" i="1"/>
  <c r="H438" i="1"/>
  <c r="G438" i="1"/>
  <c r="M437" i="1"/>
  <c r="L437" i="1"/>
  <c r="K437" i="1"/>
  <c r="J437" i="1"/>
  <c r="I437" i="1"/>
  <c r="H437" i="1"/>
  <c r="G437" i="1"/>
  <c r="M436" i="1"/>
  <c r="L436" i="1"/>
  <c r="K436" i="1"/>
  <c r="J436" i="1"/>
  <c r="I436" i="1"/>
  <c r="H436" i="1"/>
  <c r="G436" i="1"/>
  <c r="M435" i="1"/>
  <c r="L435" i="1"/>
  <c r="K435" i="1"/>
  <c r="J435" i="1"/>
  <c r="I435" i="1"/>
  <c r="H435" i="1"/>
  <c r="G435" i="1"/>
  <c r="M434" i="1"/>
  <c r="L434" i="1"/>
  <c r="K434" i="1"/>
  <c r="J434" i="1"/>
  <c r="I434" i="1"/>
  <c r="H434" i="1"/>
  <c r="G434" i="1"/>
  <c r="M433" i="1"/>
  <c r="L433" i="1"/>
  <c r="K433" i="1"/>
  <c r="J433" i="1"/>
  <c r="I433" i="1"/>
  <c r="H433" i="1"/>
  <c r="G433" i="1"/>
  <c r="M432" i="1"/>
  <c r="L432" i="1"/>
  <c r="K432" i="1"/>
  <c r="J432" i="1"/>
  <c r="I432" i="1"/>
  <c r="H432" i="1"/>
  <c r="G432" i="1"/>
  <c r="M431" i="1"/>
  <c r="L431" i="1"/>
  <c r="K431" i="1"/>
  <c r="J431" i="1"/>
  <c r="I431" i="1"/>
  <c r="H431" i="1"/>
  <c r="G431" i="1"/>
  <c r="M430" i="1"/>
  <c r="L430" i="1"/>
  <c r="K430" i="1"/>
  <c r="J430" i="1"/>
  <c r="I430" i="1"/>
  <c r="H430" i="1"/>
  <c r="G430" i="1"/>
  <c r="M429" i="1"/>
  <c r="L429" i="1"/>
  <c r="K429" i="1"/>
  <c r="J429" i="1"/>
  <c r="I429" i="1"/>
  <c r="H429" i="1"/>
  <c r="G429" i="1"/>
  <c r="M428" i="1"/>
  <c r="L428" i="1"/>
  <c r="K428" i="1"/>
  <c r="J428" i="1"/>
  <c r="I428" i="1"/>
  <c r="H428" i="1"/>
  <c r="G428" i="1"/>
  <c r="M427" i="1"/>
  <c r="L427" i="1"/>
  <c r="K427" i="1"/>
  <c r="J427" i="1"/>
  <c r="I427" i="1"/>
  <c r="H427" i="1"/>
  <c r="G427" i="1"/>
  <c r="M426" i="1"/>
  <c r="L426" i="1"/>
  <c r="K426" i="1"/>
  <c r="J426" i="1"/>
  <c r="I426" i="1"/>
  <c r="H426" i="1"/>
  <c r="G426" i="1"/>
  <c r="M425" i="1"/>
  <c r="L425" i="1"/>
  <c r="K425" i="1"/>
  <c r="J425" i="1"/>
  <c r="I425" i="1"/>
  <c r="H425" i="1"/>
  <c r="G425" i="1"/>
  <c r="M424" i="1"/>
  <c r="L424" i="1"/>
  <c r="K424" i="1"/>
  <c r="J424" i="1"/>
  <c r="I424" i="1"/>
  <c r="H424" i="1"/>
  <c r="G424" i="1"/>
  <c r="M423" i="1"/>
  <c r="L423" i="1"/>
  <c r="K423" i="1"/>
  <c r="J423" i="1"/>
  <c r="I423" i="1"/>
  <c r="H423" i="1"/>
  <c r="G423" i="1"/>
  <c r="M422" i="1"/>
  <c r="L422" i="1"/>
  <c r="K422" i="1"/>
  <c r="J422" i="1"/>
  <c r="I422" i="1"/>
  <c r="H422" i="1"/>
  <c r="G422" i="1"/>
  <c r="M421" i="1"/>
  <c r="L421" i="1"/>
  <c r="K421" i="1"/>
  <c r="J421" i="1"/>
  <c r="I421" i="1"/>
  <c r="H421" i="1"/>
  <c r="G421" i="1"/>
  <c r="M420" i="1"/>
  <c r="L420" i="1"/>
  <c r="K420" i="1"/>
  <c r="J420" i="1"/>
  <c r="I420" i="1"/>
  <c r="H420" i="1"/>
  <c r="G420" i="1"/>
  <c r="M419" i="1"/>
  <c r="L419" i="1"/>
  <c r="K419" i="1"/>
  <c r="J419" i="1"/>
  <c r="I419" i="1"/>
  <c r="H419" i="1"/>
  <c r="G419" i="1"/>
  <c r="M418" i="1"/>
  <c r="L418" i="1"/>
  <c r="K418" i="1"/>
  <c r="J418" i="1"/>
  <c r="I418" i="1"/>
  <c r="H418" i="1"/>
  <c r="G418" i="1"/>
  <c r="M417" i="1"/>
  <c r="L417" i="1"/>
  <c r="K417" i="1"/>
  <c r="J417" i="1"/>
  <c r="I417" i="1"/>
  <c r="H417" i="1"/>
  <c r="G417" i="1"/>
  <c r="M416" i="1"/>
  <c r="L416" i="1"/>
  <c r="K416" i="1"/>
  <c r="J416" i="1"/>
  <c r="I416" i="1"/>
  <c r="H416" i="1"/>
  <c r="G416" i="1"/>
  <c r="M415" i="1"/>
  <c r="L415" i="1"/>
  <c r="K415" i="1"/>
  <c r="J415" i="1"/>
  <c r="I415" i="1"/>
  <c r="H415" i="1"/>
  <c r="G415" i="1"/>
  <c r="M414" i="1"/>
  <c r="L414" i="1"/>
  <c r="K414" i="1"/>
  <c r="J414" i="1"/>
  <c r="I414" i="1"/>
  <c r="H414" i="1"/>
  <c r="G414" i="1"/>
  <c r="M413" i="1"/>
  <c r="L413" i="1"/>
  <c r="K413" i="1"/>
  <c r="J413" i="1"/>
  <c r="I413" i="1"/>
  <c r="H413" i="1"/>
  <c r="G413" i="1"/>
  <c r="M412" i="1"/>
  <c r="L412" i="1"/>
  <c r="K412" i="1"/>
  <c r="J412" i="1"/>
  <c r="I412" i="1"/>
  <c r="H412" i="1"/>
  <c r="G412" i="1"/>
  <c r="M411" i="1"/>
  <c r="L411" i="1"/>
  <c r="K411" i="1"/>
  <c r="J411" i="1"/>
  <c r="I411" i="1"/>
  <c r="H411" i="1"/>
  <c r="G411" i="1"/>
  <c r="M410" i="1"/>
  <c r="L410" i="1"/>
  <c r="K410" i="1"/>
  <c r="J410" i="1"/>
  <c r="I410" i="1"/>
  <c r="H410" i="1"/>
  <c r="G410" i="1"/>
  <c r="M409" i="1"/>
  <c r="L409" i="1"/>
  <c r="K409" i="1"/>
  <c r="J409" i="1"/>
  <c r="I409" i="1"/>
  <c r="H409" i="1"/>
  <c r="G409" i="1"/>
  <c r="M408" i="1"/>
  <c r="L408" i="1"/>
  <c r="K408" i="1"/>
  <c r="J408" i="1"/>
  <c r="I408" i="1"/>
  <c r="H408" i="1"/>
  <c r="G408" i="1"/>
  <c r="M407" i="1"/>
  <c r="L407" i="1"/>
  <c r="K407" i="1"/>
  <c r="J407" i="1"/>
  <c r="I407" i="1"/>
  <c r="H407" i="1"/>
  <c r="G407" i="1"/>
  <c r="M406" i="1"/>
  <c r="L406" i="1"/>
  <c r="K406" i="1"/>
  <c r="J406" i="1"/>
  <c r="I406" i="1"/>
  <c r="H406" i="1"/>
  <c r="G406" i="1"/>
  <c r="M405" i="1"/>
  <c r="L405" i="1"/>
  <c r="K405" i="1"/>
  <c r="J405" i="1"/>
  <c r="I405" i="1"/>
  <c r="H405" i="1"/>
  <c r="G405" i="1"/>
  <c r="M404" i="1"/>
  <c r="L404" i="1"/>
  <c r="K404" i="1"/>
  <c r="J404" i="1"/>
  <c r="I404" i="1"/>
  <c r="H404" i="1"/>
  <c r="G404" i="1"/>
  <c r="M403" i="1"/>
  <c r="L403" i="1"/>
  <c r="K403" i="1"/>
  <c r="J403" i="1"/>
  <c r="I403" i="1"/>
  <c r="H403" i="1"/>
  <c r="G403" i="1"/>
  <c r="M402" i="1"/>
  <c r="L402" i="1"/>
  <c r="K402" i="1"/>
  <c r="J402" i="1"/>
  <c r="I402" i="1"/>
  <c r="H402" i="1"/>
  <c r="G402" i="1"/>
  <c r="M401" i="1"/>
  <c r="L401" i="1"/>
  <c r="K401" i="1"/>
  <c r="J401" i="1"/>
  <c r="I401" i="1"/>
  <c r="H401" i="1"/>
  <c r="G401" i="1"/>
  <c r="M400" i="1"/>
  <c r="L400" i="1"/>
  <c r="K400" i="1"/>
  <c r="J400" i="1"/>
  <c r="I400" i="1"/>
  <c r="H400" i="1"/>
  <c r="G400" i="1"/>
  <c r="M399" i="1"/>
  <c r="L399" i="1"/>
  <c r="K399" i="1"/>
  <c r="J399" i="1"/>
  <c r="I399" i="1"/>
  <c r="H399" i="1"/>
  <c r="G399" i="1"/>
  <c r="M398" i="1"/>
  <c r="L398" i="1"/>
  <c r="K398" i="1"/>
  <c r="J398" i="1"/>
  <c r="I398" i="1"/>
  <c r="H398" i="1"/>
  <c r="G398" i="1"/>
  <c r="M397" i="1"/>
  <c r="L397" i="1"/>
  <c r="K397" i="1"/>
  <c r="J397" i="1"/>
  <c r="I397" i="1"/>
  <c r="H397" i="1"/>
  <c r="G397" i="1"/>
  <c r="M396" i="1"/>
  <c r="L396" i="1"/>
  <c r="K396" i="1"/>
  <c r="J396" i="1"/>
  <c r="I396" i="1"/>
  <c r="H396" i="1"/>
  <c r="G396" i="1"/>
  <c r="M395" i="1"/>
  <c r="L395" i="1"/>
  <c r="K395" i="1"/>
  <c r="J395" i="1"/>
  <c r="I395" i="1"/>
  <c r="H395" i="1"/>
  <c r="G395" i="1"/>
  <c r="M394" i="1"/>
  <c r="L394" i="1"/>
  <c r="K394" i="1"/>
  <c r="J394" i="1"/>
  <c r="I394" i="1"/>
  <c r="H394" i="1"/>
  <c r="G394" i="1"/>
  <c r="M393" i="1"/>
  <c r="L393" i="1"/>
  <c r="K393" i="1"/>
  <c r="J393" i="1"/>
  <c r="I393" i="1"/>
  <c r="H393" i="1"/>
  <c r="G393" i="1"/>
  <c r="M392" i="1"/>
  <c r="L392" i="1"/>
  <c r="K392" i="1"/>
  <c r="J392" i="1"/>
  <c r="I392" i="1"/>
  <c r="H392" i="1"/>
  <c r="G392" i="1"/>
  <c r="M391" i="1"/>
  <c r="L391" i="1"/>
  <c r="K391" i="1"/>
  <c r="J391" i="1"/>
  <c r="I391" i="1"/>
  <c r="H391" i="1"/>
  <c r="G391" i="1"/>
  <c r="M390" i="1"/>
  <c r="L390" i="1"/>
  <c r="K390" i="1"/>
  <c r="J390" i="1"/>
  <c r="I390" i="1"/>
  <c r="H390" i="1"/>
  <c r="G390" i="1"/>
  <c r="M389" i="1"/>
  <c r="L389" i="1"/>
  <c r="K389" i="1"/>
  <c r="J389" i="1"/>
  <c r="I389" i="1"/>
  <c r="H389" i="1"/>
  <c r="G389" i="1"/>
  <c r="M388" i="1"/>
  <c r="L388" i="1"/>
  <c r="K388" i="1"/>
  <c r="J388" i="1"/>
  <c r="I388" i="1"/>
  <c r="H388" i="1"/>
  <c r="G388" i="1"/>
  <c r="M387" i="1"/>
  <c r="L387" i="1"/>
  <c r="K387" i="1"/>
  <c r="J387" i="1"/>
  <c r="I387" i="1"/>
  <c r="H387" i="1"/>
  <c r="G387" i="1"/>
  <c r="M386" i="1"/>
  <c r="L386" i="1"/>
  <c r="K386" i="1"/>
  <c r="J386" i="1"/>
  <c r="I386" i="1"/>
  <c r="H386" i="1"/>
  <c r="G386" i="1"/>
  <c r="M385" i="1"/>
  <c r="L385" i="1"/>
  <c r="K385" i="1"/>
  <c r="J385" i="1"/>
  <c r="I385" i="1"/>
  <c r="H385" i="1"/>
  <c r="G385" i="1"/>
  <c r="M384" i="1"/>
  <c r="L384" i="1"/>
  <c r="K384" i="1"/>
  <c r="J384" i="1"/>
  <c r="I384" i="1"/>
  <c r="H384" i="1"/>
  <c r="G384" i="1"/>
  <c r="M383" i="1"/>
  <c r="L383" i="1"/>
  <c r="K383" i="1"/>
  <c r="J383" i="1"/>
  <c r="I383" i="1"/>
  <c r="H383" i="1"/>
  <c r="G383" i="1"/>
  <c r="M382" i="1"/>
  <c r="L382" i="1"/>
  <c r="K382" i="1"/>
  <c r="J382" i="1"/>
  <c r="I382" i="1"/>
  <c r="H382" i="1"/>
  <c r="G382" i="1"/>
  <c r="M381" i="1"/>
  <c r="L381" i="1"/>
  <c r="K381" i="1"/>
  <c r="J381" i="1"/>
  <c r="I381" i="1"/>
  <c r="H381" i="1"/>
  <c r="G381" i="1"/>
  <c r="M380" i="1"/>
  <c r="L380" i="1"/>
  <c r="K380" i="1"/>
  <c r="J380" i="1"/>
  <c r="I380" i="1"/>
  <c r="H380" i="1"/>
  <c r="G380" i="1"/>
  <c r="M379" i="1"/>
  <c r="L379" i="1"/>
  <c r="K379" i="1"/>
  <c r="J379" i="1"/>
  <c r="I379" i="1"/>
  <c r="H379" i="1"/>
  <c r="G379" i="1"/>
  <c r="M378" i="1"/>
  <c r="L378" i="1"/>
  <c r="K378" i="1"/>
  <c r="J378" i="1"/>
  <c r="I378" i="1"/>
  <c r="H378" i="1"/>
  <c r="G378" i="1"/>
  <c r="M377" i="1"/>
  <c r="L377" i="1"/>
  <c r="K377" i="1"/>
  <c r="J377" i="1"/>
  <c r="I377" i="1"/>
  <c r="H377" i="1"/>
  <c r="G377" i="1"/>
  <c r="M376" i="1"/>
  <c r="L376" i="1"/>
  <c r="K376" i="1"/>
  <c r="J376" i="1"/>
  <c r="I376" i="1"/>
  <c r="H376" i="1"/>
  <c r="G376" i="1"/>
  <c r="M375" i="1"/>
  <c r="L375" i="1"/>
  <c r="K375" i="1"/>
  <c r="J375" i="1"/>
  <c r="I375" i="1"/>
  <c r="H375" i="1"/>
  <c r="G375" i="1"/>
  <c r="M374" i="1"/>
  <c r="L374" i="1"/>
  <c r="K374" i="1"/>
  <c r="J374" i="1"/>
  <c r="I374" i="1"/>
  <c r="H374" i="1"/>
  <c r="G374" i="1"/>
  <c r="M373" i="1"/>
  <c r="L373" i="1"/>
  <c r="K373" i="1"/>
  <c r="J373" i="1"/>
  <c r="I373" i="1"/>
  <c r="H373" i="1"/>
  <c r="G373" i="1"/>
  <c r="M372" i="1"/>
  <c r="L372" i="1"/>
  <c r="K372" i="1"/>
  <c r="J372" i="1"/>
  <c r="I372" i="1"/>
  <c r="H372" i="1"/>
  <c r="G372" i="1"/>
  <c r="M371" i="1"/>
  <c r="L371" i="1"/>
  <c r="K371" i="1"/>
  <c r="J371" i="1"/>
  <c r="I371" i="1"/>
  <c r="H371" i="1"/>
  <c r="G371" i="1"/>
  <c r="M370" i="1"/>
  <c r="L370" i="1"/>
  <c r="K370" i="1"/>
  <c r="J370" i="1"/>
  <c r="I370" i="1"/>
  <c r="H370" i="1"/>
  <c r="G370" i="1"/>
  <c r="M369" i="1"/>
  <c r="L369" i="1"/>
  <c r="K369" i="1"/>
  <c r="J369" i="1"/>
  <c r="I369" i="1"/>
  <c r="H369" i="1"/>
  <c r="G369" i="1"/>
  <c r="M368" i="1"/>
  <c r="L368" i="1"/>
  <c r="K368" i="1"/>
  <c r="J368" i="1"/>
  <c r="I368" i="1"/>
  <c r="H368" i="1"/>
  <c r="G368" i="1"/>
  <c r="M367" i="1"/>
  <c r="L367" i="1"/>
  <c r="K367" i="1"/>
  <c r="J367" i="1"/>
  <c r="I367" i="1"/>
  <c r="H367" i="1"/>
  <c r="G367" i="1"/>
  <c r="M366" i="1"/>
  <c r="L366" i="1"/>
  <c r="K366" i="1"/>
  <c r="J366" i="1"/>
  <c r="I366" i="1"/>
  <c r="H366" i="1"/>
  <c r="G366" i="1"/>
  <c r="M365" i="1"/>
  <c r="L365" i="1"/>
  <c r="K365" i="1"/>
  <c r="J365" i="1"/>
  <c r="I365" i="1"/>
  <c r="H365" i="1"/>
  <c r="G365" i="1"/>
  <c r="M364" i="1"/>
  <c r="L364" i="1"/>
  <c r="K364" i="1"/>
  <c r="J364" i="1"/>
  <c r="I364" i="1"/>
  <c r="H364" i="1"/>
  <c r="G364" i="1"/>
  <c r="M363" i="1"/>
  <c r="L363" i="1"/>
  <c r="K363" i="1"/>
  <c r="J363" i="1"/>
  <c r="I363" i="1"/>
  <c r="H363" i="1"/>
  <c r="G363" i="1"/>
  <c r="M362" i="1"/>
  <c r="L362" i="1"/>
  <c r="K362" i="1"/>
  <c r="J362" i="1"/>
  <c r="I362" i="1"/>
  <c r="H362" i="1"/>
  <c r="G362" i="1"/>
  <c r="M361" i="1"/>
  <c r="L361" i="1"/>
  <c r="K361" i="1"/>
  <c r="J361" i="1"/>
  <c r="I361" i="1"/>
  <c r="H361" i="1"/>
  <c r="G361" i="1"/>
  <c r="M360" i="1"/>
  <c r="L360" i="1"/>
  <c r="K360" i="1"/>
  <c r="J360" i="1"/>
  <c r="I360" i="1"/>
  <c r="H360" i="1"/>
  <c r="G360" i="1"/>
  <c r="M359" i="1"/>
  <c r="L359" i="1"/>
  <c r="K359" i="1"/>
  <c r="J359" i="1"/>
  <c r="I359" i="1"/>
  <c r="H359" i="1"/>
  <c r="G359" i="1"/>
  <c r="M358" i="1"/>
  <c r="L358" i="1"/>
  <c r="K358" i="1"/>
  <c r="J358" i="1"/>
  <c r="I358" i="1"/>
  <c r="H358" i="1"/>
  <c r="G358" i="1"/>
  <c r="M357" i="1"/>
  <c r="L357" i="1"/>
  <c r="K357" i="1"/>
  <c r="J357" i="1"/>
  <c r="I357" i="1"/>
  <c r="H357" i="1"/>
  <c r="G357" i="1"/>
  <c r="M356" i="1"/>
  <c r="L356" i="1"/>
  <c r="K356" i="1"/>
  <c r="J356" i="1"/>
  <c r="I356" i="1"/>
  <c r="H356" i="1"/>
  <c r="G356" i="1"/>
  <c r="M355" i="1"/>
  <c r="L355" i="1"/>
  <c r="K355" i="1"/>
  <c r="J355" i="1"/>
  <c r="I355" i="1"/>
  <c r="H355" i="1"/>
  <c r="G355" i="1"/>
  <c r="M354" i="1"/>
  <c r="L354" i="1"/>
  <c r="K354" i="1"/>
  <c r="J354" i="1"/>
  <c r="I354" i="1"/>
  <c r="H354" i="1"/>
  <c r="G354" i="1"/>
  <c r="M353" i="1"/>
  <c r="L353" i="1"/>
  <c r="K353" i="1"/>
  <c r="J353" i="1"/>
  <c r="I353" i="1"/>
  <c r="H353" i="1"/>
  <c r="G353" i="1"/>
  <c r="M352" i="1"/>
  <c r="L352" i="1"/>
  <c r="K352" i="1"/>
  <c r="J352" i="1"/>
  <c r="I352" i="1"/>
  <c r="H352" i="1"/>
  <c r="G352" i="1"/>
  <c r="M351" i="1"/>
  <c r="L351" i="1"/>
  <c r="K351" i="1"/>
  <c r="J351" i="1"/>
  <c r="I351" i="1"/>
  <c r="H351" i="1"/>
  <c r="G351" i="1"/>
  <c r="M350" i="1"/>
  <c r="L350" i="1"/>
  <c r="K350" i="1"/>
  <c r="J350" i="1"/>
  <c r="I350" i="1"/>
  <c r="H350" i="1"/>
  <c r="G350" i="1"/>
  <c r="M349" i="1"/>
  <c r="L349" i="1"/>
  <c r="K349" i="1"/>
  <c r="J349" i="1"/>
  <c r="I349" i="1"/>
  <c r="H349" i="1"/>
  <c r="G349" i="1"/>
  <c r="M348" i="1"/>
  <c r="L348" i="1"/>
  <c r="K348" i="1"/>
  <c r="J348" i="1"/>
  <c r="I348" i="1"/>
  <c r="H348" i="1"/>
  <c r="G348" i="1"/>
  <c r="M347" i="1"/>
  <c r="L347" i="1"/>
  <c r="K347" i="1"/>
  <c r="J347" i="1"/>
  <c r="I347" i="1"/>
  <c r="H347" i="1"/>
  <c r="G347" i="1"/>
  <c r="M346" i="1"/>
  <c r="L346" i="1"/>
  <c r="K346" i="1"/>
  <c r="J346" i="1"/>
  <c r="I346" i="1"/>
  <c r="H346" i="1"/>
  <c r="G346" i="1"/>
  <c r="M345" i="1"/>
  <c r="L345" i="1"/>
  <c r="K345" i="1"/>
  <c r="J345" i="1"/>
  <c r="I345" i="1"/>
  <c r="H345" i="1"/>
  <c r="G345" i="1"/>
  <c r="M344" i="1"/>
  <c r="L344" i="1"/>
  <c r="K344" i="1"/>
  <c r="J344" i="1"/>
  <c r="I344" i="1"/>
  <c r="H344" i="1"/>
  <c r="G344" i="1"/>
  <c r="M343" i="1"/>
  <c r="L343" i="1"/>
  <c r="K343" i="1"/>
  <c r="J343" i="1"/>
  <c r="I343" i="1"/>
  <c r="H343" i="1"/>
  <c r="G343" i="1"/>
  <c r="M342" i="1"/>
  <c r="L342" i="1"/>
  <c r="K342" i="1"/>
  <c r="J342" i="1"/>
  <c r="I342" i="1"/>
  <c r="H342" i="1"/>
  <c r="G342" i="1"/>
  <c r="M341" i="1"/>
  <c r="L341" i="1"/>
  <c r="K341" i="1"/>
  <c r="J341" i="1"/>
  <c r="I341" i="1"/>
  <c r="H341" i="1"/>
  <c r="G341" i="1"/>
  <c r="M340" i="1"/>
  <c r="L340" i="1"/>
  <c r="K340" i="1"/>
  <c r="J340" i="1"/>
  <c r="I340" i="1"/>
  <c r="H340" i="1"/>
  <c r="G340" i="1"/>
  <c r="M339" i="1"/>
  <c r="L339" i="1"/>
  <c r="K339" i="1"/>
  <c r="J339" i="1"/>
  <c r="I339" i="1"/>
  <c r="H339" i="1"/>
  <c r="G339" i="1"/>
  <c r="M338" i="1"/>
  <c r="L338" i="1"/>
  <c r="K338" i="1"/>
  <c r="J338" i="1"/>
  <c r="I338" i="1"/>
  <c r="H338" i="1"/>
  <c r="G338" i="1"/>
  <c r="M337" i="1"/>
  <c r="L337" i="1"/>
  <c r="K337" i="1"/>
  <c r="J337" i="1"/>
  <c r="I337" i="1"/>
  <c r="H337" i="1"/>
  <c r="G337" i="1"/>
  <c r="M336" i="1"/>
  <c r="L336" i="1"/>
  <c r="K336" i="1"/>
  <c r="J336" i="1"/>
  <c r="I336" i="1"/>
  <c r="H336" i="1"/>
  <c r="G336" i="1"/>
  <c r="M335" i="1"/>
  <c r="L335" i="1"/>
  <c r="K335" i="1"/>
  <c r="J335" i="1"/>
  <c r="I335" i="1"/>
  <c r="H335" i="1"/>
  <c r="G335" i="1"/>
  <c r="M334" i="1"/>
  <c r="L334" i="1"/>
  <c r="K334" i="1"/>
  <c r="J334" i="1"/>
  <c r="I334" i="1"/>
  <c r="H334" i="1"/>
  <c r="G334" i="1"/>
  <c r="M333" i="1"/>
  <c r="L333" i="1"/>
  <c r="K333" i="1"/>
  <c r="J333" i="1"/>
  <c r="I333" i="1"/>
  <c r="H333" i="1"/>
  <c r="G333" i="1"/>
  <c r="M332" i="1"/>
  <c r="L332" i="1"/>
  <c r="K332" i="1"/>
  <c r="J332" i="1"/>
  <c r="I332" i="1"/>
  <c r="H332" i="1"/>
  <c r="G332" i="1"/>
  <c r="M331" i="1"/>
  <c r="L331" i="1"/>
  <c r="K331" i="1"/>
  <c r="J331" i="1"/>
  <c r="I331" i="1"/>
  <c r="H331" i="1"/>
  <c r="G331" i="1"/>
  <c r="M330" i="1"/>
  <c r="L330" i="1"/>
  <c r="K330" i="1"/>
  <c r="J330" i="1"/>
  <c r="I330" i="1"/>
  <c r="H330" i="1"/>
  <c r="G330" i="1"/>
  <c r="M329" i="1"/>
  <c r="L329" i="1"/>
  <c r="K329" i="1"/>
  <c r="J329" i="1"/>
  <c r="I329" i="1"/>
  <c r="H329" i="1"/>
  <c r="G329" i="1"/>
  <c r="M328" i="1"/>
  <c r="L328" i="1"/>
  <c r="K328" i="1"/>
  <c r="J328" i="1"/>
  <c r="I328" i="1"/>
  <c r="H328" i="1"/>
  <c r="G328" i="1"/>
  <c r="M327" i="1"/>
  <c r="L327" i="1"/>
  <c r="K327" i="1"/>
  <c r="J327" i="1"/>
  <c r="I327" i="1"/>
  <c r="H327" i="1"/>
  <c r="G327" i="1"/>
  <c r="M326" i="1"/>
  <c r="L326" i="1"/>
  <c r="K326" i="1"/>
  <c r="J326" i="1"/>
  <c r="I326" i="1"/>
  <c r="H326" i="1"/>
  <c r="G326" i="1"/>
  <c r="M325" i="1"/>
  <c r="L325" i="1"/>
  <c r="K325" i="1"/>
  <c r="J325" i="1"/>
  <c r="I325" i="1"/>
  <c r="H325" i="1"/>
  <c r="G325" i="1"/>
  <c r="M324" i="1"/>
  <c r="L324" i="1"/>
  <c r="K324" i="1"/>
  <c r="J324" i="1"/>
  <c r="I324" i="1"/>
  <c r="H324" i="1"/>
  <c r="G324" i="1"/>
  <c r="M323" i="1"/>
  <c r="L323" i="1"/>
  <c r="K323" i="1"/>
  <c r="J323" i="1"/>
  <c r="I323" i="1"/>
  <c r="H323" i="1"/>
  <c r="G323" i="1"/>
  <c r="M322" i="1"/>
  <c r="L322" i="1"/>
  <c r="K322" i="1"/>
  <c r="J322" i="1"/>
  <c r="I322" i="1"/>
  <c r="H322" i="1"/>
  <c r="G322" i="1"/>
  <c r="M321" i="1"/>
  <c r="L321" i="1"/>
  <c r="K321" i="1"/>
  <c r="J321" i="1"/>
  <c r="I321" i="1"/>
  <c r="H321" i="1"/>
  <c r="G321" i="1"/>
  <c r="M320" i="1"/>
  <c r="L320" i="1"/>
  <c r="K320" i="1"/>
  <c r="J320" i="1"/>
  <c r="I320" i="1"/>
  <c r="H320" i="1"/>
  <c r="G320" i="1"/>
  <c r="M319" i="1"/>
  <c r="L319" i="1"/>
  <c r="K319" i="1"/>
  <c r="J319" i="1"/>
  <c r="I319" i="1"/>
  <c r="H319" i="1"/>
  <c r="G319" i="1"/>
  <c r="M318" i="1"/>
  <c r="L318" i="1"/>
  <c r="K318" i="1"/>
  <c r="J318" i="1"/>
  <c r="I318" i="1"/>
  <c r="H318" i="1"/>
  <c r="G318" i="1"/>
  <c r="M317" i="1"/>
  <c r="L317" i="1"/>
  <c r="K317" i="1"/>
  <c r="J317" i="1"/>
  <c r="I317" i="1"/>
  <c r="H317" i="1"/>
  <c r="G317" i="1"/>
  <c r="M316" i="1"/>
  <c r="L316" i="1"/>
  <c r="K316" i="1"/>
  <c r="J316" i="1"/>
  <c r="I316" i="1"/>
  <c r="H316" i="1"/>
  <c r="G316" i="1"/>
  <c r="M315" i="1"/>
  <c r="L315" i="1"/>
  <c r="K315" i="1"/>
  <c r="J315" i="1"/>
  <c r="I315" i="1"/>
  <c r="H315" i="1"/>
  <c r="G315" i="1"/>
  <c r="M314" i="1"/>
  <c r="L314" i="1"/>
  <c r="K314" i="1"/>
  <c r="J314" i="1"/>
  <c r="I314" i="1"/>
  <c r="H314" i="1"/>
  <c r="G314" i="1"/>
  <c r="M313" i="1"/>
  <c r="L313" i="1"/>
  <c r="K313" i="1"/>
  <c r="J313" i="1"/>
  <c r="I313" i="1"/>
  <c r="H313" i="1"/>
  <c r="G313" i="1"/>
  <c r="M312" i="1"/>
  <c r="L312" i="1"/>
  <c r="K312" i="1"/>
  <c r="J312" i="1"/>
  <c r="I312" i="1"/>
  <c r="H312" i="1"/>
  <c r="G312" i="1"/>
  <c r="M311" i="1"/>
  <c r="L311" i="1"/>
  <c r="K311" i="1"/>
  <c r="J311" i="1"/>
  <c r="I311" i="1"/>
  <c r="H311" i="1"/>
  <c r="G311" i="1"/>
  <c r="M310" i="1"/>
  <c r="L310" i="1"/>
  <c r="K310" i="1"/>
  <c r="J310" i="1"/>
  <c r="I310" i="1"/>
  <c r="H310" i="1"/>
  <c r="G310" i="1"/>
  <c r="M309" i="1"/>
  <c r="L309" i="1"/>
  <c r="K309" i="1"/>
  <c r="J309" i="1"/>
  <c r="I309" i="1"/>
  <c r="H309" i="1"/>
  <c r="G309" i="1"/>
  <c r="M308" i="1"/>
  <c r="L308" i="1"/>
  <c r="K308" i="1"/>
  <c r="J308" i="1"/>
  <c r="I308" i="1"/>
  <c r="H308" i="1"/>
  <c r="G308" i="1"/>
  <c r="M307" i="1"/>
  <c r="L307" i="1"/>
  <c r="K307" i="1"/>
  <c r="J307" i="1"/>
  <c r="I307" i="1"/>
  <c r="H307" i="1"/>
  <c r="G307" i="1"/>
  <c r="M306" i="1"/>
  <c r="L306" i="1"/>
  <c r="K306" i="1"/>
  <c r="J306" i="1"/>
  <c r="I306" i="1"/>
  <c r="H306" i="1"/>
  <c r="G306" i="1"/>
  <c r="M305" i="1"/>
  <c r="L305" i="1"/>
  <c r="K305" i="1"/>
  <c r="J305" i="1"/>
  <c r="I305" i="1"/>
  <c r="H305" i="1"/>
  <c r="G305" i="1"/>
  <c r="M304" i="1"/>
  <c r="L304" i="1"/>
  <c r="K304" i="1"/>
  <c r="J304" i="1"/>
  <c r="I304" i="1"/>
  <c r="H304" i="1"/>
  <c r="G304" i="1"/>
  <c r="M303" i="1"/>
  <c r="L303" i="1"/>
  <c r="K303" i="1"/>
  <c r="J303" i="1"/>
  <c r="I303" i="1"/>
  <c r="H303" i="1"/>
  <c r="G303" i="1"/>
  <c r="M302" i="1"/>
  <c r="L302" i="1"/>
  <c r="K302" i="1"/>
  <c r="J302" i="1"/>
  <c r="I302" i="1"/>
  <c r="H302" i="1"/>
  <c r="G302" i="1"/>
  <c r="M301" i="1"/>
  <c r="L301" i="1"/>
  <c r="K301" i="1"/>
  <c r="J301" i="1"/>
  <c r="I301" i="1"/>
  <c r="H301" i="1"/>
  <c r="G301" i="1"/>
  <c r="M300" i="1"/>
  <c r="L300" i="1"/>
  <c r="K300" i="1"/>
  <c r="J300" i="1"/>
  <c r="I300" i="1"/>
  <c r="H300" i="1"/>
  <c r="G300" i="1"/>
  <c r="M299" i="1"/>
  <c r="L299" i="1"/>
  <c r="K299" i="1"/>
  <c r="J299" i="1"/>
  <c r="I299" i="1"/>
  <c r="H299" i="1"/>
  <c r="G299" i="1"/>
  <c r="M298" i="1"/>
  <c r="L298" i="1"/>
  <c r="K298" i="1"/>
  <c r="J298" i="1"/>
  <c r="I298" i="1"/>
  <c r="H298" i="1"/>
  <c r="G298" i="1"/>
  <c r="M297" i="1"/>
  <c r="L297" i="1"/>
  <c r="K297" i="1"/>
  <c r="J297" i="1"/>
  <c r="I297" i="1"/>
  <c r="H297" i="1"/>
  <c r="G297" i="1"/>
  <c r="M296" i="1"/>
  <c r="L296" i="1"/>
  <c r="K296" i="1"/>
  <c r="J296" i="1"/>
  <c r="I296" i="1"/>
  <c r="H296" i="1"/>
  <c r="G296" i="1"/>
  <c r="M295" i="1"/>
  <c r="L295" i="1"/>
  <c r="K295" i="1"/>
  <c r="J295" i="1"/>
  <c r="I295" i="1"/>
  <c r="H295" i="1"/>
  <c r="G295" i="1"/>
  <c r="M294" i="1"/>
  <c r="L294" i="1"/>
  <c r="K294" i="1"/>
  <c r="J294" i="1"/>
  <c r="I294" i="1"/>
  <c r="H294" i="1"/>
  <c r="G294" i="1"/>
  <c r="M293" i="1"/>
  <c r="L293" i="1"/>
  <c r="K293" i="1"/>
  <c r="J293" i="1"/>
  <c r="I293" i="1"/>
  <c r="H293" i="1"/>
  <c r="G293" i="1"/>
  <c r="M292" i="1"/>
  <c r="L292" i="1"/>
  <c r="K292" i="1"/>
  <c r="J292" i="1"/>
  <c r="I292" i="1"/>
  <c r="H292" i="1"/>
  <c r="G292" i="1"/>
  <c r="M291" i="1"/>
  <c r="L291" i="1"/>
  <c r="K291" i="1"/>
  <c r="J291" i="1"/>
  <c r="I291" i="1"/>
  <c r="H291" i="1"/>
  <c r="G291" i="1"/>
  <c r="M290" i="1"/>
  <c r="L290" i="1"/>
  <c r="K290" i="1"/>
  <c r="J290" i="1"/>
  <c r="I290" i="1"/>
  <c r="H290" i="1"/>
  <c r="G290" i="1"/>
  <c r="M289" i="1"/>
  <c r="L289" i="1"/>
  <c r="K289" i="1"/>
  <c r="J289" i="1"/>
  <c r="I289" i="1"/>
  <c r="H289" i="1"/>
  <c r="G289" i="1"/>
  <c r="M288" i="1"/>
  <c r="L288" i="1"/>
  <c r="K288" i="1"/>
  <c r="J288" i="1"/>
  <c r="I288" i="1"/>
  <c r="H288" i="1"/>
  <c r="G288" i="1"/>
  <c r="M287" i="1"/>
  <c r="L287" i="1"/>
  <c r="K287" i="1"/>
  <c r="J287" i="1"/>
  <c r="I287" i="1"/>
  <c r="H287" i="1"/>
  <c r="G287" i="1"/>
  <c r="M286" i="1"/>
  <c r="L286" i="1"/>
  <c r="K286" i="1"/>
  <c r="J286" i="1"/>
  <c r="I286" i="1"/>
  <c r="H286" i="1"/>
  <c r="G286" i="1"/>
  <c r="M285" i="1"/>
  <c r="L285" i="1"/>
  <c r="K285" i="1"/>
  <c r="J285" i="1"/>
  <c r="I285" i="1"/>
  <c r="H285" i="1"/>
  <c r="G285" i="1"/>
  <c r="M284" i="1"/>
  <c r="L284" i="1"/>
  <c r="K284" i="1"/>
  <c r="J284" i="1"/>
  <c r="I284" i="1"/>
  <c r="H284" i="1"/>
  <c r="G284" i="1"/>
  <c r="M283" i="1"/>
  <c r="L283" i="1"/>
  <c r="K283" i="1"/>
  <c r="J283" i="1"/>
  <c r="I283" i="1"/>
  <c r="H283" i="1"/>
  <c r="G283" i="1"/>
  <c r="M282" i="1"/>
  <c r="L282" i="1"/>
  <c r="K282" i="1"/>
  <c r="J282" i="1"/>
  <c r="I282" i="1"/>
  <c r="H282" i="1"/>
  <c r="G282" i="1"/>
  <c r="M281" i="1"/>
  <c r="L281" i="1"/>
  <c r="K281" i="1"/>
  <c r="J281" i="1"/>
  <c r="I281" i="1"/>
  <c r="H281" i="1"/>
  <c r="G281" i="1"/>
  <c r="M280" i="1"/>
  <c r="L280" i="1"/>
  <c r="K280" i="1"/>
  <c r="J280" i="1"/>
  <c r="I280" i="1"/>
  <c r="H280" i="1"/>
  <c r="G280" i="1"/>
  <c r="M279" i="1"/>
  <c r="L279" i="1"/>
  <c r="K279" i="1"/>
  <c r="J279" i="1"/>
  <c r="I279" i="1"/>
  <c r="H279" i="1"/>
  <c r="G279" i="1"/>
  <c r="M278" i="1"/>
  <c r="L278" i="1"/>
  <c r="K278" i="1"/>
  <c r="J278" i="1"/>
  <c r="I278" i="1"/>
  <c r="H278" i="1"/>
  <c r="G278" i="1"/>
  <c r="M277" i="1"/>
  <c r="L277" i="1"/>
  <c r="K277" i="1"/>
  <c r="J277" i="1"/>
  <c r="I277" i="1"/>
  <c r="H277" i="1"/>
  <c r="G277" i="1"/>
  <c r="M276" i="1"/>
  <c r="L276" i="1"/>
  <c r="K276" i="1"/>
  <c r="J276" i="1"/>
  <c r="I276" i="1"/>
  <c r="H276" i="1"/>
  <c r="G276" i="1"/>
  <c r="M275" i="1"/>
  <c r="L275" i="1"/>
  <c r="K275" i="1"/>
  <c r="J275" i="1"/>
  <c r="I275" i="1"/>
  <c r="H275" i="1"/>
  <c r="G275" i="1"/>
  <c r="M274" i="1"/>
  <c r="L274" i="1"/>
  <c r="K274" i="1"/>
  <c r="J274" i="1"/>
  <c r="I274" i="1"/>
  <c r="H274" i="1"/>
  <c r="G274" i="1"/>
  <c r="M273" i="1"/>
  <c r="L273" i="1"/>
  <c r="K273" i="1"/>
  <c r="J273" i="1"/>
  <c r="I273" i="1"/>
  <c r="H273" i="1"/>
  <c r="G273" i="1"/>
  <c r="M272" i="1"/>
  <c r="L272" i="1"/>
  <c r="K272" i="1"/>
  <c r="J272" i="1"/>
  <c r="I272" i="1"/>
  <c r="H272" i="1"/>
  <c r="G272" i="1"/>
  <c r="M271" i="1"/>
  <c r="L271" i="1"/>
  <c r="K271" i="1"/>
  <c r="J271" i="1"/>
  <c r="I271" i="1"/>
  <c r="H271" i="1"/>
  <c r="G271" i="1"/>
  <c r="M270" i="1"/>
  <c r="L270" i="1"/>
  <c r="K270" i="1"/>
  <c r="J270" i="1"/>
  <c r="I270" i="1"/>
  <c r="H270" i="1"/>
  <c r="G270" i="1"/>
  <c r="M269" i="1"/>
  <c r="L269" i="1"/>
  <c r="K269" i="1"/>
  <c r="J269" i="1"/>
  <c r="I269" i="1"/>
  <c r="H269" i="1"/>
  <c r="G269" i="1"/>
  <c r="M268" i="1"/>
  <c r="L268" i="1"/>
  <c r="K268" i="1"/>
  <c r="J268" i="1"/>
  <c r="I268" i="1"/>
  <c r="H268" i="1"/>
  <c r="G268" i="1"/>
  <c r="M267" i="1"/>
  <c r="L267" i="1"/>
  <c r="K267" i="1"/>
  <c r="J267" i="1"/>
  <c r="I267" i="1"/>
  <c r="H267" i="1"/>
  <c r="G267" i="1"/>
  <c r="M266" i="1"/>
  <c r="L266" i="1"/>
  <c r="K266" i="1"/>
  <c r="J266" i="1"/>
  <c r="I266" i="1"/>
  <c r="H266" i="1"/>
  <c r="G266" i="1"/>
  <c r="M265" i="1"/>
  <c r="L265" i="1"/>
  <c r="K265" i="1"/>
  <c r="J265" i="1"/>
  <c r="I265" i="1"/>
  <c r="H265" i="1"/>
  <c r="G265" i="1"/>
  <c r="M264" i="1"/>
  <c r="L264" i="1"/>
  <c r="K264" i="1"/>
  <c r="J264" i="1"/>
  <c r="I264" i="1"/>
  <c r="H264" i="1"/>
  <c r="G264" i="1"/>
  <c r="M263" i="1"/>
  <c r="L263" i="1"/>
  <c r="K263" i="1"/>
  <c r="J263" i="1"/>
  <c r="I263" i="1"/>
  <c r="H263" i="1"/>
  <c r="G263" i="1"/>
  <c r="M262" i="1"/>
  <c r="L262" i="1"/>
  <c r="K262" i="1"/>
  <c r="J262" i="1"/>
  <c r="I262" i="1"/>
  <c r="H262" i="1"/>
  <c r="G262" i="1"/>
  <c r="M261" i="1"/>
  <c r="L261" i="1"/>
  <c r="K261" i="1"/>
  <c r="J261" i="1"/>
  <c r="I261" i="1"/>
  <c r="H261" i="1"/>
  <c r="G261" i="1"/>
  <c r="M260" i="1"/>
  <c r="L260" i="1"/>
  <c r="K260" i="1"/>
  <c r="J260" i="1"/>
  <c r="I260" i="1"/>
  <c r="H260" i="1"/>
  <c r="G260" i="1"/>
  <c r="M259" i="1"/>
  <c r="L259" i="1"/>
  <c r="K259" i="1"/>
  <c r="J259" i="1"/>
  <c r="I259" i="1"/>
  <c r="H259" i="1"/>
  <c r="G259" i="1"/>
  <c r="M258" i="1"/>
  <c r="L258" i="1"/>
  <c r="K258" i="1"/>
  <c r="J258" i="1"/>
  <c r="I258" i="1"/>
  <c r="H258" i="1"/>
  <c r="G258" i="1"/>
  <c r="M257" i="1"/>
  <c r="L257" i="1"/>
  <c r="K257" i="1"/>
  <c r="J257" i="1"/>
  <c r="I257" i="1"/>
  <c r="H257" i="1"/>
  <c r="G257" i="1"/>
  <c r="M256" i="1"/>
  <c r="L256" i="1"/>
  <c r="K256" i="1"/>
  <c r="J256" i="1"/>
  <c r="I256" i="1"/>
  <c r="H256" i="1"/>
  <c r="G256" i="1"/>
  <c r="M255" i="1"/>
  <c r="L255" i="1"/>
  <c r="K255" i="1"/>
  <c r="J255" i="1"/>
  <c r="I255" i="1"/>
  <c r="H255" i="1"/>
  <c r="G255" i="1"/>
  <c r="M254" i="1"/>
  <c r="L254" i="1"/>
  <c r="K254" i="1"/>
  <c r="J254" i="1"/>
  <c r="I254" i="1"/>
  <c r="H254" i="1"/>
  <c r="G254" i="1"/>
  <c r="M253" i="1"/>
  <c r="L253" i="1"/>
  <c r="K253" i="1"/>
  <c r="J253" i="1"/>
  <c r="I253" i="1"/>
  <c r="H253" i="1"/>
  <c r="G253" i="1"/>
  <c r="M252" i="1"/>
  <c r="L252" i="1"/>
  <c r="K252" i="1"/>
  <c r="J252" i="1"/>
  <c r="I252" i="1"/>
  <c r="H252" i="1"/>
  <c r="G252" i="1"/>
  <c r="M251" i="1"/>
  <c r="L251" i="1"/>
  <c r="K251" i="1"/>
  <c r="J251" i="1"/>
  <c r="I251" i="1"/>
  <c r="H251" i="1"/>
  <c r="G251" i="1"/>
  <c r="M250" i="1"/>
  <c r="L250" i="1"/>
  <c r="K250" i="1"/>
  <c r="J250" i="1"/>
  <c r="I250" i="1"/>
  <c r="H250" i="1"/>
  <c r="G250" i="1"/>
  <c r="M249" i="1"/>
  <c r="L249" i="1"/>
  <c r="K249" i="1"/>
  <c r="J249" i="1"/>
  <c r="I249" i="1"/>
  <c r="H249" i="1"/>
  <c r="G249" i="1"/>
  <c r="M248" i="1"/>
  <c r="L248" i="1"/>
  <c r="K248" i="1"/>
  <c r="J248" i="1"/>
  <c r="I248" i="1"/>
  <c r="H248" i="1"/>
  <c r="G248" i="1"/>
  <c r="M247" i="1"/>
  <c r="L247" i="1"/>
  <c r="K247" i="1"/>
  <c r="J247" i="1"/>
  <c r="I247" i="1"/>
  <c r="H247" i="1"/>
  <c r="G247" i="1"/>
  <c r="M246" i="1"/>
  <c r="L246" i="1"/>
  <c r="K246" i="1"/>
  <c r="J246" i="1"/>
  <c r="I246" i="1"/>
  <c r="H246" i="1"/>
  <c r="G246" i="1"/>
  <c r="M245" i="1"/>
  <c r="L245" i="1"/>
  <c r="K245" i="1"/>
  <c r="J245" i="1"/>
  <c r="I245" i="1"/>
  <c r="H245" i="1"/>
  <c r="G245" i="1"/>
  <c r="M244" i="1"/>
  <c r="L244" i="1"/>
  <c r="K244" i="1"/>
  <c r="J244" i="1"/>
  <c r="I244" i="1"/>
  <c r="H244" i="1"/>
  <c r="G244" i="1"/>
  <c r="M243" i="1"/>
  <c r="L243" i="1"/>
  <c r="K243" i="1"/>
  <c r="J243" i="1"/>
  <c r="I243" i="1"/>
  <c r="H243" i="1"/>
  <c r="G243" i="1"/>
  <c r="M242" i="1"/>
  <c r="L242" i="1"/>
  <c r="K242" i="1"/>
  <c r="J242" i="1"/>
  <c r="I242" i="1"/>
  <c r="H242" i="1"/>
  <c r="G242" i="1"/>
  <c r="M241" i="1"/>
  <c r="L241" i="1"/>
  <c r="K241" i="1"/>
  <c r="J241" i="1"/>
  <c r="I241" i="1"/>
  <c r="H241" i="1"/>
  <c r="G241" i="1"/>
  <c r="M240" i="1"/>
  <c r="L240" i="1"/>
  <c r="K240" i="1"/>
  <c r="J240" i="1"/>
  <c r="I240" i="1"/>
  <c r="H240" i="1"/>
  <c r="G240" i="1"/>
  <c r="M239" i="1"/>
  <c r="L239" i="1"/>
  <c r="K239" i="1"/>
  <c r="J239" i="1"/>
  <c r="I239" i="1"/>
  <c r="H239" i="1"/>
  <c r="G239" i="1"/>
  <c r="M238" i="1"/>
  <c r="L238" i="1"/>
  <c r="K238" i="1"/>
  <c r="J238" i="1"/>
  <c r="I238" i="1"/>
  <c r="H238" i="1"/>
  <c r="G238" i="1"/>
  <c r="M237" i="1"/>
  <c r="L237" i="1"/>
  <c r="K237" i="1"/>
  <c r="J237" i="1"/>
  <c r="I237" i="1"/>
  <c r="H237" i="1"/>
  <c r="G237" i="1"/>
  <c r="M236" i="1"/>
  <c r="L236" i="1"/>
  <c r="K236" i="1"/>
  <c r="J236" i="1"/>
  <c r="I236" i="1"/>
  <c r="H236" i="1"/>
  <c r="G236" i="1"/>
  <c r="M235" i="1"/>
  <c r="L235" i="1"/>
  <c r="K235" i="1"/>
  <c r="J235" i="1"/>
  <c r="I235" i="1"/>
  <c r="H235" i="1"/>
  <c r="G235" i="1"/>
  <c r="M234" i="1"/>
  <c r="L234" i="1"/>
  <c r="K234" i="1"/>
  <c r="J234" i="1"/>
  <c r="I234" i="1"/>
  <c r="H234" i="1"/>
  <c r="G234" i="1"/>
  <c r="M233" i="1"/>
  <c r="L233" i="1"/>
  <c r="K233" i="1"/>
  <c r="J233" i="1"/>
  <c r="I233" i="1"/>
  <c r="H233" i="1"/>
  <c r="G233" i="1"/>
  <c r="M232" i="1"/>
  <c r="L232" i="1"/>
  <c r="K232" i="1"/>
  <c r="J232" i="1"/>
  <c r="I232" i="1"/>
  <c r="H232" i="1"/>
  <c r="G232" i="1"/>
  <c r="M231" i="1"/>
  <c r="L231" i="1"/>
  <c r="K231" i="1"/>
  <c r="J231" i="1"/>
  <c r="I231" i="1"/>
  <c r="H231" i="1"/>
  <c r="G231" i="1"/>
  <c r="M230" i="1"/>
  <c r="L230" i="1"/>
  <c r="K230" i="1"/>
  <c r="J230" i="1"/>
  <c r="I230" i="1"/>
  <c r="H230" i="1"/>
  <c r="G230" i="1"/>
  <c r="M229" i="1"/>
  <c r="L229" i="1"/>
  <c r="K229" i="1"/>
  <c r="J229" i="1"/>
  <c r="I229" i="1"/>
  <c r="H229" i="1"/>
  <c r="G229" i="1"/>
  <c r="M228" i="1"/>
  <c r="L228" i="1"/>
  <c r="K228" i="1"/>
  <c r="J228" i="1"/>
  <c r="I228" i="1"/>
  <c r="H228" i="1"/>
  <c r="G228" i="1"/>
  <c r="M227" i="1"/>
  <c r="L227" i="1"/>
  <c r="K227" i="1"/>
  <c r="J227" i="1"/>
  <c r="I227" i="1"/>
  <c r="H227" i="1"/>
  <c r="G227" i="1"/>
  <c r="M226" i="1"/>
  <c r="L226" i="1"/>
  <c r="K226" i="1"/>
  <c r="J226" i="1"/>
  <c r="I226" i="1"/>
  <c r="H226" i="1"/>
  <c r="G226" i="1"/>
  <c r="M225" i="1"/>
  <c r="L225" i="1"/>
  <c r="K225" i="1"/>
  <c r="J225" i="1"/>
  <c r="I225" i="1"/>
  <c r="H225" i="1"/>
  <c r="G225" i="1"/>
  <c r="M224" i="1"/>
  <c r="L224" i="1"/>
  <c r="K224" i="1"/>
  <c r="J224" i="1"/>
  <c r="I224" i="1"/>
  <c r="H224" i="1"/>
  <c r="G224" i="1"/>
  <c r="M223" i="1"/>
  <c r="L223" i="1"/>
  <c r="K223" i="1"/>
  <c r="J223" i="1"/>
  <c r="I223" i="1"/>
  <c r="H223" i="1"/>
  <c r="G223" i="1"/>
  <c r="M222" i="1"/>
  <c r="L222" i="1"/>
  <c r="K222" i="1"/>
  <c r="J222" i="1"/>
  <c r="I222" i="1"/>
  <c r="H222" i="1"/>
  <c r="G222" i="1"/>
  <c r="M221" i="1"/>
  <c r="L221" i="1"/>
  <c r="K221" i="1"/>
  <c r="J221" i="1"/>
  <c r="I221" i="1"/>
  <c r="H221" i="1"/>
  <c r="G221" i="1"/>
  <c r="M220" i="1"/>
  <c r="L220" i="1"/>
  <c r="K220" i="1"/>
  <c r="J220" i="1"/>
  <c r="I220" i="1"/>
  <c r="H220" i="1"/>
  <c r="G220" i="1"/>
  <c r="M219" i="1"/>
  <c r="L219" i="1"/>
  <c r="K219" i="1"/>
  <c r="J219" i="1"/>
  <c r="I219" i="1"/>
  <c r="H219" i="1"/>
  <c r="G219" i="1"/>
  <c r="M218" i="1"/>
  <c r="L218" i="1"/>
  <c r="K218" i="1"/>
  <c r="J218" i="1"/>
  <c r="I218" i="1"/>
  <c r="H218" i="1"/>
  <c r="G218" i="1"/>
  <c r="M217" i="1"/>
  <c r="L217" i="1"/>
  <c r="K217" i="1"/>
  <c r="J217" i="1"/>
  <c r="I217" i="1"/>
  <c r="H217" i="1"/>
  <c r="G217" i="1"/>
  <c r="M216" i="1"/>
  <c r="L216" i="1"/>
  <c r="K216" i="1"/>
  <c r="J216" i="1"/>
  <c r="I216" i="1"/>
  <c r="H216" i="1"/>
  <c r="G216" i="1"/>
  <c r="M215" i="1"/>
  <c r="L215" i="1"/>
  <c r="K215" i="1"/>
  <c r="J215" i="1"/>
  <c r="I215" i="1"/>
  <c r="H215" i="1"/>
  <c r="G215" i="1"/>
  <c r="M214" i="1"/>
  <c r="L214" i="1"/>
  <c r="K214" i="1"/>
  <c r="J214" i="1"/>
  <c r="I214" i="1"/>
  <c r="H214" i="1"/>
  <c r="G214" i="1"/>
  <c r="M213" i="1"/>
  <c r="L213" i="1"/>
  <c r="K213" i="1"/>
  <c r="J213" i="1"/>
  <c r="I213" i="1"/>
  <c r="H213" i="1"/>
  <c r="G213" i="1"/>
  <c r="M212" i="1"/>
  <c r="L212" i="1"/>
  <c r="K212" i="1"/>
  <c r="J212" i="1"/>
  <c r="I212" i="1"/>
  <c r="H212" i="1"/>
  <c r="G212" i="1"/>
  <c r="M211" i="1"/>
  <c r="L211" i="1"/>
  <c r="K211" i="1"/>
  <c r="J211" i="1"/>
  <c r="I211" i="1"/>
  <c r="H211" i="1"/>
  <c r="G211" i="1"/>
  <c r="M210" i="1"/>
  <c r="L210" i="1"/>
  <c r="K210" i="1"/>
  <c r="J210" i="1"/>
  <c r="I210" i="1"/>
  <c r="H210" i="1"/>
  <c r="G210" i="1"/>
  <c r="M209" i="1"/>
  <c r="L209" i="1"/>
  <c r="K209" i="1"/>
  <c r="J209" i="1"/>
  <c r="I209" i="1"/>
  <c r="H209" i="1"/>
  <c r="G209" i="1"/>
  <c r="M208" i="1"/>
  <c r="L208" i="1"/>
  <c r="K208" i="1"/>
  <c r="J208" i="1"/>
  <c r="I208" i="1"/>
  <c r="H208" i="1"/>
  <c r="G208" i="1"/>
  <c r="M207" i="1"/>
  <c r="L207" i="1"/>
  <c r="K207" i="1"/>
  <c r="J207" i="1"/>
  <c r="I207" i="1"/>
  <c r="H207" i="1"/>
  <c r="G207" i="1"/>
  <c r="M206" i="1"/>
  <c r="L206" i="1"/>
  <c r="K206" i="1"/>
  <c r="J206" i="1"/>
  <c r="I206" i="1"/>
  <c r="H206" i="1"/>
  <c r="G206" i="1"/>
  <c r="M205" i="1"/>
  <c r="L205" i="1"/>
  <c r="K205" i="1"/>
  <c r="J205" i="1"/>
  <c r="I205" i="1"/>
  <c r="H205" i="1"/>
  <c r="G205" i="1"/>
  <c r="M204" i="1"/>
  <c r="L204" i="1"/>
  <c r="K204" i="1"/>
  <c r="J204" i="1"/>
  <c r="I204" i="1"/>
  <c r="H204" i="1"/>
  <c r="G204" i="1"/>
  <c r="M203" i="1"/>
  <c r="L203" i="1"/>
  <c r="K203" i="1"/>
  <c r="J203" i="1"/>
  <c r="I203" i="1"/>
  <c r="H203" i="1"/>
  <c r="G203" i="1"/>
  <c r="M202" i="1"/>
  <c r="L202" i="1"/>
  <c r="K202" i="1"/>
  <c r="J202" i="1"/>
  <c r="I202" i="1"/>
  <c r="H202" i="1"/>
  <c r="G202" i="1"/>
  <c r="M201" i="1"/>
  <c r="L201" i="1"/>
  <c r="K201" i="1"/>
  <c r="J201" i="1"/>
  <c r="I201" i="1"/>
  <c r="H201" i="1"/>
  <c r="G201" i="1"/>
  <c r="M200" i="1"/>
  <c r="L200" i="1"/>
  <c r="K200" i="1"/>
  <c r="J200" i="1"/>
  <c r="I200" i="1"/>
  <c r="H200" i="1"/>
  <c r="G200" i="1"/>
  <c r="M199" i="1"/>
  <c r="L199" i="1"/>
  <c r="K199" i="1"/>
  <c r="J199" i="1"/>
  <c r="I199" i="1"/>
  <c r="H199" i="1"/>
  <c r="G199" i="1"/>
  <c r="M198" i="1"/>
  <c r="L198" i="1"/>
  <c r="K198" i="1"/>
  <c r="J198" i="1"/>
  <c r="I198" i="1"/>
  <c r="H198" i="1"/>
  <c r="G198" i="1"/>
  <c r="M197" i="1"/>
  <c r="L197" i="1"/>
  <c r="K197" i="1"/>
  <c r="J197" i="1"/>
  <c r="I197" i="1"/>
  <c r="H197" i="1"/>
  <c r="G197" i="1"/>
  <c r="M196" i="1"/>
  <c r="L196" i="1"/>
  <c r="K196" i="1"/>
  <c r="J196" i="1"/>
  <c r="I196" i="1"/>
  <c r="H196" i="1"/>
  <c r="G196" i="1"/>
  <c r="M195" i="1"/>
  <c r="L195" i="1"/>
  <c r="K195" i="1"/>
  <c r="J195" i="1"/>
  <c r="I195" i="1"/>
  <c r="H195" i="1"/>
  <c r="G195" i="1"/>
  <c r="M194" i="1"/>
  <c r="L194" i="1"/>
  <c r="K194" i="1"/>
  <c r="J194" i="1"/>
  <c r="I194" i="1"/>
  <c r="H194" i="1"/>
  <c r="G194" i="1"/>
  <c r="M193" i="1"/>
  <c r="L193" i="1"/>
  <c r="K193" i="1"/>
  <c r="J193" i="1"/>
  <c r="I193" i="1"/>
  <c r="H193" i="1"/>
  <c r="G193" i="1"/>
  <c r="M192" i="1"/>
  <c r="L192" i="1"/>
  <c r="K192" i="1"/>
  <c r="J192" i="1"/>
  <c r="I192" i="1"/>
  <c r="H192" i="1"/>
  <c r="G192" i="1"/>
  <c r="M191" i="1"/>
  <c r="L191" i="1"/>
  <c r="K191" i="1"/>
  <c r="J191" i="1"/>
  <c r="I191" i="1"/>
  <c r="H191" i="1"/>
  <c r="G191" i="1"/>
  <c r="M190" i="1"/>
  <c r="L190" i="1"/>
  <c r="K190" i="1"/>
  <c r="J190" i="1"/>
  <c r="I190" i="1"/>
  <c r="H190" i="1"/>
  <c r="G190" i="1"/>
  <c r="M189" i="1"/>
  <c r="L189" i="1"/>
  <c r="K189" i="1"/>
  <c r="J189" i="1"/>
  <c r="I189" i="1"/>
  <c r="H189" i="1"/>
  <c r="G189" i="1"/>
  <c r="M188" i="1"/>
  <c r="L188" i="1"/>
  <c r="K188" i="1"/>
  <c r="J188" i="1"/>
  <c r="I188" i="1"/>
  <c r="H188" i="1"/>
  <c r="G188" i="1"/>
  <c r="M187" i="1"/>
  <c r="L187" i="1"/>
  <c r="K187" i="1"/>
  <c r="J187" i="1"/>
  <c r="I187" i="1"/>
  <c r="H187" i="1"/>
  <c r="G187" i="1"/>
  <c r="M186" i="1"/>
  <c r="L186" i="1"/>
  <c r="K186" i="1"/>
  <c r="J186" i="1"/>
  <c r="I186" i="1"/>
  <c r="H186" i="1"/>
  <c r="G186" i="1"/>
  <c r="M185" i="1"/>
  <c r="L185" i="1"/>
  <c r="K185" i="1"/>
  <c r="J185" i="1"/>
  <c r="I185" i="1"/>
  <c r="H185" i="1"/>
  <c r="G185" i="1"/>
  <c r="M184" i="1"/>
  <c r="L184" i="1"/>
  <c r="K184" i="1"/>
  <c r="J184" i="1"/>
  <c r="I184" i="1"/>
  <c r="H184" i="1"/>
  <c r="G184" i="1"/>
  <c r="M183" i="1"/>
  <c r="L183" i="1"/>
  <c r="K183" i="1"/>
  <c r="J183" i="1"/>
  <c r="I183" i="1"/>
  <c r="H183" i="1"/>
  <c r="G183" i="1"/>
  <c r="M182" i="1"/>
  <c r="L182" i="1"/>
  <c r="K182" i="1"/>
  <c r="J182" i="1"/>
  <c r="I182" i="1"/>
  <c r="H182" i="1"/>
  <c r="G182" i="1"/>
  <c r="M181" i="1"/>
  <c r="L181" i="1"/>
  <c r="K181" i="1"/>
  <c r="J181" i="1"/>
  <c r="I181" i="1"/>
  <c r="H181" i="1"/>
  <c r="G181" i="1"/>
  <c r="M180" i="1"/>
  <c r="L180" i="1"/>
  <c r="K180" i="1"/>
  <c r="J180" i="1"/>
  <c r="I180" i="1"/>
  <c r="H180" i="1"/>
  <c r="G180" i="1"/>
  <c r="M179" i="1"/>
  <c r="L179" i="1"/>
  <c r="K179" i="1"/>
  <c r="J179" i="1"/>
  <c r="I179" i="1"/>
  <c r="H179" i="1"/>
  <c r="G179" i="1"/>
  <c r="M178" i="1"/>
  <c r="L178" i="1"/>
  <c r="K178" i="1"/>
  <c r="J178" i="1"/>
  <c r="I178" i="1"/>
  <c r="H178" i="1"/>
  <c r="G178" i="1"/>
  <c r="M177" i="1"/>
  <c r="L177" i="1"/>
  <c r="K177" i="1"/>
  <c r="J177" i="1"/>
  <c r="I177" i="1"/>
  <c r="H177" i="1"/>
  <c r="G177" i="1"/>
  <c r="M176" i="1"/>
  <c r="L176" i="1"/>
  <c r="K176" i="1"/>
  <c r="J176" i="1"/>
  <c r="I176" i="1"/>
  <c r="H176" i="1"/>
  <c r="G176" i="1"/>
  <c r="M175" i="1"/>
  <c r="L175" i="1"/>
  <c r="K175" i="1"/>
  <c r="J175" i="1"/>
  <c r="I175" i="1"/>
  <c r="H175" i="1"/>
  <c r="G175" i="1"/>
  <c r="M174" i="1"/>
  <c r="L174" i="1"/>
  <c r="K174" i="1"/>
  <c r="J174" i="1"/>
  <c r="I174" i="1"/>
  <c r="H174" i="1"/>
  <c r="G174" i="1"/>
  <c r="M173" i="1"/>
  <c r="L173" i="1"/>
  <c r="K173" i="1"/>
  <c r="J173" i="1"/>
  <c r="I173" i="1"/>
  <c r="H173" i="1"/>
  <c r="G173" i="1"/>
  <c r="M172" i="1"/>
  <c r="L172" i="1"/>
  <c r="K172" i="1"/>
  <c r="J172" i="1"/>
  <c r="I172" i="1"/>
  <c r="H172" i="1"/>
  <c r="G172" i="1"/>
  <c r="M171" i="1"/>
  <c r="L171" i="1"/>
  <c r="K171" i="1"/>
  <c r="J171" i="1"/>
  <c r="I171" i="1"/>
  <c r="H171" i="1"/>
  <c r="G171" i="1"/>
  <c r="M170" i="1"/>
  <c r="L170" i="1"/>
  <c r="K170" i="1"/>
  <c r="J170" i="1"/>
  <c r="I170" i="1"/>
  <c r="H170" i="1"/>
  <c r="G170" i="1"/>
  <c r="M169" i="1"/>
  <c r="L169" i="1"/>
  <c r="K169" i="1"/>
  <c r="J169" i="1"/>
  <c r="I169" i="1"/>
  <c r="H169" i="1"/>
  <c r="G169" i="1"/>
  <c r="M168" i="1"/>
  <c r="L168" i="1"/>
  <c r="K168" i="1"/>
  <c r="J168" i="1"/>
  <c r="I168" i="1"/>
  <c r="H168" i="1"/>
  <c r="G168" i="1"/>
  <c r="M167" i="1"/>
  <c r="L167" i="1"/>
  <c r="K167" i="1"/>
  <c r="J167" i="1"/>
  <c r="I167" i="1"/>
  <c r="H167" i="1"/>
  <c r="G167" i="1"/>
  <c r="M166" i="1"/>
  <c r="L166" i="1"/>
  <c r="K166" i="1"/>
  <c r="J166" i="1"/>
  <c r="I166" i="1"/>
  <c r="H166" i="1"/>
  <c r="G166" i="1"/>
  <c r="M165" i="1"/>
  <c r="L165" i="1"/>
  <c r="K165" i="1"/>
  <c r="J165" i="1"/>
  <c r="I165" i="1"/>
  <c r="H165" i="1"/>
  <c r="G165" i="1"/>
  <c r="M164" i="1"/>
  <c r="L164" i="1"/>
  <c r="K164" i="1"/>
  <c r="J164" i="1"/>
  <c r="I164" i="1"/>
  <c r="H164" i="1"/>
  <c r="G164" i="1"/>
  <c r="M163" i="1"/>
  <c r="L163" i="1"/>
  <c r="K163" i="1"/>
  <c r="J163" i="1"/>
  <c r="I163" i="1"/>
  <c r="H163" i="1"/>
  <c r="G163" i="1"/>
  <c r="M162" i="1"/>
  <c r="L162" i="1"/>
  <c r="K162" i="1"/>
  <c r="J162" i="1"/>
  <c r="I162" i="1"/>
  <c r="H162" i="1"/>
  <c r="G162" i="1"/>
  <c r="M161" i="1"/>
  <c r="L161" i="1"/>
  <c r="K161" i="1"/>
  <c r="J161" i="1"/>
  <c r="I161" i="1"/>
  <c r="H161" i="1"/>
  <c r="G161" i="1"/>
  <c r="M160" i="1"/>
  <c r="L160" i="1"/>
  <c r="K160" i="1"/>
  <c r="J160" i="1"/>
  <c r="I160" i="1"/>
  <c r="H160" i="1"/>
  <c r="G160" i="1"/>
  <c r="M159" i="1"/>
  <c r="L159" i="1"/>
  <c r="K159" i="1"/>
  <c r="J159" i="1"/>
  <c r="I159" i="1"/>
  <c r="H159" i="1"/>
  <c r="G159" i="1"/>
  <c r="M158" i="1"/>
  <c r="L158" i="1"/>
  <c r="K158" i="1"/>
  <c r="J158" i="1"/>
  <c r="I158" i="1"/>
  <c r="H158" i="1"/>
  <c r="G158" i="1"/>
  <c r="M157" i="1"/>
  <c r="L157" i="1"/>
  <c r="K157" i="1"/>
  <c r="J157" i="1"/>
  <c r="I157" i="1"/>
  <c r="H157" i="1"/>
  <c r="G157" i="1"/>
  <c r="M156" i="1"/>
  <c r="L156" i="1"/>
  <c r="K156" i="1"/>
  <c r="J156" i="1"/>
  <c r="I156" i="1"/>
  <c r="H156" i="1"/>
  <c r="G156" i="1"/>
  <c r="M155" i="1"/>
  <c r="L155" i="1"/>
  <c r="K155" i="1"/>
  <c r="J155" i="1"/>
  <c r="I155" i="1"/>
  <c r="H155" i="1"/>
  <c r="G155" i="1"/>
  <c r="M154" i="1"/>
  <c r="L154" i="1"/>
  <c r="K154" i="1"/>
  <c r="J154" i="1"/>
  <c r="I154" i="1"/>
  <c r="H154" i="1"/>
  <c r="G154" i="1"/>
  <c r="M153" i="1"/>
  <c r="L153" i="1"/>
  <c r="K153" i="1"/>
  <c r="J153" i="1"/>
  <c r="I153" i="1"/>
  <c r="H153" i="1"/>
  <c r="G153" i="1"/>
  <c r="M152" i="1"/>
  <c r="L152" i="1"/>
  <c r="K152" i="1"/>
  <c r="J152" i="1"/>
  <c r="I152" i="1"/>
  <c r="H152" i="1"/>
  <c r="G152" i="1"/>
  <c r="M151" i="1"/>
  <c r="L151" i="1"/>
  <c r="K151" i="1"/>
  <c r="J151" i="1"/>
  <c r="I151" i="1"/>
  <c r="H151" i="1"/>
  <c r="G151" i="1"/>
  <c r="M150" i="1"/>
  <c r="L150" i="1"/>
  <c r="K150" i="1"/>
  <c r="J150" i="1"/>
  <c r="I150" i="1"/>
  <c r="H150" i="1"/>
  <c r="G150" i="1"/>
  <c r="M149" i="1"/>
  <c r="L149" i="1"/>
  <c r="K149" i="1"/>
  <c r="J149" i="1"/>
  <c r="I149" i="1"/>
  <c r="H149" i="1"/>
  <c r="G149" i="1"/>
  <c r="M148" i="1"/>
  <c r="L148" i="1"/>
  <c r="K148" i="1"/>
  <c r="J148" i="1"/>
  <c r="I148" i="1"/>
  <c r="H148" i="1"/>
  <c r="G148" i="1"/>
  <c r="M147" i="1"/>
  <c r="L147" i="1"/>
  <c r="K147" i="1"/>
  <c r="J147" i="1"/>
  <c r="I147" i="1"/>
  <c r="H147" i="1"/>
  <c r="G147" i="1"/>
  <c r="M146" i="1"/>
  <c r="L146" i="1"/>
  <c r="K146" i="1"/>
  <c r="J146" i="1"/>
  <c r="I146" i="1"/>
  <c r="H146" i="1"/>
  <c r="G146" i="1"/>
  <c r="M145" i="1"/>
  <c r="L145" i="1"/>
  <c r="K145" i="1"/>
  <c r="J145" i="1"/>
  <c r="I145" i="1"/>
  <c r="H145" i="1"/>
  <c r="G145" i="1"/>
  <c r="M144" i="1"/>
  <c r="L144" i="1"/>
  <c r="K144" i="1"/>
  <c r="J144" i="1"/>
  <c r="I144" i="1"/>
  <c r="H144" i="1"/>
  <c r="G144" i="1"/>
  <c r="M143" i="1"/>
  <c r="L143" i="1"/>
  <c r="K143" i="1"/>
  <c r="J143" i="1"/>
  <c r="I143" i="1"/>
  <c r="H143" i="1"/>
  <c r="G143" i="1"/>
  <c r="M142" i="1"/>
  <c r="L142" i="1"/>
  <c r="K142" i="1"/>
  <c r="J142" i="1"/>
  <c r="I142" i="1"/>
  <c r="H142" i="1"/>
  <c r="G142" i="1"/>
  <c r="M141" i="1"/>
  <c r="L141" i="1"/>
  <c r="K141" i="1"/>
  <c r="J141" i="1"/>
  <c r="I141" i="1"/>
  <c r="H141" i="1"/>
  <c r="G141" i="1"/>
  <c r="M140" i="1"/>
  <c r="L140" i="1"/>
  <c r="K140" i="1"/>
  <c r="J140" i="1"/>
  <c r="I140" i="1"/>
  <c r="H140" i="1"/>
  <c r="G140" i="1"/>
  <c r="M139" i="1"/>
  <c r="L139" i="1"/>
  <c r="K139" i="1"/>
  <c r="J139" i="1"/>
  <c r="I139" i="1"/>
  <c r="H139" i="1"/>
  <c r="G139" i="1"/>
  <c r="M138" i="1"/>
  <c r="L138" i="1"/>
  <c r="K138" i="1"/>
  <c r="J138" i="1"/>
  <c r="I138" i="1"/>
  <c r="H138" i="1"/>
  <c r="G138" i="1"/>
  <c r="M137" i="1"/>
  <c r="L137" i="1"/>
  <c r="K137" i="1"/>
  <c r="J137" i="1"/>
  <c r="I137" i="1"/>
  <c r="H137" i="1"/>
  <c r="G137" i="1"/>
  <c r="M136" i="1"/>
  <c r="L136" i="1"/>
  <c r="K136" i="1"/>
  <c r="J136" i="1"/>
  <c r="I136" i="1"/>
  <c r="H136" i="1"/>
  <c r="G136" i="1"/>
  <c r="M135" i="1"/>
  <c r="L135" i="1"/>
  <c r="K135" i="1"/>
  <c r="J135" i="1"/>
  <c r="I135" i="1"/>
  <c r="H135" i="1"/>
  <c r="G135" i="1"/>
  <c r="M134" i="1"/>
  <c r="L134" i="1"/>
  <c r="K134" i="1"/>
  <c r="J134" i="1"/>
  <c r="I134" i="1"/>
  <c r="H134" i="1"/>
  <c r="G134" i="1"/>
  <c r="M133" i="1"/>
  <c r="L133" i="1"/>
  <c r="K133" i="1"/>
  <c r="J133" i="1"/>
  <c r="I133" i="1"/>
  <c r="H133" i="1"/>
  <c r="G133" i="1"/>
  <c r="M132" i="1"/>
  <c r="L132" i="1"/>
  <c r="K132" i="1"/>
  <c r="J132" i="1"/>
  <c r="I132" i="1"/>
  <c r="H132" i="1"/>
  <c r="G132" i="1"/>
  <c r="M131" i="1"/>
  <c r="L131" i="1"/>
  <c r="K131" i="1"/>
  <c r="J131" i="1"/>
  <c r="I131" i="1"/>
  <c r="H131" i="1"/>
  <c r="G131" i="1"/>
  <c r="M130" i="1"/>
  <c r="L130" i="1"/>
  <c r="K130" i="1"/>
  <c r="J130" i="1"/>
  <c r="I130" i="1"/>
  <c r="H130" i="1"/>
  <c r="G130" i="1"/>
  <c r="M129" i="1"/>
  <c r="L129" i="1"/>
  <c r="K129" i="1"/>
  <c r="J129" i="1"/>
  <c r="I129" i="1"/>
  <c r="H129" i="1"/>
  <c r="G129" i="1"/>
  <c r="M128" i="1"/>
  <c r="L128" i="1"/>
  <c r="K128" i="1"/>
  <c r="J128" i="1"/>
  <c r="I128" i="1"/>
  <c r="H128" i="1"/>
  <c r="G128" i="1"/>
  <c r="M127" i="1"/>
  <c r="L127" i="1"/>
  <c r="K127" i="1"/>
  <c r="J127" i="1"/>
  <c r="I127" i="1"/>
  <c r="H127" i="1"/>
  <c r="G127" i="1"/>
  <c r="M126" i="1"/>
  <c r="L126" i="1"/>
  <c r="K126" i="1"/>
  <c r="J126" i="1"/>
  <c r="I126" i="1"/>
  <c r="H126" i="1"/>
  <c r="G126" i="1"/>
  <c r="M125" i="1"/>
  <c r="L125" i="1"/>
  <c r="K125" i="1"/>
  <c r="J125" i="1"/>
  <c r="I125" i="1"/>
  <c r="H125" i="1"/>
  <c r="G125" i="1"/>
  <c r="M124" i="1"/>
  <c r="L124" i="1"/>
  <c r="K124" i="1"/>
  <c r="J124" i="1"/>
  <c r="I124" i="1"/>
  <c r="H124" i="1"/>
  <c r="G124" i="1"/>
  <c r="M123" i="1"/>
  <c r="L123" i="1"/>
  <c r="K123" i="1"/>
  <c r="J123" i="1"/>
  <c r="I123" i="1"/>
  <c r="H123" i="1"/>
  <c r="G123" i="1"/>
  <c r="M122" i="1"/>
  <c r="L122" i="1"/>
  <c r="K122" i="1"/>
  <c r="J122" i="1"/>
  <c r="I122" i="1"/>
  <c r="H122" i="1"/>
  <c r="G122" i="1"/>
  <c r="M121" i="1"/>
  <c r="L121" i="1"/>
  <c r="K121" i="1"/>
  <c r="J121" i="1"/>
  <c r="I121" i="1"/>
  <c r="H121" i="1"/>
  <c r="G121" i="1"/>
  <c r="M120" i="1"/>
  <c r="L120" i="1"/>
  <c r="K120" i="1"/>
  <c r="J120" i="1"/>
  <c r="I120" i="1"/>
  <c r="H120" i="1"/>
  <c r="G120" i="1"/>
  <c r="M119" i="1"/>
  <c r="L119" i="1"/>
  <c r="K119" i="1"/>
  <c r="J119" i="1"/>
  <c r="I119" i="1"/>
  <c r="H119" i="1"/>
  <c r="G119" i="1"/>
  <c r="M118" i="1"/>
  <c r="L118" i="1"/>
  <c r="K118" i="1"/>
  <c r="J118" i="1"/>
  <c r="I118" i="1"/>
  <c r="H118" i="1"/>
  <c r="G118" i="1"/>
  <c r="M117" i="1"/>
  <c r="L117" i="1"/>
  <c r="K117" i="1"/>
  <c r="J117" i="1"/>
  <c r="I117" i="1"/>
  <c r="H117" i="1"/>
  <c r="G117" i="1"/>
  <c r="M116" i="1"/>
  <c r="L116" i="1"/>
  <c r="K116" i="1"/>
  <c r="J116" i="1"/>
  <c r="I116" i="1"/>
  <c r="H116" i="1"/>
  <c r="G116" i="1"/>
  <c r="M115" i="1"/>
  <c r="L115" i="1"/>
  <c r="K115" i="1"/>
  <c r="J115" i="1"/>
  <c r="I115" i="1"/>
  <c r="H115" i="1"/>
  <c r="G115" i="1"/>
  <c r="M114" i="1"/>
  <c r="L114" i="1"/>
  <c r="K114" i="1"/>
  <c r="J114" i="1"/>
  <c r="I114" i="1"/>
  <c r="H114" i="1"/>
  <c r="G114" i="1"/>
  <c r="M113" i="1"/>
  <c r="L113" i="1"/>
  <c r="K113" i="1"/>
  <c r="J113" i="1"/>
  <c r="I113" i="1"/>
  <c r="H113" i="1"/>
  <c r="G113" i="1"/>
  <c r="M112" i="1"/>
  <c r="L112" i="1"/>
  <c r="K112" i="1"/>
  <c r="J112" i="1"/>
  <c r="I112" i="1"/>
  <c r="H112" i="1"/>
  <c r="G112" i="1"/>
  <c r="M111" i="1"/>
  <c r="L111" i="1"/>
  <c r="K111" i="1"/>
  <c r="J111" i="1"/>
  <c r="I111" i="1"/>
  <c r="H111" i="1"/>
  <c r="G111" i="1"/>
  <c r="M110" i="1"/>
  <c r="L110" i="1"/>
  <c r="K110" i="1"/>
  <c r="J110" i="1"/>
  <c r="I110" i="1"/>
  <c r="H110" i="1"/>
  <c r="G110" i="1"/>
  <c r="M109" i="1"/>
  <c r="L109" i="1"/>
  <c r="K109" i="1"/>
  <c r="J109" i="1"/>
  <c r="I109" i="1"/>
  <c r="H109" i="1"/>
  <c r="G109" i="1"/>
  <c r="M108" i="1"/>
  <c r="L108" i="1"/>
  <c r="K108" i="1"/>
  <c r="J108" i="1"/>
  <c r="I108" i="1"/>
  <c r="H108" i="1"/>
  <c r="G108" i="1"/>
  <c r="M107" i="1"/>
  <c r="L107" i="1"/>
  <c r="K107" i="1"/>
  <c r="J107" i="1"/>
  <c r="I107" i="1"/>
  <c r="H107" i="1"/>
  <c r="G107" i="1"/>
  <c r="M106" i="1"/>
  <c r="L106" i="1"/>
  <c r="K106" i="1"/>
  <c r="J106" i="1"/>
  <c r="I106" i="1"/>
  <c r="H106" i="1"/>
  <c r="G106" i="1"/>
  <c r="M105" i="1"/>
  <c r="L105" i="1"/>
  <c r="K105" i="1"/>
  <c r="J105" i="1"/>
  <c r="I105" i="1"/>
  <c r="H105" i="1"/>
  <c r="G105" i="1"/>
  <c r="M104" i="1"/>
  <c r="L104" i="1"/>
  <c r="K104" i="1"/>
  <c r="J104" i="1"/>
  <c r="I104" i="1"/>
  <c r="H104" i="1"/>
  <c r="G104" i="1"/>
  <c r="M103" i="1"/>
  <c r="L103" i="1"/>
  <c r="K103" i="1"/>
  <c r="J103" i="1"/>
  <c r="I103" i="1"/>
  <c r="H103" i="1"/>
  <c r="G103" i="1"/>
  <c r="M102" i="1"/>
  <c r="L102" i="1"/>
  <c r="K102" i="1"/>
  <c r="J102" i="1"/>
  <c r="I102" i="1"/>
  <c r="H102" i="1"/>
  <c r="G102" i="1"/>
  <c r="M101" i="1"/>
  <c r="L101" i="1"/>
  <c r="K101" i="1"/>
  <c r="J101" i="1"/>
  <c r="I101" i="1"/>
  <c r="H101" i="1"/>
  <c r="G101" i="1"/>
  <c r="M100" i="1"/>
  <c r="L100" i="1"/>
  <c r="K100" i="1"/>
  <c r="J100" i="1"/>
  <c r="I100" i="1"/>
  <c r="H100" i="1"/>
  <c r="G100" i="1"/>
  <c r="M99" i="1"/>
  <c r="L99" i="1"/>
  <c r="K99" i="1"/>
  <c r="J99" i="1"/>
  <c r="I99" i="1"/>
  <c r="H99" i="1"/>
  <c r="G99" i="1"/>
  <c r="M98" i="1"/>
  <c r="L98" i="1"/>
  <c r="K98" i="1"/>
  <c r="J98" i="1"/>
  <c r="I98" i="1"/>
  <c r="H98" i="1"/>
  <c r="G98" i="1"/>
  <c r="M97" i="1"/>
  <c r="L97" i="1"/>
  <c r="K97" i="1"/>
  <c r="J97" i="1"/>
  <c r="I97" i="1"/>
  <c r="H97" i="1"/>
  <c r="G97" i="1"/>
  <c r="M96" i="1"/>
  <c r="L96" i="1"/>
  <c r="K96" i="1"/>
  <c r="J96" i="1"/>
  <c r="I96" i="1"/>
  <c r="H96" i="1"/>
  <c r="G96" i="1"/>
  <c r="M95" i="1"/>
  <c r="L95" i="1"/>
  <c r="K95" i="1"/>
  <c r="J95" i="1"/>
  <c r="I95" i="1"/>
  <c r="H95" i="1"/>
  <c r="G95" i="1"/>
  <c r="M94" i="1"/>
  <c r="L94" i="1"/>
  <c r="K94" i="1"/>
  <c r="J94" i="1"/>
  <c r="I94" i="1"/>
  <c r="H94" i="1"/>
  <c r="G94" i="1"/>
  <c r="M93" i="1"/>
  <c r="L93" i="1"/>
  <c r="K93" i="1"/>
  <c r="J93" i="1"/>
  <c r="I93" i="1"/>
  <c r="H93" i="1"/>
  <c r="G93" i="1"/>
  <c r="M92" i="1"/>
  <c r="L92" i="1"/>
  <c r="K92" i="1"/>
  <c r="J92" i="1"/>
  <c r="I92" i="1"/>
  <c r="H92" i="1"/>
  <c r="G92" i="1"/>
  <c r="M91" i="1"/>
  <c r="L91" i="1"/>
  <c r="K91" i="1"/>
  <c r="J91" i="1"/>
  <c r="I91" i="1"/>
  <c r="H91" i="1"/>
  <c r="G91" i="1"/>
  <c r="M90" i="1"/>
  <c r="L90" i="1"/>
  <c r="K90" i="1"/>
  <c r="J90" i="1"/>
  <c r="I90" i="1"/>
  <c r="H90" i="1"/>
  <c r="G90" i="1"/>
  <c r="M89" i="1"/>
  <c r="L89" i="1"/>
  <c r="K89" i="1"/>
  <c r="J89" i="1"/>
  <c r="I89" i="1"/>
  <c r="H89" i="1"/>
  <c r="G89" i="1"/>
  <c r="M88" i="1"/>
  <c r="L88" i="1"/>
  <c r="K88" i="1"/>
  <c r="J88" i="1"/>
  <c r="I88" i="1"/>
  <c r="H88" i="1"/>
  <c r="G88" i="1"/>
  <c r="M87" i="1"/>
  <c r="L87" i="1"/>
  <c r="K87" i="1"/>
  <c r="J87" i="1"/>
  <c r="I87" i="1"/>
  <c r="H87" i="1"/>
  <c r="G87" i="1"/>
  <c r="M86" i="1"/>
  <c r="L86" i="1"/>
  <c r="K86" i="1"/>
  <c r="J86" i="1"/>
  <c r="I86" i="1"/>
  <c r="H86" i="1"/>
  <c r="G86" i="1"/>
  <c r="M85" i="1"/>
  <c r="L85" i="1"/>
  <c r="K85" i="1"/>
  <c r="J85" i="1"/>
  <c r="I85" i="1"/>
  <c r="H85" i="1"/>
  <c r="G85" i="1"/>
  <c r="M84" i="1"/>
  <c r="L84" i="1"/>
  <c r="K84" i="1"/>
  <c r="J84" i="1"/>
  <c r="I84" i="1"/>
  <c r="H84" i="1"/>
  <c r="G84" i="1"/>
  <c r="M83" i="1"/>
  <c r="L83" i="1"/>
  <c r="K83" i="1"/>
  <c r="J83" i="1"/>
  <c r="I83" i="1"/>
  <c r="H83" i="1"/>
  <c r="G83" i="1"/>
  <c r="M82" i="1"/>
  <c r="L82" i="1"/>
  <c r="K82" i="1"/>
  <c r="J82" i="1"/>
  <c r="I82" i="1"/>
  <c r="H82" i="1"/>
  <c r="G82" i="1"/>
  <c r="M81" i="1"/>
  <c r="L81" i="1"/>
  <c r="K81" i="1"/>
  <c r="J81" i="1"/>
  <c r="I81" i="1"/>
  <c r="H81" i="1"/>
  <c r="G81" i="1"/>
  <c r="M80" i="1"/>
  <c r="L80" i="1"/>
  <c r="K80" i="1"/>
  <c r="J80" i="1"/>
  <c r="I80" i="1"/>
  <c r="H80" i="1"/>
  <c r="G80" i="1"/>
  <c r="M79" i="1"/>
  <c r="L79" i="1"/>
  <c r="K79" i="1"/>
  <c r="J79" i="1"/>
  <c r="I79" i="1"/>
  <c r="H79" i="1"/>
  <c r="G79" i="1"/>
  <c r="M78" i="1"/>
  <c r="L78" i="1"/>
  <c r="K78" i="1"/>
  <c r="J78" i="1"/>
  <c r="I78" i="1"/>
  <c r="H78" i="1"/>
  <c r="G78" i="1"/>
  <c r="M77" i="1"/>
  <c r="L77" i="1"/>
  <c r="K77" i="1"/>
  <c r="J77" i="1"/>
  <c r="I77" i="1"/>
  <c r="H77" i="1"/>
  <c r="G77" i="1"/>
  <c r="M76" i="1"/>
  <c r="L76" i="1"/>
  <c r="K76" i="1"/>
  <c r="J76" i="1"/>
  <c r="I76" i="1"/>
  <c r="H76" i="1"/>
  <c r="G76" i="1"/>
  <c r="M75" i="1"/>
  <c r="L75" i="1"/>
  <c r="K75" i="1"/>
  <c r="J75" i="1"/>
  <c r="I75" i="1"/>
  <c r="H75" i="1"/>
  <c r="G75" i="1"/>
  <c r="M74" i="1"/>
  <c r="L74" i="1"/>
  <c r="K74" i="1"/>
  <c r="J74" i="1"/>
  <c r="I74" i="1"/>
  <c r="H74" i="1"/>
  <c r="G74" i="1"/>
  <c r="M73" i="1"/>
  <c r="L73" i="1"/>
  <c r="K73" i="1"/>
  <c r="J73" i="1"/>
  <c r="I73" i="1"/>
  <c r="H73" i="1"/>
  <c r="G73" i="1"/>
  <c r="M72" i="1"/>
  <c r="L72" i="1"/>
  <c r="K72" i="1"/>
  <c r="J72" i="1"/>
  <c r="I72" i="1"/>
  <c r="H72" i="1"/>
  <c r="G72" i="1"/>
  <c r="M71" i="1"/>
  <c r="L71" i="1"/>
  <c r="K71" i="1"/>
  <c r="J71" i="1"/>
  <c r="I71" i="1"/>
  <c r="H71" i="1"/>
  <c r="G71" i="1"/>
  <c r="M70" i="1"/>
  <c r="L70" i="1"/>
  <c r="K70" i="1"/>
  <c r="J70" i="1"/>
  <c r="I70" i="1"/>
  <c r="H70" i="1"/>
  <c r="G70" i="1"/>
  <c r="M69" i="1"/>
  <c r="L69" i="1"/>
  <c r="K69" i="1"/>
  <c r="J69" i="1"/>
  <c r="I69" i="1"/>
  <c r="H69" i="1"/>
  <c r="G69" i="1"/>
  <c r="M68" i="1"/>
  <c r="L68" i="1"/>
  <c r="K68" i="1"/>
  <c r="J68" i="1"/>
  <c r="I68" i="1"/>
  <c r="H68" i="1"/>
  <c r="G68" i="1"/>
  <c r="M67" i="1"/>
  <c r="L67" i="1"/>
  <c r="K67" i="1"/>
  <c r="J67" i="1"/>
  <c r="I67" i="1"/>
  <c r="H67" i="1"/>
  <c r="G67" i="1"/>
  <c r="M66" i="1"/>
  <c r="L66" i="1"/>
  <c r="K66" i="1"/>
  <c r="J66" i="1"/>
  <c r="I66" i="1"/>
  <c r="H66" i="1"/>
  <c r="G66" i="1"/>
  <c r="M65" i="1"/>
  <c r="L65" i="1"/>
  <c r="K65" i="1"/>
  <c r="J65" i="1"/>
  <c r="I65" i="1"/>
  <c r="H65" i="1"/>
  <c r="G65" i="1"/>
  <c r="M64" i="1"/>
  <c r="L64" i="1"/>
  <c r="K64" i="1"/>
  <c r="J64" i="1"/>
  <c r="I64" i="1"/>
  <c r="H64" i="1"/>
  <c r="G64" i="1"/>
  <c r="M63" i="1"/>
  <c r="L63" i="1"/>
  <c r="K63" i="1"/>
  <c r="J63" i="1"/>
  <c r="I63" i="1"/>
  <c r="H63" i="1"/>
  <c r="G63" i="1"/>
  <c r="M62" i="1"/>
  <c r="L62" i="1"/>
  <c r="K62" i="1"/>
  <c r="J62" i="1"/>
  <c r="I62" i="1"/>
  <c r="H62" i="1"/>
  <c r="G62" i="1"/>
  <c r="M61" i="1"/>
  <c r="L61" i="1"/>
  <c r="K61" i="1"/>
  <c r="J61" i="1"/>
  <c r="I61" i="1"/>
  <c r="H61" i="1"/>
  <c r="G61" i="1"/>
  <c r="M60" i="1"/>
  <c r="L60" i="1"/>
  <c r="K60" i="1"/>
  <c r="J60" i="1"/>
  <c r="I60" i="1"/>
  <c r="H60" i="1"/>
  <c r="G60" i="1"/>
  <c r="M59" i="1"/>
  <c r="L59" i="1"/>
  <c r="K59" i="1"/>
  <c r="J59" i="1"/>
  <c r="I59" i="1"/>
  <c r="H59" i="1"/>
  <c r="G59" i="1"/>
  <c r="M58" i="1"/>
  <c r="L58" i="1"/>
  <c r="K58" i="1"/>
  <c r="J58" i="1"/>
  <c r="I58" i="1"/>
  <c r="H58" i="1"/>
  <c r="G58" i="1"/>
  <c r="M57" i="1"/>
  <c r="L57" i="1"/>
  <c r="K57" i="1"/>
  <c r="J57" i="1"/>
  <c r="I57" i="1"/>
  <c r="H57" i="1"/>
  <c r="G57" i="1"/>
  <c r="M56" i="1"/>
  <c r="L56" i="1"/>
  <c r="K56" i="1"/>
  <c r="J56" i="1"/>
  <c r="I56" i="1"/>
  <c r="H56" i="1"/>
  <c r="G56" i="1"/>
  <c r="M55" i="1"/>
  <c r="L55" i="1"/>
  <c r="K55" i="1"/>
  <c r="J55" i="1"/>
  <c r="I55" i="1"/>
  <c r="H55" i="1"/>
  <c r="G55" i="1"/>
  <c r="M54" i="1"/>
  <c r="L54" i="1"/>
  <c r="K54" i="1"/>
  <c r="J54" i="1"/>
  <c r="I54" i="1"/>
  <c r="H54" i="1"/>
  <c r="G54" i="1"/>
  <c r="M53" i="1"/>
  <c r="L53" i="1"/>
  <c r="K53" i="1"/>
  <c r="J53" i="1"/>
  <c r="I53" i="1"/>
  <c r="H53" i="1"/>
  <c r="G53" i="1"/>
  <c r="M52" i="1"/>
  <c r="L52" i="1"/>
  <c r="K52" i="1"/>
  <c r="J52" i="1"/>
  <c r="I52" i="1"/>
  <c r="H52" i="1"/>
  <c r="G52" i="1"/>
  <c r="M51" i="1"/>
  <c r="L51" i="1"/>
  <c r="K51" i="1"/>
  <c r="J51" i="1"/>
  <c r="I51" i="1"/>
  <c r="H51" i="1"/>
  <c r="G51" i="1"/>
  <c r="M50" i="1"/>
  <c r="L50" i="1"/>
  <c r="K50" i="1"/>
  <c r="J50" i="1"/>
  <c r="I50" i="1"/>
  <c r="H50" i="1"/>
  <c r="G50" i="1"/>
  <c r="M49" i="1"/>
  <c r="L49" i="1"/>
  <c r="K49" i="1"/>
  <c r="J49" i="1"/>
  <c r="I49" i="1"/>
  <c r="H49" i="1"/>
  <c r="G49" i="1"/>
  <c r="M48" i="1"/>
  <c r="L48" i="1"/>
  <c r="K48" i="1"/>
  <c r="J48" i="1"/>
  <c r="I48" i="1"/>
  <c r="H48" i="1"/>
  <c r="G48" i="1"/>
  <c r="M47" i="1"/>
  <c r="L47" i="1"/>
  <c r="K47" i="1"/>
  <c r="J47" i="1"/>
  <c r="I47" i="1"/>
  <c r="H47" i="1"/>
  <c r="G47" i="1"/>
  <c r="M46" i="1"/>
  <c r="L46" i="1"/>
  <c r="K46" i="1"/>
  <c r="J46" i="1"/>
  <c r="I46" i="1"/>
  <c r="H46" i="1"/>
  <c r="G46" i="1"/>
  <c r="M45" i="1"/>
  <c r="L45" i="1"/>
  <c r="K45" i="1"/>
  <c r="J45" i="1"/>
  <c r="I45" i="1"/>
  <c r="H45" i="1"/>
  <c r="G45" i="1"/>
  <c r="M44" i="1"/>
  <c r="L44" i="1"/>
  <c r="K44" i="1"/>
  <c r="J44" i="1"/>
  <c r="I44" i="1"/>
  <c r="H44" i="1"/>
  <c r="G44" i="1"/>
  <c r="M43" i="1"/>
  <c r="L43" i="1"/>
  <c r="K43" i="1"/>
  <c r="J43" i="1"/>
  <c r="I43" i="1"/>
  <c r="H43" i="1"/>
  <c r="G43" i="1"/>
  <c r="M42" i="1"/>
  <c r="L42" i="1"/>
  <c r="K42" i="1"/>
  <c r="J42" i="1"/>
  <c r="I42" i="1"/>
  <c r="H42" i="1"/>
  <c r="G42" i="1"/>
  <c r="M41" i="1"/>
  <c r="L41" i="1"/>
  <c r="K41" i="1"/>
  <c r="J41" i="1"/>
  <c r="I41" i="1"/>
  <c r="H41" i="1"/>
  <c r="G41" i="1"/>
  <c r="M40" i="1"/>
  <c r="L40" i="1"/>
  <c r="K40" i="1"/>
  <c r="J40" i="1"/>
  <c r="I40" i="1"/>
  <c r="H40" i="1"/>
  <c r="G40" i="1"/>
  <c r="M39" i="1"/>
  <c r="L39" i="1"/>
  <c r="K39" i="1"/>
  <c r="J39" i="1"/>
  <c r="I39" i="1"/>
  <c r="H39" i="1"/>
  <c r="G39" i="1"/>
  <c r="M38" i="1"/>
  <c r="L38" i="1"/>
  <c r="K38" i="1"/>
  <c r="J38" i="1"/>
  <c r="I38" i="1"/>
  <c r="H38" i="1"/>
  <c r="G38" i="1"/>
  <c r="M37" i="1"/>
  <c r="L37" i="1"/>
  <c r="K37" i="1"/>
  <c r="J37" i="1"/>
  <c r="I37" i="1"/>
  <c r="H37" i="1"/>
  <c r="G37" i="1"/>
  <c r="M36" i="1"/>
  <c r="L36" i="1"/>
  <c r="K36" i="1"/>
  <c r="J36" i="1"/>
  <c r="I36" i="1"/>
  <c r="H36" i="1"/>
  <c r="G36" i="1"/>
  <c r="M35" i="1"/>
  <c r="L35" i="1"/>
  <c r="K35" i="1"/>
  <c r="J35" i="1"/>
  <c r="I35" i="1"/>
  <c r="H35" i="1"/>
  <c r="G35" i="1"/>
  <c r="M34" i="1"/>
  <c r="L34" i="1"/>
  <c r="K34" i="1"/>
  <c r="J34" i="1"/>
  <c r="I34" i="1"/>
  <c r="H34" i="1"/>
  <c r="G34" i="1"/>
  <c r="M33" i="1"/>
  <c r="L33" i="1"/>
  <c r="K33" i="1"/>
  <c r="J33" i="1"/>
  <c r="I33" i="1"/>
  <c r="H33" i="1"/>
  <c r="G33" i="1"/>
  <c r="M32" i="1"/>
  <c r="L32" i="1"/>
  <c r="K32" i="1"/>
  <c r="J32" i="1"/>
  <c r="I32" i="1"/>
  <c r="H32" i="1"/>
  <c r="G32" i="1"/>
  <c r="M31" i="1"/>
  <c r="L31" i="1"/>
  <c r="K31" i="1"/>
  <c r="J31" i="1"/>
  <c r="I31" i="1"/>
  <c r="H31" i="1"/>
  <c r="G31" i="1"/>
  <c r="M30" i="1"/>
  <c r="L30" i="1"/>
  <c r="K30" i="1"/>
  <c r="J30" i="1"/>
  <c r="I30" i="1"/>
  <c r="H30" i="1"/>
  <c r="G30" i="1"/>
  <c r="M29" i="1"/>
  <c r="L29" i="1"/>
  <c r="K29" i="1"/>
  <c r="J29" i="1"/>
  <c r="I29" i="1"/>
  <c r="H29" i="1"/>
  <c r="G29" i="1"/>
  <c r="M28" i="1"/>
  <c r="L28" i="1"/>
  <c r="K28" i="1"/>
  <c r="J28" i="1"/>
  <c r="I28" i="1"/>
  <c r="H28" i="1"/>
  <c r="G28" i="1"/>
  <c r="M27" i="1"/>
  <c r="L27" i="1"/>
  <c r="K27" i="1"/>
  <c r="J27" i="1"/>
  <c r="I27" i="1"/>
  <c r="H27" i="1"/>
  <c r="G27" i="1"/>
  <c r="M26" i="1"/>
  <c r="L26" i="1"/>
  <c r="K26" i="1"/>
  <c r="J26" i="1"/>
  <c r="I26" i="1"/>
  <c r="H26" i="1"/>
  <c r="G26" i="1"/>
  <c r="M25" i="1"/>
  <c r="L25" i="1"/>
  <c r="K25" i="1"/>
  <c r="J25" i="1"/>
  <c r="I25" i="1"/>
  <c r="H25" i="1"/>
  <c r="G25" i="1"/>
  <c r="M24" i="1"/>
  <c r="L24" i="1"/>
  <c r="K24" i="1"/>
  <c r="J24" i="1"/>
  <c r="I24" i="1"/>
  <c r="H24" i="1"/>
  <c r="G24" i="1"/>
  <c r="M23" i="1"/>
  <c r="L23" i="1"/>
  <c r="K23" i="1"/>
  <c r="J23" i="1"/>
  <c r="I23" i="1"/>
  <c r="H23" i="1"/>
  <c r="G23" i="1"/>
  <c r="M22" i="1"/>
  <c r="L22" i="1"/>
  <c r="K22" i="1"/>
  <c r="J22" i="1"/>
  <c r="I22" i="1"/>
  <c r="H22" i="1"/>
  <c r="G22" i="1"/>
  <c r="M21" i="1"/>
  <c r="L21" i="1"/>
  <c r="K21" i="1"/>
  <c r="J21" i="1"/>
  <c r="I21" i="1"/>
  <c r="H21" i="1"/>
  <c r="G21" i="1"/>
  <c r="M20" i="1"/>
  <c r="L20" i="1"/>
  <c r="K20" i="1"/>
  <c r="J20" i="1"/>
  <c r="I20" i="1"/>
  <c r="H20" i="1"/>
  <c r="G20" i="1"/>
  <c r="M19" i="1"/>
  <c r="L19" i="1"/>
  <c r="K19" i="1"/>
  <c r="J19" i="1"/>
  <c r="I19" i="1"/>
  <c r="H19" i="1"/>
  <c r="G19" i="1"/>
  <c r="M18" i="1"/>
  <c r="L18" i="1"/>
  <c r="K18" i="1"/>
  <c r="J18" i="1"/>
  <c r="I18" i="1"/>
  <c r="H18" i="1"/>
  <c r="G18" i="1"/>
  <c r="M17" i="1"/>
  <c r="L17" i="1"/>
  <c r="K17" i="1"/>
  <c r="J17" i="1"/>
  <c r="I17" i="1"/>
  <c r="H17" i="1"/>
  <c r="G17" i="1"/>
  <c r="M16" i="1"/>
  <c r="L16" i="1"/>
  <c r="K16" i="1"/>
  <c r="J16" i="1"/>
  <c r="I16" i="1"/>
  <c r="H16" i="1"/>
  <c r="G16" i="1"/>
  <c r="M15" i="1"/>
  <c r="L15" i="1"/>
  <c r="K15" i="1"/>
  <c r="J15" i="1"/>
  <c r="I15" i="1"/>
  <c r="H15" i="1"/>
  <c r="G15" i="1"/>
  <c r="M14" i="1"/>
  <c r="L14" i="1"/>
  <c r="K14" i="1"/>
  <c r="J14" i="1"/>
  <c r="I14" i="1"/>
  <c r="H14" i="1"/>
  <c r="G14" i="1"/>
  <c r="M13" i="1"/>
  <c r="L13" i="1"/>
  <c r="K13" i="1"/>
  <c r="J13" i="1"/>
  <c r="I13" i="1"/>
  <c r="H13" i="1"/>
  <c r="G13" i="1"/>
  <c r="M12" i="1"/>
  <c r="L12" i="1"/>
  <c r="K12" i="1"/>
  <c r="J12" i="1"/>
  <c r="I12" i="1"/>
  <c r="H12" i="1"/>
  <c r="G12" i="1"/>
  <c r="M11" i="1"/>
  <c r="L11" i="1"/>
  <c r="K11" i="1"/>
  <c r="J11" i="1"/>
  <c r="I11" i="1"/>
  <c r="H11" i="1"/>
  <c r="G11" i="1"/>
  <c r="M10" i="1"/>
  <c r="L10" i="1"/>
  <c r="K10" i="1"/>
  <c r="J10" i="1"/>
  <c r="I10" i="1"/>
  <c r="H10" i="1"/>
  <c r="G10" i="1"/>
  <c r="M9" i="1"/>
  <c r="L9" i="1"/>
  <c r="K9" i="1"/>
  <c r="J9" i="1"/>
  <c r="I9" i="1"/>
  <c r="H9" i="1"/>
  <c r="G9" i="1"/>
  <c r="M8" i="1"/>
  <c r="L8" i="1"/>
  <c r="K8" i="1"/>
  <c r="J8" i="1"/>
  <c r="I8" i="1"/>
  <c r="H8" i="1"/>
  <c r="G8" i="1"/>
  <c r="M7" i="1"/>
  <c r="L7" i="1"/>
  <c r="K7" i="1"/>
  <c r="J7" i="1"/>
  <c r="I7" i="1"/>
  <c r="H7" i="1"/>
  <c r="G7" i="1"/>
  <c r="M6" i="1"/>
  <c r="L6" i="1"/>
  <c r="K6" i="1"/>
  <c r="J6" i="1"/>
  <c r="I6" i="1"/>
  <c r="H6" i="1"/>
  <c r="G6" i="1"/>
  <c r="M5" i="1"/>
  <c r="L5" i="1"/>
  <c r="K5" i="1"/>
  <c r="J5" i="1"/>
  <c r="I5" i="1"/>
  <c r="H5" i="1"/>
  <c r="G5" i="1"/>
  <c r="M4" i="1"/>
  <c r="L4" i="1"/>
  <c r="K4" i="1"/>
  <c r="J4" i="1"/>
  <c r="I4" i="1"/>
  <c r="H4" i="1"/>
  <c r="G4" i="1"/>
  <c r="M3" i="1"/>
  <c r="L3" i="1"/>
  <c r="K3" i="1"/>
  <c r="J3" i="1"/>
  <c r="I3" i="1"/>
  <c r="H3" i="1"/>
  <c r="G3" i="1"/>
  <c r="M2" i="1"/>
  <c r="L2" i="1"/>
  <c r="K2" i="1"/>
  <c r="J2" i="1"/>
  <c r="I2" i="1"/>
  <c r="H2" i="1"/>
  <c r="G2" i="1"/>
</calcChain>
</file>

<file path=xl/sharedStrings.xml><?xml version="1.0" encoding="utf-8"?>
<sst xmlns="http://schemas.openxmlformats.org/spreadsheetml/2006/main" count="110332" uniqueCount="87">
  <si>
    <t>anno</t>
  </si>
  <si>
    <t>sesso</t>
  </si>
  <si>
    <t>classe_eta</t>
  </si>
  <si>
    <t>statuto</t>
  </si>
  <si>
    <t>formazione2</t>
  </si>
  <si>
    <t>posizione</t>
  </si>
  <si>
    <t>AD_salariati</t>
  </si>
  <si>
    <t>ETP_salariati</t>
  </si>
  <si>
    <t>p10</t>
  </si>
  <si>
    <t>p25</t>
  </si>
  <si>
    <t>p50</t>
  </si>
  <si>
    <t>p75</t>
  </si>
  <si>
    <t>p90</t>
  </si>
  <si>
    <t>info</t>
  </si>
  <si>
    <t>2008</t>
  </si>
  <si>
    <t>Totale</t>
  </si>
  <si>
    <t>ok</t>
  </si>
  <si>
    <t>Quadri superiori e medi</t>
  </si>
  <si>
    <t>Quadri inferiori</t>
  </si>
  <si>
    <t>Responsabile esecuzione lavori</t>
  </si>
  <si>
    <t>Senza funzione di quadro</t>
  </si>
  <si>
    <t>III</t>
  </si>
  <si>
    <t>II</t>
  </si>
  <si>
    <t>I</t>
  </si>
  <si>
    <t>( )</t>
  </si>
  <si>
    <t>ok / ( )</t>
  </si>
  <si>
    <t>Valore mancante</t>
  </si>
  <si>
    <t>X</t>
  </si>
  <si>
    <t>Svizzeri</t>
  </si>
  <si>
    <t>Domiciliati (Cat. C)</t>
  </si>
  <si>
    <t>...</t>
  </si>
  <si>
    <t>Dimoranti (Cat. B)</t>
  </si>
  <si>
    <t>Frontalieri (Cat. G)</t>
  </si>
  <si>
    <t>Dimoranti temporanei (Cat. L)</t>
  </si>
  <si>
    <t>Altri</t>
  </si>
  <si>
    <t>15-24 anni</t>
  </si>
  <si>
    <t>25-34 anni</t>
  </si>
  <si>
    <t>35-49 anni</t>
  </si>
  <si>
    <t>50 e più anni</t>
  </si>
  <si>
    <t>Uomini</t>
  </si>
  <si>
    <t>Donne</t>
  </si>
  <si>
    <t>2010</t>
  </si>
  <si>
    <t>2012</t>
  </si>
  <si>
    <t>2014</t>
  </si>
  <si>
    <t>2016</t>
  </si>
  <si>
    <t>2018</t>
  </si>
  <si>
    <t>variabili</t>
  </si>
  <si>
    <t>nome_variabile</t>
  </si>
  <si>
    <t>l'anno dell'inchiesta</t>
  </si>
  <si>
    <t>il sesso</t>
  </si>
  <si>
    <t>la classe d'età</t>
  </si>
  <si>
    <t>lo statuto (nazionalità o tipo di permesso)</t>
  </si>
  <si>
    <t>il grado di formazione</t>
  </si>
  <si>
    <t>la posizione nella professione</t>
  </si>
  <si>
    <t>Descrizione delle statistiche:</t>
  </si>
  <si>
    <t>statistica</t>
  </si>
  <si>
    <t>descrizione_statistica</t>
  </si>
  <si>
    <t>addetti ai sensi della RSS</t>
  </si>
  <si>
    <t>addetti ETP ai sensi della RSS</t>
  </si>
  <si>
    <t>decimo percentile del salario mensile lordo standardizzato (primo decile, in franchi)</t>
  </si>
  <si>
    <t>venticinquesimo percentile del salario mensile lordo standardizzato (primo quartile, in franchi)</t>
  </si>
  <si>
    <t>cinquantesimo percentile del salario mensile lordo standardizzato (mediana, in franchi)</t>
  </si>
  <si>
    <t>settantacinquesimo percentile del salario mensile lordo standardizzato (terzo quartile, in franchi)</t>
  </si>
  <si>
    <t>novantesimo percentile del salario mensile lordo standardizzato (nono decile, in franchi)</t>
  </si>
  <si>
    <t>La colonna "info" riporta una delle informazioni seguenti:</t>
  </si>
  <si>
    <t>segno</t>
  </si>
  <si>
    <t>descrizione_segno</t>
  </si>
  <si>
    <t>esistono delle stime con le caratteristiche descritte in quella riga</t>
  </si>
  <si>
    <t>…</t>
  </si>
  <si>
    <t>dato non disponibile</t>
  </si>
  <si>
    <t>dato non pubblicato per motivi legati alla protezione dei dati</t>
  </si>
  <si>
    <t>coefficiente di variazione superiore a 5% (valore incerto a livello statistico)</t>
  </si>
  <si>
    <t>alcune stime di quella riga sono pubblicabili senza restrizioni e altre tra parentesi</t>
  </si>
  <si>
    <t>Glossario:</t>
  </si>
  <si>
    <t>Salario mensile lordo standardizzato (in fr.) e altri indicatori nel settore privato, secondo il sesso, la classe d'età, lo statuto (nazionalità o tipo di permesso), il grado di formazione e la posizione nella professione, in Ticino, dal 2008 al 2018</t>
  </si>
  <si>
    <t>Elaborazione: Ufficio di statistica (Ustat), Giubiasco</t>
  </si>
  <si>
    <t>Ultima modifica: 08.09.2020</t>
  </si>
  <si>
    <t>formazione</t>
  </si>
  <si>
    <t>Università, politecnico</t>
  </si>
  <si>
    <t>Scuola universitaria professionale</t>
  </si>
  <si>
    <t>Formazione professionale superiore</t>
  </si>
  <si>
    <t>Brevetto d'insegnamento</t>
  </si>
  <si>
    <t>Maturità</t>
  </si>
  <si>
    <t>Apprendistato completo</t>
  </si>
  <si>
    <t>Formazione acquisita in azienda</t>
  </si>
  <si>
    <t>Scuole obbligatorie, senza formazione professionale completa</t>
  </si>
  <si>
    <t>Altre formazioni complete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</si>
</sst>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(#,##0\)"/>
  </numFmts>
  <fonts count="3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u/>
      <sz val="11"/>
      <color theme="1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2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3" name="Table3" displayName="Table3" ref="A1:N15751" totalsRowShown="0">
  <autoFilter ref="A1:N15751"/>
  <tableColumns count="14">
    <tableColumn id="1" name="anno"/>
    <tableColumn id="2" name="sesso"/>
    <tableColumn id="3" name="classe_eta"/>
    <tableColumn id="4" name="statuto"/>
    <tableColumn id="5" name="formazione2"/>
    <tableColumn id="6" name="posizione"/>
    <tableColumn id="7" name="AD_salariati"/>
    <tableColumn id="8" name="ETP_salariati"/>
    <tableColumn id="9" name="p10"/>
    <tableColumn id="10" name="p25"/>
    <tableColumn id="11" name="p50"/>
    <tableColumn id="12" name="p75"/>
    <tableColumn id="13" name="p90"/>
    <tableColumn id="14" name="info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1" name="Table4" displayName="Table4" ref="A1:B7" totalsRowShown="0">
  <tableColumns count="2">
    <tableColumn id="1" name="variabili"/>
    <tableColumn id="2" name="nome_variabil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2" name="Table5" displayName="Table5" ref="A11:B18" totalsRowShown="0">
  <tableColumns count="2">
    <tableColumn id="1" name="statistica"/>
    <tableColumn id="2" name="descrizione_statistic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6" displayName="Table6" ref="A22:B27" totalsRowShown="0">
  <tableColumns count="2">
    <tableColumn id="1" name="segno"/>
    <tableColumn id="2" name="descrizione_segno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7" displayName="Table7" ref="A1:B10" totalsRowShown="0">
  <tableColumns count="2">
    <tableColumn id="1" name="formazione"/>
    <tableColumn id="2" name="formazione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751"/>
  <sheetViews>
    <sheetView tabSelected="1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7.7109375" customWidth="1"/>
    <col min="2" max="2" width="9.7109375" customWidth="1"/>
    <col min="3" max="3" width="16.7109375" customWidth="1"/>
    <col min="4" max="4" width="32.7109375" customWidth="1"/>
    <col min="5" max="5" width="18.7109375" customWidth="1"/>
    <col min="6" max="6" width="33.7109375" customWidth="1"/>
    <col min="7" max="8" width="27.7109375" customWidth="1"/>
    <col min="9" max="9" width="16.7109375" customWidth="1"/>
    <col min="10" max="11" width="17.7109375" customWidth="1"/>
    <col min="12" max="13" width="16.7109375" customWidth="1"/>
    <col min="14" max="14" width="11.7109375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15</v>
      </c>
      <c r="D2" t="s">
        <v>15</v>
      </c>
      <c r="E2" t="s">
        <v>15</v>
      </c>
      <c r="F2" t="s">
        <v>15</v>
      </c>
      <c r="G2" s="1">
        <f>VALUE(113483.159710753)</f>
        <v>113483.159710753</v>
      </c>
      <c r="H2" s="1">
        <f>VALUE(104621.401152375)</f>
        <v>104621.40115237499</v>
      </c>
      <c r="I2" s="1">
        <f>VALUE(3206)</f>
        <v>3206</v>
      </c>
      <c r="J2" s="1">
        <f>VALUE(3907)</f>
        <v>3907</v>
      </c>
      <c r="K2" s="1">
        <f>VALUE(4934)</f>
        <v>4934</v>
      </c>
      <c r="L2" s="1">
        <f>VALUE(6169)</f>
        <v>6169</v>
      </c>
      <c r="M2" s="1">
        <f>VALUE(8307)</f>
        <v>8307</v>
      </c>
      <c r="N2" t="s">
        <v>16</v>
      </c>
    </row>
    <row r="3" spans="1:14" x14ac:dyDescent="0.25">
      <c r="A3" t="s">
        <v>14</v>
      </c>
      <c r="B3" t="s">
        <v>15</v>
      </c>
      <c r="C3" t="s">
        <v>15</v>
      </c>
      <c r="D3" t="s">
        <v>15</v>
      </c>
      <c r="E3" t="s">
        <v>15</v>
      </c>
      <c r="F3" t="s">
        <v>17</v>
      </c>
      <c r="G3" s="1">
        <f>VALUE(16795.0535659475)</f>
        <v>16795.053565947499</v>
      </c>
      <c r="H3" s="1">
        <f>VALUE(16122.9967418047)</f>
        <v>16122.9967418047</v>
      </c>
      <c r="I3" s="1">
        <f>VALUE(4160)</f>
        <v>4160</v>
      </c>
      <c r="J3" s="1">
        <f>VALUE(5425)</f>
        <v>5425</v>
      </c>
      <c r="K3" s="1">
        <f>VALUE(7500)</f>
        <v>7500</v>
      </c>
      <c r="L3" s="1">
        <f>VALUE(10833)</f>
        <v>10833</v>
      </c>
      <c r="M3" s="1">
        <f>VALUE(16270)</f>
        <v>16270</v>
      </c>
      <c r="N3" t="s">
        <v>16</v>
      </c>
    </row>
    <row r="4" spans="1:14" x14ac:dyDescent="0.25">
      <c r="A4" t="s">
        <v>14</v>
      </c>
      <c r="B4" t="s">
        <v>15</v>
      </c>
      <c r="C4" t="s">
        <v>15</v>
      </c>
      <c r="D4" t="s">
        <v>15</v>
      </c>
      <c r="E4" t="s">
        <v>15</v>
      </c>
      <c r="F4" t="s">
        <v>18</v>
      </c>
      <c r="G4" s="1">
        <f>VALUE(12756.5545018407)</f>
        <v>12756.554501840699</v>
      </c>
      <c r="H4" s="1">
        <f>VALUE(11875.5655535491)</f>
        <v>11875.565553549101</v>
      </c>
      <c r="I4" s="1">
        <f>VALUE(3630)</f>
        <v>3630</v>
      </c>
      <c r="J4" s="1">
        <f>VALUE(4425)</f>
        <v>4425</v>
      </c>
      <c r="K4" s="1">
        <f>VALUE(5585)</f>
        <v>5585</v>
      </c>
      <c r="L4" s="1">
        <f>VALUE(7218)</f>
        <v>7218</v>
      </c>
      <c r="M4" s="1">
        <f>VALUE(9016)</f>
        <v>9016</v>
      </c>
      <c r="N4" t="s">
        <v>16</v>
      </c>
    </row>
    <row r="5" spans="1:14" x14ac:dyDescent="0.25">
      <c r="A5" t="s">
        <v>14</v>
      </c>
      <c r="B5" t="s">
        <v>15</v>
      </c>
      <c r="C5" t="s">
        <v>15</v>
      </c>
      <c r="D5" t="s">
        <v>15</v>
      </c>
      <c r="E5" t="s">
        <v>15</v>
      </c>
      <c r="F5" t="s">
        <v>19</v>
      </c>
      <c r="G5" s="1">
        <f>VALUE(14666.8118459185)</f>
        <v>14666.811845918501</v>
      </c>
      <c r="H5" s="1">
        <f>VALUE(13722.1365573543)</f>
        <v>13722.136557354301</v>
      </c>
      <c r="I5" s="1">
        <f>VALUE(3683)</f>
        <v>3683</v>
      </c>
      <c r="J5" s="1">
        <f>VALUE(4360)</f>
        <v>4360</v>
      </c>
      <c r="K5" s="1">
        <f>VALUE(5200)</f>
        <v>5200</v>
      </c>
      <c r="L5" s="1">
        <f>VALUE(6242)</f>
        <v>6242</v>
      </c>
      <c r="M5" s="1">
        <f>VALUE(7567)</f>
        <v>7567</v>
      </c>
      <c r="N5" t="s">
        <v>16</v>
      </c>
    </row>
    <row r="6" spans="1:14" x14ac:dyDescent="0.25">
      <c r="A6" t="s">
        <v>14</v>
      </c>
      <c r="B6" t="s">
        <v>15</v>
      </c>
      <c r="C6" t="s">
        <v>15</v>
      </c>
      <c r="D6" t="s">
        <v>15</v>
      </c>
      <c r="E6" t="s">
        <v>15</v>
      </c>
      <c r="F6" t="s">
        <v>20</v>
      </c>
      <c r="G6" s="1">
        <f>VALUE(69180.7899420864)</f>
        <v>69180.789942086398</v>
      </c>
      <c r="H6" s="1">
        <f>VALUE(62825.8207587152)</f>
        <v>62825.820758715199</v>
      </c>
      <c r="I6" s="1">
        <f>VALUE(3014)</f>
        <v>3014</v>
      </c>
      <c r="J6" s="1">
        <f>VALUE(3608)</f>
        <v>3608</v>
      </c>
      <c r="K6" s="1">
        <f>VALUE(4470)</f>
        <v>4470</v>
      </c>
      <c r="L6" s="1">
        <f>VALUE(5389)</f>
        <v>5389</v>
      </c>
      <c r="M6" s="1">
        <f>VALUE(6290)</f>
        <v>6290</v>
      </c>
      <c r="N6" t="s">
        <v>16</v>
      </c>
    </row>
    <row r="7" spans="1:14" x14ac:dyDescent="0.25">
      <c r="A7" t="s">
        <v>14</v>
      </c>
      <c r="B7" t="s">
        <v>15</v>
      </c>
      <c r="C7" t="s">
        <v>15</v>
      </c>
      <c r="D7" t="s">
        <v>15</v>
      </c>
      <c r="E7" t="s">
        <v>21</v>
      </c>
      <c r="F7" t="s">
        <v>15</v>
      </c>
      <c r="G7" s="1">
        <f>VALUE(22797.2446282863)</f>
        <v>22797.244628286298</v>
      </c>
      <c r="H7" s="1">
        <f>VALUE(20673.2578303368)</f>
        <v>20673.257830336799</v>
      </c>
      <c r="I7" s="1">
        <f>VALUE(4192)</f>
        <v>4192</v>
      </c>
      <c r="J7" s="1">
        <f>VALUE(5210)</f>
        <v>5210</v>
      </c>
      <c r="K7" s="1">
        <f>VALUE(6707)</f>
        <v>6707</v>
      </c>
      <c r="L7" s="1">
        <f>VALUE(9055)</f>
        <v>9055</v>
      </c>
      <c r="M7" s="1">
        <f>VALUE(13095)</f>
        <v>13095</v>
      </c>
      <c r="N7" t="s">
        <v>16</v>
      </c>
    </row>
    <row r="8" spans="1:14" x14ac:dyDescent="0.25">
      <c r="A8" t="s">
        <v>14</v>
      </c>
      <c r="B8" t="s">
        <v>15</v>
      </c>
      <c r="C8" t="s">
        <v>15</v>
      </c>
      <c r="D8" t="s">
        <v>15</v>
      </c>
      <c r="E8" t="s">
        <v>21</v>
      </c>
      <c r="F8" t="s">
        <v>17</v>
      </c>
      <c r="G8" s="1">
        <f>VALUE(8962.9029153247)</f>
        <v>8962.9029153246993</v>
      </c>
      <c r="H8" s="1">
        <f>VALUE(8506.477205102)</f>
        <v>8506.4772051020009</v>
      </c>
      <c r="I8" s="1">
        <f>VALUE(4825)</f>
        <v>4825</v>
      </c>
      <c r="J8" s="1">
        <f>VALUE(6284)</f>
        <v>6284</v>
      </c>
      <c r="K8" s="1">
        <f>VALUE(8700)</f>
        <v>8700</v>
      </c>
      <c r="L8" s="1">
        <f>VALUE(12316)</f>
        <v>12316</v>
      </c>
      <c r="M8" s="1">
        <f>VALUE(18386)</f>
        <v>18386</v>
      </c>
      <c r="N8" t="s">
        <v>16</v>
      </c>
    </row>
    <row r="9" spans="1:14" x14ac:dyDescent="0.25">
      <c r="A9" t="s">
        <v>14</v>
      </c>
      <c r="B9" t="s">
        <v>15</v>
      </c>
      <c r="C9" t="s">
        <v>15</v>
      </c>
      <c r="D9" t="s">
        <v>15</v>
      </c>
      <c r="E9" t="s">
        <v>21</v>
      </c>
      <c r="F9" t="s">
        <v>18</v>
      </c>
      <c r="G9" s="1">
        <f>VALUE(4222.0139767954)</f>
        <v>4222.0139767953997</v>
      </c>
      <c r="H9" s="1">
        <f>VALUE(3764.0069294368)</f>
        <v>3764.0069294368</v>
      </c>
      <c r="I9" s="1">
        <f>VALUE(4281)</f>
        <v>4281</v>
      </c>
      <c r="J9" s="1">
        <f>VALUE(5385)</f>
        <v>5385</v>
      </c>
      <c r="K9" s="1">
        <f>VALUE(6640)</f>
        <v>6640</v>
      </c>
      <c r="L9" s="1">
        <f>VALUE(8236)</f>
        <v>8236</v>
      </c>
      <c r="M9" s="1">
        <f>VALUE(10512)</f>
        <v>10512</v>
      </c>
      <c r="N9" t="s">
        <v>16</v>
      </c>
    </row>
    <row r="10" spans="1:14" x14ac:dyDescent="0.25">
      <c r="A10" t="s">
        <v>14</v>
      </c>
      <c r="B10" t="s">
        <v>15</v>
      </c>
      <c r="C10" t="s">
        <v>15</v>
      </c>
      <c r="D10" t="s">
        <v>15</v>
      </c>
      <c r="E10" t="s">
        <v>21</v>
      </c>
      <c r="F10" t="s">
        <v>19</v>
      </c>
      <c r="G10" s="1">
        <f>VALUE(3518.3829615049)</f>
        <v>3518.3829615048999</v>
      </c>
      <c r="H10" s="1">
        <f>VALUE(2983.6218034721)</f>
        <v>2983.6218034721001</v>
      </c>
      <c r="I10" s="1">
        <f>VALUE(4063)</f>
        <v>4063</v>
      </c>
      <c r="J10" s="1">
        <f>VALUE(4926)</f>
        <v>4926</v>
      </c>
      <c r="K10" s="1">
        <f>VALUE(5952)</f>
        <v>5952</v>
      </c>
      <c r="L10" s="1">
        <f>VALUE(7443)</f>
        <v>7443</v>
      </c>
      <c r="M10" s="1">
        <f>VALUE(8566)</f>
        <v>8566</v>
      </c>
      <c r="N10" t="s">
        <v>16</v>
      </c>
    </row>
    <row r="11" spans="1:14" x14ac:dyDescent="0.25">
      <c r="A11" t="s">
        <v>14</v>
      </c>
      <c r="B11" t="s">
        <v>15</v>
      </c>
      <c r="C11" t="s">
        <v>15</v>
      </c>
      <c r="D11" t="s">
        <v>15</v>
      </c>
      <c r="E11" t="s">
        <v>21</v>
      </c>
      <c r="F11" t="s">
        <v>20</v>
      </c>
      <c r="G11" s="1">
        <f>VALUE(6091.5871073767)</f>
        <v>6091.5871073767003</v>
      </c>
      <c r="H11" s="1">
        <f>VALUE(5416.7942250413)</f>
        <v>5416.7942250412998</v>
      </c>
      <c r="I11" s="1">
        <f>VALUE(3765)</f>
        <v>3765</v>
      </c>
      <c r="J11" s="1">
        <f>VALUE(4554)</f>
        <v>4554</v>
      </c>
      <c r="K11" s="1">
        <f>VALUE(5658)</f>
        <v>5658</v>
      </c>
      <c r="L11" s="1">
        <f>VALUE(6762)</f>
        <v>6762</v>
      </c>
      <c r="M11" s="1">
        <f>VALUE(8254)</f>
        <v>8254</v>
      </c>
      <c r="N11" t="s">
        <v>16</v>
      </c>
    </row>
    <row r="12" spans="1:14" x14ac:dyDescent="0.25">
      <c r="A12" t="s">
        <v>14</v>
      </c>
      <c r="B12" t="s">
        <v>15</v>
      </c>
      <c r="C12" t="s">
        <v>15</v>
      </c>
      <c r="D12" t="s">
        <v>15</v>
      </c>
      <c r="E12" t="s">
        <v>22</v>
      </c>
      <c r="F12" t="s">
        <v>15</v>
      </c>
      <c r="G12" s="1">
        <f>VALUE(43153.8865647215)</f>
        <v>43153.886564721499</v>
      </c>
      <c r="H12" s="1">
        <f>VALUE(39932.284210609)</f>
        <v>39932.284210609003</v>
      </c>
      <c r="I12" s="1">
        <f>VALUE(3546)</f>
        <v>3546</v>
      </c>
      <c r="J12" s="1">
        <f>VALUE(4181)</f>
        <v>4181</v>
      </c>
      <c r="K12" s="1">
        <f>VALUE(5092)</f>
        <v>5092</v>
      </c>
      <c r="L12" s="1">
        <f>VALUE(6111)</f>
        <v>6111</v>
      </c>
      <c r="M12" s="1">
        <f>VALUE(7473)</f>
        <v>7473</v>
      </c>
      <c r="N12" t="s">
        <v>16</v>
      </c>
    </row>
    <row r="13" spans="1:14" x14ac:dyDescent="0.25">
      <c r="A13" t="s">
        <v>14</v>
      </c>
      <c r="B13" t="s">
        <v>15</v>
      </c>
      <c r="C13" t="s">
        <v>15</v>
      </c>
      <c r="D13" t="s">
        <v>15</v>
      </c>
      <c r="E13" t="s">
        <v>22</v>
      </c>
      <c r="F13" t="s">
        <v>17</v>
      </c>
      <c r="G13" s="1">
        <f>VALUE(5471.6774814622)</f>
        <v>5471.6774814622004</v>
      </c>
      <c r="H13" s="1">
        <f>VALUE(5266.1748985133)</f>
        <v>5266.1748985132999</v>
      </c>
      <c r="I13" s="1">
        <f>VALUE(3950)</f>
        <v>3950</v>
      </c>
      <c r="J13" s="1">
        <f>VALUE(4877)</f>
        <v>4877</v>
      </c>
      <c r="K13" s="1">
        <f>VALUE(6500)</f>
        <v>6500</v>
      </c>
      <c r="L13" s="1">
        <f>VALUE(8486)</f>
        <v>8486</v>
      </c>
      <c r="M13" s="1">
        <f>VALUE(12136)</f>
        <v>12136</v>
      </c>
      <c r="N13" t="s">
        <v>16</v>
      </c>
    </row>
    <row r="14" spans="1:14" x14ac:dyDescent="0.25">
      <c r="A14" t="s">
        <v>14</v>
      </c>
      <c r="B14" t="s">
        <v>15</v>
      </c>
      <c r="C14" t="s">
        <v>15</v>
      </c>
      <c r="D14" t="s">
        <v>15</v>
      </c>
      <c r="E14" t="s">
        <v>22</v>
      </c>
      <c r="F14" t="s">
        <v>18</v>
      </c>
      <c r="G14" s="1">
        <f>VALUE(5648.8654696195)</f>
        <v>5648.8654696194999</v>
      </c>
      <c r="H14" s="1">
        <f>VALUE(5263.5149944242)</f>
        <v>5263.5149944242003</v>
      </c>
      <c r="I14" s="1">
        <f>VALUE(3675)</f>
        <v>3675</v>
      </c>
      <c r="J14" s="1">
        <f>VALUE(4372)</f>
        <v>4372</v>
      </c>
      <c r="K14" s="1">
        <f>VALUE(5324)</f>
        <v>5324</v>
      </c>
      <c r="L14" s="1">
        <f>VALUE(6640)</f>
        <v>6640</v>
      </c>
      <c r="M14" s="1">
        <f>VALUE(7889)</f>
        <v>7889</v>
      </c>
      <c r="N14" t="s">
        <v>16</v>
      </c>
    </row>
    <row r="15" spans="1:14" x14ac:dyDescent="0.25">
      <c r="A15" t="s">
        <v>14</v>
      </c>
      <c r="B15" t="s">
        <v>15</v>
      </c>
      <c r="C15" t="s">
        <v>15</v>
      </c>
      <c r="D15" t="s">
        <v>15</v>
      </c>
      <c r="E15" t="s">
        <v>22</v>
      </c>
      <c r="F15" t="s">
        <v>19</v>
      </c>
      <c r="G15" s="1">
        <f>VALUE(7206.6453914929)</f>
        <v>7206.6453914928998</v>
      </c>
      <c r="H15" s="1">
        <f>VALUE(6827.5931740141)</f>
        <v>6827.5931740141004</v>
      </c>
      <c r="I15" s="1">
        <f>VALUE(3719)</f>
        <v>3719</v>
      </c>
      <c r="J15" s="1">
        <f>VALUE(4352)</f>
        <v>4352</v>
      </c>
      <c r="K15" s="1">
        <f>VALUE(5168)</f>
        <v>5168</v>
      </c>
      <c r="L15" s="1">
        <f>VALUE(6084)</f>
        <v>6084</v>
      </c>
      <c r="M15" s="1">
        <f>VALUE(7063)</f>
        <v>7063</v>
      </c>
      <c r="N15" t="s">
        <v>16</v>
      </c>
    </row>
    <row r="16" spans="1:14" x14ac:dyDescent="0.25">
      <c r="A16" t="s">
        <v>14</v>
      </c>
      <c r="B16" t="s">
        <v>15</v>
      </c>
      <c r="C16" t="s">
        <v>15</v>
      </c>
      <c r="D16" t="s">
        <v>15</v>
      </c>
      <c r="E16" t="s">
        <v>22</v>
      </c>
      <c r="F16" t="s">
        <v>20</v>
      </c>
      <c r="G16" s="1">
        <f>VALUE(24812.2424860489)</f>
        <v>24812.242486048901</v>
      </c>
      <c r="H16" s="1">
        <f>VALUE(22558.7384405464)</f>
        <v>22558.7384405464</v>
      </c>
      <c r="I16" s="1">
        <f>VALUE(3381)</f>
        <v>3381</v>
      </c>
      <c r="J16" s="1">
        <f>VALUE(4003)</f>
        <v>4003</v>
      </c>
      <c r="K16" s="1">
        <f>VALUE(4840)</f>
        <v>4840</v>
      </c>
      <c r="L16" s="1">
        <f>VALUE(5644)</f>
        <v>5644</v>
      </c>
      <c r="M16" s="1">
        <f>VALUE(6539)</f>
        <v>6539</v>
      </c>
      <c r="N16" t="s">
        <v>16</v>
      </c>
    </row>
    <row r="17" spans="1:14" x14ac:dyDescent="0.25">
      <c r="A17" t="s">
        <v>14</v>
      </c>
      <c r="B17" t="s">
        <v>15</v>
      </c>
      <c r="C17" t="s">
        <v>15</v>
      </c>
      <c r="D17" t="s">
        <v>15</v>
      </c>
      <c r="E17" t="s">
        <v>23</v>
      </c>
      <c r="F17" t="s">
        <v>15</v>
      </c>
      <c r="G17" s="1">
        <f>VALUE(45799.3822720143)</f>
        <v>45799.3822720143</v>
      </c>
      <c r="H17" s="1">
        <f>VALUE(42334.4706740539)</f>
        <v>42334.470674053999</v>
      </c>
      <c r="I17" s="1">
        <f>VALUE(2889)</f>
        <v>2889</v>
      </c>
      <c r="J17" s="1">
        <f>VALUE(3415)</f>
        <v>3415</v>
      </c>
      <c r="K17" s="1">
        <f>VALUE(4190)</f>
        <v>4190</v>
      </c>
      <c r="L17" s="1">
        <f>VALUE(5106)</f>
        <v>5106</v>
      </c>
      <c r="M17" s="1">
        <f>VALUE(5950)</f>
        <v>5950</v>
      </c>
      <c r="N17" t="s">
        <v>16</v>
      </c>
    </row>
    <row r="18" spans="1:14" x14ac:dyDescent="0.25">
      <c r="A18" t="s">
        <v>14</v>
      </c>
      <c r="B18" t="s">
        <v>15</v>
      </c>
      <c r="C18" t="s">
        <v>15</v>
      </c>
      <c r="D18" t="s">
        <v>15</v>
      </c>
      <c r="E18" t="s">
        <v>23</v>
      </c>
      <c r="F18" t="s">
        <v>17</v>
      </c>
      <c r="G18" s="2">
        <f>VALUE(1914.1403508243)</f>
        <v>1914.1403508243</v>
      </c>
      <c r="H18" s="3">
        <f>VALUE(1905.2621169285)</f>
        <v>1905.2621169285001</v>
      </c>
      <c r="I18" s="4">
        <f>VALUE(3628)</f>
        <v>3628</v>
      </c>
      <c r="J18" s="5">
        <f>VALUE(4293)</f>
        <v>4293</v>
      </c>
      <c r="K18" s="6">
        <f>VALUE(5489)</f>
        <v>5489</v>
      </c>
      <c r="L18" s="7">
        <f>VALUE(7467)</f>
        <v>7467</v>
      </c>
      <c r="M18" s="8">
        <f>VALUE(12098)</f>
        <v>12098</v>
      </c>
      <c r="N18" t="s">
        <v>24</v>
      </c>
    </row>
    <row r="19" spans="1:14" x14ac:dyDescent="0.25">
      <c r="A19" t="s">
        <v>14</v>
      </c>
      <c r="B19" t="s">
        <v>15</v>
      </c>
      <c r="C19" t="s">
        <v>15</v>
      </c>
      <c r="D19" t="s">
        <v>15</v>
      </c>
      <c r="E19" t="s">
        <v>23</v>
      </c>
      <c r="F19" t="s">
        <v>18</v>
      </c>
      <c r="G19" s="1">
        <f>VALUE(2561.6617199779)</f>
        <v>2561.6617199778998</v>
      </c>
      <c r="H19" s="1">
        <f>VALUE(2513.7436461082)</f>
        <v>2513.7436461082002</v>
      </c>
      <c r="I19" s="1">
        <f>VALUE(3344)</f>
        <v>3344</v>
      </c>
      <c r="J19" s="1">
        <f>VALUE(3789)</f>
        <v>3789</v>
      </c>
      <c r="K19" s="1">
        <f>VALUE(4651)</f>
        <v>4651</v>
      </c>
      <c r="L19" s="1">
        <f>VALUE(5634)</f>
        <v>5634</v>
      </c>
      <c r="M19" s="8">
        <f>VALUE(7172)</f>
        <v>7172</v>
      </c>
      <c r="N19" t="s">
        <v>25</v>
      </c>
    </row>
    <row r="20" spans="1:14" x14ac:dyDescent="0.25">
      <c r="A20" t="s">
        <v>14</v>
      </c>
      <c r="B20" t="s">
        <v>15</v>
      </c>
      <c r="C20" t="s">
        <v>15</v>
      </c>
      <c r="D20" t="s">
        <v>15</v>
      </c>
      <c r="E20" t="s">
        <v>23</v>
      </c>
      <c r="F20" t="s">
        <v>19</v>
      </c>
      <c r="G20" s="1">
        <f>VALUE(3905.7551019835)</f>
        <v>3905.7551019835</v>
      </c>
      <c r="H20" s="1">
        <f>VALUE(3880.8598361225)</f>
        <v>3880.8598361224999</v>
      </c>
      <c r="I20" s="1">
        <f>VALUE(3451)</f>
        <v>3451</v>
      </c>
      <c r="J20" s="1">
        <f>VALUE(4052)</f>
        <v>4052</v>
      </c>
      <c r="K20" s="1">
        <f>VALUE(4920)</f>
        <v>4920</v>
      </c>
      <c r="L20" s="1">
        <f>VALUE(5813)</f>
        <v>5813</v>
      </c>
      <c r="M20" s="1">
        <f>VALUE(6816)</f>
        <v>6816</v>
      </c>
      <c r="N20" t="s">
        <v>16</v>
      </c>
    </row>
    <row r="21" spans="1:14" x14ac:dyDescent="0.25">
      <c r="A21" t="s">
        <v>14</v>
      </c>
      <c r="B21" t="s">
        <v>15</v>
      </c>
      <c r="C21" t="s">
        <v>15</v>
      </c>
      <c r="D21" t="s">
        <v>15</v>
      </c>
      <c r="E21" t="s">
        <v>23</v>
      </c>
      <c r="F21" t="s">
        <v>20</v>
      </c>
      <c r="G21" s="1">
        <f>VALUE(37415.3966201184)</f>
        <v>37415.396620118401</v>
      </c>
      <c r="H21" s="1">
        <f>VALUE(34032.8473861381)</f>
        <v>34032.847386138099</v>
      </c>
      <c r="I21" s="1">
        <f>VALUE(2817)</f>
        <v>2817</v>
      </c>
      <c r="J21" s="1">
        <f>VALUE(3325)</f>
        <v>3325</v>
      </c>
      <c r="K21" s="1">
        <f>VALUE(4030)</f>
        <v>4030</v>
      </c>
      <c r="L21" s="1">
        <f>VALUE(4933)</f>
        <v>4933</v>
      </c>
      <c r="M21" s="1">
        <f>VALUE(5610)</f>
        <v>5610</v>
      </c>
      <c r="N21" t="s">
        <v>16</v>
      </c>
    </row>
    <row r="22" spans="1:14" x14ac:dyDescent="0.25">
      <c r="A22" t="s">
        <v>14</v>
      </c>
      <c r="B22" t="s">
        <v>15</v>
      </c>
      <c r="C22" t="s">
        <v>15</v>
      </c>
      <c r="D22" t="s">
        <v>15</v>
      </c>
      <c r="E22" t="s">
        <v>26</v>
      </c>
      <c r="F22" t="s">
        <v>15</v>
      </c>
      <c r="G22" s="1">
        <f>VALUE(1732.646245731)</f>
        <v>1732.6462457309999</v>
      </c>
      <c r="H22" s="1">
        <f>VALUE(1681.3884373752)</f>
        <v>1681.3884373752001</v>
      </c>
      <c r="I22" s="4">
        <f>VALUE(3518)</f>
        <v>3518</v>
      </c>
      <c r="J22" s="1">
        <f>VALUE(5273)</f>
        <v>5273</v>
      </c>
      <c r="K22" s="1">
        <f>VALUE(6984)</f>
        <v>6984</v>
      </c>
      <c r="L22" s="1">
        <f>VALUE(11250)</f>
        <v>11250</v>
      </c>
      <c r="M22" s="1">
        <f>VALUE(18856)</f>
        <v>18856</v>
      </c>
      <c r="N22" t="s">
        <v>25</v>
      </c>
    </row>
    <row r="23" spans="1:14" x14ac:dyDescent="0.25">
      <c r="A23" t="s">
        <v>14</v>
      </c>
      <c r="B23" t="s">
        <v>15</v>
      </c>
      <c r="C23" t="s">
        <v>15</v>
      </c>
      <c r="D23" t="s">
        <v>15</v>
      </c>
      <c r="E23" t="s">
        <v>26</v>
      </c>
      <c r="F23" t="s">
        <v>17</v>
      </c>
      <c r="G23" s="2">
        <f>VALUE(446.3328183363)</f>
        <v>446.33281833630002</v>
      </c>
      <c r="H23" s="3">
        <f>VALUE(445.0825212609)</f>
        <v>445.08252126090002</v>
      </c>
      <c r="I23" s="4">
        <f>VALUE(5556)</f>
        <v>5556</v>
      </c>
      <c r="J23" s="1">
        <f>VALUE(11984)</f>
        <v>11984</v>
      </c>
      <c r="K23" s="1">
        <f>VALUE(15310)</f>
        <v>15310</v>
      </c>
      <c r="L23" s="1">
        <f>VALUE(22639)</f>
        <v>22639</v>
      </c>
      <c r="M23" s="1">
        <f>VALUE(35669)</f>
        <v>35669</v>
      </c>
      <c r="N23" t="s">
        <v>25</v>
      </c>
    </row>
    <row r="24" spans="1:14" x14ac:dyDescent="0.25">
      <c r="A24" t="s">
        <v>14</v>
      </c>
      <c r="B24" t="s">
        <v>15</v>
      </c>
      <c r="C24" t="s">
        <v>15</v>
      </c>
      <c r="D24" t="s">
        <v>15</v>
      </c>
      <c r="E24" t="s">
        <v>26</v>
      </c>
      <c r="F24" t="s">
        <v>18</v>
      </c>
      <c r="G24" s="1">
        <f>VALUE(324.0133354479)</f>
        <v>324.01333544789998</v>
      </c>
      <c r="H24" s="1">
        <f>VALUE(334.2999835799)</f>
        <v>334.29998357990002</v>
      </c>
      <c r="I24" s="1">
        <f>VALUE(6707)</f>
        <v>6707</v>
      </c>
      <c r="J24" s="1">
        <f>VALUE(7698)</f>
        <v>7698</v>
      </c>
      <c r="K24" s="1">
        <f>VALUE(9048)</f>
        <v>9048</v>
      </c>
      <c r="L24" s="1">
        <f>VALUE(10634)</f>
        <v>10634</v>
      </c>
      <c r="M24" s="1">
        <f>VALUE(12024)</f>
        <v>12024</v>
      </c>
      <c r="N24" t="s">
        <v>16</v>
      </c>
    </row>
    <row r="25" spans="1:14" x14ac:dyDescent="0.25">
      <c r="A25" t="s">
        <v>14</v>
      </c>
      <c r="B25" t="s">
        <v>15</v>
      </c>
      <c r="C25" t="s">
        <v>15</v>
      </c>
      <c r="D25" t="s">
        <v>15</v>
      </c>
      <c r="E25" t="s">
        <v>26</v>
      </c>
      <c r="F25" t="s">
        <v>19</v>
      </c>
      <c r="G25" s="1" t="str">
        <f t="shared" ref="G25:M25" si="0">"X"</f>
        <v>X</v>
      </c>
      <c r="H25" s="1" t="str">
        <f t="shared" si="0"/>
        <v>X</v>
      </c>
      <c r="I25" s="1" t="str">
        <f t="shared" si="0"/>
        <v>X</v>
      </c>
      <c r="J25" s="1" t="str">
        <f t="shared" si="0"/>
        <v>X</v>
      </c>
      <c r="K25" s="1" t="str">
        <f t="shared" si="0"/>
        <v>X</v>
      </c>
      <c r="L25" s="1" t="str">
        <f t="shared" si="0"/>
        <v>X</v>
      </c>
      <c r="M25" s="1" t="str">
        <f t="shared" si="0"/>
        <v>X</v>
      </c>
      <c r="N25" t="s">
        <v>27</v>
      </c>
    </row>
    <row r="26" spans="1:14" x14ac:dyDescent="0.25">
      <c r="A26" t="s">
        <v>14</v>
      </c>
      <c r="B26" t="s">
        <v>15</v>
      </c>
      <c r="C26" t="s">
        <v>15</v>
      </c>
      <c r="D26" t="s">
        <v>15</v>
      </c>
      <c r="E26" t="s">
        <v>26</v>
      </c>
      <c r="F26" t="s">
        <v>20</v>
      </c>
      <c r="G26" s="2">
        <f>VALUE(861.5637285424)</f>
        <v>861.56372854239999</v>
      </c>
      <c r="H26" s="3">
        <f>VALUE(817.4407069894)</f>
        <v>817.44070698940004</v>
      </c>
      <c r="I26" s="1">
        <f>VALUE(3190)</f>
        <v>3190</v>
      </c>
      <c r="J26" s="1">
        <f>VALUE(3987)</f>
        <v>3987</v>
      </c>
      <c r="K26" s="1">
        <f>VALUE(5555)</f>
        <v>5555</v>
      </c>
      <c r="L26" s="1">
        <f>VALUE(6349)</f>
        <v>6349</v>
      </c>
      <c r="M26" s="1">
        <f>VALUE(7539)</f>
        <v>7539</v>
      </c>
      <c r="N26" t="s">
        <v>25</v>
      </c>
    </row>
    <row r="27" spans="1:14" x14ac:dyDescent="0.25">
      <c r="A27" t="s">
        <v>14</v>
      </c>
      <c r="B27" t="s">
        <v>15</v>
      </c>
      <c r="C27" t="s">
        <v>15</v>
      </c>
      <c r="D27" t="s">
        <v>28</v>
      </c>
      <c r="E27" t="s">
        <v>15</v>
      </c>
      <c r="F27" t="s">
        <v>15</v>
      </c>
      <c r="G27" s="1">
        <f>VALUE(46787.7708990212)</f>
        <v>46787.7708990213</v>
      </c>
      <c r="H27" s="1">
        <f>VALUE(41388.6528729368)</f>
        <v>41388.6528729368</v>
      </c>
      <c r="I27" s="1">
        <f>VALUE(3611)</f>
        <v>3611</v>
      </c>
      <c r="J27" s="1">
        <f>VALUE(4334)</f>
        <v>4334</v>
      </c>
      <c r="K27" s="1">
        <f>VALUE(5427)</f>
        <v>5427</v>
      </c>
      <c r="L27" s="1">
        <f>VALUE(7020)</f>
        <v>7020</v>
      </c>
      <c r="M27" s="1">
        <f>VALUE(9667)</f>
        <v>9667</v>
      </c>
      <c r="N27" t="s">
        <v>16</v>
      </c>
    </row>
    <row r="28" spans="1:14" x14ac:dyDescent="0.25">
      <c r="A28" t="s">
        <v>14</v>
      </c>
      <c r="B28" t="s">
        <v>15</v>
      </c>
      <c r="C28" t="s">
        <v>15</v>
      </c>
      <c r="D28" t="s">
        <v>28</v>
      </c>
      <c r="E28" t="s">
        <v>15</v>
      </c>
      <c r="F28" t="s">
        <v>17</v>
      </c>
      <c r="G28" s="1">
        <f>VALUE(10276.8330067182)</f>
        <v>10276.8330067182</v>
      </c>
      <c r="H28" s="1">
        <f>VALUE(9767.6563446245)</f>
        <v>9767.6563446245</v>
      </c>
      <c r="I28" s="1">
        <f>VALUE(4127)</f>
        <v>4127</v>
      </c>
      <c r="J28" s="1">
        <f>VALUE(5476)</f>
        <v>5476</v>
      </c>
      <c r="K28" s="1">
        <f>VALUE(7647)</f>
        <v>7647</v>
      </c>
      <c r="L28" s="1">
        <f>VALUE(10986)</f>
        <v>10986</v>
      </c>
      <c r="M28" s="1">
        <f>VALUE(16238)</f>
        <v>16238</v>
      </c>
      <c r="N28" t="s">
        <v>16</v>
      </c>
    </row>
    <row r="29" spans="1:14" x14ac:dyDescent="0.25">
      <c r="A29" t="s">
        <v>14</v>
      </c>
      <c r="B29" t="s">
        <v>15</v>
      </c>
      <c r="C29" t="s">
        <v>15</v>
      </c>
      <c r="D29" t="s">
        <v>28</v>
      </c>
      <c r="E29" t="s">
        <v>15</v>
      </c>
      <c r="F29" t="s">
        <v>18</v>
      </c>
      <c r="G29" s="1">
        <f>VALUE(6210.3842999309)</f>
        <v>6210.3842999308999</v>
      </c>
      <c r="H29" s="1">
        <f>VALUE(5582.9266501866)</f>
        <v>5582.9266501866005</v>
      </c>
      <c r="I29" s="1">
        <f>VALUE(3829)</f>
        <v>3829</v>
      </c>
      <c r="J29" s="1">
        <f>VALUE(4682)</f>
        <v>4682</v>
      </c>
      <c r="K29" s="1">
        <f>VALUE(5958)</f>
        <v>5958</v>
      </c>
      <c r="L29" s="1">
        <f>VALUE(7583)</f>
        <v>7583</v>
      </c>
      <c r="M29" s="1">
        <f>VALUE(9490)</f>
        <v>9490</v>
      </c>
      <c r="N29" t="s">
        <v>16</v>
      </c>
    </row>
    <row r="30" spans="1:14" x14ac:dyDescent="0.25">
      <c r="A30" t="s">
        <v>14</v>
      </c>
      <c r="B30" t="s">
        <v>15</v>
      </c>
      <c r="C30" t="s">
        <v>15</v>
      </c>
      <c r="D30" t="s">
        <v>28</v>
      </c>
      <c r="E30" t="s">
        <v>15</v>
      </c>
      <c r="F30" t="s">
        <v>19</v>
      </c>
      <c r="G30" s="1">
        <f>VALUE(6513.1728151522)</f>
        <v>6513.1728151522002</v>
      </c>
      <c r="H30" s="1">
        <f>VALUE(5836.997869858)</f>
        <v>5836.9978698579998</v>
      </c>
      <c r="I30" s="1">
        <f>VALUE(3926)</f>
        <v>3926</v>
      </c>
      <c r="J30" s="1">
        <f>VALUE(4619)</f>
        <v>4619</v>
      </c>
      <c r="K30" s="1">
        <f>VALUE(5501)</f>
        <v>5501</v>
      </c>
      <c r="L30" s="1">
        <f>VALUE(6577)</f>
        <v>6577</v>
      </c>
      <c r="M30" s="1">
        <f>VALUE(7829)</f>
        <v>7829</v>
      </c>
      <c r="N30" t="s">
        <v>16</v>
      </c>
    </row>
    <row r="31" spans="1:14" x14ac:dyDescent="0.25">
      <c r="A31" t="s">
        <v>14</v>
      </c>
      <c r="B31" t="s">
        <v>15</v>
      </c>
      <c r="C31" t="s">
        <v>15</v>
      </c>
      <c r="D31" t="s">
        <v>28</v>
      </c>
      <c r="E31" t="s">
        <v>15</v>
      </c>
      <c r="F31" t="s">
        <v>20</v>
      </c>
      <c r="G31" s="1">
        <f>VALUE(23732.4103366712)</f>
        <v>23732.410336671201</v>
      </c>
      <c r="H31" s="1">
        <f>VALUE(20154.5318628001)</f>
        <v>20154.5318628001</v>
      </c>
      <c r="I31" s="1">
        <f>VALUE(3382)</f>
        <v>3382</v>
      </c>
      <c r="J31" s="1">
        <f>VALUE(3984)</f>
        <v>3984</v>
      </c>
      <c r="K31" s="1">
        <f>VALUE(4875)</f>
        <v>4875</v>
      </c>
      <c r="L31" s="1">
        <f>VALUE(5792)</f>
        <v>5792</v>
      </c>
      <c r="M31" s="1">
        <f>VALUE(6798)</f>
        <v>6798</v>
      </c>
      <c r="N31" t="s">
        <v>16</v>
      </c>
    </row>
    <row r="32" spans="1:14" x14ac:dyDescent="0.25">
      <c r="A32" t="s">
        <v>14</v>
      </c>
      <c r="B32" t="s">
        <v>15</v>
      </c>
      <c r="C32" t="s">
        <v>15</v>
      </c>
      <c r="D32" t="s">
        <v>28</v>
      </c>
      <c r="E32" t="s">
        <v>21</v>
      </c>
      <c r="F32" t="s">
        <v>15</v>
      </c>
      <c r="G32" s="1">
        <f>VALUE(12564.931580889)</f>
        <v>12564.931580889001</v>
      </c>
      <c r="H32" s="1">
        <f>VALUE(11168.4126144881)</f>
        <v>11168.412614488099</v>
      </c>
      <c r="I32" s="1">
        <f>VALUE(4334)</f>
        <v>4334</v>
      </c>
      <c r="J32" s="1">
        <f>VALUE(5443)</f>
        <v>5443</v>
      </c>
      <c r="K32" s="1">
        <f>VALUE(7020)</f>
        <v>7020</v>
      </c>
      <c r="L32" s="1">
        <f>VALUE(9346)</f>
        <v>9346</v>
      </c>
      <c r="M32" s="1">
        <f>VALUE(13164)</f>
        <v>13164</v>
      </c>
      <c r="N32" t="s">
        <v>16</v>
      </c>
    </row>
    <row r="33" spans="1:14" x14ac:dyDescent="0.25">
      <c r="A33" t="s">
        <v>14</v>
      </c>
      <c r="B33" t="s">
        <v>15</v>
      </c>
      <c r="C33" t="s">
        <v>15</v>
      </c>
      <c r="D33" t="s">
        <v>28</v>
      </c>
      <c r="E33" t="s">
        <v>21</v>
      </c>
      <c r="F33" t="s">
        <v>17</v>
      </c>
      <c r="G33" s="1">
        <f>VALUE(5713.3906829534)</f>
        <v>5713.3906829533998</v>
      </c>
      <c r="H33" s="1">
        <f>VALUE(5395.6698241971)</f>
        <v>5395.6698241970998</v>
      </c>
      <c r="I33" s="1">
        <f>VALUE(4825)</f>
        <v>4825</v>
      </c>
      <c r="J33" s="1">
        <f>VALUE(6230)</f>
        <v>6230</v>
      </c>
      <c r="K33" s="1">
        <f>VALUE(8666)</f>
        <v>8666</v>
      </c>
      <c r="L33" s="1">
        <f>VALUE(11817)</f>
        <v>11817</v>
      </c>
      <c r="M33" s="1">
        <f>VALUE(17198)</f>
        <v>17198</v>
      </c>
      <c r="N33" t="s">
        <v>16</v>
      </c>
    </row>
    <row r="34" spans="1:14" x14ac:dyDescent="0.25">
      <c r="A34" t="s">
        <v>14</v>
      </c>
      <c r="B34" t="s">
        <v>15</v>
      </c>
      <c r="C34" t="s">
        <v>15</v>
      </c>
      <c r="D34" t="s">
        <v>28</v>
      </c>
      <c r="E34" t="s">
        <v>21</v>
      </c>
      <c r="F34" t="s">
        <v>18</v>
      </c>
      <c r="G34" s="1">
        <f>VALUE(2082.1416765876)</f>
        <v>2082.1416765876002</v>
      </c>
      <c r="H34" s="1">
        <f>VALUE(1808.0227047917)</f>
        <v>1808.0227047917001</v>
      </c>
      <c r="I34" s="1">
        <f>VALUE(4418)</f>
        <v>4418</v>
      </c>
      <c r="J34" s="1">
        <f>VALUE(5483)</f>
        <v>5483</v>
      </c>
      <c r="K34" s="1">
        <f>VALUE(6861)</f>
        <v>6861</v>
      </c>
      <c r="L34" s="1">
        <f>VALUE(8265)</f>
        <v>8265</v>
      </c>
      <c r="M34" s="1">
        <f>VALUE(10583)</f>
        <v>10583</v>
      </c>
      <c r="N34" t="s">
        <v>16</v>
      </c>
    </row>
    <row r="35" spans="1:14" x14ac:dyDescent="0.25">
      <c r="A35" t="s">
        <v>14</v>
      </c>
      <c r="B35" t="s">
        <v>15</v>
      </c>
      <c r="C35" t="s">
        <v>15</v>
      </c>
      <c r="D35" t="s">
        <v>28</v>
      </c>
      <c r="E35" t="s">
        <v>21</v>
      </c>
      <c r="F35" t="s">
        <v>19</v>
      </c>
      <c r="G35" s="1">
        <f>VALUE(1749.084366476)</f>
        <v>1749.084366476</v>
      </c>
      <c r="H35" s="1">
        <f>VALUE(1440.2537984127)</f>
        <v>1440.2537984127</v>
      </c>
      <c r="I35" s="1">
        <f>VALUE(4283)</f>
        <v>4283</v>
      </c>
      <c r="J35" s="1">
        <f>VALUE(5079)</f>
        <v>5079</v>
      </c>
      <c r="K35" s="1">
        <f>VALUE(6256)</f>
        <v>6256</v>
      </c>
      <c r="L35" s="1">
        <f>VALUE(7632)</f>
        <v>7632</v>
      </c>
      <c r="M35" s="1">
        <f>VALUE(8474)</f>
        <v>8474</v>
      </c>
      <c r="N35" t="s">
        <v>16</v>
      </c>
    </row>
    <row r="36" spans="1:14" x14ac:dyDescent="0.25">
      <c r="A36" t="s">
        <v>14</v>
      </c>
      <c r="B36" t="s">
        <v>15</v>
      </c>
      <c r="C36" t="s">
        <v>15</v>
      </c>
      <c r="D36" t="s">
        <v>28</v>
      </c>
      <c r="E36" t="s">
        <v>21</v>
      </c>
      <c r="F36" t="s">
        <v>20</v>
      </c>
      <c r="G36" s="1">
        <f>VALUE(3020.314854872)</f>
        <v>3020.3148548720001</v>
      </c>
      <c r="H36" s="1">
        <f>VALUE(2524.4662870866)</f>
        <v>2524.4662870866</v>
      </c>
      <c r="I36" s="1">
        <f>VALUE(3890)</f>
        <v>3890</v>
      </c>
      <c r="J36" s="1">
        <f>VALUE(4808)</f>
        <v>4808</v>
      </c>
      <c r="K36" s="1">
        <f>VALUE(5850)</f>
        <v>5850</v>
      </c>
      <c r="L36" s="1">
        <f>VALUE(6875)</f>
        <v>6875</v>
      </c>
      <c r="M36" s="1">
        <f>VALUE(8287)</f>
        <v>8287</v>
      </c>
      <c r="N36" t="s">
        <v>16</v>
      </c>
    </row>
    <row r="37" spans="1:14" x14ac:dyDescent="0.25">
      <c r="A37" t="s">
        <v>14</v>
      </c>
      <c r="B37" t="s">
        <v>15</v>
      </c>
      <c r="C37" t="s">
        <v>15</v>
      </c>
      <c r="D37" t="s">
        <v>28</v>
      </c>
      <c r="E37" t="s">
        <v>22</v>
      </c>
      <c r="F37" t="s">
        <v>15</v>
      </c>
      <c r="G37" s="1">
        <f>VALUE(25338.2396800771)</f>
        <v>25338.239680077098</v>
      </c>
      <c r="H37" s="1">
        <f>VALUE(22652.9949037626)</f>
        <v>22652.994903762599</v>
      </c>
      <c r="I37" s="1">
        <f>VALUE(3619)</f>
        <v>3619</v>
      </c>
      <c r="J37" s="1">
        <f>VALUE(4301)</f>
        <v>4301</v>
      </c>
      <c r="K37" s="1">
        <f>VALUE(5210)</f>
        <v>5210</v>
      </c>
      <c r="L37" s="1">
        <f>VALUE(6276)</f>
        <v>6276</v>
      </c>
      <c r="M37" s="1">
        <f>VALUE(7742)</f>
        <v>7742</v>
      </c>
      <c r="N37" t="s">
        <v>16</v>
      </c>
    </row>
    <row r="38" spans="1:14" x14ac:dyDescent="0.25">
      <c r="A38" t="s">
        <v>14</v>
      </c>
      <c r="B38" t="s">
        <v>15</v>
      </c>
      <c r="C38" t="s">
        <v>15</v>
      </c>
      <c r="D38" t="s">
        <v>28</v>
      </c>
      <c r="E38" t="s">
        <v>22</v>
      </c>
      <c r="F38" t="s">
        <v>17</v>
      </c>
      <c r="G38" s="1">
        <f>VALUE(3862.2289769181)</f>
        <v>3862.2289769181002</v>
      </c>
      <c r="H38" s="1">
        <f>VALUE(3665.8170851065)</f>
        <v>3665.8170851065001</v>
      </c>
      <c r="I38" s="4">
        <f>VALUE(3859)</f>
        <v>3859</v>
      </c>
      <c r="J38" s="1">
        <f>VALUE(4855)</f>
        <v>4855</v>
      </c>
      <c r="K38" s="1">
        <f>VALUE(6500)</f>
        <v>6500</v>
      </c>
      <c r="L38" s="1">
        <f>VALUE(8512)</f>
        <v>8512</v>
      </c>
      <c r="M38" s="8">
        <f>VALUE(11934)</f>
        <v>11934</v>
      </c>
      <c r="N38" t="s">
        <v>25</v>
      </c>
    </row>
    <row r="39" spans="1:14" x14ac:dyDescent="0.25">
      <c r="A39" t="s">
        <v>14</v>
      </c>
      <c r="B39" t="s">
        <v>15</v>
      </c>
      <c r="C39" t="s">
        <v>15</v>
      </c>
      <c r="D39" t="s">
        <v>28</v>
      </c>
      <c r="E39" t="s">
        <v>22</v>
      </c>
      <c r="F39" t="s">
        <v>18</v>
      </c>
      <c r="G39" s="1">
        <f>VALUE(3303.0240092298)</f>
        <v>3303.0240092298</v>
      </c>
      <c r="H39" s="1">
        <f>VALUE(2976.5592581156)</f>
        <v>2976.5592581156002</v>
      </c>
      <c r="I39" s="1">
        <f>VALUE(3750)</f>
        <v>3750</v>
      </c>
      <c r="J39" s="1">
        <f>VALUE(4471)</f>
        <v>4471</v>
      </c>
      <c r="K39" s="1">
        <f>VALUE(5384)</f>
        <v>5384</v>
      </c>
      <c r="L39" s="1">
        <f>VALUE(6788)</f>
        <v>6788</v>
      </c>
      <c r="M39" s="1">
        <f>VALUE(8096)</f>
        <v>8096</v>
      </c>
      <c r="N39" t="s">
        <v>16</v>
      </c>
    </row>
    <row r="40" spans="1:14" x14ac:dyDescent="0.25">
      <c r="A40" t="s">
        <v>14</v>
      </c>
      <c r="B40" t="s">
        <v>15</v>
      </c>
      <c r="C40" t="s">
        <v>15</v>
      </c>
      <c r="D40" t="s">
        <v>28</v>
      </c>
      <c r="E40" t="s">
        <v>22</v>
      </c>
      <c r="F40" t="s">
        <v>19</v>
      </c>
      <c r="G40" s="1">
        <f>VALUE(4052.7084163758)</f>
        <v>4052.7084163758</v>
      </c>
      <c r="H40" s="1">
        <f>VALUE(3729.3631786158)</f>
        <v>3729.3631786157998</v>
      </c>
      <c r="I40" s="1">
        <f>VALUE(3900)</f>
        <v>3900</v>
      </c>
      <c r="J40" s="1">
        <f>VALUE(4496)</f>
        <v>4496</v>
      </c>
      <c r="K40" s="1">
        <f>VALUE(5308)</f>
        <v>5308</v>
      </c>
      <c r="L40" s="1">
        <f>VALUE(6186)</f>
        <v>6186</v>
      </c>
      <c r="M40" s="1">
        <f>VALUE(7203)</f>
        <v>7203</v>
      </c>
      <c r="N40" t="s">
        <v>16</v>
      </c>
    </row>
    <row r="41" spans="1:14" x14ac:dyDescent="0.25">
      <c r="A41" t="s">
        <v>14</v>
      </c>
      <c r="B41" t="s">
        <v>15</v>
      </c>
      <c r="C41" t="s">
        <v>15</v>
      </c>
      <c r="D41" t="s">
        <v>28</v>
      </c>
      <c r="E41" t="s">
        <v>22</v>
      </c>
      <c r="F41" t="s">
        <v>20</v>
      </c>
      <c r="G41" s="1">
        <f>VALUE(14120.2782775534)</f>
        <v>14120.2782775534</v>
      </c>
      <c r="H41" s="1">
        <f>VALUE(12281.2553819247)</f>
        <v>12281.2553819247</v>
      </c>
      <c r="I41" s="1">
        <f>VALUE(3498)</f>
        <v>3498</v>
      </c>
      <c r="J41" s="1">
        <f>VALUE(4091)</f>
        <v>4091</v>
      </c>
      <c r="K41" s="1">
        <f>VALUE(4966)</f>
        <v>4966</v>
      </c>
      <c r="L41" s="1">
        <f>VALUE(5769)</f>
        <v>5769</v>
      </c>
      <c r="M41" s="1">
        <f>VALUE(6687)</f>
        <v>6687</v>
      </c>
      <c r="N41" t="s">
        <v>16</v>
      </c>
    </row>
    <row r="42" spans="1:14" x14ac:dyDescent="0.25">
      <c r="A42" t="s">
        <v>14</v>
      </c>
      <c r="B42" t="s">
        <v>15</v>
      </c>
      <c r="C42" t="s">
        <v>15</v>
      </c>
      <c r="D42" t="s">
        <v>28</v>
      </c>
      <c r="E42" t="s">
        <v>23</v>
      </c>
      <c r="F42" t="s">
        <v>15</v>
      </c>
      <c r="G42" s="1">
        <f>VALUE(7862.1623331898)</f>
        <v>7862.1623331897999</v>
      </c>
      <c r="H42" s="1">
        <f>VALUE(6551.7235960505)</f>
        <v>6551.7235960505004</v>
      </c>
      <c r="I42" s="1">
        <f>VALUE(3151)</f>
        <v>3151</v>
      </c>
      <c r="J42" s="1">
        <f>VALUE(3656)</f>
        <v>3656</v>
      </c>
      <c r="K42" s="1">
        <f>VALUE(4395)</f>
        <v>4395</v>
      </c>
      <c r="L42" s="1">
        <f>VALUE(5330)</f>
        <v>5330</v>
      </c>
      <c r="M42" s="1">
        <f>VALUE(6704)</f>
        <v>6704</v>
      </c>
      <c r="N42" t="s">
        <v>16</v>
      </c>
    </row>
    <row r="43" spans="1:14" x14ac:dyDescent="0.25">
      <c r="A43" t="s">
        <v>14</v>
      </c>
      <c r="B43" t="s">
        <v>15</v>
      </c>
      <c r="C43" t="s">
        <v>15</v>
      </c>
      <c r="D43" t="s">
        <v>28</v>
      </c>
      <c r="E43" t="s">
        <v>23</v>
      </c>
      <c r="F43" t="s">
        <v>17</v>
      </c>
      <c r="G43" s="2">
        <f>VALUE(413.865047857)</f>
        <v>413.86504785699998</v>
      </c>
      <c r="H43" s="3">
        <f>VALUE(408.8641737984)</f>
        <v>408.86417379839997</v>
      </c>
      <c r="I43" s="1">
        <f>VALUE(3380)</f>
        <v>3380</v>
      </c>
      <c r="J43" s="5">
        <f>VALUE(4000)</f>
        <v>4000</v>
      </c>
      <c r="K43" s="6">
        <f>VALUE(4969)</f>
        <v>4969</v>
      </c>
      <c r="L43" s="7">
        <f>VALUE(10317)</f>
        <v>10317</v>
      </c>
      <c r="M43" s="8">
        <f>VALUE(14295)</f>
        <v>14295</v>
      </c>
      <c r="N43" t="s">
        <v>25</v>
      </c>
    </row>
    <row r="44" spans="1:14" x14ac:dyDescent="0.25">
      <c r="A44" t="s">
        <v>14</v>
      </c>
      <c r="B44" t="s">
        <v>15</v>
      </c>
      <c r="C44" t="s">
        <v>15</v>
      </c>
      <c r="D44" t="s">
        <v>28</v>
      </c>
      <c r="E44" t="s">
        <v>23</v>
      </c>
      <c r="F44" t="s">
        <v>18</v>
      </c>
      <c r="G44" s="2">
        <f>VALUE(583.7000270374)</f>
        <v>583.70002703739999</v>
      </c>
      <c r="H44" s="3">
        <f>VALUE(550.1194378574)</f>
        <v>550.11943785740004</v>
      </c>
      <c r="I44" s="1">
        <f>VALUE(3360)</f>
        <v>3360</v>
      </c>
      <c r="J44" s="5">
        <f>VALUE(3960)</f>
        <v>3960</v>
      </c>
      <c r="K44" s="1">
        <f>VALUE(4946)</f>
        <v>4946</v>
      </c>
      <c r="L44" s="7">
        <f>VALUE(6658)</f>
        <v>6658</v>
      </c>
      <c r="M44" s="8">
        <f>VALUE(9334)</f>
        <v>9334</v>
      </c>
      <c r="N44" t="s">
        <v>25</v>
      </c>
    </row>
    <row r="45" spans="1:14" x14ac:dyDescent="0.25">
      <c r="A45" t="s">
        <v>14</v>
      </c>
      <c r="B45" t="s">
        <v>15</v>
      </c>
      <c r="C45" t="s">
        <v>15</v>
      </c>
      <c r="D45" t="s">
        <v>28</v>
      </c>
      <c r="E45" t="s">
        <v>23</v>
      </c>
      <c r="F45" t="s">
        <v>19</v>
      </c>
      <c r="G45" s="2">
        <f>VALUE(687.9206540064)</f>
        <v>687.92065400640001</v>
      </c>
      <c r="H45" s="3">
        <f>VALUE(650.066028773)</f>
        <v>650.06602877299997</v>
      </c>
      <c r="I45" s="4">
        <f>VALUE(3605)</f>
        <v>3605</v>
      </c>
      <c r="J45" s="1">
        <f>VALUE(4408)</f>
        <v>4408</v>
      </c>
      <c r="K45" s="1">
        <f>VALUE(5417)</f>
        <v>5417</v>
      </c>
      <c r="L45" s="1">
        <f>VALUE(6402)</f>
        <v>6402</v>
      </c>
      <c r="M45" s="8">
        <f>VALUE(8157)</f>
        <v>8157</v>
      </c>
      <c r="N45" t="s">
        <v>25</v>
      </c>
    </row>
    <row r="46" spans="1:14" x14ac:dyDescent="0.25">
      <c r="A46" t="s">
        <v>14</v>
      </c>
      <c r="B46" t="s">
        <v>15</v>
      </c>
      <c r="C46" t="s">
        <v>15</v>
      </c>
      <c r="D46" t="s">
        <v>28</v>
      </c>
      <c r="E46" t="s">
        <v>23</v>
      </c>
      <c r="F46" t="s">
        <v>20</v>
      </c>
      <c r="G46" s="1">
        <f>VALUE(6176.676604289)</f>
        <v>6176.6766042890004</v>
      </c>
      <c r="H46" s="1">
        <f>VALUE(4942.6739556217)</f>
        <v>4942.6739556216999</v>
      </c>
      <c r="I46" s="1">
        <f>VALUE(3111)</f>
        <v>3111</v>
      </c>
      <c r="J46" s="1">
        <f>VALUE(3578)</f>
        <v>3578</v>
      </c>
      <c r="K46" s="1">
        <f>VALUE(4205)</f>
        <v>4205</v>
      </c>
      <c r="L46" s="1">
        <f>VALUE(5045)</f>
        <v>5045</v>
      </c>
      <c r="M46" s="1">
        <f>VALUE(5740)</f>
        <v>5740</v>
      </c>
      <c r="N46" t="s">
        <v>16</v>
      </c>
    </row>
    <row r="47" spans="1:14" x14ac:dyDescent="0.25">
      <c r="A47" t="s">
        <v>14</v>
      </c>
      <c r="B47" t="s">
        <v>15</v>
      </c>
      <c r="C47" t="s">
        <v>15</v>
      </c>
      <c r="D47" t="s">
        <v>28</v>
      </c>
      <c r="E47" t="s">
        <v>26</v>
      </c>
      <c r="F47" t="s">
        <v>15</v>
      </c>
      <c r="G47" s="1">
        <f>VALUE(1022.4373048654)</f>
        <v>1022.4373048654001</v>
      </c>
      <c r="H47" s="1">
        <f>VALUE(1015.5217586356)</f>
        <v>1015.5217586356</v>
      </c>
      <c r="I47" s="1">
        <f>VALUE(4999)</f>
        <v>4999</v>
      </c>
      <c r="J47" s="1">
        <f>VALUE(6013)</f>
        <v>6013</v>
      </c>
      <c r="K47" s="1">
        <f>VALUE(7857)</f>
        <v>7857</v>
      </c>
      <c r="L47" s="1">
        <f>VALUE(12618)</f>
        <v>12618</v>
      </c>
      <c r="M47" s="1">
        <f>VALUE(20179)</f>
        <v>20179</v>
      </c>
      <c r="N47" t="s">
        <v>16</v>
      </c>
    </row>
    <row r="48" spans="1:14" x14ac:dyDescent="0.25">
      <c r="A48" t="s">
        <v>14</v>
      </c>
      <c r="B48" t="s">
        <v>15</v>
      </c>
      <c r="C48" t="s">
        <v>15</v>
      </c>
      <c r="D48" t="s">
        <v>28</v>
      </c>
      <c r="E48" t="s">
        <v>26</v>
      </c>
      <c r="F48" t="s">
        <v>17</v>
      </c>
      <c r="G48" s="2">
        <f>VALUE(287.3482989897)</f>
        <v>287.34829898970003</v>
      </c>
      <c r="H48" s="3">
        <f>VALUE(297.3052615225)</f>
        <v>297.30526152250002</v>
      </c>
      <c r="I48" s="1">
        <f>VALUE(10158)</f>
        <v>10158</v>
      </c>
      <c r="J48" s="1">
        <f>VALUE(13096)</f>
        <v>13096</v>
      </c>
      <c r="K48" s="1">
        <f>VALUE(16217)</f>
        <v>16217</v>
      </c>
      <c r="L48" s="7">
        <f>VALUE(23300)</f>
        <v>23300</v>
      </c>
      <c r="M48" s="1">
        <f>VALUE(38050)</f>
        <v>38050</v>
      </c>
      <c r="N48" t="s">
        <v>25</v>
      </c>
    </row>
    <row r="49" spans="1:14" x14ac:dyDescent="0.25">
      <c r="A49" t="s">
        <v>14</v>
      </c>
      <c r="B49" t="s">
        <v>15</v>
      </c>
      <c r="C49" t="s">
        <v>15</v>
      </c>
      <c r="D49" t="s">
        <v>28</v>
      </c>
      <c r="E49" t="s">
        <v>26</v>
      </c>
      <c r="F49" t="s">
        <v>18</v>
      </c>
      <c r="G49" s="1">
        <f>VALUE(241.5185870761)</f>
        <v>241.5185870761</v>
      </c>
      <c r="H49" s="1">
        <f>VALUE(248.2252494219)</f>
        <v>248.2252494219</v>
      </c>
      <c r="I49" s="1">
        <f>VALUE(6667)</f>
        <v>6667</v>
      </c>
      <c r="J49" s="1">
        <f>VALUE(7698)</f>
        <v>7698</v>
      </c>
      <c r="K49" s="1">
        <f>VALUE(9048)</f>
        <v>9048</v>
      </c>
      <c r="L49" s="1">
        <f>VALUE(10668)</f>
        <v>10668</v>
      </c>
      <c r="M49" s="1">
        <f>VALUE(12020)</f>
        <v>12020</v>
      </c>
      <c r="N49" t="s">
        <v>16</v>
      </c>
    </row>
    <row r="50" spans="1:14" x14ac:dyDescent="0.25">
      <c r="A50" t="s">
        <v>14</v>
      </c>
      <c r="B50" t="s">
        <v>15</v>
      </c>
      <c r="C50" t="s">
        <v>15</v>
      </c>
      <c r="D50" t="s">
        <v>28</v>
      </c>
      <c r="E50" t="s">
        <v>26</v>
      </c>
      <c r="F50" t="s">
        <v>19</v>
      </c>
      <c r="G50" s="1" t="str">
        <f t="shared" ref="G50:M50" si="1">"X"</f>
        <v>X</v>
      </c>
      <c r="H50" s="1" t="str">
        <f t="shared" si="1"/>
        <v>X</v>
      </c>
      <c r="I50" s="1" t="str">
        <f t="shared" si="1"/>
        <v>X</v>
      </c>
      <c r="J50" s="1" t="str">
        <f t="shared" si="1"/>
        <v>X</v>
      </c>
      <c r="K50" s="1" t="str">
        <f t="shared" si="1"/>
        <v>X</v>
      </c>
      <c r="L50" s="1" t="str">
        <f t="shared" si="1"/>
        <v>X</v>
      </c>
      <c r="M50" s="1" t="str">
        <f t="shared" si="1"/>
        <v>X</v>
      </c>
      <c r="N50" t="s">
        <v>27</v>
      </c>
    </row>
    <row r="51" spans="1:14" x14ac:dyDescent="0.25">
      <c r="A51" t="s">
        <v>14</v>
      </c>
      <c r="B51" t="s">
        <v>15</v>
      </c>
      <c r="C51" t="s">
        <v>15</v>
      </c>
      <c r="D51" t="s">
        <v>28</v>
      </c>
      <c r="E51" t="s">
        <v>26</v>
      </c>
      <c r="F51" t="s">
        <v>20</v>
      </c>
      <c r="G51" s="2">
        <f>VALUE(415.1405999568)</f>
        <v>415.14059995679997</v>
      </c>
      <c r="H51" s="3">
        <f>VALUE(406.1362381671)</f>
        <v>406.13623816709998</v>
      </c>
      <c r="I51" s="1">
        <f>VALUE(4127)</f>
        <v>4127</v>
      </c>
      <c r="J51" s="1">
        <f>VALUE(5238)</f>
        <v>5238</v>
      </c>
      <c r="K51" s="1">
        <f>VALUE(6013)</f>
        <v>6013</v>
      </c>
      <c r="L51" s="1">
        <f>VALUE(6429)</f>
        <v>6429</v>
      </c>
      <c r="M51" s="1">
        <f>VALUE(7539)</f>
        <v>7539</v>
      </c>
      <c r="N51" t="s">
        <v>25</v>
      </c>
    </row>
    <row r="52" spans="1:14" x14ac:dyDescent="0.25">
      <c r="A52" t="s">
        <v>14</v>
      </c>
      <c r="B52" t="s">
        <v>15</v>
      </c>
      <c r="C52" t="s">
        <v>15</v>
      </c>
      <c r="D52" t="s">
        <v>29</v>
      </c>
      <c r="E52" t="s">
        <v>15</v>
      </c>
      <c r="F52" t="s">
        <v>15</v>
      </c>
      <c r="G52" s="1">
        <f>VALUE(17988.9160373653)</f>
        <v>17988.916037365299</v>
      </c>
      <c r="H52" s="1">
        <f>VALUE(16661.855289035)</f>
        <v>16661.855289035</v>
      </c>
      <c r="I52" s="1">
        <f>VALUE(3380)</f>
        <v>3380</v>
      </c>
      <c r="J52" s="1">
        <f>VALUE(3973)</f>
        <v>3973</v>
      </c>
      <c r="K52" s="1">
        <f>VALUE(4889)</f>
        <v>4889</v>
      </c>
      <c r="L52" s="1">
        <f>VALUE(5952)</f>
        <v>5952</v>
      </c>
      <c r="M52" s="1">
        <f>VALUE(8016)</f>
        <v>8016</v>
      </c>
      <c r="N52" t="s">
        <v>16</v>
      </c>
    </row>
    <row r="53" spans="1:14" x14ac:dyDescent="0.25">
      <c r="A53" t="s">
        <v>14</v>
      </c>
      <c r="B53" t="s">
        <v>15</v>
      </c>
      <c r="C53" t="s">
        <v>15</v>
      </c>
      <c r="D53" t="s">
        <v>29</v>
      </c>
      <c r="E53" t="s">
        <v>15</v>
      </c>
      <c r="F53" t="s">
        <v>17</v>
      </c>
      <c r="G53" s="1">
        <f>VALUE(2327.0794199789)</f>
        <v>2327.0794199789002</v>
      </c>
      <c r="H53" s="1">
        <f>VALUE(2288.7095191767)</f>
        <v>2288.7095191766998</v>
      </c>
      <c r="I53" s="4">
        <f>VALUE(4047)</f>
        <v>4047</v>
      </c>
      <c r="J53" s="5">
        <f>VALUE(5390)</f>
        <v>5390</v>
      </c>
      <c r="K53" s="6">
        <f>VALUE(7279)</f>
        <v>7279</v>
      </c>
      <c r="L53" s="7">
        <f>VALUE(11048)</f>
        <v>11048</v>
      </c>
      <c r="M53" s="8">
        <f>VALUE(18155)</f>
        <v>18155</v>
      </c>
      <c r="N53" t="s">
        <v>25</v>
      </c>
    </row>
    <row r="54" spans="1:14" x14ac:dyDescent="0.25">
      <c r="A54" t="s">
        <v>14</v>
      </c>
      <c r="B54" t="s">
        <v>15</v>
      </c>
      <c r="C54" t="s">
        <v>15</v>
      </c>
      <c r="D54" t="s">
        <v>29</v>
      </c>
      <c r="E54" t="s">
        <v>15</v>
      </c>
      <c r="F54" t="s">
        <v>18</v>
      </c>
      <c r="G54" s="1">
        <f>VALUE(2043.3909179685)</f>
        <v>2043.3909179684999</v>
      </c>
      <c r="H54" s="3">
        <f>VALUE(1975.5699110554)</f>
        <v>1975.5699110554001</v>
      </c>
      <c r="I54" s="1">
        <f>VALUE(3500)</f>
        <v>3500</v>
      </c>
      <c r="J54" s="5">
        <f>VALUE(4146)</f>
        <v>4146</v>
      </c>
      <c r="K54" s="1">
        <f>VALUE(5200)</f>
        <v>5200</v>
      </c>
      <c r="L54" s="1">
        <f>VALUE(6951)</f>
        <v>6951</v>
      </c>
      <c r="M54" s="1">
        <f>VALUE(8889)</f>
        <v>8889</v>
      </c>
      <c r="N54" t="s">
        <v>25</v>
      </c>
    </row>
    <row r="55" spans="1:14" x14ac:dyDescent="0.25">
      <c r="A55" t="s">
        <v>14</v>
      </c>
      <c r="B55" t="s">
        <v>15</v>
      </c>
      <c r="C55" t="s">
        <v>15</v>
      </c>
      <c r="D55" t="s">
        <v>29</v>
      </c>
      <c r="E55" t="s">
        <v>15</v>
      </c>
      <c r="F55" t="s">
        <v>19</v>
      </c>
      <c r="G55" s="1">
        <f>VALUE(2278.8076381987)</f>
        <v>2278.8076381986998</v>
      </c>
      <c r="H55" s="1">
        <f>VALUE(2219.5488921978)</f>
        <v>2219.5488921977999</v>
      </c>
      <c r="I55" s="1">
        <f>VALUE(3719)</f>
        <v>3719</v>
      </c>
      <c r="J55" s="1">
        <f>VALUE(4336)</f>
        <v>4336</v>
      </c>
      <c r="K55" s="1">
        <f>VALUE(5209)</f>
        <v>5209</v>
      </c>
      <c r="L55" s="1">
        <f>VALUE(6096)</f>
        <v>6096</v>
      </c>
      <c r="M55" s="1">
        <f>VALUE(7433)</f>
        <v>7433</v>
      </c>
      <c r="N55" t="s">
        <v>16</v>
      </c>
    </row>
    <row r="56" spans="1:14" x14ac:dyDescent="0.25">
      <c r="A56" t="s">
        <v>14</v>
      </c>
      <c r="B56" t="s">
        <v>15</v>
      </c>
      <c r="C56" t="s">
        <v>15</v>
      </c>
      <c r="D56" t="s">
        <v>29</v>
      </c>
      <c r="E56" t="s">
        <v>15</v>
      </c>
      <c r="F56" t="s">
        <v>20</v>
      </c>
      <c r="G56" s="1">
        <f>VALUE(11325.1823251212)</f>
        <v>11325.182325121201</v>
      </c>
      <c r="H56" s="1">
        <f>VALUE(10161.7642634941)</f>
        <v>10161.7642634941</v>
      </c>
      <c r="I56" s="1">
        <f>VALUE(3250)</f>
        <v>3250</v>
      </c>
      <c r="J56" s="1">
        <f>VALUE(3766)</f>
        <v>3766</v>
      </c>
      <c r="K56" s="1">
        <f>VALUE(4575)</f>
        <v>4575</v>
      </c>
      <c r="L56" s="1">
        <f>VALUE(5384)</f>
        <v>5384</v>
      </c>
      <c r="M56" s="1">
        <f>VALUE(6107)</f>
        <v>6107</v>
      </c>
      <c r="N56" t="s">
        <v>16</v>
      </c>
    </row>
    <row r="57" spans="1:14" x14ac:dyDescent="0.25">
      <c r="A57" t="s">
        <v>14</v>
      </c>
      <c r="B57" t="s">
        <v>15</v>
      </c>
      <c r="C57" t="s">
        <v>15</v>
      </c>
      <c r="D57" t="s">
        <v>29</v>
      </c>
      <c r="E57" t="s">
        <v>21</v>
      </c>
      <c r="F57" t="s">
        <v>15</v>
      </c>
      <c r="G57" s="1">
        <f>VALUE(2392.0349757018)</f>
        <v>2392.0349757017998</v>
      </c>
      <c r="H57" s="1">
        <f>VALUE(2232.7002165572)</f>
        <v>2232.7002165571998</v>
      </c>
      <c r="I57" s="1">
        <f>VALUE(4780)</f>
        <v>4780</v>
      </c>
      <c r="J57" s="1">
        <f>VALUE(5963)</f>
        <v>5963</v>
      </c>
      <c r="K57" s="1">
        <f>VALUE(7713)</f>
        <v>7713</v>
      </c>
      <c r="L57" s="1">
        <f>VALUE(10667)</f>
        <v>10667</v>
      </c>
      <c r="M57" s="8">
        <f>VALUE(16416)</f>
        <v>16416</v>
      </c>
      <c r="N57" t="s">
        <v>25</v>
      </c>
    </row>
    <row r="58" spans="1:14" x14ac:dyDescent="0.25">
      <c r="A58" t="s">
        <v>14</v>
      </c>
      <c r="B58" t="s">
        <v>15</v>
      </c>
      <c r="C58" t="s">
        <v>15</v>
      </c>
      <c r="D58" t="s">
        <v>29</v>
      </c>
      <c r="E58" t="s">
        <v>21</v>
      </c>
      <c r="F58" t="s">
        <v>17</v>
      </c>
      <c r="G58" s="2">
        <f>VALUE(1022.591861352)</f>
        <v>1022.591861352</v>
      </c>
      <c r="H58" s="3">
        <f>VALUE(1003.4024623477)</f>
        <v>1003.4024623477</v>
      </c>
      <c r="I58" s="4">
        <f>VALUE(5146)</f>
        <v>5146</v>
      </c>
      <c r="J58" s="5">
        <f>VALUE(7068)</f>
        <v>7068</v>
      </c>
      <c r="K58" s="1">
        <f>VALUE(10231)</f>
        <v>10231</v>
      </c>
      <c r="L58" s="7">
        <f>VALUE(15227)</f>
        <v>15227</v>
      </c>
      <c r="M58" s="8">
        <f>VALUE(23077)</f>
        <v>23077</v>
      </c>
      <c r="N58" t="s">
        <v>25</v>
      </c>
    </row>
    <row r="59" spans="1:14" x14ac:dyDescent="0.25">
      <c r="A59" t="s">
        <v>14</v>
      </c>
      <c r="B59" t="s">
        <v>15</v>
      </c>
      <c r="C59" t="s">
        <v>15</v>
      </c>
      <c r="D59" t="s">
        <v>29</v>
      </c>
      <c r="E59" t="s">
        <v>21</v>
      </c>
      <c r="F59" t="s">
        <v>18</v>
      </c>
      <c r="G59" s="2">
        <f>VALUE(504.6972747396)</f>
        <v>504.6972747396</v>
      </c>
      <c r="H59" s="3">
        <f>VALUE(459.3037656529)</f>
        <v>459.30376565289998</v>
      </c>
      <c r="I59" s="4">
        <f>VALUE(4445)</f>
        <v>4445</v>
      </c>
      <c r="J59" s="5">
        <f>VALUE(6084)</f>
        <v>6084</v>
      </c>
      <c r="K59" s="1">
        <f>VALUE(7393)</f>
        <v>7393</v>
      </c>
      <c r="L59" s="1">
        <f>VALUE(9151)</f>
        <v>9151</v>
      </c>
      <c r="M59" s="8">
        <f>VALUE(12205)</f>
        <v>12205</v>
      </c>
      <c r="N59" t="s">
        <v>25</v>
      </c>
    </row>
    <row r="60" spans="1:14" x14ac:dyDescent="0.25">
      <c r="A60" t="s">
        <v>14</v>
      </c>
      <c r="B60" t="s">
        <v>15</v>
      </c>
      <c r="C60" t="s">
        <v>15</v>
      </c>
      <c r="D60" t="s">
        <v>29</v>
      </c>
      <c r="E60" t="s">
        <v>21</v>
      </c>
      <c r="F60" t="s">
        <v>19</v>
      </c>
      <c r="G60" s="2">
        <f>VALUE(333.569089724)</f>
        <v>333.56908972399998</v>
      </c>
      <c r="H60" s="3">
        <f>VALUE(300.1138903376)</f>
        <v>300.11389033760003</v>
      </c>
      <c r="I60" s="1">
        <f>VALUE(4680)</f>
        <v>4680</v>
      </c>
      <c r="J60" s="5">
        <f>VALUE(5374)</f>
        <v>5374</v>
      </c>
      <c r="K60" s="1">
        <f>VALUE(6992)</f>
        <v>6992</v>
      </c>
      <c r="L60" s="1">
        <f>VALUE(8025)</f>
        <v>8025</v>
      </c>
      <c r="M60" s="1">
        <f>VALUE(10440)</f>
        <v>10440</v>
      </c>
      <c r="N60" t="s">
        <v>25</v>
      </c>
    </row>
    <row r="61" spans="1:14" x14ac:dyDescent="0.25">
      <c r="A61" t="s">
        <v>14</v>
      </c>
      <c r="B61" t="s">
        <v>15</v>
      </c>
      <c r="C61" t="s">
        <v>15</v>
      </c>
      <c r="D61" t="s">
        <v>29</v>
      </c>
      <c r="E61" t="s">
        <v>21</v>
      </c>
      <c r="F61" t="s">
        <v>20</v>
      </c>
      <c r="G61" s="2">
        <f>VALUE(531.1767498862)</f>
        <v>531.17674988620001</v>
      </c>
      <c r="H61" s="3">
        <f>VALUE(469.880098219)</f>
        <v>469.88009821899999</v>
      </c>
      <c r="I61" s="1">
        <f>VALUE(4534)</f>
        <v>4534</v>
      </c>
      <c r="J61" s="1">
        <f>VALUE(5289)</f>
        <v>5289</v>
      </c>
      <c r="K61" s="1">
        <f>VALUE(6283)</f>
        <v>6283</v>
      </c>
      <c r="L61" s="1">
        <f>VALUE(7501)</f>
        <v>7501</v>
      </c>
      <c r="M61" s="1">
        <f>VALUE(9000)</f>
        <v>9000</v>
      </c>
      <c r="N61" t="s">
        <v>25</v>
      </c>
    </row>
    <row r="62" spans="1:14" x14ac:dyDescent="0.25">
      <c r="A62" t="s">
        <v>14</v>
      </c>
      <c r="B62" t="s">
        <v>15</v>
      </c>
      <c r="C62" t="s">
        <v>15</v>
      </c>
      <c r="D62" t="s">
        <v>29</v>
      </c>
      <c r="E62" t="s">
        <v>22</v>
      </c>
      <c r="F62" t="s">
        <v>15</v>
      </c>
      <c r="G62" s="1">
        <f>VALUE(6280.5342232568)</f>
        <v>6280.5342232568</v>
      </c>
      <c r="H62" s="1">
        <f>VALUE(5968.2832635542)</f>
        <v>5968.2832635541999</v>
      </c>
      <c r="I62" s="1">
        <f>VALUE(3575)</f>
        <v>3575</v>
      </c>
      <c r="J62" s="1">
        <f>VALUE(4174)</f>
        <v>4174</v>
      </c>
      <c r="K62" s="1">
        <f>VALUE(4944)</f>
        <v>4944</v>
      </c>
      <c r="L62" s="1">
        <f>VALUE(5834)</f>
        <v>5834</v>
      </c>
      <c r="M62" s="1">
        <f>VALUE(7105)</f>
        <v>7105</v>
      </c>
      <c r="N62" t="s">
        <v>16</v>
      </c>
    </row>
    <row r="63" spans="1:14" x14ac:dyDescent="0.25">
      <c r="A63" t="s">
        <v>14</v>
      </c>
      <c r="B63" t="s">
        <v>15</v>
      </c>
      <c r="C63" t="s">
        <v>15</v>
      </c>
      <c r="D63" t="s">
        <v>29</v>
      </c>
      <c r="E63" t="s">
        <v>22</v>
      </c>
      <c r="F63" t="s">
        <v>17</v>
      </c>
      <c r="G63" s="2">
        <f>VALUE(691.7509236939)</f>
        <v>691.75092369389995</v>
      </c>
      <c r="H63" s="3">
        <f>VALUE(686.6741984772)</f>
        <v>686.67419847719998</v>
      </c>
      <c r="I63" s="4">
        <f>VALUE(4047)</f>
        <v>4047</v>
      </c>
      <c r="J63" s="5">
        <f>VALUE(4837)</f>
        <v>4837</v>
      </c>
      <c r="K63" s="1">
        <f>VALUE(6304)</f>
        <v>6304</v>
      </c>
      <c r="L63" s="1">
        <f>VALUE(7914)</f>
        <v>7914</v>
      </c>
      <c r="M63" s="8">
        <f>VALUE(11791)</f>
        <v>11791</v>
      </c>
      <c r="N63" t="s">
        <v>25</v>
      </c>
    </row>
    <row r="64" spans="1:14" x14ac:dyDescent="0.25">
      <c r="A64" t="s">
        <v>14</v>
      </c>
      <c r="B64" t="s">
        <v>15</v>
      </c>
      <c r="C64" t="s">
        <v>15</v>
      </c>
      <c r="D64" t="s">
        <v>29</v>
      </c>
      <c r="E64" t="s">
        <v>22</v>
      </c>
      <c r="F64" t="s">
        <v>18</v>
      </c>
      <c r="G64" s="2">
        <f>VALUE(940.1719481549)</f>
        <v>940.17194815489995</v>
      </c>
      <c r="H64" s="3">
        <f>VALUE(915.528376615)</f>
        <v>915.52837661499996</v>
      </c>
      <c r="I64" s="4">
        <f>VALUE(3575)</f>
        <v>3575</v>
      </c>
      <c r="J64" s="5">
        <f>VALUE(4230)</f>
        <v>4230</v>
      </c>
      <c r="K64" s="1">
        <f>VALUE(5105)</f>
        <v>5105</v>
      </c>
      <c r="L64" s="1">
        <f>VALUE(6429)</f>
        <v>6429</v>
      </c>
      <c r="M64" s="1">
        <f>VALUE(7678)</f>
        <v>7678</v>
      </c>
      <c r="N64" t="s">
        <v>25</v>
      </c>
    </row>
    <row r="65" spans="1:14" x14ac:dyDescent="0.25">
      <c r="A65" t="s">
        <v>14</v>
      </c>
      <c r="B65" t="s">
        <v>15</v>
      </c>
      <c r="C65" t="s">
        <v>15</v>
      </c>
      <c r="D65" t="s">
        <v>29</v>
      </c>
      <c r="E65" t="s">
        <v>22</v>
      </c>
      <c r="F65" t="s">
        <v>19</v>
      </c>
      <c r="G65" s="2">
        <f>VALUE(1118.9350835113)</f>
        <v>1118.9350835113</v>
      </c>
      <c r="H65" s="3">
        <f>VALUE(1085.9899134177)</f>
        <v>1085.9899134177001</v>
      </c>
      <c r="I65" s="1">
        <f>VALUE(3719)</f>
        <v>3719</v>
      </c>
      <c r="J65" s="1">
        <f>VALUE(4333)</f>
        <v>4333</v>
      </c>
      <c r="K65" s="1">
        <f>VALUE(5130)</f>
        <v>5130</v>
      </c>
      <c r="L65" s="1">
        <f>VALUE(5827)</f>
        <v>5827</v>
      </c>
      <c r="M65" s="1">
        <f>VALUE(6690)</f>
        <v>6690</v>
      </c>
      <c r="N65" t="s">
        <v>25</v>
      </c>
    </row>
    <row r="66" spans="1:14" x14ac:dyDescent="0.25">
      <c r="A66" t="s">
        <v>14</v>
      </c>
      <c r="B66" t="s">
        <v>15</v>
      </c>
      <c r="C66" t="s">
        <v>15</v>
      </c>
      <c r="D66" t="s">
        <v>29</v>
      </c>
      <c r="E66" t="s">
        <v>22</v>
      </c>
      <c r="F66" t="s">
        <v>20</v>
      </c>
      <c r="G66" s="1">
        <f>VALUE(3515.2205317987)</f>
        <v>3515.2205317987</v>
      </c>
      <c r="H66" s="1">
        <f>VALUE(3263.8280719333)</f>
        <v>3263.8280719333002</v>
      </c>
      <c r="I66" s="1">
        <f>VALUE(3524)</f>
        <v>3524</v>
      </c>
      <c r="J66" s="1">
        <f>VALUE(4059)</f>
        <v>4059</v>
      </c>
      <c r="K66" s="1">
        <f>VALUE(4762)</f>
        <v>4762</v>
      </c>
      <c r="L66" s="1">
        <f>VALUE(5481)</f>
        <v>5481</v>
      </c>
      <c r="M66" s="1">
        <f>VALUE(6220)</f>
        <v>6220</v>
      </c>
      <c r="N66" t="s">
        <v>16</v>
      </c>
    </row>
    <row r="67" spans="1:14" x14ac:dyDescent="0.25">
      <c r="A67" t="s">
        <v>14</v>
      </c>
      <c r="B67" t="s">
        <v>15</v>
      </c>
      <c r="C67" t="s">
        <v>15</v>
      </c>
      <c r="D67" t="s">
        <v>29</v>
      </c>
      <c r="E67" t="s">
        <v>23</v>
      </c>
      <c r="F67" t="s">
        <v>15</v>
      </c>
      <c r="G67" s="1">
        <f>VALUE(9078.2330155124)</f>
        <v>9078.2330155124</v>
      </c>
      <c r="H67" s="1">
        <f>VALUE(8244.7199267007)</f>
        <v>8244.7199267006999</v>
      </c>
      <c r="I67" s="1">
        <f>VALUE(3230)</f>
        <v>3230</v>
      </c>
      <c r="J67" s="1">
        <f>VALUE(3671)</f>
        <v>3671</v>
      </c>
      <c r="K67" s="1">
        <f>VALUE(4422)</f>
        <v>4422</v>
      </c>
      <c r="L67" s="1">
        <f>VALUE(5334)</f>
        <v>5334</v>
      </c>
      <c r="M67" s="1">
        <f>VALUE(6083)</f>
        <v>6083</v>
      </c>
      <c r="N67" t="s">
        <v>16</v>
      </c>
    </row>
    <row r="68" spans="1:14" x14ac:dyDescent="0.25">
      <c r="A68" t="s">
        <v>14</v>
      </c>
      <c r="B68" t="s">
        <v>15</v>
      </c>
      <c r="C68" t="s">
        <v>15</v>
      </c>
      <c r="D68" t="s">
        <v>29</v>
      </c>
      <c r="E68" t="s">
        <v>23</v>
      </c>
      <c r="F68" t="s">
        <v>17</v>
      </c>
      <c r="G68" s="2">
        <f>VALUE(526.3330489272)</f>
        <v>526.33304892720002</v>
      </c>
      <c r="H68" s="3">
        <f>VALUE(525.9388805257)</f>
        <v>525.93888052570003</v>
      </c>
      <c r="I68" s="4">
        <f>VALUE(3810)</f>
        <v>3810</v>
      </c>
      <c r="J68" s="5">
        <f>VALUE(4293)</f>
        <v>4293</v>
      </c>
      <c r="K68" s="6">
        <f>VALUE(5850)</f>
        <v>5850</v>
      </c>
      <c r="L68" s="7">
        <f>VALUE(7318)</f>
        <v>7318</v>
      </c>
      <c r="M68" s="1">
        <f>VALUE(11443)</f>
        <v>11443</v>
      </c>
      <c r="N68" t="s">
        <v>25</v>
      </c>
    </row>
    <row r="69" spans="1:14" x14ac:dyDescent="0.25">
      <c r="A69" t="s">
        <v>14</v>
      </c>
      <c r="B69" t="s">
        <v>15</v>
      </c>
      <c r="C69" t="s">
        <v>15</v>
      </c>
      <c r="D69" t="s">
        <v>29</v>
      </c>
      <c r="E69" t="s">
        <v>23</v>
      </c>
      <c r="F69" t="s">
        <v>18</v>
      </c>
      <c r="G69" s="2">
        <f>VALUE(566.045164965)</f>
        <v>566.04516496500003</v>
      </c>
      <c r="H69" s="3">
        <f>VALUE(566.9003325859)</f>
        <v>566.90033258589995</v>
      </c>
      <c r="I69" s="4">
        <f>VALUE(3268)</f>
        <v>3268</v>
      </c>
      <c r="J69" s="1">
        <f>VALUE(3639)</f>
        <v>3639</v>
      </c>
      <c r="K69" s="6">
        <f>VALUE(4182)</f>
        <v>4182</v>
      </c>
      <c r="L69" s="7">
        <f>VALUE(5365)</f>
        <v>5365</v>
      </c>
      <c r="M69" s="1">
        <f>VALUE(6628)</f>
        <v>6628</v>
      </c>
      <c r="N69" t="s">
        <v>25</v>
      </c>
    </row>
    <row r="70" spans="1:14" x14ac:dyDescent="0.25">
      <c r="A70" t="s">
        <v>14</v>
      </c>
      <c r="B70" t="s">
        <v>15</v>
      </c>
      <c r="C70" t="s">
        <v>15</v>
      </c>
      <c r="D70" t="s">
        <v>29</v>
      </c>
      <c r="E70" t="s">
        <v>23</v>
      </c>
      <c r="F70" t="s">
        <v>19</v>
      </c>
      <c r="G70" s="2">
        <f>VALUE(826.3034649634)</f>
        <v>826.30346496339996</v>
      </c>
      <c r="H70" s="3">
        <f>VALUE(833.4450884425)</f>
        <v>833.44508844250004</v>
      </c>
      <c r="I70" s="1">
        <f>VALUE(3636)</f>
        <v>3636</v>
      </c>
      <c r="J70" s="5">
        <f>VALUE(4246)</f>
        <v>4246</v>
      </c>
      <c r="K70" s="1">
        <f>VALUE(4974)</f>
        <v>4974</v>
      </c>
      <c r="L70" s="1">
        <f>VALUE(5717)</f>
        <v>5717</v>
      </c>
      <c r="M70" s="1">
        <f>VALUE(6421)</f>
        <v>6421</v>
      </c>
      <c r="N70" t="s">
        <v>25</v>
      </c>
    </row>
    <row r="71" spans="1:14" x14ac:dyDescent="0.25">
      <c r="A71" t="s">
        <v>14</v>
      </c>
      <c r="B71" t="s">
        <v>15</v>
      </c>
      <c r="C71" t="s">
        <v>15</v>
      </c>
      <c r="D71" t="s">
        <v>29</v>
      </c>
      <c r="E71" t="s">
        <v>23</v>
      </c>
      <c r="F71" t="s">
        <v>20</v>
      </c>
      <c r="G71" s="1">
        <f>VALUE(7159.5513366568)</f>
        <v>7159.5513366568002</v>
      </c>
      <c r="H71" s="1">
        <f>VALUE(6318.4356251466)</f>
        <v>6318.4356251465997</v>
      </c>
      <c r="I71" s="1">
        <f>VALUE(3146)</f>
        <v>3146</v>
      </c>
      <c r="J71" s="1">
        <f>VALUE(3559)</f>
        <v>3559</v>
      </c>
      <c r="K71" s="1">
        <f>VALUE(4313)</f>
        <v>4313</v>
      </c>
      <c r="L71" s="1">
        <f>VALUE(5151)</f>
        <v>5151</v>
      </c>
      <c r="M71" s="1">
        <f>VALUE(5721)</f>
        <v>5721</v>
      </c>
      <c r="N71" t="s">
        <v>16</v>
      </c>
    </row>
    <row r="72" spans="1:14" x14ac:dyDescent="0.25">
      <c r="A72" t="s">
        <v>14</v>
      </c>
      <c r="B72" t="s">
        <v>15</v>
      </c>
      <c r="C72" t="s">
        <v>15</v>
      </c>
      <c r="D72" t="s">
        <v>29</v>
      </c>
      <c r="E72" t="s">
        <v>26</v>
      </c>
      <c r="F72" t="s">
        <v>15</v>
      </c>
      <c r="G72" s="2">
        <f>VALUE(238.1138228943)</f>
        <v>238.1138228943</v>
      </c>
      <c r="H72" s="3">
        <f>VALUE(216.1518822229)</f>
        <v>216.15188222290001</v>
      </c>
      <c r="I72" s="1">
        <f>VALUE(3390)</f>
        <v>3390</v>
      </c>
      <c r="J72" s="1">
        <f>VALUE(5288)</f>
        <v>5288</v>
      </c>
      <c r="K72" s="1">
        <f>VALUE(7142)</f>
        <v>7142</v>
      </c>
      <c r="L72" s="1">
        <f>VALUE(11938)</f>
        <v>11938</v>
      </c>
      <c r="M72" s="1">
        <f>VALUE(19409)</f>
        <v>19409</v>
      </c>
      <c r="N72" t="s">
        <v>25</v>
      </c>
    </row>
    <row r="73" spans="1:14" x14ac:dyDescent="0.25">
      <c r="A73" t="s">
        <v>14</v>
      </c>
      <c r="B73" t="s">
        <v>15</v>
      </c>
      <c r="C73" t="s">
        <v>15</v>
      </c>
      <c r="D73" t="s">
        <v>29</v>
      </c>
      <c r="E73" t="s">
        <v>26</v>
      </c>
      <c r="F73" t="s">
        <v>17</v>
      </c>
      <c r="G73" s="1" t="str">
        <f t="shared" ref="G73:M74" si="2">"X"</f>
        <v>X</v>
      </c>
      <c r="H73" s="1" t="str">
        <f t="shared" si="2"/>
        <v>X</v>
      </c>
      <c r="I73" s="1" t="str">
        <f t="shared" si="2"/>
        <v>X</v>
      </c>
      <c r="J73" s="1" t="str">
        <f t="shared" si="2"/>
        <v>X</v>
      </c>
      <c r="K73" s="1" t="str">
        <f t="shared" si="2"/>
        <v>X</v>
      </c>
      <c r="L73" s="1" t="str">
        <f t="shared" si="2"/>
        <v>X</v>
      </c>
      <c r="M73" s="1" t="str">
        <f t="shared" si="2"/>
        <v>X</v>
      </c>
      <c r="N73" t="s">
        <v>27</v>
      </c>
    </row>
    <row r="74" spans="1:14" x14ac:dyDescent="0.25">
      <c r="A74" t="s">
        <v>14</v>
      </c>
      <c r="B74" t="s">
        <v>15</v>
      </c>
      <c r="C74" t="s">
        <v>15</v>
      </c>
      <c r="D74" t="s">
        <v>29</v>
      </c>
      <c r="E74" t="s">
        <v>26</v>
      </c>
      <c r="F74" t="s">
        <v>18</v>
      </c>
      <c r="G74" s="1" t="str">
        <f t="shared" si="2"/>
        <v>X</v>
      </c>
      <c r="H74" s="1" t="str">
        <f t="shared" si="2"/>
        <v>X</v>
      </c>
      <c r="I74" s="1" t="str">
        <f t="shared" si="2"/>
        <v>X</v>
      </c>
      <c r="J74" s="1" t="str">
        <f t="shared" si="2"/>
        <v>X</v>
      </c>
      <c r="K74" s="1" t="str">
        <f t="shared" si="2"/>
        <v>X</v>
      </c>
      <c r="L74" s="1" t="str">
        <f t="shared" si="2"/>
        <v>X</v>
      </c>
      <c r="M74" s="1" t="str">
        <f t="shared" si="2"/>
        <v>X</v>
      </c>
      <c r="N74" t="s">
        <v>27</v>
      </c>
    </row>
    <row r="75" spans="1:14" x14ac:dyDescent="0.25">
      <c r="A75" t="s">
        <v>14</v>
      </c>
      <c r="B75" t="s">
        <v>15</v>
      </c>
      <c r="C75" t="s">
        <v>15</v>
      </c>
      <c r="D75" t="s">
        <v>29</v>
      </c>
      <c r="E75" t="s">
        <v>26</v>
      </c>
      <c r="F75" t="s">
        <v>19</v>
      </c>
      <c r="G75" s="1" t="str">
        <f t="shared" ref="G75:M75" si="3">"..."</f>
        <v>...</v>
      </c>
      <c r="H75" s="1" t="str">
        <f t="shared" si="3"/>
        <v>...</v>
      </c>
      <c r="I75" s="1" t="str">
        <f t="shared" si="3"/>
        <v>...</v>
      </c>
      <c r="J75" s="1" t="str">
        <f t="shared" si="3"/>
        <v>...</v>
      </c>
      <c r="K75" s="1" t="str">
        <f t="shared" si="3"/>
        <v>...</v>
      </c>
      <c r="L75" s="1" t="str">
        <f t="shared" si="3"/>
        <v>...</v>
      </c>
      <c r="M75" s="1" t="str">
        <f t="shared" si="3"/>
        <v>...</v>
      </c>
      <c r="N75" t="s">
        <v>30</v>
      </c>
    </row>
    <row r="76" spans="1:14" x14ac:dyDescent="0.25">
      <c r="A76" t="s">
        <v>14</v>
      </c>
      <c r="B76" t="s">
        <v>15</v>
      </c>
      <c r="C76" t="s">
        <v>15</v>
      </c>
      <c r="D76" t="s">
        <v>29</v>
      </c>
      <c r="E76" t="s">
        <v>26</v>
      </c>
      <c r="F76" t="s">
        <v>20</v>
      </c>
      <c r="G76" s="2">
        <f>VALUE(119.2337067795)</f>
        <v>119.2337067795</v>
      </c>
      <c r="H76" s="3">
        <f>VALUE(109.6204681952)</f>
        <v>109.6204681952</v>
      </c>
      <c r="I76" s="4">
        <f>VALUE(3390)</f>
        <v>3390</v>
      </c>
      <c r="J76" s="5">
        <f>VALUE(4048)</f>
        <v>4048</v>
      </c>
      <c r="K76" s="1">
        <f>VALUE(5770)</f>
        <v>5770</v>
      </c>
      <c r="L76" s="1">
        <f>VALUE(6469)</f>
        <v>6469</v>
      </c>
      <c r="M76" s="8">
        <f>VALUE(7820)</f>
        <v>7820</v>
      </c>
      <c r="N76" t="s">
        <v>25</v>
      </c>
    </row>
    <row r="77" spans="1:14" x14ac:dyDescent="0.25">
      <c r="A77" t="s">
        <v>14</v>
      </c>
      <c r="B77" t="s">
        <v>15</v>
      </c>
      <c r="C77" t="s">
        <v>15</v>
      </c>
      <c r="D77" t="s">
        <v>31</v>
      </c>
      <c r="E77" t="s">
        <v>15</v>
      </c>
      <c r="F77" t="s">
        <v>15</v>
      </c>
      <c r="G77" s="1">
        <f>VALUE(7077.6940969189)</f>
        <v>7077.6940969189</v>
      </c>
      <c r="H77" s="1">
        <f>VALUE(6672.568702852)</f>
        <v>6672.5687028519997</v>
      </c>
      <c r="I77" s="1">
        <f>VALUE(3190)</f>
        <v>3190</v>
      </c>
      <c r="J77" s="1">
        <f>VALUE(3657)</f>
        <v>3657</v>
      </c>
      <c r="K77" s="1">
        <f>VALUE(4689)</f>
        <v>4689</v>
      </c>
      <c r="L77" s="1">
        <f>VALUE(6000)</f>
        <v>6000</v>
      </c>
      <c r="M77" s="8">
        <f>VALUE(9392)</f>
        <v>9392</v>
      </c>
      <c r="N77" t="s">
        <v>25</v>
      </c>
    </row>
    <row r="78" spans="1:14" x14ac:dyDescent="0.25">
      <c r="A78" t="s">
        <v>14</v>
      </c>
      <c r="B78" t="s">
        <v>15</v>
      </c>
      <c r="C78" t="s">
        <v>15</v>
      </c>
      <c r="D78" t="s">
        <v>31</v>
      </c>
      <c r="E78" t="s">
        <v>15</v>
      </c>
      <c r="F78" t="s">
        <v>17</v>
      </c>
      <c r="G78" s="2">
        <f>VALUE(981.0345497147)</f>
        <v>981.03454971470001</v>
      </c>
      <c r="H78" s="3">
        <f>VALUE(976.2007249591)</f>
        <v>976.20072495909994</v>
      </c>
      <c r="I78" s="4">
        <f>VALUE(4000)</f>
        <v>4000</v>
      </c>
      <c r="J78" s="5">
        <f>VALUE(5489)</f>
        <v>5489</v>
      </c>
      <c r="K78" s="6">
        <f>VALUE(7993)</f>
        <v>7993</v>
      </c>
      <c r="L78" s="7">
        <f>VALUE(14445)</f>
        <v>14445</v>
      </c>
      <c r="M78" s="8">
        <f>VALUE(21361)</f>
        <v>21361</v>
      </c>
      <c r="N78" t="s">
        <v>24</v>
      </c>
    </row>
    <row r="79" spans="1:14" x14ac:dyDescent="0.25">
      <c r="A79" t="s">
        <v>14</v>
      </c>
      <c r="B79" t="s">
        <v>15</v>
      </c>
      <c r="C79" t="s">
        <v>15</v>
      </c>
      <c r="D79" t="s">
        <v>31</v>
      </c>
      <c r="E79" t="s">
        <v>15</v>
      </c>
      <c r="F79" t="s">
        <v>18</v>
      </c>
      <c r="G79" s="2">
        <f>VALUE(777.2004121002)</f>
        <v>777.20041210019997</v>
      </c>
      <c r="H79" s="3">
        <f>VALUE(745.977187343)</f>
        <v>745.97718734299997</v>
      </c>
      <c r="I79" s="4">
        <f>VALUE(3488)</f>
        <v>3488</v>
      </c>
      <c r="J79" s="5">
        <f>VALUE(4334)</f>
        <v>4334</v>
      </c>
      <c r="K79" s="6">
        <f>VALUE(5958)</f>
        <v>5958</v>
      </c>
      <c r="L79" s="7">
        <f>VALUE(8236)</f>
        <v>8236</v>
      </c>
      <c r="M79" s="8">
        <f>VALUE(11382)</f>
        <v>11382</v>
      </c>
      <c r="N79" t="s">
        <v>24</v>
      </c>
    </row>
    <row r="80" spans="1:14" x14ac:dyDescent="0.25">
      <c r="A80" t="s">
        <v>14</v>
      </c>
      <c r="B80" t="s">
        <v>15</v>
      </c>
      <c r="C80" t="s">
        <v>15</v>
      </c>
      <c r="D80" t="s">
        <v>31</v>
      </c>
      <c r="E80" t="s">
        <v>15</v>
      </c>
      <c r="F80" t="s">
        <v>19</v>
      </c>
      <c r="G80" s="2">
        <f>VALUE(923.3607716222)</f>
        <v>923.36077162219999</v>
      </c>
      <c r="H80" s="3">
        <f>VALUE(825.8515587001)</f>
        <v>825.85155870009999</v>
      </c>
      <c r="I80" s="4">
        <f>VALUE(3816)</f>
        <v>3816</v>
      </c>
      <c r="J80" s="1">
        <f>VALUE(4453)</f>
        <v>4453</v>
      </c>
      <c r="K80" s="1">
        <f>VALUE(5085)</f>
        <v>5085</v>
      </c>
      <c r="L80" s="7">
        <f>VALUE(6270)</f>
        <v>6270</v>
      </c>
      <c r="M80" s="1">
        <f>VALUE(8326)</f>
        <v>8326</v>
      </c>
      <c r="N80" t="s">
        <v>25</v>
      </c>
    </row>
    <row r="81" spans="1:14" x14ac:dyDescent="0.25">
      <c r="A81" t="s">
        <v>14</v>
      </c>
      <c r="B81" t="s">
        <v>15</v>
      </c>
      <c r="C81" t="s">
        <v>15</v>
      </c>
      <c r="D81" t="s">
        <v>31</v>
      </c>
      <c r="E81" t="s">
        <v>15</v>
      </c>
      <c r="F81" t="s">
        <v>20</v>
      </c>
      <c r="G81" s="1">
        <f>VALUE(4396.0983634818)</f>
        <v>4396.0983634818003</v>
      </c>
      <c r="H81" s="1">
        <f>VALUE(4124.5392318498)</f>
        <v>4124.5392318497998</v>
      </c>
      <c r="I81" s="1">
        <f>VALUE(3116)</f>
        <v>3116</v>
      </c>
      <c r="J81" s="1">
        <f>VALUE(3405)</f>
        <v>3405</v>
      </c>
      <c r="K81" s="1">
        <f>VALUE(4069)</f>
        <v>4069</v>
      </c>
      <c r="L81" s="1">
        <f>VALUE(5092)</f>
        <v>5092</v>
      </c>
      <c r="M81" s="1">
        <f>VALUE(6163)</f>
        <v>6163</v>
      </c>
      <c r="N81" t="s">
        <v>16</v>
      </c>
    </row>
    <row r="82" spans="1:14" x14ac:dyDescent="0.25">
      <c r="A82" t="s">
        <v>14</v>
      </c>
      <c r="B82" t="s">
        <v>15</v>
      </c>
      <c r="C82" t="s">
        <v>15</v>
      </c>
      <c r="D82" t="s">
        <v>31</v>
      </c>
      <c r="E82" t="s">
        <v>21</v>
      </c>
      <c r="F82" t="s">
        <v>15</v>
      </c>
      <c r="G82" s="1">
        <f>VALUE(1878.8367480846)</f>
        <v>1878.8367480846</v>
      </c>
      <c r="H82" s="1">
        <f>VALUE(1734.8337099232)</f>
        <v>1734.8337099232001</v>
      </c>
      <c r="I82" s="1">
        <f>VALUE(4500)</f>
        <v>4500</v>
      </c>
      <c r="J82" s="1">
        <f>VALUE(5079)</f>
        <v>5079</v>
      </c>
      <c r="K82" s="1">
        <f>VALUE(6553)</f>
        <v>6553</v>
      </c>
      <c r="L82" s="7">
        <f>VALUE(9616)</f>
        <v>9616</v>
      </c>
      <c r="M82" s="8">
        <f>VALUE(15514)</f>
        <v>15514</v>
      </c>
      <c r="N82" t="s">
        <v>25</v>
      </c>
    </row>
    <row r="83" spans="1:14" x14ac:dyDescent="0.25">
      <c r="A83" t="s">
        <v>14</v>
      </c>
      <c r="B83" t="s">
        <v>15</v>
      </c>
      <c r="C83" t="s">
        <v>15</v>
      </c>
      <c r="D83" t="s">
        <v>31</v>
      </c>
      <c r="E83" t="s">
        <v>21</v>
      </c>
      <c r="F83" t="s">
        <v>17</v>
      </c>
      <c r="G83" s="2">
        <f>VALUE(488.6402666363)</f>
        <v>488.6402666363</v>
      </c>
      <c r="H83" s="3">
        <f>VALUE(486.8081302067)</f>
        <v>486.80813020670001</v>
      </c>
      <c r="I83" s="4">
        <f>VALUE(5500)</f>
        <v>5500</v>
      </c>
      <c r="J83" s="5">
        <f>VALUE(7143)</f>
        <v>7143</v>
      </c>
      <c r="K83" s="6">
        <f>VALUE(10714)</f>
        <v>10714</v>
      </c>
      <c r="L83" s="7">
        <f>VALUE(17068)</f>
        <v>17068</v>
      </c>
      <c r="M83" s="8">
        <f>VALUE(25454)</f>
        <v>25454</v>
      </c>
      <c r="N83" t="s">
        <v>24</v>
      </c>
    </row>
    <row r="84" spans="1:14" x14ac:dyDescent="0.25">
      <c r="A84" t="s">
        <v>14</v>
      </c>
      <c r="B84" t="s">
        <v>15</v>
      </c>
      <c r="C84" t="s">
        <v>15</v>
      </c>
      <c r="D84" t="s">
        <v>31</v>
      </c>
      <c r="E84" t="s">
        <v>21</v>
      </c>
      <c r="F84" t="s">
        <v>18</v>
      </c>
      <c r="G84" s="2">
        <f>VALUE(377.010795383)</f>
        <v>377.01079538300002</v>
      </c>
      <c r="H84" s="3">
        <f>VALUE(351.6968577693)</f>
        <v>351.69685776929998</v>
      </c>
      <c r="I84" s="4">
        <f>VALUE(4550)</f>
        <v>4550</v>
      </c>
      <c r="J84" s="5">
        <f>VALUE(5952)</f>
        <v>5952</v>
      </c>
      <c r="K84" s="6">
        <f>VALUE(7127)</f>
        <v>7127</v>
      </c>
      <c r="L84" s="7">
        <f>VALUE(9705)</f>
        <v>9705</v>
      </c>
      <c r="M84" s="8">
        <f>VALUE(13334)</f>
        <v>13334</v>
      </c>
      <c r="N84" t="s">
        <v>24</v>
      </c>
    </row>
    <row r="85" spans="1:14" x14ac:dyDescent="0.25">
      <c r="A85" t="s">
        <v>14</v>
      </c>
      <c r="B85" t="s">
        <v>15</v>
      </c>
      <c r="C85" t="s">
        <v>15</v>
      </c>
      <c r="D85" t="s">
        <v>31</v>
      </c>
      <c r="E85" t="s">
        <v>21</v>
      </c>
      <c r="F85" t="s">
        <v>19</v>
      </c>
      <c r="G85" s="2">
        <f>VALUE(425.9794447464)</f>
        <v>425.97944474640002</v>
      </c>
      <c r="H85" s="3">
        <f>VALUE(339.7634298683)</f>
        <v>339.76342986830002</v>
      </c>
      <c r="I85" s="4">
        <f>VALUE(4381)</f>
        <v>4381</v>
      </c>
      <c r="J85" s="1">
        <f>VALUE(4945)</f>
        <v>4945</v>
      </c>
      <c r="K85" s="6">
        <f>VALUE(5159)</f>
        <v>5159</v>
      </c>
      <c r="L85" s="7">
        <f>VALUE(7143)</f>
        <v>7143</v>
      </c>
      <c r="M85" s="8">
        <f>VALUE(9477)</f>
        <v>9477</v>
      </c>
      <c r="N85" t="s">
        <v>25</v>
      </c>
    </row>
    <row r="86" spans="1:14" x14ac:dyDescent="0.25">
      <c r="A86" t="s">
        <v>14</v>
      </c>
      <c r="B86" t="s">
        <v>15</v>
      </c>
      <c r="C86" t="s">
        <v>15</v>
      </c>
      <c r="D86" t="s">
        <v>31</v>
      </c>
      <c r="E86" t="s">
        <v>21</v>
      </c>
      <c r="F86" t="s">
        <v>20</v>
      </c>
      <c r="G86" s="2">
        <f>VALUE(587.2062413189)</f>
        <v>587.20624131889997</v>
      </c>
      <c r="H86" s="3">
        <f>VALUE(556.5652920789)</f>
        <v>556.56529207890003</v>
      </c>
      <c r="I86" s="4">
        <f>VALUE(4116)</f>
        <v>4116</v>
      </c>
      <c r="J86" s="1">
        <f>VALUE(4792)</f>
        <v>4792</v>
      </c>
      <c r="K86" s="1">
        <f>VALUE(5588)</f>
        <v>5588</v>
      </c>
      <c r="L86" s="1">
        <f>VALUE(6963)</f>
        <v>6963</v>
      </c>
      <c r="M86" s="1">
        <f>VALUE(8730)</f>
        <v>8730</v>
      </c>
      <c r="N86" t="s">
        <v>25</v>
      </c>
    </row>
    <row r="87" spans="1:14" x14ac:dyDescent="0.25">
      <c r="A87" t="s">
        <v>14</v>
      </c>
      <c r="B87" t="s">
        <v>15</v>
      </c>
      <c r="C87" t="s">
        <v>15</v>
      </c>
      <c r="D87" t="s">
        <v>31</v>
      </c>
      <c r="E87" t="s">
        <v>22</v>
      </c>
      <c r="F87" t="s">
        <v>15</v>
      </c>
      <c r="G87" s="2">
        <f>VALUE(1306.2118250132)</f>
        <v>1306.2118250132</v>
      </c>
      <c r="H87" s="3">
        <f>VALUE(1247.2891966288)</f>
        <v>1247.2891966288</v>
      </c>
      <c r="I87" s="1">
        <f>VALUE(3382)</f>
        <v>3382</v>
      </c>
      <c r="J87" s="1">
        <f>VALUE(3805)</f>
        <v>3805</v>
      </c>
      <c r="K87" s="1">
        <f>VALUE(4653)</f>
        <v>4653</v>
      </c>
      <c r="L87" s="1">
        <f>VALUE(5833)</f>
        <v>5833</v>
      </c>
      <c r="M87" s="8">
        <f>VALUE(7145)</f>
        <v>7145</v>
      </c>
      <c r="N87" t="s">
        <v>25</v>
      </c>
    </row>
    <row r="88" spans="1:14" x14ac:dyDescent="0.25">
      <c r="A88" t="s">
        <v>14</v>
      </c>
      <c r="B88" t="s">
        <v>15</v>
      </c>
      <c r="C88" t="s">
        <v>15</v>
      </c>
      <c r="D88" t="s">
        <v>31</v>
      </c>
      <c r="E88" t="s">
        <v>22</v>
      </c>
      <c r="F88" t="s">
        <v>17</v>
      </c>
      <c r="G88" s="1" t="str">
        <f t="shared" ref="G88:M88" si="4">"X"</f>
        <v>X</v>
      </c>
      <c r="H88" s="1" t="str">
        <f t="shared" si="4"/>
        <v>X</v>
      </c>
      <c r="I88" s="1" t="str">
        <f t="shared" si="4"/>
        <v>X</v>
      </c>
      <c r="J88" s="1" t="str">
        <f t="shared" si="4"/>
        <v>X</v>
      </c>
      <c r="K88" s="1" t="str">
        <f t="shared" si="4"/>
        <v>X</v>
      </c>
      <c r="L88" s="1" t="str">
        <f t="shared" si="4"/>
        <v>X</v>
      </c>
      <c r="M88" s="1" t="str">
        <f t="shared" si="4"/>
        <v>X</v>
      </c>
      <c r="N88" t="s">
        <v>27</v>
      </c>
    </row>
    <row r="89" spans="1:14" x14ac:dyDescent="0.25">
      <c r="A89" t="s">
        <v>14</v>
      </c>
      <c r="B89" t="s">
        <v>15</v>
      </c>
      <c r="C89" t="s">
        <v>15</v>
      </c>
      <c r="D89" t="s">
        <v>31</v>
      </c>
      <c r="E89" t="s">
        <v>22</v>
      </c>
      <c r="F89" t="s">
        <v>18</v>
      </c>
      <c r="G89" s="2">
        <f>VALUE(176.9430441578)</f>
        <v>176.94304415779999</v>
      </c>
      <c r="H89" s="3">
        <f>VALUE(170.1649024095)</f>
        <v>170.1649024095</v>
      </c>
      <c r="I89" s="4">
        <f>VALUE(3382)</f>
        <v>3382</v>
      </c>
      <c r="J89" s="5">
        <f>VALUE(3976)</f>
        <v>3976</v>
      </c>
      <c r="K89" s="6">
        <f>VALUE(5333)</f>
        <v>5333</v>
      </c>
      <c r="L89" s="1">
        <f>VALUE(6553)</f>
        <v>6553</v>
      </c>
      <c r="M89" s="8">
        <f>VALUE(7333)</f>
        <v>7333</v>
      </c>
      <c r="N89" t="s">
        <v>25</v>
      </c>
    </row>
    <row r="90" spans="1:14" x14ac:dyDescent="0.25">
      <c r="A90" t="s">
        <v>14</v>
      </c>
      <c r="B90" t="s">
        <v>15</v>
      </c>
      <c r="C90" t="s">
        <v>15</v>
      </c>
      <c r="D90" t="s">
        <v>31</v>
      </c>
      <c r="E90" t="s">
        <v>22</v>
      </c>
      <c r="F90" t="s">
        <v>19</v>
      </c>
      <c r="G90" s="2">
        <f>VALUE(213.7629460172)</f>
        <v>213.76294601719999</v>
      </c>
      <c r="H90" s="3">
        <f>VALUE(196.1844748726)</f>
        <v>196.18447487259999</v>
      </c>
      <c r="I90" s="4">
        <f>VALUE(3602)</f>
        <v>3602</v>
      </c>
      <c r="J90" s="5">
        <f>VALUE(4044)</f>
        <v>4044</v>
      </c>
      <c r="K90" s="1">
        <f>VALUE(5417)</f>
        <v>5417</v>
      </c>
      <c r="L90" s="7">
        <f>VALUE(6226)</f>
        <v>6226</v>
      </c>
      <c r="M90" s="8">
        <f>VALUE(7145)</f>
        <v>7145</v>
      </c>
      <c r="N90" t="s">
        <v>25</v>
      </c>
    </row>
    <row r="91" spans="1:14" x14ac:dyDescent="0.25">
      <c r="A91" t="s">
        <v>14</v>
      </c>
      <c r="B91" t="s">
        <v>15</v>
      </c>
      <c r="C91" t="s">
        <v>15</v>
      </c>
      <c r="D91" t="s">
        <v>31</v>
      </c>
      <c r="E91" t="s">
        <v>22</v>
      </c>
      <c r="F91" t="s">
        <v>20</v>
      </c>
      <c r="G91" s="2">
        <f>VALUE(778.9116924547)</f>
        <v>778.91169245469996</v>
      </c>
      <c r="H91" s="3">
        <f>VALUE(748.9054533403)</f>
        <v>748.90545334030003</v>
      </c>
      <c r="I91" s="1">
        <f>VALUE(3198)</f>
        <v>3198</v>
      </c>
      <c r="J91" s="1">
        <f>VALUE(3700)</f>
        <v>3700</v>
      </c>
      <c r="K91" s="1">
        <f>VALUE(4273)</f>
        <v>4273</v>
      </c>
      <c r="L91" s="1">
        <f>VALUE(5221)</f>
        <v>5221</v>
      </c>
      <c r="M91" s="1">
        <f>VALUE(6415)</f>
        <v>6415</v>
      </c>
      <c r="N91" t="s">
        <v>25</v>
      </c>
    </row>
    <row r="92" spans="1:14" x14ac:dyDescent="0.25">
      <c r="A92" t="s">
        <v>14</v>
      </c>
      <c r="B92" t="s">
        <v>15</v>
      </c>
      <c r="C92" t="s">
        <v>15</v>
      </c>
      <c r="D92" t="s">
        <v>31</v>
      </c>
      <c r="E92" t="s">
        <v>23</v>
      </c>
      <c r="F92" t="s">
        <v>15</v>
      </c>
      <c r="G92" s="1">
        <f>VALUE(3730.6171154829)</f>
        <v>3730.6171154828999</v>
      </c>
      <c r="H92" s="1">
        <f>VALUE(3530.8761586883)</f>
        <v>3530.8761586883002</v>
      </c>
      <c r="I92" s="1">
        <f>VALUE(3070)</f>
        <v>3070</v>
      </c>
      <c r="J92" s="1">
        <f>VALUE(3355)</f>
        <v>3355</v>
      </c>
      <c r="K92" s="1">
        <f>VALUE(3965)</f>
        <v>3965</v>
      </c>
      <c r="L92" s="1">
        <f>VALUE(4944)</f>
        <v>4944</v>
      </c>
      <c r="M92" s="1">
        <f>VALUE(5778)</f>
        <v>5778</v>
      </c>
      <c r="N92" t="s">
        <v>16</v>
      </c>
    </row>
    <row r="93" spans="1:14" x14ac:dyDescent="0.25">
      <c r="A93" t="s">
        <v>14</v>
      </c>
      <c r="B93" t="s">
        <v>15</v>
      </c>
      <c r="C93" t="s">
        <v>15</v>
      </c>
      <c r="D93" t="s">
        <v>31</v>
      </c>
      <c r="E93" t="s">
        <v>23</v>
      </c>
      <c r="F93" t="s">
        <v>17</v>
      </c>
      <c r="G93" s="1" t="str">
        <f t="shared" ref="G93:M93" si="5">"X"</f>
        <v>X</v>
      </c>
      <c r="H93" s="1" t="str">
        <f t="shared" si="5"/>
        <v>X</v>
      </c>
      <c r="I93" s="1" t="str">
        <f t="shared" si="5"/>
        <v>X</v>
      </c>
      <c r="J93" s="1" t="str">
        <f t="shared" si="5"/>
        <v>X</v>
      </c>
      <c r="K93" s="1" t="str">
        <f t="shared" si="5"/>
        <v>X</v>
      </c>
      <c r="L93" s="1" t="str">
        <f t="shared" si="5"/>
        <v>X</v>
      </c>
      <c r="M93" s="1" t="str">
        <f t="shared" si="5"/>
        <v>X</v>
      </c>
      <c r="N93" t="s">
        <v>27</v>
      </c>
    </row>
    <row r="94" spans="1:14" x14ac:dyDescent="0.25">
      <c r="A94" t="s">
        <v>14</v>
      </c>
      <c r="B94" t="s">
        <v>15</v>
      </c>
      <c r="C94" t="s">
        <v>15</v>
      </c>
      <c r="D94" t="s">
        <v>31</v>
      </c>
      <c r="E94" t="s">
        <v>23</v>
      </c>
      <c r="F94" t="s">
        <v>18</v>
      </c>
      <c r="G94" s="2">
        <f>VALUE(190.4584824419)</f>
        <v>190.4584824419</v>
      </c>
      <c r="H94" s="3">
        <f>VALUE(190.1010624772)</f>
        <v>190.1010624772</v>
      </c>
      <c r="I94" s="4">
        <f>VALUE(3261)</f>
        <v>3261</v>
      </c>
      <c r="J94" s="5">
        <f>VALUE(3488)</f>
        <v>3488</v>
      </c>
      <c r="K94" s="6">
        <f>VALUE(4322)</f>
        <v>4322</v>
      </c>
      <c r="L94" s="7">
        <f>VALUE(5023)</f>
        <v>5023</v>
      </c>
      <c r="M94" s="8">
        <f>VALUE(7148)</f>
        <v>7148</v>
      </c>
      <c r="N94" t="s">
        <v>24</v>
      </c>
    </row>
    <row r="95" spans="1:14" x14ac:dyDescent="0.25">
      <c r="A95" t="s">
        <v>14</v>
      </c>
      <c r="B95" t="s">
        <v>15</v>
      </c>
      <c r="C95" t="s">
        <v>15</v>
      </c>
      <c r="D95" t="s">
        <v>31</v>
      </c>
      <c r="E95" t="s">
        <v>23</v>
      </c>
      <c r="F95" t="s">
        <v>19</v>
      </c>
      <c r="G95" s="2">
        <f>VALUE(281.2877055756)</f>
        <v>281.2877055756</v>
      </c>
      <c r="H95" s="3">
        <f>VALUE(287.5729786762)</f>
        <v>287.57297867620002</v>
      </c>
      <c r="I95" s="4">
        <f>VALUE(3769)</f>
        <v>3769</v>
      </c>
      <c r="J95" s="5">
        <f>VALUE(4023)</f>
        <v>4023</v>
      </c>
      <c r="K95" s="6">
        <f>VALUE(4903)</f>
        <v>4903</v>
      </c>
      <c r="L95" s="1">
        <f>VALUE(5540)</f>
        <v>5540</v>
      </c>
      <c r="M95" s="8">
        <f>VALUE(8225)</f>
        <v>8225</v>
      </c>
      <c r="N95" t="s">
        <v>25</v>
      </c>
    </row>
    <row r="96" spans="1:14" x14ac:dyDescent="0.25">
      <c r="A96" t="s">
        <v>14</v>
      </c>
      <c r="B96" t="s">
        <v>15</v>
      </c>
      <c r="C96" t="s">
        <v>15</v>
      </c>
      <c r="D96" t="s">
        <v>31</v>
      </c>
      <c r="E96" t="s">
        <v>23</v>
      </c>
      <c r="F96" t="s">
        <v>20</v>
      </c>
      <c r="G96" s="1">
        <f>VALUE(2942.4164949115)</f>
        <v>2942.4164949115002</v>
      </c>
      <c r="H96" s="1">
        <f>VALUE(2737.1568823359)</f>
        <v>2737.1568823358998</v>
      </c>
      <c r="I96" s="1">
        <f>VALUE(3030)</f>
        <v>3030</v>
      </c>
      <c r="J96" s="1">
        <f>VALUE(3300)</f>
        <v>3300</v>
      </c>
      <c r="K96" s="1">
        <f>VALUE(3765)</f>
        <v>3765</v>
      </c>
      <c r="L96" s="1">
        <f>VALUE(4626)</f>
        <v>4626</v>
      </c>
      <c r="M96" s="1">
        <f>VALUE(5445)</f>
        <v>5445</v>
      </c>
      <c r="N96" t="s">
        <v>16</v>
      </c>
    </row>
    <row r="97" spans="1:14" x14ac:dyDescent="0.25">
      <c r="A97" t="s">
        <v>14</v>
      </c>
      <c r="B97" t="s">
        <v>15</v>
      </c>
      <c r="C97" t="s">
        <v>15</v>
      </c>
      <c r="D97" t="s">
        <v>31</v>
      </c>
      <c r="E97" t="s">
        <v>26</v>
      </c>
      <c r="F97" t="s">
        <v>15</v>
      </c>
      <c r="G97" s="2">
        <f>VALUE(162.0284083382)</f>
        <v>162.02840833819999</v>
      </c>
      <c r="H97" s="3">
        <f>VALUE(159.5696376117)</f>
        <v>159.56963761169999</v>
      </c>
      <c r="I97" s="1">
        <f>VALUE(4523)</f>
        <v>4523</v>
      </c>
      <c r="J97" s="1">
        <f>VALUE(5793)</f>
        <v>5793</v>
      </c>
      <c r="K97" s="1">
        <f>VALUE(8334)</f>
        <v>8334</v>
      </c>
      <c r="L97" s="1">
        <f>VALUE(13062)</f>
        <v>13062</v>
      </c>
      <c r="M97" s="1">
        <f>VALUE(23651)</f>
        <v>23651</v>
      </c>
      <c r="N97" t="s">
        <v>25</v>
      </c>
    </row>
    <row r="98" spans="1:14" x14ac:dyDescent="0.25">
      <c r="A98" t="s">
        <v>14</v>
      </c>
      <c r="B98" t="s">
        <v>15</v>
      </c>
      <c r="C98" t="s">
        <v>15</v>
      </c>
      <c r="D98" t="s">
        <v>31</v>
      </c>
      <c r="E98" t="s">
        <v>26</v>
      </c>
      <c r="F98" t="s">
        <v>17</v>
      </c>
      <c r="G98" s="1" t="str">
        <f t="shared" ref="G98:M101" si="6">"X"</f>
        <v>X</v>
      </c>
      <c r="H98" s="1" t="str">
        <f t="shared" si="6"/>
        <v>X</v>
      </c>
      <c r="I98" s="1" t="str">
        <f t="shared" si="6"/>
        <v>X</v>
      </c>
      <c r="J98" s="1" t="str">
        <f t="shared" si="6"/>
        <v>X</v>
      </c>
      <c r="K98" s="1" t="str">
        <f t="shared" si="6"/>
        <v>X</v>
      </c>
      <c r="L98" s="1" t="str">
        <f t="shared" si="6"/>
        <v>X</v>
      </c>
      <c r="M98" s="1" t="str">
        <f t="shared" si="6"/>
        <v>X</v>
      </c>
      <c r="N98" t="s">
        <v>27</v>
      </c>
    </row>
    <row r="99" spans="1:14" x14ac:dyDescent="0.25">
      <c r="A99" t="s">
        <v>14</v>
      </c>
      <c r="B99" t="s">
        <v>15</v>
      </c>
      <c r="C99" t="s">
        <v>15</v>
      </c>
      <c r="D99" t="s">
        <v>31</v>
      </c>
      <c r="E99" t="s">
        <v>26</v>
      </c>
      <c r="F99" t="s">
        <v>18</v>
      </c>
      <c r="G99" s="1" t="str">
        <f t="shared" si="6"/>
        <v>X</v>
      </c>
      <c r="H99" s="1" t="str">
        <f t="shared" si="6"/>
        <v>X</v>
      </c>
      <c r="I99" s="1" t="str">
        <f t="shared" si="6"/>
        <v>X</v>
      </c>
      <c r="J99" s="1" t="str">
        <f t="shared" si="6"/>
        <v>X</v>
      </c>
      <c r="K99" s="1" t="str">
        <f t="shared" si="6"/>
        <v>X</v>
      </c>
      <c r="L99" s="1" t="str">
        <f t="shared" si="6"/>
        <v>X</v>
      </c>
      <c r="M99" s="1" t="str">
        <f t="shared" si="6"/>
        <v>X</v>
      </c>
      <c r="N99" t="s">
        <v>27</v>
      </c>
    </row>
    <row r="100" spans="1:14" x14ac:dyDescent="0.25">
      <c r="A100" t="s">
        <v>14</v>
      </c>
      <c r="B100" t="s">
        <v>15</v>
      </c>
      <c r="C100" t="s">
        <v>15</v>
      </c>
      <c r="D100" t="s">
        <v>31</v>
      </c>
      <c r="E100" t="s">
        <v>26</v>
      </c>
      <c r="F100" t="s">
        <v>19</v>
      </c>
      <c r="G100" s="1" t="str">
        <f t="shared" si="6"/>
        <v>X</v>
      </c>
      <c r="H100" s="1" t="str">
        <f t="shared" si="6"/>
        <v>X</v>
      </c>
      <c r="I100" s="1" t="str">
        <f t="shared" si="6"/>
        <v>X</v>
      </c>
      <c r="J100" s="1" t="str">
        <f t="shared" si="6"/>
        <v>X</v>
      </c>
      <c r="K100" s="1" t="str">
        <f t="shared" si="6"/>
        <v>X</v>
      </c>
      <c r="L100" s="1" t="str">
        <f t="shared" si="6"/>
        <v>X</v>
      </c>
      <c r="M100" s="1" t="str">
        <f t="shared" si="6"/>
        <v>X</v>
      </c>
      <c r="N100" t="s">
        <v>27</v>
      </c>
    </row>
    <row r="101" spans="1:14" x14ac:dyDescent="0.25">
      <c r="A101" t="s">
        <v>14</v>
      </c>
      <c r="B101" t="s">
        <v>15</v>
      </c>
      <c r="C101" t="s">
        <v>15</v>
      </c>
      <c r="D101" t="s">
        <v>31</v>
      </c>
      <c r="E101" t="s">
        <v>26</v>
      </c>
      <c r="F101" t="s">
        <v>20</v>
      </c>
      <c r="G101" s="1" t="str">
        <f t="shared" si="6"/>
        <v>X</v>
      </c>
      <c r="H101" s="1" t="str">
        <f t="shared" si="6"/>
        <v>X</v>
      </c>
      <c r="I101" s="1" t="str">
        <f t="shared" si="6"/>
        <v>X</v>
      </c>
      <c r="J101" s="1" t="str">
        <f t="shared" si="6"/>
        <v>X</v>
      </c>
      <c r="K101" s="1" t="str">
        <f t="shared" si="6"/>
        <v>X</v>
      </c>
      <c r="L101" s="1" t="str">
        <f t="shared" si="6"/>
        <v>X</v>
      </c>
      <c r="M101" s="1" t="str">
        <f t="shared" si="6"/>
        <v>X</v>
      </c>
      <c r="N101" t="s">
        <v>27</v>
      </c>
    </row>
    <row r="102" spans="1:14" x14ac:dyDescent="0.25">
      <c r="A102" t="s">
        <v>14</v>
      </c>
      <c r="B102" t="s">
        <v>15</v>
      </c>
      <c r="C102" t="s">
        <v>15</v>
      </c>
      <c r="D102" t="s">
        <v>32</v>
      </c>
      <c r="E102" t="s">
        <v>15</v>
      </c>
      <c r="F102" t="s">
        <v>15</v>
      </c>
      <c r="G102" s="1">
        <f>VALUE(38484.9793260955)</f>
        <v>38484.979326095498</v>
      </c>
      <c r="H102" s="1">
        <f>VALUE(37017.8856747006)</f>
        <v>37017.885674700599</v>
      </c>
      <c r="I102" s="1">
        <f>VALUE(2879)</f>
        <v>2879</v>
      </c>
      <c r="J102" s="1">
        <f>VALUE(3539)</f>
        <v>3539</v>
      </c>
      <c r="K102" s="1">
        <f>VALUE(4487)</f>
        <v>4487</v>
      </c>
      <c r="L102" s="1">
        <f>VALUE(5432)</f>
        <v>5432</v>
      </c>
      <c r="M102" s="1">
        <f>VALUE(6666)</f>
        <v>6666</v>
      </c>
      <c r="N102" t="s">
        <v>16</v>
      </c>
    </row>
    <row r="103" spans="1:14" x14ac:dyDescent="0.25">
      <c r="A103" t="s">
        <v>14</v>
      </c>
      <c r="B103" t="s">
        <v>15</v>
      </c>
      <c r="C103" t="s">
        <v>15</v>
      </c>
      <c r="D103" t="s">
        <v>32</v>
      </c>
      <c r="E103" t="s">
        <v>15</v>
      </c>
      <c r="F103" t="s">
        <v>17</v>
      </c>
      <c r="G103" s="1">
        <f>VALUE(2734.8307019435)</f>
        <v>2734.8307019435001</v>
      </c>
      <c r="H103" s="1">
        <f>VALUE(2657.9821844394)</f>
        <v>2657.9821844394</v>
      </c>
      <c r="I103" s="1">
        <f>VALUE(4230)</f>
        <v>4230</v>
      </c>
      <c r="J103" s="1">
        <f>VALUE(5232)</f>
        <v>5232</v>
      </c>
      <c r="K103" s="1">
        <f>VALUE(6707)</f>
        <v>6707</v>
      </c>
      <c r="L103" s="1">
        <f>VALUE(8783)</f>
        <v>8783</v>
      </c>
      <c r="M103" s="8">
        <f>VALUE(12633)</f>
        <v>12633</v>
      </c>
      <c r="N103" t="s">
        <v>25</v>
      </c>
    </row>
    <row r="104" spans="1:14" x14ac:dyDescent="0.25">
      <c r="A104" t="s">
        <v>14</v>
      </c>
      <c r="B104" t="s">
        <v>15</v>
      </c>
      <c r="C104" t="s">
        <v>15</v>
      </c>
      <c r="D104" t="s">
        <v>32</v>
      </c>
      <c r="E104" t="s">
        <v>15</v>
      </c>
      <c r="F104" t="s">
        <v>18</v>
      </c>
      <c r="G104" s="1">
        <f>VALUE(3273.1060864317)</f>
        <v>3273.1060864317001</v>
      </c>
      <c r="H104" s="1">
        <f>VALUE(3176.3242812661)</f>
        <v>3176.3242812661001</v>
      </c>
      <c r="I104" s="1">
        <f>VALUE(3600)</f>
        <v>3600</v>
      </c>
      <c r="J104" s="1">
        <f>VALUE(4244)</f>
        <v>4244</v>
      </c>
      <c r="K104" s="1">
        <f>VALUE(5159)</f>
        <v>5159</v>
      </c>
      <c r="L104" s="1">
        <f>VALUE(6543)</f>
        <v>6543</v>
      </c>
      <c r="M104" s="1">
        <f>VALUE(7813)</f>
        <v>7813</v>
      </c>
      <c r="N104" t="s">
        <v>16</v>
      </c>
    </row>
    <row r="105" spans="1:14" x14ac:dyDescent="0.25">
      <c r="A105" t="s">
        <v>14</v>
      </c>
      <c r="B105" t="s">
        <v>15</v>
      </c>
      <c r="C105" t="s">
        <v>15</v>
      </c>
      <c r="D105" t="s">
        <v>32</v>
      </c>
      <c r="E105" t="s">
        <v>15</v>
      </c>
      <c r="F105" t="s">
        <v>19</v>
      </c>
      <c r="G105" s="1">
        <f>VALUE(4604.8333067496)</f>
        <v>4604.8333067495996</v>
      </c>
      <c r="H105" s="1">
        <f>VALUE(4563.2570678394)</f>
        <v>4563.2570678394004</v>
      </c>
      <c r="I105" s="1">
        <f>VALUE(3389)</f>
        <v>3389</v>
      </c>
      <c r="J105" s="1">
        <f>VALUE(4117)</f>
        <v>4117</v>
      </c>
      <c r="K105" s="1">
        <f>VALUE(4983)</f>
        <v>4983</v>
      </c>
      <c r="L105" s="1">
        <f>VALUE(5957)</f>
        <v>5957</v>
      </c>
      <c r="M105" s="1">
        <f>VALUE(6957)</f>
        <v>6957</v>
      </c>
      <c r="N105" t="s">
        <v>16</v>
      </c>
    </row>
    <row r="106" spans="1:14" x14ac:dyDescent="0.25">
      <c r="A106" t="s">
        <v>14</v>
      </c>
      <c r="B106" t="s">
        <v>15</v>
      </c>
      <c r="C106" t="s">
        <v>15</v>
      </c>
      <c r="D106" t="s">
        <v>32</v>
      </c>
      <c r="E106" t="s">
        <v>15</v>
      </c>
      <c r="F106" t="s">
        <v>20</v>
      </c>
      <c r="G106" s="1">
        <f>VALUE(27858.6855076073)</f>
        <v>27858.685507607301</v>
      </c>
      <c r="H106" s="1">
        <f>VALUE(26608.5011871709)</f>
        <v>26608.501187170899</v>
      </c>
      <c r="I106" s="1">
        <f>VALUE(2738)</f>
        <v>2738</v>
      </c>
      <c r="J106" s="1">
        <f>VALUE(3328)</f>
        <v>3328</v>
      </c>
      <c r="K106" s="1">
        <f>VALUE(4181)</f>
        <v>4181</v>
      </c>
      <c r="L106" s="1">
        <f>VALUE(5092)</f>
        <v>5092</v>
      </c>
      <c r="M106" s="1">
        <f>VALUE(5812)</f>
        <v>5812</v>
      </c>
      <c r="N106" t="s">
        <v>16</v>
      </c>
    </row>
    <row r="107" spans="1:14" x14ac:dyDescent="0.25">
      <c r="A107" t="s">
        <v>14</v>
      </c>
      <c r="B107" t="s">
        <v>15</v>
      </c>
      <c r="C107" t="s">
        <v>15</v>
      </c>
      <c r="D107" t="s">
        <v>32</v>
      </c>
      <c r="E107" t="s">
        <v>21</v>
      </c>
      <c r="F107" t="s">
        <v>15</v>
      </c>
      <c r="G107" s="1">
        <f>VALUE(5030.724578182)</f>
        <v>5030.7245781820002</v>
      </c>
      <c r="H107" s="1">
        <f>VALUE(4770.5545266068)</f>
        <v>4770.5545266068002</v>
      </c>
      <c r="I107" s="1">
        <f>VALUE(3731)</f>
        <v>3731</v>
      </c>
      <c r="J107" s="1">
        <f>VALUE(4605)</f>
        <v>4605</v>
      </c>
      <c r="K107" s="1">
        <f>VALUE(5816)</f>
        <v>5816</v>
      </c>
      <c r="L107" s="1">
        <f>VALUE(7540)</f>
        <v>7540</v>
      </c>
      <c r="M107" s="1">
        <f>VALUE(9929)</f>
        <v>9929</v>
      </c>
      <c r="N107" t="s">
        <v>16</v>
      </c>
    </row>
    <row r="108" spans="1:14" x14ac:dyDescent="0.25">
      <c r="A108" t="s">
        <v>14</v>
      </c>
      <c r="B108" t="s">
        <v>15</v>
      </c>
      <c r="C108" t="s">
        <v>15</v>
      </c>
      <c r="D108" t="s">
        <v>32</v>
      </c>
      <c r="E108" t="s">
        <v>21</v>
      </c>
      <c r="F108" t="s">
        <v>17</v>
      </c>
      <c r="G108" s="1">
        <f>VALUE(1421.2737267602)</f>
        <v>1421.2737267601999</v>
      </c>
      <c r="H108" s="1">
        <f>VALUE(1343.5515834485)</f>
        <v>1343.5515834485</v>
      </c>
      <c r="I108" s="1">
        <f>VALUE(4658)</f>
        <v>4658</v>
      </c>
      <c r="J108" s="1">
        <f>VALUE(5864)</f>
        <v>5864</v>
      </c>
      <c r="K108" s="1">
        <f>VALUE(7692)</f>
        <v>7692</v>
      </c>
      <c r="L108" s="1">
        <f>VALUE(10152)</f>
        <v>10152</v>
      </c>
      <c r="M108" s="1">
        <f>VALUE(14958)</f>
        <v>14958</v>
      </c>
      <c r="N108" t="s">
        <v>16</v>
      </c>
    </row>
    <row r="109" spans="1:14" x14ac:dyDescent="0.25">
      <c r="A109" t="s">
        <v>14</v>
      </c>
      <c r="B109" t="s">
        <v>15</v>
      </c>
      <c r="C109" t="s">
        <v>15</v>
      </c>
      <c r="D109" t="s">
        <v>32</v>
      </c>
      <c r="E109" t="s">
        <v>21</v>
      </c>
      <c r="F109" t="s">
        <v>18</v>
      </c>
      <c r="G109" s="1">
        <f>VALUE(981.6733916756)</f>
        <v>981.67339167559999</v>
      </c>
      <c r="H109" s="1">
        <f>VALUE(922.7433915487)</f>
        <v>922.74339154869995</v>
      </c>
      <c r="I109" s="1">
        <f>VALUE(3812)</f>
        <v>3812</v>
      </c>
      <c r="J109" s="1">
        <f>VALUE(4881)</f>
        <v>4881</v>
      </c>
      <c r="K109" s="1">
        <f>VALUE(5915)</f>
        <v>5915</v>
      </c>
      <c r="L109" s="1">
        <f>VALUE(7500)</f>
        <v>7500</v>
      </c>
      <c r="M109" s="1">
        <f>VALUE(9058)</f>
        <v>9058</v>
      </c>
      <c r="N109" t="s">
        <v>16</v>
      </c>
    </row>
    <row r="110" spans="1:14" x14ac:dyDescent="0.25">
      <c r="A110" t="s">
        <v>14</v>
      </c>
      <c r="B110" t="s">
        <v>15</v>
      </c>
      <c r="C110" t="s">
        <v>15</v>
      </c>
      <c r="D110" t="s">
        <v>32</v>
      </c>
      <c r="E110" t="s">
        <v>21</v>
      </c>
      <c r="F110" t="s">
        <v>19</v>
      </c>
      <c r="G110" s="2">
        <f>VALUE(854.4886089645)</f>
        <v>854.48860896450003</v>
      </c>
      <c r="H110" s="3">
        <f>VALUE(802.0288856586)</f>
        <v>802.02888565859996</v>
      </c>
      <c r="I110" s="4">
        <f>VALUE(3312)</f>
        <v>3312</v>
      </c>
      <c r="J110" s="1">
        <f>VALUE(4494)</f>
        <v>4494</v>
      </c>
      <c r="K110" s="1">
        <f>VALUE(5525)</f>
        <v>5525</v>
      </c>
      <c r="L110" s="1">
        <f>VALUE(6730)</f>
        <v>6730</v>
      </c>
      <c r="M110" s="1">
        <f>VALUE(8130)</f>
        <v>8130</v>
      </c>
      <c r="N110" t="s">
        <v>25</v>
      </c>
    </row>
    <row r="111" spans="1:14" x14ac:dyDescent="0.25">
      <c r="A111" t="s">
        <v>14</v>
      </c>
      <c r="B111" t="s">
        <v>15</v>
      </c>
      <c r="C111" t="s">
        <v>15</v>
      </c>
      <c r="D111" t="s">
        <v>32</v>
      </c>
      <c r="E111" t="s">
        <v>21</v>
      </c>
      <c r="F111" t="s">
        <v>20</v>
      </c>
      <c r="G111" s="1">
        <f>VALUE(1770.9311834971)</f>
        <v>1770.9311834970999</v>
      </c>
      <c r="H111" s="1">
        <f>VALUE(1699.8729986664)</f>
        <v>1699.8729986664</v>
      </c>
      <c r="I111" s="1">
        <f>VALUE(3422)</f>
        <v>3422</v>
      </c>
      <c r="J111" s="1">
        <f>VALUE(4122)</f>
        <v>4122</v>
      </c>
      <c r="K111" s="1">
        <f>VALUE(5055)</f>
        <v>5055</v>
      </c>
      <c r="L111" s="1">
        <f>VALUE(6190)</f>
        <v>6190</v>
      </c>
      <c r="M111" s="1">
        <f>VALUE(7412)</f>
        <v>7412</v>
      </c>
      <c r="N111" t="s">
        <v>16</v>
      </c>
    </row>
    <row r="112" spans="1:14" x14ac:dyDescent="0.25">
      <c r="A112" t="s">
        <v>14</v>
      </c>
      <c r="B112" t="s">
        <v>15</v>
      </c>
      <c r="C112" t="s">
        <v>15</v>
      </c>
      <c r="D112" t="s">
        <v>32</v>
      </c>
      <c r="E112" t="s">
        <v>22</v>
      </c>
      <c r="F112" t="s">
        <v>15</v>
      </c>
      <c r="G112" s="1">
        <f>VALUE(9307.099381859)</f>
        <v>9307.0993818589995</v>
      </c>
      <c r="H112" s="1">
        <f>VALUE(9168.8963838987)</f>
        <v>9168.8963838987002</v>
      </c>
      <c r="I112" s="1">
        <f>VALUE(3300)</f>
        <v>3300</v>
      </c>
      <c r="J112" s="1">
        <f>VALUE(4044)</f>
        <v>4044</v>
      </c>
      <c r="K112" s="1">
        <f>VALUE(4916)</f>
        <v>4916</v>
      </c>
      <c r="L112" s="1">
        <f>VALUE(5788)</f>
        <v>5788</v>
      </c>
      <c r="M112" s="1">
        <f>VALUE(6955)</f>
        <v>6955</v>
      </c>
      <c r="N112" t="s">
        <v>16</v>
      </c>
    </row>
    <row r="113" spans="1:14" x14ac:dyDescent="0.25">
      <c r="A113" t="s">
        <v>14</v>
      </c>
      <c r="B113" t="s">
        <v>15</v>
      </c>
      <c r="C113" t="s">
        <v>15</v>
      </c>
      <c r="D113" t="s">
        <v>32</v>
      </c>
      <c r="E113" t="s">
        <v>22</v>
      </c>
      <c r="F113" t="s">
        <v>17</v>
      </c>
      <c r="G113" s="2">
        <f>VALUE(653.3461008398)</f>
        <v>653.34610083979999</v>
      </c>
      <c r="H113" s="3">
        <f>VALUE(652.1620349723)</f>
        <v>652.16203497230003</v>
      </c>
      <c r="I113" s="1">
        <f>VALUE(4442)</f>
        <v>4442</v>
      </c>
      <c r="J113" s="1">
        <f>VALUE(5249)</f>
        <v>5249</v>
      </c>
      <c r="K113" s="1">
        <f>VALUE(6385)</f>
        <v>6385</v>
      </c>
      <c r="L113" s="7">
        <f>VALUE(8095)</f>
        <v>8095</v>
      </c>
      <c r="M113" s="8">
        <f>VALUE(10667)</f>
        <v>10667</v>
      </c>
      <c r="N113" t="s">
        <v>25</v>
      </c>
    </row>
    <row r="114" spans="1:14" x14ac:dyDescent="0.25">
      <c r="A114" t="s">
        <v>14</v>
      </c>
      <c r="B114" t="s">
        <v>15</v>
      </c>
      <c r="C114" t="s">
        <v>15</v>
      </c>
      <c r="D114" t="s">
        <v>32</v>
      </c>
      <c r="E114" t="s">
        <v>22</v>
      </c>
      <c r="F114" t="s">
        <v>18</v>
      </c>
      <c r="G114" s="2">
        <f>VALUE(1104.4985156961)</f>
        <v>1104.4985156961</v>
      </c>
      <c r="H114" s="3">
        <f>VALUE(1083.0011490951)</f>
        <v>1083.0011490950999</v>
      </c>
      <c r="I114" s="1">
        <f>VALUE(3699)</f>
        <v>3699</v>
      </c>
      <c r="J114" s="1">
        <f>VALUE(4336)</f>
        <v>4336</v>
      </c>
      <c r="K114" s="1">
        <f>VALUE(5195)</f>
        <v>5195</v>
      </c>
      <c r="L114" s="1">
        <f>VALUE(6593)</f>
        <v>6593</v>
      </c>
      <c r="M114" s="1">
        <f>VALUE(7540)</f>
        <v>7540</v>
      </c>
      <c r="N114" t="s">
        <v>25</v>
      </c>
    </row>
    <row r="115" spans="1:14" x14ac:dyDescent="0.25">
      <c r="A115" t="s">
        <v>14</v>
      </c>
      <c r="B115" t="s">
        <v>15</v>
      </c>
      <c r="C115" t="s">
        <v>15</v>
      </c>
      <c r="D115" t="s">
        <v>32</v>
      </c>
      <c r="E115" t="s">
        <v>22</v>
      </c>
      <c r="F115" t="s">
        <v>19</v>
      </c>
      <c r="G115" s="1">
        <f>VALUE(1704.8895167819)</f>
        <v>1704.8895167819001</v>
      </c>
      <c r="H115" s="1">
        <f>VALUE(1701.8756654417)</f>
        <v>1701.8756654417</v>
      </c>
      <c r="I115" s="1">
        <f>VALUE(3460)</f>
        <v>3460</v>
      </c>
      <c r="J115" s="1">
        <f>VALUE(4210)</f>
        <v>4210</v>
      </c>
      <c r="K115" s="1">
        <f>VALUE(4976)</f>
        <v>4976</v>
      </c>
      <c r="L115" s="1">
        <f>VALUE(5892)</f>
        <v>5892</v>
      </c>
      <c r="M115" s="1">
        <f>VALUE(6867)</f>
        <v>6867</v>
      </c>
      <c r="N115" t="s">
        <v>16</v>
      </c>
    </row>
    <row r="116" spans="1:14" x14ac:dyDescent="0.25">
      <c r="A116" t="s">
        <v>14</v>
      </c>
      <c r="B116" t="s">
        <v>15</v>
      </c>
      <c r="C116" t="s">
        <v>15</v>
      </c>
      <c r="D116" t="s">
        <v>32</v>
      </c>
      <c r="E116" t="s">
        <v>22</v>
      </c>
      <c r="F116" t="s">
        <v>20</v>
      </c>
      <c r="G116" s="1">
        <f>VALUE(5844.3652485412)</f>
        <v>5844.3652485412003</v>
      </c>
      <c r="H116" s="1">
        <f>VALUE(5731.8575343896)</f>
        <v>5731.8575343896</v>
      </c>
      <c r="I116" s="4">
        <f>VALUE(3095)</f>
        <v>3095</v>
      </c>
      <c r="J116" s="1">
        <f>VALUE(3910)</f>
        <v>3910</v>
      </c>
      <c r="K116" s="1">
        <f>VALUE(4707)</f>
        <v>4707</v>
      </c>
      <c r="L116" s="1">
        <f>VALUE(5548)</f>
        <v>5548</v>
      </c>
      <c r="M116" s="1">
        <f>VALUE(6339)</f>
        <v>6339</v>
      </c>
      <c r="N116" t="s">
        <v>25</v>
      </c>
    </row>
    <row r="117" spans="1:14" x14ac:dyDescent="0.25">
      <c r="A117" t="s">
        <v>14</v>
      </c>
      <c r="B117" t="s">
        <v>15</v>
      </c>
      <c r="C117" t="s">
        <v>15</v>
      </c>
      <c r="D117" t="s">
        <v>32</v>
      </c>
      <c r="E117" t="s">
        <v>23</v>
      </c>
      <c r="F117" t="s">
        <v>15</v>
      </c>
      <c r="G117" s="1">
        <f>VALUE(23852.6139095361)</f>
        <v>23852.6139095361</v>
      </c>
      <c r="H117" s="1">
        <f>VALUE(22801.2367509508)</f>
        <v>22801.2367509508</v>
      </c>
      <c r="I117" s="1">
        <f>VALUE(2734)</f>
        <v>2734</v>
      </c>
      <c r="J117" s="1">
        <f>VALUE(3276)</f>
        <v>3276</v>
      </c>
      <c r="K117" s="1">
        <f>VALUE(4099)</f>
        <v>4099</v>
      </c>
      <c r="L117" s="1">
        <f>VALUE(5004)</f>
        <v>5004</v>
      </c>
      <c r="M117" s="1">
        <f>VALUE(5743)</f>
        <v>5743</v>
      </c>
      <c r="N117" t="s">
        <v>16</v>
      </c>
    </row>
    <row r="118" spans="1:14" x14ac:dyDescent="0.25">
      <c r="A118" t="s">
        <v>14</v>
      </c>
      <c r="B118" t="s">
        <v>15</v>
      </c>
      <c r="C118" t="s">
        <v>15</v>
      </c>
      <c r="D118" t="s">
        <v>32</v>
      </c>
      <c r="E118" t="s">
        <v>23</v>
      </c>
      <c r="F118" t="s">
        <v>17</v>
      </c>
      <c r="G118" s="2">
        <f>VALUE(629.5986963531)</f>
        <v>629.59869635309997</v>
      </c>
      <c r="H118" s="3">
        <f>VALUE(631.2524772231)</f>
        <v>631.25247722309996</v>
      </c>
      <c r="I118" s="4">
        <f>VALUE(4000)</f>
        <v>4000</v>
      </c>
      <c r="J118" s="5">
        <f>VALUE(4535)</f>
        <v>4535</v>
      </c>
      <c r="K118" s="6">
        <f>VALUE(5429)</f>
        <v>5429</v>
      </c>
      <c r="L118" s="7">
        <f>VALUE(7137)</f>
        <v>7137</v>
      </c>
      <c r="M118" s="8">
        <f>VALUE(9517)</f>
        <v>9517</v>
      </c>
      <c r="N118" t="s">
        <v>24</v>
      </c>
    </row>
    <row r="119" spans="1:14" x14ac:dyDescent="0.25">
      <c r="A119" t="s">
        <v>14</v>
      </c>
      <c r="B119" t="s">
        <v>15</v>
      </c>
      <c r="C119" t="s">
        <v>15</v>
      </c>
      <c r="D119" t="s">
        <v>32</v>
      </c>
      <c r="E119" t="s">
        <v>23</v>
      </c>
      <c r="F119" t="s">
        <v>18</v>
      </c>
      <c r="G119" s="2">
        <f>VALUE(1171.0155745194)</f>
        <v>1171.0155745193999</v>
      </c>
      <c r="H119" s="3">
        <f>VALUE(1153.7339071378)</f>
        <v>1153.7339071378001</v>
      </c>
      <c r="I119" s="1">
        <f>VALUE(3466)</f>
        <v>3466</v>
      </c>
      <c r="J119" s="1">
        <f>VALUE(4004)</f>
        <v>4004</v>
      </c>
      <c r="K119" s="1">
        <f>VALUE(4767)</f>
        <v>4767</v>
      </c>
      <c r="L119" s="1">
        <f>VALUE(5548)</f>
        <v>5548</v>
      </c>
      <c r="M119" s="8">
        <f>VALUE(6906)</f>
        <v>6906</v>
      </c>
      <c r="N119" t="s">
        <v>25</v>
      </c>
    </row>
    <row r="120" spans="1:14" x14ac:dyDescent="0.25">
      <c r="A120" t="s">
        <v>14</v>
      </c>
      <c r="B120" t="s">
        <v>15</v>
      </c>
      <c r="C120" t="s">
        <v>15</v>
      </c>
      <c r="D120" t="s">
        <v>32</v>
      </c>
      <c r="E120" t="s">
        <v>23</v>
      </c>
      <c r="F120" t="s">
        <v>19</v>
      </c>
      <c r="G120" s="1">
        <f>VALUE(2035.216843643)</f>
        <v>2035.2168436429999</v>
      </c>
      <c r="H120" s="1">
        <f>VALUE(2048.936312333)</f>
        <v>2048.9363123329999</v>
      </c>
      <c r="I120" s="1">
        <f>VALUE(3345)</f>
        <v>3345</v>
      </c>
      <c r="J120" s="1">
        <f>VALUE(3994)</f>
        <v>3994</v>
      </c>
      <c r="K120" s="1">
        <f>VALUE(4780)</f>
        <v>4780</v>
      </c>
      <c r="L120" s="1">
        <f>VALUE(5616)</f>
        <v>5616</v>
      </c>
      <c r="M120" s="1">
        <f>VALUE(6496)</f>
        <v>6496</v>
      </c>
      <c r="N120" t="s">
        <v>16</v>
      </c>
    </row>
    <row r="121" spans="1:14" x14ac:dyDescent="0.25">
      <c r="A121" t="s">
        <v>14</v>
      </c>
      <c r="B121" t="s">
        <v>15</v>
      </c>
      <c r="C121" t="s">
        <v>15</v>
      </c>
      <c r="D121" t="s">
        <v>32</v>
      </c>
      <c r="E121" t="s">
        <v>23</v>
      </c>
      <c r="F121" t="s">
        <v>20</v>
      </c>
      <c r="G121" s="1">
        <f>VALUE(20015.3542708602)</f>
        <v>20015.3542708602</v>
      </c>
      <c r="H121" s="1">
        <f>VALUE(18965.8141038885)</f>
        <v>18965.814103888501</v>
      </c>
      <c r="I121" s="1">
        <f>VALUE(2676)</f>
        <v>2676</v>
      </c>
      <c r="J121" s="1">
        <f>VALUE(3163)</f>
        <v>3163</v>
      </c>
      <c r="K121" s="1">
        <f>VALUE(3946)</f>
        <v>3946</v>
      </c>
      <c r="L121" s="1">
        <f>VALUE(4866)</f>
        <v>4866</v>
      </c>
      <c r="M121" s="1">
        <f>VALUE(5514)</f>
        <v>5514</v>
      </c>
      <c r="N121" t="s">
        <v>16</v>
      </c>
    </row>
    <row r="122" spans="1:14" x14ac:dyDescent="0.25">
      <c r="A122" t="s">
        <v>14</v>
      </c>
      <c r="B122" t="s">
        <v>15</v>
      </c>
      <c r="C122" t="s">
        <v>15</v>
      </c>
      <c r="D122" t="s">
        <v>32</v>
      </c>
      <c r="E122" t="s">
        <v>26</v>
      </c>
      <c r="F122" t="s">
        <v>15</v>
      </c>
      <c r="G122" s="2">
        <f>VALUE(294.5414565184)</f>
        <v>294.54145651840003</v>
      </c>
      <c r="H122" s="3">
        <f>VALUE(277.1980132443)</f>
        <v>277.1980132443</v>
      </c>
      <c r="I122" s="1">
        <f>VALUE(3087)</f>
        <v>3087</v>
      </c>
      <c r="J122" s="1">
        <f>VALUE(3213)</f>
        <v>3213</v>
      </c>
      <c r="K122" s="6">
        <f>VALUE(3921)</f>
        <v>3921</v>
      </c>
      <c r="L122" s="7">
        <f>VALUE(5281)</f>
        <v>5281</v>
      </c>
      <c r="M122" s="8">
        <f>VALUE(8050)</f>
        <v>8050</v>
      </c>
      <c r="N122" t="s">
        <v>25</v>
      </c>
    </row>
    <row r="123" spans="1:14" x14ac:dyDescent="0.25">
      <c r="A123" t="s">
        <v>14</v>
      </c>
      <c r="B123" t="s">
        <v>15</v>
      </c>
      <c r="C123" t="s">
        <v>15</v>
      </c>
      <c r="D123" t="s">
        <v>32</v>
      </c>
      <c r="E123" t="s">
        <v>26</v>
      </c>
      <c r="F123" t="s">
        <v>17</v>
      </c>
      <c r="G123" s="1" t="str">
        <f t="shared" ref="G123:M125" si="7">"X"</f>
        <v>X</v>
      </c>
      <c r="H123" s="1" t="str">
        <f t="shared" si="7"/>
        <v>X</v>
      </c>
      <c r="I123" s="1" t="str">
        <f t="shared" si="7"/>
        <v>X</v>
      </c>
      <c r="J123" s="1" t="str">
        <f t="shared" si="7"/>
        <v>X</v>
      </c>
      <c r="K123" s="1" t="str">
        <f t="shared" si="7"/>
        <v>X</v>
      </c>
      <c r="L123" s="1" t="str">
        <f t="shared" si="7"/>
        <v>X</v>
      </c>
      <c r="M123" s="1" t="str">
        <f t="shared" si="7"/>
        <v>X</v>
      </c>
      <c r="N123" t="s">
        <v>27</v>
      </c>
    </row>
    <row r="124" spans="1:14" x14ac:dyDescent="0.25">
      <c r="A124" t="s">
        <v>14</v>
      </c>
      <c r="B124" t="s">
        <v>15</v>
      </c>
      <c r="C124" t="s">
        <v>15</v>
      </c>
      <c r="D124" t="s">
        <v>32</v>
      </c>
      <c r="E124" t="s">
        <v>26</v>
      </c>
      <c r="F124" t="s">
        <v>18</v>
      </c>
      <c r="G124" s="1" t="str">
        <f t="shared" si="7"/>
        <v>X</v>
      </c>
      <c r="H124" s="1" t="str">
        <f t="shared" si="7"/>
        <v>X</v>
      </c>
      <c r="I124" s="1" t="str">
        <f t="shared" si="7"/>
        <v>X</v>
      </c>
      <c r="J124" s="1" t="str">
        <f t="shared" si="7"/>
        <v>X</v>
      </c>
      <c r="K124" s="1" t="str">
        <f t="shared" si="7"/>
        <v>X</v>
      </c>
      <c r="L124" s="1" t="str">
        <f t="shared" si="7"/>
        <v>X</v>
      </c>
      <c r="M124" s="1" t="str">
        <f t="shared" si="7"/>
        <v>X</v>
      </c>
      <c r="N124" t="s">
        <v>27</v>
      </c>
    </row>
    <row r="125" spans="1:14" x14ac:dyDescent="0.25">
      <c r="A125" t="s">
        <v>14</v>
      </c>
      <c r="B125" t="s">
        <v>15</v>
      </c>
      <c r="C125" t="s">
        <v>15</v>
      </c>
      <c r="D125" t="s">
        <v>32</v>
      </c>
      <c r="E125" t="s">
        <v>26</v>
      </c>
      <c r="F125" t="s">
        <v>19</v>
      </c>
      <c r="G125" s="1" t="str">
        <f t="shared" si="7"/>
        <v>X</v>
      </c>
      <c r="H125" s="1" t="str">
        <f t="shared" si="7"/>
        <v>X</v>
      </c>
      <c r="I125" s="1" t="str">
        <f t="shared" si="7"/>
        <v>X</v>
      </c>
      <c r="J125" s="1" t="str">
        <f t="shared" si="7"/>
        <v>X</v>
      </c>
      <c r="K125" s="1" t="str">
        <f t="shared" si="7"/>
        <v>X</v>
      </c>
      <c r="L125" s="1" t="str">
        <f t="shared" si="7"/>
        <v>X</v>
      </c>
      <c r="M125" s="1" t="str">
        <f t="shared" si="7"/>
        <v>X</v>
      </c>
      <c r="N125" t="s">
        <v>27</v>
      </c>
    </row>
    <row r="126" spans="1:14" x14ac:dyDescent="0.25">
      <c r="A126" t="s">
        <v>14</v>
      </c>
      <c r="B126" t="s">
        <v>15</v>
      </c>
      <c r="C126" t="s">
        <v>15</v>
      </c>
      <c r="D126" t="s">
        <v>32</v>
      </c>
      <c r="E126" t="s">
        <v>26</v>
      </c>
      <c r="F126" t="s">
        <v>20</v>
      </c>
      <c r="G126" s="2">
        <f>VALUE(228.0348047088)</f>
        <v>228.03480470880001</v>
      </c>
      <c r="H126" s="3">
        <f>VALUE(210.9565502264)</f>
        <v>210.9565502264</v>
      </c>
      <c r="I126" s="1">
        <f>VALUE(3044)</f>
        <v>3044</v>
      </c>
      <c r="J126" s="1">
        <f>VALUE(3164)</f>
        <v>3164</v>
      </c>
      <c r="K126" s="1">
        <f>VALUE(3518)</f>
        <v>3518</v>
      </c>
      <c r="L126" s="1">
        <f>VALUE(5095)</f>
        <v>5095</v>
      </c>
      <c r="M126" s="1">
        <f>VALUE(5417)</f>
        <v>5417</v>
      </c>
      <c r="N126" t="s">
        <v>25</v>
      </c>
    </row>
    <row r="127" spans="1:14" x14ac:dyDescent="0.25">
      <c r="A127" t="s">
        <v>14</v>
      </c>
      <c r="B127" t="s">
        <v>15</v>
      </c>
      <c r="C127" t="s">
        <v>15</v>
      </c>
      <c r="D127" t="s">
        <v>33</v>
      </c>
      <c r="E127" t="s">
        <v>15</v>
      </c>
      <c r="F127" t="s">
        <v>15</v>
      </c>
      <c r="G127" s="1">
        <f>VALUE(1867.0308821955)</f>
        <v>1867.0308821955</v>
      </c>
      <c r="H127" s="1">
        <f>VALUE(1697.798216025)</f>
        <v>1697.7982160250001</v>
      </c>
      <c r="I127" s="1">
        <f>VALUE(3000)</f>
        <v>3000</v>
      </c>
      <c r="J127" s="1">
        <f>VALUE(3429)</f>
        <v>3429</v>
      </c>
      <c r="K127" s="6">
        <f>VALUE(4392)</f>
        <v>4392</v>
      </c>
      <c r="L127" s="1">
        <f>VALUE(6078)</f>
        <v>6078</v>
      </c>
      <c r="M127" s="8">
        <f>VALUE(8057)</f>
        <v>8057</v>
      </c>
      <c r="N127" t="s">
        <v>25</v>
      </c>
    </row>
    <row r="128" spans="1:14" x14ac:dyDescent="0.25">
      <c r="A128" t="s">
        <v>14</v>
      </c>
      <c r="B128" t="s">
        <v>15</v>
      </c>
      <c r="C128" t="s">
        <v>15</v>
      </c>
      <c r="D128" t="s">
        <v>33</v>
      </c>
      <c r="E128" t="s">
        <v>15</v>
      </c>
      <c r="F128" t="s">
        <v>17</v>
      </c>
      <c r="G128" s="2">
        <f>VALUE(217.6750718469)</f>
        <v>217.67507184690001</v>
      </c>
      <c r="H128" s="3">
        <f>VALUE(165.7775614892)</f>
        <v>165.7775614892</v>
      </c>
      <c r="I128" s="4">
        <f>VALUE(4951)</f>
        <v>4951</v>
      </c>
      <c r="J128" s="5">
        <f>VALUE(7042)</f>
        <v>7042</v>
      </c>
      <c r="K128" s="6">
        <f>VALUE(9166)</f>
        <v>9166</v>
      </c>
      <c r="L128" s="7">
        <f>VALUE(14857)</f>
        <v>14857</v>
      </c>
      <c r="M128" s="8">
        <f>VALUE(22485)</f>
        <v>22485</v>
      </c>
      <c r="N128" t="s">
        <v>24</v>
      </c>
    </row>
    <row r="129" spans="1:14" x14ac:dyDescent="0.25">
      <c r="A129" t="s">
        <v>14</v>
      </c>
      <c r="B129" t="s">
        <v>15</v>
      </c>
      <c r="C129" t="s">
        <v>15</v>
      </c>
      <c r="D129" t="s">
        <v>33</v>
      </c>
      <c r="E129" t="s">
        <v>15</v>
      </c>
      <c r="F129" t="s">
        <v>18</v>
      </c>
      <c r="G129" s="2">
        <f>VALUE(319.5111282078)</f>
        <v>319.51112820780003</v>
      </c>
      <c r="H129" s="3">
        <f>VALUE(274.070586447)</f>
        <v>274.07058644699998</v>
      </c>
      <c r="I129" s="4">
        <f>VALUE(3013)</f>
        <v>3013</v>
      </c>
      <c r="J129" s="5">
        <f>VALUE(4392)</f>
        <v>4392</v>
      </c>
      <c r="K129" s="6">
        <f>VALUE(5713)</f>
        <v>5713</v>
      </c>
      <c r="L129" s="1">
        <f>VALUE(6888)</f>
        <v>6888</v>
      </c>
      <c r="M129" s="8">
        <f>VALUE(7718)</f>
        <v>7718</v>
      </c>
      <c r="N129" t="s">
        <v>25</v>
      </c>
    </row>
    <row r="130" spans="1:14" x14ac:dyDescent="0.25">
      <c r="A130" t="s">
        <v>14</v>
      </c>
      <c r="B130" t="s">
        <v>15</v>
      </c>
      <c r="C130" t="s">
        <v>15</v>
      </c>
      <c r="D130" t="s">
        <v>33</v>
      </c>
      <c r="E130" t="s">
        <v>15</v>
      </c>
      <c r="F130" t="s">
        <v>19</v>
      </c>
      <c r="G130" s="2">
        <f>VALUE(276.4841030278)</f>
        <v>276.48410302780002</v>
      </c>
      <c r="H130" s="3">
        <f>VALUE(217.5932053704)</f>
        <v>217.5932053704</v>
      </c>
      <c r="I130" s="4">
        <f>VALUE(3000)</f>
        <v>3000</v>
      </c>
      <c r="J130" s="1">
        <f>VALUE(3752)</f>
        <v>3752</v>
      </c>
      <c r="K130" s="6">
        <f>VALUE(4689)</f>
        <v>4689</v>
      </c>
      <c r="L130" s="1">
        <f>VALUE(6300)</f>
        <v>6300</v>
      </c>
      <c r="M130" s="8">
        <f>VALUE(7500)</f>
        <v>7500</v>
      </c>
      <c r="N130" t="s">
        <v>25</v>
      </c>
    </row>
    <row r="131" spans="1:14" x14ac:dyDescent="0.25">
      <c r="A131" t="s">
        <v>14</v>
      </c>
      <c r="B131" t="s">
        <v>15</v>
      </c>
      <c r="C131" t="s">
        <v>15</v>
      </c>
      <c r="D131" t="s">
        <v>33</v>
      </c>
      <c r="E131" t="s">
        <v>15</v>
      </c>
      <c r="F131" t="s">
        <v>20</v>
      </c>
      <c r="G131" s="2">
        <f>VALUE(1053.360579113)</f>
        <v>1053.3605791130001</v>
      </c>
      <c r="H131" s="3">
        <f>VALUE(1040.3568627184)</f>
        <v>1040.3568627184</v>
      </c>
      <c r="I131" s="1">
        <f>VALUE(2881)</f>
        <v>2881</v>
      </c>
      <c r="J131" s="1">
        <f>VALUE(3250)</f>
        <v>3250</v>
      </c>
      <c r="K131" s="1">
        <f>VALUE(3810)</f>
        <v>3810</v>
      </c>
      <c r="L131" s="1">
        <f>VALUE(5000)</f>
        <v>5000</v>
      </c>
      <c r="M131" s="1">
        <f>VALUE(6244)</f>
        <v>6244</v>
      </c>
      <c r="N131" t="s">
        <v>25</v>
      </c>
    </row>
    <row r="132" spans="1:14" x14ac:dyDescent="0.25">
      <c r="A132" t="s">
        <v>14</v>
      </c>
      <c r="B132" t="s">
        <v>15</v>
      </c>
      <c r="C132" t="s">
        <v>15</v>
      </c>
      <c r="D132" t="s">
        <v>33</v>
      </c>
      <c r="E132" t="s">
        <v>21</v>
      </c>
      <c r="F132" t="s">
        <v>15</v>
      </c>
      <c r="G132" s="2">
        <f>VALUE(579.2763102181)</f>
        <v>579.27631021809998</v>
      </c>
      <c r="H132" s="3">
        <f>VALUE(439.5455676093)</f>
        <v>439.54556760930001</v>
      </c>
      <c r="I132" s="4">
        <f>VALUE(4034)</f>
        <v>4034</v>
      </c>
      <c r="J132" s="5">
        <f>VALUE(5000)</f>
        <v>5000</v>
      </c>
      <c r="K132" s="1">
        <f>VALUE(6498)</f>
        <v>6498</v>
      </c>
      <c r="L132" s="7">
        <f>VALUE(8333)</f>
        <v>8333</v>
      </c>
      <c r="M132" s="8">
        <f>VALUE(14286)</f>
        <v>14286</v>
      </c>
      <c r="N132" t="s">
        <v>25</v>
      </c>
    </row>
    <row r="133" spans="1:14" x14ac:dyDescent="0.25">
      <c r="A133" t="s">
        <v>14</v>
      </c>
      <c r="B133" t="s">
        <v>15</v>
      </c>
      <c r="C133" t="s">
        <v>15</v>
      </c>
      <c r="D133" t="s">
        <v>33</v>
      </c>
      <c r="E133" t="s">
        <v>21</v>
      </c>
      <c r="F133" t="s">
        <v>17</v>
      </c>
      <c r="G133" s="1" t="str">
        <f t="shared" ref="G133:M136" si="8">"X"</f>
        <v>X</v>
      </c>
      <c r="H133" s="1" t="str">
        <f t="shared" si="8"/>
        <v>X</v>
      </c>
      <c r="I133" s="1" t="str">
        <f t="shared" si="8"/>
        <v>X</v>
      </c>
      <c r="J133" s="1" t="str">
        <f t="shared" si="8"/>
        <v>X</v>
      </c>
      <c r="K133" s="1" t="str">
        <f t="shared" si="8"/>
        <v>X</v>
      </c>
      <c r="L133" s="1" t="str">
        <f t="shared" si="8"/>
        <v>X</v>
      </c>
      <c r="M133" s="1" t="str">
        <f t="shared" si="8"/>
        <v>X</v>
      </c>
      <c r="N133" t="s">
        <v>27</v>
      </c>
    </row>
    <row r="134" spans="1:14" x14ac:dyDescent="0.25">
      <c r="A134" t="s">
        <v>14</v>
      </c>
      <c r="B134" t="s">
        <v>15</v>
      </c>
      <c r="C134" t="s">
        <v>15</v>
      </c>
      <c r="D134" t="s">
        <v>33</v>
      </c>
      <c r="E134" t="s">
        <v>21</v>
      </c>
      <c r="F134" t="s">
        <v>18</v>
      </c>
      <c r="G134" s="1" t="str">
        <f t="shared" si="8"/>
        <v>X</v>
      </c>
      <c r="H134" s="1" t="str">
        <f t="shared" si="8"/>
        <v>X</v>
      </c>
      <c r="I134" s="1" t="str">
        <f t="shared" si="8"/>
        <v>X</v>
      </c>
      <c r="J134" s="1" t="str">
        <f t="shared" si="8"/>
        <v>X</v>
      </c>
      <c r="K134" s="1" t="str">
        <f t="shared" si="8"/>
        <v>X</v>
      </c>
      <c r="L134" s="1" t="str">
        <f t="shared" si="8"/>
        <v>X</v>
      </c>
      <c r="M134" s="1" t="str">
        <f t="shared" si="8"/>
        <v>X</v>
      </c>
      <c r="N134" t="s">
        <v>27</v>
      </c>
    </row>
    <row r="135" spans="1:14" x14ac:dyDescent="0.25">
      <c r="A135" t="s">
        <v>14</v>
      </c>
      <c r="B135" t="s">
        <v>15</v>
      </c>
      <c r="C135" t="s">
        <v>15</v>
      </c>
      <c r="D135" t="s">
        <v>33</v>
      </c>
      <c r="E135" t="s">
        <v>21</v>
      </c>
      <c r="F135" t="s">
        <v>19</v>
      </c>
      <c r="G135" s="1" t="str">
        <f t="shared" si="8"/>
        <v>X</v>
      </c>
      <c r="H135" s="1" t="str">
        <f t="shared" si="8"/>
        <v>X</v>
      </c>
      <c r="I135" s="1" t="str">
        <f t="shared" si="8"/>
        <v>X</v>
      </c>
      <c r="J135" s="1" t="str">
        <f t="shared" si="8"/>
        <v>X</v>
      </c>
      <c r="K135" s="1" t="str">
        <f t="shared" si="8"/>
        <v>X</v>
      </c>
      <c r="L135" s="1" t="str">
        <f t="shared" si="8"/>
        <v>X</v>
      </c>
      <c r="M135" s="1" t="str">
        <f t="shared" si="8"/>
        <v>X</v>
      </c>
      <c r="N135" t="s">
        <v>27</v>
      </c>
    </row>
    <row r="136" spans="1:14" x14ac:dyDescent="0.25">
      <c r="A136" t="s">
        <v>14</v>
      </c>
      <c r="B136" t="s">
        <v>15</v>
      </c>
      <c r="C136" t="s">
        <v>15</v>
      </c>
      <c r="D136" t="s">
        <v>33</v>
      </c>
      <c r="E136" t="s">
        <v>21</v>
      </c>
      <c r="F136" t="s">
        <v>20</v>
      </c>
      <c r="G136" s="1" t="str">
        <f t="shared" si="8"/>
        <v>X</v>
      </c>
      <c r="H136" s="1" t="str">
        <f t="shared" si="8"/>
        <v>X</v>
      </c>
      <c r="I136" s="1" t="str">
        <f t="shared" si="8"/>
        <v>X</v>
      </c>
      <c r="J136" s="1" t="str">
        <f t="shared" si="8"/>
        <v>X</v>
      </c>
      <c r="K136" s="1" t="str">
        <f t="shared" si="8"/>
        <v>X</v>
      </c>
      <c r="L136" s="1" t="str">
        <f t="shared" si="8"/>
        <v>X</v>
      </c>
      <c r="M136" s="1" t="str">
        <f t="shared" si="8"/>
        <v>X</v>
      </c>
      <c r="N136" t="s">
        <v>27</v>
      </c>
    </row>
    <row r="137" spans="1:14" x14ac:dyDescent="0.25">
      <c r="A137" t="s">
        <v>14</v>
      </c>
      <c r="B137" t="s">
        <v>15</v>
      </c>
      <c r="C137" t="s">
        <v>15</v>
      </c>
      <c r="D137" t="s">
        <v>33</v>
      </c>
      <c r="E137" t="s">
        <v>22</v>
      </c>
      <c r="F137" t="s">
        <v>15</v>
      </c>
      <c r="G137" s="2">
        <f>VALUE(424.0743846322)</f>
        <v>424.07438463220001</v>
      </c>
      <c r="H137" s="3">
        <f>VALUE(409.9380309821)</f>
        <v>409.93803098209997</v>
      </c>
      <c r="I137" s="1">
        <f>VALUE(3318)</f>
        <v>3318</v>
      </c>
      <c r="J137" s="1">
        <f>VALUE(3611)</f>
        <v>3611</v>
      </c>
      <c r="K137" s="1">
        <f>VALUE(4120)</f>
        <v>4120</v>
      </c>
      <c r="L137" s="7">
        <f>VALUE(5272)</f>
        <v>5272</v>
      </c>
      <c r="M137" s="8">
        <f>VALUE(6751)</f>
        <v>6751</v>
      </c>
      <c r="N137" t="s">
        <v>25</v>
      </c>
    </row>
    <row r="138" spans="1:14" x14ac:dyDescent="0.25">
      <c r="A138" t="s">
        <v>14</v>
      </c>
      <c r="B138" t="s">
        <v>15</v>
      </c>
      <c r="C138" t="s">
        <v>15</v>
      </c>
      <c r="D138" t="s">
        <v>33</v>
      </c>
      <c r="E138" t="s">
        <v>22</v>
      </c>
      <c r="F138" t="s">
        <v>17</v>
      </c>
      <c r="G138" s="1" t="str">
        <f t="shared" ref="G138:M140" si="9">"X"</f>
        <v>X</v>
      </c>
      <c r="H138" s="1" t="str">
        <f t="shared" si="9"/>
        <v>X</v>
      </c>
      <c r="I138" s="1" t="str">
        <f t="shared" si="9"/>
        <v>X</v>
      </c>
      <c r="J138" s="1" t="str">
        <f t="shared" si="9"/>
        <v>X</v>
      </c>
      <c r="K138" s="1" t="str">
        <f t="shared" si="9"/>
        <v>X</v>
      </c>
      <c r="L138" s="1" t="str">
        <f t="shared" si="9"/>
        <v>X</v>
      </c>
      <c r="M138" s="1" t="str">
        <f t="shared" si="9"/>
        <v>X</v>
      </c>
      <c r="N138" t="s">
        <v>27</v>
      </c>
    </row>
    <row r="139" spans="1:14" x14ac:dyDescent="0.25">
      <c r="A139" t="s">
        <v>14</v>
      </c>
      <c r="B139" t="s">
        <v>15</v>
      </c>
      <c r="C139" t="s">
        <v>15</v>
      </c>
      <c r="D139" t="s">
        <v>33</v>
      </c>
      <c r="E139" t="s">
        <v>22</v>
      </c>
      <c r="F139" t="s">
        <v>18</v>
      </c>
      <c r="G139" s="1" t="str">
        <f t="shared" si="9"/>
        <v>X</v>
      </c>
      <c r="H139" s="1" t="str">
        <f t="shared" si="9"/>
        <v>X</v>
      </c>
      <c r="I139" s="1" t="str">
        <f t="shared" si="9"/>
        <v>X</v>
      </c>
      <c r="J139" s="1" t="str">
        <f t="shared" si="9"/>
        <v>X</v>
      </c>
      <c r="K139" s="1" t="str">
        <f t="shared" si="9"/>
        <v>X</v>
      </c>
      <c r="L139" s="1" t="str">
        <f t="shared" si="9"/>
        <v>X</v>
      </c>
      <c r="M139" s="1" t="str">
        <f t="shared" si="9"/>
        <v>X</v>
      </c>
      <c r="N139" t="s">
        <v>27</v>
      </c>
    </row>
    <row r="140" spans="1:14" x14ac:dyDescent="0.25">
      <c r="A140" t="s">
        <v>14</v>
      </c>
      <c r="B140" t="s">
        <v>15</v>
      </c>
      <c r="C140" t="s">
        <v>15</v>
      </c>
      <c r="D140" t="s">
        <v>33</v>
      </c>
      <c r="E140" t="s">
        <v>22</v>
      </c>
      <c r="F140" t="s">
        <v>19</v>
      </c>
      <c r="G140" s="1" t="str">
        <f t="shared" si="9"/>
        <v>X</v>
      </c>
      <c r="H140" s="1" t="str">
        <f t="shared" si="9"/>
        <v>X</v>
      </c>
      <c r="I140" s="1" t="str">
        <f t="shared" si="9"/>
        <v>X</v>
      </c>
      <c r="J140" s="1" t="str">
        <f t="shared" si="9"/>
        <v>X</v>
      </c>
      <c r="K140" s="1" t="str">
        <f t="shared" si="9"/>
        <v>X</v>
      </c>
      <c r="L140" s="1" t="str">
        <f t="shared" si="9"/>
        <v>X</v>
      </c>
      <c r="M140" s="1" t="str">
        <f t="shared" si="9"/>
        <v>X</v>
      </c>
      <c r="N140" t="s">
        <v>27</v>
      </c>
    </row>
    <row r="141" spans="1:14" x14ac:dyDescent="0.25">
      <c r="A141" t="s">
        <v>14</v>
      </c>
      <c r="B141" t="s">
        <v>15</v>
      </c>
      <c r="C141" t="s">
        <v>15</v>
      </c>
      <c r="D141" t="s">
        <v>33</v>
      </c>
      <c r="E141" t="s">
        <v>22</v>
      </c>
      <c r="F141" t="s">
        <v>20</v>
      </c>
      <c r="G141" s="2">
        <f>VALUE(248.4898747328)</f>
        <v>248.48987473279999</v>
      </c>
      <c r="H141" s="3">
        <f>VALUE(246.1150992138)</f>
        <v>246.11509921379999</v>
      </c>
      <c r="I141" s="1">
        <f>VALUE(3238)</f>
        <v>3238</v>
      </c>
      <c r="J141" s="1">
        <f>VALUE(3577)</f>
        <v>3577</v>
      </c>
      <c r="K141" s="6">
        <f>VALUE(3889)</f>
        <v>3889</v>
      </c>
      <c r="L141" s="7">
        <f>VALUE(4850)</f>
        <v>4850</v>
      </c>
      <c r="M141" s="1">
        <f>VALUE(6349)</f>
        <v>6349</v>
      </c>
      <c r="N141" t="s">
        <v>25</v>
      </c>
    </row>
    <row r="142" spans="1:14" x14ac:dyDescent="0.25">
      <c r="A142" t="s">
        <v>14</v>
      </c>
      <c r="B142" t="s">
        <v>15</v>
      </c>
      <c r="C142" t="s">
        <v>15</v>
      </c>
      <c r="D142" t="s">
        <v>33</v>
      </c>
      <c r="E142" t="s">
        <v>23</v>
      </c>
      <c r="F142" t="s">
        <v>15</v>
      </c>
      <c r="G142" s="2">
        <f>VALUE(862.1469338831)</f>
        <v>862.14693388310002</v>
      </c>
      <c r="H142" s="3">
        <f>VALUE(846.7813639715)</f>
        <v>846.78136397150001</v>
      </c>
      <c r="I142" s="1">
        <f>VALUE(2847)</f>
        <v>2847</v>
      </c>
      <c r="J142" s="1">
        <f>VALUE(3125)</f>
        <v>3125</v>
      </c>
      <c r="K142" s="1">
        <f>VALUE(3707)</f>
        <v>3707</v>
      </c>
      <c r="L142" s="7">
        <f>VALUE(5000)</f>
        <v>5000</v>
      </c>
      <c r="M142" s="1">
        <f>VALUE(6328)</f>
        <v>6328</v>
      </c>
      <c r="N142" t="s">
        <v>25</v>
      </c>
    </row>
    <row r="143" spans="1:14" x14ac:dyDescent="0.25">
      <c r="A143" t="s">
        <v>14</v>
      </c>
      <c r="B143" t="s">
        <v>15</v>
      </c>
      <c r="C143" t="s">
        <v>15</v>
      </c>
      <c r="D143" t="s">
        <v>33</v>
      </c>
      <c r="E143" t="s">
        <v>23</v>
      </c>
      <c r="F143" t="s">
        <v>17</v>
      </c>
      <c r="G143" s="1" t="str">
        <f t="shared" ref="G143:M145" si="10">"X"</f>
        <v>X</v>
      </c>
      <c r="H143" s="1" t="str">
        <f t="shared" si="10"/>
        <v>X</v>
      </c>
      <c r="I143" s="1" t="str">
        <f t="shared" si="10"/>
        <v>X</v>
      </c>
      <c r="J143" s="1" t="str">
        <f t="shared" si="10"/>
        <v>X</v>
      </c>
      <c r="K143" s="1" t="str">
        <f t="shared" si="10"/>
        <v>X</v>
      </c>
      <c r="L143" s="1" t="str">
        <f t="shared" si="10"/>
        <v>X</v>
      </c>
      <c r="M143" s="1" t="str">
        <f t="shared" si="10"/>
        <v>X</v>
      </c>
      <c r="N143" t="s">
        <v>27</v>
      </c>
    </row>
    <row r="144" spans="1:14" x14ac:dyDescent="0.25">
      <c r="A144" t="s">
        <v>14</v>
      </c>
      <c r="B144" t="s">
        <v>15</v>
      </c>
      <c r="C144" t="s">
        <v>15</v>
      </c>
      <c r="D144" t="s">
        <v>33</v>
      </c>
      <c r="E144" t="s">
        <v>23</v>
      </c>
      <c r="F144" t="s">
        <v>18</v>
      </c>
      <c r="G144" s="1" t="str">
        <f t="shared" si="10"/>
        <v>X</v>
      </c>
      <c r="H144" s="1" t="str">
        <f t="shared" si="10"/>
        <v>X</v>
      </c>
      <c r="I144" s="1" t="str">
        <f t="shared" si="10"/>
        <v>X</v>
      </c>
      <c r="J144" s="1" t="str">
        <f t="shared" si="10"/>
        <v>X</v>
      </c>
      <c r="K144" s="1" t="str">
        <f t="shared" si="10"/>
        <v>X</v>
      </c>
      <c r="L144" s="1" t="str">
        <f t="shared" si="10"/>
        <v>X</v>
      </c>
      <c r="M144" s="1" t="str">
        <f t="shared" si="10"/>
        <v>X</v>
      </c>
      <c r="N144" t="s">
        <v>27</v>
      </c>
    </row>
    <row r="145" spans="1:14" x14ac:dyDescent="0.25">
      <c r="A145" t="s">
        <v>14</v>
      </c>
      <c r="B145" t="s">
        <v>15</v>
      </c>
      <c r="C145" t="s">
        <v>15</v>
      </c>
      <c r="D145" t="s">
        <v>33</v>
      </c>
      <c r="E145" t="s">
        <v>23</v>
      </c>
      <c r="F145" t="s">
        <v>19</v>
      </c>
      <c r="G145" s="1" t="str">
        <f t="shared" si="10"/>
        <v>X</v>
      </c>
      <c r="H145" s="1" t="str">
        <f t="shared" si="10"/>
        <v>X</v>
      </c>
      <c r="I145" s="1" t="str">
        <f t="shared" si="10"/>
        <v>X</v>
      </c>
      <c r="J145" s="1" t="str">
        <f t="shared" si="10"/>
        <v>X</v>
      </c>
      <c r="K145" s="1" t="str">
        <f t="shared" si="10"/>
        <v>X</v>
      </c>
      <c r="L145" s="1" t="str">
        <f t="shared" si="10"/>
        <v>X</v>
      </c>
      <c r="M145" s="1" t="str">
        <f t="shared" si="10"/>
        <v>X</v>
      </c>
      <c r="N145" t="s">
        <v>27</v>
      </c>
    </row>
    <row r="146" spans="1:14" x14ac:dyDescent="0.25">
      <c r="A146" t="s">
        <v>14</v>
      </c>
      <c r="B146" t="s">
        <v>15</v>
      </c>
      <c r="C146" t="s">
        <v>15</v>
      </c>
      <c r="D146" t="s">
        <v>33</v>
      </c>
      <c r="E146" t="s">
        <v>23</v>
      </c>
      <c r="F146" t="s">
        <v>20</v>
      </c>
      <c r="G146" s="2">
        <f>VALUE(745.3649098055)</f>
        <v>745.36490980550002</v>
      </c>
      <c r="H146" s="3">
        <f>VALUE(741.8598819988)</f>
        <v>741.85988199880001</v>
      </c>
      <c r="I146" s="1">
        <f>VALUE(2847)</f>
        <v>2847</v>
      </c>
      <c r="J146" s="1">
        <f>VALUE(3183)</f>
        <v>3183</v>
      </c>
      <c r="K146" s="1">
        <f>VALUE(3707)</f>
        <v>3707</v>
      </c>
      <c r="L146" s="7">
        <f>VALUE(4872)</f>
        <v>4872</v>
      </c>
      <c r="M146" s="1">
        <f>VALUE(6049)</f>
        <v>6049</v>
      </c>
      <c r="N146" t="s">
        <v>25</v>
      </c>
    </row>
    <row r="147" spans="1:14" x14ac:dyDescent="0.25">
      <c r="A147" t="s">
        <v>14</v>
      </c>
      <c r="B147" t="s">
        <v>15</v>
      </c>
      <c r="C147" t="s">
        <v>15</v>
      </c>
      <c r="D147" t="s">
        <v>33</v>
      </c>
      <c r="E147" t="s">
        <v>26</v>
      </c>
      <c r="F147" t="s">
        <v>15</v>
      </c>
      <c r="G147" s="1" t="str">
        <f t="shared" ref="G147:M147" si="11">"X"</f>
        <v>X</v>
      </c>
      <c r="H147" s="1" t="str">
        <f t="shared" si="11"/>
        <v>X</v>
      </c>
      <c r="I147" s="1" t="str">
        <f t="shared" si="11"/>
        <v>X</v>
      </c>
      <c r="J147" s="1" t="str">
        <f t="shared" si="11"/>
        <v>X</v>
      </c>
      <c r="K147" s="1" t="str">
        <f t="shared" si="11"/>
        <v>X</v>
      </c>
      <c r="L147" s="1" t="str">
        <f t="shared" si="11"/>
        <v>X</v>
      </c>
      <c r="M147" s="1" t="str">
        <f t="shared" si="11"/>
        <v>X</v>
      </c>
      <c r="N147" t="s">
        <v>27</v>
      </c>
    </row>
    <row r="148" spans="1:14" x14ac:dyDescent="0.25">
      <c r="A148" t="s">
        <v>14</v>
      </c>
      <c r="B148" t="s">
        <v>15</v>
      </c>
      <c r="C148" t="s">
        <v>15</v>
      </c>
      <c r="D148" t="s">
        <v>33</v>
      </c>
      <c r="E148" t="s">
        <v>26</v>
      </c>
      <c r="F148" t="s">
        <v>17</v>
      </c>
      <c r="G148" s="1" t="str">
        <f t="shared" ref="G148:M150" si="12">"..."</f>
        <v>...</v>
      </c>
      <c r="H148" s="1" t="str">
        <f t="shared" si="12"/>
        <v>...</v>
      </c>
      <c r="I148" s="1" t="str">
        <f t="shared" si="12"/>
        <v>...</v>
      </c>
      <c r="J148" s="1" t="str">
        <f t="shared" si="12"/>
        <v>...</v>
      </c>
      <c r="K148" s="1" t="str">
        <f t="shared" si="12"/>
        <v>...</v>
      </c>
      <c r="L148" s="1" t="str">
        <f t="shared" si="12"/>
        <v>...</v>
      </c>
      <c r="M148" s="1" t="str">
        <f t="shared" si="12"/>
        <v>...</v>
      </c>
      <c r="N148" t="s">
        <v>30</v>
      </c>
    </row>
    <row r="149" spans="1:14" x14ac:dyDescent="0.25">
      <c r="A149" t="s">
        <v>14</v>
      </c>
      <c r="B149" t="s">
        <v>15</v>
      </c>
      <c r="C149" t="s">
        <v>15</v>
      </c>
      <c r="D149" t="s">
        <v>33</v>
      </c>
      <c r="E149" t="s">
        <v>26</v>
      </c>
      <c r="F149" t="s">
        <v>18</v>
      </c>
      <c r="G149" s="1" t="str">
        <f t="shared" si="12"/>
        <v>...</v>
      </c>
      <c r="H149" s="1" t="str">
        <f t="shared" si="12"/>
        <v>...</v>
      </c>
      <c r="I149" s="1" t="str">
        <f t="shared" si="12"/>
        <v>...</v>
      </c>
      <c r="J149" s="1" t="str">
        <f t="shared" si="12"/>
        <v>...</v>
      </c>
      <c r="K149" s="1" t="str">
        <f t="shared" si="12"/>
        <v>...</v>
      </c>
      <c r="L149" s="1" t="str">
        <f t="shared" si="12"/>
        <v>...</v>
      </c>
      <c r="M149" s="1" t="str">
        <f t="shared" si="12"/>
        <v>...</v>
      </c>
      <c r="N149" t="s">
        <v>30</v>
      </c>
    </row>
    <row r="150" spans="1:14" x14ac:dyDescent="0.25">
      <c r="A150" t="s">
        <v>14</v>
      </c>
      <c r="B150" t="s">
        <v>15</v>
      </c>
      <c r="C150" t="s">
        <v>15</v>
      </c>
      <c r="D150" t="s">
        <v>33</v>
      </c>
      <c r="E150" t="s">
        <v>26</v>
      </c>
      <c r="F150" t="s">
        <v>19</v>
      </c>
      <c r="G150" s="1" t="str">
        <f t="shared" si="12"/>
        <v>...</v>
      </c>
      <c r="H150" s="1" t="str">
        <f t="shared" si="12"/>
        <v>...</v>
      </c>
      <c r="I150" s="1" t="str">
        <f t="shared" si="12"/>
        <v>...</v>
      </c>
      <c r="J150" s="1" t="str">
        <f t="shared" si="12"/>
        <v>...</v>
      </c>
      <c r="K150" s="1" t="str">
        <f t="shared" si="12"/>
        <v>...</v>
      </c>
      <c r="L150" s="1" t="str">
        <f t="shared" si="12"/>
        <v>...</v>
      </c>
      <c r="M150" s="1" t="str">
        <f t="shared" si="12"/>
        <v>...</v>
      </c>
      <c r="N150" t="s">
        <v>30</v>
      </c>
    </row>
    <row r="151" spans="1:14" x14ac:dyDescent="0.25">
      <c r="A151" t="s">
        <v>14</v>
      </c>
      <c r="B151" t="s">
        <v>15</v>
      </c>
      <c r="C151" t="s">
        <v>15</v>
      </c>
      <c r="D151" t="s">
        <v>33</v>
      </c>
      <c r="E151" t="s">
        <v>26</v>
      </c>
      <c r="F151" t="s">
        <v>20</v>
      </c>
      <c r="G151" s="1" t="str">
        <f t="shared" ref="G151:M151" si="13">"X"</f>
        <v>X</v>
      </c>
      <c r="H151" s="1" t="str">
        <f t="shared" si="13"/>
        <v>X</v>
      </c>
      <c r="I151" s="1" t="str">
        <f t="shared" si="13"/>
        <v>X</v>
      </c>
      <c r="J151" s="1" t="str">
        <f t="shared" si="13"/>
        <v>X</v>
      </c>
      <c r="K151" s="1" t="str">
        <f t="shared" si="13"/>
        <v>X</v>
      </c>
      <c r="L151" s="1" t="str">
        <f t="shared" si="13"/>
        <v>X</v>
      </c>
      <c r="M151" s="1" t="str">
        <f t="shared" si="13"/>
        <v>X</v>
      </c>
      <c r="N151" t="s">
        <v>27</v>
      </c>
    </row>
    <row r="152" spans="1:14" x14ac:dyDescent="0.25">
      <c r="A152" t="s">
        <v>14</v>
      </c>
      <c r="B152" t="s">
        <v>15</v>
      </c>
      <c r="C152" t="s">
        <v>15</v>
      </c>
      <c r="D152" t="s">
        <v>34</v>
      </c>
      <c r="E152" t="s">
        <v>15</v>
      </c>
      <c r="F152" t="s">
        <v>15</v>
      </c>
      <c r="G152" s="1">
        <f>VALUE(1238.6315137834)</f>
        <v>1238.6315137833999</v>
      </c>
      <c r="H152" s="1">
        <f>VALUE(1160.4271233438)</f>
        <v>1160.4271233438001</v>
      </c>
      <c r="I152" s="4">
        <f>VALUE(3415)</f>
        <v>3415</v>
      </c>
      <c r="J152" s="5">
        <f>VALUE(4333)</f>
        <v>4333</v>
      </c>
      <c r="K152" s="6">
        <f>VALUE(5686)</f>
        <v>5686</v>
      </c>
      <c r="L152" s="7">
        <f>VALUE(8071)</f>
        <v>8071</v>
      </c>
      <c r="M152" s="8">
        <f>VALUE(11905)</f>
        <v>11905</v>
      </c>
      <c r="N152" t="s">
        <v>25</v>
      </c>
    </row>
    <row r="153" spans="1:14" x14ac:dyDescent="0.25">
      <c r="A153" t="s">
        <v>14</v>
      </c>
      <c r="B153" t="s">
        <v>15</v>
      </c>
      <c r="C153" t="s">
        <v>15</v>
      </c>
      <c r="D153" t="s">
        <v>34</v>
      </c>
      <c r="E153" t="s">
        <v>15</v>
      </c>
      <c r="F153" t="s">
        <v>17</v>
      </c>
      <c r="G153" s="2">
        <f>VALUE(257.6008157453)</f>
        <v>257.6008157453</v>
      </c>
      <c r="H153" s="3">
        <f>VALUE(266.6704071158)</f>
        <v>266.6704071158</v>
      </c>
      <c r="I153" s="4">
        <f>VALUE(7350)</f>
        <v>7350</v>
      </c>
      <c r="J153" s="1">
        <f>VALUE(9040)</f>
        <v>9040</v>
      </c>
      <c r="K153" s="1">
        <f>VALUE(10833)</f>
        <v>10833</v>
      </c>
      <c r="L153" s="1">
        <f>VALUE(15589)</f>
        <v>15589</v>
      </c>
      <c r="M153" s="1">
        <f>VALUE(21651)</f>
        <v>21651</v>
      </c>
      <c r="N153" t="s">
        <v>25</v>
      </c>
    </row>
    <row r="154" spans="1:14" x14ac:dyDescent="0.25">
      <c r="A154" t="s">
        <v>14</v>
      </c>
      <c r="B154" t="s">
        <v>15</v>
      </c>
      <c r="C154" t="s">
        <v>15</v>
      </c>
      <c r="D154" t="s">
        <v>34</v>
      </c>
      <c r="E154" t="s">
        <v>15</v>
      </c>
      <c r="F154" t="s">
        <v>18</v>
      </c>
      <c r="G154" s="2">
        <f>VALUE(121.6544798904)</f>
        <v>121.6544798904</v>
      </c>
      <c r="H154" s="3">
        <f>VALUE(116.8033232277)</f>
        <v>116.80332322770001</v>
      </c>
      <c r="I154" s="4">
        <f>VALUE(3795)</f>
        <v>3795</v>
      </c>
      <c r="J154" s="5">
        <f>VALUE(4297)</f>
        <v>4297</v>
      </c>
      <c r="K154" s="6">
        <f>VALUE(6254)</f>
        <v>6254</v>
      </c>
      <c r="L154" s="7">
        <f>VALUE(7063)</f>
        <v>7063</v>
      </c>
      <c r="M154" s="1">
        <f>VALUE(8071)</f>
        <v>8071</v>
      </c>
      <c r="N154" t="s">
        <v>25</v>
      </c>
    </row>
    <row r="155" spans="1:14" x14ac:dyDescent="0.25">
      <c r="A155" t="s">
        <v>14</v>
      </c>
      <c r="B155" t="s">
        <v>15</v>
      </c>
      <c r="C155" t="s">
        <v>15</v>
      </c>
      <c r="D155" t="s">
        <v>34</v>
      </c>
      <c r="E155" t="s">
        <v>15</v>
      </c>
      <c r="F155" t="s">
        <v>19</v>
      </c>
      <c r="G155" s="1" t="str">
        <f t="shared" ref="G155:M155" si="14">"X"</f>
        <v>X</v>
      </c>
      <c r="H155" s="1" t="str">
        <f t="shared" si="14"/>
        <v>X</v>
      </c>
      <c r="I155" s="1" t="str">
        <f t="shared" si="14"/>
        <v>X</v>
      </c>
      <c r="J155" s="1" t="str">
        <f t="shared" si="14"/>
        <v>X</v>
      </c>
      <c r="K155" s="1" t="str">
        <f t="shared" si="14"/>
        <v>X</v>
      </c>
      <c r="L155" s="1" t="str">
        <f t="shared" si="14"/>
        <v>X</v>
      </c>
      <c r="M155" s="1" t="str">
        <f t="shared" si="14"/>
        <v>X</v>
      </c>
      <c r="N155" t="s">
        <v>27</v>
      </c>
    </row>
    <row r="156" spans="1:14" x14ac:dyDescent="0.25">
      <c r="A156" t="s">
        <v>14</v>
      </c>
      <c r="B156" t="s">
        <v>15</v>
      </c>
      <c r="C156" t="s">
        <v>15</v>
      </c>
      <c r="D156" t="s">
        <v>34</v>
      </c>
      <c r="E156" t="s">
        <v>15</v>
      </c>
      <c r="F156" t="s">
        <v>20</v>
      </c>
      <c r="G156" s="1">
        <f>VALUE(788.2230520299)</f>
        <v>788.22305202990003</v>
      </c>
      <c r="H156" s="1">
        <f>VALUE(717.8076912234)</f>
        <v>717.80769122339996</v>
      </c>
      <c r="I156" s="4">
        <f>VALUE(3098)</f>
        <v>3098</v>
      </c>
      <c r="J156" s="5">
        <f>VALUE(3817)</f>
        <v>3817</v>
      </c>
      <c r="K156" s="1">
        <f>VALUE(5048)</f>
        <v>5048</v>
      </c>
      <c r="L156" s="1">
        <f>VALUE(6053)</f>
        <v>6053</v>
      </c>
      <c r="M156" s="1">
        <f>VALUE(7429)</f>
        <v>7429</v>
      </c>
      <c r="N156" t="s">
        <v>25</v>
      </c>
    </row>
    <row r="157" spans="1:14" x14ac:dyDescent="0.25">
      <c r="A157" t="s">
        <v>14</v>
      </c>
      <c r="B157" t="s">
        <v>15</v>
      </c>
      <c r="C157" t="s">
        <v>15</v>
      </c>
      <c r="D157" t="s">
        <v>34</v>
      </c>
      <c r="E157" t="s">
        <v>21</v>
      </c>
      <c r="F157" t="s">
        <v>15</v>
      </c>
      <c r="G157" s="2">
        <f>VALUE(340.1332578996)</f>
        <v>340.13325789959998</v>
      </c>
      <c r="H157" s="3">
        <f>VALUE(323.3175811289)</f>
        <v>323.31758112889997</v>
      </c>
      <c r="I157" s="1">
        <f>VALUE(4541)</f>
        <v>4541</v>
      </c>
      <c r="J157" s="1">
        <f>VALUE(5674)</f>
        <v>5674</v>
      </c>
      <c r="K157" s="1">
        <f>VALUE(7982)</f>
        <v>7982</v>
      </c>
      <c r="L157" s="1">
        <f>VALUE(10941)</f>
        <v>10941</v>
      </c>
      <c r="M157" s="1">
        <f>VALUE(19975)</f>
        <v>19975</v>
      </c>
      <c r="N157" t="s">
        <v>25</v>
      </c>
    </row>
    <row r="158" spans="1:14" x14ac:dyDescent="0.25">
      <c r="A158" t="s">
        <v>14</v>
      </c>
      <c r="B158" t="s">
        <v>15</v>
      </c>
      <c r="C158" t="s">
        <v>15</v>
      </c>
      <c r="D158" t="s">
        <v>34</v>
      </c>
      <c r="E158" t="s">
        <v>21</v>
      </c>
      <c r="F158" t="s">
        <v>17</v>
      </c>
      <c r="G158" s="2">
        <f>VALUE(151.3363159369)</f>
        <v>151.33631593690001</v>
      </c>
      <c r="H158" s="3">
        <f>VALUE(156.8930931211)</f>
        <v>156.89309312110001</v>
      </c>
      <c r="I158" s="1">
        <f>VALUE(7262)</f>
        <v>7262</v>
      </c>
      <c r="J158" s="1">
        <f>VALUE(9405)</f>
        <v>9405</v>
      </c>
      <c r="K158" s="1">
        <f>VALUE(10941)</f>
        <v>10941</v>
      </c>
      <c r="L158" s="1">
        <f>VALUE(17198)</f>
        <v>17198</v>
      </c>
      <c r="M158" s="1">
        <f>VALUE(26958)</f>
        <v>26958</v>
      </c>
      <c r="N158" t="s">
        <v>25</v>
      </c>
    </row>
    <row r="159" spans="1:14" x14ac:dyDescent="0.25">
      <c r="A159" t="s">
        <v>14</v>
      </c>
      <c r="B159" t="s">
        <v>15</v>
      </c>
      <c r="C159" t="s">
        <v>15</v>
      </c>
      <c r="D159" t="s">
        <v>34</v>
      </c>
      <c r="E159" t="s">
        <v>21</v>
      </c>
      <c r="F159" t="s">
        <v>18</v>
      </c>
      <c r="G159" s="1" t="str">
        <f t="shared" ref="G159:M160" si="15">"X"</f>
        <v>X</v>
      </c>
      <c r="H159" s="1" t="str">
        <f t="shared" si="15"/>
        <v>X</v>
      </c>
      <c r="I159" s="1" t="str">
        <f t="shared" si="15"/>
        <v>X</v>
      </c>
      <c r="J159" s="1" t="str">
        <f t="shared" si="15"/>
        <v>X</v>
      </c>
      <c r="K159" s="1" t="str">
        <f t="shared" si="15"/>
        <v>X</v>
      </c>
      <c r="L159" s="1" t="str">
        <f t="shared" si="15"/>
        <v>X</v>
      </c>
      <c r="M159" s="1" t="str">
        <f t="shared" si="15"/>
        <v>X</v>
      </c>
      <c r="N159" t="s">
        <v>27</v>
      </c>
    </row>
    <row r="160" spans="1:14" x14ac:dyDescent="0.25">
      <c r="A160" t="s">
        <v>14</v>
      </c>
      <c r="B160" t="s">
        <v>15</v>
      </c>
      <c r="C160" t="s">
        <v>15</v>
      </c>
      <c r="D160" t="s">
        <v>34</v>
      </c>
      <c r="E160" t="s">
        <v>21</v>
      </c>
      <c r="F160" t="s">
        <v>19</v>
      </c>
      <c r="G160" s="1" t="str">
        <f t="shared" si="15"/>
        <v>X</v>
      </c>
      <c r="H160" s="1" t="str">
        <f t="shared" si="15"/>
        <v>X</v>
      </c>
      <c r="I160" s="1" t="str">
        <f t="shared" si="15"/>
        <v>X</v>
      </c>
      <c r="J160" s="1" t="str">
        <f t="shared" si="15"/>
        <v>X</v>
      </c>
      <c r="K160" s="1" t="str">
        <f t="shared" si="15"/>
        <v>X</v>
      </c>
      <c r="L160" s="1" t="str">
        <f t="shared" si="15"/>
        <v>X</v>
      </c>
      <c r="M160" s="1" t="str">
        <f t="shared" si="15"/>
        <v>X</v>
      </c>
      <c r="N160" t="s">
        <v>27</v>
      </c>
    </row>
    <row r="161" spans="1:14" x14ac:dyDescent="0.25">
      <c r="A161" t="s">
        <v>14</v>
      </c>
      <c r="B161" t="s">
        <v>15</v>
      </c>
      <c r="C161" t="s">
        <v>15</v>
      </c>
      <c r="D161" t="s">
        <v>34</v>
      </c>
      <c r="E161" t="s">
        <v>21</v>
      </c>
      <c r="F161" t="s">
        <v>20</v>
      </c>
      <c r="G161" s="2">
        <f>VALUE(123.9855366899)</f>
        <v>123.9855366899</v>
      </c>
      <c r="H161" s="3">
        <f>VALUE(115.1609209467)</f>
        <v>115.1609209467</v>
      </c>
      <c r="I161" s="1">
        <f>VALUE(4541)</f>
        <v>4541</v>
      </c>
      <c r="J161" s="1">
        <f>VALUE(5105)</f>
        <v>5105</v>
      </c>
      <c r="K161" s="1">
        <f>VALUE(6064)</f>
        <v>6064</v>
      </c>
      <c r="L161" s="1">
        <f>VALUE(7603)</f>
        <v>7603</v>
      </c>
      <c r="M161" s="1">
        <f>VALUE(9286)</f>
        <v>9286</v>
      </c>
      <c r="N161" t="s">
        <v>25</v>
      </c>
    </row>
    <row r="162" spans="1:14" x14ac:dyDescent="0.25">
      <c r="A162" t="s">
        <v>14</v>
      </c>
      <c r="B162" t="s">
        <v>15</v>
      </c>
      <c r="C162" t="s">
        <v>15</v>
      </c>
      <c r="D162" t="s">
        <v>34</v>
      </c>
      <c r="E162" t="s">
        <v>22</v>
      </c>
      <c r="F162" t="s">
        <v>15</v>
      </c>
      <c r="G162" s="1">
        <f>VALUE(485.4714452982)</f>
        <v>485.47144529820002</v>
      </c>
      <c r="H162" s="1">
        <f>VALUE(471.9433204416)</f>
        <v>471.94332044160001</v>
      </c>
      <c r="I162" s="4">
        <f>VALUE(3630)</f>
        <v>3630</v>
      </c>
      <c r="J162" s="5">
        <f>VALUE(4905)</f>
        <v>4905</v>
      </c>
      <c r="K162" s="1">
        <f>VALUE(6000)</f>
        <v>6000</v>
      </c>
      <c r="L162" s="1">
        <f>VALUE(7790)</f>
        <v>7790</v>
      </c>
      <c r="M162" s="1">
        <f>VALUE(11055)</f>
        <v>11055</v>
      </c>
      <c r="N162" t="s">
        <v>25</v>
      </c>
    </row>
    <row r="163" spans="1:14" x14ac:dyDescent="0.25">
      <c r="A163" t="s">
        <v>14</v>
      </c>
      <c r="B163" t="s">
        <v>15</v>
      </c>
      <c r="C163" t="s">
        <v>15</v>
      </c>
      <c r="D163" t="s">
        <v>34</v>
      </c>
      <c r="E163" t="s">
        <v>22</v>
      </c>
      <c r="F163" t="s">
        <v>17</v>
      </c>
      <c r="G163" s="1" t="str">
        <f t="shared" ref="G163:M165" si="16">"X"</f>
        <v>X</v>
      </c>
      <c r="H163" s="1" t="str">
        <f t="shared" si="16"/>
        <v>X</v>
      </c>
      <c r="I163" s="1" t="str">
        <f t="shared" si="16"/>
        <v>X</v>
      </c>
      <c r="J163" s="1" t="str">
        <f t="shared" si="16"/>
        <v>X</v>
      </c>
      <c r="K163" s="1" t="str">
        <f t="shared" si="16"/>
        <v>X</v>
      </c>
      <c r="L163" s="1" t="str">
        <f t="shared" si="16"/>
        <v>X</v>
      </c>
      <c r="M163" s="1" t="str">
        <f t="shared" si="16"/>
        <v>X</v>
      </c>
      <c r="N163" t="s">
        <v>27</v>
      </c>
    </row>
    <row r="164" spans="1:14" x14ac:dyDescent="0.25">
      <c r="A164" t="s">
        <v>14</v>
      </c>
      <c r="B164" t="s">
        <v>15</v>
      </c>
      <c r="C164" t="s">
        <v>15</v>
      </c>
      <c r="D164" t="s">
        <v>34</v>
      </c>
      <c r="E164" t="s">
        <v>22</v>
      </c>
      <c r="F164" t="s">
        <v>18</v>
      </c>
      <c r="G164" s="1" t="str">
        <f t="shared" si="16"/>
        <v>X</v>
      </c>
      <c r="H164" s="1" t="str">
        <f t="shared" si="16"/>
        <v>X</v>
      </c>
      <c r="I164" s="1" t="str">
        <f t="shared" si="16"/>
        <v>X</v>
      </c>
      <c r="J164" s="1" t="str">
        <f t="shared" si="16"/>
        <v>X</v>
      </c>
      <c r="K164" s="1" t="str">
        <f t="shared" si="16"/>
        <v>X</v>
      </c>
      <c r="L164" s="1" t="str">
        <f t="shared" si="16"/>
        <v>X</v>
      </c>
      <c r="M164" s="1" t="str">
        <f t="shared" si="16"/>
        <v>X</v>
      </c>
      <c r="N164" t="s">
        <v>27</v>
      </c>
    </row>
    <row r="165" spans="1:14" x14ac:dyDescent="0.25">
      <c r="A165" t="s">
        <v>14</v>
      </c>
      <c r="B165" t="s">
        <v>15</v>
      </c>
      <c r="C165" t="s">
        <v>15</v>
      </c>
      <c r="D165" t="s">
        <v>34</v>
      </c>
      <c r="E165" t="s">
        <v>22</v>
      </c>
      <c r="F165" t="s">
        <v>19</v>
      </c>
      <c r="G165" s="1" t="str">
        <f t="shared" si="16"/>
        <v>X</v>
      </c>
      <c r="H165" s="1" t="str">
        <f t="shared" si="16"/>
        <v>X</v>
      </c>
      <c r="I165" s="1" t="str">
        <f t="shared" si="16"/>
        <v>X</v>
      </c>
      <c r="J165" s="1" t="str">
        <f t="shared" si="16"/>
        <v>X</v>
      </c>
      <c r="K165" s="1" t="str">
        <f t="shared" si="16"/>
        <v>X</v>
      </c>
      <c r="L165" s="1" t="str">
        <f t="shared" si="16"/>
        <v>X</v>
      </c>
      <c r="M165" s="1" t="str">
        <f t="shared" si="16"/>
        <v>X</v>
      </c>
      <c r="N165" t="s">
        <v>27</v>
      </c>
    </row>
    <row r="166" spans="1:14" x14ac:dyDescent="0.25">
      <c r="A166" t="s">
        <v>14</v>
      </c>
      <c r="B166" t="s">
        <v>15</v>
      </c>
      <c r="C166" t="s">
        <v>15</v>
      </c>
      <c r="D166" t="s">
        <v>34</v>
      </c>
      <c r="E166" t="s">
        <v>22</v>
      </c>
      <c r="F166" t="s">
        <v>20</v>
      </c>
      <c r="G166" s="1">
        <f>VALUE(292.7212363831)</f>
        <v>292.72123638310001</v>
      </c>
      <c r="H166" s="1">
        <f>VALUE(273.8377884037)</f>
        <v>273.83778840370002</v>
      </c>
      <c r="I166" s="1">
        <f>VALUE(3498)</f>
        <v>3498</v>
      </c>
      <c r="J166" s="1">
        <f>VALUE(4579)</f>
        <v>4579</v>
      </c>
      <c r="K166" s="1">
        <f>VALUE(5318)</f>
        <v>5318</v>
      </c>
      <c r="L166" s="1">
        <f>VALUE(6135)</f>
        <v>6135</v>
      </c>
      <c r="M166" s="1">
        <f>VALUE(7302)</f>
        <v>7302</v>
      </c>
      <c r="N166" t="s">
        <v>16</v>
      </c>
    </row>
    <row r="167" spans="1:14" x14ac:dyDescent="0.25">
      <c r="A167" t="s">
        <v>14</v>
      </c>
      <c r="B167" t="s">
        <v>15</v>
      </c>
      <c r="C167" t="s">
        <v>15</v>
      </c>
      <c r="D167" t="s">
        <v>34</v>
      </c>
      <c r="E167" t="s">
        <v>23</v>
      </c>
      <c r="F167" t="s">
        <v>15</v>
      </c>
      <c r="G167" s="2">
        <f>VALUE(402.534621748)</f>
        <v>402.53462174800001</v>
      </c>
      <c r="H167" s="3">
        <f>VALUE(354.1494234941)</f>
        <v>354.14942349410001</v>
      </c>
      <c r="I167" s="1">
        <f>VALUE(2766)</f>
        <v>2766</v>
      </c>
      <c r="J167" s="1">
        <f>VALUE(3415)</f>
        <v>3415</v>
      </c>
      <c r="K167" s="1">
        <f>VALUE(4297)</f>
        <v>4297</v>
      </c>
      <c r="L167" s="1">
        <f>VALUE(5277)</f>
        <v>5277</v>
      </c>
      <c r="M167" s="8">
        <f>VALUE(6700)</f>
        <v>6700</v>
      </c>
      <c r="N167" t="s">
        <v>25</v>
      </c>
    </row>
    <row r="168" spans="1:14" x14ac:dyDescent="0.25">
      <c r="A168" t="s">
        <v>14</v>
      </c>
      <c r="B168" t="s">
        <v>15</v>
      </c>
      <c r="C168" t="s">
        <v>15</v>
      </c>
      <c r="D168" t="s">
        <v>34</v>
      </c>
      <c r="E168" t="s">
        <v>23</v>
      </c>
      <c r="F168" t="s">
        <v>17</v>
      </c>
      <c r="G168" s="1" t="str">
        <f t="shared" ref="G168:M170" si="17">"X"</f>
        <v>X</v>
      </c>
      <c r="H168" s="1" t="str">
        <f t="shared" si="17"/>
        <v>X</v>
      </c>
      <c r="I168" s="1" t="str">
        <f t="shared" si="17"/>
        <v>X</v>
      </c>
      <c r="J168" s="1" t="str">
        <f t="shared" si="17"/>
        <v>X</v>
      </c>
      <c r="K168" s="1" t="str">
        <f t="shared" si="17"/>
        <v>X</v>
      </c>
      <c r="L168" s="1" t="str">
        <f t="shared" si="17"/>
        <v>X</v>
      </c>
      <c r="M168" s="1" t="str">
        <f t="shared" si="17"/>
        <v>X</v>
      </c>
      <c r="N168" t="s">
        <v>27</v>
      </c>
    </row>
    <row r="169" spans="1:14" x14ac:dyDescent="0.25">
      <c r="A169" t="s">
        <v>14</v>
      </c>
      <c r="B169" t="s">
        <v>15</v>
      </c>
      <c r="C169" t="s">
        <v>15</v>
      </c>
      <c r="D169" t="s">
        <v>34</v>
      </c>
      <c r="E169" t="s">
        <v>23</v>
      </c>
      <c r="F169" t="s">
        <v>18</v>
      </c>
      <c r="G169" s="1" t="str">
        <f t="shared" si="17"/>
        <v>X</v>
      </c>
      <c r="H169" s="1" t="str">
        <f t="shared" si="17"/>
        <v>X</v>
      </c>
      <c r="I169" s="1" t="str">
        <f t="shared" si="17"/>
        <v>X</v>
      </c>
      <c r="J169" s="1" t="str">
        <f t="shared" si="17"/>
        <v>X</v>
      </c>
      <c r="K169" s="1" t="str">
        <f t="shared" si="17"/>
        <v>X</v>
      </c>
      <c r="L169" s="1" t="str">
        <f t="shared" si="17"/>
        <v>X</v>
      </c>
      <c r="M169" s="1" t="str">
        <f t="shared" si="17"/>
        <v>X</v>
      </c>
      <c r="N169" t="s">
        <v>27</v>
      </c>
    </row>
    <row r="170" spans="1:14" x14ac:dyDescent="0.25">
      <c r="A170" t="s">
        <v>14</v>
      </c>
      <c r="B170" t="s">
        <v>15</v>
      </c>
      <c r="C170" t="s">
        <v>15</v>
      </c>
      <c r="D170" t="s">
        <v>34</v>
      </c>
      <c r="E170" t="s">
        <v>23</v>
      </c>
      <c r="F170" t="s">
        <v>19</v>
      </c>
      <c r="G170" s="1" t="str">
        <f t="shared" si="17"/>
        <v>X</v>
      </c>
      <c r="H170" s="1" t="str">
        <f t="shared" si="17"/>
        <v>X</v>
      </c>
      <c r="I170" s="1" t="str">
        <f t="shared" si="17"/>
        <v>X</v>
      </c>
      <c r="J170" s="1" t="str">
        <f t="shared" si="17"/>
        <v>X</v>
      </c>
      <c r="K170" s="1" t="str">
        <f t="shared" si="17"/>
        <v>X</v>
      </c>
      <c r="L170" s="1" t="str">
        <f t="shared" si="17"/>
        <v>X</v>
      </c>
      <c r="M170" s="1" t="str">
        <f t="shared" si="17"/>
        <v>X</v>
      </c>
      <c r="N170" t="s">
        <v>27</v>
      </c>
    </row>
    <row r="171" spans="1:14" x14ac:dyDescent="0.25">
      <c r="A171" t="s">
        <v>14</v>
      </c>
      <c r="B171" t="s">
        <v>15</v>
      </c>
      <c r="C171" t="s">
        <v>15</v>
      </c>
      <c r="D171" t="s">
        <v>34</v>
      </c>
      <c r="E171" t="s">
        <v>23</v>
      </c>
      <c r="F171" t="s">
        <v>20</v>
      </c>
      <c r="G171" s="2">
        <f>VALUE(364.9586609334)</f>
        <v>364.95866093339998</v>
      </c>
      <c r="H171" s="3">
        <f>VALUE(321.9234829485)</f>
        <v>321.92348294850001</v>
      </c>
      <c r="I171" s="1">
        <f>VALUE(2734)</f>
        <v>2734</v>
      </c>
      <c r="J171" s="1">
        <f>VALUE(3400)</f>
        <v>3400</v>
      </c>
      <c r="K171" s="6">
        <f>VALUE(4127)</f>
        <v>4127</v>
      </c>
      <c r="L171" s="1">
        <f>VALUE(5238)</f>
        <v>5238</v>
      </c>
      <c r="M171" s="1">
        <f>VALUE(6137)</f>
        <v>6137</v>
      </c>
      <c r="N171" t="s">
        <v>25</v>
      </c>
    </row>
    <row r="172" spans="1:14" x14ac:dyDescent="0.25">
      <c r="A172" t="s">
        <v>14</v>
      </c>
      <c r="B172" t="s">
        <v>15</v>
      </c>
      <c r="C172" t="s">
        <v>15</v>
      </c>
      <c r="D172" t="s">
        <v>34</v>
      </c>
      <c r="E172" t="s">
        <v>26</v>
      </c>
      <c r="F172" t="s">
        <v>15</v>
      </c>
      <c r="G172" s="1" t="str">
        <f t="shared" ref="G172:M174" si="18">"X"</f>
        <v>X</v>
      </c>
      <c r="H172" s="1" t="str">
        <f t="shared" si="18"/>
        <v>X</v>
      </c>
      <c r="I172" s="1" t="str">
        <f t="shared" si="18"/>
        <v>X</v>
      </c>
      <c r="J172" s="1" t="str">
        <f t="shared" si="18"/>
        <v>X</v>
      </c>
      <c r="K172" s="1" t="str">
        <f t="shared" si="18"/>
        <v>X</v>
      </c>
      <c r="L172" s="1" t="str">
        <f t="shared" si="18"/>
        <v>X</v>
      </c>
      <c r="M172" s="1" t="str">
        <f t="shared" si="18"/>
        <v>X</v>
      </c>
      <c r="N172" t="s">
        <v>27</v>
      </c>
    </row>
    <row r="173" spans="1:14" x14ac:dyDescent="0.25">
      <c r="A173" t="s">
        <v>14</v>
      </c>
      <c r="B173" t="s">
        <v>15</v>
      </c>
      <c r="C173" t="s">
        <v>15</v>
      </c>
      <c r="D173" t="s">
        <v>34</v>
      </c>
      <c r="E173" t="s">
        <v>26</v>
      </c>
      <c r="F173" t="s">
        <v>17</v>
      </c>
      <c r="G173" s="1" t="str">
        <f t="shared" si="18"/>
        <v>X</v>
      </c>
      <c r="H173" s="1" t="str">
        <f t="shared" si="18"/>
        <v>X</v>
      </c>
      <c r="I173" s="1" t="str">
        <f t="shared" si="18"/>
        <v>X</v>
      </c>
      <c r="J173" s="1" t="str">
        <f t="shared" si="18"/>
        <v>X</v>
      </c>
      <c r="K173" s="1" t="str">
        <f t="shared" si="18"/>
        <v>X</v>
      </c>
      <c r="L173" s="1" t="str">
        <f t="shared" si="18"/>
        <v>X</v>
      </c>
      <c r="M173" s="1" t="str">
        <f t="shared" si="18"/>
        <v>X</v>
      </c>
      <c r="N173" t="s">
        <v>27</v>
      </c>
    </row>
    <row r="174" spans="1:14" x14ac:dyDescent="0.25">
      <c r="A174" t="s">
        <v>14</v>
      </c>
      <c r="B174" t="s">
        <v>15</v>
      </c>
      <c r="C174" t="s">
        <v>15</v>
      </c>
      <c r="D174" t="s">
        <v>34</v>
      </c>
      <c r="E174" t="s">
        <v>26</v>
      </c>
      <c r="F174" t="s">
        <v>18</v>
      </c>
      <c r="G174" s="1" t="str">
        <f t="shared" si="18"/>
        <v>X</v>
      </c>
      <c r="H174" s="1" t="str">
        <f t="shared" si="18"/>
        <v>X</v>
      </c>
      <c r="I174" s="1" t="str">
        <f t="shared" si="18"/>
        <v>X</v>
      </c>
      <c r="J174" s="1" t="str">
        <f t="shared" si="18"/>
        <v>X</v>
      </c>
      <c r="K174" s="1" t="str">
        <f t="shared" si="18"/>
        <v>X</v>
      </c>
      <c r="L174" s="1" t="str">
        <f t="shared" si="18"/>
        <v>X</v>
      </c>
      <c r="M174" s="1" t="str">
        <f t="shared" si="18"/>
        <v>X</v>
      </c>
      <c r="N174" t="s">
        <v>27</v>
      </c>
    </row>
    <row r="175" spans="1:14" x14ac:dyDescent="0.25">
      <c r="A175" t="s">
        <v>14</v>
      </c>
      <c r="B175" t="s">
        <v>15</v>
      </c>
      <c r="C175" t="s">
        <v>15</v>
      </c>
      <c r="D175" t="s">
        <v>34</v>
      </c>
      <c r="E175" t="s">
        <v>26</v>
      </c>
      <c r="F175" t="s">
        <v>19</v>
      </c>
      <c r="G175" s="1" t="str">
        <f t="shared" ref="G175:M175" si="19">"..."</f>
        <v>...</v>
      </c>
      <c r="H175" s="1" t="str">
        <f t="shared" si="19"/>
        <v>...</v>
      </c>
      <c r="I175" s="1" t="str">
        <f t="shared" si="19"/>
        <v>...</v>
      </c>
      <c r="J175" s="1" t="str">
        <f t="shared" si="19"/>
        <v>...</v>
      </c>
      <c r="K175" s="1" t="str">
        <f t="shared" si="19"/>
        <v>...</v>
      </c>
      <c r="L175" s="1" t="str">
        <f t="shared" si="19"/>
        <v>...</v>
      </c>
      <c r="M175" s="1" t="str">
        <f t="shared" si="19"/>
        <v>...</v>
      </c>
      <c r="N175" t="s">
        <v>30</v>
      </c>
    </row>
    <row r="176" spans="1:14" x14ac:dyDescent="0.25">
      <c r="A176" t="s">
        <v>14</v>
      </c>
      <c r="B176" t="s">
        <v>15</v>
      </c>
      <c r="C176" t="s">
        <v>15</v>
      </c>
      <c r="D176" t="s">
        <v>34</v>
      </c>
      <c r="E176" t="s">
        <v>26</v>
      </c>
      <c r="F176" t="s">
        <v>20</v>
      </c>
      <c r="G176" s="1" t="str">
        <f t="shared" ref="G176:M176" si="20">"X"</f>
        <v>X</v>
      </c>
      <c r="H176" s="1" t="str">
        <f t="shared" si="20"/>
        <v>X</v>
      </c>
      <c r="I176" s="1" t="str">
        <f t="shared" si="20"/>
        <v>X</v>
      </c>
      <c r="J176" s="1" t="str">
        <f t="shared" si="20"/>
        <v>X</v>
      </c>
      <c r="K176" s="1" t="str">
        <f t="shared" si="20"/>
        <v>X</v>
      </c>
      <c r="L176" s="1" t="str">
        <f t="shared" si="20"/>
        <v>X</v>
      </c>
      <c r="M176" s="1" t="str">
        <f t="shared" si="20"/>
        <v>X</v>
      </c>
      <c r="N176" t="s">
        <v>27</v>
      </c>
    </row>
    <row r="177" spans="1:14" x14ac:dyDescent="0.25">
      <c r="A177" t="s">
        <v>14</v>
      </c>
      <c r="B177" t="s">
        <v>15</v>
      </c>
      <c r="C177" t="s">
        <v>35</v>
      </c>
      <c r="D177" t="s">
        <v>15</v>
      </c>
      <c r="E177" t="s">
        <v>15</v>
      </c>
      <c r="F177" t="s">
        <v>15</v>
      </c>
      <c r="G177" s="1">
        <f>VALUE(7581.8423471022)</f>
        <v>7581.8423471021997</v>
      </c>
      <c r="H177" s="1">
        <f>VALUE(7155.1855363335)</f>
        <v>7155.1855363334998</v>
      </c>
      <c r="I177" s="1">
        <f>VALUE(2673)</f>
        <v>2673</v>
      </c>
      <c r="J177" s="1">
        <f>VALUE(3143)</f>
        <v>3143</v>
      </c>
      <c r="K177" s="1">
        <f>VALUE(3673)</f>
        <v>3673</v>
      </c>
      <c r="L177" s="1">
        <f>VALUE(4237)</f>
        <v>4237</v>
      </c>
      <c r="M177" s="1">
        <f>VALUE(4872)</f>
        <v>4872</v>
      </c>
      <c r="N177" t="s">
        <v>16</v>
      </c>
    </row>
    <row r="178" spans="1:14" x14ac:dyDescent="0.25">
      <c r="A178" t="s">
        <v>14</v>
      </c>
      <c r="B178" t="s">
        <v>15</v>
      </c>
      <c r="C178" t="s">
        <v>35</v>
      </c>
      <c r="D178" t="s">
        <v>15</v>
      </c>
      <c r="E178" t="s">
        <v>15</v>
      </c>
      <c r="F178" t="s">
        <v>17</v>
      </c>
      <c r="G178" s="1" t="str">
        <f t="shared" ref="G178:M178" si="21">"X"</f>
        <v>X</v>
      </c>
      <c r="H178" s="1" t="str">
        <f t="shared" si="21"/>
        <v>X</v>
      </c>
      <c r="I178" s="1" t="str">
        <f t="shared" si="21"/>
        <v>X</v>
      </c>
      <c r="J178" s="1" t="str">
        <f t="shared" si="21"/>
        <v>X</v>
      </c>
      <c r="K178" s="1" t="str">
        <f t="shared" si="21"/>
        <v>X</v>
      </c>
      <c r="L178" s="1" t="str">
        <f t="shared" si="21"/>
        <v>X</v>
      </c>
      <c r="M178" s="1" t="str">
        <f t="shared" si="21"/>
        <v>X</v>
      </c>
      <c r="N178" t="s">
        <v>27</v>
      </c>
    </row>
    <row r="179" spans="1:14" x14ac:dyDescent="0.25">
      <c r="A179" t="s">
        <v>14</v>
      </c>
      <c r="B179" t="s">
        <v>15</v>
      </c>
      <c r="C179" t="s">
        <v>35</v>
      </c>
      <c r="D179" t="s">
        <v>15</v>
      </c>
      <c r="E179" t="s">
        <v>15</v>
      </c>
      <c r="F179" t="s">
        <v>18</v>
      </c>
      <c r="G179" s="2">
        <f>VALUE(512.3572356806)</f>
        <v>512.35723568059996</v>
      </c>
      <c r="H179" s="3">
        <f>VALUE(494.7654206004)</f>
        <v>494.76542060039998</v>
      </c>
      <c r="I179" s="4">
        <f>VALUE(3116)</f>
        <v>3116</v>
      </c>
      <c r="J179" s="1">
        <f>VALUE(3495)</f>
        <v>3495</v>
      </c>
      <c r="K179" s="1">
        <f>VALUE(3881)</f>
        <v>3881</v>
      </c>
      <c r="L179" s="1">
        <f>VALUE(4372)</f>
        <v>4372</v>
      </c>
      <c r="M179" s="8">
        <f>VALUE(5450)</f>
        <v>5450</v>
      </c>
      <c r="N179" t="s">
        <v>25</v>
      </c>
    </row>
    <row r="180" spans="1:14" x14ac:dyDescent="0.25">
      <c r="A180" t="s">
        <v>14</v>
      </c>
      <c r="B180" t="s">
        <v>15</v>
      </c>
      <c r="C180" t="s">
        <v>35</v>
      </c>
      <c r="D180" t="s">
        <v>15</v>
      </c>
      <c r="E180" t="s">
        <v>15</v>
      </c>
      <c r="F180" t="s">
        <v>19</v>
      </c>
      <c r="G180" s="2">
        <f>VALUE(777.6370398061)</f>
        <v>777.63703980610001</v>
      </c>
      <c r="H180" s="3">
        <f>VALUE(747.4302234342)</f>
        <v>747.4302234342</v>
      </c>
      <c r="I180" s="1">
        <f>VALUE(3082)</f>
        <v>3082</v>
      </c>
      <c r="J180" s="1">
        <f>VALUE(3473)</f>
        <v>3473</v>
      </c>
      <c r="K180" s="1">
        <f>VALUE(4000)</f>
        <v>4000</v>
      </c>
      <c r="L180" s="1">
        <f>VALUE(4418)</f>
        <v>4418</v>
      </c>
      <c r="M180" s="1">
        <f>VALUE(4958)</f>
        <v>4958</v>
      </c>
      <c r="N180" t="s">
        <v>25</v>
      </c>
    </row>
    <row r="181" spans="1:14" x14ac:dyDescent="0.25">
      <c r="A181" t="s">
        <v>14</v>
      </c>
      <c r="B181" t="s">
        <v>15</v>
      </c>
      <c r="C181" t="s">
        <v>35</v>
      </c>
      <c r="D181" t="s">
        <v>15</v>
      </c>
      <c r="E181" t="s">
        <v>15</v>
      </c>
      <c r="F181" t="s">
        <v>20</v>
      </c>
      <c r="G181" s="1">
        <f>VALUE(6087.8828409634)</f>
        <v>6087.8828409633998</v>
      </c>
      <c r="H181" s="1">
        <f>VALUE(5730.9951738532)</f>
        <v>5730.9951738532</v>
      </c>
      <c r="I181" s="1">
        <f>VALUE(2605)</f>
        <v>2605</v>
      </c>
      <c r="J181" s="1">
        <f>VALUE(3119)</f>
        <v>3119</v>
      </c>
      <c r="K181" s="1">
        <f>VALUE(3611)</f>
        <v>3611</v>
      </c>
      <c r="L181" s="1">
        <f>VALUE(4160)</f>
        <v>4160</v>
      </c>
      <c r="M181" s="1">
        <f>VALUE(4805)</f>
        <v>4805</v>
      </c>
      <c r="N181" t="s">
        <v>16</v>
      </c>
    </row>
    <row r="182" spans="1:14" x14ac:dyDescent="0.25">
      <c r="A182" t="s">
        <v>14</v>
      </c>
      <c r="B182" t="s">
        <v>15</v>
      </c>
      <c r="C182" t="s">
        <v>35</v>
      </c>
      <c r="D182" t="s">
        <v>15</v>
      </c>
      <c r="E182" t="s">
        <v>21</v>
      </c>
      <c r="F182" t="s">
        <v>15</v>
      </c>
      <c r="G182" s="2">
        <f>VALUE(640.0347792986)</f>
        <v>640.03477929860003</v>
      </c>
      <c r="H182" s="3">
        <f>VALUE(539.6555491282)</f>
        <v>539.65554912820005</v>
      </c>
      <c r="I182" s="1">
        <f>VALUE(3116)</f>
        <v>3116</v>
      </c>
      <c r="J182" s="1">
        <f>VALUE(3527)</f>
        <v>3527</v>
      </c>
      <c r="K182" s="1">
        <f>VALUE(4024)</f>
        <v>4024</v>
      </c>
      <c r="L182" s="1">
        <f>VALUE(5000)</f>
        <v>5000</v>
      </c>
      <c r="M182" s="1">
        <f>VALUE(6064)</f>
        <v>6064</v>
      </c>
      <c r="N182" t="s">
        <v>25</v>
      </c>
    </row>
    <row r="183" spans="1:14" x14ac:dyDescent="0.25">
      <c r="A183" t="s">
        <v>14</v>
      </c>
      <c r="B183" t="s">
        <v>15</v>
      </c>
      <c r="C183" t="s">
        <v>35</v>
      </c>
      <c r="D183" t="s">
        <v>15</v>
      </c>
      <c r="E183" t="s">
        <v>21</v>
      </c>
      <c r="F183" t="s">
        <v>17</v>
      </c>
      <c r="G183" s="1" t="str">
        <f t="shared" ref="G183:M185" si="22">"X"</f>
        <v>X</v>
      </c>
      <c r="H183" s="1" t="str">
        <f t="shared" si="22"/>
        <v>X</v>
      </c>
      <c r="I183" s="1" t="str">
        <f t="shared" si="22"/>
        <v>X</v>
      </c>
      <c r="J183" s="1" t="str">
        <f t="shared" si="22"/>
        <v>X</v>
      </c>
      <c r="K183" s="1" t="str">
        <f t="shared" si="22"/>
        <v>X</v>
      </c>
      <c r="L183" s="1" t="str">
        <f t="shared" si="22"/>
        <v>X</v>
      </c>
      <c r="M183" s="1" t="str">
        <f t="shared" si="22"/>
        <v>X</v>
      </c>
      <c r="N183" t="s">
        <v>27</v>
      </c>
    </row>
    <row r="184" spans="1:14" x14ac:dyDescent="0.25">
      <c r="A184" t="s">
        <v>14</v>
      </c>
      <c r="B184" t="s">
        <v>15</v>
      </c>
      <c r="C184" t="s">
        <v>35</v>
      </c>
      <c r="D184" t="s">
        <v>15</v>
      </c>
      <c r="E184" t="s">
        <v>21</v>
      </c>
      <c r="F184" t="s">
        <v>18</v>
      </c>
      <c r="G184" s="1" t="str">
        <f t="shared" si="22"/>
        <v>X</v>
      </c>
      <c r="H184" s="1" t="str">
        <f t="shared" si="22"/>
        <v>X</v>
      </c>
      <c r="I184" s="1" t="str">
        <f t="shared" si="22"/>
        <v>X</v>
      </c>
      <c r="J184" s="1" t="str">
        <f t="shared" si="22"/>
        <v>X</v>
      </c>
      <c r="K184" s="1" t="str">
        <f t="shared" si="22"/>
        <v>X</v>
      </c>
      <c r="L184" s="1" t="str">
        <f t="shared" si="22"/>
        <v>X</v>
      </c>
      <c r="M184" s="1" t="str">
        <f t="shared" si="22"/>
        <v>X</v>
      </c>
      <c r="N184" t="s">
        <v>27</v>
      </c>
    </row>
    <row r="185" spans="1:14" x14ac:dyDescent="0.25">
      <c r="A185" t="s">
        <v>14</v>
      </c>
      <c r="B185" t="s">
        <v>15</v>
      </c>
      <c r="C185" t="s">
        <v>35</v>
      </c>
      <c r="D185" t="s">
        <v>15</v>
      </c>
      <c r="E185" t="s">
        <v>21</v>
      </c>
      <c r="F185" t="s">
        <v>19</v>
      </c>
      <c r="G185" s="1" t="str">
        <f t="shared" si="22"/>
        <v>X</v>
      </c>
      <c r="H185" s="1" t="str">
        <f t="shared" si="22"/>
        <v>X</v>
      </c>
      <c r="I185" s="1" t="str">
        <f t="shared" si="22"/>
        <v>X</v>
      </c>
      <c r="J185" s="1" t="str">
        <f t="shared" si="22"/>
        <v>X</v>
      </c>
      <c r="K185" s="1" t="str">
        <f t="shared" si="22"/>
        <v>X</v>
      </c>
      <c r="L185" s="1" t="str">
        <f t="shared" si="22"/>
        <v>X</v>
      </c>
      <c r="M185" s="1" t="str">
        <f t="shared" si="22"/>
        <v>X</v>
      </c>
      <c r="N185" t="s">
        <v>27</v>
      </c>
    </row>
    <row r="186" spans="1:14" x14ac:dyDescent="0.25">
      <c r="A186" t="s">
        <v>14</v>
      </c>
      <c r="B186" t="s">
        <v>15</v>
      </c>
      <c r="C186" t="s">
        <v>35</v>
      </c>
      <c r="D186" t="s">
        <v>15</v>
      </c>
      <c r="E186" t="s">
        <v>21</v>
      </c>
      <c r="F186" t="s">
        <v>20</v>
      </c>
      <c r="G186" s="2">
        <f>VALUE(372.3006855677)</f>
        <v>372.30068556769999</v>
      </c>
      <c r="H186" s="3">
        <f>VALUE(312.7971625895)</f>
        <v>312.79716258949998</v>
      </c>
      <c r="I186" s="1">
        <f>VALUE(3147)</f>
        <v>3147</v>
      </c>
      <c r="J186" s="1">
        <f>VALUE(3593)</f>
        <v>3593</v>
      </c>
      <c r="K186" s="1">
        <f>VALUE(4011)</f>
        <v>4011</v>
      </c>
      <c r="L186" s="1">
        <f>VALUE(4875)</f>
        <v>4875</v>
      </c>
      <c r="M186" s="1">
        <f>VALUE(5658)</f>
        <v>5658</v>
      </c>
      <c r="N186" t="s">
        <v>25</v>
      </c>
    </row>
    <row r="187" spans="1:14" x14ac:dyDescent="0.25">
      <c r="A187" t="s">
        <v>14</v>
      </c>
      <c r="B187" t="s">
        <v>15</v>
      </c>
      <c r="C187" t="s">
        <v>35</v>
      </c>
      <c r="D187" t="s">
        <v>15</v>
      </c>
      <c r="E187" t="s">
        <v>22</v>
      </c>
      <c r="F187" t="s">
        <v>15</v>
      </c>
      <c r="G187" s="1">
        <f>VALUE(3699.1236918765)</f>
        <v>3699.1236918764998</v>
      </c>
      <c r="H187" s="1">
        <f>VALUE(3635.1129007578)</f>
        <v>3635.1129007578002</v>
      </c>
      <c r="I187" s="1">
        <f>VALUE(3033)</f>
        <v>3033</v>
      </c>
      <c r="J187" s="1">
        <f>VALUE(3420)</f>
        <v>3420</v>
      </c>
      <c r="K187" s="1">
        <f>VALUE(3859)</f>
        <v>3859</v>
      </c>
      <c r="L187" s="1">
        <f>VALUE(4372)</f>
        <v>4372</v>
      </c>
      <c r="M187" s="1">
        <f>VALUE(4876)</f>
        <v>4876</v>
      </c>
      <c r="N187" t="s">
        <v>16</v>
      </c>
    </row>
    <row r="188" spans="1:14" x14ac:dyDescent="0.25">
      <c r="A188" t="s">
        <v>14</v>
      </c>
      <c r="B188" t="s">
        <v>15</v>
      </c>
      <c r="C188" t="s">
        <v>35</v>
      </c>
      <c r="D188" t="s">
        <v>15</v>
      </c>
      <c r="E188" t="s">
        <v>22</v>
      </c>
      <c r="F188" t="s">
        <v>17</v>
      </c>
      <c r="G188" s="1" t="str">
        <f t="shared" ref="G188:M188" si="23">"X"</f>
        <v>X</v>
      </c>
      <c r="H188" s="1" t="str">
        <f t="shared" si="23"/>
        <v>X</v>
      </c>
      <c r="I188" s="1" t="str">
        <f t="shared" si="23"/>
        <v>X</v>
      </c>
      <c r="J188" s="1" t="str">
        <f t="shared" si="23"/>
        <v>X</v>
      </c>
      <c r="K188" s="1" t="str">
        <f t="shared" si="23"/>
        <v>X</v>
      </c>
      <c r="L188" s="1" t="str">
        <f t="shared" si="23"/>
        <v>X</v>
      </c>
      <c r="M188" s="1" t="str">
        <f t="shared" si="23"/>
        <v>X</v>
      </c>
      <c r="N188" t="s">
        <v>27</v>
      </c>
    </row>
    <row r="189" spans="1:14" x14ac:dyDescent="0.25">
      <c r="A189" t="s">
        <v>14</v>
      </c>
      <c r="B189" t="s">
        <v>15</v>
      </c>
      <c r="C189" t="s">
        <v>35</v>
      </c>
      <c r="D189" t="s">
        <v>15</v>
      </c>
      <c r="E189" t="s">
        <v>22</v>
      </c>
      <c r="F189" t="s">
        <v>18</v>
      </c>
      <c r="G189" s="2">
        <f>VALUE(332.8426762963)</f>
        <v>332.8426762963</v>
      </c>
      <c r="H189" s="3">
        <f>VALUE(335.2309108926)</f>
        <v>335.23091089259998</v>
      </c>
      <c r="I189" s="4">
        <f>VALUE(3143)</f>
        <v>3143</v>
      </c>
      <c r="J189" s="5">
        <f>VALUE(3566)</f>
        <v>3566</v>
      </c>
      <c r="K189" s="1">
        <f>VALUE(3900)</f>
        <v>3900</v>
      </c>
      <c r="L189" s="1">
        <f>VALUE(4372)</f>
        <v>4372</v>
      </c>
      <c r="M189" s="8">
        <f>VALUE(4721)</f>
        <v>4721</v>
      </c>
      <c r="N189" t="s">
        <v>25</v>
      </c>
    </row>
    <row r="190" spans="1:14" x14ac:dyDescent="0.25">
      <c r="A190" t="s">
        <v>14</v>
      </c>
      <c r="B190" t="s">
        <v>15</v>
      </c>
      <c r="C190" t="s">
        <v>35</v>
      </c>
      <c r="D190" t="s">
        <v>15</v>
      </c>
      <c r="E190" t="s">
        <v>22</v>
      </c>
      <c r="F190" t="s">
        <v>19</v>
      </c>
      <c r="G190" s="2">
        <f>VALUE(536.1646246195)</f>
        <v>536.16462461950005</v>
      </c>
      <c r="H190" s="3">
        <f>VALUE(527.7725037897)</f>
        <v>527.77250378969995</v>
      </c>
      <c r="I190" s="1">
        <f>VALUE(3159)</f>
        <v>3159</v>
      </c>
      <c r="J190" s="1">
        <f>VALUE(3508)</f>
        <v>3508</v>
      </c>
      <c r="K190" s="1">
        <f>VALUE(3911)</f>
        <v>3911</v>
      </c>
      <c r="L190" s="1">
        <f>VALUE(4354)</f>
        <v>4354</v>
      </c>
      <c r="M190" s="1">
        <f>VALUE(4911)</f>
        <v>4911</v>
      </c>
      <c r="N190" t="s">
        <v>25</v>
      </c>
    </row>
    <row r="191" spans="1:14" x14ac:dyDescent="0.25">
      <c r="A191" t="s">
        <v>14</v>
      </c>
      <c r="B191" t="s">
        <v>15</v>
      </c>
      <c r="C191" t="s">
        <v>35</v>
      </c>
      <c r="D191" t="s">
        <v>15</v>
      </c>
      <c r="E191" t="s">
        <v>22</v>
      </c>
      <c r="F191" t="s">
        <v>20</v>
      </c>
      <c r="G191" s="1">
        <f>VALUE(2719.5154221173)</f>
        <v>2719.5154221173002</v>
      </c>
      <c r="H191" s="1">
        <f>VALUE(2663.8171212109)</f>
        <v>2663.8171212109</v>
      </c>
      <c r="I191" s="1">
        <f>VALUE(2970)</f>
        <v>2970</v>
      </c>
      <c r="J191" s="1">
        <f>VALUE(3379)</f>
        <v>3379</v>
      </c>
      <c r="K191" s="1">
        <f>VALUE(3848)</f>
        <v>3848</v>
      </c>
      <c r="L191" s="1">
        <f>VALUE(4343)</f>
        <v>4343</v>
      </c>
      <c r="M191" s="1">
        <f>VALUE(4856)</f>
        <v>4856</v>
      </c>
      <c r="N191" t="s">
        <v>16</v>
      </c>
    </row>
    <row r="192" spans="1:14" x14ac:dyDescent="0.25">
      <c r="A192" t="s">
        <v>14</v>
      </c>
      <c r="B192" t="s">
        <v>15</v>
      </c>
      <c r="C192" t="s">
        <v>35</v>
      </c>
      <c r="D192" t="s">
        <v>15</v>
      </c>
      <c r="E192" t="s">
        <v>23</v>
      </c>
      <c r="F192" t="s">
        <v>15</v>
      </c>
      <c r="G192" s="1">
        <f>VALUE(3181.5598824017)</f>
        <v>3181.5598824017002</v>
      </c>
      <c r="H192" s="1">
        <f>VALUE(2918.7579625688)</f>
        <v>2918.7579625687999</v>
      </c>
      <c r="I192" s="1">
        <f>VALUE(2478)</f>
        <v>2478</v>
      </c>
      <c r="J192" s="1">
        <f>VALUE(2857)</f>
        <v>2857</v>
      </c>
      <c r="K192" s="1">
        <f>VALUE(3238)</f>
        <v>3238</v>
      </c>
      <c r="L192" s="1">
        <f>VALUE(3895)</f>
        <v>3895</v>
      </c>
      <c r="M192" s="1">
        <f>VALUE(4538)</f>
        <v>4538</v>
      </c>
      <c r="N192" t="s">
        <v>16</v>
      </c>
    </row>
    <row r="193" spans="1:14" x14ac:dyDescent="0.25">
      <c r="A193" t="s">
        <v>14</v>
      </c>
      <c r="B193" t="s">
        <v>15</v>
      </c>
      <c r="C193" t="s">
        <v>35</v>
      </c>
      <c r="D193" t="s">
        <v>15</v>
      </c>
      <c r="E193" t="s">
        <v>23</v>
      </c>
      <c r="F193" t="s">
        <v>17</v>
      </c>
      <c r="G193" s="1" t="str">
        <f t="shared" ref="G193:M194" si="24">"X"</f>
        <v>X</v>
      </c>
      <c r="H193" s="1" t="str">
        <f t="shared" si="24"/>
        <v>X</v>
      </c>
      <c r="I193" s="1" t="str">
        <f t="shared" si="24"/>
        <v>X</v>
      </c>
      <c r="J193" s="1" t="str">
        <f t="shared" si="24"/>
        <v>X</v>
      </c>
      <c r="K193" s="1" t="str">
        <f t="shared" si="24"/>
        <v>X</v>
      </c>
      <c r="L193" s="1" t="str">
        <f t="shared" si="24"/>
        <v>X</v>
      </c>
      <c r="M193" s="1" t="str">
        <f t="shared" si="24"/>
        <v>X</v>
      </c>
      <c r="N193" t="s">
        <v>27</v>
      </c>
    </row>
    <row r="194" spans="1:14" x14ac:dyDescent="0.25">
      <c r="A194" t="s">
        <v>14</v>
      </c>
      <c r="B194" t="s">
        <v>15</v>
      </c>
      <c r="C194" t="s">
        <v>35</v>
      </c>
      <c r="D194" t="s">
        <v>15</v>
      </c>
      <c r="E194" t="s">
        <v>23</v>
      </c>
      <c r="F194" t="s">
        <v>18</v>
      </c>
      <c r="G194" s="1" t="str">
        <f t="shared" si="24"/>
        <v>X</v>
      </c>
      <c r="H194" s="1" t="str">
        <f t="shared" si="24"/>
        <v>X</v>
      </c>
      <c r="I194" s="1" t="str">
        <f t="shared" si="24"/>
        <v>X</v>
      </c>
      <c r="J194" s="1" t="str">
        <f t="shared" si="24"/>
        <v>X</v>
      </c>
      <c r="K194" s="1" t="str">
        <f t="shared" si="24"/>
        <v>X</v>
      </c>
      <c r="L194" s="1" t="str">
        <f t="shared" si="24"/>
        <v>X</v>
      </c>
      <c r="M194" s="1" t="str">
        <f t="shared" si="24"/>
        <v>X</v>
      </c>
      <c r="N194" t="s">
        <v>27</v>
      </c>
    </row>
    <row r="195" spans="1:14" x14ac:dyDescent="0.25">
      <c r="A195" t="s">
        <v>14</v>
      </c>
      <c r="B195" t="s">
        <v>15</v>
      </c>
      <c r="C195" t="s">
        <v>35</v>
      </c>
      <c r="D195" t="s">
        <v>15</v>
      </c>
      <c r="E195" t="s">
        <v>23</v>
      </c>
      <c r="F195" t="s">
        <v>19</v>
      </c>
      <c r="G195" s="2">
        <f>VALUE(135.4363831758)</f>
        <v>135.43638317579999</v>
      </c>
      <c r="H195" s="3">
        <f>VALUE(126.9908905654)</f>
        <v>126.99089056539999</v>
      </c>
      <c r="I195" s="4">
        <f>VALUE(3030)</f>
        <v>3030</v>
      </c>
      <c r="J195" s="5">
        <f>VALUE(3400)</f>
        <v>3400</v>
      </c>
      <c r="K195" s="1">
        <f>VALUE(4070)</f>
        <v>4070</v>
      </c>
      <c r="L195" s="1">
        <f>VALUE(4527)</f>
        <v>4527</v>
      </c>
      <c r="M195" s="1">
        <f>VALUE(5081)</f>
        <v>5081</v>
      </c>
      <c r="N195" t="s">
        <v>25</v>
      </c>
    </row>
    <row r="196" spans="1:14" x14ac:dyDescent="0.25">
      <c r="A196" t="s">
        <v>14</v>
      </c>
      <c r="B196" t="s">
        <v>15</v>
      </c>
      <c r="C196" t="s">
        <v>35</v>
      </c>
      <c r="D196" t="s">
        <v>15</v>
      </c>
      <c r="E196" t="s">
        <v>23</v>
      </c>
      <c r="F196" t="s">
        <v>20</v>
      </c>
      <c r="G196" s="1">
        <f>VALUE(2940.4841628919)</f>
        <v>2940.4841628918998</v>
      </c>
      <c r="H196" s="1">
        <f>VALUE(2698.9014288148)</f>
        <v>2698.9014288148001</v>
      </c>
      <c r="I196" s="1">
        <f>VALUE(2472)</f>
        <v>2472</v>
      </c>
      <c r="J196" s="1">
        <f>VALUE(2845)</f>
        <v>2845</v>
      </c>
      <c r="K196" s="1">
        <f>VALUE(3224)</f>
        <v>3224</v>
      </c>
      <c r="L196" s="1">
        <f>VALUE(3848)</f>
        <v>3848</v>
      </c>
      <c r="M196" s="1">
        <f>VALUE(4502)</f>
        <v>4502</v>
      </c>
      <c r="N196" t="s">
        <v>16</v>
      </c>
    </row>
    <row r="197" spans="1:14" x14ac:dyDescent="0.25">
      <c r="A197" t="s">
        <v>14</v>
      </c>
      <c r="B197" t="s">
        <v>15</v>
      </c>
      <c r="C197" t="s">
        <v>35</v>
      </c>
      <c r="D197" t="s">
        <v>15</v>
      </c>
      <c r="E197" t="s">
        <v>26</v>
      </c>
      <c r="F197" t="s">
        <v>15</v>
      </c>
      <c r="G197" s="1" t="str">
        <f t="shared" ref="G197:M197" si="25">"X"</f>
        <v>X</v>
      </c>
      <c r="H197" s="1" t="str">
        <f t="shared" si="25"/>
        <v>X</v>
      </c>
      <c r="I197" s="1" t="str">
        <f t="shared" si="25"/>
        <v>X</v>
      </c>
      <c r="J197" s="1" t="str">
        <f t="shared" si="25"/>
        <v>X</v>
      </c>
      <c r="K197" s="1" t="str">
        <f t="shared" si="25"/>
        <v>X</v>
      </c>
      <c r="L197" s="1" t="str">
        <f t="shared" si="25"/>
        <v>X</v>
      </c>
      <c r="M197" s="1" t="str">
        <f t="shared" si="25"/>
        <v>X</v>
      </c>
      <c r="N197" t="s">
        <v>27</v>
      </c>
    </row>
    <row r="198" spans="1:14" x14ac:dyDescent="0.25">
      <c r="A198" t="s">
        <v>14</v>
      </c>
      <c r="B198" t="s">
        <v>15</v>
      </c>
      <c r="C198" t="s">
        <v>35</v>
      </c>
      <c r="D198" t="s">
        <v>15</v>
      </c>
      <c r="E198" t="s">
        <v>26</v>
      </c>
      <c r="F198" t="s">
        <v>17</v>
      </c>
      <c r="G198" s="1" t="str">
        <f t="shared" ref="G198:M198" si="26">"..."</f>
        <v>...</v>
      </c>
      <c r="H198" s="1" t="str">
        <f t="shared" si="26"/>
        <v>...</v>
      </c>
      <c r="I198" s="1" t="str">
        <f t="shared" si="26"/>
        <v>...</v>
      </c>
      <c r="J198" s="1" t="str">
        <f t="shared" si="26"/>
        <v>...</v>
      </c>
      <c r="K198" s="1" t="str">
        <f t="shared" si="26"/>
        <v>...</v>
      </c>
      <c r="L198" s="1" t="str">
        <f t="shared" si="26"/>
        <v>...</v>
      </c>
      <c r="M198" s="1" t="str">
        <f t="shared" si="26"/>
        <v>...</v>
      </c>
      <c r="N198" t="s">
        <v>30</v>
      </c>
    </row>
    <row r="199" spans="1:14" x14ac:dyDescent="0.25">
      <c r="A199" t="s">
        <v>14</v>
      </c>
      <c r="B199" t="s">
        <v>15</v>
      </c>
      <c r="C199" t="s">
        <v>35</v>
      </c>
      <c r="D199" t="s">
        <v>15</v>
      </c>
      <c r="E199" t="s">
        <v>26</v>
      </c>
      <c r="F199" t="s">
        <v>18</v>
      </c>
      <c r="G199" s="1" t="str">
        <f t="shared" ref="G199:M199" si="27">"X"</f>
        <v>X</v>
      </c>
      <c r="H199" s="1" t="str">
        <f t="shared" si="27"/>
        <v>X</v>
      </c>
      <c r="I199" s="1" t="str">
        <f t="shared" si="27"/>
        <v>X</v>
      </c>
      <c r="J199" s="1" t="str">
        <f t="shared" si="27"/>
        <v>X</v>
      </c>
      <c r="K199" s="1" t="str">
        <f t="shared" si="27"/>
        <v>X</v>
      </c>
      <c r="L199" s="1" t="str">
        <f t="shared" si="27"/>
        <v>X</v>
      </c>
      <c r="M199" s="1" t="str">
        <f t="shared" si="27"/>
        <v>X</v>
      </c>
      <c r="N199" t="s">
        <v>27</v>
      </c>
    </row>
    <row r="200" spans="1:14" x14ac:dyDescent="0.25">
      <c r="A200" t="s">
        <v>14</v>
      </c>
      <c r="B200" t="s">
        <v>15</v>
      </c>
      <c r="C200" t="s">
        <v>35</v>
      </c>
      <c r="D200" t="s">
        <v>15</v>
      </c>
      <c r="E200" t="s">
        <v>26</v>
      </c>
      <c r="F200" t="s">
        <v>19</v>
      </c>
      <c r="G200" s="1" t="str">
        <f t="shared" ref="G200:M200" si="28">"..."</f>
        <v>...</v>
      </c>
      <c r="H200" s="1" t="str">
        <f t="shared" si="28"/>
        <v>...</v>
      </c>
      <c r="I200" s="1" t="str">
        <f t="shared" si="28"/>
        <v>...</v>
      </c>
      <c r="J200" s="1" t="str">
        <f t="shared" si="28"/>
        <v>...</v>
      </c>
      <c r="K200" s="1" t="str">
        <f t="shared" si="28"/>
        <v>...</v>
      </c>
      <c r="L200" s="1" t="str">
        <f t="shared" si="28"/>
        <v>...</v>
      </c>
      <c r="M200" s="1" t="str">
        <f t="shared" si="28"/>
        <v>...</v>
      </c>
      <c r="N200" t="s">
        <v>30</v>
      </c>
    </row>
    <row r="201" spans="1:14" x14ac:dyDescent="0.25">
      <c r="A201" t="s">
        <v>14</v>
      </c>
      <c r="B201" t="s">
        <v>15</v>
      </c>
      <c r="C201" t="s">
        <v>35</v>
      </c>
      <c r="D201" t="s">
        <v>15</v>
      </c>
      <c r="E201" t="s">
        <v>26</v>
      </c>
      <c r="F201" t="s">
        <v>20</v>
      </c>
      <c r="G201" s="1" t="str">
        <f t="shared" ref="G201:M201" si="29">"X"</f>
        <v>X</v>
      </c>
      <c r="H201" s="1" t="str">
        <f t="shared" si="29"/>
        <v>X</v>
      </c>
      <c r="I201" s="1" t="str">
        <f t="shared" si="29"/>
        <v>X</v>
      </c>
      <c r="J201" s="1" t="str">
        <f t="shared" si="29"/>
        <v>X</v>
      </c>
      <c r="K201" s="1" t="str">
        <f t="shared" si="29"/>
        <v>X</v>
      </c>
      <c r="L201" s="1" t="str">
        <f t="shared" si="29"/>
        <v>X</v>
      </c>
      <c r="M201" s="1" t="str">
        <f t="shared" si="29"/>
        <v>X</v>
      </c>
      <c r="N201" t="s">
        <v>27</v>
      </c>
    </row>
    <row r="202" spans="1:14" x14ac:dyDescent="0.25">
      <c r="A202" t="s">
        <v>14</v>
      </c>
      <c r="B202" t="s">
        <v>15</v>
      </c>
      <c r="C202" t="s">
        <v>35</v>
      </c>
      <c r="D202" t="s">
        <v>28</v>
      </c>
      <c r="E202" t="s">
        <v>15</v>
      </c>
      <c r="F202" t="s">
        <v>15</v>
      </c>
      <c r="G202" s="1">
        <f>VALUE(3411.7038442876)</f>
        <v>3411.7038442876001</v>
      </c>
      <c r="H202" s="1">
        <f>VALUE(3136.3978796538)</f>
        <v>3136.3978796537999</v>
      </c>
      <c r="I202" s="1">
        <f>VALUE(3087)</f>
        <v>3087</v>
      </c>
      <c r="J202" s="1">
        <f>VALUE(3429)</f>
        <v>3429</v>
      </c>
      <c r="K202" s="1">
        <f>VALUE(3852)</f>
        <v>3852</v>
      </c>
      <c r="L202" s="1">
        <f>VALUE(4375)</f>
        <v>4375</v>
      </c>
      <c r="M202" s="1">
        <f>VALUE(4944)</f>
        <v>4944</v>
      </c>
      <c r="N202" t="s">
        <v>16</v>
      </c>
    </row>
    <row r="203" spans="1:14" x14ac:dyDescent="0.25">
      <c r="A203" t="s">
        <v>14</v>
      </c>
      <c r="B203" t="s">
        <v>15</v>
      </c>
      <c r="C203" t="s">
        <v>35</v>
      </c>
      <c r="D203" t="s">
        <v>28</v>
      </c>
      <c r="E203" t="s">
        <v>15</v>
      </c>
      <c r="F203" t="s">
        <v>17</v>
      </c>
      <c r="G203" s="1" t="str">
        <f t="shared" ref="G203:M203" si="30">"X"</f>
        <v>X</v>
      </c>
      <c r="H203" s="1" t="str">
        <f t="shared" si="30"/>
        <v>X</v>
      </c>
      <c r="I203" s="1" t="str">
        <f t="shared" si="30"/>
        <v>X</v>
      </c>
      <c r="J203" s="1" t="str">
        <f t="shared" si="30"/>
        <v>X</v>
      </c>
      <c r="K203" s="1" t="str">
        <f t="shared" si="30"/>
        <v>X</v>
      </c>
      <c r="L203" s="1" t="str">
        <f t="shared" si="30"/>
        <v>X</v>
      </c>
      <c r="M203" s="1" t="str">
        <f t="shared" si="30"/>
        <v>X</v>
      </c>
      <c r="N203" t="s">
        <v>27</v>
      </c>
    </row>
    <row r="204" spans="1:14" x14ac:dyDescent="0.25">
      <c r="A204" t="s">
        <v>14</v>
      </c>
      <c r="B204" t="s">
        <v>15</v>
      </c>
      <c r="C204" t="s">
        <v>35</v>
      </c>
      <c r="D204" t="s">
        <v>28</v>
      </c>
      <c r="E204" t="s">
        <v>15</v>
      </c>
      <c r="F204" t="s">
        <v>18</v>
      </c>
      <c r="G204" s="2">
        <f>VALUE(274.1303513536)</f>
        <v>274.13035135360002</v>
      </c>
      <c r="H204" s="3">
        <f>VALUE(267.101289683)</f>
        <v>267.101289683</v>
      </c>
      <c r="I204" s="4">
        <f>VALUE(3083)</f>
        <v>3083</v>
      </c>
      <c r="J204" s="1">
        <f>VALUE(3529)</f>
        <v>3529</v>
      </c>
      <c r="K204" s="1">
        <f>VALUE(3852)</f>
        <v>3852</v>
      </c>
      <c r="L204" s="1">
        <f>VALUE(4422)</f>
        <v>4422</v>
      </c>
      <c r="M204" s="8">
        <f>VALUE(5045)</f>
        <v>5045</v>
      </c>
      <c r="N204" t="s">
        <v>25</v>
      </c>
    </row>
    <row r="205" spans="1:14" x14ac:dyDescent="0.25">
      <c r="A205" t="s">
        <v>14</v>
      </c>
      <c r="B205" t="s">
        <v>15</v>
      </c>
      <c r="C205" t="s">
        <v>35</v>
      </c>
      <c r="D205" t="s">
        <v>28</v>
      </c>
      <c r="E205" t="s">
        <v>15</v>
      </c>
      <c r="F205" t="s">
        <v>19</v>
      </c>
      <c r="G205" s="2">
        <f>VALUE(382.6264013152)</f>
        <v>382.62640131519998</v>
      </c>
      <c r="H205" s="3">
        <f>VALUE(366.1673905193)</f>
        <v>366.1673905193</v>
      </c>
      <c r="I205" s="1">
        <f>VALUE(3159)</f>
        <v>3159</v>
      </c>
      <c r="J205" s="1">
        <f>VALUE(3524)</f>
        <v>3524</v>
      </c>
      <c r="K205" s="1">
        <f>VALUE(4044)</f>
        <v>4044</v>
      </c>
      <c r="L205" s="1">
        <f>VALUE(4404)</f>
        <v>4404</v>
      </c>
      <c r="M205" s="1">
        <f>VALUE(4903)</f>
        <v>4903</v>
      </c>
      <c r="N205" t="s">
        <v>25</v>
      </c>
    </row>
    <row r="206" spans="1:14" x14ac:dyDescent="0.25">
      <c r="A206" t="s">
        <v>14</v>
      </c>
      <c r="B206" t="s">
        <v>15</v>
      </c>
      <c r="C206" t="s">
        <v>35</v>
      </c>
      <c r="D206" t="s">
        <v>28</v>
      </c>
      <c r="E206" t="s">
        <v>15</v>
      </c>
      <c r="F206" t="s">
        <v>20</v>
      </c>
      <c r="G206" s="1">
        <f>VALUE(2636.4536522012)</f>
        <v>2636.4536522011999</v>
      </c>
      <c r="H206" s="1">
        <f>VALUE(2395.6678891185)</f>
        <v>2395.6678891185002</v>
      </c>
      <c r="I206" s="1">
        <f>VALUE(3082)</f>
        <v>3082</v>
      </c>
      <c r="J206" s="1">
        <f>VALUE(3392)</f>
        <v>3392</v>
      </c>
      <c r="K206" s="1">
        <f>VALUE(3831)</f>
        <v>3831</v>
      </c>
      <c r="L206" s="1">
        <f>VALUE(4333)</f>
        <v>4333</v>
      </c>
      <c r="M206" s="1">
        <f>VALUE(4883)</f>
        <v>4883</v>
      </c>
      <c r="N206" t="s">
        <v>16</v>
      </c>
    </row>
    <row r="207" spans="1:14" x14ac:dyDescent="0.25">
      <c r="A207" t="s">
        <v>14</v>
      </c>
      <c r="B207" t="s">
        <v>15</v>
      </c>
      <c r="C207" t="s">
        <v>35</v>
      </c>
      <c r="D207" t="s">
        <v>28</v>
      </c>
      <c r="E207" t="s">
        <v>21</v>
      </c>
      <c r="F207" t="s">
        <v>15</v>
      </c>
      <c r="G207" s="2">
        <f>VALUE(406.6079522971)</f>
        <v>406.60795229709998</v>
      </c>
      <c r="H207" s="3">
        <f>VALUE(345.5810792719)</f>
        <v>345.58107927190002</v>
      </c>
      <c r="I207" s="4">
        <f>VALUE(3429)</f>
        <v>3429</v>
      </c>
      <c r="J207" s="1">
        <f>VALUE(3651)</f>
        <v>3651</v>
      </c>
      <c r="K207" s="1">
        <f>VALUE(4078)</f>
        <v>4078</v>
      </c>
      <c r="L207" s="1">
        <f>VALUE(4821)</f>
        <v>4821</v>
      </c>
      <c r="M207" s="8">
        <f>VALUE(5759)</f>
        <v>5759</v>
      </c>
      <c r="N207" t="s">
        <v>25</v>
      </c>
    </row>
    <row r="208" spans="1:14" x14ac:dyDescent="0.25">
      <c r="A208" t="s">
        <v>14</v>
      </c>
      <c r="B208" t="s">
        <v>15</v>
      </c>
      <c r="C208" t="s">
        <v>35</v>
      </c>
      <c r="D208" t="s">
        <v>28</v>
      </c>
      <c r="E208" t="s">
        <v>21</v>
      </c>
      <c r="F208" t="s">
        <v>17</v>
      </c>
      <c r="G208" s="1" t="str">
        <f t="shared" ref="G208:M210" si="31">"X"</f>
        <v>X</v>
      </c>
      <c r="H208" s="1" t="str">
        <f t="shared" si="31"/>
        <v>X</v>
      </c>
      <c r="I208" s="1" t="str">
        <f t="shared" si="31"/>
        <v>X</v>
      </c>
      <c r="J208" s="1" t="str">
        <f t="shared" si="31"/>
        <v>X</v>
      </c>
      <c r="K208" s="1" t="str">
        <f t="shared" si="31"/>
        <v>X</v>
      </c>
      <c r="L208" s="1" t="str">
        <f t="shared" si="31"/>
        <v>X</v>
      </c>
      <c r="M208" s="1" t="str">
        <f t="shared" si="31"/>
        <v>X</v>
      </c>
      <c r="N208" t="s">
        <v>27</v>
      </c>
    </row>
    <row r="209" spans="1:14" x14ac:dyDescent="0.25">
      <c r="A209" t="s">
        <v>14</v>
      </c>
      <c r="B209" t="s">
        <v>15</v>
      </c>
      <c r="C209" t="s">
        <v>35</v>
      </c>
      <c r="D209" t="s">
        <v>28</v>
      </c>
      <c r="E209" t="s">
        <v>21</v>
      </c>
      <c r="F209" t="s">
        <v>18</v>
      </c>
      <c r="G209" s="1" t="str">
        <f t="shared" si="31"/>
        <v>X</v>
      </c>
      <c r="H209" s="1" t="str">
        <f t="shared" si="31"/>
        <v>X</v>
      </c>
      <c r="I209" s="1" t="str">
        <f t="shared" si="31"/>
        <v>X</v>
      </c>
      <c r="J209" s="1" t="str">
        <f t="shared" si="31"/>
        <v>X</v>
      </c>
      <c r="K209" s="1" t="str">
        <f t="shared" si="31"/>
        <v>X</v>
      </c>
      <c r="L209" s="1" t="str">
        <f t="shared" si="31"/>
        <v>X</v>
      </c>
      <c r="M209" s="1" t="str">
        <f t="shared" si="31"/>
        <v>X</v>
      </c>
      <c r="N209" t="s">
        <v>27</v>
      </c>
    </row>
    <row r="210" spans="1:14" x14ac:dyDescent="0.25">
      <c r="A210" t="s">
        <v>14</v>
      </c>
      <c r="B210" t="s">
        <v>15</v>
      </c>
      <c r="C210" t="s">
        <v>35</v>
      </c>
      <c r="D210" t="s">
        <v>28</v>
      </c>
      <c r="E210" t="s">
        <v>21</v>
      </c>
      <c r="F210" t="s">
        <v>19</v>
      </c>
      <c r="G210" s="1" t="str">
        <f t="shared" si="31"/>
        <v>X</v>
      </c>
      <c r="H210" s="1" t="str">
        <f t="shared" si="31"/>
        <v>X</v>
      </c>
      <c r="I210" s="1" t="str">
        <f t="shared" si="31"/>
        <v>X</v>
      </c>
      <c r="J210" s="1" t="str">
        <f t="shared" si="31"/>
        <v>X</v>
      </c>
      <c r="K210" s="1" t="str">
        <f t="shared" si="31"/>
        <v>X</v>
      </c>
      <c r="L210" s="1" t="str">
        <f t="shared" si="31"/>
        <v>X</v>
      </c>
      <c r="M210" s="1" t="str">
        <f t="shared" si="31"/>
        <v>X</v>
      </c>
      <c r="N210" t="s">
        <v>27</v>
      </c>
    </row>
    <row r="211" spans="1:14" x14ac:dyDescent="0.25">
      <c r="A211" t="s">
        <v>14</v>
      </c>
      <c r="B211" t="s">
        <v>15</v>
      </c>
      <c r="C211" t="s">
        <v>35</v>
      </c>
      <c r="D211" t="s">
        <v>28</v>
      </c>
      <c r="E211" t="s">
        <v>21</v>
      </c>
      <c r="F211" t="s">
        <v>20</v>
      </c>
      <c r="G211" s="2">
        <f>VALUE(248.1066962553)</f>
        <v>248.10669625529999</v>
      </c>
      <c r="H211" s="3">
        <f>VALUE(210.2870986779)</f>
        <v>210.28709867789999</v>
      </c>
      <c r="I211" s="4">
        <f>VALUE(3433)</f>
        <v>3433</v>
      </c>
      <c r="J211" s="1">
        <f>VALUE(3670)</f>
        <v>3670</v>
      </c>
      <c r="K211" s="1">
        <f>VALUE(4011)</f>
        <v>4011</v>
      </c>
      <c r="L211" s="7">
        <f>VALUE(4762)</f>
        <v>4762</v>
      </c>
      <c r="M211" s="8">
        <f>VALUE(5658)</f>
        <v>5658</v>
      </c>
      <c r="N211" t="s">
        <v>25</v>
      </c>
    </row>
    <row r="212" spans="1:14" x14ac:dyDescent="0.25">
      <c r="A212" t="s">
        <v>14</v>
      </c>
      <c r="B212" t="s">
        <v>15</v>
      </c>
      <c r="C212" t="s">
        <v>35</v>
      </c>
      <c r="D212" t="s">
        <v>28</v>
      </c>
      <c r="E212" t="s">
        <v>22</v>
      </c>
      <c r="F212" t="s">
        <v>15</v>
      </c>
      <c r="G212" s="1">
        <f>VALUE(2260.762458304)</f>
        <v>2260.7624583040001</v>
      </c>
      <c r="H212" s="1">
        <f>VALUE(2215.1694416979)</f>
        <v>2215.1694416978999</v>
      </c>
      <c r="I212" s="1">
        <f>VALUE(3095)</f>
        <v>3095</v>
      </c>
      <c r="J212" s="1">
        <f>VALUE(3467)</f>
        <v>3467</v>
      </c>
      <c r="K212" s="1">
        <f>VALUE(3863)</f>
        <v>3863</v>
      </c>
      <c r="L212" s="1">
        <f>VALUE(4365)</f>
        <v>4365</v>
      </c>
      <c r="M212" s="1">
        <f>VALUE(4850)</f>
        <v>4850</v>
      </c>
      <c r="N212" t="s">
        <v>16</v>
      </c>
    </row>
    <row r="213" spans="1:14" x14ac:dyDescent="0.25">
      <c r="A213" t="s">
        <v>14</v>
      </c>
      <c r="B213" t="s">
        <v>15</v>
      </c>
      <c r="C213" t="s">
        <v>35</v>
      </c>
      <c r="D213" t="s">
        <v>28</v>
      </c>
      <c r="E213" t="s">
        <v>22</v>
      </c>
      <c r="F213" t="s">
        <v>17</v>
      </c>
      <c r="G213" s="1" t="str">
        <f t="shared" ref="G213:M213" si="32">"X"</f>
        <v>X</v>
      </c>
      <c r="H213" s="1" t="str">
        <f t="shared" si="32"/>
        <v>X</v>
      </c>
      <c r="I213" s="1" t="str">
        <f t="shared" si="32"/>
        <v>X</v>
      </c>
      <c r="J213" s="1" t="str">
        <f t="shared" si="32"/>
        <v>X</v>
      </c>
      <c r="K213" s="1" t="str">
        <f t="shared" si="32"/>
        <v>X</v>
      </c>
      <c r="L213" s="1" t="str">
        <f t="shared" si="32"/>
        <v>X</v>
      </c>
      <c r="M213" s="1" t="str">
        <f t="shared" si="32"/>
        <v>X</v>
      </c>
      <c r="N213" t="s">
        <v>27</v>
      </c>
    </row>
    <row r="214" spans="1:14" x14ac:dyDescent="0.25">
      <c r="A214" t="s">
        <v>14</v>
      </c>
      <c r="B214" t="s">
        <v>15</v>
      </c>
      <c r="C214" t="s">
        <v>35</v>
      </c>
      <c r="D214" t="s">
        <v>28</v>
      </c>
      <c r="E214" t="s">
        <v>22</v>
      </c>
      <c r="F214" t="s">
        <v>18</v>
      </c>
      <c r="G214" s="2">
        <f>VALUE(205.3720792292)</f>
        <v>205.37207922920001</v>
      </c>
      <c r="H214" s="3">
        <f>VALUE(208.9870018034)</f>
        <v>208.98700180340001</v>
      </c>
      <c r="I214" s="4">
        <f>VALUE(3000)</f>
        <v>3000</v>
      </c>
      <c r="J214" s="5">
        <f>VALUE(3559)</f>
        <v>3559</v>
      </c>
      <c r="K214" s="1">
        <f>VALUE(3852)</f>
        <v>3852</v>
      </c>
      <c r="L214" s="1">
        <f>VALUE(4422)</f>
        <v>4422</v>
      </c>
      <c r="M214" s="8">
        <f>VALUE(4523)</f>
        <v>4523</v>
      </c>
      <c r="N214" t="s">
        <v>25</v>
      </c>
    </row>
    <row r="215" spans="1:14" x14ac:dyDescent="0.25">
      <c r="A215" t="s">
        <v>14</v>
      </c>
      <c r="B215" t="s">
        <v>15</v>
      </c>
      <c r="C215" t="s">
        <v>35</v>
      </c>
      <c r="D215" t="s">
        <v>28</v>
      </c>
      <c r="E215" t="s">
        <v>22</v>
      </c>
      <c r="F215" t="s">
        <v>19</v>
      </c>
      <c r="G215" s="2">
        <f>VALUE(296.9711733352)</f>
        <v>296.97117333519998</v>
      </c>
      <c r="H215" s="3">
        <f>VALUE(291.9147969183)</f>
        <v>291.9147969183</v>
      </c>
      <c r="I215" s="1">
        <f>VALUE(3033)</f>
        <v>3033</v>
      </c>
      <c r="J215" s="1">
        <f>VALUE(3381)</f>
        <v>3381</v>
      </c>
      <c r="K215" s="1">
        <f>VALUE(4008)</f>
        <v>4008</v>
      </c>
      <c r="L215" s="1">
        <f>VALUE(4342)</f>
        <v>4342</v>
      </c>
      <c r="M215" s="1">
        <f>VALUE(4699)</f>
        <v>4699</v>
      </c>
      <c r="N215" t="s">
        <v>25</v>
      </c>
    </row>
    <row r="216" spans="1:14" x14ac:dyDescent="0.25">
      <c r="A216" t="s">
        <v>14</v>
      </c>
      <c r="B216" t="s">
        <v>15</v>
      </c>
      <c r="C216" t="s">
        <v>35</v>
      </c>
      <c r="D216" t="s">
        <v>28</v>
      </c>
      <c r="E216" t="s">
        <v>22</v>
      </c>
      <c r="F216" t="s">
        <v>20</v>
      </c>
      <c r="G216" s="1">
        <f>VALUE(1700.553027361)</f>
        <v>1700.553027361</v>
      </c>
      <c r="H216" s="1">
        <f>VALUE(1655.2875654685)</f>
        <v>1655.2875654684999</v>
      </c>
      <c r="I216" s="1">
        <f>VALUE(3115)</f>
        <v>3115</v>
      </c>
      <c r="J216" s="1">
        <f>VALUE(3467)</f>
        <v>3467</v>
      </c>
      <c r="K216" s="1">
        <f>VALUE(3863)</f>
        <v>3863</v>
      </c>
      <c r="L216" s="1">
        <f>VALUE(4355)</f>
        <v>4355</v>
      </c>
      <c r="M216" s="1">
        <f>VALUE(4856)</f>
        <v>4856</v>
      </c>
      <c r="N216" t="s">
        <v>16</v>
      </c>
    </row>
    <row r="217" spans="1:14" x14ac:dyDescent="0.25">
      <c r="A217" t="s">
        <v>14</v>
      </c>
      <c r="B217" t="s">
        <v>15</v>
      </c>
      <c r="C217" t="s">
        <v>35</v>
      </c>
      <c r="D217" t="s">
        <v>28</v>
      </c>
      <c r="E217" t="s">
        <v>23</v>
      </c>
      <c r="F217" t="s">
        <v>15</v>
      </c>
      <c r="G217" s="2">
        <f>VALUE(697.8134893832)</f>
        <v>697.81348938320002</v>
      </c>
      <c r="H217" s="3">
        <f>VALUE(529.0154187708)</f>
        <v>529.01541877080001</v>
      </c>
      <c r="I217" s="4">
        <f>VALUE(2918)</f>
        <v>2918</v>
      </c>
      <c r="J217" s="1">
        <f>VALUE(3143)</f>
        <v>3143</v>
      </c>
      <c r="K217" s="1">
        <f>VALUE(3586)</f>
        <v>3586</v>
      </c>
      <c r="L217" s="1">
        <f>VALUE(4043)</f>
        <v>4043</v>
      </c>
      <c r="M217" s="8">
        <f>VALUE(4639)</f>
        <v>4639</v>
      </c>
      <c r="N217" t="s">
        <v>25</v>
      </c>
    </row>
    <row r="218" spans="1:14" x14ac:dyDescent="0.25">
      <c r="A218" t="s">
        <v>14</v>
      </c>
      <c r="B218" t="s">
        <v>15</v>
      </c>
      <c r="C218" t="s">
        <v>35</v>
      </c>
      <c r="D218" t="s">
        <v>28</v>
      </c>
      <c r="E218" t="s">
        <v>23</v>
      </c>
      <c r="F218" t="s">
        <v>17</v>
      </c>
      <c r="G218" s="1" t="str">
        <f t="shared" ref="G218:M220" si="33">"X"</f>
        <v>X</v>
      </c>
      <c r="H218" s="1" t="str">
        <f t="shared" si="33"/>
        <v>X</v>
      </c>
      <c r="I218" s="1" t="str">
        <f t="shared" si="33"/>
        <v>X</v>
      </c>
      <c r="J218" s="1" t="str">
        <f t="shared" si="33"/>
        <v>X</v>
      </c>
      <c r="K218" s="1" t="str">
        <f t="shared" si="33"/>
        <v>X</v>
      </c>
      <c r="L218" s="1" t="str">
        <f t="shared" si="33"/>
        <v>X</v>
      </c>
      <c r="M218" s="1" t="str">
        <f t="shared" si="33"/>
        <v>X</v>
      </c>
      <c r="N218" t="s">
        <v>27</v>
      </c>
    </row>
    <row r="219" spans="1:14" x14ac:dyDescent="0.25">
      <c r="A219" t="s">
        <v>14</v>
      </c>
      <c r="B219" t="s">
        <v>15</v>
      </c>
      <c r="C219" t="s">
        <v>35</v>
      </c>
      <c r="D219" t="s">
        <v>28</v>
      </c>
      <c r="E219" t="s">
        <v>23</v>
      </c>
      <c r="F219" t="s">
        <v>18</v>
      </c>
      <c r="G219" s="1" t="str">
        <f t="shared" si="33"/>
        <v>X</v>
      </c>
      <c r="H219" s="1" t="str">
        <f t="shared" si="33"/>
        <v>X</v>
      </c>
      <c r="I219" s="1" t="str">
        <f t="shared" si="33"/>
        <v>X</v>
      </c>
      <c r="J219" s="1" t="str">
        <f t="shared" si="33"/>
        <v>X</v>
      </c>
      <c r="K219" s="1" t="str">
        <f t="shared" si="33"/>
        <v>X</v>
      </c>
      <c r="L219" s="1" t="str">
        <f t="shared" si="33"/>
        <v>X</v>
      </c>
      <c r="M219" s="1" t="str">
        <f t="shared" si="33"/>
        <v>X</v>
      </c>
      <c r="N219" t="s">
        <v>27</v>
      </c>
    </row>
    <row r="220" spans="1:14" x14ac:dyDescent="0.25">
      <c r="A220" t="s">
        <v>14</v>
      </c>
      <c r="B220" t="s">
        <v>15</v>
      </c>
      <c r="C220" t="s">
        <v>35</v>
      </c>
      <c r="D220" t="s">
        <v>28</v>
      </c>
      <c r="E220" t="s">
        <v>23</v>
      </c>
      <c r="F220" t="s">
        <v>19</v>
      </c>
      <c r="G220" s="1" t="str">
        <f t="shared" si="33"/>
        <v>X</v>
      </c>
      <c r="H220" s="1" t="str">
        <f t="shared" si="33"/>
        <v>X</v>
      </c>
      <c r="I220" s="1" t="str">
        <f t="shared" si="33"/>
        <v>X</v>
      </c>
      <c r="J220" s="1" t="str">
        <f t="shared" si="33"/>
        <v>X</v>
      </c>
      <c r="K220" s="1" t="str">
        <f t="shared" si="33"/>
        <v>X</v>
      </c>
      <c r="L220" s="1" t="str">
        <f t="shared" si="33"/>
        <v>X</v>
      </c>
      <c r="M220" s="1" t="str">
        <f t="shared" si="33"/>
        <v>X</v>
      </c>
      <c r="N220" t="s">
        <v>27</v>
      </c>
    </row>
    <row r="221" spans="1:14" x14ac:dyDescent="0.25">
      <c r="A221" t="s">
        <v>14</v>
      </c>
      <c r="B221" t="s">
        <v>15</v>
      </c>
      <c r="C221" t="s">
        <v>35</v>
      </c>
      <c r="D221" t="s">
        <v>28</v>
      </c>
      <c r="E221" t="s">
        <v>23</v>
      </c>
      <c r="F221" t="s">
        <v>20</v>
      </c>
      <c r="G221" s="2">
        <f>VALUE(646.8154074205)</f>
        <v>646.81540742050004</v>
      </c>
      <c r="H221" s="3">
        <f>VALUE(489.6409476996)</f>
        <v>489.64094769960002</v>
      </c>
      <c r="I221" s="4">
        <f>VALUE(2918)</f>
        <v>2918</v>
      </c>
      <c r="J221" s="1">
        <f>VALUE(3143)</f>
        <v>3143</v>
      </c>
      <c r="K221" s="1">
        <f>VALUE(3569)</f>
        <v>3569</v>
      </c>
      <c r="L221" s="1">
        <f>VALUE(4000)</f>
        <v>4000</v>
      </c>
      <c r="M221" s="8">
        <f>VALUE(4639)</f>
        <v>4639</v>
      </c>
      <c r="N221" t="s">
        <v>25</v>
      </c>
    </row>
    <row r="222" spans="1:14" x14ac:dyDescent="0.25">
      <c r="A222" t="s">
        <v>14</v>
      </c>
      <c r="B222" t="s">
        <v>15</v>
      </c>
      <c r="C222" t="s">
        <v>35</v>
      </c>
      <c r="D222" t="s">
        <v>28</v>
      </c>
      <c r="E222" t="s">
        <v>26</v>
      </c>
      <c r="F222" t="s">
        <v>15</v>
      </c>
      <c r="G222" s="1" t="str">
        <f t="shared" ref="G222:M222" si="34">"X"</f>
        <v>X</v>
      </c>
      <c r="H222" s="1" t="str">
        <f t="shared" si="34"/>
        <v>X</v>
      </c>
      <c r="I222" s="1" t="str">
        <f t="shared" si="34"/>
        <v>X</v>
      </c>
      <c r="J222" s="1" t="str">
        <f t="shared" si="34"/>
        <v>X</v>
      </c>
      <c r="K222" s="1" t="str">
        <f t="shared" si="34"/>
        <v>X</v>
      </c>
      <c r="L222" s="1" t="str">
        <f t="shared" si="34"/>
        <v>X</v>
      </c>
      <c r="M222" s="1" t="str">
        <f t="shared" si="34"/>
        <v>X</v>
      </c>
      <c r="N222" t="s">
        <v>27</v>
      </c>
    </row>
    <row r="223" spans="1:14" x14ac:dyDescent="0.25">
      <c r="A223" t="s">
        <v>14</v>
      </c>
      <c r="B223" t="s">
        <v>15</v>
      </c>
      <c r="C223" t="s">
        <v>35</v>
      </c>
      <c r="D223" t="s">
        <v>28</v>
      </c>
      <c r="E223" t="s">
        <v>26</v>
      </c>
      <c r="F223" t="s">
        <v>17</v>
      </c>
      <c r="G223" s="1" t="str">
        <f t="shared" ref="G223:M223" si="35">"..."</f>
        <v>...</v>
      </c>
      <c r="H223" s="1" t="str">
        <f t="shared" si="35"/>
        <v>...</v>
      </c>
      <c r="I223" s="1" t="str">
        <f t="shared" si="35"/>
        <v>...</v>
      </c>
      <c r="J223" s="1" t="str">
        <f t="shared" si="35"/>
        <v>...</v>
      </c>
      <c r="K223" s="1" t="str">
        <f t="shared" si="35"/>
        <v>...</v>
      </c>
      <c r="L223" s="1" t="str">
        <f t="shared" si="35"/>
        <v>...</v>
      </c>
      <c r="M223" s="1" t="str">
        <f t="shared" si="35"/>
        <v>...</v>
      </c>
      <c r="N223" t="s">
        <v>30</v>
      </c>
    </row>
    <row r="224" spans="1:14" x14ac:dyDescent="0.25">
      <c r="A224" t="s">
        <v>14</v>
      </c>
      <c r="B224" t="s">
        <v>15</v>
      </c>
      <c r="C224" t="s">
        <v>35</v>
      </c>
      <c r="D224" t="s">
        <v>28</v>
      </c>
      <c r="E224" t="s">
        <v>26</v>
      </c>
      <c r="F224" t="s">
        <v>18</v>
      </c>
      <c r="G224" s="1" t="str">
        <f t="shared" ref="G224:M224" si="36">"X"</f>
        <v>X</v>
      </c>
      <c r="H224" s="1" t="str">
        <f t="shared" si="36"/>
        <v>X</v>
      </c>
      <c r="I224" s="1" t="str">
        <f t="shared" si="36"/>
        <v>X</v>
      </c>
      <c r="J224" s="1" t="str">
        <f t="shared" si="36"/>
        <v>X</v>
      </c>
      <c r="K224" s="1" t="str">
        <f t="shared" si="36"/>
        <v>X</v>
      </c>
      <c r="L224" s="1" t="str">
        <f t="shared" si="36"/>
        <v>X</v>
      </c>
      <c r="M224" s="1" t="str">
        <f t="shared" si="36"/>
        <v>X</v>
      </c>
      <c r="N224" t="s">
        <v>27</v>
      </c>
    </row>
    <row r="225" spans="1:14" x14ac:dyDescent="0.25">
      <c r="A225" t="s">
        <v>14</v>
      </c>
      <c r="B225" t="s">
        <v>15</v>
      </c>
      <c r="C225" t="s">
        <v>35</v>
      </c>
      <c r="D225" t="s">
        <v>28</v>
      </c>
      <c r="E225" t="s">
        <v>26</v>
      </c>
      <c r="F225" t="s">
        <v>19</v>
      </c>
      <c r="G225" s="1" t="str">
        <f t="shared" ref="G225:M225" si="37">"..."</f>
        <v>...</v>
      </c>
      <c r="H225" s="1" t="str">
        <f t="shared" si="37"/>
        <v>...</v>
      </c>
      <c r="I225" s="1" t="str">
        <f t="shared" si="37"/>
        <v>...</v>
      </c>
      <c r="J225" s="1" t="str">
        <f t="shared" si="37"/>
        <v>...</v>
      </c>
      <c r="K225" s="1" t="str">
        <f t="shared" si="37"/>
        <v>...</v>
      </c>
      <c r="L225" s="1" t="str">
        <f t="shared" si="37"/>
        <v>...</v>
      </c>
      <c r="M225" s="1" t="str">
        <f t="shared" si="37"/>
        <v>...</v>
      </c>
      <c r="N225" t="s">
        <v>30</v>
      </c>
    </row>
    <row r="226" spans="1:14" x14ac:dyDescent="0.25">
      <c r="A226" t="s">
        <v>14</v>
      </c>
      <c r="B226" t="s">
        <v>15</v>
      </c>
      <c r="C226" t="s">
        <v>35</v>
      </c>
      <c r="D226" t="s">
        <v>28</v>
      </c>
      <c r="E226" t="s">
        <v>26</v>
      </c>
      <c r="F226" t="s">
        <v>20</v>
      </c>
      <c r="G226" s="1" t="str">
        <f t="shared" ref="G226:M226" si="38">"X"</f>
        <v>X</v>
      </c>
      <c r="H226" s="1" t="str">
        <f t="shared" si="38"/>
        <v>X</v>
      </c>
      <c r="I226" s="1" t="str">
        <f t="shared" si="38"/>
        <v>X</v>
      </c>
      <c r="J226" s="1" t="str">
        <f t="shared" si="38"/>
        <v>X</v>
      </c>
      <c r="K226" s="1" t="str">
        <f t="shared" si="38"/>
        <v>X</v>
      </c>
      <c r="L226" s="1" t="str">
        <f t="shared" si="38"/>
        <v>X</v>
      </c>
      <c r="M226" s="1" t="str">
        <f t="shared" si="38"/>
        <v>X</v>
      </c>
      <c r="N226" t="s">
        <v>27</v>
      </c>
    </row>
    <row r="227" spans="1:14" x14ac:dyDescent="0.25">
      <c r="A227" t="s">
        <v>14</v>
      </c>
      <c r="B227" t="s">
        <v>15</v>
      </c>
      <c r="C227" t="s">
        <v>35</v>
      </c>
      <c r="D227" t="s">
        <v>29</v>
      </c>
      <c r="E227" t="s">
        <v>15</v>
      </c>
      <c r="F227" t="s">
        <v>15</v>
      </c>
      <c r="G227" s="2">
        <f>VALUE(898.6805829716)</f>
        <v>898.68058297159996</v>
      </c>
      <c r="H227" s="3">
        <f>VALUE(838.110779204)</f>
        <v>838.11077920399998</v>
      </c>
      <c r="I227" s="1">
        <f>VALUE(3072)</f>
        <v>3072</v>
      </c>
      <c r="J227" s="1">
        <f>VALUE(3274)</f>
        <v>3274</v>
      </c>
      <c r="K227" s="1">
        <f>VALUE(3862)</f>
        <v>3862</v>
      </c>
      <c r="L227" s="1">
        <f>VALUE(4404)</f>
        <v>4404</v>
      </c>
      <c r="M227" s="8">
        <f>VALUE(4911)</f>
        <v>4911</v>
      </c>
      <c r="N227" t="s">
        <v>25</v>
      </c>
    </row>
    <row r="228" spans="1:14" x14ac:dyDescent="0.25">
      <c r="A228" t="s">
        <v>14</v>
      </c>
      <c r="B228" t="s">
        <v>15</v>
      </c>
      <c r="C228" t="s">
        <v>35</v>
      </c>
      <c r="D228" t="s">
        <v>29</v>
      </c>
      <c r="E228" t="s">
        <v>15</v>
      </c>
      <c r="F228" t="s">
        <v>17</v>
      </c>
      <c r="G228" s="1" t="str">
        <f t="shared" ref="G228:M230" si="39">"X"</f>
        <v>X</v>
      </c>
      <c r="H228" s="1" t="str">
        <f t="shared" si="39"/>
        <v>X</v>
      </c>
      <c r="I228" s="1" t="str">
        <f t="shared" si="39"/>
        <v>X</v>
      </c>
      <c r="J228" s="1" t="str">
        <f t="shared" si="39"/>
        <v>X</v>
      </c>
      <c r="K228" s="1" t="str">
        <f t="shared" si="39"/>
        <v>X</v>
      </c>
      <c r="L228" s="1" t="str">
        <f t="shared" si="39"/>
        <v>X</v>
      </c>
      <c r="M228" s="1" t="str">
        <f t="shared" si="39"/>
        <v>X</v>
      </c>
      <c r="N228" t="s">
        <v>27</v>
      </c>
    </row>
    <row r="229" spans="1:14" x14ac:dyDescent="0.25">
      <c r="A229" t="s">
        <v>14</v>
      </c>
      <c r="B229" t="s">
        <v>15</v>
      </c>
      <c r="C229" t="s">
        <v>35</v>
      </c>
      <c r="D229" t="s">
        <v>29</v>
      </c>
      <c r="E229" t="s">
        <v>15</v>
      </c>
      <c r="F229" t="s">
        <v>18</v>
      </c>
      <c r="G229" s="1" t="str">
        <f t="shared" si="39"/>
        <v>X</v>
      </c>
      <c r="H229" s="1" t="str">
        <f t="shared" si="39"/>
        <v>X</v>
      </c>
      <c r="I229" s="1" t="str">
        <f t="shared" si="39"/>
        <v>X</v>
      </c>
      <c r="J229" s="1" t="str">
        <f t="shared" si="39"/>
        <v>X</v>
      </c>
      <c r="K229" s="1" t="str">
        <f t="shared" si="39"/>
        <v>X</v>
      </c>
      <c r="L229" s="1" t="str">
        <f t="shared" si="39"/>
        <v>X</v>
      </c>
      <c r="M229" s="1" t="str">
        <f t="shared" si="39"/>
        <v>X</v>
      </c>
      <c r="N229" t="s">
        <v>27</v>
      </c>
    </row>
    <row r="230" spans="1:14" x14ac:dyDescent="0.25">
      <c r="A230" t="s">
        <v>14</v>
      </c>
      <c r="B230" t="s">
        <v>15</v>
      </c>
      <c r="C230" t="s">
        <v>35</v>
      </c>
      <c r="D230" t="s">
        <v>29</v>
      </c>
      <c r="E230" t="s">
        <v>15</v>
      </c>
      <c r="F230" t="s">
        <v>19</v>
      </c>
      <c r="G230" s="1" t="str">
        <f t="shared" si="39"/>
        <v>X</v>
      </c>
      <c r="H230" s="1" t="str">
        <f t="shared" si="39"/>
        <v>X</v>
      </c>
      <c r="I230" s="1" t="str">
        <f t="shared" si="39"/>
        <v>X</v>
      </c>
      <c r="J230" s="1" t="str">
        <f t="shared" si="39"/>
        <v>X</v>
      </c>
      <c r="K230" s="1" t="str">
        <f t="shared" si="39"/>
        <v>X</v>
      </c>
      <c r="L230" s="1" t="str">
        <f t="shared" si="39"/>
        <v>X</v>
      </c>
      <c r="M230" s="1" t="str">
        <f t="shared" si="39"/>
        <v>X</v>
      </c>
      <c r="N230" t="s">
        <v>27</v>
      </c>
    </row>
    <row r="231" spans="1:14" x14ac:dyDescent="0.25">
      <c r="A231" t="s">
        <v>14</v>
      </c>
      <c r="B231" t="s">
        <v>15</v>
      </c>
      <c r="C231" t="s">
        <v>35</v>
      </c>
      <c r="D231" t="s">
        <v>29</v>
      </c>
      <c r="E231" t="s">
        <v>15</v>
      </c>
      <c r="F231" t="s">
        <v>20</v>
      </c>
      <c r="G231" s="2">
        <f>VALUE(656.8861909709)</f>
        <v>656.88619097089997</v>
      </c>
      <c r="H231" s="3">
        <f>VALUE(608.9998476878)</f>
        <v>608.99984768779996</v>
      </c>
      <c r="I231" s="1">
        <f>VALUE(3000)</f>
        <v>3000</v>
      </c>
      <c r="J231" s="1">
        <f>VALUE(3250)</f>
        <v>3250</v>
      </c>
      <c r="K231" s="1">
        <f>VALUE(3827)</f>
        <v>3827</v>
      </c>
      <c r="L231" s="1">
        <f>VALUE(4402)</f>
        <v>4402</v>
      </c>
      <c r="M231" s="8">
        <f>VALUE(4983)</f>
        <v>4983</v>
      </c>
      <c r="N231" t="s">
        <v>25</v>
      </c>
    </row>
    <row r="232" spans="1:14" x14ac:dyDescent="0.25">
      <c r="A232" t="s">
        <v>14</v>
      </c>
      <c r="B232" t="s">
        <v>15</v>
      </c>
      <c r="C232" t="s">
        <v>35</v>
      </c>
      <c r="D232" t="s">
        <v>29</v>
      </c>
      <c r="E232" t="s">
        <v>21</v>
      </c>
      <c r="F232" t="s">
        <v>15</v>
      </c>
      <c r="G232" s="1" t="str">
        <f t="shared" ref="G232:M236" si="40">"X"</f>
        <v>X</v>
      </c>
      <c r="H232" s="1" t="str">
        <f t="shared" si="40"/>
        <v>X</v>
      </c>
      <c r="I232" s="1" t="str">
        <f t="shared" si="40"/>
        <v>X</v>
      </c>
      <c r="J232" s="1" t="str">
        <f t="shared" si="40"/>
        <v>X</v>
      </c>
      <c r="K232" s="1" t="str">
        <f t="shared" si="40"/>
        <v>X</v>
      </c>
      <c r="L232" s="1" t="str">
        <f t="shared" si="40"/>
        <v>X</v>
      </c>
      <c r="M232" s="1" t="str">
        <f t="shared" si="40"/>
        <v>X</v>
      </c>
      <c r="N232" t="s">
        <v>27</v>
      </c>
    </row>
    <row r="233" spans="1:14" x14ac:dyDescent="0.25">
      <c r="A233" t="s">
        <v>14</v>
      </c>
      <c r="B233" t="s">
        <v>15</v>
      </c>
      <c r="C233" t="s">
        <v>35</v>
      </c>
      <c r="D233" t="s">
        <v>29</v>
      </c>
      <c r="E233" t="s">
        <v>21</v>
      </c>
      <c r="F233" t="s">
        <v>17</v>
      </c>
      <c r="G233" s="1" t="str">
        <f t="shared" si="40"/>
        <v>X</v>
      </c>
      <c r="H233" s="1" t="str">
        <f t="shared" si="40"/>
        <v>X</v>
      </c>
      <c r="I233" s="1" t="str">
        <f t="shared" si="40"/>
        <v>X</v>
      </c>
      <c r="J233" s="1" t="str">
        <f t="shared" si="40"/>
        <v>X</v>
      </c>
      <c r="K233" s="1" t="str">
        <f t="shared" si="40"/>
        <v>X</v>
      </c>
      <c r="L233" s="1" t="str">
        <f t="shared" si="40"/>
        <v>X</v>
      </c>
      <c r="M233" s="1" t="str">
        <f t="shared" si="40"/>
        <v>X</v>
      </c>
      <c r="N233" t="s">
        <v>27</v>
      </c>
    </row>
    <row r="234" spans="1:14" x14ac:dyDescent="0.25">
      <c r="A234" t="s">
        <v>14</v>
      </c>
      <c r="B234" t="s">
        <v>15</v>
      </c>
      <c r="C234" t="s">
        <v>35</v>
      </c>
      <c r="D234" t="s">
        <v>29</v>
      </c>
      <c r="E234" t="s">
        <v>21</v>
      </c>
      <c r="F234" t="s">
        <v>18</v>
      </c>
      <c r="G234" s="1" t="str">
        <f t="shared" si="40"/>
        <v>X</v>
      </c>
      <c r="H234" s="1" t="str">
        <f t="shared" si="40"/>
        <v>X</v>
      </c>
      <c r="I234" s="1" t="str">
        <f t="shared" si="40"/>
        <v>X</v>
      </c>
      <c r="J234" s="1" t="str">
        <f t="shared" si="40"/>
        <v>X</v>
      </c>
      <c r="K234" s="1" t="str">
        <f t="shared" si="40"/>
        <v>X</v>
      </c>
      <c r="L234" s="1" t="str">
        <f t="shared" si="40"/>
        <v>X</v>
      </c>
      <c r="M234" s="1" t="str">
        <f t="shared" si="40"/>
        <v>X</v>
      </c>
      <c r="N234" t="s">
        <v>27</v>
      </c>
    </row>
    <row r="235" spans="1:14" x14ac:dyDescent="0.25">
      <c r="A235" t="s">
        <v>14</v>
      </c>
      <c r="B235" t="s">
        <v>15</v>
      </c>
      <c r="C235" t="s">
        <v>35</v>
      </c>
      <c r="D235" t="s">
        <v>29</v>
      </c>
      <c r="E235" t="s">
        <v>21</v>
      </c>
      <c r="F235" t="s">
        <v>19</v>
      </c>
      <c r="G235" s="1" t="str">
        <f t="shared" si="40"/>
        <v>X</v>
      </c>
      <c r="H235" s="1" t="str">
        <f t="shared" si="40"/>
        <v>X</v>
      </c>
      <c r="I235" s="1" t="str">
        <f t="shared" si="40"/>
        <v>X</v>
      </c>
      <c r="J235" s="1" t="str">
        <f t="shared" si="40"/>
        <v>X</v>
      </c>
      <c r="K235" s="1" t="str">
        <f t="shared" si="40"/>
        <v>X</v>
      </c>
      <c r="L235" s="1" t="str">
        <f t="shared" si="40"/>
        <v>X</v>
      </c>
      <c r="M235" s="1" t="str">
        <f t="shared" si="40"/>
        <v>X</v>
      </c>
      <c r="N235" t="s">
        <v>27</v>
      </c>
    </row>
    <row r="236" spans="1:14" x14ac:dyDescent="0.25">
      <c r="A236" t="s">
        <v>14</v>
      </c>
      <c r="B236" t="s">
        <v>15</v>
      </c>
      <c r="C236" t="s">
        <v>35</v>
      </c>
      <c r="D236" t="s">
        <v>29</v>
      </c>
      <c r="E236" t="s">
        <v>21</v>
      </c>
      <c r="F236" t="s">
        <v>20</v>
      </c>
      <c r="G236" s="1" t="str">
        <f t="shared" si="40"/>
        <v>X</v>
      </c>
      <c r="H236" s="1" t="str">
        <f t="shared" si="40"/>
        <v>X</v>
      </c>
      <c r="I236" s="1" t="str">
        <f t="shared" si="40"/>
        <v>X</v>
      </c>
      <c r="J236" s="1" t="str">
        <f t="shared" si="40"/>
        <v>X</v>
      </c>
      <c r="K236" s="1" t="str">
        <f t="shared" si="40"/>
        <v>X</v>
      </c>
      <c r="L236" s="1" t="str">
        <f t="shared" si="40"/>
        <v>X</v>
      </c>
      <c r="M236" s="1" t="str">
        <f t="shared" si="40"/>
        <v>X</v>
      </c>
      <c r="N236" t="s">
        <v>27</v>
      </c>
    </row>
    <row r="237" spans="1:14" x14ac:dyDescent="0.25">
      <c r="A237" t="s">
        <v>14</v>
      </c>
      <c r="B237" t="s">
        <v>15</v>
      </c>
      <c r="C237" t="s">
        <v>35</v>
      </c>
      <c r="D237" t="s">
        <v>29</v>
      </c>
      <c r="E237" t="s">
        <v>22</v>
      </c>
      <c r="F237" t="s">
        <v>15</v>
      </c>
      <c r="G237" s="2">
        <f>VALUE(546.3050100419)</f>
        <v>546.3050100419</v>
      </c>
      <c r="H237" s="3">
        <f>VALUE(531.3813230167)</f>
        <v>531.38132301669998</v>
      </c>
      <c r="I237" s="1">
        <f>VALUE(3133)</f>
        <v>3133</v>
      </c>
      <c r="J237" s="1">
        <f>VALUE(3557)</f>
        <v>3557</v>
      </c>
      <c r="K237" s="1">
        <f>VALUE(3946)</f>
        <v>3946</v>
      </c>
      <c r="L237" s="1">
        <f>VALUE(4424)</f>
        <v>4424</v>
      </c>
      <c r="M237" s="8">
        <f>VALUE(4911)</f>
        <v>4911</v>
      </c>
      <c r="N237" t="s">
        <v>25</v>
      </c>
    </row>
    <row r="238" spans="1:14" x14ac:dyDescent="0.25">
      <c r="A238" t="s">
        <v>14</v>
      </c>
      <c r="B238" t="s">
        <v>15</v>
      </c>
      <c r="C238" t="s">
        <v>35</v>
      </c>
      <c r="D238" t="s">
        <v>29</v>
      </c>
      <c r="E238" t="s">
        <v>22</v>
      </c>
      <c r="F238" t="s">
        <v>17</v>
      </c>
      <c r="G238" s="1" t="str">
        <f t="shared" ref="G238:M240" si="41">"X"</f>
        <v>X</v>
      </c>
      <c r="H238" s="1" t="str">
        <f t="shared" si="41"/>
        <v>X</v>
      </c>
      <c r="I238" s="1" t="str">
        <f t="shared" si="41"/>
        <v>X</v>
      </c>
      <c r="J238" s="1" t="str">
        <f t="shared" si="41"/>
        <v>X</v>
      </c>
      <c r="K238" s="1" t="str">
        <f t="shared" si="41"/>
        <v>X</v>
      </c>
      <c r="L238" s="1" t="str">
        <f t="shared" si="41"/>
        <v>X</v>
      </c>
      <c r="M238" s="1" t="str">
        <f t="shared" si="41"/>
        <v>X</v>
      </c>
      <c r="N238" t="s">
        <v>27</v>
      </c>
    </row>
    <row r="239" spans="1:14" x14ac:dyDescent="0.25">
      <c r="A239" t="s">
        <v>14</v>
      </c>
      <c r="B239" t="s">
        <v>15</v>
      </c>
      <c r="C239" t="s">
        <v>35</v>
      </c>
      <c r="D239" t="s">
        <v>29</v>
      </c>
      <c r="E239" t="s">
        <v>22</v>
      </c>
      <c r="F239" t="s">
        <v>18</v>
      </c>
      <c r="G239" s="1" t="str">
        <f t="shared" si="41"/>
        <v>X</v>
      </c>
      <c r="H239" s="1" t="str">
        <f t="shared" si="41"/>
        <v>X</v>
      </c>
      <c r="I239" s="1" t="str">
        <f t="shared" si="41"/>
        <v>X</v>
      </c>
      <c r="J239" s="1" t="str">
        <f t="shared" si="41"/>
        <v>X</v>
      </c>
      <c r="K239" s="1" t="str">
        <f t="shared" si="41"/>
        <v>X</v>
      </c>
      <c r="L239" s="1" t="str">
        <f t="shared" si="41"/>
        <v>X</v>
      </c>
      <c r="M239" s="1" t="str">
        <f t="shared" si="41"/>
        <v>X</v>
      </c>
      <c r="N239" t="s">
        <v>27</v>
      </c>
    </row>
    <row r="240" spans="1:14" x14ac:dyDescent="0.25">
      <c r="A240" t="s">
        <v>14</v>
      </c>
      <c r="B240" t="s">
        <v>15</v>
      </c>
      <c r="C240" t="s">
        <v>35</v>
      </c>
      <c r="D240" t="s">
        <v>29</v>
      </c>
      <c r="E240" t="s">
        <v>22</v>
      </c>
      <c r="F240" t="s">
        <v>19</v>
      </c>
      <c r="G240" s="1" t="str">
        <f t="shared" si="41"/>
        <v>X</v>
      </c>
      <c r="H240" s="1" t="str">
        <f t="shared" si="41"/>
        <v>X</v>
      </c>
      <c r="I240" s="1" t="str">
        <f t="shared" si="41"/>
        <v>X</v>
      </c>
      <c r="J240" s="1" t="str">
        <f t="shared" si="41"/>
        <v>X</v>
      </c>
      <c r="K240" s="1" t="str">
        <f t="shared" si="41"/>
        <v>X</v>
      </c>
      <c r="L240" s="1" t="str">
        <f t="shared" si="41"/>
        <v>X</v>
      </c>
      <c r="M240" s="1" t="str">
        <f t="shared" si="41"/>
        <v>X</v>
      </c>
      <c r="N240" t="s">
        <v>27</v>
      </c>
    </row>
    <row r="241" spans="1:14" x14ac:dyDescent="0.25">
      <c r="A241" t="s">
        <v>14</v>
      </c>
      <c r="B241" t="s">
        <v>15</v>
      </c>
      <c r="C241" t="s">
        <v>35</v>
      </c>
      <c r="D241" t="s">
        <v>29</v>
      </c>
      <c r="E241" t="s">
        <v>22</v>
      </c>
      <c r="F241" t="s">
        <v>20</v>
      </c>
      <c r="G241" s="2">
        <f>VALUE(371.1071228614)</f>
        <v>371.1071228614</v>
      </c>
      <c r="H241" s="3">
        <f>VALUE(361.3660547786)</f>
        <v>361.36605477860002</v>
      </c>
      <c r="I241" s="4">
        <f>VALUE(3133)</f>
        <v>3133</v>
      </c>
      <c r="J241" s="1">
        <f>VALUE(3546)</f>
        <v>3546</v>
      </c>
      <c r="K241" s="1">
        <f>VALUE(3946)</f>
        <v>3946</v>
      </c>
      <c r="L241" s="1">
        <f>VALUE(4444)</f>
        <v>4444</v>
      </c>
      <c r="M241" s="8">
        <f>VALUE(4983)</f>
        <v>4983</v>
      </c>
      <c r="N241" t="s">
        <v>25</v>
      </c>
    </row>
    <row r="242" spans="1:14" x14ac:dyDescent="0.25">
      <c r="A242" t="s">
        <v>14</v>
      </c>
      <c r="B242" t="s">
        <v>15</v>
      </c>
      <c r="C242" t="s">
        <v>35</v>
      </c>
      <c r="D242" t="s">
        <v>29</v>
      </c>
      <c r="E242" t="s">
        <v>23</v>
      </c>
      <c r="F242" t="s">
        <v>15</v>
      </c>
      <c r="G242" s="2">
        <f>VALUE(311.1185104883)</f>
        <v>311.11851048829999</v>
      </c>
      <c r="H242" s="3">
        <f>VALUE(278.8235399936)</f>
        <v>278.82353999359998</v>
      </c>
      <c r="I242" s="1">
        <f>VALUE(2927)</f>
        <v>2927</v>
      </c>
      <c r="J242" s="1">
        <f>VALUE(3122)</f>
        <v>3122</v>
      </c>
      <c r="K242" s="1">
        <f>VALUE(3588)</f>
        <v>3588</v>
      </c>
      <c r="L242" s="1">
        <f>VALUE(4250)</f>
        <v>4250</v>
      </c>
      <c r="M242" s="8">
        <f>VALUE(4689)</f>
        <v>4689</v>
      </c>
      <c r="N242" t="s">
        <v>25</v>
      </c>
    </row>
    <row r="243" spans="1:14" x14ac:dyDescent="0.25">
      <c r="A243" t="s">
        <v>14</v>
      </c>
      <c r="B243" t="s">
        <v>15</v>
      </c>
      <c r="C243" t="s">
        <v>35</v>
      </c>
      <c r="D243" t="s">
        <v>29</v>
      </c>
      <c r="E243" t="s">
        <v>23</v>
      </c>
      <c r="F243" t="s">
        <v>17</v>
      </c>
      <c r="G243" s="1" t="str">
        <f t="shared" ref="G243:M243" si="42">"..."</f>
        <v>...</v>
      </c>
      <c r="H243" s="1" t="str">
        <f t="shared" si="42"/>
        <v>...</v>
      </c>
      <c r="I243" s="1" t="str">
        <f t="shared" si="42"/>
        <v>...</v>
      </c>
      <c r="J243" s="1" t="str">
        <f t="shared" si="42"/>
        <v>...</v>
      </c>
      <c r="K243" s="1" t="str">
        <f t="shared" si="42"/>
        <v>...</v>
      </c>
      <c r="L243" s="1" t="str">
        <f t="shared" si="42"/>
        <v>...</v>
      </c>
      <c r="M243" s="1" t="str">
        <f t="shared" si="42"/>
        <v>...</v>
      </c>
      <c r="N243" t="s">
        <v>30</v>
      </c>
    </row>
    <row r="244" spans="1:14" x14ac:dyDescent="0.25">
      <c r="A244" t="s">
        <v>14</v>
      </c>
      <c r="B244" t="s">
        <v>15</v>
      </c>
      <c r="C244" t="s">
        <v>35</v>
      </c>
      <c r="D244" t="s">
        <v>29</v>
      </c>
      <c r="E244" t="s">
        <v>23</v>
      </c>
      <c r="F244" t="s">
        <v>18</v>
      </c>
      <c r="G244" s="1" t="str">
        <f t="shared" ref="G244:M245" si="43">"X"</f>
        <v>X</v>
      </c>
      <c r="H244" s="1" t="str">
        <f t="shared" si="43"/>
        <v>X</v>
      </c>
      <c r="I244" s="1" t="str">
        <f t="shared" si="43"/>
        <v>X</v>
      </c>
      <c r="J244" s="1" t="str">
        <f t="shared" si="43"/>
        <v>X</v>
      </c>
      <c r="K244" s="1" t="str">
        <f t="shared" si="43"/>
        <v>X</v>
      </c>
      <c r="L244" s="1" t="str">
        <f t="shared" si="43"/>
        <v>X</v>
      </c>
      <c r="M244" s="1" t="str">
        <f t="shared" si="43"/>
        <v>X</v>
      </c>
      <c r="N244" t="s">
        <v>27</v>
      </c>
    </row>
    <row r="245" spans="1:14" x14ac:dyDescent="0.25">
      <c r="A245" t="s">
        <v>14</v>
      </c>
      <c r="B245" t="s">
        <v>15</v>
      </c>
      <c r="C245" t="s">
        <v>35</v>
      </c>
      <c r="D245" t="s">
        <v>29</v>
      </c>
      <c r="E245" t="s">
        <v>23</v>
      </c>
      <c r="F245" t="s">
        <v>19</v>
      </c>
      <c r="G245" s="1" t="str">
        <f t="shared" si="43"/>
        <v>X</v>
      </c>
      <c r="H245" s="1" t="str">
        <f t="shared" si="43"/>
        <v>X</v>
      </c>
      <c r="I245" s="1" t="str">
        <f t="shared" si="43"/>
        <v>X</v>
      </c>
      <c r="J245" s="1" t="str">
        <f t="shared" si="43"/>
        <v>X</v>
      </c>
      <c r="K245" s="1" t="str">
        <f t="shared" si="43"/>
        <v>X</v>
      </c>
      <c r="L245" s="1" t="str">
        <f t="shared" si="43"/>
        <v>X</v>
      </c>
      <c r="M245" s="1" t="str">
        <f t="shared" si="43"/>
        <v>X</v>
      </c>
      <c r="N245" t="s">
        <v>27</v>
      </c>
    </row>
    <row r="246" spans="1:14" x14ac:dyDescent="0.25">
      <c r="A246" t="s">
        <v>14</v>
      </c>
      <c r="B246" t="s">
        <v>15</v>
      </c>
      <c r="C246" t="s">
        <v>35</v>
      </c>
      <c r="D246" t="s">
        <v>29</v>
      </c>
      <c r="E246" t="s">
        <v>23</v>
      </c>
      <c r="F246" t="s">
        <v>20</v>
      </c>
      <c r="G246" s="2">
        <f>VALUE(266.9808213363)</f>
        <v>266.98082133629998</v>
      </c>
      <c r="H246" s="3">
        <f>VALUE(234.999121722)</f>
        <v>234.99912172200001</v>
      </c>
      <c r="I246" s="1">
        <f>VALUE(2897)</f>
        <v>2897</v>
      </c>
      <c r="J246" s="1">
        <f>VALUE(3087)</f>
        <v>3087</v>
      </c>
      <c r="K246" s="6">
        <f>VALUE(3325)</f>
        <v>3325</v>
      </c>
      <c r="L246" s="1">
        <f>VALUE(4057)</f>
        <v>4057</v>
      </c>
      <c r="M246" s="8">
        <f>VALUE(4742)</f>
        <v>4742</v>
      </c>
      <c r="N246" t="s">
        <v>25</v>
      </c>
    </row>
    <row r="247" spans="1:14" x14ac:dyDescent="0.25">
      <c r="A247" t="s">
        <v>14</v>
      </c>
      <c r="B247" t="s">
        <v>15</v>
      </c>
      <c r="C247" t="s">
        <v>35</v>
      </c>
      <c r="D247" t="s">
        <v>29</v>
      </c>
      <c r="E247" t="s">
        <v>26</v>
      </c>
      <c r="F247" t="s">
        <v>15</v>
      </c>
      <c r="G247" s="1" t="str">
        <f t="shared" ref="G247:M247" si="44">"X"</f>
        <v>X</v>
      </c>
      <c r="H247" s="1" t="str">
        <f t="shared" si="44"/>
        <v>X</v>
      </c>
      <c r="I247" s="1" t="str">
        <f t="shared" si="44"/>
        <v>X</v>
      </c>
      <c r="J247" s="1" t="str">
        <f t="shared" si="44"/>
        <v>X</v>
      </c>
      <c r="K247" s="1" t="str">
        <f t="shared" si="44"/>
        <v>X</v>
      </c>
      <c r="L247" s="1" t="str">
        <f t="shared" si="44"/>
        <v>X</v>
      </c>
      <c r="M247" s="1" t="str">
        <f t="shared" si="44"/>
        <v>X</v>
      </c>
      <c r="N247" t="s">
        <v>27</v>
      </c>
    </row>
    <row r="248" spans="1:14" x14ac:dyDescent="0.25">
      <c r="A248" t="s">
        <v>14</v>
      </c>
      <c r="B248" t="s">
        <v>15</v>
      </c>
      <c r="C248" t="s">
        <v>35</v>
      </c>
      <c r="D248" t="s">
        <v>29</v>
      </c>
      <c r="E248" t="s">
        <v>26</v>
      </c>
      <c r="F248" t="s">
        <v>17</v>
      </c>
      <c r="G248" s="1" t="str">
        <f t="shared" ref="G248:M250" si="45">"..."</f>
        <v>...</v>
      </c>
      <c r="H248" s="1" t="str">
        <f t="shared" si="45"/>
        <v>...</v>
      </c>
      <c r="I248" s="1" t="str">
        <f t="shared" si="45"/>
        <v>...</v>
      </c>
      <c r="J248" s="1" t="str">
        <f t="shared" si="45"/>
        <v>...</v>
      </c>
      <c r="K248" s="1" t="str">
        <f t="shared" si="45"/>
        <v>...</v>
      </c>
      <c r="L248" s="1" t="str">
        <f t="shared" si="45"/>
        <v>...</v>
      </c>
      <c r="M248" s="1" t="str">
        <f t="shared" si="45"/>
        <v>...</v>
      </c>
      <c r="N248" t="s">
        <v>30</v>
      </c>
    </row>
    <row r="249" spans="1:14" x14ac:dyDescent="0.25">
      <c r="A249" t="s">
        <v>14</v>
      </c>
      <c r="B249" t="s">
        <v>15</v>
      </c>
      <c r="C249" t="s">
        <v>35</v>
      </c>
      <c r="D249" t="s">
        <v>29</v>
      </c>
      <c r="E249" t="s">
        <v>26</v>
      </c>
      <c r="F249" t="s">
        <v>18</v>
      </c>
      <c r="G249" s="1" t="str">
        <f t="shared" si="45"/>
        <v>...</v>
      </c>
      <c r="H249" s="1" t="str">
        <f t="shared" si="45"/>
        <v>...</v>
      </c>
      <c r="I249" s="1" t="str">
        <f t="shared" si="45"/>
        <v>...</v>
      </c>
      <c r="J249" s="1" t="str">
        <f t="shared" si="45"/>
        <v>...</v>
      </c>
      <c r="K249" s="1" t="str">
        <f t="shared" si="45"/>
        <v>...</v>
      </c>
      <c r="L249" s="1" t="str">
        <f t="shared" si="45"/>
        <v>...</v>
      </c>
      <c r="M249" s="1" t="str">
        <f t="shared" si="45"/>
        <v>...</v>
      </c>
      <c r="N249" t="s">
        <v>30</v>
      </c>
    </row>
    <row r="250" spans="1:14" x14ac:dyDescent="0.25">
      <c r="A250" t="s">
        <v>14</v>
      </c>
      <c r="B250" t="s">
        <v>15</v>
      </c>
      <c r="C250" t="s">
        <v>35</v>
      </c>
      <c r="D250" t="s">
        <v>29</v>
      </c>
      <c r="E250" t="s">
        <v>26</v>
      </c>
      <c r="F250" t="s">
        <v>19</v>
      </c>
      <c r="G250" s="1" t="str">
        <f t="shared" si="45"/>
        <v>...</v>
      </c>
      <c r="H250" s="1" t="str">
        <f t="shared" si="45"/>
        <v>...</v>
      </c>
      <c r="I250" s="1" t="str">
        <f t="shared" si="45"/>
        <v>...</v>
      </c>
      <c r="J250" s="1" t="str">
        <f t="shared" si="45"/>
        <v>...</v>
      </c>
      <c r="K250" s="1" t="str">
        <f t="shared" si="45"/>
        <v>...</v>
      </c>
      <c r="L250" s="1" t="str">
        <f t="shared" si="45"/>
        <v>...</v>
      </c>
      <c r="M250" s="1" t="str">
        <f t="shared" si="45"/>
        <v>...</v>
      </c>
      <c r="N250" t="s">
        <v>30</v>
      </c>
    </row>
    <row r="251" spans="1:14" x14ac:dyDescent="0.25">
      <c r="A251" t="s">
        <v>14</v>
      </c>
      <c r="B251" t="s">
        <v>15</v>
      </c>
      <c r="C251" t="s">
        <v>35</v>
      </c>
      <c r="D251" t="s">
        <v>29</v>
      </c>
      <c r="E251" t="s">
        <v>26</v>
      </c>
      <c r="F251" t="s">
        <v>20</v>
      </c>
      <c r="G251" s="1" t="str">
        <f t="shared" ref="G251:M251" si="46">"X"</f>
        <v>X</v>
      </c>
      <c r="H251" s="1" t="str">
        <f t="shared" si="46"/>
        <v>X</v>
      </c>
      <c r="I251" s="1" t="str">
        <f t="shared" si="46"/>
        <v>X</v>
      </c>
      <c r="J251" s="1" t="str">
        <f t="shared" si="46"/>
        <v>X</v>
      </c>
      <c r="K251" s="1" t="str">
        <f t="shared" si="46"/>
        <v>X</v>
      </c>
      <c r="L251" s="1" t="str">
        <f t="shared" si="46"/>
        <v>X</v>
      </c>
      <c r="M251" s="1" t="str">
        <f t="shared" si="46"/>
        <v>X</v>
      </c>
      <c r="N251" t="s">
        <v>27</v>
      </c>
    </row>
    <row r="252" spans="1:14" x14ac:dyDescent="0.25">
      <c r="A252" t="s">
        <v>14</v>
      </c>
      <c r="B252" t="s">
        <v>15</v>
      </c>
      <c r="C252" t="s">
        <v>35</v>
      </c>
      <c r="D252" t="s">
        <v>31</v>
      </c>
      <c r="E252" t="s">
        <v>15</v>
      </c>
      <c r="F252" t="s">
        <v>15</v>
      </c>
      <c r="G252" s="2">
        <f>VALUE(579.4369253835)</f>
        <v>579.43692538350001</v>
      </c>
      <c r="H252" s="3">
        <f>VALUE(543.9008276977)</f>
        <v>543.90082769770004</v>
      </c>
      <c r="I252" s="4">
        <f>VALUE(2810)</f>
        <v>2810</v>
      </c>
      <c r="J252" s="1">
        <f>VALUE(3143)</f>
        <v>3143</v>
      </c>
      <c r="K252" s="6">
        <f>VALUE(3621)</f>
        <v>3621</v>
      </c>
      <c r="L252" s="7">
        <f>VALUE(4200)</f>
        <v>4200</v>
      </c>
      <c r="M252" s="8">
        <f>VALUE(4946)</f>
        <v>4946</v>
      </c>
      <c r="N252" t="s">
        <v>25</v>
      </c>
    </row>
    <row r="253" spans="1:14" x14ac:dyDescent="0.25">
      <c r="A253" t="s">
        <v>14</v>
      </c>
      <c r="B253" t="s">
        <v>15</v>
      </c>
      <c r="C253" t="s">
        <v>35</v>
      </c>
      <c r="D253" t="s">
        <v>31</v>
      </c>
      <c r="E253" t="s">
        <v>15</v>
      </c>
      <c r="F253" t="s">
        <v>17</v>
      </c>
      <c r="G253" s="1" t="str">
        <f t="shared" ref="G253:M255" si="47">"X"</f>
        <v>X</v>
      </c>
      <c r="H253" s="1" t="str">
        <f t="shared" si="47"/>
        <v>X</v>
      </c>
      <c r="I253" s="1" t="str">
        <f t="shared" si="47"/>
        <v>X</v>
      </c>
      <c r="J253" s="1" t="str">
        <f t="shared" si="47"/>
        <v>X</v>
      </c>
      <c r="K253" s="1" t="str">
        <f t="shared" si="47"/>
        <v>X</v>
      </c>
      <c r="L253" s="1" t="str">
        <f t="shared" si="47"/>
        <v>X</v>
      </c>
      <c r="M253" s="1" t="str">
        <f t="shared" si="47"/>
        <v>X</v>
      </c>
      <c r="N253" t="s">
        <v>27</v>
      </c>
    </row>
    <row r="254" spans="1:14" x14ac:dyDescent="0.25">
      <c r="A254" t="s">
        <v>14</v>
      </c>
      <c r="B254" t="s">
        <v>15</v>
      </c>
      <c r="C254" t="s">
        <v>35</v>
      </c>
      <c r="D254" t="s">
        <v>31</v>
      </c>
      <c r="E254" t="s">
        <v>15</v>
      </c>
      <c r="F254" t="s">
        <v>18</v>
      </c>
      <c r="G254" s="1" t="str">
        <f t="shared" si="47"/>
        <v>X</v>
      </c>
      <c r="H254" s="1" t="str">
        <f t="shared" si="47"/>
        <v>X</v>
      </c>
      <c r="I254" s="1" t="str">
        <f t="shared" si="47"/>
        <v>X</v>
      </c>
      <c r="J254" s="1" t="str">
        <f t="shared" si="47"/>
        <v>X</v>
      </c>
      <c r="K254" s="1" t="str">
        <f t="shared" si="47"/>
        <v>X</v>
      </c>
      <c r="L254" s="1" t="str">
        <f t="shared" si="47"/>
        <v>X</v>
      </c>
      <c r="M254" s="1" t="str">
        <f t="shared" si="47"/>
        <v>X</v>
      </c>
      <c r="N254" t="s">
        <v>27</v>
      </c>
    </row>
    <row r="255" spans="1:14" x14ac:dyDescent="0.25">
      <c r="A255" t="s">
        <v>14</v>
      </c>
      <c r="B255" t="s">
        <v>15</v>
      </c>
      <c r="C255" t="s">
        <v>35</v>
      </c>
      <c r="D255" t="s">
        <v>31</v>
      </c>
      <c r="E255" t="s">
        <v>15</v>
      </c>
      <c r="F255" t="s">
        <v>19</v>
      </c>
      <c r="G255" s="1" t="str">
        <f t="shared" si="47"/>
        <v>X</v>
      </c>
      <c r="H255" s="1" t="str">
        <f t="shared" si="47"/>
        <v>X</v>
      </c>
      <c r="I255" s="1" t="str">
        <f t="shared" si="47"/>
        <v>X</v>
      </c>
      <c r="J255" s="1" t="str">
        <f t="shared" si="47"/>
        <v>X</v>
      </c>
      <c r="K255" s="1" t="str">
        <f t="shared" si="47"/>
        <v>X</v>
      </c>
      <c r="L255" s="1" t="str">
        <f t="shared" si="47"/>
        <v>X</v>
      </c>
      <c r="M255" s="1" t="str">
        <f t="shared" si="47"/>
        <v>X</v>
      </c>
      <c r="N255" t="s">
        <v>27</v>
      </c>
    </row>
    <row r="256" spans="1:14" x14ac:dyDescent="0.25">
      <c r="A256" t="s">
        <v>14</v>
      </c>
      <c r="B256" t="s">
        <v>15</v>
      </c>
      <c r="C256" t="s">
        <v>35</v>
      </c>
      <c r="D256" t="s">
        <v>31</v>
      </c>
      <c r="E256" t="s">
        <v>15</v>
      </c>
      <c r="F256" t="s">
        <v>20</v>
      </c>
      <c r="G256" s="2">
        <f>VALUE(493.3592558295)</f>
        <v>493.3592558295</v>
      </c>
      <c r="H256" s="3">
        <f>VALUE(470.5575456812)</f>
        <v>470.5575456812</v>
      </c>
      <c r="I256" s="4">
        <f>VALUE(2810)</f>
        <v>2810</v>
      </c>
      <c r="J256" s="1">
        <f>VALUE(3136)</f>
        <v>3136</v>
      </c>
      <c r="K256" s="6">
        <f>VALUE(3521)</f>
        <v>3521</v>
      </c>
      <c r="L256" s="7">
        <f>VALUE(4142)</f>
        <v>4142</v>
      </c>
      <c r="M256" s="1">
        <f>VALUE(4757)</f>
        <v>4757</v>
      </c>
      <c r="N256" t="s">
        <v>25</v>
      </c>
    </row>
    <row r="257" spans="1:14" x14ac:dyDescent="0.25">
      <c r="A257" t="s">
        <v>14</v>
      </c>
      <c r="B257" t="s">
        <v>15</v>
      </c>
      <c r="C257" t="s">
        <v>35</v>
      </c>
      <c r="D257" t="s">
        <v>31</v>
      </c>
      <c r="E257" t="s">
        <v>21</v>
      </c>
      <c r="F257" t="s">
        <v>15</v>
      </c>
      <c r="G257" s="1" t="str">
        <f t="shared" ref="G257:M261" si="48">"X"</f>
        <v>X</v>
      </c>
      <c r="H257" s="1" t="str">
        <f t="shared" si="48"/>
        <v>X</v>
      </c>
      <c r="I257" s="1" t="str">
        <f t="shared" si="48"/>
        <v>X</v>
      </c>
      <c r="J257" s="1" t="str">
        <f t="shared" si="48"/>
        <v>X</v>
      </c>
      <c r="K257" s="1" t="str">
        <f t="shared" si="48"/>
        <v>X</v>
      </c>
      <c r="L257" s="1" t="str">
        <f t="shared" si="48"/>
        <v>X</v>
      </c>
      <c r="M257" s="1" t="str">
        <f t="shared" si="48"/>
        <v>X</v>
      </c>
      <c r="N257" t="s">
        <v>27</v>
      </c>
    </row>
    <row r="258" spans="1:14" x14ac:dyDescent="0.25">
      <c r="A258" t="s">
        <v>14</v>
      </c>
      <c r="B258" t="s">
        <v>15</v>
      </c>
      <c r="C258" t="s">
        <v>35</v>
      </c>
      <c r="D258" t="s">
        <v>31</v>
      </c>
      <c r="E258" t="s">
        <v>21</v>
      </c>
      <c r="F258" t="s">
        <v>17</v>
      </c>
      <c r="G258" s="1" t="str">
        <f t="shared" si="48"/>
        <v>X</v>
      </c>
      <c r="H258" s="1" t="str">
        <f t="shared" si="48"/>
        <v>X</v>
      </c>
      <c r="I258" s="1" t="str">
        <f t="shared" si="48"/>
        <v>X</v>
      </c>
      <c r="J258" s="1" t="str">
        <f t="shared" si="48"/>
        <v>X</v>
      </c>
      <c r="K258" s="1" t="str">
        <f t="shared" si="48"/>
        <v>X</v>
      </c>
      <c r="L258" s="1" t="str">
        <f t="shared" si="48"/>
        <v>X</v>
      </c>
      <c r="M258" s="1" t="str">
        <f t="shared" si="48"/>
        <v>X</v>
      </c>
      <c r="N258" t="s">
        <v>27</v>
      </c>
    </row>
    <row r="259" spans="1:14" x14ac:dyDescent="0.25">
      <c r="A259" t="s">
        <v>14</v>
      </c>
      <c r="B259" t="s">
        <v>15</v>
      </c>
      <c r="C259" t="s">
        <v>35</v>
      </c>
      <c r="D259" t="s">
        <v>31</v>
      </c>
      <c r="E259" t="s">
        <v>21</v>
      </c>
      <c r="F259" t="s">
        <v>18</v>
      </c>
      <c r="G259" s="1" t="str">
        <f t="shared" si="48"/>
        <v>X</v>
      </c>
      <c r="H259" s="1" t="str">
        <f t="shared" si="48"/>
        <v>X</v>
      </c>
      <c r="I259" s="1" t="str">
        <f t="shared" si="48"/>
        <v>X</v>
      </c>
      <c r="J259" s="1" t="str">
        <f t="shared" si="48"/>
        <v>X</v>
      </c>
      <c r="K259" s="1" t="str">
        <f t="shared" si="48"/>
        <v>X</v>
      </c>
      <c r="L259" s="1" t="str">
        <f t="shared" si="48"/>
        <v>X</v>
      </c>
      <c r="M259" s="1" t="str">
        <f t="shared" si="48"/>
        <v>X</v>
      </c>
      <c r="N259" t="s">
        <v>27</v>
      </c>
    </row>
    <row r="260" spans="1:14" x14ac:dyDescent="0.25">
      <c r="A260" t="s">
        <v>14</v>
      </c>
      <c r="B260" t="s">
        <v>15</v>
      </c>
      <c r="C260" t="s">
        <v>35</v>
      </c>
      <c r="D260" t="s">
        <v>31</v>
      </c>
      <c r="E260" t="s">
        <v>21</v>
      </c>
      <c r="F260" t="s">
        <v>19</v>
      </c>
      <c r="G260" s="1" t="str">
        <f t="shared" si="48"/>
        <v>X</v>
      </c>
      <c r="H260" s="1" t="str">
        <f t="shared" si="48"/>
        <v>X</v>
      </c>
      <c r="I260" s="1" t="str">
        <f t="shared" si="48"/>
        <v>X</v>
      </c>
      <c r="J260" s="1" t="str">
        <f t="shared" si="48"/>
        <v>X</v>
      </c>
      <c r="K260" s="1" t="str">
        <f t="shared" si="48"/>
        <v>X</v>
      </c>
      <c r="L260" s="1" t="str">
        <f t="shared" si="48"/>
        <v>X</v>
      </c>
      <c r="M260" s="1" t="str">
        <f t="shared" si="48"/>
        <v>X</v>
      </c>
      <c r="N260" t="s">
        <v>27</v>
      </c>
    </row>
    <row r="261" spans="1:14" x14ac:dyDescent="0.25">
      <c r="A261" t="s">
        <v>14</v>
      </c>
      <c r="B261" t="s">
        <v>15</v>
      </c>
      <c r="C261" t="s">
        <v>35</v>
      </c>
      <c r="D261" t="s">
        <v>31</v>
      </c>
      <c r="E261" t="s">
        <v>21</v>
      </c>
      <c r="F261" t="s">
        <v>20</v>
      </c>
      <c r="G261" s="1" t="str">
        <f t="shared" si="48"/>
        <v>X</v>
      </c>
      <c r="H261" s="1" t="str">
        <f t="shared" si="48"/>
        <v>X</v>
      </c>
      <c r="I261" s="1" t="str">
        <f t="shared" si="48"/>
        <v>X</v>
      </c>
      <c r="J261" s="1" t="str">
        <f t="shared" si="48"/>
        <v>X</v>
      </c>
      <c r="K261" s="1" t="str">
        <f t="shared" si="48"/>
        <v>X</v>
      </c>
      <c r="L261" s="1" t="str">
        <f t="shared" si="48"/>
        <v>X</v>
      </c>
      <c r="M261" s="1" t="str">
        <f t="shared" si="48"/>
        <v>X</v>
      </c>
      <c r="N261" t="s">
        <v>27</v>
      </c>
    </row>
    <row r="262" spans="1:14" x14ac:dyDescent="0.25">
      <c r="A262" t="s">
        <v>14</v>
      </c>
      <c r="B262" t="s">
        <v>15</v>
      </c>
      <c r="C262" t="s">
        <v>35</v>
      </c>
      <c r="D262" t="s">
        <v>31</v>
      </c>
      <c r="E262" t="s">
        <v>22</v>
      </c>
      <c r="F262" t="s">
        <v>15</v>
      </c>
      <c r="G262" s="2">
        <f>VALUE(150.2824299305)</f>
        <v>150.2824299305</v>
      </c>
      <c r="H262" s="3">
        <f>VALUE(144.6700890933)</f>
        <v>144.67008909329999</v>
      </c>
      <c r="I262" s="4">
        <f>VALUE(2854)</f>
        <v>2854</v>
      </c>
      <c r="J262" s="1">
        <f>VALUE(3363)</f>
        <v>3363</v>
      </c>
      <c r="K262" s="1">
        <f>VALUE(3907)</f>
        <v>3907</v>
      </c>
      <c r="L262" s="7">
        <f>VALUE(4324)</f>
        <v>4324</v>
      </c>
      <c r="M262" s="8">
        <f>VALUE(6144)</f>
        <v>6144</v>
      </c>
      <c r="N262" t="s">
        <v>25</v>
      </c>
    </row>
    <row r="263" spans="1:14" x14ac:dyDescent="0.25">
      <c r="A263" t="s">
        <v>14</v>
      </c>
      <c r="B263" t="s">
        <v>15</v>
      </c>
      <c r="C263" t="s">
        <v>35</v>
      </c>
      <c r="D263" t="s">
        <v>31</v>
      </c>
      <c r="E263" t="s">
        <v>22</v>
      </c>
      <c r="F263" t="s">
        <v>17</v>
      </c>
      <c r="G263" s="1" t="str">
        <f t="shared" ref="G263:M263" si="49">"..."</f>
        <v>...</v>
      </c>
      <c r="H263" s="1" t="str">
        <f t="shared" si="49"/>
        <v>...</v>
      </c>
      <c r="I263" s="1" t="str">
        <f t="shared" si="49"/>
        <v>...</v>
      </c>
      <c r="J263" s="1" t="str">
        <f t="shared" si="49"/>
        <v>...</v>
      </c>
      <c r="K263" s="1" t="str">
        <f t="shared" si="49"/>
        <v>...</v>
      </c>
      <c r="L263" s="1" t="str">
        <f t="shared" si="49"/>
        <v>...</v>
      </c>
      <c r="M263" s="1" t="str">
        <f t="shared" si="49"/>
        <v>...</v>
      </c>
      <c r="N263" t="s">
        <v>30</v>
      </c>
    </row>
    <row r="264" spans="1:14" x14ac:dyDescent="0.25">
      <c r="A264" t="s">
        <v>14</v>
      </c>
      <c r="B264" t="s">
        <v>15</v>
      </c>
      <c r="C264" t="s">
        <v>35</v>
      </c>
      <c r="D264" t="s">
        <v>31</v>
      </c>
      <c r="E264" t="s">
        <v>22</v>
      </c>
      <c r="F264" t="s">
        <v>18</v>
      </c>
      <c r="G264" s="1" t="str">
        <f t="shared" ref="G264:M266" si="50">"X"</f>
        <v>X</v>
      </c>
      <c r="H264" s="1" t="str">
        <f t="shared" si="50"/>
        <v>X</v>
      </c>
      <c r="I264" s="1" t="str">
        <f t="shared" si="50"/>
        <v>X</v>
      </c>
      <c r="J264" s="1" t="str">
        <f t="shared" si="50"/>
        <v>X</v>
      </c>
      <c r="K264" s="1" t="str">
        <f t="shared" si="50"/>
        <v>X</v>
      </c>
      <c r="L264" s="1" t="str">
        <f t="shared" si="50"/>
        <v>X</v>
      </c>
      <c r="M264" s="1" t="str">
        <f t="shared" si="50"/>
        <v>X</v>
      </c>
      <c r="N264" t="s">
        <v>27</v>
      </c>
    </row>
    <row r="265" spans="1:14" x14ac:dyDescent="0.25">
      <c r="A265" t="s">
        <v>14</v>
      </c>
      <c r="B265" t="s">
        <v>15</v>
      </c>
      <c r="C265" t="s">
        <v>35</v>
      </c>
      <c r="D265" t="s">
        <v>31</v>
      </c>
      <c r="E265" t="s">
        <v>22</v>
      </c>
      <c r="F265" t="s">
        <v>19</v>
      </c>
      <c r="G265" s="1" t="str">
        <f t="shared" si="50"/>
        <v>X</v>
      </c>
      <c r="H265" s="1" t="str">
        <f t="shared" si="50"/>
        <v>X</v>
      </c>
      <c r="I265" s="1" t="str">
        <f t="shared" si="50"/>
        <v>X</v>
      </c>
      <c r="J265" s="1" t="str">
        <f t="shared" si="50"/>
        <v>X</v>
      </c>
      <c r="K265" s="1" t="str">
        <f t="shared" si="50"/>
        <v>X</v>
      </c>
      <c r="L265" s="1" t="str">
        <f t="shared" si="50"/>
        <v>X</v>
      </c>
      <c r="M265" s="1" t="str">
        <f t="shared" si="50"/>
        <v>X</v>
      </c>
      <c r="N265" t="s">
        <v>27</v>
      </c>
    </row>
    <row r="266" spans="1:14" x14ac:dyDescent="0.25">
      <c r="A266" t="s">
        <v>14</v>
      </c>
      <c r="B266" t="s">
        <v>15</v>
      </c>
      <c r="C266" t="s">
        <v>35</v>
      </c>
      <c r="D266" t="s">
        <v>31</v>
      </c>
      <c r="E266" t="s">
        <v>22</v>
      </c>
      <c r="F266" t="s">
        <v>20</v>
      </c>
      <c r="G266" s="1" t="str">
        <f t="shared" si="50"/>
        <v>X</v>
      </c>
      <c r="H266" s="1" t="str">
        <f t="shared" si="50"/>
        <v>X</v>
      </c>
      <c r="I266" s="1" t="str">
        <f t="shared" si="50"/>
        <v>X</v>
      </c>
      <c r="J266" s="1" t="str">
        <f t="shared" si="50"/>
        <v>X</v>
      </c>
      <c r="K266" s="1" t="str">
        <f t="shared" si="50"/>
        <v>X</v>
      </c>
      <c r="L266" s="1" t="str">
        <f t="shared" si="50"/>
        <v>X</v>
      </c>
      <c r="M266" s="1" t="str">
        <f t="shared" si="50"/>
        <v>X</v>
      </c>
      <c r="N266" t="s">
        <v>27</v>
      </c>
    </row>
    <row r="267" spans="1:14" x14ac:dyDescent="0.25">
      <c r="A267" t="s">
        <v>14</v>
      </c>
      <c r="B267" t="s">
        <v>15</v>
      </c>
      <c r="C267" t="s">
        <v>35</v>
      </c>
      <c r="D267" t="s">
        <v>31</v>
      </c>
      <c r="E267" t="s">
        <v>23</v>
      </c>
      <c r="F267" t="s">
        <v>15</v>
      </c>
      <c r="G267" s="2">
        <f>VALUE(374.7530203532)</f>
        <v>374.75302035319999</v>
      </c>
      <c r="H267" s="3">
        <f>VALUE(358.285679803)</f>
        <v>358.28567980299999</v>
      </c>
      <c r="I267" s="4">
        <f>VALUE(2810)</f>
        <v>2810</v>
      </c>
      <c r="J267" s="1">
        <f>VALUE(3129)</f>
        <v>3129</v>
      </c>
      <c r="K267" s="6">
        <f>VALUE(3425)</f>
        <v>3425</v>
      </c>
      <c r="L267" s="1">
        <f>VALUE(4142)</f>
        <v>4142</v>
      </c>
      <c r="M267" s="1">
        <f>VALUE(4668)</f>
        <v>4668</v>
      </c>
      <c r="N267" t="s">
        <v>25</v>
      </c>
    </row>
    <row r="268" spans="1:14" x14ac:dyDescent="0.25">
      <c r="A268" t="s">
        <v>14</v>
      </c>
      <c r="B268" t="s">
        <v>15</v>
      </c>
      <c r="C268" t="s">
        <v>35</v>
      </c>
      <c r="D268" t="s">
        <v>31</v>
      </c>
      <c r="E268" t="s">
        <v>23</v>
      </c>
      <c r="F268" t="s">
        <v>17</v>
      </c>
      <c r="G268" s="1" t="str">
        <f t="shared" ref="G268:M268" si="51">"..."</f>
        <v>...</v>
      </c>
      <c r="H268" s="1" t="str">
        <f t="shared" si="51"/>
        <v>...</v>
      </c>
      <c r="I268" s="1" t="str">
        <f t="shared" si="51"/>
        <v>...</v>
      </c>
      <c r="J268" s="1" t="str">
        <f t="shared" si="51"/>
        <v>...</v>
      </c>
      <c r="K268" s="1" t="str">
        <f t="shared" si="51"/>
        <v>...</v>
      </c>
      <c r="L268" s="1" t="str">
        <f t="shared" si="51"/>
        <v>...</v>
      </c>
      <c r="M268" s="1" t="str">
        <f t="shared" si="51"/>
        <v>...</v>
      </c>
      <c r="N268" t="s">
        <v>30</v>
      </c>
    </row>
    <row r="269" spans="1:14" x14ac:dyDescent="0.25">
      <c r="A269" t="s">
        <v>14</v>
      </c>
      <c r="B269" t="s">
        <v>15</v>
      </c>
      <c r="C269" t="s">
        <v>35</v>
      </c>
      <c r="D269" t="s">
        <v>31</v>
      </c>
      <c r="E269" t="s">
        <v>23</v>
      </c>
      <c r="F269" t="s">
        <v>18</v>
      </c>
      <c r="G269" s="1" t="str">
        <f t="shared" ref="G269:M270" si="52">"X"</f>
        <v>X</v>
      </c>
      <c r="H269" s="1" t="str">
        <f t="shared" si="52"/>
        <v>X</v>
      </c>
      <c r="I269" s="1" t="str">
        <f t="shared" si="52"/>
        <v>X</v>
      </c>
      <c r="J269" s="1" t="str">
        <f t="shared" si="52"/>
        <v>X</v>
      </c>
      <c r="K269" s="1" t="str">
        <f t="shared" si="52"/>
        <v>X</v>
      </c>
      <c r="L269" s="1" t="str">
        <f t="shared" si="52"/>
        <v>X</v>
      </c>
      <c r="M269" s="1" t="str">
        <f t="shared" si="52"/>
        <v>X</v>
      </c>
      <c r="N269" t="s">
        <v>27</v>
      </c>
    </row>
    <row r="270" spans="1:14" x14ac:dyDescent="0.25">
      <c r="A270" t="s">
        <v>14</v>
      </c>
      <c r="B270" t="s">
        <v>15</v>
      </c>
      <c r="C270" t="s">
        <v>35</v>
      </c>
      <c r="D270" t="s">
        <v>31</v>
      </c>
      <c r="E270" t="s">
        <v>23</v>
      </c>
      <c r="F270" t="s">
        <v>19</v>
      </c>
      <c r="G270" s="1" t="str">
        <f t="shared" si="52"/>
        <v>X</v>
      </c>
      <c r="H270" s="1" t="str">
        <f t="shared" si="52"/>
        <v>X</v>
      </c>
      <c r="I270" s="1" t="str">
        <f t="shared" si="52"/>
        <v>X</v>
      </c>
      <c r="J270" s="1" t="str">
        <f t="shared" si="52"/>
        <v>X</v>
      </c>
      <c r="K270" s="1" t="str">
        <f t="shared" si="52"/>
        <v>X</v>
      </c>
      <c r="L270" s="1" t="str">
        <f t="shared" si="52"/>
        <v>X</v>
      </c>
      <c r="M270" s="1" t="str">
        <f t="shared" si="52"/>
        <v>X</v>
      </c>
      <c r="N270" t="s">
        <v>27</v>
      </c>
    </row>
    <row r="271" spans="1:14" x14ac:dyDescent="0.25">
      <c r="A271" t="s">
        <v>14</v>
      </c>
      <c r="B271" t="s">
        <v>15</v>
      </c>
      <c r="C271" t="s">
        <v>35</v>
      </c>
      <c r="D271" t="s">
        <v>31</v>
      </c>
      <c r="E271" t="s">
        <v>23</v>
      </c>
      <c r="F271" t="s">
        <v>20</v>
      </c>
      <c r="G271" s="2">
        <f>VALUE(350.9082945048)</f>
        <v>350.90829450479998</v>
      </c>
      <c r="H271" s="3">
        <f>VALUE(333.7276378029)</f>
        <v>333.72763780290001</v>
      </c>
      <c r="I271" s="4">
        <f>VALUE(2810)</f>
        <v>2810</v>
      </c>
      <c r="J271" s="1">
        <f>VALUE(3033)</f>
        <v>3033</v>
      </c>
      <c r="K271" s="6">
        <f>VALUE(3368)</f>
        <v>3368</v>
      </c>
      <c r="L271" s="7">
        <f>VALUE(4130)</f>
        <v>4130</v>
      </c>
      <c r="M271" s="1">
        <f>VALUE(4576)</f>
        <v>4576</v>
      </c>
      <c r="N271" t="s">
        <v>25</v>
      </c>
    </row>
    <row r="272" spans="1:14" x14ac:dyDescent="0.25">
      <c r="A272" t="s">
        <v>14</v>
      </c>
      <c r="B272" t="s">
        <v>15</v>
      </c>
      <c r="C272" t="s">
        <v>35</v>
      </c>
      <c r="D272" t="s">
        <v>31</v>
      </c>
      <c r="E272" t="s">
        <v>26</v>
      </c>
      <c r="F272" t="s">
        <v>15</v>
      </c>
      <c r="G272" s="1" t="str">
        <f t="shared" ref="G272:M272" si="53">"X"</f>
        <v>X</v>
      </c>
      <c r="H272" s="1" t="str">
        <f t="shared" si="53"/>
        <v>X</v>
      </c>
      <c r="I272" s="1" t="str">
        <f t="shared" si="53"/>
        <v>X</v>
      </c>
      <c r="J272" s="1" t="str">
        <f t="shared" si="53"/>
        <v>X</v>
      </c>
      <c r="K272" s="1" t="str">
        <f t="shared" si="53"/>
        <v>X</v>
      </c>
      <c r="L272" s="1" t="str">
        <f t="shared" si="53"/>
        <v>X</v>
      </c>
      <c r="M272" s="1" t="str">
        <f t="shared" si="53"/>
        <v>X</v>
      </c>
      <c r="N272" t="s">
        <v>27</v>
      </c>
    </row>
    <row r="273" spans="1:14" x14ac:dyDescent="0.25">
      <c r="A273" t="s">
        <v>14</v>
      </c>
      <c r="B273" t="s">
        <v>15</v>
      </c>
      <c r="C273" t="s">
        <v>35</v>
      </c>
      <c r="D273" t="s">
        <v>31</v>
      </c>
      <c r="E273" t="s">
        <v>26</v>
      </c>
      <c r="F273" t="s">
        <v>17</v>
      </c>
      <c r="G273" s="1" t="str">
        <f t="shared" ref="G273:M275" si="54">"..."</f>
        <v>...</v>
      </c>
      <c r="H273" s="1" t="str">
        <f t="shared" si="54"/>
        <v>...</v>
      </c>
      <c r="I273" s="1" t="str">
        <f t="shared" si="54"/>
        <v>...</v>
      </c>
      <c r="J273" s="1" t="str">
        <f t="shared" si="54"/>
        <v>...</v>
      </c>
      <c r="K273" s="1" t="str">
        <f t="shared" si="54"/>
        <v>...</v>
      </c>
      <c r="L273" s="1" t="str">
        <f t="shared" si="54"/>
        <v>...</v>
      </c>
      <c r="M273" s="1" t="str">
        <f t="shared" si="54"/>
        <v>...</v>
      </c>
      <c r="N273" t="s">
        <v>30</v>
      </c>
    </row>
    <row r="274" spans="1:14" x14ac:dyDescent="0.25">
      <c r="A274" t="s">
        <v>14</v>
      </c>
      <c r="B274" t="s">
        <v>15</v>
      </c>
      <c r="C274" t="s">
        <v>35</v>
      </c>
      <c r="D274" t="s">
        <v>31</v>
      </c>
      <c r="E274" t="s">
        <v>26</v>
      </c>
      <c r="F274" t="s">
        <v>18</v>
      </c>
      <c r="G274" s="1" t="str">
        <f t="shared" si="54"/>
        <v>...</v>
      </c>
      <c r="H274" s="1" t="str">
        <f t="shared" si="54"/>
        <v>...</v>
      </c>
      <c r="I274" s="1" t="str">
        <f t="shared" si="54"/>
        <v>...</v>
      </c>
      <c r="J274" s="1" t="str">
        <f t="shared" si="54"/>
        <v>...</v>
      </c>
      <c r="K274" s="1" t="str">
        <f t="shared" si="54"/>
        <v>...</v>
      </c>
      <c r="L274" s="1" t="str">
        <f t="shared" si="54"/>
        <v>...</v>
      </c>
      <c r="M274" s="1" t="str">
        <f t="shared" si="54"/>
        <v>...</v>
      </c>
      <c r="N274" t="s">
        <v>30</v>
      </c>
    </row>
    <row r="275" spans="1:14" x14ac:dyDescent="0.25">
      <c r="A275" t="s">
        <v>14</v>
      </c>
      <c r="B275" t="s">
        <v>15</v>
      </c>
      <c r="C275" t="s">
        <v>35</v>
      </c>
      <c r="D275" t="s">
        <v>31</v>
      </c>
      <c r="E275" t="s">
        <v>26</v>
      </c>
      <c r="F275" t="s">
        <v>19</v>
      </c>
      <c r="G275" s="1" t="str">
        <f t="shared" si="54"/>
        <v>...</v>
      </c>
      <c r="H275" s="1" t="str">
        <f t="shared" si="54"/>
        <v>...</v>
      </c>
      <c r="I275" s="1" t="str">
        <f t="shared" si="54"/>
        <v>...</v>
      </c>
      <c r="J275" s="1" t="str">
        <f t="shared" si="54"/>
        <v>...</v>
      </c>
      <c r="K275" s="1" t="str">
        <f t="shared" si="54"/>
        <v>...</v>
      </c>
      <c r="L275" s="1" t="str">
        <f t="shared" si="54"/>
        <v>...</v>
      </c>
      <c r="M275" s="1" t="str">
        <f t="shared" si="54"/>
        <v>...</v>
      </c>
      <c r="N275" t="s">
        <v>30</v>
      </c>
    </row>
    <row r="276" spans="1:14" x14ac:dyDescent="0.25">
      <c r="A276" t="s">
        <v>14</v>
      </c>
      <c r="B276" t="s">
        <v>15</v>
      </c>
      <c r="C276" t="s">
        <v>35</v>
      </c>
      <c r="D276" t="s">
        <v>31</v>
      </c>
      <c r="E276" t="s">
        <v>26</v>
      </c>
      <c r="F276" t="s">
        <v>20</v>
      </c>
      <c r="G276" s="1" t="str">
        <f t="shared" ref="G276:M276" si="55">"X"</f>
        <v>X</v>
      </c>
      <c r="H276" s="1" t="str">
        <f t="shared" si="55"/>
        <v>X</v>
      </c>
      <c r="I276" s="1" t="str">
        <f t="shared" si="55"/>
        <v>X</v>
      </c>
      <c r="J276" s="1" t="str">
        <f t="shared" si="55"/>
        <v>X</v>
      </c>
      <c r="K276" s="1" t="str">
        <f t="shared" si="55"/>
        <v>X</v>
      </c>
      <c r="L276" s="1" t="str">
        <f t="shared" si="55"/>
        <v>X</v>
      </c>
      <c r="M276" s="1" t="str">
        <f t="shared" si="55"/>
        <v>X</v>
      </c>
      <c r="N276" t="s">
        <v>27</v>
      </c>
    </row>
    <row r="277" spans="1:14" x14ac:dyDescent="0.25">
      <c r="A277" t="s">
        <v>14</v>
      </c>
      <c r="B277" t="s">
        <v>15</v>
      </c>
      <c r="C277" t="s">
        <v>35</v>
      </c>
      <c r="D277" t="s">
        <v>32</v>
      </c>
      <c r="E277" t="s">
        <v>15</v>
      </c>
      <c r="F277" t="s">
        <v>15</v>
      </c>
      <c r="G277" s="1">
        <f>VALUE(2342.1994500472)</f>
        <v>2342.1994500472001</v>
      </c>
      <c r="H277" s="1">
        <f>VALUE(2285.7632019865)</f>
        <v>2285.7632019865</v>
      </c>
      <c r="I277" s="1">
        <f>VALUE(2450)</f>
        <v>2450</v>
      </c>
      <c r="J277" s="1">
        <f>VALUE(2721)</f>
        <v>2721</v>
      </c>
      <c r="K277" s="1">
        <f>VALUE(3232)</f>
        <v>3232</v>
      </c>
      <c r="L277" s="1">
        <f>VALUE(3921)</f>
        <v>3921</v>
      </c>
      <c r="M277" s="1">
        <f>VALUE(4760)</f>
        <v>4760</v>
      </c>
      <c r="N277" t="s">
        <v>16</v>
      </c>
    </row>
    <row r="278" spans="1:14" x14ac:dyDescent="0.25">
      <c r="A278" t="s">
        <v>14</v>
      </c>
      <c r="B278" t="s">
        <v>15</v>
      </c>
      <c r="C278" t="s">
        <v>35</v>
      </c>
      <c r="D278" t="s">
        <v>32</v>
      </c>
      <c r="E278" t="s">
        <v>15</v>
      </c>
      <c r="F278" t="s">
        <v>17</v>
      </c>
      <c r="G278" s="1" t="str">
        <f t="shared" ref="G278:M279" si="56">"X"</f>
        <v>X</v>
      </c>
      <c r="H278" s="1" t="str">
        <f t="shared" si="56"/>
        <v>X</v>
      </c>
      <c r="I278" s="1" t="str">
        <f t="shared" si="56"/>
        <v>X</v>
      </c>
      <c r="J278" s="1" t="str">
        <f t="shared" si="56"/>
        <v>X</v>
      </c>
      <c r="K278" s="1" t="str">
        <f t="shared" si="56"/>
        <v>X</v>
      </c>
      <c r="L278" s="1" t="str">
        <f t="shared" si="56"/>
        <v>X</v>
      </c>
      <c r="M278" s="1" t="str">
        <f t="shared" si="56"/>
        <v>X</v>
      </c>
      <c r="N278" t="s">
        <v>27</v>
      </c>
    </row>
    <row r="279" spans="1:14" x14ac:dyDescent="0.25">
      <c r="A279" t="s">
        <v>14</v>
      </c>
      <c r="B279" t="s">
        <v>15</v>
      </c>
      <c r="C279" t="s">
        <v>35</v>
      </c>
      <c r="D279" t="s">
        <v>32</v>
      </c>
      <c r="E279" t="s">
        <v>15</v>
      </c>
      <c r="F279" t="s">
        <v>18</v>
      </c>
      <c r="G279" s="1" t="str">
        <f t="shared" si="56"/>
        <v>X</v>
      </c>
      <c r="H279" s="1" t="str">
        <f t="shared" si="56"/>
        <v>X</v>
      </c>
      <c r="I279" s="1" t="str">
        <f t="shared" si="56"/>
        <v>X</v>
      </c>
      <c r="J279" s="1" t="str">
        <f t="shared" si="56"/>
        <v>X</v>
      </c>
      <c r="K279" s="1" t="str">
        <f t="shared" si="56"/>
        <v>X</v>
      </c>
      <c r="L279" s="1" t="str">
        <f t="shared" si="56"/>
        <v>X</v>
      </c>
      <c r="M279" s="1" t="str">
        <f t="shared" si="56"/>
        <v>X</v>
      </c>
      <c r="N279" t="s">
        <v>27</v>
      </c>
    </row>
    <row r="280" spans="1:14" x14ac:dyDescent="0.25">
      <c r="A280" t="s">
        <v>14</v>
      </c>
      <c r="B280" t="s">
        <v>15</v>
      </c>
      <c r="C280" t="s">
        <v>35</v>
      </c>
      <c r="D280" t="s">
        <v>32</v>
      </c>
      <c r="E280" t="s">
        <v>15</v>
      </c>
      <c r="F280" t="s">
        <v>19</v>
      </c>
      <c r="G280" s="2">
        <f>VALUE(180.343426133)</f>
        <v>180.34342613300001</v>
      </c>
      <c r="H280" s="3">
        <f>VALUE(177.2300367139)</f>
        <v>177.23003671390001</v>
      </c>
      <c r="I280" s="1">
        <f>VALUE(2899)</f>
        <v>2899</v>
      </c>
      <c r="J280" s="1">
        <f>VALUE(3250)</f>
        <v>3250</v>
      </c>
      <c r="K280" s="1">
        <f>VALUE(3772)</f>
        <v>3772</v>
      </c>
      <c r="L280" s="1">
        <f>VALUE(4151)</f>
        <v>4151</v>
      </c>
      <c r="M280" s="1">
        <f>VALUE(5428)</f>
        <v>5428</v>
      </c>
      <c r="N280" t="s">
        <v>25</v>
      </c>
    </row>
    <row r="281" spans="1:14" x14ac:dyDescent="0.25">
      <c r="A281" t="s">
        <v>14</v>
      </c>
      <c r="B281" t="s">
        <v>15</v>
      </c>
      <c r="C281" t="s">
        <v>35</v>
      </c>
      <c r="D281" t="s">
        <v>32</v>
      </c>
      <c r="E281" t="s">
        <v>15</v>
      </c>
      <c r="F281" t="s">
        <v>20</v>
      </c>
      <c r="G281" s="1">
        <f>VALUE(2002.2954767375)</f>
        <v>2002.2954767374999</v>
      </c>
      <c r="H281" s="1">
        <f>VALUE(1956.2561843077)</f>
        <v>1956.2561843077001</v>
      </c>
      <c r="I281" s="1">
        <f>VALUE(2427)</f>
        <v>2427</v>
      </c>
      <c r="J281" s="1">
        <f>VALUE(2667)</f>
        <v>2667</v>
      </c>
      <c r="K281" s="1">
        <f>VALUE(3146)</f>
        <v>3146</v>
      </c>
      <c r="L281" s="1">
        <f>VALUE(3881)</f>
        <v>3881</v>
      </c>
      <c r="M281" s="1">
        <f>VALUE(4630)</f>
        <v>4630</v>
      </c>
      <c r="N281" t="s">
        <v>16</v>
      </c>
    </row>
    <row r="282" spans="1:14" x14ac:dyDescent="0.25">
      <c r="A282" t="s">
        <v>14</v>
      </c>
      <c r="B282" t="s">
        <v>15</v>
      </c>
      <c r="C282" t="s">
        <v>35</v>
      </c>
      <c r="D282" t="s">
        <v>32</v>
      </c>
      <c r="E282" t="s">
        <v>21</v>
      </c>
      <c r="F282" t="s">
        <v>15</v>
      </c>
      <c r="G282" s="2">
        <f>VALUE(131.2089840886)</f>
        <v>131.2089840886</v>
      </c>
      <c r="H282" s="3">
        <f>VALUE(119.6046958347)</f>
        <v>119.6046958347</v>
      </c>
      <c r="I282" s="1">
        <f>VALUE(2708)</f>
        <v>2708</v>
      </c>
      <c r="J282" s="1">
        <f>VALUE(3023)</f>
        <v>3023</v>
      </c>
      <c r="K282" s="1">
        <f>VALUE(3593)</f>
        <v>3593</v>
      </c>
      <c r="L282" s="7">
        <f>VALUE(4084)</f>
        <v>4084</v>
      </c>
      <c r="M282" s="8">
        <f>VALUE(5567)</f>
        <v>5567</v>
      </c>
      <c r="N282" t="s">
        <v>25</v>
      </c>
    </row>
    <row r="283" spans="1:14" x14ac:dyDescent="0.25">
      <c r="A283" t="s">
        <v>14</v>
      </c>
      <c r="B283" t="s">
        <v>15</v>
      </c>
      <c r="C283" t="s">
        <v>35</v>
      </c>
      <c r="D283" t="s">
        <v>32</v>
      </c>
      <c r="E283" t="s">
        <v>21</v>
      </c>
      <c r="F283" t="s">
        <v>17</v>
      </c>
      <c r="G283" s="1" t="str">
        <f t="shared" ref="G283:M286" si="57">"X"</f>
        <v>X</v>
      </c>
      <c r="H283" s="1" t="str">
        <f t="shared" si="57"/>
        <v>X</v>
      </c>
      <c r="I283" s="1" t="str">
        <f t="shared" si="57"/>
        <v>X</v>
      </c>
      <c r="J283" s="1" t="str">
        <f t="shared" si="57"/>
        <v>X</v>
      </c>
      <c r="K283" s="1" t="str">
        <f t="shared" si="57"/>
        <v>X</v>
      </c>
      <c r="L283" s="1" t="str">
        <f t="shared" si="57"/>
        <v>X</v>
      </c>
      <c r="M283" s="1" t="str">
        <f t="shared" si="57"/>
        <v>X</v>
      </c>
      <c r="N283" t="s">
        <v>27</v>
      </c>
    </row>
    <row r="284" spans="1:14" x14ac:dyDescent="0.25">
      <c r="A284" t="s">
        <v>14</v>
      </c>
      <c r="B284" t="s">
        <v>15</v>
      </c>
      <c r="C284" t="s">
        <v>35</v>
      </c>
      <c r="D284" t="s">
        <v>32</v>
      </c>
      <c r="E284" t="s">
        <v>21</v>
      </c>
      <c r="F284" t="s">
        <v>18</v>
      </c>
      <c r="G284" s="1" t="str">
        <f t="shared" si="57"/>
        <v>X</v>
      </c>
      <c r="H284" s="1" t="str">
        <f t="shared" si="57"/>
        <v>X</v>
      </c>
      <c r="I284" s="1" t="str">
        <f t="shared" si="57"/>
        <v>X</v>
      </c>
      <c r="J284" s="1" t="str">
        <f t="shared" si="57"/>
        <v>X</v>
      </c>
      <c r="K284" s="1" t="str">
        <f t="shared" si="57"/>
        <v>X</v>
      </c>
      <c r="L284" s="1" t="str">
        <f t="shared" si="57"/>
        <v>X</v>
      </c>
      <c r="M284" s="1" t="str">
        <f t="shared" si="57"/>
        <v>X</v>
      </c>
      <c r="N284" t="s">
        <v>27</v>
      </c>
    </row>
    <row r="285" spans="1:14" x14ac:dyDescent="0.25">
      <c r="A285" t="s">
        <v>14</v>
      </c>
      <c r="B285" t="s">
        <v>15</v>
      </c>
      <c r="C285" t="s">
        <v>35</v>
      </c>
      <c r="D285" t="s">
        <v>32</v>
      </c>
      <c r="E285" t="s">
        <v>21</v>
      </c>
      <c r="F285" t="s">
        <v>19</v>
      </c>
      <c r="G285" s="1" t="str">
        <f t="shared" si="57"/>
        <v>X</v>
      </c>
      <c r="H285" s="1" t="str">
        <f t="shared" si="57"/>
        <v>X</v>
      </c>
      <c r="I285" s="1" t="str">
        <f t="shared" si="57"/>
        <v>X</v>
      </c>
      <c r="J285" s="1" t="str">
        <f t="shared" si="57"/>
        <v>X</v>
      </c>
      <c r="K285" s="1" t="str">
        <f t="shared" si="57"/>
        <v>X</v>
      </c>
      <c r="L285" s="1" t="str">
        <f t="shared" si="57"/>
        <v>X</v>
      </c>
      <c r="M285" s="1" t="str">
        <f t="shared" si="57"/>
        <v>X</v>
      </c>
      <c r="N285" t="s">
        <v>27</v>
      </c>
    </row>
    <row r="286" spans="1:14" x14ac:dyDescent="0.25">
      <c r="A286" t="s">
        <v>14</v>
      </c>
      <c r="B286" t="s">
        <v>15</v>
      </c>
      <c r="C286" t="s">
        <v>35</v>
      </c>
      <c r="D286" t="s">
        <v>32</v>
      </c>
      <c r="E286" t="s">
        <v>21</v>
      </c>
      <c r="F286" t="s">
        <v>20</v>
      </c>
      <c r="G286" s="1" t="str">
        <f t="shared" si="57"/>
        <v>X</v>
      </c>
      <c r="H286" s="1" t="str">
        <f t="shared" si="57"/>
        <v>X</v>
      </c>
      <c r="I286" s="1" t="str">
        <f t="shared" si="57"/>
        <v>X</v>
      </c>
      <c r="J286" s="1" t="str">
        <f t="shared" si="57"/>
        <v>X</v>
      </c>
      <c r="K286" s="1" t="str">
        <f t="shared" si="57"/>
        <v>X</v>
      </c>
      <c r="L286" s="1" t="str">
        <f t="shared" si="57"/>
        <v>X</v>
      </c>
      <c r="M286" s="1" t="str">
        <f t="shared" si="57"/>
        <v>X</v>
      </c>
      <c r="N286" t="s">
        <v>27</v>
      </c>
    </row>
    <row r="287" spans="1:14" x14ac:dyDescent="0.25">
      <c r="A287" t="s">
        <v>14</v>
      </c>
      <c r="B287" t="s">
        <v>15</v>
      </c>
      <c r="C287" t="s">
        <v>35</v>
      </c>
      <c r="D287" t="s">
        <v>32</v>
      </c>
      <c r="E287" t="s">
        <v>22</v>
      </c>
      <c r="F287" t="s">
        <v>15</v>
      </c>
      <c r="G287" s="2">
        <f>VALUE(619.3640740793)</f>
        <v>619.36407407930005</v>
      </c>
      <c r="H287" s="3">
        <f>VALUE(616.242923701)</f>
        <v>616.242923701</v>
      </c>
      <c r="I287" s="1">
        <f>VALUE(2667)</f>
        <v>2667</v>
      </c>
      <c r="J287" s="1">
        <f>VALUE(3220)</f>
        <v>3220</v>
      </c>
      <c r="K287" s="1">
        <f>VALUE(3796)</f>
        <v>3796</v>
      </c>
      <c r="L287" s="1">
        <f>VALUE(4372)</f>
        <v>4372</v>
      </c>
      <c r="M287" s="1">
        <f>VALUE(5081)</f>
        <v>5081</v>
      </c>
      <c r="N287" t="s">
        <v>25</v>
      </c>
    </row>
    <row r="288" spans="1:14" x14ac:dyDescent="0.25">
      <c r="A288" t="s">
        <v>14</v>
      </c>
      <c r="B288" t="s">
        <v>15</v>
      </c>
      <c r="C288" t="s">
        <v>35</v>
      </c>
      <c r="D288" t="s">
        <v>32</v>
      </c>
      <c r="E288" t="s">
        <v>22</v>
      </c>
      <c r="F288" t="s">
        <v>17</v>
      </c>
      <c r="G288" s="1" t="str">
        <f t="shared" ref="G288:M290" si="58">"X"</f>
        <v>X</v>
      </c>
      <c r="H288" s="1" t="str">
        <f t="shared" si="58"/>
        <v>X</v>
      </c>
      <c r="I288" s="1" t="str">
        <f t="shared" si="58"/>
        <v>X</v>
      </c>
      <c r="J288" s="1" t="str">
        <f t="shared" si="58"/>
        <v>X</v>
      </c>
      <c r="K288" s="1" t="str">
        <f t="shared" si="58"/>
        <v>X</v>
      </c>
      <c r="L288" s="1" t="str">
        <f t="shared" si="58"/>
        <v>X</v>
      </c>
      <c r="M288" s="1" t="str">
        <f t="shared" si="58"/>
        <v>X</v>
      </c>
      <c r="N288" t="s">
        <v>27</v>
      </c>
    </row>
    <row r="289" spans="1:14" x14ac:dyDescent="0.25">
      <c r="A289" t="s">
        <v>14</v>
      </c>
      <c r="B289" t="s">
        <v>15</v>
      </c>
      <c r="C289" t="s">
        <v>35</v>
      </c>
      <c r="D289" t="s">
        <v>32</v>
      </c>
      <c r="E289" t="s">
        <v>22</v>
      </c>
      <c r="F289" t="s">
        <v>18</v>
      </c>
      <c r="G289" s="1" t="str">
        <f t="shared" si="58"/>
        <v>X</v>
      </c>
      <c r="H289" s="1" t="str">
        <f t="shared" si="58"/>
        <v>X</v>
      </c>
      <c r="I289" s="1" t="str">
        <f t="shared" si="58"/>
        <v>X</v>
      </c>
      <c r="J289" s="1" t="str">
        <f t="shared" si="58"/>
        <v>X</v>
      </c>
      <c r="K289" s="1" t="str">
        <f t="shared" si="58"/>
        <v>X</v>
      </c>
      <c r="L289" s="1" t="str">
        <f t="shared" si="58"/>
        <v>X</v>
      </c>
      <c r="M289" s="1" t="str">
        <f t="shared" si="58"/>
        <v>X</v>
      </c>
      <c r="N289" t="s">
        <v>27</v>
      </c>
    </row>
    <row r="290" spans="1:14" x14ac:dyDescent="0.25">
      <c r="A290" t="s">
        <v>14</v>
      </c>
      <c r="B290" t="s">
        <v>15</v>
      </c>
      <c r="C290" t="s">
        <v>35</v>
      </c>
      <c r="D290" t="s">
        <v>32</v>
      </c>
      <c r="E290" t="s">
        <v>22</v>
      </c>
      <c r="F290" t="s">
        <v>19</v>
      </c>
      <c r="G290" s="1" t="str">
        <f t="shared" si="58"/>
        <v>X</v>
      </c>
      <c r="H290" s="1" t="str">
        <f t="shared" si="58"/>
        <v>X</v>
      </c>
      <c r="I290" s="1" t="str">
        <f t="shared" si="58"/>
        <v>X</v>
      </c>
      <c r="J290" s="1" t="str">
        <f t="shared" si="58"/>
        <v>X</v>
      </c>
      <c r="K290" s="1" t="str">
        <f t="shared" si="58"/>
        <v>X</v>
      </c>
      <c r="L290" s="1" t="str">
        <f t="shared" si="58"/>
        <v>X</v>
      </c>
      <c r="M290" s="1" t="str">
        <f t="shared" si="58"/>
        <v>X</v>
      </c>
      <c r="N290" t="s">
        <v>27</v>
      </c>
    </row>
    <row r="291" spans="1:14" x14ac:dyDescent="0.25">
      <c r="A291" t="s">
        <v>14</v>
      </c>
      <c r="B291" t="s">
        <v>15</v>
      </c>
      <c r="C291" t="s">
        <v>35</v>
      </c>
      <c r="D291" t="s">
        <v>32</v>
      </c>
      <c r="E291" t="s">
        <v>22</v>
      </c>
      <c r="F291" t="s">
        <v>20</v>
      </c>
      <c r="G291" s="2">
        <f>VALUE(458.4405853963)</f>
        <v>458.44058539629998</v>
      </c>
      <c r="H291" s="3">
        <f>VALUE(453.4213131908)</f>
        <v>453.42131319079999</v>
      </c>
      <c r="I291" s="1">
        <f>VALUE(2476)</f>
        <v>2476</v>
      </c>
      <c r="J291" s="1">
        <f>VALUE(3166)</f>
        <v>3166</v>
      </c>
      <c r="K291" s="1">
        <f>VALUE(3754)</f>
        <v>3754</v>
      </c>
      <c r="L291" s="1">
        <f>VALUE(4333)</f>
        <v>4333</v>
      </c>
      <c r="M291" s="1">
        <f>VALUE(5081)</f>
        <v>5081</v>
      </c>
      <c r="N291" t="s">
        <v>25</v>
      </c>
    </row>
    <row r="292" spans="1:14" x14ac:dyDescent="0.25">
      <c r="A292" t="s">
        <v>14</v>
      </c>
      <c r="B292" t="s">
        <v>15</v>
      </c>
      <c r="C292" t="s">
        <v>35</v>
      </c>
      <c r="D292" t="s">
        <v>32</v>
      </c>
      <c r="E292" t="s">
        <v>23</v>
      </c>
      <c r="F292" t="s">
        <v>15</v>
      </c>
      <c r="G292" s="1">
        <f>VALUE(1591.6263918793)</f>
        <v>1591.6263918792999</v>
      </c>
      <c r="H292" s="1">
        <f>VALUE(1549.9155824508)</f>
        <v>1549.9155824508</v>
      </c>
      <c r="I292" s="1">
        <f>VALUE(2400)</f>
        <v>2400</v>
      </c>
      <c r="J292" s="1">
        <f>VALUE(2620)</f>
        <v>2620</v>
      </c>
      <c r="K292" s="1">
        <f>VALUE(3095)</f>
        <v>3095</v>
      </c>
      <c r="L292" s="1">
        <f>VALUE(3693)</f>
        <v>3693</v>
      </c>
      <c r="M292" s="1">
        <f>VALUE(4431)</f>
        <v>4431</v>
      </c>
      <c r="N292" t="s">
        <v>16</v>
      </c>
    </row>
    <row r="293" spans="1:14" x14ac:dyDescent="0.25">
      <c r="A293" t="s">
        <v>14</v>
      </c>
      <c r="B293" t="s">
        <v>15</v>
      </c>
      <c r="C293" t="s">
        <v>35</v>
      </c>
      <c r="D293" t="s">
        <v>32</v>
      </c>
      <c r="E293" t="s">
        <v>23</v>
      </c>
      <c r="F293" t="s">
        <v>17</v>
      </c>
      <c r="G293" s="1" t="str">
        <f t="shared" ref="G293:M295" si="59">"X"</f>
        <v>X</v>
      </c>
      <c r="H293" s="1" t="str">
        <f t="shared" si="59"/>
        <v>X</v>
      </c>
      <c r="I293" s="1" t="str">
        <f t="shared" si="59"/>
        <v>X</v>
      </c>
      <c r="J293" s="1" t="str">
        <f t="shared" si="59"/>
        <v>X</v>
      </c>
      <c r="K293" s="1" t="str">
        <f t="shared" si="59"/>
        <v>X</v>
      </c>
      <c r="L293" s="1" t="str">
        <f t="shared" si="59"/>
        <v>X</v>
      </c>
      <c r="M293" s="1" t="str">
        <f t="shared" si="59"/>
        <v>X</v>
      </c>
      <c r="N293" t="s">
        <v>27</v>
      </c>
    </row>
    <row r="294" spans="1:14" x14ac:dyDescent="0.25">
      <c r="A294" t="s">
        <v>14</v>
      </c>
      <c r="B294" t="s">
        <v>15</v>
      </c>
      <c r="C294" t="s">
        <v>35</v>
      </c>
      <c r="D294" t="s">
        <v>32</v>
      </c>
      <c r="E294" t="s">
        <v>23</v>
      </c>
      <c r="F294" t="s">
        <v>18</v>
      </c>
      <c r="G294" s="1" t="str">
        <f t="shared" si="59"/>
        <v>X</v>
      </c>
      <c r="H294" s="1" t="str">
        <f t="shared" si="59"/>
        <v>X</v>
      </c>
      <c r="I294" s="1" t="str">
        <f t="shared" si="59"/>
        <v>X</v>
      </c>
      <c r="J294" s="1" t="str">
        <f t="shared" si="59"/>
        <v>X</v>
      </c>
      <c r="K294" s="1" t="str">
        <f t="shared" si="59"/>
        <v>X</v>
      </c>
      <c r="L294" s="1" t="str">
        <f t="shared" si="59"/>
        <v>X</v>
      </c>
      <c r="M294" s="1" t="str">
        <f t="shared" si="59"/>
        <v>X</v>
      </c>
      <c r="N294" t="s">
        <v>27</v>
      </c>
    </row>
    <row r="295" spans="1:14" x14ac:dyDescent="0.25">
      <c r="A295" t="s">
        <v>14</v>
      </c>
      <c r="B295" t="s">
        <v>15</v>
      </c>
      <c r="C295" t="s">
        <v>35</v>
      </c>
      <c r="D295" t="s">
        <v>32</v>
      </c>
      <c r="E295" t="s">
        <v>23</v>
      </c>
      <c r="F295" t="s">
        <v>19</v>
      </c>
      <c r="G295" s="1" t="str">
        <f t="shared" si="59"/>
        <v>X</v>
      </c>
      <c r="H295" s="1" t="str">
        <f t="shared" si="59"/>
        <v>X</v>
      </c>
      <c r="I295" s="1" t="str">
        <f t="shared" si="59"/>
        <v>X</v>
      </c>
      <c r="J295" s="1" t="str">
        <f t="shared" si="59"/>
        <v>X</v>
      </c>
      <c r="K295" s="1" t="str">
        <f t="shared" si="59"/>
        <v>X</v>
      </c>
      <c r="L295" s="1" t="str">
        <f t="shared" si="59"/>
        <v>X</v>
      </c>
      <c r="M295" s="1" t="str">
        <f t="shared" si="59"/>
        <v>X</v>
      </c>
      <c r="N295" t="s">
        <v>27</v>
      </c>
    </row>
    <row r="296" spans="1:14" x14ac:dyDescent="0.25">
      <c r="A296" t="s">
        <v>14</v>
      </c>
      <c r="B296" t="s">
        <v>15</v>
      </c>
      <c r="C296" t="s">
        <v>35</v>
      </c>
      <c r="D296" t="s">
        <v>32</v>
      </c>
      <c r="E296" t="s">
        <v>23</v>
      </c>
      <c r="F296" t="s">
        <v>20</v>
      </c>
      <c r="G296" s="2">
        <f>VALUE(1472.2039681112)</f>
        <v>1472.2039681112001</v>
      </c>
      <c r="H296" s="3">
        <f>VALUE(1439.4710680319)</f>
        <v>1439.4710680318999</v>
      </c>
      <c r="I296" s="1">
        <f>VALUE(2400)</f>
        <v>2400</v>
      </c>
      <c r="J296" s="1">
        <f>VALUE(2612)</f>
        <v>2612</v>
      </c>
      <c r="K296" s="1">
        <f>VALUE(3048)</f>
        <v>3048</v>
      </c>
      <c r="L296" s="1">
        <f>VALUE(3664)</f>
        <v>3664</v>
      </c>
      <c r="M296" s="1">
        <f>VALUE(4364)</f>
        <v>4364</v>
      </c>
      <c r="N296" t="s">
        <v>25</v>
      </c>
    </row>
    <row r="297" spans="1:14" x14ac:dyDescent="0.25">
      <c r="A297" t="s">
        <v>14</v>
      </c>
      <c r="B297" t="s">
        <v>15</v>
      </c>
      <c r="C297" t="s">
        <v>35</v>
      </c>
      <c r="D297" t="s">
        <v>32</v>
      </c>
      <c r="E297" t="s">
        <v>26</v>
      </c>
      <c r="F297" t="s">
        <v>15</v>
      </c>
      <c r="G297" s="1" t="str">
        <f t="shared" ref="G297:M301" si="60">"..."</f>
        <v>...</v>
      </c>
      <c r="H297" s="1" t="str">
        <f t="shared" si="60"/>
        <v>...</v>
      </c>
      <c r="I297" s="1" t="str">
        <f t="shared" si="60"/>
        <v>...</v>
      </c>
      <c r="J297" s="1" t="str">
        <f t="shared" si="60"/>
        <v>...</v>
      </c>
      <c r="K297" s="1" t="str">
        <f t="shared" si="60"/>
        <v>...</v>
      </c>
      <c r="L297" s="1" t="str">
        <f t="shared" si="60"/>
        <v>...</v>
      </c>
      <c r="M297" s="1" t="str">
        <f t="shared" si="60"/>
        <v>...</v>
      </c>
      <c r="N297" t="s">
        <v>30</v>
      </c>
    </row>
    <row r="298" spans="1:14" x14ac:dyDescent="0.25">
      <c r="A298" t="s">
        <v>14</v>
      </c>
      <c r="B298" t="s">
        <v>15</v>
      </c>
      <c r="C298" t="s">
        <v>35</v>
      </c>
      <c r="D298" t="s">
        <v>32</v>
      </c>
      <c r="E298" t="s">
        <v>26</v>
      </c>
      <c r="F298" t="s">
        <v>17</v>
      </c>
      <c r="G298" s="1" t="str">
        <f t="shared" si="60"/>
        <v>...</v>
      </c>
      <c r="H298" s="1" t="str">
        <f t="shared" si="60"/>
        <v>...</v>
      </c>
      <c r="I298" s="1" t="str">
        <f t="shared" si="60"/>
        <v>...</v>
      </c>
      <c r="J298" s="1" t="str">
        <f t="shared" si="60"/>
        <v>...</v>
      </c>
      <c r="K298" s="1" t="str">
        <f t="shared" si="60"/>
        <v>...</v>
      </c>
      <c r="L298" s="1" t="str">
        <f t="shared" si="60"/>
        <v>...</v>
      </c>
      <c r="M298" s="1" t="str">
        <f t="shared" si="60"/>
        <v>...</v>
      </c>
      <c r="N298" t="s">
        <v>30</v>
      </c>
    </row>
    <row r="299" spans="1:14" x14ac:dyDescent="0.25">
      <c r="A299" t="s">
        <v>14</v>
      </c>
      <c r="B299" t="s">
        <v>15</v>
      </c>
      <c r="C299" t="s">
        <v>35</v>
      </c>
      <c r="D299" t="s">
        <v>32</v>
      </c>
      <c r="E299" t="s">
        <v>26</v>
      </c>
      <c r="F299" t="s">
        <v>18</v>
      </c>
      <c r="G299" s="1" t="str">
        <f t="shared" si="60"/>
        <v>...</v>
      </c>
      <c r="H299" s="1" t="str">
        <f t="shared" si="60"/>
        <v>...</v>
      </c>
      <c r="I299" s="1" t="str">
        <f t="shared" si="60"/>
        <v>...</v>
      </c>
      <c r="J299" s="1" t="str">
        <f t="shared" si="60"/>
        <v>...</v>
      </c>
      <c r="K299" s="1" t="str">
        <f t="shared" si="60"/>
        <v>...</v>
      </c>
      <c r="L299" s="1" t="str">
        <f t="shared" si="60"/>
        <v>...</v>
      </c>
      <c r="M299" s="1" t="str">
        <f t="shared" si="60"/>
        <v>...</v>
      </c>
      <c r="N299" t="s">
        <v>30</v>
      </c>
    </row>
    <row r="300" spans="1:14" x14ac:dyDescent="0.25">
      <c r="A300" t="s">
        <v>14</v>
      </c>
      <c r="B300" t="s">
        <v>15</v>
      </c>
      <c r="C300" t="s">
        <v>35</v>
      </c>
      <c r="D300" t="s">
        <v>32</v>
      </c>
      <c r="E300" t="s">
        <v>26</v>
      </c>
      <c r="F300" t="s">
        <v>19</v>
      </c>
      <c r="G300" s="1" t="str">
        <f t="shared" si="60"/>
        <v>...</v>
      </c>
      <c r="H300" s="1" t="str">
        <f t="shared" si="60"/>
        <v>...</v>
      </c>
      <c r="I300" s="1" t="str">
        <f t="shared" si="60"/>
        <v>...</v>
      </c>
      <c r="J300" s="1" t="str">
        <f t="shared" si="60"/>
        <v>...</v>
      </c>
      <c r="K300" s="1" t="str">
        <f t="shared" si="60"/>
        <v>...</v>
      </c>
      <c r="L300" s="1" t="str">
        <f t="shared" si="60"/>
        <v>...</v>
      </c>
      <c r="M300" s="1" t="str">
        <f t="shared" si="60"/>
        <v>...</v>
      </c>
      <c r="N300" t="s">
        <v>30</v>
      </c>
    </row>
    <row r="301" spans="1:14" x14ac:dyDescent="0.25">
      <c r="A301" t="s">
        <v>14</v>
      </c>
      <c r="B301" t="s">
        <v>15</v>
      </c>
      <c r="C301" t="s">
        <v>35</v>
      </c>
      <c r="D301" t="s">
        <v>32</v>
      </c>
      <c r="E301" t="s">
        <v>26</v>
      </c>
      <c r="F301" t="s">
        <v>20</v>
      </c>
      <c r="G301" s="1" t="str">
        <f t="shared" si="60"/>
        <v>...</v>
      </c>
      <c r="H301" s="1" t="str">
        <f t="shared" si="60"/>
        <v>...</v>
      </c>
      <c r="I301" s="1" t="str">
        <f t="shared" si="60"/>
        <v>...</v>
      </c>
      <c r="J301" s="1" t="str">
        <f t="shared" si="60"/>
        <v>...</v>
      </c>
      <c r="K301" s="1" t="str">
        <f t="shared" si="60"/>
        <v>...</v>
      </c>
      <c r="L301" s="1" t="str">
        <f t="shared" si="60"/>
        <v>...</v>
      </c>
      <c r="M301" s="1" t="str">
        <f t="shared" si="60"/>
        <v>...</v>
      </c>
      <c r="N301" t="s">
        <v>30</v>
      </c>
    </row>
    <row r="302" spans="1:14" x14ac:dyDescent="0.25">
      <c r="A302" t="s">
        <v>14</v>
      </c>
      <c r="B302" t="s">
        <v>15</v>
      </c>
      <c r="C302" t="s">
        <v>35</v>
      </c>
      <c r="D302" t="s">
        <v>33</v>
      </c>
      <c r="E302" t="s">
        <v>15</v>
      </c>
      <c r="F302" t="s">
        <v>15</v>
      </c>
      <c r="G302" s="2">
        <f>VALUE(257.994180346)</f>
        <v>257.99418034600001</v>
      </c>
      <c r="H302" s="3">
        <f>VALUE(266.6885031633)</f>
        <v>266.68850316330003</v>
      </c>
      <c r="I302" s="4">
        <f>VALUE(2847)</f>
        <v>2847</v>
      </c>
      <c r="J302" s="1">
        <f>VALUE(3125)</f>
        <v>3125</v>
      </c>
      <c r="K302" s="1">
        <f>VALUE(3415)</f>
        <v>3415</v>
      </c>
      <c r="L302" s="7">
        <f>VALUE(3714)</f>
        <v>3714</v>
      </c>
      <c r="M302" s="8">
        <f>VALUE(4553)</f>
        <v>4553</v>
      </c>
      <c r="N302" t="s">
        <v>25</v>
      </c>
    </row>
    <row r="303" spans="1:14" x14ac:dyDescent="0.25">
      <c r="A303" t="s">
        <v>14</v>
      </c>
      <c r="B303" t="s">
        <v>15</v>
      </c>
      <c r="C303" t="s">
        <v>35</v>
      </c>
      <c r="D303" t="s">
        <v>33</v>
      </c>
      <c r="E303" t="s">
        <v>15</v>
      </c>
      <c r="F303" t="s">
        <v>17</v>
      </c>
      <c r="G303" s="1" t="str">
        <f t="shared" ref="G303:M305" si="61">"X"</f>
        <v>X</v>
      </c>
      <c r="H303" s="1" t="str">
        <f t="shared" si="61"/>
        <v>X</v>
      </c>
      <c r="I303" s="1" t="str">
        <f t="shared" si="61"/>
        <v>X</v>
      </c>
      <c r="J303" s="1" t="str">
        <f t="shared" si="61"/>
        <v>X</v>
      </c>
      <c r="K303" s="1" t="str">
        <f t="shared" si="61"/>
        <v>X</v>
      </c>
      <c r="L303" s="1" t="str">
        <f t="shared" si="61"/>
        <v>X</v>
      </c>
      <c r="M303" s="1" t="str">
        <f t="shared" si="61"/>
        <v>X</v>
      </c>
      <c r="N303" t="s">
        <v>27</v>
      </c>
    </row>
    <row r="304" spans="1:14" x14ac:dyDescent="0.25">
      <c r="A304" t="s">
        <v>14</v>
      </c>
      <c r="B304" t="s">
        <v>15</v>
      </c>
      <c r="C304" t="s">
        <v>35</v>
      </c>
      <c r="D304" t="s">
        <v>33</v>
      </c>
      <c r="E304" t="s">
        <v>15</v>
      </c>
      <c r="F304" t="s">
        <v>18</v>
      </c>
      <c r="G304" s="1" t="str">
        <f t="shared" si="61"/>
        <v>X</v>
      </c>
      <c r="H304" s="1" t="str">
        <f t="shared" si="61"/>
        <v>X</v>
      </c>
      <c r="I304" s="1" t="str">
        <f t="shared" si="61"/>
        <v>X</v>
      </c>
      <c r="J304" s="1" t="str">
        <f t="shared" si="61"/>
        <v>X</v>
      </c>
      <c r="K304" s="1" t="str">
        <f t="shared" si="61"/>
        <v>X</v>
      </c>
      <c r="L304" s="1" t="str">
        <f t="shared" si="61"/>
        <v>X</v>
      </c>
      <c r="M304" s="1" t="str">
        <f t="shared" si="61"/>
        <v>X</v>
      </c>
      <c r="N304" t="s">
        <v>27</v>
      </c>
    </row>
    <row r="305" spans="1:14" x14ac:dyDescent="0.25">
      <c r="A305" t="s">
        <v>14</v>
      </c>
      <c r="B305" t="s">
        <v>15</v>
      </c>
      <c r="C305" t="s">
        <v>35</v>
      </c>
      <c r="D305" t="s">
        <v>33</v>
      </c>
      <c r="E305" t="s">
        <v>15</v>
      </c>
      <c r="F305" t="s">
        <v>19</v>
      </c>
      <c r="G305" s="1" t="str">
        <f t="shared" si="61"/>
        <v>X</v>
      </c>
      <c r="H305" s="1" t="str">
        <f t="shared" si="61"/>
        <v>X</v>
      </c>
      <c r="I305" s="1" t="str">
        <f t="shared" si="61"/>
        <v>X</v>
      </c>
      <c r="J305" s="1" t="str">
        <f t="shared" si="61"/>
        <v>X</v>
      </c>
      <c r="K305" s="1" t="str">
        <f t="shared" si="61"/>
        <v>X</v>
      </c>
      <c r="L305" s="1" t="str">
        <f t="shared" si="61"/>
        <v>X</v>
      </c>
      <c r="M305" s="1" t="str">
        <f t="shared" si="61"/>
        <v>X</v>
      </c>
      <c r="N305" t="s">
        <v>27</v>
      </c>
    </row>
    <row r="306" spans="1:14" x14ac:dyDescent="0.25">
      <c r="A306" t="s">
        <v>14</v>
      </c>
      <c r="B306" t="s">
        <v>15</v>
      </c>
      <c r="C306" t="s">
        <v>35</v>
      </c>
      <c r="D306" t="s">
        <v>33</v>
      </c>
      <c r="E306" t="s">
        <v>15</v>
      </c>
      <c r="F306" t="s">
        <v>20</v>
      </c>
      <c r="G306" s="2">
        <f>VALUE(208.323986342)</f>
        <v>208.32398634200001</v>
      </c>
      <c r="H306" s="3">
        <f>VALUE(215.3642511476)</f>
        <v>215.36425114759999</v>
      </c>
      <c r="I306" s="4">
        <f>VALUE(2847)</f>
        <v>2847</v>
      </c>
      <c r="J306" s="1">
        <f>VALUE(3122)</f>
        <v>3122</v>
      </c>
      <c r="K306" s="1">
        <f>VALUE(3220)</f>
        <v>3220</v>
      </c>
      <c r="L306" s="1">
        <f>VALUE(3590)</f>
        <v>3590</v>
      </c>
      <c r="M306" s="8">
        <f>VALUE(4553)</f>
        <v>4553</v>
      </c>
      <c r="N306" t="s">
        <v>25</v>
      </c>
    </row>
    <row r="307" spans="1:14" x14ac:dyDescent="0.25">
      <c r="A307" t="s">
        <v>14</v>
      </c>
      <c r="B307" t="s">
        <v>15</v>
      </c>
      <c r="C307" t="s">
        <v>35</v>
      </c>
      <c r="D307" t="s">
        <v>33</v>
      </c>
      <c r="E307" t="s">
        <v>21</v>
      </c>
      <c r="F307" t="s">
        <v>15</v>
      </c>
      <c r="G307" s="1" t="str">
        <f t="shared" ref="G307:M307" si="62">"X"</f>
        <v>X</v>
      </c>
      <c r="H307" s="1" t="str">
        <f t="shared" si="62"/>
        <v>X</v>
      </c>
      <c r="I307" s="1" t="str">
        <f t="shared" si="62"/>
        <v>X</v>
      </c>
      <c r="J307" s="1" t="str">
        <f t="shared" si="62"/>
        <v>X</v>
      </c>
      <c r="K307" s="1" t="str">
        <f t="shared" si="62"/>
        <v>X</v>
      </c>
      <c r="L307" s="1" t="str">
        <f t="shared" si="62"/>
        <v>X</v>
      </c>
      <c r="M307" s="1" t="str">
        <f t="shared" si="62"/>
        <v>X</v>
      </c>
      <c r="N307" t="s">
        <v>27</v>
      </c>
    </row>
    <row r="308" spans="1:14" x14ac:dyDescent="0.25">
      <c r="A308" t="s">
        <v>14</v>
      </c>
      <c r="B308" t="s">
        <v>15</v>
      </c>
      <c r="C308" t="s">
        <v>35</v>
      </c>
      <c r="D308" t="s">
        <v>33</v>
      </c>
      <c r="E308" t="s">
        <v>21</v>
      </c>
      <c r="F308" t="s">
        <v>17</v>
      </c>
      <c r="G308" s="1" t="str">
        <f t="shared" ref="G308:M308" si="63">"..."</f>
        <v>...</v>
      </c>
      <c r="H308" s="1" t="str">
        <f t="shared" si="63"/>
        <v>...</v>
      </c>
      <c r="I308" s="1" t="str">
        <f t="shared" si="63"/>
        <v>...</v>
      </c>
      <c r="J308" s="1" t="str">
        <f t="shared" si="63"/>
        <v>...</v>
      </c>
      <c r="K308" s="1" t="str">
        <f t="shared" si="63"/>
        <v>...</v>
      </c>
      <c r="L308" s="1" t="str">
        <f t="shared" si="63"/>
        <v>...</v>
      </c>
      <c r="M308" s="1" t="str">
        <f t="shared" si="63"/>
        <v>...</v>
      </c>
      <c r="N308" t="s">
        <v>30</v>
      </c>
    </row>
    <row r="309" spans="1:14" x14ac:dyDescent="0.25">
      <c r="A309" t="s">
        <v>14</v>
      </c>
      <c r="B309" t="s">
        <v>15</v>
      </c>
      <c r="C309" t="s">
        <v>35</v>
      </c>
      <c r="D309" t="s">
        <v>33</v>
      </c>
      <c r="E309" t="s">
        <v>21</v>
      </c>
      <c r="F309" t="s">
        <v>18</v>
      </c>
      <c r="G309" s="1" t="str">
        <f t="shared" ref="G309:M317" si="64">"X"</f>
        <v>X</v>
      </c>
      <c r="H309" s="1" t="str">
        <f t="shared" si="64"/>
        <v>X</v>
      </c>
      <c r="I309" s="1" t="str">
        <f t="shared" si="64"/>
        <v>X</v>
      </c>
      <c r="J309" s="1" t="str">
        <f t="shared" si="64"/>
        <v>X</v>
      </c>
      <c r="K309" s="1" t="str">
        <f t="shared" si="64"/>
        <v>X</v>
      </c>
      <c r="L309" s="1" t="str">
        <f t="shared" si="64"/>
        <v>X</v>
      </c>
      <c r="M309" s="1" t="str">
        <f t="shared" si="64"/>
        <v>X</v>
      </c>
      <c r="N309" t="s">
        <v>27</v>
      </c>
    </row>
    <row r="310" spans="1:14" x14ac:dyDescent="0.25">
      <c r="A310" t="s">
        <v>14</v>
      </c>
      <c r="B310" t="s">
        <v>15</v>
      </c>
      <c r="C310" t="s">
        <v>35</v>
      </c>
      <c r="D310" t="s">
        <v>33</v>
      </c>
      <c r="E310" t="s">
        <v>21</v>
      </c>
      <c r="F310" t="s">
        <v>19</v>
      </c>
      <c r="G310" s="1" t="str">
        <f t="shared" si="64"/>
        <v>X</v>
      </c>
      <c r="H310" s="1" t="str">
        <f t="shared" si="64"/>
        <v>X</v>
      </c>
      <c r="I310" s="1" t="str">
        <f t="shared" si="64"/>
        <v>X</v>
      </c>
      <c r="J310" s="1" t="str">
        <f t="shared" si="64"/>
        <v>X</v>
      </c>
      <c r="K310" s="1" t="str">
        <f t="shared" si="64"/>
        <v>X</v>
      </c>
      <c r="L310" s="1" t="str">
        <f t="shared" si="64"/>
        <v>X</v>
      </c>
      <c r="M310" s="1" t="str">
        <f t="shared" si="64"/>
        <v>X</v>
      </c>
      <c r="N310" t="s">
        <v>27</v>
      </c>
    </row>
    <row r="311" spans="1:14" x14ac:dyDescent="0.25">
      <c r="A311" t="s">
        <v>14</v>
      </c>
      <c r="B311" t="s">
        <v>15</v>
      </c>
      <c r="C311" t="s">
        <v>35</v>
      </c>
      <c r="D311" t="s">
        <v>33</v>
      </c>
      <c r="E311" t="s">
        <v>21</v>
      </c>
      <c r="F311" t="s">
        <v>20</v>
      </c>
      <c r="G311" s="1" t="str">
        <f t="shared" si="64"/>
        <v>X</v>
      </c>
      <c r="H311" s="1" t="str">
        <f t="shared" si="64"/>
        <v>X</v>
      </c>
      <c r="I311" s="1" t="str">
        <f t="shared" si="64"/>
        <v>X</v>
      </c>
      <c r="J311" s="1" t="str">
        <f t="shared" si="64"/>
        <v>X</v>
      </c>
      <c r="K311" s="1" t="str">
        <f t="shared" si="64"/>
        <v>X</v>
      </c>
      <c r="L311" s="1" t="str">
        <f t="shared" si="64"/>
        <v>X</v>
      </c>
      <c r="M311" s="1" t="str">
        <f t="shared" si="64"/>
        <v>X</v>
      </c>
      <c r="N311" t="s">
        <v>27</v>
      </c>
    </row>
    <row r="312" spans="1:14" x14ac:dyDescent="0.25">
      <c r="A312" t="s">
        <v>14</v>
      </c>
      <c r="B312" t="s">
        <v>15</v>
      </c>
      <c r="C312" t="s">
        <v>35</v>
      </c>
      <c r="D312" t="s">
        <v>33</v>
      </c>
      <c r="E312" t="s">
        <v>22</v>
      </c>
      <c r="F312" t="s">
        <v>15</v>
      </c>
      <c r="G312" s="1" t="str">
        <f t="shared" si="64"/>
        <v>X</v>
      </c>
      <c r="H312" s="1" t="str">
        <f t="shared" si="64"/>
        <v>X</v>
      </c>
      <c r="I312" s="1" t="str">
        <f t="shared" si="64"/>
        <v>X</v>
      </c>
      <c r="J312" s="1" t="str">
        <f t="shared" si="64"/>
        <v>X</v>
      </c>
      <c r="K312" s="1" t="str">
        <f t="shared" si="64"/>
        <v>X</v>
      </c>
      <c r="L312" s="1" t="str">
        <f t="shared" si="64"/>
        <v>X</v>
      </c>
      <c r="M312" s="1" t="str">
        <f t="shared" si="64"/>
        <v>X</v>
      </c>
      <c r="N312" t="s">
        <v>27</v>
      </c>
    </row>
    <row r="313" spans="1:14" x14ac:dyDescent="0.25">
      <c r="A313" t="s">
        <v>14</v>
      </c>
      <c r="B313" t="s">
        <v>15</v>
      </c>
      <c r="C313" t="s">
        <v>35</v>
      </c>
      <c r="D313" t="s">
        <v>33</v>
      </c>
      <c r="E313" t="s">
        <v>22</v>
      </c>
      <c r="F313" t="s">
        <v>17</v>
      </c>
      <c r="G313" s="1" t="str">
        <f t="shared" si="64"/>
        <v>X</v>
      </c>
      <c r="H313" s="1" t="str">
        <f t="shared" si="64"/>
        <v>X</v>
      </c>
      <c r="I313" s="1" t="str">
        <f t="shared" si="64"/>
        <v>X</v>
      </c>
      <c r="J313" s="1" t="str">
        <f t="shared" si="64"/>
        <v>X</v>
      </c>
      <c r="K313" s="1" t="str">
        <f t="shared" si="64"/>
        <v>X</v>
      </c>
      <c r="L313" s="1" t="str">
        <f t="shared" si="64"/>
        <v>X</v>
      </c>
      <c r="M313" s="1" t="str">
        <f t="shared" si="64"/>
        <v>X</v>
      </c>
      <c r="N313" t="s">
        <v>27</v>
      </c>
    </row>
    <row r="314" spans="1:14" x14ac:dyDescent="0.25">
      <c r="A314" t="s">
        <v>14</v>
      </c>
      <c r="B314" t="s">
        <v>15</v>
      </c>
      <c r="C314" t="s">
        <v>35</v>
      </c>
      <c r="D314" t="s">
        <v>33</v>
      </c>
      <c r="E314" t="s">
        <v>22</v>
      </c>
      <c r="F314" t="s">
        <v>18</v>
      </c>
      <c r="G314" s="1" t="str">
        <f t="shared" si="64"/>
        <v>X</v>
      </c>
      <c r="H314" s="1" t="str">
        <f t="shared" si="64"/>
        <v>X</v>
      </c>
      <c r="I314" s="1" t="str">
        <f t="shared" si="64"/>
        <v>X</v>
      </c>
      <c r="J314" s="1" t="str">
        <f t="shared" si="64"/>
        <v>X</v>
      </c>
      <c r="K314" s="1" t="str">
        <f t="shared" si="64"/>
        <v>X</v>
      </c>
      <c r="L314" s="1" t="str">
        <f t="shared" si="64"/>
        <v>X</v>
      </c>
      <c r="M314" s="1" t="str">
        <f t="shared" si="64"/>
        <v>X</v>
      </c>
      <c r="N314" t="s">
        <v>27</v>
      </c>
    </row>
    <row r="315" spans="1:14" x14ac:dyDescent="0.25">
      <c r="A315" t="s">
        <v>14</v>
      </c>
      <c r="B315" t="s">
        <v>15</v>
      </c>
      <c r="C315" t="s">
        <v>35</v>
      </c>
      <c r="D315" t="s">
        <v>33</v>
      </c>
      <c r="E315" t="s">
        <v>22</v>
      </c>
      <c r="F315" t="s">
        <v>19</v>
      </c>
      <c r="G315" s="1" t="str">
        <f t="shared" si="64"/>
        <v>X</v>
      </c>
      <c r="H315" s="1" t="str">
        <f t="shared" si="64"/>
        <v>X</v>
      </c>
      <c r="I315" s="1" t="str">
        <f t="shared" si="64"/>
        <v>X</v>
      </c>
      <c r="J315" s="1" t="str">
        <f t="shared" si="64"/>
        <v>X</v>
      </c>
      <c r="K315" s="1" t="str">
        <f t="shared" si="64"/>
        <v>X</v>
      </c>
      <c r="L315" s="1" t="str">
        <f t="shared" si="64"/>
        <v>X</v>
      </c>
      <c r="M315" s="1" t="str">
        <f t="shared" si="64"/>
        <v>X</v>
      </c>
      <c r="N315" t="s">
        <v>27</v>
      </c>
    </row>
    <row r="316" spans="1:14" x14ac:dyDescent="0.25">
      <c r="A316" t="s">
        <v>14</v>
      </c>
      <c r="B316" t="s">
        <v>15</v>
      </c>
      <c r="C316" t="s">
        <v>35</v>
      </c>
      <c r="D316" t="s">
        <v>33</v>
      </c>
      <c r="E316" t="s">
        <v>22</v>
      </c>
      <c r="F316" t="s">
        <v>20</v>
      </c>
      <c r="G316" s="1" t="str">
        <f t="shared" si="64"/>
        <v>X</v>
      </c>
      <c r="H316" s="1" t="str">
        <f t="shared" si="64"/>
        <v>X</v>
      </c>
      <c r="I316" s="1" t="str">
        <f t="shared" si="64"/>
        <v>X</v>
      </c>
      <c r="J316" s="1" t="str">
        <f t="shared" si="64"/>
        <v>X</v>
      </c>
      <c r="K316" s="1" t="str">
        <f t="shared" si="64"/>
        <v>X</v>
      </c>
      <c r="L316" s="1" t="str">
        <f t="shared" si="64"/>
        <v>X</v>
      </c>
      <c r="M316" s="1" t="str">
        <f t="shared" si="64"/>
        <v>X</v>
      </c>
      <c r="N316" t="s">
        <v>27</v>
      </c>
    </row>
    <row r="317" spans="1:14" x14ac:dyDescent="0.25">
      <c r="A317" t="s">
        <v>14</v>
      </c>
      <c r="B317" t="s">
        <v>15</v>
      </c>
      <c r="C317" t="s">
        <v>35</v>
      </c>
      <c r="D317" t="s">
        <v>33</v>
      </c>
      <c r="E317" t="s">
        <v>23</v>
      </c>
      <c r="F317" t="s">
        <v>15</v>
      </c>
      <c r="G317" s="1" t="str">
        <f t="shared" si="64"/>
        <v>X</v>
      </c>
      <c r="H317" s="1" t="str">
        <f t="shared" si="64"/>
        <v>X</v>
      </c>
      <c r="I317" s="1" t="str">
        <f t="shared" si="64"/>
        <v>X</v>
      </c>
      <c r="J317" s="1" t="str">
        <f t="shared" si="64"/>
        <v>X</v>
      </c>
      <c r="K317" s="1" t="str">
        <f t="shared" si="64"/>
        <v>X</v>
      </c>
      <c r="L317" s="1" t="str">
        <f t="shared" si="64"/>
        <v>X</v>
      </c>
      <c r="M317" s="1" t="str">
        <f t="shared" si="64"/>
        <v>X</v>
      </c>
      <c r="N317" t="s">
        <v>27</v>
      </c>
    </row>
    <row r="318" spans="1:14" x14ac:dyDescent="0.25">
      <c r="A318" t="s">
        <v>14</v>
      </c>
      <c r="B318" t="s">
        <v>15</v>
      </c>
      <c r="C318" t="s">
        <v>35</v>
      </c>
      <c r="D318" t="s">
        <v>33</v>
      </c>
      <c r="E318" t="s">
        <v>23</v>
      </c>
      <c r="F318" t="s">
        <v>17</v>
      </c>
      <c r="G318" s="1" t="str">
        <f t="shared" ref="G318:M318" si="65">"..."</f>
        <v>...</v>
      </c>
      <c r="H318" s="1" t="str">
        <f t="shared" si="65"/>
        <v>...</v>
      </c>
      <c r="I318" s="1" t="str">
        <f t="shared" si="65"/>
        <v>...</v>
      </c>
      <c r="J318" s="1" t="str">
        <f t="shared" si="65"/>
        <v>...</v>
      </c>
      <c r="K318" s="1" t="str">
        <f t="shared" si="65"/>
        <v>...</v>
      </c>
      <c r="L318" s="1" t="str">
        <f t="shared" si="65"/>
        <v>...</v>
      </c>
      <c r="M318" s="1" t="str">
        <f t="shared" si="65"/>
        <v>...</v>
      </c>
      <c r="N318" t="s">
        <v>30</v>
      </c>
    </row>
    <row r="319" spans="1:14" x14ac:dyDescent="0.25">
      <c r="A319" t="s">
        <v>14</v>
      </c>
      <c r="B319" t="s">
        <v>15</v>
      </c>
      <c r="C319" t="s">
        <v>35</v>
      </c>
      <c r="D319" t="s">
        <v>33</v>
      </c>
      <c r="E319" t="s">
        <v>23</v>
      </c>
      <c r="F319" t="s">
        <v>18</v>
      </c>
      <c r="G319" s="1" t="str">
        <f t="shared" ref="G319:M319" si="66">"X"</f>
        <v>X</v>
      </c>
      <c r="H319" s="1" t="str">
        <f t="shared" si="66"/>
        <v>X</v>
      </c>
      <c r="I319" s="1" t="str">
        <f t="shared" si="66"/>
        <v>X</v>
      </c>
      <c r="J319" s="1" t="str">
        <f t="shared" si="66"/>
        <v>X</v>
      </c>
      <c r="K319" s="1" t="str">
        <f t="shared" si="66"/>
        <v>X</v>
      </c>
      <c r="L319" s="1" t="str">
        <f t="shared" si="66"/>
        <v>X</v>
      </c>
      <c r="M319" s="1" t="str">
        <f t="shared" si="66"/>
        <v>X</v>
      </c>
      <c r="N319" t="s">
        <v>27</v>
      </c>
    </row>
    <row r="320" spans="1:14" x14ac:dyDescent="0.25">
      <c r="A320" t="s">
        <v>14</v>
      </c>
      <c r="B320" t="s">
        <v>15</v>
      </c>
      <c r="C320" t="s">
        <v>35</v>
      </c>
      <c r="D320" t="s">
        <v>33</v>
      </c>
      <c r="E320" t="s">
        <v>23</v>
      </c>
      <c r="F320" t="s">
        <v>19</v>
      </c>
      <c r="G320" s="1" t="str">
        <f t="shared" ref="G320:M320" si="67">"..."</f>
        <v>...</v>
      </c>
      <c r="H320" s="1" t="str">
        <f t="shared" si="67"/>
        <v>...</v>
      </c>
      <c r="I320" s="1" t="str">
        <f t="shared" si="67"/>
        <v>...</v>
      </c>
      <c r="J320" s="1" t="str">
        <f t="shared" si="67"/>
        <v>...</v>
      </c>
      <c r="K320" s="1" t="str">
        <f t="shared" si="67"/>
        <v>...</v>
      </c>
      <c r="L320" s="1" t="str">
        <f t="shared" si="67"/>
        <v>...</v>
      </c>
      <c r="M320" s="1" t="str">
        <f t="shared" si="67"/>
        <v>...</v>
      </c>
      <c r="N320" t="s">
        <v>30</v>
      </c>
    </row>
    <row r="321" spans="1:14" x14ac:dyDescent="0.25">
      <c r="A321" t="s">
        <v>14</v>
      </c>
      <c r="B321" t="s">
        <v>15</v>
      </c>
      <c r="C321" t="s">
        <v>35</v>
      </c>
      <c r="D321" t="s">
        <v>33</v>
      </c>
      <c r="E321" t="s">
        <v>23</v>
      </c>
      <c r="F321" t="s">
        <v>20</v>
      </c>
      <c r="G321" s="1" t="str">
        <f t="shared" ref="G321:M321" si="68">"X"</f>
        <v>X</v>
      </c>
      <c r="H321" s="1" t="str">
        <f t="shared" si="68"/>
        <v>X</v>
      </c>
      <c r="I321" s="1" t="str">
        <f t="shared" si="68"/>
        <v>X</v>
      </c>
      <c r="J321" s="1" t="str">
        <f t="shared" si="68"/>
        <v>X</v>
      </c>
      <c r="K321" s="1" t="str">
        <f t="shared" si="68"/>
        <v>X</v>
      </c>
      <c r="L321" s="1" t="str">
        <f t="shared" si="68"/>
        <v>X</v>
      </c>
      <c r="M321" s="1" t="str">
        <f t="shared" si="68"/>
        <v>X</v>
      </c>
      <c r="N321" t="s">
        <v>27</v>
      </c>
    </row>
    <row r="322" spans="1:14" x14ac:dyDescent="0.25">
      <c r="A322" t="s">
        <v>14</v>
      </c>
      <c r="B322" t="s">
        <v>15</v>
      </c>
      <c r="C322" t="s">
        <v>35</v>
      </c>
      <c r="D322" t="s">
        <v>33</v>
      </c>
      <c r="E322" t="s">
        <v>26</v>
      </c>
      <c r="F322" t="s">
        <v>15</v>
      </c>
      <c r="G322" s="1" t="str">
        <f t="shared" ref="G322:M326" si="69">"..."</f>
        <v>...</v>
      </c>
      <c r="H322" s="1" t="str">
        <f t="shared" si="69"/>
        <v>...</v>
      </c>
      <c r="I322" s="1" t="str">
        <f t="shared" si="69"/>
        <v>...</v>
      </c>
      <c r="J322" s="1" t="str">
        <f t="shared" si="69"/>
        <v>...</v>
      </c>
      <c r="K322" s="1" t="str">
        <f t="shared" si="69"/>
        <v>...</v>
      </c>
      <c r="L322" s="1" t="str">
        <f t="shared" si="69"/>
        <v>...</v>
      </c>
      <c r="M322" s="1" t="str">
        <f t="shared" si="69"/>
        <v>...</v>
      </c>
      <c r="N322" t="s">
        <v>30</v>
      </c>
    </row>
    <row r="323" spans="1:14" x14ac:dyDescent="0.25">
      <c r="A323" t="s">
        <v>14</v>
      </c>
      <c r="B323" t="s">
        <v>15</v>
      </c>
      <c r="C323" t="s">
        <v>35</v>
      </c>
      <c r="D323" t="s">
        <v>33</v>
      </c>
      <c r="E323" t="s">
        <v>26</v>
      </c>
      <c r="F323" t="s">
        <v>17</v>
      </c>
      <c r="G323" s="1" t="str">
        <f t="shared" si="69"/>
        <v>...</v>
      </c>
      <c r="H323" s="1" t="str">
        <f t="shared" si="69"/>
        <v>...</v>
      </c>
      <c r="I323" s="1" t="str">
        <f t="shared" si="69"/>
        <v>...</v>
      </c>
      <c r="J323" s="1" t="str">
        <f t="shared" si="69"/>
        <v>...</v>
      </c>
      <c r="K323" s="1" t="str">
        <f t="shared" si="69"/>
        <v>...</v>
      </c>
      <c r="L323" s="1" t="str">
        <f t="shared" si="69"/>
        <v>...</v>
      </c>
      <c r="M323" s="1" t="str">
        <f t="shared" si="69"/>
        <v>...</v>
      </c>
      <c r="N323" t="s">
        <v>30</v>
      </c>
    </row>
    <row r="324" spans="1:14" x14ac:dyDescent="0.25">
      <c r="A324" t="s">
        <v>14</v>
      </c>
      <c r="B324" t="s">
        <v>15</v>
      </c>
      <c r="C324" t="s">
        <v>35</v>
      </c>
      <c r="D324" t="s">
        <v>33</v>
      </c>
      <c r="E324" t="s">
        <v>26</v>
      </c>
      <c r="F324" t="s">
        <v>18</v>
      </c>
      <c r="G324" s="1" t="str">
        <f t="shared" si="69"/>
        <v>...</v>
      </c>
      <c r="H324" s="1" t="str">
        <f t="shared" si="69"/>
        <v>...</v>
      </c>
      <c r="I324" s="1" t="str">
        <f t="shared" si="69"/>
        <v>...</v>
      </c>
      <c r="J324" s="1" t="str">
        <f t="shared" si="69"/>
        <v>...</v>
      </c>
      <c r="K324" s="1" t="str">
        <f t="shared" si="69"/>
        <v>...</v>
      </c>
      <c r="L324" s="1" t="str">
        <f t="shared" si="69"/>
        <v>...</v>
      </c>
      <c r="M324" s="1" t="str">
        <f t="shared" si="69"/>
        <v>...</v>
      </c>
      <c r="N324" t="s">
        <v>30</v>
      </c>
    </row>
    <row r="325" spans="1:14" x14ac:dyDescent="0.25">
      <c r="A325" t="s">
        <v>14</v>
      </c>
      <c r="B325" t="s">
        <v>15</v>
      </c>
      <c r="C325" t="s">
        <v>35</v>
      </c>
      <c r="D325" t="s">
        <v>33</v>
      </c>
      <c r="E325" t="s">
        <v>26</v>
      </c>
      <c r="F325" t="s">
        <v>19</v>
      </c>
      <c r="G325" s="1" t="str">
        <f t="shared" si="69"/>
        <v>...</v>
      </c>
      <c r="H325" s="1" t="str">
        <f t="shared" si="69"/>
        <v>...</v>
      </c>
      <c r="I325" s="1" t="str">
        <f t="shared" si="69"/>
        <v>...</v>
      </c>
      <c r="J325" s="1" t="str">
        <f t="shared" si="69"/>
        <v>...</v>
      </c>
      <c r="K325" s="1" t="str">
        <f t="shared" si="69"/>
        <v>...</v>
      </c>
      <c r="L325" s="1" t="str">
        <f t="shared" si="69"/>
        <v>...</v>
      </c>
      <c r="M325" s="1" t="str">
        <f t="shared" si="69"/>
        <v>...</v>
      </c>
      <c r="N325" t="s">
        <v>30</v>
      </c>
    </row>
    <row r="326" spans="1:14" x14ac:dyDescent="0.25">
      <c r="A326" t="s">
        <v>14</v>
      </c>
      <c r="B326" t="s">
        <v>15</v>
      </c>
      <c r="C326" t="s">
        <v>35</v>
      </c>
      <c r="D326" t="s">
        <v>33</v>
      </c>
      <c r="E326" t="s">
        <v>26</v>
      </c>
      <c r="F326" t="s">
        <v>20</v>
      </c>
      <c r="G326" s="1" t="str">
        <f t="shared" si="69"/>
        <v>...</v>
      </c>
      <c r="H326" s="1" t="str">
        <f t="shared" si="69"/>
        <v>...</v>
      </c>
      <c r="I326" s="1" t="str">
        <f t="shared" si="69"/>
        <v>...</v>
      </c>
      <c r="J326" s="1" t="str">
        <f t="shared" si="69"/>
        <v>...</v>
      </c>
      <c r="K326" s="1" t="str">
        <f t="shared" si="69"/>
        <v>...</v>
      </c>
      <c r="L326" s="1" t="str">
        <f t="shared" si="69"/>
        <v>...</v>
      </c>
      <c r="M326" s="1" t="str">
        <f t="shared" si="69"/>
        <v>...</v>
      </c>
      <c r="N326" t="s">
        <v>30</v>
      </c>
    </row>
    <row r="327" spans="1:14" x14ac:dyDescent="0.25">
      <c r="A327" t="s">
        <v>14</v>
      </c>
      <c r="B327" t="s">
        <v>15</v>
      </c>
      <c r="C327" t="s">
        <v>35</v>
      </c>
      <c r="D327" t="s">
        <v>34</v>
      </c>
      <c r="E327" t="s">
        <v>15</v>
      </c>
      <c r="F327" t="s">
        <v>15</v>
      </c>
      <c r="G327" s="1" t="str">
        <f t="shared" ref="G327:M327" si="70">"X"</f>
        <v>X</v>
      </c>
      <c r="H327" s="1" t="str">
        <f t="shared" si="70"/>
        <v>X</v>
      </c>
      <c r="I327" s="1" t="str">
        <f t="shared" si="70"/>
        <v>X</v>
      </c>
      <c r="J327" s="1" t="str">
        <f t="shared" si="70"/>
        <v>X</v>
      </c>
      <c r="K327" s="1" t="str">
        <f t="shared" si="70"/>
        <v>X</v>
      </c>
      <c r="L327" s="1" t="str">
        <f t="shared" si="70"/>
        <v>X</v>
      </c>
      <c r="M327" s="1" t="str">
        <f t="shared" si="70"/>
        <v>X</v>
      </c>
      <c r="N327" t="s">
        <v>27</v>
      </c>
    </row>
    <row r="328" spans="1:14" x14ac:dyDescent="0.25">
      <c r="A328" t="s">
        <v>14</v>
      </c>
      <c r="B328" t="s">
        <v>15</v>
      </c>
      <c r="C328" t="s">
        <v>35</v>
      </c>
      <c r="D328" t="s">
        <v>34</v>
      </c>
      <c r="E328" t="s">
        <v>15</v>
      </c>
      <c r="F328" t="s">
        <v>17</v>
      </c>
      <c r="G328" s="1" t="str">
        <f t="shared" ref="G328:M329" si="71">"..."</f>
        <v>...</v>
      </c>
      <c r="H328" s="1" t="str">
        <f t="shared" si="71"/>
        <v>...</v>
      </c>
      <c r="I328" s="1" t="str">
        <f t="shared" si="71"/>
        <v>...</v>
      </c>
      <c r="J328" s="1" t="str">
        <f t="shared" si="71"/>
        <v>...</v>
      </c>
      <c r="K328" s="1" t="str">
        <f t="shared" si="71"/>
        <v>...</v>
      </c>
      <c r="L328" s="1" t="str">
        <f t="shared" si="71"/>
        <v>...</v>
      </c>
      <c r="M328" s="1" t="str">
        <f t="shared" si="71"/>
        <v>...</v>
      </c>
      <c r="N328" t="s">
        <v>30</v>
      </c>
    </row>
    <row r="329" spans="1:14" x14ac:dyDescent="0.25">
      <c r="A329" t="s">
        <v>14</v>
      </c>
      <c r="B329" t="s">
        <v>15</v>
      </c>
      <c r="C329" t="s">
        <v>35</v>
      </c>
      <c r="D329" t="s">
        <v>34</v>
      </c>
      <c r="E329" t="s">
        <v>15</v>
      </c>
      <c r="F329" t="s">
        <v>18</v>
      </c>
      <c r="G329" s="1" t="str">
        <f t="shared" si="71"/>
        <v>...</v>
      </c>
      <c r="H329" s="1" t="str">
        <f t="shared" si="71"/>
        <v>...</v>
      </c>
      <c r="I329" s="1" t="str">
        <f t="shared" si="71"/>
        <v>...</v>
      </c>
      <c r="J329" s="1" t="str">
        <f t="shared" si="71"/>
        <v>...</v>
      </c>
      <c r="K329" s="1" t="str">
        <f t="shared" si="71"/>
        <v>...</v>
      </c>
      <c r="L329" s="1" t="str">
        <f t="shared" si="71"/>
        <v>...</v>
      </c>
      <c r="M329" s="1" t="str">
        <f t="shared" si="71"/>
        <v>...</v>
      </c>
      <c r="N329" t="s">
        <v>30</v>
      </c>
    </row>
    <row r="330" spans="1:14" x14ac:dyDescent="0.25">
      <c r="A330" t="s">
        <v>14</v>
      </c>
      <c r="B330" t="s">
        <v>15</v>
      </c>
      <c r="C330" t="s">
        <v>35</v>
      </c>
      <c r="D330" t="s">
        <v>34</v>
      </c>
      <c r="E330" t="s">
        <v>15</v>
      </c>
      <c r="F330" t="s">
        <v>19</v>
      </c>
      <c r="G330" s="1" t="str">
        <f t="shared" ref="G330:M332" si="72">"X"</f>
        <v>X</v>
      </c>
      <c r="H330" s="1" t="str">
        <f t="shared" si="72"/>
        <v>X</v>
      </c>
      <c r="I330" s="1" t="str">
        <f t="shared" si="72"/>
        <v>X</v>
      </c>
      <c r="J330" s="1" t="str">
        <f t="shared" si="72"/>
        <v>X</v>
      </c>
      <c r="K330" s="1" t="str">
        <f t="shared" si="72"/>
        <v>X</v>
      </c>
      <c r="L330" s="1" t="str">
        <f t="shared" si="72"/>
        <v>X</v>
      </c>
      <c r="M330" s="1" t="str">
        <f t="shared" si="72"/>
        <v>X</v>
      </c>
      <c r="N330" t="s">
        <v>27</v>
      </c>
    </row>
    <row r="331" spans="1:14" x14ac:dyDescent="0.25">
      <c r="A331" t="s">
        <v>14</v>
      </c>
      <c r="B331" t="s">
        <v>15</v>
      </c>
      <c r="C331" t="s">
        <v>35</v>
      </c>
      <c r="D331" t="s">
        <v>34</v>
      </c>
      <c r="E331" t="s">
        <v>15</v>
      </c>
      <c r="F331" t="s">
        <v>20</v>
      </c>
      <c r="G331" s="1" t="str">
        <f t="shared" si="72"/>
        <v>X</v>
      </c>
      <c r="H331" s="1" t="str">
        <f t="shared" si="72"/>
        <v>X</v>
      </c>
      <c r="I331" s="1" t="str">
        <f t="shared" si="72"/>
        <v>X</v>
      </c>
      <c r="J331" s="1" t="str">
        <f t="shared" si="72"/>
        <v>X</v>
      </c>
      <c r="K331" s="1" t="str">
        <f t="shared" si="72"/>
        <v>X</v>
      </c>
      <c r="L331" s="1" t="str">
        <f t="shared" si="72"/>
        <v>X</v>
      </c>
      <c r="M331" s="1" t="str">
        <f t="shared" si="72"/>
        <v>X</v>
      </c>
      <c r="N331" t="s">
        <v>27</v>
      </c>
    </row>
    <row r="332" spans="1:14" x14ac:dyDescent="0.25">
      <c r="A332" t="s">
        <v>14</v>
      </c>
      <c r="B332" t="s">
        <v>15</v>
      </c>
      <c r="C332" t="s">
        <v>35</v>
      </c>
      <c r="D332" t="s">
        <v>34</v>
      </c>
      <c r="E332" t="s">
        <v>21</v>
      </c>
      <c r="F332" t="s">
        <v>15</v>
      </c>
      <c r="G332" s="1" t="str">
        <f t="shared" si="72"/>
        <v>X</v>
      </c>
      <c r="H332" s="1" t="str">
        <f t="shared" si="72"/>
        <v>X</v>
      </c>
      <c r="I332" s="1" t="str">
        <f t="shared" si="72"/>
        <v>X</v>
      </c>
      <c r="J332" s="1" t="str">
        <f t="shared" si="72"/>
        <v>X</v>
      </c>
      <c r="K332" s="1" t="str">
        <f t="shared" si="72"/>
        <v>X</v>
      </c>
      <c r="L332" s="1" t="str">
        <f t="shared" si="72"/>
        <v>X</v>
      </c>
      <c r="M332" s="1" t="str">
        <f t="shared" si="72"/>
        <v>X</v>
      </c>
      <c r="N332" t="s">
        <v>27</v>
      </c>
    </row>
    <row r="333" spans="1:14" x14ac:dyDescent="0.25">
      <c r="A333" t="s">
        <v>14</v>
      </c>
      <c r="B333" t="s">
        <v>15</v>
      </c>
      <c r="C333" t="s">
        <v>35</v>
      </c>
      <c r="D333" t="s">
        <v>34</v>
      </c>
      <c r="E333" t="s">
        <v>21</v>
      </c>
      <c r="F333" t="s">
        <v>17</v>
      </c>
      <c r="G333" s="1" t="str">
        <f t="shared" ref="G333:M335" si="73">"..."</f>
        <v>...</v>
      </c>
      <c r="H333" s="1" t="str">
        <f t="shared" si="73"/>
        <v>...</v>
      </c>
      <c r="I333" s="1" t="str">
        <f t="shared" si="73"/>
        <v>...</v>
      </c>
      <c r="J333" s="1" t="str">
        <f t="shared" si="73"/>
        <v>...</v>
      </c>
      <c r="K333" s="1" t="str">
        <f t="shared" si="73"/>
        <v>...</v>
      </c>
      <c r="L333" s="1" t="str">
        <f t="shared" si="73"/>
        <v>...</v>
      </c>
      <c r="M333" s="1" t="str">
        <f t="shared" si="73"/>
        <v>...</v>
      </c>
      <c r="N333" t="s">
        <v>30</v>
      </c>
    </row>
    <row r="334" spans="1:14" x14ac:dyDescent="0.25">
      <c r="A334" t="s">
        <v>14</v>
      </c>
      <c r="B334" t="s">
        <v>15</v>
      </c>
      <c r="C334" t="s">
        <v>35</v>
      </c>
      <c r="D334" t="s">
        <v>34</v>
      </c>
      <c r="E334" t="s">
        <v>21</v>
      </c>
      <c r="F334" t="s">
        <v>18</v>
      </c>
      <c r="G334" s="1" t="str">
        <f t="shared" si="73"/>
        <v>...</v>
      </c>
      <c r="H334" s="1" t="str">
        <f t="shared" si="73"/>
        <v>...</v>
      </c>
      <c r="I334" s="1" t="str">
        <f t="shared" si="73"/>
        <v>...</v>
      </c>
      <c r="J334" s="1" t="str">
        <f t="shared" si="73"/>
        <v>...</v>
      </c>
      <c r="K334" s="1" t="str">
        <f t="shared" si="73"/>
        <v>...</v>
      </c>
      <c r="L334" s="1" t="str">
        <f t="shared" si="73"/>
        <v>...</v>
      </c>
      <c r="M334" s="1" t="str">
        <f t="shared" si="73"/>
        <v>...</v>
      </c>
      <c r="N334" t="s">
        <v>30</v>
      </c>
    </row>
    <row r="335" spans="1:14" x14ac:dyDescent="0.25">
      <c r="A335" t="s">
        <v>14</v>
      </c>
      <c r="B335" t="s">
        <v>15</v>
      </c>
      <c r="C335" t="s">
        <v>35</v>
      </c>
      <c r="D335" t="s">
        <v>34</v>
      </c>
      <c r="E335" t="s">
        <v>21</v>
      </c>
      <c r="F335" t="s">
        <v>19</v>
      </c>
      <c r="G335" s="1" t="str">
        <f t="shared" si="73"/>
        <v>...</v>
      </c>
      <c r="H335" s="1" t="str">
        <f t="shared" si="73"/>
        <v>...</v>
      </c>
      <c r="I335" s="1" t="str">
        <f t="shared" si="73"/>
        <v>...</v>
      </c>
      <c r="J335" s="1" t="str">
        <f t="shared" si="73"/>
        <v>...</v>
      </c>
      <c r="K335" s="1" t="str">
        <f t="shared" si="73"/>
        <v>...</v>
      </c>
      <c r="L335" s="1" t="str">
        <f t="shared" si="73"/>
        <v>...</v>
      </c>
      <c r="M335" s="1" t="str">
        <f t="shared" si="73"/>
        <v>...</v>
      </c>
      <c r="N335" t="s">
        <v>30</v>
      </c>
    </row>
    <row r="336" spans="1:14" x14ac:dyDescent="0.25">
      <c r="A336" t="s">
        <v>14</v>
      </c>
      <c r="B336" t="s">
        <v>15</v>
      </c>
      <c r="C336" t="s">
        <v>35</v>
      </c>
      <c r="D336" t="s">
        <v>34</v>
      </c>
      <c r="E336" t="s">
        <v>21</v>
      </c>
      <c r="F336" t="s">
        <v>20</v>
      </c>
      <c r="G336" s="1" t="str">
        <f t="shared" ref="G336:M337" si="74">"X"</f>
        <v>X</v>
      </c>
      <c r="H336" s="1" t="str">
        <f t="shared" si="74"/>
        <v>X</v>
      </c>
      <c r="I336" s="1" t="str">
        <f t="shared" si="74"/>
        <v>X</v>
      </c>
      <c r="J336" s="1" t="str">
        <f t="shared" si="74"/>
        <v>X</v>
      </c>
      <c r="K336" s="1" t="str">
        <f t="shared" si="74"/>
        <v>X</v>
      </c>
      <c r="L336" s="1" t="str">
        <f t="shared" si="74"/>
        <v>X</v>
      </c>
      <c r="M336" s="1" t="str">
        <f t="shared" si="74"/>
        <v>X</v>
      </c>
      <c r="N336" t="s">
        <v>27</v>
      </c>
    </row>
    <row r="337" spans="1:14" x14ac:dyDescent="0.25">
      <c r="A337" t="s">
        <v>14</v>
      </c>
      <c r="B337" t="s">
        <v>15</v>
      </c>
      <c r="C337" t="s">
        <v>35</v>
      </c>
      <c r="D337" t="s">
        <v>34</v>
      </c>
      <c r="E337" t="s">
        <v>22</v>
      </c>
      <c r="F337" t="s">
        <v>15</v>
      </c>
      <c r="G337" s="1" t="str">
        <f t="shared" si="74"/>
        <v>X</v>
      </c>
      <c r="H337" s="1" t="str">
        <f t="shared" si="74"/>
        <v>X</v>
      </c>
      <c r="I337" s="1" t="str">
        <f t="shared" si="74"/>
        <v>X</v>
      </c>
      <c r="J337" s="1" t="str">
        <f t="shared" si="74"/>
        <v>X</v>
      </c>
      <c r="K337" s="1" t="str">
        <f t="shared" si="74"/>
        <v>X</v>
      </c>
      <c r="L337" s="1" t="str">
        <f t="shared" si="74"/>
        <v>X</v>
      </c>
      <c r="M337" s="1" t="str">
        <f t="shared" si="74"/>
        <v>X</v>
      </c>
      <c r="N337" t="s">
        <v>27</v>
      </c>
    </row>
    <row r="338" spans="1:14" x14ac:dyDescent="0.25">
      <c r="A338" t="s">
        <v>14</v>
      </c>
      <c r="B338" t="s">
        <v>15</v>
      </c>
      <c r="C338" t="s">
        <v>35</v>
      </c>
      <c r="D338" t="s">
        <v>34</v>
      </c>
      <c r="E338" t="s">
        <v>22</v>
      </c>
      <c r="F338" t="s">
        <v>17</v>
      </c>
      <c r="G338" s="1" t="str">
        <f t="shared" ref="G338:M340" si="75">"..."</f>
        <v>...</v>
      </c>
      <c r="H338" s="1" t="str">
        <f t="shared" si="75"/>
        <v>...</v>
      </c>
      <c r="I338" s="1" t="str">
        <f t="shared" si="75"/>
        <v>...</v>
      </c>
      <c r="J338" s="1" t="str">
        <f t="shared" si="75"/>
        <v>...</v>
      </c>
      <c r="K338" s="1" t="str">
        <f t="shared" si="75"/>
        <v>...</v>
      </c>
      <c r="L338" s="1" t="str">
        <f t="shared" si="75"/>
        <v>...</v>
      </c>
      <c r="M338" s="1" t="str">
        <f t="shared" si="75"/>
        <v>...</v>
      </c>
      <c r="N338" t="s">
        <v>30</v>
      </c>
    </row>
    <row r="339" spans="1:14" x14ac:dyDescent="0.25">
      <c r="A339" t="s">
        <v>14</v>
      </c>
      <c r="B339" t="s">
        <v>15</v>
      </c>
      <c r="C339" t="s">
        <v>35</v>
      </c>
      <c r="D339" t="s">
        <v>34</v>
      </c>
      <c r="E339" t="s">
        <v>22</v>
      </c>
      <c r="F339" t="s">
        <v>18</v>
      </c>
      <c r="G339" s="1" t="str">
        <f t="shared" si="75"/>
        <v>...</v>
      </c>
      <c r="H339" s="1" t="str">
        <f t="shared" si="75"/>
        <v>...</v>
      </c>
      <c r="I339" s="1" t="str">
        <f t="shared" si="75"/>
        <v>...</v>
      </c>
      <c r="J339" s="1" t="str">
        <f t="shared" si="75"/>
        <v>...</v>
      </c>
      <c r="K339" s="1" t="str">
        <f t="shared" si="75"/>
        <v>...</v>
      </c>
      <c r="L339" s="1" t="str">
        <f t="shared" si="75"/>
        <v>...</v>
      </c>
      <c r="M339" s="1" t="str">
        <f t="shared" si="75"/>
        <v>...</v>
      </c>
      <c r="N339" t="s">
        <v>30</v>
      </c>
    </row>
    <row r="340" spans="1:14" x14ac:dyDescent="0.25">
      <c r="A340" t="s">
        <v>14</v>
      </c>
      <c r="B340" t="s">
        <v>15</v>
      </c>
      <c r="C340" t="s">
        <v>35</v>
      </c>
      <c r="D340" t="s">
        <v>34</v>
      </c>
      <c r="E340" t="s">
        <v>22</v>
      </c>
      <c r="F340" t="s">
        <v>19</v>
      </c>
      <c r="G340" s="1" t="str">
        <f t="shared" si="75"/>
        <v>...</v>
      </c>
      <c r="H340" s="1" t="str">
        <f t="shared" si="75"/>
        <v>...</v>
      </c>
      <c r="I340" s="1" t="str">
        <f t="shared" si="75"/>
        <v>...</v>
      </c>
      <c r="J340" s="1" t="str">
        <f t="shared" si="75"/>
        <v>...</v>
      </c>
      <c r="K340" s="1" t="str">
        <f t="shared" si="75"/>
        <v>...</v>
      </c>
      <c r="L340" s="1" t="str">
        <f t="shared" si="75"/>
        <v>...</v>
      </c>
      <c r="M340" s="1" t="str">
        <f t="shared" si="75"/>
        <v>...</v>
      </c>
      <c r="N340" t="s">
        <v>30</v>
      </c>
    </row>
    <row r="341" spans="1:14" x14ac:dyDescent="0.25">
      <c r="A341" t="s">
        <v>14</v>
      </c>
      <c r="B341" t="s">
        <v>15</v>
      </c>
      <c r="C341" t="s">
        <v>35</v>
      </c>
      <c r="D341" t="s">
        <v>34</v>
      </c>
      <c r="E341" t="s">
        <v>22</v>
      </c>
      <c r="F341" t="s">
        <v>20</v>
      </c>
      <c r="G341" s="1" t="str">
        <f t="shared" ref="G341:M342" si="76">"X"</f>
        <v>X</v>
      </c>
      <c r="H341" s="1" t="str">
        <f t="shared" si="76"/>
        <v>X</v>
      </c>
      <c r="I341" s="1" t="str">
        <f t="shared" si="76"/>
        <v>X</v>
      </c>
      <c r="J341" s="1" t="str">
        <f t="shared" si="76"/>
        <v>X</v>
      </c>
      <c r="K341" s="1" t="str">
        <f t="shared" si="76"/>
        <v>X</v>
      </c>
      <c r="L341" s="1" t="str">
        <f t="shared" si="76"/>
        <v>X</v>
      </c>
      <c r="M341" s="1" t="str">
        <f t="shared" si="76"/>
        <v>X</v>
      </c>
      <c r="N341" t="s">
        <v>27</v>
      </c>
    </row>
    <row r="342" spans="1:14" x14ac:dyDescent="0.25">
      <c r="A342" t="s">
        <v>14</v>
      </c>
      <c r="B342" t="s">
        <v>15</v>
      </c>
      <c r="C342" t="s">
        <v>35</v>
      </c>
      <c r="D342" t="s">
        <v>34</v>
      </c>
      <c r="E342" t="s">
        <v>23</v>
      </c>
      <c r="F342" t="s">
        <v>15</v>
      </c>
      <c r="G342" s="1" t="str">
        <f t="shared" si="76"/>
        <v>X</v>
      </c>
      <c r="H342" s="1" t="str">
        <f t="shared" si="76"/>
        <v>X</v>
      </c>
      <c r="I342" s="1" t="str">
        <f t="shared" si="76"/>
        <v>X</v>
      </c>
      <c r="J342" s="1" t="str">
        <f t="shared" si="76"/>
        <v>X</v>
      </c>
      <c r="K342" s="1" t="str">
        <f t="shared" si="76"/>
        <v>X</v>
      </c>
      <c r="L342" s="1" t="str">
        <f t="shared" si="76"/>
        <v>X</v>
      </c>
      <c r="M342" s="1" t="str">
        <f t="shared" si="76"/>
        <v>X</v>
      </c>
      <c r="N342" t="s">
        <v>27</v>
      </c>
    </row>
    <row r="343" spans="1:14" x14ac:dyDescent="0.25">
      <c r="A343" t="s">
        <v>14</v>
      </c>
      <c r="B343" t="s">
        <v>15</v>
      </c>
      <c r="C343" t="s">
        <v>35</v>
      </c>
      <c r="D343" t="s">
        <v>34</v>
      </c>
      <c r="E343" t="s">
        <v>23</v>
      </c>
      <c r="F343" t="s">
        <v>17</v>
      </c>
      <c r="G343" s="1" t="str">
        <f t="shared" ref="G343:M344" si="77">"..."</f>
        <v>...</v>
      </c>
      <c r="H343" s="1" t="str">
        <f t="shared" si="77"/>
        <v>...</v>
      </c>
      <c r="I343" s="1" t="str">
        <f t="shared" si="77"/>
        <v>...</v>
      </c>
      <c r="J343" s="1" t="str">
        <f t="shared" si="77"/>
        <v>...</v>
      </c>
      <c r="K343" s="1" t="str">
        <f t="shared" si="77"/>
        <v>...</v>
      </c>
      <c r="L343" s="1" t="str">
        <f t="shared" si="77"/>
        <v>...</v>
      </c>
      <c r="M343" s="1" t="str">
        <f t="shared" si="77"/>
        <v>...</v>
      </c>
      <c r="N343" t="s">
        <v>30</v>
      </c>
    </row>
    <row r="344" spans="1:14" x14ac:dyDescent="0.25">
      <c r="A344" t="s">
        <v>14</v>
      </c>
      <c r="B344" t="s">
        <v>15</v>
      </c>
      <c r="C344" t="s">
        <v>35</v>
      </c>
      <c r="D344" t="s">
        <v>34</v>
      </c>
      <c r="E344" t="s">
        <v>23</v>
      </c>
      <c r="F344" t="s">
        <v>18</v>
      </c>
      <c r="G344" s="1" t="str">
        <f t="shared" si="77"/>
        <v>...</v>
      </c>
      <c r="H344" s="1" t="str">
        <f t="shared" si="77"/>
        <v>...</v>
      </c>
      <c r="I344" s="1" t="str">
        <f t="shared" si="77"/>
        <v>...</v>
      </c>
      <c r="J344" s="1" t="str">
        <f t="shared" si="77"/>
        <v>...</v>
      </c>
      <c r="K344" s="1" t="str">
        <f t="shared" si="77"/>
        <v>...</v>
      </c>
      <c r="L344" s="1" t="str">
        <f t="shared" si="77"/>
        <v>...</v>
      </c>
      <c r="M344" s="1" t="str">
        <f t="shared" si="77"/>
        <v>...</v>
      </c>
      <c r="N344" t="s">
        <v>30</v>
      </c>
    </row>
    <row r="345" spans="1:14" x14ac:dyDescent="0.25">
      <c r="A345" t="s">
        <v>14</v>
      </c>
      <c r="B345" t="s">
        <v>15</v>
      </c>
      <c r="C345" t="s">
        <v>35</v>
      </c>
      <c r="D345" t="s">
        <v>34</v>
      </c>
      <c r="E345" t="s">
        <v>23</v>
      </c>
      <c r="F345" t="s">
        <v>19</v>
      </c>
      <c r="G345" s="1" t="str">
        <f t="shared" ref="G345:M347" si="78">"X"</f>
        <v>X</v>
      </c>
      <c r="H345" s="1" t="str">
        <f t="shared" si="78"/>
        <v>X</v>
      </c>
      <c r="I345" s="1" t="str">
        <f t="shared" si="78"/>
        <v>X</v>
      </c>
      <c r="J345" s="1" t="str">
        <f t="shared" si="78"/>
        <v>X</v>
      </c>
      <c r="K345" s="1" t="str">
        <f t="shared" si="78"/>
        <v>X</v>
      </c>
      <c r="L345" s="1" t="str">
        <f t="shared" si="78"/>
        <v>X</v>
      </c>
      <c r="M345" s="1" t="str">
        <f t="shared" si="78"/>
        <v>X</v>
      </c>
      <c r="N345" t="s">
        <v>27</v>
      </c>
    </row>
    <row r="346" spans="1:14" x14ac:dyDescent="0.25">
      <c r="A346" t="s">
        <v>14</v>
      </c>
      <c r="B346" t="s">
        <v>15</v>
      </c>
      <c r="C346" t="s">
        <v>35</v>
      </c>
      <c r="D346" t="s">
        <v>34</v>
      </c>
      <c r="E346" t="s">
        <v>23</v>
      </c>
      <c r="F346" t="s">
        <v>20</v>
      </c>
      <c r="G346" s="1" t="str">
        <f t="shared" si="78"/>
        <v>X</v>
      </c>
      <c r="H346" s="1" t="str">
        <f t="shared" si="78"/>
        <v>X</v>
      </c>
      <c r="I346" s="1" t="str">
        <f t="shared" si="78"/>
        <v>X</v>
      </c>
      <c r="J346" s="1" t="str">
        <f t="shared" si="78"/>
        <v>X</v>
      </c>
      <c r="K346" s="1" t="str">
        <f t="shared" si="78"/>
        <v>X</v>
      </c>
      <c r="L346" s="1" t="str">
        <f t="shared" si="78"/>
        <v>X</v>
      </c>
      <c r="M346" s="1" t="str">
        <f t="shared" si="78"/>
        <v>X</v>
      </c>
      <c r="N346" t="s">
        <v>27</v>
      </c>
    </row>
    <row r="347" spans="1:14" x14ac:dyDescent="0.25">
      <c r="A347" t="s">
        <v>14</v>
      </c>
      <c r="B347" t="s">
        <v>15</v>
      </c>
      <c r="C347" t="s">
        <v>35</v>
      </c>
      <c r="D347" t="s">
        <v>34</v>
      </c>
      <c r="E347" t="s">
        <v>26</v>
      </c>
      <c r="F347" t="s">
        <v>15</v>
      </c>
      <c r="G347" s="1" t="str">
        <f t="shared" si="78"/>
        <v>X</v>
      </c>
      <c r="H347" s="1" t="str">
        <f t="shared" si="78"/>
        <v>X</v>
      </c>
      <c r="I347" s="1" t="str">
        <f t="shared" si="78"/>
        <v>X</v>
      </c>
      <c r="J347" s="1" t="str">
        <f t="shared" si="78"/>
        <v>X</v>
      </c>
      <c r="K347" s="1" t="str">
        <f t="shared" si="78"/>
        <v>X</v>
      </c>
      <c r="L347" s="1" t="str">
        <f t="shared" si="78"/>
        <v>X</v>
      </c>
      <c r="M347" s="1" t="str">
        <f t="shared" si="78"/>
        <v>X</v>
      </c>
      <c r="N347" t="s">
        <v>27</v>
      </c>
    </row>
    <row r="348" spans="1:14" x14ac:dyDescent="0.25">
      <c r="A348" t="s">
        <v>14</v>
      </c>
      <c r="B348" t="s">
        <v>15</v>
      </c>
      <c r="C348" t="s">
        <v>35</v>
      </c>
      <c r="D348" t="s">
        <v>34</v>
      </c>
      <c r="E348" t="s">
        <v>26</v>
      </c>
      <c r="F348" t="s">
        <v>17</v>
      </c>
      <c r="G348" s="1" t="str">
        <f t="shared" ref="G348:M350" si="79">"..."</f>
        <v>...</v>
      </c>
      <c r="H348" s="1" t="str">
        <f t="shared" si="79"/>
        <v>...</v>
      </c>
      <c r="I348" s="1" t="str">
        <f t="shared" si="79"/>
        <v>...</v>
      </c>
      <c r="J348" s="1" t="str">
        <f t="shared" si="79"/>
        <v>...</v>
      </c>
      <c r="K348" s="1" t="str">
        <f t="shared" si="79"/>
        <v>...</v>
      </c>
      <c r="L348" s="1" t="str">
        <f t="shared" si="79"/>
        <v>...</v>
      </c>
      <c r="M348" s="1" t="str">
        <f t="shared" si="79"/>
        <v>...</v>
      </c>
      <c r="N348" t="s">
        <v>30</v>
      </c>
    </row>
    <row r="349" spans="1:14" x14ac:dyDescent="0.25">
      <c r="A349" t="s">
        <v>14</v>
      </c>
      <c r="B349" t="s">
        <v>15</v>
      </c>
      <c r="C349" t="s">
        <v>35</v>
      </c>
      <c r="D349" t="s">
        <v>34</v>
      </c>
      <c r="E349" t="s">
        <v>26</v>
      </c>
      <c r="F349" t="s">
        <v>18</v>
      </c>
      <c r="G349" s="1" t="str">
        <f t="shared" si="79"/>
        <v>...</v>
      </c>
      <c r="H349" s="1" t="str">
        <f t="shared" si="79"/>
        <v>...</v>
      </c>
      <c r="I349" s="1" t="str">
        <f t="shared" si="79"/>
        <v>...</v>
      </c>
      <c r="J349" s="1" t="str">
        <f t="shared" si="79"/>
        <v>...</v>
      </c>
      <c r="K349" s="1" t="str">
        <f t="shared" si="79"/>
        <v>...</v>
      </c>
      <c r="L349" s="1" t="str">
        <f t="shared" si="79"/>
        <v>...</v>
      </c>
      <c r="M349" s="1" t="str">
        <f t="shared" si="79"/>
        <v>...</v>
      </c>
      <c r="N349" t="s">
        <v>30</v>
      </c>
    </row>
    <row r="350" spans="1:14" x14ac:dyDescent="0.25">
      <c r="A350" t="s">
        <v>14</v>
      </c>
      <c r="B350" t="s">
        <v>15</v>
      </c>
      <c r="C350" t="s">
        <v>35</v>
      </c>
      <c r="D350" t="s">
        <v>34</v>
      </c>
      <c r="E350" t="s">
        <v>26</v>
      </c>
      <c r="F350" t="s">
        <v>19</v>
      </c>
      <c r="G350" s="1" t="str">
        <f t="shared" si="79"/>
        <v>...</v>
      </c>
      <c r="H350" s="1" t="str">
        <f t="shared" si="79"/>
        <v>...</v>
      </c>
      <c r="I350" s="1" t="str">
        <f t="shared" si="79"/>
        <v>...</v>
      </c>
      <c r="J350" s="1" t="str">
        <f t="shared" si="79"/>
        <v>...</v>
      </c>
      <c r="K350" s="1" t="str">
        <f t="shared" si="79"/>
        <v>...</v>
      </c>
      <c r="L350" s="1" t="str">
        <f t="shared" si="79"/>
        <v>...</v>
      </c>
      <c r="M350" s="1" t="str">
        <f t="shared" si="79"/>
        <v>...</v>
      </c>
      <c r="N350" t="s">
        <v>30</v>
      </c>
    </row>
    <row r="351" spans="1:14" x14ac:dyDescent="0.25">
      <c r="A351" t="s">
        <v>14</v>
      </c>
      <c r="B351" t="s">
        <v>15</v>
      </c>
      <c r="C351" t="s">
        <v>35</v>
      </c>
      <c r="D351" t="s">
        <v>34</v>
      </c>
      <c r="E351" t="s">
        <v>26</v>
      </c>
      <c r="F351" t="s">
        <v>20</v>
      </c>
      <c r="G351" s="1" t="str">
        <f t="shared" ref="G351:M351" si="80">"X"</f>
        <v>X</v>
      </c>
      <c r="H351" s="1" t="str">
        <f t="shared" si="80"/>
        <v>X</v>
      </c>
      <c r="I351" s="1" t="str">
        <f t="shared" si="80"/>
        <v>X</v>
      </c>
      <c r="J351" s="1" t="str">
        <f t="shared" si="80"/>
        <v>X</v>
      </c>
      <c r="K351" s="1" t="str">
        <f t="shared" si="80"/>
        <v>X</v>
      </c>
      <c r="L351" s="1" t="str">
        <f t="shared" si="80"/>
        <v>X</v>
      </c>
      <c r="M351" s="1" t="str">
        <f t="shared" si="80"/>
        <v>X</v>
      </c>
      <c r="N351" t="s">
        <v>27</v>
      </c>
    </row>
    <row r="352" spans="1:14" x14ac:dyDescent="0.25">
      <c r="A352" t="s">
        <v>14</v>
      </c>
      <c r="B352" t="s">
        <v>15</v>
      </c>
      <c r="C352" t="s">
        <v>36</v>
      </c>
      <c r="D352" t="s">
        <v>15</v>
      </c>
      <c r="E352" t="s">
        <v>15</v>
      </c>
      <c r="F352" t="s">
        <v>15</v>
      </c>
      <c r="G352" s="1">
        <f>VALUE(27755.609886114)</f>
        <v>27755.609886114002</v>
      </c>
      <c r="H352" s="1">
        <f>VALUE(26061.8493635031)</f>
        <v>26061.849363503101</v>
      </c>
      <c r="I352" s="1">
        <f>VALUE(3106)</f>
        <v>3106</v>
      </c>
      <c r="J352" s="1">
        <f>VALUE(3736)</f>
        <v>3736</v>
      </c>
      <c r="K352" s="1">
        <f>VALUE(4607)</f>
        <v>4607</v>
      </c>
      <c r="L352" s="1">
        <f>VALUE(5508)</f>
        <v>5508</v>
      </c>
      <c r="M352" s="1">
        <f>VALUE(6640)</f>
        <v>6640</v>
      </c>
      <c r="N352" t="s">
        <v>16</v>
      </c>
    </row>
    <row r="353" spans="1:14" x14ac:dyDescent="0.25">
      <c r="A353" t="s">
        <v>14</v>
      </c>
      <c r="B353" t="s">
        <v>15</v>
      </c>
      <c r="C353" t="s">
        <v>36</v>
      </c>
      <c r="D353" t="s">
        <v>15</v>
      </c>
      <c r="E353" t="s">
        <v>15</v>
      </c>
      <c r="F353" t="s">
        <v>17</v>
      </c>
      <c r="G353" s="1">
        <f>VALUE(2162.5351408326)</f>
        <v>2162.5351408326001</v>
      </c>
      <c r="H353" s="1">
        <f>VALUE(2088.7328094399)</f>
        <v>2088.7328094398999</v>
      </c>
      <c r="I353" s="4">
        <f>VALUE(3765)</f>
        <v>3765</v>
      </c>
      <c r="J353" s="1">
        <f>VALUE(4713)</f>
        <v>4713</v>
      </c>
      <c r="K353" s="1">
        <f>VALUE(5813)</f>
        <v>5813</v>
      </c>
      <c r="L353" s="1">
        <f>VALUE(7531)</f>
        <v>7531</v>
      </c>
      <c r="M353" s="1">
        <f>VALUE(9724)</f>
        <v>9724</v>
      </c>
      <c r="N353" t="s">
        <v>25</v>
      </c>
    </row>
    <row r="354" spans="1:14" x14ac:dyDescent="0.25">
      <c r="A354" t="s">
        <v>14</v>
      </c>
      <c r="B354" t="s">
        <v>15</v>
      </c>
      <c r="C354" t="s">
        <v>36</v>
      </c>
      <c r="D354" t="s">
        <v>15</v>
      </c>
      <c r="E354" t="s">
        <v>15</v>
      </c>
      <c r="F354" t="s">
        <v>18</v>
      </c>
      <c r="G354" s="1">
        <f>VALUE(3440.5445354699)</f>
        <v>3440.5445354699</v>
      </c>
      <c r="H354" s="1">
        <f>VALUE(3275.7434394431)</f>
        <v>3275.7434394431002</v>
      </c>
      <c r="I354" s="1">
        <f>VALUE(3488)</f>
        <v>3488</v>
      </c>
      <c r="J354" s="1">
        <f>VALUE(4274)</f>
        <v>4274</v>
      </c>
      <c r="K354" s="1">
        <f>VALUE(5195)</f>
        <v>5195</v>
      </c>
      <c r="L354" s="1">
        <f>VALUE(6395)</f>
        <v>6395</v>
      </c>
      <c r="M354" s="1">
        <f>VALUE(7784)</f>
        <v>7784</v>
      </c>
      <c r="N354" t="s">
        <v>16</v>
      </c>
    </row>
    <row r="355" spans="1:14" x14ac:dyDescent="0.25">
      <c r="A355" t="s">
        <v>14</v>
      </c>
      <c r="B355" t="s">
        <v>15</v>
      </c>
      <c r="C355" t="s">
        <v>36</v>
      </c>
      <c r="D355" t="s">
        <v>15</v>
      </c>
      <c r="E355" t="s">
        <v>15</v>
      </c>
      <c r="F355" t="s">
        <v>19</v>
      </c>
      <c r="G355" s="1">
        <f>VALUE(4002.7539240606)</f>
        <v>4002.7539240606002</v>
      </c>
      <c r="H355" s="1">
        <f>VALUE(3737.4002362507)</f>
        <v>3737.4002362506999</v>
      </c>
      <c r="I355" s="1">
        <f>VALUE(3575)</f>
        <v>3575</v>
      </c>
      <c r="J355" s="1">
        <f>VALUE(4225)</f>
        <v>4225</v>
      </c>
      <c r="K355" s="1">
        <f>VALUE(4946)</f>
        <v>4946</v>
      </c>
      <c r="L355" s="1">
        <f>VALUE(5638)</f>
        <v>5638</v>
      </c>
      <c r="M355" s="1">
        <f>VALUE(6701)</f>
        <v>6701</v>
      </c>
      <c r="N355" t="s">
        <v>16</v>
      </c>
    </row>
    <row r="356" spans="1:14" x14ac:dyDescent="0.25">
      <c r="A356" t="s">
        <v>14</v>
      </c>
      <c r="B356" t="s">
        <v>15</v>
      </c>
      <c r="C356" t="s">
        <v>36</v>
      </c>
      <c r="D356" t="s">
        <v>15</v>
      </c>
      <c r="E356" t="s">
        <v>15</v>
      </c>
      <c r="F356" t="s">
        <v>20</v>
      </c>
      <c r="G356" s="1">
        <f>VALUE(18127.3490552299)</f>
        <v>18127.349055229901</v>
      </c>
      <c r="H356" s="1">
        <f>VALUE(16941.2721047586)</f>
        <v>16941.272104758598</v>
      </c>
      <c r="I356" s="1">
        <f>VALUE(2952)</f>
        <v>2952</v>
      </c>
      <c r="J356" s="1">
        <f>VALUE(3501)</f>
        <v>3501</v>
      </c>
      <c r="K356" s="1">
        <f>VALUE(4333)</f>
        <v>4333</v>
      </c>
      <c r="L356" s="1">
        <f>VALUE(5170)</f>
        <v>5170</v>
      </c>
      <c r="M356" s="1">
        <f>VALUE(5973)</f>
        <v>5973</v>
      </c>
      <c r="N356" t="s">
        <v>16</v>
      </c>
    </row>
    <row r="357" spans="1:14" x14ac:dyDescent="0.25">
      <c r="A357" t="s">
        <v>14</v>
      </c>
      <c r="B357" t="s">
        <v>15</v>
      </c>
      <c r="C357" t="s">
        <v>36</v>
      </c>
      <c r="D357" t="s">
        <v>15</v>
      </c>
      <c r="E357" t="s">
        <v>21</v>
      </c>
      <c r="F357" t="s">
        <v>15</v>
      </c>
      <c r="G357" s="1">
        <f>VALUE(6726.9159864926)</f>
        <v>6726.9159864925996</v>
      </c>
      <c r="H357" s="1">
        <f>VALUE(6163.7037435486)</f>
        <v>6163.7037435486</v>
      </c>
      <c r="I357" s="1">
        <f>VALUE(3808)</f>
        <v>3808</v>
      </c>
      <c r="J357" s="1">
        <f>VALUE(4616)</f>
        <v>4616</v>
      </c>
      <c r="K357" s="1">
        <f>VALUE(5573)</f>
        <v>5573</v>
      </c>
      <c r="L357" s="1">
        <f>VALUE(6646)</f>
        <v>6646</v>
      </c>
      <c r="M357" s="1">
        <f>VALUE(8113)</f>
        <v>8113</v>
      </c>
      <c r="N357" t="s">
        <v>16</v>
      </c>
    </row>
    <row r="358" spans="1:14" x14ac:dyDescent="0.25">
      <c r="A358" t="s">
        <v>14</v>
      </c>
      <c r="B358" t="s">
        <v>15</v>
      </c>
      <c r="C358" t="s">
        <v>36</v>
      </c>
      <c r="D358" t="s">
        <v>15</v>
      </c>
      <c r="E358" t="s">
        <v>21</v>
      </c>
      <c r="F358" t="s">
        <v>17</v>
      </c>
      <c r="G358" s="2">
        <f>VALUE(1296.2323519617)</f>
        <v>1296.2323519617</v>
      </c>
      <c r="H358" s="3">
        <f>VALUE(1236.3353625475)</f>
        <v>1236.3353625474999</v>
      </c>
      <c r="I358" s="4">
        <f>VALUE(3954)</f>
        <v>3954</v>
      </c>
      <c r="J358" s="1">
        <f>VALUE(5122)</f>
        <v>5122</v>
      </c>
      <c r="K358" s="1">
        <f>VALUE(6409)</f>
        <v>6409</v>
      </c>
      <c r="L358" s="1">
        <f>VALUE(8030)</f>
        <v>8030</v>
      </c>
      <c r="M358" s="1">
        <f>VALUE(10151)</f>
        <v>10151</v>
      </c>
      <c r="N358" t="s">
        <v>25</v>
      </c>
    </row>
    <row r="359" spans="1:14" x14ac:dyDescent="0.25">
      <c r="A359" t="s">
        <v>14</v>
      </c>
      <c r="B359" t="s">
        <v>15</v>
      </c>
      <c r="C359" t="s">
        <v>36</v>
      </c>
      <c r="D359" t="s">
        <v>15</v>
      </c>
      <c r="E359" t="s">
        <v>21</v>
      </c>
      <c r="F359" t="s">
        <v>18</v>
      </c>
      <c r="G359" s="1">
        <f>VALUE(1432.0034146054)</f>
        <v>1432.0034146053999</v>
      </c>
      <c r="H359" s="1">
        <f>VALUE(1317.5978948649)</f>
        <v>1317.5978948648999</v>
      </c>
      <c r="I359" s="1">
        <f>VALUE(3950)</f>
        <v>3950</v>
      </c>
      <c r="J359" s="1">
        <f>VALUE(4815)</f>
        <v>4815</v>
      </c>
      <c r="K359" s="1">
        <f>VALUE(5850)</f>
        <v>5850</v>
      </c>
      <c r="L359" s="1">
        <f>VALUE(6933)</f>
        <v>6933</v>
      </c>
      <c r="M359" s="8">
        <f>VALUE(8236)</f>
        <v>8236</v>
      </c>
      <c r="N359" t="s">
        <v>25</v>
      </c>
    </row>
    <row r="360" spans="1:14" x14ac:dyDescent="0.25">
      <c r="A360" t="s">
        <v>14</v>
      </c>
      <c r="B360" t="s">
        <v>15</v>
      </c>
      <c r="C360" t="s">
        <v>36</v>
      </c>
      <c r="D360" t="s">
        <v>15</v>
      </c>
      <c r="E360" t="s">
        <v>21</v>
      </c>
      <c r="F360" t="s">
        <v>19</v>
      </c>
      <c r="G360" s="1">
        <f>VALUE(1468.9692073886)</f>
        <v>1468.9692073885999</v>
      </c>
      <c r="H360" s="1">
        <f>VALUE(1261.3547194213)</f>
        <v>1261.3547194212999</v>
      </c>
      <c r="I360" s="4">
        <f>VALUE(3761)</f>
        <v>3761</v>
      </c>
      <c r="J360" s="1">
        <f>VALUE(4603)</f>
        <v>4603</v>
      </c>
      <c r="K360" s="1">
        <f>VALUE(5079)</f>
        <v>5079</v>
      </c>
      <c r="L360" s="1">
        <f>VALUE(6242)</f>
        <v>6242</v>
      </c>
      <c r="M360" s="1">
        <f>VALUE(7583)</f>
        <v>7583</v>
      </c>
      <c r="N360" t="s">
        <v>25</v>
      </c>
    </row>
    <row r="361" spans="1:14" x14ac:dyDescent="0.25">
      <c r="A361" t="s">
        <v>14</v>
      </c>
      <c r="B361" t="s">
        <v>15</v>
      </c>
      <c r="C361" t="s">
        <v>36</v>
      </c>
      <c r="D361" t="s">
        <v>15</v>
      </c>
      <c r="E361" t="s">
        <v>21</v>
      </c>
      <c r="F361" t="s">
        <v>20</v>
      </c>
      <c r="G361" s="1">
        <f>VALUE(2529.7110125369)</f>
        <v>2529.7110125368999</v>
      </c>
      <c r="H361" s="1">
        <f>VALUE(2348.4157667149)</f>
        <v>2348.4157667149002</v>
      </c>
      <c r="I361" s="1">
        <f>VALUE(3674)</f>
        <v>3674</v>
      </c>
      <c r="J361" s="1">
        <f>VALUE(4379)</f>
        <v>4379</v>
      </c>
      <c r="K361" s="1">
        <f>VALUE(5280)</f>
        <v>5280</v>
      </c>
      <c r="L361" s="1">
        <f>VALUE(6210)</f>
        <v>6210</v>
      </c>
      <c r="M361" s="1">
        <f>VALUE(7000)</f>
        <v>7000</v>
      </c>
      <c r="N361" t="s">
        <v>16</v>
      </c>
    </row>
    <row r="362" spans="1:14" x14ac:dyDescent="0.25">
      <c r="A362" t="s">
        <v>14</v>
      </c>
      <c r="B362" t="s">
        <v>15</v>
      </c>
      <c r="C362" t="s">
        <v>36</v>
      </c>
      <c r="D362" t="s">
        <v>15</v>
      </c>
      <c r="E362" t="s">
        <v>22</v>
      </c>
      <c r="F362" t="s">
        <v>15</v>
      </c>
      <c r="G362" s="1">
        <f>VALUE(10598.0190689664)</f>
        <v>10598.0190689664</v>
      </c>
      <c r="H362" s="1">
        <f>VALUE(10184.8378847797)</f>
        <v>10184.837884779699</v>
      </c>
      <c r="I362" s="1">
        <f>VALUE(3527)</f>
        <v>3527</v>
      </c>
      <c r="J362" s="1">
        <f>VALUE(4083)</f>
        <v>4083</v>
      </c>
      <c r="K362" s="1">
        <f>VALUE(4719)</f>
        <v>4719</v>
      </c>
      <c r="L362" s="1">
        <f>VALUE(5412)</f>
        <v>5412</v>
      </c>
      <c r="M362" s="1">
        <f>VALUE(6221)</f>
        <v>6221</v>
      </c>
      <c r="N362" t="s">
        <v>16</v>
      </c>
    </row>
    <row r="363" spans="1:14" x14ac:dyDescent="0.25">
      <c r="A363" t="s">
        <v>14</v>
      </c>
      <c r="B363" t="s">
        <v>15</v>
      </c>
      <c r="C363" t="s">
        <v>36</v>
      </c>
      <c r="D363" t="s">
        <v>15</v>
      </c>
      <c r="E363" t="s">
        <v>22</v>
      </c>
      <c r="F363" t="s">
        <v>17</v>
      </c>
      <c r="G363" s="2">
        <f>VALUE(636.5692800557)</f>
        <v>636.56928005570001</v>
      </c>
      <c r="H363" s="3">
        <f>VALUE(622.9682046516)</f>
        <v>622.96820465159999</v>
      </c>
      <c r="I363" s="4">
        <f>VALUE(3686)</f>
        <v>3686</v>
      </c>
      <c r="J363" s="5">
        <f>VALUE(4435)</f>
        <v>4435</v>
      </c>
      <c r="K363" s="1">
        <f>VALUE(5159)</f>
        <v>5159</v>
      </c>
      <c r="L363" s="7">
        <f>VALUE(6429)</f>
        <v>6429</v>
      </c>
      <c r="M363" s="1">
        <f>VALUE(8333)</f>
        <v>8333</v>
      </c>
      <c r="N363" t="s">
        <v>25</v>
      </c>
    </row>
    <row r="364" spans="1:14" x14ac:dyDescent="0.25">
      <c r="A364" t="s">
        <v>14</v>
      </c>
      <c r="B364" t="s">
        <v>15</v>
      </c>
      <c r="C364" t="s">
        <v>36</v>
      </c>
      <c r="D364" t="s">
        <v>15</v>
      </c>
      <c r="E364" t="s">
        <v>22</v>
      </c>
      <c r="F364" t="s">
        <v>18</v>
      </c>
      <c r="G364" s="2">
        <f>VALUE(1346.8439864848)</f>
        <v>1346.8439864848001</v>
      </c>
      <c r="H364" s="3">
        <f>VALUE(1298.750801648)</f>
        <v>1298.7508016480001</v>
      </c>
      <c r="I364" s="1">
        <f>VALUE(3667)</f>
        <v>3667</v>
      </c>
      <c r="J364" s="1">
        <f>VALUE(4283)</f>
        <v>4283</v>
      </c>
      <c r="K364" s="1">
        <f>VALUE(4866)</f>
        <v>4866</v>
      </c>
      <c r="L364" s="1">
        <f>VALUE(5742)</f>
        <v>5742</v>
      </c>
      <c r="M364" s="1">
        <f>VALUE(6640)</f>
        <v>6640</v>
      </c>
      <c r="N364" t="s">
        <v>25</v>
      </c>
    </row>
    <row r="365" spans="1:14" x14ac:dyDescent="0.25">
      <c r="A365" t="s">
        <v>14</v>
      </c>
      <c r="B365" t="s">
        <v>15</v>
      </c>
      <c r="C365" t="s">
        <v>36</v>
      </c>
      <c r="D365" t="s">
        <v>15</v>
      </c>
      <c r="E365" t="s">
        <v>22</v>
      </c>
      <c r="F365" t="s">
        <v>19</v>
      </c>
      <c r="G365" s="1">
        <f>VALUE(1846.165583356)</f>
        <v>1846.1655833560001</v>
      </c>
      <c r="H365" s="1">
        <f>VALUE(1790.2874084722)</f>
        <v>1790.2874084722</v>
      </c>
      <c r="I365" s="1">
        <f>VALUE(3719)</f>
        <v>3719</v>
      </c>
      <c r="J365" s="1">
        <f>VALUE(4227)</f>
        <v>4227</v>
      </c>
      <c r="K365" s="1">
        <f>VALUE(4930)</f>
        <v>4930</v>
      </c>
      <c r="L365" s="1">
        <f>VALUE(5468)</f>
        <v>5468</v>
      </c>
      <c r="M365" s="1">
        <f>VALUE(6190)</f>
        <v>6190</v>
      </c>
      <c r="N365" t="s">
        <v>16</v>
      </c>
    </row>
    <row r="366" spans="1:14" x14ac:dyDescent="0.25">
      <c r="A366" t="s">
        <v>14</v>
      </c>
      <c r="B366" t="s">
        <v>15</v>
      </c>
      <c r="C366" t="s">
        <v>36</v>
      </c>
      <c r="D366" t="s">
        <v>15</v>
      </c>
      <c r="E366" t="s">
        <v>22</v>
      </c>
      <c r="F366" t="s">
        <v>20</v>
      </c>
      <c r="G366" s="1">
        <f>VALUE(6768.4402190699)</f>
        <v>6768.4402190699002</v>
      </c>
      <c r="H366" s="1">
        <f>VALUE(6472.8314700079)</f>
        <v>6472.8314700079</v>
      </c>
      <c r="I366" s="1">
        <f>VALUE(3454)</f>
        <v>3454</v>
      </c>
      <c r="J366" s="1">
        <f>VALUE(4000)</f>
        <v>4000</v>
      </c>
      <c r="K366" s="1">
        <f>VALUE(4622)</f>
        <v>4622</v>
      </c>
      <c r="L366" s="1">
        <f>VALUE(5294)</f>
        <v>5294</v>
      </c>
      <c r="M366" s="1">
        <f>VALUE(5955)</f>
        <v>5955</v>
      </c>
      <c r="N366" t="s">
        <v>16</v>
      </c>
    </row>
    <row r="367" spans="1:14" x14ac:dyDescent="0.25">
      <c r="A367" t="s">
        <v>14</v>
      </c>
      <c r="B367" t="s">
        <v>15</v>
      </c>
      <c r="C367" t="s">
        <v>36</v>
      </c>
      <c r="D367" t="s">
        <v>15</v>
      </c>
      <c r="E367" t="s">
        <v>23</v>
      </c>
      <c r="F367" t="s">
        <v>15</v>
      </c>
      <c r="G367" s="1">
        <f>VALUE(10059.7837322163)</f>
        <v>10059.7837322163</v>
      </c>
      <c r="H367" s="1">
        <f>VALUE(9349.615381364)</f>
        <v>9349.6153813639994</v>
      </c>
      <c r="I367" s="1">
        <f>VALUE(2721)</f>
        <v>2721</v>
      </c>
      <c r="J367" s="1">
        <f>VALUE(3197)</f>
        <v>3197</v>
      </c>
      <c r="K367" s="1">
        <f>VALUE(3805)</f>
        <v>3805</v>
      </c>
      <c r="L367" s="1">
        <f>VALUE(4630)</f>
        <v>4630</v>
      </c>
      <c r="M367" s="1">
        <f>VALUE(5471)</f>
        <v>5471</v>
      </c>
      <c r="N367" t="s">
        <v>16</v>
      </c>
    </row>
    <row r="368" spans="1:14" x14ac:dyDescent="0.25">
      <c r="A368" t="s">
        <v>14</v>
      </c>
      <c r="B368" t="s">
        <v>15</v>
      </c>
      <c r="C368" t="s">
        <v>36</v>
      </c>
      <c r="D368" t="s">
        <v>15</v>
      </c>
      <c r="E368" t="s">
        <v>23</v>
      </c>
      <c r="F368" t="s">
        <v>17</v>
      </c>
      <c r="G368" s="2">
        <f>VALUE(205.943213844)</f>
        <v>205.94321384400001</v>
      </c>
      <c r="H368" s="3">
        <f>VALUE(205.2260603034)</f>
        <v>205.2260603034</v>
      </c>
      <c r="I368" s="1">
        <f>VALUE(3273)</f>
        <v>3273</v>
      </c>
      <c r="J368" s="1">
        <f>VALUE(3628)</f>
        <v>3628</v>
      </c>
      <c r="K368" s="1">
        <f>VALUE(4861)</f>
        <v>4861</v>
      </c>
      <c r="L368" s="1">
        <f>VALUE(5643)</f>
        <v>5643</v>
      </c>
      <c r="M368" s="1">
        <f>VALUE(7035)</f>
        <v>7035</v>
      </c>
      <c r="N368" t="s">
        <v>25</v>
      </c>
    </row>
    <row r="369" spans="1:14" x14ac:dyDescent="0.25">
      <c r="A369" t="s">
        <v>14</v>
      </c>
      <c r="B369" t="s">
        <v>15</v>
      </c>
      <c r="C369" t="s">
        <v>36</v>
      </c>
      <c r="D369" t="s">
        <v>15</v>
      </c>
      <c r="E369" t="s">
        <v>23</v>
      </c>
      <c r="F369" t="s">
        <v>18</v>
      </c>
      <c r="G369" s="2">
        <f>VALUE(567.3195001288)</f>
        <v>567.31950012879997</v>
      </c>
      <c r="H369" s="3">
        <f>VALUE(561.5054795017)</f>
        <v>561.50547950170005</v>
      </c>
      <c r="I369" s="4">
        <f>VALUE(3200)</f>
        <v>3200</v>
      </c>
      <c r="J369" s="1">
        <f>VALUE(3365)</f>
        <v>3365</v>
      </c>
      <c r="K369" s="6">
        <f>VALUE(4050)</f>
        <v>4050</v>
      </c>
      <c r="L369" s="1">
        <f>VALUE(4988)</f>
        <v>4988</v>
      </c>
      <c r="M369" s="1">
        <f>VALUE(6122)</f>
        <v>6122</v>
      </c>
      <c r="N369" t="s">
        <v>25</v>
      </c>
    </row>
    <row r="370" spans="1:14" x14ac:dyDescent="0.25">
      <c r="A370" t="s">
        <v>14</v>
      </c>
      <c r="B370" t="s">
        <v>15</v>
      </c>
      <c r="C370" t="s">
        <v>36</v>
      </c>
      <c r="D370" t="s">
        <v>15</v>
      </c>
      <c r="E370" t="s">
        <v>23</v>
      </c>
      <c r="F370" t="s">
        <v>19</v>
      </c>
      <c r="G370" s="2">
        <f>VALUE(686.5640727185)</f>
        <v>686.56407271850003</v>
      </c>
      <c r="H370" s="3">
        <f>VALUE(684.6502947298)</f>
        <v>684.65029472979995</v>
      </c>
      <c r="I370" s="4">
        <f>VALUE(3232)</f>
        <v>3232</v>
      </c>
      <c r="J370" s="1">
        <f>VALUE(3772)</f>
        <v>3772</v>
      </c>
      <c r="K370" s="1">
        <f>VALUE(4487)</f>
        <v>4487</v>
      </c>
      <c r="L370" s="1">
        <f>VALUE(5200)</f>
        <v>5200</v>
      </c>
      <c r="M370" s="8">
        <f>VALUE(6322)</f>
        <v>6322</v>
      </c>
      <c r="N370" t="s">
        <v>25</v>
      </c>
    </row>
    <row r="371" spans="1:14" x14ac:dyDescent="0.25">
      <c r="A371" t="s">
        <v>14</v>
      </c>
      <c r="B371" t="s">
        <v>15</v>
      </c>
      <c r="C371" t="s">
        <v>36</v>
      </c>
      <c r="D371" t="s">
        <v>15</v>
      </c>
      <c r="E371" t="s">
        <v>23</v>
      </c>
      <c r="F371" t="s">
        <v>20</v>
      </c>
      <c r="G371" s="1">
        <f>VALUE(8599.956945525)</f>
        <v>8599.9569455250003</v>
      </c>
      <c r="H371" s="1">
        <f>VALUE(7898.2335468291)</f>
        <v>7898.2335468291003</v>
      </c>
      <c r="I371" s="1">
        <f>VALUE(2664)</f>
        <v>2664</v>
      </c>
      <c r="J371" s="1">
        <f>VALUE(3137)</f>
        <v>3137</v>
      </c>
      <c r="K371" s="1">
        <f>VALUE(3730)</f>
        <v>3730</v>
      </c>
      <c r="L371" s="1">
        <f>VALUE(4530)</f>
        <v>4530</v>
      </c>
      <c r="M371" s="1">
        <f>VALUE(5294)</f>
        <v>5294</v>
      </c>
      <c r="N371" t="s">
        <v>16</v>
      </c>
    </row>
    <row r="372" spans="1:14" x14ac:dyDescent="0.25">
      <c r="A372" t="s">
        <v>14</v>
      </c>
      <c r="B372" t="s">
        <v>15</v>
      </c>
      <c r="C372" t="s">
        <v>36</v>
      </c>
      <c r="D372" t="s">
        <v>15</v>
      </c>
      <c r="E372" t="s">
        <v>26</v>
      </c>
      <c r="F372" t="s">
        <v>15</v>
      </c>
      <c r="G372" s="2">
        <f>VALUE(370.8910984387)</f>
        <v>370.8910984387</v>
      </c>
      <c r="H372" s="3">
        <f>VALUE(363.6923538108)</f>
        <v>363.6923538108</v>
      </c>
      <c r="I372" s="1">
        <f>VALUE(4481)</f>
        <v>4481</v>
      </c>
      <c r="J372" s="1">
        <f>VALUE(5200)</f>
        <v>5200</v>
      </c>
      <c r="K372" s="1">
        <f>VALUE(6429)</f>
        <v>6429</v>
      </c>
      <c r="L372" s="1">
        <f>VALUE(8492)</f>
        <v>8492</v>
      </c>
      <c r="M372" s="1">
        <f>VALUE(11224)</f>
        <v>11224</v>
      </c>
      <c r="N372" t="s">
        <v>25</v>
      </c>
    </row>
    <row r="373" spans="1:14" x14ac:dyDescent="0.25">
      <c r="A373" t="s">
        <v>14</v>
      </c>
      <c r="B373" t="s">
        <v>15</v>
      </c>
      <c r="C373" t="s">
        <v>36</v>
      </c>
      <c r="D373" t="s">
        <v>15</v>
      </c>
      <c r="E373" t="s">
        <v>26</v>
      </c>
      <c r="F373" t="s">
        <v>17</v>
      </c>
      <c r="G373" s="1" t="str">
        <f t="shared" ref="G373:M375" si="81">"X"</f>
        <v>X</v>
      </c>
      <c r="H373" s="1" t="str">
        <f t="shared" si="81"/>
        <v>X</v>
      </c>
      <c r="I373" s="1" t="str">
        <f t="shared" si="81"/>
        <v>X</v>
      </c>
      <c r="J373" s="1" t="str">
        <f t="shared" si="81"/>
        <v>X</v>
      </c>
      <c r="K373" s="1" t="str">
        <f t="shared" si="81"/>
        <v>X</v>
      </c>
      <c r="L373" s="1" t="str">
        <f t="shared" si="81"/>
        <v>X</v>
      </c>
      <c r="M373" s="1" t="str">
        <f t="shared" si="81"/>
        <v>X</v>
      </c>
      <c r="N373" t="s">
        <v>27</v>
      </c>
    </row>
    <row r="374" spans="1:14" x14ac:dyDescent="0.25">
      <c r="A374" t="s">
        <v>14</v>
      </c>
      <c r="B374" t="s">
        <v>15</v>
      </c>
      <c r="C374" t="s">
        <v>36</v>
      </c>
      <c r="D374" t="s">
        <v>15</v>
      </c>
      <c r="E374" t="s">
        <v>26</v>
      </c>
      <c r="F374" t="s">
        <v>18</v>
      </c>
      <c r="G374" s="1" t="str">
        <f t="shared" si="81"/>
        <v>X</v>
      </c>
      <c r="H374" s="1" t="str">
        <f t="shared" si="81"/>
        <v>X</v>
      </c>
      <c r="I374" s="1" t="str">
        <f t="shared" si="81"/>
        <v>X</v>
      </c>
      <c r="J374" s="1" t="str">
        <f t="shared" si="81"/>
        <v>X</v>
      </c>
      <c r="K374" s="1" t="str">
        <f t="shared" si="81"/>
        <v>X</v>
      </c>
      <c r="L374" s="1" t="str">
        <f t="shared" si="81"/>
        <v>X</v>
      </c>
      <c r="M374" s="1" t="str">
        <f t="shared" si="81"/>
        <v>X</v>
      </c>
      <c r="N374" t="s">
        <v>27</v>
      </c>
    </row>
    <row r="375" spans="1:14" x14ac:dyDescent="0.25">
      <c r="A375" t="s">
        <v>14</v>
      </c>
      <c r="B375" t="s">
        <v>15</v>
      </c>
      <c r="C375" t="s">
        <v>36</v>
      </c>
      <c r="D375" t="s">
        <v>15</v>
      </c>
      <c r="E375" t="s">
        <v>26</v>
      </c>
      <c r="F375" t="s">
        <v>19</v>
      </c>
      <c r="G375" s="1" t="str">
        <f t="shared" si="81"/>
        <v>X</v>
      </c>
      <c r="H375" s="1" t="str">
        <f t="shared" si="81"/>
        <v>X</v>
      </c>
      <c r="I375" s="1" t="str">
        <f t="shared" si="81"/>
        <v>X</v>
      </c>
      <c r="J375" s="1" t="str">
        <f t="shared" si="81"/>
        <v>X</v>
      </c>
      <c r="K375" s="1" t="str">
        <f t="shared" si="81"/>
        <v>X</v>
      </c>
      <c r="L375" s="1" t="str">
        <f t="shared" si="81"/>
        <v>X</v>
      </c>
      <c r="M375" s="1" t="str">
        <f t="shared" si="81"/>
        <v>X</v>
      </c>
      <c r="N375" t="s">
        <v>27</v>
      </c>
    </row>
    <row r="376" spans="1:14" x14ac:dyDescent="0.25">
      <c r="A376" t="s">
        <v>14</v>
      </c>
      <c r="B376" t="s">
        <v>15</v>
      </c>
      <c r="C376" t="s">
        <v>36</v>
      </c>
      <c r="D376" t="s">
        <v>15</v>
      </c>
      <c r="E376" t="s">
        <v>26</v>
      </c>
      <c r="F376" t="s">
        <v>20</v>
      </c>
      <c r="G376" s="2">
        <f>VALUE(229.2408780981)</f>
        <v>229.24087809810001</v>
      </c>
      <c r="H376" s="3">
        <f>VALUE(221.7913212067)</f>
        <v>221.79132120669999</v>
      </c>
      <c r="I376" s="1">
        <f>VALUE(3969)</f>
        <v>3969</v>
      </c>
      <c r="J376" s="1">
        <f>VALUE(5159)</f>
        <v>5159</v>
      </c>
      <c r="K376" s="1">
        <f>VALUE(5793)</f>
        <v>5793</v>
      </c>
      <c r="L376" s="1">
        <f>VALUE(6905)</f>
        <v>6905</v>
      </c>
      <c r="M376" s="1">
        <f>VALUE(8333)</f>
        <v>8333</v>
      </c>
      <c r="N376" t="s">
        <v>25</v>
      </c>
    </row>
    <row r="377" spans="1:14" x14ac:dyDescent="0.25">
      <c r="A377" t="s">
        <v>14</v>
      </c>
      <c r="B377" t="s">
        <v>15</v>
      </c>
      <c r="C377" t="s">
        <v>36</v>
      </c>
      <c r="D377" t="s">
        <v>28</v>
      </c>
      <c r="E377" t="s">
        <v>15</v>
      </c>
      <c r="F377" t="s">
        <v>15</v>
      </c>
      <c r="G377" s="1">
        <f>VALUE(10386.8795746996)</f>
        <v>10386.8795746996</v>
      </c>
      <c r="H377" s="1">
        <f>VALUE(9659.8010321722)</f>
        <v>9659.8010321721995</v>
      </c>
      <c r="I377" s="1">
        <f>VALUE(3653)</f>
        <v>3653</v>
      </c>
      <c r="J377" s="1">
        <f>VALUE(4301)</f>
        <v>4301</v>
      </c>
      <c r="K377" s="1">
        <f>VALUE(5049)</f>
        <v>5049</v>
      </c>
      <c r="L377" s="1">
        <f>VALUE(5932)</f>
        <v>5932</v>
      </c>
      <c r="M377" s="1">
        <f>VALUE(7150)</f>
        <v>7150</v>
      </c>
      <c r="N377" t="s">
        <v>16</v>
      </c>
    </row>
    <row r="378" spans="1:14" x14ac:dyDescent="0.25">
      <c r="A378" t="s">
        <v>14</v>
      </c>
      <c r="B378" t="s">
        <v>15</v>
      </c>
      <c r="C378" t="s">
        <v>36</v>
      </c>
      <c r="D378" t="s">
        <v>28</v>
      </c>
      <c r="E378" t="s">
        <v>15</v>
      </c>
      <c r="F378" t="s">
        <v>17</v>
      </c>
      <c r="G378" s="2">
        <f>VALUE(1280.8412312445)</f>
        <v>1280.8412312445</v>
      </c>
      <c r="H378" s="3">
        <f>VALUE(1231.6221858099)</f>
        <v>1231.6221858099</v>
      </c>
      <c r="I378" s="4">
        <f>VALUE(3814)</f>
        <v>3814</v>
      </c>
      <c r="J378" s="1">
        <f>VALUE(4706)</f>
        <v>4706</v>
      </c>
      <c r="K378" s="1">
        <f>VALUE(6000)</f>
        <v>6000</v>
      </c>
      <c r="L378" s="1">
        <f>VALUE(7605)</f>
        <v>7605</v>
      </c>
      <c r="M378" s="1">
        <f>VALUE(9643)</f>
        <v>9643</v>
      </c>
      <c r="N378" t="s">
        <v>25</v>
      </c>
    </row>
    <row r="379" spans="1:14" x14ac:dyDescent="0.25">
      <c r="A379" t="s">
        <v>14</v>
      </c>
      <c r="B379" t="s">
        <v>15</v>
      </c>
      <c r="C379" t="s">
        <v>36</v>
      </c>
      <c r="D379" t="s">
        <v>28</v>
      </c>
      <c r="E379" t="s">
        <v>15</v>
      </c>
      <c r="F379" t="s">
        <v>18</v>
      </c>
      <c r="G379" s="1">
        <f>VALUE(1627.3927662873)</f>
        <v>1627.3927662873</v>
      </c>
      <c r="H379" s="1">
        <f>VALUE(1533.4538591223)</f>
        <v>1533.4538591222999</v>
      </c>
      <c r="I379" s="1">
        <f>VALUE(3792)</f>
        <v>3792</v>
      </c>
      <c r="J379" s="1">
        <f>VALUE(4526)</f>
        <v>4526</v>
      </c>
      <c r="K379" s="1">
        <f>VALUE(5302)</f>
        <v>5302</v>
      </c>
      <c r="L379" s="1">
        <f>VALUE(6511)</f>
        <v>6511</v>
      </c>
      <c r="M379" s="1">
        <f>VALUE(8042)</f>
        <v>8042</v>
      </c>
      <c r="N379" t="s">
        <v>16</v>
      </c>
    </row>
    <row r="380" spans="1:14" x14ac:dyDescent="0.25">
      <c r="A380" t="s">
        <v>14</v>
      </c>
      <c r="B380" t="s">
        <v>15</v>
      </c>
      <c r="C380" t="s">
        <v>36</v>
      </c>
      <c r="D380" t="s">
        <v>28</v>
      </c>
      <c r="E380" t="s">
        <v>15</v>
      </c>
      <c r="F380" t="s">
        <v>19</v>
      </c>
      <c r="G380" s="1">
        <f>VALUE(1699.5170334642)</f>
        <v>1699.5170334642</v>
      </c>
      <c r="H380" s="1">
        <f>VALUE(1571.641900594)</f>
        <v>1571.6419005939999</v>
      </c>
      <c r="I380" s="1">
        <f>VALUE(3944)</f>
        <v>3944</v>
      </c>
      <c r="J380" s="1">
        <f>VALUE(4487)</f>
        <v>4487</v>
      </c>
      <c r="K380" s="1">
        <f>VALUE(5103)</f>
        <v>5103</v>
      </c>
      <c r="L380" s="1">
        <f>VALUE(5824)</f>
        <v>5824</v>
      </c>
      <c r="M380" s="1">
        <f>VALUE(6871)</f>
        <v>6871</v>
      </c>
      <c r="N380" t="s">
        <v>16</v>
      </c>
    </row>
    <row r="381" spans="1:14" x14ac:dyDescent="0.25">
      <c r="A381" t="s">
        <v>14</v>
      </c>
      <c r="B381" t="s">
        <v>15</v>
      </c>
      <c r="C381" t="s">
        <v>36</v>
      </c>
      <c r="D381" t="s">
        <v>28</v>
      </c>
      <c r="E381" t="s">
        <v>15</v>
      </c>
      <c r="F381" t="s">
        <v>20</v>
      </c>
      <c r="G381" s="1">
        <f>VALUE(5757.9790460326)</f>
        <v>5757.9790460326003</v>
      </c>
      <c r="H381" s="1">
        <f>VALUE(5305.7079608671)</f>
        <v>5305.7079608671002</v>
      </c>
      <c r="I381" s="1">
        <f>VALUE(3479)</f>
        <v>3479</v>
      </c>
      <c r="J381" s="1">
        <f>VALUE(4095)</f>
        <v>4095</v>
      </c>
      <c r="K381" s="1">
        <f>VALUE(4823)</f>
        <v>4823</v>
      </c>
      <c r="L381" s="1">
        <f>VALUE(5554)</f>
        <v>5554</v>
      </c>
      <c r="M381" s="1">
        <f>VALUE(6375)</f>
        <v>6375</v>
      </c>
      <c r="N381" t="s">
        <v>16</v>
      </c>
    </row>
    <row r="382" spans="1:14" x14ac:dyDescent="0.25">
      <c r="A382" t="s">
        <v>14</v>
      </c>
      <c r="B382" t="s">
        <v>15</v>
      </c>
      <c r="C382" t="s">
        <v>36</v>
      </c>
      <c r="D382" t="s">
        <v>28</v>
      </c>
      <c r="E382" t="s">
        <v>21</v>
      </c>
      <c r="F382" t="s">
        <v>15</v>
      </c>
      <c r="G382" s="1">
        <f>VALUE(3237.412517011)</f>
        <v>3237.4125170110001</v>
      </c>
      <c r="H382" s="1">
        <f>VALUE(2935.8887847787)</f>
        <v>2935.8887847787</v>
      </c>
      <c r="I382" s="1">
        <f>VALUE(4038)</f>
        <v>4038</v>
      </c>
      <c r="J382" s="1">
        <f>VALUE(4875)</f>
        <v>4875</v>
      </c>
      <c r="K382" s="1">
        <f>VALUE(5785)</f>
        <v>5785</v>
      </c>
      <c r="L382" s="1">
        <f>VALUE(6834)</f>
        <v>6834</v>
      </c>
      <c r="M382" s="1">
        <f>VALUE(8154)</f>
        <v>8154</v>
      </c>
      <c r="N382" t="s">
        <v>16</v>
      </c>
    </row>
    <row r="383" spans="1:14" x14ac:dyDescent="0.25">
      <c r="A383" t="s">
        <v>14</v>
      </c>
      <c r="B383" t="s">
        <v>15</v>
      </c>
      <c r="C383" t="s">
        <v>36</v>
      </c>
      <c r="D383" t="s">
        <v>28</v>
      </c>
      <c r="E383" t="s">
        <v>21</v>
      </c>
      <c r="F383" t="s">
        <v>17</v>
      </c>
      <c r="G383" s="2">
        <f>VALUE(819.1682897724)</f>
        <v>819.16828977240004</v>
      </c>
      <c r="H383" s="3">
        <f>VALUE(783.9713500081)</f>
        <v>783.97135000809999</v>
      </c>
      <c r="I383" s="4">
        <f>VALUE(3954)</f>
        <v>3954</v>
      </c>
      <c r="J383" s="1">
        <f>VALUE(5167)</f>
        <v>5167</v>
      </c>
      <c r="K383" s="1">
        <f>VALUE(6463)</f>
        <v>6463</v>
      </c>
      <c r="L383" s="1">
        <f>VALUE(7917)</f>
        <v>7917</v>
      </c>
      <c r="M383" s="1">
        <f>VALUE(9802)</f>
        <v>9802</v>
      </c>
      <c r="N383" t="s">
        <v>25</v>
      </c>
    </row>
    <row r="384" spans="1:14" x14ac:dyDescent="0.25">
      <c r="A384" t="s">
        <v>14</v>
      </c>
      <c r="B384" t="s">
        <v>15</v>
      </c>
      <c r="C384" t="s">
        <v>36</v>
      </c>
      <c r="D384" t="s">
        <v>28</v>
      </c>
      <c r="E384" t="s">
        <v>21</v>
      </c>
      <c r="F384" t="s">
        <v>18</v>
      </c>
      <c r="G384" s="2">
        <f>VALUE(664.4936169103)</f>
        <v>664.49361691030003</v>
      </c>
      <c r="H384" s="3">
        <f>VALUE(595.951377296)</f>
        <v>595.95137729600003</v>
      </c>
      <c r="I384" s="1">
        <f>VALUE(4117)</f>
        <v>4117</v>
      </c>
      <c r="J384" s="1">
        <f>VALUE(4960)</f>
        <v>4960</v>
      </c>
      <c r="K384" s="1">
        <f>VALUE(5976)</f>
        <v>5976</v>
      </c>
      <c r="L384" s="1">
        <f>VALUE(7042)</f>
        <v>7042</v>
      </c>
      <c r="M384" s="8">
        <f>VALUE(8048)</f>
        <v>8048</v>
      </c>
      <c r="N384" t="s">
        <v>25</v>
      </c>
    </row>
    <row r="385" spans="1:14" x14ac:dyDescent="0.25">
      <c r="A385" t="s">
        <v>14</v>
      </c>
      <c r="B385" t="s">
        <v>15</v>
      </c>
      <c r="C385" t="s">
        <v>36</v>
      </c>
      <c r="D385" t="s">
        <v>28</v>
      </c>
      <c r="E385" t="s">
        <v>21</v>
      </c>
      <c r="F385" t="s">
        <v>19</v>
      </c>
      <c r="G385" s="2">
        <f>VALUE(611.8240303419)</f>
        <v>611.82403034189997</v>
      </c>
      <c r="H385" s="3">
        <f>VALUE(530.0307951589)</f>
        <v>530.03079515889999</v>
      </c>
      <c r="I385" s="4">
        <f>VALUE(4063)</f>
        <v>4063</v>
      </c>
      <c r="J385" s="1">
        <f>VALUE(4762)</f>
        <v>4762</v>
      </c>
      <c r="K385" s="1">
        <f>VALUE(5552)</f>
        <v>5552</v>
      </c>
      <c r="L385" s="1">
        <f>VALUE(6455)</f>
        <v>6455</v>
      </c>
      <c r="M385" s="1">
        <f>VALUE(7464)</f>
        <v>7464</v>
      </c>
      <c r="N385" t="s">
        <v>25</v>
      </c>
    </row>
    <row r="386" spans="1:14" x14ac:dyDescent="0.25">
      <c r="A386" t="s">
        <v>14</v>
      </c>
      <c r="B386" t="s">
        <v>15</v>
      </c>
      <c r="C386" t="s">
        <v>36</v>
      </c>
      <c r="D386" t="s">
        <v>28</v>
      </c>
      <c r="E386" t="s">
        <v>21</v>
      </c>
      <c r="F386" t="s">
        <v>20</v>
      </c>
      <c r="G386" s="1">
        <f>VALUE(1141.9265799864)</f>
        <v>1141.9265799863999</v>
      </c>
      <c r="H386" s="1">
        <f>VALUE(1025.9352623157)</f>
        <v>1025.9352623156999</v>
      </c>
      <c r="I386" s="1">
        <f>VALUE(4025)</f>
        <v>4025</v>
      </c>
      <c r="J386" s="1">
        <f>VALUE(4699)</f>
        <v>4699</v>
      </c>
      <c r="K386" s="1">
        <f>VALUE(5628)</f>
        <v>5628</v>
      </c>
      <c r="L386" s="1">
        <f>VALUE(6349)</f>
        <v>6349</v>
      </c>
      <c r="M386" s="1">
        <f>VALUE(6875)</f>
        <v>6875</v>
      </c>
      <c r="N386" t="s">
        <v>16</v>
      </c>
    </row>
    <row r="387" spans="1:14" x14ac:dyDescent="0.25">
      <c r="A387" t="s">
        <v>14</v>
      </c>
      <c r="B387" t="s">
        <v>15</v>
      </c>
      <c r="C387" t="s">
        <v>36</v>
      </c>
      <c r="D387" t="s">
        <v>28</v>
      </c>
      <c r="E387" t="s">
        <v>22</v>
      </c>
      <c r="F387" t="s">
        <v>15</v>
      </c>
      <c r="G387" s="1">
        <f>VALUE(5710.2156251913)</f>
        <v>5710.2156251913002</v>
      </c>
      <c r="H387" s="1">
        <f>VALUE(5430.0887282082)</f>
        <v>5430.0887282082003</v>
      </c>
      <c r="I387" s="1">
        <f>VALUE(3661)</f>
        <v>3661</v>
      </c>
      <c r="J387" s="1">
        <f>VALUE(4230)</f>
        <v>4230</v>
      </c>
      <c r="K387" s="1">
        <f>VALUE(4823)</f>
        <v>4823</v>
      </c>
      <c r="L387" s="1">
        <f>VALUE(5458)</f>
        <v>5458</v>
      </c>
      <c r="M387" s="1">
        <f>VALUE(6263)</f>
        <v>6263</v>
      </c>
      <c r="N387" t="s">
        <v>16</v>
      </c>
    </row>
    <row r="388" spans="1:14" x14ac:dyDescent="0.25">
      <c r="A388" t="s">
        <v>14</v>
      </c>
      <c r="B388" t="s">
        <v>15</v>
      </c>
      <c r="C388" t="s">
        <v>36</v>
      </c>
      <c r="D388" t="s">
        <v>28</v>
      </c>
      <c r="E388" t="s">
        <v>22</v>
      </c>
      <c r="F388" t="s">
        <v>17</v>
      </c>
      <c r="G388" s="2">
        <f>VALUE(425.4224989645)</f>
        <v>425.42249896449999</v>
      </c>
      <c r="H388" s="3">
        <f>VALUE(416.5543549108)</f>
        <v>416.55435491079999</v>
      </c>
      <c r="I388" s="1">
        <f>VALUE(3629)</f>
        <v>3629</v>
      </c>
      <c r="J388" s="1">
        <f>VALUE(4301)</f>
        <v>4301</v>
      </c>
      <c r="K388" s="6">
        <f>VALUE(5108)</f>
        <v>5108</v>
      </c>
      <c r="L388" s="7">
        <f>VALUE(6667)</f>
        <v>6667</v>
      </c>
      <c r="M388" s="8">
        <f>VALUE(8512)</f>
        <v>8512</v>
      </c>
      <c r="N388" t="s">
        <v>25</v>
      </c>
    </row>
    <row r="389" spans="1:14" x14ac:dyDescent="0.25">
      <c r="A389" t="s">
        <v>14</v>
      </c>
      <c r="B389" t="s">
        <v>15</v>
      </c>
      <c r="C389" t="s">
        <v>36</v>
      </c>
      <c r="D389" t="s">
        <v>28</v>
      </c>
      <c r="E389" t="s">
        <v>22</v>
      </c>
      <c r="F389" t="s">
        <v>18</v>
      </c>
      <c r="G389" s="2">
        <f>VALUE(776.1184625859)</f>
        <v>776.11846258590003</v>
      </c>
      <c r="H389" s="3">
        <f>VALUE(747.2343109789)</f>
        <v>747.2343109789</v>
      </c>
      <c r="I389" s="4">
        <f>VALUE(3852)</f>
        <v>3852</v>
      </c>
      <c r="J389" s="1">
        <f>VALUE(4432)</f>
        <v>4432</v>
      </c>
      <c r="K389" s="1">
        <f>VALUE(4792)</f>
        <v>4792</v>
      </c>
      <c r="L389" s="1">
        <f>VALUE(5688)</f>
        <v>5688</v>
      </c>
      <c r="M389" s="1">
        <f>VALUE(6520)</f>
        <v>6520</v>
      </c>
      <c r="N389" t="s">
        <v>25</v>
      </c>
    </row>
    <row r="390" spans="1:14" x14ac:dyDescent="0.25">
      <c r="A390" t="s">
        <v>14</v>
      </c>
      <c r="B390" t="s">
        <v>15</v>
      </c>
      <c r="C390" t="s">
        <v>36</v>
      </c>
      <c r="D390" t="s">
        <v>28</v>
      </c>
      <c r="E390" t="s">
        <v>22</v>
      </c>
      <c r="F390" t="s">
        <v>19</v>
      </c>
      <c r="G390" s="2">
        <f>VALUE(978.4355311975)</f>
        <v>978.43553119750004</v>
      </c>
      <c r="H390" s="3">
        <f>VALUE(934.851330782)</f>
        <v>934.85133078199999</v>
      </c>
      <c r="I390" s="1">
        <f>VALUE(3875)</f>
        <v>3875</v>
      </c>
      <c r="J390" s="1">
        <f>VALUE(4333)</f>
        <v>4333</v>
      </c>
      <c r="K390" s="1">
        <f>VALUE(4972)</f>
        <v>4972</v>
      </c>
      <c r="L390" s="1">
        <f>VALUE(5520)</f>
        <v>5520</v>
      </c>
      <c r="M390" s="1">
        <f>VALUE(6190)</f>
        <v>6190</v>
      </c>
      <c r="N390" t="s">
        <v>25</v>
      </c>
    </row>
    <row r="391" spans="1:14" x14ac:dyDescent="0.25">
      <c r="A391" t="s">
        <v>14</v>
      </c>
      <c r="B391" t="s">
        <v>15</v>
      </c>
      <c r="C391" t="s">
        <v>36</v>
      </c>
      <c r="D391" t="s">
        <v>28</v>
      </c>
      <c r="E391" t="s">
        <v>22</v>
      </c>
      <c r="F391" t="s">
        <v>20</v>
      </c>
      <c r="G391" s="1">
        <f>VALUE(3530.2391324434)</f>
        <v>3530.2391324434002</v>
      </c>
      <c r="H391" s="1">
        <f>VALUE(3331.4487315365)</f>
        <v>3331.4487315365</v>
      </c>
      <c r="I391" s="1">
        <f>VALUE(3576)</f>
        <v>3576</v>
      </c>
      <c r="J391" s="1">
        <f>VALUE(4137)</f>
        <v>4137</v>
      </c>
      <c r="K391" s="1">
        <f>VALUE(4740)</f>
        <v>4740</v>
      </c>
      <c r="L391" s="1">
        <f>VALUE(5378)</f>
        <v>5378</v>
      </c>
      <c r="M391" s="1">
        <f>VALUE(5962)</f>
        <v>5962</v>
      </c>
      <c r="N391" t="s">
        <v>16</v>
      </c>
    </row>
    <row r="392" spans="1:14" x14ac:dyDescent="0.25">
      <c r="A392" t="s">
        <v>14</v>
      </c>
      <c r="B392" t="s">
        <v>15</v>
      </c>
      <c r="C392" t="s">
        <v>36</v>
      </c>
      <c r="D392" t="s">
        <v>28</v>
      </c>
      <c r="E392" t="s">
        <v>23</v>
      </c>
      <c r="F392" t="s">
        <v>15</v>
      </c>
      <c r="G392" s="2">
        <f>VALUE(1210.101077485)</f>
        <v>1210.1010774849999</v>
      </c>
      <c r="H392" s="3">
        <f>VALUE(1064.1946564341)</f>
        <v>1064.1946564340999</v>
      </c>
      <c r="I392" s="1">
        <f>VALUE(3106)</f>
        <v>3106</v>
      </c>
      <c r="J392" s="1">
        <f>VALUE(3495)</f>
        <v>3495</v>
      </c>
      <c r="K392" s="1">
        <f>VALUE(4247)</f>
        <v>4247</v>
      </c>
      <c r="L392" s="1">
        <f>VALUE(5121)</f>
        <v>5121</v>
      </c>
      <c r="M392" s="1">
        <f>VALUE(6173)</f>
        <v>6173</v>
      </c>
      <c r="N392" t="s">
        <v>25</v>
      </c>
    </row>
    <row r="393" spans="1:14" x14ac:dyDescent="0.25">
      <c r="A393" t="s">
        <v>14</v>
      </c>
      <c r="B393" t="s">
        <v>15</v>
      </c>
      <c r="C393" t="s">
        <v>36</v>
      </c>
      <c r="D393" t="s">
        <v>28</v>
      </c>
      <c r="E393" t="s">
        <v>23</v>
      </c>
      <c r="F393" t="s">
        <v>17</v>
      </c>
      <c r="G393" s="1" t="str">
        <f t="shared" ref="G393:M394" si="82">"X"</f>
        <v>X</v>
      </c>
      <c r="H393" s="1" t="str">
        <f t="shared" si="82"/>
        <v>X</v>
      </c>
      <c r="I393" s="1" t="str">
        <f t="shared" si="82"/>
        <v>X</v>
      </c>
      <c r="J393" s="1" t="str">
        <f t="shared" si="82"/>
        <v>X</v>
      </c>
      <c r="K393" s="1" t="str">
        <f t="shared" si="82"/>
        <v>X</v>
      </c>
      <c r="L393" s="1" t="str">
        <f t="shared" si="82"/>
        <v>X</v>
      </c>
      <c r="M393" s="1" t="str">
        <f t="shared" si="82"/>
        <v>X</v>
      </c>
      <c r="N393" t="s">
        <v>27</v>
      </c>
    </row>
    <row r="394" spans="1:14" x14ac:dyDescent="0.25">
      <c r="A394" t="s">
        <v>14</v>
      </c>
      <c r="B394" t="s">
        <v>15</v>
      </c>
      <c r="C394" t="s">
        <v>36</v>
      </c>
      <c r="D394" t="s">
        <v>28</v>
      </c>
      <c r="E394" t="s">
        <v>23</v>
      </c>
      <c r="F394" t="s">
        <v>18</v>
      </c>
      <c r="G394" s="1" t="str">
        <f t="shared" si="82"/>
        <v>X</v>
      </c>
      <c r="H394" s="1" t="str">
        <f t="shared" si="82"/>
        <v>X</v>
      </c>
      <c r="I394" s="1" t="str">
        <f t="shared" si="82"/>
        <v>X</v>
      </c>
      <c r="J394" s="1" t="str">
        <f t="shared" si="82"/>
        <v>X</v>
      </c>
      <c r="K394" s="1" t="str">
        <f t="shared" si="82"/>
        <v>X</v>
      </c>
      <c r="L394" s="1" t="str">
        <f t="shared" si="82"/>
        <v>X</v>
      </c>
      <c r="M394" s="1" t="str">
        <f t="shared" si="82"/>
        <v>X</v>
      </c>
      <c r="N394" t="s">
        <v>27</v>
      </c>
    </row>
    <row r="395" spans="1:14" x14ac:dyDescent="0.25">
      <c r="A395" t="s">
        <v>14</v>
      </c>
      <c r="B395" t="s">
        <v>15</v>
      </c>
      <c r="C395" t="s">
        <v>36</v>
      </c>
      <c r="D395" t="s">
        <v>28</v>
      </c>
      <c r="E395" t="s">
        <v>23</v>
      </c>
      <c r="F395" t="s">
        <v>19</v>
      </c>
      <c r="G395" s="2">
        <f>VALUE(109.2574719248)</f>
        <v>109.2574719248</v>
      </c>
      <c r="H395" s="3">
        <f>VALUE(106.7597746531)</f>
        <v>106.7597746531</v>
      </c>
      <c r="I395" s="1">
        <f>VALUE(3912)</f>
        <v>3912</v>
      </c>
      <c r="J395" s="1">
        <f>VALUE(4500)</f>
        <v>4500</v>
      </c>
      <c r="K395" s="1">
        <f>VALUE(5388)</f>
        <v>5388</v>
      </c>
      <c r="L395" s="1">
        <f>VALUE(6260)</f>
        <v>6260</v>
      </c>
      <c r="M395" s="8">
        <f>VALUE(6701)</f>
        <v>6701</v>
      </c>
      <c r="N395" t="s">
        <v>25</v>
      </c>
    </row>
    <row r="396" spans="1:14" x14ac:dyDescent="0.25">
      <c r="A396" t="s">
        <v>14</v>
      </c>
      <c r="B396" t="s">
        <v>15</v>
      </c>
      <c r="C396" t="s">
        <v>36</v>
      </c>
      <c r="D396" t="s">
        <v>28</v>
      </c>
      <c r="E396" t="s">
        <v>23</v>
      </c>
      <c r="F396" t="s">
        <v>20</v>
      </c>
      <c r="G396" s="2">
        <f>VALUE(957.9982862348)</f>
        <v>957.99828623480005</v>
      </c>
      <c r="H396" s="3">
        <f>VALUE(818.5247328812)</f>
        <v>818.52473288119995</v>
      </c>
      <c r="I396" s="4">
        <f>VALUE(3048)</f>
        <v>3048</v>
      </c>
      <c r="J396" s="1">
        <f>VALUE(3479)</f>
        <v>3479</v>
      </c>
      <c r="K396" s="1">
        <f>VALUE(4102)</f>
        <v>4102</v>
      </c>
      <c r="L396" s="1">
        <f>VALUE(4952)</f>
        <v>4952</v>
      </c>
      <c r="M396" s="1">
        <f>VALUE(5670)</f>
        <v>5670</v>
      </c>
      <c r="N396" t="s">
        <v>25</v>
      </c>
    </row>
    <row r="397" spans="1:14" x14ac:dyDescent="0.25">
      <c r="A397" t="s">
        <v>14</v>
      </c>
      <c r="B397" t="s">
        <v>15</v>
      </c>
      <c r="C397" t="s">
        <v>36</v>
      </c>
      <c r="D397" t="s">
        <v>28</v>
      </c>
      <c r="E397" t="s">
        <v>26</v>
      </c>
      <c r="F397" t="s">
        <v>15</v>
      </c>
      <c r="G397" s="2">
        <f>VALUE(229.1503550123)</f>
        <v>229.1503550123</v>
      </c>
      <c r="H397" s="3">
        <f>VALUE(229.6288627512)</f>
        <v>229.62886275119999</v>
      </c>
      <c r="I397" s="1">
        <f>VALUE(4577)</f>
        <v>4577</v>
      </c>
      <c r="J397" s="1">
        <f>VALUE(5555)</f>
        <v>5555</v>
      </c>
      <c r="K397" s="1">
        <f>VALUE(6508)</f>
        <v>6508</v>
      </c>
      <c r="L397" s="1">
        <f>VALUE(8530)</f>
        <v>8530</v>
      </c>
      <c r="M397" s="1">
        <f>VALUE(11267)</f>
        <v>11267</v>
      </c>
      <c r="N397" t="s">
        <v>25</v>
      </c>
    </row>
    <row r="398" spans="1:14" x14ac:dyDescent="0.25">
      <c r="A398" t="s">
        <v>14</v>
      </c>
      <c r="B398" t="s">
        <v>15</v>
      </c>
      <c r="C398" t="s">
        <v>36</v>
      </c>
      <c r="D398" t="s">
        <v>28</v>
      </c>
      <c r="E398" t="s">
        <v>26</v>
      </c>
      <c r="F398" t="s">
        <v>17</v>
      </c>
      <c r="G398" s="1" t="str">
        <f t="shared" ref="G398:M399" si="83">"X"</f>
        <v>X</v>
      </c>
      <c r="H398" s="1" t="str">
        <f t="shared" si="83"/>
        <v>X</v>
      </c>
      <c r="I398" s="1" t="str">
        <f t="shared" si="83"/>
        <v>X</v>
      </c>
      <c r="J398" s="1" t="str">
        <f t="shared" si="83"/>
        <v>X</v>
      </c>
      <c r="K398" s="1" t="str">
        <f t="shared" si="83"/>
        <v>X</v>
      </c>
      <c r="L398" s="1" t="str">
        <f t="shared" si="83"/>
        <v>X</v>
      </c>
      <c r="M398" s="1" t="str">
        <f t="shared" si="83"/>
        <v>X</v>
      </c>
      <c r="N398" t="s">
        <v>27</v>
      </c>
    </row>
    <row r="399" spans="1:14" x14ac:dyDescent="0.25">
      <c r="A399" t="s">
        <v>14</v>
      </c>
      <c r="B399" t="s">
        <v>15</v>
      </c>
      <c r="C399" t="s">
        <v>36</v>
      </c>
      <c r="D399" t="s">
        <v>28</v>
      </c>
      <c r="E399" t="s">
        <v>26</v>
      </c>
      <c r="F399" t="s">
        <v>18</v>
      </c>
      <c r="G399" s="1" t="str">
        <f t="shared" si="83"/>
        <v>X</v>
      </c>
      <c r="H399" s="1" t="str">
        <f t="shared" si="83"/>
        <v>X</v>
      </c>
      <c r="I399" s="1" t="str">
        <f t="shared" si="83"/>
        <v>X</v>
      </c>
      <c r="J399" s="1" t="str">
        <f t="shared" si="83"/>
        <v>X</v>
      </c>
      <c r="K399" s="1" t="str">
        <f t="shared" si="83"/>
        <v>X</v>
      </c>
      <c r="L399" s="1" t="str">
        <f t="shared" si="83"/>
        <v>X</v>
      </c>
      <c r="M399" s="1" t="str">
        <f t="shared" si="83"/>
        <v>X</v>
      </c>
      <c r="N399" t="s">
        <v>27</v>
      </c>
    </row>
    <row r="400" spans="1:14" x14ac:dyDescent="0.25">
      <c r="A400" t="s">
        <v>14</v>
      </c>
      <c r="B400" t="s">
        <v>15</v>
      </c>
      <c r="C400" t="s">
        <v>36</v>
      </c>
      <c r="D400" t="s">
        <v>28</v>
      </c>
      <c r="E400" t="s">
        <v>26</v>
      </c>
      <c r="F400" t="s">
        <v>19</v>
      </c>
      <c r="G400" s="1" t="str">
        <f t="shared" ref="G400:M400" si="84">"..."</f>
        <v>...</v>
      </c>
      <c r="H400" s="1" t="str">
        <f t="shared" si="84"/>
        <v>...</v>
      </c>
      <c r="I400" s="1" t="str">
        <f t="shared" si="84"/>
        <v>...</v>
      </c>
      <c r="J400" s="1" t="str">
        <f t="shared" si="84"/>
        <v>...</v>
      </c>
      <c r="K400" s="1" t="str">
        <f t="shared" si="84"/>
        <v>...</v>
      </c>
      <c r="L400" s="1" t="str">
        <f t="shared" si="84"/>
        <v>...</v>
      </c>
      <c r="M400" s="1" t="str">
        <f t="shared" si="84"/>
        <v>...</v>
      </c>
      <c r="N400" t="s">
        <v>30</v>
      </c>
    </row>
    <row r="401" spans="1:14" x14ac:dyDescent="0.25">
      <c r="A401" t="s">
        <v>14</v>
      </c>
      <c r="B401" t="s">
        <v>15</v>
      </c>
      <c r="C401" t="s">
        <v>36</v>
      </c>
      <c r="D401" t="s">
        <v>28</v>
      </c>
      <c r="E401" t="s">
        <v>26</v>
      </c>
      <c r="F401" t="s">
        <v>20</v>
      </c>
      <c r="G401" s="1" t="str">
        <f t="shared" ref="G401:M401" si="85">"X"</f>
        <v>X</v>
      </c>
      <c r="H401" s="1" t="str">
        <f t="shared" si="85"/>
        <v>X</v>
      </c>
      <c r="I401" s="1" t="str">
        <f t="shared" si="85"/>
        <v>X</v>
      </c>
      <c r="J401" s="1" t="str">
        <f t="shared" si="85"/>
        <v>X</v>
      </c>
      <c r="K401" s="1" t="str">
        <f t="shared" si="85"/>
        <v>X</v>
      </c>
      <c r="L401" s="1" t="str">
        <f t="shared" si="85"/>
        <v>X</v>
      </c>
      <c r="M401" s="1" t="str">
        <f t="shared" si="85"/>
        <v>X</v>
      </c>
      <c r="N401" t="s">
        <v>27</v>
      </c>
    </row>
    <row r="402" spans="1:14" x14ac:dyDescent="0.25">
      <c r="A402" t="s">
        <v>14</v>
      </c>
      <c r="B402" t="s">
        <v>15</v>
      </c>
      <c r="C402" t="s">
        <v>36</v>
      </c>
      <c r="D402" t="s">
        <v>29</v>
      </c>
      <c r="E402" t="s">
        <v>15</v>
      </c>
      <c r="F402" t="s">
        <v>15</v>
      </c>
      <c r="G402" s="1">
        <f>VALUE(3186.456784339)</f>
        <v>3186.456784339</v>
      </c>
      <c r="H402" s="1">
        <f>VALUE(2931.9519241421)</f>
        <v>2931.9519241420999</v>
      </c>
      <c r="I402" s="1">
        <f>VALUE(3371)</f>
        <v>3371</v>
      </c>
      <c r="J402" s="1">
        <f>VALUE(3991)</f>
        <v>3991</v>
      </c>
      <c r="K402" s="1">
        <f>VALUE(4733)</f>
        <v>4733</v>
      </c>
      <c r="L402" s="1">
        <f>VALUE(5491)</f>
        <v>5491</v>
      </c>
      <c r="M402" s="1">
        <f>VALUE(6654)</f>
        <v>6654</v>
      </c>
      <c r="N402" t="s">
        <v>16</v>
      </c>
    </row>
    <row r="403" spans="1:14" x14ac:dyDescent="0.25">
      <c r="A403" t="s">
        <v>14</v>
      </c>
      <c r="B403" t="s">
        <v>15</v>
      </c>
      <c r="C403" t="s">
        <v>36</v>
      </c>
      <c r="D403" t="s">
        <v>29</v>
      </c>
      <c r="E403" t="s">
        <v>15</v>
      </c>
      <c r="F403" t="s">
        <v>17</v>
      </c>
      <c r="G403" s="2">
        <f>VALUE(221.9546487302)</f>
        <v>221.95464873020001</v>
      </c>
      <c r="H403" s="3">
        <f>VALUE(219.4529538285)</f>
        <v>219.4529538285</v>
      </c>
      <c r="I403" s="4">
        <f>VALUE(3556)</f>
        <v>3556</v>
      </c>
      <c r="J403" s="5">
        <f>VALUE(4861)</f>
        <v>4861</v>
      </c>
      <c r="K403" s="6">
        <f>VALUE(6051)</f>
        <v>6051</v>
      </c>
      <c r="L403" s="7">
        <f>VALUE(6897)</f>
        <v>6897</v>
      </c>
      <c r="M403" s="8">
        <f>VALUE(9279)</f>
        <v>9279</v>
      </c>
      <c r="N403" t="s">
        <v>24</v>
      </c>
    </row>
    <row r="404" spans="1:14" x14ac:dyDescent="0.25">
      <c r="A404" t="s">
        <v>14</v>
      </c>
      <c r="B404" t="s">
        <v>15</v>
      </c>
      <c r="C404" t="s">
        <v>36</v>
      </c>
      <c r="D404" t="s">
        <v>29</v>
      </c>
      <c r="E404" t="s">
        <v>15</v>
      </c>
      <c r="F404" t="s">
        <v>18</v>
      </c>
      <c r="G404" s="2">
        <f>VALUE(378.4716075009)</f>
        <v>378.47160750090001</v>
      </c>
      <c r="H404" s="3">
        <f>VALUE(358.9935648924)</f>
        <v>358.9935648924</v>
      </c>
      <c r="I404" s="4">
        <f>VALUE(3435)</f>
        <v>3435</v>
      </c>
      <c r="J404" s="5">
        <f>VALUE(4445)</f>
        <v>4445</v>
      </c>
      <c r="K404" s="1">
        <f>VALUE(5417)</f>
        <v>5417</v>
      </c>
      <c r="L404" s="7">
        <f>VALUE(6487)</f>
        <v>6487</v>
      </c>
      <c r="M404" s="1">
        <f>VALUE(8014)</f>
        <v>8014</v>
      </c>
      <c r="N404" t="s">
        <v>25</v>
      </c>
    </row>
    <row r="405" spans="1:14" x14ac:dyDescent="0.25">
      <c r="A405" t="s">
        <v>14</v>
      </c>
      <c r="B405" t="s">
        <v>15</v>
      </c>
      <c r="C405" t="s">
        <v>36</v>
      </c>
      <c r="D405" t="s">
        <v>29</v>
      </c>
      <c r="E405" t="s">
        <v>15</v>
      </c>
      <c r="F405" t="s">
        <v>19</v>
      </c>
      <c r="G405" s="2">
        <f>VALUE(450.9569919437)</f>
        <v>450.95699194370002</v>
      </c>
      <c r="H405" s="3">
        <f>VALUE(429.2478167956)</f>
        <v>429.24781679559999</v>
      </c>
      <c r="I405" s="4">
        <f>VALUE(3719)</f>
        <v>3719</v>
      </c>
      <c r="J405" s="5">
        <f>VALUE(4333)</f>
        <v>4333</v>
      </c>
      <c r="K405" s="1">
        <f>VALUE(4983)</f>
        <v>4983</v>
      </c>
      <c r="L405" s="1">
        <f>VALUE(5670)</f>
        <v>5670</v>
      </c>
      <c r="M405" s="1">
        <f>VALUE(7084)</f>
        <v>7084</v>
      </c>
      <c r="N405" t="s">
        <v>25</v>
      </c>
    </row>
    <row r="406" spans="1:14" x14ac:dyDescent="0.25">
      <c r="A406" t="s">
        <v>14</v>
      </c>
      <c r="B406" t="s">
        <v>15</v>
      </c>
      <c r="C406" t="s">
        <v>36</v>
      </c>
      <c r="D406" t="s">
        <v>29</v>
      </c>
      <c r="E406" t="s">
        <v>15</v>
      </c>
      <c r="F406" t="s">
        <v>20</v>
      </c>
      <c r="G406" s="1">
        <f>VALUE(2135.0735361642)</f>
        <v>2135.0735361642</v>
      </c>
      <c r="H406" s="1">
        <f>VALUE(1924.2575886256)</f>
        <v>1924.2575886256</v>
      </c>
      <c r="I406" s="1">
        <f>VALUE(3333)</f>
        <v>3333</v>
      </c>
      <c r="J406" s="1">
        <f>VALUE(3851)</f>
        <v>3851</v>
      </c>
      <c r="K406" s="1">
        <f>VALUE(4529)</f>
        <v>4529</v>
      </c>
      <c r="L406" s="1">
        <f>VALUE(5219)</f>
        <v>5219</v>
      </c>
      <c r="M406" s="1">
        <f>VALUE(5885)</f>
        <v>5885</v>
      </c>
      <c r="N406" t="s">
        <v>16</v>
      </c>
    </row>
    <row r="407" spans="1:14" x14ac:dyDescent="0.25">
      <c r="A407" t="s">
        <v>14</v>
      </c>
      <c r="B407" t="s">
        <v>15</v>
      </c>
      <c r="C407" t="s">
        <v>36</v>
      </c>
      <c r="D407" t="s">
        <v>29</v>
      </c>
      <c r="E407" t="s">
        <v>21</v>
      </c>
      <c r="F407" t="s">
        <v>15</v>
      </c>
      <c r="G407" s="2">
        <f>VALUE(484.0564435311)</f>
        <v>484.0564435311</v>
      </c>
      <c r="H407" s="3">
        <f>VALUE(453.8927844488)</f>
        <v>453.8927844488</v>
      </c>
      <c r="I407" s="4">
        <f>VALUE(4059)</f>
        <v>4059</v>
      </c>
      <c r="J407" s="1">
        <f>VALUE(5032)</f>
        <v>5032</v>
      </c>
      <c r="K407" s="1">
        <f>VALUE(6139)</f>
        <v>6139</v>
      </c>
      <c r="L407" s="1">
        <f>VALUE(7240)</f>
        <v>7240</v>
      </c>
      <c r="M407" s="8">
        <f>VALUE(9143)</f>
        <v>9143</v>
      </c>
      <c r="N407" t="s">
        <v>25</v>
      </c>
    </row>
    <row r="408" spans="1:14" x14ac:dyDescent="0.25">
      <c r="A408" t="s">
        <v>14</v>
      </c>
      <c r="B408" t="s">
        <v>15</v>
      </c>
      <c r="C408" t="s">
        <v>36</v>
      </c>
      <c r="D408" t="s">
        <v>29</v>
      </c>
      <c r="E408" t="s">
        <v>21</v>
      </c>
      <c r="F408" t="s">
        <v>17</v>
      </c>
      <c r="G408" s="1" t="str">
        <f t="shared" ref="G408:M410" si="86">"X"</f>
        <v>X</v>
      </c>
      <c r="H408" s="1" t="str">
        <f t="shared" si="86"/>
        <v>X</v>
      </c>
      <c r="I408" s="1" t="str">
        <f t="shared" si="86"/>
        <v>X</v>
      </c>
      <c r="J408" s="1" t="str">
        <f t="shared" si="86"/>
        <v>X</v>
      </c>
      <c r="K408" s="1" t="str">
        <f t="shared" si="86"/>
        <v>X</v>
      </c>
      <c r="L408" s="1" t="str">
        <f t="shared" si="86"/>
        <v>X</v>
      </c>
      <c r="M408" s="1" t="str">
        <f t="shared" si="86"/>
        <v>X</v>
      </c>
      <c r="N408" t="s">
        <v>27</v>
      </c>
    </row>
    <row r="409" spans="1:14" x14ac:dyDescent="0.25">
      <c r="A409" t="s">
        <v>14</v>
      </c>
      <c r="B409" t="s">
        <v>15</v>
      </c>
      <c r="C409" t="s">
        <v>36</v>
      </c>
      <c r="D409" t="s">
        <v>29</v>
      </c>
      <c r="E409" t="s">
        <v>21</v>
      </c>
      <c r="F409" t="s">
        <v>18</v>
      </c>
      <c r="G409" s="1" t="str">
        <f t="shared" si="86"/>
        <v>X</v>
      </c>
      <c r="H409" s="1" t="str">
        <f t="shared" si="86"/>
        <v>X</v>
      </c>
      <c r="I409" s="1" t="str">
        <f t="shared" si="86"/>
        <v>X</v>
      </c>
      <c r="J409" s="1" t="str">
        <f t="shared" si="86"/>
        <v>X</v>
      </c>
      <c r="K409" s="1" t="str">
        <f t="shared" si="86"/>
        <v>X</v>
      </c>
      <c r="L409" s="1" t="str">
        <f t="shared" si="86"/>
        <v>X</v>
      </c>
      <c r="M409" s="1" t="str">
        <f t="shared" si="86"/>
        <v>X</v>
      </c>
      <c r="N409" t="s">
        <v>27</v>
      </c>
    </row>
    <row r="410" spans="1:14" x14ac:dyDescent="0.25">
      <c r="A410" t="s">
        <v>14</v>
      </c>
      <c r="B410" t="s">
        <v>15</v>
      </c>
      <c r="C410" t="s">
        <v>36</v>
      </c>
      <c r="D410" t="s">
        <v>29</v>
      </c>
      <c r="E410" t="s">
        <v>21</v>
      </c>
      <c r="F410" t="s">
        <v>19</v>
      </c>
      <c r="G410" s="1" t="str">
        <f t="shared" si="86"/>
        <v>X</v>
      </c>
      <c r="H410" s="1" t="str">
        <f t="shared" si="86"/>
        <v>X</v>
      </c>
      <c r="I410" s="1" t="str">
        <f t="shared" si="86"/>
        <v>X</v>
      </c>
      <c r="J410" s="1" t="str">
        <f t="shared" si="86"/>
        <v>X</v>
      </c>
      <c r="K410" s="1" t="str">
        <f t="shared" si="86"/>
        <v>X</v>
      </c>
      <c r="L410" s="1" t="str">
        <f t="shared" si="86"/>
        <v>X</v>
      </c>
      <c r="M410" s="1" t="str">
        <f t="shared" si="86"/>
        <v>X</v>
      </c>
      <c r="N410" t="s">
        <v>27</v>
      </c>
    </row>
    <row r="411" spans="1:14" x14ac:dyDescent="0.25">
      <c r="A411" t="s">
        <v>14</v>
      </c>
      <c r="B411" t="s">
        <v>15</v>
      </c>
      <c r="C411" t="s">
        <v>36</v>
      </c>
      <c r="D411" t="s">
        <v>29</v>
      </c>
      <c r="E411" t="s">
        <v>21</v>
      </c>
      <c r="F411" t="s">
        <v>20</v>
      </c>
      <c r="G411" s="2">
        <f>VALUE(154.2189295794)</f>
        <v>154.2189295794</v>
      </c>
      <c r="H411" s="3">
        <f>VALUE(145.1044152445)</f>
        <v>145.10441524449999</v>
      </c>
      <c r="I411" s="1">
        <f>VALUE(4473)</f>
        <v>4473</v>
      </c>
      <c r="J411" s="1">
        <f>VALUE(5289)</f>
        <v>5289</v>
      </c>
      <c r="K411" s="1">
        <f>VALUE(5913)</f>
        <v>5913</v>
      </c>
      <c r="L411" s="1">
        <f>VALUE(6992)</f>
        <v>6992</v>
      </c>
      <c r="M411" s="1">
        <f>VALUE(7659)</f>
        <v>7659</v>
      </c>
      <c r="N411" t="s">
        <v>25</v>
      </c>
    </row>
    <row r="412" spans="1:14" x14ac:dyDescent="0.25">
      <c r="A412" t="s">
        <v>14</v>
      </c>
      <c r="B412" t="s">
        <v>15</v>
      </c>
      <c r="C412" t="s">
        <v>36</v>
      </c>
      <c r="D412" t="s">
        <v>29</v>
      </c>
      <c r="E412" t="s">
        <v>22</v>
      </c>
      <c r="F412" t="s">
        <v>15</v>
      </c>
      <c r="G412" s="1">
        <f>VALUE(1586.9370590995)</f>
        <v>1586.9370590994999</v>
      </c>
      <c r="H412" s="3">
        <f>VALUE(1505.3597804272)</f>
        <v>1505.3597804271999</v>
      </c>
      <c r="I412" s="1">
        <f>VALUE(3719)</f>
        <v>3719</v>
      </c>
      <c r="J412" s="1">
        <f>VALUE(4160)</f>
        <v>4160</v>
      </c>
      <c r="K412" s="1">
        <f>VALUE(4785)</f>
        <v>4785</v>
      </c>
      <c r="L412" s="1">
        <f>VALUE(5366)</f>
        <v>5366</v>
      </c>
      <c r="M412" s="1">
        <f>VALUE(6067)</f>
        <v>6067</v>
      </c>
      <c r="N412" t="s">
        <v>25</v>
      </c>
    </row>
    <row r="413" spans="1:14" x14ac:dyDescent="0.25">
      <c r="A413" t="s">
        <v>14</v>
      </c>
      <c r="B413" t="s">
        <v>15</v>
      </c>
      <c r="C413" t="s">
        <v>36</v>
      </c>
      <c r="D413" t="s">
        <v>29</v>
      </c>
      <c r="E413" t="s">
        <v>22</v>
      </c>
      <c r="F413" t="s">
        <v>17</v>
      </c>
      <c r="G413" s="1" t="str">
        <f t="shared" ref="G413:M414" si="87">"X"</f>
        <v>X</v>
      </c>
      <c r="H413" s="1" t="str">
        <f t="shared" si="87"/>
        <v>X</v>
      </c>
      <c r="I413" s="1" t="str">
        <f t="shared" si="87"/>
        <v>X</v>
      </c>
      <c r="J413" s="1" t="str">
        <f t="shared" si="87"/>
        <v>X</v>
      </c>
      <c r="K413" s="1" t="str">
        <f t="shared" si="87"/>
        <v>X</v>
      </c>
      <c r="L413" s="1" t="str">
        <f t="shared" si="87"/>
        <v>X</v>
      </c>
      <c r="M413" s="1" t="str">
        <f t="shared" si="87"/>
        <v>X</v>
      </c>
      <c r="N413" t="s">
        <v>27</v>
      </c>
    </row>
    <row r="414" spans="1:14" x14ac:dyDescent="0.25">
      <c r="A414" t="s">
        <v>14</v>
      </c>
      <c r="B414" t="s">
        <v>15</v>
      </c>
      <c r="C414" t="s">
        <v>36</v>
      </c>
      <c r="D414" t="s">
        <v>29</v>
      </c>
      <c r="E414" t="s">
        <v>22</v>
      </c>
      <c r="F414" t="s">
        <v>18</v>
      </c>
      <c r="G414" s="1" t="str">
        <f t="shared" si="87"/>
        <v>X</v>
      </c>
      <c r="H414" s="1" t="str">
        <f t="shared" si="87"/>
        <v>X</v>
      </c>
      <c r="I414" s="1" t="str">
        <f t="shared" si="87"/>
        <v>X</v>
      </c>
      <c r="J414" s="1" t="str">
        <f t="shared" si="87"/>
        <v>X</v>
      </c>
      <c r="K414" s="1" t="str">
        <f t="shared" si="87"/>
        <v>X</v>
      </c>
      <c r="L414" s="1" t="str">
        <f t="shared" si="87"/>
        <v>X</v>
      </c>
      <c r="M414" s="1" t="str">
        <f t="shared" si="87"/>
        <v>X</v>
      </c>
      <c r="N414" t="s">
        <v>27</v>
      </c>
    </row>
    <row r="415" spans="1:14" x14ac:dyDescent="0.25">
      <c r="A415" t="s">
        <v>14</v>
      </c>
      <c r="B415" t="s">
        <v>15</v>
      </c>
      <c r="C415" t="s">
        <v>36</v>
      </c>
      <c r="D415" t="s">
        <v>29</v>
      </c>
      <c r="E415" t="s">
        <v>22</v>
      </c>
      <c r="F415" t="s">
        <v>19</v>
      </c>
      <c r="G415" s="2">
        <f>VALUE(274.8096191823)</f>
        <v>274.80961918230003</v>
      </c>
      <c r="H415" s="3">
        <f>VALUE(259.8040378719)</f>
        <v>259.80403787189999</v>
      </c>
      <c r="I415" s="4">
        <f>VALUE(3752)</f>
        <v>3752</v>
      </c>
      <c r="J415" s="5">
        <f>VALUE(4333)</f>
        <v>4333</v>
      </c>
      <c r="K415" s="1">
        <f>VALUE(4983)</f>
        <v>4983</v>
      </c>
      <c r="L415" s="1">
        <f>VALUE(5525)</f>
        <v>5525</v>
      </c>
      <c r="M415" s="1">
        <f>VALUE(6144)</f>
        <v>6144</v>
      </c>
      <c r="N415" t="s">
        <v>25</v>
      </c>
    </row>
    <row r="416" spans="1:14" x14ac:dyDescent="0.25">
      <c r="A416" t="s">
        <v>14</v>
      </c>
      <c r="B416" t="s">
        <v>15</v>
      </c>
      <c r="C416" t="s">
        <v>36</v>
      </c>
      <c r="D416" t="s">
        <v>29</v>
      </c>
      <c r="E416" t="s">
        <v>22</v>
      </c>
      <c r="F416" t="s">
        <v>20</v>
      </c>
      <c r="G416" s="2">
        <f>VALUE(1057.4788797723)</f>
        <v>1057.4788797722999</v>
      </c>
      <c r="H416" s="3">
        <f>VALUE(1001.4949675832)</f>
        <v>1001.4949675832</v>
      </c>
      <c r="I416" s="1">
        <f>VALUE(3700)</f>
        <v>3700</v>
      </c>
      <c r="J416" s="1">
        <f>VALUE(4117)</f>
        <v>4117</v>
      </c>
      <c r="K416" s="1">
        <f>VALUE(4622)</f>
        <v>4622</v>
      </c>
      <c r="L416" s="1">
        <f>VALUE(5200)</f>
        <v>5200</v>
      </c>
      <c r="M416" s="1">
        <f>VALUE(5684)</f>
        <v>5684</v>
      </c>
      <c r="N416" t="s">
        <v>25</v>
      </c>
    </row>
    <row r="417" spans="1:14" x14ac:dyDescent="0.25">
      <c r="A417" t="s">
        <v>14</v>
      </c>
      <c r="B417" t="s">
        <v>15</v>
      </c>
      <c r="C417" t="s">
        <v>36</v>
      </c>
      <c r="D417" t="s">
        <v>29</v>
      </c>
      <c r="E417" t="s">
        <v>23</v>
      </c>
      <c r="F417" t="s">
        <v>15</v>
      </c>
      <c r="G417" s="2">
        <f>VALUE(1077.440914117)</f>
        <v>1077.4409141169999</v>
      </c>
      <c r="H417" s="3">
        <f>VALUE(939.2844515593)</f>
        <v>939.28445155930001</v>
      </c>
      <c r="I417" s="1">
        <f>VALUE(3110)</f>
        <v>3110</v>
      </c>
      <c r="J417" s="1">
        <f>VALUE(3420)</f>
        <v>3420</v>
      </c>
      <c r="K417" s="1">
        <f>VALUE(4210)</f>
        <v>4210</v>
      </c>
      <c r="L417" s="1">
        <f>VALUE(4900)</f>
        <v>4900</v>
      </c>
      <c r="M417" s="1">
        <f>VALUE(5601)</f>
        <v>5601</v>
      </c>
      <c r="N417" t="s">
        <v>25</v>
      </c>
    </row>
    <row r="418" spans="1:14" x14ac:dyDescent="0.25">
      <c r="A418" t="s">
        <v>14</v>
      </c>
      <c r="B418" t="s">
        <v>15</v>
      </c>
      <c r="C418" t="s">
        <v>36</v>
      </c>
      <c r="D418" t="s">
        <v>29</v>
      </c>
      <c r="E418" t="s">
        <v>23</v>
      </c>
      <c r="F418" t="s">
        <v>17</v>
      </c>
      <c r="G418" s="1" t="str">
        <f t="shared" ref="G418:M420" si="88">"X"</f>
        <v>X</v>
      </c>
      <c r="H418" s="1" t="str">
        <f t="shared" si="88"/>
        <v>X</v>
      </c>
      <c r="I418" s="1" t="str">
        <f t="shared" si="88"/>
        <v>X</v>
      </c>
      <c r="J418" s="1" t="str">
        <f t="shared" si="88"/>
        <v>X</v>
      </c>
      <c r="K418" s="1" t="str">
        <f t="shared" si="88"/>
        <v>X</v>
      </c>
      <c r="L418" s="1" t="str">
        <f t="shared" si="88"/>
        <v>X</v>
      </c>
      <c r="M418" s="1" t="str">
        <f t="shared" si="88"/>
        <v>X</v>
      </c>
      <c r="N418" t="s">
        <v>27</v>
      </c>
    </row>
    <row r="419" spans="1:14" x14ac:dyDescent="0.25">
      <c r="A419" t="s">
        <v>14</v>
      </c>
      <c r="B419" t="s">
        <v>15</v>
      </c>
      <c r="C419" t="s">
        <v>36</v>
      </c>
      <c r="D419" t="s">
        <v>29</v>
      </c>
      <c r="E419" t="s">
        <v>23</v>
      </c>
      <c r="F419" t="s">
        <v>18</v>
      </c>
      <c r="G419" s="1" t="str">
        <f t="shared" si="88"/>
        <v>X</v>
      </c>
      <c r="H419" s="1" t="str">
        <f t="shared" si="88"/>
        <v>X</v>
      </c>
      <c r="I419" s="1" t="str">
        <f t="shared" si="88"/>
        <v>X</v>
      </c>
      <c r="J419" s="1" t="str">
        <f t="shared" si="88"/>
        <v>X</v>
      </c>
      <c r="K419" s="1" t="str">
        <f t="shared" si="88"/>
        <v>X</v>
      </c>
      <c r="L419" s="1" t="str">
        <f t="shared" si="88"/>
        <v>X</v>
      </c>
      <c r="M419" s="1" t="str">
        <f t="shared" si="88"/>
        <v>X</v>
      </c>
      <c r="N419" t="s">
        <v>27</v>
      </c>
    </row>
    <row r="420" spans="1:14" x14ac:dyDescent="0.25">
      <c r="A420" t="s">
        <v>14</v>
      </c>
      <c r="B420" t="s">
        <v>15</v>
      </c>
      <c r="C420" t="s">
        <v>36</v>
      </c>
      <c r="D420" t="s">
        <v>29</v>
      </c>
      <c r="E420" t="s">
        <v>23</v>
      </c>
      <c r="F420" t="s">
        <v>19</v>
      </c>
      <c r="G420" s="1" t="str">
        <f t="shared" si="88"/>
        <v>X</v>
      </c>
      <c r="H420" s="1" t="str">
        <f t="shared" si="88"/>
        <v>X</v>
      </c>
      <c r="I420" s="1" t="str">
        <f t="shared" si="88"/>
        <v>X</v>
      </c>
      <c r="J420" s="1" t="str">
        <f t="shared" si="88"/>
        <v>X</v>
      </c>
      <c r="K420" s="1" t="str">
        <f t="shared" si="88"/>
        <v>X</v>
      </c>
      <c r="L420" s="1" t="str">
        <f t="shared" si="88"/>
        <v>X</v>
      </c>
      <c r="M420" s="1" t="str">
        <f t="shared" si="88"/>
        <v>X</v>
      </c>
      <c r="N420" t="s">
        <v>27</v>
      </c>
    </row>
    <row r="421" spans="1:14" x14ac:dyDescent="0.25">
      <c r="A421" t="s">
        <v>14</v>
      </c>
      <c r="B421" t="s">
        <v>15</v>
      </c>
      <c r="C421" t="s">
        <v>36</v>
      </c>
      <c r="D421" t="s">
        <v>29</v>
      </c>
      <c r="E421" t="s">
        <v>23</v>
      </c>
      <c r="F421" t="s">
        <v>20</v>
      </c>
      <c r="G421" s="2">
        <f>VALUE(902.0916060737)</f>
        <v>902.09160607369995</v>
      </c>
      <c r="H421" s="3">
        <f>VALUE(761.5555368739)</f>
        <v>761.5555368739</v>
      </c>
      <c r="I421" s="4">
        <f>VALUE(3081)</f>
        <v>3081</v>
      </c>
      <c r="J421" s="1">
        <f>VALUE(3392)</f>
        <v>3392</v>
      </c>
      <c r="K421" s="1">
        <f>VALUE(4044)</f>
        <v>4044</v>
      </c>
      <c r="L421" s="1">
        <f>VALUE(4719)</f>
        <v>4719</v>
      </c>
      <c r="M421" s="1">
        <f>VALUE(5476)</f>
        <v>5476</v>
      </c>
      <c r="N421" t="s">
        <v>25</v>
      </c>
    </row>
    <row r="422" spans="1:14" x14ac:dyDescent="0.25">
      <c r="A422" t="s">
        <v>14</v>
      </c>
      <c r="B422" t="s">
        <v>15</v>
      </c>
      <c r="C422" t="s">
        <v>36</v>
      </c>
      <c r="D422" t="s">
        <v>29</v>
      </c>
      <c r="E422" t="s">
        <v>26</v>
      </c>
      <c r="F422" t="s">
        <v>15</v>
      </c>
      <c r="G422" s="1" t="str">
        <f t="shared" ref="G422:M424" si="89">"X"</f>
        <v>X</v>
      </c>
      <c r="H422" s="1" t="str">
        <f t="shared" si="89"/>
        <v>X</v>
      </c>
      <c r="I422" s="1" t="str">
        <f t="shared" si="89"/>
        <v>X</v>
      </c>
      <c r="J422" s="1" t="str">
        <f t="shared" si="89"/>
        <v>X</v>
      </c>
      <c r="K422" s="1" t="str">
        <f t="shared" si="89"/>
        <v>X</v>
      </c>
      <c r="L422" s="1" t="str">
        <f t="shared" si="89"/>
        <v>X</v>
      </c>
      <c r="M422" s="1" t="str">
        <f t="shared" si="89"/>
        <v>X</v>
      </c>
      <c r="N422" t="s">
        <v>27</v>
      </c>
    </row>
    <row r="423" spans="1:14" x14ac:dyDescent="0.25">
      <c r="A423" t="s">
        <v>14</v>
      </c>
      <c r="B423" t="s">
        <v>15</v>
      </c>
      <c r="C423" t="s">
        <v>36</v>
      </c>
      <c r="D423" t="s">
        <v>29</v>
      </c>
      <c r="E423" t="s">
        <v>26</v>
      </c>
      <c r="F423" t="s">
        <v>17</v>
      </c>
      <c r="G423" s="1" t="str">
        <f t="shared" si="89"/>
        <v>X</v>
      </c>
      <c r="H423" s="1" t="str">
        <f t="shared" si="89"/>
        <v>X</v>
      </c>
      <c r="I423" s="1" t="str">
        <f t="shared" si="89"/>
        <v>X</v>
      </c>
      <c r="J423" s="1" t="str">
        <f t="shared" si="89"/>
        <v>X</v>
      </c>
      <c r="K423" s="1" t="str">
        <f t="shared" si="89"/>
        <v>X</v>
      </c>
      <c r="L423" s="1" t="str">
        <f t="shared" si="89"/>
        <v>X</v>
      </c>
      <c r="M423" s="1" t="str">
        <f t="shared" si="89"/>
        <v>X</v>
      </c>
      <c r="N423" t="s">
        <v>27</v>
      </c>
    </row>
    <row r="424" spans="1:14" x14ac:dyDescent="0.25">
      <c r="A424" t="s">
        <v>14</v>
      </c>
      <c r="B424" t="s">
        <v>15</v>
      </c>
      <c r="C424" t="s">
        <v>36</v>
      </c>
      <c r="D424" t="s">
        <v>29</v>
      </c>
      <c r="E424" t="s">
        <v>26</v>
      </c>
      <c r="F424" t="s">
        <v>18</v>
      </c>
      <c r="G424" s="1" t="str">
        <f t="shared" si="89"/>
        <v>X</v>
      </c>
      <c r="H424" s="1" t="str">
        <f t="shared" si="89"/>
        <v>X</v>
      </c>
      <c r="I424" s="1" t="str">
        <f t="shared" si="89"/>
        <v>X</v>
      </c>
      <c r="J424" s="1" t="str">
        <f t="shared" si="89"/>
        <v>X</v>
      </c>
      <c r="K424" s="1" t="str">
        <f t="shared" si="89"/>
        <v>X</v>
      </c>
      <c r="L424" s="1" t="str">
        <f t="shared" si="89"/>
        <v>X</v>
      </c>
      <c r="M424" s="1" t="str">
        <f t="shared" si="89"/>
        <v>X</v>
      </c>
      <c r="N424" t="s">
        <v>27</v>
      </c>
    </row>
    <row r="425" spans="1:14" x14ac:dyDescent="0.25">
      <c r="A425" t="s">
        <v>14</v>
      </c>
      <c r="B425" t="s">
        <v>15</v>
      </c>
      <c r="C425" t="s">
        <v>36</v>
      </c>
      <c r="D425" t="s">
        <v>29</v>
      </c>
      <c r="E425" t="s">
        <v>26</v>
      </c>
      <c r="F425" t="s">
        <v>19</v>
      </c>
      <c r="G425" s="1" t="str">
        <f t="shared" ref="G425:M425" si="90">"..."</f>
        <v>...</v>
      </c>
      <c r="H425" s="1" t="str">
        <f t="shared" si="90"/>
        <v>...</v>
      </c>
      <c r="I425" s="1" t="str">
        <f t="shared" si="90"/>
        <v>...</v>
      </c>
      <c r="J425" s="1" t="str">
        <f t="shared" si="90"/>
        <v>...</v>
      </c>
      <c r="K425" s="1" t="str">
        <f t="shared" si="90"/>
        <v>...</v>
      </c>
      <c r="L425" s="1" t="str">
        <f t="shared" si="90"/>
        <v>...</v>
      </c>
      <c r="M425" s="1" t="str">
        <f t="shared" si="90"/>
        <v>...</v>
      </c>
      <c r="N425" t="s">
        <v>30</v>
      </c>
    </row>
    <row r="426" spans="1:14" x14ac:dyDescent="0.25">
      <c r="A426" t="s">
        <v>14</v>
      </c>
      <c r="B426" t="s">
        <v>15</v>
      </c>
      <c r="C426" t="s">
        <v>36</v>
      </c>
      <c r="D426" t="s">
        <v>29</v>
      </c>
      <c r="E426" t="s">
        <v>26</v>
      </c>
      <c r="F426" t="s">
        <v>20</v>
      </c>
      <c r="G426" s="1" t="str">
        <f t="shared" ref="G426:M426" si="91">"X"</f>
        <v>X</v>
      </c>
      <c r="H426" s="1" t="str">
        <f t="shared" si="91"/>
        <v>X</v>
      </c>
      <c r="I426" s="1" t="str">
        <f t="shared" si="91"/>
        <v>X</v>
      </c>
      <c r="J426" s="1" t="str">
        <f t="shared" si="91"/>
        <v>X</v>
      </c>
      <c r="K426" s="1" t="str">
        <f t="shared" si="91"/>
        <v>X</v>
      </c>
      <c r="L426" s="1" t="str">
        <f t="shared" si="91"/>
        <v>X</v>
      </c>
      <c r="M426" s="1" t="str">
        <f t="shared" si="91"/>
        <v>X</v>
      </c>
      <c r="N426" t="s">
        <v>27</v>
      </c>
    </row>
    <row r="427" spans="1:14" x14ac:dyDescent="0.25">
      <c r="A427" t="s">
        <v>14</v>
      </c>
      <c r="B427" t="s">
        <v>15</v>
      </c>
      <c r="C427" t="s">
        <v>36</v>
      </c>
      <c r="D427" t="s">
        <v>31</v>
      </c>
      <c r="E427" t="s">
        <v>15</v>
      </c>
      <c r="F427" t="s">
        <v>15</v>
      </c>
      <c r="G427" s="1">
        <f>VALUE(3127.4138014906)</f>
        <v>3127.4138014905998</v>
      </c>
      <c r="H427" s="1">
        <f>VALUE(2914.6957273185)</f>
        <v>2914.6957273184998</v>
      </c>
      <c r="I427" s="1">
        <f>VALUE(3225)</f>
        <v>3225</v>
      </c>
      <c r="J427" s="1">
        <f>VALUE(3609)</f>
        <v>3609</v>
      </c>
      <c r="K427" s="1">
        <f>VALUE(4546)</f>
        <v>4546</v>
      </c>
      <c r="L427" s="1">
        <f>VALUE(5608)</f>
        <v>5608</v>
      </c>
      <c r="M427" s="8">
        <f>VALUE(7088)</f>
        <v>7088</v>
      </c>
      <c r="N427" t="s">
        <v>25</v>
      </c>
    </row>
    <row r="428" spans="1:14" x14ac:dyDescent="0.25">
      <c r="A428" t="s">
        <v>14</v>
      </c>
      <c r="B428" t="s">
        <v>15</v>
      </c>
      <c r="C428" t="s">
        <v>36</v>
      </c>
      <c r="D428" t="s">
        <v>31</v>
      </c>
      <c r="E428" t="s">
        <v>15</v>
      </c>
      <c r="F428" t="s">
        <v>17</v>
      </c>
      <c r="G428" s="2">
        <f>VALUE(249.725339229)</f>
        <v>249.72533922900001</v>
      </c>
      <c r="H428" s="3">
        <f>VALUE(242.5794638232)</f>
        <v>242.5794638232</v>
      </c>
      <c r="I428" s="4">
        <f>VALUE(3273)</f>
        <v>3273</v>
      </c>
      <c r="J428" s="5">
        <f>VALUE(4297)</f>
        <v>4297</v>
      </c>
      <c r="K428" s="6">
        <f>VALUE(5667)</f>
        <v>5667</v>
      </c>
      <c r="L428" s="7">
        <f>VALUE(8925)</f>
        <v>8925</v>
      </c>
      <c r="M428" s="8">
        <f>VALUE(15687)</f>
        <v>15687</v>
      </c>
      <c r="N428" t="s">
        <v>24</v>
      </c>
    </row>
    <row r="429" spans="1:14" x14ac:dyDescent="0.25">
      <c r="A429" t="s">
        <v>14</v>
      </c>
      <c r="B429" t="s">
        <v>15</v>
      </c>
      <c r="C429" t="s">
        <v>36</v>
      </c>
      <c r="D429" t="s">
        <v>31</v>
      </c>
      <c r="E429" t="s">
        <v>15</v>
      </c>
      <c r="F429" t="s">
        <v>18</v>
      </c>
      <c r="G429" s="2">
        <f>VALUE(359.9307661262)</f>
        <v>359.93076612620001</v>
      </c>
      <c r="H429" s="3">
        <f>VALUE(338.9526622021)</f>
        <v>338.95266220209999</v>
      </c>
      <c r="I429" s="4">
        <f>VALUE(3488)</f>
        <v>3488</v>
      </c>
      <c r="J429" s="5">
        <f>VALUE(4057)</f>
        <v>4057</v>
      </c>
      <c r="K429" s="6">
        <f>VALUE(5714)</f>
        <v>5714</v>
      </c>
      <c r="L429" s="7">
        <f>VALUE(6947)</f>
        <v>6947</v>
      </c>
      <c r="M429" s="8">
        <f>VALUE(9297)</f>
        <v>9297</v>
      </c>
      <c r="N429" t="s">
        <v>24</v>
      </c>
    </row>
    <row r="430" spans="1:14" x14ac:dyDescent="0.25">
      <c r="A430" t="s">
        <v>14</v>
      </c>
      <c r="B430" t="s">
        <v>15</v>
      </c>
      <c r="C430" t="s">
        <v>36</v>
      </c>
      <c r="D430" t="s">
        <v>31</v>
      </c>
      <c r="E430" t="s">
        <v>15</v>
      </c>
      <c r="F430" t="s">
        <v>19</v>
      </c>
      <c r="G430" s="2">
        <f>VALUE(444.2873746091)</f>
        <v>444.28737460910003</v>
      </c>
      <c r="H430" s="3">
        <f>VALUE(378.3263206863)</f>
        <v>378.32632068629999</v>
      </c>
      <c r="I430" s="1">
        <f>VALUE(3728)</f>
        <v>3728</v>
      </c>
      <c r="J430" s="1">
        <f>VALUE(4373)</f>
        <v>4373</v>
      </c>
      <c r="K430" s="1">
        <f>VALUE(5034)</f>
        <v>5034</v>
      </c>
      <c r="L430" s="1">
        <f>VALUE(5625)</f>
        <v>5625</v>
      </c>
      <c r="M430" s="8">
        <f>VALUE(7012)</f>
        <v>7012</v>
      </c>
      <c r="N430" t="s">
        <v>25</v>
      </c>
    </row>
    <row r="431" spans="1:14" x14ac:dyDescent="0.25">
      <c r="A431" t="s">
        <v>14</v>
      </c>
      <c r="B431" t="s">
        <v>15</v>
      </c>
      <c r="C431" t="s">
        <v>36</v>
      </c>
      <c r="D431" t="s">
        <v>31</v>
      </c>
      <c r="E431" t="s">
        <v>15</v>
      </c>
      <c r="F431" t="s">
        <v>20</v>
      </c>
      <c r="G431" s="1">
        <f>VALUE(2073.4703215263)</f>
        <v>2073.4703215262998</v>
      </c>
      <c r="H431" s="1">
        <f>VALUE(1954.8372806069)</f>
        <v>1954.8372806069001</v>
      </c>
      <c r="I431" s="1">
        <f>VALUE(3162)</f>
        <v>3162</v>
      </c>
      <c r="J431" s="1">
        <f>VALUE(3467)</f>
        <v>3467</v>
      </c>
      <c r="K431" s="1">
        <f>VALUE(4137)</f>
        <v>4137</v>
      </c>
      <c r="L431" s="1">
        <f>VALUE(5151)</f>
        <v>5151</v>
      </c>
      <c r="M431" s="1">
        <f>VALUE(6071)</f>
        <v>6071</v>
      </c>
      <c r="N431" t="s">
        <v>16</v>
      </c>
    </row>
    <row r="432" spans="1:14" x14ac:dyDescent="0.25">
      <c r="A432" t="s">
        <v>14</v>
      </c>
      <c r="B432" t="s">
        <v>15</v>
      </c>
      <c r="C432" t="s">
        <v>36</v>
      </c>
      <c r="D432" t="s">
        <v>31</v>
      </c>
      <c r="E432" t="s">
        <v>21</v>
      </c>
      <c r="F432" t="s">
        <v>15</v>
      </c>
      <c r="G432" s="2">
        <f>VALUE(1003.6299378772)</f>
        <v>1003.6299378771999</v>
      </c>
      <c r="H432" s="3">
        <f>VALUE(898.0095961375)</f>
        <v>898.00959613750001</v>
      </c>
      <c r="I432" s="4">
        <f>VALUE(4167)</f>
        <v>4167</v>
      </c>
      <c r="J432" s="1">
        <f>VALUE(4800)</f>
        <v>4800</v>
      </c>
      <c r="K432" s="1">
        <f>VALUE(5666)</f>
        <v>5666</v>
      </c>
      <c r="L432" s="7">
        <f>VALUE(7060)</f>
        <v>7060</v>
      </c>
      <c r="M432" s="8">
        <f>VALUE(9694)</f>
        <v>9694</v>
      </c>
      <c r="N432" t="s">
        <v>25</v>
      </c>
    </row>
    <row r="433" spans="1:14" x14ac:dyDescent="0.25">
      <c r="A433" t="s">
        <v>14</v>
      </c>
      <c r="B433" t="s">
        <v>15</v>
      </c>
      <c r="C433" t="s">
        <v>36</v>
      </c>
      <c r="D433" t="s">
        <v>31</v>
      </c>
      <c r="E433" t="s">
        <v>21</v>
      </c>
      <c r="F433" t="s">
        <v>17</v>
      </c>
      <c r="G433" s="1" t="str">
        <f t="shared" ref="G433:M433" si="92">"X"</f>
        <v>X</v>
      </c>
      <c r="H433" s="1" t="str">
        <f t="shared" si="92"/>
        <v>X</v>
      </c>
      <c r="I433" s="1" t="str">
        <f t="shared" si="92"/>
        <v>X</v>
      </c>
      <c r="J433" s="1" t="str">
        <f t="shared" si="92"/>
        <v>X</v>
      </c>
      <c r="K433" s="1" t="str">
        <f t="shared" si="92"/>
        <v>X</v>
      </c>
      <c r="L433" s="1" t="str">
        <f t="shared" si="92"/>
        <v>X</v>
      </c>
      <c r="M433" s="1" t="str">
        <f t="shared" si="92"/>
        <v>X</v>
      </c>
      <c r="N433" t="s">
        <v>27</v>
      </c>
    </row>
    <row r="434" spans="1:14" x14ac:dyDescent="0.25">
      <c r="A434" t="s">
        <v>14</v>
      </c>
      <c r="B434" t="s">
        <v>15</v>
      </c>
      <c r="C434" t="s">
        <v>36</v>
      </c>
      <c r="D434" t="s">
        <v>31</v>
      </c>
      <c r="E434" t="s">
        <v>21</v>
      </c>
      <c r="F434" t="s">
        <v>18</v>
      </c>
      <c r="G434" s="2">
        <f>VALUE(197.5789544692)</f>
        <v>197.5789544692</v>
      </c>
      <c r="H434" s="3">
        <f>VALUE(180.7324100578)</f>
        <v>180.7324100578</v>
      </c>
      <c r="I434" s="4">
        <f>VALUE(4000)</f>
        <v>4000</v>
      </c>
      <c r="J434" s="5">
        <f>VALUE(5461)</f>
        <v>5461</v>
      </c>
      <c r="K434" s="1">
        <f>VALUE(6509)</f>
        <v>6509</v>
      </c>
      <c r="L434" s="7">
        <f>VALUE(7853)</f>
        <v>7853</v>
      </c>
      <c r="M434" s="8">
        <f>VALUE(10234)</f>
        <v>10234</v>
      </c>
      <c r="N434" t="s">
        <v>25</v>
      </c>
    </row>
    <row r="435" spans="1:14" x14ac:dyDescent="0.25">
      <c r="A435" t="s">
        <v>14</v>
      </c>
      <c r="B435" t="s">
        <v>15</v>
      </c>
      <c r="C435" t="s">
        <v>36</v>
      </c>
      <c r="D435" t="s">
        <v>31</v>
      </c>
      <c r="E435" t="s">
        <v>21</v>
      </c>
      <c r="F435" t="s">
        <v>19</v>
      </c>
      <c r="G435" s="2">
        <f>VALUE(304.2657832286)</f>
        <v>304.26578322860001</v>
      </c>
      <c r="H435" s="3">
        <f>VALUE(237.658188347)</f>
        <v>237.65818834699999</v>
      </c>
      <c r="I435" s="4">
        <f>VALUE(4190)</f>
        <v>4190</v>
      </c>
      <c r="J435" s="1">
        <f>VALUE(4736)</f>
        <v>4736</v>
      </c>
      <c r="K435" s="1">
        <f>VALUE(5055)</f>
        <v>5055</v>
      </c>
      <c r="L435" s="1">
        <f>VALUE(6151)</f>
        <v>6151</v>
      </c>
      <c r="M435" s="1">
        <f>VALUE(8051)</f>
        <v>8051</v>
      </c>
      <c r="N435" t="s">
        <v>25</v>
      </c>
    </row>
    <row r="436" spans="1:14" x14ac:dyDescent="0.25">
      <c r="A436" t="s">
        <v>14</v>
      </c>
      <c r="B436" t="s">
        <v>15</v>
      </c>
      <c r="C436" t="s">
        <v>36</v>
      </c>
      <c r="D436" t="s">
        <v>31</v>
      </c>
      <c r="E436" t="s">
        <v>21</v>
      </c>
      <c r="F436" t="s">
        <v>20</v>
      </c>
      <c r="G436" s="2">
        <f>VALUE(368.4360354623)</f>
        <v>368.43603546230003</v>
      </c>
      <c r="H436" s="3">
        <f>VALUE(348.6576210524)</f>
        <v>348.65762105239997</v>
      </c>
      <c r="I436" s="1">
        <f>VALUE(3871)</f>
        <v>3871</v>
      </c>
      <c r="J436" s="1">
        <f>VALUE(4707)</f>
        <v>4707</v>
      </c>
      <c r="K436" s="1">
        <f>VALUE(5450)</f>
        <v>5450</v>
      </c>
      <c r="L436" s="1">
        <f>VALUE(6250)</f>
        <v>6250</v>
      </c>
      <c r="M436" s="1">
        <f>VALUE(7991)</f>
        <v>7991</v>
      </c>
      <c r="N436" t="s">
        <v>25</v>
      </c>
    </row>
    <row r="437" spans="1:14" x14ac:dyDescent="0.25">
      <c r="A437" t="s">
        <v>14</v>
      </c>
      <c r="B437" t="s">
        <v>15</v>
      </c>
      <c r="C437" t="s">
        <v>36</v>
      </c>
      <c r="D437" t="s">
        <v>31</v>
      </c>
      <c r="E437" t="s">
        <v>22</v>
      </c>
      <c r="F437" t="s">
        <v>15</v>
      </c>
      <c r="G437" s="2">
        <f>VALUE(543.0957865511)</f>
        <v>543.09578655109999</v>
      </c>
      <c r="H437" s="3">
        <f>VALUE(516.8037415258)</f>
        <v>516.80374152579998</v>
      </c>
      <c r="I437" s="1">
        <f>VALUE(3555)</f>
        <v>3555</v>
      </c>
      <c r="J437" s="1">
        <f>VALUE(3789)</f>
        <v>3789</v>
      </c>
      <c r="K437" s="1">
        <f>VALUE(4508)</f>
        <v>4508</v>
      </c>
      <c r="L437" s="1">
        <f>VALUE(5368)</f>
        <v>5368</v>
      </c>
      <c r="M437" s="1">
        <f>VALUE(6484)</f>
        <v>6484</v>
      </c>
      <c r="N437" t="s">
        <v>25</v>
      </c>
    </row>
    <row r="438" spans="1:14" x14ac:dyDescent="0.25">
      <c r="A438" t="s">
        <v>14</v>
      </c>
      <c r="B438" t="s">
        <v>15</v>
      </c>
      <c r="C438" t="s">
        <v>36</v>
      </c>
      <c r="D438" t="s">
        <v>31</v>
      </c>
      <c r="E438" t="s">
        <v>22</v>
      </c>
      <c r="F438" t="s">
        <v>17</v>
      </c>
      <c r="G438" s="1" t="str">
        <f t="shared" ref="G438:M440" si="93">"X"</f>
        <v>X</v>
      </c>
      <c r="H438" s="1" t="str">
        <f t="shared" si="93"/>
        <v>X</v>
      </c>
      <c r="I438" s="1" t="str">
        <f t="shared" si="93"/>
        <v>X</v>
      </c>
      <c r="J438" s="1" t="str">
        <f t="shared" si="93"/>
        <v>X</v>
      </c>
      <c r="K438" s="1" t="str">
        <f t="shared" si="93"/>
        <v>X</v>
      </c>
      <c r="L438" s="1" t="str">
        <f t="shared" si="93"/>
        <v>X</v>
      </c>
      <c r="M438" s="1" t="str">
        <f t="shared" si="93"/>
        <v>X</v>
      </c>
      <c r="N438" t="s">
        <v>27</v>
      </c>
    </row>
    <row r="439" spans="1:14" x14ac:dyDescent="0.25">
      <c r="A439" t="s">
        <v>14</v>
      </c>
      <c r="B439" t="s">
        <v>15</v>
      </c>
      <c r="C439" t="s">
        <v>36</v>
      </c>
      <c r="D439" t="s">
        <v>31</v>
      </c>
      <c r="E439" t="s">
        <v>22</v>
      </c>
      <c r="F439" t="s">
        <v>18</v>
      </c>
      <c r="G439" s="1" t="str">
        <f t="shared" si="93"/>
        <v>X</v>
      </c>
      <c r="H439" s="1" t="str">
        <f t="shared" si="93"/>
        <v>X</v>
      </c>
      <c r="I439" s="1" t="str">
        <f t="shared" si="93"/>
        <v>X</v>
      </c>
      <c r="J439" s="1" t="str">
        <f t="shared" si="93"/>
        <v>X</v>
      </c>
      <c r="K439" s="1" t="str">
        <f t="shared" si="93"/>
        <v>X</v>
      </c>
      <c r="L439" s="1" t="str">
        <f t="shared" si="93"/>
        <v>X</v>
      </c>
      <c r="M439" s="1" t="str">
        <f t="shared" si="93"/>
        <v>X</v>
      </c>
      <c r="N439" t="s">
        <v>27</v>
      </c>
    </row>
    <row r="440" spans="1:14" x14ac:dyDescent="0.25">
      <c r="A440" t="s">
        <v>14</v>
      </c>
      <c r="B440" t="s">
        <v>15</v>
      </c>
      <c r="C440" t="s">
        <v>36</v>
      </c>
      <c r="D440" t="s">
        <v>31</v>
      </c>
      <c r="E440" t="s">
        <v>22</v>
      </c>
      <c r="F440" t="s">
        <v>19</v>
      </c>
      <c r="G440" s="1" t="str">
        <f t="shared" si="93"/>
        <v>X</v>
      </c>
      <c r="H440" s="1" t="str">
        <f t="shared" si="93"/>
        <v>X</v>
      </c>
      <c r="I440" s="1" t="str">
        <f t="shared" si="93"/>
        <v>X</v>
      </c>
      <c r="J440" s="1" t="str">
        <f t="shared" si="93"/>
        <v>X</v>
      </c>
      <c r="K440" s="1" t="str">
        <f t="shared" si="93"/>
        <v>X</v>
      </c>
      <c r="L440" s="1" t="str">
        <f t="shared" si="93"/>
        <v>X</v>
      </c>
      <c r="M440" s="1" t="str">
        <f t="shared" si="93"/>
        <v>X</v>
      </c>
      <c r="N440" t="s">
        <v>27</v>
      </c>
    </row>
    <row r="441" spans="1:14" x14ac:dyDescent="0.25">
      <c r="A441" t="s">
        <v>14</v>
      </c>
      <c r="B441" t="s">
        <v>15</v>
      </c>
      <c r="C441" t="s">
        <v>36</v>
      </c>
      <c r="D441" t="s">
        <v>31</v>
      </c>
      <c r="E441" t="s">
        <v>22</v>
      </c>
      <c r="F441" t="s">
        <v>20</v>
      </c>
      <c r="G441" s="2">
        <f>VALUE(385.0838776133)</f>
        <v>385.08387761329999</v>
      </c>
      <c r="H441" s="3">
        <f>VALUE(367.5547987722)</f>
        <v>367.5547987722</v>
      </c>
      <c r="I441" s="1">
        <f>VALUE(3467)</f>
        <v>3467</v>
      </c>
      <c r="J441" s="1">
        <f>VALUE(3686)</f>
        <v>3686</v>
      </c>
      <c r="K441" s="1">
        <f>VALUE(4197)</f>
        <v>4197</v>
      </c>
      <c r="L441" s="1">
        <f>VALUE(5183)</f>
        <v>5183</v>
      </c>
      <c r="M441" s="8">
        <f>VALUE(6168)</f>
        <v>6168</v>
      </c>
      <c r="N441" t="s">
        <v>25</v>
      </c>
    </row>
    <row r="442" spans="1:14" x14ac:dyDescent="0.25">
      <c r="A442" t="s">
        <v>14</v>
      </c>
      <c r="B442" t="s">
        <v>15</v>
      </c>
      <c r="C442" t="s">
        <v>36</v>
      </c>
      <c r="D442" t="s">
        <v>31</v>
      </c>
      <c r="E442" t="s">
        <v>23</v>
      </c>
      <c r="F442" t="s">
        <v>15</v>
      </c>
      <c r="G442" s="2">
        <f>VALUE(1510.6945329902)</f>
        <v>1510.6945329902001</v>
      </c>
      <c r="H442" s="3">
        <f>VALUE(1431.8713286808)</f>
        <v>1431.8713286807999</v>
      </c>
      <c r="I442" s="1">
        <f>VALUE(3048)</f>
        <v>3048</v>
      </c>
      <c r="J442" s="1">
        <f>VALUE(3337)</f>
        <v>3337</v>
      </c>
      <c r="K442" s="1">
        <f>VALUE(3731)</f>
        <v>3731</v>
      </c>
      <c r="L442" s="1">
        <f>VALUE(4612)</f>
        <v>4612</v>
      </c>
      <c r="M442" s="1">
        <f>VALUE(5476)</f>
        <v>5476</v>
      </c>
      <c r="N442" t="s">
        <v>25</v>
      </c>
    </row>
    <row r="443" spans="1:14" x14ac:dyDescent="0.25">
      <c r="A443" t="s">
        <v>14</v>
      </c>
      <c r="B443" t="s">
        <v>15</v>
      </c>
      <c r="C443" t="s">
        <v>36</v>
      </c>
      <c r="D443" t="s">
        <v>31</v>
      </c>
      <c r="E443" t="s">
        <v>23</v>
      </c>
      <c r="F443" t="s">
        <v>17</v>
      </c>
      <c r="G443" s="1" t="str">
        <f t="shared" ref="G443:M445" si="94">"X"</f>
        <v>X</v>
      </c>
      <c r="H443" s="1" t="str">
        <f t="shared" si="94"/>
        <v>X</v>
      </c>
      <c r="I443" s="1" t="str">
        <f t="shared" si="94"/>
        <v>X</v>
      </c>
      <c r="J443" s="1" t="str">
        <f t="shared" si="94"/>
        <v>X</v>
      </c>
      <c r="K443" s="1" t="str">
        <f t="shared" si="94"/>
        <v>X</v>
      </c>
      <c r="L443" s="1" t="str">
        <f t="shared" si="94"/>
        <v>X</v>
      </c>
      <c r="M443" s="1" t="str">
        <f t="shared" si="94"/>
        <v>X</v>
      </c>
      <c r="N443" t="s">
        <v>27</v>
      </c>
    </row>
    <row r="444" spans="1:14" x14ac:dyDescent="0.25">
      <c r="A444" t="s">
        <v>14</v>
      </c>
      <c r="B444" t="s">
        <v>15</v>
      </c>
      <c r="C444" t="s">
        <v>36</v>
      </c>
      <c r="D444" t="s">
        <v>31</v>
      </c>
      <c r="E444" t="s">
        <v>23</v>
      </c>
      <c r="F444" t="s">
        <v>18</v>
      </c>
      <c r="G444" s="1" t="str">
        <f t="shared" si="94"/>
        <v>X</v>
      </c>
      <c r="H444" s="1" t="str">
        <f t="shared" si="94"/>
        <v>X</v>
      </c>
      <c r="I444" s="1" t="str">
        <f t="shared" si="94"/>
        <v>X</v>
      </c>
      <c r="J444" s="1" t="str">
        <f t="shared" si="94"/>
        <v>X</v>
      </c>
      <c r="K444" s="1" t="str">
        <f t="shared" si="94"/>
        <v>X</v>
      </c>
      <c r="L444" s="1" t="str">
        <f t="shared" si="94"/>
        <v>X</v>
      </c>
      <c r="M444" s="1" t="str">
        <f t="shared" si="94"/>
        <v>X</v>
      </c>
      <c r="N444" t="s">
        <v>27</v>
      </c>
    </row>
    <row r="445" spans="1:14" x14ac:dyDescent="0.25">
      <c r="A445" t="s">
        <v>14</v>
      </c>
      <c r="B445" t="s">
        <v>15</v>
      </c>
      <c r="C445" t="s">
        <v>36</v>
      </c>
      <c r="D445" t="s">
        <v>31</v>
      </c>
      <c r="E445" t="s">
        <v>23</v>
      </c>
      <c r="F445" t="s">
        <v>19</v>
      </c>
      <c r="G445" s="1" t="str">
        <f t="shared" si="94"/>
        <v>X</v>
      </c>
      <c r="H445" s="1" t="str">
        <f t="shared" si="94"/>
        <v>X</v>
      </c>
      <c r="I445" s="1" t="str">
        <f t="shared" si="94"/>
        <v>X</v>
      </c>
      <c r="J445" s="1" t="str">
        <f t="shared" si="94"/>
        <v>X</v>
      </c>
      <c r="K445" s="1" t="str">
        <f t="shared" si="94"/>
        <v>X</v>
      </c>
      <c r="L445" s="1" t="str">
        <f t="shared" si="94"/>
        <v>X</v>
      </c>
      <c r="M445" s="1" t="str">
        <f t="shared" si="94"/>
        <v>X</v>
      </c>
      <c r="N445" t="s">
        <v>27</v>
      </c>
    </row>
    <row r="446" spans="1:14" x14ac:dyDescent="0.25">
      <c r="A446" t="s">
        <v>14</v>
      </c>
      <c r="B446" t="s">
        <v>15</v>
      </c>
      <c r="C446" t="s">
        <v>36</v>
      </c>
      <c r="D446" t="s">
        <v>31</v>
      </c>
      <c r="E446" t="s">
        <v>23</v>
      </c>
      <c r="F446" t="s">
        <v>20</v>
      </c>
      <c r="G446" s="2">
        <f>VALUE(1265.695147635)</f>
        <v>1265.695147635</v>
      </c>
      <c r="H446" s="3">
        <f>VALUE(1187.1389972267)</f>
        <v>1187.1389972267</v>
      </c>
      <c r="I446" s="1">
        <f>VALUE(3048)</f>
        <v>3048</v>
      </c>
      <c r="J446" s="1">
        <f>VALUE(3330)</f>
        <v>3330</v>
      </c>
      <c r="K446" s="1">
        <f>VALUE(3707)</f>
        <v>3707</v>
      </c>
      <c r="L446" s="1">
        <f>VALUE(4564)</f>
        <v>4564</v>
      </c>
      <c r="M446" s="1">
        <f>VALUE(5344)</f>
        <v>5344</v>
      </c>
      <c r="N446" t="s">
        <v>25</v>
      </c>
    </row>
    <row r="447" spans="1:14" x14ac:dyDescent="0.25">
      <c r="A447" t="s">
        <v>14</v>
      </c>
      <c r="B447" t="s">
        <v>15</v>
      </c>
      <c r="C447" t="s">
        <v>36</v>
      </c>
      <c r="D447" t="s">
        <v>31</v>
      </c>
      <c r="E447" t="s">
        <v>26</v>
      </c>
      <c r="F447" t="s">
        <v>15</v>
      </c>
      <c r="G447" s="1" t="str">
        <f t="shared" ref="G447:M449" si="95">"X"</f>
        <v>X</v>
      </c>
      <c r="H447" s="1" t="str">
        <f t="shared" si="95"/>
        <v>X</v>
      </c>
      <c r="I447" s="1" t="str">
        <f t="shared" si="95"/>
        <v>X</v>
      </c>
      <c r="J447" s="1" t="str">
        <f t="shared" si="95"/>
        <v>X</v>
      </c>
      <c r="K447" s="1" t="str">
        <f t="shared" si="95"/>
        <v>X</v>
      </c>
      <c r="L447" s="1" t="str">
        <f t="shared" si="95"/>
        <v>X</v>
      </c>
      <c r="M447" s="1" t="str">
        <f t="shared" si="95"/>
        <v>X</v>
      </c>
      <c r="N447" t="s">
        <v>27</v>
      </c>
    </row>
    <row r="448" spans="1:14" x14ac:dyDescent="0.25">
      <c r="A448" t="s">
        <v>14</v>
      </c>
      <c r="B448" t="s">
        <v>15</v>
      </c>
      <c r="C448" t="s">
        <v>36</v>
      </c>
      <c r="D448" t="s">
        <v>31</v>
      </c>
      <c r="E448" t="s">
        <v>26</v>
      </c>
      <c r="F448" t="s">
        <v>17</v>
      </c>
      <c r="G448" s="1" t="str">
        <f t="shared" si="95"/>
        <v>X</v>
      </c>
      <c r="H448" s="1" t="str">
        <f t="shared" si="95"/>
        <v>X</v>
      </c>
      <c r="I448" s="1" t="str">
        <f t="shared" si="95"/>
        <v>X</v>
      </c>
      <c r="J448" s="1" t="str">
        <f t="shared" si="95"/>
        <v>X</v>
      </c>
      <c r="K448" s="1" t="str">
        <f t="shared" si="95"/>
        <v>X</v>
      </c>
      <c r="L448" s="1" t="str">
        <f t="shared" si="95"/>
        <v>X</v>
      </c>
      <c r="M448" s="1" t="str">
        <f t="shared" si="95"/>
        <v>X</v>
      </c>
      <c r="N448" t="s">
        <v>27</v>
      </c>
    </row>
    <row r="449" spans="1:14" x14ac:dyDescent="0.25">
      <c r="A449" t="s">
        <v>14</v>
      </c>
      <c r="B449" t="s">
        <v>15</v>
      </c>
      <c r="C449" t="s">
        <v>36</v>
      </c>
      <c r="D449" t="s">
        <v>31</v>
      </c>
      <c r="E449" t="s">
        <v>26</v>
      </c>
      <c r="F449" t="s">
        <v>18</v>
      </c>
      <c r="G449" s="1" t="str">
        <f t="shared" si="95"/>
        <v>X</v>
      </c>
      <c r="H449" s="1" t="str">
        <f t="shared" si="95"/>
        <v>X</v>
      </c>
      <c r="I449" s="1" t="str">
        <f t="shared" si="95"/>
        <v>X</v>
      </c>
      <c r="J449" s="1" t="str">
        <f t="shared" si="95"/>
        <v>X</v>
      </c>
      <c r="K449" s="1" t="str">
        <f t="shared" si="95"/>
        <v>X</v>
      </c>
      <c r="L449" s="1" t="str">
        <f t="shared" si="95"/>
        <v>X</v>
      </c>
      <c r="M449" s="1" t="str">
        <f t="shared" si="95"/>
        <v>X</v>
      </c>
      <c r="N449" t="s">
        <v>27</v>
      </c>
    </row>
    <row r="450" spans="1:14" x14ac:dyDescent="0.25">
      <c r="A450" t="s">
        <v>14</v>
      </c>
      <c r="B450" t="s">
        <v>15</v>
      </c>
      <c r="C450" t="s">
        <v>36</v>
      </c>
      <c r="D450" t="s">
        <v>31</v>
      </c>
      <c r="E450" t="s">
        <v>26</v>
      </c>
      <c r="F450" t="s">
        <v>19</v>
      </c>
      <c r="G450" s="1" t="str">
        <f t="shared" ref="G450:M450" si="96">"..."</f>
        <v>...</v>
      </c>
      <c r="H450" s="1" t="str">
        <f t="shared" si="96"/>
        <v>...</v>
      </c>
      <c r="I450" s="1" t="str">
        <f t="shared" si="96"/>
        <v>...</v>
      </c>
      <c r="J450" s="1" t="str">
        <f t="shared" si="96"/>
        <v>...</v>
      </c>
      <c r="K450" s="1" t="str">
        <f t="shared" si="96"/>
        <v>...</v>
      </c>
      <c r="L450" s="1" t="str">
        <f t="shared" si="96"/>
        <v>...</v>
      </c>
      <c r="M450" s="1" t="str">
        <f t="shared" si="96"/>
        <v>...</v>
      </c>
      <c r="N450" t="s">
        <v>30</v>
      </c>
    </row>
    <row r="451" spans="1:14" x14ac:dyDescent="0.25">
      <c r="A451" t="s">
        <v>14</v>
      </c>
      <c r="B451" t="s">
        <v>15</v>
      </c>
      <c r="C451" t="s">
        <v>36</v>
      </c>
      <c r="D451" t="s">
        <v>31</v>
      </c>
      <c r="E451" t="s">
        <v>26</v>
      </c>
      <c r="F451" t="s">
        <v>20</v>
      </c>
      <c r="G451" s="1" t="str">
        <f t="shared" ref="G451:M451" si="97">"X"</f>
        <v>X</v>
      </c>
      <c r="H451" s="1" t="str">
        <f t="shared" si="97"/>
        <v>X</v>
      </c>
      <c r="I451" s="1" t="str">
        <f t="shared" si="97"/>
        <v>X</v>
      </c>
      <c r="J451" s="1" t="str">
        <f t="shared" si="97"/>
        <v>X</v>
      </c>
      <c r="K451" s="1" t="str">
        <f t="shared" si="97"/>
        <v>X</v>
      </c>
      <c r="L451" s="1" t="str">
        <f t="shared" si="97"/>
        <v>X</v>
      </c>
      <c r="M451" s="1" t="str">
        <f t="shared" si="97"/>
        <v>X</v>
      </c>
      <c r="N451" t="s">
        <v>27</v>
      </c>
    </row>
    <row r="452" spans="1:14" x14ac:dyDescent="0.25">
      <c r="A452" t="s">
        <v>14</v>
      </c>
      <c r="B452" t="s">
        <v>15</v>
      </c>
      <c r="C452" t="s">
        <v>36</v>
      </c>
      <c r="D452" t="s">
        <v>32</v>
      </c>
      <c r="E452" t="s">
        <v>15</v>
      </c>
      <c r="F452" t="s">
        <v>15</v>
      </c>
      <c r="G452" s="1">
        <f>VALUE(10060.3210114636)</f>
        <v>10060.3210114636</v>
      </c>
      <c r="H452" s="1">
        <f>VALUE(9622.1187237835)</f>
        <v>9622.1187237835002</v>
      </c>
      <c r="I452" s="1">
        <f>VALUE(2750)</f>
        <v>2750</v>
      </c>
      <c r="J452" s="1">
        <f>VALUE(3302)</f>
        <v>3302</v>
      </c>
      <c r="K452" s="1">
        <f>VALUE(4097)</f>
        <v>4097</v>
      </c>
      <c r="L452" s="1">
        <f>VALUE(4981)</f>
        <v>4981</v>
      </c>
      <c r="M452" s="1">
        <f>VALUE(5850)</f>
        <v>5850</v>
      </c>
      <c r="N452" t="s">
        <v>16</v>
      </c>
    </row>
    <row r="453" spans="1:14" x14ac:dyDescent="0.25">
      <c r="A453" t="s">
        <v>14</v>
      </c>
      <c r="B453" t="s">
        <v>15</v>
      </c>
      <c r="C453" t="s">
        <v>36</v>
      </c>
      <c r="D453" t="s">
        <v>32</v>
      </c>
      <c r="E453" t="s">
        <v>15</v>
      </c>
      <c r="F453" t="s">
        <v>17</v>
      </c>
      <c r="G453" s="2">
        <f>VALUE(363.4955736529)</f>
        <v>363.49557365290002</v>
      </c>
      <c r="H453" s="3">
        <f>VALUE(349.0317179653)</f>
        <v>349.0317179653</v>
      </c>
      <c r="I453" s="1">
        <f>VALUE(3886)</f>
        <v>3886</v>
      </c>
      <c r="J453" s="1">
        <f>VALUE(4702)</f>
        <v>4702</v>
      </c>
      <c r="K453" s="1">
        <f>VALUE(5159)</f>
        <v>5159</v>
      </c>
      <c r="L453" s="1">
        <f>VALUE(6175)</f>
        <v>6175</v>
      </c>
      <c r="M453" s="1">
        <f>VALUE(7467)</f>
        <v>7467</v>
      </c>
      <c r="N453" t="s">
        <v>25</v>
      </c>
    </row>
    <row r="454" spans="1:14" x14ac:dyDescent="0.25">
      <c r="A454" t="s">
        <v>14</v>
      </c>
      <c r="B454" t="s">
        <v>15</v>
      </c>
      <c r="C454" t="s">
        <v>36</v>
      </c>
      <c r="D454" t="s">
        <v>32</v>
      </c>
      <c r="E454" t="s">
        <v>15</v>
      </c>
      <c r="F454" t="s">
        <v>18</v>
      </c>
      <c r="G454" s="2">
        <f>VALUE(924.6780309164)</f>
        <v>924.67803091639996</v>
      </c>
      <c r="H454" s="3">
        <f>VALUE(900.0167806128)</f>
        <v>900.01678061279995</v>
      </c>
      <c r="I454" s="1">
        <f>VALUE(3294)</f>
        <v>3294</v>
      </c>
      <c r="J454" s="1">
        <f>VALUE(3866)</f>
        <v>3866</v>
      </c>
      <c r="K454" s="1">
        <f>VALUE(4688)</f>
        <v>4688</v>
      </c>
      <c r="L454" s="1">
        <f>VALUE(5633)</f>
        <v>5633</v>
      </c>
      <c r="M454" s="1">
        <f>VALUE(6640)</f>
        <v>6640</v>
      </c>
      <c r="N454" t="s">
        <v>25</v>
      </c>
    </row>
    <row r="455" spans="1:14" x14ac:dyDescent="0.25">
      <c r="A455" t="s">
        <v>14</v>
      </c>
      <c r="B455" t="s">
        <v>15</v>
      </c>
      <c r="C455" t="s">
        <v>36</v>
      </c>
      <c r="D455" t="s">
        <v>32</v>
      </c>
      <c r="E455" t="s">
        <v>15</v>
      </c>
      <c r="F455" t="s">
        <v>19</v>
      </c>
      <c r="G455" s="2">
        <f>VALUE(1263.5084099496)</f>
        <v>1263.5084099496</v>
      </c>
      <c r="H455" s="3">
        <f>VALUE(1247.278195885)</f>
        <v>1247.2781958850001</v>
      </c>
      <c r="I455" s="1">
        <f>VALUE(3250)</f>
        <v>3250</v>
      </c>
      <c r="J455" s="1">
        <f>VALUE(3929)</f>
        <v>3929</v>
      </c>
      <c r="K455" s="1">
        <f>VALUE(4694)</f>
        <v>4694</v>
      </c>
      <c r="L455" s="1">
        <f>VALUE(5288)</f>
        <v>5288</v>
      </c>
      <c r="M455" s="1">
        <f>VALUE(6421)</f>
        <v>6421</v>
      </c>
      <c r="N455" t="s">
        <v>25</v>
      </c>
    </row>
    <row r="456" spans="1:14" x14ac:dyDescent="0.25">
      <c r="A456" t="s">
        <v>14</v>
      </c>
      <c r="B456" t="s">
        <v>15</v>
      </c>
      <c r="C456" t="s">
        <v>36</v>
      </c>
      <c r="D456" t="s">
        <v>32</v>
      </c>
      <c r="E456" t="s">
        <v>15</v>
      </c>
      <c r="F456" t="s">
        <v>20</v>
      </c>
      <c r="G456" s="1">
        <f>VALUE(7507.3612640947)</f>
        <v>7507.3612640947003</v>
      </c>
      <c r="H456" s="1">
        <f>VALUE(7124.4663814885)</f>
        <v>7124.4663814884998</v>
      </c>
      <c r="I456" s="1">
        <f>VALUE(2622)</f>
        <v>2622</v>
      </c>
      <c r="J456" s="1">
        <f>VALUE(3143)</f>
        <v>3143</v>
      </c>
      <c r="K456" s="1">
        <f>VALUE(3883)</f>
        <v>3883</v>
      </c>
      <c r="L456" s="1">
        <f>VALUE(4714)</f>
        <v>4714</v>
      </c>
      <c r="M456" s="1">
        <f>VALUE(5571)</f>
        <v>5571</v>
      </c>
      <c r="N456" t="s">
        <v>16</v>
      </c>
    </row>
    <row r="457" spans="1:14" x14ac:dyDescent="0.25">
      <c r="A457" t="s">
        <v>14</v>
      </c>
      <c r="B457" t="s">
        <v>15</v>
      </c>
      <c r="C457" t="s">
        <v>36</v>
      </c>
      <c r="D457" t="s">
        <v>32</v>
      </c>
      <c r="E457" t="s">
        <v>21</v>
      </c>
      <c r="F457" t="s">
        <v>15</v>
      </c>
      <c r="G457" s="1">
        <f>VALUE(1699.8204314643)</f>
        <v>1699.8204314643001</v>
      </c>
      <c r="H457" s="1">
        <f>VALUE(1625.9299835313)</f>
        <v>1625.9299835313</v>
      </c>
      <c r="I457" s="1">
        <f>VALUE(3353)</f>
        <v>3353</v>
      </c>
      <c r="J457" s="1">
        <f>VALUE(4040)</f>
        <v>4040</v>
      </c>
      <c r="K457" s="1">
        <f>VALUE(4864)</f>
        <v>4864</v>
      </c>
      <c r="L457" s="1">
        <f>VALUE(5909)</f>
        <v>5909</v>
      </c>
      <c r="M457" s="1">
        <f>VALUE(6985)</f>
        <v>6985</v>
      </c>
      <c r="N457" t="s">
        <v>16</v>
      </c>
    </row>
    <row r="458" spans="1:14" x14ac:dyDescent="0.25">
      <c r="A458" t="s">
        <v>14</v>
      </c>
      <c r="B458" t="s">
        <v>15</v>
      </c>
      <c r="C458" t="s">
        <v>36</v>
      </c>
      <c r="D458" t="s">
        <v>32</v>
      </c>
      <c r="E458" t="s">
        <v>21</v>
      </c>
      <c r="F458" t="s">
        <v>17</v>
      </c>
      <c r="G458" s="2">
        <f>VALUE(201.8153952517)</f>
        <v>201.81539525170001</v>
      </c>
      <c r="H458" s="3">
        <f>VALUE(182.3781774093)</f>
        <v>182.37817740930001</v>
      </c>
      <c r="I458" s="4">
        <f>VALUE(3910)</f>
        <v>3910</v>
      </c>
      <c r="J458" s="1">
        <f>VALUE(4713)</f>
        <v>4713</v>
      </c>
      <c r="K458" s="1">
        <f>VALUE(5417)</f>
        <v>5417</v>
      </c>
      <c r="L458" s="7">
        <f>VALUE(6630)</f>
        <v>6630</v>
      </c>
      <c r="M458" s="8">
        <f>VALUE(7942)</f>
        <v>7942</v>
      </c>
      <c r="N458" t="s">
        <v>25</v>
      </c>
    </row>
    <row r="459" spans="1:14" x14ac:dyDescent="0.25">
      <c r="A459" t="s">
        <v>14</v>
      </c>
      <c r="B459" t="s">
        <v>15</v>
      </c>
      <c r="C459" t="s">
        <v>36</v>
      </c>
      <c r="D459" t="s">
        <v>32</v>
      </c>
      <c r="E459" t="s">
        <v>21</v>
      </c>
      <c r="F459" t="s">
        <v>18</v>
      </c>
      <c r="G459" s="2">
        <f>VALUE(360.4293844264)</f>
        <v>360.42938442640002</v>
      </c>
      <c r="H459" s="3">
        <f>VALUE(349.3857151604)</f>
        <v>349.38571516040003</v>
      </c>
      <c r="I459" s="1">
        <f>VALUE(3744)</f>
        <v>3744</v>
      </c>
      <c r="J459" s="1">
        <f>VALUE(4485)</f>
        <v>4485</v>
      </c>
      <c r="K459" s="1">
        <f>VALUE(5194)</f>
        <v>5194</v>
      </c>
      <c r="L459" s="1">
        <f>VALUE(6285)</f>
        <v>6285</v>
      </c>
      <c r="M459" s="1">
        <f>VALUE(7496)</f>
        <v>7496</v>
      </c>
      <c r="N459" t="s">
        <v>25</v>
      </c>
    </row>
    <row r="460" spans="1:14" x14ac:dyDescent="0.25">
      <c r="A460" t="s">
        <v>14</v>
      </c>
      <c r="B460" t="s">
        <v>15</v>
      </c>
      <c r="C460" t="s">
        <v>36</v>
      </c>
      <c r="D460" t="s">
        <v>32</v>
      </c>
      <c r="E460" t="s">
        <v>21</v>
      </c>
      <c r="F460" t="s">
        <v>19</v>
      </c>
      <c r="G460" s="2">
        <f>VALUE(373.4569552799)</f>
        <v>373.4569552799</v>
      </c>
      <c r="H460" s="3">
        <f>VALUE(353.2549058131)</f>
        <v>353.25490581309998</v>
      </c>
      <c r="I460" s="1">
        <f>VALUE(3209)</f>
        <v>3209</v>
      </c>
      <c r="J460" s="5">
        <f>VALUE(3900)</f>
        <v>3900</v>
      </c>
      <c r="K460" s="1">
        <f>VALUE(4762)</f>
        <v>4762</v>
      </c>
      <c r="L460" s="1">
        <f>VALUE(5712)</f>
        <v>5712</v>
      </c>
      <c r="M460" s="1">
        <f>VALUE(6730)</f>
        <v>6730</v>
      </c>
      <c r="N460" t="s">
        <v>25</v>
      </c>
    </row>
    <row r="461" spans="1:14" x14ac:dyDescent="0.25">
      <c r="A461" t="s">
        <v>14</v>
      </c>
      <c r="B461" t="s">
        <v>15</v>
      </c>
      <c r="C461" t="s">
        <v>36</v>
      </c>
      <c r="D461" t="s">
        <v>32</v>
      </c>
      <c r="E461" t="s">
        <v>21</v>
      </c>
      <c r="F461" t="s">
        <v>20</v>
      </c>
      <c r="G461" s="2">
        <f>VALUE(764.1186965063)</f>
        <v>764.11869650630001</v>
      </c>
      <c r="H461" s="3">
        <f>VALUE(740.9111851485)</f>
        <v>740.91118514849995</v>
      </c>
      <c r="I461" s="1">
        <f>VALUE(3350)</f>
        <v>3350</v>
      </c>
      <c r="J461" s="1">
        <f>VALUE(3906)</f>
        <v>3906</v>
      </c>
      <c r="K461" s="1">
        <f>VALUE(4553)</f>
        <v>4553</v>
      </c>
      <c r="L461" s="1">
        <f>VALUE(5610)</f>
        <v>5610</v>
      </c>
      <c r="M461" s="1">
        <f>VALUE(6500)</f>
        <v>6500</v>
      </c>
      <c r="N461" t="s">
        <v>25</v>
      </c>
    </row>
    <row r="462" spans="1:14" x14ac:dyDescent="0.25">
      <c r="A462" t="s">
        <v>14</v>
      </c>
      <c r="B462" t="s">
        <v>15</v>
      </c>
      <c r="C462" t="s">
        <v>36</v>
      </c>
      <c r="D462" t="s">
        <v>32</v>
      </c>
      <c r="E462" t="s">
        <v>22</v>
      </c>
      <c r="F462" t="s">
        <v>15</v>
      </c>
      <c r="G462" s="1">
        <f>VALUE(2486.4226305483)</f>
        <v>2486.4226305482998</v>
      </c>
      <c r="H462" s="1">
        <f>VALUE(2464.2408169399)</f>
        <v>2464.2408169399</v>
      </c>
      <c r="I462" s="1">
        <f>VALUE(3202)</f>
        <v>3202</v>
      </c>
      <c r="J462" s="1">
        <f>VALUE(3864)</f>
        <v>3864</v>
      </c>
      <c r="K462" s="1">
        <f>VALUE(4550)</f>
        <v>4550</v>
      </c>
      <c r="L462" s="1">
        <f>VALUE(5262)</f>
        <v>5262</v>
      </c>
      <c r="M462" s="1">
        <f>VALUE(6109)</f>
        <v>6109</v>
      </c>
      <c r="N462" t="s">
        <v>16</v>
      </c>
    </row>
    <row r="463" spans="1:14" x14ac:dyDescent="0.25">
      <c r="A463" t="s">
        <v>14</v>
      </c>
      <c r="B463" t="s">
        <v>15</v>
      </c>
      <c r="C463" t="s">
        <v>36</v>
      </c>
      <c r="D463" t="s">
        <v>32</v>
      </c>
      <c r="E463" t="s">
        <v>22</v>
      </c>
      <c r="F463" t="s">
        <v>17</v>
      </c>
      <c r="G463" s="1" t="str">
        <f t="shared" ref="G463:M463" si="98">"X"</f>
        <v>X</v>
      </c>
      <c r="H463" s="1" t="str">
        <f t="shared" si="98"/>
        <v>X</v>
      </c>
      <c r="I463" s="1" t="str">
        <f t="shared" si="98"/>
        <v>X</v>
      </c>
      <c r="J463" s="1" t="str">
        <f t="shared" si="98"/>
        <v>X</v>
      </c>
      <c r="K463" s="1" t="str">
        <f t="shared" si="98"/>
        <v>X</v>
      </c>
      <c r="L463" s="1" t="str">
        <f t="shared" si="98"/>
        <v>X</v>
      </c>
      <c r="M463" s="1" t="str">
        <f t="shared" si="98"/>
        <v>X</v>
      </c>
      <c r="N463" t="s">
        <v>27</v>
      </c>
    </row>
    <row r="464" spans="1:14" x14ac:dyDescent="0.25">
      <c r="A464" t="s">
        <v>14</v>
      </c>
      <c r="B464" t="s">
        <v>15</v>
      </c>
      <c r="C464" t="s">
        <v>36</v>
      </c>
      <c r="D464" t="s">
        <v>32</v>
      </c>
      <c r="E464" t="s">
        <v>22</v>
      </c>
      <c r="F464" t="s">
        <v>18</v>
      </c>
      <c r="G464" s="2">
        <f>VALUE(301.3504552243)</f>
        <v>301.35045522429999</v>
      </c>
      <c r="H464" s="3">
        <f>VALUE(293.7675345079)</f>
        <v>293.7675345079</v>
      </c>
      <c r="I464" s="1">
        <f>VALUE(3329)</f>
        <v>3329</v>
      </c>
      <c r="J464" s="1">
        <f>VALUE(3866)</f>
        <v>3866</v>
      </c>
      <c r="K464" s="1">
        <f>VALUE(4507)</f>
        <v>4507</v>
      </c>
      <c r="L464" s="1">
        <f>VALUE(5580)</f>
        <v>5580</v>
      </c>
      <c r="M464" s="1">
        <f>VALUE(6500)</f>
        <v>6500</v>
      </c>
      <c r="N464" t="s">
        <v>25</v>
      </c>
    </row>
    <row r="465" spans="1:14" x14ac:dyDescent="0.25">
      <c r="A465" t="s">
        <v>14</v>
      </c>
      <c r="B465" t="s">
        <v>15</v>
      </c>
      <c r="C465" t="s">
        <v>36</v>
      </c>
      <c r="D465" t="s">
        <v>32</v>
      </c>
      <c r="E465" t="s">
        <v>22</v>
      </c>
      <c r="F465" t="s">
        <v>19</v>
      </c>
      <c r="G465" s="2">
        <f>VALUE(491.6145381291)</f>
        <v>491.61453812910003</v>
      </c>
      <c r="H465" s="3">
        <f>VALUE(495.26433239)</f>
        <v>495.26433238999999</v>
      </c>
      <c r="I465" s="1">
        <f>VALUE(3295)</f>
        <v>3295</v>
      </c>
      <c r="J465" s="1">
        <f>VALUE(3990)</f>
        <v>3990</v>
      </c>
      <c r="K465" s="1">
        <f>VALUE(4765)</f>
        <v>4765</v>
      </c>
      <c r="L465" s="1">
        <f>VALUE(5306)</f>
        <v>5306</v>
      </c>
      <c r="M465" s="1">
        <f>VALUE(6226)</f>
        <v>6226</v>
      </c>
      <c r="N465" t="s">
        <v>25</v>
      </c>
    </row>
    <row r="466" spans="1:14" x14ac:dyDescent="0.25">
      <c r="A466" t="s">
        <v>14</v>
      </c>
      <c r="B466" t="s">
        <v>15</v>
      </c>
      <c r="C466" t="s">
        <v>36</v>
      </c>
      <c r="D466" t="s">
        <v>32</v>
      </c>
      <c r="E466" t="s">
        <v>22</v>
      </c>
      <c r="F466" t="s">
        <v>20</v>
      </c>
      <c r="G466" s="1">
        <f>VALUE(1608.4373230403)</f>
        <v>1608.4373230403</v>
      </c>
      <c r="H466" s="1">
        <f>VALUE(1587.3121530351)</f>
        <v>1587.3121530351</v>
      </c>
      <c r="I466" s="1">
        <f>VALUE(3095)</f>
        <v>3095</v>
      </c>
      <c r="J466" s="1">
        <f>VALUE(3779)</f>
        <v>3779</v>
      </c>
      <c r="K466" s="1">
        <f>VALUE(4400)</f>
        <v>4400</v>
      </c>
      <c r="L466" s="1">
        <f>VALUE(5198)</f>
        <v>5198</v>
      </c>
      <c r="M466" s="1">
        <f>VALUE(5919)</f>
        <v>5919</v>
      </c>
      <c r="N466" t="s">
        <v>16</v>
      </c>
    </row>
    <row r="467" spans="1:14" x14ac:dyDescent="0.25">
      <c r="A467" t="s">
        <v>14</v>
      </c>
      <c r="B467" t="s">
        <v>15</v>
      </c>
      <c r="C467" t="s">
        <v>36</v>
      </c>
      <c r="D467" t="s">
        <v>32</v>
      </c>
      <c r="E467" t="s">
        <v>23</v>
      </c>
      <c r="F467" t="s">
        <v>15</v>
      </c>
      <c r="G467" s="1">
        <f>VALUE(5842.9761648975)</f>
        <v>5842.9761648975</v>
      </c>
      <c r="H467" s="1">
        <f>VALUE(5502.0646005037)</f>
        <v>5502.0646005036997</v>
      </c>
      <c r="I467" s="1">
        <f>VALUE(2556)</f>
        <v>2556</v>
      </c>
      <c r="J467" s="1">
        <f>VALUE(3031)</f>
        <v>3031</v>
      </c>
      <c r="K467" s="1">
        <f>VALUE(3711)</f>
        <v>3711</v>
      </c>
      <c r="L467" s="1">
        <f>VALUE(4524)</f>
        <v>4524</v>
      </c>
      <c r="M467" s="1">
        <f>VALUE(5230)</f>
        <v>5230</v>
      </c>
      <c r="N467" t="s">
        <v>16</v>
      </c>
    </row>
    <row r="468" spans="1:14" x14ac:dyDescent="0.25">
      <c r="A468" t="s">
        <v>14</v>
      </c>
      <c r="B468" t="s">
        <v>15</v>
      </c>
      <c r="C468" t="s">
        <v>36</v>
      </c>
      <c r="D468" t="s">
        <v>32</v>
      </c>
      <c r="E468" t="s">
        <v>23</v>
      </c>
      <c r="F468" t="s">
        <v>17</v>
      </c>
      <c r="G468" s="1" t="str">
        <f t="shared" ref="G468:M468" si="99">"X"</f>
        <v>X</v>
      </c>
      <c r="H468" s="1" t="str">
        <f t="shared" si="99"/>
        <v>X</v>
      </c>
      <c r="I468" s="1" t="str">
        <f t="shared" si="99"/>
        <v>X</v>
      </c>
      <c r="J468" s="1" t="str">
        <f t="shared" si="99"/>
        <v>X</v>
      </c>
      <c r="K468" s="1" t="str">
        <f t="shared" si="99"/>
        <v>X</v>
      </c>
      <c r="L468" s="1" t="str">
        <f t="shared" si="99"/>
        <v>X</v>
      </c>
      <c r="M468" s="1" t="str">
        <f t="shared" si="99"/>
        <v>X</v>
      </c>
      <c r="N468" t="s">
        <v>27</v>
      </c>
    </row>
    <row r="469" spans="1:14" x14ac:dyDescent="0.25">
      <c r="A469" t="s">
        <v>14</v>
      </c>
      <c r="B469" t="s">
        <v>15</v>
      </c>
      <c r="C469" t="s">
        <v>36</v>
      </c>
      <c r="D469" t="s">
        <v>32</v>
      </c>
      <c r="E469" t="s">
        <v>23</v>
      </c>
      <c r="F469" t="s">
        <v>18</v>
      </c>
      <c r="G469" s="2">
        <f>VALUE(260.0156493353)</f>
        <v>260.0156493353</v>
      </c>
      <c r="H469" s="3">
        <f>VALUE(253.8172241886)</f>
        <v>253.81722418859999</v>
      </c>
      <c r="I469" s="1">
        <f>VALUE(3200)</f>
        <v>3200</v>
      </c>
      <c r="J469" s="1">
        <f>VALUE(3478)</f>
        <v>3478</v>
      </c>
      <c r="K469" s="6">
        <f>VALUE(4073)</f>
        <v>4073</v>
      </c>
      <c r="L469" s="1">
        <f>VALUE(4719)</f>
        <v>4719</v>
      </c>
      <c r="M469" s="8">
        <f>VALUE(5302)</f>
        <v>5302</v>
      </c>
      <c r="N469" t="s">
        <v>25</v>
      </c>
    </row>
    <row r="470" spans="1:14" x14ac:dyDescent="0.25">
      <c r="A470" t="s">
        <v>14</v>
      </c>
      <c r="B470" t="s">
        <v>15</v>
      </c>
      <c r="C470" t="s">
        <v>36</v>
      </c>
      <c r="D470" t="s">
        <v>32</v>
      </c>
      <c r="E470" t="s">
        <v>23</v>
      </c>
      <c r="F470" t="s">
        <v>19</v>
      </c>
      <c r="G470" s="2">
        <f>VALUE(397.3818559431)</f>
        <v>397.38185594309999</v>
      </c>
      <c r="H470" s="3">
        <f>VALUE(397.6511440545)</f>
        <v>397.65114405449998</v>
      </c>
      <c r="I470" s="1">
        <f>VALUE(3250)</f>
        <v>3250</v>
      </c>
      <c r="J470" s="1">
        <f>VALUE(3733)</f>
        <v>3733</v>
      </c>
      <c r="K470" s="1">
        <f>VALUE(4431)</f>
        <v>4431</v>
      </c>
      <c r="L470" s="1">
        <f>VALUE(5073)</f>
        <v>5073</v>
      </c>
      <c r="M470" s="8">
        <f>VALUE(6226)</f>
        <v>6226</v>
      </c>
      <c r="N470" t="s">
        <v>25</v>
      </c>
    </row>
    <row r="471" spans="1:14" x14ac:dyDescent="0.25">
      <c r="A471" t="s">
        <v>14</v>
      </c>
      <c r="B471" t="s">
        <v>15</v>
      </c>
      <c r="C471" t="s">
        <v>36</v>
      </c>
      <c r="D471" t="s">
        <v>32</v>
      </c>
      <c r="E471" t="s">
        <v>23</v>
      </c>
      <c r="F471" t="s">
        <v>20</v>
      </c>
      <c r="G471" s="1">
        <f>VALUE(5111.5418425819)</f>
        <v>5111.5418425818998</v>
      </c>
      <c r="H471" s="1">
        <f>VALUE(4774.5936882813)</f>
        <v>4774.5936882813003</v>
      </c>
      <c r="I471" s="1">
        <f>VALUE(2518)</f>
        <v>2518</v>
      </c>
      <c r="J471" s="1">
        <f>VALUE(2941)</f>
        <v>2941</v>
      </c>
      <c r="K471" s="1">
        <f>VALUE(3575)</f>
        <v>3575</v>
      </c>
      <c r="L471" s="1">
        <f>VALUE(4434)</f>
        <v>4434</v>
      </c>
      <c r="M471" s="1">
        <f>VALUE(5151)</f>
        <v>5151</v>
      </c>
      <c r="N471" t="s">
        <v>16</v>
      </c>
    </row>
    <row r="472" spans="1:14" x14ac:dyDescent="0.25">
      <c r="A472" t="s">
        <v>14</v>
      </c>
      <c r="B472" t="s">
        <v>15</v>
      </c>
      <c r="C472" t="s">
        <v>36</v>
      </c>
      <c r="D472" t="s">
        <v>32</v>
      </c>
      <c r="E472" t="s">
        <v>26</v>
      </c>
      <c r="F472" t="s">
        <v>15</v>
      </c>
      <c r="G472" s="1" t="str">
        <f t="shared" ref="G472:M476" si="100">"X"</f>
        <v>X</v>
      </c>
      <c r="H472" s="1" t="str">
        <f t="shared" si="100"/>
        <v>X</v>
      </c>
      <c r="I472" s="1" t="str">
        <f t="shared" si="100"/>
        <v>X</v>
      </c>
      <c r="J472" s="1" t="str">
        <f t="shared" si="100"/>
        <v>X</v>
      </c>
      <c r="K472" s="1" t="str">
        <f t="shared" si="100"/>
        <v>X</v>
      </c>
      <c r="L472" s="1" t="str">
        <f t="shared" si="100"/>
        <v>X</v>
      </c>
      <c r="M472" s="1" t="str">
        <f t="shared" si="100"/>
        <v>X</v>
      </c>
      <c r="N472" t="s">
        <v>27</v>
      </c>
    </row>
    <row r="473" spans="1:14" x14ac:dyDescent="0.25">
      <c r="A473" t="s">
        <v>14</v>
      </c>
      <c r="B473" t="s">
        <v>15</v>
      </c>
      <c r="C473" t="s">
        <v>36</v>
      </c>
      <c r="D473" t="s">
        <v>32</v>
      </c>
      <c r="E473" t="s">
        <v>26</v>
      </c>
      <c r="F473" t="s">
        <v>17</v>
      </c>
      <c r="G473" s="1" t="str">
        <f t="shared" si="100"/>
        <v>X</v>
      </c>
      <c r="H473" s="1" t="str">
        <f t="shared" si="100"/>
        <v>X</v>
      </c>
      <c r="I473" s="1" t="str">
        <f t="shared" si="100"/>
        <v>X</v>
      </c>
      <c r="J473" s="1" t="str">
        <f t="shared" si="100"/>
        <v>X</v>
      </c>
      <c r="K473" s="1" t="str">
        <f t="shared" si="100"/>
        <v>X</v>
      </c>
      <c r="L473" s="1" t="str">
        <f t="shared" si="100"/>
        <v>X</v>
      </c>
      <c r="M473" s="1" t="str">
        <f t="shared" si="100"/>
        <v>X</v>
      </c>
      <c r="N473" t="s">
        <v>27</v>
      </c>
    </row>
    <row r="474" spans="1:14" x14ac:dyDescent="0.25">
      <c r="A474" t="s">
        <v>14</v>
      </c>
      <c r="B474" t="s">
        <v>15</v>
      </c>
      <c r="C474" t="s">
        <v>36</v>
      </c>
      <c r="D474" t="s">
        <v>32</v>
      </c>
      <c r="E474" t="s">
        <v>26</v>
      </c>
      <c r="F474" t="s">
        <v>18</v>
      </c>
      <c r="G474" s="1" t="str">
        <f t="shared" si="100"/>
        <v>X</v>
      </c>
      <c r="H474" s="1" t="str">
        <f t="shared" si="100"/>
        <v>X</v>
      </c>
      <c r="I474" s="1" t="str">
        <f t="shared" si="100"/>
        <v>X</v>
      </c>
      <c r="J474" s="1" t="str">
        <f t="shared" si="100"/>
        <v>X</v>
      </c>
      <c r="K474" s="1" t="str">
        <f t="shared" si="100"/>
        <v>X</v>
      </c>
      <c r="L474" s="1" t="str">
        <f t="shared" si="100"/>
        <v>X</v>
      </c>
      <c r="M474" s="1" t="str">
        <f t="shared" si="100"/>
        <v>X</v>
      </c>
      <c r="N474" t="s">
        <v>27</v>
      </c>
    </row>
    <row r="475" spans="1:14" x14ac:dyDescent="0.25">
      <c r="A475" t="s">
        <v>14</v>
      </c>
      <c r="B475" t="s">
        <v>15</v>
      </c>
      <c r="C475" t="s">
        <v>36</v>
      </c>
      <c r="D475" t="s">
        <v>32</v>
      </c>
      <c r="E475" t="s">
        <v>26</v>
      </c>
      <c r="F475" t="s">
        <v>19</v>
      </c>
      <c r="G475" s="1" t="str">
        <f t="shared" si="100"/>
        <v>X</v>
      </c>
      <c r="H475" s="1" t="str">
        <f t="shared" si="100"/>
        <v>X</v>
      </c>
      <c r="I475" s="1" t="str">
        <f t="shared" si="100"/>
        <v>X</v>
      </c>
      <c r="J475" s="1" t="str">
        <f t="shared" si="100"/>
        <v>X</v>
      </c>
      <c r="K475" s="1" t="str">
        <f t="shared" si="100"/>
        <v>X</v>
      </c>
      <c r="L475" s="1" t="str">
        <f t="shared" si="100"/>
        <v>X</v>
      </c>
      <c r="M475" s="1" t="str">
        <f t="shared" si="100"/>
        <v>X</v>
      </c>
      <c r="N475" t="s">
        <v>27</v>
      </c>
    </row>
    <row r="476" spans="1:14" x14ac:dyDescent="0.25">
      <c r="A476" t="s">
        <v>14</v>
      </c>
      <c r="B476" t="s">
        <v>15</v>
      </c>
      <c r="C476" t="s">
        <v>36</v>
      </c>
      <c r="D476" t="s">
        <v>32</v>
      </c>
      <c r="E476" t="s">
        <v>26</v>
      </c>
      <c r="F476" t="s">
        <v>20</v>
      </c>
      <c r="G476" s="1" t="str">
        <f t="shared" si="100"/>
        <v>X</v>
      </c>
      <c r="H476" s="1" t="str">
        <f t="shared" si="100"/>
        <v>X</v>
      </c>
      <c r="I476" s="1" t="str">
        <f t="shared" si="100"/>
        <v>X</v>
      </c>
      <c r="J476" s="1" t="str">
        <f t="shared" si="100"/>
        <v>X</v>
      </c>
      <c r="K476" s="1" t="str">
        <f t="shared" si="100"/>
        <v>X</v>
      </c>
      <c r="L476" s="1" t="str">
        <f t="shared" si="100"/>
        <v>X</v>
      </c>
      <c r="M476" s="1" t="str">
        <f t="shared" si="100"/>
        <v>X</v>
      </c>
      <c r="N476" t="s">
        <v>27</v>
      </c>
    </row>
    <row r="477" spans="1:14" x14ac:dyDescent="0.25">
      <c r="A477" t="s">
        <v>14</v>
      </c>
      <c r="B477" t="s">
        <v>15</v>
      </c>
      <c r="C477" t="s">
        <v>36</v>
      </c>
      <c r="D477" t="s">
        <v>33</v>
      </c>
      <c r="E477" t="s">
        <v>15</v>
      </c>
      <c r="F477" t="s">
        <v>15</v>
      </c>
      <c r="G477" s="2">
        <f>VALUE(627.4492039098)</f>
        <v>627.44920390979996</v>
      </c>
      <c r="H477" s="3">
        <f>VALUE(583.6722630509)</f>
        <v>583.67226305090003</v>
      </c>
      <c r="I477" s="4">
        <f>VALUE(2847)</f>
        <v>2847</v>
      </c>
      <c r="J477" s="5">
        <f>VALUE(3250)</f>
        <v>3250</v>
      </c>
      <c r="K477" s="6">
        <f>VALUE(3875)</f>
        <v>3875</v>
      </c>
      <c r="L477" s="7">
        <f>VALUE(5425)</f>
        <v>5425</v>
      </c>
      <c r="M477" s="8">
        <f>VALUE(6650)</f>
        <v>6650</v>
      </c>
      <c r="N477" t="s">
        <v>24</v>
      </c>
    </row>
    <row r="478" spans="1:14" x14ac:dyDescent="0.25">
      <c r="A478" t="s">
        <v>14</v>
      </c>
      <c r="B478" t="s">
        <v>15</v>
      </c>
      <c r="C478" t="s">
        <v>36</v>
      </c>
      <c r="D478" t="s">
        <v>33</v>
      </c>
      <c r="E478" t="s">
        <v>15</v>
      </c>
      <c r="F478" t="s">
        <v>17</v>
      </c>
      <c r="G478" s="1" t="str">
        <f t="shared" ref="G478:M480" si="101">"X"</f>
        <v>X</v>
      </c>
      <c r="H478" s="1" t="str">
        <f t="shared" si="101"/>
        <v>X</v>
      </c>
      <c r="I478" s="1" t="str">
        <f t="shared" si="101"/>
        <v>X</v>
      </c>
      <c r="J478" s="1" t="str">
        <f t="shared" si="101"/>
        <v>X</v>
      </c>
      <c r="K478" s="1" t="str">
        <f t="shared" si="101"/>
        <v>X</v>
      </c>
      <c r="L478" s="1" t="str">
        <f t="shared" si="101"/>
        <v>X</v>
      </c>
      <c r="M478" s="1" t="str">
        <f t="shared" si="101"/>
        <v>X</v>
      </c>
      <c r="N478" t="s">
        <v>27</v>
      </c>
    </row>
    <row r="479" spans="1:14" x14ac:dyDescent="0.25">
      <c r="A479" t="s">
        <v>14</v>
      </c>
      <c r="B479" t="s">
        <v>15</v>
      </c>
      <c r="C479" t="s">
        <v>36</v>
      </c>
      <c r="D479" t="s">
        <v>33</v>
      </c>
      <c r="E479" t="s">
        <v>15</v>
      </c>
      <c r="F479" t="s">
        <v>18</v>
      </c>
      <c r="G479" s="1" t="str">
        <f t="shared" si="101"/>
        <v>X</v>
      </c>
      <c r="H479" s="1" t="str">
        <f t="shared" si="101"/>
        <v>X</v>
      </c>
      <c r="I479" s="1" t="str">
        <f t="shared" si="101"/>
        <v>X</v>
      </c>
      <c r="J479" s="1" t="str">
        <f t="shared" si="101"/>
        <v>X</v>
      </c>
      <c r="K479" s="1" t="str">
        <f t="shared" si="101"/>
        <v>X</v>
      </c>
      <c r="L479" s="1" t="str">
        <f t="shared" si="101"/>
        <v>X</v>
      </c>
      <c r="M479" s="1" t="str">
        <f t="shared" si="101"/>
        <v>X</v>
      </c>
      <c r="N479" t="s">
        <v>27</v>
      </c>
    </row>
    <row r="480" spans="1:14" x14ac:dyDescent="0.25">
      <c r="A480" t="s">
        <v>14</v>
      </c>
      <c r="B480" t="s">
        <v>15</v>
      </c>
      <c r="C480" t="s">
        <v>36</v>
      </c>
      <c r="D480" t="s">
        <v>33</v>
      </c>
      <c r="E480" t="s">
        <v>15</v>
      </c>
      <c r="F480" t="s">
        <v>19</v>
      </c>
      <c r="G480" s="1" t="str">
        <f t="shared" si="101"/>
        <v>X</v>
      </c>
      <c r="H480" s="1" t="str">
        <f t="shared" si="101"/>
        <v>X</v>
      </c>
      <c r="I480" s="1" t="str">
        <f t="shared" si="101"/>
        <v>X</v>
      </c>
      <c r="J480" s="1" t="str">
        <f t="shared" si="101"/>
        <v>X</v>
      </c>
      <c r="K480" s="1" t="str">
        <f t="shared" si="101"/>
        <v>X</v>
      </c>
      <c r="L480" s="1" t="str">
        <f t="shared" si="101"/>
        <v>X</v>
      </c>
      <c r="M480" s="1" t="str">
        <f t="shared" si="101"/>
        <v>X</v>
      </c>
      <c r="N480" t="s">
        <v>27</v>
      </c>
    </row>
    <row r="481" spans="1:14" x14ac:dyDescent="0.25">
      <c r="A481" t="s">
        <v>14</v>
      </c>
      <c r="B481" t="s">
        <v>15</v>
      </c>
      <c r="C481" t="s">
        <v>36</v>
      </c>
      <c r="D481" t="s">
        <v>33</v>
      </c>
      <c r="E481" t="s">
        <v>15</v>
      </c>
      <c r="F481" t="s">
        <v>20</v>
      </c>
      <c r="G481" s="2">
        <f>VALUE(375.1300283781)</f>
        <v>375.13002837810001</v>
      </c>
      <c r="H481" s="3">
        <f>VALUE(364.0934242849)</f>
        <v>364.09342428489998</v>
      </c>
      <c r="I481" s="4">
        <f>VALUE(2847)</f>
        <v>2847</v>
      </c>
      <c r="J481" s="5">
        <f>VALUE(3250)</f>
        <v>3250</v>
      </c>
      <c r="K481" s="6">
        <f>VALUE(3813)</f>
        <v>3813</v>
      </c>
      <c r="L481" s="7">
        <f>VALUE(4448)</f>
        <v>4448</v>
      </c>
      <c r="M481" s="1">
        <f>VALUE(5997)</f>
        <v>5997</v>
      </c>
      <c r="N481" t="s">
        <v>25</v>
      </c>
    </row>
    <row r="482" spans="1:14" x14ac:dyDescent="0.25">
      <c r="A482" t="s">
        <v>14</v>
      </c>
      <c r="B482" t="s">
        <v>15</v>
      </c>
      <c r="C482" t="s">
        <v>36</v>
      </c>
      <c r="D482" t="s">
        <v>33</v>
      </c>
      <c r="E482" t="s">
        <v>21</v>
      </c>
      <c r="F482" t="s">
        <v>15</v>
      </c>
      <c r="G482" s="1" t="str">
        <f t="shared" ref="G482:M486" si="102">"X"</f>
        <v>X</v>
      </c>
      <c r="H482" s="1" t="str">
        <f t="shared" si="102"/>
        <v>X</v>
      </c>
      <c r="I482" s="1" t="str">
        <f t="shared" si="102"/>
        <v>X</v>
      </c>
      <c r="J482" s="1" t="str">
        <f t="shared" si="102"/>
        <v>X</v>
      </c>
      <c r="K482" s="1" t="str">
        <f t="shared" si="102"/>
        <v>X</v>
      </c>
      <c r="L482" s="1" t="str">
        <f t="shared" si="102"/>
        <v>X</v>
      </c>
      <c r="M482" s="1" t="str">
        <f t="shared" si="102"/>
        <v>X</v>
      </c>
      <c r="N482" t="s">
        <v>27</v>
      </c>
    </row>
    <row r="483" spans="1:14" x14ac:dyDescent="0.25">
      <c r="A483" t="s">
        <v>14</v>
      </c>
      <c r="B483" t="s">
        <v>15</v>
      </c>
      <c r="C483" t="s">
        <v>36</v>
      </c>
      <c r="D483" t="s">
        <v>33</v>
      </c>
      <c r="E483" t="s">
        <v>21</v>
      </c>
      <c r="F483" t="s">
        <v>17</v>
      </c>
      <c r="G483" s="1" t="str">
        <f t="shared" si="102"/>
        <v>X</v>
      </c>
      <c r="H483" s="1" t="str">
        <f t="shared" si="102"/>
        <v>X</v>
      </c>
      <c r="I483" s="1" t="str">
        <f t="shared" si="102"/>
        <v>X</v>
      </c>
      <c r="J483" s="1" t="str">
        <f t="shared" si="102"/>
        <v>X</v>
      </c>
      <c r="K483" s="1" t="str">
        <f t="shared" si="102"/>
        <v>X</v>
      </c>
      <c r="L483" s="1" t="str">
        <f t="shared" si="102"/>
        <v>X</v>
      </c>
      <c r="M483" s="1" t="str">
        <f t="shared" si="102"/>
        <v>X</v>
      </c>
      <c r="N483" t="s">
        <v>27</v>
      </c>
    </row>
    <row r="484" spans="1:14" x14ac:dyDescent="0.25">
      <c r="A484" t="s">
        <v>14</v>
      </c>
      <c r="B484" t="s">
        <v>15</v>
      </c>
      <c r="C484" t="s">
        <v>36</v>
      </c>
      <c r="D484" t="s">
        <v>33</v>
      </c>
      <c r="E484" t="s">
        <v>21</v>
      </c>
      <c r="F484" t="s">
        <v>18</v>
      </c>
      <c r="G484" s="1" t="str">
        <f t="shared" si="102"/>
        <v>X</v>
      </c>
      <c r="H484" s="1" t="str">
        <f t="shared" si="102"/>
        <v>X</v>
      </c>
      <c r="I484" s="1" t="str">
        <f t="shared" si="102"/>
        <v>X</v>
      </c>
      <c r="J484" s="1" t="str">
        <f t="shared" si="102"/>
        <v>X</v>
      </c>
      <c r="K484" s="1" t="str">
        <f t="shared" si="102"/>
        <v>X</v>
      </c>
      <c r="L484" s="1" t="str">
        <f t="shared" si="102"/>
        <v>X</v>
      </c>
      <c r="M484" s="1" t="str">
        <f t="shared" si="102"/>
        <v>X</v>
      </c>
      <c r="N484" t="s">
        <v>27</v>
      </c>
    </row>
    <row r="485" spans="1:14" x14ac:dyDescent="0.25">
      <c r="A485" t="s">
        <v>14</v>
      </c>
      <c r="B485" t="s">
        <v>15</v>
      </c>
      <c r="C485" t="s">
        <v>36</v>
      </c>
      <c r="D485" t="s">
        <v>33</v>
      </c>
      <c r="E485" t="s">
        <v>21</v>
      </c>
      <c r="F485" t="s">
        <v>19</v>
      </c>
      <c r="G485" s="1" t="str">
        <f t="shared" si="102"/>
        <v>X</v>
      </c>
      <c r="H485" s="1" t="str">
        <f t="shared" si="102"/>
        <v>X</v>
      </c>
      <c r="I485" s="1" t="str">
        <f t="shared" si="102"/>
        <v>X</v>
      </c>
      <c r="J485" s="1" t="str">
        <f t="shared" si="102"/>
        <v>X</v>
      </c>
      <c r="K485" s="1" t="str">
        <f t="shared" si="102"/>
        <v>X</v>
      </c>
      <c r="L485" s="1" t="str">
        <f t="shared" si="102"/>
        <v>X</v>
      </c>
      <c r="M485" s="1" t="str">
        <f t="shared" si="102"/>
        <v>X</v>
      </c>
      <c r="N485" t="s">
        <v>27</v>
      </c>
    </row>
    <row r="486" spans="1:14" x14ac:dyDescent="0.25">
      <c r="A486" t="s">
        <v>14</v>
      </c>
      <c r="B486" t="s">
        <v>15</v>
      </c>
      <c r="C486" t="s">
        <v>36</v>
      </c>
      <c r="D486" t="s">
        <v>33</v>
      </c>
      <c r="E486" t="s">
        <v>21</v>
      </c>
      <c r="F486" t="s">
        <v>20</v>
      </c>
      <c r="G486" s="1" t="str">
        <f t="shared" si="102"/>
        <v>X</v>
      </c>
      <c r="H486" s="1" t="str">
        <f t="shared" si="102"/>
        <v>X</v>
      </c>
      <c r="I486" s="1" t="str">
        <f t="shared" si="102"/>
        <v>X</v>
      </c>
      <c r="J486" s="1" t="str">
        <f t="shared" si="102"/>
        <v>X</v>
      </c>
      <c r="K486" s="1" t="str">
        <f t="shared" si="102"/>
        <v>X</v>
      </c>
      <c r="L486" s="1" t="str">
        <f t="shared" si="102"/>
        <v>X</v>
      </c>
      <c r="M486" s="1" t="str">
        <f t="shared" si="102"/>
        <v>X</v>
      </c>
      <c r="N486" t="s">
        <v>27</v>
      </c>
    </row>
    <row r="487" spans="1:14" x14ac:dyDescent="0.25">
      <c r="A487" t="s">
        <v>14</v>
      </c>
      <c r="B487" t="s">
        <v>15</v>
      </c>
      <c r="C487" t="s">
        <v>36</v>
      </c>
      <c r="D487" t="s">
        <v>33</v>
      </c>
      <c r="E487" t="s">
        <v>22</v>
      </c>
      <c r="F487" t="s">
        <v>15</v>
      </c>
      <c r="G487" s="2">
        <f>VALUE(147.13386863)</f>
        <v>147.13386862999999</v>
      </c>
      <c r="H487" s="3">
        <f>VALUE(145.4751380316)</f>
        <v>145.47513803160001</v>
      </c>
      <c r="I487" s="1">
        <f>VALUE(3268)</f>
        <v>3268</v>
      </c>
      <c r="J487" s="1">
        <f>VALUE(3743)</f>
        <v>3743</v>
      </c>
      <c r="K487" s="1">
        <f>VALUE(4000)</f>
        <v>4000</v>
      </c>
      <c r="L487" s="7">
        <f>VALUE(4622)</f>
        <v>4622</v>
      </c>
      <c r="M487" s="8">
        <f>VALUE(6182)</f>
        <v>6182</v>
      </c>
      <c r="N487" t="s">
        <v>25</v>
      </c>
    </row>
    <row r="488" spans="1:14" x14ac:dyDescent="0.25">
      <c r="A488" t="s">
        <v>14</v>
      </c>
      <c r="B488" t="s">
        <v>15</v>
      </c>
      <c r="C488" t="s">
        <v>36</v>
      </c>
      <c r="D488" t="s">
        <v>33</v>
      </c>
      <c r="E488" t="s">
        <v>22</v>
      </c>
      <c r="F488" t="s">
        <v>17</v>
      </c>
      <c r="G488" s="1" t="str">
        <f t="shared" ref="G488:M491" si="103">"X"</f>
        <v>X</v>
      </c>
      <c r="H488" s="1" t="str">
        <f t="shared" si="103"/>
        <v>X</v>
      </c>
      <c r="I488" s="1" t="str">
        <f t="shared" si="103"/>
        <v>X</v>
      </c>
      <c r="J488" s="1" t="str">
        <f t="shared" si="103"/>
        <v>X</v>
      </c>
      <c r="K488" s="1" t="str">
        <f t="shared" si="103"/>
        <v>X</v>
      </c>
      <c r="L488" s="1" t="str">
        <f t="shared" si="103"/>
        <v>X</v>
      </c>
      <c r="M488" s="1" t="str">
        <f t="shared" si="103"/>
        <v>X</v>
      </c>
      <c r="N488" t="s">
        <v>27</v>
      </c>
    </row>
    <row r="489" spans="1:14" x14ac:dyDescent="0.25">
      <c r="A489" t="s">
        <v>14</v>
      </c>
      <c r="B489" t="s">
        <v>15</v>
      </c>
      <c r="C489" t="s">
        <v>36</v>
      </c>
      <c r="D489" t="s">
        <v>33</v>
      </c>
      <c r="E489" t="s">
        <v>22</v>
      </c>
      <c r="F489" t="s">
        <v>18</v>
      </c>
      <c r="G489" s="1" t="str">
        <f t="shared" si="103"/>
        <v>X</v>
      </c>
      <c r="H489" s="1" t="str">
        <f t="shared" si="103"/>
        <v>X</v>
      </c>
      <c r="I489" s="1" t="str">
        <f t="shared" si="103"/>
        <v>X</v>
      </c>
      <c r="J489" s="1" t="str">
        <f t="shared" si="103"/>
        <v>X</v>
      </c>
      <c r="K489" s="1" t="str">
        <f t="shared" si="103"/>
        <v>X</v>
      </c>
      <c r="L489" s="1" t="str">
        <f t="shared" si="103"/>
        <v>X</v>
      </c>
      <c r="M489" s="1" t="str">
        <f t="shared" si="103"/>
        <v>X</v>
      </c>
      <c r="N489" t="s">
        <v>27</v>
      </c>
    </row>
    <row r="490" spans="1:14" x14ac:dyDescent="0.25">
      <c r="A490" t="s">
        <v>14</v>
      </c>
      <c r="B490" t="s">
        <v>15</v>
      </c>
      <c r="C490" t="s">
        <v>36</v>
      </c>
      <c r="D490" t="s">
        <v>33</v>
      </c>
      <c r="E490" t="s">
        <v>22</v>
      </c>
      <c r="F490" t="s">
        <v>19</v>
      </c>
      <c r="G490" s="1" t="str">
        <f t="shared" si="103"/>
        <v>X</v>
      </c>
      <c r="H490" s="1" t="str">
        <f t="shared" si="103"/>
        <v>X</v>
      </c>
      <c r="I490" s="1" t="str">
        <f t="shared" si="103"/>
        <v>X</v>
      </c>
      <c r="J490" s="1" t="str">
        <f t="shared" si="103"/>
        <v>X</v>
      </c>
      <c r="K490" s="1" t="str">
        <f t="shared" si="103"/>
        <v>X</v>
      </c>
      <c r="L490" s="1" t="str">
        <f t="shared" si="103"/>
        <v>X</v>
      </c>
      <c r="M490" s="1" t="str">
        <f t="shared" si="103"/>
        <v>X</v>
      </c>
      <c r="N490" t="s">
        <v>27</v>
      </c>
    </row>
    <row r="491" spans="1:14" x14ac:dyDescent="0.25">
      <c r="A491" t="s">
        <v>14</v>
      </c>
      <c r="B491" t="s">
        <v>15</v>
      </c>
      <c r="C491" t="s">
        <v>36</v>
      </c>
      <c r="D491" t="s">
        <v>33</v>
      </c>
      <c r="E491" t="s">
        <v>22</v>
      </c>
      <c r="F491" t="s">
        <v>20</v>
      </c>
      <c r="G491" s="1" t="str">
        <f t="shared" si="103"/>
        <v>X</v>
      </c>
      <c r="H491" s="1" t="str">
        <f t="shared" si="103"/>
        <v>X</v>
      </c>
      <c r="I491" s="1" t="str">
        <f t="shared" si="103"/>
        <v>X</v>
      </c>
      <c r="J491" s="1" t="str">
        <f t="shared" si="103"/>
        <v>X</v>
      </c>
      <c r="K491" s="1" t="str">
        <f t="shared" si="103"/>
        <v>X</v>
      </c>
      <c r="L491" s="1" t="str">
        <f t="shared" si="103"/>
        <v>X</v>
      </c>
      <c r="M491" s="1" t="str">
        <f t="shared" si="103"/>
        <v>X</v>
      </c>
      <c r="N491" t="s">
        <v>27</v>
      </c>
    </row>
    <row r="492" spans="1:14" x14ac:dyDescent="0.25">
      <c r="A492" t="s">
        <v>14</v>
      </c>
      <c r="B492" t="s">
        <v>15</v>
      </c>
      <c r="C492" t="s">
        <v>36</v>
      </c>
      <c r="D492" t="s">
        <v>33</v>
      </c>
      <c r="E492" t="s">
        <v>23</v>
      </c>
      <c r="F492" t="s">
        <v>15</v>
      </c>
      <c r="G492" s="2">
        <f>VALUE(286.1359247156)</f>
        <v>286.13592471560003</v>
      </c>
      <c r="H492" s="3">
        <f>VALUE(284.0386894912)</f>
        <v>284.03868949119999</v>
      </c>
      <c r="I492" s="1">
        <f>VALUE(2800)</f>
        <v>2800</v>
      </c>
      <c r="J492" s="1">
        <f>VALUE(3013)</f>
        <v>3013</v>
      </c>
      <c r="K492" s="6">
        <f>VALUE(3300)</f>
        <v>3300</v>
      </c>
      <c r="L492" s="7">
        <f>VALUE(3984)</f>
        <v>3984</v>
      </c>
      <c r="M492" s="8">
        <f>VALUE(5425)</f>
        <v>5425</v>
      </c>
      <c r="N492" t="s">
        <v>25</v>
      </c>
    </row>
    <row r="493" spans="1:14" x14ac:dyDescent="0.25">
      <c r="A493" t="s">
        <v>14</v>
      </c>
      <c r="B493" t="s">
        <v>15</v>
      </c>
      <c r="C493" t="s">
        <v>36</v>
      </c>
      <c r="D493" t="s">
        <v>33</v>
      </c>
      <c r="E493" t="s">
        <v>23</v>
      </c>
      <c r="F493" t="s">
        <v>17</v>
      </c>
      <c r="G493" s="1" t="str">
        <f t="shared" ref="G493:M495" si="104">"X"</f>
        <v>X</v>
      </c>
      <c r="H493" s="1" t="str">
        <f t="shared" si="104"/>
        <v>X</v>
      </c>
      <c r="I493" s="1" t="str">
        <f t="shared" si="104"/>
        <v>X</v>
      </c>
      <c r="J493" s="1" t="str">
        <f t="shared" si="104"/>
        <v>X</v>
      </c>
      <c r="K493" s="1" t="str">
        <f t="shared" si="104"/>
        <v>X</v>
      </c>
      <c r="L493" s="1" t="str">
        <f t="shared" si="104"/>
        <v>X</v>
      </c>
      <c r="M493" s="1" t="str">
        <f t="shared" si="104"/>
        <v>X</v>
      </c>
      <c r="N493" t="s">
        <v>27</v>
      </c>
    </row>
    <row r="494" spans="1:14" x14ac:dyDescent="0.25">
      <c r="A494" t="s">
        <v>14</v>
      </c>
      <c r="B494" t="s">
        <v>15</v>
      </c>
      <c r="C494" t="s">
        <v>36</v>
      </c>
      <c r="D494" t="s">
        <v>33</v>
      </c>
      <c r="E494" t="s">
        <v>23</v>
      </c>
      <c r="F494" t="s">
        <v>18</v>
      </c>
      <c r="G494" s="1" t="str">
        <f t="shared" si="104"/>
        <v>X</v>
      </c>
      <c r="H494" s="1" t="str">
        <f t="shared" si="104"/>
        <v>X</v>
      </c>
      <c r="I494" s="1" t="str">
        <f t="shared" si="104"/>
        <v>X</v>
      </c>
      <c r="J494" s="1" t="str">
        <f t="shared" si="104"/>
        <v>X</v>
      </c>
      <c r="K494" s="1" t="str">
        <f t="shared" si="104"/>
        <v>X</v>
      </c>
      <c r="L494" s="1" t="str">
        <f t="shared" si="104"/>
        <v>X</v>
      </c>
      <c r="M494" s="1" t="str">
        <f t="shared" si="104"/>
        <v>X</v>
      </c>
      <c r="N494" t="s">
        <v>27</v>
      </c>
    </row>
    <row r="495" spans="1:14" x14ac:dyDescent="0.25">
      <c r="A495" t="s">
        <v>14</v>
      </c>
      <c r="B495" t="s">
        <v>15</v>
      </c>
      <c r="C495" t="s">
        <v>36</v>
      </c>
      <c r="D495" t="s">
        <v>33</v>
      </c>
      <c r="E495" t="s">
        <v>23</v>
      </c>
      <c r="F495" t="s">
        <v>19</v>
      </c>
      <c r="G495" s="1" t="str">
        <f t="shared" si="104"/>
        <v>X</v>
      </c>
      <c r="H495" s="1" t="str">
        <f t="shared" si="104"/>
        <v>X</v>
      </c>
      <c r="I495" s="1" t="str">
        <f t="shared" si="104"/>
        <v>X</v>
      </c>
      <c r="J495" s="1" t="str">
        <f t="shared" si="104"/>
        <v>X</v>
      </c>
      <c r="K495" s="1" t="str">
        <f t="shared" si="104"/>
        <v>X</v>
      </c>
      <c r="L495" s="1" t="str">
        <f t="shared" si="104"/>
        <v>X</v>
      </c>
      <c r="M495" s="1" t="str">
        <f t="shared" si="104"/>
        <v>X</v>
      </c>
      <c r="N495" t="s">
        <v>27</v>
      </c>
    </row>
    <row r="496" spans="1:14" x14ac:dyDescent="0.25">
      <c r="A496" t="s">
        <v>14</v>
      </c>
      <c r="B496" t="s">
        <v>15</v>
      </c>
      <c r="C496" t="s">
        <v>36</v>
      </c>
      <c r="D496" t="s">
        <v>33</v>
      </c>
      <c r="E496" t="s">
        <v>23</v>
      </c>
      <c r="F496" t="s">
        <v>20</v>
      </c>
      <c r="G496" s="2">
        <f>VALUE(242.647152699)</f>
        <v>242.647152699</v>
      </c>
      <c r="H496" s="3">
        <f>VALUE(239.0341385394)</f>
        <v>239.0341385394</v>
      </c>
      <c r="I496" s="4">
        <f>VALUE(2847)</f>
        <v>2847</v>
      </c>
      <c r="J496" s="1">
        <f>VALUE(3048)</f>
        <v>3048</v>
      </c>
      <c r="K496" s="6">
        <f>VALUE(3485)</f>
        <v>3485</v>
      </c>
      <c r="L496" s="7">
        <f>VALUE(4075)</f>
        <v>4075</v>
      </c>
      <c r="M496" s="8">
        <f>VALUE(5494)</f>
        <v>5494</v>
      </c>
      <c r="N496" t="s">
        <v>25</v>
      </c>
    </row>
    <row r="497" spans="1:14" x14ac:dyDescent="0.25">
      <c r="A497" t="s">
        <v>14</v>
      </c>
      <c r="B497" t="s">
        <v>15</v>
      </c>
      <c r="C497" t="s">
        <v>36</v>
      </c>
      <c r="D497" t="s">
        <v>33</v>
      </c>
      <c r="E497" t="s">
        <v>26</v>
      </c>
      <c r="F497" t="s">
        <v>15</v>
      </c>
      <c r="G497" s="1" t="str">
        <f t="shared" ref="G497:M501" si="105">"..."</f>
        <v>...</v>
      </c>
      <c r="H497" s="1" t="str">
        <f t="shared" si="105"/>
        <v>...</v>
      </c>
      <c r="I497" s="1" t="str">
        <f t="shared" si="105"/>
        <v>...</v>
      </c>
      <c r="J497" s="1" t="str">
        <f t="shared" si="105"/>
        <v>...</v>
      </c>
      <c r="K497" s="1" t="str">
        <f t="shared" si="105"/>
        <v>...</v>
      </c>
      <c r="L497" s="1" t="str">
        <f t="shared" si="105"/>
        <v>...</v>
      </c>
      <c r="M497" s="1" t="str">
        <f t="shared" si="105"/>
        <v>...</v>
      </c>
      <c r="N497" t="s">
        <v>30</v>
      </c>
    </row>
    <row r="498" spans="1:14" x14ac:dyDescent="0.25">
      <c r="A498" t="s">
        <v>14</v>
      </c>
      <c r="B498" t="s">
        <v>15</v>
      </c>
      <c r="C498" t="s">
        <v>36</v>
      </c>
      <c r="D498" t="s">
        <v>33</v>
      </c>
      <c r="E498" t="s">
        <v>26</v>
      </c>
      <c r="F498" t="s">
        <v>17</v>
      </c>
      <c r="G498" s="1" t="str">
        <f t="shared" si="105"/>
        <v>...</v>
      </c>
      <c r="H498" s="1" t="str">
        <f t="shared" si="105"/>
        <v>...</v>
      </c>
      <c r="I498" s="1" t="str">
        <f t="shared" si="105"/>
        <v>...</v>
      </c>
      <c r="J498" s="1" t="str">
        <f t="shared" si="105"/>
        <v>...</v>
      </c>
      <c r="K498" s="1" t="str">
        <f t="shared" si="105"/>
        <v>...</v>
      </c>
      <c r="L498" s="1" t="str">
        <f t="shared" si="105"/>
        <v>...</v>
      </c>
      <c r="M498" s="1" t="str">
        <f t="shared" si="105"/>
        <v>...</v>
      </c>
      <c r="N498" t="s">
        <v>30</v>
      </c>
    </row>
    <row r="499" spans="1:14" x14ac:dyDescent="0.25">
      <c r="A499" t="s">
        <v>14</v>
      </c>
      <c r="B499" t="s">
        <v>15</v>
      </c>
      <c r="C499" t="s">
        <v>36</v>
      </c>
      <c r="D499" t="s">
        <v>33</v>
      </c>
      <c r="E499" t="s">
        <v>26</v>
      </c>
      <c r="F499" t="s">
        <v>18</v>
      </c>
      <c r="G499" s="1" t="str">
        <f t="shared" si="105"/>
        <v>...</v>
      </c>
      <c r="H499" s="1" t="str">
        <f t="shared" si="105"/>
        <v>...</v>
      </c>
      <c r="I499" s="1" t="str">
        <f t="shared" si="105"/>
        <v>...</v>
      </c>
      <c r="J499" s="1" t="str">
        <f t="shared" si="105"/>
        <v>...</v>
      </c>
      <c r="K499" s="1" t="str">
        <f t="shared" si="105"/>
        <v>...</v>
      </c>
      <c r="L499" s="1" t="str">
        <f t="shared" si="105"/>
        <v>...</v>
      </c>
      <c r="M499" s="1" t="str">
        <f t="shared" si="105"/>
        <v>...</v>
      </c>
      <c r="N499" t="s">
        <v>30</v>
      </c>
    </row>
    <row r="500" spans="1:14" x14ac:dyDescent="0.25">
      <c r="A500" t="s">
        <v>14</v>
      </c>
      <c r="B500" t="s">
        <v>15</v>
      </c>
      <c r="C500" t="s">
        <v>36</v>
      </c>
      <c r="D500" t="s">
        <v>33</v>
      </c>
      <c r="E500" t="s">
        <v>26</v>
      </c>
      <c r="F500" t="s">
        <v>19</v>
      </c>
      <c r="G500" s="1" t="str">
        <f t="shared" si="105"/>
        <v>...</v>
      </c>
      <c r="H500" s="1" t="str">
        <f t="shared" si="105"/>
        <v>...</v>
      </c>
      <c r="I500" s="1" t="str">
        <f t="shared" si="105"/>
        <v>...</v>
      </c>
      <c r="J500" s="1" t="str">
        <f t="shared" si="105"/>
        <v>...</v>
      </c>
      <c r="K500" s="1" t="str">
        <f t="shared" si="105"/>
        <v>...</v>
      </c>
      <c r="L500" s="1" t="str">
        <f t="shared" si="105"/>
        <v>...</v>
      </c>
      <c r="M500" s="1" t="str">
        <f t="shared" si="105"/>
        <v>...</v>
      </c>
      <c r="N500" t="s">
        <v>30</v>
      </c>
    </row>
    <row r="501" spans="1:14" x14ac:dyDescent="0.25">
      <c r="A501" t="s">
        <v>14</v>
      </c>
      <c r="B501" t="s">
        <v>15</v>
      </c>
      <c r="C501" t="s">
        <v>36</v>
      </c>
      <c r="D501" t="s">
        <v>33</v>
      </c>
      <c r="E501" t="s">
        <v>26</v>
      </c>
      <c r="F501" t="s">
        <v>20</v>
      </c>
      <c r="G501" s="1" t="str">
        <f t="shared" si="105"/>
        <v>...</v>
      </c>
      <c r="H501" s="1" t="str">
        <f t="shared" si="105"/>
        <v>...</v>
      </c>
      <c r="I501" s="1" t="str">
        <f t="shared" si="105"/>
        <v>...</v>
      </c>
      <c r="J501" s="1" t="str">
        <f t="shared" si="105"/>
        <v>...</v>
      </c>
      <c r="K501" s="1" t="str">
        <f t="shared" si="105"/>
        <v>...</v>
      </c>
      <c r="L501" s="1" t="str">
        <f t="shared" si="105"/>
        <v>...</v>
      </c>
      <c r="M501" s="1" t="str">
        <f t="shared" si="105"/>
        <v>...</v>
      </c>
      <c r="N501" t="s">
        <v>30</v>
      </c>
    </row>
    <row r="502" spans="1:14" x14ac:dyDescent="0.25">
      <c r="A502" t="s">
        <v>14</v>
      </c>
      <c r="B502" t="s">
        <v>15</v>
      </c>
      <c r="C502" t="s">
        <v>36</v>
      </c>
      <c r="D502" t="s">
        <v>34</v>
      </c>
      <c r="E502" t="s">
        <v>15</v>
      </c>
      <c r="F502" t="s">
        <v>15</v>
      </c>
      <c r="G502" s="2">
        <f>VALUE(351.0446300744)</f>
        <v>351.0446300744</v>
      </c>
      <c r="H502" s="3">
        <f>VALUE(336.1269692638)</f>
        <v>336.12696926379999</v>
      </c>
      <c r="I502" s="4">
        <f>VALUE(3212)</f>
        <v>3212</v>
      </c>
      <c r="J502" s="5">
        <f>VALUE(3921)</f>
        <v>3921</v>
      </c>
      <c r="K502" s="1">
        <f>VALUE(4991)</f>
        <v>4991</v>
      </c>
      <c r="L502" s="1">
        <f>VALUE(6397)</f>
        <v>6397</v>
      </c>
      <c r="M502" s="8">
        <f>VALUE(7548)</f>
        <v>7548</v>
      </c>
      <c r="N502" t="s">
        <v>25</v>
      </c>
    </row>
    <row r="503" spans="1:14" x14ac:dyDescent="0.25">
      <c r="A503" t="s">
        <v>14</v>
      </c>
      <c r="B503" t="s">
        <v>15</v>
      </c>
      <c r="C503" t="s">
        <v>36</v>
      </c>
      <c r="D503" t="s">
        <v>34</v>
      </c>
      <c r="E503" t="s">
        <v>15</v>
      </c>
      <c r="F503" t="s">
        <v>17</v>
      </c>
      <c r="G503" s="1" t="str">
        <f t="shared" ref="G503:M505" si="106">"X"</f>
        <v>X</v>
      </c>
      <c r="H503" s="1" t="str">
        <f t="shared" si="106"/>
        <v>X</v>
      </c>
      <c r="I503" s="1" t="str">
        <f t="shared" si="106"/>
        <v>X</v>
      </c>
      <c r="J503" s="1" t="str">
        <f t="shared" si="106"/>
        <v>X</v>
      </c>
      <c r="K503" s="1" t="str">
        <f t="shared" si="106"/>
        <v>X</v>
      </c>
      <c r="L503" s="1" t="str">
        <f t="shared" si="106"/>
        <v>X</v>
      </c>
      <c r="M503" s="1" t="str">
        <f t="shared" si="106"/>
        <v>X</v>
      </c>
      <c r="N503" t="s">
        <v>27</v>
      </c>
    </row>
    <row r="504" spans="1:14" x14ac:dyDescent="0.25">
      <c r="A504" t="s">
        <v>14</v>
      </c>
      <c r="B504" t="s">
        <v>15</v>
      </c>
      <c r="C504" t="s">
        <v>36</v>
      </c>
      <c r="D504" t="s">
        <v>34</v>
      </c>
      <c r="E504" t="s">
        <v>15</v>
      </c>
      <c r="F504" t="s">
        <v>18</v>
      </c>
      <c r="G504" s="1" t="str">
        <f t="shared" si="106"/>
        <v>X</v>
      </c>
      <c r="H504" s="1" t="str">
        <f t="shared" si="106"/>
        <v>X</v>
      </c>
      <c r="I504" s="1" t="str">
        <f t="shared" si="106"/>
        <v>X</v>
      </c>
      <c r="J504" s="1" t="str">
        <f t="shared" si="106"/>
        <v>X</v>
      </c>
      <c r="K504" s="1" t="str">
        <f t="shared" si="106"/>
        <v>X</v>
      </c>
      <c r="L504" s="1" t="str">
        <f t="shared" si="106"/>
        <v>X</v>
      </c>
      <c r="M504" s="1" t="str">
        <f t="shared" si="106"/>
        <v>X</v>
      </c>
      <c r="N504" t="s">
        <v>27</v>
      </c>
    </row>
    <row r="505" spans="1:14" x14ac:dyDescent="0.25">
      <c r="A505" t="s">
        <v>14</v>
      </c>
      <c r="B505" t="s">
        <v>15</v>
      </c>
      <c r="C505" t="s">
        <v>36</v>
      </c>
      <c r="D505" t="s">
        <v>34</v>
      </c>
      <c r="E505" t="s">
        <v>15</v>
      </c>
      <c r="F505" t="s">
        <v>19</v>
      </c>
      <c r="G505" s="1" t="str">
        <f t="shared" si="106"/>
        <v>X</v>
      </c>
      <c r="H505" s="1" t="str">
        <f t="shared" si="106"/>
        <v>X</v>
      </c>
      <c r="I505" s="1" t="str">
        <f t="shared" si="106"/>
        <v>X</v>
      </c>
      <c r="J505" s="1" t="str">
        <f t="shared" si="106"/>
        <v>X</v>
      </c>
      <c r="K505" s="1" t="str">
        <f t="shared" si="106"/>
        <v>X</v>
      </c>
      <c r="L505" s="1" t="str">
        <f t="shared" si="106"/>
        <v>X</v>
      </c>
      <c r="M505" s="1" t="str">
        <f t="shared" si="106"/>
        <v>X</v>
      </c>
      <c r="N505" t="s">
        <v>27</v>
      </c>
    </row>
    <row r="506" spans="1:14" x14ac:dyDescent="0.25">
      <c r="A506" t="s">
        <v>14</v>
      </c>
      <c r="B506" t="s">
        <v>15</v>
      </c>
      <c r="C506" t="s">
        <v>36</v>
      </c>
      <c r="D506" t="s">
        <v>34</v>
      </c>
      <c r="E506" t="s">
        <v>15</v>
      </c>
      <c r="F506" t="s">
        <v>20</v>
      </c>
      <c r="G506" s="2">
        <f>VALUE(266.079234449)</f>
        <v>266.07923444900001</v>
      </c>
      <c r="H506" s="3">
        <f>VALUE(254.9703575446)</f>
        <v>254.97035754460001</v>
      </c>
      <c r="I506" s="4">
        <f>VALUE(2957)</f>
        <v>2957</v>
      </c>
      <c r="J506" s="5">
        <f>VALUE(3778)</f>
        <v>3778</v>
      </c>
      <c r="K506" s="6">
        <f>VALUE(4667)</f>
        <v>4667</v>
      </c>
      <c r="L506" s="1">
        <f>VALUE(5890)</f>
        <v>5890</v>
      </c>
      <c r="M506" s="1">
        <f>VALUE(6945)</f>
        <v>6945</v>
      </c>
      <c r="N506" t="s">
        <v>25</v>
      </c>
    </row>
    <row r="507" spans="1:14" x14ac:dyDescent="0.25">
      <c r="A507" t="s">
        <v>14</v>
      </c>
      <c r="B507" t="s">
        <v>15</v>
      </c>
      <c r="C507" t="s">
        <v>36</v>
      </c>
      <c r="D507" t="s">
        <v>34</v>
      </c>
      <c r="E507" t="s">
        <v>21</v>
      </c>
      <c r="F507" t="s">
        <v>15</v>
      </c>
      <c r="G507" s="2">
        <f>VALUE(104.0279904928)</f>
        <v>104.0279904928</v>
      </c>
      <c r="H507" s="3">
        <f>VALUE(95.2805466931)</f>
        <v>95.280546693100007</v>
      </c>
      <c r="I507" s="1">
        <f>VALUE(4273)</f>
        <v>4273</v>
      </c>
      <c r="J507" s="1">
        <f>VALUE(4762)</f>
        <v>4762</v>
      </c>
      <c r="K507" s="1">
        <f>VALUE(5984)</f>
        <v>5984</v>
      </c>
      <c r="L507" s="1">
        <f>VALUE(7350)</f>
        <v>7350</v>
      </c>
      <c r="M507" s="1">
        <f>VALUE(9127)</f>
        <v>9127</v>
      </c>
      <c r="N507" t="s">
        <v>25</v>
      </c>
    </row>
    <row r="508" spans="1:14" x14ac:dyDescent="0.25">
      <c r="A508" t="s">
        <v>14</v>
      </c>
      <c r="B508" t="s">
        <v>15</v>
      </c>
      <c r="C508" t="s">
        <v>36</v>
      </c>
      <c r="D508" t="s">
        <v>34</v>
      </c>
      <c r="E508" t="s">
        <v>21</v>
      </c>
      <c r="F508" t="s">
        <v>17</v>
      </c>
      <c r="G508" s="1" t="str">
        <f t="shared" ref="G508:M511" si="107">"X"</f>
        <v>X</v>
      </c>
      <c r="H508" s="1" t="str">
        <f t="shared" si="107"/>
        <v>X</v>
      </c>
      <c r="I508" s="1" t="str">
        <f t="shared" si="107"/>
        <v>X</v>
      </c>
      <c r="J508" s="1" t="str">
        <f t="shared" si="107"/>
        <v>X</v>
      </c>
      <c r="K508" s="1" t="str">
        <f t="shared" si="107"/>
        <v>X</v>
      </c>
      <c r="L508" s="1" t="str">
        <f t="shared" si="107"/>
        <v>X</v>
      </c>
      <c r="M508" s="1" t="str">
        <f t="shared" si="107"/>
        <v>X</v>
      </c>
      <c r="N508" t="s">
        <v>27</v>
      </c>
    </row>
    <row r="509" spans="1:14" x14ac:dyDescent="0.25">
      <c r="A509" t="s">
        <v>14</v>
      </c>
      <c r="B509" t="s">
        <v>15</v>
      </c>
      <c r="C509" t="s">
        <v>36</v>
      </c>
      <c r="D509" t="s">
        <v>34</v>
      </c>
      <c r="E509" t="s">
        <v>21</v>
      </c>
      <c r="F509" t="s">
        <v>18</v>
      </c>
      <c r="G509" s="1" t="str">
        <f t="shared" si="107"/>
        <v>X</v>
      </c>
      <c r="H509" s="1" t="str">
        <f t="shared" si="107"/>
        <v>X</v>
      </c>
      <c r="I509" s="1" t="str">
        <f t="shared" si="107"/>
        <v>X</v>
      </c>
      <c r="J509" s="1" t="str">
        <f t="shared" si="107"/>
        <v>X</v>
      </c>
      <c r="K509" s="1" t="str">
        <f t="shared" si="107"/>
        <v>X</v>
      </c>
      <c r="L509" s="1" t="str">
        <f t="shared" si="107"/>
        <v>X</v>
      </c>
      <c r="M509" s="1" t="str">
        <f t="shared" si="107"/>
        <v>X</v>
      </c>
      <c r="N509" t="s">
        <v>27</v>
      </c>
    </row>
    <row r="510" spans="1:14" x14ac:dyDescent="0.25">
      <c r="A510" t="s">
        <v>14</v>
      </c>
      <c r="B510" t="s">
        <v>15</v>
      </c>
      <c r="C510" t="s">
        <v>36</v>
      </c>
      <c r="D510" t="s">
        <v>34</v>
      </c>
      <c r="E510" t="s">
        <v>21</v>
      </c>
      <c r="F510" t="s">
        <v>19</v>
      </c>
      <c r="G510" s="1" t="str">
        <f t="shared" si="107"/>
        <v>X</v>
      </c>
      <c r="H510" s="1" t="str">
        <f t="shared" si="107"/>
        <v>X</v>
      </c>
      <c r="I510" s="1" t="str">
        <f t="shared" si="107"/>
        <v>X</v>
      </c>
      <c r="J510" s="1" t="str">
        <f t="shared" si="107"/>
        <v>X</v>
      </c>
      <c r="K510" s="1" t="str">
        <f t="shared" si="107"/>
        <v>X</v>
      </c>
      <c r="L510" s="1" t="str">
        <f t="shared" si="107"/>
        <v>X</v>
      </c>
      <c r="M510" s="1" t="str">
        <f t="shared" si="107"/>
        <v>X</v>
      </c>
      <c r="N510" t="s">
        <v>27</v>
      </c>
    </row>
    <row r="511" spans="1:14" x14ac:dyDescent="0.25">
      <c r="A511" t="s">
        <v>14</v>
      </c>
      <c r="B511" t="s">
        <v>15</v>
      </c>
      <c r="C511" t="s">
        <v>36</v>
      </c>
      <c r="D511" t="s">
        <v>34</v>
      </c>
      <c r="E511" t="s">
        <v>21</v>
      </c>
      <c r="F511" t="s">
        <v>20</v>
      </c>
      <c r="G511" s="1" t="str">
        <f t="shared" si="107"/>
        <v>X</v>
      </c>
      <c r="H511" s="1" t="str">
        <f t="shared" si="107"/>
        <v>X</v>
      </c>
      <c r="I511" s="1" t="str">
        <f t="shared" si="107"/>
        <v>X</v>
      </c>
      <c r="J511" s="1" t="str">
        <f t="shared" si="107"/>
        <v>X</v>
      </c>
      <c r="K511" s="1" t="str">
        <f t="shared" si="107"/>
        <v>X</v>
      </c>
      <c r="L511" s="1" t="str">
        <f t="shared" si="107"/>
        <v>X</v>
      </c>
      <c r="M511" s="1" t="str">
        <f t="shared" si="107"/>
        <v>X</v>
      </c>
      <c r="N511" t="s">
        <v>27</v>
      </c>
    </row>
    <row r="512" spans="1:14" x14ac:dyDescent="0.25">
      <c r="A512" t="s">
        <v>14</v>
      </c>
      <c r="B512" t="s">
        <v>15</v>
      </c>
      <c r="C512" t="s">
        <v>36</v>
      </c>
      <c r="D512" t="s">
        <v>34</v>
      </c>
      <c r="E512" t="s">
        <v>22</v>
      </c>
      <c r="F512" t="s">
        <v>15</v>
      </c>
      <c r="G512" s="2">
        <f>VALUE(111.9584743612)</f>
        <v>111.9584743612</v>
      </c>
      <c r="H512" s="3">
        <f>VALUE(109.930568306)</f>
        <v>109.930568306</v>
      </c>
      <c r="I512" s="1">
        <f>VALUE(4024)</f>
        <v>4024</v>
      </c>
      <c r="J512" s="1">
        <f>VALUE(4798)</f>
        <v>4798</v>
      </c>
      <c r="K512" s="1">
        <f>VALUE(5484)</f>
        <v>5484</v>
      </c>
      <c r="L512" s="1">
        <f>VALUE(6452)</f>
        <v>6452</v>
      </c>
      <c r="M512" s="1">
        <f>VALUE(7524)</f>
        <v>7524</v>
      </c>
      <c r="N512" t="s">
        <v>25</v>
      </c>
    </row>
    <row r="513" spans="1:14" x14ac:dyDescent="0.25">
      <c r="A513" t="s">
        <v>14</v>
      </c>
      <c r="B513" t="s">
        <v>15</v>
      </c>
      <c r="C513" t="s">
        <v>36</v>
      </c>
      <c r="D513" t="s">
        <v>34</v>
      </c>
      <c r="E513" t="s">
        <v>22</v>
      </c>
      <c r="F513" t="s">
        <v>17</v>
      </c>
      <c r="G513" s="1" t="str">
        <f t="shared" ref="G513:M515" si="108">"X"</f>
        <v>X</v>
      </c>
      <c r="H513" s="1" t="str">
        <f t="shared" si="108"/>
        <v>X</v>
      </c>
      <c r="I513" s="1" t="str">
        <f t="shared" si="108"/>
        <v>X</v>
      </c>
      <c r="J513" s="1" t="str">
        <f t="shared" si="108"/>
        <v>X</v>
      </c>
      <c r="K513" s="1" t="str">
        <f t="shared" si="108"/>
        <v>X</v>
      </c>
      <c r="L513" s="1" t="str">
        <f t="shared" si="108"/>
        <v>X</v>
      </c>
      <c r="M513" s="1" t="str">
        <f t="shared" si="108"/>
        <v>X</v>
      </c>
      <c r="N513" t="s">
        <v>27</v>
      </c>
    </row>
    <row r="514" spans="1:14" x14ac:dyDescent="0.25">
      <c r="A514" t="s">
        <v>14</v>
      </c>
      <c r="B514" t="s">
        <v>15</v>
      </c>
      <c r="C514" t="s">
        <v>36</v>
      </c>
      <c r="D514" t="s">
        <v>34</v>
      </c>
      <c r="E514" t="s">
        <v>22</v>
      </c>
      <c r="F514" t="s">
        <v>18</v>
      </c>
      <c r="G514" s="1" t="str">
        <f t="shared" si="108"/>
        <v>X</v>
      </c>
      <c r="H514" s="1" t="str">
        <f t="shared" si="108"/>
        <v>X</v>
      </c>
      <c r="I514" s="1" t="str">
        <f t="shared" si="108"/>
        <v>X</v>
      </c>
      <c r="J514" s="1" t="str">
        <f t="shared" si="108"/>
        <v>X</v>
      </c>
      <c r="K514" s="1" t="str">
        <f t="shared" si="108"/>
        <v>X</v>
      </c>
      <c r="L514" s="1" t="str">
        <f t="shared" si="108"/>
        <v>X</v>
      </c>
      <c r="M514" s="1" t="str">
        <f t="shared" si="108"/>
        <v>X</v>
      </c>
      <c r="N514" t="s">
        <v>27</v>
      </c>
    </row>
    <row r="515" spans="1:14" x14ac:dyDescent="0.25">
      <c r="A515" t="s">
        <v>14</v>
      </c>
      <c r="B515" t="s">
        <v>15</v>
      </c>
      <c r="C515" t="s">
        <v>36</v>
      </c>
      <c r="D515" t="s">
        <v>34</v>
      </c>
      <c r="E515" t="s">
        <v>22</v>
      </c>
      <c r="F515" t="s">
        <v>19</v>
      </c>
      <c r="G515" s="1" t="str">
        <f t="shared" si="108"/>
        <v>X</v>
      </c>
      <c r="H515" s="1" t="str">
        <f t="shared" si="108"/>
        <v>X</v>
      </c>
      <c r="I515" s="1" t="str">
        <f t="shared" si="108"/>
        <v>X</v>
      </c>
      <c r="J515" s="1" t="str">
        <f t="shared" si="108"/>
        <v>X</v>
      </c>
      <c r="K515" s="1" t="str">
        <f t="shared" si="108"/>
        <v>X</v>
      </c>
      <c r="L515" s="1" t="str">
        <f t="shared" si="108"/>
        <v>X</v>
      </c>
      <c r="M515" s="1" t="str">
        <f t="shared" si="108"/>
        <v>X</v>
      </c>
      <c r="N515" t="s">
        <v>27</v>
      </c>
    </row>
    <row r="516" spans="1:14" x14ac:dyDescent="0.25">
      <c r="A516" t="s">
        <v>14</v>
      </c>
      <c r="B516" t="s">
        <v>15</v>
      </c>
      <c r="C516" t="s">
        <v>36</v>
      </c>
      <c r="D516" t="s">
        <v>34</v>
      </c>
      <c r="E516" t="s">
        <v>22</v>
      </c>
      <c r="F516" t="s">
        <v>20</v>
      </c>
      <c r="G516" s="2">
        <f>VALUE(78.5551396384)</f>
        <v>78.555139638399993</v>
      </c>
      <c r="H516" s="3">
        <f>VALUE(75.2413498145)</f>
        <v>75.241349814499998</v>
      </c>
      <c r="I516" s="1">
        <f>VALUE(3520)</f>
        <v>3520</v>
      </c>
      <c r="J516" s="1">
        <f>VALUE(4366)</f>
        <v>4366</v>
      </c>
      <c r="K516" s="1">
        <f>VALUE(5055)</f>
        <v>5055</v>
      </c>
      <c r="L516" s="1">
        <f>VALUE(5952)</f>
        <v>5952</v>
      </c>
      <c r="M516" s="1">
        <f>VALUE(6707)</f>
        <v>6707</v>
      </c>
      <c r="N516" t="s">
        <v>25</v>
      </c>
    </row>
    <row r="517" spans="1:14" x14ac:dyDescent="0.25">
      <c r="A517" t="s">
        <v>14</v>
      </c>
      <c r="B517" t="s">
        <v>15</v>
      </c>
      <c r="C517" t="s">
        <v>36</v>
      </c>
      <c r="D517" t="s">
        <v>34</v>
      </c>
      <c r="E517" t="s">
        <v>23</v>
      </c>
      <c r="F517" t="s">
        <v>15</v>
      </c>
      <c r="G517" s="2">
        <f>VALUE(132.435118011)</f>
        <v>132.43511801099999</v>
      </c>
      <c r="H517" s="3">
        <f>VALUE(128.1616546949)</f>
        <v>128.16165469489999</v>
      </c>
      <c r="I517" s="1">
        <f>VALUE(2480)</f>
        <v>2480</v>
      </c>
      <c r="J517" s="5">
        <f>VALUE(3212)</f>
        <v>3212</v>
      </c>
      <c r="K517" s="6">
        <f>VALUE(3778)</f>
        <v>3778</v>
      </c>
      <c r="L517" s="7">
        <f>VALUE(4613)</f>
        <v>4613</v>
      </c>
      <c r="M517" s="8">
        <f>VALUE(5525)</f>
        <v>5525</v>
      </c>
      <c r="N517" t="s">
        <v>25</v>
      </c>
    </row>
    <row r="518" spans="1:14" x14ac:dyDescent="0.25">
      <c r="A518" t="s">
        <v>14</v>
      </c>
      <c r="B518" t="s">
        <v>15</v>
      </c>
      <c r="C518" t="s">
        <v>36</v>
      </c>
      <c r="D518" t="s">
        <v>34</v>
      </c>
      <c r="E518" t="s">
        <v>23</v>
      </c>
      <c r="F518" t="s">
        <v>17</v>
      </c>
      <c r="G518" s="1" t="str">
        <f t="shared" ref="G518:M520" si="109">"X"</f>
        <v>X</v>
      </c>
      <c r="H518" s="1" t="str">
        <f t="shared" si="109"/>
        <v>X</v>
      </c>
      <c r="I518" s="1" t="str">
        <f t="shared" si="109"/>
        <v>X</v>
      </c>
      <c r="J518" s="1" t="str">
        <f t="shared" si="109"/>
        <v>X</v>
      </c>
      <c r="K518" s="1" t="str">
        <f t="shared" si="109"/>
        <v>X</v>
      </c>
      <c r="L518" s="1" t="str">
        <f t="shared" si="109"/>
        <v>X</v>
      </c>
      <c r="M518" s="1" t="str">
        <f t="shared" si="109"/>
        <v>X</v>
      </c>
      <c r="N518" t="s">
        <v>27</v>
      </c>
    </row>
    <row r="519" spans="1:14" x14ac:dyDescent="0.25">
      <c r="A519" t="s">
        <v>14</v>
      </c>
      <c r="B519" t="s">
        <v>15</v>
      </c>
      <c r="C519" t="s">
        <v>36</v>
      </c>
      <c r="D519" t="s">
        <v>34</v>
      </c>
      <c r="E519" t="s">
        <v>23</v>
      </c>
      <c r="F519" t="s">
        <v>18</v>
      </c>
      <c r="G519" s="1" t="str">
        <f t="shared" si="109"/>
        <v>X</v>
      </c>
      <c r="H519" s="1" t="str">
        <f t="shared" si="109"/>
        <v>X</v>
      </c>
      <c r="I519" s="1" t="str">
        <f t="shared" si="109"/>
        <v>X</v>
      </c>
      <c r="J519" s="1" t="str">
        <f t="shared" si="109"/>
        <v>X</v>
      </c>
      <c r="K519" s="1" t="str">
        <f t="shared" si="109"/>
        <v>X</v>
      </c>
      <c r="L519" s="1" t="str">
        <f t="shared" si="109"/>
        <v>X</v>
      </c>
      <c r="M519" s="1" t="str">
        <f t="shared" si="109"/>
        <v>X</v>
      </c>
      <c r="N519" t="s">
        <v>27</v>
      </c>
    </row>
    <row r="520" spans="1:14" x14ac:dyDescent="0.25">
      <c r="A520" t="s">
        <v>14</v>
      </c>
      <c r="B520" t="s">
        <v>15</v>
      </c>
      <c r="C520" t="s">
        <v>36</v>
      </c>
      <c r="D520" t="s">
        <v>34</v>
      </c>
      <c r="E520" t="s">
        <v>23</v>
      </c>
      <c r="F520" t="s">
        <v>19</v>
      </c>
      <c r="G520" s="1" t="str">
        <f t="shared" si="109"/>
        <v>X</v>
      </c>
      <c r="H520" s="1" t="str">
        <f t="shared" si="109"/>
        <v>X</v>
      </c>
      <c r="I520" s="1" t="str">
        <f t="shared" si="109"/>
        <v>X</v>
      </c>
      <c r="J520" s="1" t="str">
        <f t="shared" si="109"/>
        <v>X</v>
      </c>
      <c r="K520" s="1" t="str">
        <f t="shared" si="109"/>
        <v>X</v>
      </c>
      <c r="L520" s="1" t="str">
        <f t="shared" si="109"/>
        <v>X</v>
      </c>
      <c r="M520" s="1" t="str">
        <f t="shared" si="109"/>
        <v>X</v>
      </c>
      <c r="N520" t="s">
        <v>27</v>
      </c>
    </row>
    <row r="521" spans="1:14" x14ac:dyDescent="0.25">
      <c r="A521" t="s">
        <v>14</v>
      </c>
      <c r="B521" t="s">
        <v>15</v>
      </c>
      <c r="C521" t="s">
        <v>36</v>
      </c>
      <c r="D521" t="s">
        <v>34</v>
      </c>
      <c r="E521" t="s">
        <v>23</v>
      </c>
      <c r="F521" t="s">
        <v>20</v>
      </c>
      <c r="G521" s="2">
        <f>VALUE(119.9829103006)</f>
        <v>119.9829103006</v>
      </c>
      <c r="H521" s="3">
        <f>VALUE(117.3864530266)</f>
        <v>117.38645302659999</v>
      </c>
      <c r="I521" s="1">
        <f>VALUE(2430)</f>
        <v>2430</v>
      </c>
      <c r="J521" s="5">
        <f>VALUE(3212)</f>
        <v>3212</v>
      </c>
      <c r="K521" s="6">
        <f>VALUE(3778)</f>
        <v>3778</v>
      </c>
      <c r="L521" s="7">
        <f>VALUE(4613)</f>
        <v>4613</v>
      </c>
      <c r="M521" s="1">
        <f>VALUE(5525)</f>
        <v>5525</v>
      </c>
      <c r="N521" t="s">
        <v>25</v>
      </c>
    </row>
    <row r="522" spans="1:14" x14ac:dyDescent="0.25">
      <c r="A522" t="s">
        <v>14</v>
      </c>
      <c r="B522" t="s">
        <v>15</v>
      </c>
      <c r="C522" t="s">
        <v>36</v>
      </c>
      <c r="D522" t="s">
        <v>34</v>
      </c>
      <c r="E522" t="s">
        <v>26</v>
      </c>
      <c r="F522" t="s">
        <v>15</v>
      </c>
      <c r="G522" s="1" t="str">
        <f t="shared" ref="G522:M522" si="110">"X"</f>
        <v>X</v>
      </c>
      <c r="H522" s="1" t="str">
        <f t="shared" si="110"/>
        <v>X</v>
      </c>
      <c r="I522" s="1" t="str">
        <f t="shared" si="110"/>
        <v>X</v>
      </c>
      <c r="J522" s="1" t="str">
        <f t="shared" si="110"/>
        <v>X</v>
      </c>
      <c r="K522" s="1" t="str">
        <f t="shared" si="110"/>
        <v>X</v>
      </c>
      <c r="L522" s="1" t="str">
        <f t="shared" si="110"/>
        <v>X</v>
      </c>
      <c r="M522" s="1" t="str">
        <f t="shared" si="110"/>
        <v>X</v>
      </c>
      <c r="N522" t="s">
        <v>27</v>
      </c>
    </row>
    <row r="523" spans="1:14" x14ac:dyDescent="0.25">
      <c r="A523" t="s">
        <v>14</v>
      </c>
      <c r="B523" t="s">
        <v>15</v>
      </c>
      <c r="C523" t="s">
        <v>36</v>
      </c>
      <c r="D523" t="s">
        <v>34</v>
      </c>
      <c r="E523" t="s">
        <v>26</v>
      </c>
      <c r="F523" t="s">
        <v>17</v>
      </c>
      <c r="G523" s="1" t="str">
        <f t="shared" ref="G523:M525" si="111">"..."</f>
        <v>...</v>
      </c>
      <c r="H523" s="1" t="str">
        <f t="shared" si="111"/>
        <v>...</v>
      </c>
      <c r="I523" s="1" t="str">
        <f t="shared" si="111"/>
        <v>...</v>
      </c>
      <c r="J523" s="1" t="str">
        <f t="shared" si="111"/>
        <v>...</v>
      </c>
      <c r="K523" s="1" t="str">
        <f t="shared" si="111"/>
        <v>...</v>
      </c>
      <c r="L523" s="1" t="str">
        <f t="shared" si="111"/>
        <v>...</v>
      </c>
      <c r="M523" s="1" t="str">
        <f t="shared" si="111"/>
        <v>...</v>
      </c>
      <c r="N523" t="s">
        <v>30</v>
      </c>
    </row>
    <row r="524" spans="1:14" x14ac:dyDescent="0.25">
      <c r="A524" t="s">
        <v>14</v>
      </c>
      <c r="B524" t="s">
        <v>15</v>
      </c>
      <c r="C524" t="s">
        <v>36</v>
      </c>
      <c r="D524" t="s">
        <v>34</v>
      </c>
      <c r="E524" t="s">
        <v>26</v>
      </c>
      <c r="F524" t="s">
        <v>18</v>
      </c>
      <c r="G524" s="1" t="str">
        <f t="shared" si="111"/>
        <v>...</v>
      </c>
      <c r="H524" s="1" t="str">
        <f t="shared" si="111"/>
        <v>...</v>
      </c>
      <c r="I524" s="1" t="str">
        <f t="shared" si="111"/>
        <v>...</v>
      </c>
      <c r="J524" s="1" t="str">
        <f t="shared" si="111"/>
        <v>...</v>
      </c>
      <c r="K524" s="1" t="str">
        <f t="shared" si="111"/>
        <v>...</v>
      </c>
      <c r="L524" s="1" t="str">
        <f t="shared" si="111"/>
        <v>...</v>
      </c>
      <c r="M524" s="1" t="str">
        <f t="shared" si="111"/>
        <v>...</v>
      </c>
      <c r="N524" t="s">
        <v>30</v>
      </c>
    </row>
    <row r="525" spans="1:14" x14ac:dyDescent="0.25">
      <c r="A525" t="s">
        <v>14</v>
      </c>
      <c r="B525" t="s">
        <v>15</v>
      </c>
      <c r="C525" t="s">
        <v>36</v>
      </c>
      <c r="D525" t="s">
        <v>34</v>
      </c>
      <c r="E525" t="s">
        <v>26</v>
      </c>
      <c r="F525" t="s">
        <v>19</v>
      </c>
      <c r="G525" s="1" t="str">
        <f t="shared" si="111"/>
        <v>...</v>
      </c>
      <c r="H525" s="1" t="str">
        <f t="shared" si="111"/>
        <v>...</v>
      </c>
      <c r="I525" s="1" t="str">
        <f t="shared" si="111"/>
        <v>...</v>
      </c>
      <c r="J525" s="1" t="str">
        <f t="shared" si="111"/>
        <v>...</v>
      </c>
      <c r="K525" s="1" t="str">
        <f t="shared" si="111"/>
        <v>...</v>
      </c>
      <c r="L525" s="1" t="str">
        <f t="shared" si="111"/>
        <v>...</v>
      </c>
      <c r="M525" s="1" t="str">
        <f t="shared" si="111"/>
        <v>...</v>
      </c>
      <c r="N525" t="s">
        <v>30</v>
      </c>
    </row>
    <row r="526" spans="1:14" x14ac:dyDescent="0.25">
      <c r="A526" t="s">
        <v>14</v>
      </c>
      <c r="B526" t="s">
        <v>15</v>
      </c>
      <c r="C526" t="s">
        <v>36</v>
      </c>
      <c r="D526" t="s">
        <v>34</v>
      </c>
      <c r="E526" t="s">
        <v>26</v>
      </c>
      <c r="F526" t="s">
        <v>20</v>
      </c>
      <c r="G526" s="1" t="str">
        <f t="shared" ref="G526:M526" si="112">"X"</f>
        <v>X</v>
      </c>
      <c r="H526" s="1" t="str">
        <f t="shared" si="112"/>
        <v>X</v>
      </c>
      <c r="I526" s="1" t="str">
        <f t="shared" si="112"/>
        <v>X</v>
      </c>
      <c r="J526" s="1" t="str">
        <f t="shared" si="112"/>
        <v>X</v>
      </c>
      <c r="K526" s="1" t="str">
        <f t="shared" si="112"/>
        <v>X</v>
      </c>
      <c r="L526" s="1" t="str">
        <f t="shared" si="112"/>
        <v>X</v>
      </c>
      <c r="M526" s="1" t="str">
        <f t="shared" si="112"/>
        <v>X</v>
      </c>
      <c r="N526" t="s">
        <v>27</v>
      </c>
    </row>
    <row r="527" spans="1:14" x14ac:dyDescent="0.25">
      <c r="A527" t="s">
        <v>14</v>
      </c>
      <c r="B527" t="s">
        <v>15</v>
      </c>
      <c r="C527" t="s">
        <v>37</v>
      </c>
      <c r="D527" t="s">
        <v>15</v>
      </c>
      <c r="E527" t="s">
        <v>15</v>
      </c>
      <c r="F527" t="s">
        <v>15</v>
      </c>
      <c r="G527" s="1">
        <f>VALUE(51957.2467923021)</f>
        <v>51957.246792302103</v>
      </c>
      <c r="H527" s="1">
        <f>VALUE(47883.0154571716)</f>
        <v>47883.015457171598</v>
      </c>
      <c r="I527" s="1">
        <f>VALUE(3339)</f>
        <v>3339</v>
      </c>
      <c r="J527" s="1">
        <f>VALUE(4105)</f>
        <v>4105</v>
      </c>
      <c r="K527" s="1">
        <f>VALUE(5163)</f>
        <v>5163</v>
      </c>
      <c r="L527" s="1">
        <f>VALUE(6570)</f>
        <v>6570</v>
      </c>
      <c r="M527" s="1">
        <f>VALUE(8960)</f>
        <v>8960</v>
      </c>
      <c r="N527" t="s">
        <v>16</v>
      </c>
    </row>
    <row r="528" spans="1:14" x14ac:dyDescent="0.25">
      <c r="A528" t="s">
        <v>14</v>
      </c>
      <c r="B528" t="s">
        <v>15</v>
      </c>
      <c r="C528" t="s">
        <v>37</v>
      </c>
      <c r="D528" t="s">
        <v>15</v>
      </c>
      <c r="E528" t="s">
        <v>15</v>
      </c>
      <c r="F528" t="s">
        <v>17</v>
      </c>
      <c r="G528" s="1">
        <f>VALUE(8854.3687009758)</f>
        <v>8854.3687009757996</v>
      </c>
      <c r="H528" s="1">
        <f>VALUE(8571.2327825911)</f>
        <v>8571.2327825910997</v>
      </c>
      <c r="I528" s="1">
        <f>VALUE(4333)</f>
        <v>4333</v>
      </c>
      <c r="J528" s="1">
        <f>VALUE(5707)</f>
        <v>5707</v>
      </c>
      <c r="K528" s="1">
        <f>VALUE(7857)</f>
        <v>7857</v>
      </c>
      <c r="L528" s="1">
        <f>VALUE(11024)</f>
        <v>11024</v>
      </c>
      <c r="M528" s="1">
        <f>VALUE(16167)</f>
        <v>16167</v>
      </c>
      <c r="N528" t="s">
        <v>16</v>
      </c>
    </row>
    <row r="529" spans="1:14" x14ac:dyDescent="0.25">
      <c r="A529" t="s">
        <v>14</v>
      </c>
      <c r="B529" t="s">
        <v>15</v>
      </c>
      <c r="C529" t="s">
        <v>37</v>
      </c>
      <c r="D529" t="s">
        <v>15</v>
      </c>
      <c r="E529" t="s">
        <v>15</v>
      </c>
      <c r="F529" t="s">
        <v>18</v>
      </c>
      <c r="G529" s="1">
        <f>VALUE(6138.1938600149)</f>
        <v>6138.1938600148997</v>
      </c>
      <c r="H529" s="1">
        <f>VALUE(5713.2330797518)</f>
        <v>5713.2330797517998</v>
      </c>
      <c r="I529" s="1">
        <f>VALUE(3875)</f>
        <v>3875</v>
      </c>
      <c r="J529" s="1">
        <f>VALUE(4762)</f>
        <v>4762</v>
      </c>
      <c r="K529" s="1">
        <f>VALUE(5958)</f>
        <v>5958</v>
      </c>
      <c r="L529" s="1">
        <f>VALUE(7535)</f>
        <v>7535</v>
      </c>
      <c r="M529" s="1">
        <f>VALUE(9513)</f>
        <v>9513</v>
      </c>
      <c r="N529" t="s">
        <v>16</v>
      </c>
    </row>
    <row r="530" spans="1:14" x14ac:dyDescent="0.25">
      <c r="A530" t="s">
        <v>14</v>
      </c>
      <c r="B530" t="s">
        <v>15</v>
      </c>
      <c r="C530" t="s">
        <v>37</v>
      </c>
      <c r="D530" t="s">
        <v>15</v>
      </c>
      <c r="E530" t="s">
        <v>15</v>
      </c>
      <c r="F530" t="s">
        <v>19</v>
      </c>
      <c r="G530" s="1">
        <f>VALUE(6810.2140632773)</f>
        <v>6810.2140632772998</v>
      </c>
      <c r="H530" s="1">
        <f>VALUE(6372.2540271718)</f>
        <v>6372.2540271717999</v>
      </c>
      <c r="I530" s="1">
        <f>VALUE(3846)</f>
        <v>3846</v>
      </c>
      <c r="J530" s="1">
        <f>VALUE(4643)</f>
        <v>4643</v>
      </c>
      <c r="K530" s="1">
        <f>VALUE(5525)</f>
        <v>5525</v>
      </c>
      <c r="L530" s="1">
        <f>VALUE(6588)</f>
        <v>6588</v>
      </c>
      <c r="M530" s="1">
        <f>VALUE(7900)</f>
        <v>7900</v>
      </c>
      <c r="N530" t="s">
        <v>16</v>
      </c>
    </row>
    <row r="531" spans="1:14" x14ac:dyDescent="0.25">
      <c r="A531" t="s">
        <v>14</v>
      </c>
      <c r="B531" t="s">
        <v>15</v>
      </c>
      <c r="C531" t="s">
        <v>37</v>
      </c>
      <c r="D531" t="s">
        <v>15</v>
      </c>
      <c r="E531" t="s">
        <v>15</v>
      </c>
      <c r="F531" t="s">
        <v>20</v>
      </c>
      <c r="G531" s="1">
        <f>VALUE(30128.6853152787)</f>
        <v>30128.685315278701</v>
      </c>
      <c r="H531" s="1">
        <f>VALUE(27200.8471019051)</f>
        <v>27200.847101905099</v>
      </c>
      <c r="I531" s="1">
        <f>VALUE(3120)</f>
        <v>3120</v>
      </c>
      <c r="J531" s="1">
        <f>VALUE(3725)</f>
        <v>3725</v>
      </c>
      <c r="K531" s="1">
        <f>VALUE(4643)</f>
        <v>4643</v>
      </c>
      <c r="L531" s="1">
        <f>VALUE(5507)</f>
        <v>5507</v>
      </c>
      <c r="M531" s="1">
        <f>VALUE(6476)</f>
        <v>6476</v>
      </c>
      <c r="N531" t="s">
        <v>16</v>
      </c>
    </row>
    <row r="532" spans="1:14" x14ac:dyDescent="0.25">
      <c r="A532" t="s">
        <v>14</v>
      </c>
      <c r="B532" t="s">
        <v>15</v>
      </c>
      <c r="C532" t="s">
        <v>37</v>
      </c>
      <c r="D532" t="s">
        <v>15</v>
      </c>
      <c r="E532" t="s">
        <v>21</v>
      </c>
      <c r="F532" t="s">
        <v>15</v>
      </c>
      <c r="G532" s="1">
        <f>VALUE(10752.1547520683)</f>
        <v>10752.1547520683</v>
      </c>
      <c r="H532" s="1">
        <f>VALUE(9836.2247773127)</f>
        <v>9836.2247773127001</v>
      </c>
      <c r="I532" s="1">
        <f>VALUE(4762)</f>
        <v>4762</v>
      </c>
      <c r="J532" s="1">
        <f>VALUE(5850)</f>
        <v>5850</v>
      </c>
      <c r="K532" s="1">
        <f>VALUE(7514)</f>
        <v>7514</v>
      </c>
      <c r="L532" s="1">
        <f>VALUE(9833)</f>
        <v>9833</v>
      </c>
      <c r="M532" s="1">
        <f>VALUE(13952)</f>
        <v>13952</v>
      </c>
      <c r="N532" t="s">
        <v>16</v>
      </c>
    </row>
    <row r="533" spans="1:14" x14ac:dyDescent="0.25">
      <c r="A533" t="s">
        <v>14</v>
      </c>
      <c r="B533" t="s">
        <v>15</v>
      </c>
      <c r="C533" t="s">
        <v>37</v>
      </c>
      <c r="D533" t="s">
        <v>15</v>
      </c>
      <c r="E533" t="s">
        <v>21</v>
      </c>
      <c r="F533" t="s">
        <v>17</v>
      </c>
      <c r="G533" s="1">
        <f>VALUE(4880.593211233)</f>
        <v>4880.5932112330001</v>
      </c>
      <c r="H533" s="1">
        <f>VALUE(4674.5651626282)</f>
        <v>4674.5651626281997</v>
      </c>
      <c r="I533" s="1">
        <f>VALUE(5333)</f>
        <v>5333</v>
      </c>
      <c r="J533" s="1">
        <f>VALUE(6912)</f>
        <v>6912</v>
      </c>
      <c r="K533" s="1">
        <f>VALUE(9100)</f>
        <v>9100</v>
      </c>
      <c r="L533" s="1">
        <f>VALUE(12326)</f>
        <v>12326</v>
      </c>
      <c r="M533" s="1">
        <f>VALUE(18254)</f>
        <v>18254</v>
      </c>
      <c r="N533" t="s">
        <v>16</v>
      </c>
    </row>
    <row r="534" spans="1:14" x14ac:dyDescent="0.25">
      <c r="A534" t="s">
        <v>14</v>
      </c>
      <c r="B534" t="s">
        <v>15</v>
      </c>
      <c r="C534" t="s">
        <v>37</v>
      </c>
      <c r="D534" t="s">
        <v>15</v>
      </c>
      <c r="E534" t="s">
        <v>21</v>
      </c>
      <c r="F534" t="s">
        <v>18</v>
      </c>
      <c r="G534" s="1">
        <f>VALUE(1960.7226073449)</f>
        <v>1960.7226073449001</v>
      </c>
      <c r="H534" s="1">
        <f>VALUE(1755.3854620423)</f>
        <v>1755.3854620423001</v>
      </c>
      <c r="I534" s="1">
        <f>VALUE(4792)</f>
        <v>4792</v>
      </c>
      <c r="J534" s="1">
        <f>VALUE(5911)</f>
        <v>5911</v>
      </c>
      <c r="K534" s="1">
        <f>VALUE(7119)</f>
        <v>7119</v>
      </c>
      <c r="L534" s="1">
        <f>VALUE(8702)</f>
        <v>8702</v>
      </c>
      <c r="M534" s="1">
        <f>VALUE(11209)</f>
        <v>11209</v>
      </c>
      <c r="N534" t="s">
        <v>16</v>
      </c>
    </row>
    <row r="535" spans="1:14" x14ac:dyDescent="0.25">
      <c r="A535" t="s">
        <v>14</v>
      </c>
      <c r="B535" t="s">
        <v>15</v>
      </c>
      <c r="C535" t="s">
        <v>37</v>
      </c>
      <c r="D535" t="s">
        <v>15</v>
      </c>
      <c r="E535" t="s">
        <v>21</v>
      </c>
      <c r="F535" t="s">
        <v>19</v>
      </c>
      <c r="G535" s="1">
        <f>VALUE(1456.4426693724)</f>
        <v>1456.4426693723999</v>
      </c>
      <c r="H535" s="1">
        <f>VALUE(1240.9832636624)</f>
        <v>1240.9832636624001</v>
      </c>
      <c r="I535" s="1">
        <f>VALUE(4912)</f>
        <v>4912</v>
      </c>
      <c r="J535" s="1">
        <f>VALUE(5714)</f>
        <v>5714</v>
      </c>
      <c r="K535" s="1">
        <f>VALUE(6886)</f>
        <v>6886</v>
      </c>
      <c r="L535" s="1">
        <f>VALUE(7921)</f>
        <v>7921</v>
      </c>
      <c r="M535" s="1">
        <f>VALUE(9375)</f>
        <v>9375</v>
      </c>
      <c r="N535" t="s">
        <v>16</v>
      </c>
    </row>
    <row r="536" spans="1:14" x14ac:dyDescent="0.25">
      <c r="A536" t="s">
        <v>14</v>
      </c>
      <c r="B536" t="s">
        <v>15</v>
      </c>
      <c r="C536" t="s">
        <v>37</v>
      </c>
      <c r="D536" t="s">
        <v>15</v>
      </c>
      <c r="E536" t="s">
        <v>21</v>
      </c>
      <c r="F536" t="s">
        <v>20</v>
      </c>
      <c r="G536" s="1">
        <f>VALUE(2452.0385968334)</f>
        <v>2452.0385968333999</v>
      </c>
      <c r="H536" s="1">
        <f>VALUE(2162.9332216952)</f>
        <v>2162.9332216951998</v>
      </c>
      <c r="I536" s="1">
        <f>VALUE(4153)</f>
        <v>4153</v>
      </c>
      <c r="J536" s="1">
        <f>VALUE(5000)</f>
        <v>5000</v>
      </c>
      <c r="K536" s="1">
        <f>VALUE(6052)</f>
        <v>6052</v>
      </c>
      <c r="L536" s="1">
        <f>VALUE(7428)</f>
        <v>7428</v>
      </c>
      <c r="M536" s="1">
        <f>VALUE(8750)</f>
        <v>8750</v>
      </c>
      <c r="N536" t="s">
        <v>16</v>
      </c>
    </row>
    <row r="537" spans="1:14" x14ac:dyDescent="0.25">
      <c r="A537" t="s">
        <v>14</v>
      </c>
      <c r="B537" t="s">
        <v>15</v>
      </c>
      <c r="C537" t="s">
        <v>37</v>
      </c>
      <c r="D537" t="s">
        <v>15</v>
      </c>
      <c r="E537" t="s">
        <v>22</v>
      </c>
      <c r="F537" t="s">
        <v>15</v>
      </c>
      <c r="G537" s="1">
        <f>VALUE(19108.1444312849)</f>
        <v>19108.144431284902</v>
      </c>
      <c r="H537" s="1">
        <f>VALUE(17448.3770268172)</f>
        <v>17448.377026817201</v>
      </c>
      <c r="I537" s="1">
        <f>VALUE(3781)</f>
        <v>3781</v>
      </c>
      <c r="J537" s="1">
        <f>VALUE(4503)</f>
        <v>4503</v>
      </c>
      <c r="K537" s="1">
        <f>VALUE(5383)</f>
        <v>5383</v>
      </c>
      <c r="L537" s="1">
        <f>VALUE(6436)</f>
        <v>6436</v>
      </c>
      <c r="M537" s="1">
        <f>VALUE(7742)</f>
        <v>7742</v>
      </c>
      <c r="N537" t="s">
        <v>16</v>
      </c>
    </row>
    <row r="538" spans="1:14" x14ac:dyDescent="0.25">
      <c r="A538" t="s">
        <v>14</v>
      </c>
      <c r="B538" t="s">
        <v>15</v>
      </c>
      <c r="C538" t="s">
        <v>37</v>
      </c>
      <c r="D538" t="s">
        <v>15</v>
      </c>
      <c r="E538" t="s">
        <v>22</v>
      </c>
      <c r="F538" t="s">
        <v>17</v>
      </c>
      <c r="G538" s="1">
        <f>VALUE(2662.4331309441)</f>
        <v>2662.4331309441</v>
      </c>
      <c r="H538" s="1">
        <f>VALUE(2585.099872012)</f>
        <v>2585.0998720120001</v>
      </c>
      <c r="I538" s="1">
        <f>VALUE(4034)</f>
        <v>4034</v>
      </c>
      <c r="J538" s="1">
        <f>VALUE(5132)</f>
        <v>5132</v>
      </c>
      <c r="K538" s="1">
        <f>VALUE(6628)</f>
        <v>6628</v>
      </c>
      <c r="L538" s="1">
        <f>VALUE(8566)</f>
        <v>8566</v>
      </c>
      <c r="M538" s="1">
        <f>VALUE(11823)</f>
        <v>11823</v>
      </c>
      <c r="N538" t="s">
        <v>16</v>
      </c>
    </row>
    <row r="539" spans="1:14" x14ac:dyDescent="0.25">
      <c r="A539" t="s">
        <v>14</v>
      </c>
      <c r="B539" t="s">
        <v>15</v>
      </c>
      <c r="C539" t="s">
        <v>37</v>
      </c>
      <c r="D539" t="s">
        <v>15</v>
      </c>
      <c r="E539" t="s">
        <v>22</v>
      </c>
      <c r="F539" t="s">
        <v>18</v>
      </c>
      <c r="G539" s="1">
        <f>VALUE(2734.6218024377)</f>
        <v>2734.6218024376999</v>
      </c>
      <c r="H539" s="1">
        <f>VALUE(2522.4638365359)</f>
        <v>2522.4638365359001</v>
      </c>
      <c r="I539" s="4">
        <f>VALUE(3972)</f>
        <v>3972</v>
      </c>
      <c r="J539" s="1">
        <f>VALUE(4713)</f>
        <v>4713</v>
      </c>
      <c r="K539" s="1">
        <f>VALUE(5633)</f>
        <v>5633</v>
      </c>
      <c r="L539" s="1">
        <f>VALUE(7007)</f>
        <v>7007</v>
      </c>
      <c r="M539" s="1">
        <f>VALUE(8144)</f>
        <v>8144</v>
      </c>
      <c r="N539" t="s">
        <v>25</v>
      </c>
    </row>
    <row r="540" spans="1:14" x14ac:dyDescent="0.25">
      <c r="A540" t="s">
        <v>14</v>
      </c>
      <c r="B540" t="s">
        <v>15</v>
      </c>
      <c r="C540" t="s">
        <v>37</v>
      </c>
      <c r="D540" t="s">
        <v>15</v>
      </c>
      <c r="E540" t="s">
        <v>22</v>
      </c>
      <c r="F540" t="s">
        <v>19</v>
      </c>
      <c r="G540" s="1">
        <f>VALUE(3378.0497393079)</f>
        <v>3378.0497393078999</v>
      </c>
      <c r="H540" s="1">
        <f>VALUE(3163.4934606362)</f>
        <v>3163.4934606361999</v>
      </c>
      <c r="I540" s="1">
        <f>VALUE(4049)</f>
        <v>4049</v>
      </c>
      <c r="J540" s="1">
        <f>VALUE(4704)</f>
        <v>4704</v>
      </c>
      <c r="K540" s="1">
        <f>VALUE(5487)</f>
        <v>5487</v>
      </c>
      <c r="L540" s="1">
        <f>VALUE(6306)</f>
        <v>6306</v>
      </c>
      <c r="M540" s="1">
        <f>VALUE(7362)</f>
        <v>7362</v>
      </c>
      <c r="N540" t="s">
        <v>16</v>
      </c>
    </row>
    <row r="541" spans="1:14" x14ac:dyDescent="0.25">
      <c r="A541" t="s">
        <v>14</v>
      </c>
      <c r="B541" t="s">
        <v>15</v>
      </c>
      <c r="C541" t="s">
        <v>37</v>
      </c>
      <c r="D541" t="s">
        <v>15</v>
      </c>
      <c r="E541" t="s">
        <v>22</v>
      </c>
      <c r="F541" t="s">
        <v>20</v>
      </c>
      <c r="G541" s="1">
        <f>VALUE(10333.0397585952)</f>
        <v>10333.0397585952</v>
      </c>
      <c r="H541" s="1">
        <f>VALUE(9177.3198576331)</f>
        <v>9177.3198576330997</v>
      </c>
      <c r="I541" s="1">
        <f>VALUE(3576)</f>
        <v>3576</v>
      </c>
      <c r="J541" s="1">
        <f>VALUE(4286)</f>
        <v>4286</v>
      </c>
      <c r="K541" s="1">
        <f>VALUE(5159)</f>
        <v>5159</v>
      </c>
      <c r="L541" s="1">
        <f>VALUE(5898)</f>
        <v>5898</v>
      </c>
      <c r="M541" s="1">
        <f>VALUE(6848)</f>
        <v>6848</v>
      </c>
      <c r="N541" t="s">
        <v>16</v>
      </c>
    </row>
    <row r="542" spans="1:14" x14ac:dyDescent="0.25">
      <c r="A542" t="s">
        <v>14</v>
      </c>
      <c r="B542" t="s">
        <v>15</v>
      </c>
      <c r="C542" t="s">
        <v>37</v>
      </c>
      <c r="D542" t="s">
        <v>15</v>
      </c>
      <c r="E542" t="s">
        <v>23</v>
      </c>
      <c r="F542" t="s">
        <v>15</v>
      </c>
      <c r="G542" s="1">
        <f>VALUE(21279.1898075886)</f>
        <v>21279.189807588598</v>
      </c>
      <c r="H542" s="1">
        <f>VALUE(19803.8606984586)</f>
        <v>19803.8606984586</v>
      </c>
      <c r="I542" s="1">
        <f>VALUE(3023)</f>
        <v>3023</v>
      </c>
      <c r="J542" s="1">
        <f>VALUE(3556)</f>
        <v>3556</v>
      </c>
      <c r="K542" s="1">
        <f>VALUE(4333)</f>
        <v>4333</v>
      </c>
      <c r="L542" s="1">
        <f>VALUE(5184)</f>
        <v>5184</v>
      </c>
      <c r="M542" s="1">
        <f>VALUE(6041)</f>
        <v>6041</v>
      </c>
      <c r="N542" t="s">
        <v>16</v>
      </c>
    </row>
    <row r="543" spans="1:14" x14ac:dyDescent="0.25">
      <c r="A543" t="s">
        <v>14</v>
      </c>
      <c r="B543" t="s">
        <v>15</v>
      </c>
      <c r="C543" t="s">
        <v>37</v>
      </c>
      <c r="D543" t="s">
        <v>15</v>
      </c>
      <c r="E543" t="s">
        <v>23</v>
      </c>
      <c r="F543" t="s">
        <v>17</v>
      </c>
      <c r="G543" s="2">
        <f>VALUE(1048.2814431833)</f>
        <v>1048.2814431833001</v>
      </c>
      <c r="H543" s="3">
        <f>VALUE(1046.7932552187)</f>
        <v>1046.7932552187001</v>
      </c>
      <c r="I543" s="4">
        <f>VALUE(3810)</f>
        <v>3810</v>
      </c>
      <c r="J543" s="5">
        <f>VALUE(4422)</f>
        <v>4422</v>
      </c>
      <c r="K543" s="6">
        <f>VALUE(5465)</f>
        <v>5465</v>
      </c>
      <c r="L543" s="7">
        <f>VALUE(7296)</f>
        <v>7296</v>
      </c>
      <c r="M543" s="8">
        <f>VALUE(11063)</f>
        <v>11063</v>
      </c>
      <c r="N543" t="s">
        <v>24</v>
      </c>
    </row>
    <row r="544" spans="1:14" x14ac:dyDescent="0.25">
      <c r="A544" t="s">
        <v>14</v>
      </c>
      <c r="B544" t="s">
        <v>15</v>
      </c>
      <c r="C544" t="s">
        <v>37</v>
      </c>
      <c r="D544" t="s">
        <v>15</v>
      </c>
      <c r="E544" t="s">
        <v>23</v>
      </c>
      <c r="F544" t="s">
        <v>18</v>
      </c>
      <c r="G544" s="2">
        <f>VALUE(1283.423718402)</f>
        <v>1283.4237184020001</v>
      </c>
      <c r="H544" s="3">
        <f>VALUE(1271.8848539752)</f>
        <v>1271.8848539752</v>
      </c>
      <c r="I544" s="1">
        <f>VALUE(3495)</f>
        <v>3495</v>
      </c>
      <c r="J544" s="1">
        <f>VALUE(4029)</f>
        <v>4029</v>
      </c>
      <c r="K544" s="1">
        <f>VALUE(4810)</f>
        <v>4810</v>
      </c>
      <c r="L544" s="1">
        <f>VALUE(5850)</f>
        <v>5850</v>
      </c>
      <c r="M544" s="1">
        <f>VALUE(7668)</f>
        <v>7668</v>
      </c>
      <c r="N544" t="s">
        <v>25</v>
      </c>
    </row>
    <row r="545" spans="1:14" x14ac:dyDescent="0.25">
      <c r="A545" t="s">
        <v>14</v>
      </c>
      <c r="B545" t="s">
        <v>15</v>
      </c>
      <c r="C545" t="s">
        <v>37</v>
      </c>
      <c r="D545" t="s">
        <v>15</v>
      </c>
      <c r="E545" t="s">
        <v>23</v>
      </c>
      <c r="F545" t="s">
        <v>19</v>
      </c>
      <c r="G545" s="1">
        <f>VALUE(1965.9302014434)</f>
        <v>1965.9302014433999</v>
      </c>
      <c r="H545" s="1">
        <f>VALUE(1959.2711863727)</f>
        <v>1959.2711863727</v>
      </c>
      <c r="I545" s="1">
        <f>VALUE(3586)</f>
        <v>3586</v>
      </c>
      <c r="J545" s="1">
        <f>VALUE(4109)</f>
        <v>4109</v>
      </c>
      <c r="K545" s="1">
        <f>VALUE(4998)</f>
        <v>4998</v>
      </c>
      <c r="L545" s="1">
        <f>VALUE(5990)</f>
        <v>5990</v>
      </c>
      <c r="M545" s="8">
        <f>VALUE(7075)</f>
        <v>7075</v>
      </c>
      <c r="N545" t="s">
        <v>25</v>
      </c>
    </row>
    <row r="546" spans="1:14" x14ac:dyDescent="0.25">
      <c r="A546" t="s">
        <v>14</v>
      </c>
      <c r="B546" t="s">
        <v>15</v>
      </c>
      <c r="C546" t="s">
        <v>37</v>
      </c>
      <c r="D546" t="s">
        <v>15</v>
      </c>
      <c r="E546" t="s">
        <v>23</v>
      </c>
      <c r="F546" t="s">
        <v>20</v>
      </c>
      <c r="G546" s="1">
        <f>VALUE(16980.5544896101)</f>
        <v>16980.554489610098</v>
      </c>
      <c r="H546" s="1">
        <f>VALUE(15525.6536645037)</f>
        <v>15525.653664503699</v>
      </c>
      <c r="I546" s="1">
        <f>VALUE(2934)</f>
        <v>2934</v>
      </c>
      <c r="J546" s="1">
        <f>VALUE(3430)</f>
        <v>3430</v>
      </c>
      <c r="K546" s="1">
        <f>VALUE(4146)</f>
        <v>4146</v>
      </c>
      <c r="L546" s="1">
        <f>VALUE(4999)</f>
        <v>4999</v>
      </c>
      <c r="M546" s="1">
        <f>VALUE(5623)</f>
        <v>5623</v>
      </c>
      <c r="N546" t="s">
        <v>16</v>
      </c>
    </row>
    <row r="547" spans="1:14" x14ac:dyDescent="0.25">
      <c r="A547" t="s">
        <v>14</v>
      </c>
      <c r="B547" t="s">
        <v>15</v>
      </c>
      <c r="C547" t="s">
        <v>37</v>
      </c>
      <c r="D547" t="s">
        <v>15</v>
      </c>
      <c r="E547" t="s">
        <v>26</v>
      </c>
      <c r="F547" t="s">
        <v>15</v>
      </c>
      <c r="G547" s="2">
        <f>VALUE(817.7578013603)</f>
        <v>817.75780136030005</v>
      </c>
      <c r="H547" s="3">
        <f>VALUE(794.5529545831)</f>
        <v>794.55295458310002</v>
      </c>
      <c r="I547" s="1">
        <f>VALUE(3390)</f>
        <v>3390</v>
      </c>
      <c r="J547" s="1">
        <f>VALUE(5555)</f>
        <v>5555</v>
      </c>
      <c r="K547" s="1">
        <f>VALUE(8173)</f>
        <v>8173</v>
      </c>
      <c r="L547" s="1">
        <f>VALUE(13096)</f>
        <v>13096</v>
      </c>
      <c r="M547" s="1">
        <f>VALUE(19953)</f>
        <v>19953</v>
      </c>
      <c r="N547" t="s">
        <v>25</v>
      </c>
    </row>
    <row r="548" spans="1:14" x14ac:dyDescent="0.25">
      <c r="A548" t="s">
        <v>14</v>
      </c>
      <c r="B548" t="s">
        <v>15</v>
      </c>
      <c r="C548" t="s">
        <v>37</v>
      </c>
      <c r="D548" t="s">
        <v>15</v>
      </c>
      <c r="E548" t="s">
        <v>26</v>
      </c>
      <c r="F548" t="s">
        <v>17</v>
      </c>
      <c r="G548" s="2">
        <f>VALUE(263.0609156154)</f>
        <v>263.06091561540001</v>
      </c>
      <c r="H548" s="3">
        <f>VALUE(264.7744927322)</f>
        <v>264.77449273219997</v>
      </c>
      <c r="I548" s="4">
        <f>VALUE(8810)</f>
        <v>8810</v>
      </c>
      <c r="J548" s="1">
        <f>VALUE(12783)</f>
        <v>12783</v>
      </c>
      <c r="K548" s="1">
        <f>VALUE(15219)</f>
        <v>15219</v>
      </c>
      <c r="L548" s="1">
        <f>VALUE(21621)</f>
        <v>21621</v>
      </c>
      <c r="M548" s="1">
        <f>VALUE(31237)</f>
        <v>31237</v>
      </c>
      <c r="N548" t="s">
        <v>25</v>
      </c>
    </row>
    <row r="549" spans="1:14" x14ac:dyDescent="0.25">
      <c r="A549" t="s">
        <v>14</v>
      </c>
      <c r="B549" t="s">
        <v>15</v>
      </c>
      <c r="C549" t="s">
        <v>37</v>
      </c>
      <c r="D549" t="s">
        <v>15</v>
      </c>
      <c r="E549" t="s">
        <v>26</v>
      </c>
      <c r="F549" t="s">
        <v>18</v>
      </c>
      <c r="G549" s="1" t="str">
        <f t="shared" ref="G549:M550" si="113">"X"</f>
        <v>X</v>
      </c>
      <c r="H549" s="1" t="str">
        <f t="shared" si="113"/>
        <v>X</v>
      </c>
      <c r="I549" s="1" t="str">
        <f t="shared" si="113"/>
        <v>X</v>
      </c>
      <c r="J549" s="1" t="str">
        <f t="shared" si="113"/>
        <v>X</v>
      </c>
      <c r="K549" s="1" t="str">
        <f t="shared" si="113"/>
        <v>X</v>
      </c>
      <c r="L549" s="1" t="str">
        <f t="shared" si="113"/>
        <v>X</v>
      </c>
      <c r="M549" s="1" t="str">
        <f t="shared" si="113"/>
        <v>X</v>
      </c>
      <c r="N549" t="s">
        <v>27</v>
      </c>
    </row>
    <row r="550" spans="1:14" x14ac:dyDescent="0.25">
      <c r="A550" t="s">
        <v>14</v>
      </c>
      <c r="B550" t="s">
        <v>15</v>
      </c>
      <c r="C550" t="s">
        <v>37</v>
      </c>
      <c r="D550" t="s">
        <v>15</v>
      </c>
      <c r="E550" t="s">
        <v>26</v>
      </c>
      <c r="F550" t="s">
        <v>19</v>
      </c>
      <c r="G550" s="1" t="str">
        <f t="shared" si="113"/>
        <v>X</v>
      </c>
      <c r="H550" s="1" t="str">
        <f t="shared" si="113"/>
        <v>X</v>
      </c>
      <c r="I550" s="1" t="str">
        <f t="shared" si="113"/>
        <v>X</v>
      </c>
      <c r="J550" s="1" t="str">
        <f t="shared" si="113"/>
        <v>X</v>
      </c>
      <c r="K550" s="1" t="str">
        <f t="shared" si="113"/>
        <v>X</v>
      </c>
      <c r="L550" s="1" t="str">
        <f t="shared" si="113"/>
        <v>X</v>
      </c>
      <c r="M550" s="1" t="str">
        <f t="shared" si="113"/>
        <v>X</v>
      </c>
      <c r="N550" t="s">
        <v>27</v>
      </c>
    </row>
    <row r="551" spans="1:14" x14ac:dyDescent="0.25">
      <c r="A551" t="s">
        <v>14</v>
      </c>
      <c r="B551" t="s">
        <v>15</v>
      </c>
      <c r="C551" t="s">
        <v>37</v>
      </c>
      <c r="D551" t="s">
        <v>15</v>
      </c>
      <c r="E551" t="s">
        <v>26</v>
      </c>
      <c r="F551" t="s">
        <v>20</v>
      </c>
      <c r="G551" s="2">
        <f>VALUE(363.05247024)</f>
        <v>363.05247023999999</v>
      </c>
      <c r="H551" s="3">
        <f>VALUE(334.9403580731)</f>
        <v>334.94035807310001</v>
      </c>
      <c r="I551" s="1">
        <f>VALUE(3135)</f>
        <v>3135</v>
      </c>
      <c r="J551" s="1">
        <f>VALUE(3419)</f>
        <v>3419</v>
      </c>
      <c r="K551" s="1">
        <f>VALUE(5476)</f>
        <v>5476</v>
      </c>
      <c r="L551" s="1">
        <f>VALUE(6190)</f>
        <v>6190</v>
      </c>
      <c r="M551" s="1">
        <f>VALUE(7143)</f>
        <v>7143</v>
      </c>
      <c r="N551" t="s">
        <v>25</v>
      </c>
    </row>
    <row r="552" spans="1:14" x14ac:dyDescent="0.25">
      <c r="A552" t="s">
        <v>14</v>
      </c>
      <c r="B552" t="s">
        <v>15</v>
      </c>
      <c r="C552" t="s">
        <v>37</v>
      </c>
      <c r="D552" t="s">
        <v>28</v>
      </c>
      <c r="E552" t="s">
        <v>15</v>
      </c>
      <c r="F552" t="s">
        <v>15</v>
      </c>
      <c r="G552" s="1">
        <f>VALUE(20647.3874346716)</f>
        <v>20647.3874346716</v>
      </c>
      <c r="H552" s="1">
        <f>VALUE(18092.3544201491)</f>
        <v>18092.354420149099</v>
      </c>
      <c r="I552" s="1">
        <f>VALUE(3838)</f>
        <v>3838</v>
      </c>
      <c r="J552" s="1">
        <f>VALUE(4745)</f>
        <v>4745</v>
      </c>
      <c r="K552" s="1">
        <f>VALUE(5842)</f>
        <v>5842</v>
      </c>
      <c r="L552" s="1">
        <f>VALUE(7583)</f>
        <v>7583</v>
      </c>
      <c r="M552" s="1">
        <f>VALUE(10650)</f>
        <v>10650</v>
      </c>
      <c r="N552" t="s">
        <v>16</v>
      </c>
    </row>
    <row r="553" spans="1:14" x14ac:dyDescent="0.25">
      <c r="A553" t="s">
        <v>14</v>
      </c>
      <c r="B553" t="s">
        <v>15</v>
      </c>
      <c r="C553" t="s">
        <v>37</v>
      </c>
      <c r="D553" t="s">
        <v>28</v>
      </c>
      <c r="E553" t="s">
        <v>15</v>
      </c>
      <c r="F553" t="s">
        <v>17</v>
      </c>
      <c r="G553" s="1">
        <f>VALUE(5132.5111506412)</f>
        <v>5132.5111506412004</v>
      </c>
      <c r="H553" s="1">
        <f>VALUE(4922.46019318)</f>
        <v>4922.4601931799998</v>
      </c>
      <c r="I553" s="1">
        <f>VALUE(4410)</f>
        <v>4410</v>
      </c>
      <c r="J553" s="1">
        <f>VALUE(5947)</f>
        <v>5947</v>
      </c>
      <c r="K553" s="1">
        <f>VALUE(8157)</f>
        <v>8157</v>
      </c>
      <c r="L553" s="1">
        <f>VALUE(11250)</f>
        <v>11250</v>
      </c>
      <c r="M553" s="1">
        <f>VALUE(16000)</f>
        <v>16000</v>
      </c>
      <c r="N553" t="s">
        <v>16</v>
      </c>
    </row>
    <row r="554" spans="1:14" x14ac:dyDescent="0.25">
      <c r="A554" t="s">
        <v>14</v>
      </c>
      <c r="B554" t="s">
        <v>15</v>
      </c>
      <c r="C554" t="s">
        <v>37</v>
      </c>
      <c r="D554" t="s">
        <v>28</v>
      </c>
      <c r="E554" t="s">
        <v>15</v>
      </c>
      <c r="F554" t="s">
        <v>18</v>
      </c>
      <c r="G554" s="1">
        <f>VALUE(2863.3345073701)</f>
        <v>2863.3345073700998</v>
      </c>
      <c r="H554" s="1">
        <f>VALUE(2522.8554882569)</f>
        <v>2522.8554882569001</v>
      </c>
      <c r="I554" s="1">
        <f>VALUE(4200)</f>
        <v>4200</v>
      </c>
      <c r="J554" s="1">
        <f>VALUE(5158)</f>
        <v>5158</v>
      </c>
      <c r="K554" s="1">
        <f>VALUE(6473)</f>
        <v>6473</v>
      </c>
      <c r="L554" s="1">
        <f>VALUE(7855)</f>
        <v>7855</v>
      </c>
      <c r="M554" s="1">
        <f>VALUE(9938)</f>
        <v>9938</v>
      </c>
      <c r="N554" t="s">
        <v>16</v>
      </c>
    </row>
    <row r="555" spans="1:14" x14ac:dyDescent="0.25">
      <c r="A555" t="s">
        <v>14</v>
      </c>
      <c r="B555" t="s">
        <v>15</v>
      </c>
      <c r="C555" t="s">
        <v>37</v>
      </c>
      <c r="D555" t="s">
        <v>28</v>
      </c>
      <c r="E555" t="s">
        <v>15</v>
      </c>
      <c r="F555" t="s">
        <v>19</v>
      </c>
      <c r="G555" s="1">
        <f>VALUE(3024.3940474484)</f>
        <v>3024.3940474484002</v>
      </c>
      <c r="H555" s="1">
        <f>VALUE(2672.8823395031)</f>
        <v>2672.8823395031</v>
      </c>
      <c r="I555" s="1">
        <f>VALUE(4277)</f>
        <v>4277</v>
      </c>
      <c r="J555" s="1">
        <f>VALUE(5003)</f>
        <v>5003</v>
      </c>
      <c r="K555" s="1">
        <f>VALUE(5948)</f>
        <v>5948</v>
      </c>
      <c r="L555" s="1">
        <f>VALUE(7006)</f>
        <v>7006</v>
      </c>
      <c r="M555" s="1">
        <f>VALUE(8115)</f>
        <v>8115</v>
      </c>
      <c r="N555" t="s">
        <v>16</v>
      </c>
    </row>
    <row r="556" spans="1:14" x14ac:dyDescent="0.25">
      <c r="A556" t="s">
        <v>14</v>
      </c>
      <c r="B556" t="s">
        <v>15</v>
      </c>
      <c r="C556" t="s">
        <v>37</v>
      </c>
      <c r="D556" t="s">
        <v>28</v>
      </c>
      <c r="E556" t="s">
        <v>15</v>
      </c>
      <c r="F556" t="s">
        <v>20</v>
      </c>
      <c r="G556" s="1">
        <f>VALUE(9608.9503982251)</f>
        <v>9608.9503982251008</v>
      </c>
      <c r="H556" s="1">
        <f>VALUE(7955.130248711)</f>
        <v>7955.1302487109997</v>
      </c>
      <c r="I556" s="1">
        <f>VALUE(3536)</f>
        <v>3536</v>
      </c>
      <c r="J556" s="1">
        <f>VALUE(4202)</f>
        <v>4202</v>
      </c>
      <c r="K556" s="1">
        <f>VALUE(5163)</f>
        <v>5163</v>
      </c>
      <c r="L556" s="1">
        <f>VALUE(6066)</f>
        <v>6066</v>
      </c>
      <c r="M556" s="1">
        <f>VALUE(7233)</f>
        <v>7233</v>
      </c>
      <c r="N556" t="s">
        <v>16</v>
      </c>
    </row>
    <row r="557" spans="1:14" x14ac:dyDescent="0.25">
      <c r="A557" t="s">
        <v>14</v>
      </c>
      <c r="B557" t="s">
        <v>15</v>
      </c>
      <c r="C557" t="s">
        <v>37</v>
      </c>
      <c r="D557" t="s">
        <v>28</v>
      </c>
      <c r="E557" t="s">
        <v>21</v>
      </c>
      <c r="F557" t="s">
        <v>15</v>
      </c>
      <c r="G557" s="1">
        <f>VALUE(5820.0594439144)</f>
        <v>5820.0594439143997</v>
      </c>
      <c r="H557" s="1">
        <f>VALUE(5176.7400597356)</f>
        <v>5176.7400597356</v>
      </c>
      <c r="I557" s="1">
        <f>VALUE(5000)</f>
        <v>5000</v>
      </c>
      <c r="J557" s="1">
        <f>VALUE(6154)</f>
        <v>6154</v>
      </c>
      <c r="K557" s="1">
        <f>VALUE(7821)</f>
        <v>7821</v>
      </c>
      <c r="L557" s="1">
        <f>VALUE(10244)</f>
        <v>10244</v>
      </c>
      <c r="M557" s="1">
        <f>VALUE(13764)</f>
        <v>13764</v>
      </c>
      <c r="N557" t="s">
        <v>16</v>
      </c>
    </row>
    <row r="558" spans="1:14" x14ac:dyDescent="0.25">
      <c r="A558" t="s">
        <v>14</v>
      </c>
      <c r="B558" t="s">
        <v>15</v>
      </c>
      <c r="C558" t="s">
        <v>37</v>
      </c>
      <c r="D558" t="s">
        <v>28</v>
      </c>
      <c r="E558" t="s">
        <v>21</v>
      </c>
      <c r="F558" t="s">
        <v>17</v>
      </c>
      <c r="G558" s="1">
        <f>VALUE(2927.2987577782)</f>
        <v>2927.2987577782001</v>
      </c>
      <c r="H558" s="1">
        <f>VALUE(2785.6914321713)</f>
        <v>2785.6914321713002</v>
      </c>
      <c r="I558" s="1">
        <f>VALUE(5345)</f>
        <v>5345</v>
      </c>
      <c r="J558" s="1">
        <f>VALUE(7029)</f>
        <v>7029</v>
      </c>
      <c r="K558" s="1">
        <f>VALUE(9100)</f>
        <v>9100</v>
      </c>
      <c r="L558" s="1">
        <f>VALUE(11917)</f>
        <v>11917</v>
      </c>
      <c r="M558" s="1">
        <f>VALUE(16958)</f>
        <v>16958</v>
      </c>
      <c r="N558" t="s">
        <v>16</v>
      </c>
    </row>
    <row r="559" spans="1:14" x14ac:dyDescent="0.25">
      <c r="A559" t="s">
        <v>14</v>
      </c>
      <c r="B559" t="s">
        <v>15</v>
      </c>
      <c r="C559" t="s">
        <v>37</v>
      </c>
      <c r="D559" t="s">
        <v>28</v>
      </c>
      <c r="E559" t="s">
        <v>21</v>
      </c>
      <c r="F559" t="s">
        <v>18</v>
      </c>
      <c r="G559" s="2">
        <f>VALUE(957.6673754259)</f>
        <v>957.66737542589999</v>
      </c>
      <c r="H559" s="3">
        <f>VALUE(827.0397592417)</f>
        <v>827.03975924170004</v>
      </c>
      <c r="I559" s="4">
        <f>VALUE(5146)</f>
        <v>5146</v>
      </c>
      <c r="J559" s="1">
        <f>VALUE(6250)</f>
        <v>6250</v>
      </c>
      <c r="K559" s="1">
        <f>VALUE(7240)</f>
        <v>7240</v>
      </c>
      <c r="L559" s="1">
        <f>VALUE(8618)</f>
        <v>8618</v>
      </c>
      <c r="M559" s="1">
        <f>VALUE(11028)</f>
        <v>11028</v>
      </c>
      <c r="N559" t="s">
        <v>25</v>
      </c>
    </row>
    <row r="560" spans="1:14" x14ac:dyDescent="0.25">
      <c r="A560" t="s">
        <v>14</v>
      </c>
      <c r="B560" t="s">
        <v>15</v>
      </c>
      <c r="C560" t="s">
        <v>37</v>
      </c>
      <c r="D560" t="s">
        <v>28</v>
      </c>
      <c r="E560" t="s">
        <v>21</v>
      </c>
      <c r="F560" t="s">
        <v>19</v>
      </c>
      <c r="G560" s="2">
        <f>VALUE(788.7641614227)</f>
        <v>788.7641614227</v>
      </c>
      <c r="H560" s="3">
        <f>VALUE(634.1802326825)</f>
        <v>634.18023268249999</v>
      </c>
      <c r="I560" s="4">
        <f>VALUE(5095)</f>
        <v>5095</v>
      </c>
      <c r="J560" s="1">
        <f>VALUE(5920)</f>
        <v>5920</v>
      </c>
      <c r="K560" s="1">
        <f>VALUE(7151)</f>
        <v>7151</v>
      </c>
      <c r="L560" s="1">
        <f>VALUE(7929)</f>
        <v>7929</v>
      </c>
      <c r="M560" s="1">
        <f>VALUE(9331)</f>
        <v>9331</v>
      </c>
      <c r="N560" t="s">
        <v>25</v>
      </c>
    </row>
    <row r="561" spans="1:14" x14ac:dyDescent="0.25">
      <c r="A561" t="s">
        <v>14</v>
      </c>
      <c r="B561" t="s">
        <v>15</v>
      </c>
      <c r="C561" t="s">
        <v>37</v>
      </c>
      <c r="D561" t="s">
        <v>28</v>
      </c>
      <c r="E561" t="s">
        <v>21</v>
      </c>
      <c r="F561" t="s">
        <v>20</v>
      </c>
      <c r="G561" s="2">
        <f>VALUE(1146.3291492876)</f>
        <v>1146.3291492876001</v>
      </c>
      <c r="H561" s="3">
        <f>VALUE(929.8286356401)</f>
        <v>929.82863564009995</v>
      </c>
      <c r="I561" s="1">
        <f>VALUE(4559)</f>
        <v>4559</v>
      </c>
      <c r="J561" s="1">
        <f>VALUE(5302)</f>
        <v>5302</v>
      </c>
      <c r="K561" s="1">
        <f>VALUE(6397)</f>
        <v>6397</v>
      </c>
      <c r="L561" s="1">
        <f>VALUE(7835)</f>
        <v>7835</v>
      </c>
      <c r="M561" s="1">
        <f>VALUE(9000)</f>
        <v>9000</v>
      </c>
      <c r="N561" t="s">
        <v>25</v>
      </c>
    </row>
    <row r="562" spans="1:14" x14ac:dyDescent="0.25">
      <c r="A562" t="s">
        <v>14</v>
      </c>
      <c r="B562" t="s">
        <v>15</v>
      </c>
      <c r="C562" t="s">
        <v>37</v>
      </c>
      <c r="D562" t="s">
        <v>28</v>
      </c>
      <c r="E562" t="s">
        <v>22</v>
      </c>
      <c r="F562" t="s">
        <v>15</v>
      </c>
      <c r="G562" s="1">
        <f>VALUE(10962.5670691886)</f>
        <v>10962.567069188601</v>
      </c>
      <c r="H562" s="1">
        <f>VALUE(9549.2232198512)</f>
        <v>9549.2232198511992</v>
      </c>
      <c r="I562" s="1">
        <f>VALUE(3928)</f>
        <v>3928</v>
      </c>
      <c r="J562" s="1">
        <f>VALUE(4713)</f>
        <v>4713</v>
      </c>
      <c r="K562" s="1">
        <f>VALUE(5550)</f>
        <v>5550</v>
      </c>
      <c r="L562" s="1">
        <f>VALUE(6608)</f>
        <v>6608</v>
      </c>
      <c r="M562" s="1">
        <f>VALUE(8001)</f>
        <v>8001</v>
      </c>
      <c r="N562" t="s">
        <v>16</v>
      </c>
    </row>
    <row r="563" spans="1:14" x14ac:dyDescent="0.25">
      <c r="A563" t="s">
        <v>14</v>
      </c>
      <c r="B563" t="s">
        <v>15</v>
      </c>
      <c r="C563" t="s">
        <v>37</v>
      </c>
      <c r="D563" t="s">
        <v>28</v>
      </c>
      <c r="E563" t="s">
        <v>22</v>
      </c>
      <c r="F563" t="s">
        <v>17</v>
      </c>
      <c r="G563" s="1">
        <f>VALUE(1789.8399172484)</f>
        <v>1789.8399172484001</v>
      </c>
      <c r="H563" s="1">
        <f>VALUE(1712.1303023372)</f>
        <v>1712.1303023372</v>
      </c>
      <c r="I563" s="1">
        <f>VALUE(4000)</f>
        <v>4000</v>
      </c>
      <c r="J563" s="1">
        <f>VALUE(5098)</f>
        <v>5098</v>
      </c>
      <c r="K563" s="1">
        <f>VALUE(6707)</f>
        <v>6707</v>
      </c>
      <c r="L563" s="1">
        <f>VALUE(8476)</f>
        <v>8476</v>
      </c>
      <c r="M563" s="1">
        <f>VALUE(11823)</f>
        <v>11823</v>
      </c>
      <c r="N563" t="s">
        <v>16</v>
      </c>
    </row>
    <row r="564" spans="1:14" x14ac:dyDescent="0.25">
      <c r="A564" t="s">
        <v>14</v>
      </c>
      <c r="B564" t="s">
        <v>15</v>
      </c>
      <c r="C564" t="s">
        <v>37</v>
      </c>
      <c r="D564" t="s">
        <v>28</v>
      </c>
      <c r="E564" t="s">
        <v>22</v>
      </c>
      <c r="F564" t="s">
        <v>18</v>
      </c>
      <c r="G564" s="2">
        <f>VALUE(1540.2936986133)</f>
        <v>1540.2936986133</v>
      </c>
      <c r="H564" s="3">
        <f>VALUE(1342.26284263)</f>
        <v>1342.26284263</v>
      </c>
      <c r="I564" s="1">
        <f>VALUE(4112)</f>
        <v>4112</v>
      </c>
      <c r="J564" s="1">
        <f>VALUE(4875)</f>
        <v>4875</v>
      </c>
      <c r="K564" s="1">
        <f>VALUE(5741)</f>
        <v>5741</v>
      </c>
      <c r="L564" s="1">
        <f>VALUE(7160)</f>
        <v>7160</v>
      </c>
      <c r="M564" s="1">
        <f>VALUE(8316)</f>
        <v>8316</v>
      </c>
      <c r="N564" t="s">
        <v>25</v>
      </c>
    </row>
    <row r="565" spans="1:14" x14ac:dyDescent="0.25">
      <c r="A565" t="s">
        <v>14</v>
      </c>
      <c r="B565" t="s">
        <v>15</v>
      </c>
      <c r="C565" t="s">
        <v>37</v>
      </c>
      <c r="D565" t="s">
        <v>28</v>
      </c>
      <c r="E565" t="s">
        <v>22</v>
      </c>
      <c r="F565" t="s">
        <v>19</v>
      </c>
      <c r="G565" s="1">
        <f>VALUE(1893.8498780859)</f>
        <v>1893.8498780858999</v>
      </c>
      <c r="H565" s="1">
        <f>VALUE(1711.0765608437)</f>
        <v>1711.0765608437</v>
      </c>
      <c r="I565" s="1">
        <f>VALUE(4263)</f>
        <v>4263</v>
      </c>
      <c r="J565" s="1">
        <f>VALUE(4928)</f>
        <v>4928</v>
      </c>
      <c r="K565" s="1">
        <f>VALUE(5666)</f>
        <v>5666</v>
      </c>
      <c r="L565" s="1">
        <f>VALUE(6475)</f>
        <v>6475</v>
      </c>
      <c r="M565" s="1">
        <f>VALUE(7469)</f>
        <v>7469</v>
      </c>
      <c r="N565" t="s">
        <v>16</v>
      </c>
    </row>
    <row r="566" spans="1:14" x14ac:dyDescent="0.25">
      <c r="A566" t="s">
        <v>14</v>
      </c>
      <c r="B566" t="s">
        <v>15</v>
      </c>
      <c r="C566" t="s">
        <v>37</v>
      </c>
      <c r="D566" t="s">
        <v>28</v>
      </c>
      <c r="E566" t="s">
        <v>22</v>
      </c>
      <c r="F566" t="s">
        <v>20</v>
      </c>
      <c r="G566" s="1">
        <f>VALUE(5738.583575241)</f>
        <v>5738.5835752410003</v>
      </c>
      <c r="H566" s="1">
        <f>VALUE(4783.7535140403)</f>
        <v>4783.7535140402997</v>
      </c>
      <c r="I566" s="1">
        <f>VALUE(3783)</f>
        <v>3783</v>
      </c>
      <c r="J566" s="1">
        <f>VALUE(4470)</f>
        <v>4470</v>
      </c>
      <c r="K566" s="1">
        <f>VALUE(5323)</f>
        <v>5323</v>
      </c>
      <c r="L566" s="1">
        <f>VALUE(6088)</f>
        <v>6088</v>
      </c>
      <c r="M566" s="1">
        <f>VALUE(7011)</f>
        <v>7011</v>
      </c>
      <c r="N566" t="s">
        <v>16</v>
      </c>
    </row>
    <row r="567" spans="1:14" x14ac:dyDescent="0.25">
      <c r="A567" t="s">
        <v>14</v>
      </c>
      <c r="B567" t="s">
        <v>15</v>
      </c>
      <c r="C567" t="s">
        <v>37</v>
      </c>
      <c r="D567" t="s">
        <v>28</v>
      </c>
      <c r="E567" t="s">
        <v>23</v>
      </c>
      <c r="F567" t="s">
        <v>15</v>
      </c>
      <c r="G567" s="1">
        <f>VALUE(3409.3374076471)</f>
        <v>3409.3374076471</v>
      </c>
      <c r="H567" s="1">
        <f>VALUE(2910.1549110687)</f>
        <v>2910.1549110687001</v>
      </c>
      <c r="I567" s="1">
        <f>VALUE(3250)</f>
        <v>3250</v>
      </c>
      <c r="J567" s="1">
        <f>VALUE(3743)</f>
        <v>3743</v>
      </c>
      <c r="K567" s="1">
        <f>VALUE(4531)</f>
        <v>4531</v>
      </c>
      <c r="L567" s="1">
        <f>VALUE(5417)</f>
        <v>5417</v>
      </c>
      <c r="M567" s="8">
        <f>VALUE(7074)</f>
        <v>7074</v>
      </c>
      <c r="N567" t="s">
        <v>25</v>
      </c>
    </row>
    <row r="568" spans="1:14" x14ac:dyDescent="0.25">
      <c r="A568" t="s">
        <v>14</v>
      </c>
      <c r="B568" t="s">
        <v>15</v>
      </c>
      <c r="C568" t="s">
        <v>37</v>
      </c>
      <c r="D568" t="s">
        <v>28</v>
      </c>
      <c r="E568" t="s">
        <v>23</v>
      </c>
      <c r="F568" t="s">
        <v>17</v>
      </c>
      <c r="G568" s="2">
        <f>VALUE(241.3161354479)</f>
        <v>241.3161354479</v>
      </c>
      <c r="H568" s="3">
        <f>VALUE(244.7573931944)</f>
        <v>244.75739319440001</v>
      </c>
      <c r="I568" s="4">
        <f>VALUE(3333)</f>
        <v>3333</v>
      </c>
      <c r="J568" s="5">
        <f>VALUE(3867)</f>
        <v>3867</v>
      </c>
      <c r="K568" s="6">
        <f>VALUE(4863)</f>
        <v>4863</v>
      </c>
      <c r="L568" s="7">
        <f>VALUE(9882)</f>
        <v>9882</v>
      </c>
      <c r="M568" s="1">
        <f>VALUE(12149)</f>
        <v>12149</v>
      </c>
      <c r="N568" t="s">
        <v>25</v>
      </c>
    </row>
    <row r="569" spans="1:14" x14ac:dyDescent="0.25">
      <c r="A569" t="s">
        <v>14</v>
      </c>
      <c r="B569" t="s">
        <v>15</v>
      </c>
      <c r="C569" t="s">
        <v>37</v>
      </c>
      <c r="D569" t="s">
        <v>28</v>
      </c>
      <c r="E569" t="s">
        <v>23</v>
      </c>
      <c r="F569" t="s">
        <v>18</v>
      </c>
      <c r="G569" s="2">
        <f>VALUE(249.4052700261)</f>
        <v>249.4052700261</v>
      </c>
      <c r="H569" s="3">
        <f>VALUE(235.3829371901)</f>
        <v>235.38293719009999</v>
      </c>
      <c r="I569" s="1">
        <f>VALUE(3902)</f>
        <v>3902</v>
      </c>
      <c r="J569" s="1">
        <f>VALUE(4442)</f>
        <v>4442</v>
      </c>
      <c r="K569" s="1">
        <f>VALUE(5575)</f>
        <v>5575</v>
      </c>
      <c r="L569" s="1">
        <f>VALUE(7286)</f>
        <v>7286</v>
      </c>
      <c r="M569" s="1">
        <f>VALUE(10013)</f>
        <v>10013</v>
      </c>
      <c r="N569" t="s">
        <v>25</v>
      </c>
    </row>
    <row r="570" spans="1:14" x14ac:dyDescent="0.25">
      <c r="A570" t="s">
        <v>14</v>
      </c>
      <c r="B570" t="s">
        <v>15</v>
      </c>
      <c r="C570" t="s">
        <v>37</v>
      </c>
      <c r="D570" t="s">
        <v>28</v>
      </c>
      <c r="E570" t="s">
        <v>23</v>
      </c>
      <c r="F570" t="s">
        <v>19</v>
      </c>
      <c r="G570" s="2">
        <f>VALUE(334.8549734493)</f>
        <v>334.85497344930002</v>
      </c>
      <c r="H570" s="3">
        <f>VALUE(322.0453859753)</f>
        <v>322.04538597530001</v>
      </c>
      <c r="I570" s="4">
        <f>VALUE(3466)</f>
        <v>3466</v>
      </c>
      <c r="J570" s="5">
        <f>VALUE(4643)</f>
        <v>4643</v>
      </c>
      <c r="K570" s="1">
        <f>VALUE(5796)</f>
        <v>5796</v>
      </c>
      <c r="L570" s="1">
        <f>VALUE(6667)</f>
        <v>6667</v>
      </c>
      <c r="M570" s="8">
        <f>VALUE(8332)</f>
        <v>8332</v>
      </c>
      <c r="N570" t="s">
        <v>25</v>
      </c>
    </row>
    <row r="571" spans="1:14" x14ac:dyDescent="0.25">
      <c r="A571" t="s">
        <v>14</v>
      </c>
      <c r="B571" t="s">
        <v>15</v>
      </c>
      <c r="C571" t="s">
        <v>37</v>
      </c>
      <c r="D571" t="s">
        <v>28</v>
      </c>
      <c r="E571" t="s">
        <v>23</v>
      </c>
      <c r="F571" t="s">
        <v>20</v>
      </c>
      <c r="G571" s="1">
        <f>VALUE(2583.7610287238)</f>
        <v>2583.7610287237999</v>
      </c>
      <c r="H571" s="1">
        <f>VALUE(2107.9691947089)</f>
        <v>2107.9691947089</v>
      </c>
      <c r="I571" s="1">
        <f>VALUE(3192)</f>
        <v>3192</v>
      </c>
      <c r="J571" s="1">
        <f>VALUE(3615)</f>
        <v>3615</v>
      </c>
      <c r="K571" s="1">
        <f>VALUE(4327)</f>
        <v>4327</v>
      </c>
      <c r="L571" s="1">
        <f>VALUE(5098)</f>
        <v>5098</v>
      </c>
      <c r="M571" s="1">
        <f>VALUE(5809)</f>
        <v>5809</v>
      </c>
      <c r="N571" t="s">
        <v>16</v>
      </c>
    </row>
    <row r="572" spans="1:14" x14ac:dyDescent="0.25">
      <c r="A572" t="s">
        <v>14</v>
      </c>
      <c r="B572" t="s">
        <v>15</v>
      </c>
      <c r="C572" t="s">
        <v>37</v>
      </c>
      <c r="D572" t="s">
        <v>28</v>
      </c>
      <c r="E572" t="s">
        <v>26</v>
      </c>
      <c r="F572" t="s">
        <v>15</v>
      </c>
      <c r="G572" s="2">
        <f>VALUE(455.4235139215)</f>
        <v>455.42351392149999</v>
      </c>
      <c r="H572" s="3">
        <f>VALUE(456.2362294936)</f>
        <v>456.23622949359998</v>
      </c>
      <c r="I572" s="1">
        <f>VALUE(5872)</f>
        <v>5872</v>
      </c>
      <c r="J572" s="1">
        <f>VALUE(6349)</f>
        <v>6349</v>
      </c>
      <c r="K572" s="1">
        <f>VALUE(9841)</f>
        <v>9841</v>
      </c>
      <c r="L572" s="1">
        <f>VALUE(13571)</f>
        <v>13571</v>
      </c>
      <c r="M572" s="1">
        <f>VALUE(20254)</f>
        <v>20254</v>
      </c>
      <c r="N572" t="s">
        <v>25</v>
      </c>
    </row>
    <row r="573" spans="1:14" x14ac:dyDescent="0.25">
      <c r="A573" t="s">
        <v>14</v>
      </c>
      <c r="B573" t="s">
        <v>15</v>
      </c>
      <c r="C573" t="s">
        <v>37</v>
      </c>
      <c r="D573" t="s">
        <v>28</v>
      </c>
      <c r="E573" t="s">
        <v>26</v>
      </c>
      <c r="F573" t="s">
        <v>17</v>
      </c>
      <c r="G573" s="2">
        <f>VALUE(174.0563401667)</f>
        <v>174.05634016670001</v>
      </c>
      <c r="H573" s="3">
        <f>VALUE(179.8810654771)</f>
        <v>179.88106547710001</v>
      </c>
      <c r="I573" s="4">
        <f>VALUE(10555)</f>
        <v>10555</v>
      </c>
      <c r="J573" s="1">
        <f>VALUE(13096)</f>
        <v>13096</v>
      </c>
      <c r="K573" s="1">
        <f>VALUE(15310)</f>
        <v>15310</v>
      </c>
      <c r="L573" s="1">
        <f>VALUE(21131)</f>
        <v>21131</v>
      </c>
      <c r="M573" s="1">
        <f>VALUE(31977)</f>
        <v>31977</v>
      </c>
      <c r="N573" t="s">
        <v>25</v>
      </c>
    </row>
    <row r="574" spans="1:14" x14ac:dyDescent="0.25">
      <c r="A574" t="s">
        <v>14</v>
      </c>
      <c r="B574" t="s">
        <v>15</v>
      </c>
      <c r="C574" t="s">
        <v>37</v>
      </c>
      <c r="D574" t="s">
        <v>28</v>
      </c>
      <c r="E574" t="s">
        <v>26</v>
      </c>
      <c r="F574" t="s">
        <v>18</v>
      </c>
      <c r="G574" s="1" t="str">
        <f t="shared" ref="G574:M575" si="114">"X"</f>
        <v>X</v>
      </c>
      <c r="H574" s="1" t="str">
        <f t="shared" si="114"/>
        <v>X</v>
      </c>
      <c r="I574" s="1" t="str">
        <f t="shared" si="114"/>
        <v>X</v>
      </c>
      <c r="J574" s="1" t="str">
        <f t="shared" si="114"/>
        <v>X</v>
      </c>
      <c r="K574" s="1" t="str">
        <f t="shared" si="114"/>
        <v>X</v>
      </c>
      <c r="L574" s="1" t="str">
        <f t="shared" si="114"/>
        <v>X</v>
      </c>
      <c r="M574" s="1" t="str">
        <f t="shared" si="114"/>
        <v>X</v>
      </c>
      <c r="N574" t="s">
        <v>27</v>
      </c>
    </row>
    <row r="575" spans="1:14" x14ac:dyDescent="0.25">
      <c r="A575" t="s">
        <v>14</v>
      </c>
      <c r="B575" t="s">
        <v>15</v>
      </c>
      <c r="C575" t="s">
        <v>37</v>
      </c>
      <c r="D575" t="s">
        <v>28</v>
      </c>
      <c r="E575" t="s">
        <v>26</v>
      </c>
      <c r="F575" t="s">
        <v>19</v>
      </c>
      <c r="G575" s="1" t="str">
        <f t="shared" si="114"/>
        <v>X</v>
      </c>
      <c r="H575" s="1" t="str">
        <f t="shared" si="114"/>
        <v>X</v>
      </c>
      <c r="I575" s="1" t="str">
        <f t="shared" si="114"/>
        <v>X</v>
      </c>
      <c r="J575" s="1" t="str">
        <f t="shared" si="114"/>
        <v>X</v>
      </c>
      <c r="K575" s="1" t="str">
        <f t="shared" si="114"/>
        <v>X</v>
      </c>
      <c r="L575" s="1" t="str">
        <f t="shared" si="114"/>
        <v>X</v>
      </c>
      <c r="M575" s="1" t="str">
        <f t="shared" si="114"/>
        <v>X</v>
      </c>
      <c r="N575" t="s">
        <v>27</v>
      </c>
    </row>
    <row r="576" spans="1:14" x14ac:dyDescent="0.25">
      <c r="A576" t="s">
        <v>14</v>
      </c>
      <c r="B576" t="s">
        <v>15</v>
      </c>
      <c r="C576" t="s">
        <v>37</v>
      </c>
      <c r="D576" t="s">
        <v>28</v>
      </c>
      <c r="E576" t="s">
        <v>26</v>
      </c>
      <c r="F576" t="s">
        <v>20</v>
      </c>
      <c r="G576" s="2">
        <f>VALUE(140.2766449727)</f>
        <v>140.27664497270001</v>
      </c>
      <c r="H576" s="3">
        <f>VALUE(133.5789043217)</f>
        <v>133.57890432170001</v>
      </c>
      <c r="I576" s="4">
        <f>VALUE(4444)</f>
        <v>4444</v>
      </c>
      <c r="J576" s="1">
        <f>VALUE(5872)</f>
        <v>5872</v>
      </c>
      <c r="K576" s="1">
        <f>VALUE(6111)</f>
        <v>6111</v>
      </c>
      <c r="L576" s="1">
        <f>VALUE(6429)</f>
        <v>6429</v>
      </c>
      <c r="M576" s="1">
        <f>VALUE(7381)</f>
        <v>7381</v>
      </c>
      <c r="N576" t="s">
        <v>25</v>
      </c>
    </row>
    <row r="577" spans="1:14" x14ac:dyDescent="0.25">
      <c r="A577" t="s">
        <v>14</v>
      </c>
      <c r="B577" t="s">
        <v>15</v>
      </c>
      <c r="C577" t="s">
        <v>37</v>
      </c>
      <c r="D577" t="s">
        <v>29</v>
      </c>
      <c r="E577" t="s">
        <v>15</v>
      </c>
      <c r="F577" t="s">
        <v>15</v>
      </c>
      <c r="G577" s="1">
        <f>VALUE(8802.6572523077)</f>
        <v>8802.6572523076993</v>
      </c>
      <c r="H577" s="1">
        <f>VALUE(8198.3563426529)</f>
        <v>8198.3563426528999</v>
      </c>
      <c r="I577" s="1">
        <f>VALUE(3393)</f>
        <v>3393</v>
      </c>
      <c r="J577" s="1">
        <f>VALUE(4027)</f>
        <v>4027</v>
      </c>
      <c r="K577" s="1">
        <f>VALUE(4972)</f>
        <v>4972</v>
      </c>
      <c r="L577" s="1">
        <f>VALUE(6128)</f>
        <v>6128</v>
      </c>
      <c r="M577" s="1">
        <f>VALUE(8520)</f>
        <v>8520</v>
      </c>
      <c r="N577" t="s">
        <v>16</v>
      </c>
    </row>
    <row r="578" spans="1:14" x14ac:dyDescent="0.25">
      <c r="A578" t="s">
        <v>14</v>
      </c>
      <c r="B578" t="s">
        <v>15</v>
      </c>
      <c r="C578" t="s">
        <v>37</v>
      </c>
      <c r="D578" t="s">
        <v>29</v>
      </c>
      <c r="E578" t="s">
        <v>15</v>
      </c>
      <c r="F578" t="s">
        <v>17</v>
      </c>
      <c r="G578" s="2">
        <f>VALUE(1298.1123350126)</f>
        <v>1298.1123350125999</v>
      </c>
      <c r="H578" s="3">
        <f>VALUE(1290.2142161187)</f>
        <v>1290.2142161187001</v>
      </c>
      <c r="I578" s="1">
        <f>VALUE(4201)</f>
        <v>4201</v>
      </c>
      <c r="J578" s="5">
        <f>VALUE(5357)</f>
        <v>5357</v>
      </c>
      <c r="K578" s="6">
        <f>VALUE(7195)</f>
        <v>7195</v>
      </c>
      <c r="L578" s="7">
        <f>VALUE(10698)</f>
        <v>10698</v>
      </c>
      <c r="M578" s="8">
        <f>VALUE(17753)</f>
        <v>17753</v>
      </c>
      <c r="N578" t="s">
        <v>25</v>
      </c>
    </row>
    <row r="579" spans="1:14" x14ac:dyDescent="0.25">
      <c r="A579" t="s">
        <v>14</v>
      </c>
      <c r="B579" t="s">
        <v>15</v>
      </c>
      <c r="C579" t="s">
        <v>37</v>
      </c>
      <c r="D579" t="s">
        <v>29</v>
      </c>
      <c r="E579" t="s">
        <v>15</v>
      </c>
      <c r="F579" t="s">
        <v>18</v>
      </c>
      <c r="G579" s="2">
        <f>VALUE(1098.5865335998)</f>
        <v>1098.5865335998001</v>
      </c>
      <c r="H579" s="3">
        <f>VALUE(1087.5975887608)</f>
        <v>1087.5975887607999</v>
      </c>
      <c r="I579" s="4">
        <f>VALUE(3575)</f>
        <v>3575</v>
      </c>
      <c r="J579" s="5">
        <f>VALUE(4230)</f>
        <v>4230</v>
      </c>
      <c r="K579" s="6">
        <f>VALUE(5170)</f>
        <v>5170</v>
      </c>
      <c r="L579" s="7">
        <f>VALUE(7227)</f>
        <v>7227</v>
      </c>
      <c r="M579" s="8">
        <f>VALUE(9562)</f>
        <v>9562</v>
      </c>
      <c r="N579" t="s">
        <v>24</v>
      </c>
    </row>
    <row r="580" spans="1:14" x14ac:dyDescent="0.25">
      <c r="A580" t="s">
        <v>14</v>
      </c>
      <c r="B580" t="s">
        <v>15</v>
      </c>
      <c r="C580" t="s">
        <v>37</v>
      </c>
      <c r="D580" t="s">
        <v>29</v>
      </c>
      <c r="E580" t="s">
        <v>15</v>
      </c>
      <c r="F580" t="s">
        <v>19</v>
      </c>
      <c r="G580" s="2">
        <f>VALUE(1099.8619989979)</f>
        <v>1099.8619989978999</v>
      </c>
      <c r="H580" s="3">
        <f>VALUE(1066.6940917803)</f>
        <v>1066.6940917802999</v>
      </c>
      <c r="I580" s="1">
        <f>VALUE(3755)</f>
        <v>3755</v>
      </c>
      <c r="J580" s="1">
        <f>VALUE(4510)</f>
        <v>4510</v>
      </c>
      <c r="K580" s="1">
        <f>VALUE(5354)</f>
        <v>5354</v>
      </c>
      <c r="L580" s="1">
        <f>VALUE(6224)</f>
        <v>6224</v>
      </c>
      <c r="M580" s="1">
        <f>VALUE(7713)</f>
        <v>7713</v>
      </c>
      <c r="N580" t="s">
        <v>25</v>
      </c>
    </row>
    <row r="581" spans="1:14" x14ac:dyDescent="0.25">
      <c r="A581" t="s">
        <v>14</v>
      </c>
      <c r="B581" t="s">
        <v>15</v>
      </c>
      <c r="C581" t="s">
        <v>37</v>
      </c>
      <c r="D581" t="s">
        <v>29</v>
      </c>
      <c r="E581" t="s">
        <v>15</v>
      </c>
      <c r="F581" t="s">
        <v>20</v>
      </c>
      <c r="G581" s="1">
        <f>VALUE(5306.0963846974)</f>
        <v>5306.0963846974</v>
      </c>
      <c r="H581" s="1">
        <f>VALUE(4753.8504459931)</f>
        <v>4753.8504459931</v>
      </c>
      <c r="I581" s="1">
        <f>VALUE(3238)</f>
        <v>3238</v>
      </c>
      <c r="J581" s="1">
        <f>VALUE(3756)</f>
        <v>3756</v>
      </c>
      <c r="K581" s="1">
        <f>VALUE(4594)</f>
        <v>4594</v>
      </c>
      <c r="L581" s="1">
        <f>VALUE(5407)</f>
        <v>5407</v>
      </c>
      <c r="M581" s="1">
        <f>VALUE(6175)</f>
        <v>6175</v>
      </c>
      <c r="N581" t="s">
        <v>16</v>
      </c>
    </row>
    <row r="582" spans="1:14" x14ac:dyDescent="0.25">
      <c r="A582" t="s">
        <v>14</v>
      </c>
      <c r="B582" t="s">
        <v>15</v>
      </c>
      <c r="C582" t="s">
        <v>37</v>
      </c>
      <c r="D582" t="s">
        <v>29</v>
      </c>
      <c r="E582" t="s">
        <v>21</v>
      </c>
      <c r="F582" t="s">
        <v>15</v>
      </c>
      <c r="G582" s="1">
        <f>VALUE(1279.6219080446)</f>
        <v>1279.6219080446001</v>
      </c>
      <c r="H582" s="1">
        <f>VALUE(1213.2509031752)</f>
        <v>1213.2509031751999</v>
      </c>
      <c r="I582" s="1">
        <f>VALUE(4872)</f>
        <v>4872</v>
      </c>
      <c r="J582" s="1">
        <f>VALUE(6211)</f>
        <v>6211</v>
      </c>
      <c r="K582" s="1">
        <f>VALUE(8132)</f>
        <v>8132</v>
      </c>
      <c r="L582" s="1">
        <f>VALUE(10698)</f>
        <v>10698</v>
      </c>
      <c r="M582" s="8">
        <f>VALUE(16200)</f>
        <v>16200</v>
      </c>
      <c r="N582" t="s">
        <v>25</v>
      </c>
    </row>
    <row r="583" spans="1:14" x14ac:dyDescent="0.25">
      <c r="A583" t="s">
        <v>14</v>
      </c>
      <c r="B583" t="s">
        <v>15</v>
      </c>
      <c r="C583" t="s">
        <v>37</v>
      </c>
      <c r="D583" t="s">
        <v>29</v>
      </c>
      <c r="E583" t="s">
        <v>21</v>
      </c>
      <c r="F583" t="s">
        <v>17</v>
      </c>
      <c r="G583" s="2">
        <f>VALUE(568.6992632178)</f>
        <v>568.69926321779997</v>
      </c>
      <c r="H583" s="3">
        <f>VALUE(562.647820353)</f>
        <v>562.64782035300004</v>
      </c>
      <c r="I583" s="4">
        <f>VALUE(5456)</f>
        <v>5456</v>
      </c>
      <c r="J583" s="5">
        <f>VALUE(7222)</f>
        <v>7222</v>
      </c>
      <c r="K583" s="1">
        <f>VALUE(10000)</f>
        <v>10000</v>
      </c>
      <c r="L583" s="7">
        <f>VALUE(14286)</f>
        <v>14286</v>
      </c>
      <c r="M583" s="8">
        <f>VALUE(21975)</f>
        <v>21975</v>
      </c>
      <c r="N583" t="s">
        <v>25</v>
      </c>
    </row>
    <row r="584" spans="1:14" x14ac:dyDescent="0.25">
      <c r="A584" t="s">
        <v>14</v>
      </c>
      <c r="B584" t="s">
        <v>15</v>
      </c>
      <c r="C584" t="s">
        <v>37</v>
      </c>
      <c r="D584" t="s">
        <v>29</v>
      </c>
      <c r="E584" t="s">
        <v>21</v>
      </c>
      <c r="F584" t="s">
        <v>18</v>
      </c>
      <c r="G584" s="2">
        <f>VALUE(265.8858656403)</f>
        <v>265.88586564029998</v>
      </c>
      <c r="H584" s="3">
        <f>VALUE(253.2902627783)</f>
        <v>253.29026277829999</v>
      </c>
      <c r="I584" s="4">
        <f>VALUE(4990)</f>
        <v>4990</v>
      </c>
      <c r="J584" s="1">
        <f>VALUE(6254)</f>
        <v>6254</v>
      </c>
      <c r="K584" s="1">
        <f>VALUE(8129)</f>
        <v>8129</v>
      </c>
      <c r="L584" s="7">
        <f>VALUE(9736)</f>
        <v>9736</v>
      </c>
      <c r="M584" s="1">
        <f>VALUE(12866)</f>
        <v>12866</v>
      </c>
      <c r="N584" t="s">
        <v>25</v>
      </c>
    </row>
    <row r="585" spans="1:14" x14ac:dyDescent="0.25">
      <c r="A585" t="s">
        <v>14</v>
      </c>
      <c r="B585" t="s">
        <v>15</v>
      </c>
      <c r="C585" t="s">
        <v>37</v>
      </c>
      <c r="D585" t="s">
        <v>29</v>
      </c>
      <c r="E585" t="s">
        <v>21</v>
      </c>
      <c r="F585" t="s">
        <v>19</v>
      </c>
      <c r="G585" s="2">
        <f>VALUE(168.2717936715)</f>
        <v>168.27179367150001</v>
      </c>
      <c r="H585" s="3">
        <f>VALUE(152.8267865441)</f>
        <v>152.8267865441</v>
      </c>
      <c r="I585" s="4">
        <f>VALUE(4633)</f>
        <v>4633</v>
      </c>
      <c r="J585" s="5">
        <f>VALUE(5655)</f>
        <v>5655</v>
      </c>
      <c r="K585" s="6">
        <f>VALUE(7487)</f>
        <v>7487</v>
      </c>
      <c r="L585" s="1">
        <f>VALUE(8527)</f>
        <v>8527</v>
      </c>
      <c r="M585" s="1">
        <f>VALUE(10468)</f>
        <v>10468</v>
      </c>
      <c r="N585" t="s">
        <v>25</v>
      </c>
    </row>
    <row r="586" spans="1:14" x14ac:dyDescent="0.25">
      <c r="A586" t="s">
        <v>14</v>
      </c>
      <c r="B586" t="s">
        <v>15</v>
      </c>
      <c r="C586" t="s">
        <v>37</v>
      </c>
      <c r="D586" t="s">
        <v>29</v>
      </c>
      <c r="E586" t="s">
        <v>21</v>
      </c>
      <c r="F586" t="s">
        <v>20</v>
      </c>
      <c r="G586" s="2">
        <f>VALUE(276.764985515)</f>
        <v>276.76498551499998</v>
      </c>
      <c r="H586" s="3">
        <f>VALUE(244.4860334998)</f>
        <v>244.48603349979999</v>
      </c>
      <c r="I586" s="1">
        <f>VALUE(4564)</f>
        <v>4564</v>
      </c>
      <c r="J586" s="1">
        <f>VALUE(5287)</f>
        <v>5287</v>
      </c>
      <c r="K586" s="1">
        <f>VALUE(6627)</f>
        <v>6627</v>
      </c>
      <c r="L586" s="7">
        <f>VALUE(8263)</f>
        <v>8263</v>
      </c>
      <c r="M586" s="1">
        <f>VALUE(9653)</f>
        <v>9653</v>
      </c>
      <c r="N586" t="s">
        <v>25</v>
      </c>
    </row>
    <row r="587" spans="1:14" x14ac:dyDescent="0.25">
      <c r="A587" t="s">
        <v>14</v>
      </c>
      <c r="B587" t="s">
        <v>15</v>
      </c>
      <c r="C587" t="s">
        <v>37</v>
      </c>
      <c r="D587" t="s">
        <v>29</v>
      </c>
      <c r="E587" t="s">
        <v>22</v>
      </c>
      <c r="F587" t="s">
        <v>15</v>
      </c>
      <c r="G587" s="1">
        <f>VALUE(2734.4831756464)</f>
        <v>2734.4831756464</v>
      </c>
      <c r="H587" s="1">
        <f>VALUE(2609.3054704586)</f>
        <v>2609.3054704586002</v>
      </c>
      <c r="I587" s="4">
        <f>VALUE(3575)</f>
        <v>3575</v>
      </c>
      <c r="J587" s="1">
        <f>VALUE(4436)</f>
        <v>4436</v>
      </c>
      <c r="K587" s="1">
        <f>VALUE(5200)</f>
        <v>5200</v>
      </c>
      <c r="L587" s="1">
        <f>VALUE(6183)</f>
        <v>6183</v>
      </c>
      <c r="M587" s="1">
        <f>VALUE(7435)</f>
        <v>7435</v>
      </c>
      <c r="N587" t="s">
        <v>25</v>
      </c>
    </row>
    <row r="588" spans="1:14" x14ac:dyDescent="0.25">
      <c r="A588" t="s">
        <v>14</v>
      </c>
      <c r="B588" t="s">
        <v>15</v>
      </c>
      <c r="C588" t="s">
        <v>37</v>
      </c>
      <c r="D588" t="s">
        <v>29</v>
      </c>
      <c r="E588" t="s">
        <v>22</v>
      </c>
      <c r="F588" t="s">
        <v>17</v>
      </c>
      <c r="G588" s="2">
        <f>VALUE(351.9385439471)</f>
        <v>351.93854394710002</v>
      </c>
      <c r="H588" s="3">
        <f>VALUE(352.1212879185)</f>
        <v>352.1212879185</v>
      </c>
      <c r="I588" s="4">
        <f>VALUE(4047)</f>
        <v>4047</v>
      </c>
      <c r="J588" s="5">
        <f>VALUE(4762)</f>
        <v>4762</v>
      </c>
      <c r="K588" s="6">
        <f>VALUE(6278)</f>
        <v>6278</v>
      </c>
      <c r="L588" s="7">
        <f>VALUE(7767)</f>
        <v>7767</v>
      </c>
      <c r="M588" s="8">
        <f>VALUE(9714)</f>
        <v>9714</v>
      </c>
      <c r="N588" t="s">
        <v>24</v>
      </c>
    </row>
    <row r="589" spans="1:14" x14ac:dyDescent="0.25">
      <c r="A589" t="s">
        <v>14</v>
      </c>
      <c r="B589" t="s">
        <v>15</v>
      </c>
      <c r="C589" t="s">
        <v>37</v>
      </c>
      <c r="D589" t="s">
        <v>29</v>
      </c>
      <c r="E589" t="s">
        <v>22</v>
      </c>
      <c r="F589" t="s">
        <v>18</v>
      </c>
      <c r="G589" s="2">
        <f>VALUE(510.0044709348)</f>
        <v>510.0044709348</v>
      </c>
      <c r="H589" s="3">
        <f>VALUE(506.2528035688)</f>
        <v>506.2528035688</v>
      </c>
      <c r="I589" s="4">
        <f>VALUE(3575)</f>
        <v>3575</v>
      </c>
      <c r="J589" s="5">
        <f>VALUE(4406)</f>
        <v>4406</v>
      </c>
      <c r="K589" s="6">
        <f>VALUE(5105)</f>
        <v>5105</v>
      </c>
      <c r="L589" s="7">
        <f>VALUE(6772)</f>
        <v>6772</v>
      </c>
      <c r="M589" s="8">
        <f>VALUE(8055)</f>
        <v>8055</v>
      </c>
      <c r="N589" t="s">
        <v>24</v>
      </c>
    </row>
    <row r="590" spans="1:14" x14ac:dyDescent="0.25">
      <c r="A590" t="s">
        <v>14</v>
      </c>
      <c r="B590" t="s">
        <v>15</v>
      </c>
      <c r="C590" t="s">
        <v>37</v>
      </c>
      <c r="D590" t="s">
        <v>29</v>
      </c>
      <c r="E590" t="s">
        <v>22</v>
      </c>
      <c r="F590" t="s">
        <v>19</v>
      </c>
      <c r="G590" s="2">
        <f>VALUE(505.3170457393)</f>
        <v>505.3170457393</v>
      </c>
      <c r="H590" s="3">
        <f>VALUE(489.7942823125)</f>
        <v>489.7942823125</v>
      </c>
      <c r="I590" s="4">
        <f>VALUE(4046)</f>
        <v>4046</v>
      </c>
      <c r="J590" s="5">
        <f>VALUE(4704)</f>
        <v>4704</v>
      </c>
      <c r="K590" s="1">
        <f>VALUE(5567)</f>
        <v>5567</v>
      </c>
      <c r="L590" s="1">
        <f>VALUE(6144)</f>
        <v>6144</v>
      </c>
      <c r="M590" s="1">
        <f>VALUE(7177)</f>
        <v>7177</v>
      </c>
      <c r="N590" t="s">
        <v>25</v>
      </c>
    </row>
    <row r="591" spans="1:14" x14ac:dyDescent="0.25">
      <c r="A591" t="s">
        <v>14</v>
      </c>
      <c r="B591" t="s">
        <v>15</v>
      </c>
      <c r="C591" t="s">
        <v>37</v>
      </c>
      <c r="D591" t="s">
        <v>29</v>
      </c>
      <c r="E591" t="s">
        <v>22</v>
      </c>
      <c r="F591" t="s">
        <v>20</v>
      </c>
      <c r="G591" s="1">
        <f>VALUE(1367.2231150252)</f>
        <v>1367.2231150252001</v>
      </c>
      <c r="H591" s="1">
        <f>VALUE(1261.1370966588)</f>
        <v>1261.1370966587999</v>
      </c>
      <c r="I591" s="1">
        <f>VALUE(3546)</f>
        <v>3546</v>
      </c>
      <c r="J591" s="1">
        <f>VALUE(4332)</f>
        <v>4332</v>
      </c>
      <c r="K591" s="1">
        <f>VALUE(5000)</f>
        <v>5000</v>
      </c>
      <c r="L591" s="1">
        <f>VALUE(5690)</f>
        <v>5690</v>
      </c>
      <c r="M591" s="1">
        <f>VALUE(6431)</f>
        <v>6431</v>
      </c>
      <c r="N591" t="s">
        <v>16</v>
      </c>
    </row>
    <row r="592" spans="1:14" x14ac:dyDescent="0.25">
      <c r="A592" t="s">
        <v>14</v>
      </c>
      <c r="B592" t="s">
        <v>15</v>
      </c>
      <c r="C592" t="s">
        <v>37</v>
      </c>
      <c r="D592" t="s">
        <v>29</v>
      </c>
      <c r="E592" t="s">
        <v>23</v>
      </c>
      <c r="F592" t="s">
        <v>15</v>
      </c>
      <c r="G592" s="1">
        <f>VALUE(4654.906922456)</f>
        <v>4654.9069224559998</v>
      </c>
      <c r="H592" s="1">
        <f>VALUE(4250.0607384383)</f>
        <v>4250.0607384383002</v>
      </c>
      <c r="I592" s="1">
        <f>VALUE(3213)</f>
        <v>3213</v>
      </c>
      <c r="J592" s="1">
        <f>VALUE(3687)</f>
        <v>3687</v>
      </c>
      <c r="K592" s="1">
        <f>VALUE(4400)</f>
        <v>4400</v>
      </c>
      <c r="L592" s="1">
        <f>VALUE(5294)</f>
        <v>5294</v>
      </c>
      <c r="M592" s="1">
        <f>VALUE(5979)</f>
        <v>5979</v>
      </c>
      <c r="N592" t="s">
        <v>16</v>
      </c>
    </row>
    <row r="593" spans="1:14" x14ac:dyDescent="0.25">
      <c r="A593" t="s">
        <v>14</v>
      </c>
      <c r="B593" t="s">
        <v>15</v>
      </c>
      <c r="C593" t="s">
        <v>37</v>
      </c>
      <c r="D593" t="s">
        <v>29</v>
      </c>
      <c r="E593" t="s">
        <v>23</v>
      </c>
      <c r="F593" t="s">
        <v>17</v>
      </c>
      <c r="G593" s="2">
        <f>VALUE(322.9532813218)</f>
        <v>322.95328132179998</v>
      </c>
      <c r="H593" s="3">
        <f>VALUE(326.3387214454)</f>
        <v>326.33872144539998</v>
      </c>
      <c r="I593" s="4">
        <f>VALUE(4000)</f>
        <v>4000</v>
      </c>
      <c r="J593" s="5">
        <f>VALUE(4293)</f>
        <v>4293</v>
      </c>
      <c r="K593" s="6">
        <f>VALUE(5425)</f>
        <v>5425</v>
      </c>
      <c r="L593" s="7">
        <f>VALUE(7047)</f>
        <v>7047</v>
      </c>
      <c r="M593" s="8">
        <f>VALUE(9703)</f>
        <v>9703</v>
      </c>
      <c r="N593" t="s">
        <v>24</v>
      </c>
    </row>
    <row r="594" spans="1:14" x14ac:dyDescent="0.25">
      <c r="A594" t="s">
        <v>14</v>
      </c>
      <c r="B594" t="s">
        <v>15</v>
      </c>
      <c r="C594" t="s">
        <v>37</v>
      </c>
      <c r="D594" t="s">
        <v>29</v>
      </c>
      <c r="E594" t="s">
        <v>23</v>
      </c>
      <c r="F594" t="s">
        <v>18</v>
      </c>
      <c r="G594" s="2">
        <f>VALUE(306.9579137683)</f>
        <v>306.95791376829999</v>
      </c>
      <c r="H594" s="3">
        <f>VALUE(311.5293249949)</f>
        <v>311.52932499489998</v>
      </c>
      <c r="I594" s="4">
        <f>VALUE(3268)</f>
        <v>3268</v>
      </c>
      <c r="J594" s="1">
        <f>VALUE(3612)</f>
        <v>3612</v>
      </c>
      <c r="K594" s="6">
        <f>VALUE(4222)</f>
        <v>4222</v>
      </c>
      <c r="L594" s="7">
        <f>VALUE(5113)</f>
        <v>5113</v>
      </c>
      <c r="M594" s="8">
        <f>VALUE(6143)</f>
        <v>6143</v>
      </c>
      <c r="N594" t="s">
        <v>25</v>
      </c>
    </row>
    <row r="595" spans="1:14" x14ac:dyDescent="0.25">
      <c r="A595" t="s">
        <v>14</v>
      </c>
      <c r="B595" t="s">
        <v>15</v>
      </c>
      <c r="C595" t="s">
        <v>37</v>
      </c>
      <c r="D595" t="s">
        <v>29</v>
      </c>
      <c r="E595" t="s">
        <v>23</v>
      </c>
      <c r="F595" t="s">
        <v>19</v>
      </c>
      <c r="G595" s="2">
        <f>VALUE(426.2731595871)</f>
        <v>426.2731595871</v>
      </c>
      <c r="H595" s="3">
        <f>VALUE(424.0730229237)</f>
        <v>424.07302292370002</v>
      </c>
      <c r="I595" s="4">
        <f>VALUE(3636)</f>
        <v>3636</v>
      </c>
      <c r="J595" s="5">
        <f>VALUE(4230)</f>
        <v>4230</v>
      </c>
      <c r="K595" s="1">
        <f>VALUE(4909)</f>
        <v>4909</v>
      </c>
      <c r="L595" s="1">
        <f>VALUE(5604)</f>
        <v>5604</v>
      </c>
      <c r="M595" s="8">
        <f>VALUE(6511)</f>
        <v>6511</v>
      </c>
      <c r="N595" t="s">
        <v>25</v>
      </c>
    </row>
    <row r="596" spans="1:14" x14ac:dyDescent="0.25">
      <c r="A596" t="s">
        <v>14</v>
      </c>
      <c r="B596" t="s">
        <v>15</v>
      </c>
      <c r="C596" t="s">
        <v>37</v>
      </c>
      <c r="D596" t="s">
        <v>29</v>
      </c>
      <c r="E596" t="s">
        <v>23</v>
      </c>
      <c r="F596" t="s">
        <v>20</v>
      </c>
      <c r="G596" s="1">
        <f>VALUE(3598.7225677788)</f>
        <v>3598.7225677788001</v>
      </c>
      <c r="H596" s="1">
        <f>VALUE(3188.1196690743)</f>
        <v>3188.1196690743</v>
      </c>
      <c r="I596" s="1">
        <f>VALUE(3146)</f>
        <v>3146</v>
      </c>
      <c r="J596" s="1">
        <f>VALUE(3559)</f>
        <v>3559</v>
      </c>
      <c r="K596" s="1">
        <f>VALUE(4260)</f>
        <v>4260</v>
      </c>
      <c r="L596" s="1">
        <f>VALUE(5168)</f>
        <v>5168</v>
      </c>
      <c r="M596" s="1">
        <f>VALUE(5693)</f>
        <v>5693</v>
      </c>
      <c r="N596" t="s">
        <v>16</v>
      </c>
    </row>
    <row r="597" spans="1:14" x14ac:dyDescent="0.25">
      <c r="A597" t="s">
        <v>14</v>
      </c>
      <c r="B597" t="s">
        <v>15</v>
      </c>
      <c r="C597" t="s">
        <v>37</v>
      </c>
      <c r="D597" t="s">
        <v>29</v>
      </c>
      <c r="E597" t="s">
        <v>26</v>
      </c>
      <c r="F597" t="s">
        <v>15</v>
      </c>
      <c r="G597" s="2">
        <f>VALUE(133.6452461607)</f>
        <v>133.6452461607</v>
      </c>
      <c r="H597" s="3">
        <f>VALUE(125.7392305808)</f>
        <v>125.7392305808</v>
      </c>
      <c r="I597" s="1">
        <f>VALUE(3390)</f>
        <v>3390</v>
      </c>
      <c r="J597" s="1">
        <f>VALUE(5555)</f>
        <v>5555</v>
      </c>
      <c r="K597" s="6">
        <f>VALUE(7805)</f>
        <v>7805</v>
      </c>
      <c r="L597" s="1">
        <f>VALUE(13129)</f>
        <v>13129</v>
      </c>
      <c r="M597" s="1">
        <f>VALUE(19409)</f>
        <v>19409</v>
      </c>
      <c r="N597" t="s">
        <v>25</v>
      </c>
    </row>
    <row r="598" spans="1:14" x14ac:dyDescent="0.25">
      <c r="A598" t="s">
        <v>14</v>
      </c>
      <c r="B598" t="s">
        <v>15</v>
      </c>
      <c r="C598" t="s">
        <v>37</v>
      </c>
      <c r="D598" t="s">
        <v>29</v>
      </c>
      <c r="E598" t="s">
        <v>26</v>
      </c>
      <c r="F598" t="s">
        <v>17</v>
      </c>
      <c r="G598" s="1" t="str">
        <f t="shared" ref="G598:M599" si="115">"X"</f>
        <v>X</v>
      </c>
      <c r="H598" s="1" t="str">
        <f t="shared" si="115"/>
        <v>X</v>
      </c>
      <c r="I598" s="1" t="str">
        <f t="shared" si="115"/>
        <v>X</v>
      </c>
      <c r="J598" s="1" t="str">
        <f t="shared" si="115"/>
        <v>X</v>
      </c>
      <c r="K598" s="1" t="str">
        <f t="shared" si="115"/>
        <v>X</v>
      </c>
      <c r="L598" s="1" t="str">
        <f t="shared" si="115"/>
        <v>X</v>
      </c>
      <c r="M598" s="1" t="str">
        <f t="shared" si="115"/>
        <v>X</v>
      </c>
      <c r="N598" t="s">
        <v>27</v>
      </c>
    </row>
    <row r="599" spans="1:14" x14ac:dyDescent="0.25">
      <c r="A599" t="s">
        <v>14</v>
      </c>
      <c r="B599" t="s">
        <v>15</v>
      </c>
      <c r="C599" t="s">
        <v>37</v>
      </c>
      <c r="D599" t="s">
        <v>29</v>
      </c>
      <c r="E599" t="s">
        <v>26</v>
      </c>
      <c r="F599" t="s">
        <v>18</v>
      </c>
      <c r="G599" s="1" t="str">
        <f t="shared" si="115"/>
        <v>X</v>
      </c>
      <c r="H599" s="1" t="str">
        <f t="shared" si="115"/>
        <v>X</v>
      </c>
      <c r="I599" s="1" t="str">
        <f t="shared" si="115"/>
        <v>X</v>
      </c>
      <c r="J599" s="1" t="str">
        <f t="shared" si="115"/>
        <v>X</v>
      </c>
      <c r="K599" s="1" t="str">
        <f t="shared" si="115"/>
        <v>X</v>
      </c>
      <c r="L599" s="1" t="str">
        <f t="shared" si="115"/>
        <v>X</v>
      </c>
      <c r="M599" s="1" t="str">
        <f t="shared" si="115"/>
        <v>X</v>
      </c>
      <c r="N599" t="s">
        <v>27</v>
      </c>
    </row>
    <row r="600" spans="1:14" x14ac:dyDescent="0.25">
      <c r="A600" t="s">
        <v>14</v>
      </c>
      <c r="B600" t="s">
        <v>15</v>
      </c>
      <c r="C600" t="s">
        <v>37</v>
      </c>
      <c r="D600" t="s">
        <v>29</v>
      </c>
      <c r="E600" t="s">
        <v>26</v>
      </c>
      <c r="F600" t="s">
        <v>19</v>
      </c>
      <c r="G600" s="1" t="str">
        <f t="shared" ref="G600:M600" si="116">"..."</f>
        <v>...</v>
      </c>
      <c r="H600" s="1" t="str">
        <f t="shared" si="116"/>
        <v>...</v>
      </c>
      <c r="I600" s="1" t="str">
        <f t="shared" si="116"/>
        <v>...</v>
      </c>
      <c r="J600" s="1" t="str">
        <f t="shared" si="116"/>
        <v>...</v>
      </c>
      <c r="K600" s="1" t="str">
        <f t="shared" si="116"/>
        <v>...</v>
      </c>
      <c r="L600" s="1" t="str">
        <f t="shared" si="116"/>
        <v>...</v>
      </c>
      <c r="M600" s="1" t="str">
        <f t="shared" si="116"/>
        <v>...</v>
      </c>
      <c r="N600" t="s">
        <v>30</v>
      </c>
    </row>
    <row r="601" spans="1:14" x14ac:dyDescent="0.25">
      <c r="A601" t="s">
        <v>14</v>
      </c>
      <c r="B601" t="s">
        <v>15</v>
      </c>
      <c r="C601" t="s">
        <v>37</v>
      </c>
      <c r="D601" t="s">
        <v>29</v>
      </c>
      <c r="E601" t="s">
        <v>26</v>
      </c>
      <c r="F601" t="s">
        <v>20</v>
      </c>
      <c r="G601" s="1" t="str">
        <f t="shared" ref="G601:M601" si="117">"X"</f>
        <v>X</v>
      </c>
      <c r="H601" s="1" t="str">
        <f t="shared" si="117"/>
        <v>X</v>
      </c>
      <c r="I601" s="1" t="str">
        <f t="shared" si="117"/>
        <v>X</v>
      </c>
      <c r="J601" s="1" t="str">
        <f t="shared" si="117"/>
        <v>X</v>
      </c>
      <c r="K601" s="1" t="str">
        <f t="shared" si="117"/>
        <v>X</v>
      </c>
      <c r="L601" s="1" t="str">
        <f t="shared" si="117"/>
        <v>X</v>
      </c>
      <c r="M601" s="1" t="str">
        <f t="shared" si="117"/>
        <v>X</v>
      </c>
      <c r="N601" t="s">
        <v>27</v>
      </c>
    </row>
    <row r="602" spans="1:14" x14ac:dyDescent="0.25">
      <c r="A602" t="s">
        <v>14</v>
      </c>
      <c r="B602" t="s">
        <v>15</v>
      </c>
      <c r="C602" t="s">
        <v>37</v>
      </c>
      <c r="D602" t="s">
        <v>31</v>
      </c>
      <c r="E602" t="s">
        <v>15</v>
      </c>
      <c r="F602" t="s">
        <v>15</v>
      </c>
      <c r="G602" s="1">
        <f>VALUE(2729.5772753544)</f>
        <v>2729.5772753544002</v>
      </c>
      <c r="H602" s="1">
        <f>VALUE(2588.382888972)</f>
        <v>2588.3828889719998</v>
      </c>
      <c r="I602" s="1">
        <f>VALUE(3279)</f>
        <v>3279</v>
      </c>
      <c r="J602" s="1">
        <f>VALUE(3902)</f>
        <v>3902</v>
      </c>
      <c r="K602" s="1">
        <f>VALUE(5095)</f>
        <v>5095</v>
      </c>
      <c r="L602" s="7">
        <f>VALUE(7280)</f>
        <v>7280</v>
      </c>
      <c r="M602" s="8">
        <f>VALUE(11917)</f>
        <v>11917</v>
      </c>
      <c r="N602" t="s">
        <v>25</v>
      </c>
    </row>
    <row r="603" spans="1:14" x14ac:dyDescent="0.25">
      <c r="A603" t="s">
        <v>14</v>
      </c>
      <c r="B603" t="s">
        <v>15</v>
      </c>
      <c r="C603" t="s">
        <v>37</v>
      </c>
      <c r="D603" t="s">
        <v>31</v>
      </c>
      <c r="E603" t="s">
        <v>15</v>
      </c>
      <c r="F603" t="s">
        <v>17</v>
      </c>
      <c r="G603" s="2">
        <f>VALUE(529.2013648953)</f>
        <v>529.2013648953</v>
      </c>
      <c r="H603" s="3">
        <f>VALUE(532.5092365945)</f>
        <v>532.50923659449995</v>
      </c>
      <c r="I603" s="4">
        <f>VALUE(4553)</f>
        <v>4553</v>
      </c>
      <c r="J603" s="5">
        <f>VALUE(5489)</f>
        <v>5489</v>
      </c>
      <c r="K603" s="6">
        <f>VALUE(9090)</f>
        <v>9090</v>
      </c>
      <c r="L603" s="7">
        <f>VALUE(15275)</f>
        <v>15275</v>
      </c>
      <c r="M603" s="8">
        <f>VALUE(22728)</f>
        <v>22728</v>
      </c>
      <c r="N603" t="s">
        <v>24</v>
      </c>
    </row>
    <row r="604" spans="1:14" x14ac:dyDescent="0.25">
      <c r="A604" t="s">
        <v>14</v>
      </c>
      <c r="B604" t="s">
        <v>15</v>
      </c>
      <c r="C604" t="s">
        <v>37</v>
      </c>
      <c r="D604" t="s">
        <v>31</v>
      </c>
      <c r="E604" t="s">
        <v>15</v>
      </c>
      <c r="F604" t="s">
        <v>18</v>
      </c>
      <c r="G604" s="2">
        <f>VALUE(339.4985010249)</f>
        <v>339.49850102490001</v>
      </c>
      <c r="H604" s="3">
        <f>VALUE(329.0342440691)</f>
        <v>329.0342440691</v>
      </c>
      <c r="I604" s="4">
        <f>VALUE(3934)</f>
        <v>3934</v>
      </c>
      <c r="J604" s="5">
        <f>VALUE(4804)</f>
        <v>4804</v>
      </c>
      <c r="K604" s="6">
        <f>VALUE(6640)</f>
        <v>6640</v>
      </c>
      <c r="L604" s="1">
        <f>VALUE(9344)</f>
        <v>9344</v>
      </c>
      <c r="M604" s="8">
        <f>VALUE(12279)</f>
        <v>12279</v>
      </c>
      <c r="N604" t="s">
        <v>25</v>
      </c>
    </row>
    <row r="605" spans="1:14" x14ac:dyDescent="0.25">
      <c r="A605" t="s">
        <v>14</v>
      </c>
      <c r="B605" t="s">
        <v>15</v>
      </c>
      <c r="C605" t="s">
        <v>37</v>
      </c>
      <c r="D605" t="s">
        <v>31</v>
      </c>
      <c r="E605" t="s">
        <v>15</v>
      </c>
      <c r="F605" t="s">
        <v>19</v>
      </c>
      <c r="G605" s="2">
        <f>VALUE(344.4588278135)</f>
        <v>344.45882781350002</v>
      </c>
      <c r="H605" s="3">
        <f>VALUE(324.6805487846)</f>
        <v>324.68054878459998</v>
      </c>
      <c r="I605" s="4">
        <f>VALUE(3816)</f>
        <v>3816</v>
      </c>
      <c r="J605" s="5">
        <f>VALUE(4854)</f>
        <v>4854</v>
      </c>
      <c r="K605" s="6">
        <f>VALUE(5749)</f>
        <v>5749</v>
      </c>
      <c r="L605" s="7">
        <f>VALUE(7408)</f>
        <v>7408</v>
      </c>
      <c r="M605" s="1">
        <f>VALUE(8920)</f>
        <v>8920</v>
      </c>
      <c r="N605" t="s">
        <v>25</v>
      </c>
    </row>
    <row r="606" spans="1:14" x14ac:dyDescent="0.25">
      <c r="A606" t="s">
        <v>14</v>
      </c>
      <c r="B606" t="s">
        <v>15</v>
      </c>
      <c r="C606" t="s">
        <v>37</v>
      </c>
      <c r="D606" t="s">
        <v>31</v>
      </c>
      <c r="E606" t="s">
        <v>15</v>
      </c>
      <c r="F606" t="s">
        <v>20</v>
      </c>
      <c r="G606" s="2">
        <f>VALUE(1516.4185816207)</f>
        <v>1516.4185816207</v>
      </c>
      <c r="H606" s="3">
        <f>VALUE(1402.1588595238)</f>
        <v>1402.1588595237999</v>
      </c>
      <c r="I606" s="1">
        <f>VALUE(3168)</f>
        <v>3168</v>
      </c>
      <c r="J606" s="1">
        <f>VALUE(3448)</f>
        <v>3448</v>
      </c>
      <c r="K606" s="1">
        <f>VALUE(4308)</f>
        <v>4308</v>
      </c>
      <c r="L606" s="1">
        <f>VALUE(5259)</f>
        <v>5259</v>
      </c>
      <c r="M606" s="8">
        <f>VALUE(6500)</f>
        <v>6500</v>
      </c>
      <c r="N606" t="s">
        <v>25</v>
      </c>
    </row>
    <row r="607" spans="1:14" x14ac:dyDescent="0.25">
      <c r="A607" t="s">
        <v>14</v>
      </c>
      <c r="B607" t="s">
        <v>15</v>
      </c>
      <c r="C607" t="s">
        <v>37</v>
      </c>
      <c r="D607" t="s">
        <v>31</v>
      </c>
      <c r="E607" t="s">
        <v>21</v>
      </c>
      <c r="F607" t="s">
        <v>15</v>
      </c>
      <c r="G607" s="2">
        <f>VALUE(693.2264790604)</f>
        <v>693.22647906040004</v>
      </c>
      <c r="H607" s="3">
        <f>VALUE(670.0888965636)</f>
        <v>670.08889656359997</v>
      </c>
      <c r="I607" s="1">
        <f>VALUE(4877)</f>
        <v>4877</v>
      </c>
      <c r="J607" s="1">
        <f>VALUE(6353)</f>
        <v>6353</v>
      </c>
      <c r="K607" s="1">
        <f>VALUE(8296)</f>
        <v>8296</v>
      </c>
      <c r="L607" s="7">
        <f>VALUE(12502)</f>
        <v>12502</v>
      </c>
      <c r="M607" s="8">
        <f>VALUE(19841)</f>
        <v>19841</v>
      </c>
      <c r="N607" t="s">
        <v>25</v>
      </c>
    </row>
    <row r="608" spans="1:14" x14ac:dyDescent="0.25">
      <c r="A608" t="s">
        <v>14</v>
      </c>
      <c r="B608" t="s">
        <v>15</v>
      </c>
      <c r="C608" t="s">
        <v>37</v>
      </c>
      <c r="D608" t="s">
        <v>31</v>
      </c>
      <c r="E608" t="s">
        <v>21</v>
      </c>
      <c r="F608" t="s">
        <v>17</v>
      </c>
      <c r="G608" s="2">
        <f>VALUE(265.9758306331)</f>
        <v>265.97583063309997</v>
      </c>
      <c r="H608" s="3">
        <f>VALUE(267.5283256503)</f>
        <v>267.52832565030002</v>
      </c>
      <c r="I608" s="1">
        <f>VALUE(6385)</f>
        <v>6385</v>
      </c>
      <c r="J608" s="1">
        <f>VALUE(8000)</f>
        <v>8000</v>
      </c>
      <c r="K608" s="6">
        <f>VALUE(11429)</f>
        <v>11429</v>
      </c>
      <c r="L608" s="7">
        <f>VALUE(18812)</f>
        <v>18812</v>
      </c>
      <c r="M608" s="8">
        <f>VALUE(27216)</f>
        <v>27216</v>
      </c>
      <c r="N608" t="s">
        <v>25</v>
      </c>
    </row>
    <row r="609" spans="1:14" x14ac:dyDescent="0.25">
      <c r="A609" t="s">
        <v>14</v>
      </c>
      <c r="B609" t="s">
        <v>15</v>
      </c>
      <c r="C609" t="s">
        <v>37</v>
      </c>
      <c r="D609" t="s">
        <v>31</v>
      </c>
      <c r="E609" t="s">
        <v>21</v>
      </c>
      <c r="F609" t="s">
        <v>18</v>
      </c>
      <c r="G609" s="2">
        <f>VALUE(148.9325695616)</f>
        <v>148.93256956159999</v>
      </c>
      <c r="H609" s="3">
        <f>VALUE(141.296024818)</f>
        <v>141.29602481800001</v>
      </c>
      <c r="I609" s="1">
        <f>VALUE(5196)</f>
        <v>5196</v>
      </c>
      <c r="J609" s="5">
        <f>VALUE(6500)</f>
        <v>6500</v>
      </c>
      <c r="K609" s="6">
        <f>VALUE(8254)</f>
        <v>8254</v>
      </c>
      <c r="L609" s="7">
        <f>VALUE(10798)</f>
        <v>10798</v>
      </c>
      <c r="M609" s="8">
        <f>VALUE(13965)</f>
        <v>13965</v>
      </c>
      <c r="N609" t="s">
        <v>25</v>
      </c>
    </row>
    <row r="610" spans="1:14" x14ac:dyDescent="0.25">
      <c r="A610" t="s">
        <v>14</v>
      </c>
      <c r="B610" t="s">
        <v>15</v>
      </c>
      <c r="C610" t="s">
        <v>37</v>
      </c>
      <c r="D610" t="s">
        <v>31</v>
      </c>
      <c r="E610" t="s">
        <v>21</v>
      </c>
      <c r="F610" t="s">
        <v>19</v>
      </c>
      <c r="G610" s="1" t="str">
        <f t="shared" ref="G610:M610" si="118">"X"</f>
        <v>X</v>
      </c>
      <c r="H610" s="1" t="str">
        <f t="shared" si="118"/>
        <v>X</v>
      </c>
      <c r="I610" s="1" t="str">
        <f t="shared" si="118"/>
        <v>X</v>
      </c>
      <c r="J610" s="1" t="str">
        <f t="shared" si="118"/>
        <v>X</v>
      </c>
      <c r="K610" s="1" t="str">
        <f t="shared" si="118"/>
        <v>X</v>
      </c>
      <c r="L610" s="1" t="str">
        <f t="shared" si="118"/>
        <v>X</v>
      </c>
      <c r="M610" s="1" t="str">
        <f t="shared" si="118"/>
        <v>X</v>
      </c>
      <c r="N610" t="s">
        <v>27</v>
      </c>
    </row>
    <row r="611" spans="1:14" x14ac:dyDescent="0.25">
      <c r="A611" t="s">
        <v>14</v>
      </c>
      <c r="B611" t="s">
        <v>15</v>
      </c>
      <c r="C611" t="s">
        <v>37</v>
      </c>
      <c r="D611" t="s">
        <v>31</v>
      </c>
      <c r="E611" t="s">
        <v>21</v>
      </c>
      <c r="F611" t="s">
        <v>20</v>
      </c>
      <c r="G611" s="2">
        <f>VALUE(174.5287736798)</f>
        <v>174.5287736798</v>
      </c>
      <c r="H611" s="3">
        <f>VALUE(170.8355314054)</f>
        <v>170.83553140539999</v>
      </c>
      <c r="I611" s="1">
        <f>VALUE(4500)</f>
        <v>4500</v>
      </c>
      <c r="J611" s="1">
        <f>VALUE(4877)</f>
        <v>4877</v>
      </c>
      <c r="K611" s="1">
        <f>VALUE(6353)</f>
        <v>6353</v>
      </c>
      <c r="L611" s="1">
        <f>VALUE(8130)</f>
        <v>8130</v>
      </c>
      <c r="M611" s="8">
        <f>VALUE(10489)</f>
        <v>10489</v>
      </c>
      <c r="N611" t="s">
        <v>25</v>
      </c>
    </row>
    <row r="612" spans="1:14" x14ac:dyDescent="0.25">
      <c r="A612" t="s">
        <v>14</v>
      </c>
      <c r="B612" t="s">
        <v>15</v>
      </c>
      <c r="C612" t="s">
        <v>37</v>
      </c>
      <c r="D612" t="s">
        <v>31</v>
      </c>
      <c r="E612" t="s">
        <v>22</v>
      </c>
      <c r="F612" t="s">
        <v>15</v>
      </c>
      <c r="G612" s="2">
        <f>VALUE(509.7158992022)</f>
        <v>509.71589920219998</v>
      </c>
      <c r="H612" s="3">
        <f>VALUE(481.2560949733)</f>
        <v>481.25609497329998</v>
      </c>
      <c r="I612" s="4">
        <f>VALUE(3435)</f>
        <v>3435</v>
      </c>
      <c r="J612" s="5">
        <f>VALUE(4221)</f>
        <v>4221</v>
      </c>
      <c r="K612" s="1">
        <f>VALUE(5258)</f>
        <v>5258</v>
      </c>
      <c r="L612" s="1">
        <f>VALUE(6611)</f>
        <v>6611</v>
      </c>
      <c r="M612" s="8">
        <f>VALUE(8771)</f>
        <v>8771</v>
      </c>
      <c r="N612" t="s">
        <v>25</v>
      </c>
    </row>
    <row r="613" spans="1:14" x14ac:dyDescent="0.25">
      <c r="A613" t="s">
        <v>14</v>
      </c>
      <c r="B613" t="s">
        <v>15</v>
      </c>
      <c r="C613" t="s">
        <v>37</v>
      </c>
      <c r="D613" t="s">
        <v>31</v>
      </c>
      <c r="E613" t="s">
        <v>22</v>
      </c>
      <c r="F613" t="s">
        <v>17</v>
      </c>
      <c r="G613" s="1" t="str">
        <f t="shared" ref="G613:M615" si="119">"X"</f>
        <v>X</v>
      </c>
      <c r="H613" s="1" t="str">
        <f t="shared" si="119"/>
        <v>X</v>
      </c>
      <c r="I613" s="1" t="str">
        <f t="shared" si="119"/>
        <v>X</v>
      </c>
      <c r="J613" s="1" t="str">
        <f t="shared" si="119"/>
        <v>X</v>
      </c>
      <c r="K613" s="1" t="str">
        <f t="shared" si="119"/>
        <v>X</v>
      </c>
      <c r="L613" s="1" t="str">
        <f t="shared" si="119"/>
        <v>X</v>
      </c>
      <c r="M613" s="1" t="str">
        <f t="shared" si="119"/>
        <v>X</v>
      </c>
      <c r="N613" t="s">
        <v>27</v>
      </c>
    </row>
    <row r="614" spans="1:14" x14ac:dyDescent="0.25">
      <c r="A614" t="s">
        <v>14</v>
      </c>
      <c r="B614" t="s">
        <v>15</v>
      </c>
      <c r="C614" t="s">
        <v>37</v>
      </c>
      <c r="D614" t="s">
        <v>31</v>
      </c>
      <c r="E614" t="s">
        <v>22</v>
      </c>
      <c r="F614" t="s">
        <v>18</v>
      </c>
      <c r="G614" s="1" t="str">
        <f t="shared" si="119"/>
        <v>X</v>
      </c>
      <c r="H614" s="1" t="str">
        <f t="shared" si="119"/>
        <v>X</v>
      </c>
      <c r="I614" s="1" t="str">
        <f t="shared" si="119"/>
        <v>X</v>
      </c>
      <c r="J614" s="1" t="str">
        <f t="shared" si="119"/>
        <v>X</v>
      </c>
      <c r="K614" s="1" t="str">
        <f t="shared" si="119"/>
        <v>X</v>
      </c>
      <c r="L614" s="1" t="str">
        <f t="shared" si="119"/>
        <v>X</v>
      </c>
      <c r="M614" s="1" t="str">
        <f t="shared" si="119"/>
        <v>X</v>
      </c>
      <c r="N614" t="s">
        <v>27</v>
      </c>
    </row>
    <row r="615" spans="1:14" x14ac:dyDescent="0.25">
      <c r="A615" t="s">
        <v>14</v>
      </c>
      <c r="B615" t="s">
        <v>15</v>
      </c>
      <c r="C615" t="s">
        <v>37</v>
      </c>
      <c r="D615" t="s">
        <v>31</v>
      </c>
      <c r="E615" t="s">
        <v>22</v>
      </c>
      <c r="F615" t="s">
        <v>19</v>
      </c>
      <c r="G615" s="1" t="str">
        <f t="shared" si="119"/>
        <v>X</v>
      </c>
      <c r="H615" s="1" t="str">
        <f t="shared" si="119"/>
        <v>X</v>
      </c>
      <c r="I615" s="1" t="str">
        <f t="shared" si="119"/>
        <v>X</v>
      </c>
      <c r="J615" s="1" t="str">
        <f t="shared" si="119"/>
        <v>X</v>
      </c>
      <c r="K615" s="1" t="str">
        <f t="shared" si="119"/>
        <v>X</v>
      </c>
      <c r="L615" s="1" t="str">
        <f t="shared" si="119"/>
        <v>X</v>
      </c>
      <c r="M615" s="1" t="str">
        <f t="shared" si="119"/>
        <v>X</v>
      </c>
      <c r="N615" t="s">
        <v>27</v>
      </c>
    </row>
    <row r="616" spans="1:14" x14ac:dyDescent="0.25">
      <c r="A616" t="s">
        <v>14</v>
      </c>
      <c r="B616" t="s">
        <v>15</v>
      </c>
      <c r="C616" t="s">
        <v>37</v>
      </c>
      <c r="D616" t="s">
        <v>31</v>
      </c>
      <c r="E616" t="s">
        <v>22</v>
      </c>
      <c r="F616" t="s">
        <v>20</v>
      </c>
      <c r="G616" s="2">
        <f>VALUE(244.2474064375)</f>
        <v>244.24740643749999</v>
      </c>
      <c r="H616" s="3">
        <f>VALUE(229.7143344646)</f>
        <v>229.7143344646</v>
      </c>
      <c r="I616" s="1">
        <f>VALUE(3409)</f>
        <v>3409</v>
      </c>
      <c r="J616" s="1">
        <f>VALUE(4096)</f>
        <v>4096</v>
      </c>
      <c r="K616" s="1">
        <f>VALUE(5036)</f>
        <v>5036</v>
      </c>
      <c r="L616" s="1">
        <f>VALUE(5579)</f>
        <v>5579</v>
      </c>
      <c r="M616" s="8">
        <f>VALUE(7421)</f>
        <v>7421</v>
      </c>
      <c r="N616" t="s">
        <v>25</v>
      </c>
    </row>
    <row r="617" spans="1:14" x14ac:dyDescent="0.25">
      <c r="A617" t="s">
        <v>14</v>
      </c>
      <c r="B617" t="s">
        <v>15</v>
      </c>
      <c r="C617" t="s">
        <v>37</v>
      </c>
      <c r="D617" t="s">
        <v>31</v>
      </c>
      <c r="E617" t="s">
        <v>23</v>
      </c>
      <c r="F617" t="s">
        <v>15</v>
      </c>
      <c r="G617" s="2">
        <f>VALUE(1458.3410928623)</f>
        <v>1458.3410928623</v>
      </c>
      <c r="H617" s="3">
        <f>VALUE(1368.2881141569)</f>
        <v>1368.2881141569001</v>
      </c>
      <c r="I617" s="1">
        <f>VALUE(3204)</f>
        <v>3204</v>
      </c>
      <c r="J617" s="1">
        <f>VALUE(3459)</f>
        <v>3459</v>
      </c>
      <c r="K617" s="1">
        <f>VALUE(4291)</f>
        <v>4291</v>
      </c>
      <c r="L617" s="1">
        <f>VALUE(5146)</f>
        <v>5146</v>
      </c>
      <c r="M617" s="8">
        <f>VALUE(6152)</f>
        <v>6152</v>
      </c>
      <c r="N617" t="s">
        <v>25</v>
      </c>
    </row>
    <row r="618" spans="1:14" x14ac:dyDescent="0.25">
      <c r="A618" t="s">
        <v>14</v>
      </c>
      <c r="B618" t="s">
        <v>15</v>
      </c>
      <c r="C618" t="s">
        <v>37</v>
      </c>
      <c r="D618" t="s">
        <v>31</v>
      </c>
      <c r="E618" t="s">
        <v>23</v>
      </c>
      <c r="F618" t="s">
        <v>17</v>
      </c>
      <c r="G618" s="1" t="str">
        <f t="shared" ref="G618:M620" si="120">"X"</f>
        <v>X</v>
      </c>
      <c r="H618" s="1" t="str">
        <f t="shared" si="120"/>
        <v>X</v>
      </c>
      <c r="I618" s="1" t="str">
        <f t="shared" si="120"/>
        <v>X</v>
      </c>
      <c r="J618" s="1" t="str">
        <f t="shared" si="120"/>
        <v>X</v>
      </c>
      <c r="K618" s="1" t="str">
        <f t="shared" si="120"/>
        <v>X</v>
      </c>
      <c r="L618" s="1" t="str">
        <f t="shared" si="120"/>
        <v>X</v>
      </c>
      <c r="M618" s="1" t="str">
        <f t="shared" si="120"/>
        <v>X</v>
      </c>
      <c r="N618" t="s">
        <v>27</v>
      </c>
    </row>
    <row r="619" spans="1:14" x14ac:dyDescent="0.25">
      <c r="A619" t="s">
        <v>14</v>
      </c>
      <c r="B619" t="s">
        <v>15</v>
      </c>
      <c r="C619" t="s">
        <v>37</v>
      </c>
      <c r="D619" t="s">
        <v>31</v>
      </c>
      <c r="E619" t="s">
        <v>23</v>
      </c>
      <c r="F619" t="s">
        <v>18</v>
      </c>
      <c r="G619" s="1" t="str">
        <f t="shared" si="120"/>
        <v>X</v>
      </c>
      <c r="H619" s="1" t="str">
        <f t="shared" si="120"/>
        <v>X</v>
      </c>
      <c r="I619" s="1" t="str">
        <f t="shared" si="120"/>
        <v>X</v>
      </c>
      <c r="J619" s="1" t="str">
        <f t="shared" si="120"/>
        <v>X</v>
      </c>
      <c r="K619" s="1" t="str">
        <f t="shared" si="120"/>
        <v>X</v>
      </c>
      <c r="L619" s="1" t="str">
        <f t="shared" si="120"/>
        <v>X</v>
      </c>
      <c r="M619" s="1" t="str">
        <f t="shared" si="120"/>
        <v>X</v>
      </c>
      <c r="N619" t="s">
        <v>27</v>
      </c>
    </row>
    <row r="620" spans="1:14" x14ac:dyDescent="0.25">
      <c r="A620" t="s">
        <v>14</v>
      </c>
      <c r="B620" t="s">
        <v>15</v>
      </c>
      <c r="C620" t="s">
        <v>37</v>
      </c>
      <c r="D620" t="s">
        <v>31</v>
      </c>
      <c r="E620" t="s">
        <v>23</v>
      </c>
      <c r="F620" t="s">
        <v>19</v>
      </c>
      <c r="G620" s="1" t="str">
        <f t="shared" si="120"/>
        <v>X</v>
      </c>
      <c r="H620" s="1" t="str">
        <f t="shared" si="120"/>
        <v>X</v>
      </c>
      <c r="I620" s="1" t="str">
        <f t="shared" si="120"/>
        <v>X</v>
      </c>
      <c r="J620" s="1" t="str">
        <f t="shared" si="120"/>
        <v>X</v>
      </c>
      <c r="K620" s="1" t="str">
        <f t="shared" si="120"/>
        <v>X</v>
      </c>
      <c r="L620" s="1" t="str">
        <f t="shared" si="120"/>
        <v>X</v>
      </c>
      <c r="M620" s="1" t="str">
        <f t="shared" si="120"/>
        <v>X</v>
      </c>
      <c r="N620" t="s">
        <v>27</v>
      </c>
    </row>
    <row r="621" spans="1:14" x14ac:dyDescent="0.25">
      <c r="A621" t="s">
        <v>14</v>
      </c>
      <c r="B621" t="s">
        <v>15</v>
      </c>
      <c r="C621" t="s">
        <v>37</v>
      </c>
      <c r="D621" t="s">
        <v>31</v>
      </c>
      <c r="E621" t="s">
        <v>23</v>
      </c>
      <c r="F621" t="s">
        <v>20</v>
      </c>
      <c r="G621" s="2">
        <f>VALUE(1081.6633554987)</f>
        <v>1081.6633554987</v>
      </c>
      <c r="H621" s="3">
        <f>VALUE(987.3183096927)</f>
        <v>987.31830969270004</v>
      </c>
      <c r="I621" s="1">
        <f>VALUE(3128)</f>
        <v>3128</v>
      </c>
      <c r="J621" s="1">
        <f>VALUE(3341)</f>
        <v>3341</v>
      </c>
      <c r="K621" s="1">
        <f>VALUE(3927)</f>
        <v>3927</v>
      </c>
      <c r="L621" s="1">
        <f>VALUE(4800)</f>
        <v>4800</v>
      </c>
      <c r="M621" s="1">
        <f>VALUE(5561)</f>
        <v>5561</v>
      </c>
      <c r="N621" t="s">
        <v>25</v>
      </c>
    </row>
    <row r="622" spans="1:14" x14ac:dyDescent="0.25">
      <c r="A622" t="s">
        <v>14</v>
      </c>
      <c r="B622" t="s">
        <v>15</v>
      </c>
      <c r="C622" t="s">
        <v>37</v>
      </c>
      <c r="D622" t="s">
        <v>31</v>
      </c>
      <c r="E622" t="s">
        <v>26</v>
      </c>
      <c r="F622" t="s">
        <v>15</v>
      </c>
      <c r="G622" s="1" t="str">
        <f t="shared" ref="G622:M626" si="121">"X"</f>
        <v>X</v>
      </c>
      <c r="H622" s="1" t="str">
        <f t="shared" si="121"/>
        <v>X</v>
      </c>
      <c r="I622" s="1" t="str">
        <f t="shared" si="121"/>
        <v>X</v>
      </c>
      <c r="J622" s="1" t="str">
        <f t="shared" si="121"/>
        <v>X</v>
      </c>
      <c r="K622" s="1" t="str">
        <f t="shared" si="121"/>
        <v>X</v>
      </c>
      <c r="L622" s="1" t="str">
        <f t="shared" si="121"/>
        <v>X</v>
      </c>
      <c r="M622" s="1" t="str">
        <f t="shared" si="121"/>
        <v>X</v>
      </c>
      <c r="N622" t="s">
        <v>27</v>
      </c>
    </row>
    <row r="623" spans="1:14" x14ac:dyDescent="0.25">
      <c r="A623" t="s">
        <v>14</v>
      </c>
      <c r="B623" t="s">
        <v>15</v>
      </c>
      <c r="C623" t="s">
        <v>37</v>
      </c>
      <c r="D623" t="s">
        <v>31</v>
      </c>
      <c r="E623" t="s">
        <v>26</v>
      </c>
      <c r="F623" t="s">
        <v>17</v>
      </c>
      <c r="G623" s="1" t="str">
        <f t="shared" si="121"/>
        <v>X</v>
      </c>
      <c r="H623" s="1" t="str">
        <f t="shared" si="121"/>
        <v>X</v>
      </c>
      <c r="I623" s="1" t="str">
        <f t="shared" si="121"/>
        <v>X</v>
      </c>
      <c r="J623" s="1" t="str">
        <f t="shared" si="121"/>
        <v>X</v>
      </c>
      <c r="K623" s="1" t="str">
        <f t="shared" si="121"/>
        <v>X</v>
      </c>
      <c r="L623" s="1" t="str">
        <f t="shared" si="121"/>
        <v>X</v>
      </c>
      <c r="M623" s="1" t="str">
        <f t="shared" si="121"/>
        <v>X</v>
      </c>
      <c r="N623" t="s">
        <v>27</v>
      </c>
    </row>
    <row r="624" spans="1:14" x14ac:dyDescent="0.25">
      <c r="A624" t="s">
        <v>14</v>
      </c>
      <c r="B624" t="s">
        <v>15</v>
      </c>
      <c r="C624" t="s">
        <v>37</v>
      </c>
      <c r="D624" t="s">
        <v>31</v>
      </c>
      <c r="E624" t="s">
        <v>26</v>
      </c>
      <c r="F624" t="s">
        <v>18</v>
      </c>
      <c r="G624" s="1" t="str">
        <f t="shared" si="121"/>
        <v>X</v>
      </c>
      <c r="H624" s="1" t="str">
        <f t="shared" si="121"/>
        <v>X</v>
      </c>
      <c r="I624" s="1" t="str">
        <f t="shared" si="121"/>
        <v>X</v>
      </c>
      <c r="J624" s="1" t="str">
        <f t="shared" si="121"/>
        <v>X</v>
      </c>
      <c r="K624" s="1" t="str">
        <f t="shared" si="121"/>
        <v>X</v>
      </c>
      <c r="L624" s="1" t="str">
        <f t="shared" si="121"/>
        <v>X</v>
      </c>
      <c r="M624" s="1" t="str">
        <f t="shared" si="121"/>
        <v>X</v>
      </c>
      <c r="N624" t="s">
        <v>27</v>
      </c>
    </row>
    <row r="625" spans="1:14" x14ac:dyDescent="0.25">
      <c r="A625" t="s">
        <v>14</v>
      </c>
      <c r="B625" t="s">
        <v>15</v>
      </c>
      <c r="C625" t="s">
        <v>37</v>
      </c>
      <c r="D625" t="s">
        <v>31</v>
      </c>
      <c r="E625" t="s">
        <v>26</v>
      </c>
      <c r="F625" t="s">
        <v>19</v>
      </c>
      <c r="G625" s="1" t="str">
        <f t="shared" si="121"/>
        <v>X</v>
      </c>
      <c r="H625" s="1" t="str">
        <f t="shared" si="121"/>
        <v>X</v>
      </c>
      <c r="I625" s="1" t="str">
        <f t="shared" si="121"/>
        <v>X</v>
      </c>
      <c r="J625" s="1" t="str">
        <f t="shared" si="121"/>
        <v>X</v>
      </c>
      <c r="K625" s="1" t="str">
        <f t="shared" si="121"/>
        <v>X</v>
      </c>
      <c r="L625" s="1" t="str">
        <f t="shared" si="121"/>
        <v>X</v>
      </c>
      <c r="M625" s="1" t="str">
        <f t="shared" si="121"/>
        <v>X</v>
      </c>
      <c r="N625" t="s">
        <v>27</v>
      </c>
    </row>
    <row r="626" spans="1:14" x14ac:dyDescent="0.25">
      <c r="A626" t="s">
        <v>14</v>
      </c>
      <c r="B626" t="s">
        <v>15</v>
      </c>
      <c r="C626" t="s">
        <v>37</v>
      </c>
      <c r="D626" t="s">
        <v>31</v>
      </c>
      <c r="E626" t="s">
        <v>26</v>
      </c>
      <c r="F626" t="s">
        <v>20</v>
      </c>
      <c r="G626" s="1" t="str">
        <f t="shared" si="121"/>
        <v>X</v>
      </c>
      <c r="H626" s="1" t="str">
        <f t="shared" si="121"/>
        <v>X</v>
      </c>
      <c r="I626" s="1" t="str">
        <f t="shared" si="121"/>
        <v>X</v>
      </c>
      <c r="J626" s="1" t="str">
        <f t="shared" si="121"/>
        <v>X</v>
      </c>
      <c r="K626" s="1" t="str">
        <f t="shared" si="121"/>
        <v>X</v>
      </c>
      <c r="L626" s="1" t="str">
        <f t="shared" si="121"/>
        <v>X</v>
      </c>
      <c r="M626" s="1" t="str">
        <f t="shared" si="121"/>
        <v>X</v>
      </c>
      <c r="N626" t="s">
        <v>27</v>
      </c>
    </row>
    <row r="627" spans="1:14" x14ac:dyDescent="0.25">
      <c r="A627" t="s">
        <v>14</v>
      </c>
      <c r="B627" t="s">
        <v>15</v>
      </c>
      <c r="C627" t="s">
        <v>37</v>
      </c>
      <c r="D627" t="s">
        <v>32</v>
      </c>
      <c r="E627" t="s">
        <v>15</v>
      </c>
      <c r="F627" t="s">
        <v>15</v>
      </c>
      <c r="G627" s="1">
        <f>VALUE(18479.9811903927)</f>
        <v>18479.9811903927</v>
      </c>
      <c r="H627" s="1">
        <f>VALUE(17832.208047765)</f>
        <v>17832.208047765002</v>
      </c>
      <c r="I627" s="1">
        <f>VALUE(3047)</f>
        <v>3047</v>
      </c>
      <c r="J627" s="1">
        <f>VALUE(3730)</f>
        <v>3730</v>
      </c>
      <c r="K627" s="1">
        <f>VALUE(4697)</f>
        <v>4697</v>
      </c>
      <c r="L627" s="1">
        <f>VALUE(5652)</f>
        <v>5652</v>
      </c>
      <c r="M627" s="1">
        <f>VALUE(7087)</f>
        <v>7087</v>
      </c>
      <c r="N627" t="s">
        <v>16</v>
      </c>
    </row>
    <row r="628" spans="1:14" x14ac:dyDescent="0.25">
      <c r="A628" t="s">
        <v>14</v>
      </c>
      <c r="B628" t="s">
        <v>15</v>
      </c>
      <c r="C628" t="s">
        <v>37</v>
      </c>
      <c r="D628" t="s">
        <v>32</v>
      </c>
      <c r="E628" t="s">
        <v>15</v>
      </c>
      <c r="F628" t="s">
        <v>17</v>
      </c>
      <c r="G628" s="1">
        <f>VALUE(1602.1779958875)</f>
        <v>1602.1779958874999</v>
      </c>
      <c r="H628" s="1">
        <f>VALUE(1557.0520136819)</f>
        <v>1557.0520136819</v>
      </c>
      <c r="I628" s="4">
        <f>VALUE(4399)</f>
        <v>4399</v>
      </c>
      <c r="J628" s="1">
        <f>VALUE(5542)</f>
        <v>5542</v>
      </c>
      <c r="K628" s="1">
        <f>VALUE(7000)</f>
        <v>7000</v>
      </c>
      <c r="L628" s="1">
        <f>VALUE(9438)</f>
        <v>9438</v>
      </c>
      <c r="M628" s="8">
        <f>VALUE(12067)</f>
        <v>12067</v>
      </c>
      <c r="N628" t="s">
        <v>25</v>
      </c>
    </row>
    <row r="629" spans="1:14" x14ac:dyDescent="0.25">
      <c r="A629" t="s">
        <v>14</v>
      </c>
      <c r="B629" t="s">
        <v>15</v>
      </c>
      <c r="C629" t="s">
        <v>37</v>
      </c>
      <c r="D629" t="s">
        <v>32</v>
      </c>
      <c r="E629" t="s">
        <v>15</v>
      </c>
      <c r="F629" t="s">
        <v>18</v>
      </c>
      <c r="G629" s="1">
        <f>VALUE(1633.9119985438)</f>
        <v>1633.9119985438001</v>
      </c>
      <c r="H629" s="1">
        <f>VALUE(1598.1258413568)</f>
        <v>1598.1258413568</v>
      </c>
      <c r="I629" s="1">
        <f>VALUE(3913)</f>
        <v>3913</v>
      </c>
      <c r="J629" s="1">
        <f>VALUE(4604)</f>
        <v>4604</v>
      </c>
      <c r="K629" s="1">
        <f>VALUE(5553)</f>
        <v>5553</v>
      </c>
      <c r="L629" s="1">
        <f>VALUE(6963)</f>
        <v>6963</v>
      </c>
      <c r="M629" s="1">
        <f>VALUE(8236)</f>
        <v>8236</v>
      </c>
      <c r="N629" t="s">
        <v>16</v>
      </c>
    </row>
    <row r="630" spans="1:14" x14ac:dyDescent="0.25">
      <c r="A630" t="s">
        <v>14</v>
      </c>
      <c r="B630" t="s">
        <v>15</v>
      </c>
      <c r="C630" t="s">
        <v>37</v>
      </c>
      <c r="D630" t="s">
        <v>32</v>
      </c>
      <c r="E630" t="s">
        <v>15</v>
      </c>
      <c r="F630" t="s">
        <v>19</v>
      </c>
      <c r="G630" s="1">
        <f>VALUE(2230.3801227999)</f>
        <v>2230.3801227999002</v>
      </c>
      <c r="H630" s="1">
        <f>VALUE(2216.6298318528)</f>
        <v>2216.6298318528002</v>
      </c>
      <c r="I630" s="1">
        <f>VALUE(3595)</f>
        <v>3595</v>
      </c>
      <c r="J630" s="1">
        <f>VALUE(4317)</f>
        <v>4317</v>
      </c>
      <c r="K630" s="1">
        <f>VALUE(5121)</f>
        <v>5121</v>
      </c>
      <c r="L630" s="1">
        <f>VALUE(6110)</f>
        <v>6110</v>
      </c>
      <c r="M630" s="1">
        <f>VALUE(7333)</f>
        <v>7333</v>
      </c>
      <c r="N630" t="s">
        <v>16</v>
      </c>
    </row>
    <row r="631" spans="1:14" x14ac:dyDescent="0.25">
      <c r="A631" t="s">
        <v>14</v>
      </c>
      <c r="B631" t="s">
        <v>15</v>
      </c>
      <c r="C631" t="s">
        <v>37</v>
      </c>
      <c r="D631" t="s">
        <v>32</v>
      </c>
      <c r="E631" t="s">
        <v>15</v>
      </c>
      <c r="F631" t="s">
        <v>20</v>
      </c>
      <c r="G631" s="1">
        <f>VALUE(13006.9235063427)</f>
        <v>13006.9235063427</v>
      </c>
      <c r="H631" s="1">
        <f>VALUE(12454.2357840081)</f>
        <v>12454.2357840081</v>
      </c>
      <c r="I631" s="1">
        <f>VALUE(2861)</f>
        <v>2861</v>
      </c>
      <c r="J631" s="1">
        <f>VALUE(3471)</f>
        <v>3471</v>
      </c>
      <c r="K631" s="1">
        <f>VALUE(4333)</f>
        <v>4333</v>
      </c>
      <c r="L631" s="1">
        <f>VALUE(5198)</f>
        <v>5198</v>
      </c>
      <c r="M631" s="1">
        <f>VALUE(5928)</f>
        <v>5928</v>
      </c>
      <c r="N631" t="s">
        <v>16</v>
      </c>
    </row>
    <row r="632" spans="1:14" x14ac:dyDescent="0.25">
      <c r="A632" t="s">
        <v>14</v>
      </c>
      <c r="B632" t="s">
        <v>15</v>
      </c>
      <c r="C632" t="s">
        <v>37</v>
      </c>
      <c r="D632" t="s">
        <v>32</v>
      </c>
      <c r="E632" t="s">
        <v>21</v>
      </c>
      <c r="F632" t="s">
        <v>15</v>
      </c>
      <c r="G632" s="1">
        <f>VALUE(2524.105682688)</f>
        <v>2524.1056826879999</v>
      </c>
      <c r="H632" s="1">
        <f>VALUE(2406.4701674208)</f>
        <v>2406.4701674208</v>
      </c>
      <c r="I632" s="1">
        <f>VALUE(4235)</f>
        <v>4235</v>
      </c>
      <c r="J632" s="1">
        <f>VALUE(5238)</f>
        <v>5238</v>
      </c>
      <c r="K632" s="1">
        <f>VALUE(6350)</f>
        <v>6350</v>
      </c>
      <c r="L632" s="1">
        <f>VALUE(8000)</f>
        <v>8000</v>
      </c>
      <c r="M632" s="1">
        <f>VALUE(10812)</f>
        <v>10812</v>
      </c>
      <c r="N632" t="s">
        <v>16</v>
      </c>
    </row>
    <row r="633" spans="1:14" x14ac:dyDescent="0.25">
      <c r="A633" t="s">
        <v>14</v>
      </c>
      <c r="B633" t="s">
        <v>15</v>
      </c>
      <c r="C633" t="s">
        <v>37</v>
      </c>
      <c r="D633" t="s">
        <v>32</v>
      </c>
      <c r="E633" t="s">
        <v>21</v>
      </c>
      <c r="F633" t="s">
        <v>17</v>
      </c>
      <c r="G633" s="2">
        <f>VALUE(915.8092739173)</f>
        <v>915.80927391729995</v>
      </c>
      <c r="H633" s="3">
        <f>VALUE(877.1394997923)</f>
        <v>877.13949979229994</v>
      </c>
      <c r="I633" s="4">
        <f>VALUE(4762)</f>
        <v>4762</v>
      </c>
      <c r="J633" s="1">
        <f>VALUE(6118)</f>
        <v>6118</v>
      </c>
      <c r="K633" s="1">
        <f>VALUE(7800)</f>
        <v>7800</v>
      </c>
      <c r="L633" s="1">
        <f>VALUE(10405)</f>
        <v>10405</v>
      </c>
      <c r="M633" s="8">
        <f>VALUE(14080)</f>
        <v>14080</v>
      </c>
      <c r="N633" t="s">
        <v>25</v>
      </c>
    </row>
    <row r="634" spans="1:14" x14ac:dyDescent="0.25">
      <c r="A634" t="s">
        <v>14</v>
      </c>
      <c r="B634" t="s">
        <v>15</v>
      </c>
      <c r="C634" t="s">
        <v>37</v>
      </c>
      <c r="D634" t="s">
        <v>32</v>
      </c>
      <c r="E634" t="s">
        <v>21</v>
      </c>
      <c r="F634" t="s">
        <v>18</v>
      </c>
      <c r="G634" s="2">
        <f>VALUE(467.1967301615)</f>
        <v>467.1967301615</v>
      </c>
      <c r="H634" s="3">
        <f>VALUE(440.8952049038)</f>
        <v>440.89520490379999</v>
      </c>
      <c r="I634" s="1">
        <f>VALUE(4173)</f>
        <v>4173</v>
      </c>
      <c r="J634" s="1">
        <f>VALUE(5319)</f>
        <v>5319</v>
      </c>
      <c r="K634" s="1">
        <f>VALUE(6504)</f>
        <v>6504</v>
      </c>
      <c r="L634" s="1">
        <f>VALUE(7857)</f>
        <v>7857</v>
      </c>
      <c r="M634" s="8">
        <f>VALUE(9533)</f>
        <v>9533</v>
      </c>
      <c r="N634" t="s">
        <v>25</v>
      </c>
    </row>
    <row r="635" spans="1:14" x14ac:dyDescent="0.25">
      <c r="A635" t="s">
        <v>14</v>
      </c>
      <c r="B635" t="s">
        <v>15</v>
      </c>
      <c r="C635" t="s">
        <v>37</v>
      </c>
      <c r="D635" t="s">
        <v>32</v>
      </c>
      <c r="E635" t="s">
        <v>21</v>
      </c>
      <c r="F635" t="s">
        <v>19</v>
      </c>
      <c r="G635" s="2">
        <f>VALUE(343.280349308)</f>
        <v>343.28034930799998</v>
      </c>
      <c r="H635" s="3">
        <f>VALUE(325.7739491901)</f>
        <v>325.77394919009998</v>
      </c>
      <c r="I635" s="1">
        <f>VALUE(4605)</f>
        <v>4605</v>
      </c>
      <c r="J635" s="1">
        <f>VALUE(5335)</f>
        <v>5335</v>
      </c>
      <c r="K635" s="1">
        <f>VALUE(6230)</f>
        <v>6230</v>
      </c>
      <c r="L635" s="1">
        <f>VALUE(7333)</f>
        <v>7333</v>
      </c>
      <c r="M635" s="8">
        <f>VALUE(8346)</f>
        <v>8346</v>
      </c>
      <c r="N635" t="s">
        <v>25</v>
      </c>
    </row>
    <row r="636" spans="1:14" x14ac:dyDescent="0.25">
      <c r="A636" t="s">
        <v>14</v>
      </c>
      <c r="B636" t="s">
        <v>15</v>
      </c>
      <c r="C636" t="s">
        <v>37</v>
      </c>
      <c r="D636" t="s">
        <v>32</v>
      </c>
      <c r="E636" t="s">
        <v>21</v>
      </c>
      <c r="F636" t="s">
        <v>20</v>
      </c>
      <c r="G636" s="2">
        <f>VALUE(795.4616620166)</f>
        <v>795.46166201660003</v>
      </c>
      <c r="H636" s="3">
        <f>VALUE(760.30384625)</f>
        <v>760.30384624999999</v>
      </c>
      <c r="I636" s="4">
        <f>VALUE(3714)</f>
        <v>3714</v>
      </c>
      <c r="J636" s="1">
        <f>VALUE(4581)</f>
        <v>4581</v>
      </c>
      <c r="K636" s="1">
        <f>VALUE(5540)</f>
        <v>5540</v>
      </c>
      <c r="L636" s="1">
        <f>VALUE(6500)</f>
        <v>6500</v>
      </c>
      <c r="M636" s="1">
        <f>VALUE(7604)</f>
        <v>7604</v>
      </c>
      <c r="N636" t="s">
        <v>25</v>
      </c>
    </row>
    <row r="637" spans="1:14" x14ac:dyDescent="0.25">
      <c r="A637" t="s">
        <v>14</v>
      </c>
      <c r="B637" t="s">
        <v>15</v>
      </c>
      <c r="C637" t="s">
        <v>37</v>
      </c>
      <c r="D637" t="s">
        <v>32</v>
      </c>
      <c r="E637" t="s">
        <v>22</v>
      </c>
      <c r="F637" t="s">
        <v>15</v>
      </c>
      <c r="G637" s="1">
        <f>VALUE(4495.9134861819)</f>
        <v>4495.9134861819002</v>
      </c>
      <c r="H637" s="1">
        <f>VALUE(4417.3412832311)</f>
        <v>4417.3412832310996</v>
      </c>
      <c r="I637" s="1">
        <f>VALUE(3569)</f>
        <v>3569</v>
      </c>
      <c r="J637" s="1">
        <f>VALUE(4281)</f>
        <v>4281</v>
      </c>
      <c r="K637" s="1">
        <f>VALUE(5139)</f>
        <v>5139</v>
      </c>
      <c r="L637" s="1">
        <f>VALUE(6088)</f>
        <v>6088</v>
      </c>
      <c r="M637" s="1">
        <f>VALUE(7246)</f>
        <v>7246</v>
      </c>
      <c r="N637" t="s">
        <v>16</v>
      </c>
    </row>
    <row r="638" spans="1:14" x14ac:dyDescent="0.25">
      <c r="A638" t="s">
        <v>14</v>
      </c>
      <c r="B638" t="s">
        <v>15</v>
      </c>
      <c r="C638" t="s">
        <v>37</v>
      </c>
      <c r="D638" t="s">
        <v>32</v>
      </c>
      <c r="E638" t="s">
        <v>22</v>
      </c>
      <c r="F638" t="s">
        <v>17</v>
      </c>
      <c r="G638" s="2">
        <f>VALUE(358.6935707914)</f>
        <v>358.69357079140002</v>
      </c>
      <c r="H638" s="3">
        <f>VALUE(356.220681254)</f>
        <v>356.220681254</v>
      </c>
      <c r="I638" s="1">
        <f>VALUE(4737)</f>
        <v>4737</v>
      </c>
      <c r="J638" s="1">
        <f>VALUE(5565)</f>
        <v>5565</v>
      </c>
      <c r="K638" s="1">
        <f>VALUE(6593)</f>
        <v>6593</v>
      </c>
      <c r="L638" s="7">
        <f>VALUE(8392)</f>
        <v>8392</v>
      </c>
      <c r="M638" s="8">
        <f>VALUE(10767)</f>
        <v>10767</v>
      </c>
      <c r="N638" t="s">
        <v>25</v>
      </c>
    </row>
    <row r="639" spans="1:14" x14ac:dyDescent="0.25">
      <c r="A639" t="s">
        <v>14</v>
      </c>
      <c r="B639" t="s">
        <v>15</v>
      </c>
      <c r="C639" t="s">
        <v>37</v>
      </c>
      <c r="D639" t="s">
        <v>32</v>
      </c>
      <c r="E639" t="s">
        <v>22</v>
      </c>
      <c r="F639" t="s">
        <v>18</v>
      </c>
      <c r="G639" s="2">
        <f>VALUE(536.8885545038)</f>
        <v>536.88855450380004</v>
      </c>
      <c r="H639" s="3">
        <f>VALUE(530.1712510104)</f>
        <v>530.17125101040006</v>
      </c>
      <c r="I639" s="1">
        <f>VALUE(4000)</f>
        <v>4000</v>
      </c>
      <c r="J639" s="1">
        <f>VALUE(4829)</f>
        <v>4829</v>
      </c>
      <c r="K639" s="1">
        <f>VALUE(5889)</f>
        <v>5889</v>
      </c>
      <c r="L639" s="1">
        <f>VALUE(6963)</f>
        <v>6963</v>
      </c>
      <c r="M639" s="1">
        <f>VALUE(7888)</f>
        <v>7888</v>
      </c>
      <c r="N639" t="s">
        <v>25</v>
      </c>
    </row>
    <row r="640" spans="1:14" x14ac:dyDescent="0.25">
      <c r="A640" t="s">
        <v>14</v>
      </c>
      <c r="B640" t="s">
        <v>15</v>
      </c>
      <c r="C640" t="s">
        <v>37</v>
      </c>
      <c r="D640" t="s">
        <v>32</v>
      </c>
      <c r="E640" t="s">
        <v>22</v>
      </c>
      <c r="F640" t="s">
        <v>19</v>
      </c>
      <c r="G640" s="2">
        <f>VALUE(844.3171450773)</f>
        <v>844.31714507729998</v>
      </c>
      <c r="H640" s="3">
        <f>VALUE(839.8706778085)</f>
        <v>839.87067780849998</v>
      </c>
      <c r="I640" s="1">
        <f>VALUE(3624)</f>
        <v>3624</v>
      </c>
      <c r="J640" s="1">
        <f>VALUE(4333)</f>
        <v>4333</v>
      </c>
      <c r="K640" s="1">
        <f>VALUE(5070)</f>
        <v>5070</v>
      </c>
      <c r="L640" s="1">
        <f>VALUE(6097)</f>
        <v>6097</v>
      </c>
      <c r="M640" s="1">
        <f>VALUE(7226)</f>
        <v>7226</v>
      </c>
      <c r="N640" t="s">
        <v>25</v>
      </c>
    </row>
    <row r="641" spans="1:14" x14ac:dyDescent="0.25">
      <c r="A641" t="s">
        <v>14</v>
      </c>
      <c r="B641" t="s">
        <v>15</v>
      </c>
      <c r="C641" t="s">
        <v>37</v>
      </c>
      <c r="D641" t="s">
        <v>32</v>
      </c>
      <c r="E641" t="s">
        <v>22</v>
      </c>
      <c r="F641" t="s">
        <v>20</v>
      </c>
      <c r="G641" s="1">
        <f>VALUE(2756.0142158094)</f>
        <v>2756.0142158094</v>
      </c>
      <c r="H641" s="1">
        <f>VALUE(2691.0786731582)</f>
        <v>2691.0786731582002</v>
      </c>
      <c r="I641" s="4">
        <f>VALUE(3353)</f>
        <v>3353</v>
      </c>
      <c r="J641" s="1">
        <f>VALUE(4117)</f>
        <v>4117</v>
      </c>
      <c r="K641" s="1">
        <f>VALUE(4920)</f>
        <v>4920</v>
      </c>
      <c r="L641" s="1">
        <f>VALUE(5633)</f>
        <v>5633</v>
      </c>
      <c r="M641" s="1">
        <f>VALUE(6608)</f>
        <v>6608</v>
      </c>
      <c r="N641" t="s">
        <v>25</v>
      </c>
    </row>
    <row r="642" spans="1:14" x14ac:dyDescent="0.25">
      <c r="A642" t="s">
        <v>14</v>
      </c>
      <c r="B642" t="s">
        <v>15</v>
      </c>
      <c r="C642" t="s">
        <v>37</v>
      </c>
      <c r="D642" t="s">
        <v>32</v>
      </c>
      <c r="E642" t="s">
        <v>23</v>
      </c>
      <c r="F642" t="s">
        <v>15</v>
      </c>
      <c r="G642" s="1">
        <f>VALUE(11306.0562923557)</f>
        <v>11306.056292355701</v>
      </c>
      <c r="H642" s="1">
        <f>VALUE(10869.0447902661)</f>
        <v>10869.0447902661</v>
      </c>
      <c r="I642" s="1">
        <f>VALUE(2860)</f>
        <v>2860</v>
      </c>
      <c r="J642" s="1">
        <f>VALUE(3450)</f>
        <v>3450</v>
      </c>
      <c r="K642" s="1">
        <f>VALUE(4230)</f>
        <v>4230</v>
      </c>
      <c r="L642" s="1">
        <f>VALUE(5084)</f>
        <v>5084</v>
      </c>
      <c r="M642" s="1">
        <f>VALUE(5847)</f>
        <v>5847</v>
      </c>
      <c r="N642" t="s">
        <v>16</v>
      </c>
    </row>
    <row r="643" spans="1:14" x14ac:dyDescent="0.25">
      <c r="A643" t="s">
        <v>14</v>
      </c>
      <c r="B643" t="s">
        <v>15</v>
      </c>
      <c r="C643" t="s">
        <v>37</v>
      </c>
      <c r="D643" t="s">
        <v>32</v>
      </c>
      <c r="E643" t="s">
        <v>23</v>
      </c>
      <c r="F643" t="s">
        <v>17</v>
      </c>
      <c r="G643" s="2">
        <f>VALUE(324.6683887688)</f>
        <v>324.66838876880001</v>
      </c>
      <c r="H643" s="3">
        <f>VALUE(320.9551866199)</f>
        <v>320.95518661990002</v>
      </c>
      <c r="I643" s="1">
        <f>VALUE(4000)</f>
        <v>4000</v>
      </c>
      <c r="J643" s="5">
        <f>VALUE(5046)</f>
        <v>5046</v>
      </c>
      <c r="K643" s="6">
        <f>VALUE(5852)</f>
        <v>5852</v>
      </c>
      <c r="L643" s="1">
        <f>VALUE(7137)</f>
        <v>7137</v>
      </c>
      <c r="M643" s="8">
        <f>VALUE(9176)</f>
        <v>9176</v>
      </c>
      <c r="N643" t="s">
        <v>25</v>
      </c>
    </row>
    <row r="644" spans="1:14" x14ac:dyDescent="0.25">
      <c r="A644" t="s">
        <v>14</v>
      </c>
      <c r="B644" t="s">
        <v>15</v>
      </c>
      <c r="C644" t="s">
        <v>37</v>
      </c>
      <c r="D644" t="s">
        <v>32</v>
      </c>
      <c r="E644" t="s">
        <v>23</v>
      </c>
      <c r="F644" t="s">
        <v>18</v>
      </c>
      <c r="G644" s="2">
        <f>VALUE(623.0918062846)</f>
        <v>623.09180628460001</v>
      </c>
      <c r="H644" s="3">
        <f>VALUE(619.876071481)</f>
        <v>619.87607148100005</v>
      </c>
      <c r="I644" s="1">
        <f>VALUE(3679)</f>
        <v>3679</v>
      </c>
      <c r="J644" s="1">
        <f>VALUE(4193)</f>
        <v>4193</v>
      </c>
      <c r="K644" s="1">
        <f>VALUE(4876)</f>
        <v>4876</v>
      </c>
      <c r="L644" s="1">
        <f>VALUE(5763)</f>
        <v>5763</v>
      </c>
      <c r="M644" s="1">
        <f>VALUE(7137)</f>
        <v>7137</v>
      </c>
      <c r="N644" t="s">
        <v>25</v>
      </c>
    </row>
    <row r="645" spans="1:14" x14ac:dyDescent="0.25">
      <c r="A645" t="s">
        <v>14</v>
      </c>
      <c r="B645" t="s">
        <v>15</v>
      </c>
      <c r="C645" t="s">
        <v>37</v>
      </c>
      <c r="D645" t="s">
        <v>32</v>
      </c>
      <c r="E645" t="s">
        <v>23</v>
      </c>
      <c r="F645" t="s">
        <v>19</v>
      </c>
      <c r="G645" s="2">
        <f>VALUE(1041.081547393)</f>
        <v>1041.0815473929999</v>
      </c>
      <c r="H645" s="3">
        <f>VALUE(1049.2245859968)</f>
        <v>1049.2245859968</v>
      </c>
      <c r="I645" s="1">
        <f>VALUE(3482)</f>
        <v>3482</v>
      </c>
      <c r="J645" s="1">
        <f>VALUE(4093)</f>
        <v>4093</v>
      </c>
      <c r="K645" s="1">
        <f>VALUE(4875)</f>
        <v>4875</v>
      </c>
      <c r="L645" s="1">
        <f>VALUE(5757)</f>
        <v>5757</v>
      </c>
      <c r="M645" s="8">
        <f>VALUE(6532)</f>
        <v>6532</v>
      </c>
      <c r="N645" t="s">
        <v>25</v>
      </c>
    </row>
    <row r="646" spans="1:14" x14ac:dyDescent="0.25">
      <c r="A646" t="s">
        <v>14</v>
      </c>
      <c r="B646" t="s">
        <v>15</v>
      </c>
      <c r="C646" t="s">
        <v>37</v>
      </c>
      <c r="D646" t="s">
        <v>32</v>
      </c>
      <c r="E646" t="s">
        <v>23</v>
      </c>
      <c r="F646" t="s">
        <v>20</v>
      </c>
      <c r="G646" s="1">
        <f>VALUE(9317.2145499093)</f>
        <v>9317.2145499093003</v>
      </c>
      <c r="H646" s="1">
        <f>VALUE(8878.9889461684)</f>
        <v>8878.9889461683997</v>
      </c>
      <c r="I646" s="1">
        <f>VALUE(2803)</f>
        <v>2803</v>
      </c>
      <c r="J646" s="1">
        <f>VALUE(3330)</f>
        <v>3330</v>
      </c>
      <c r="K646" s="1">
        <f>VALUE(4090)</f>
        <v>4090</v>
      </c>
      <c r="L646" s="1">
        <f>VALUE(4947)</f>
        <v>4947</v>
      </c>
      <c r="M646" s="1">
        <f>VALUE(5549)</f>
        <v>5549</v>
      </c>
      <c r="N646" t="s">
        <v>16</v>
      </c>
    </row>
    <row r="647" spans="1:14" x14ac:dyDescent="0.25">
      <c r="A647" t="s">
        <v>14</v>
      </c>
      <c r="B647" t="s">
        <v>15</v>
      </c>
      <c r="C647" t="s">
        <v>37</v>
      </c>
      <c r="D647" t="s">
        <v>32</v>
      </c>
      <c r="E647" t="s">
        <v>26</v>
      </c>
      <c r="F647" t="s">
        <v>15</v>
      </c>
      <c r="G647" s="2">
        <f>VALUE(153.9057291671)</f>
        <v>153.90572916709999</v>
      </c>
      <c r="H647" s="3">
        <f>VALUE(139.351806847)</f>
        <v>139.35180684700001</v>
      </c>
      <c r="I647" s="1">
        <f>VALUE(2948)</f>
        <v>2948</v>
      </c>
      <c r="J647" s="1">
        <f>VALUE(3164)</f>
        <v>3164</v>
      </c>
      <c r="K647" s="6">
        <f>VALUE(3609)</f>
        <v>3609</v>
      </c>
      <c r="L647" s="1">
        <f>VALUE(5281)</f>
        <v>5281</v>
      </c>
      <c r="M647" s="8">
        <f>VALUE(6984)</f>
        <v>6984</v>
      </c>
      <c r="N647" t="s">
        <v>25</v>
      </c>
    </row>
    <row r="648" spans="1:14" x14ac:dyDescent="0.25">
      <c r="A648" t="s">
        <v>14</v>
      </c>
      <c r="B648" t="s">
        <v>15</v>
      </c>
      <c r="C648" t="s">
        <v>37</v>
      </c>
      <c r="D648" t="s">
        <v>32</v>
      </c>
      <c r="E648" t="s">
        <v>26</v>
      </c>
      <c r="F648" t="s">
        <v>17</v>
      </c>
      <c r="G648" s="1" t="str">
        <f t="shared" ref="G648:M650" si="122">"X"</f>
        <v>X</v>
      </c>
      <c r="H648" s="1" t="str">
        <f t="shared" si="122"/>
        <v>X</v>
      </c>
      <c r="I648" s="1" t="str">
        <f t="shared" si="122"/>
        <v>X</v>
      </c>
      <c r="J648" s="1" t="str">
        <f t="shared" si="122"/>
        <v>X</v>
      </c>
      <c r="K648" s="1" t="str">
        <f t="shared" si="122"/>
        <v>X</v>
      </c>
      <c r="L648" s="1" t="str">
        <f t="shared" si="122"/>
        <v>X</v>
      </c>
      <c r="M648" s="1" t="str">
        <f t="shared" si="122"/>
        <v>X</v>
      </c>
      <c r="N648" t="s">
        <v>27</v>
      </c>
    </row>
    <row r="649" spans="1:14" x14ac:dyDescent="0.25">
      <c r="A649" t="s">
        <v>14</v>
      </c>
      <c r="B649" t="s">
        <v>15</v>
      </c>
      <c r="C649" t="s">
        <v>37</v>
      </c>
      <c r="D649" t="s">
        <v>32</v>
      </c>
      <c r="E649" t="s">
        <v>26</v>
      </c>
      <c r="F649" t="s">
        <v>18</v>
      </c>
      <c r="G649" s="1" t="str">
        <f t="shared" si="122"/>
        <v>X</v>
      </c>
      <c r="H649" s="1" t="str">
        <f t="shared" si="122"/>
        <v>X</v>
      </c>
      <c r="I649" s="1" t="str">
        <f t="shared" si="122"/>
        <v>X</v>
      </c>
      <c r="J649" s="1" t="str">
        <f t="shared" si="122"/>
        <v>X</v>
      </c>
      <c r="K649" s="1" t="str">
        <f t="shared" si="122"/>
        <v>X</v>
      </c>
      <c r="L649" s="1" t="str">
        <f t="shared" si="122"/>
        <v>X</v>
      </c>
      <c r="M649" s="1" t="str">
        <f t="shared" si="122"/>
        <v>X</v>
      </c>
      <c r="N649" t="s">
        <v>27</v>
      </c>
    </row>
    <row r="650" spans="1:14" x14ac:dyDescent="0.25">
      <c r="A650" t="s">
        <v>14</v>
      </c>
      <c r="B650" t="s">
        <v>15</v>
      </c>
      <c r="C650" t="s">
        <v>37</v>
      </c>
      <c r="D650" t="s">
        <v>32</v>
      </c>
      <c r="E650" t="s">
        <v>26</v>
      </c>
      <c r="F650" t="s">
        <v>19</v>
      </c>
      <c r="G650" s="1" t="str">
        <f t="shared" si="122"/>
        <v>X</v>
      </c>
      <c r="H650" s="1" t="str">
        <f t="shared" si="122"/>
        <v>X</v>
      </c>
      <c r="I650" s="1" t="str">
        <f t="shared" si="122"/>
        <v>X</v>
      </c>
      <c r="J650" s="1" t="str">
        <f t="shared" si="122"/>
        <v>X</v>
      </c>
      <c r="K650" s="1" t="str">
        <f t="shared" si="122"/>
        <v>X</v>
      </c>
      <c r="L650" s="1" t="str">
        <f t="shared" si="122"/>
        <v>X</v>
      </c>
      <c r="M650" s="1" t="str">
        <f t="shared" si="122"/>
        <v>X</v>
      </c>
      <c r="N650" t="s">
        <v>27</v>
      </c>
    </row>
    <row r="651" spans="1:14" x14ac:dyDescent="0.25">
      <c r="A651" t="s">
        <v>14</v>
      </c>
      <c r="B651" t="s">
        <v>15</v>
      </c>
      <c r="C651" t="s">
        <v>37</v>
      </c>
      <c r="D651" t="s">
        <v>32</v>
      </c>
      <c r="E651" t="s">
        <v>26</v>
      </c>
      <c r="F651" t="s">
        <v>20</v>
      </c>
      <c r="G651" s="2">
        <f>VALUE(138.2330786074)</f>
        <v>138.23307860739999</v>
      </c>
      <c r="H651" s="3">
        <f>VALUE(123.8643184315)</f>
        <v>123.8643184315</v>
      </c>
      <c r="I651" s="1">
        <f>VALUE(2948)</f>
        <v>2948</v>
      </c>
      <c r="J651" s="1">
        <f>VALUE(3143)</f>
        <v>3143</v>
      </c>
      <c r="K651" s="1">
        <f>VALUE(3497)</f>
        <v>3497</v>
      </c>
      <c r="L651" s="1">
        <f>VALUE(5281)</f>
        <v>5281</v>
      </c>
      <c r="M651" s="1">
        <f>VALUE(5417)</f>
        <v>5417</v>
      </c>
      <c r="N651" t="s">
        <v>25</v>
      </c>
    </row>
    <row r="652" spans="1:14" x14ac:dyDescent="0.25">
      <c r="A652" t="s">
        <v>14</v>
      </c>
      <c r="B652" t="s">
        <v>15</v>
      </c>
      <c r="C652" t="s">
        <v>37</v>
      </c>
      <c r="D652" t="s">
        <v>33</v>
      </c>
      <c r="E652" t="s">
        <v>15</v>
      </c>
      <c r="F652" t="s">
        <v>15</v>
      </c>
      <c r="G652" s="2">
        <f>VALUE(678.8613002977)</f>
        <v>678.86130029770004</v>
      </c>
      <c r="H652" s="3">
        <f>VALUE(598.8996257127)</f>
        <v>598.89962571269996</v>
      </c>
      <c r="I652" s="1">
        <f>VALUE(3270)</f>
        <v>3270</v>
      </c>
      <c r="J652" s="5">
        <f>VALUE(3810)</f>
        <v>3810</v>
      </c>
      <c r="K652" s="6">
        <f>VALUE(5000)</f>
        <v>5000</v>
      </c>
      <c r="L652" s="1">
        <f>VALUE(6524)</f>
        <v>6524</v>
      </c>
      <c r="M652" s="8">
        <f>VALUE(10450)</f>
        <v>10450</v>
      </c>
      <c r="N652" t="s">
        <v>25</v>
      </c>
    </row>
    <row r="653" spans="1:14" x14ac:dyDescent="0.25">
      <c r="A653" t="s">
        <v>14</v>
      </c>
      <c r="B653" t="s">
        <v>15</v>
      </c>
      <c r="C653" t="s">
        <v>37</v>
      </c>
      <c r="D653" t="s">
        <v>33</v>
      </c>
      <c r="E653" t="s">
        <v>15</v>
      </c>
      <c r="F653" t="s">
        <v>17</v>
      </c>
      <c r="G653" s="1" t="str">
        <f t="shared" ref="G653:M655" si="123">"X"</f>
        <v>X</v>
      </c>
      <c r="H653" s="1" t="str">
        <f t="shared" si="123"/>
        <v>X</v>
      </c>
      <c r="I653" s="1" t="str">
        <f t="shared" si="123"/>
        <v>X</v>
      </c>
      <c r="J653" s="1" t="str">
        <f t="shared" si="123"/>
        <v>X</v>
      </c>
      <c r="K653" s="1" t="str">
        <f t="shared" si="123"/>
        <v>X</v>
      </c>
      <c r="L653" s="1" t="str">
        <f t="shared" si="123"/>
        <v>X</v>
      </c>
      <c r="M653" s="1" t="str">
        <f t="shared" si="123"/>
        <v>X</v>
      </c>
      <c r="N653" t="s">
        <v>27</v>
      </c>
    </row>
    <row r="654" spans="1:14" x14ac:dyDescent="0.25">
      <c r="A654" t="s">
        <v>14</v>
      </c>
      <c r="B654" t="s">
        <v>15</v>
      </c>
      <c r="C654" t="s">
        <v>37</v>
      </c>
      <c r="D654" t="s">
        <v>33</v>
      </c>
      <c r="E654" t="s">
        <v>15</v>
      </c>
      <c r="F654" t="s">
        <v>18</v>
      </c>
      <c r="G654" s="1" t="str">
        <f t="shared" si="123"/>
        <v>X</v>
      </c>
      <c r="H654" s="1" t="str">
        <f t="shared" si="123"/>
        <v>X</v>
      </c>
      <c r="I654" s="1" t="str">
        <f t="shared" si="123"/>
        <v>X</v>
      </c>
      <c r="J654" s="1" t="str">
        <f t="shared" si="123"/>
        <v>X</v>
      </c>
      <c r="K654" s="1" t="str">
        <f t="shared" si="123"/>
        <v>X</v>
      </c>
      <c r="L654" s="1" t="str">
        <f t="shared" si="123"/>
        <v>X</v>
      </c>
      <c r="M654" s="1" t="str">
        <f t="shared" si="123"/>
        <v>X</v>
      </c>
      <c r="N654" t="s">
        <v>27</v>
      </c>
    </row>
    <row r="655" spans="1:14" x14ac:dyDescent="0.25">
      <c r="A655" t="s">
        <v>14</v>
      </c>
      <c r="B655" t="s">
        <v>15</v>
      </c>
      <c r="C655" t="s">
        <v>37</v>
      </c>
      <c r="D655" t="s">
        <v>33</v>
      </c>
      <c r="E655" t="s">
        <v>15</v>
      </c>
      <c r="F655" t="s">
        <v>19</v>
      </c>
      <c r="G655" s="1" t="str">
        <f t="shared" si="123"/>
        <v>X</v>
      </c>
      <c r="H655" s="1" t="str">
        <f t="shared" si="123"/>
        <v>X</v>
      </c>
      <c r="I655" s="1" t="str">
        <f t="shared" si="123"/>
        <v>X</v>
      </c>
      <c r="J655" s="1" t="str">
        <f t="shared" si="123"/>
        <v>X</v>
      </c>
      <c r="K655" s="1" t="str">
        <f t="shared" si="123"/>
        <v>X</v>
      </c>
      <c r="L655" s="1" t="str">
        <f t="shared" si="123"/>
        <v>X</v>
      </c>
      <c r="M655" s="1" t="str">
        <f t="shared" si="123"/>
        <v>X</v>
      </c>
      <c r="N655" t="s">
        <v>27</v>
      </c>
    </row>
    <row r="656" spans="1:14" x14ac:dyDescent="0.25">
      <c r="A656" t="s">
        <v>14</v>
      </c>
      <c r="B656" t="s">
        <v>15</v>
      </c>
      <c r="C656" t="s">
        <v>37</v>
      </c>
      <c r="D656" t="s">
        <v>33</v>
      </c>
      <c r="E656" t="s">
        <v>15</v>
      </c>
      <c r="F656" t="s">
        <v>20</v>
      </c>
      <c r="G656" s="2">
        <f>VALUE(357.8442103819)</f>
        <v>357.84421038189998</v>
      </c>
      <c r="H656" s="3">
        <f>VALUE(346.3274789164)</f>
        <v>346.32747891640003</v>
      </c>
      <c r="I656" s="1">
        <f>VALUE(3135)</f>
        <v>3135</v>
      </c>
      <c r="J656" s="1">
        <f>VALUE(3552)</f>
        <v>3552</v>
      </c>
      <c r="K656" s="6">
        <f>VALUE(4292)</f>
        <v>4292</v>
      </c>
      <c r="L656" s="7">
        <f>VALUE(5075)</f>
        <v>5075</v>
      </c>
      <c r="M656" s="8">
        <f>VALUE(6286)</f>
        <v>6286</v>
      </c>
      <c r="N656" t="s">
        <v>25</v>
      </c>
    </row>
    <row r="657" spans="1:14" x14ac:dyDescent="0.25">
      <c r="A657" t="s">
        <v>14</v>
      </c>
      <c r="B657" t="s">
        <v>15</v>
      </c>
      <c r="C657" t="s">
        <v>37</v>
      </c>
      <c r="D657" t="s">
        <v>33</v>
      </c>
      <c r="E657" t="s">
        <v>21</v>
      </c>
      <c r="F657" t="s">
        <v>15</v>
      </c>
      <c r="G657" s="2">
        <f>VALUE(242.8004691213)</f>
        <v>242.80046912130001</v>
      </c>
      <c r="H657" s="3">
        <f>VALUE(182.0091805375)</f>
        <v>182.00918053749999</v>
      </c>
      <c r="I657" s="4">
        <f>VALUE(4464)</f>
        <v>4464</v>
      </c>
      <c r="J657" s="5">
        <f>VALUE(5952)</f>
        <v>5952</v>
      </c>
      <c r="K657" s="6">
        <f>VALUE(6933)</f>
        <v>6933</v>
      </c>
      <c r="L657" s="7">
        <f>VALUE(10342)</f>
        <v>10342</v>
      </c>
      <c r="M657" s="8">
        <f>VALUE(18441)</f>
        <v>18441</v>
      </c>
      <c r="N657" t="s">
        <v>24</v>
      </c>
    </row>
    <row r="658" spans="1:14" x14ac:dyDescent="0.25">
      <c r="A658" t="s">
        <v>14</v>
      </c>
      <c r="B658" t="s">
        <v>15</v>
      </c>
      <c r="C658" t="s">
        <v>37</v>
      </c>
      <c r="D658" t="s">
        <v>33</v>
      </c>
      <c r="E658" t="s">
        <v>21</v>
      </c>
      <c r="F658" t="s">
        <v>17</v>
      </c>
      <c r="G658" s="1" t="str">
        <f t="shared" ref="G658:M661" si="124">"X"</f>
        <v>X</v>
      </c>
      <c r="H658" s="1" t="str">
        <f t="shared" si="124"/>
        <v>X</v>
      </c>
      <c r="I658" s="1" t="str">
        <f t="shared" si="124"/>
        <v>X</v>
      </c>
      <c r="J658" s="1" t="str">
        <f t="shared" si="124"/>
        <v>X</v>
      </c>
      <c r="K658" s="1" t="str">
        <f t="shared" si="124"/>
        <v>X</v>
      </c>
      <c r="L658" s="1" t="str">
        <f t="shared" si="124"/>
        <v>X</v>
      </c>
      <c r="M658" s="1" t="str">
        <f t="shared" si="124"/>
        <v>X</v>
      </c>
      <c r="N658" t="s">
        <v>27</v>
      </c>
    </row>
    <row r="659" spans="1:14" x14ac:dyDescent="0.25">
      <c r="A659" t="s">
        <v>14</v>
      </c>
      <c r="B659" t="s">
        <v>15</v>
      </c>
      <c r="C659" t="s">
        <v>37</v>
      </c>
      <c r="D659" t="s">
        <v>33</v>
      </c>
      <c r="E659" t="s">
        <v>21</v>
      </c>
      <c r="F659" t="s">
        <v>18</v>
      </c>
      <c r="G659" s="1" t="str">
        <f t="shared" si="124"/>
        <v>X</v>
      </c>
      <c r="H659" s="1" t="str">
        <f t="shared" si="124"/>
        <v>X</v>
      </c>
      <c r="I659" s="1" t="str">
        <f t="shared" si="124"/>
        <v>X</v>
      </c>
      <c r="J659" s="1" t="str">
        <f t="shared" si="124"/>
        <v>X</v>
      </c>
      <c r="K659" s="1" t="str">
        <f t="shared" si="124"/>
        <v>X</v>
      </c>
      <c r="L659" s="1" t="str">
        <f t="shared" si="124"/>
        <v>X</v>
      </c>
      <c r="M659" s="1" t="str">
        <f t="shared" si="124"/>
        <v>X</v>
      </c>
      <c r="N659" t="s">
        <v>27</v>
      </c>
    </row>
    <row r="660" spans="1:14" x14ac:dyDescent="0.25">
      <c r="A660" t="s">
        <v>14</v>
      </c>
      <c r="B660" t="s">
        <v>15</v>
      </c>
      <c r="C660" t="s">
        <v>37</v>
      </c>
      <c r="D660" t="s">
        <v>33</v>
      </c>
      <c r="E660" t="s">
        <v>21</v>
      </c>
      <c r="F660" t="s">
        <v>19</v>
      </c>
      <c r="G660" s="1" t="str">
        <f t="shared" si="124"/>
        <v>X</v>
      </c>
      <c r="H660" s="1" t="str">
        <f t="shared" si="124"/>
        <v>X</v>
      </c>
      <c r="I660" s="1" t="str">
        <f t="shared" si="124"/>
        <v>X</v>
      </c>
      <c r="J660" s="1" t="str">
        <f t="shared" si="124"/>
        <v>X</v>
      </c>
      <c r="K660" s="1" t="str">
        <f t="shared" si="124"/>
        <v>X</v>
      </c>
      <c r="L660" s="1" t="str">
        <f t="shared" si="124"/>
        <v>X</v>
      </c>
      <c r="M660" s="1" t="str">
        <f t="shared" si="124"/>
        <v>X</v>
      </c>
      <c r="N660" t="s">
        <v>27</v>
      </c>
    </row>
    <row r="661" spans="1:14" x14ac:dyDescent="0.25">
      <c r="A661" t="s">
        <v>14</v>
      </c>
      <c r="B661" t="s">
        <v>15</v>
      </c>
      <c r="C661" t="s">
        <v>37</v>
      </c>
      <c r="D661" t="s">
        <v>33</v>
      </c>
      <c r="E661" t="s">
        <v>21</v>
      </c>
      <c r="F661" t="s">
        <v>20</v>
      </c>
      <c r="G661" s="1" t="str">
        <f t="shared" si="124"/>
        <v>X</v>
      </c>
      <c r="H661" s="1" t="str">
        <f t="shared" si="124"/>
        <v>X</v>
      </c>
      <c r="I661" s="1" t="str">
        <f t="shared" si="124"/>
        <v>X</v>
      </c>
      <c r="J661" s="1" t="str">
        <f t="shared" si="124"/>
        <v>X</v>
      </c>
      <c r="K661" s="1" t="str">
        <f t="shared" si="124"/>
        <v>X</v>
      </c>
      <c r="L661" s="1" t="str">
        <f t="shared" si="124"/>
        <v>X</v>
      </c>
      <c r="M661" s="1" t="str">
        <f t="shared" si="124"/>
        <v>X</v>
      </c>
      <c r="N661" t="s">
        <v>27</v>
      </c>
    </row>
    <row r="662" spans="1:14" x14ac:dyDescent="0.25">
      <c r="A662" t="s">
        <v>14</v>
      </c>
      <c r="B662" t="s">
        <v>15</v>
      </c>
      <c r="C662" t="s">
        <v>37</v>
      </c>
      <c r="D662" t="s">
        <v>33</v>
      </c>
      <c r="E662" t="s">
        <v>22</v>
      </c>
      <c r="F662" t="s">
        <v>15</v>
      </c>
      <c r="G662" s="2">
        <f>VALUE(133.3698155715)</f>
        <v>133.3698155715</v>
      </c>
      <c r="H662" s="3">
        <f>VALUE(126.6857180684)</f>
        <v>126.68571806840001</v>
      </c>
      <c r="I662" s="1">
        <f>VALUE(3596)</f>
        <v>3596</v>
      </c>
      <c r="J662" s="1">
        <f>VALUE(4120)</f>
        <v>4120</v>
      </c>
      <c r="K662" s="1">
        <f>VALUE(4850)</f>
        <v>4850</v>
      </c>
      <c r="L662" s="7">
        <f>VALUE(6541)</f>
        <v>6541</v>
      </c>
      <c r="M662" s="8">
        <f>VALUE(9127)</f>
        <v>9127</v>
      </c>
      <c r="N662" t="s">
        <v>25</v>
      </c>
    </row>
    <row r="663" spans="1:14" x14ac:dyDescent="0.25">
      <c r="A663" t="s">
        <v>14</v>
      </c>
      <c r="B663" t="s">
        <v>15</v>
      </c>
      <c r="C663" t="s">
        <v>37</v>
      </c>
      <c r="D663" t="s">
        <v>33</v>
      </c>
      <c r="E663" t="s">
        <v>22</v>
      </c>
      <c r="F663" t="s">
        <v>17</v>
      </c>
      <c r="G663" s="1" t="str">
        <f t="shared" ref="G663:M666" si="125">"X"</f>
        <v>X</v>
      </c>
      <c r="H663" s="1" t="str">
        <f t="shared" si="125"/>
        <v>X</v>
      </c>
      <c r="I663" s="1" t="str">
        <f t="shared" si="125"/>
        <v>X</v>
      </c>
      <c r="J663" s="1" t="str">
        <f t="shared" si="125"/>
        <v>X</v>
      </c>
      <c r="K663" s="1" t="str">
        <f t="shared" si="125"/>
        <v>X</v>
      </c>
      <c r="L663" s="1" t="str">
        <f t="shared" si="125"/>
        <v>X</v>
      </c>
      <c r="M663" s="1" t="str">
        <f t="shared" si="125"/>
        <v>X</v>
      </c>
      <c r="N663" t="s">
        <v>27</v>
      </c>
    </row>
    <row r="664" spans="1:14" x14ac:dyDescent="0.25">
      <c r="A664" t="s">
        <v>14</v>
      </c>
      <c r="B664" t="s">
        <v>15</v>
      </c>
      <c r="C664" t="s">
        <v>37</v>
      </c>
      <c r="D664" t="s">
        <v>33</v>
      </c>
      <c r="E664" t="s">
        <v>22</v>
      </c>
      <c r="F664" t="s">
        <v>18</v>
      </c>
      <c r="G664" s="1" t="str">
        <f t="shared" si="125"/>
        <v>X</v>
      </c>
      <c r="H664" s="1" t="str">
        <f t="shared" si="125"/>
        <v>X</v>
      </c>
      <c r="I664" s="1" t="str">
        <f t="shared" si="125"/>
        <v>X</v>
      </c>
      <c r="J664" s="1" t="str">
        <f t="shared" si="125"/>
        <v>X</v>
      </c>
      <c r="K664" s="1" t="str">
        <f t="shared" si="125"/>
        <v>X</v>
      </c>
      <c r="L664" s="1" t="str">
        <f t="shared" si="125"/>
        <v>X</v>
      </c>
      <c r="M664" s="1" t="str">
        <f t="shared" si="125"/>
        <v>X</v>
      </c>
      <c r="N664" t="s">
        <v>27</v>
      </c>
    </row>
    <row r="665" spans="1:14" x14ac:dyDescent="0.25">
      <c r="A665" t="s">
        <v>14</v>
      </c>
      <c r="B665" t="s">
        <v>15</v>
      </c>
      <c r="C665" t="s">
        <v>37</v>
      </c>
      <c r="D665" t="s">
        <v>33</v>
      </c>
      <c r="E665" t="s">
        <v>22</v>
      </c>
      <c r="F665" t="s">
        <v>19</v>
      </c>
      <c r="G665" s="1" t="str">
        <f t="shared" si="125"/>
        <v>X</v>
      </c>
      <c r="H665" s="1" t="str">
        <f t="shared" si="125"/>
        <v>X</v>
      </c>
      <c r="I665" s="1" t="str">
        <f t="shared" si="125"/>
        <v>X</v>
      </c>
      <c r="J665" s="1" t="str">
        <f t="shared" si="125"/>
        <v>X</v>
      </c>
      <c r="K665" s="1" t="str">
        <f t="shared" si="125"/>
        <v>X</v>
      </c>
      <c r="L665" s="1" t="str">
        <f t="shared" si="125"/>
        <v>X</v>
      </c>
      <c r="M665" s="1" t="str">
        <f t="shared" si="125"/>
        <v>X</v>
      </c>
      <c r="N665" t="s">
        <v>27</v>
      </c>
    </row>
    <row r="666" spans="1:14" x14ac:dyDescent="0.25">
      <c r="A666" t="s">
        <v>14</v>
      </c>
      <c r="B666" t="s">
        <v>15</v>
      </c>
      <c r="C666" t="s">
        <v>37</v>
      </c>
      <c r="D666" t="s">
        <v>33</v>
      </c>
      <c r="E666" t="s">
        <v>22</v>
      </c>
      <c r="F666" t="s">
        <v>20</v>
      </c>
      <c r="G666" s="1" t="str">
        <f t="shared" si="125"/>
        <v>X</v>
      </c>
      <c r="H666" s="1" t="str">
        <f t="shared" si="125"/>
        <v>X</v>
      </c>
      <c r="I666" s="1" t="str">
        <f t="shared" si="125"/>
        <v>X</v>
      </c>
      <c r="J666" s="1" t="str">
        <f t="shared" si="125"/>
        <v>X</v>
      </c>
      <c r="K666" s="1" t="str">
        <f t="shared" si="125"/>
        <v>X</v>
      </c>
      <c r="L666" s="1" t="str">
        <f t="shared" si="125"/>
        <v>X</v>
      </c>
      <c r="M666" s="1" t="str">
        <f t="shared" si="125"/>
        <v>X</v>
      </c>
      <c r="N666" t="s">
        <v>27</v>
      </c>
    </row>
    <row r="667" spans="1:14" x14ac:dyDescent="0.25">
      <c r="A667" t="s">
        <v>14</v>
      </c>
      <c r="B667" t="s">
        <v>15</v>
      </c>
      <c r="C667" t="s">
        <v>37</v>
      </c>
      <c r="D667" t="s">
        <v>33</v>
      </c>
      <c r="E667" t="s">
        <v>23</v>
      </c>
      <c r="F667" t="s">
        <v>15</v>
      </c>
      <c r="G667" s="2">
        <f>VALUE(301.1577621428)</f>
        <v>301.15776214279998</v>
      </c>
      <c r="H667" s="3">
        <f>VALUE(288.6714736447)</f>
        <v>288.67147364469997</v>
      </c>
      <c r="I667" s="1">
        <f>VALUE(3112)</f>
        <v>3112</v>
      </c>
      <c r="J667" s="1">
        <f>VALUE(3482)</f>
        <v>3482</v>
      </c>
      <c r="K667" s="6">
        <f>VALUE(4292)</f>
        <v>4292</v>
      </c>
      <c r="L667" s="7">
        <f>VALUE(5075)</f>
        <v>5075</v>
      </c>
      <c r="M667" s="8">
        <f>VALUE(6118)</f>
        <v>6118</v>
      </c>
      <c r="N667" t="s">
        <v>25</v>
      </c>
    </row>
    <row r="668" spans="1:14" x14ac:dyDescent="0.25">
      <c r="A668" t="s">
        <v>14</v>
      </c>
      <c r="B668" t="s">
        <v>15</v>
      </c>
      <c r="C668" t="s">
        <v>37</v>
      </c>
      <c r="D668" t="s">
        <v>33</v>
      </c>
      <c r="E668" t="s">
        <v>23</v>
      </c>
      <c r="F668" t="s">
        <v>17</v>
      </c>
      <c r="G668" s="1" t="str">
        <f t="shared" ref="G668:M670" si="126">"X"</f>
        <v>X</v>
      </c>
      <c r="H668" s="1" t="str">
        <f t="shared" si="126"/>
        <v>X</v>
      </c>
      <c r="I668" s="1" t="str">
        <f t="shared" si="126"/>
        <v>X</v>
      </c>
      <c r="J668" s="1" t="str">
        <f t="shared" si="126"/>
        <v>X</v>
      </c>
      <c r="K668" s="1" t="str">
        <f t="shared" si="126"/>
        <v>X</v>
      </c>
      <c r="L668" s="1" t="str">
        <f t="shared" si="126"/>
        <v>X</v>
      </c>
      <c r="M668" s="1" t="str">
        <f t="shared" si="126"/>
        <v>X</v>
      </c>
      <c r="N668" t="s">
        <v>27</v>
      </c>
    </row>
    <row r="669" spans="1:14" x14ac:dyDescent="0.25">
      <c r="A669" t="s">
        <v>14</v>
      </c>
      <c r="B669" t="s">
        <v>15</v>
      </c>
      <c r="C669" t="s">
        <v>37</v>
      </c>
      <c r="D669" t="s">
        <v>33</v>
      </c>
      <c r="E669" t="s">
        <v>23</v>
      </c>
      <c r="F669" t="s">
        <v>18</v>
      </c>
      <c r="G669" s="1" t="str">
        <f t="shared" si="126"/>
        <v>X</v>
      </c>
      <c r="H669" s="1" t="str">
        <f t="shared" si="126"/>
        <v>X</v>
      </c>
      <c r="I669" s="1" t="str">
        <f t="shared" si="126"/>
        <v>X</v>
      </c>
      <c r="J669" s="1" t="str">
        <f t="shared" si="126"/>
        <v>X</v>
      </c>
      <c r="K669" s="1" t="str">
        <f t="shared" si="126"/>
        <v>X</v>
      </c>
      <c r="L669" s="1" t="str">
        <f t="shared" si="126"/>
        <v>X</v>
      </c>
      <c r="M669" s="1" t="str">
        <f t="shared" si="126"/>
        <v>X</v>
      </c>
      <c r="N669" t="s">
        <v>27</v>
      </c>
    </row>
    <row r="670" spans="1:14" x14ac:dyDescent="0.25">
      <c r="A670" t="s">
        <v>14</v>
      </c>
      <c r="B670" t="s">
        <v>15</v>
      </c>
      <c r="C670" t="s">
        <v>37</v>
      </c>
      <c r="D670" t="s">
        <v>33</v>
      </c>
      <c r="E670" t="s">
        <v>23</v>
      </c>
      <c r="F670" t="s">
        <v>19</v>
      </c>
      <c r="G670" s="1" t="str">
        <f t="shared" si="126"/>
        <v>X</v>
      </c>
      <c r="H670" s="1" t="str">
        <f t="shared" si="126"/>
        <v>X</v>
      </c>
      <c r="I670" s="1" t="str">
        <f t="shared" si="126"/>
        <v>X</v>
      </c>
      <c r="J670" s="1" t="str">
        <f t="shared" si="126"/>
        <v>X</v>
      </c>
      <c r="K670" s="1" t="str">
        <f t="shared" si="126"/>
        <v>X</v>
      </c>
      <c r="L670" s="1" t="str">
        <f t="shared" si="126"/>
        <v>X</v>
      </c>
      <c r="M670" s="1" t="str">
        <f t="shared" si="126"/>
        <v>X</v>
      </c>
      <c r="N670" t="s">
        <v>27</v>
      </c>
    </row>
    <row r="671" spans="1:14" x14ac:dyDescent="0.25">
      <c r="A671" t="s">
        <v>14</v>
      </c>
      <c r="B671" t="s">
        <v>15</v>
      </c>
      <c r="C671" t="s">
        <v>37</v>
      </c>
      <c r="D671" t="s">
        <v>33</v>
      </c>
      <c r="E671" t="s">
        <v>23</v>
      </c>
      <c r="F671" t="s">
        <v>20</v>
      </c>
      <c r="G671" s="2">
        <f>VALUE(267.1477735425)</f>
        <v>267.14777354249998</v>
      </c>
      <c r="H671" s="3">
        <f>VALUE(260.2802927693)</f>
        <v>260.28029276929999</v>
      </c>
      <c r="I671" s="1">
        <f>VALUE(3112)</f>
        <v>3112</v>
      </c>
      <c r="J671" s="1">
        <f>VALUE(3475)</f>
        <v>3475</v>
      </c>
      <c r="K671" s="6">
        <f>VALUE(4292)</f>
        <v>4292</v>
      </c>
      <c r="L671" s="1">
        <f>VALUE(5075)</f>
        <v>5075</v>
      </c>
      <c r="M671" s="1">
        <f>VALUE(6049)</f>
        <v>6049</v>
      </c>
      <c r="N671" t="s">
        <v>25</v>
      </c>
    </row>
    <row r="672" spans="1:14" x14ac:dyDescent="0.25">
      <c r="A672" t="s">
        <v>14</v>
      </c>
      <c r="B672" t="s">
        <v>15</v>
      </c>
      <c r="C672" t="s">
        <v>37</v>
      </c>
      <c r="D672" t="s">
        <v>33</v>
      </c>
      <c r="E672" t="s">
        <v>26</v>
      </c>
      <c r="F672" t="s">
        <v>15</v>
      </c>
      <c r="G672" s="1" t="str">
        <f t="shared" ref="G672:M672" si="127">"X"</f>
        <v>X</v>
      </c>
      <c r="H672" s="1" t="str">
        <f t="shared" si="127"/>
        <v>X</v>
      </c>
      <c r="I672" s="1" t="str">
        <f t="shared" si="127"/>
        <v>X</v>
      </c>
      <c r="J672" s="1" t="str">
        <f t="shared" si="127"/>
        <v>X</v>
      </c>
      <c r="K672" s="1" t="str">
        <f t="shared" si="127"/>
        <v>X</v>
      </c>
      <c r="L672" s="1" t="str">
        <f t="shared" si="127"/>
        <v>X</v>
      </c>
      <c r="M672" s="1" t="str">
        <f t="shared" si="127"/>
        <v>X</v>
      </c>
      <c r="N672" t="s">
        <v>27</v>
      </c>
    </row>
    <row r="673" spans="1:14" x14ac:dyDescent="0.25">
      <c r="A673" t="s">
        <v>14</v>
      </c>
      <c r="B673" t="s">
        <v>15</v>
      </c>
      <c r="C673" t="s">
        <v>37</v>
      </c>
      <c r="D673" t="s">
        <v>33</v>
      </c>
      <c r="E673" t="s">
        <v>26</v>
      </c>
      <c r="F673" t="s">
        <v>17</v>
      </c>
      <c r="G673" s="1" t="str">
        <f t="shared" ref="G673:M675" si="128">"..."</f>
        <v>...</v>
      </c>
      <c r="H673" s="1" t="str">
        <f t="shared" si="128"/>
        <v>...</v>
      </c>
      <c r="I673" s="1" t="str">
        <f t="shared" si="128"/>
        <v>...</v>
      </c>
      <c r="J673" s="1" t="str">
        <f t="shared" si="128"/>
        <v>...</v>
      </c>
      <c r="K673" s="1" t="str">
        <f t="shared" si="128"/>
        <v>...</v>
      </c>
      <c r="L673" s="1" t="str">
        <f t="shared" si="128"/>
        <v>...</v>
      </c>
      <c r="M673" s="1" t="str">
        <f t="shared" si="128"/>
        <v>...</v>
      </c>
      <c r="N673" t="s">
        <v>30</v>
      </c>
    </row>
    <row r="674" spans="1:14" x14ac:dyDescent="0.25">
      <c r="A674" t="s">
        <v>14</v>
      </c>
      <c r="B674" t="s">
        <v>15</v>
      </c>
      <c r="C674" t="s">
        <v>37</v>
      </c>
      <c r="D674" t="s">
        <v>33</v>
      </c>
      <c r="E674" t="s">
        <v>26</v>
      </c>
      <c r="F674" t="s">
        <v>18</v>
      </c>
      <c r="G674" s="1" t="str">
        <f t="shared" si="128"/>
        <v>...</v>
      </c>
      <c r="H674" s="1" t="str">
        <f t="shared" si="128"/>
        <v>...</v>
      </c>
      <c r="I674" s="1" t="str">
        <f t="shared" si="128"/>
        <v>...</v>
      </c>
      <c r="J674" s="1" t="str">
        <f t="shared" si="128"/>
        <v>...</v>
      </c>
      <c r="K674" s="1" t="str">
        <f t="shared" si="128"/>
        <v>...</v>
      </c>
      <c r="L674" s="1" t="str">
        <f t="shared" si="128"/>
        <v>...</v>
      </c>
      <c r="M674" s="1" t="str">
        <f t="shared" si="128"/>
        <v>...</v>
      </c>
      <c r="N674" t="s">
        <v>30</v>
      </c>
    </row>
    <row r="675" spans="1:14" x14ac:dyDescent="0.25">
      <c r="A675" t="s">
        <v>14</v>
      </c>
      <c r="B675" t="s">
        <v>15</v>
      </c>
      <c r="C675" t="s">
        <v>37</v>
      </c>
      <c r="D675" t="s">
        <v>33</v>
      </c>
      <c r="E675" t="s">
        <v>26</v>
      </c>
      <c r="F675" t="s">
        <v>19</v>
      </c>
      <c r="G675" s="1" t="str">
        <f t="shared" si="128"/>
        <v>...</v>
      </c>
      <c r="H675" s="1" t="str">
        <f t="shared" si="128"/>
        <v>...</v>
      </c>
      <c r="I675" s="1" t="str">
        <f t="shared" si="128"/>
        <v>...</v>
      </c>
      <c r="J675" s="1" t="str">
        <f t="shared" si="128"/>
        <v>...</v>
      </c>
      <c r="K675" s="1" t="str">
        <f t="shared" si="128"/>
        <v>...</v>
      </c>
      <c r="L675" s="1" t="str">
        <f t="shared" si="128"/>
        <v>...</v>
      </c>
      <c r="M675" s="1" t="str">
        <f t="shared" si="128"/>
        <v>...</v>
      </c>
      <c r="N675" t="s">
        <v>30</v>
      </c>
    </row>
    <row r="676" spans="1:14" x14ac:dyDescent="0.25">
      <c r="A676" t="s">
        <v>14</v>
      </c>
      <c r="B676" t="s">
        <v>15</v>
      </c>
      <c r="C676" t="s">
        <v>37</v>
      </c>
      <c r="D676" t="s">
        <v>33</v>
      </c>
      <c r="E676" t="s">
        <v>26</v>
      </c>
      <c r="F676" t="s">
        <v>20</v>
      </c>
      <c r="G676" s="1" t="str">
        <f t="shared" ref="G676:M676" si="129">"X"</f>
        <v>X</v>
      </c>
      <c r="H676" s="1" t="str">
        <f t="shared" si="129"/>
        <v>X</v>
      </c>
      <c r="I676" s="1" t="str">
        <f t="shared" si="129"/>
        <v>X</v>
      </c>
      <c r="J676" s="1" t="str">
        <f t="shared" si="129"/>
        <v>X</v>
      </c>
      <c r="K676" s="1" t="str">
        <f t="shared" si="129"/>
        <v>X</v>
      </c>
      <c r="L676" s="1" t="str">
        <f t="shared" si="129"/>
        <v>X</v>
      </c>
      <c r="M676" s="1" t="str">
        <f t="shared" si="129"/>
        <v>X</v>
      </c>
      <c r="N676" t="s">
        <v>27</v>
      </c>
    </row>
    <row r="677" spans="1:14" x14ac:dyDescent="0.25">
      <c r="A677" t="s">
        <v>14</v>
      </c>
      <c r="B677" t="s">
        <v>15</v>
      </c>
      <c r="C677" t="s">
        <v>37</v>
      </c>
      <c r="D677" t="s">
        <v>34</v>
      </c>
      <c r="E677" t="s">
        <v>15</v>
      </c>
      <c r="F677" t="s">
        <v>15</v>
      </c>
      <c r="G677" s="1">
        <f>VALUE(608.9312103088)</f>
        <v>608.93121030880002</v>
      </c>
      <c r="H677" s="1">
        <f>VALUE(569.2756789761)</f>
        <v>569.27567897610004</v>
      </c>
      <c r="I677" s="4">
        <f>VALUE(4117)</f>
        <v>4117</v>
      </c>
      <c r="J677" s="5">
        <f>VALUE(5024)</f>
        <v>5024</v>
      </c>
      <c r="K677" s="6">
        <f>VALUE(6449)</f>
        <v>6449</v>
      </c>
      <c r="L677" s="7">
        <f>VALUE(9198)</f>
        <v>9198</v>
      </c>
      <c r="M677" s="1">
        <f>VALUE(13095)</f>
        <v>13095</v>
      </c>
      <c r="N677" t="s">
        <v>25</v>
      </c>
    </row>
    <row r="678" spans="1:14" x14ac:dyDescent="0.25">
      <c r="A678" t="s">
        <v>14</v>
      </c>
      <c r="B678" t="s">
        <v>15</v>
      </c>
      <c r="C678" t="s">
        <v>37</v>
      </c>
      <c r="D678" t="s">
        <v>34</v>
      </c>
      <c r="E678" t="s">
        <v>15</v>
      </c>
      <c r="F678" t="s">
        <v>17</v>
      </c>
      <c r="G678" s="2">
        <f>VALUE(177.908973984)</f>
        <v>177.908973984</v>
      </c>
      <c r="H678" s="3">
        <f>VALUE(183.5164716797)</f>
        <v>183.5164716797</v>
      </c>
      <c r="I678" s="4">
        <f>VALUE(6794)</f>
        <v>6794</v>
      </c>
      <c r="J678" s="1">
        <f>VALUE(9127)</f>
        <v>9127</v>
      </c>
      <c r="K678" s="1">
        <f>VALUE(10714)</f>
        <v>10714</v>
      </c>
      <c r="L678" s="1">
        <f>VALUE(14022)</f>
        <v>14022</v>
      </c>
      <c r="M678" s="8">
        <f>VALUE(19385)</f>
        <v>19385</v>
      </c>
      <c r="N678" t="s">
        <v>25</v>
      </c>
    </row>
    <row r="679" spans="1:14" x14ac:dyDescent="0.25">
      <c r="A679" t="s">
        <v>14</v>
      </c>
      <c r="B679" t="s">
        <v>15</v>
      </c>
      <c r="C679" t="s">
        <v>37</v>
      </c>
      <c r="D679" t="s">
        <v>34</v>
      </c>
      <c r="E679" t="s">
        <v>15</v>
      </c>
      <c r="F679" t="s">
        <v>18</v>
      </c>
      <c r="G679" s="1" t="str">
        <f t="shared" ref="G679:M680" si="130">"X"</f>
        <v>X</v>
      </c>
      <c r="H679" s="1" t="str">
        <f t="shared" si="130"/>
        <v>X</v>
      </c>
      <c r="I679" s="1" t="str">
        <f t="shared" si="130"/>
        <v>X</v>
      </c>
      <c r="J679" s="1" t="str">
        <f t="shared" si="130"/>
        <v>X</v>
      </c>
      <c r="K679" s="1" t="str">
        <f t="shared" si="130"/>
        <v>X</v>
      </c>
      <c r="L679" s="1" t="str">
        <f t="shared" si="130"/>
        <v>X</v>
      </c>
      <c r="M679" s="1" t="str">
        <f t="shared" si="130"/>
        <v>X</v>
      </c>
      <c r="N679" t="s">
        <v>27</v>
      </c>
    </row>
    <row r="680" spans="1:14" x14ac:dyDescent="0.25">
      <c r="A680" t="s">
        <v>14</v>
      </c>
      <c r="B680" t="s">
        <v>15</v>
      </c>
      <c r="C680" t="s">
        <v>37</v>
      </c>
      <c r="D680" t="s">
        <v>34</v>
      </c>
      <c r="E680" t="s">
        <v>15</v>
      </c>
      <c r="F680" t="s">
        <v>19</v>
      </c>
      <c r="G680" s="1" t="str">
        <f t="shared" si="130"/>
        <v>X</v>
      </c>
      <c r="H680" s="1" t="str">
        <f t="shared" si="130"/>
        <v>X</v>
      </c>
      <c r="I680" s="1" t="str">
        <f t="shared" si="130"/>
        <v>X</v>
      </c>
      <c r="J680" s="1" t="str">
        <f t="shared" si="130"/>
        <v>X</v>
      </c>
      <c r="K680" s="1" t="str">
        <f t="shared" si="130"/>
        <v>X</v>
      </c>
      <c r="L680" s="1" t="str">
        <f t="shared" si="130"/>
        <v>X</v>
      </c>
      <c r="M680" s="1" t="str">
        <f t="shared" si="130"/>
        <v>X</v>
      </c>
      <c r="N680" t="s">
        <v>27</v>
      </c>
    </row>
    <row r="681" spans="1:14" x14ac:dyDescent="0.25">
      <c r="A681" t="s">
        <v>14</v>
      </c>
      <c r="B681" t="s">
        <v>15</v>
      </c>
      <c r="C681" t="s">
        <v>37</v>
      </c>
      <c r="D681" t="s">
        <v>34</v>
      </c>
      <c r="E681" t="s">
        <v>15</v>
      </c>
      <c r="F681" t="s">
        <v>20</v>
      </c>
      <c r="G681" s="1">
        <f>VALUE(330.1190268009)</f>
        <v>330.11902680089997</v>
      </c>
      <c r="H681" s="1">
        <f>VALUE(288.9558334011)</f>
        <v>288.95583340109999</v>
      </c>
      <c r="I681" s="4">
        <f>VALUE(3545)</f>
        <v>3545</v>
      </c>
      <c r="J681" s="1">
        <f>VALUE(4817)</f>
        <v>4817</v>
      </c>
      <c r="K681" s="1">
        <f>VALUE(5500)</f>
        <v>5500</v>
      </c>
      <c r="L681" s="1">
        <f>VALUE(6603)</f>
        <v>6603</v>
      </c>
      <c r="M681" s="1">
        <f>VALUE(7936)</f>
        <v>7936</v>
      </c>
      <c r="N681" t="s">
        <v>25</v>
      </c>
    </row>
    <row r="682" spans="1:14" x14ac:dyDescent="0.25">
      <c r="A682" t="s">
        <v>14</v>
      </c>
      <c r="B682" t="s">
        <v>15</v>
      </c>
      <c r="C682" t="s">
        <v>37</v>
      </c>
      <c r="D682" t="s">
        <v>34</v>
      </c>
      <c r="E682" t="s">
        <v>21</v>
      </c>
      <c r="F682" t="s">
        <v>15</v>
      </c>
      <c r="G682" s="2">
        <f>VALUE(184.8228474804)</f>
        <v>184.82284748039999</v>
      </c>
      <c r="H682" s="3">
        <f>VALUE(184.3155682878)</f>
        <v>184.31556828780001</v>
      </c>
      <c r="I682" s="4">
        <f>VALUE(4920)</f>
        <v>4920</v>
      </c>
      <c r="J682" s="5">
        <f>VALUE(6299)</f>
        <v>6299</v>
      </c>
      <c r="K682" s="6">
        <f>VALUE(9150)</f>
        <v>9150</v>
      </c>
      <c r="L682" s="7">
        <f>VALUE(11905)</f>
        <v>11905</v>
      </c>
      <c r="M682" s="8">
        <f>VALUE(17198)</f>
        <v>17198</v>
      </c>
      <c r="N682" t="s">
        <v>24</v>
      </c>
    </row>
    <row r="683" spans="1:14" x14ac:dyDescent="0.25">
      <c r="A683" t="s">
        <v>14</v>
      </c>
      <c r="B683" t="s">
        <v>15</v>
      </c>
      <c r="C683" t="s">
        <v>37</v>
      </c>
      <c r="D683" t="s">
        <v>34</v>
      </c>
      <c r="E683" t="s">
        <v>21</v>
      </c>
      <c r="F683" t="s">
        <v>17</v>
      </c>
      <c r="G683" s="2">
        <f>VALUE(109.8681964823)</f>
        <v>109.86819648229999</v>
      </c>
      <c r="H683" s="3">
        <f>VALUE(113.7373102283)</f>
        <v>113.7373102283</v>
      </c>
      <c r="I683" s="1">
        <f>VALUE(4333)</f>
        <v>4333</v>
      </c>
      <c r="J683" s="1">
        <f>VALUE(9405)</f>
        <v>9405</v>
      </c>
      <c r="K683" s="1">
        <f>VALUE(10730)</f>
        <v>10730</v>
      </c>
      <c r="L683" s="1">
        <f>VALUE(15589)</f>
        <v>15589</v>
      </c>
      <c r="M683" s="1">
        <f>VALUE(19975)</f>
        <v>19975</v>
      </c>
      <c r="N683" t="s">
        <v>25</v>
      </c>
    </row>
    <row r="684" spans="1:14" x14ac:dyDescent="0.25">
      <c r="A684" t="s">
        <v>14</v>
      </c>
      <c r="B684" t="s">
        <v>15</v>
      </c>
      <c r="C684" t="s">
        <v>37</v>
      </c>
      <c r="D684" t="s">
        <v>34</v>
      </c>
      <c r="E684" t="s">
        <v>21</v>
      </c>
      <c r="F684" t="s">
        <v>18</v>
      </c>
      <c r="G684" s="1" t="str">
        <f t="shared" ref="G684:M686" si="131">"X"</f>
        <v>X</v>
      </c>
      <c r="H684" s="1" t="str">
        <f t="shared" si="131"/>
        <v>X</v>
      </c>
      <c r="I684" s="1" t="str">
        <f t="shared" si="131"/>
        <v>X</v>
      </c>
      <c r="J684" s="1" t="str">
        <f t="shared" si="131"/>
        <v>X</v>
      </c>
      <c r="K684" s="1" t="str">
        <f t="shared" si="131"/>
        <v>X</v>
      </c>
      <c r="L684" s="1" t="str">
        <f t="shared" si="131"/>
        <v>X</v>
      </c>
      <c r="M684" s="1" t="str">
        <f t="shared" si="131"/>
        <v>X</v>
      </c>
      <c r="N684" t="s">
        <v>27</v>
      </c>
    </row>
    <row r="685" spans="1:14" x14ac:dyDescent="0.25">
      <c r="A685" t="s">
        <v>14</v>
      </c>
      <c r="B685" t="s">
        <v>15</v>
      </c>
      <c r="C685" t="s">
        <v>37</v>
      </c>
      <c r="D685" t="s">
        <v>34</v>
      </c>
      <c r="E685" t="s">
        <v>21</v>
      </c>
      <c r="F685" t="s">
        <v>19</v>
      </c>
      <c r="G685" s="1" t="str">
        <f t="shared" si="131"/>
        <v>X</v>
      </c>
      <c r="H685" s="1" t="str">
        <f t="shared" si="131"/>
        <v>X</v>
      </c>
      <c r="I685" s="1" t="str">
        <f t="shared" si="131"/>
        <v>X</v>
      </c>
      <c r="J685" s="1" t="str">
        <f t="shared" si="131"/>
        <v>X</v>
      </c>
      <c r="K685" s="1" t="str">
        <f t="shared" si="131"/>
        <v>X</v>
      </c>
      <c r="L685" s="1" t="str">
        <f t="shared" si="131"/>
        <v>X</v>
      </c>
      <c r="M685" s="1" t="str">
        <f t="shared" si="131"/>
        <v>X</v>
      </c>
      <c r="N685" t="s">
        <v>27</v>
      </c>
    </row>
    <row r="686" spans="1:14" x14ac:dyDescent="0.25">
      <c r="A686" t="s">
        <v>14</v>
      </c>
      <c r="B686" t="s">
        <v>15</v>
      </c>
      <c r="C686" t="s">
        <v>37</v>
      </c>
      <c r="D686" t="s">
        <v>34</v>
      </c>
      <c r="E686" t="s">
        <v>21</v>
      </c>
      <c r="F686" t="s">
        <v>20</v>
      </c>
      <c r="G686" s="1" t="str">
        <f t="shared" si="131"/>
        <v>X</v>
      </c>
      <c r="H686" s="1" t="str">
        <f t="shared" si="131"/>
        <v>X</v>
      </c>
      <c r="I686" s="1" t="str">
        <f t="shared" si="131"/>
        <v>X</v>
      </c>
      <c r="J686" s="1" t="str">
        <f t="shared" si="131"/>
        <v>X</v>
      </c>
      <c r="K686" s="1" t="str">
        <f t="shared" si="131"/>
        <v>X</v>
      </c>
      <c r="L686" s="1" t="str">
        <f t="shared" si="131"/>
        <v>X</v>
      </c>
      <c r="M686" s="1" t="str">
        <f t="shared" si="131"/>
        <v>X</v>
      </c>
      <c r="N686" t="s">
        <v>27</v>
      </c>
    </row>
    <row r="687" spans="1:14" x14ac:dyDescent="0.25">
      <c r="A687" t="s">
        <v>14</v>
      </c>
      <c r="B687" t="s">
        <v>15</v>
      </c>
      <c r="C687" t="s">
        <v>37</v>
      </c>
      <c r="D687" t="s">
        <v>34</v>
      </c>
      <c r="E687" t="s">
        <v>22</v>
      </c>
      <c r="F687" t="s">
        <v>15</v>
      </c>
      <c r="G687" s="2">
        <f>VALUE(272.0949854943)</f>
        <v>272.09498549429998</v>
      </c>
      <c r="H687" s="3">
        <f>VALUE(264.5652402346)</f>
        <v>264.56524023460003</v>
      </c>
      <c r="I687" s="4">
        <f>VALUE(3795)</f>
        <v>3795</v>
      </c>
      <c r="J687" s="5">
        <f>VALUE(5058)</f>
        <v>5058</v>
      </c>
      <c r="K687" s="1">
        <f>VALUE(6262)</f>
        <v>6262</v>
      </c>
      <c r="L687" s="1">
        <f>VALUE(8254)</f>
        <v>8254</v>
      </c>
      <c r="M687" s="1">
        <f>VALUE(11508)</f>
        <v>11508</v>
      </c>
      <c r="N687" t="s">
        <v>25</v>
      </c>
    </row>
    <row r="688" spans="1:14" x14ac:dyDescent="0.25">
      <c r="A688" t="s">
        <v>14</v>
      </c>
      <c r="B688" t="s">
        <v>15</v>
      </c>
      <c r="C688" t="s">
        <v>37</v>
      </c>
      <c r="D688" t="s">
        <v>34</v>
      </c>
      <c r="E688" t="s">
        <v>22</v>
      </c>
      <c r="F688" t="s">
        <v>17</v>
      </c>
      <c r="G688" s="1" t="str">
        <f t="shared" ref="G688:M690" si="132">"X"</f>
        <v>X</v>
      </c>
      <c r="H688" s="1" t="str">
        <f t="shared" si="132"/>
        <v>X</v>
      </c>
      <c r="I688" s="1" t="str">
        <f t="shared" si="132"/>
        <v>X</v>
      </c>
      <c r="J688" s="1" t="str">
        <f t="shared" si="132"/>
        <v>X</v>
      </c>
      <c r="K688" s="1" t="str">
        <f t="shared" si="132"/>
        <v>X</v>
      </c>
      <c r="L688" s="1" t="str">
        <f t="shared" si="132"/>
        <v>X</v>
      </c>
      <c r="M688" s="1" t="str">
        <f t="shared" si="132"/>
        <v>X</v>
      </c>
      <c r="N688" t="s">
        <v>27</v>
      </c>
    </row>
    <row r="689" spans="1:14" x14ac:dyDescent="0.25">
      <c r="A689" t="s">
        <v>14</v>
      </c>
      <c r="B689" t="s">
        <v>15</v>
      </c>
      <c r="C689" t="s">
        <v>37</v>
      </c>
      <c r="D689" t="s">
        <v>34</v>
      </c>
      <c r="E689" t="s">
        <v>22</v>
      </c>
      <c r="F689" t="s">
        <v>18</v>
      </c>
      <c r="G689" s="1" t="str">
        <f t="shared" si="132"/>
        <v>X</v>
      </c>
      <c r="H689" s="1" t="str">
        <f t="shared" si="132"/>
        <v>X</v>
      </c>
      <c r="I689" s="1" t="str">
        <f t="shared" si="132"/>
        <v>X</v>
      </c>
      <c r="J689" s="1" t="str">
        <f t="shared" si="132"/>
        <v>X</v>
      </c>
      <c r="K689" s="1" t="str">
        <f t="shared" si="132"/>
        <v>X</v>
      </c>
      <c r="L689" s="1" t="str">
        <f t="shared" si="132"/>
        <v>X</v>
      </c>
      <c r="M689" s="1" t="str">
        <f t="shared" si="132"/>
        <v>X</v>
      </c>
      <c r="N689" t="s">
        <v>27</v>
      </c>
    </row>
    <row r="690" spans="1:14" x14ac:dyDescent="0.25">
      <c r="A690" t="s">
        <v>14</v>
      </c>
      <c r="B690" t="s">
        <v>15</v>
      </c>
      <c r="C690" t="s">
        <v>37</v>
      </c>
      <c r="D690" t="s">
        <v>34</v>
      </c>
      <c r="E690" t="s">
        <v>22</v>
      </c>
      <c r="F690" t="s">
        <v>19</v>
      </c>
      <c r="G690" s="1" t="str">
        <f t="shared" si="132"/>
        <v>X</v>
      </c>
      <c r="H690" s="1" t="str">
        <f t="shared" si="132"/>
        <v>X</v>
      </c>
      <c r="I690" s="1" t="str">
        <f t="shared" si="132"/>
        <v>X</v>
      </c>
      <c r="J690" s="1" t="str">
        <f t="shared" si="132"/>
        <v>X</v>
      </c>
      <c r="K690" s="1" t="str">
        <f t="shared" si="132"/>
        <v>X</v>
      </c>
      <c r="L690" s="1" t="str">
        <f t="shared" si="132"/>
        <v>X</v>
      </c>
      <c r="M690" s="1" t="str">
        <f t="shared" si="132"/>
        <v>X</v>
      </c>
      <c r="N690" t="s">
        <v>27</v>
      </c>
    </row>
    <row r="691" spans="1:14" x14ac:dyDescent="0.25">
      <c r="A691" t="s">
        <v>14</v>
      </c>
      <c r="B691" t="s">
        <v>15</v>
      </c>
      <c r="C691" t="s">
        <v>37</v>
      </c>
      <c r="D691" t="s">
        <v>34</v>
      </c>
      <c r="E691" t="s">
        <v>22</v>
      </c>
      <c r="F691" t="s">
        <v>20</v>
      </c>
      <c r="G691" s="2">
        <f>VALUE(148.5349363161)</f>
        <v>148.53493631609999</v>
      </c>
      <c r="H691" s="3">
        <f>VALUE(138.3401545205)</f>
        <v>138.34015452049999</v>
      </c>
      <c r="I691" s="1">
        <f>VALUE(3810)</f>
        <v>3810</v>
      </c>
      <c r="J691" s="1">
        <f>VALUE(5009)</f>
        <v>5009</v>
      </c>
      <c r="K691" s="1">
        <f>VALUE(5664)</f>
        <v>5664</v>
      </c>
      <c r="L691" s="1">
        <f>VALUE(6619)</f>
        <v>6619</v>
      </c>
      <c r="M691" s="1">
        <f>VALUE(7461)</f>
        <v>7461</v>
      </c>
      <c r="N691" t="s">
        <v>25</v>
      </c>
    </row>
    <row r="692" spans="1:14" x14ac:dyDescent="0.25">
      <c r="A692" t="s">
        <v>14</v>
      </c>
      <c r="B692" t="s">
        <v>15</v>
      </c>
      <c r="C692" t="s">
        <v>37</v>
      </c>
      <c r="D692" t="s">
        <v>34</v>
      </c>
      <c r="E692" t="s">
        <v>23</v>
      </c>
      <c r="F692" t="s">
        <v>15</v>
      </c>
      <c r="G692" s="2">
        <f>VALUE(149.3903301247)</f>
        <v>149.3903301247</v>
      </c>
      <c r="H692" s="3">
        <f>VALUE(117.6406708839)</f>
        <v>117.6406708839</v>
      </c>
      <c r="I692" s="1">
        <f>VALUE(3105)</f>
        <v>3105</v>
      </c>
      <c r="J692" s="1">
        <f>VALUE(4400)</f>
        <v>4400</v>
      </c>
      <c r="K692" s="1">
        <f>VALUE(5027)</f>
        <v>5027</v>
      </c>
      <c r="L692" s="1">
        <f>VALUE(5802)</f>
        <v>5802</v>
      </c>
      <c r="M692" s="1">
        <f>VALUE(7690)</f>
        <v>7690</v>
      </c>
      <c r="N692" t="s">
        <v>25</v>
      </c>
    </row>
    <row r="693" spans="1:14" x14ac:dyDescent="0.25">
      <c r="A693" t="s">
        <v>14</v>
      </c>
      <c r="B693" t="s">
        <v>15</v>
      </c>
      <c r="C693" t="s">
        <v>37</v>
      </c>
      <c r="D693" t="s">
        <v>34</v>
      </c>
      <c r="E693" t="s">
        <v>23</v>
      </c>
      <c r="F693" t="s">
        <v>17</v>
      </c>
      <c r="G693" s="1" t="str">
        <f t="shared" ref="G693:M695" si="133">"X"</f>
        <v>X</v>
      </c>
      <c r="H693" s="1" t="str">
        <f t="shared" si="133"/>
        <v>X</v>
      </c>
      <c r="I693" s="1" t="str">
        <f t="shared" si="133"/>
        <v>X</v>
      </c>
      <c r="J693" s="1" t="str">
        <f t="shared" si="133"/>
        <v>X</v>
      </c>
      <c r="K693" s="1" t="str">
        <f t="shared" si="133"/>
        <v>X</v>
      </c>
      <c r="L693" s="1" t="str">
        <f t="shared" si="133"/>
        <v>X</v>
      </c>
      <c r="M693" s="1" t="str">
        <f t="shared" si="133"/>
        <v>X</v>
      </c>
      <c r="N693" t="s">
        <v>27</v>
      </c>
    </row>
    <row r="694" spans="1:14" x14ac:dyDescent="0.25">
      <c r="A694" t="s">
        <v>14</v>
      </c>
      <c r="B694" t="s">
        <v>15</v>
      </c>
      <c r="C694" t="s">
        <v>37</v>
      </c>
      <c r="D694" t="s">
        <v>34</v>
      </c>
      <c r="E694" t="s">
        <v>23</v>
      </c>
      <c r="F694" t="s">
        <v>18</v>
      </c>
      <c r="G694" s="1" t="str">
        <f t="shared" si="133"/>
        <v>X</v>
      </c>
      <c r="H694" s="1" t="str">
        <f t="shared" si="133"/>
        <v>X</v>
      </c>
      <c r="I694" s="1" t="str">
        <f t="shared" si="133"/>
        <v>X</v>
      </c>
      <c r="J694" s="1" t="str">
        <f t="shared" si="133"/>
        <v>X</v>
      </c>
      <c r="K694" s="1" t="str">
        <f t="shared" si="133"/>
        <v>X</v>
      </c>
      <c r="L694" s="1" t="str">
        <f t="shared" si="133"/>
        <v>X</v>
      </c>
      <c r="M694" s="1" t="str">
        <f t="shared" si="133"/>
        <v>X</v>
      </c>
      <c r="N694" t="s">
        <v>27</v>
      </c>
    </row>
    <row r="695" spans="1:14" x14ac:dyDescent="0.25">
      <c r="A695" t="s">
        <v>14</v>
      </c>
      <c r="B695" t="s">
        <v>15</v>
      </c>
      <c r="C695" t="s">
        <v>37</v>
      </c>
      <c r="D695" t="s">
        <v>34</v>
      </c>
      <c r="E695" t="s">
        <v>23</v>
      </c>
      <c r="F695" t="s">
        <v>19</v>
      </c>
      <c r="G695" s="1" t="str">
        <f t="shared" si="133"/>
        <v>X</v>
      </c>
      <c r="H695" s="1" t="str">
        <f t="shared" si="133"/>
        <v>X</v>
      </c>
      <c r="I695" s="1" t="str">
        <f t="shared" si="133"/>
        <v>X</v>
      </c>
      <c r="J695" s="1" t="str">
        <f t="shared" si="133"/>
        <v>X</v>
      </c>
      <c r="K695" s="1" t="str">
        <f t="shared" si="133"/>
        <v>X</v>
      </c>
      <c r="L695" s="1" t="str">
        <f t="shared" si="133"/>
        <v>X</v>
      </c>
      <c r="M695" s="1" t="str">
        <f t="shared" si="133"/>
        <v>X</v>
      </c>
      <c r="N695" t="s">
        <v>27</v>
      </c>
    </row>
    <row r="696" spans="1:14" x14ac:dyDescent="0.25">
      <c r="A696" t="s">
        <v>14</v>
      </c>
      <c r="B696" t="s">
        <v>15</v>
      </c>
      <c r="C696" t="s">
        <v>37</v>
      </c>
      <c r="D696" t="s">
        <v>34</v>
      </c>
      <c r="E696" t="s">
        <v>23</v>
      </c>
      <c r="F696" t="s">
        <v>20</v>
      </c>
      <c r="G696" s="2">
        <f>VALUE(132.045214157)</f>
        <v>132.045214157</v>
      </c>
      <c r="H696" s="3">
        <f>VALUE(102.9772520901)</f>
        <v>102.9772520901</v>
      </c>
      <c r="I696" s="1">
        <f>VALUE(3017)</f>
        <v>3017</v>
      </c>
      <c r="J696" s="1">
        <f>VALUE(4539)</f>
        <v>4539</v>
      </c>
      <c r="K696" s="1">
        <f>VALUE(5038)</f>
        <v>5038</v>
      </c>
      <c r="L696" s="1">
        <f>VALUE(5796)</f>
        <v>5796</v>
      </c>
      <c r="M696" s="1">
        <f>VALUE(6836)</f>
        <v>6836</v>
      </c>
      <c r="N696" t="s">
        <v>25</v>
      </c>
    </row>
    <row r="697" spans="1:14" x14ac:dyDescent="0.25">
      <c r="A697" t="s">
        <v>14</v>
      </c>
      <c r="B697" t="s">
        <v>15</v>
      </c>
      <c r="C697" t="s">
        <v>37</v>
      </c>
      <c r="D697" t="s">
        <v>34</v>
      </c>
      <c r="E697" t="s">
        <v>26</v>
      </c>
      <c r="F697" t="s">
        <v>15</v>
      </c>
      <c r="G697" s="1" t="str">
        <f t="shared" ref="G697:M698" si="134">"X"</f>
        <v>X</v>
      </c>
      <c r="H697" s="1" t="str">
        <f t="shared" si="134"/>
        <v>X</v>
      </c>
      <c r="I697" s="1" t="str">
        <f t="shared" si="134"/>
        <v>X</v>
      </c>
      <c r="J697" s="1" t="str">
        <f t="shared" si="134"/>
        <v>X</v>
      </c>
      <c r="K697" s="1" t="str">
        <f t="shared" si="134"/>
        <v>X</v>
      </c>
      <c r="L697" s="1" t="str">
        <f t="shared" si="134"/>
        <v>X</v>
      </c>
      <c r="M697" s="1" t="str">
        <f t="shared" si="134"/>
        <v>X</v>
      </c>
      <c r="N697" t="s">
        <v>27</v>
      </c>
    </row>
    <row r="698" spans="1:14" x14ac:dyDescent="0.25">
      <c r="A698" t="s">
        <v>14</v>
      </c>
      <c r="B698" t="s">
        <v>15</v>
      </c>
      <c r="C698" t="s">
        <v>37</v>
      </c>
      <c r="D698" t="s">
        <v>34</v>
      </c>
      <c r="E698" t="s">
        <v>26</v>
      </c>
      <c r="F698" t="s">
        <v>17</v>
      </c>
      <c r="G698" s="1" t="str">
        <f t="shared" si="134"/>
        <v>X</v>
      </c>
      <c r="H698" s="1" t="str">
        <f t="shared" si="134"/>
        <v>X</v>
      </c>
      <c r="I698" s="1" t="str">
        <f t="shared" si="134"/>
        <v>X</v>
      </c>
      <c r="J698" s="1" t="str">
        <f t="shared" si="134"/>
        <v>X</v>
      </c>
      <c r="K698" s="1" t="str">
        <f t="shared" si="134"/>
        <v>X</v>
      </c>
      <c r="L698" s="1" t="str">
        <f t="shared" si="134"/>
        <v>X</v>
      </c>
      <c r="M698" s="1" t="str">
        <f t="shared" si="134"/>
        <v>X</v>
      </c>
      <c r="N698" t="s">
        <v>27</v>
      </c>
    </row>
    <row r="699" spans="1:14" x14ac:dyDescent="0.25">
      <c r="A699" t="s">
        <v>14</v>
      </c>
      <c r="B699" t="s">
        <v>15</v>
      </c>
      <c r="C699" t="s">
        <v>37</v>
      </c>
      <c r="D699" t="s">
        <v>34</v>
      </c>
      <c r="E699" t="s">
        <v>26</v>
      </c>
      <c r="F699" t="s">
        <v>18</v>
      </c>
      <c r="G699" s="1" t="str">
        <f t="shared" ref="G699:M700" si="135">"..."</f>
        <v>...</v>
      </c>
      <c r="H699" s="1" t="str">
        <f t="shared" si="135"/>
        <v>...</v>
      </c>
      <c r="I699" s="1" t="str">
        <f t="shared" si="135"/>
        <v>...</v>
      </c>
      <c r="J699" s="1" t="str">
        <f t="shared" si="135"/>
        <v>...</v>
      </c>
      <c r="K699" s="1" t="str">
        <f t="shared" si="135"/>
        <v>...</v>
      </c>
      <c r="L699" s="1" t="str">
        <f t="shared" si="135"/>
        <v>...</v>
      </c>
      <c r="M699" s="1" t="str">
        <f t="shared" si="135"/>
        <v>...</v>
      </c>
      <c r="N699" t="s">
        <v>30</v>
      </c>
    </row>
    <row r="700" spans="1:14" x14ac:dyDescent="0.25">
      <c r="A700" t="s">
        <v>14</v>
      </c>
      <c r="B700" t="s">
        <v>15</v>
      </c>
      <c r="C700" t="s">
        <v>37</v>
      </c>
      <c r="D700" t="s">
        <v>34</v>
      </c>
      <c r="E700" t="s">
        <v>26</v>
      </c>
      <c r="F700" t="s">
        <v>19</v>
      </c>
      <c r="G700" s="1" t="str">
        <f t="shared" si="135"/>
        <v>...</v>
      </c>
      <c r="H700" s="1" t="str">
        <f t="shared" si="135"/>
        <v>...</v>
      </c>
      <c r="I700" s="1" t="str">
        <f t="shared" si="135"/>
        <v>...</v>
      </c>
      <c r="J700" s="1" t="str">
        <f t="shared" si="135"/>
        <v>...</v>
      </c>
      <c r="K700" s="1" t="str">
        <f t="shared" si="135"/>
        <v>...</v>
      </c>
      <c r="L700" s="1" t="str">
        <f t="shared" si="135"/>
        <v>...</v>
      </c>
      <c r="M700" s="1" t="str">
        <f t="shared" si="135"/>
        <v>...</v>
      </c>
      <c r="N700" t="s">
        <v>30</v>
      </c>
    </row>
    <row r="701" spans="1:14" x14ac:dyDescent="0.25">
      <c r="A701" t="s">
        <v>14</v>
      </c>
      <c r="B701" t="s">
        <v>15</v>
      </c>
      <c r="C701" t="s">
        <v>37</v>
      </c>
      <c r="D701" t="s">
        <v>34</v>
      </c>
      <c r="E701" t="s">
        <v>26</v>
      </c>
      <c r="F701" t="s">
        <v>20</v>
      </c>
      <c r="G701" s="1" t="str">
        <f t="shared" ref="G701:M701" si="136">"X"</f>
        <v>X</v>
      </c>
      <c r="H701" s="1" t="str">
        <f t="shared" si="136"/>
        <v>X</v>
      </c>
      <c r="I701" s="1" t="str">
        <f t="shared" si="136"/>
        <v>X</v>
      </c>
      <c r="J701" s="1" t="str">
        <f t="shared" si="136"/>
        <v>X</v>
      </c>
      <c r="K701" s="1" t="str">
        <f t="shared" si="136"/>
        <v>X</v>
      </c>
      <c r="L701" s="1" t="str">
        <f t="shared" si="136"/>
        <v>X</v>
      </c>
      <c r="M701" s="1" t="str">
        <f t="shared" si="136"/>
        <v>X</v>
      </c>
      <c r="N701" t="s">
        <v>27</v>
      </c>
    </row>
    <row r="702" spans="1:14" x14ac:dyDescent="0.25">
      <c r="A702" t="s">
        <v>14</v>
      </c>
      <c r="B702" t="s">
        <v>15</v>
      </c>
      <c r="C702" t="s">
        <v>38</v>
      </c>
      <c r="D702" t="s">
        <v>15</v>
      </c>
      <c r="E702" t="s">
        <v>15</v>
      </c>
      <c r="F702" t="s">
        <v>15</v>
      </c>
      <c r="G702" s="1">
        <f>VALUE(26166.3887033904)</f>
        <v>26166.388703390399</v>
      </c>
      <c r="H702" s="1">
        <f>VALUE(23496.8936170654)</f>
        <v>23496.893617065401</v>
      </c>
      <c r="I702" s="1">
        <f>VALUE(3470)</f>
        <v>3470</v>
      </c>
      <c r="J702" s="1">
        <f>VALUE(4258)</f>
        <v>4258</v>
      </c>
      <c r="K702" s="1">
        <f>VALUE(5353)</f>
        <v>5353</v>
      </c>
      <c r="L702" s="1">
        <f>VALUE(6825)</f>
        <v>6825</v>
      </c>
      <c r="M702" s="1">
        <f>VALUE(10027)</f>
        <v>10027</v>
      </c>
      <c r="N702" t="s">
        <v>16</v>
      </c>
    </row>
    <row r="703" spans="1:14" x14ac:dyDescent="0.25">
      <c r="A703" t="s">
        <v>14</v>
      </c>
      <c r="B703" t="s">
        <v>15</v>
      </c>
      <c r="C703" t="s">
        <v>38</v>
      </c>
      <c r="D703" t="s">
        <v>15</v>
      </c>
      <c r="E703" t="s">
        <v>15</v>
      </c>
      <c r="F703" t="s">
        <v>17</v>
      </c>
      <c r="G703" s="1">
        <f>VALUE(5573.6722450452)</f>
        <v>5573.6722450451998</v>
      </c>
      <c r="H703" s="1">
        <f>VALUE(5281.1682724158)</f>
        <v>5281.1682724157999</v>
      </c>
      <c r="I703" s="1">
        <f>VALUE(4271)</f>
        <v>4271</v>
      </c>
      <c r="J703" s="1">
        <f>VALUE(5714)</f>
        <v>5714</v>
      </c>
      <c r="K703" s="1">
        <f>VALUE(8075)</f>
        <v>8075</v>
      </c>
      <c r="L703" s="1">
        <f>VALUE(12502)</f>
        <v>12502</v>
      </c>
      <c r="M703" s="8">
        <f>VALUE(18883)</f>
        <v>18883</v>
      </c>
      <c r="N703" t="s">
        <v>25</v>
      </c>
    </row>
    <row r="704" spans="1:14" x14ac:dyDescent="0.25">
      <c r="A704" t="s">
        <v>14</v>
      </c>
      <c r="B704" t="s">
        <v>15</v>
      </c>
      <c r="C704" t="s">
        <v>38</v>
      </c>
      <c r="D704" t="s">
        <v>15</v>
      </c>
      <c r="E704" t="s">
        <v>15</v>
      </c>
      <c r="F704" t="s">
        <v>18</v>
      </c>
      <c r="G704" s="1">
        <f>VALUE(2665.4588706753)</f>
        <v>2665.4588706753002</v>
      </c>
      <c r="H704" s="1">
        <f>VALUE(2391.8236137538)</f>
        <v>2391.8236137538001</v>
      </c>
      <c r="I704" s="1">
        <f>VALUE(3805)</f>
        <v>3805</v>
      </c>
      <c r="J704" s="1">
        <f>VALUE(4655)</f>
        <v>4655</v>
      </c>
      <c r="K704" s="1">
        <f>VALUE(5998)</f>
        <v>5998</v>
      </c>
      <c r="L704" s="1">
        <f>VALUE(7835)</f>
        <v>7835</v>
      </c>
      <c r="M704" s="1">
        <f>VALUE(9567)</f>
        <v>9567</v>
      </c>
      <c r="N704" t="s">
        <v>16</v>
      </c>
    </row>
    <row r="705" spans="1:14" x14ac:dyDescent="0.25">
      <c r="A705" t="s">
        <v>14</v>
      </c>
      <c r="B705" t="s">
        <v>15</v>
      </c>
      <c r="C705" t="s">
        <v>38</v>
      </c>
      <c r="D705" t="s">
        <v>15</v>
      </c>
      <c r="E705" t="s">
        <v>15</v>
      </c>
      <c r="F705" t="s">
        <v>19</v>
      </c>
      <c r="G705" s="1">
        <f>VALUE(3060.3055090665)</f>
        <v>3060.3055090664998</v>
      </c>
      <c r="H705" s="1">
        <f>VALUE(2846.7655643326)</f>
        <v>2846.7655643326002</v>
      </c>
      <c r="I705" s="1">
        <f>VALUE(3844)</f>
        <v>3844</v>
      </c>
      <c r="J705" s="1">
        <f>VALUE(4636)</f>
        <v>4636</v>
      </c>
      <c r="K705" s="1">
        <f>VALUE(5528)</f>
        <v>5528</v>
      </c>
      <c r="L705" s="1">
        <f>VALUE(6497)</f>
        <v>6497</v>
      </c>
      <c r="M705" s="1">
        <f>VALUE(7800)</f>
        <v>7800</v>
      </c>
      <c r="N705" t="s">
        <v>16</v>
      </c>
    </row>
    <row r="706" spans="1:14" x14ac:dyDescent="0.25">
      <c r="A706" t="s">
        <v>14</v>
      </c>
      <c r="B706" t="s">
        <v>15</v>
      </c>
      <c r="C706" t="s">
        <v>38</v>
      </c>
      <c r="D706" t="s">
        <v>15</v>
      </c>
      <c r="E706" t="s">
        <v>15</v>
      </c>
      <c r="F706" t="s">
        <v>20</v>
      </c>
      <c r="G706" s="1">
        <f>VALUE(14836.8727306144)</f>
        <v>14836.872730614399</v>
      </c>
      <c r="H706" s="1">
        <f>VALUE(12952.7063781983)</f>
        <v>12952.7063781983</v>
      </c>
      <c r="I706" s="1">
        <f>VALUE(3261)</f>
        <v>3261</v>
      </c>
      <c r="J706" s="1">
        <f>VALUE(3910)</f>
        <v>3910</v>
      </c>
      <c r="K706" s="1">
        <f>VALUE(4858)</f>
        <v>4858</v>
      </c>
      <c r="L706" s="1">
        <f>VALUE(5686)</f>
        <v>5686</v>
      </c>
      <c r="M706" s="1">
        <f>VALUE(6643)</f>
        <v>6643</v>
      </c>
      <c r="N706" t="s">
        <v>16</v>
      </c>
    </row>
    <row r="707" spans="1:14" x14ac:dyDescent="0.25">
      <c r="A707" t="s">
        <v>14</v>
      </c>
      <c r="B707" t="s">
        <v>15</v>
      </c>
      <c r="C707" t="s">
        <v>38</v>
      </c>
      <c r="D707" t="s">
        <v>15</v>
      </c>
      <c r="E707" t="s">
        <v>21</v>
      </c>
      <c r="F707" t="s">
        <v>15</v>
      </c>
      <c r="G707" s="1">
        <f>VALUE(4671.9684382904)</f>
        <v>4671.9684382903997</v>
      </c>
      <c r="H707" s="1">
        <f>VALUE(4127.5030882109)</f>
        <v>4127.5030882109004</v>
      </c>
      <c r="I707" s="1">
        <f>VALUE(4762)</f>
        <v>4762</v>
      </c>
      <c r="J707" s="1">
        <f>VALUE(6113)</f>
        <v>6113</v>
      </c>
      <c r="K707" s="1">
        <f>VALUE(8288)</f>
        <v>8288</v>
      </c>
      <c r="L707" s="1">
        <f>VALUE(12093)</f>
        <v>12093</v>
      </c>
      <c r="M707" s="8">
        <f>VALUE(17886)</f>
        <v>17886</v>
      </c>
      <c r="N707" t="s">
        <v>25</v>
      </c>
    </row>
    <row r="708" spans="1:14" x14ac:dyDescent="0.25">
      <c r="A708" t="s">
        <v>14</v>
      </c>
      <c r="B708" t="s">
        <v>15</v>
      </c>
      <c r="C708" t="s">
        <v>38</v>
      </c>
      <c r="D708" t="s">
        <v>15</v>
      </c>
      <c r="E708" t="s">
        <v>21</v>
      </c>
      <c r="F708" t="s">
        <v>17</v>
      </c>
      <c r="G708" s="1">
        <f>VALUE(2710.1993746482)</f>
        <v>2710.1993746481999</v>
      </c>
      <c r="H708" s="1">
        <f>VALUE(2539.8297080855)</f>
        <v>2539.8297080855</v>
      </c>
      <c r="I708" s="4">
        <f>VALUE(4875)</f>
        <v>4875</v>
      </c>
      <c r="J708" s="1">
        <f>VALUE(6644)</f>
        <v>6644</v>
      </c>
      <c r="K708" s="1">
        <f>VALUE(10091)</f>
        <v>10091</v>
      </c>
      <c r="L708" s="1">
        <f>VALUE(14915)</f>
        <v>14915</v>
      </c>
      <c r="M708" s="8">
        <f>VALUE(22300)</f>
        <v>22300</v>
      </c>
      <c r="N708" t="s">
        <v>25</v>
      </c>
    </row>
    <row r="709" spans="1:14" x14ac:dyDescent="0.25">
      <c r="A709" t="s">
        <v>14</v>
      </c>
      <c r="B709" t="s">
        <v>15</v>
      </c>
      <c r="C709" t="s">
        <v>38</v>
      </c>
      <c r="D709" t="s">
        <v>15</v>
      </c>
      <c r="E709" t="s">
        <v>21</v>
      </c>
      <c r="F709" t="s">
        <v>18</v>
      </c>
      <c r="G709" s="2">
        <f>VALUE(737.2971984704)</f>
        <v>737.29719847039996</v>
      </c>
      <c r="H709" s="3">
        <f>VALUE(606.4083147744)</f>
        <v>606.40831477439997</v>
      </c>
      <c r="I709" s="4">
        <f>VALUE(5058)</f>
        <v>5058</v>
      </c>
      <c r="J709" s="5">
        <f>VALUE(6195)</f>
        <v>6195</v>
      </c>
      <c r="K709" s="1">
        <f>VALUE(8030)</f>
        <v>8030</v>
      </c>
      <c r="L709" s="1">
        <f>VALUE(9524)</f>
        <v>9524</v>
      </c>
      <c r="M709" s="8">
        <f>VALUE(11905)</f>
        <v>11905</v>
      </c>
      <c r="N709" t="s">
        <v>25</v>
      </c>
    </row>
    <row r="710" spans="1:14" x14ac:dyDescent="0.25">
      <c r="A710" t="s">
        <v>14</v>
      </c>
      <c r="B710" t="s">
        <v>15</v>
      </c>
      <c r="C710" t="s">
        <v>38</v>
      </c>
      <c r="D710" t="s">
        <v>15</v>
      </c>
      <c r="E710" t="s">
        <v>21</v>
      </c>
      <c r="F710" t="s">
        <v>19</v>
      </c>
      <c r="G710" s="2">
        <f>VALUE(486.9350527331)</f>
        <v>486.93505273310001</v>
      </c>
      <c r="H710" s="3">
        <f>VALUE(388.6169913093)</f>
        <v>388.61699130929998</v>
      </c>
      <c r="I710" s="4">
        <f>VALUE(4283)</f>
        <v>4283</v>
      </c>
      <c r="J710" s="5">
        <f>VALUE(5567)</f>
        <v>5567</v>
      </c>
      <c r="K710" s="6">
        <f>VALUE(6455)</f>
        <v>6455</v>
      </c>
      <c r="L710" s="1">
        <f>VALUE(7912)</f>
        <v>7912</v>
      </c>
      <c r="M710" s="8">
        <f>VALUE(9183)</f>
        <v>9183</v>
      </c>
      <c r="N710" t="s">
        <v>25</v>
      </c>
    </row>
    <row r="711" spans="1:14" x14ac:dyDescent="0.25">
      <c r="A711" t="s">
        <v>14</v>
      </c>
      <c r="B711" t="s">
        <v>15</v>
      </c>
      <c r="C711" t="s">
        <v>38</v>
      </c>
      <c r="D711" t="s">
        <v>15</v>
      </c>
      <c r="E711" t="s">
        <v>21</v>
      </c>
      <c r="F711" t="s">
        <v>20</v>
      </c>
      <c r="G711" s="2">
        <f>VALUE(737.5368124387)</f>
        <v>737.53681243870005</v>
      </c>
      <c r="H711" s="3">
        <f>VALUE(592.6480740417)</f>
        <v>592.64807404170006</v>
      </c>
      <c r="I711" s="4">
        <f>VALUE(3912)</f>
        <v>3912</v>
      </c>
      <c r="J711" s="1">
        <f>VALUE(5329)</f>
        <v>5329</v>
      </c>
      <c r="K711" s="1">
        <f>VALUE(6588)</f>
        <v>6588</v>
      </c>
      <c r="L711" s="1">
        <f>VALUE(8083)</f>
        <v>8083</v>
      </c>
      <c r="M711" s="8">
        <f>VALUE(9428)</f>
        <v>9428</v>
      </c>
      <c r="N711" t="s">
        <v>25</v>
      </c>
    </row>
    <row r="712" spans="1:14" x14ac:dyDescent="0.25">
      <c r="A712" t="s">
        <v>14</v>
      </c>
      <c r="B712" t="s">
        <v>15</v>
      </c>
      <c r="C712" t="s">
        <v>38</v>
      </c>
      <c r="D712" t="s">
        <v>15</v>
      </c>
      <c r="E712" t="s">
        <v>22</v>
      </c>
      <c r="F712" t="s">
        <v>15</v>
      </c>
      <c r="G712" s="1">
        <f>VALUE(9732.6980628857)</f>
        <v>9732.6980628857</v>
      </c>
      <c r="H712" s="1">
        <f>VALUE(8645.6698920893)</f>
        <v>8645.6698920892995</v>
      </c>
      <c r="I712" s="1">
        <f>VALUE(3714)</f>
        <v>3714</v>
      </c>
      <c r="J712" s="1">
        <f>VALUE(4636)</f>
        <v>4636</v>
      </c>
      <c r="K712" s="1">
        <f>VALUE(5644)</f>
        <v>5644</v>
      </c>
      <c r="L712" s="1">
        <f>VALUE(6831)</f>
        <v>6831</v>
      </c>
      <c r="M712" s="1">
        <f>VALUE(8407)</f>
        <v>8407</v>
      </c>
      <c r="N712" t="s">
        <v>16</v>
      </c>
    </row>
    <row r="713" spans="1:14" x14ac:dyDescent="0.25">
      <c r="A713" t="s">
        <v>14</v>
      </c>
      <c r="B713" t="s">
        <v>15</v>
      </c>
      <c r="C713" t="s">
        <v>38</v>
      </c>
      <c r="D713" t="s">
        <v>15</v>
      </c>
      <c r="E713" t="s">
        <v>22</v>
      </c>
      <c r="F713" t="s">
        <v>17</v>
      </c>
      <c r="G713" s="1">
        <f>VALUE(2062.074101619)</f>
        <v>2062.074101619</v>
      </c>
      <c r="H713" s="1">
        <f>VALUE(1949.8144569851)</f>
        <v>1949.8144569850999</v>
      </c>
      <c r="I713" s="4">
        <f>VALUE(3846)</f>
        <v>3846</v>
      </c>
      <c r="J713" s="1">
        <f>VALUE(5328)</f>
        <v>5328</v>
      </c>
      <c r="K713" s="1">
        <f>VALUE(6947)</f>
        <v>6947</v>
      </c>
      <c r="L713" s="1">
        <f>VALUE(9244)</f>
        <v>9244</v>
      </c>
      <c r="M713" s="1">
        <f>VALUE(13656)</f>
        <v>13656</v>
      </c>
      <c r="N713" t="s">
        <v>25</v>
      </c>
    </row>
    <row r="714" spans="1:14" x14ac:dyDescent="0.25">
      <c r="A714" t="s">
        <v>14</v>
      </c>
      <c r="B714" t="s">
        <v>15</v>
      </c>
      <c r="C714" t="s">
        <v>38</v>
      </c>
      <c r="D714" t="s">
        <v>15</v>
      </c>
      <c r="E714" t="s">
        <v>22</v>
      </c>
      <c r="F714" t="s">
        <v>18</v>
      </c>
      <c r="G714" s="2">
        <f>VALUE(1234.5570044007)</f>
        <v>1234.5570044007</v>
      </c>
      <c r="H714" s="3">
        <f>VALUE(1107.0694453477)</f>
        <v>1107.0694453476999</v>
      </c>
      <c r="I714" s="1">
        <f>VALUE(3805)</f>
        <v>3805</v>
      </c>
      <c r="J714" s="1">
        <f>VALUE(4635)</f>
        <v>4635</v>
      </c>
      <c r="K714" s="1">
        <f>VALUE(5854)</f>
        <v>5854</v>
      </c>
      <c r="L714" s="1">
        <f>VALUE(7321)</f>
        <v>7321</v>
      </c>
      <c r="M714" s="1">
        <f>VALUE(8303)</f>
        <v>8303</v>
      </c>
      <c r="N714" t="s">
        <v>25</v>
      </c>
    </row>
    <row r="715" spans="1:14" x14ac:dyDescent="0.25">
      <c r="A715" t="s">
        <v>14</v>
      </c>
      <c r="B715" t="s">
        <v>15</v>
      </c>
      <c r="C715" t="s">
        <v>38</v>
      </c>
      <c r="D715" t="s">
        <v>15</v>
      </c>
      <c r="E715" t="s">
        <v>22</v>
      </c>
      <c r="F715" t="s">
        <v>19</v>
      </c>
      <c r="G715" s="1">
        <f>VALUE(1430.3641345015)</f>
        <v>1430.3641345015001</v>
      </c>
      <c r="H715" s="3">
        <f>VALUE(1327.753294951)</f>
        <v>1327.753294951</v>
      </c>
      <c r="I715" s="1">
        <f>VALUE(4135)</f>
        <v>4135</v>
      </c>
      <c r="J715" s="1">
        <f>VALUE(4854)</f>
        <v>4854</v>
      </c>
      <c r="K715" s="1">
        <f>VALUE(5634)</f>
        <v>5634</v>
      </c>
      <c r="L715" s="1">
        <f>VALUE(6577)</f>
        <v>6577</v>
      </c>
      <c r="M715" s="1">
        <f>VALUE(7555)</f>
        <v>7555</v>
      </c>
      <c r="N715" t="s">
        <v>25</v>
      </c>
    </row>
    <row r="716" spans="1:14" x14ac:dyDescent="0.25">
      <c r="A716" t="s">
        <v>14</v>
      </c>
      <c r="B716" t="s">
        <v>15</v>
      </c>
      <c r="C716" t="s">
        <v>38</v>
      </c>
      <c r="D716" t="s">
        <v>15</v>
      </c>
      <c r="E716" t="s">
        <v>22</v>
      </c>
      <c r="F716" t="s">
        <v>20</v>
      </c>
      <c r="G716" s="1">
        <f>VALUE(4991.2470862665)</f>
        <v>4991.2470862665004</v>
      </c>
      <c r="H716" s="1">
        <f>VALUE(4244.7699916945)</f>
        <v>4244.7699916945003</v>
      </c>
      <c r="I716" s="1">
        <f>VALUE(3613)</f>
        <v>3613</v>
      </c>
      <c r="J716" s="1">
        <f>VALUE(4383)</f>
        <v>4383</v>
      </c>
      <c r="K716" s="1">
        <f>VALUE(5417)</f>
        <v>5417</v>
      </c>
      <c r="L716" s="1">
        <f>VALUE(6190)</f>
        <v>6190</v>
      </c>
      <c r="M716" s="1">
        <f>VALUE(7008)</f>
        <v>7008</v>
      </c>
      <c r="N716" t="s">
        <v>16</v>
      </c>
    </row>
    <row r="717" spans="1:14" x14ac:dyDescent="0.25">
      <c r="A717" t="s">
        <v>14</v>
      </c>
      <c r="B717" t="s">
        <v>15</v>
      </c>
      <c r="C717" t="s">
        <v>38</v>
      </c>
      <c r="D717" t="s">
        <v>15</v>
      </c>
      <c r="E717" t="s">
        <v>23</v>
      </c>
      <c r="F717" t="s">
        <v>15</v>
      </c>
      <c r="G717" s="1">
        <f>VALUE(11278.8488498077)</f>
        <v>11278.8488498077</v>
      </c>
      <c r="H717" s="1">
        <f>VALUE(10262.2366316626)</f>
        <v>10262.236631662599</v>
      </c>
      <c r="I717" s="1">
        <f>VALUE(3223)</f>
        <v>3223</v>
      </c>
      <c r="J717" s="1">
        <f>VALUE(3816)</f>
        <v>3816</v>
      </c>
      <c r="K717" s="1">
        <f>VALUE(4676)</f>
        <v>4676</v>
      </c>
      <c r="L717" s="1">
        <f>VALUE(5448)</f>
        <v>5448</v>
      </c>
      <c r="M717" s="1">
        <f>VALUE(6343)</f>
        <v>6343</v>
      </c>
      <c r="N717" t="s">
        <v>16</v>
      </c>
    </row>
    <row r="718" spans="1:14" x14ac:dyDescent="0.25">
      <c r="A718" t="s">
        <v>14</v>
      </c>
      <c r="B718" t="s">
        <v>15</v>
      </c>
      <c r="C718" t="s">
        <v>38</v>
      </c>
      <c r="D718" t="s">
        <v>15</v>
      </c>
      <c r="E718" t="s">
        <v>23</v>
      </c>
      <c r="F718" t="s">
        <v>17</v>
      </c>
      <c r="G718" s="2">
        <f>VALUE(641.9171610283)</f>
        <v>641.91716102830003</v>
      </c>
      <c r="H718" s="3">
        <f>VALUE(635.4192607539)</f>
        <v>635.41926075389995</v>
      </c>
      <c r="I718" s="4">
        <f>VALUE(3928)</f>
        <v>3928</v>
      </c>
      <c r="J718" s="5">
        <f>VALUE(4800)</f>
        <v>4800</v>
      </c>
      <c r="K718" s="6">
        <f>VALUE(6130)</f>
        <v>6130</v>
      </c>
      <c r="L718" s="7">
        <f>VALUE(9653)</f>
        <v>9653</v>
      </c>
      <c r="M718" s="8">
        <f>VALUE(16181)</f>
        <v>16181</v>
      </c>
      <c r="N718" t="s">
        <v>24</v>
      </c>
    </row>
    <row r="719" spans="1:14" x14ac:dyDescent="0.25">
      <c r="A719" t="s">
        <v>14</v>
      </c>
      <c r="B719" t="s">
        <v>15</v>
      </c>
      <c r="C719" t="s">
        <v>38</v>
      </c>
      <c r="D719" t="s">
        <v>15</v>
      </c>
      <c r="E719" t="s">
        <v>23</v>
      </c>
      <c r="F719" t="s">
        <v>18</v>
      </c>
      <c r="G719" s="2">
        <f>VALUE(624.7062220422)</f>
        <v>624.70622204220001</v>
      </c>
      <c r="H719" s="3">
        <f>VALUE(606.8111604636)</f>
        <v>606.8111604636</v>
      </c>
      <c r="I719" s="4">
        <f>VALUE(3455)</f>
        <v>3455</v>
      </c>
      <c r="J719" s="1">
        <f>VALUE(4012)</f>
        <v>4012</v>
      </c>
      <c r="K719" s="6">
        <f>VALUE(4933)</f>
        <v>4933</v>
      </c>
      <c r="L719" s="1">
        <f>VALUE(5869)</f>
        <v>5869</v>
      </c>
      <c r="M719" s="1">
        <f>VALUE(7603)</f>
        <v>7603</v>
      </c>
      <c r="N719" t="s">
        <v>25</v>
      </c>
    </row>
    <row r="720" spans="1:14" x14ac:dyDescent="0.25">
      <c r="A720" t="s">
        <v>14</v>
      </c>
      <c r="B720" t="s">
        <v>15</v>
      </c>
      <c r="C720" t="s">
        <v>38</v>
      </c>
      <c r="D720" t="s">
        <v>15</v>
      </c>
      <c r="E720" t="s">
        <v>23</v>
      </c>
      <c r="F720" t="s">
        <v>19</v>
      </c>
      <c r="G720" s="2">
        <f>VALUE(1117.8244446458)</f>
        <v>1117.8244446458</v>
      </c>
      <c r="H720" s="3">
        <f>VALUE(1109.9474644546)</f>
        <v>1109.9474644546001</v>
      </c>
      <c r="I720" s="1">
        <f>VALUE(3685)</f>
        <v>3685</v>
      </c>
      <c r="J720" s="1">
        <f>VALUE(4333)</f>
        <v>4333</v>
      </c>
      <c r="K720" s="1">
        <f>VALUE(5107)</f>
        <v>5107</v>
      </c>
      <c r="L720" s="1">
        <f>VALUE(5895)</f>
        <v>5895</v>
      </c>
      <c r="M720" s="8">
        <f>VALUE(6817)</f>
        <v>6817</v>
      </c>
      <c r="N720" t="s">
        <v>25</v>
      </c>
    </row>
    <row r="721" spans="1:14" x14ac:dyDescent="0.25">
      <c r="A721" t="s">
        <v>14</v>
      </c>
      <c r="B721" t="s">
        <v>15</v>
      </c>
      <c r="C721" t="s">
        <v>38</v>
      </c>
      <c r="D721" t="s">
        <v>15</v>
      </c>
      <c r="E721" t="s">
        <v>23</v>
      </c>
      <c r="F721" t="s">
        <v>20</v>
      </c>
      <c r="G721" s="1">
        <f>VALUE(8894.4010220914)</f>
        <v>8894.4010220914006</v>
      </c>
      <c r="H721" s="1">
        <f>VALUE(7910.0587459905)</f>
        <v>7910.0587459905</v>
      </c>
      <c r="I721" s="1">
        <f>VALUE(3128)</f>
        <v>3128</v>
      </c>
      <c r="J721" s="1">
        <f>VALUE(3712)</f>
        <v>3712</v>
      </c>
      <c r="K721" s="1">
        <f>VALUE(4514)</f>
        <v>4514</v>
      </c>
      <c r="L721" s="1">
        <f>VALUE(5258)</f>
        <v>5258</v>
      </c>
      <c r="M721" s="1">
        <f>VALUE(5940)</f>
        <v>5940</v>
      </c>
      <c r="N721" t="s">
        <v>16</v>
      </c>
    </row>
    <row r="722" spans="1:14" x14ac:dyDescent="0.25">
      <c r="A722" t="s">
        <v>14</v>
      </c>
      <c r="B722" t="s">
        <v>15</v>
      </c>
      <c r="C722" t="s">
        <v>38</v>
      </c>
      <c r="D722" t="s">
        <v>15</v>
      </c>
      <c r="E722" t="s">
        <v>26</v>
      </c>
      <c r="F722" t="s">
        <v>15</v>
      </c>
      <c r="G722" s="2">
        <f>VALUE(482.8733524066)</f>
        <v>482.87335240660002</v>
      </c>
      <c r="H722" s="3">
        <f>VALUE(461.4840051026)</f>
        <v>461.48400510260001</v>
      </c>
      <c r="I722" s="1">
        <f>VALUE(3518)</f>
        <v>3518</v>
      </c>
      <c r="J722" s="1">
        <f>VALUE(5273)</f>
        <v>5273</v>
      </c>
      <c r="K722" s="1">
        <f>VALUE(6904)</f>
        <v>6904</v>
      </c>
      <c r="L722" s="1">
        <f>VALUE(11184)</f>
        <v>11184</v>
      </c>
      <c r="M722" s="8">
        <f>VALUE(23154)</f>
        <v>23154</v>
      </c>
      <c r="N722" t="s">
        <v>25</v>
      </c>
    </row>
    <row r="723" spans="1:14" x14ac:dyDescent="0.25">
      <c r="A723" t="s">
        <v>14</v>
      </c>
      <c r="B723" t="s">
        <v>15</v>
      </c>
      <c r="C723" t="s">
        <v>38</v>
      </c>
      <c r="D723" t="s">
        <v>15</v>
      </c>
      <c r="E723" t="s">
        <v>26</v>
      </c>
      <c r="F723" t="s">
        <v>17</v>
      </c>
      <c r="G723" s="2">
        <f>VALUE(159.4816077497)</f>
        <v>159.4816077497</v>
      </c>
      <c r="H723" s="3">
        <f>VALUE(156.1048465913)</f>
        <v>156.1048465913</v>
      </c>
      <c r="I723" s="1">
        <f>VALUE(3601)</f>
        <v>3601</v>
      </c>
      <c r="J723" s="1">
        <f>VALUE(9208)</f>
        <v>9208</v>
      </c>
      <c r="K723" s="1">
        <f>VALUE(16382)</f>
        <v>16382</v>
      </c>
      <c r="L723" s="1">
        <f>VALUE(28129)</f>
        <v>28129</v>
      </c>
      <c r="M723" s="1">
        <f>VALUE(43756)</f>
        <v>43756</v>
      </c>
      <c r="N723" t="s">
        <v>25</v>
      </c>
    </row>
    <row r="724" spans="1:14" x14ac:dyDescent="0.25">
      <c r="A724" t="s">
        <v>14</v>
      </c>
      <c r="B724" t="s">
        <v>15</v>
      </c>
      <c r="C724" t="s">
        <v>38</v>
      </c>
      <c r="D724" t="s">
        <v>15</v>
      </c>
      <c r="E724" t="s">
        <v>26</v>
      </c>
      <c r="F724" t="s">
        <v>18</v>
      </c>
      <c r="G724" s="1" t="str">
        <f t="shared" ref="G724:M725" si="137">"X"</f>
        <v>X</v>
      </c>
      <c r="H724" s="1" t="str">
        <f t="shared" si="137"/>
        <v>X</v>
      </c>
      <c r="I724" s="1" t="str">
        <f t="shared" si="137"/>
        <v>X</v>
      </c>
      <c r="J724" s="1" t="str">
        <f t="shared" si="137"/>
        <v>X</v>
      </c>
      <c r="K724" s="1" t="str">
        <f t="shared" si="137"/>
        <v>X</v>
      </c>
      <c r="L724" s="1" t="str">
        <f t="shared" si="137"/>
        <v>X</v>
      </c>
      <c r="M724" s="1" t="str">
        <f t="shared" si="137"/>
        <v>X</v>
      </c>
      <c r="N724" t="s">
        <v>27</v>
      </c>
    </row>
    <row r="725" spans="1:14" x14ac:dyDescent="0.25">
      <c r="A725" t="s">
        <v>14</v>
      </c>
      <c r="B725" t="s">
        <v>15</v>
      </c>
      <c r="C725" t="s">
        <v>38</v>
      </c>
      <c r="D725" t="s">
        <v>15</v>
      </c>
      <c r="E725" t="s">
        <v>26</v>
      </c>
      <c r="F725" t="s">
        <v>19</v>
      </c>
      <c r="G725" s="1" t="str">
        <f t="shared" si="137"/>
        <v>X</v>
      </c>
      <c r="H725" s="1" t="str">
        <f t="shared" si="137"/>
        <v>X</v>
      </c>
      <c r="I725" s="1" t="str">
        <f t="shared" si="137"/>
        <v>X</v>
      </c>
      <c r="J725" s="1" t="str">
        <f t="shared" si="137"/>
        <v>X</v>
      </c>
      <c r="K725" s="1" t="str">
        <f t="shared" si="137"/>
        <v>X</v>
      </c>
      <c r="L725" s="1" t="str">
        <f t="shared" si="137"/>
        <v>X</v>
      </c>
      <c r="M725" s="1" t="str">
        <f t="shared" si="137"/>
        <v>X</v>
      </c>
      <c r="N725" t="s">
        <v>27</v>
      </c>
    </row>
    <row r="726" spans="1:14" x14ac:dyDescent="0.25">
      <c r="A726" t="s">
        <v>14</v>
      </c>
      <c r="B726" t="s">
        <v>15</v>
      </c>
      <c r="C726" t="s">
        <v>38</v>
      </c>
      <c r="D726" t="s">
        <v>15</v>
      </c>
      <c r="E726" t="s">
        <v>26</v>
      </c>
      <c r="F726" t="s">
        <v>20</v>
      </c>
      <c r="G726" s="2">
        <f>VALUE(213.6878098178)</f>
        <v>213.6878098178</v>
      </c>
      <c r="H726" s="3">
        <f>VALUE(205.2295664716)</f>
        <v>205.22956647160001</v>
      </c>
      <c r="I726" s="1">
        <f>VALUE(3310)</f>
        <v>3310</v>
      </c>
      <c r="J726" s="1">
        <f>VALUE(3921)</f>
        <v>3921</v>
      </c>
      <c r="K726" s="1">
        <f>VALUE(5713)</f>
        <v>5713</v>
      </c>
      <c r="L726" s="1">
        <f>VALUE(6429)</f>
        <v>6429</v>
      </c>
      <c r="M726" s="1">
        <f>VALUE(7143)</f>
        <v>7143</v>
      </c>
      <c r="N726" t="s">
        <v>25</v>
      </c>
    </row>
    <row r="727" spans="1:14" x14ac:dyDescent="0.25">
      <c r="A727" t="s">
        <v>14</v>
      </c>
      <c r="B727" t="s">
        <v>15</v>
      </c>
      <c r="C727" t="s">
        <v>38</v>
      </c>
      <c r="D727" t="s">
        <v>28</v>
      </c>
      <c r="E727" t="s">
        <v>15</v>
      </c>
      <c r="F727" t="s">
        <v>15</v>
      </c>
      <c r="G727" s="1">
        <f>VALUE(12341.8000453625)</f>
        <v>12341.800045362501</v>
      </c>
      <c r="H727" s="1">
        <f>VALUE(10500.0995409617)</f>
        <v>10500.099540961701</v>
      </c>
      <c r="I727" s="1">
        <f>VALUE(3721)</f>
        <v>3721</v>
      </c>
      <c r="J727" s="1">
        <f>VALUE(4641)</f>
        <v>4641</v>
      </c>
      <c r="K727" s="1">
        <f>VALUE(5898)</f>
        <v>5898</v>
      </c>
      <c r="L727" s="1">
        <f>VALUE(7917)</f>
        <v>7917</v>
      </c>
      <c r="M727" s="1">
        <f>VALUE(11646)</f>
        <v>11646</v>
      </c>
      <c r="N727" t="s">
        <v>16</v>
      </c>
    </row>
    <row r="728" spans="1:14" x14ac:dyDescent="0.25">
      <c r="A728" t="s">
        <v>14</v>
      </c>
      <c r="B728" t="s">
        <v>15</v>
      </c>
      <c r="C728" t="s">
        <v>38</v>
      </c>
      <c r="D728" t="s">
        <v>28</v>
      </c>
      <c r="E728" t="s">
        <v>15</v>
      </c>
      <c r="F728" t="s">
        <v>17</v>
      </c>
      <c r="G728" s="1">
        <f>VALUE(3749.2170849491)</f>
        <v>3749.2170849490999</v>
      </c>
      <c r="H728" s="1">
        <f>VALUE(3510.9152181574)</f>
        <v>3510.9152181574</v>
      </c>
      <c r="I728" s="1">
        <f>VALUE(4235)</f>
        <v>4235</v>
      </c>
      <c r="J728" s="1">
        <f>VALUE(5714)</f>
        <v>5714</v>
      </c>
      <c r="K728" s="1">
        <f>VALUE(8095)</f>
        <v>8095</v>
      </c>
      <c r="L728" s="1">
        <f>VALUE(12093)</f>
        <v>12093</v>
      </c>
      <c r="M728" s="8">
        <f>VALUE(18282)</f>
        <v>18282</v>
      </c>
      <c r="N728" t="s">
        <v>25</v>
      </c>
    </row>
    <row r="729" spans="1:14" x14ac:dyDescent="0.25">
      <c r="A729" t="s">
        <v>14</v>
      </c>
      <c r="B729" t="s">
        <v>15</v>
      </c>
      <c r="C729" t="s">
        <v>38</v>
      </c>
      <c r="D729" t="s">
        <v>28</v>
      </c>
      <c r="E729" t="s">
        <v>15</v>
      </c>
      <c r="F729" t="s">
        <v>18</v>
      </c>
      <c r="G729" s="2">
        <f>VALUE(1445.5266749199)</f>
        <v>1445.5266749199</v>
      </c>
      <c r="H729" s="3">
        <f>VALUE(1259.5160131244)</f>
        <v>1259.5160131243999</v>
      </c>
      <c r="I729" s="1">
        <f>VALUE(3890)</f>
        <v>3890</v>
      </c>
      <c r="J729" s="1">
        <f>VALUE(5079)</f>
        <v>5079</v>
      </c>
      <c r="K729" s="1">
        <f>VALUE(6563)</f>
        <v>6563</v>
      </c>
      <c r="L729" s="1">
        <f>VALUE(8333)</f>
        <v>8333</v>
      </c>
      <c r="M729" s="1">
        <f>VALUE(10110)</f>
        <v>10110</v>
      </c>
      <c r="N729" t="s">
        <v>25</v>
      </c>
    </row>
    <row r="730" spans="1:14" x14ac:dyDescent="0.25">
      <c r="A730" t="s">
        <v>14</v>
      </c>
      <c r="B730" t="s">
        <v>15</v>
      </c>
      <c r="C730" t="s">
        <v>38</v>
      </c>
      <c r="D730" t="s">
        <v>28</v>
      </c>
      <c r="E730" t="s">
        <v>15</v>
      </c>
      <c r="F730" t="s">
        <v>19</v>
      </c>
      <c r="G730" s="2">
        <f>VALUE(1406.6353329244)</f>
        <v>1406.6353329244</v>
      </c>
      <c r="H730" s="3">
        <f>VALUE(1226.3062392416)</f>
        <v>1226.3062392416</v>
      </c>
      <c r="I730" s="1">
        <f>VALUE(4000)</f>
        <v>4000</v>
      </c>
      <c r="J730" s="1">
        <f>VALUE(4821)</f>
        <v>4821</v>
      </c>
      <c r="K730" s="1">
        <f>VALUE(5726)</f>
        <v>5726</v>
      </c>
      <c r="L730" s="1">
        <f>VALUE(6933)</f>
        <v>6933</v>
      </c>
      <c r="M730" s="1">
        <f>VALUE(8130)</f>
        <v>8130</v>
      </c>
      <c r="N730" t="s">
        <v>25</v>
      </c>
    </row>
    <row r="731" spans="1:14" x14ac:dyDescent="0.25">
      <c r="A731" t="s">
        <v>14</v>
      </c>
      <c r="B731" t="s">
        <v>15</v>
      </c>
      <c r="C731" t="s">
        <v>38</v>
      </c>
      <c r="D731" t="s">
        <v>28</v>
      </c>
      <c r="E731" t="s">
        <v>15</v>
      </c>
      <c r="F731" t="s">
        <v>20</v>
      </c>
      <c r="G731" s="1">
        <f>VALUE(5729.0272402123)</f>
        <v>5729.0272402123001</v>
      </c>
      <c r="H731" s="1">
        <f>VALUE(4498.0257641035)</f>
        <v>4498.0257641034996</v>
      </c>
      <c r="I731" s="1">
        <f>VALUE(3521)</f>
        <v>3521</v>
      </c>
      <c r="J731" s="1">
        <f>VALUE(4140)</f>
        <v>4140</v>
      </c>
      <c r="K731" s="1">
        <f>VALUE(5210)</f>
        <v>5210</v>
      </c>
      <c r="L731" s="1">
        <f>VALUE(6246)</f>
        <v>6246</v>
      </c>
      <c r="M731" s="1">
        <f>VALUE(7367)</f>
        <v>7367</v>
      </c>
      <c r="N731" t="s">
        <v>16</v>
      </c>
    </row>
    <row r="732" spans="1:14" x14ac:dyDescent="0.25">
      <c r="A732" t="s">
        <v>14</v>
      </c>
      <c r="B732" t="s">
        <v>15</v>
      </c>
      <c r="C732" t="s">
        <v>38</v>
      </c>
      <c r="D732" t="s">
        <v>28</v>
      </c>
      <c r="E732" t="s">
        <v>21</v>
      </c>
      <c r="F732" t="s">
        <v>15</v>
      </c>
      <c r="G732" s="1">
        <f>VALUE(3100.8516676665)</f>
        <v>3100.8516676664999</v>
      </c>
      <c r="H732" s="1">
        <f>VALUE(2710.2026907019)</f>
        <v>2710.2026907018999</v>
      </c>
      <c r="I732" s="1">
        <f>VALUE(4691)</f>
        <v>4691</v>
      </c>
      <c r="J732" s="1">
        <f>VALUE(5975)</f>
        <v>5975</v>
      </c>
      <c r="K732" s="1">
        <f>VALUE(8176)</f>
        <v>8176</v>
      </c>
      <c r="L732" s="1">
        <f>VALUE(11626)</f>
        <v>11626</v>
      </c>
      <c r="M732" s="1">
        <f>VALUE(17198)</f>
        <v>17198</v>
      </c>
      <c r="N732" t="s">
        <v>16</v>
      </c>
    </row>
    <row r="733" spans="1:14" x14ac:dyDescent="0.25">
      <c r="A733" t="s">
        <v>14</v>
      </c>
      <c r="B733" t="s">
        <v>15</v>
      </c>
      <c r="C733" t="s">
        <v>38</v>
      </c>
      <c r="D733" t="s">
        <v>28</v>
      </c>
      <c r="E733" t="s">
        <v>21</v>
      </c>
      <c r="F733" t="s">
        <v>17</v>
      </c>
      <c r="G733" s="1">
        <f>VALUE(1911.5262288478)</f>
        <v>1911.5262288478</v>
      </c>
      <c r="H733" s="1">
        <f>VALUE(1783.1533348818)</f>
        <v>1783.1533348818</v>
      </c>
      <c r="I733" s="4">
        <f>VALUE(4818)</f>
        <v>4818</v>
      </c>
      <c r="J733" s="5">
        <f>VALUE(6190)</f>
        <v>6190</v>
      </c>
      <c r="K733" s="1">
        <f>VALUE(9604)</f>
        <v>9604</v>
      </c>
      <c r="L733" s="1">
        <f>VALUE(13564)</f>
        <v>13564</v>
      </c>
      <c r="M733" s="8">
        <f>VALUE(20088)</f>
        <v>20088</v>
      </c>
      <c r="N733" t="s">
        <v>25</v>
      </c>
    </row>
    <row r="734" spans="1:14" x14ac:dyDescent="0.25">
      <c r="A734" t="s">
        <v>14</v>
      </c>
      <c r="B734" t="s">
        <v>15</v>
      </c>
      <c r="C734" t="s">
        <v>38</v>
      </c>
      <c r="D734" t="s">
        <v>28</v>
      </c>
      <c r="E734" t="s">
        <v>21</v>
      </c>
      <c r="F734" t="s">
        <v>18</v>
      </c>
      <c r="G734" s="2">
        <f>VALUE(417.3460208578)</f>
        <v>417.3460208578</v>
      </c>
      <c r="H734" s="3">
        <f>VALUE(346.8237238202)</f>
        <v>346.82372382019997</v>
      </c>
      <c r="I734" s="1">
        <f>VALUE(5389)</f>
        <v>5389</v>
      </c>
      <c r="J734" s="1">
        <f>VALUE(6548)</f>
        <v>6548</v>
      </c>
      <c r="K734" s="1">
        <f>VALUE(8178)</f>
        <v>8178</v>
      </c>
      <c r="L734" s="1">
        <f>VALUE(9524)</f>
        <v>9524</v>
      </c>
      <c r="M734" s="8">
        <f>VALUE(12300)</f>
        <v>12300</v>
      </c>
      <c r="N734" t="s">
        <v>25</v>
      </c>
    </row>
    <row r="735" spans="1:14" x14ac:dyDescent="0.25">
      <c r="A735" t="s">
        <v>14</v>
      </c>
      <c r="B735" t="s">
        <v>15</v>
      </c>
      <c r="C735" t="s">
        <v>38</v>
      </c>
      <c r="D735" t="s">
        <v>28</v>
      </c>
      <c r="E735" t="s">
        <v>21</v>
      </c>
      <c r="F735" t="s">
        <v>19</v>
      </c>
      <c r="G735" s="2">
        <f>VALUE(288.0269886182)</f>
        <v>288.02698861819999</v>
      </c>
      <c r="H735" s="3">
        <f>VALUE(221.810341547)</f>
        <v>221.81034154700001</v>
      </c>
      <c r="I735" s="4">
        <f>VALUE(3714)</f>
        <v>3714</v>
      </c>
      <c r="J735" s="5">
        <f>VALUE(5229)</f>
        <v>5229</v>
      </c>
      <c r="K735" s="6">
        <f>VALUE(6442)</f>
        <v>6442</v>
      </c>
      <c r="L735" s="1">
        <f>VALUE(7870)</f>
        <v>7870</v>
      </c>
      <c r="M735" s="8">
        <f>VALUE(9183)</f>
        <v>9183</v>
      </c>
      <c r="N735" t="s">
        <v>25</v>
      </c>
    </row>
    <row r="736" spans="1:14" x14ac:dyDescent="0.25">
      <c r="A736" t="s">
        <v>14</v>
      </c>
      <c r="B736" t="s">
        <v>15</v>
      </c>
      <c r="C736" t="s">
        <v>38</v>
      </c>
      <c r="D736" t="s">
        <v>28</v>
      </c>
      <c r="E736" t="s">
        <v>21</v>
      </c>
      <c r="F736" t="s">
        <v>20</v>
      </c>
      <c r="G736" s="2">
        <f>VALUE(483.9524293427)</f>
        <v>483.95242934269999</v>
      </c>
      <c r="H736" s="3">
        <f>VALUE(358.4152904529)</f>
        <v>358.41529045290002</v>
      </c>
      <c r="I736" s="4">
        <f>VALUE(3700)</f>
        <v>3700</v>
      </c>
      <c r="J736" s="5">
        <f>VALUE(5329)</f>
        <v>5329</v>
      </c>
      <c r="K736" s="1">
        <f>VALUE(6635)</f>
        <v>6635</v>
      </c>
      <c r="L736" s="1">
        <f>VALUE(8010)</f>
        <v>8010</v>
      </c>
      <c r="M736" s="1">
        <f>VALUE(9163)</f>
        <v>9163</v>
      </c>
      <c r="N736" t="s">
        <v>25</v>
      </c>
    </row>
    <row r="737" spans="1:14" x14ac:dyDescent="0.25">
      <c r="A737" t="s">
        <v>14</v>
      </c>
      <c r="B737" t="s">
        <v>15</v>
      </c>
      <c r="C737" t="s">
        <v>38</v>
      </c>
      <c r="D737" t="s">
        <v>28</v>
      </c>
      <c r="E737" t="s">
        <v>22</v>
      </c>
      <c r="F737" t="s">
        <v>15</v>
      </c>
      <c r="G737" s="1">
        <f>VALUE(6404.6945273932)</f>
        <v>6404.6945273931997</v>
      </c>
      <c r="H737" s="1">
        <f>VALUE(5458.5135140053)</f>
        <v>5458.5135140052998</v>
      </c>
      <c r="I737" s="1">
        <f>VALUE(3794)</f>
        <v>3794</v>
      </c>
      <c r="J737" s="1">
        <f>VALUE(4746)</f>
        <v>4746</v>
      </c>
      <c r="K737" s="1">
        <f>VALUE(5796)</f>
        <v>5796</v>
      </c>
      <c r="L737" s="1">
        <f>VALUE(7058)</f>
        <v>7058</v>
      </c>
      <c r="M737" s="1">
        <f>VALUE(8974)</f>
        <v>8974</v>
      </c>
      <c r="N737" t="s">
        <v>16</v>
      </c>
    </row>
    <row r="738" spans="1:14" x14ac:dyDescent="0.25">
      <c r="A738" t="s">
        <v>14</v>
      </c>
      <c r="B738" t="s">
        <v>15</v>
      </c>
      <c r="C738" t="s">
        <v>38</v>
      </c>
      <c r="D738" t="s">
        <v>28</v>
      </c>
      <c r="E738" t="s">
        <v>22</v>
      </c>
      <c r="F738" t="s">
        <v>17</v>
      </c>
      <c r="G738" s="2">
        <f>VALUE(1589.1003823266)</f>
        <v>1589.1003823266001</v>
      </c>
      <c r="H738" s="3">
        <f>VALUE(1478.1523503508)</f>
        <v>1478.1523503507999</v>
      </c>
      <c r="I738" s="4">
        <f>VALUE(3496)</f>
        <v>3496</v>
      </c>
      <c r="J738" s="5">
        <f>VALUE(5139)</f>
        <v>5139</v>
      </c>
      <c r="K738" s="1">
        <f>VALUE(6818)</f>
        <v>6818</v>
      </c>
      <c r="L738" s="1">
        <f>VALUE(9183)</f>
        <v>9183</v>
      </c>
      <c r="M738" s="8">
        <f>VALUE(13375)</f>
        <v>13375</v>
      </c>
      <c r="N738" t="s">
        <v>25</v>
      </c>
    </row>
    <row r="739" spans="1:14" x14ac:dyDescent="0.25">
      <c r="A739" t="s">
        <v>14</v>
      </c>
      <c r="B739" t="s">
        <v>15</v>
      </c>
      <c r="C739" t="s">
        <v>38</v>
      </c>
      <c r="D739" t="s">
        <v>28</v>
      </c>
      <c r="E739" t="s">
        <v>22</v>
      </c>
      <c r="F739" t="s">
        <v>18</v>
      </c>
      <c r="G739" s="2">
        <f>VALUE(781.2397688014)</f>
        <v>781.23976880140003</v>
      </c>
      <c r="H739" s="3">
        <f>VALUE(678.0751027033)</f>
        <v>678.07510270329999</v>
      </c>
      <c r="I739" s="1">
        <f>VALUE(3829)</f>
        <v>3829</v>
      </c>
      <c r="J739" s="5">
        <f>VALUE(4766)</f>
        <v>4766</v>
      </c>
      <c r="K739" s="1">
        <f>VALUE(5979)</f>
        <v>5979</v>
      </c>
      <c r="L739" s="1">
        <f>VALUE(7531)</f>
        <v>7531</v>
      </c>
      <c r="M739" s="1">
        <f>VALUE(8675)</f>
        <v>8675</v>
      </c>
      <c r="N739" t="s">
        <v>25</v>
      </c>
    </row>
    <row r="740" spans="1:14" x14ac:dyDescent="0.25">
      <c r="A740" t="s">
        <v>14</v>
      </c>
      <c r="B740" t="s">
        <v>15</v>
      </c>
      <c r="C740" t="s">
        <v>38</v>
      </c>
      <c r="D740" t="s">
        <v>28</v>
      </c>
      <c r="E740" t="s">
        <v>22</v>
      </c>
      <c r="F740" t="s">
        <v>19</v>
      </c>
      <c r="G740" s="2">
        <f>VALUE(883.4518337572)</f>
        <v>883.45183375720001</v>
      </c>
      <c r="H740" s="3">
        <f>VALUE(791.5204900718)</f>
        <v>791.52049007180005</v>
      </c>
      <c r="I740" s="1">
        <f>VALUE(4230)</f>
        <v>4230</v>
      </c>
      <c r="J740" s="1">
        <f>VALUE(4871)</f>
        <v>4871</v>
      </c>
      <c r="K740" s="1">
        <f>VALUE(5711)</f>
        <v>5711</v>
      </c>
      <c r="L740" s="1">
        <f>VALUE(6838)</f>
        <v>6838</v>
      </c>
      <c r="M740" s="1">
        <f>VALUE(7751)</f>
        <v>7751</v>
      </c>
      <c r="N740" t="s">
        <v>25</v>
      </c>
    </row>
    <row r="741" spans="1:14" x14ac:dyDescent="0.25">
      <c r="A741" t="s">
        <v>14</v>
      </c>
      <c r="B741" t="s">
        <v>15</v>
      </c>
      <c r="C741" t="s">
        <v>38</v>
      </c>
      <c r="D741" t="s">
        <v>28</v>
      </c>
      <c r="E741" t="s">
        <v>22</v>
      </c>
      <c r="F741" t="s">
        <v>20</v>
      </c>
      <c r="G741" s="1">
        <f>VALUE(3150.902542508)</f>
        <v>3150.9025425079999</v>
      </c>
      <c r="H741" s="1">
        <f>VALUE(2510.7655708794)</f>
        <v>2510.7655708794</v>
      </c>
      <c r="I741" s="1">
        <f>VALUE(3721)</f>
        <v>3721</v>
      </c>
      <c r="J741" s="1">
        <f>VALUE(4547)</f>
        <v>4547</v>
      </c>
      <c r="K741" s="1">
        <f>VALUE(5533)</f>
        <v>5533</v>
      </c>
      <c r="L741" s="1">
        <f>VALUE(6368)</f>
        <v>6368</v>
      </c>
      <c r="M741" s="1">
        <f>VALUE(7333)</f>
        <v>7333</v>
      </c>
      <c r="N741" t="s">
        <v>16</v>
      </c>
    </row>
    <row r="742" spans="1:14" x14ac:dyDescent="0.25">
      <c r="A742" t="s">
        <v>14</v>
      </c>
      <c r="B742" t="s">
        <v>15</v>
      </c>
      <c r="C742" t="s">
        <v>38</v>
      </c>
      <c r="D742" t="s">
        <v>28</v>
      </c>
      <c r="E742" t="s">
        <v>23</v>
      </c>
      <c r="F742" t="s">
        <v>15</v>
      </c>
      <c r="G742" s="1">
        <f>VALUE(2544.9103586745)</f>
        <v>2544.9103586745</v>
      </c>
      <c r="H742" s="1">
        <f>VALUE(2048.3586097769)</f>
        <v>2048.3586097768998</v>
      </c>
      <c r="I742" s="1">
        <f>VALUE(3322)</f>
        <v>3322</v>
      </c>
      <c r="J742" s="1">
        <f>VALUE(3792)</f>
        <v>3792</v>
      </c>
      <c r="K742" s="1">
        <f>VALUE(4575)</f>
        <v>4575</v>
      </c>
      <c r="L742" s="1">
        <f>VALUE(5459)</f>
        <v>5459</v>
      </c>
      <c r="M742" s="8">
        <f>VALUE(7137)</f>
        <v>7137</v>
      </c>
      <c r="N742" t="s">
        <v>25</v>
      </c>
    </row>
    <row r="743" spans="1:14" x14ac:dyDescent="0.25">
      <c r="A743" t="s">
        <v>14</v>
      </c>
      <c r="B743" t="s">
        <v>15</v>
      </c>
      <c r="C743" t="s">
        <v>38</v>
      </c>
      <c r="D743" t="s">
        <v>28</v>
      </c>
      <c r="E743" t="s">
        <v>23</v>
      </c>
      <c r="F743" t="s">
        <v>17</v>
      </c>
      <c r="G743" s="2">
        <f>VALUE(148.5966210853)</f>
        <v>148.5966210853</v>
      </c>
      <c r="H743" s="3">
        <f>VALUE(145.3717205376)</f>
        <v>145.3717205376</v>
      </c>
      <c r="I743" s="1">
        <f>VALUE(3702)</f>
        <v>3702</v>
      </c>
      <c r="J743" s="5">
        <f>VALUE(4952)</f>
        <v>4952</v>
      </c>
      <c r="K743" s="1">
        <f>VALUE(7443)</f>
        <v>7443</v>
      </c>
      <c r="L743" s="7">
        <f>VALUE(13492)</f>
        <v>13492</v>
      </c>
      <c r="M743" s="8">
        <f>VALUE(22351)</f>
        <v>22351</v>
      </c>
      <c r="N743" t="s">
        <v>25</v>
      </c>
    </row>
    <row r="744" spans="1:14" x14ac:dyDescent="0.25">
      <c r="A744" t="s">
        <v>14</v>
      </c>
      <c r="B744" t="s">
        <v>15</v>
      </c>
      <c r="C744" t="s">
        <v>38</v>
      </c>
      <c r="D744" t="s">
        <v>28</v>
      </c>
      <c r="E744" t="s">
        <v>23</v>
      </c>
      <c r="F744" t="s">
        <v>18</v>
      </c>
      <c r="G744" s="2">
        <f>VALUE(189.5896889338)</f>
        <v>189.58968893380001</v>
      </c>
      <c r="H744" s="3">
        <f>VALUE(175.2071053394)</f>
        <v>175.20710533939999</v>
      </c>
      <c r="I744" s="4">
        <f>VALUE(3344)</f>
        <v>3344</v>
      </c>
      <c r="J744" s="5">
        <f>VALUE(4017)</f>
        <v>4017</v>
      </c>
      <c r="K744" s="6">
        <f>VALUE(4925)</f>
        <v>4925</v>
      </c>
      <c r="L744" s="7">
        <f>VALUE(6344)</f>
        <v>6344</v>
      </c>
      <c r="M744" s="1">
        <f>VALUE(9070)</f>
        <v>9070</v>
      </c>
      <c r="N744" t="s">
        <v>25</v>
      </c>
    </row>
    <row r="745" spans="1:14" x14ac:dyDescent="0.25">
      <c r="A745" t="s">
        <v>14</v>
      </c>
      <c r="B745" t="s">
        <v>15</v>
      </c>
      <c r="C745" t="s">
        <v>38</v>
      </c>
      <c r="D745" t="s">
        <v>28</v>
      </c>
      <c r="E745" t="s">
        <v>23</v>
      </c>
      <c r="F745" t="s">
        <v>19</v>
      </c>
      <c r="G745" s="2">
        <f>VALUE(218.6221667455)</f>
        <v>218.62216674550001</v>
      </c>
      <c r="H745" s="3">
        <f>VALUE(201.2407035679)</f>
        <v>201.2407035679</v>
      </c>
      <c r="I745" s="4">
        <f>VALUE(3605)</f>
        <v>3605</v>
      </c>
      <c r="J745" s="5">
        <f>VALUE(4275)</f>
        <v>4275</v>
      </c>
      <c r="K745" s="1">
        <f>VALUE(5065)</f>
        <v>5065</v>
      </c>
      <c r="L745" s="7">
        <f>VALUE(6139)</f>
        <v>6139</v>
      </c>
      <c r="M745" s="1">
        <f>VALUE(9233)</f>
        <v>9233</v>
      </c>
      <c r="N745" t="s">
        <v>25</v>
      </c>
    </row>
    <row r="746" spans="1:14" x14ac:dyDescent="0.25">
      <c r="A746" t="s">
        <v>14</v>
      </c>
      <c r="B746" t="s">
        <v>15</v>
      </c>
      <c r="C746" t="s">
        <v>38</v>
      </c>
      <c r="D746" t="s">
        <v>28</v>
      </c>
      <c r="E746" t="s">
        <v>23</v>
      </c>
      <c r="F746" t="s">
        <v>20</v>
      </c>
      <c r="G746" s="1">
        <f>VALUE(1988.1018819099)</f>
        <v>1988.1018819098999</v>
      </c>
      <c r="H746" s="1">
        <f>VALUE(1526.539080332)</f>
        <v>1526.5390803319999</v>
      </c>
      <c r="I746" s="1">
        <f>VALUE(3220)</f>
        <v>3220</v>
      </c>
      <c r="J746" s="1">
        <f>VALUE(3753)</f>
        <v>3753</v>
      </c>
      <c r="K746" s="1">
        <f>VALUE(4395)</f>
        <v>4395</v>
      </c>
      <c r="L746" s="1">
        <f>VALUE(5250)</f>
        <v>5250</v>
      </c>
      <c r="M746" s="1">
        <f>VALUE(5990)</f>
        <v>5990</v>
      </c>
      <c r="N746" t="s">
        <v>16</v>
      </c>
    </row>
    <row r="747" spans="1:14" x14ac:dyDescent="0.25">
      <c r="A747" t="s">
        <v>14</v>
      </c>
      <c r="B747" t="s">
        <v>15</v>
      </c>
      <c r="C747" t="s">
        <v>38</v>
      </c>
      <c r="D747" t="s">
        <v>28</v>
      </c>
      <c r="E747" t="s">
        <v>26</v>
      </c>
      <c r="F747" t="s">
        <v>15</v>
      </c>
      <c r="G747" s="2">
        <f>VALUE(291.3434916283)</f>
        <v>291.3434916283</v>
      </c>
      <c r="H747" s="3">
        <f>VALUE(283.0247264776)</f>
        <v>283.02472647759998</v>
      </c>
      <c r="I747" s="1">
        <f>VALUE(5397)</f>
        <v>5397</v>
      </c>
      <c r="J747" s="1">
        <f>VALUE(6339)</f>
        <v>6339</v>
      </c>
      <c r="K747" s="1">
        <f>VALUE(8334)</f>
        <v>8334</v>
      </c>
      <c r="L747" s="1">
        <f>VALUE(14914)</f>
        <v>14914</v>
      </c>
      <c r="M747" s="1">
        <f>VALUE(29906)</f>
        <v>29906</v>
      </c>
      <c r="N747" t="s">
        <v>25</v>
      </c>
    </row>
    <row r="748" spans="1:14" x14ac:dyDescent="0.25">
      <c r="A748" t="s">
        <v>14</v>
      </c>
      <c r="B748" t="s">
        <v>15</v>
      </c>
      <c r="C748" t="s">
        <v>38</v>
      </c>
      <c r="D748" t="s">
        <v>28</v>
      </c>
      <c r="E748" t="s">
        <v>26</v>
      </c>
      <c r="F748" t="s">
        <v>17</v>
      </c>
      <c r="G748" s="2">
        <f>VALUE(99.9938526894)</f>
        <v>99.993852689400001</v>
      </c>
      <c r="H748" s="3">
        <f>VALUE(104.2378123872)</f>
        <v>104.23781238719999</v>
      </c>
      <c r="I748" s="1">
        <f>VALUE(9208)</f>
        <v>9208</v>
      </c>
      <c r="J748" s="1">
        <f>VALUE(13491)</f>
        <v>13491</v>
      </c>
      <c r="K748" s="1">
        <f>VALUE(20179)</f>
        <v>20179</v>
      </c>
      <c r="L748" s="1">
        <f>VALUE(32334)</f>
        <v>32334</v>
      </c>
      <c r="M748" s="1">
        <f>VALUE(53922)</f>
        <v>53922</v>
      </c>
      <c r="N748" t="s">
        <v>25</v>
      </c>
    </row>
    <row r="749" spans="1:14" x14ac:dyDescent="0.25">
      <c r="A749" t="s">
        <v>14</v>
      </c>
      <c r="B749" t="s">
        <v>15</v>
      </c>
      <c r="C749" t="s">
        <v>38</v>
      </c>
      <c r="D749" t="s">
        <v>28</v>
      </c>
      <c r="E749" t="s">
        <v>26</v>
      </c>
      <c r="F749" t="s">
        <v>18</v>
      </c>
      <c r="G749" s="1" t="str">
        <f t="shared" ref="G749:M750" si="138">"X"</f>
        <v>X</v>
      </c>
      <c r="H749" s="1" t="str">
        <f t="shared" si="138"/>
        <v>X</v>
      </c>
      <c r="I749" s="1" t="str">
        <f t="shared" si="138"/>
        <v>X</v>
      </c>
      <c r="J749" s="1" t="str">
        <f t="shared" si="138"/>
        <v>X</v>
      </c>
      <c r="K749" s="1" t="str">
        <f t="shared" si="138"/>
        <v>X</v>
      </c>
      <c r="L749" s="1" t="str">
        <f t="shared" si="138"/>
        <v>X</v>
      </c>
      <c r="M749" s="1" t="str">
        <f t="shared" si="138"/>
        <v>X</v>
      </c>
      <c r="N749" t="s">
        <v>27</v>
      </c>
    </row>
    <row r="750" spans="1:14" x14ac:dyDescent="0.25">
      <c r="A750" t="s">
        <v>14</v>
      </c>
      <c r="B750" t="s">
        <v>15</v>
      </c>
      <c r="C750" t="s">
        <v>38</v>
      </c>
      <c r="D750" t="s">
        <v>28</v>
      </c>
      <c r="E750" t="s">
        <v>26</v>
      </c>
      <c r="F750" t="s">
        <v>19</v>
      </c>
      <c r="G750" s="1" t="str">
        <f t="shared" si="138"/>
        <v>X</v>
      </c>
      <c r="H750" s="1" t="str">
        <f t="shared" si="138"/>
        <v>X</v>
      </c>
      <c r="I750" s="1" t="str">
        <f t="shared" si="138"/>
        <v>X</v>
      </c>
      <c r="J750" s="1" t="str">
        <f t="shared" si="138"/>
        <v>X</v>
      </c>
      <c r="K750" s="1" t="str">
        <f t="shared" si="138"/>
        <v>X</v>
      </c>
      <c r="L750" s="1" t="str">
        <f t="shared" si="138"/>
        <v>X</v>
      </c>
      <c r="M750" s="1" t="str">
        <f t="shared" si="138"/>
        <v>X</v>
      </c>
      <c r="N750" t="s">
        <v>27</v>
      </c>
    </row>
    <row r="751" spans="1:14" x14ac:dyDescent="0.25">
      <c r="A751" t="s">
        <v>14</v>
      </c>
      <c r="B751" t="s">
        <v>15</v>
      </c>
      <c r="C751" t="s">
        <v>38</v>
      </c>
      <c r="D751" t="s">
        <v>28</v>
      </c>
      <c r="E751" t="s">
        <v>26</v>
      </c>
      <c r="F751" t="s">
        <v>20</v>
      </c>
      <c r="G751" s="2">
        <f>VALUE(106.0703864517)</f>
        <v>106.0703864517</v>
      </c>
      <c r="H751" s="3">
        <f>VALUE(102.3058224392)</f>
        <v>102.3058224392</v>
      </c>
      <c r="I751" s="1">
        <f>VALUE(5159)</f>
        <v>5159</v>
      </c>
      <c r="J751" s="1">
        <f>VALUE(5634)</f>
        <v>5634</v>
      </c>
      <c r="K751" s="1">
        <f>VALUE(6319)</f>
        <v>6319</v>
      </c>
      <c r="L751" s="1">
        <f>VALUE(6587)</f>
        <v>6587</v>
      </c>
      <c r="M751" s="1">
        <f>VALUE(7222)</f>
        <v>7222</v>
      </c>
      <c r="N751" t="s">
        <v>25</v>
      </c>
    </row>
    <row r="752" spans="1:14" x14ac:dyDescent="0.25">
      <c r="A752" t="s">
        <v>14</v>
      </c>
      <c r="B752" t="s">
        <v>15</v>
      </c>
      <c r="C752" t="s">
        <v>38</v>
      </c>
      <c r="D752" t="s">
        <v>29</v>
      </c>
      <c r="E752" t="s">
        <v>15</v>
      </c>
      <c r="F752" t="s">
        <v>15</v>
      </c>
      <c r="G752" s="1">
        <f>VALUE(5085.220108039)</f>
        <v>5085.2201080389996</v>
      </c>
      <c r="H752" s="1">
        <f>VALUE(4675.149736871)</f>
        <v>4675.1497368709997</v>
      </c>
      <c r="I752" s="1">
        <f>VALUE(3456)</f>
        <v>3456</v>
      </c>
      <c r="J752" s="1">
        <f>VALUE(4077)</f>
        <v>4077</v>
      </c>
      <c r="K752" s="1">
        <f>VALUE(5082)</f>
        <v>5082</v>
      </c>
      <c r="L752" s="1">
        <f>VALUE(6234)</f>
        <v>6234</v>
      </c>
      <c r="M752" s="8">
        <f>VALUE(8730)</f>
        <v>8730</v>
      </c>
      <c r="N752" t="s">
        <v>25</v>
      </c>
    </row>
    <row r="753" spans="1:14" x14ac:dyDescent="0.25">
      <c r="A753" t="s">
        <v>14</v>
      </c>
      <c r="B753" t="s">
        <v>15</v>
      </c>
      <c r="C753" t="s">
        <v>38</v>
      </c>
      <c r="D753" t="s">
        <v>29</v>
      </c>
      <c r="E753" t="s">
        <v>15</v>
      </c>
      <c r="F753" t="s">
        <v>17</v>
      </c>
      <c r="G753" s="2">
        <f>VALUE(773.9698854187)</f>
        <v>773.96988541869996</v>
      </c>
      <c r="H753" s="3">
        <f>VALUE(757.3393756455)</f>
        <v>757.33937564550001</v>
      </c>
      <c r="I753" s="4">
        <f>VALUE(4148)</f>
        <v>4148</v>
      </c>
      <c r="J753" s="5">
        <f>VALUE(6319)</f>
        <v>6319</v>
      </c>
      <c r="K753" s="6">
        <f>VALUE(8275)</f>
        <v>8275</v>
      </c>
      <c r="L753" s="7">
        <f>VALUE(14286)</f>
        <v>14286</v>
      </c>
      <c r="M753" s="8">
        <f>VALUE(22606)</f>
        <v>22606</v>
      </c>
      <c r="N753" t="s">
        <v>24</v>
      </c>
    </row>
    <row r="754" spans="1:14" x14ac:dyDescent="0.25">
      <c r="A754" t="s">
        <v>14</v>
      </c>
      <c r="B754" t="s">
        <v>15</v>
      </c>
      <c r="C754" t="s">
        <v>38</v>
      </c>
      <c r="D754" t="s">
        <v>29</v>
      </c>
      <c r="E754" t="s">
        <v>15</v>
      </c>
      <c r="F754" t="s">
        <v>18</v>
      </c>
      <c r="G754" s="2">
        <f>VALUE(481.1153051937)</f>
        <v>481.11530519370001</v>
      </c>
      <c r="H754" s="3">
        <f>VALUE(446.4278567178)</f>
        <v>446.42785671780001</v>
      </c>
      <c r="I754" s="4">
        <f>VALUE(3575)</f>
        <v>3575</v>
      </c>
      <c r="J754" s="5">
        <f>VALUE(4091)</f>
        <v>4091</v>
      </c>
      <c r="K754" s="6">
        <f>VALUE(5338)</f>
        <v>5338</v>
      </c>
      <c r="L754" s="7">
        <f>VALUE(7081)</f>
        <v>7081</v>
      </c>
      <c r="M754" s="8">
        <f>VALUE(8785)</f>
        <v>8785</v>
      </c>
      <c r="N754" t="s">
        <v>24</v>
      </c>
    </row>
    <row r="755" spans="1:14" x14ac:dyDescent="0.25">
      <c r="A755" t="s">
        <v>14</v>
      </c>
      <c r="B755" t="s">
        <v>15</v>
      </c>
      <c r="C755" t="s">
        <v>38</v>
      </c>
      <c r="D755" t="s">
        <v>29</v>
      </c>
      <c r="E755" t="s">
        <v>15</v>
      </c>
      <c r="F755" t="s">
        <v>19</v>
      </c>
      <c r="G755" s="2">
        <f>VALUE(588.5529680399)</f>
        <v>588.55296803989995</v>
      </c>
      <c r="H755" s="3">
        <f>VALUE(580.4634202091)</f>
        <v>580.46342020910004</v>
      </c>
      <c r="I755" s="1">
        <f>VALUE(4024)</f>
        <v>4024</v>
      </c>
      <c r="J755" s="1">
        <f>VALUE(4678)</f>
        <v>4678</v>
      </c>
      <c r="K755" s="1">
        <f>VALUE(5504)</f>
        <v>5504</v>
      </c>
      <c r="L755" s="1">
        <f>VALUE(6147)</f>
        <v>6147</v>
      </c>
      <c r="M755" s="1">
        <f>VALUE(7513)</f>
        <v>7513</v>
      </c>
      <c r="N755" t="s">
        <v>25</v>
      </c>
    </row>
    <row r="756" spans="1:14" x14ac:dyDescent="0.25">
      <c r="A756" t="s">
        <v>14</v>
      </c>
      <c r="B756" t="s">
        <v>15</v>
      </c>
      <c r="C756" t="s">
        <v>38</v>
      </c>
      <c r="D756" t="s">
        <v>29</v>
      </c>
      <c r="E756" t="s">
        <v>15</v>
      </c>
      <c r="F756" t="s">
        <v>20</v>
      </c>
      <c r="G756" s="1">
        <f>VALUE(3227.1262132887)</f>
        <v>3227.1262132887</v>
      </c>
      <c r="H756" s="1">
        <f>VALUE(2874.6563811876)</f>
        <v>2874.6563811875999</v>
      </c>
      <c r="I756" s="1">
        <f>VALUE(3401)</f>
        <v>3401</v>
      </c>
      <c r="J756" s="1">
        <f>VALUE(3873)</f>
        <v>3873</v>
      </c>
      <c r="K756" s="1">
        <f>VALUE(4798)</f>
        <v>4798</v>
      </c>
      <c r="L756" s="1">
        <f>VALUE(5558)</f>
        <v>5558</v>
      </c>
      <c r="M756" s="1">
        <f>VALUE(6234)</f>
        <v>6234</v>
      </c>
      <c r="N756" t="s">
        <v>16</v>
      </c>
    </row>
    <row r="757" spans="1:14" x14ac:dyDescent="0.25">
      <c r="A757" t="s">
        <v>14</v>
      </c>
      <c r="B757" t="s">
        <v>15</v>
      </c>
      <c r="C757" t="s">
        <v>38</v>
      </c>
      <c r="D757" t="s">
        <v>29</v>
      </c>
      <c r="E757" t="s">
        <v>21</v>
      </c>
      <c r="F757" t="s">
        <v>15</v>
      </c>
      <c r="G757" s="2">
        <f>VALUE(594.9687033129)</f>
        <v>594.96870331289995</v>
      </c>
      <c r="H757" s="3">
        <f>VALUE(545.9132114489)</f>
        <v>545.91321144890003</v>
      </c>
      <c r="I757" s="1">
        <f>VALUE(5561)</f>
        <v>5561</v>
      </c>
      <c r="J757" s="1">
        <f>VALUE(6912)</f>
        <v>6912</v>
      </c>
      <c r="K757" s="6">
        <f>VALUE(9104)</f>
        <v>9104</v>
      </c>
      <c r="L757" s="7">
        <f>VALUE(14950)</f>
        <v>14950</v>
      </c>
      <c r="M757" s="8">
        <f>VALUE(23529)</f>
        <v>23529</v>
      </c>
      <c r="N757" t="s">
        <v>25</v>
      </c>
    </row>
    <row r="758" spans="1:14" x14ac:dyDescent="0.25">
      <c r="A758" t="s">
        <v>14</v>
      </c>
      <c r="B758" t="s">
        <v>15</v>
      </c>
      <c r="C758" t="s">
        <v>38</v>
      </c>
      <c r="D758" t="s">
        <v>29</v>
      </c>
      <c r="E758" t="s">
        <v>21</v>
      </c>
      <c r="F758" t="s">
        <v>17</v>
      </c>
      <c r="G758" s="2">
        <f>VALUE(326.6929291718)</f>
        <v>326.69292917180002</v>
      </c>
      <c r="H758" s="3">
        <f>VALUE(323.4652682613)</f>
        <v>323.46526826130003</v>
      </c>
      <c r="I758" s="4">
        <f>VALUE(6825)</f>
        <v>6825</v>
      </c>
      <c r="J758" s="5">
        <f>VALUE(8730)</f>
        <v>8730</v>
      </c>
      <c r="K758" s="6">
        <f>VALUE(11877)</f>
        <v>11877</v>
      </c>
      <c r="L758" s="7">
        <f>VALUE(18762)</f>
        <v>18762</v>
      </c>
      <c r="M758" s="8">
        <f>VALUE(31372)</f>
        <v>31372</v>
      </c>
      <c r="N758" t="s">
        <v>24</v>
      </c>
    </row>
    <row r="759" spans="1:14" x14ac:dyDescent="0.25">
      <c r="A759" t="s">
        <v>14</v>
      </c>
      <c r="B759" t="s">
        <v>15</v>
      </c>
      <c r="C759" t="s">
        <v>38</v>
      </c>
      <c r="D759" t="s">
        <v>29</v>
      </c>
      <c r="E759" t="s">
        <v>21</v>
      </c>
      <c r="F759" t="s">
        <v>18</v>
      </c>
      <c r="G759" s="1" t="str">
        <f t="shared" ref="G759:M761" si="139">"X"</f>
        <v>X</v>
      </c>
      <c r="H759" s="1" t="str">
        <f t="shared" si="139"/>
        <v>X</v>
      </c>
      <c r="I759" s="1" t="str">
        <f t="shared" si="139"/>
        <v>X</v>
      </c>
      <c r="J759" s="1" t="str">
        <f t="shared" si="139"/>
        <v>X</v>
      </c>
      <c r="K759" s="1" t="str">
        <f t="shared" si="139"/>
        <v>X</v>
      </c>
      <c r="L759" s="1" t="str">
        <f t="shared" si="139"/>
        <v>X</v>
      </c>
      <c r="M759" s="1" t="str">
        <f t="shared" si="139"/>
        <v>X</v>
      </c>
      <c r="N759" t="s">
        <v>27</v>
      </c>
    </row>
    <row r="760" spans="1:14" x14ac:dyDescent="0.25">
      <c r="A760" t="s">
        <v>14</v>
      </c>
      <c r="B760" t="s">
        <v>15</v>
      </c>
      <c r="C760" t="s">
        <v>38</v>
      </c>
      <c r="D760" t="s">
        <v>29</v>
      </c>
      <c r="E760" t="s">
        <v>21</v>
      </c>
      <c r="F760" t="s">
        <v>19</v>
      </c>
      <c r="G760" s="1" t="str">
        <f t="shared" si="139"/>
        <v>X</v>
      </c>
      <c r="H760" s="1" t="str">
        <f t="shared" si="139"/>
        <v>X</v>
      </c>
      <c r="I760" s="1" t="str">
        <f t="shared" si="139"/>
        <v>X</v>
      </c>
      <c r="J760" s="1" t="str">
        <f t="shared" si="139"/>
        <v>X</v>
      </c>
      <c r="K760" s="1" t="str">
        <f t="shared" si="139"/>
        <v>X</v>
      </c>
      <c r="L760" s="1" t="str">
        <f t="shared" si="139"/>
        <v>X</v>
      </c>
      <c r="M760" s="1" t="str">
        <f t="shared" si="139"/>
        <v>X</v>
      </c>
      <c r="N760" t="s">
        <v>27</v>
      </c>
    </row>
    <row r="761" spans="1:14" x14ac:dyDescent="0.25">
      <c r="A761" t="s">
        <v>14</v>
      </c>
      <c r="B761" t="s">
        <v>15</v>
      </c>
      <c r="C761" t="s">
        <v>38</v>
      </c>
      <c r="D761" t="s">
        <v>29</v>
      </c>
      <c r="E761" t="s">
        <v>21</v>
      </c>
      <c r="F761" t="s">
        <v>20</v>
      </c>
      <c r="G761" s="1" t="str">
        <f t="shared" si="139"/>
        <v>X</v>
      </c>
      <c r="H761" s="1" t="str">
        <f t="shared" si="139"/>
        <v>X</v>
      </c>
      <c r="I761" s="1" t="str">
        <f t="shared" si="139"/>
        <v>X</v>
      </c>
      <c r="J761" s="1" t="str">
        <f t="shared" si="139"/>
        <v>X</v>
      </c>
      <c r="K761" s="1" t="str">
        <f t="shared" si="139"/>
        <v>X</v>
      </c>
      <c r="L761" s="1" t="str">
        <f t="shared" si="139"/>
        <v>X</v>
      </c>
      <c r="M761" s="1" t="str">
        <f t="shared" si="139"/>
        <v>X</v>
      </c>
      <c r="N761" t="s">
        <v>27</v>
      </c>
    </row>
    <row r="762" spans="1:14" x14ac:dyDescent="0.25">
      <c r="A762" t="s">
        <v>14</v>
      </c>
      <c r="B762" t="s">
        <v>15</v>
      </c>
      <c r="C762" t="s">
        <v>38</v>
      </c>
      <c r="D762" t="s">
        <v>29</v>
      </c>
      <c r="E762" t="s">
        <v>22</v>
      </c>
      <c r="F762" t="s">
        <v>15</v>
      </c>
      <c r="G762" s="2">
        <f>VALUE(1396.907668761)</f>
        <v>1396.907668761</v>
      </c>
      <c r="H762" s="3">
        <f>VALUE(1303.9501834867)</f>
        <v>1303.9501834867001</v>
      </c>
      <c r="I762" s="4">
        <f>VALUE(3660)</f>
        <v>3660</v>
      </c>
      <c r="J762" s="1">
        <f>VALUE(4333)</f>
        <v>4333</v>
      </c>
      <c r="K762" s="1">
        <f>VALUE(5412)</f>
        <v>5412</v>
      </c>
      <c r="L762" s="1">
        <f>VALUE(6468)</f>
        <v>6468</v>
      </c>
      <c r="M762" s="1">
        <f>VALUE(7767)</f>
        <v>7767</v>
      </c>
      <c r="N762" t="s">
        <v>25</v>
      </c>
    </row>
    <row r="763" spans="1:14" x14ac:dyDescent="0.25">
      <c r="A763" t="s">
        <v>14</v>
      </c>
      <c r="B763" t="s">
        <v>15</v>
      </c>
      <c r="C763" t="s">
        <v>38</v>
      </c>
      <c r="D763" t="s">
        <v>29</v>
      </c>
      <c r="E763" t="s">
        <v>22</v>
      </c>
      <c r="F763" t="s">
        <v>17</v>
      </c>
      <c r="G763" s="2">
        <f>VALUE(240.4397975647)</f>
        <v>240.4397975647</v>
      </c>
      <c r="H763" s="3">
        <f>VALUE(240.3344974822)</f>
        <v>240.33449748219999</v>
      </c>
      <c r="I763" s="4">
        <f>VALUE(4047)</f>
        <v>4047</v>
      </c>
      <c r="J763" s="5">
        <f>VALUE(5682)</f>
        <v>5682</v>
      </c>
      <c r="K763" s="6">
        <f>VALUE(6779)</f>
        <v>6779</v>
      </c>
      <c r="L763" s="7">
        <f>VALUE(8714)</f>
        <v>8714</v>
      </c>
      <c r="M763" s="8">
        <f>VALUE(13401)</f>
        <v>13401</v>
      </c>
      <c r="N763" t="s">
        <v>24</v>
      </c>
    </row>
    <row r="764" spans="1:14" x14ac:dyDescent="0.25">
      <c r="A764" t="s">
        <v>14</v>
      </c>
      <c r="B764" t="s">
        <v>15</v>
      </c>
      <c r="C764" t="s">
        <v>38</v>
      </c>
      <c r="D764" t="s">
        <v>29</v>
      </c>
      <c r="E764" t="s">
        <v>22</v>
      </c>
      <c r="F764" t="s">
        <v>18</v>
      </c>
      <c r="G764" s="2">
        <f>VALUE(196.7938759811)</f>
        <v>196.7938759811</v>
      </c>
      <c r="H764" s="3">
        <f>VALUE(187.5093577182)</f>
        <v>187.50935771819999</v>
      </c>
      <c r="I764" s="4">
        <f>VALUE(3575)</f>
        <v>3575</v>
      </c>
      <c r="J764" s="5">
        <f>VALUE(4181)</f>
        <v>4181</v>
      </c>
      <c r="K764" s="6">
        <f>VALUE(5150)</f>
        <v>5150</v>
      </c>
      <c r="L764" s="7">
        <f>VALUE(6786)</f>
        <v>6786</v>
      </c>
      <c r="M764" s="8">
        <f>VALUE(7767)</f>
        <v>7767</v>
      </c>
      <c r="N764" t="s">
        <v>24</v>
      </c>
    </row>
    <row r="765" spans="1:14" x14ac:dyDescent="0.25">
      <c r="A765" t="s">
        <v>14</v>
      </c>
      <c r="B765" t="s">
        <v>15</v>
      </c>
      <c r="C765" t="s">
        <v>38</v>
      </c>
      <c r="D765" t="s">
        <v>29</v>
      </c>
      <c r="E765" t="s">
        <v>22</v>
      </c>
      <c r="F765" t="s">
        <v>19</v>
      </c>
      <c r="G765" s="2">
        <f>VALUE(225.8068449774)</f>
        <v>225.8068449774</v>
      </c>
      <c r="H765" s="3">
        <f>VALUE(220.0136722626)</f>
        <v>220.01367226260001</v>
      </c>
      <c r="I765" s="1">
        <f>VALUE(4267)</f>
        <v>4267</v>
      </c>
      <c r="J765" s="1">
        <f>VALUE(4810)</f>
        <v>4810</v>
      </c>
      <c r="K765" s="1">
        <f>VALUE(5504)</f>
        <v>5504</v>
      </c>
      <c r="L765" s="1">
        <f>VALUE(6291)</f>
        <v>6291</v>
      </c>
      <c r="M765" s="1">
        <f>VALUE(7471)</f>
        <v>7471</v>
      </c>
      <c r="N765" t="s">
        <v>25</v>
      </c>
    </row>
    <row r="766" spans="1:14" x14ac:dyDescent="0.25">
      <c r="A766" t="s">
        <v>14</v>
      </c>
      <c r="B766" t="s">
        <v>15</v>
      </c>
      <c r="C766" t="s">
        <v>38</v>
      </c>
      <c r="D766" t="s">
        <v>29</v>
      </c>
      <c r="E766" t="s">
        <v>22</v>
      </c>
      <c r="F766" t="s">
        <v>20</v>
      </c>
      <c r="G766" s="2">
        <f>VALUE(719.4114141398)</f>
        <v>719.41141413979994</v>
      </c>
      <c r="H766" s="3">
        <f>VALUE(639.8299529127)</f>
        <v>639.82995291270004</v>
      </c>
      <c r="I766" s="4">
        <f>VALUE(3660)</f>
        <v>3660</v>
      </c>
      <c r="J766" s="1">
        <f>VALUE(4076)</f>
        <v>4076</v>
      </c>
      <c r="K766" s="1">
        <f>VALUE(5000)</f>
        <v>5000</v>
      </c>
      <c r="L766" s="1">
        <f>VALUE(5828)</f>
        <v>5828</v>
      </c>
      <c r="M766" s="1">
        <f>VALUE(6646)</f>
        <v>6646</v>
      </c>
      <c r="N766" t="s">
        <v>25</v>
      </c>
    </row>
    <row r="767" spans="1:14" x14ac:dyDescent="0.25">
      <c r="A767" t="s">
        <v>14</v>
      </c>
      <c r="B767" t="s">
        <v>15</v>
      </c>
      <c r="C767" t="s">
        <v>38</v>
      </c>
      <c r="D767" t="s">
        <v>29</v>
      </c>
      <c r="E767" t="s">
        <v>23</v>
      </c>
      <c r="F767" t="s">
        <v>15</v>
      </c>
      <c r="G767" s="1">
        <f>VALUE(3034.7666684511)</f>
        <v>3034.7666684511</v>
      </c>
      <c r="H767" s="1">
        <f>VALUE(2776.5511967095)</f>
        <v>2776.5511967094999</v>
      </c>
      <c r="I767" s="1">
        <f>VALUE(3388)</f>
        <v>3388</v>
      </c>
      <c r="J767" s="1">
        <f>VALUE(3852)</f>
        <v>3852</v>
      </c>
      <c r="K767" s="1">
        <f>VALUE(4775)</f>
        <v>4775</v>
      </c>
      <c r="L767" s="1">
        <f>VALUE(5528)</f>
        <v>5528</v>
      </c>
      <c r="M767" s="1">
        <f>VALUE(6278)</f>
        <v>6278</v>
      </c>
      <c r="N767" t="s">
        <v>16</v>
      </c>
    </row>
    <row r="768" spans="1:14" x14ac:dyDescent="0.25">
      <c r="A768" t="s">
        <v>14</v>
      </c>
      <c r="B768" t="s">
        <v>15</v>
      </c>
      <c r="C768" t="s">
        <v>38</v>
      </c>
      <c r="D768" t="s">
        <v>29</v>
      </c>
      <c r="E768" t="s">
        <v>23</v>
      </c>
      <c r="F768" t="s">
        <v>17</v>
      </c>
      <c r="G768" s="1" t="str">
        <f t="shared" ref="G768:M769" si="140">"X"</f>
        <v>X</v>
      </c>
      <c r="H768" s="1" t="str">
        <f t="shared" si="140"/>
        <v>X</v>
      </c>
      <c r="I768" s="1" t="str">
        <f t="shared" si="140"/>
        <v>X</v>
      </c>
      <c r="J768" s="1" t="str">
        <f t="shared" si="140"/>
        <v>X</v>
      </c>
      <c r="K768" s="1" t="str">
        <f t="shared" si="140"/>
        <v>X</v>
      </c>
      <c r="L768" s="1" t="str">
        <f t="shared" si="140"/>
        <v>X</v>
      </c>
      <c r="M768" s="1" t="str">
        <f t="shared" si="140"/>
        <v>X</v>
      </c>
      <c r="N768" t="s">
        <v>27</v>
      </c>
    </row>
    <row r="769" spans="1:14" x14ac:dyDescent="0.25">
      <c r="A769" t="s">
        <v>14</v>
      </c>
      <c r="B769" t="s">
        <v>15</v>
      </c>
      <c r="C769" t="s">
        <v>38</v>
      </c>
      <c r="D769" t="s">
        <v>29</v>
      </c>
      <c r="E769" t="s">
        <v>23</v>
      </c>
      <c r="F769" t="s">
        <v>18</v>
      </c>
      <c r="G769" s="1" t="str">
        <f t="shared" si="140"/>
        <v>X</v>
      </c>
      <c r="H769" s="1" t="str">
        <f t="shared" si="140"/>
        <v>X</v>
      </c>
      <c r="I769" s="1" t="str">
        <f t="shared" si="140"/>
        <v>X</v>
      </c>
      <c r="J769" s="1" t="str">
        <f t="shared" si="140"/>
        <v>X</v>
      </c>
      <c r="K769" s="1" t="str">
        <f t="shared" si="140"/>
        <v>X</v>
      </c>
      <c r="L769" s="1" t="str">
        <f t="shared" si="140"/>
        <v>X</v>
      </c>
      <c r="M769" s="1" t="str">
        <f t="shared" si="140"/>
        <v>X</v>
      </c>
      <c r="N769" t="s">
        <v>27</v>
      </c>
    </row>
    <row r="770" spans="1:14" x14ac:dyDescent="0.25">
      <c r="A770" t="s">
        <v>14</v>
      </c>
      <c r="B770" t="s">
        <v>15</v>
      </c>
      <c r="C770" t="s">
        <v>38</v>
      </c>
      <c r="D770" t="s">
        <v>29</v>
      </c>
      <c r="E770" t="s">
        <v>23</v>
      </c>
      <c r="F770" t="s">
        <v>19</v>
      </c>
      <c r="G770" s="2">
        <f>VALUE(302.007148382)</f>
        <v>302.00714838200003</v>
      </c>
      <c r="H770" s="3">
        <f>VALUE(309.3270065042)</f>
        <v>309.32700650420003</v>
      </c>
      <c r="I770" s="1">
        <f>VALUE(3822)</f>
        <v>3822</v>
      </c>
      <c r="J770" s="1">
        <f>VALUE(4416)</f>
        <v>4416</v>
      </c>
      <c r="K770" s="1">
        <f>VALUE(5345)</f>
        <v>5345</v>
      </c>
      <c r="L770" s="1">
        <f>VALUE(5899)</f>
        <v>5899</v>
      </c>
      <c r="M770" s="1">
        <f>VALUE(6544)</f>
        <v>6544</v>
      </c>
      <c r="N770" t="s">
        <v>25</v>
      </c>
    </row>
    <row r="771" spans="1:14" x14ac:dyDescent="0.25">
      <c r="A771" t="s">
        <v>14</v>
      </c>
      <c r="B771" t="s">
        <v>15</v>
      </c>
      <c r="C771" t="s">
        <v>38</v>
      </c>
      <c r="D771" t="s">
        <v>29</v>
      </c>
      <c r="E771" t="s">
        <v>23</v>
      </c>
      <c r="F771" t="s">
        <v>20</v>
      </c>
      <c r="G771" s="1">
        <f>VALUE(2391.756341468)</f>
        <v>2391.7563414679998</v>
      </c>
      <c r="H771" s="1">
        <f>VALUE(2133.7612974764)</f>
        <v>2133.7612974764002</v>
      </c>
      <c r="I771" s="1">
        <f>VALUE(3365)</f>
        <v>3365</v>
      </c>
      <c r="J771" s="1">
        <f>VALUE(3791)</f>
        <v>3791</v>
      </c>
      <c r="K771" s="1">
        <f>VALUE(4698)</f>
        <v>4698</v>
      </c>
      <c r="L771" s="1">
        <f>VALUE(5316)</f>
        <v>5316</v>
      </c>
      <c r="M771" s="1">
        <f>VALUE(5955)</f>
        <v>5955</v>
      </c>
      <c r="N771" t="s">
        <v>16</v>
      </c>
    </row>
    <row r="772" spans="1:14" x14ac:dyDescent="0.25">
      <c r="A772" t="s">
        <v>14</v>
      </c>
      <c r="B772" t="s">
        <v>15</v>
      </c>
      <c r="C772" t="s">
        <v>38</v>
      </c>
      <c r="D772" t="s">
        <v>29</v>
      </c>
      <c r="E772" t="s">
        <v>26</v>
      </c>
      <c r="F772" t="s">
        <v>15</v>
      </c>
      <c r="G772" s="1" t="str">
        <f t="shared" ref="G772:M774" si="141">"X"</f>
        <v>X</v>
      </c>
      <c r="H772" s="1" t="str">
        <f t="shared" si="141"/>
        <v>X</v>
      </c>
      <c r="I772" s="1" t="str">
        <f t="shared" si="141"/>
        <v>X</v>
      </c>
      <c r="J772" s="1" t="str">
        <f t="shared" si="141"/>
        <v>X</v>
      </c>
      <c r="K772" s="1" t="str">
        <f t="shared" si="141"/>
        <v>X</v>
      </c>
      <c r="L772" s="1" t="str">
        <f t="shared" si="141"/>
        <v>X</v>
      </c>
      <c r="M772" s="1" t="str">
        <f t="shared" si="141"/>
        <v>X</v>
      </c>
      <c r="N772" t="s">
        <v>27</v>
      </c>
    </row>
    <row r="773" spans="1:14" x14ac:dyDescent="0.25">
      <c r="A773" t="s">
        <v>14</v>
      </c>
      <c r="B773" t="s">
        <v>15</v>
      </c>
      <c r="C773" t="s">
        <v>38</v>
      </c>
      <c r="D773" t="s">
        <v>29</v>
      </c>
      <c r="E773" t="s">
        <v>26</v>
      </c>
      <c r="F773" t="s">
        <v>17</v>
      </c>
      <c r="G773" s="1" t="str">
        <f t="shared" si="141"/>
        <v>X</v>
      </c>
      <c r="H773" s="1" t="str">
        <f t="shared" si="141"/>
        <v>X</v>
      </c>
      <c r="I773" s="1" t="str">
        <f t="shared" si="141"/>
        <v>X</v>
      </c>
      <c r="J773" s="1" t="str">
        <f t="shared" si="141"/>
        <v>X</v>
      </c>
      <c r="K773" s="1" t="str">
        <f t="shared" si="141"/>
        <v>X</v>
      </c>
      <c r="L773" s="1" t="str">
        <f t="shared" si="141"/>
        <v>X</v>
      </c>
      <c r="M773" s="1" t="str">
        <f t="shared" si="141"/>
        <v>X</v>
      </c>
      <c r="N773" t="s">
        <v>27</v>
      </c>
    </row>
    <row r="774" spans="1:14" x14ac:dyDescent="0.25">
      <c r="A774" t="s">
        <v>14</v>
      </c>
      <c r="B774" t="s">
        <v>15</v>
      </c>
      <c r="C774" t="s">
        <v>38</v>
      </c>
      <c r="D774" t="s">
        <v>29</v>
      </c>
      <c r="E774" t="s">
        <v>26</v>
      </c>
      <c r="F774" t="s">
        <v>18</v>
      </c>
      <c r="G774" s="1" t="str">
        <f t="shared" si="141"/>
        <v>X</v>
      </c>
      <c r="H774" s="1" t="str">
        <f t="shared" si="141"/>
        <v>X</v>
      </c>
      <c r="I774" s="1" t="str">
        <f t="shared" si="141"/>
        <v>X</v>
      </c>
      <c r="J774" s="1" t="str">
        <f t="shared" si="141"/>
        <v>X</v>
      </c>
      <c r="K774" s="1" t="str">
        <f t="shared" si="141"/>
        <v>X</v>
      </c>
      <c r="L774" s="1" t="str">
        <f t="shared" si="141"/>
        <v>X</v>
      </c>
      <c r="M774" s="1" t="str">
        <f t="shared" si="141"/>
        <v>X</v>
      </c>
      <c r="N774" t="s">
        <v>27</v>
      </c>
    </row>
    <row r="775" spans="1:14" x14ac:dyDescent="0.25">
      <c r="A775" t="s">
        <v>14</v>
      </c>
      <c r="B775" t="s">
        <v>15</v>
      </c>
      <c r="C775" t="s">
        <v>38</v>
      </c>
      <c r="D775" t="s">
        <v>29</v>
      </c>
      <c r="E775" t="s">
        <v>26</v>
      </c>
      <c r="F775" t="s">
        <v>19</v>
      </c>
      <c r="G775" s="1" t="str">
        <f t="shared" ref="G775:M775" si="142">"..."</f>
        <v>...</v>
      </c>
      <c r="H775" s="1" t="str">
        <f t="shared" si="142"/>
        <v>...</v>
      </c>
      <c r="I775" s="1" t="str">
        <f t="shared" si="142"/>
        <v>...</v>
      </c>
      <c r="J775" s="1" t="str">
        <f t="shared" si="142"/>
        <v>...</v>
      </c>
      <c r="K775" s="1" t="str">
        <f t="shared" si="142"/>
        <v>...</v>
      </c>
      <c r="L775" s="1" t="str">
        <f t="shared" si="142"/>
        <v>...</v>
      </c>
      <c r="M775" s="1" t="str">
        <f t="shared" si="142"/>
        <v>...</v>
      </c>
      <c r="N775" t="s">
        <v>30</v>
      </c>
    </row>
    <row r="776" spans="1:14" x14ac:dyDescent="0.25">
      <c r="A776" t="s">
        <v>14</v>
      </c>
      <c r="B776" t="s">
        <v>15</v>
      </c>
      <c r="C776" t="s">
        <v>38</v>
      </c>
      <c r="D776" t="s">
        <v>29</v>
      </c>
      <c r="E776" t="s">
        <v>26</v>
      </c>
      <c r="F776" t="s">
        <v>20</v>
      </c>
      <c r="G776" s="1" t="str">
        <f t="shared" ref="G776:M776" si="143">"X"</f>
        <v>X</v>
      </c>
      <c r="H776" s="1" t="str">
        <f t="shared" si="143"/>
        <v>X</v>
      </c>
      <c r="I776" s="1" t="str">
        <f t="shared" si="143"/>
        <v>X</v>
      </c>
      <c r="J776" s="1" t="str">
        <f t="shared" si="143"/>
        <v>X</v>
      </c>
      <c r="K776" s="1" t="str">
        <f t="shared" si="143"/>
        <v>X</v>
      </c>
      <c r="L776" s="1" t="str">
        <f t="shared" si="143"/>
        <v>X</v>
      </c>
      <c r="M776" s="1" t="str">
        <f t="shared" si="143"/>
        <v>X</v>
      </c>
      <c r="N776" t="s">
        <v>27</v>
      </c>
    </row>
    <row r="777" spans="1:14" x14ac:dyDescent="0.25">
      <c r="A777" t="s">
        <v>14</v>
      </c>
      <c r="B777" t="s">
        <v>15</v>
      </c>
      <c r="C777" t="s">
        <v>38</v>
      </c>
      <c r="D777" t="s">
        <v>31</v>
      </c>
      <c r="E777" t="s">
        <v>15</v>
      </c>
      <c r="F777" t="s">
        <v>15</v>
      </c>
      <c r="G777" s="2">
        <f>VALUE(635.095422554)</f>
        <v>635.09542255400004</v>
      </c>
      <c r="H777" s="3">
        <f>VALUE(619.4185867274)</f>
        <v>619.4185867274</v>
      </c>
      <c r="I777" s="1">
        <f>VALUE(3273)</f>
        <v>3273</v>
      </c>
      <c r="J777" s="5">
        <f>VALUE(3765)</f>
        <v>3765</v>
      </c>
      <c r="K777" s="6">
        <f>VALUE(5441)</f>
        <v>5441</v>
      </c>
      <c r="L777" s="7">
        <f>VALUE(7707)</f>
        <v>7707</v>
      </c>
      <c r="M777" s="1">
        <f>VALUE(14847)</f>
        <v>14847</v>
      </c>
      <c r="N777" t="s">
        <v>25</v>
      </c>
    </row>
    <row r="778" spans="1:14" x14ac:dyDescent="0.25">
      <c r="A778" t="s">
        <v>14</v>
      </c>
      <c r="B778" t="s">
        <v>15</v>
      </c>
      <c r="C778" t="s">
        <v>38</v>
      </c>
      <c r="D778" t="s">
        <v>31</v>
      </c>
      <c r="E778" t="s">
        <v>15</v>
      </c>
      <c r="F778" t="s">
        <v>17</v>
      </c>
      <c r="G778" s="2">
        <f>VALUE(192.9373297238)</f>
        <v>192.93732972379999</v>
      </c>
      <c r="H778" s="3">
        <f>VALUE(191.7915164883)</f>
        <v>191.7915164883</v>
      </c>
      <c r="I778" s="4">
        <f>VALUE(5899)</f>
        <v>5899</v>
      </c>
      <c r="J778" s="5">
        <f>VALUE(6000)</f>
        <v>6000</v>
      </c>
      <c r="K778" s="6">
        <f>VALUE(10413)</f>
        <v>10413</v>
      </c>
      <c r="L778" s="7">
        <f>VALUE(15514)</f>
        <v>15514</v>
      </c>
      <c r="M778" s="8">
        <f>VALUE(22500)</f>
        <v>22500</v>
      </c>
      <c r="N778" t="s">
        <v>24</v>
      </c>
    </row>
    <row r="779" spans="1:14" x14ac:dyDescent="0.25">
      <c r="A779" t="s">
        <v>14</v>
      </c>
      <c r="B779" t="s">
        <v>15</v>
      </c>
      <c r="C779" t="s">
        <v>38</v>
      </c>
      <c r="D779" t="s">
        <v>31</v>
      </c>
      <c r="E779" t="s">
        <v>15</v>
      </c>
      <c r="F779" t="s">
        <v>18</v>
      </c>
      <c r="G779" s="1" t="str">
        <f t="shared" ref="G779:M780" si="144">"X"</f>
        <v>X</v>
      </c>
      <c r="H779" s="1" t="str">
        <f t="shared" si="144"/>
        <v>X</v>
      </c>
      <c r="I779" s="1" t="str">
        <f t="shared" si="144"/>
        <v>X</v>
      </c>
      <c r="J779" s="1" t="str">
        <f t="shared" si="144"/>
        <v>X</v>
      </c>
      <c r="K779" s="1" t="str">
        <f t="shared" si="144"/>
        <v>X</v>
      </c>
      <c r="L779" s="1" t="str">
        <f t="shared" si="144"/>
        <v>X</v>
      </c>
      <c r="M779" s="1" t="str">
        <f t="shared" si="144"/>
        <v>X</v>
      </c>
      <c r="N779" t="s">
        <v>27</v>
      </c>
    </row>
    <row r="780" spans="1:14" x14ac:dyDescent="0.25">
      <c r="A780" t="s">
        <v>14</v>
      </c>
      <c r="B780" t="s">
        <v>15</v>
      </c>
      <c r="C780" t="s">
        <v>38</v>
      </c>
      <c r="D780" t="s">
        <v>31</v>
      </c>
      <c r="E780" t="s">
        <v>15</v>
      </c>
      <c r="F780" t="s">
        <v>19</v>
      </c>
      <c r="G780" s="1" t="str">
        <f t="shared" si="144"/>
        <v>X</v>
      </c>
      <c r="H780" s="1" t="str">
        <f t="shared" si="144"/>
        <v>X</v>
      </c>
      <c r="I780" s="1" t="str">
        <f t="shared" si="144"/>
        <v>X</v>
      </c>
      <c r="J780" s="1" t="str">
        <f t="shared" si="144"/>
        <v>X</v>
      </c>
      <c r="K780" s="1" t="str">
        <f t="shared" si="144"/>
        <v>X</v>
      </c>
      <c r="L780" s="1" t="str">
        <f t="shared" si="144"/>
        <v>X</v>
      </c>
      <c r="M780" s="1" t="str">
        <f t="shared" si="144"/>
        <v>X</v>
      </c>
      <c r="N780" t="s">
        <v>27</v>
      </c>
    </row>
    <row r="781" spans="1:14" x14ac:dyDescent="0.25">
      <c r="A781" t="s">
        <v>14</v>
      </c>
      <c r="B781" t="s">
        <v>15</v>
      </c>
      <c r="C781" t="s">
        <v>38</v>
      </c>
      <c r="D781" t="s">
        <v>31</v>
      </c>
      <c r="E781" t="s">
        <v>15</v>
      </c>
      <c r="F781" t="s">
        <v>20</v>
      </c>
      <c r="G781" s="2">
        <f>VALUE(312.8502045053)</f>
        <v>312.85020450529998</v>
      </c>
      <c r="H781" s="3">
        <f>VALUE(296.9855460379)</f>
        <v>296.98554603790001</v>
      </c>
      <c r="I781" s="4">
        <f>VALUE(3070)</f>
        <v>3070</v>
      </c>
      <c r="J781" s="1">
        <f>VALUE(3365)</f>
        <v>3365</v>
      </c>
      <c r="K781" s="6">
        <f>VALUE(3953)</f>
        <v>3953</v>
      </c>
      <c r="L781" s="1">
        <f>VALUE(5347)</f>
        <v>5347</v>
      </c>
      <c r="M781" s="8">
        <f>VALUE(6619)</f>
        <v>6619</v>
      </c>
      <c r="N781" t="s">
        <v>25</v>
      </c>
    </row>
    <row r="782" spans="1:14" x14ac:dyDescent="0.25">
      <c r="A782" t="s">
        <v>14</v>
      </c>
      <c r="B782" t="s">
        <v>15</v>
      </c>
      <c r="C782" t="s">
        <v>38</v>
      </c>
      <c r="D782" t="s">
        <v>31</v>
      </c>
      <c r="E782" t="s">
        <v>21</v>
      </c>
      <c r="F782" t="s">
        <v>15</v>
      </c>
      <c r="G782" s="1" t="str">
        <f t="shared" ref="G782:M791" si="145">"X"</f>
        <v>X</v>
      </c>
      <c r="H782" s="1" t="str">
        <f t="shared" si="145"/>
        <v>X</v>
      </c>
      <c r="I782" s="1" t="str">
        <f t="shared" si="145"/>
        <v>X</v>
      </c>
      <c r="J782" s="1" t="str">
        <f t="shared" si="145"/>
        <v>X</v>
      </c>
      <c r="K782" s="1" t="str">
        <f t="shared" si="145"/>
        <v>X</v>
      </c>
      <c r="L782" s="1" t="str">
        <f t="shared" si="145"/>
        <v>X</v>
      </c>
      <c r="M782" s="1" t="str">
        <f t="shared" si="145"/>
        <v>X</v>
      </c>
      <c r="N782" t="s">
        <v>27</v>
      </c>
    </row>
    <row r="783" spans="1:14" x14ac:dyDescent="0.25">
      <c r="A783" t="s">
        <v>14</v>
      </c>
      <c r="B783" t="s">
        <v>15</v>
      </c>
      <c r="C783" t="s">
        <v>38</v>
      </c>
      <c r="D783" t="s">
        <v>31</v>
      </c>
      <c r="E783" t="s">
        <v>21</v>
      </c>
      <c r="F783" t="s">
        <v>17</v>
      </c>
      <c r="G783" s="1" t="str">
        <f t="shared" si="145"/>
        <v>X</v>
      </c>
      <c r="H783" s="1" t="str">
        <f t="shared" si="145"/>
        <v>X</v>
      </c>
      <c r="I783" s="1" t="str">
        <f t="shared" si="145"/>
        <v>X</v>
      </c>
      <c r="J783" s="1" t="str">
        <f t="shared" si="145"/>
        <v>X</v>
      </c>
      <c r="K783" s="1" t="str">
        <f t="shared" si="145"/>
        <v>X</v>
      </c>
      <c r="L783" s="1" t="str">
        <f t="shared" si="145"/>
        <v>X</v>
      </c>
      <c r="M783" s="1" t="str">
        <f t="shared" si="145"/>
        <v>X</v>
      </c>
      <c r="N783" t="s">
        <v>27</v>
      </c>
    </row>
    <row r="784" spans="1:14" x14ac:dyDescent="0.25">
      <c r="A784" t="s">
        <v>14</v>
      </c>
      <c r="B784" t="s">
        <v>15</v>
      </c>
      <c r="C784" t="s">
        <v>38</v>
      </c>
      <c r="D784" t="s">
        <v>31</v>
      </c>
      <c r="E784" t="s">
        <v>21</v>
      </c>
      <c r="F784" t="s">
        <v>18</v>
      </c>
      <c r="G784" s="1" t="str">
        <f t="shared" si="145"/>
        <v>X</v>
      </c>
      <c r="H784" s="1" t="str">
        <f t="shared" si="145"/>
        <v>X</v>
      </c>
      <c r="I784" s="1" t="str">
        <f t="shared" si="145"/>
        <v>X</v>
      </c>
      <c r="J784" s="1" t="str">
        <f t="shared" si="145"/>
        <v>X</v>
      </c>
      <c r="K784" s="1" t="str">
        <f t="shared" si="145"/>
        <v>X</v>
      </c>
      <c r="L784" s="1" t="str">
        <f t="shared" si="145"/>
        <v>X</v>
      </c>
      <c r="M784" s="1" t="str">
        <f t="shared" si="145"/>
        <v>X</v>
      </c>
      <c r="N784" t="s">
        <v>27</v>
      </c>
    </row>
    <row r="785" spans="1:14" x14ac:dyDescent="0.25">
      <c r="A785" t="s">
        <v>14</v>
      </c>
      <c r="B785" t="s">
        <v>15</v>
      </c>
      <c r="C785" t="s">
        <v>38</v>
      </c>
      <c r="D785" t="s">
        <v>31</v>
      </c>
      <c r="E785" t="s">
        <v>21</v>
      </c>
      <c r="F785" t="s">
        <v>19</v>
      </c>
      <c r="G785" s="1" t="str">
        <f t="shared" si="145"/>
        <v>X</v>
      </c>
      <c r="H785" s="1" t="str">
        <f t="shared" si="145"/>
        <v>X</v>
      </c>
      <c r="I785" s="1" t="str">
        <f t="shared" si="145"/>
        <v>X</v>
      </c>
      <c r="J785" s="1" t="str">
        <f t="shared" si="145"/>
        <v>X</v>
      </c>
      <c r="K785" s="1" t="str">
        <f t="shared" si="145"/>
        <v>X</v>
      </c>
      <c r="L785" s="1" t="str">
        <f t="shared" si="145"/>
        <v>X</v>
      </c>
      <c r="M785" s="1" t="str">
        <f t="shared" si="145"/>
        <v>X</v>
      </c>
      <c r="N785" t="s">
        <v>27</v>
      </c>
    </row>
    <row r="786" spans="1:14" x14ac:dyDescent="0.25">
      <c r="A786" t="s">
        <v>14</v>
      </c>
      <c r="B786" t="s">
        <v>15</v>
      </c>
      <c r="C786" t="s">
        <v>38</v>
      </c>
      <c r="D786" t="s">
        <v>31</v>
      </c>
      <c r="E786" t="s">
        <v>21</v>
      </c>
      <c r="F786" t="s">
        <v>20</v>
      </c>
      <c r="G786" s="1" t="str">
        <f t="shared" si="145"/>
        <v>X</v>
      </c>
      <c r="H786" s="1" t="str">
        <f t="shared" si="145"/>
        <v>X</v>
      </c>
      <c r="I786" s="1" t="str">
        <f t="shared" si="145"/>
        <v>X</v>
      </c>
      <c r="J786" s="1" t="str">
        <f t="shared" si="145"/>
        <v>X</v>
      </c>
      <c r="K786" s="1" t="str">
        <f t="shared" si="145"/>
        <v>X</v>
      </c>
      <c r="L786" s="1" t="str">
        <f t="shared" si="145"/>
        <v>X</v>
      </c>
      <c r="M786" s="1" t="str">
        <f t="shared" si="145"/>
        <v>X</v>
      </c>
      <c r="N786" t="s">
        <v>27</v>
      </c>
    </row>
    <row r="787" spans="1:14" x14ac:dyDescent="0.25">
      <c r="A787" t="s">
        <v>14</v>
      </c>
      <c r="B787" t="s">
        <v>15</v>
      </c>
      <c r="C787" t="s">
        <v>38</v>
      </c>
      <c r="D787" t="s">
        <v>31</v>
      </c>
      <c r="E787" t="s">
        <v>22</v>
      </c>
      <c r="F787" t="s">
        <v>15</v>
      </c>
      <c r="G787" s="1" t="str">
        <f t="shared" si="145"/>
        <v>X</v>
      </c>
      <c r="H787" s="1" t="str">
        <f t="shared" si="145"/>
        <v>X</v>
      </c>
      <c r="I787" s="1" t="str">
        <f t="shared" si="145"/>
        <v>X</v>
      </c>
      <c r="J787" s="1" t="str">
        <f t="shared" si="145"/>
        <v>X</v>
      </c>
      <c r="K787" s="1" t="str">
        <f t="shared" si="145"/>
        <v>X</v>
      </c>
      <c r="L787" s="1" t="str">
        <f t="shared" si="145"/>
        <v>X</v>
      </c>
      <c r="M787" s="1" t="str">
        <f t="shared" si="145"/>
        <v>X</v>
      </c>
      <c r="N787" t="s">
        <v>27</v>
      </c>
    </row>
    <row r="788" spans="1:14" x14ac:dyDescent="0.25">
      <c r="A788" t="s">
        <v>14</v>
      </c>
      <c r="B788" t="s">
        <v>15</v>
      </c>
      <c r="C788" t="s">
        <v>38</v>
      </c>
      <c r="D788" t="s">
        <v>31</v>
      </c>
      <c r="E788" t="s">
        <v>22</v>
      </c>
      <c r="F788" t="s">
        <v>17</v>
      </c>
      <c r="G788" s="1" t="str">
        <f t="shared" si="145"/>
        <v>X</v>
      </c>
      <c r="H788" s="1" t="str">
        <f t="shared" si="145"/>
        <v>X</v>
      </c>
      <c r="I788" s="1" t="str">
        <f t="shared" si="145"/>
        <v>X</v>
      </c>
      <c r="J788" s="1" t="str">
        <f t="shared" si="145"/>
        <v>X</v>
      </c>
      <c r="K788" s="1" t="str">
        <f t="shared" si="145"/>
        <v>X</v>
      </c>
      <c r="L788" s="1" t="str">
        <f t="shared" si="145"/>
        <v>X</v>
      </c>
      <c r="M788" s="1" t="str">
        <f t="shared" si="145"/>
        <v>X</v>
      </c>
      <c r="N788" t="s">
        <v>27</v>
      </c>
    </row>
    <row r="789" spans="1:14" x14ac:dyDescent="0.25">
      <c r="A789" t="s">
        <v>14</v>
      </c>
      <c r="B789" t="s">
        <v>15</v>
      </c>
      <c r="C789" t="s">
        <v>38</v>
      </c>
      <c r="D789" t="s">
        <v>31</v>
      </c>
      <c r="E789" t="s">
        <v>22</v>
      </c>
      <c r="F789" t="s">
        <v>18</v>
      </c>
      <c r="G789" s="1" t="str">
        <f t="shared" si="145"/>
        <v>X</v>
      </c>
      <c r="H789" s="1" t="str">
        <f t="shared" si="145"/>
        <v>X</v>
      </c>
      <c r="I789" s="1" t="str">
        <f t="shared" si="145"/>
        <v>X</v>
      </c>
      <c r="J789" s="1" t="str">
        <f t="shared" si="145"/>
        <v>X</v>
      </c>
      <c r="K789" s="1" t="str">
        <f t="shared" si="145"/>
        <v>X</v>
      </c>
      <c r="L789" s="1" t="str">
        <f t="shared" si="145"/>
        <v>X</v>
      </c>
      <c r="M789" s="1" t="str">
        <f t="shared" si="145"/>
        <v>X</v>
      </c>
      <c r="N789" t="s">
        <v>27</v>
      </c>
    </row>
    <row r="790" spans="1:14" x14ac:dyDescent="0.25">
      <c r="A790" t="s">
        <v>14</v>
      </c>
      <c r="B790" t="s">
        <v>15</v>
      </c>
      <c r="C790" t="s">
        <v>38</v>
      </c>
      <c r="D790" t="s">
        <v>31</v>
      </c>
      <c r="E790" t="s">
        <v>22</v>
      </c>
      <c r="F790" t="s">
        <v>19</v>
      </c>
      <c r="G790" s="1" t="str">
        <f t="shared" si="145"/>
        <v>X</v>
      </c>
      <c r="H790" s="1" t="str">
        <f t="shared" si="145"/>
        <v>X</v>
      </c>
      <c r="I790" s="1" t="str">
        <f t="shared" si="145"/>
        <v>X</v>
      </c>
      <c r="J790" s="1" t="str">
        <f t="shared" si="145"/>
        <v>X</v>
      </c>
      <c r="K790" s="1" t="str">
        <f t="shared" si="145"/>
        <v>X</v>
      </c>
      <c r="L790" s="1" t="str">
        <f t="shared" si="145"/>
        <v>X</v>
      </c>
      <c r="M790" s="1" t="str">
        <f t="shared" si="145"/>
        <v>X</v>
      </c>
      <c r="N790" t="s">
        <v>27</v>
      </c>
    </row>
    <row r="791" spans="1:14" x14ac:dyDescent="0.25">
      <c r="A791" t="s">
        <v>14</v>
      </c>
      <c r="B791" t="s">
        <v>15</v>
      </c>
      <c r="C791" t="s">
        <v>38</v>
      </c>
      <c r="D791" t="s">
        <v>31</v>
      </c>
      <c r="E791" t="s">
        <v>22</v>
      </c>
      <c r="F791" t="s">
        <v>20</v>
      </c>
      <c r="G791" s="1" t="str">
        <f t="shared" si="145"/>
        <v>X</v>
      </c>
      <c r="H791" s="1" t="str">
        <f t="shared" si="145"/>
        <v>X</v>
      </c>
      <c r="I791" s="1" t="str">
        <f t="shared" si="145"/>
        <v>X</v>
      </c>
      <c r="J791" s="1" t="str">
        <f t="shared" si="145"/>
        <v>X</v>
      </c>
      <c r="K791" s="1" t="str">
        <f t="shared" si="145"/>
        <v>X</v>
      </c>
      <c r="L791" s="1" t="str">
        <f t="shared" si="145"/>
        <v>X</v>
      </c>
      <c r="M791" s="1" t="str">
        <f t="shared" si="145"/>
        <v>X</v>
      </c>
      <c r="N791" t="s">
        <v>27</v>
      </c>
    </row>
    <row r="792" spans="1:14" x14ac:dyDescent="0.25">
      <c r="A792" t="s">
        <v>14</v>
      </c>
      <c r="B792" t="s">
        <v>15</v>
      </c>
      <c r="C792" t="s">
        <v>38</v>
      </c>
      <c r="D792" t="s">
        <v>31</v>
      </c>
      <c r="E792" t="s">
        <v>23</v>
      </c>
      <c r="F792" t="s">
        <v>15</v>
      </c>
      <c r="G792" s="2">
        <f>VALUE(386.8284692772)</f>
        <v>386.82846927719999</v>
      </c>
      <c r="H792" s="3">
        <f>VALUE(372.4310360476)</f>
        <v>372.4310360476</v>
      </c>
      <c r="I792" s="4">
        <f>VALUE(3112)</f>
        <v>3112</v>
      </c>
      <c r="J792" s="5">
        <f>VALUE(3501)</f>
        <v>3501</v>
      </c>
      <c r="K792" s="6">
        <f>VALUE(4770)</f>
        <v>4770</v>
      </c>
      <c r="L792" s="1">
        <f>VALUE(6000)</f>
        <v>6000</v>
      </c>
      <c r="M792" s="8">
        <f>VALUE(7707)</f>
        <v>7707</v>
      </c>
      <c r="N792" t="s">
        <v>25</v>
      </c>
    </row>
    <row r="793" spans="1:14" x14ac:dyDescent="0.25">
      <c r="A793" t="s">
        <v>14</v>
      </c>
      <c r="B793" t="s">
        <v>15</v>
      </c>
      <c r="C793" t="s">
        <v>38</v>
      </c>
      <c r="D793" t="s">
        <v>31</v>
      </c>
      <c r="E793" t="s">
        <v>23</v>
      </c>
      <c r="F793" t="s">
        <v>17</v>
      </c>
      <c r="G793" s="1" t="str">
        <f t="shared" ref="G793:M795" si="146">"X"</f>
        <v>X</v>
      </c>
      <c r="H793" s="1" t="str">
        <f t="shared" si="146"/>
        <v>X</v>
      </c>
      <c r="I793" s="1" t="str">
        <f t="shared" si="146"/>
        <v>X</v>
      </c>
      <c r="J793" s="1" t="str">
        <f t="shared" si="146"/>
        <v>X</v>
      </c>
      <c r="K793" s="1" t="str">
        <f t="shared" si="146"/>
        <v>X</v>
      </c>
      <c r="L793" s="1" t="str">
        <f t="shared" si="146"/>
        <v>X</v>
      </c>
      <c r="M793" s="1" t="str">
        <f t="shared" si="146"/>
        <v>X</v>
      </c>
      <c r="N793" t="s">
        <v>27</v>
      </c>
    </row>
    <row r="794" spans="1:14" x14ac:dyDescent="0.25">
      <c r="A794" t="s">
        <v>14</v>
      </c>
      <c r="B794" t="s">
        <v>15</v>
      </c>
      <c r="C794" t="s">
        <v>38</v>
      </c>
      <c r="D794" t="s">
        <v>31</v>
      </c>
      <c r="E794" t="s">
        <v>23</v>
      </c>
      <c r="F794" t="s">
        <v>18</v>
      </c>
      <c r="G794" s="1" t="str">
        <f t="shared" si="146"/>
        <v>X</v>
      </c>
      <c r="H794" s="1" t="str">
        <f t="shared" si="146"/>
        <v>X</v>
      </c>
      <c r="I794" s="1" t="str">
        <f t="shared" si="146"/>
        <v>X</v>
      </c>
      <c r="J794" s="1" t="str">
        <f t="shared" si="146"/>
        <v>X</v>
      </c>
      <c r="K794" s="1" t="str">
        <f t="shared" si="146"/>
        <v>X</v>
      </c>
      <c r="L794" s="1" t="str">
        <f t="shared" si="146"/>
        <v>X</v>
      </c>
      <c r="M794" s="1" t="str">
        <f t="shared" si="146"/>
        <v>X</v>
      </c>
      <c r="N794" t="s">
        <v>27</v>
      </c>
    </row>
    <row r="795" spans="1:14" x14ac:dyDescent="0.25">
      <c r="A795" t="s">
        <v>14</v>
      </c>
      <c r="B795" t="s">
        <v>15</v>
      </c>
      <c r="C795" t="s">
        <v>38</v>
      </c>
      <c r="D795" t="s">
        <v>31</v>
      </c>
      <c r="E795" t="s">
        <v>23</v>
      </c>
      <c r="F795" t="s">
        <v>19</v>
      </c>
      <c r="G795" s="1" t="str">
        <f t="shared" si="146"/>
        <v>X</v>
      </c>
      <c r="H795" s="1" t="str">
        <f t="shared" si="146"/>
        <v>X</v>
      </c>
      <c r="I795" s="1" t="str">
        <f t="shared" si="146"/>
        <v>X</v>
      </c>
      <c r="J795" s="1" t="str">
        <f t="shared" si="146"/>
        <v>X</v>
      </c>
      <c r="K795" s="1" t="str">
        <f t="shared" si="146"/>
        <v>X</v>
      </c>
      <c r="L795" s="1" t="str">
        <f t="shared" si="146"/>
        <v>X</v>
      </c>
      <c r="M795" s="1" t="str">
        <f t="shared" si="146"/>
        <v>X</v>
      </c>
      <c r="N795" t="s">
        <v>27</v>
      </c>
    </row>
    <row r="796" spans="1:14" x14ac:dyDescent="0.25">
      <c r="A796" t="s">
        <v>14</v>
      </c>
      <c r="B796" t="s">
        <v>15</v>
      </c>
      <c r="C796" t="s">
        <v>38</v>
      </c>
      <c r="D796" t="s">
        <v>31</v>
      </c>
      <c r="E796" t="s">
        <v>23</v>
      </c>
      <c r="F796" t="s">
        <v>20</v>
      </c>
      <c r="G796" s="2">
        <f>VALUE(244.149697273)</f>
        <v>244.14969727299999</v>
      </c>
      <c r="H796" s="3">
        <f>VALUE(228.9719376136)</f>
        <v>228.97193761360001</v>
      </c>
      <c r="I796" s="4">
        <f>VALUE(3070)</f>
        <v>3070</v>
      </c>
      <c r="J796" s="1">
        <f>VALUE(3326)</f>
        <v>3326</v>
      </c>
      <c r="K796" s="6">
        <f>VALUE(3765)</f>
        <v>3765</v>
      </c>
      <c r="L796" s="7">
        <f>VALUE(5022)</f>
        <v>5022</v>
      </c>
      <c r="M796" s="1">
        <f>VALUE(5609)</f>
        <v>5609</v>
      </c>
      <c r="N796" t="s">
        <v>25</v>
      </c>
    </row>
    <row r="797" spans="1:14" x14ac:dyDescent="0.25">
      <c r="A797" t="s">
        <v>14</v>
      </c>
      <c r="B797" t="s">
        <v>15</v>
      </c>
      <c r="C797" t="s">
        <v>38</v>
      </c>
      <c r="D797" t="s">
        <v>31</v>
      </c>
      <c r="E797" t="s">
        <v>26</v>
      </c>
      <c r="F797" t="s">
        <v>15</v>
      </c>
      <c r="G797" s="1" t="str">
        <f t="shared" ref="G797:M798" si="147">"X"</f>
        <v>X</v>
      </c>
      <c r="H797" s="1" t="str">
        <f t="shared" si="147"/>
        <v>X</v>
      </c>
      <c r="I797" s="1" t="str">
        <f t="shared" si="147"/>
        <v>X</v>
      </c>
      <c r="J797" s="1" t="str">
        <f t="shared" si="147"/>
        <v>X</v>
      </c>
      <c r="K797" s="1" t="str">
        <f t="shared" si="147"/>
        <v>X</v>
      </c>
      <c r="L797" s="1" t="str">
        <f t="shared" si="147"/>
        <v>X</v>
      </c>
      <c r="M797" s="1" t="str">
        <f t="shared" si="147"/>
        <v>X</v>
      </c>
      <c r="N797" t="s">
        <v>27</v>
      </c>
    </row>
    <row r="798" spans="1:14" x14ac:dyDescent="0.25">
      <c r="A798" t="s">
        <v>14</v>
      </c>
      <c r="B798" t="s">
        <v>15</v>
      </c>
      <c r="C798" t="s">
        <v>38</v>
      </c>
      <c r="D798" t="s">
        <v>31</v>
      </c>
      <c r="E798" t="s">
        <v>26</v>
      </c>
      <c r="F798" t="s">
        <v>17</v>
      </c>
      <c r="G798" s="1" t="str">
        <f t="shared" si="147"/>
        <v>X</v>
      </c>
      <c r="H798" s="1" t="str">
        <f t="shared" si="147"/>
        <v>X</v>
      </c>
      <c r="I798" s="1" t="str">
        <f t="shared" si="147"/>
        <v>X</v>
      </c>
      <c r="J798" s="1" t="str">
        <f t="shared" si="147"/>
        <v>X</v>
      </c>
      <c r="K798" s="1" t="str">
        <f t="shared" si="147"/>
        <v>X</v>
      </c>
      <c r="L798" s="1" t="str">
        <f t="shared" si="147"/>
        <v>X</v>
      </c>
      <c r="M798" s="1" t="str">
        <f t="shared" si="147"/>
        <v>X</v>
      </c>
      <c r="N798" t="s">
        <v>27</v>
      </c>
    </row>
    <row r="799" spans="1:14" x14ac:dyDescent="0.25">
      <c r="A799" t="s">
        <v>14</v>
      </c>
      <c r="B799" t="s">
        <v>15</v>
      </c>
      <c r="C799" t="s">
        <v>38</v>
      </c>
      <c r="D799" t="s">
        <v>31</v>
      </c>
      <c r="E799" t="s">
        <v>26</v>
      </c>
      <c r="F799" t="s">
        <v>18</v>
      </c>
      <c r="G799" s="1" t="str">
        <f t="shared" ref="G799:M799" si="148">"..."</f>
        <v>...</v>
      </c>
      <c r="H799" s="1" t="str">
        <f t="shared" si="148"/>
        <v>...</v>
      </c>
      <c r="I799" s="1" t="str">
        <f t="shared" si="148"/>
        <v>...</v>
      </c>
      <c r="J799" s="1" t="str">
        <f t="shared" si="148"/>
        <v>...</v>
      </c>
      <c r="K799" s="1" t="str">
        <f t="shared" si="148"/>
        <v>...</v>
      </c>
      <c r="L799" s="1" t="str">
        <f t="shared" si="148"/>
        <v>...</v>
      </c>
      <c r="M799" s="1" t="str">
        <f t="shared" si="148"/>
        <v>...</v>
      </c>
      <c r="N799" t="s">
        <v>30</v>
      </c>
    </row>
    <row r="800" spans="1:14" x14ac:dyDescent="0.25">
      <c r="A800" t="s">
        <v>14</v>
      </c>
      <c r="B800" t="s">
        <v>15</v>
      </c>
      <c r="C800" t="s">
        <v>38</v>
      </c>
      <c r="D800" t="s">
        <v>31</v>
      </c>
      <c r="E800" t="s">
        <v>26</v>
      </c>
      <c r="F800" t="s">
        <v>19</v>
      </c>
      <c r="G800" s="1" t="str">
        <f t="shared" ref="G800:M801" si="149">"X"</f>
        <v>X</v>
      </c>
      <c r="H800" s="1" t="str">
        <f t="shared" si="149"/>
        <v>X</v>
      </c>
      <c r="I800" s="1" t="str">
        <f t="shared" si="149"/>
        <v>X</v>
      </c>
      <c r="J800" s="1" t="str">
        <f t="shared" si="149"/>
        <v>X</v>
      </c>
      <c r="K800" s="1" t="str">
        <f t="shared" si="149"/>
        <v>X</v>
      </c>
      <c r="L800" s="1" t="str">
        <f t="shared" si="149"/>
        <v>X</v>
      </c>
      <c r="M800" s="1" t="str">
        <f t="shared" si="149"/>
        <v>X</v>
      </c>
      <c r="N800" t="s">
        <v>27</v>
      </c>
    </row>
    <row r="801" spans="1:14" x14ac:dyDescent="0.25">
      <c r="A801" t="s">
        <v>14</v>
      </c>
      <c r="B801" t="s">
        <v>15</v>
      </c>
      <c r="C801" t="s">
        <v>38</v>
      </c>
      <c r="D801" t="s">
        <v>31</v>
      </c>
      <c r="E801" t="s">
        <v>26</v>
      </c>
      <c r="F801" t="s">
        <v>20</v>
      </c>
      <c r="G801" s="1" t="str">
        <f t="shared" si="149"/>
        <v>X</v>
      </c>
      <c r="H801" s="1" t="str">
        <f t="shared" si="149"/>
        <v>X</v>
      </c>
      <c r="I801" s="1" t="str">
        <f t="shared" si="149"/>
        <v>X</v>
      </c>
      <c r="J801" s="1" t="str">
        <f t="shared" si="149"/>
        <v>X</v>
      </c>
      <c r="K801" s="1" t="str">
        <f t="shared" si="149"/>
        <v>X</v>
      </c>
      <c r="L801" s="1" t="str">
        <f t="shared" si="149"/>
        <v>X</v>
      </c>
      <c r="M801" s="1" t="str">
        <f t="shared" si="149"/>
        <v>X</v>
      </c>
      <c r="N801" t="s">
        <v>27</v>
      </c>
    </row>
    <row r="802" spans="1:14" x14ac:dyDescent="0.25">
      <c r="A802" t="s">
        <v>14</v>
      </c>
      <c r="B802" t="s">
        <v>15</v>
      </c>
      <c r="C802" t="s">
        <v>38</v>
      </c>
      <c r="D802" t="s">
        <v>32</v>
      </c>
      <c r="E802" t="s">
        <v>15</v>
      </c>
      <c r="F802" t="s">
        <v>15</v>
      </c>
      <c r="G802" s="1">
        <f>VALUE(7602.477674192)</f>
        <v>7602.4776741920004</v>
      </c>
      <c r="H802" s="1">
        <f>VALUE(7277.7957011656)</f>
        <v>7277.7957011655999</v>
      </c>
      <c r="I802" s="1">
        <f>VALUE(3194)</f>
        <v>3194</v>
      </c>
      <c r="J802" s="1">
        <f>VALUE(4008)</f>
        <v>4008</v>
      </c>
      <c r="K802" s="1">
        <f>VALUE(4955)</f>
        <v>4955</v>
      </c>
      <c r="L802" s="1">
        <f>VALUE(5782)</f>
        <v>5782</v>
      </c>
      <c r="M802" s="1">
        <f>VALUE(7160)</f>
        <v>7160</v>
      </c>
      <c r="N802" t="s">
        <v>16</v>
      </c>
    </row>
    <row r="803" spans="1:14" x14ac:dyDescent="0.25">
      <c r="A803" t="s">
        <v>14</v>
      </c>
      <c r="B803" t="s">
        <v>15</v>
      </c>
      <c r="C803" t="s">
        <v>38</v>
      </c>
      <c r="D803" t="s">
        <v>32</v>
      </c>
      <c r="E803" t="s">
        <v>15</v>
      </c>
      <c r="F803" t="s">
        <v>17</v>
      </c>
      <c r="G803" s="2">
        <f>VALUE(722.5659734712)</f>
        <v>722.56597347119998</v>
      </c>
      <c r="H803" s="3">
        <f>VALUE(704.8455754243)</f>
        <v>704.84557542430002</v>
      </c>
      <c r="I803" s="4">
        <f>VALUE(4333)</f>
        <v>4333</v>
      </c>
      <c r="J803" s="1">
        <f>VALUE(5416)</f>
        <v>5416</v>
      </c>
      <c r="K803" s="1">
        <f>VALUE(7137)</f>
        <v>7137</v>
      </c>
      <c r="L803" s="7">
        <f>VALUE(9756)</f>
        <v>9756</v>
      </c>
      <c r="M803" s="8">
        <f>VALUE(15873)</f>
        <v>15873</v>
      </c>
      <c r="N803" t="s">
        <v>25</v>
      </c>
    </row>
    <row r="804" spans="1:14" x14ac:dyDescent="0.25">
      <c r="A804" t="s">
        <v>14</v>
      </c>
      <c r="B804" t="s">
        <v>15</v>
      </c>
      <c r="C804" t="s">
        <v>38</v>
      </c>
      <c r="D804" t="s">
        <v>32</v>
      </c>
      <c r="E804" t="s">
        <v>15</v>
      </c>
      <c r="F804" t="s">
        <v>18</v>
      </c>
      <c r="G804" s="2">
        <f>VALUE(602.9751928871)</f>
        <v>602.97519288709998</v>
      </c>
      <c r="H804" s="3">
        <f>VALUE(574.4575060679)</f>
        <v>574.4575060679</v>
      </c>
      <c r="I804" s="4">
        <f>VALUE(4084)</f>
        <v>4084</v>
      </c>
      <c r="J804" s="1">
        <f>VALUE(4696)</f>
        <v>4696</v>
      </c>
      <c r="K804" s="1">
        <f>VALUE(5417)</f>
        <v>5417</v>
      </c>
      <c r="L804" s="1">
        <f>VALUE(6812)</f>
        <v>6812</v>
      </c>
      <c r="M804" s="1">
        <f>VALUE(8107)</f>
        <v>8107</v>
      </c>
      <c r="N804" t="s">
        <v>25</v>
      </c>
    </row>
    <row r="805" spans="1:14" x14ac:dyDescent="0.25">
      <c r="A805" t="s">
        <v>14</v>
      </c>
      <c r="B805" t="s">
        <v>15</v>
      </c>
      <c r="C805" t="s">
        <v>38</v>
      </c>
      <c r="D805" t="s">
        <v>32</v>
      </c>
      <c r="E805" t="s">
        <v>15</v>
      </c>
      <c r="F805" t="s">
        <v>19</v>
      </c>
      <c r="G805" s="2">
        <f>VALUE(930.6013478671)</f>
        <v>930.6013478671</v>
      </c>
      <c r="H805" s="3">
        <f>VALUE(922.1190033877)</f>
        <v>922.11900338769999</v>
      </c>
      <c r="I805" s="1">
        <f>VALUE(3700)</f>
        <v>3700</v>
      </c>
      <c r="J805" s="1">
        <f>VALUE(4500)</f>
        <v>4500</v>
      </c>
      <c r="K805" s="1">
        <f>VALUE(5276)</f>
        <v>5276</v>
      </c>
      <c r="L805" s="1">
        <f>VALUE(6251)</f>
        <v>6251</v>
      </c>
      <c r="M805" s="1">
        <f>VALUE(7203)</f>
        <v>7203</v>
      </c>
      <c r="N805" t="s">
        <v>25</v>
      </c>
    </row>
    <row r="806" spans="1:14" x14ac:dyDescent="0.25">
      <c r="A806" t="s">
        <v>14</v>
      </c>
      <c r="B806" t="s">
        <v>15</v>
      </c>
      <c r="C806" t="s">
        <v>38</v>
      </c>
      <c r="D806" t="s">
        <v>32</v>
      </c>
      <c r="E806" t="s">
        <v>15</v>
      </c>
      <c r="F806" t="s">
        <v>20</v>
      </c>
      <c r="G806" s="1">
        <f>VALUE(5342.1052604324)</f>
        <v>5342.1052604324004</v>
      </c>
      <c r="H806" s="1">
        <f>VALUE(5073.5428373666)</f>
        <v>5073.5428373666</v>
      </c>
      <c r="I806" s="1">
        <f>VALUE(3023)</f>
        <v>3023</v>
      </c>
      <c r="J806" s="1">
        <f>VALUE(3789)</f>
        <v>3789</v>
      </c>
      <c r="K806" s="1">
        <f>VALUE(4688)</f>
        <v>4688</v>
      </c>
      <c r="L806" s="1">
        <f>VALUE(5426)</f>
        <v>5426</v>
      </c>
      <c r="M806" s="1">
        <f>VALUE(6121)</f>
        <v>6121</v>
      </c>
      <c r="N806" t="s">
        <v>16</v>
      </c>
    </row>
    <row r="807" spans="1:14" x14ac:dyDescent="0.25">
      <c r="A807" t="s">
        <v>14</v>
      </c>
      <c r="B807" t="s">
        <v>15</v>
      </c>
      <c r="C807" t="s">
        <v>38</v>
      </c>
      <c r="D807" t="s">
        <v>32</v>
      </c>
      <c r="E807" t="s">
        <v>21</v>
      </c>
      <c r="F807" t="s">
        <v>15</v>
      </c>
      <c r="G807" s="2">
        <f>VALUE(675.5894799411)</f>
        <v>675.58947994109997</v>
      </c>
      <c r="H807" s="3">
        <f>VALUE(618.54967982)</f>
        <v>618.54967982000005</v>
      </c>
      <c r="I807" s="1">
        <f>VALUE(4614)</f>
        <v>4614</v>
      </c>
      <c r="J807" s="1">
        <f>VALUE(5795)</f>
        <v>5795</v>
      </c>
      <c r="K807" s="1">
        <f>VALUE(7503)</f>
        <v>7503</v>
      </c>
      <c r="L807" s="7">
        <f>VALUE(10126)</f>
        <v>10126</v>
      </c>
      <c r="M807" s="8">
        <f>VALUE(13875)</f>
        <v>13875</v>
      </c>
      <c r="N807" t="s">
        <v>25</v>
      </c>
    </row>
    <row r="808" spans="1:14" x14ac:dyDescent="0.25">
      <c r="A808" t="s">
        <v>14</v>
      </c>
      <c r="B808" t="s">
        <v>15</v>
      </c>
      <c r="C808" t="s">
        <v>38</v>
      </c>
      <c r="D808" t="s">
        <v>32</v>
      </c>
      <c r="E808" t="s">
        <v>21</v>
      </c>
      <c r="F808" t="s">
        <v>17</v>
      </c>
      <c r="G808" s="2">
        <f>VALUE(300.99851334)</f>
        <v>300.99851333999999</v>
      </c>
      <c r="H808" s="3">
        <f>VALUE(281.3104477706)</f>
        <v>281.31044777059998</v>
      </c>
      <c r="I808" s="4">
        <f>VALUE(5105)</f>
        <v>5105</v>
      </c>
      <c r="J808" s="5">
        <f>VALUE(6627)</f>
        <v>6627</v>
      </c>
      <c r="K808" s="6">
        <f>VALUE(8624)</f>
        <v>8624</v>
      </c>
      <c r="L808" s="7">
        <f>VALUE(12827)</f>
        <v>12827</v>
      </c>
      <c r="M808" s="8">
        <f>VALUE(16476)</f>
        <v>16476</v>
      </c>
      <c r="N808" t="s">
        <v>24</v>
      </c>
    </row>
    <row r="809" spans="1:14" x14ac:dyDescent="0.25">
      <c r="A809" t="s">
        <v>14</v>
      </c>
      <c r="B809" t="s">
        <v>15</v>
      </c>
      <c r="C809" t="s">
        <v>38</v>
      </c>
      <c r="D809" t="s">
        <v>32</v>
      </c>
      <c r="E809" t="s">
        <v>21</v>
      </c>
      <c r="F809" t="s">
        <v>18</v>
      </c>
      <c r="G809" s="2">
        <f>VALUE(128.271118206)</f>
        <v>128.27111820600001</v>
      </c>
      <c r="H809" s="3">
        <f>VALUE(108.8529364468)</f>
        <v>108.8529364468</v>
      </c>
      <c r="I809" s="4">
        <f>VALUE(4153)</f>
        <v>4153</v>
      </c>
      <c r="J809" s="5">
        <f>VALUE(5739)</f>
        <v>5739</v>
      </c>
      <c r="K809" s="1">
        <f>VALUE(7243)</f>
        <v>7243</v>
      </c>
      <c r="L809" s="7">
        <f>VALUE(8700)</f>
        <v>8700</v>
      </c>
      <c r="M809" s="1">
        <f>VALUE(11143)</f>
        <v>11143</v>
      </c>
      <c r="N809" t="s">
        <v>25</v>
      </c>
    </row>
    <row r="810" spans="1:14" x14ac:dyDescent="0.25">
      <c r="A810" t="s">
        <v>14</v>
      </c>
      <c r="B810" t="s">
        <v>15</v>
      </c>
      <c r="C810" t="s">
        <v>38</v>
      </c>
      <c r="D810" t="s">
        <v>32</v>
      </c>
      <c r="E810" t="s">
        <v>21</v>
      </c>
      <c r="F810" t="s">
        <v>19</v>
      </c>
      <c r="G810" s="1" t="str">
        <f t="shared" ref="G810:M811" si="150">"X"</f>
        <v>X</v>
      </c>
      <c r="H810" s="1" t="str">
        <f t="shared" si="150"/>
        <v>X</v>
      </c>
      <c r="I810" s="1" t="str">
        <f t="shared" si="150"/>
        <v>X</v>
      </c>
      <c r="J810" s="1" t="str">
        <f t="shared" si="150"/>
        <v>X</v>
      </c>
      <c r="K810" s="1" t="str">
        <f t="shared" si="150"/>
        <v>X</v>
      </c>
      <c r="L810" s="1" t="str">
        <f t="shared" si="150"/>
        <v>X</v>
      </c>
      <c r="M810" s="1" t="str">
        <f t="shared" si="150"/>
        <v>X</v>
      </c>
      <c r="N810" t="s">
        <v>27</v>
      </c>
    </row>
    <row r="811" spans="1:14" x14ac:dyDescent="0.25">
      <c r="A811" t="s">
        <v>14</v>
      </c>
      <c r="B811" t="s">
        <v>15</v>
      </c>
      <c r="C811" t="s">
        <v>38</v>
      </c>
      <c r="D811" t="s">
        <v>32</v>
      </c>
      <c r="E811" t="s">
        <v>21</v>
      </c>
      <c r="F811" t="s">
        <v>20</v>
      </c>
      <c r="G811" s="1" t="str">
        <f t="shared" si="150"/>
        <v>X</v>
      </c>
      <c r="H811" s="1" t="str">
        <f t="shared" si="150"/>
        <v>X</v>
      </c>
      <c r="I811" s="1" t="str">
        <f t="shared" si="150"/>
        <v>X</v>
      </c>
      <c r="J811" s="1" t="str">
        <f t="shared" si="150"/>
        <v>X</v>
      </c>
      <c r="K811" s="1" t="str">
        <f t="shared" si="150"/>
        <v>X</v>
      </c>
      <c r="L811" s="1" t="str">
        <f t="shared" si="150"/>
        <v>X</v>
      </c>
      <c r="M811" s="1" t="str">
        <f t="shared" si="150"/>
        <v>X</v>
      </c>
      <c r="N811" t="s">
        <v>27</v>
      </c>
    </row>
    <row r="812" spans="1:14" x14ac:dyDescent="0.25">
      <c r="A812" t="s">
        <v>14</v>
      </c>
      <c r="B812" t="s">
        <v>15</v>
      </c>
      <c r="C812" t="s">
        <v>38</v>
      </c>
      <c r="D812" t="s">
        <v>32</v>
      </c>
      <c r="E812" t="s">
        <v>22</v>
      </c>
      <c r="F812" t="s">
        <v>15</v>
      </c>
      <c r="G812" s="1">
        <f>VALUE(1705.3991910495)</f>
        <v>1705.3991910494999</v>
      </c>
      <c r="H812" s="1">
        <f>VALUE(1671.0713600267)</f>
        <v>1671.0713600266999</v>
      </c>
      <c r="I812" s="4">
        <f>VALUE(3600)</f>
        <v>3600</v>
      </c>
      <c r="J812" s="1">
        <f>VALUE(4660)</f>
        <v>4660</v>
      </c>
      <c r="K812" s="1">
        <f>VALUE(5467)</f>
        <v>5467</v>
      </c>
      <c r="L812" s="1">
        <f>VALUE(6180)</f>
        <v>6180</v>
      </c>
      <c r="M812" s="1">
        <f>VALUE(7223)</f>
        <v>7223</v>
      </c>
      <c r="N812" t="s">
        <v>25</v>
      </c>
    </row>
    <row r="813" spans="1:14" x14ac:dyDescent="0.25">
      <c r="A813" t="s">
        <v>14</v>
      </c>
      <c r="B813" t="s">
        <v>15</v>
      </c>
      <c r="C813" t="s">
        <v>38</v>
      </c>
      <c r="D813" t="s">
        <v>32</v>
      </c>
      <c r="E813" t="s">
        <v>22</v>
      </c>
      <c r="F813" t="s">
        <v>17</v>
      </c>
      <c r="G813" s="2">
        <f>VALUE(182.690179032)</f>
        <v>182.690179032</v>
      </c>
      <c r="H813" s="3">
        <f>VALUE(180.7137156387)</f>
        <v>180.71371563869999</v>
      </c>
      <c r="I813" s="1">
        <f>VALUE(4894)</f>
        <v>4894</v>
      </c>
      <c r="J813" s="1">
        <f>VALUE(5546)</f>
        <v>5546</v>
      </c>
      <c r="K813" s="1">
        <f>VALUE(7137)</f>
        <v>7137</v>
      </c>
      <c r="L813" s="7">
        <f>VALUE(8667)</f>
        <v>8667</v>
      </c>
      <c r="M813" s="8">
        <f>VALUE(13656)</f>
        <v>13656</v>
      </c>
      <c r="N813" t="s">
        <v>25</v>
      </c>
    </row>
    <row r="814" spans="1:14" x14ac:dyDescent="0.25">
      <c r="A814" t="s">
        <v>14</v>
      </c>
      <c r="B814" t="s">
        <v>15</v>
      </c>
      <c r="C814" t="s">
        <v>38</v>
      </c>
      <c r="D814" t="s">
        <v>32</v>
      </c>
      <c r="E814" t="s">
        <v>22</v>
      </c>
      <c r="F814" t="s">
        <v>18</v>
      </c>
      <c r="G814" s="2">
        <f>VALUE(208.3284788659)</f>
        <v>208.3284788659</v>
      </c>
      <c r="H814" s="3">
        <f>VALUE(199.965389495)</f>
        <v>199.96538949500001</v>
      </c>
      <c r="I814" s="1">
        <f>VALUE(4323)</f>
        <v>4323</v>
      </c>
      <c r="J814" s="1">
        <f>VALUE(4909)</f>
        <v>4909</v>
      </c>
      <c r="K814" s="6">
        <f>VALUE(5417)</f>
        <v>5417</v>
      </c>
      <c r="L814" s="1">
        <f>VALUE(6784)</f>
        <v>6784</v>
      </c>
      <c r="M814" s="1">
        <f>VALUE(7518)</f>
        <v>7518</v>
      </c>
      <c r="N814" t="s">
        <v>25</v>
      </c>
    </row>
    <row r="815" spans="1:14" x14ac:dyDescent="0.25">
      <c r="A815" t="s">
        <v>14</v>
      </c>
      <c r="B815" t="s">
        <v>15</v>
      </c>
      <c r="C815" t="s">
        <v>38</v>
      </c>
      <c r="D815" t="s">
        <v>32</v>
      </c>
      <c r="E815" t="s">
        <v>22</v>
      </c>
      <c r="F815" t="s">
        <v>19</v>
      </c>
      <c r="G815" s="2">
        <f>VALUE(292.9074088564)</f>
        <v>292.90740885640002</v>
      </c>
      <c r="H815" s="3">
        <f>VALUE(290.3468598875)</f>
        <v>290.34685988749999</v>
      </c>
      <c r="I815" s="4">
        <f>VALUE(3900)</f>
        <v>3900</v>
      </c>
      <c r="J815" s="1">
        <f>VALUE(4864)</f>
        <v>4864</v>
      </c>
      <c r="K815" s="1">
        <f>VALUE(5597)</f>
        <v>5597</v>
      </c>
      <c r="L815" s="1">
        <f>VALUE(6323)</f>
        <v>6323</v>
      </c>
      <c r="M815" s="1">
        <f>VALUE(6931)</f>
        <v>6931</v>
      </c>
      <c r="N815" t="s">
        <v>25</v>
      </c>
    </row>
    <row r="816" spans="1:14" x14ac:dyDescent="0.25">
      <c r="A816" t="s">
        <v>14</v>
      </c>
      <c r="B816" t="s">
        <v>15</v>
      </c>
      <c r="C816" t="s">
        <v>38</v>
      </c>
      <c r="D816" t="s">
        <v>32</v>
      </c>
      <c r="E816" t="s">
        <v>22</v>
      </c>
      <c r="F816" t="s">
        <v>20</v>
      </c>
      <c r="G816" s="2">
        <f>VALUE(1021.4731242952)</f>
        <v>1021.4731242952</v>
      </c>
      <c r="H816" s="3">
        <f>VALUE(1000.0453950055)</f>
        <v>1000.0453950055</v>
      </c>
      <c r="I816" s="1">
        <f>VALUE(3004)</f>
        <v>3004</v>
      </c>
      <c r="J816" s="1">
        <f>VALUE(4230)</f>
        <v>4230</v>
      </c>
      <c r="K816" s="1">
        <f>VALUE(5241)</f>
        <v>5241</v>
      </c>
      <c r="L816" s="1">
        <f>VALUE(5778)</f>
        <v>5778</v>
      </c>
      <c r="M816" s="1">
        <f>VALUE(6733)</f>
        <v>6733</v>
      </c>
      <c r="N816" t="s">
        <v>25</v>
      </c>
    </row>
    <row r="817" spans="1:14" x14ac:dyDescent="0.25">
      <c r="A817" t="s">
        <v>14</v>
      </c>
      <c r="B817" t="s">
        <v>15</v>
      </c>
      <c r="C817" t="s">
        <v>38</v>
      </c>
      <c r="D817" t="s">
        <v>32</v>
      </c>
      <c r="E817" t="s">
        <v>23</v>
      </c>
      <c r="F817" t="s">
        <v>15</v>
      </c>
      <c r="G817" s="1">
        <f>VALUE(5111.9550604036)</f>
        <v>5111.9550604036003</v>
      </c>
      <c r="H817" s="1">
        <f>VALUE(4880.2117777302)</f>
        <v>4880.2117777302001</v>
      </c>
      <c r="I817" s="1">
        <f>VALUE(3095)</f>
        <v>3095</v>
      </c>
      <c r="J817" s="1">
        <f>VALUE(3830)</f>
        <v>3830</v>
      </c>
      <c r="K817" s="1">
        <f>VALUE(4643)</f>
        <v>4643</v>
      </c>
      <c r="L817" s="1">
        <f>VALUE(5366)</f>
        <v>5366</v>
      </c>
      <c r="M817" s="1">
        <f>VALUE(6138)</f>
        <v>6138</v>
      </c>
      <c r="N817" t="s">
        <v>16</v>
      </c>
    </row>
    <row r="818" spans="1:14" x14ac:dyDescent="0.25">
      <c r="A818" t="s">
        <v>14</v>
      </c>
      <c r="B818" t="s">
        <v>15</v>
      </c>
      <c r="C818" t="s">
        <v>38</v>
      </c>
      <c r="D818" t="s">
        <v>32</v>
      </c>
      <c r="E818" t="s">
        <v>23</v>
      </c>
      <c r="F818" t="s">
        <v>17</v>
      </c>
      <c r="G818" s="2">
        <f>VALUE(213.8949127282)</f>
        <v>213.89491272820001</v>
      </c>
      <c r="H818" s="3">
        <f>VALUE(217.296168805)</f>
        <v>217.29616880500001</v>
      </c>
      <c r="I818" s="4">
        <f>VALUE(4000)</f>
        <v>4000</v>
      </c>
      <c r="J818" s="5">
        <f>VALUE(4798)</f>
        <v>4798</v>
      </c>
      <c r="K818" s="6">
        <f>VALUE(5462)</f>
        <v>5462</v>
      </c>
      <c r="L818" s="7">
        <f>VALUE(7588)</f>
        <v>7588</v>
      </c>
      <c r="M818" s="8">
        <f>VALUE(16669)</f>
        <v>16669</v>
      </c>
      <c r="N818" t="s">
        <v>24</v>
      </c>
    </row>
    <row r="819" spans="1:14" x14ac:dyDescent="0.25">
      <c r="A819" t="s">
        <v>14</v>
      </c>
      <c r="B819" t="s">
        <v>15</v>
      </c>
      <c r="C819" t="s">
        <v>38</v>
      </c>
      <c r="D819" t="s">
        <v>32</v>
      </c>
      <c r="E819" t="s">
        <v>23</v>
      </c>
      <c r="F819" t="s">
        <v>18</v>
      </c>
      <c r="G819" s="2">
        <f>VALUE(260.0744407989)</f>
        <v>260.07444079890001</v>
      </c>
      <c r="H819" s="3">
        <f>VALUE(259.0229673591)</f>
        <v>259.02296735909999</v>
      </c>
      <c r="I819" s="1">
        <f>VALUE(3600)</f>
        <v>3600</v>
      </c>
      <c r="J819" s="1">
        <f>VALUE(4186)</f>
        <v>4186</v>
      </c>
      <c r="K819" s="1">
        <f>VALUE(5102)</f>
        <v>5102</v>
      </c>
      <c r="L819" s="1">
        <f>VALUE(5720)</f>
        <v>5720</v>
      </c>
      <c r="M819" s="1">
        <f>VALUE(6833)</f>
        <v>6833</v>
      </c>
      <c r="N819" t="s">
        <v>25</v>
      </c>
    </row>
    <row r="820" spans="1:14" x14ac:dyDescent="0.25">
      <c r="A820" t="s">
        <v>14</v>
      </c>
      <c r="B820" t="s">
        <v>15</v>
      </c>
      <c r="C820" t="s">
        <v>38</v>
      </c>
      <c r="D820" t="s">
        <v>32</v>
      </c>
      <c r="E820" t="s">
        <v>23</v>
      </c>
      <c r="F820" t="s">
        <v>19</v>
      </c>
      <c r="G820" s="2">
        <f>VALUE(523.5917966187)</f>
        <v>523.59179661869996</v>
      </c>
      <c r="H820" s="3">
        <f>VALUE(531.1322401592)</f>
        <v>531.13224015920002</v>
      </c>
      <c r="I820" s="1">
        <f>VALUE(3380)</f>
        <v>3380</v>
      </c>
      <c r="J820" s="1">
        <f>VALUE(4117)</f>
        <v>4117</v>
      </c>
      <c r="K820" s="1">
        <f>VALUE(5005)</f>
        <v>5005</v>
      </c>
      <c r="L820" s="1">
        <f>VALUE(5826)</f>
        <v>5826</v>
      </c>
      <c r="M820" s="8">
        <f>VALUE(6584)</f>
        <v>6584</v>
      </c>
      <c r="N820" t="s">
        <v>25</v>
      </c>
    </row>
    <row r="821" spans="1:14" x14ac:dyDescent="0.25">
      <c r="A821" t="s">
        <v>14</v>
      </c>
      <c r="B821" t="s">
        <v>15</v>
      </c>
      <c r="C821" t="s">
        <v>38</v>
      </c>
      <c r="D821" t="s">
        <v>32</v>
      </c>
      <c r="E821" t="s">
        <v>23</v>
      </c>
      <c r="F821" t="s">
        <v>20</v>
      </c>
      <c r="G821" s="1">
        <f>VALUE(4114.3939102578)</f>
        <v>4114.3939102577997</v>
      </c>
      <c r="H821" s="1">
        <f>VALUE(3872.7604014069)</f>
        <v>3872.7604014069002</v>
      </c>
      <c r="I821" s="1">
        <f>VALUE(3010)</f>
        <v>3010</v>
      </c>
      <c r="J821" s="1">
        <f>VALUE(3683)</f>
        <v>3683</v>
      </c>
      <c r="K821" s="1">
        <f>VALUE(4497)</f>
        <v>4497</v>
      </c>
      <c r="L821" s="1">
        <f>VALUE(5219)</f>
        <v>5219</v>
      </c>
      <c r="M821" s="1">
        <f>VALUE(5850)</f>
        <v>5850</v>
      </c>
      <c r="N821" t="s">
        <v>16</v>
      </c>
    </row>
    <row r="822" spans="1:14" x14ac:dyDescent="0.25">
      <c r="A822" t="s">
        <v>14</v>
      </c>
      <c r="B822" t="s">
        <v>15</v>
      </c>
      <c r="C822" t="s">
        <v>38</v>
      </c>
      <c r="D822" t="s">
        <v>32</v>
      </c>
      <c r="E822" t="s">
        <v>26</v>
      </c>
      <c r="F822" t="s">
        <v>15</v>
      </c>
      <c r="G822" s="1" t="str">
        <f t="shared" ref="G822:M826" si="151">"X"</f>
        <v>X</v>
      </c>
      <c r="H822" s="1" t="str">
        <f t="shared" si="151"/>
        <v>X</v>
      </c>
      <c r="I822" s="1" t="str">
        <f t="shared" si="151"/>
        <v>X</v>
      </c>
      <c r="J822" s="1" t="str">
        <f t="shared" si="151"/>
        <v>X</v>
      </c>
      <c r="K822" s="1" t="str">
        <f t="shared" si="151"/>
        <v>X</v>
      </c>
      <c r="L822" s="1" t="str">
        <f t="shared" si="151"/>
        <v>X</v>
      </c>
      <c r="M822" s="1" t="str">
        <f t="shared" si="151"/>
        <v>X</v>
      </c>
      <c r="N822" t="s">
        <v>27</v>
      </c>
    </row>
    <row r="823" spans="1:14" x14ac:dyDescent="0.25">
      <c r="A823" t="s">
        <v>14</v>
      </c>
      <c r="B823" t="s">
        <v>15</v>
      </c>
      <c r="C823" t="s">
        <v>38</v>
      </c>
      <c r="D823" t="s">
        <v>32</v>
      </c>
      <c r="E823" t="s">
        <v>26</v>
      </c>
      <c r="F823" t="s">
        <v>17</v>
      </c>
      <c r="G823" s="1" t="str">
        <f t="shared" si="151"/>
        <v>X</v>
      </c>
      <c r="H823" s="1" t="str">
        <f t="shared" si="151"/>
        <v>X</v>
      </c>
      <c r="I823" s="1" t="str">
        <f t="shared" si="151"/>
        <v>X</v>
      </c>
      <c r="J823" s="1" t="str">
        <f t="shared" si="151"/>
        <v>X</v>
      </c>
      <c r="K823" s="1" t="str">
        <f t="shared" si="151"/>
        <v>X</v>
      </c>
      <c r="L823" s="1" t="str">
        <f t="shared" si="151"/>
        <v>X</v>
      </c>
      <c r="M823" s="1" t="str">
        <f t="shared" si="151"/>
        <v>X</v>
      </c>
      <c r="N823" t="s">
        <v>27</v>
      </c>
    </row>
    <row r="824" spans="1:14" x14ac:dyDescent="0.25">
      <c r="A824" t="s">
        <v>14</v>
      </c>
      <c r="B824" t="s">
        <v>15</v>
      </c>
      <c r="C824" t="s">
        <v>38</v>
      </c>
      <c r="D824" t="s">
        <v>32</v>
      </c>
      <c r="E824" t="s">
        <v>26</v>
      </c>
      <c r="F824" t="s">
        <v>18</v>
      </c>
      <c r="G824" s="1" t="str">
        <f t="shared" si="151"/>
        <v>X</v>
      </c>
      <c r="H824" s="1" t="str">
        <f t="shared" si="151"/>
        <v>X</v>
      </c>
      <c r="I824" s="1" t="str">
        <f t="shared" si="151"/>
        <v>X</v>
      </c>
      <c r="J824" s="1" t="str">
        <f t="shared" si="151"/>
        <v>X</v>
      </c>
      <c r="K824" s="1" t="str">
        <f t="shared" si="151"/>
        <v>X</v>
      </c>
      <c r="L824" s="1" t="str">
        <f t="shared" si="151"/>
        <v>X</v>
      </c>
      <c r="M824" s="1" t="str">
        <f t="shared" si="151"/>
        <v>X</v>
      </c>
      <c r="N824" t="s">
        <v>27</v>
      </c>
    </row>
    <row r="825" spans="1:14" x14ac:dyDescent="0.25">
      <c r="A825" t="s">
        <v>14</v>
      </c>
      <c r="B825" t="s">
        <v>15</v>
      </c>
      <c r="C825" t="s">
        <v>38</v>
      </c>
      <c r="D825" t="s">
        <v>32</v>
      </c>
      <c r="E825" t="s">
        <v>26</v>
      </c>
      <c r="F825" t="s">
        <v>19</v>
      </c>
      <c r="G825" s="1" t="str">
        <f t="shared" si="151"/>
        <v>X</v>
      </c>
      <c r="H825" s="1" t="str">
        <f t="shared" si="151"/>
        <v>X</v>
      </c>
      <c r="I825" s="1" t="str">
        <f t="shared" si="151"/>
        <v>X</v>
      </c>
      <c r="J825" s="1" t="str">
        <f t="shared" si="151"/>
        <v>X</v>
      </c>
      <c r="K825" s="1" t="str">
        <f t="shared" si="151"/>
        <v>X</v>
      </c>
      <c r="L825" s="1" t="str">
        <f t="shared" si="151"/>
        <v>X</v>
      </c>
      <c r="M825" s="1" t="str">
        <f t="shared" si="151"/>
        <v>X</v>
      </c>
      <c r="N825" t="s">
        <v>27</v>
      </c>
    </row>
    <row r="826" spans="1:14" x14ac:dyDescent="0.25">
      <c r="A826" t="s">
        <v>14</v>
      </c>
      <c r="B826" t="s">
        <v>15</v>
      </c>
      <c r="C826" t="s">
        <v>38</v>
      </c>
      <c r="D826" t="s">
        <v>32</v>
      </c>
      <c r="E826" t="s">
        <v>26</v>
      </c>
      <c r="F826" t="s">
        <v>20</v>
      </c>
      <c r="G826" s="1" t="str">
        <f t="shared" si="151"/>
        <v>X</v>
      </c>
      <c r="H826" s="1" t="str">
        <f t="shared" si="151"/>
        <v>X</v>
      </c>
      <c r="I826" s="1" t="str">
        <f t="shared" si="151"/>
        <v>X</v>
      </c>
      <c r="J826" s="1" t="str">
        <f t="shared" si="151"/>
        <v>X</v>
      </c>
      <c r="K826" s="1" t="str">
        <f t="shared" si="151"/>
        <v>X</v>
      </c>
      <c r="L826" s="1" t="str">
        <f t="shared" si="151"/>
        <v>X</v>
      </c>
      <c r="M826" s="1" t="str">
        <f t="shared" si="151"/>
        <v>X</v>
      </c>
      <c r="N826" t="s">
        <v>27</v>
      </c>
    </row>
    <row r="827" spans="1:14" x14ac:dyDescent="0.25">
      <c r="A827" t="s">
        <v>14</v>
      </c>
      <c r="B827" t="s">
        <v>15</v>
      </c>
      <c r="C827" t="s">
        <v>38</v>
      </c>
      <c r="D827" t="s">
        <v>33</v>
      </c>
      <c r="E827" t="s">
        <v>15</v>
      </c>
      <c r="F827" t="s">
        <v>15</v>
      </c>
      <c r="G827" s="2">
        <f>VALUE(302.726197642)</f>
        <v>302.72619764199999</v>
      </c>
      <c r="H827" s="3">
        <f>VALUE(248.5378240981)</f>
        <v>248.5378240981</v>
      </c>
      <c r="I827" s="1">
        <f>VALUE(3488)</f>
        <v>3488</v>
      </c>
      <c r="J827" s="5">
        <f>VALUE(4787)</f>
        <v>4787</v>
      </c>
      <c r="K827" s="1">
        <f>VALUE(6212)</f>
        <v>6212</v>
      </c>
      <c r="L827" s="7">
        <f>VALUE(7733)</f>
        <v>7733</v>
      </c>
      <c r="M827" s="8">
        <f>VALUE(12728)</f>
        <v>12728</v>
      </c>
      <c r="N827" t="s">
        <v>25</v>
      </c>
    </row>
    <row r="828" spans="1:14" x14ac:dyDescent="0.25">
      <c r="A828" t="s">
        <v>14</v>
      </c>
      <c r="B828" t="s">
        <v>15</v>
      </c>
      <c r="C828" t="s">
        <v>38</v>
      </c>
      <c r="D828" t="s">
        <v>33</v>
      </c>
      <c r="E828" t="s">
        <v>15</v>
      </c>
      <c r="F828" t="s">
        <v>17</v>
      </c>
      <c r="G828" s="1" t="str">
        <f t="shared" ref="G828:M837" si="152">"X"</f>
        <v>X</v>
      </c>
      <c r="H828" s="1" t="str">
        <f t="shared" si="152"/>
        <v>X</v>
      </c>
      <c r="I828" s="1" t="str">
        <f t="shared" si="152"/>
        <v>X</v>
      </c>
      <c r="J828" s="1" t="str">
        <f t="shared" si="152"/>
        <v>X</v>
      </c>
      <c r="K828" s="1" t="str">
        <f t="shared" si="152"/>
        <v>X</v>
      </c>
      <c r="L828" s="1" t="str">
        <f t="shared" si="152"/>
        <v>X</v>
      </c>
      <c r="M828" s="1" t="str">
        <f t="shared" si="152"/>
        <v>X</v>
      </c>
      <c r="N828" t="s">
        <v>27</v>
      </c>
    </row>
    <row r="829" spans="1:14" x14ac:dyDescent="0.25">
      <c r="A829" t="s">
        <v>14</v>
      </c>
      <c r="B829" t="s">
        <v>15</v>
      </c>
      <c r="C829" t="s">
        <v>38</v>
      </c>
      <c r="D829" t="s">
        <v>33</v>
      </c>
      <c r="E829" t="s">
        <v>15</v>
      </c>
      <c r="F829" t="s">
        <v>18</v>
      </c>
      <c r="G829" s="1" t="str">
        <f t="shared" si="152"/>
        <v>X</v>
      </c>
      <c r="H829" s="1" t="str">
        <f t="shared" si="152"/>
        <v>X</v>
      </c>
      <c r="I829" s="1" t="str">
        <f t="shared" si="152"/>
        <v>X</v>
      </c>
      <c r="J829" s="1" t="str">
        <f t="shared" si="152"/>
        <v>X</v>
      </c>
      <c r="K829" s="1" t="str">
        <f t="shared" si="152"/>
        <v>X</v>
      </c>
      <c r="L829" s="1" t="str">
        <f t="shared" si="152"/>
        <v>X</v>
      </c>
      <c r="M829" s="1" t="str">
        <f t="shared" si="152"/>
        <v>X</v>
      </c>
      <c r="N829" t="s">
        <v>27</v>
      </c>
    </row>
    <row r="830" spans="1:14" x14ac:dyDescent="0.25">
      <c r="A830" t="s">
        <v>14</v>
      </c>
      <c r="B830" t="s">
        <v>15</v>
      </c>
      <c r="C830" t="s">
        <v>38</v>
      </c>
      <c r="D830" t="s">
        <v>33</v>
      </c>
      <c r="E830" t="s">
        <v>15</v>
      </c>
      <c r="F830" t="s">
        <v>19</v>
      </c>
      <c r="G830" s="1" t="str">
        <f t="shared" si="152"/>
        <v>X</v>
      </c>
      <c r="H830" s="1" t="str">
        <f t="shared" si="152"/>
        <v>X</v>
      </c>
      <c r="I830" s="1" t="str">
        <f t="shared" si="152"/>
        <v>X</v>
      </c>
      <c r="J830" s="1" t="str">
        <f t="shared" si="152"/>
        <v>X</v>
      </c>
      <c r="K830" s="1" t="str">
        <f t="shared" si="152"/>
        <v>X</v>
      </c>
      <c r="L830" s="1" t="str">
        <f t="shared" si="152"/>
        <v>X</v>
      </c>
      <c r="M830" s="1" t="str">
        <f t="shared" si="152"/>
        <v>X</v>
      </c>
      <c r="N830" t="s">
        <v>27</v>
      </c>
    </row>
    <row r="831" spans="1:14" x14ac:dyDescent="0.25">
      <c r="A831" t="s">
        <v>14</v>
      </c>
      <c r="B831" t="s">
        <v>15</v>
      </c>
      <c r="C831" t="s">
        <v>38</v>
      </c>
      <c r="D831" t="s">
        <v>33</v>
      </c>
      <c r="E831" t="s">
        <v>15</v>
      </c>
      <c r="F831" t="s">
        <v>20</v>
      </c>
      <c r="G831" s="1" t="str">
        <f t="shared" si="152"/>
        <v>X</v>
      </c>
      <c r="H831" s="1" t="str">
        <f t="shared" si="152"/>
        <v>X</v>
      </c>
      <c r="I831" s="1" t="str">
        <f t="shared" si="152"/>
        <v>X</v>
      </c>
      <c r="J831" s="1" t="str">
        <f t="shared" si="152"/>
        <v>X</v>
      </c>
      <c r="K831" s="1" t="str">
        <f t="shared" si="152"/>
        <v>X</v>
      </c>
      <c r="L831" s="1" t="str">
        <f t="shared" si="152"/>
        <v>X</v>
      </c>
      <c r="M831" s="1" t="str">
        <f t="shared" si="152"/>
        <v>X</v>
      </c>
      <c r="N831" t="s">
        <v>27</v>
      </c>
    </row>
    <row r="832" spans="1:14" x14ac:dyDescent="0.25">
      <c r="A832" t="s">
        <v>14</v>
      </c>
      <c r="B832" t="s">
        <v>15</v>
      </c>
      <c r="C832" t="s">
        <v>38</v>
      </c>
      <c r="D832" t="s">
        <v>33</v>
      </c>
      <c r="E832" t="s">
        <v>21</v>
      </c>
      <c r="F832" t="s">
        <v>15</v>
      </c>
      <c r="G832" s="1" t="str">
        <f t="shared" si="152"/>
        <v>X</v>
      </c>
      <c r="H832" s="1" t="str">
        <f t="shared" si="152"/>
        <v>X</v>
      </c>
      <c r="I832" s="1" t="str">
        <f t="shared" si="152"/>
        <v>X</v>
      </c>
      <c r="J832" s="1" t="str">
        <f t="shared" si="152"/>
        <v>X</v>
      </c>
      <c r="K832" s="1" t="str">
        <f t="shared" si="152"/>
        <v>X</v>
      </c>
      <c r="L832" s="1" t="str">
        <f t="shared" si="152"/>
        <v>X</v>
      </c>
      <c r="M832" s="1" t="str">
        <f t="shared" si="152"/>
        <v>X</v>
      </c>
      <c r="N832" t="s">
        <v>27</v>
      </c>
    </row>
    <row r="833" spans="1:14" x14ac:dyDescent="0.25">
      <c r="A833" t="s">
        <v>14</v>
      </c>
      <c r="B833" t="s">
        <v>15</v>
      </c>
      <c r="C833" t="s">
        <v>38</v>
      </c>
      <c r="D833" t="s">
        <v>33</v>
      </c>
      <c r="E833" t="s">
        <v>21</v>
      </c>
      <c r="F833" t="s">
        <v>17</v>
      </c>
      <c r="G833" s="1" t="str">
        <f t="shared" si="152"/>
        <v>X</v>
      </c>
      <c r="H833" s="1" t="str">
        <f t="shared" si="152"/>
        <v>X</v>
      </c>
      <c r="I833" s="1" t="str">
        <f t="shared" si="152"/>
        <v>X</v>
      </c>
      <c r="J833" s="1" t="str">
        <f t="shared" si="152"/>
        <v>X</v>
      </c>
      <c r="K833" s="1" t="str">
        <f t="shared" si="152"/>
        <v>X</v>
      </c>
      <c r="L833" s="1" t="str">
        <f t="shared" si="152"/>
        <v>X</v>
      </c>
      <c r="M833" s="1" t="str">
        <f t="shared" si="152"/>
        <v>X</v>
      </c>
      <c r="N833" t="s">
        <v>27</v>
      </c>
    </row>
    <row r="834" spans="1:14" x14ac:dyDescent="0.25">
      <c r="A834" t="s">
        <v>14</v>
      </c>
      <c r="B834" t="s">
        <v>15</v>
      </c>
      <c r="C834" t="s">
        <v>38</v>
      </c>
      <c r="D834" t="s">
        <v>33</v>
      </c>
      <c r="E834" t="s">
        <v>21</v>
      </c>
      <c r="F834" t="s">
        <v>18</v>
      </c>
      <c r="G834" s="1" t="str">
        <f t="shared" si="152"/>
        <v>X</v>
      </c>
      <c r="H834" s="1" t="str">
        <f t="shared" si="152"/>
        <v>X</v>
      </c>
      <c r="I834" s="1" t="str">
        <f t="shared" si="152"/>
        <v>X</v>
      </c>
      <c r="J834" s="1" t="str">
        <f t="shared" si="152"/>
        <v>X</v>
      </c>
      <c r="K834" s="1" t="str">
        <f t="shared" si="152"/>
        <v>X</v>
      </c>
      <c r="L834" s="1" t="str">
        <f t="shared" si="152"/>
        <v>X</v>
      </c>
      <c r="M834" s="1" t="str">
        <f t="shared" si="152"/>
        <v>X</v>
      </c>
      <c r="N834" t="s">
        <v>27</v>
      </c>
    </row>
    <row r="835" spans="1:14" x14ac:dyDescent="0.25">
      <c r="A835" t="s">
        <v>14</v>
      </c>
      <c r="B835" t="s">
        <v>15</v>
      </c>
      <c r="C835" t="s">
        <v>38</v>
      </c>
      <c r="D835" t="s">
        <v>33</v>
      </c>
      <c r="E835" t="s">
        <v>21</v>
      </c>
      <c r="F835" t="s">
        <v>19</v>
      </c>
      <c r="G835" s="1" t="str">
        <f t="shared" si="152"/>
        <v>X</v>
      </c>
      <c r="H835" s="1" t="str">
        <f t="shared" si="152"/>
        <v>X</v>
      </c>
      <c r="I835" s="1" t="str">
        <f t="shared" si="152"/>
        <v>X</v>
      </c>
      <c r="J835" s="1" t="str">
        <f t="shared" si="152"/>
        <v>X</v>
      </c>
      <c r="K835" s="1" t="str">
        <f t="shared" si="152"/>
        <v>X</v>
      </c>
      <c r="L835" s="1" t="str">
        <f t="shared" si="152"/>
        <v>X</v>
      </c>
      <c r="M835" s="1" t="str">
        <f t="shared" si="152"/>
        <v>X</v>
      </c>
      <c r="N835" t="s">
        <v>27</v>
      </c>
    </row>
    <row r="836" spans="1:14" x14ac:dyDescent="0.25">
      <c r="A836" t="s">
        <v>14</v>
      </c>
      <c r="B836" t="s">
        <v>15</v>
      </c>
      <c r="C836" t="s">
        <v>38</v>
      </c>
      <c r="D836" t="s">
        <v>33</v>
      </c>
      <c r="E836" t="s">
        <v>21</v>
      </c>
      <c r="F836" t="s">
        <v>20</v>
      </c>
      <c r="G836" s="1" t="str">
        <f t="shared" si="152"/>
        <v>X</v>
      </c>
      <c r="H836" s="1" t="str">
        <f t="shared" si="152"/>
        <v>X</v>
      </c>
      <c r="I836" s="1" t="str">
        <f t="shared" si="152"/>
        <v>X</v>
      </c>
      <c r="J836" s="1" t="str">
        <f t="shared" si="152"/>
        <v>X</v>
      </c>
      <c r="K836" s="1" t="str">
        <f t="shared" si="152"/>
        <v>X</v>
      </c>
      <c r="L836" s="1" t="str">
        <f t="shared" si="152"/>
        <v>X</v>
      </c>
      <c r="M836" s="1" t="str">
        <f t="shared" si="152"/>
        <v>X</v>
      </c>
      <c r="N836" t="s">
        <v>27</v>
      </c>
    </row>
    <row r="837" spans="1:14" x14ac:dyDescent="0.25">
      <c r="A837" t="s">
        <v>14</v>
      </c>
      <c r="B837" t="s">
        <v>15</v>
      </c>
      <c r="C837" t="s">
        <v>38</v>
      </c>
      <c r="D837" t="s">
        <v>33</v>
      </c>
      <c r="E837" t="s">
        <v>22</v>
      </c>
      <c r="F837" t="s">
        <v>15</v>
      </c>
      <c r="G837" s="1" t="str">
        <f t="shared" si="152"/>
        <v>X</v>
      </c>
      <c r="H837" s="1" t="str">
        <f t="shared" si="152"/>
        <v>X</v>
      </c>
      <c r="I837" s="1" t="str">
        <f t="shared" si="152"/>
        <v>X</v>
      </c>
      <c r="J837" s="1" t="str">
        <f t="shared" si="152"/>
        <v>X</v>
      </c>
      <c r="K837" s="1" t="str">
        <f t="shared" si="152"/>
        <v>X</v>
      </c>
      <c r="L837" s="1" t="str">
        <f t="shared" si="152"/>
        <v>X</v>
      </c>
      <c r="M837" s="1" t="str">
        <f t="shared" si="152"/>
        <v>X</v>
      </c>
      <c r="N837" t="s">
        <v>27</v>
      </c>
    </row>
    <row r="838" spans="1:14" x14ac:dyDescent="0.25">
      <c r="A838" t="s">
        <v>14</v>
      </c>
      <c r="B838" t="s">
        <v>15</v>
      </c>
      <c r="C838" t="s">
        <v>38</v>
      </c>
      <c r="D838" t="s">
        <v>33</v>
      </c>
      <c r="E838" t="s">
        <v>22</v>
      </c>
      <c r="F838" t="s">
        <v>17</v>
      </c>
      <c r="G838" s="1" t="str">
        <f t="shared" ref="G838:M846" si="153">"X"</f>
        <v>X</v>
      </c>
      <c r="H838" s="1" t="str">
        <f t="shared" si="153"/>
        <v>X</v>
      </c>
      <c r="I838" s="1" t="str">
        <f t="shared" si="153"/>
        <v>X</v>
      </c>
      <c r="J838" s="1" t="str">
        <f t="shared" si="153"/>
        <v>X</v>
      </c>
      <c r="K838" s="1" t="str">
        <f t="shared" si="153"/>
        <v>X</v>
      </c>
      <c r="L838" s="1" t="str">
        <f t="shared" si="153"/>
        <v>X</v>
      </c>
      <c r="M838" s="1" t="str">
        <f t="shared" si="153"/>
        <v>X</v>
      </c>
      <c r="N838" t="s">
        <v>27</v>
      </c>
    </row>
    <row r="839" spans="1:14" x14ac:dyDescent="0.25">
      <c r="A839" t="s">
        <v>14</v>
      </c>
      <c r="B839" t="s">
        <v>15</v>
      </c>
      <c r="C839" t="s">
        <v>38</v>
      </c>
      <c r="D839" t="s">
        <v>33</v>
      </c>
      <c r="E839" t="s">
        <v>22</v>
      </c>
      <c r="F839" t="s">
        <v>18</v>
      </c>
      <c r="G839" s="1" t="str">
        <f t="shared" si="153"/>
        <v>X</v>
      </c>
      <c r="H839" s="1" t="str">
        <f t="shared" si="153"/>
        <v>X</v>
      </c>
      <c r="I839" s="1" t="str">
        <f t="shared" si="153"/>
        <v>X</v>
      </c>
      <c r="J839" s="1" t="str">
        <f t="shared" si="153"/>
        <v>X</v>
      </c>
      <c r="K839" s="1" t="str">
        <f t="shared" si="153"/>
        <v>X</v>
      </c>
      <c r="L839" s="1" t="str">
        <f t="shared" si="153"/>
        <v>X</v>
      </c>
      <c r="M839" s="1" t="str">
        <f t="shared" si="153"/>
        <v>X</v>
      </c>
      <c r="N839" t="s">
        <v>27</v>
      </c>
    </row>
    <row r="840" spans="1:14" x14ac:dyDescent="0.25">
      <c r="A840" t="s">
        <v>14</v>
      </c>
      <c r="B840" t="s">
        <v>15</v>
      </c>
      <c r="C840" t="s">
        <v>38</v>
      </c>
      <c r="D840" t="s">
        <v>33</v>
      </c>
      <c r="E840" t="s">
        <v>22</v>
      </c>
      <c r="F840" t="s">
        <v>19</v>
      </c>
      <c r="G840" s="1" t="str">
        <f t="shared" si="153"/>
        <v>X</v>
      </c>
      <c r="H840" s="1" t="str">
        <f t="shared" si="153"/>
        <v>X</v>
      </c>
      <c r="I840" s="1" t="str">
        <f t="shared" si="153"/>
        <v>X</v>
      </c>
      <c r="J840" s="1" t="str">
        <f t="shared" si="153"/>
        <v>X</v>
      </c>
      <c r="K840" s="1" t="str">
        <f t="shared" si="153"/>
        <v>X</v>
      </c>
      <c r="L840" s="1" t="str">
        <f t="shared" si="153"/>
        <v>X</v>
      </c>
      <c r="M840" s="1" t="str">
        <f t="shared" si="153"/>
        <v>X</v>
      </c>
      <c r="N840" t="s">
        <v>27</v>
      </c>
    </row>
    <row r="841" spans="1:14" x14ac:dyDescent="0.25">
      <c r="A841" t="s">
        <v>14</v>
      </c>
      <c r="B841" t="s">
        <v>15</v>
      </c>
      <c r="C841" t="s">
        <v>38</v>
      </c>
      <c r="D841" t="s">
        <v>33</v>
      </c>
      <c r="E841" t="s">
        <v>22</v>
      </c>
      <c r="F841" t="s">
        <v>20</v>
      </c>
      <c r="G841" s="1" t="str">
        <f t="shared" si="153"/>
        <v>X</v>
      </c>
      <c r="H841" s="1" t="str">
        <f t="shared" si="153"/>
        <v>X</v>
      </c>
      <c r="I841" s="1" t="str">
        <f t="shared" si="153"/>
        <v>X</v>
      </c>
      <c r="J841" s="1" t="str">
        <f t="shared" si="153"/>
        <v>X</v>
      </c>
      <c r="K841" s="1" t="str">
        <f t="shared" si="153"/>
        <v>X</v>
      </c>
      <c r="L841" s="1" t="str">
        <f t="shared" si="153"/>
        <v>X</v>
      </c>
      <c r="M841" s="1" t="str">
        <f t="shared" si="153"/>
        <v>X</v>
      </c>
      <c r="N841" t="s">
        <v>27</v>
      </c>
    </row>
    <row r="842" spans="1:14" x14ac:dyDescent="0.25">
      <c r="A842" t="s">
        <v>14</v>
      </c>
      <c r="B842" t="s">
        <v>15</v>
      </c>
      <c r="C842" t="s">
        <v>38</v>
      </c>
      <c r="D842" t="s">
        <v>33</v>
      </c>
      <c r="E842" t="s">
        <v>23</v>
      </c>
      <c r="F842" t="s">
        <v>15</v>
      </c>
      <c r="G842" s="1" t="str">
        <f t="shared" si="153"/>
        <v>X</v>
      </c>
      <c r="H842" s="1" t="str">
        <f t="shared" si="153"/>
        <v>X</v>
      </c>
      <c r="I842" s="1" t="str">
        <f t="shared" si="153"/>
        <v>X</v>
      </c>
      <c r="J842" s="1" t="str">
        <f t="shared" si="153"/>
        <v>X</v>
      </c>
      <c r="K842" s="1" t="str">
        <f t="shared" si="153"/>
        <v>X</v>
      </c>
      <c r="L842" s="1" t="str">
        <f t="shared" si="153"/>
        <v>X</v>
      </c>
      <c r="M842" s="1" t="str">
        <f t="shared" si="153"/>
        <v>X</v>
      </c>
      <c r="N842" t="s">
        <v>27</v>
      </c>
    </row>
    <row r="843" spans="1:14" x14ac:dyDescent="0.25">
      <c r="A843" t="s">
        <v>14</v>
      </c>
      <c r="B843" t="s">
        <v>15</v>
      </c>
      <c r="C843" t="s">
        <v>38</v>
      </c>
      <c r="D843" t="s">
        <v>33</v>
      </c>
      <c r="E843" t="s">
        <v>23</v>
      </c>
      <c r="F843" t="s">
        <v>17</v>
      </c>
      <c r="G843" s="1" t="str">
        <f t="shared" si="153"/>
        <v>X</v>
      </c>
      <c r="H843" s="1" t="str">
        <f t="shared" si="153"/>
        <v>X</v>
      </c>
      <c r="I843" s="1" t="str">
        <f t="shared" si="153"/>
        <v>X</v>
      </c>
      <c r="J843" s="1" t="str">
        <f t="shared" si="153"/>
        <v>X</v>
      </c>
      <c r="K843" s="1" t="str">
        <f t="shared" si="153"/>
        <v>X</v>
      </c>
      <c r="L843" s="1" t="str">
        <f t="shared" si="153"/>
        <v>X</v>
      </c>
      <c r="M843" s="1" t="str">
        <f t="shared" si="153"/>
        <v>X</v>
      </c>
      <c r="N843" t="s">
        <v>27</v>
      </c>
    </row>
    <row r="844" spans="1:14" x14ac:dyDescent="0.25">
      <c r="A844" t="s">
        <v>14</v>
      </c>
      <c r="B844" t="s">
        <v>15</v>
      </c>
      <c r="C844" t="s">
        <v>38</v>
      </c>
      <c r="D844" t="s">
        <v>33</v>
      </c>
      <c r="E844" t="s">
        <v>23</v>
      </c>
      <c r="F844" t="s">
        <v>18</v>
      </c>
      <c r="G844" s="1" t="str">
        <f t="shared" si="153"/>
        <v>X</v>
      </c>
      <c r="H844" s="1" t="str">
        <f t="shared" si="153"/>
        <v>X</v>
      </c>
      <c r="I844" s="1" t="str">
        <f t="shared" si="153"/>
        <v>X</v>
      </c>
      <c r="J844" s="1" t="str">
        <f t="shared" si="153"/>
        <v>X</v>
      </c>
      <c r="K844" s="1" t="str">
        <f t="shared" si="153"/>
        <v>X</v>
      </c>
      <c r="L844" s="1" t="str">
        <f t="shared" si="153"/>
        <v>X</v>
      </c>
      <c r="M844" s="1" t="str">
        <f t="shared" si="153"/>
        <v>X</v>
      </c>
      <c r="N844" t="s">
        <v>27</v>
      </c>
    </row>
    <row r="845" spans="1:14" x14ac:dyDescent="0.25">
      <c r="A845" t="s">
        <v>14</v>
      </c>
      <c r="B845" t="s">
        <v>15</v>
      </c>
      <c r="C845" t="s">
        <v>38</v>
      </c>
      <c r="D845" t="s">
        <v>33</v>
      </c>
      <c r="E845" t="s">
        <v>23</v>
      </c>
      <c r="F845" t="s">
        <v>19</v>
      </c>
      <c r="G845" s="1" t="str">
        <f t="shared" si="153"/>
        <v>X</v>
      </c>
      <c r="H845" s="1" t="str">
        <f t="shared" si="153"/>
        <v>X</v>
      </c>
      <c r="I845" s="1" t="str">
        <f t="shared" si="153"/>
        <v>X</v>
      </c>
      <c r="J845" s="1" t="str">
        <f t="shared" si="153"/>
        <v>X</v>
      </c>
      <c r="K845" s="1" t="str">
        <f t="shared" si="153"/>
        <v>X</v>
      </c>
      <c r="L845" s="1" t="str">
        <f t="shared" si="153"/>
        <v>X</v>
      </c>
      <c r="M845" s="1" t="str">
        <f t="shared" si="153"/>
        <v>X</v>
      </c>
      <c r="N845" t="s">
        <v>27</v>
      </c>
    </row>
    <row r="846" spans="1:14" x14ac:dyDescent="0.25">
      <c r="A846" t="s">
        <v>14</v>
      </c>
      <c r="B846" t="s">
        <v>15</v>
      </c>
      <c r="C846" t="s">
        <v>38</v>
      </c>
      <c r="D846" t="s">
        <v>33</v>
      </c>
      <c r="E846" t="s">
        <v>23</v>
      </c>
      <c r="F846" t="s">
        <v>20</v>
      </c>
      <c r="G846" s="1" t="str">
        <f t="shared" si="153"/>
        <v>X</v>
      </c>
      <c r="H846" s="1" t="str">
        <f t="shared" si="153"/>
        <v>X</v>
      </c>
      <c r="I846" s="1" t="str">
        <f t="shared" si="153"/>
        <v>X</v>
      </c>
      <c r="J846" s="1" t="str">
        <f t="shared" si="153"/>
        <v>X</v>
      </c>
      <c r="K846" s="1" t="str">
        <f t="shared" si="153"/>
        <v>X</v>
      </c>
      <c r="L846" s="1" t="str">
        <f t="shared" si="153"/>
        <v>X</v>
      </c>
      <c r="M846" s="1" t="str">
        <f t="shared" si="153"/>
        <v>X</v>
      </c>
      <c r="N846" t="s">
        <v>27</v>
      </c>
    </row>
    <row r="847" spans="1:14" x14ac:dyDescent="0.25">
      <c r="A847" t="s">
        <v>14</v>
      </c>
      <c r="B847" t="s">
        <v>15</v>
      </c>
      <c r="C847" t="s">
        <v>38</v>
      </c>
      <c r="D847" t="s">
        <v>33</v>
      </c>
      <c r="E847" t="s">
        <v>26</v>
      </c>
      <c r="F847" t="s">
        <v>15</v>
      </c>
      <c r="G847" s="1" t="str">
        <f t="shared" ref="G847:M851" si="154">"..."</f>
        <v>...</v>
      </c>
      <c r="H847" s="1" t="str">
        <f t="shared" si="154"/>
        <v>...</v>
      </c>
      <c r="I847" s="1" t="str">
        <f t="shared" si="154"/>
        <v>...</v>
      </c>
      <c r="J847" s="1" t="str">
        <f t="shared" si="154"/>
        <v>...</v>
      </c>
      <c r="K847" s="1" t="str">
        <f t="shared" si="154"/>
        <v>...</v>
      </c>
      <c r="L847" s="1" t="str">
        <f t="shared" si="154"/>
        <v>...</v>
      </c>
      <c r="M847" s="1" t="str">
        <f t="shared" si="154"/>
        <v>...</v>
      </c>
      <c r="N847" t="s">
        <v>30</v>
      </c>
    </row>
    <row r="848" spans="1:14" x14ac:dyDescent="0.25">
      <c r="A848" t="s">
        <v>14</v>
      </c>
      <c r="B848" t="s">
        <v>15</v>
      </c>
      <c r="C848" t="s">
        <v>38</v>
      </c>
      <c r="D848" t="s">
        <v>33</v>
      </c>
      <c r="E848" t="s">
        <v>26</v>
      </c>
      <c r="F848" t="s">
        <v>17</v>
      </c>
      <c r="G848" s="1" t="str">
        <f t="shared" si="154"/>
        <v>...</v>
      </c>
      <c r="H848" s="1" t="str">
        <f t="shared" si="154"/>
        <v>...</v>
      </c>
      <c r="I848" s="1" t="str">
        <f t="shared" si="154"/>
        <v>...</v>
      </c>
      <c r="J848" s="1" t="str">
        <f t="shared" si="154"/>
        <v>...</v>
      </c>
      <c r="K848" s="1" t="str">
        <f t="shared" si="154"/>
        <v>...</v>
      </c>
      <c r="L848" s="1" t="str">
        <f t="shared" si="154"/>
        <v>...</v>
      </c>
      <c r="M848" s="1" t="str">
        <f t="shared" si="154"/>
        <v>...</v>
      </c>
      <c r="N848" t="s">
        <v>30</v>
      </c>
    </row>
    <row r="849" spans="1:14" x14ac:dyDescent="0.25">
      <c r="A849" t="s">
        <v>14</v>
      </c>
      <c r="B849" t="s">
        <v>15</v>
      </c>
      <c r="C849" t="s">
        <v>38</v>
      </c>
      <c r="D849" t="s">
        <v>33</v>
      </c>
      <c r="E849" t="s">
        <v>26</v>
      </c>
      <c r="F849" t="s">
        <v>18</v>
      </c>
      <c r="G849" s="1" t="str">
        <f t="shared" si="154"/>
        <v>...</v>
      </c>
      <c r="H849" s="1" t="str">
        <f t="shared" si="154"/>
        <v>...</v>
      </c>
      <c r="I849" s="1" t="str">
        <f t="shared" si="154"/>
        <v>...</v>
      </c>
      <c r="J849" s="1" t="str">
        <f t="shared" si="154"/>
        <v>...</v>
      </c>
      <c r="K849" s="1" t="str">
        <f t="shared" si="154"/>
        <v>...</v>
      </c>
      <c r="L849" s="1" t="str">
        <f t="shared" si="154"/>
        <v>...</v>
      </c>
      <c r="M849" s="1" t="str">
        <f t="shared" si="154"/>
        <v>...</v>
      </c>
      <c r="N849" t="s">
        <v>30</v>
      </c>
    </row>
    <row r="850" spans="1:14" x14ac:dyDescent="0.25">
      <c r="A850" t="s">
        <v>14</v>
      </c>
      <c r="B850" t="s">
        <v>15</v>
      </c>
      <c r="C850" t="s">
        <v>38</v>
      </c>
      <c r="D850" t="s">
        <v>33</v>
      </c>
      <c r="E850" t="s">
        <v>26</v>
      </c>
      <c r="F850" t="s">
        <v>19</v>
      </c>
      <c r="G850" s="1" t="str">
        <f t="shared" si="154"/>
        <v>...</v>
      </c>
      <c r="H850" s="1" t="str">
        <f t="shared" si="154"/>
        <v>...</v>
      </c>
      <c r="I850" s="1" t="str">
        <f t="shared" si="154"/>
        <v>...</v>
      </c>
      <c r="J850" s="1" t="str">
        <f t="shared" si="154"/>
        <v>...</v>
      </c>
      <c r="K850" s="1" t="str">
        <f t="shared" si="154"/>
        <v>...</v>
      </c>
      <c r="L850" s="1" t="str">
        <f t="shared" si="154"/>
        <v>...</v>
      </c>
      <c r="M850" s="1" t="str">
        <f t="shared" si="154"/>
        <v>...</v>
      </c>
      <c r="N850" t="s">
        <v>30</v>
      </c>
    </row>
    <row r="851" spans="1:14" x14ac:dyDescent="0.25">
      <c r="A851" t="s">
        <v>14</v>
      </c>
      <c r="B851" t="s">
        <v>15</v>
      </c>
      <c r="C851" t="s">
        <v>38</v>
      </c>
      <c r="D851" t="s">
        <v>33</v>
      </c>
      <c r="E851" t="s">
        <v>26</v>
      </c>
      <c r="F851" t="s">
        <v>20</v>
      </c>
      <c r="G851" s="1" t="str">
        <f t="shared" si="154"/>
        <v>...</v>
      </c>
      <c r="H851" s="1" t="str">
        <f t="shared" si="154"/>
        <v>...</v>
      </c>
      <c r="I851" s="1" t="str">
        <f t="shared" si="154"/>
        <v>...</v>
      </c>
      <c r="J851" s="1" t="str">
        <f t="shared" si="154"/>
        <v>...</v>
      </c>
      <c r="K851" s="1" t="str">
        <f t="shared" si="154"/>
        <v>...</v>
      </c>
      <c r="L851" s="1" t="str">
        <f t="shared" si="154"/>
        <v>...</v>
      </c>
      <c r="M851" s="1" t="str">
        <f t="shared" si="154"/>
        <v>...</v>
      </c>
      <c r="N851" t="s">
        <v>30</v>
      </c>
    </row>
    <row r="852" spans="1:14" x14ac:dyDescent="0.25">
      <c r="A852" t="s">
        <v>14</v>
      </c>
      <c r="B852" t="s">
        <v>15</v>
      </c>
      <c r="C852" t="s">
        <v>38</v>
      </c>
      <c r="D852" t="s">
        <v>34</v>
      </c>
      <c r="E852" t="s">
        <v>15</v>
      </c>
      <c r="F852" t="s">
        <v>15</v>
      </c>
      <c r="G852" s="2">
        <f>VALUE(186.8283093339)</f>
        <v>186.82830933389999</v>
      </c>
      <c r="H852" s="3">
        <f>VALUE(170.7001304757)</f>
        <v>170.70013047570001</v>
      </c>
      <c r="I852" s="4">
        <f>VALUE(3874)</f>
        <v>3874</v>
      </c>
      <c r="J852" s="1">
        <f>VALUE(5208)</f>
        <v>5208</v>
      </c>
      <c r="K852" s="6">
        <f>VALUE(6700)</f>
        <v>6700</v>
      </c>
      <c r="L852" s="7">
        <f>VALUE(11031)</f>
        <v>11031</v>
      </c>
      <c r="M852" s="8">
        <f>VALUE(21651)</f>
        <v>21651</v>
      </c>
      <c r="N852" t="s">
        <v>25</v>
      </c>
    </row>
    <row r="853" spans="1:14" x14ac:dyDescent="0.25">
      <c r="A853" t="s">
        <v>14</v>
      </c>
      <c r="B853" t="s">
        <v>15</v>
      </c>
      <c r="C853" t="s">
        <v>38</v>
      </c>
      <c r="D853" t="s">
        <v>34</v>
      </c>
      <c r="E853" t="s">
        <v>15</v>
      </c>
      <c r="F853" t="s">
        <v>17</v>
      </c>
      <c r="G853" s="1" t="str">
        <f t="shared" ref="G853:M855" si="155">"X"</f>
        <v>X</v>
      </c>
      <c r="H853" s="1" t="str">
        <f t="shared" si="155"/>
        <v>X</v>
      </c>
      <c r="I853" s="1" t="str">
        <f t="shared" si="155"/>
        <v>X</v>
      </c>
      <c r="J853" s="1" t="str">
        <f t="shared" si="155"/>
        <v>X</v>
      </c>
      <c r="K853" s="1" t="str">
        <f t="shared" si="155"/>
        <v>X</v>
      </c>
      <c r="L853" s="1" t="str">
        <f t="shared" si="155"/>
        <v>X</v>
      </c>
      <c r="M853" s="1" t="str">
        <f t="shared" si="155"/>
        <v>X</v>
      </c>
      <c r="N853" t="s">
        <v>27</v>
      </c>
    </row>
    <row r="854" spans="1:14" x14ac:dyDescent="0.25">
      <c r="A854" t="s">
        <v>14</v>
      </c>
      <c r="B854" t="s">
        <v>15</v>
      </c>
      <c r="C854" t="s">
        <v>38</v>
      </c>
      <c r="D854" t="s">
        <v>34</v>
      </c>
      <c r="E854" t="s">
        <v>15</v>
      </c>
      <c r="F854" t="s">
        <v>18</v>
      </c>
      <c r="G854" s="1" t="str">
        <f t="shared" si="155"/>
        <v>X</v>
      </c>
      <c r="H854" s="1" t="str">
        <f t="shared" si="155"/>
        <v>X</v>
      </c>
      <c r="I854" s="1" t="str">
        <f t="shared" si="155"/>
        <v>X</v>
      </c>
      <c r="J854" s="1" t="str">
        <f t="shared" si="155"/>
        <v>X</v>
      </c>
      <c r="K854" s="1" t="str">
        <f t="shared" si="155"/>
        <v>X</v>
      </c>
      <c r="L854" s="1" t="str">
        <f t="shared" si="155"/>
        <v>X</v>
      </c>
      <c r="M854" s="1" t="str">
        <f t="shared" si="155"/>
        <v>X</v>
      </c>
      <c r="N854" t="s">
        <v>27</v>
      </c>
    </row>
    <row r="855" spans="1:14" x14ac:dyDescent="0.25">
      <c r="A855" t="s">
        <v>14</v>
      </c>
      <c r="B855" t="s">
        <v>15</v>
      </c>
      <c r="C855" t="s">
        <v>38</v>
      </c>
      <c r="D855" t="s">
        <v>34</v>
      </c>
      <c r="E855" t="s">
        <v>15</v>
      </c>
      <c r="F855" t="s">
        <v>19</v>
      </c>
      <c r="G855" s="1" t="str">
        <f t="shared" si="155"/>
        <v>X</v>
      </c>
      <c r="H855" s="1" t="str">
        <f t="shared" si="155"/>
        <v>X</v>
      </c>
      <c r="I855" s="1" t="str">
        <f t="shared" si="155"/>
        <v>X</v>
      </c>
      <c r="J855" s="1" t="str">
        <f t="shared" si="155"/>
        <v>X</v>
      </c>
      <c r="K855" s="1" t="str">
        <f t="shared" si="155"/>
        <v>X</v>
      </c>
      <c r="L855" s="1" t="str">
        <f t="shared" si="155"/>
        <v>X</v>
      </c>
      <c r="M855" s="1" t="str">
        <f t="shared" si="155"/>
        <v>X</v>
      </c>
      <c r="N855" t="s">
        <v>27</v>
      </c>
    </row>
    <row r="856" spans="1:14" x14ac:dyDescent="0.25">
      <c r="A856" t="s">
        <v>14</v>
      </c>
      <c r="B856" t="s">
        <v>15</v>
      </c>
      <c r="C856" t="s">
        <v>38</v>
      </c>
      <c r="D856" t="s">
        <v>34</v>
      </c>
      <c r="E856" t="s">
        <v>15</v>
      </c>
      <c r="F856" t="s">
        <v>20</v>
      </c>
      <c r="G856" s="2">
        <f>VALUE(101.4605118977)</f>
        <v>101.4605118977</v>
      </c>
      <c r="H856" s="3">
        <f>VALUE(89.7320443673)</f>
        <v>89.732044367300006</v>
      </c>
      <c r="I856" s="4">
        <f>VALUE(3571)</f>
        <v>3571</v>
      </c>
      <c r="J856" s="5">
        <f>VALUE(4624)</f>
        <v>4624</v>
      </c>
      <c r="K856" s="1">
        <f>VALUE(5436)</f>
        <v>5436</v>
      </c>
      <c r="L856" s="1">
        <f>VALUE(6508)</f>
        <v>6508</v>
      </c>
      <c r="M856" s="8">
        <f>VALUE(9286)</f>
        <v>9286</v>
      </c>
      <c r="N856" t="s">
        <v>25</v>
      </c>
    </row>
    <row r="857" spans="1:14" x14ac:dyDescent="0.25">
      <c r="A857" t="s">
        <v>14</v>
      </c>
      <c r="B857" t="s">
        <v>15</v>
      </c>
      <c r="C857" t="s">
        <v>38</v>
      </c>
      <c r="D857" t="s">
        <v>34</v>
      </c>
      <c r="E857" t="s">
        <v>21</v>
      </c>
      <c r="F857" t="s">
        <v>15</v>
      </c>
      <c r="G857" s="1" t="str">
        <f t="shared" ref="G857:M861" si="156">"X"</f>
        <v>X</v>
      </c>
      <c r="H857" s="1" t="str">
        <f t="shared" si="156"/>
        <v>X</v>
      </c>
      <c r="I857" s="1" t="str">
        <f t="shared" si="156"/>
        <v>X</v>
      </c>
      <c r="J857" s="1" t="str">
        <f t="shared" si="156"/>
        <v>X</v>
      </c>
      <c r="K857" s="1" t="str">
        <f t="shared" si="156"/>
        <v>X</v>
      </c>
      <c r="L857" s="1" t="str">
        <f t="shared" si="156"/>
        <v>X</v>
      </c>
      <c r="M857" s="1" t="str">
        <f t="shared" si="156"/>
        <v>X</v>
      </c>
      <c r="N857" t="s">
        <v>27</v>
      </c>
    </row>
    <row r="858" spans="1:14" x14ac:dyDescent="0.25">
      <c r="A858" t="s">
        <v>14</v>
      </c>
      <c r="B858" t="s">
        <v>15</v>
      </c>
      <c r="C858" t="s">
        <v>38</v>
      </c>
      <c r="D858" t="s">
        <v>34</v>
      </c>
      <c r="E858" t="s">
        <v>21</v>
      </c>
      <c r="F858" t="s">
        <v>17</v>
      </c>
      <c r="G858" s="1" t="str">
        <f t="shared" si="156"/>
        <v>X</v>
      </c>
      <c r="H858" s="1" t="str">
        <f t="shared" si="156"/>
        <v>X</v>
      </c>
      <c r="I858" s="1" t="str">
        <f t="shared" si="156"/>
        <v>X</v>
      </c>
      <c r="J858" s="1" t="str">
        <f t="shared" si="156"/>
        <v>X</v>
      </c>
      <c r="K858" s="1" t="str">
        <f t="shared" si="156"/>
        <v>X</v>
      </c>
      <c r="L858" s="1" t="str">
        <f t="shared" si="156"/>
        <v>X</v>
      </c>
      <c r="M858" s="1" t="str">
        <f t="shared" si="156"/>
        <v>X</v>
      </c>
      <c r="N858" t="s">
        <v>27</v>
      </c>
    </row>
    <row r="859" spans="1:14" x14ac:dyDescent="0.25">
      <c r="A859" t="s">
        <v>14</v>
      </c>
      <c r="B859" t="s">
        <v>15</v>
      </c>
      <c r="C859" t="s">
        <v>38</v>
      </c>
      <c r="D859" t="s">
        <v>34</v>
      </c>
      <c r="E859" t="s">
        <v>21</v>
      </c>
      <c r="F859" t="s">
        <v>18</v>
      </c>
      <c r="G859" s="1" t="str">
        <f t="shared" si="156"/>
        <v>X</v>
      </c>
      <c r="H859" s="1" t="str">
        <f t="shared" si="156"/>
        <v>X</v>
      </c>
      <c r="I859" s="1" t="str">
        <f t="shared" si="156"/>
        <v>X</v>
      </c>
      <c r="J859" s="1" t="str">
        <f t="shared" si="156"/>
        <v>X</v>
      </c>
      <c r="K859" s="1" t="str">
        <f t="shared" si="156"/>
        <v>X</v>
      </c>
      <c r="L859" s="1" t="str">
        <f t="shared" si="156"/>
        <v>X</v>
      </c>
      <c r="M859" s="1" t="str">
        <f t="shared" si="156"/>
        <v>X</v>
      </c>
      <c r="N859" t="s">
        <v>27</v>
      </c>
    </row>
    <row r="860" spans="1:14" x14ac:dyDescent="0.25">
      <c r="A860" t="s">
        <v>14</v>
      </c>
      <c r="B860" t="s">
        <v>15</v>
      </c>
      <c r="C860" t="s">
        <v>38</v>
      </c>
      <c r="D860" t="s">
        <v>34</v>
      </c>
      <c r="E860" t="s">
        <v>21</v>
      </c>
      <c r="F860" t="s">
        <v>19</v>
      </c>
      <c r="G860" s="1" t="str">
        <f t="shared" si="156"/>
        <v>X</v>
      </c>
      <c r="H860" s="1" t="str">
        <f t="shared" si="156"/>
        <v>X</v>
      </c>
      <c r="I860" s="1" t="str">
        <f t="shared" si="156"/>
        <v>X</v>
      </c>
      <c r="J860" s="1" t="str">
        <f t="shared" si="156"/>
        <v>X</v>
      </c>
      <c r="K860" s="1" t="str">
        <f t="shared" si="156"/>
        <v>X</v>
      </c>
      <c r="L860" s="1" t="str">
        <f t="shared" si="156"/>
        <v>X</v>
      </c>
      <c r="M860" s="1" t="str">
        <f t="shared" si="156"/>
        <v>X</v>
      </c>
      <c r="N860" t="s">
        <v>27</v>
      </c>
    </row>
    <row r="861" spans="1:14" x14ac:dyDescent="0.25">
      <c r="A861" t="s">
        <v>14</v>
      </c>
      <c r="B861" t="s">
        <v>15</v>
      </c>
      <c r="C861" t="s">
        <v>38</v>
      </c>
      <c r="D861" t="s">
        <v>34</v>
      </c>
      <c r="E861" t="s">
        <v>21</v>
      </c>
      <c r="F861" t="s">
        <v>20</v>
      </c>
      <c r="G861" s="1" t="str">
        <f t="shared" si="156"/>
        <v>X</v>
      </c>
      <c r="H861" s="1" t="str">
        <f t="shared" si="156"/>
        <v>X</v>
      </c>
      <c r="I861" s="1" t="str">
        <f t="shared" si="156"/>
        <v>X</v>
      </c>
      <c r="J861" s="1" t="str">
        <f t="shared" si="156"/>
        <v>X</v>
      </c>
      <c r="K861" s="1" t="str">
        <f t="shared" si="156"/>
        <v>X</v>
      </c>
      <c r="L861" s="1" t="str">
        <f t="shared" si="156"/>
        <v>X</v>
      </c>
      <c r="M861" s="1" t="str">
        <f t="shared" si="156"/>
        <v>X</v>
      </c>
      <c r="N861" t="s">
        <v>27</v>
      </c>
    </row>
    <row r="862" spans="1:14" x14ac:dyDescent="0.25">
      <c r="A862" t="s">
        <v>14</v>
      </c>
      <c r="B862" t="s">
        <v>15</v>
      </c>
      <c r="C862" t="s">
        <v>38</v>
      </c>
      <c r="D862" t="s">
        <v>34</v>
      </c>
      <c r="E862" t="s">
        <v>22</v>
      </c>
      <c r="F862" t="s">
        <v>15</v>
      </c>
      <c r="G862" s="2">
        <f>VALUE(78.3669574049)</f>
        <v>78.366957404900006</v>
      </c>
      <c r="H862" s="3">
        <f>VALUE(73.6409928343)</f>
        <v>73.640992834299993</v>
      </c>
      <c r="I862" s="1">
        <f>VALUE(5013)</f>
        <v>5013</v>
      </c>
      <c r="J862" s="1">
        <f>VALUE(5436)</f>
        <v>5436</v>
      </c>
      <c r="K862" s="1">
        <f>VALUE(7302)</f>
        <v>7302</v>
      </c>
      <c r="L862" s="1">
        <f>VALUE(10363)</f>
        <v>10363</v>
      </c>
      <c r="M862" s="1">
        <f>VALUE(15170)</f>
        <v>15170</v>
      </c>
      <c r="N862" t="s">
        <v>25</v>
      </c>
    </row>
    <row r="863" spans="1:14" x14ac:dyDescent="0.25">
      <c r="A863" t="s">
        <v>14</v>
      </c>
      <c r="B863" t="s">
        <v>15</v>
      </c>
      <c r="C863" t="s">
        <v>38</v>
      </c>
      <c r="D863" t="s">
        <v>34</v>
      </c>
      <c r="E863" t="s">
        <v>22</v>
      </c>
      <c r="F863" t="s">
        <v>17</v>
      </c>
      <c r="G863" s="1" t="str">
        <f t="shared" ref="G863:M868" si="157">"X"</f>
        <v>X</v>
      </c>
      <c r="H863" s="1" t="str">
        <f t="shared" si="157"/>
        <v>X</v>
      </c>
      <c r="I863" s="1" t="str">
        <f t="shared" si="157"/>
        <v>X</v>
      </c>
      <c r="J863" s="1" t="str">
        <f t="shared" si="157"/>
        <v>X</v>
      </c>
      <c r="K863" s="1" t="str">
        <f t="shared" si="157"/>
        <v>X</v>
      </c>
      <c r="L863" s="1" t="str">
        <f t="shared" si="157"/>
        <v>X</v>
      </c>
      <c r="M863" s="1" t="str">
        <f t="shared" si="157"/>
        <v>X</v>
      </c>
      <c r="N863" t="s">
        <v>27</v>
      </c>
    </row>
    <row r="864" spans="1:14" x14ac:dyDescent="0.25">
      <c r="A864" t="s">
        <v>14</v>
      </c>
      <c r="B864" t="s">
        <v>15</v>
      </c>
      <c r="C864" t="s">
        <v>38</v>
      </c>
      <c r="D864" t="s">
        <v>34</v>
      </c>
      <c r="E864" t="s">
        <v>22</v>
      </c>
      <c r="F864" t="s">
        <v>18</v>
      </c>
      <c r="G864" s="1" t="str">
        <f t="shared" si="157"/>
        <v>X</v>
      </c>
      <c r="H864" s="1" t="str">
        <f t="shared" si="157"/>
        <v>X</v>
      </c>
      <c r="I864" s="1" t="str">
        <f t="shared" si="157"/>
        <v>X</v>
      </c>
      <c r="J864" s="1" t="str">
        <f t="shared" si="157"/>
        <v>X</v>
      </c>
      <c r="K864" s="1" t="str">
        <f t="shared" si="157"/>
        <v>X</v>
      </c>
      <c r="L864" s="1" t="str">
        <f t="shared" si="157"/>
        <v>X</v>
      </c>
      <c r="M864" s="1" t="str">
        <f t="shared" si="157"/>
        <v>X</v>
      </c>
      <c r="N864" t="s">
        <v>27</v>
      </c>
    </row>
    <row r="865" spans="1:14" x14ac:dyDescent="0.25">
      <c r="A865" t="s">
        <v>14</v>
      </c>
      <c r="B865" t="s">
        <v>15</v>
      </c>
      <c r="C865" t="s">
        <v>38</v>
      </c>
      <c r="D865" t="s">
        <v>34</v>
      </c>
      <c r="E865" t="s">
        <v>22</v>
      </c>
      <c r="F865" t="s">
        <v>19</v>
      </c>
      <c r="G865" s="1" t="str">
        <f t="shared" si="157"/>
        <v>X</v>
      </c>
      <c r="H865" s="1" t="str">
        <f t="shared" si="157"/>
        <v>X</v>
      </c>
      <c r="I865" s="1" t="str">
        <f t="shared" si="157"/>
        <v>X</v>
      </c>
      <c r="J865" s="1" t="str">
        <f t="shared" si="157"/>
        <v>X</v>
      </c>
      <c r="K865" s="1" t="str">
        <f t="shared" si="157"/>
        <v>X</v>
      </c>
      <c r="L865" s="1" t="str">
        <f t="shared" si="157"/>
        <v>X</v>
      </c>
      <c r="M865" s="1" t="str">
        <f t="shared" si="157"/>
        <v>X</v>
      </c>
      <c r="N865" t="s">
        <v>27</v>
      </c>
    </row>
    <row r="866" spans="1:14" x14ac:dyDescent="0.25">
      <c r="A866" t="s">
        <v>14</v>
      </c>
      <c r="B866" t="s">
        <v>15</v>
      </c>
      <c r="C866" t="s">
        <v>38</v>
      </c>
      <c r="D866" t="s">
        <v>34</v>
      </c>
      <c r="E866" t="s">
        <v>22</v>
      </c>
      <c r="F866" t="s">
        <v>20</v>
      </c>
      <c r="G866" s="1" t="str">
        <f t="shared" si="157"/>
        <v>X</v>
      </c>
      <c r="H866" s="1" t="str">
        <f t="shared" si="157"/>
        <v>X</v>
      </c>
      <c r="I866" s="1" t="str">
        <f t="shared" si="157"/>
        <v>X</v>
      </c>
      <c r="J866" s="1" t="str">
        <f t="shared" si="157"/>
        <v>X</v>
      </c>
      <c r="K866" s="1" t="str">
        <f t="shared" si="157"/>
        <v>X</v>
      </c>
      <c r="L866" s="1" t="str">
        <f t="shared" si="157"/>
        <v>X</v>
      </c>
      <c r="M866" s="1" t="str">
        <f t="shared" si="157"/>
        <v>X</v>
      </c>
      <c r="N866" t="s">
        <v>27</v>
      </c>
    </row>
    <row r="867" spans="1:14" x14ac:dyDescent="0.25">
      <c r="A867" t="s">
        <v>14</v>
      </c>
      <c r="B867" t="s">
        <v>15</v>
      </c>
      <c r="C867" t="s">
        <v>38</v>
      </c>
      <c r="D867" t="s">
        <v>34</v>
      </c>
      <c r="E867" t="s">
        <v>23</v>
      </c>
      <c r="F867" t="s">
        <v>15</v>
      </c>
      <c r="G867" s="1" t="str">
        <f t="shared" si="157"/>
        <v>X</v>
      </c>
      <c r="H867" s="1" t="str">
        <f t="shared" si="157"/>
        <v>X</v>
      </c>
      <c r="I867" s="1" t="str">
        <f t="shared" si="157"/>
        <v>X</v>
      </c>
      <c r="J867" s="1" t="str">
        <f t="shared" si="157"/>
        <v>X</v>
      </c>
      <c r="K867" s="1" t="str">
        <f t="shared" si="157"/>
        <v>X</v>
      </c>
      <c r="L867" s="1" t="str">
        <f t="shared" si="157"/>
        <v>X</v>
      </c>
      <c r="M867" s="1" t="str">
        <f t="shared" si="157"/>
        <v>X</v>
      </c>
      <c r="N867" t="s">
        <v>27</v>
      </c>
    </row>
    <row r="868" spans="1:14" x14ac:dyDescent="0.25">
      <c r="A868" t="s">
        <v>14</v>
      </c>
      <c r="B868" t="s">
        <v>15</v>
      </c>
      <c r="C868" t="s">
        <v>38</v>
      </c>
      <c r="D868" t="s">
        <v>34</v>
      </c>
      <c r="E868" t="s">
        <v>23</v>
      </c>
      <c r="F868" t="s">
        <v>17</v>
      </c>
      <c r="G868" s="1" t="str">
        <f t="shared" si="157"/>
        <v>X</v>
      </c>
      <c r="H868" s="1" t="str">
        <f t="shared" si="157"/>
        <v>X</v>
      </c>
      <c r="I868" s="1" t="str">
        <f t="shared" si="157"/>
        <v>X</v>
      </c>
      <c r="J868" s="1" t="str">
        <f t="shared" si="157"/>
        <v>X</v>
      </c>
      <c r="K868" s="1" t="str">
        <f t="shared" si="157"/>
        <v>X</v>
      </c>
      <c r="L868" s="1" t="str">
        <f t="shared" si="157"/>
        <v>X</v>
      </c>
      <c r="M868" s="1" t="str">
        <f t="shared" si="157"/>
        <v>X</v>
      </c>
      <c r="N868" t="s">
        <v>27</v>
      </c>
    </row>
    <row r="869" spans="1:14" x14ac:dyDescent="0.25">
      <c r="A869" t="s">
        <v>14</v>
      </c>
      <c r="B869" t="s">
        <v>15</v>
      </c>
      <c r="C869" t="s">
        <v>38</v>
      </c>
      <c r="D869" t="s">
        <v>34</v>
      </c>
      <c r="E869" t="s">
        <v>23</v>
      </c>
      <c r="F869" t="s">
        <v>18</v>
      </c>
      <c r="G869" s="1" t="str">
        <f t="shared" ref="G869:M869" si="158">"..."</f>
        <v>...</v>
      </c>
      <c r="H869" s="1" t="str">
        <f t="shared" si="158"/>
        <v>...</v>
      </c>
      <c r="I869" s="1" t="str">
        <f t="shared" si="158"/>
        <v>...</v>
      </c>
      <c r="J869" s="1" t="str">
        <f t="shared" si="158"/>
        <v>...</v>
      </c>
      <c r="K869" s="1" t="str">
        <f t="shared" si="158"/>
        <v>...</v>
      </c>
      <c r="L869" s="1" t="str">
        <f t="shared" si="158"/>
        <v>...</v>
      </c>
      <c r="M869" s="1" t="str">
        <f t="shared" si="158"/>
        <v>...</v>
      </c>
      <c r="N869" t="s">
        <v>30</v>
      </c>
    </row>
    <row r="870" spans="1:14" x14ac:dyDescent="0.25">
      <c r="A870" t="s">
        <v>14</v>
      </c>
      <c r="B870" t="s">
        <v>15</v>
      </c>
      <c r="C870" t="s">
        <v>38</v>
      </c>
      <c r="D870" t="s">
        <v>34</v>
      </c>
      <c r="E870" t="s">
        <v>23</v>
      </c>
      <c r="F870" t="s">
        <v>19</v>
      </c>
      <c r="G870" s="1" t="str">
        <f t="shared" ref="G870:M874" si="159">"X"</f>
        <v>X</v>
      </c>
      <c r="H870" s="1" t="str">
        <f t="shared" si="159"/>
        <v>X</v>
      </c>
      <c r="I870" s="1" t="str">
        <f t="shared" si="159"/>
        <v>X</v>
      </c>
      <c r="J870" s="1" t="str">
        <f t="shared" si="159"/>
        <v>X</v>
      </c>
      <c r="K870" s="1" t="str">
        <f t="shared" si="159"/>
        <v>X</v>
      </c>
      <c r="L870" s="1" t="str">
        <f t="shared" si="159"/>
        <v>X</v>
      </c>
      <c r="M870" s="1" t="str">
        <f t="shared" si="159"/>
        <v>X</v>
      </c>
      <c r="N870" t="s">
        <v>27</v>
      </c>
    </row>
    <row r="871" spans="1:14" x14ac:dyDescent="0.25">
      <c r="A871" t="s">
        <v>14</v>
      </c>
      <c r="B871" t="s">
        <v>15</v>
      </c>
      <c r="C871" t="s">
        <v>38</v>
      </c>
      <c r="D871" t="s">
        <v>34</v>
      </c>
      <c r="E871" t="s">
        <v>23</v>
      </c>
      <c r="F871" t="s">
        <v>20</v>
      </c>
      <c r="G871" s="1" t="str">
        <f t="shared" si="159"/>
        <v>X</v>
      </c>
      <c r="H871" s="1" t="str">
        <f t="shared" si="159"/>
        <v>X</v>
      </c>
      <c r="I871" s="1" t="str">
        <f t="shared" si="159"/>
        <v>X</v>
      </c>
      <c r="J871" s="1" t="str">
        <f t="shared" si="159"/>
        <v>X</v>
      </c>
      <c r="K871" s="1" t="str">
        <f t="shared" si="159"/>
        <v>X</v>
      </c>
      <c r="L871" s="1" t="str">
        <f t="shared" si="159"/>
        <v>X</v>
      </c>
      <c r="M871" s="1" t="str">
        <f t="shared" si="159"/>
        <v>X</v>
      </c>
      <c r="N871" t="s">
        <v>27</v>
      </c>
    </row>
    <row r="872" spans="1:14" x14ac:dyDescent="0.25">
      <c r="A872" t="s">
        <v>14</v>
      </c>
      <c r="B872" t="s">
        <v>15</v>
      </c>
      <c r="C872" t="s">
        <v>38</v>
      </c>
      <c r="D872" t="s">
        <v>34</v>
      </c>
      <c r="E872" t="s">
        <v>26</v>
      </c>
      <c r="F872" t="s">
        <v>15</v>
      </c>
      <c r="G872" s="1" t="str">
        <f t="shared" si="159"/>
        <v>X</v>
      </c>
      <c r="H872" s="1" t="str">
        <f t="shared" si="159"/>
        <v>X</v>
      </c>
      <c r="I872" s="1" t="str">
        <f t="shared" si="159"/>
        <v>X</v>
      </c>
      <c r="J872" s="1" t="str">
        <f t="shared" si="159"/>
        <v>X</v>
      </c>
      <c r="K872" s="1" t="str">
        <f t="shared" si="159"/>
        <v>X</v>
      </c>
      <c r="L872" s="1" t="str">
        <f t="shared" si="159"/>
        <v>X</v>
      </c>
      <c r="M872" s="1" t="str">
        <f t="shared" si="159"/>
        <v>X</v>
      </c>
      <c r="N872" t="s">
        <v>27</v>
      </c>
    </row>
    <row r="873" spans="1:14" x14ac:dyDescent="0.25">
      <c r="A873" t="s">
        <v>14</v>
      </c>
      <c r="B873" t="s">
        <v>15</v>
      </c>
      <c r="C873" t="s">
        <v>38</v>
      </c>
      <c r="D873" t="s">
        <v>34</v>
      </c>
      <c r="E873" t="s">
        <v>26</v>
      </c>
      <c r="F873" t="s">
        <v>17</v>
      </c>
      <c r="G873" s="1" t="str">
        <f t="shared" si="159"/>
        <v>X</v>
      </c>
      <c r="H873" s="1" t="str">
        <f t="shared" si="159"/>
        <v>X</v>
      </c>
      <c r="I873" s="1" t="str">
        <f t="shared" si="159"/>
        <v>X</v>
      </c>
      <c r="J873" s="1" t="str">
        <f t="shared" si="159"/>
        <v>X</v>
      </c>
      <c r="K873" s="1" t="str">
        <f t="shared" si="159"/>
        <v>X</v>
      </c>
      <c r="L873" s="1" t="str">
        <f t="shared" si="159"/>
        <v>X</v>
      </c>
      <c r="M873" s="1" t="str">
        <f t="shared" si="159"/>
        <v>X</v>
      </c>
      <c r="N873" t="s">
        <v>27</v>
      </c>
    </row>
    <row r="874" spans="1:14" x14ac:dyDescent="0.25">
      <c r="A874" t="s">
        <v>14</v>
      </c>
      <c r="B874" t="s">
        <v>15</v>
      </c>
      <c r="C874" t="s">
        <v>38</v>
      </c>
      <c r="D874" t="s">
        <v>34</v>
      </c>
      <c r="E874" t="s">
        <v>26</v>
      </c>
      <c r="F874" t="s">
        <v>18</v>
      </c>
      <c r="G874" s="1" t="str">
        <f t="shared" si="159"/>
        <v>X</v>
      </c>
      <c r="H874" s="1" t="str">
        <f t="shared" si="159"/>
        <v>X</v>
      </c>
      <c r="I874" s="1" t="str">
        <f t="shared" si="159"/>
        <v>X</v>
      </c>
      <c r="J874" s="1" t="str">
        <f t="shared" si="159"/>
        <v>X</v>
      </c>
      <c r="K874" s="1" t="str">
        <f t="shared" si="159"/>
        <v>X</v>
      </c>
      <c r="L874" s="1" t="str">
        <f t="shared" si="159"/>
        <v>X</v>
      </c>
      <c r="M874" s="1" t="str">
        <f t="shared" si="159"/>
        <v>X</v>
      </c>
      <c r="N874" t="s">
        <v>27</v>
      </c>
    </row>
    <row r="875" spans="1:14" x14ac:dyDescent="0.25">
      <c r="A875" t="s">
        <v>14</v>
      </c>
      <c r="B875" t="s">
        <v>15</v>
      </c>
      <c r="C875" t="s">
        <v>38</v>
      </c>
      <c r="D875" t="s">
        <v>34</v>
      </c>
      <c r="E875" t="s">
        <v>26</v>
      </c>
      <c r="F875" t="s">
        <v>19</v>
      </c>
      <c r="G875" s="1" t="str">
        <f t="shared" ref="G875:M875" si="160">"..."</f>
        <v>...</v>
      </c>
      <c r="H875" s="1" t="str">
        <f t="shared" si="160"/>
        <v>...</v>
      </c>
      <c r="I875" s="1" t="str">
        <f t="shared" si="160"/>
        <v>...</v>
      </c>
      <c r="J875" s="1" t="str">
        <f t="shared" si="160"/>
        <v>...</v>
      </c>
      <c r="K875" s="1" t="str">
        <f t="shared" si="160"/>
        <v>...</v>
      </c>
      <c r="L875" s="1" t="str">
        <f t="shared" si="160"/>
        <v>...</v>
      </c>
      <c r="M875" s="1" t="str">
        <f t="shared" si="160"/>
        <v>...</v>
      </c>
      <c r="N875" t="s">
        <v>30</v>
      </c>
    </row>
    <row r="876" spans="1:14" x14ac:dyDescent="0.25">
      <c r="A876" t="s">
        <v>14</v>
      </c>
      <c r="B876" t="s">
        <v>15</v>
      </c>
      <c r="C876" t="s">
        <v>38</v>
      </c>
      <c r="D876" t="s">
        <v>34</v>
      </c>
      <c r="E876" t="s">
        <v>26</v>
      </c>
      <c r="F876" t="s">
        <v>20</v>
      </c>
      <c r="G876" s="1" t="str">
        <f t="shared" ref="G876:M876" si="161">"X"</f>
        <v>X</v>
      </c>
      <c r="H876" s="1" t="str">
        <f t="shared" si="161"/>
        <v>X</v>
      </c>
      <c r="I876" s="1" t="str">
        <f t="shared" si="161"/>
        <v>X</v>
      </c>
      <c r="J876" s="1" t="str">
        <f t="shared" si="161"/>
        <v>X</v>
      </c>
      <c r="K876" s="1" t="str">
        <f t="shared" si="161"/>
        <v>X</v>
      </c>
      <c r="L876" s="1" t="str">
        <f t="shared" si="161"/>
        <v>X</v>
      </c>
      <c r="M876" s="1" t="str">
        <f t="shared" si="161"/>
        <v>X</v>
      </c>
      <c r="N876" t="s">
        <v>27</v>
      </c>
    </row>
    <row r="877" spans="1:14" x14ac:dyDescent="0.25">
      <c r="A877" t="s">
        <v>14</v>
      </c>
      <c r="B877" t="s">
        <v>39</v>
      </c>
      <c r="C877" t="s">
        <v>15</v>
      </c>
      <c r="D877" t="s">
        <v>15</v>
      </c>
      <c r="E877" t="s">
        <v>15</v>
      </c>
      <c r="F877" t="s">
        <v>15</v>
      </c>
      <c r="G877" s="1">
        <f>VALUE(66011.1269039103)</f>
        <v>66011.126903910306</v>
      </c>
      <c r="H877" s="1">
        <f>VALUE(65692.8238262312)</f>
        <v>65692.823826231193</v>
      </c>
      <c r="I877" s="1">
        <f>VALUE(3652)</f>
        <v>3652</v>
      </c>
      <c r="J877" s="1">
        <f>VALUE(4333)</f>
        <v>4333</v>
      </c>
      <c r="K877" s="1">
        <f>VALUE(5245)</f>
        <v>5245</v>
      </c>
      <c r="L877" s="1">
        <f>VALUE(6515)</f>
        <v>6515</v>
      </c>
      <c r="M877" s="1">
        <f>VALUE(9286)</f>
        <v>9286</v>
      </c>
      <c r="N877" t="s">
        <v>16</v>
      </c>
    </row>
    <row r="878" spans="1:14" x14ac:dyDescent="0.25">
      <c r="A878" t="s">
        <v>14</v>
      </c>
      <c r="B878" t="s">
        <v>39</v>
      </c>
      <c r="C878" t="s">
        <v>15</v>
      </c>
      <c r="D878" t="s">
        <v>15</v>
      </c>
      <c r="E878" t="s">
        <v>15</v>
      </c>
      <c r="F878" t="s">
        <v>17</v>
      </c>
      <c r="G878" s="1">
        <f>VALUE(12412.4471772499)</f>
        <v>12412.4471772499</v>
      </c>
      <c r="H878" s="1">
        <f>VALUE(12375.544922402)</f>
        <v>12375.544922401999</v>
      </c>
      <c r="I878" s="1">
        <f>VALUE(4643)</f>
        <v>4643</v>
      </c>
      <c r="J878" s="1">
        <f>VALUE(5850)</f>
        <v>5850</v>
      </c>
      <c r="K878" s="1">
        <f>VALUE(8095)</f>
        <v>8095</v>
      </c>
      <c r="L878" s="1">
        <f>VALUE(11711)</f>
        <v>11711</v>
      </c>
      <c r="M878" s="1">
        <f>VALUE(17561)</f>
        <v>17561</v>
      </c>
      <c r="N878" t="s">
        <v>16</v>
      </c>
    </row>
    <row r="879" spans="1:14" x14ac:dyDescent="0.25">
      <c r="A879" t="s">
        <v>14</v>
      </c>
      <c r="B879" t="s">
        <v>39</v>
      </c>
      <c r="C879" t="s">
        <v>15</v>
      </c>
      <c r="D879" t="s">
        <v>15</v>
      </c>
      <c r="E879" t="s">
        <v>15</v>
      </c>
      <c r="F879" t="s">
        <v>18</v>
      </c>
      <c r="G879" s="1">
        <f>VALUE(7315.5829264655)</f>
        <v>7315.5829264655003</v>
      </c>
      <c r="H879" s="1">
        <f>VALUE(7221.1609608958)</f>
        <v>7221.1609608957997</v>
      </c>
      <c r="I879" s="1">
        <f>VALUE(3976)</f>
        <v>3976</v>
      </c>
      <c r="J879" s="1">
        <f>VALUE(4745)</f>
        <v>4745</v>
      </c>
      <c r="K879" s="1">
        <f>VALUE(5905)</f>
        <v>5905</v>
      </c>
      <c r="L879" s="1">
        <f>VALUE(7555)</f>
        <v>7555</v>
      </c>
      <c r="M879" s="1">
        <f>VALUE(9615)</f>
        <v>9615</v>
      </c>
      <c r="N879" t="s">
        <v>16</v>
      </c>
    </row>
    <row r="880" spans="1:14" x14ac:dyDescent="0.25">
      <c r="A880" t="s">
        <v>14</v>
      </c>
      <c r="B880" t="s">
        <v>39</v>
      </c>
      <c r="C880" t="s">
        <v>15</v>
      </c>
      <c r="D880" t="s">
        <v>15</v>
      </c>
      <c r="E880" t="s">
        <v>15</v>
      </c>
      <c r="F880" t="s">
        <v>19</v>
      </c>
      <c r="G880" s="1">
        <f>VALUE(9155.3611220759)</f>
        <v>9155.3611220758994</v>
      </c>
      <c r="H880" s="1">
        <f>VALUE(9128.6601795977)</f>
        <v>9128.6601795977003</v>
      </c>
      <c r="I880" s="1">
        <f>VALUE(3992)</f>
        <v>3992</v>
      </c>
      <c r="J880" s="1">
        <f>VALUE(4605)</f>
        <v>4605</v>
      </c>
      <c r="K880" s="1">
        <f>VALUE(5345)</f>
        <v>5345</v>
      </c>
      <c r="L880" s="1">
        <f>VALUE(6305)</f>
        <v>6305</v>
      </c>
      <c r="M880" s="1">
        <f>VALUE(7704)</f>
        <v>7704</v>
      </c>
      <c r="N880" t="s">
        <v>16</v>
      </c>
    </row>
    <row r="881" spans="1:14" x14ac:dyDescent="0.25">
      <c r="A881" t="s">
        <v>14</v>
      </c>
      <c r="B881" t="s">
        <v>39</v>
      </c>
      <c r="C881" t="s">
        <v>15</v>
      </c>
      <c r="D881" t="s">
        <v>15</v>
      </c>
      <c r="E881" t="s">
        <v>15</v>
      </c>
      <c r="F881" t="s">
        <v>20</v>
      </c>
      <c r="G881" s="1">
        <f>VALUE(37077.479779447)</f>
        <v>37077.479779447</v>
      </c>
      <c r="H881" s="1">
        <f>VALUE(36916.4029868858)</f>
        <v>36916.402986885798</v>
      </c>
      <c r="I881" s="1">
        <f>VALUE(3430)</f>
        <v>3430</v>
      </c>
      <c r="J881" s="1">
        <f>VALUE(4027)</f>
        <v>4027</v>
      </c>
      <c r="K881" s="1">
        <f>VALUE(4822)</f>
        <v>4822</v>
      </c>
      <c r="L881" s="1">
        <f>VALUE(5581)</f>
        <v>5581</v>
      </c>
      <c r="M881" s="1">
        <f>VALUE(6455)</f>
        <v>6455</v>
      </c>
      <c r="N881" t="s">
        <v>16</v>
      </c>
    </row>
    <row r="882" spans="1:14" x14ac:dyDescent="0.25">
      <c r="A882" t="s">
        <v>14</v>
      </c>
      <c r="B882" t="s">
        <v>39</v>
      </c>
      <c r="C882" t="s">
        <v>15</v>
      </c>
      <c r="D882" t="s">
        <v>15</v>
      </c>
      <c r="E882" t="s">
        <v>21</v>
      </c>
      <c r="F882" t="s">
        <v>15</v>
      </c>
      <c r="G882" s="1">
        <f>VALUE(14149.4082005844)</f>
        <v>14149.408200584399</v>
      </c>
      <c r="H882" s="1">
        <f>VALUE(13599.0078593988)</f>
        <v>13599.0078593988</v>
      </c>
      <c r="I882" s="1">
        <f>VALUE(4571)</f>
        <v>4571</v>
      </c>
      <c r="J882" s="1">
        <f>VALUE(5660)</f>
        <v>5660</v>
      </c>
      <c r="K882" s="1">
        <f>VALUE(7327)</f>
        <v>7327</v>
      </c>
      <c r="L882" s="1">
        <f>VALUE(10317)</f>
        <v>10317</v>
      </c>
      <c r="M882" s="1">
        <f>VALUE(15476)</f>
        <v>15476</v>
      </c>
      <c r="N882" t="s">
        <v>16</v>
      </c>
    </row>
    <row r="883" spans="1:14" x14ac:dyDescent="0.25">
      <c r="A883" t="s">
        <v>14</v>
      </c>
      <c r="B883" t="s">
        <v>39</v>
      </c>
      <c r="C883" t="s">
        <v>15</v>
      </c>
      <c r="D883" t="s">
        <v>15</v>
      </c>
      <c r="E883" t="s">
        <v>21</v>
      </c>
      <c r="F883" t="s">
        <v>17</v>
      </c>
      <c r="G883" s="1">
        <f>VALUE(6703.8066067491)</f>
        <v>6703.8066067491</v>
      </c>
      <c r="H883" s="1">
        <f>VALUE(6618.3192368881)</f>
        <v>6618.3192368881</v>
      </c>
      <c r="I883" s="1">
        <f>VALUE(5330)</f>
        <v>5330</v>
      </c>
      <c r="J883" s="1">
        <f>VALUE(6802)</f>
        <v>6802</v>
      </c>
      <c r="K883" s="1">
        <f>VALUE(9317)</f>
        <v>9317</v>
      </c>
      <c r="L883" s="1">
        <f>VALUE(13266)</f>
        <v>13266</v>
      </c>
      <c r="M883" s="1">
        <f>VALUE(20063)</f>
        <v>20063</v>
      </c>
      <c r="N883" t="s">
        <v>16</v>
      </c>
    </row>
    <row r="884" spans="1:14" x14ac:dyDescent="0.25">
      <c r="A884" t="s">
        <v>14</v>
      </c>
      <c r="B884" t="s">
        <v>39</v>
      </c>
      <c r="C884" t="s">
        <v>15</v>
      </c>
      <c r="D884" t="s">
        <v>15</v>
      </c>
      <c r="E884" t="s">
        <v>21</v>
      </c>
      <c r="F884" t="s">
        <v>18</v>
      </c>
      <c r="G884" s="1">
        <f>VALUE(2391.5701866519)</f>
        <v>2391.5701866518998</v>
      </c>
      <c r="H884" s="1">
        <f>VALUE(2253.9786827967)</f>
        <v>2253.9786827967</v>
      </c>
      <c r="I884" s="1">
        <f>VALUE(4531)</f>
        <v>4531</v>
      </c>
      <c r="J884" s="1">
        <f>VALUE(5712)</f>
        <v>5712</v>
      </c>
      <c r="K884" s="1">
        <f>VALUE(7016)</f>
        <v>7016</v>
      </c>
      <c r="L884" s="1">
        <f>VALUE(8829)</f>
        <v>8829</v>
      </c>
      <c r="M884" s="1">
        <f>VALUE(11513)</f>
        <v>11513</v>
      </c>
      <c r="N884" t="s">
        <v>16</v>
      </c>
    </row>
    <row r="885" spans="1:14" x14ac:dyDescent="0.25">
      <c r="A885" t="s">
        <v>14</v>
      </c>
      <c r="B885" t="s">
        <v>39</v>
      </c>
      <c r="C885" t="s">
        <v>15</v>
      </c>
      <c r="D885" t="s">
        <v>15</v>
      </c>
      <c r="E885" t="s">
        <v>21</v>
      </c>
      <c r="F885" t="s">
        <v>19</v>
      </c>
      <c r="G885" s="1">
        <f>VALUE(2003.6377838507)</f>
        <v>2003.6377838507001</v>
      </c>
      <c r="H885" s="1">
        <f>VALUE(1843.9484960209)</f>
        <v>1843.9484960208999</v>
      </c>
      <c r="I885" s="1">
        <f>VALUE(4444)</f>
        <v>4444</v>
      </c>
      <c r="J885" s="1">
        <f>VALUE(5081)</f>
        <v>5081</v>
      </c>
      <c r="K885" s="1">
        <f>VALUE(6251)</f>
        <v>6251</v>
      </c>
      <c r="L885" s="1">
        <f>VALUE(7705)</f>
        <v>7705</v>
      </c>
      <c r="M885" s="1">
        <f>VALUE(9053)</f>
        <v>9053</v>
      </c>
      <c r="N885" t="s">
        <v>16</v>
      </c>
    </row>
    <row r="886" spans="1:14" x14ac:dyDescent="0.25">
      <c r="A886" t="s">
        <v>14</v>
      </c>
      <c r="B886" t="s">
        <v>39</v>
      </c>
      <c r="C886" t="s">
        <v>15</v>
      </c>
      <c r="D886" t="s">
        <v>15</v>
      </c>
      <c r="E886" t="s">
        <v>21</v>
      </c>
      <c r="F886" t="s">
        <v>20</v>
      </c>
      <c r="G886" s="1">
        <f>VALUE(3048.0359560481)</f>
        <v>3048.0359560481002</v>
      </c>
      <c r="H886" s="1">
        <f>VALUE(2880.4037764085)</f>
        <v>2880.4037764085001</v>
      </c>
      <c r="I886" s="1">
        <f>VALUE(3809)</f>
        <v>3809</v>
      </c>
      <c r="J886" s="1">
        <f>VALUE(4811)</f>
        <v>4811</v>
      </c>
      <c r="K886" s="1">
        <f>VALUE(5780)</f>
        <v>5780</v>
      </c>
      <c r="L886" s="1">
        <f>VALUE(7098)</f>
        <v>7098</v>
      </c>
      <c r="M886" s="1">
        <f>VALUE(8785)</f>
        <v>8785</v>
      </c>
      <c r="N886" t="s">
        <v>16</v>
      </c>
    </row>
    <row r="887" spans="1:14" x14ac:dyDescent="0.25">
      <c r="A887" t="s">
        <v>14</v>
      </c>
      <c r="B887" t="s">
        <v>39</v>
      </c>
      <c r="C887" t="s">
        <v>15</v>
      </c>
      <c r="D887" t="s">
        <v>15</v>
      </c>
      <c r="E887" t="s">
        <v>22</v>
      </c>
      <c r="F887" t="s">
        <v>15</v>
      </c>
      <c r="G887" s="1">
        <f>VALUE(24711.9587061662)</f>
        <v>24711.958706166199</v>
      </c>
      <c r="H887" s="1">
        <f>VALUE(24828.1867282698)</f>
        <v>24828.1867282698</v>
      </c>
      <c r="I887" s="1">
        <f>VALUE(3828)</f>
        <v>3828</v>
      </c>
      <c r="J887" s="1">
        <f>VALUE(4451)</f>
        <v>4451</v>
      </c>
      <c r="K887" s="1">
        <f>VALUE(5337)</f>
        <v>5337</v>
      </c>
      <c r="L887" s="1">
        <f>VALUE(6341)</f>
        <v>6341</v>
      </c>
      <c r="M887" s="1">
        <f>VALUE(7835)</f>
        <v>7835</v>
      </c>
      <c r="N887" t="s">
        <v>16</v>
      </c>
    </row>
    <row r="888" spans="1:14" x14ac:dyDescent="0.25">
      <c r="A888" t="s">
        <v>14</v>
      </c>
      <c r="B888" t="s">
        <v>39</v>
      </c>
      <c r="C888" t="s">
        <v>15</v>
      </c>
      <c r="D888" t="s">
        <v>15</v>
      </c>
      <c r="E888" t="s">
        <v>22</v>
      </c>
      <c r="F888" t="s">
        <v>17</v>
      </c>
      <c r="G888" s="1">
        <f>VALUE(3846.9321157237)</f>
        <v>3846.9321157237</v>
      </c>
      <c r="H888" s="1">
        <f>VALUE(3877.0632066676)</f>
        <v>3877.0632066675998</v>
      </c>
      <c r="I888" s="1">
        <f>VALUE(4235)</f>
        <v>4235</v>
      </c>
      <c r="J888" s="1">
        <f>VALUE(5333)</f>
        <v>5333</v>
      </c>
      <c r="K888" s="1">
        <f>VALUE(6819)</f>
        <v>6819</v>
      </c>
      <c r="L888" s="1">
        <f>VALUE(9131)</f>
        <v>9131</v>
      </c>
      <c r="M888" s="1">
        <f>VALUE(13330)</f>
        <v>13330</v>
      </c>
      <c r="N888" t="s">
        <v>16</v>
      </c>
    </row>
    <row r="889" spans="1:14" x14ac:dyDescent="0.25">
      <c r="A889" t="s">
        <v>14</v>
      </c>
      <c r="B889" t="s">
        <v>39</v>
      </c>
      <c r="C889" t="s">
        <v>15</v>
      </c>
      <c r="D889" t="s">
        <v>15</v>
      </c>
      <c r="E889" t="s">
        <v>22</v>
      </c>
      <c r="F889" t="s">
        <v>18</v>
      </c>
      <c r="G889" s="1">
        <f>VALUE(2931.2268697647)</f>
        <v>2931.2268697647</v>
      </c>
      <c r="H889" s="1">
        <f>VALUE(2960.51879741)</f>
        <v>2960.5187974099999</v>
      </c>
      <c r="I889" s="1">
        <f>VALUE(4044)</f>
        <v>4044</v>
      </c>
      <c r="J889" s="1">
        <f>VALUE(4752)</f>
        <v>4752</v>
      </c>
      <c r="K889" s="1">
        <f>VALUE(5688)</f>
        <v>5688</v>
      </c>
      <c r="L889" s="1">
        <f>VALUE(6958)</f>
        <v>6958</v>
      </c>
      <c r="M889" s="1">
        <f>VALUE(8286)</f>
        <v>8286</v>
      </c>
      <c r="N889" t="s">
        <v>16</v>
      </c>
    </row>
    <row r="890" spans="1:14" x14ac:dyDescent="0.25">
      <c r="A890" t="s">
        <v>14</v>
      </c>
      <c r="B890" t="s">
        <v>39</v>
      </c>
      <c r="C890" t="s">
        <v>15</v>
      </c>
      <c r="D890" t="s">
        <v>15</v>
      </c>
      <c r="E890" t="s">
        <v>22</v>
      </c>
      <c r="F890" t="s">
        <v>19</v>
      </c>
      <c r="G890" s="1">
        <f>VALUE(4352.9086004154)</f>
        <v>4352.9086004153996</v>
      </c>
      <c r="H890" s="1">
        <f>VALUE(4407.0500979716)</f>
        <v>4407.0500979715998</v>
      </c>
      <c r="I890" s="1">
        <f>VALUE(4000)</f>
        <v>4000</v>
      </c>
      <c r="J890" s="1">
        <f>VALUE(4573)</f>
        <v>4573</v>
      </c>
      <c r="K890" s="1">
        <f>VALUE(5296)</f>
        <v>5296</v>
      </c>
      <c r="L890" s="1">
        <f>VALUE(6122)</f>
        <v>6122</v>
      </c>
      <c r="M890" s="1">
        <f>VALUE(7036)</f>
        <v>7036</v>
      </c>
      <c r="N890" t="s">
        <v>16</v>
      </c>
    </row>
    <row r="891" spans="1:14" x14ac:dyDescent="0.25">
      <c r="A891" t="s">
        <v>14</v>
      </c>
      <c r="B891" t="s">
        <v>39</v>
      </c>
      <c r="C891" t="s">
        <v>15</v>
      </c>
      <c r="D891" t="s">
        <v>15</v>
      </c>
      <c r="E891" t="s">
        <v>22</v>
      </c>
      <c r="F891" t="s">
        <v>20</v>
      </c>
      <c r="G891" s="1">
        <f>VALUE(13566.4353841644)</f>
        <v>13566.435384164401</v>
      </c>
      <c r="H891" s="1">
        <f>VALUE(13567.2919231096)</f>
        <v>13567.2919231096</v>
      </c>
      <c r="I891" s="1">
        <f>VALUE(3710)</f>
        <v>3710</v>
      </c>
      <c r="J891" s="1">
        <f>VALUE(4281)</f>
        <v>4281</v>
      </c>
      <c r="K891" s="1">
        <f>VALUE(5079)</f>
        <v>5079</v>
      </c>
      <c r="L891" s="1">
        <f>VALUE(5802)</f>
        <v>5802</v>
      </c>
      <c r="M891" s="1">
        <f>VALUE(6707)</f>
        <v>6707</v>
      </c>
      <c r="N891" t="s">
        <v>16</v>
      </c>
    </row>
    <row r="892" spans="1:14" x14ac:dyDescent="0.25">
      <c r="A892" t="s">
        <v>14</v>
      </c>
      <c r="B892" t="s">
        <v>39</v>
      </c>
      <c r="C892" t="s">
        <v>15</v>
      </c>
      <c r="D892" t="s">
        <v>15</v>
      </c>
      <c r="E892" t="s">
        <v>23</v>
      </c>
      <c r="F892" t="s">
        <v>15</v>
      </c>
      <c r="G892" s="1">
        <f>VALUE(26085.728093764)</f>
        <v>26085.728093763999</v>
      </c>
      <c r="H892" s="1">
        <f>VALUE(26205.6136133799)</f>
        <v>26205.613613379901</v>
      </c>
      <c r="I892" s="1">
        <f>VALUE(3368)</f>
        <v>3368</v>
      </c>
      <c r="J892" s="1">
        <f>VALUE(3925)</f>
        <v>3925</v>
      </c>
      <c r="K892" s="1">
        <f>VALUE(4689)</f>
        <v>4689</v>
      </c>
      <c r="L892" s="1">
        <f>VALUE(5406)</f>
        <v>5406</v>
      </c>
      <c r="M892" s="1">
        <f>VALUE(6210)</f>
        <v>6210</v>
      </c>
      <c r="N892" t="s">
        <v>16</v>
      </c>
    </row>
    <row r="893" spans="1:14" x14ac:dyDescent="0.25">
      <c r="A893" t="s">
        <v>14</v>
      </c>
      <c r="B893" t="s">
        <v>39</v>
      </c>
      <c r="C893" t="s">
        <v>15</v>
      </c>
      <c r="D893" t="s">
        <v>15</v>
      </c>
      <c r="E893" t="s">
        <v>23</v>
      </c>
      <c r="F893" t="s">
        <v>17</v>
      </c>
      <c r="G893" s="2">
        <f>VALUE(1476.5099702935)</f>
        <v>1476.5099702934999</v>
      </c>
      <c r="H893" s="3">
        <f>VALUE(1497.4847399728)</f>
        <v>1497.4847399728001</v>
      </c>
      <c r="I893" s="4">
        <f>VALUE(4000)</f>
        <v>4000</v>
      </c>
      <c r="J893" s="5">
        <f>VALUE(4863)</f>
        <v>4863</v>
      </c>
      <c r="K893" s="1">
        <f>VALUE(5850)</f>
        <v>5850</v>
      </c>
      <c r="L893" s="7">
        <f>VALUE(7909)</f>
        <v>7909</v>
      </c>
      <c r="M893" s="8">
        <f>VALUE(12341)</f>
        <v>12341</v>
      </c>
      <c r="N893" t="s">
        <v>25</v>
      </c>
    </row>
    <row r="894" spans="1:14" x14ac:dyDescent="0.25">
      <c r="A894" t="s">
        <v>14</v>
      </c>
      <c r="B894" t="s">
        <v>39</v>
      </c>
      <c r="C894" t="s">
        <v>15</v>
      </c>
      <c r="D894" t="s">
        <v>15</v>
      </c>
      <c r="E894" t="s">
        <v>23</v>
      </c>
      <c r="F894" t="s">
        <v>18</v>
      </c>
      <c r="G894" s="1">
        <f>VALUE(1767.7508788153)</f>
        <v>1767.7508788153</v>
      </c>
      <c r="H894" s="1">
        <f>VALUE(1772.6091243848)</f>
        <v>1772.6091243848</v>
      </c>
      <c r="I894" s="1">
        <f>VALUE(3495)</f>
        <v>3495</v>
      </c>
      <c r="J894" s="1">
        <f>VALUE(4127)</f>
        <v>4127</v>
      </c>
      <c r="K894" s="1">
        <f>VALUE(4875)</f>
        <v>4875</v>
      </c>
      <c r="L894" s="1">
        <f>VALUE(5878)</f>
        <v>5878</v>
      </c>
      <c r="M894" s="1">
        <f>VALUE(7692)</f>
        <v>7692</v>
      </c>
      <c r="N894" t="s">
        <v>16</v>
      </c>
    </row>
    <row r="895" spans="1:14" x14ac:dyDescent="0.25">
      <c r="A895" t="s">
        <v>14</v>
      </c>
      <c r="B895" t="s">
        <v>39</v>
      </c>
      <c r="C895" t="s">
        <v>15</v>
      </c>
      <c r="D895" t="s">
        <v>15</v>
      </c>
      <c r="E895" t="s">
        <v>23</v>
      </c>
      <c r="F895" t="s">
        <v>19</v>
      </c>
      <c r="G895" s="1">
        <f>VALUE(2779.946337881)</f>
        <v>2779.9463378810001</v>
      </c>
      <c r="H895" s="1">
        <f>VALUE(2864.827639598)</f>
        <v>2864.8276395980001</v>
      </c>
      <c r="I895" s="1">
        <f>VALUE(3792)</f>
        <v>3792</v>
      </c>
      <c r="J895" s="1">
        <f>VALUE(4386)</f>
        <v>4386</v>
      </c>
      <c r="K895" s="1">
        <f>VALUE(5085)</f>
        <v>5085</v>
      </c>
      <c r="L895" s="1">
        <f>VALUE(5967)</f>
        <v>5967</v>
      </c>
      <c r="M895" s="8">
        <f>VALUE(6946)</f>
        <v>6946</v>
      </c>
      <c r="N895" t="s">
        <v>25</v>
      </c>
    </row>
    <row r="896" spans="1:14" x14ac:dyDescent="0.25">
      <c r="A896" t="s">
        <v>14</v>
      </c>
      <c r="B896" t="s">
        <v>39</v>
      </c>
      <c r="C896" t="s">
        <v>15</v>
      </c>
      <c r="D896" t="s">
        <v>15</v>
      </c>
      <c r="E896" t="s">
        <v>23</v>
      </c>
      <c r="F896" t="s">
        <v>20</v>
      </c>
      <c r="G896" s="1">
        <f>VALUE(20061.5209067742)</f>
        <v>20061.5209067742</v>
      </c>
      <c r="H896" s="1">
        <f>VALUE(20070.6921094243)</f>
        <v>20070.692109424301</v>
      </c>
      <c r="I896" s="1">
        <f>VALUE(3318)</f>
        <v>3318</v>
      </c>
      <c r="J896" s="1">
        <f>VALUE(3823)</f>
        <v>3823</v>
      </c>
      <c r="K896" s="1">
        <f>VALUE(4553)</f>
        <v>4553</v>
      </c>
      <c r="L896" s="1">
        <f>VALUE(5231)</f>
        <v>5231</v>
      </c>
      <c r="M896" s="1">
        <f>VALUE(5812)</f>
        <v>5812</v>
      </c>
      <c r="N896" t="s">
        <v>16</v>
      </c>
    </row>
    <row r="897" spans="1:14" x14ac:dyDescent="0.25">
      <c r="A897" t="s">
        <v>14</v>
      </c>
      <c r="B897" t="s">
        <v>39</v>
      </c>
      <c r="C897" t="s">
        <v>15</v>
      </c>
      <c r="D897" t="s">
        <v>15</v>
      </c>
      <c r="E897" t="s">
        <v>26</v>
      </c>
      <c r="F897" t="s">
        <v>15</v>
      </c>
      <c r="G897" s="2">
        <f>VALUE(1064.0319033957)</f>
        <v>1064.0319033957001</v>
      </c>
      <c r="H897" s="3">
        <f>VALUE(1060.0156251827)</f>
        <v>1060.0156251827</v>
      </c>
      <c r="I897" s="1">
        <f>VALUE(4331)</f>
        <v>4331</v>
      </c>
      <c r="J897" s="1">
        <f>VALUE(5770)</f>
        <v>5770</v>
      </c>
      <c r="K897" s="1">
        <f>VALUE(8334)</f>
        <v>8334</v>
      </c>
      <c r="L897" s="1">
        <f>VALUE(13096)</f>
        <v>13096</v>
      </c>
      <c r="M897" s="1">
        <f>VALUE(22064)</f>
        <v>22064</v>
      </c>
      <c r="N897" t="s">
        <v>25</v>
      </c>
    </row>
    <row r="898" spans="1:14" x14ac:dyDescent="0.25">
      <c r="A898" t="s">
        <v>14</v>
      </c>
      <c r="B898" t="s">
        <v>39</v>
      </c>
      <c r="C898" t="s">
        <v>15</v>
      </c>
      <c r="D898" t="s">
        <v>15</v>
      </c>
      <c r="E898" t="s">
        <v>26</v>
      </c>
      <c r="F898" t="s">
        <v>17</v>
      </c>
      <c r="G898" s="2">
        <f>VALUE(385.1984844836)</f>
        <v>385.1984844836</v>
      </c>
      <c r="H898" s="3">
        <f>VALUE(382.6777388735)</f>
        <v>382.6777388735</v>
      </c>
      <c r="I898" s="4">
        <f>VALUE(6544)</f>
        <v>6544</v>
      </c>
      <c r="J898" s="1">
        <f>VALUE(12019)</f>
        <v>12019</v>
      </c>
      <c r="K898" s="1">
        <f>VALUE(15655)</f>
        <v>15655</v>
      </c>
      <c r="L898" s="1">
        <f>VALUE(22639)</f>
        <v>22639</v>
      </c>
      <c r="M898" s="1">
        <f>VALUE(36568)</f>
        <v>36568</v>
      </c>
      <c r="N898" t="s">
        <v>25</v>
      </c>
    </row>
    <row r="899" spans="1:14" x14ac:dyDescent="0.25">
      <c r="A899" t="s">
        <v>14</v>
      </c>
      <c r="B899" t="s">
        <v>39</v>
      </c>
      <c r="C899" t="s">
        <v>15</v>
      </c>
      <c r="D899" t="s">
        <v>15</v>
      </c>
      <c r="E899" t="s">
        <v>26</v>
      </c>
      <c r="F899" t="s">
        <v>18</v>
      </c>
      <c r="G899" s="1">
        <f>VALUE(225.0349912336)</f>
        <v>225.03499123360001</v>
      </c>
      <c r="H899" s="1">
        <f>VALUE(234.0543563043)</f>
        <v>234.0543563043</v>
      </c>
      <c r="I899" s="1">
        <f>VALUE(6907)</f>
        <v>6907</v>
      </c>
      <c r="J899" s="1">
        <f>VALUE(7619)</f>
        <v>7619</v>
      </c>
      <c r="K899" s="1">
        <f>VALUE(9286)</f>
        <v>9286</v>
      </c>
      <c r="L899" s="1">
        <f>VALUE(10668)</f>
        <v>10668</v>
      </c>
      <c r="M899" s="1">
        <f>VALUE(11977)</f>
        <v>11977</v>
      </c>
      <c r="N899" t="s">
        <v>16</v>
      </c>
    </row>
    <row r="900" spans="1:14" x14ac:dyDescent="0.25">
      <c r="A900" t="s">
        <v>14</v>
      </c>
      <c r="B900" t="s">
        <v>39</v>
      </c>
      <c r="C900" t="s">
        <v>15</v>
      </c>
      <c r="D900" t="s">
        <v>15</v>
      </c>
      <c r="E900" t="s">
        <v>26</v>
      </c>
      <c r="F900" t="s">
        <v>19</v>
      </c>
      <c r="G900" s="1" t="str">
        <f t="shared" ref="G900:M900" si="162">"X"</f>
        <v>X</v>
      </c>
      <c r="H900" s="1" t="str">
        <f t="shared" si="162"/>
        <v>X</v>
      </c>
      <c r="I900" s="1" t="str">
        <f t="shared" si="162"/>
        <v>X</v>
      </c>
      <c r="J900" s="1" t="str">
        <f t="shared" si="162"/>
        <v>X</v>
      </c>
      <c r="K900" s="1" t="str">
        <f t="shared" si="162"/>
        <v>X</v>
      </c>
      <c r="L900" s="1" t="str">
        <f t="shared" si="162"/>
        <v>X</v>
      </c>
      <c r="M900" s="1" t="str">
        <f t="shared" si="162"/>
        <v>X</v>
      </c>
      <c r="N900" t="s">
        <v>27</v>
      </c>
    </row>
    <row r="901" spans="1:14" x14ac:dyDescent="0.25">
      <c r="A901" t="s">
        <v>14</v>
      </c>
      <c r="B901" t="s">
        <v>39</v>
      </c>
      <c r="C901" t="s">
        <v>15</v>
      </c>
      <c r="D901" t="s">
        <v>15</v>
      </c>
      <c r="E901" t="s">
        <v>26</v>
      </c>
      <c r="F901" t="s">
        <v>20</v>
      </c>
      <c r="G901" s="2">
        <f>VALUE(401.4875324603)</f>
        <v>401.48753246029997</v>
      </c>
      <c r="H901" s="3">
        <f>VALUE(398.0151779434)</f>
        <v>398.01517794339998</v>
      </c>
      <c r="I901" s="1">
        <f>VALUE(3518)</f>
        <v>3518</v>
      </c>
      <c r="J901" s="1">
        <f>VALUE(5000)</f>
        <v>5000</v>
      </c>
      <c r="K901" s="1">
        <f>VALUE(5595)</f>
        <v>5595</v>
      </c>
      <c r="L901" s="1">
        <f>VALUE(6339)</f>
        <v>6339</v>
      </c>
      <c r="M901" s="1">
        <f>VALUE(7820)</f>
        <v>7820</v>
      </c>
      <c r="N901" t="s">
        <v>25</v>
      </c>
    </row>
    <row r="902" spans="1:14" x14ac:dyDescent="0.25">
      <c r="A902" t="s">
        <v>14</v>
      </c>
      <c r="B902" t="s">
        <v>39</v>
      </c>
      <c r="C902" t="s">
        <v>15</v>
      </c>
      <c r="D902" t="s">
        <v>28</v>
      </c>
      <c r="E902" t="s">
        <v>15</v>
      </c>
      <c r="F902" t="s">
        <v>15</v>
      </c>
      <c r="G902" s="1">
        <f>VALUE(24629.8058662288)</f>
        <v>24629.805866228799</v>
      </c>
      <c r="H902" s="1">
        <f>VALUE(24117.0690160443)</f>
        <v>24117.069016044301</v>
      </c>
      <c r="I902" s="1">
        <f>VALUE(3991)</f>
        <v>3991</v>
      </c>
      <c r="J902" s="1">
        <f>VALUE(4801)</f>
        <v>4801</v>
      </c>
      <c r="K902" s="1">
        <f>VALUE(5850)</f>
        <v>5850</v>
      </c>
      <c r="L902" s="1">
        <f>VALUE(7835)</f>
        <v>7835</v>
      </c>
      <c r="M902" s="1">
        <f>VALUE(11333)</f>
        <v>11333</v>
      </c>
      <c r="N902" t="s">
        <v>16</v>
      </c>
    </row>
    <row r="903" spans="1:14" x14ac:dyDescent="0.25">
      <c r="A903" t="s">
        <v>14</v>
      </c>
      <c r="B903" t="s">
        <v>39</v>
      </c>
      <c r="C903" t="s">
        <v>15</v>
      </c>
      <c r="D903" t="s">
        <v>28</v>
      </c>
      <c r="E903" t="s">
        <v>15</v>
      </c>
      <c r="F903" t="s">
        <v>17</v>
      </c>
      <c r="G903" s="1">
        <f>VALUE(7329.5911515501)</f>
        <v>7329.5911515501002</v>
      </c>
      <c r="H903" s="1">
        <f>VALUE(7296.7232917246)</f>
        <v>7296.7232917246001</v>
      </c>
      <c r="I903" s="1">
        <f>VALUE(4825)</f>
        <v>4825</v>
      </c>
      <c r="J903" s="1">
        <f>VALUE(6072)</f>
        <v>6072</v>
      </c>
      <c r="K903" s="1">
        <f>VALUE(8423)</f>
        <v>8423</v>
      </c>
      <c r="L903" s="1">
        <f>VALUE(11917)</f>
        <v>11917</v>
      </c>
      <c r="M903" s="1">
        <f>VALUE(17561)</f>
        <v>17561</v>
      </c>
      <c r="N903" t="s">
        <v>16</v>
      </c>
    </row>
    <row r="904" spans="1:14" x14ac:dyDescent="0.25">
      <c r="A904" t="s">
        <v>14</v>
      </c>
      <c r="B904" t="s">
        <v>39</v>
      </c>
      <c r="C904" t="s">
        <v>15</v>
      </c>
      <c r="D904" t="s">
        <v>28</v>
      </c>
      <c r="E904" t="s">
        <v>15</v>
      </c>
      <c r="F904" t="s">
        <v>18</v>
      </c>
      <c r="G904" s="1">
        <f>VALUE(3079.077397161)</f>
        <v>3079.0773971610001</v>
      </c>
      <c r="H904" s="1">
        <f>VALUE(3011.0600061327)</f>
        <v>3011.0600061327</v>
      </c>
      <c r="I904" s="1">
        <f>VALUE(4304)</f>
        <v>4304</v>
      </c>
      <c r="J904" s="1">
        <f>VALUE(5222)</f>
        <v>5222</v>
      </c>
      <c r="K904" s="1">
        <f>VALUE(6505)</f>
        <v>6505</v>
      </c>
      <c r="L904" s="1">
        <f>VALUE(8157)</f>
        <v>8157</v>
      </c>
      <c r="M904" s="1">
        <f>VALUE(10336)</f>
        <v>10336</v>
      </c>
      <c r="N904" t="s">
        <v>16</v>
      </c>
    </row>
    <row r="905" spans="1:14" x14ac:dyDescent="0.25">
      <c r="A905" t="s">
        <v>14</v>
      </c>
      <c r="B905" t="s">
        <v>39</v>
      </c>
      <c r="C905" t="s">
        <v>15</v>
      </c>
      <c r="D905" t="s">
        <v>28</v>
      </c>
      <c r="E905" t="s">
        <v>15</v>
      </c>
      <c r="F905" t="s">
        <v>19</v>
      </c>
      <c r="G905" s="1">
        <f>VALUE(3458.8333442935)</f>
        <v>3458.8333442935</v>
      </c>
      <c r="H905" s="1">
        <f>VALUE(3397.0840069675)</f>
        <v>3397.0840069675</v>
      </c>
      <c r="I905" s="1">
        <f>VALUE(4190)</f>
        <v>4190</v>
      </c>
      <c r="J905" s="1">
        <f>VALUE(4865)</f>
        <v>4865</v>
      </c>
      <c r="K905" s="1">
        <f>VALUE(5684)</f>
        <v>5684</v>
      </c>
      <c r="L905" s="1">
        <f>VALUE(6727)</f>
        <v>6727</v>
      </c>
      <c r="M905" s="1">
        <f>VALUE(7953)</f>
        <v>7953</v>
      </c>
      <c r="N905" t="s">
        <v>16</v>
      </c>
    </row>
    <row r="906" spans="1:14" x14ac:dyDescent="0.25">
      <c r="A906" t="s">
        <v>14</v>
      </c>
      <c r="B906" t="s">
        <v>39</v>
      </c>
      <c r="C906" t="s">
        <v>15</v>
      </c>
      <c r="D906" t="s">
        <v>28</v>
      </c>
      <c r="E906" t="s">
        <v>15</v>
      </c>
      <c r="F906" t="s">
        <v>20</v>
      </c>
      <c r="G906" s="1">
        <f>VALUE(10734.369110319)</f>
        <v>10734.369110318999</v>
      </c>
      <c r="H906" s="1">
        <f>VALUE(10384.8998625779)</f>
        <v>10384.8998625779</v>
      </c>
      <c r="I906" s="1">
        <f>VALUE(3702)</f>
        <v>3702</v>
      </c>
      <c r="J906" s="1">
        <f>VALUE(4347)</f>
        <v>4347</v>
      </c>
      <c r="K906" s="1">
        <f>VALUE(5210)</f>
        <v>5210</v>
      </c>
      <c r="L906" s="1">
        <f>VALUE(6033)</f>
        <v>6033</v>
      </c>
      <c r="M906" s="1">
        <f>VALUE(7094)</f>
        <v>7094</v>
      </c>
      <c r="N906" t="s">
        <v>16</v>
      </c>
    </row>
    <row r="907" spans="1:14" x14ac:dyDescent="0.25">
      <c r="A907" t="s">
        <v>14</v>
      </c>
      <c r="B907" t="s">
        <v>39</v>
      </c>
      <c r="C907" t="s">
        <v>15</v>
      </c>
      <c r="D907" t="s">
        <v>28</v>
      </c>
      <c r="E907" t="s">
        <v>21</v>
      </c>
      <c r="F907" t="s">
        <v>15</v>
      </c>
      <c r="G907" s="1">
        <f>VALUE(7712.4478793418)</f>
        <v>7712.4478793418002</v>
      </c>
      <c r="H907" s="1">
        <f>VALUE(7365.8358991957)</f>
        <v>7365.8358991957002</v>
      </c>
      <c r="I907" s="1">
        <f>VALUE(4791)</f>
        <v>4791</v>
      </c>
      <c r="J907" s="1">
        <f>VALUE(5904)</f>
        <v>5904</v>
      </c>
      <c r="K907" s="1">
        <f>VALUE(7715)</f>
        <v>7715</v>
      </c>
      <c r="L907" s="1">
        <f>VALUE(10670)</f>
        <v>10670</v>
      </c>
      <c r="M907" s="1">
        <f>VALUE(15749)</f>
        <v>15749</v>
      </c>
      <c r="N907" t="s">
        <v>16</v>
      </c>
    </row>
    <row r="908" spans="1:14" x14ac:dyDescent="0.25">
      <c r="A908" t="s">
        <v>14</v>
      </c>
      <c r="B908" t="s">
        <v>39</v>
      </c>
      <c r="C908" t="s">
        <v>15</v>
      </c>
      <c r="D908" t="s">
        <v>28</v>
      </c>
      <c r="E908" t="s">
        <v>21</v>
      </c>
      <c r="F908" t="s">
        <v>17</v>
      </c>
      <c r="G908" s="1">
        <f>VALUE(4244.9838209357)</f>
        <v>4244.9838209357004</v>
      </c>
      <c r="H908" s="1">
        <f>VALUE(4199.9911400541)</f>
        <v>4199.9911400540996</v>
      </c>
      <c r="I908" s="1">
        <f>VALUE(5314)</f>
        <v>5314</v>
      </c>
      <c r="J908" s="1">
        <f>VALUE(6707)</f>
        <v>6707</v>
      </c>
      <c r="K908" s="1">
        <f>VALUE(9234)</f>
        <v>9234</v>
      </c>
      <c r="L908" s="1">
        <f>VALUE(12638)</f>
        <v>12638</v>
      </c>
      <c r="M908" s="8">
        <f>VALUE(18650)</f>
        <v>18650</v>
      </c>
      <c r="N908" t="s">
        <v>25</v>
      </c>
    </row>
    <row r="909" spans="1:14" x14ac:dyDescent="0.25">
      <c r="A909" t="s">
        <v>14</v>
      </c>
      <c r="B909" t="s">
        <v>39</v>
      </c>
      <c r="C909" t="s">
        <v>15</v>
      </c>
      <c r="D909" t="s">
        <v>28</v>
      </c>
      <c r="E909" t="s">
        <v>21</v>
      </c>
      <c r="F909" t="s">
        <v>18</v>
      </c>
      <c r="G909" s="2">
        <f>VALUE(1130.6944065856)</f>
        <v>1130.6944065856001</v>
      </c>
      <c r="H909" s="3">
        <f>VALUE(1043.3688288064)</f>
        <v>1043.3688288064</v>
      </c>
      <c r="I909" s="1">
        <f>VALUE(4793)</f>
        <v>4793</v>
      </c>
      <c r="J909" s="5">
        <f>VALUE(6190)</f>
        <v>6190</v>
      </c>
      <c r="K909" s="1">
        <f>VALUE(7304)</f>
        <v>7304</v>
      </c>
      <c r="L909" s="1">
        <f>VALUE(9000)</f>
        <v>9000</v>
      </c>
      <c r="M909" s="1">
        <f>VALUE(11210)</f>
        <v>11210</v>
      </c>
      <c r="N909" t="s">
        <v>25</v>
      </c>
    </row>
    <row r="910" spans="1:14" x14ac:dyDescent="0.25">
      <c r="A910" t="s">
        <v>14</v>
      </c>
      <c r="B910" t="s">
        <v>39</v>
      </c>
      <c r="C910" t="s">
        <v>15</v>
      </c>
      <c r="D910" t="s">
        <v>28</v>
      </c>
      <c r="E910" t="s">
        <v>21</v>
      </c>
      <c r="F910" t="s">
        <v>19</v>
      </c>
      <c r="G910" s="2">
        <f>VALUE(915.1015603631)</f>
        <v>915.10156036310002</v>
      </c>
      <c r="H910" s="3">
        <f>VALUE(843.3578652967)</f>
        <v>843.35786529669997</v>
      </c>
      <c r="I910" s="4">
        <f>VALUE(4550)</f>
        <v>4550</v>
      </c>
      <c r="J910" s="1">
        <f>VALUE(5467)</f>
        <v>5467</v>
      </c>
      <c r="K910" s="1">
        <f>VALUE(6638)</f>
        <v>6638</v>
      </c>
      <c r="L910" s="1">
        <f>VALUE(7859)</f>
        <v>7859</v>
      </c>
      <c r="M910" s="1">
        <f>VALUE(8929)</f>
        <v>8929</v>
      </c>
      <c r="N910" t="s">
        <v>25</v>
      </c>
    </row>
    <row r="911" spans="1:14" x14ac:dyDescent="0.25">
      <c r="A911" t="s">
        <v>14</v>
      </c>
      <c r="B911" t="s">
        <v>39</v>
      </c>
      <c r="C911" t="s">
        <v>15</v>
      </c>
      <c r="D911" t="s">
        <v>28</v>
      </c>
      <c r="E911" t="s">
        <v>21</v>
      </c>
      <c r="F911" t="s">
        <v>20</v>
      </c>
      <c r="G911" s="1">
        <f>VALUE(1421.6680914574)</f>
        <v>1421.6680914573999</v>
      </c>
      <c r="H911" s="1">
        <f>VALUE(1279.1180650385)</f>
        <v>1279.1180650384999</v>
      </c>
      <c r="I911" s="1">
        <f>VALUE(3931)</f>
        <v>3931</v>
      </c>
      <c r="J911" s="1">
        <f>VALUE(4966)</f>
        <v>4966</v>
      </c>
      <c r="K911" s="1">
        <f>VALUE(5992)</f>
        <v>5992</v>
      </c>
      <c r="L911" s="1">
        <f>VALUE(7121)</f>
        <v>7121</v>
      </c>
      <c r="M911" s="1">
        <f>VALUE(8700)</f>
        <v>8700</v>
      </c>
      <c r="N911" t="s">
        <v>16</v>
      </c>
    </row>
    <row r="912" spans="1:14" x14ac:dyDescent="0.25">
      <c r="A912" t="s">
        <v>14</v>
      </c>
      <c r="B912" t="s">
        <v>39</v>
      </c>
      <c r="C912" t="s">
        <v>15</v>
      </c>
      <c r="D912" t="s">
        <v>28</v>
      </c>
      <c r="E912" t="s">
        <v>22</v>
      </c>
      <c r="F912" t="s">
        <v>15</v>
      </c>
      <c r="G912" s="1">
        <f>VALUE(12980.802475094)</f>
        <v>12980.802475094</v>
      </c>
      <c r="H912" s="1">
        <f>VALUE(12912.1842603554)</f>
        <v>12912.1842603554</v>
      </c>
      <c r="I912" s="1">
        <f>VALUE(3953)</f>
        <v>3953</v>
      </c>
      <c r="J912" s="1">
        <f>VALUE(4643)</f>
        <v>4643</v>
      </c>
      <c r="K912" s="1">
        <f>VALUE(5532)</f>
        <v>5532</v>
      </c>
      <c r="L912" s="1">
        <f>VALUE(6628)</f>
        <v>6628</v>
      </c>
      <c r="M912" s="1">
        <f>VALUE(8407)</f>
        <v>8407</v>
      </c>
      <c r="N912" t="s">
        <v>16</v>
      </c>
    </row>
    <row r="913" spans="1:14" x14ac:dyDescent="0.25">
      <c r="A913" t="s">
        <v>14</v>
      </c>
      <c r="B913" t="s">
        <v>39</v>
      </c>
      <c r="C913" t="s">
        <v>15</v>
      </c>
      <c r="D913" t="s">
        <v>28</v>
      </c>
      <c r="E913" t="s">
        <v>22</v>
      </c>
      <c r="F913" t="s">
        <v>17</v>
      </c>
      <c r="G913" s="1">
        <f>VALUE(2593.2275609182)</f>
        <v>2593.2275609182002</v>
      </c>
      <c r="H913" s="1">
        <f>VALUE(2588.9031614792)</f>
        <v>2588.9031614792002</v>
      </c>
      <c r="I913" s="1">
        <f>VALUE(4282)</f>
        <v>4282</v>
      </c>
      <c r="J913" s="1">
        <f>VALUE(5357)</f>
        <v>5357</v>
      </c>
      <c r="K913" s="1">
        <f>VALUE(7042)</f>
        <v>7042</v>
      </c>
      <c r="L913" s="1">
        <f>VALUE(9228)</f>
        <v>9228</v>
      </c>
      <c r="M913" s="1">
        <f>VALUE(13524)</f>
        <v>13524</v>
      </c>
      <c r="N913" t="s">
        <v>16</v>
      </c>
    </row>
    <row r="914" spans="1:14" x14ac:dyDescent="0.25">
      <c r="A914" t="s">
        <v>14</v>
      </c>
      <c r="B914" t="s">
        <v>39</v>
      </c>
      <c r="C914" t="s">
        <v>15</v>
      </c>
      <c r="D914" t="s">
        <v>28</v>
      </c>
      <c r="E914" t="s">
        <v>22</v>
      </c>
      <c r="F914" t="s">
        <v>18</v>
      </c>
      <c r="G914" s="2">
        <f>VALUE(1457.8382641506)</f>
        <v>1457.8382641506</v>
      </c>
      <c r="H914" s="3">
        <f>VALUE(1479.4206822925)</f>
        <v>1479.4206822925</v>
      </c>
      <c r="I914" s="1">
        <f>VALUE(4204)</f>
        <v>4204</v>
      </c>
      <c r="J914" s="1">
        <f>VALUE(4984)</f>
        <v>4984</v>
      </c>
      <c r="K914" s="1">
        <f>VALUE(5889)</f>
        <v>5889</v>
      </c>
      <c r="L914" s="1">
        <f>VALUE(7389)</f>
        <v>7389</v>
      </c>
      <c r="M914" s="1">
        <f>VALUE(8738)</f>
        <v>8738</v>
      </c>
      <c r="N914" t="s">
        <v>25</v>
      </c>
    </row>
    <row r="915" spans="1:14" x14ac:dyDescent="0.25">
      <c r="A915" t="s">
        <v>14</v>
      </c>
      <c r="B915" t="s">
        <v>39</v>
      </c>
      <c r="C915" t="s">
        <v>15</v>
      </c>
      <c r="D915" t="s">
        <v>28</v>
      </c>
      <c r="E915" t="s">
        <v>22</v>
      </c>
      <c r="F915" t="s">
        <v>19</v>
      </c>
      <c r="G915" s="1">
        <f>VALUE(2146.9517933623)</f>
        <v>2146.9517933623001</v>
      </c>
      <c r="H915" s="1">
        <f>VALUE(2154.5209988939)</f>
        <v>2154.5209988939</v>
      </c>
      <c r="I915" s="1">
        <f>VALUE(4179)</f>
        <v>4179</v>
      </c>
      <c r="J915" s="1">
        <f>VALUE(4700)</f>
        <v>4700</v>
      </c>
      <c r="K915" s="1">
        <f>VALUE(5487)</f>
        <v>5487</v>
      </c>
      <c r="L915" s="1">
        <f>VALUE(6225)</f>
        <v>6225</v>
      </c>
      <c r="M915" s="1">
        <f>VALUE(7361)</f>
        <v>7361</v>
      </c>
      <c r="N915" t="s">
        <v>16</v>
      </c>
    </row>
    <row r="916" spans="1:14" x14ac:dyDescent="0.25">
      <c r="A916" t="s">
        <v>14</v>
      </c>
      <c r="B916" t="s">
        <v>39</v>
      </c>
      <c r="C916" t="s">
        <v>15</v>
      </c>
      <c r="D916" t="s">
        <v>28</v>
      </c>
      <c r="E916" t="s">
        <v>22</v>
      </c>
      <c r="F916" t="s">
        <v>20</v>
      </c>
      <c r="G916" s="1">
        <f>VALUE(6782.7848566629)</f>
        <v>6782.7848566629</v>
      </c>
      <c r="H916" s="1">
        <f>VALUE(6689.3394176898)</f>
        <v>6689.3394176898</v>
      </c>
      <c r="I916" s="1">
        <f>VALUE(3788)</f>
        <v>3788</v>
      </c>
      <c r="J916" s="1">
        <f>VALUE(4414)</f>
        <v>4414</v>
      </c>
      <c r="K916" s="1">
        <f>VALUE(5279)</f>
        <v>5279</v>
      </c>
      <c r="L916" s="1">
        <f>VALUE(6012)</f>
        <v>6012</v>
      </c>
      <c r="M916" s="1">
        <f>VALUE(6870)</f>
        <v>6870</v>
      </c>
      <c r="N916" t="s">
        <v>16</v>
      </c>
    </row>
    <row r="917" spans="1:14" x14ac:dyDescent="0.25">
      <c r="A917" t="s">
        <v>14</v>
      </c>
      <c r="B917" t="s">
        <v>39</v>
      </c>
      <c r="C917" t="s">
        <v>15</v>
      </c>
      <c r="D917" t="s">
        <v>28</v>
      </c>
      <c r="E917" t="s">
        <v>23</v>
      </c>
      <c r="F917" t="s">
        <v>15</v>
      </c>
      <c r="G917" s="1">
        <f>VALUE(3280.45695487339)</f>
        <v>3280.4569548733998</v>
      </c>
      <c r="H917" s="1">
        <f>VALUE(3170.3537736698)</f>
        <v>3170.3537736697999</v>
      </c>
      <c r="I917" s="1">
        <f>VALUE(3479)</f>
        <v>3479</v>
      </c>
      <c r="J917" s="1">
        <f>VALUE(4091)</f>
        <v>4091</v>
      </c>
      <c r="K917" s="1">
        <f>VALUE(4867)</f>
        <v>4867</v>
      </c>
      <c r="L917" s="7">
        <f>VALUE(5738)</f>
        <v>5738</v>
      </c>
      <c r="M917" s="8">
        <f>VALUE(7777)</f>
        <v>7777</v>
      </c>
      <c r="N917" t="s">
        <v>25</v>
      </c>
    </row>
    <row r="918" spans="1:14" x14ac:dyDescent="0.25">
      <c r="A918" t="s">
        <v>14</v>
      </c>
      <c r="B918" t="s">
        <v>39</v>
      </c>
      <c r="C918" t="s">
        <v>15</v>
      </c>
      <c r="D918" t="s">
        <v>28</v>
      </c>
      <c r="E918" t="s">
        <v>23</v>
      </c>
      <c r="F918" t="s">
        <v>17</v>
      </c>
      <c r="G918" s="2">
        <f>VALUE(237.869222277)</f>
        <v>237.86922227700001</v>
      </c>
      <c r="H918" s="3">
        <f>VALUE(244.5077137976)</f>
        <v>244.50771379759999</v>
      </c>
      <c r="I918" s="4">
        <f>VALUE(3900)</f>
        <v>3900</v>
      </c>
      <c r="J918" s="1">
        <f>VALUE(4863)</f>
        <v>4863</v>
      </c>
      <c r="K918" s="6">
        <f>VALUE(7777)</f>
        <v>7777</v>
      </c>
      <c r="L918" s="1">
        <f>VALUE(12064)</f>
        <v>12064</v>
      </c>
      <c r="M918" s="8">
        <f>VALUE(19059)</f>
        <v>19059</v>
      </c>
      <c r="N918" t="s">
        <v>25</v>
      </c>
    </row>
    <row r="919" spans="1:14" x14ac:dyDescent="0.25">
      <c r="A919" t="s">
        <v>14</v>
      </c>
      <c r="B919" t="s">
        <v>39</v>
      </c>
      <c r="C919" t="s">
        <v>15</v>
      </c>
      <c r="D919" t="s">
        <v>28</v>
      </c>
      <c r="E919" t="s">
        <v>23</v>
      </c>
      <c r="F919" t="s">
        <v>18</v>
      </c>
      <c r="G919" s="2">
        <f>VALUE(320.2029931433)</f>
        <v>320.20299314329998</v>
      </c>
      <c r="H919" s="3">
        <f>VALUE(311.768220111)</f>
        <v>311.76822011100001</v>
      </c>
      <c r="I919" s="1">
        <f>VALUE(3495)</f>
        <v>3495</v>
      </c>
      <c r="J919" s="1">
        <f>VALUE(4310)</f>
        <v>4310</v>
      </c>
      <c r="K919" s="1">
        <f>VALUE(5440)</f>
        <v>5440</v>
      </c>
      <c r="L919" s="1">
        <f>VALUE(7573)</f>
        <v>7573</v>
      </c>
      <c r="M919" s="1">
        <f>VALUE(9510)</f>
        <v>9510</v>
      </c>
      <c r="N919" t="s">
        <v>25</v>
      </c>
    </row>
    <row r="920" spans="1:14" x14ac:dyDescent="0.25">
      <c r="A920" t="s">
        <v>14</v>
      </c>
      <c r="B920" t="s">
        <v>39</v>
      </c>
      <c r="C920" t="s">
        <v>15</v>
      </c>
      <c r="D920" t="s">
        <v>28</v>
      </c>
      <c r="E920" t="s">
        <v>23</v>
      </c>
      <c r="F920" t="s">
        <v>19</v>
      </c>
      <c r="G920" s="2">
        <f>VALUE(381.9433469439)</f>
        <v>381.9433469439</v>
      </c>
      <c r="H920" s="3">
        <f>VALUE(390.4624909101)</f>
        <v>390.46249091009997</v>
      </c>
      <c r="I920" s="4">
        <f>VALUE(3721)</f>
        <v>3721</v>
      </c>
      <c r="J920" s="5">
        <f>VALUE(4773)</f>
        <v>4773</v>
      </c>
      <c r="K920" s="6">
        <f>VALUE(5452)</f>
        <v>5452</v>
      </c>
      <c r="L920" s="7">
        <f>VALUE(6630)</f>
        <v>6630</v>
      </c>
      <c r="M920" s="8">
        <f>VALUE(8718)</f>
        <v>8718</v>
      </c>
      <c r="N920" t="s">
        <v>24</v>
      </c>
    </row>
    <row r="921" spans="1:14" x14ac:dyDescent="0.25">
      <c r="A921" t="s">
        <v>14</v>
      </c>
      <c r="B921" t="s">
        <v>39</v>
      </c>
      <c r="C921" t="s">
        <v>15</v>
      </c>
      <c r="D921" t="s">
        <v>28</v>
      </c>
      <c r="E921" t="s">
        <v>23</v>
      </c>
      <c r="F921" t="s">
        <v>20</v>
      </c>
      <c r="G921" s="1">
        <f>VALUE(2340.4413925092)</f>
        <v>2340.4413925091999</v>
      </c>
      <c r="H921" s="1">
        <f>VALUE(2223.6153488511)</f>
        <v>2223.6153488511</v>
      </c>
      <c r="I921" s="1">
        <f>VALUE(3390)</f>
        <v>3390</v>
      </c>
      <c r="J921" s="1">
        <f>VALUE(3971)</f>
        <v>3971</v>
      </c>
      <c r="K921" s="1">
        <f>VALUE(4629)</f>
        <v>4629</v>
      </c>
      <c r="L921" s="1">
        <f>VALUE(5361)</f>
        <v>5361</v>
      </c>
      <c r="M921" s="1">
        <f>VALUE(6228)</f>
        <v>6228</v>
      </c>
      <c r="N921" t="s">
        <v>16</v>
      </c>
    </row>
    <row r="922" spans="1:14" x14ac:dyDescent="0.25">
      <c r="A922" t="s">
        <v>14</v>
      </c>
      <c r="B922" t="s">
        <v>39</v>
      </c>
      <c r="C922" t="s">
        <v>15</v>
      </c>
      <c r="D922" t="s">
        <v>28</v>
      </c>
      <c r="E922" t="s">
        <v>26</v>
      </c>
      <c r="F922" t="s">
        <v>15</v>
      </c>
      <c r="G922" s="2">
        <f>VALUE(656.0985569196)</f>
        <v>656.09855691960001</v>
      </c>
      <c r="H922" s="3">
        <f>VALUE(668.6950828234)</f>
        <v>668.69508282339996</v>
      </c>
      <c r="I922" s="1">
        <f>VALUE(5476)</f>
        <v>5476</v>
      </c>
      <c r="J922" s="1">
        <f>VALUE(6339)</f>
        <v>6339</v>
      </c>
      <c r="K922" s="1">
        <f>VALUE(9603)</f>
        <v>9603</v>
      </c>
      <c r="L922" s="1">
        <f>VALUE(13889)</f>
        <v>13889</v>
      </c>
      <c r="M922" s="8">
        <f>VALUE(23300)</f>
        <v>23300</v>
      </c>
      <c r="N922" t="s">
        <v>25</v>
      </c>
    </row>
    <row r="923" spans="1:14" x14ac:dyDescent="0.25">
      <c r="A923" t="s">
        <v>14</v>
      </c>
      <c r="B923" t="s">
        <v>39</v>
      </c>
      <c r="C923" t="s">
        <v>15</v>
      </c>
      <c r="D923" t="s">
        <v>28</v>
      </c>
      <c r="E923" t="s">
        <v>26</v>
      </c>
      <c r="F923" t="s">
        <v>17</v>
      </c>
      <c r="G923" s="2">
        <f>VALUE(253.5105474192)</f>
        <v>253.51054741920001</v>
      </c>
      <c r="H923" s="3">
        <f>VALUE(263.3212763937)</f>
        <v>263.32127639369997</v>
      </c>
      <c r="I923" s="1">
        <f>VALUE(10467)</f>
        <v>10467</v>
      </c>
      <c r="J923" s="1">
        <f>VALUE(13096)</f>
        <v>13096</v>
      </c>
      <c r="K923" s="1">
        <f>VALUE(16343)</f>
        <v>16343</v>
      </c>
      <c r="L923" s="1">
        <f>VALUE(25423)</f>
        <v>25423</v>
      </c>
      <c r="M923" s="1">
        <f>VALUE(38313)</f>
        <v>38313</v>
      </c>
      <c r="N923" t="s">
        <v>25</v>
      </c>
    </row>
    <row r="924" spans="1:14" x14ac:dyDescent="0.25">
      <c r="A924" t="s">
        <v>14</v>
      </c>
      <c r="B924" t="s">
        <v>39</v>
      </c>
      <c r="C924" t="s">
        <v>15</v>
      </c>
      <c r="D924" t="s">
        <v>28</v>
      </c>
      <c r="E924" t="s">
        <v>26</v>
      </c>
      <c r="F924" t="s">
        <v>18</v>
      </c>
      <c r="G924" s="1" t="str">
        <f t="shared" ref="G924:M925" si="163">"X"</f>
        <v>X</v>
      </c>
      <c r="H924" s="1" t="str">
        <f t="shared" si="163"/>
        <v>X</v>
      </c>
      <c r="I924" s="1" t="str">
        <f t="shared" si="163"/>
        <v>X</v>
      </c>
      <c r="J924" s="1" t="str">
        <f t="shared" si="163"/>
        <v>X</v>
      </c>
      <c r="K924" s="1" t="str">
        <f t="shared" si="163"/>
        <v>X</v>
      </c>
      <c r="L924" s="1" t="str">
        <f t="shared" si="163"/>
        <v>X</v>
      </c>
      <c r="M924" s="1" t="str">
        <f t="shared" si="163"/>
        <v>X</v>
      </c>
      <c r="N924" t="s">
        <v>27</v>
      </c>
    </row>
    <row r="925" spans="1:14" x14ac:dyDescent="0.25">
      <c r="A925" t="s">
        <v>14</v>
      </c>
      <c r="B925" t="s">
        <v>39</v>
      </c>
      <c r="C925" t="s">
        <v>15</v>
      </c>
      <c r="D925" t="s">
        <v>28</v>
      </c>
      <c r="E925" t="s">
        <v>26</v>
      </c>
      <c r="F925" t="s">
        <v>19</v>
      </c>
      <c r="G925" s="1" t="str">
        <f t="shared" si="163"/>
        <v>X</v>
      </c>
      <c r="H925" s="1" t="str">
        <f t="shared" si="163"/>
        <v>X</v>
      </c>
      <c r="I925" s="1" t="str">
        <f t="shared" si="163"/>
        <v>X</v>
      </c>
      <c r="J925" s="1" t="str">
        <f t="shared" si="163"/>
        <v>X</v>
      </c>
      <c r="K925" s="1" t="str">
        <f t="shared" si="163"/>
        <v>X</v>
      </c>
      <c r="L925" s="1" t="str">
        <f t="shared" si="163"/>
        <v>X</v>
      </c>
      <c r="M925" s="1" t="str">
        <f t="shared" si="163"/>
        <v>X</v>
      </c>
      <c r="N925" t="s">
        <v>27</v>
      </c>
    </row>
    <row r="926" spans="1:14" x14ac:dyDescent="0.25">
      <c r="A926" t="s">
        <v>14</v>
      </c>
      <c r="B926" t="s">
        <v>39</v>
      </c>
      <c r="C926" t="s">
        <v>15</v>
      </c>
      <c r="D926" t="s">
        <v>28</v>
      </c>
      <c r="E926" t="s">
        <v>26</v>
      </c>
      <c r="F926" t="s">
        <v>20</v>
      </c>
      <c r="G926" s="2">
        <f>VALUE(189.4747696895)</f>
        <v>189.47476968949999</v>
      </c>
      <c r="H926" s="3">
        <f>VALUE(192.8270309985)</f>
        <v>192.82703099849999</v>
      </c>
      <c r="I926" s="1">
        <f>VALUE(4127)</f>
        <v>4127</v>
      </c>
      <c r="J926" s="1">
        <f>VALUE(5200)</f>
        <v>5200</v>
      </c>
      <c r="K926" s="1">
        <f>VALUE(5969)</f>
        <v>5969</v>
      </c>
      <c r="L926" s="1">
        <f>VALUE(6339)</f>
        <v>6339</v>
      </c>
      <c r="M926" s="1">
        <f>VALUE(7222)</f>
        <v>7222</v>
      </c>
      <c r="N926" t="s">
        <v>25</v>
      </c>
    </row>
    <row r="927" spans="1:14" x14ac:dyDescent="0.25">
      <c r="A927" t="s">
        <v>14</v>
      </c>
      <c r="B927" t="s">
        <v>39</v>
      </c>
      <c r="C927" t="s">
        <v>15</v>
      </c>
      <c r="D927" t="s">
        <v>29</v>
      </c>
      <c r="E927" t="s">
        <v>15</v>
      </c>
      <c r="F927" t="s">
        <v>15</v>
      </c>
      <c r="G927" s="1">
        <f>VALUE(11105.4136167385)</f>
        <v>11105.4136167385</v>
      </c>
      <c r="H927" s="1">
        <f>VALUE(11138.7625196491)</f>
        <v>11138.762519649101</v>
      </c>
      <c r="I927" s="1">
        <f>VALUE(3789)</f>
        <v>3789</v>
      </c>
      <c r="J927" s="1">
        <f>VALUE(4370)</f>
        <v>4370</v>
      </c>
      <c r="K927" s="1">
        <f>VALUE(5205)</f>
        <v>5205</v>
      </c>
      <c r="L927" s="1">
        <f>VALUE(6211)</f>
        <v>6211</v>
      </c>
      <c r="M927" s="1">
        <f>VALUE(8679)</f>
        <v>8679</v>
      </c>
      <c r="N927" t="s">
        <v>16</v>
      </c>
    </row>
    <row r="928" spans="1:14" x14ac:dyDescent="0.25">
      <c r="A928" t="s">
        <v>14</v>
      </c>
      <c r="B928" t="s">
        <v>39</v>
      </c>
      <c r="C928" t="s">
        <v>15</v>
      </c>
      <c r="D928" t="s">
        <v>29</v>
      </c>
      <c r="E928" t="s">
        <v>15</v>
      </c>
      <c r="F928" t="s">
        <v>17</v>
      </c>
      <c r="G928" s="2">
        <f>VALUE(1814.7372190473)</f>
        <v>1814.7372190473</v>
      </c>
      <c r="H928" s="3">
        <f>VALUE(1834.0727036117)</f>
        <v>1834.0727036117</v>
      </c>
      <c r="I928" s="4">
        <f>VALUE(4333)</f>
        <v>4333</v>
      </c>
      <c r="J928" s="5">
        <f>VALUE(5850)</f>
        <v>5850</v>
      </c>
      <c r="K928" s="1">
        <f>VALUE(7778)</f>
        <v>7778</v>
      </c>
      <c r="L928" s="7">
        <f>VALUE(12302)</f>
        <v>12302</v>
      </c>
      <c r="M928" s="8">
        <f>VALUE(18856)</f>
        <v>18856</v>
      </c>
      <c r="N928" t="s">
        <v>25</v>
      </c>
    </row>
    <row r="929" spans="1:14" x14ac:dyDescent="0.25">
      <c r="A929" t="s">
        <v>14</v>
      </c>
      <c r="B929" t="s">
        <v>39</v>
      </c>
      <c r="C929" t="s">
        <v>15</v>
      </c>
      <c r="D929" t="s">
        <v>29</v>
      </c>
      <c r="E929" t="s">
        <v>15</v>
      </c>
      <c r="F929" t="s">
        <v>18</v>
      </c>
      <c r="G929" s="2">
        <f>VALUE(1258.2855558511)</f>
        <v>1258.2855558511001</v>
      </c>
      <c r="H929" s="3">
        <f>VALUE(1245.7762856812)</f>
        <v>1245.7762856812001</v>
      </c>
      <c r="I929" s="4">
        <f>VALUE(3989)</f>
        <v>3989</v>
      </c>
      <c r="J929" s="1">
        <f>VALUE(4608)</f>
        <v>4608</v>
      </c>
      <c r="K929" s="6">
        <f>VALUE(5617)</f>
        <v>5617</v>
      </c>
      <c r="L929" s="7">
        <f>VALUE(7265)</f>
        <v>7265</v>
      </c>
      <c r="M929" s="8">
        <f>VALUE(9742)</f>
        <v>9742</v>
      </c>
      <c r="N929" t="s">
        <v>25</v>
      </c>
    </row>
    <row r="930" spans="1:14" x14ac:dyDescent="0.25">
      <c r="A930" t="s">
        <v>14</v>
      </c>
      <c r="B930" t="s">
        <v>39</v>
      </c>
      <c r="C930" t="s">
        <v>15</v>
      </c>
      <c r="D930" t="s">
        <v>29</v>
      </c>
      <c r="E930" t="s">
        <v>15</v>
      </c>
      <c r="F930" t="s">
        <v>19</v>
      </c>
      <c r="G930" s="2">
        <f>VALUE(1587.6495293864)</f>
        <v>1587.6495293864</v>
      </c>
      <c r="H930" s="3">
        <f>VALUE(1623.2830000644)</f>
        <v>1623.2830000644001</v>
      </c>
      <c r="I930" s="1">
        <f>VALUE(4127)</f>
        <v>4127</v>
      </c>
      <c r="J930" s="1">
        <f>VALUE(4643)</f>
        <v>4643</v>
      </c>
      <c r="K930" s="1">
        <f>VALUE(5345)</f>
        <v>5345</v>
      </c>
      <c r="L930" s="1">
        <f>VALUE(6124)</f>
        <v>6124</v>
      </c>
      <c r="M930" s="1">
        <f>VALUE(7471)</f>
        <v>7471</v>
      </c>
      <c r="N930" t="s">
        <v>25</v>
      </c>
    </row>
    <row r="931" spans="1:14" x14ac:dyDescent="0.25">
      <c r="A931" t="s">
        <v>14</v>
      </c>
      <c r="B931" t="s">
        <v>39</v>
      </c>
      <c r="C931" t="s">
        <v>15</v>
      </c>
      <c r="D931" t="s">
        <v>29</v>
      </c>
      <c r="E931" t="s">
        <v>15</v>
      </c>
      <c r="F931" t="s">
        <v>20</v>
      </c>
      <c r="G931" s="1">
        <f>VALUE(6430.2855763557)</f>
        <v>6430.2855763557</v>
      </c>
      <c r="H931" s="1">
        <f>VALUE(6419.3678271808)</f>
        <v>6419.3678271808003</v>
      </c>
      <c r="I931" s="1">
        <f>VALUE(3624)</f>
        <v>3624</v>
      </c>
      <c r="J931" s="1">
        <f>VALUE(4179)</f>
        <v>4179</v>
      </c>
      <c r="K931" s="1">
        <f>VALUE(4897)</f>
        <v>4897</v>
      </c>
      <c r="L931" s="1">
        <f>VALUE(5570)</f>
        <v>5570</v>
      </c>
      <c r="M931" s="1">
        <f>VALUE(6234)</f>
        <v>6234</v>
      </c>
      <c r="N931" t="s">
        <v>16</v>
      </c>
    </row>
    <row r="932" spans="1:14" x14ac:dyDescent="0.25">
      <c r="A932" t="s">
        <v>14</v>
      </c>
      <c r="B932" t="s">
        <v>39</v>
      </c>
      <c r="C932" t="s">
        <v>15</v>
      </c>
      <c r="D932" t="s">
        <v>29</v>
      </c>
      <c r="E932" t="s">
        <v>21</v>
      </c>
      <c r="F932" t="s">
        <v>15</v>
      </c>
      <c r="G932" s="1">
        <f>VALUE(1576.8433191922)</f>
        <v>1576.8433191921999</v>
      </c>
      <c r="H932" s="1">
        <f>VALUE(1551.4332565728)</f>
        <v>1551.4332565728</v>
      </c>
      <c r="I932" s="1">
        <f>VALUE(4990)</f>
        <v>4990</v>
      </c>
      <c r="J932" s="1">
        <f>VALUE(6211)</f>
        <v>6211</v>
      </c>
      <c r="K932" s="1">
        <f>VALUE(8436)</f>
        <v>8436</v>
      </c>
      <c r="L932" s="7">
        <f>VALUE(12052)</f>
        <v>12052</v>
      </c>
      <c r="M932" s="8">
        <f>VALUE(19703)</f>
        <v>19703</v>
      </c>
      <c r="N932" t="s">
        <v>25</v>
      </c>
    </row>
    <row r="933" spans="1:14" x14ac:dyDescent="0.25">
      <c r="A933" t="s">
        <v>14</v>
      </c>
      <c r="B933" t="s">
        <v>39</v>
      </c>
      <c r="C933" t="s">
        <v>15</v>
      </c>
      <c r="D933" t="s">
        <v>29</v>
      </c>
      <c r="E933" t="s">
        <v>21</v>
      </c>
      <c r="F933" t="s">
        <v>17</v>
      </c>
      <c r="G933" s="2">
        <f>VALUE(753.6076720657)</f>
        <v>753.60767206569994</v>
      </c>
      <c r="H933" s="3">
        <f>VALUE(758.9355888179)</f>
        <v>758.9355888179</v>
      </c>
      <c r="I933" s="1">
        <f>VALUE(6190)</f>
        <v>6190</v>
      </c>
      <c r="J933" s="5">
        <f>VALUE(8075)</f>
        <v>8075</v>
      </c>
      <c r="K933" s="1">
        <f>VALUE(10833)</f>
        <v>10833</v>
      </c>
      <c r="L933" s="7">
        <f>VALUE(16970)</f>
        <v>16970</v>
      </c>
      <c r="M933" s="8">
        <f>VALUE(24270)</f>
        <v>24270</v>
      </c>
      <c r="N933" t="s">
        <v>25</v>
      </c>
    </row>
    <row r="934" spans="1:14" x14ac:dyDescent="0.25">
      <c r="A934" t="s">
        <v>14</v>
      </c>
      <c r="B934" t="s">
        <v>39</v>
      </c>
      <c r="C934" t="s">
        <v>15</v>
      </c>
      <c r="D934" t="s">
        <v>29</v>
      </c>
      <c r="E934" t="s">
        <v>21</v>
      </c>
      <c r="F934" t="s">
        <v>18</v>
      </c>
      <c r="G934" s="2">
        <f>VALUE(318.6785414777)</f>
        <v>318.67854147769998</v>
      </c>
      <c r="H934" s="3">
        <f>VALUE(302.2533202657)</f>
        <v>302.25332026569998</v>
      </c>
      <c r="I934" s="4">
        <f>VALUE(4990)</f>
        <v>4990</v>
      </c>
      <c r="J934" s="1">
        <f>VALUE(6211)</f>
        <v>6211</v>
      </c>
      <c r="K934" s="1">
        <f>VALUE(7789)</f>
        <v>7789</v>
      </c>
      <c r="L934" s="7">
        <f>VALUE(9615)</f>
        <v>9615</v>
      </c>
      <c r="M934" s="8">
        <f>VALUE(13249)</f>
        <v>13249</v>
      </c>
      <c r="N934" t="s">
        <v>25</v>
      </c>
    </row>
    <row r="935" spans="1:14" x14ac:dyDescent="0.25">
      <c r="A935" t="s">
        <v>14</v>
      </c>
      <c r="B935" t="s">
        <v>39</v>
      </c>
      <c r="C935" t="s">
        <v>15</v>
      </c>
      <c r="D935" t="s">
        <v>29</v>
      </c>
      <c r="E935" t="s">
        <v>21</v>
      </c>
      <c r="F935" t="s">
        <v>19</v>
      </c>
      <c r="G935" s="2">
        <f>VALUE(201.0872978468)</f>
        <v>201.0872978468</v>
      </c>
      <c r="H935" s="3">
        <f>VALUE(195.6782565436)</f>
        <v>195.67825654360001</v>
      </c>
      <c r="I935" s="1">
        <f>VALUE(4576)</f>
        <v>4576</v>
      </c>
      <c r="J935" s="5">
        <f>VALUE(5374)</f>
        <v>5374</v>
      </c>
      <c r="K935" s="6">
        <f>VALUE(6755)</f>
        <v>6755</v>
      </c>
      <c r="L935" s="1">
        <f>VALUE(8233)</f>
        <v>8233</v>
      </c>
      <c r="M935" s="1">
        <f>VALUE(11001)</f>
        <v>11001</v>
      </c>
      <c r="N935" t="s">
        <v>25</v>
      </c>
    </row>
    <row r="936" spans="1:14" x14ac:dyDescent="0.25">
      <c r="A936" t="s">
        <v>14</v>
      </c>
      <c r="B936" t="s">
        <v>39</v>
      </c>
      <c r="C936" t="s">
        <v>15</v>
      </c>
      <c r="D936" t="s">
        <v>29</v>
      </c>
      <c r="E936" t="s">
        <v>21</v>
      </c>
      <c r="F936" t="s">
        <v>20</v>
      </c>
      <c r="G936" s="2">
        <f>VALUE(303.469807802)</f>
        <v>303.46980780199999</v>
      </c>
      <c r="H936" s="3">
        <f>VALUE(294.5660909456)</f>
        <v>294.56609094560002</v>
      </c>
      <c r="I936" s="1">
        <f>VALUE(4473)</f>
        <v>4473</v>
      </c>
      <c r="J936" s="1">
        <f>VALUE(5285)</f>
        <v>5285</v>
      </c>
      <c r="K936" s="1">
        <f>VALUE(6182)</f>
        <v>6182</v>
      </c>
      <c r="L936" s="1">
        <f>VALUE(8083)</f>
        <v>8083</v>
      </c>
      <c r="M936" s="1">
        <f>VALUE(9428)</f>
        <v>9428</v>
      </c>
      <c r="N936" t="s">
        <v>25</v>
      </c>
    </row>
    <row r="937" spans="1:14" x14ac:dyDescent="0.25">
      <c r="A937" t="s">
        <v>14</v>
      </c>
      <c r="B937" t="s">
        <v>39</v>
      </c>
      <c r="C937" t="s">
        <v>15</v>
      </c>
      <c r="D937" t="s">
        <v>29</v>
      </c>
      <c r="E937" t="s">
        <v>22</v>
      </c>
      <c r="F937" t="s">
        <v>15</v>
      </c>
      <c r="G937" s="1">
        <f>VALUE(4012.3458314911)</f>
        <v>4012.3458314910999</v>
      </c>
      <c r="H937" s="1">
        <f>VALUE(4056.7355756615)</f>
        <v>4056.7355756615002</v>
      </c>
      <c r="I937" s="1">
        <f>VALUE(3877)</f>
        <v>3877</v>
      </c>
      <c r="J937" s="1">
        <f>VALUE(4422)</f>
        <v>4422</v>
      </c>
      <c r="K937" s="1">
        <f>VALUE(5194)</f>
        <v>5194</v>
      </c>
      <c r="L937" s="1">
        <f>VALUE(6071)</f>
        <v>6071</v>
      </c>
      <c r="M937" s="1">
        <f>VALUE(7483)</f>
        <v>7483</v>
      </c>
      <c r="N937" t="s">
        <v>16</v>
      </c>
    </row>
    <row r="938" spans="1:14" x14ac:dyDescent="0.25">
      <c r="A938" t="s">
        <v>14</v>
      </c>
      <c r="B938" t="s">
        <v>39</v>
      </c>
      <c r="C938" t="s">
        <v>15</v>
      </c>
      <c r="D938" t="s">
        <v>29</v>
      </c>
      <c r="E938" t="s">
        <v>22</v>
      </c>
      <c r="F938" t="s">
        <v>17</v>
      </c>
      <c r="G938" s="2">
        <f>VALUE(577.8077441117)</f>
        <v>577.8077441117</v>
      </c>
      <c r="H938" s="3">
        <f>VALUE(599.1592425576)</f>
        <v>599.15924255760001</v>
      </c>
      <c r="I938" s="4">
        <f>VALUE(4047)</f>
        <v>4047</v>
      </c>
      <c r="J938" s="5">
        <f>VALUE(4877)</f>
        <v>4877</v>
      </c>
      <c r="K938" s="1">
        <f>VALUE(6448)</f>
        <v>6448</v>
      </c>
      <c r="L938" s="1">
        <f>VALUE(8157)</f>
        <v>8157</v>
      </c>
      <c r="M938" s="8">
        <f>VALUE(12613)</f>
        <v>12613</v>
      </c>
      <c r="N938" t="s">
        <v>25</v>
      </c>
    </row>
    <row r="939" spans="1:14" x14ac:dyDescent="0.25">
      <c r="A939" t="s">
        <v>14</v>
      </c>
      <c r="B939" t="s">
        <v>39</v>
      </c>
      <c r="C939" t="s">
        <v>15</v>
      </c>
      <c r="D939" t="s">
        <v>29</v>
      </c>
      <c r="E939" t="s">
        <v>22</v>
      </c>
      <c r="F939" t="s">
        <v>18</v>
      </c>
      <c r="G939" s="2">
        <f>VALUE(539.156098894)</f>
        <v>539.15609889400002</v>
      </c>
      <c r="H939" s="3">
        <f>VALUE(546.2594031973)</f>
        <v>546.2594031973</v>
      </c>
      <c r="I939" s="4">
        <f>VALUE(4146)</f>
        <v>4146</v>
      </c>
      <c r="J939" s="5">
        <f>VALUE(4690)</f>
        <v>4690</v>
      </c>
      <c r="K939" s="1">
        <f>VALUE(5416)</f>
        <v>5416</v>
      </c>
      <c r="L939" s="1">
        <f>VALUE(6786)</f>
        <v>6786</v>
      </c>
      <c r="M939" s="1">
        <f>VALUE(8121)</f>
        <v>8121</v>
      </c>
      <c r="N939" t="s">
        <v>25</v>
      </c>
    </row>
    <row r="940" spans="1:14" x14ac:dyDescent="0.25">
      <c r="A940" t="s">
        <v>14</v>
      </c>
      <c r="B940" t="s">
        <v>39</v>
      </c>
      <c r="C940" t="s">
        <v>15</v>
      </c>
      <c r="D940" t="s">
        <v>29</v>
      </c>
      <c r="E940" t="s">
        <v>22</v>
      </c>
      <c r="F940" t="s">
        <v>19</v>
      </c>
      <c r="G940" s="2">
        <f>VALUE(740.9638826912)</f>
        <v>740.96388269119996</v>
      </c>
      <c r="H940" s="3">
        <f>VALUE(754.6453271764)</f>
        <v>754.64532717639997</v>
      </c>
      <c r="I940" s="1">
        <f>VALUE(4164)</f>
        <v>4164</v>
      </c>
      <c r="J940" s="1">
        <f>VALUE(4678)</f>
        <v>4678</v>
      </c>
      <c r="K940" s="1">
        <f>VALUE(5334)</f>
        <v>5334</v>
      </c>
      <c r="L940" s="1">
        <f>VALUE(5878)</f>
        <v>5878</v>
      </c>
      <c r="M940" s="1">
        <f>VALUE(6983)</f>
        <v>6983</v>
      </c>
      <c r="N940" t="s">
        <v>25</v>
      </c>
    </row>
    <row r="941" spans="1:14" x14ac:dyDescent="0.25">
      <c r="A941" t="s">
        <v>14</v>
      </c>
      <c r="B941" t="s">
        <v>39</v>
      </c>
      <c r="C941" t="s">
        <v>15</v>
      </c>
      <c r="D941" t="s">
        <v>29</v>
      </c>
      <c r="E941" t="s">
        <v>22</v>
      </c>
      <c r="F941" t="s">
        <v>20</v>
      </c>
      <c r="G941" s="1">
        <f>VALUE(2139.9623696962)</f>
        <v>2139.9623696961999</v>
      </c>
      <c r="H941" s="1">
        <f>VALUE(2140.4088996192)</f>
        <v>2140.4088996191999</v>
      </c>
      <c r="I941" s="1">
        <f>VALUE(3752)</f>
        <v>3752</v>
      </c>
      <c r="J941" s="1">
        <f>VALUE(4320)</f>
        <v>4320</v>
      </c>
      <c r="K941" s="1">
        <f>VALUE(4897)</f>
        <v>4897</v>
      </c>
      <c r="L941" s="1">
        <f>VALUE(5633)</f>
        <v>5633</v>
      </c>
      <c r="M941" s="1">
        <f>VALUE(6411)</f>
        <v>6411</v>
      </c>
      <c r="N941" t="s">
        <v>16</v>
      </c>
    </row>
    <row r="942" spans="1:14" x14ac:dyDescent="0.25">
      <c r="A942" t="s">
        <v>14</v>
      </c>
      <c r="B942" t="s">
        <v>39</v>
      </c>
      <c r="C942" t="s">
        <v>15</v>
      </c>
      <c r="D942" t="s">
        <v>29</v>
      </c>
      <c r="E942" t="s">
        <v>23</v>
      </c>
      <c r="F942" t="s">
        <v>15</v>
      </c>
      <c r="G942" s="1">
        <f>VALUE(5359.0404246466)</f>
        <v>5359.0404246465996</v>
      </c>
      <c r="H942" s="1">
        <f>VALUE(5387.2026527983)</f>
        <v>5387.2026527982998</v>
      </c>
      <c r="I942" s="1">
        <f>VALUE(3611)</f>
        <v>3611</v>
      </c>
      <c r="J942" s="1">
        <f>VALUE(4182)</f>
        <v>4182</v>
      </c>
      <c r="K942" s="1">
        <f>VALUE(4921)</f>
        <v>4921</v>
      </c>
      <c r="L942" s="1">
        <f>VALUE(5600)</f>
        <v>5600</v>
      </c>
      <c r="M942" s="1">
        <f>VALUE(6269)</f>
        <v>6269</v>
      </c>
      <c r="N942" t="s">
        <v>16</v>
      </c>
    </row>
    <row r="943" spans="1:14" x14ac:dyDescent="0.25">
      <c r="A943" t="s">
        <v>14</v>
      </c>
      <c r="B943" t="s">
        <v>39</v>
      </c>
      <c r="C943" t="s">
        <v>15</v>
      </c>
      <c r="D943" t="s">
        <v>29</v>
      </c>
      <c r="E943" t="s">
        <v>23</v>
      </c>
      <c r="F943" t="s">
        <v>17</v>
      </c>
      <c r="G943" s="2">
        <f>VALUE(410.4102494319)</f>
        <v>410.41024943190001</v>
      </c>
      <c r="H943" s="3">
        <f>VALUE(417.3755325127)</f>
        <v>417.37553251269998</v>
      </c>
      <c r="I943" s="4">
        <f>VALUE(4000)</f>
        <v>4000</v>
      </c>
      <c r="J943" s="5">
        <f>VALUE(4825)</f>
        <v>4825</v>
      </c>
      <c r="K943" s="6">
        <f>VALUE(6203)</f>
        <v>6203</v>
      </c>
      <c r="L943" s="7">
        <f>VALUE(7822)</f>
        <v>7822</v>
      </c>
      <c r="M943" s="8">
        <f>VALUE(12341)</f>
        <v>12341</v>
      </c>
      <c r="N943" t="s">
        <v>24</v>
      </c>
    </row>
    <row r="944" spans="1:14" x14ac:dyDescent="0.25">
      <c r="A944" t="s">
        <v>14</v>
      </c>
      <c r="B944" t="s">
        <v>39</v>
      </c>
      <c r="C944" t="s">
        <v>15</v>
      </c>
      <c r="D944" t="s">
        <v>29</v>
      </c>
      <c r="E944" t="s">
        <v>23</v>
      </c>
      <c r="F944" t="s">
        <v>18</v>
      </c>
      <c r="G944" s="2">
        <f>VALUE(379.7780978127)</f>
        <v>379.77809781270003</v>
      </c>
      <c r="H944" s="3">
        <f>VALUE(375.5446041237)</f>
        <v>375.54460412370003</v>
      </c>
      <c r="I944" s="4">
        <f>VALUE(3268)</f>
        <v>3268</v>
      </c>
      <c r="J944" s="5">
        <f>VALUE(4182)</f>
        <v>4182</v>
      </c>
      <c r="K944" s="6">
        <f>VALUE(4821)</f>
        <v>4821</v>
      </c>
      <c r="L944" s="7">
        <f>VALUE(5802)</f>
        <v>5802</v>
      </c>
      <c r="M944" s="8">
        <f>VALUE(6935)</f>
        <v>6935</v>
      </c>
      <c r="N944" t="s">
        <v>24</v>
      </c>
    </row>
    <row r="945" spans="1:14" x14ac:dyDescent="0.25">
      <c r="A945" t="s">
        <v>14</v>
      </c>
      <c r="B945" t="s">
        <v>39</v>
      </c>
      <c r="C945" t="s">
        <v>15</v>
      </c>
      <c r="D945" t="s">
        <v>29</v>
      </c>
      <c r="E945" t="s">
        <v>23</v>
      </c>
      <c r="F945" t="s">
        <v>19</v>
      </c>
      <c r="G945" s="2">
        <f>VALUE(645.5983488484)</f>
        <v>645.59834884839995</v>
      </c>
      <c r="H945" s="3">
        <f>VALUE(672.9594163444)</f>
        <v>672.95941634439998</v>
      </c>
      <c r="I945" s="4">
        <f>VALUE(3870)</f>
        <v>3870</v>
      </c>
      <c r="J945" s="1">
        <f>VALUE(4436)</f>
        <v>4436</v>
      </c>
      <c r="K945" s="1">
        <f>VALUE(5210)</f>
        <v>5210</v>
      </c>
      <c r="L945" s="1">
        <f>VALUE(5856)</f>
        <v>5856</v>
      </c>
      <c r="M945" s="1">
        <f>VALUE(6578)</f>
        <v>6578</v>
      </c>
      <c r="N945" t="s">
        <v>25</v>
      </c>
    </row>
    <row r="946" spans="1:14" x14ac:dyDescent="0.25">
      <c r="A946" t="s">
        <v>14</v>
      </c>
      <c r="B946" t="s">
        <v>39</v>
      </c>
      <c r="C946" t="s">
        <v>15</v>
      </c>
      <c r="D946" t="s">
        <v>29</v>
      </c>
      <c r="E946" t="s">
        <v>23</v>
      </c>
      <c r="F946" t="s">
        <v>20</v>
      </c>
      <c r="G946" s="1">
        <f>VALUE(3923.2537285536)</f>
        <v>3923.2537285536</v>
      </c>
      <c r="H946" s="1">
        <f>VALUE(3921.3230998175)</f>
        <v>3921.3230998175</v>
      </c>
      <c r="I946" s="1">
        <f>VALUE(3554)</f>
        <v>3554</v>
      </c>
      <c r="J946" s="1">
        <f>VALUE(4094)</f>
        <v>4094</v>
      </c>
      <c r="K946" s="1">
        <f>VALUE(4819)</f>
        <v>4819</v>
      </c>
      <c r="L946" s="1">
        <f>VALUE(5432)</f>
        <v>5432</v>
      </c>
      <c r="M946" s="1">
        <f>VALUE(5953)</f>
        <v>5953</v>
      </c>
      <c r="N946" t="s">
        <v>16</v>
      </c>
    </row>
    <row r="947" spans="1:14" x14ac:dyDescent="0.25">
      <c r="A947" t="s">
        <v>14</v>
      </c>
      <c r="B947" t="s">
        <v>39</v>
      </c>
      <c r="C947" t="s">
        <v>15</v>
      </c>
      <c r="D947" t="s">
        <v>29</v>
      </c>
      <c r="E947" t="s">
        <v>26</v>
      </c>
      <c r="F947" t="s">
        <v>15</v>
      </c>
      <c r="G947" s="2">
        <f>VALUE(157.1840414086)</f>
        <v>157.1840414086</v>
      </c>
      <c r="H947" s="3">
        <f>VALUE(143.3910346165)</f>
        <v>143.39103461650001</v>
      </c>
      <c r="I947" s="1">
        <f>VALUE(3390)</f>
        <v>3390</v>
      </c>
      <c r="J947" s="1">
        <f>VALUE(5555)</f>
        <v>5555</v>
      </c>
      <c r="K947" s="1">
        <f>VALUE(7698)</f>
        <v>7698</v>
      </c>
      <c r="L947" s="1">
        <f>VALUE(12619)</f>
        <v>12619</v>
      </c>
      <c r="M947" s="1">
        <f>VALUE(20298)</f>
        <v>20298</v>
      </c>
      <c r="N947" t="s">
        <v>25</v>
      </c>
    </row>
    <row r="948" spans="1:14" x14ac:dyDescent="0.25">
      <c r="A948" t="s">
        <v>14</v>
      </c>
      <c r="B948" t="s">
        <v>39</v>
      </c>
      <c r="C948" t="s">
        <v>15</v>
      </c>
      <c r="D948" t="s">
        <v>29</v>
      </c>
      <c r="E948" t="s">
        <v>26</v>
      </c>
      <c r="F948" t="s">
        <v>17</v>
      </c>
      <c r="G948" s="1" t="str">
        <f t="shared" ref="G948:M949" si="164">"X"</f>
        <v>X</v>
      </c>
      <c r="H948" s="1" t="str">
        <f t="shared" si="164"/>
        <v>X</v>
      </c>
      <c r="I948" s="1" t="str">
        <f t="shared" si="164"/>
        <v>X</v>
      </c>
      <c r="J948" s="1" t="str">
        <f t="shared" si="164"/>
        <v>X</v>
      </c>
      <c r="K948" s="1" t="str">
        <f t="shared" si="164"/>
        <v>X</v>
      </c>
      <c r="L948" s="1" t="str">
        <f t="shared" si="164"/>
        <v>X</v>
      </c>
      <c r="M948" s="1" t="str">
        <f t="shared" si="164"/>
        <v>X</v>
      </c>
      <c r="N948" t="s">
        <v>27</v>
      </c>
    </row>
    <row r="949" spans="1:14" x14ac:dyDescent="0.25">
      <c r="A949" t="s">
        <v>14</v>
      </c>
      <c r="B949" t="s">
        <v>39</v>
      </c>
      <c r="C949" t="s">
        <v>15</v>
      </c>
      <c r="D949" t="s">
        <v>29</v>
      </c>
      <c r="E949" t="s">
        <v>26</v>
      </c>
      <c r="F949" t="s">
        <v>18</v>
      </c>
      <c r="G949" s="1" t="str">
        <f t="shared" si="164"/>
        <v>X</v>
      </c>
      <c r="H949" s="1" t="str">
        <f t="shared" si="164"/>
        <v>X</v>
      </c>
      <c r="I949" s="1" t="str">
        <f t="shared" si="164"/>
        <v>X</v>
      </c>
      <c r="J949" s="1" t="str">
        <f t="shared" si="164"/>
        <v>X</v>
      </c>
      <c r="K949" s="1" t="str">
        <f t="shared" si="164"/>
        <v>X</v>
      </c>
      <c r="L949" s="1" t="str">
        <f t="shared" si="164"/>
        <v>X</v>
      </c>
      <c r="M949" s="1" t="str">
        <f t="shared" si="164"/>
        <v>X</v>
      </c>
      <c r="N949" t="s">
        <v>27</v>
      </c>
    </row>
    <row r="950" spans="1:14" x14ac:dyDescent="0.25">
      <c r="A950" t="s">
        <v>14</v>
      </c>
      <c r="B950" t="s">
        <v>39</v>
      </c>
      <c r="C950" t="s">
        <v>15</v>
      </c>
      <c r="D950" t="s">
        <v>29</v>
      </c>
      <c r="E950" t="s">
        <v>26</v>
      </c>
      <c r="F950" t="s">
        <v>19</v>
      </c>
      <c r="G950" s="1" t="str">
        <f t="shared" ref="G950:M950" si="165">"..."</f>
        <v>...</v>
      </c>
      <c r="H950" s="1" t="str">
        <f t="shared" si="165"/>
        <v>...</v>
      </c>
      <c r="I950" s="1" t="str">
        <f t="shared" si="165"/>
        <v>...</v>
      </c>
      <c r="J950" s="1" t="str">
        <f t="shared" si="165"/>
        <v>...</v>
      </c>
      <c r="K950" s="1" t="str">
        <f t="shared" si="165"/>
        <v>...</v>
      </c>
      <c r="L950" s="1" t="str">
        <f t="shared" si="165"/>
        <v>...</v>
      </c>
      <c r="M950" s="1" t="str">
        <f t="shared" si="165"/>
        <v>...</v>
      </c>
      <c r="N950" t="s">
        <v>30</v>
      </c>
    </row>
    <row r="951" spans="1:14" x14ac:dyDescent="0.25">
      <c r="A951" t="s">
        <v>14</v>
      </c>
      <c r="B951" t="s">
        <v>39</v>
      </c>
      <c r="C951" t="s">
        <v>15</v>
      </c>
      <c r="D951" t="s">
        <v>29</v>
      </c>
      <c r="E951" t="s">
        <v>26</v>
      </c>
      <c r="F951" t="s">
        <v>20</v>
      </c>
      <c r="G951" s="1" t="str">
        <f t="shared" ref="G951:M951" si="166">"X"</f>
        <v>X</v>
      </c>
      <c r="H951" s="1" t="str">
        <f t="shared" si="166"/>
        <v>X</v>
      </c>
      <c r="I951" s="1" t="str">
        <f t="shared" si="166"/>
        <v>X</v>
      </c>
      <c r="J951" s="1" t="str">
        <f t="shared" si="166"/>
        <v>X</v>
      </c>
      <c r="K951" s="1" t="str">
        <f t="shared" si="166"/>
        <v>X</v>
      </c>
      <c r="L951" s="1" t="str">
        <f t="shared" si="166"/>
        <v>X</v>
      </c>
      <c r="M951" s="1" t="str">
        <f t="shared" si="166"/>
        <v>X</v>
      </c>
      <c r="N951" t="s">
        <v>27</v>
      </c>
    </row>
    <row r="952" spans="1:14" x14ac:dyDescent="0.25">
      <c r="A952" t="s">
        <v>14</v>
      </c>
      <c r="B952" t="s">
        <v>39</v>
      </c>
      <c r="C952" t="s">
        <v>15</v>
      </c>
      <c r="D952" t="s">
        <v>31</v>
      </c>
      <c r="E952" t="s">
        <v>15</v>
      </c>
      <c r="F952" t="s">
        <v>15</v>
      </c>
      <c r="G952" s="1">
        <f>VALUE(4347.3494738248)</f>
        <v>4347.3494738248</v>
      </c>
      <c r="H952" s="1">
        <f>VALUE(4337.7614697718)</f>
        <v>4337.7614697718</v>
      </c>
      <c r="I952" s="1">
        <f>VALUE(3387)</f>
        <v>3387</v>
      </c>
      <c r="J952" s="1">
        <f>VALUE(4009)</f>
        <v>4009</v>
      </c>
      <c r="K952" s="1">
        <f>VALUE(5000)</f>
        <v>5000</v>
      </c>
      <c r="L952" s="1">
        <f>VALUE(6479)</f>
        <v>6479</v>
      </c>
      <c r="M952" s="8">
        <f>VALUE(10833)</f>
        <v>10833</v>
      </c>
      <c r="N952" t="s">
        <v>25</v>
      </c>
    </row>
    <row r="953" spans="1:14" x14ac:dyDescent="0.25">
      <c r="A953" t="s">
        <v>14</v>
      </c>
      <c r="B953" t="s">
        <v>39</v>
      </c>
      <c r="C953" t="s">
        <v>15</v>
      </c>
      <c r="D953" t="s">
        <v>31</v>
      </c>
      <c r="E953" t="s">
        <v>15</v>
      </c>
      <c r="F953" t="s">
        <v>17</v>
      </c>
      <c r="G953" s="2">
        <f>VALUE(742.86631648)</f>
        <v>742.86631648000002</v>
      </c>
      <c r="H953" s="3">
        <f>VALUE(743.0631139771)</f>
        <v>743.06311397709999</v>
      </c>
      <c r="I953" s="4">
        <f>VALUE(4868)</f>
        <v>4868</v>
      </c>
      <c r="J953" s="1">
        <f>VALUE(5643)</f>
        <v>5643</v>
      </c>
      <c r="K953" s="6">
        <f>VALUE(8910)</f>
        <v>8910</v>
      </c>
      <c r="L953" s="7">
        <f>VALUE(14604)</f>
        <v>14604</v>
      </c>
      <c r="M953" s="8">
        <f>VALUE(22500)</f>
        <v>22500</v>
      </c>
      <c r="N953" t="s">
        <v>25</v>
      </c>
    </row>
    <row r="954" spans="1:14" x14ac:dyDescent="0.25">
      <c r="A954" t="s">
        <v>14</v>
      </c>
      <c r="B954" t="s">
        <v>39</v>
      </c>
      <c r="C954" t="s">
        <v>15</v>
      </c>
      <c r="D954" t="s">
        <v>31</v>
      </c>
      <c r="E954" t="s">
        <v>15</v>
      </c>
      <c r="F954" t="s">
        <v>18</v>
      </c>
      <c r="G954" s="2">
        <f>VALUE(475.711339892)</f>
        <v>475.71133989200001</v>
      </c>
      <c r="H954" s="3">
        <f>VALUE(478.3331409348)</f>
        <v>478.33314093479999</v>
      </c>
      <c r="I954" s="4">
        <f>VALUE(3689)</f>
        <v>3689</v>
      </c>
      <c r="J954" s="5">
        <f>VALUE(4617)</f>
        <v>4617</v>
      </c>
      <c r="K954" s="6">
        <f>VALUE(6500)</f>
        <v>6500</v>
      </c>
      <c r="L954" s="7">
        <f>VALUE(9026)</f>
        <v>9026</v>
      </c>
      <c r="M954" s="8">
        <f>VALUE(12157)</f>
        <v>12157</v>
      </c>
      <c r="N954" t="s">
        <v>24</v>
      </c>
    </row>
    <row r="955" spans="1:14" x14ac:dyDescent="0.25">
      <c r="A955" t="s">
        <v>14</v>
      </c>
      <c r="B955" t="s">
        <v>39</v>
      </c>
      <c r="C955" t="s">
        <v>15</v>
      </c>
      <c r="D955" t="s">
        <v>31</v>
      </c>
      <c r="E955" t="s">
        <v>15</v>
      </c>
      <c r="F955" t="s">
        <v>19</v>
      </c>
      <c r="G955" s="2">
        <f>VALUE(584.6089439267)</f>
        <v>584.60894392670002</v>
      </c>
      <c r="H955" s="3">
        <f>VALUE(559.6408703049)</f>
        <v>559.64087030489998</v>
      </c>
      <c r="I955" s="1">
        <f>VALUE(4000)</f>
        <v>4000</v>
      </c>
      <c r="J955" s="5">
        <f>VALUE(4690)</f>
        <v>4690</v>
      </c>
      <c r="K955" s="1">
        <f>VALUE(5112)</f>
        <v>5112</v>
      </c>
      <c r="L955" s="7">
        <f>VALUE(6611)</f>
        <v>6611</v>
      </c>
      <c r="M955" s="8">
        <f>VALUE(8730)</f>
        <v>8730</v>
      </c>
      <c r="N955" t="s">
        <v>25</v>
      </c>
    </row>
    <row r="956" spans="1:14" x14ac:dyDescent="0.25">
      <c r="A956" t="s">
        <v>14</v>
      </c>
      <c r="B956" t="s">
        <v>39</v>
      </c>
      <c r="C956" t="s">
        <v>15</v>
      </c>
      <c r="D956" t="s">
        <v>31</v>
      </c>
      <c r="E956" t="s">
        <v>15</v>
      </c>
      <c r="F956" t="s">
        <v>20</v>
      </c>
      <c r="G956" s="1">
        <f>VALUE(2544.1628735261)</f>
        <v>2544.1628735261002</v>
      </c>
      <c r="H956" s="1">
        <f>VALUE(2556.724344555)</f>
        <v>2556.7243445549998</v>
      </c>
      <c r="I956" s="1">
        <f>VALUE(3317)</f>
        <v>3317</v>
      </c>
      <c r="J956" s="1">
        <f>VALUE(3707)</f>
        <v>3707</v>
      </c>
      <c r="K956" s="1">
        <f>VALUE(4417)</f>
        <v>4417</v>
      </c>
      <c r="L956" s="1">
        <f>VALUE(5279)</f>
        <v>5279</v>
      </c>
      <c r="M956" s="1">
        <f>VALUE(6371)</f>
        <v>6371</v>
      </c>
      <c r="N956" t="s">
        <v>16</v>
      </c>
    </row>
    <row r="957" spans="1:14" x14ac:dyDescent="0.25">
      <c r="A957" t="s">
        <v>14</v>
      </c>
      <c r="B957" t="s">
        <v>39</v>
      </c>
      <c r="C957" t="s">
        <v>15</v>
      </c>
      <c r="D957" t="s">
        <v>31</v>
      </c>
      <c r="E957" t="s">
        <v>21</v>
      </c>
      <c r="F957" t="s">
        <v>15</v>
      </c>
      <c r="G957" s="1">
        <f>VALUE(1148.0846556856)</f>
        <v>1148.0846556856</v>
      </c>
      <c r="H957" s="1">
        <f>VALUE(1110.8726418138)</f>
        <v>1110.8726418138001</v>
      </c>
      <c r="I957" s="1">
        <f>VALUE(4792)</f>
        <v>4792</v>
      </c>
      <c r="J957" s="1">
        <f>VALUE(5506)</f>
        <v>5506</v>
      </c>
      <c r="K957" s="6">
        <f>VALUE(7504)</f>
        <v>7504</v>
      </c>
      <c r="L957" s="7">
        <f>VALUE(12092)</f>
        <v>12092</v>
      </c>
      <c r="M957" s="8">
        <f>VALUE(19067)</f>
        <v>19067</v>
      </c>
      <c r="N957" t="s">
        <v>25</v>
      </c>
    </row>
    <row r="958" spans="1:14" x14ac:dyDescent="0.25">
      <c r="A958" t="s">
        <v>14</v>
      </c>
      <c r="B958" t="s">
        <v>39</v>
      </c>
      <c r="C958" t="s">
        <v>15</v>
      </c>
      <c r="D958" t="s">
        <v>31</v>
      </c>
      <c r="E958" t="s">
        <v>21</v>
      </c>
      <c r="F958" t="s">
        <v>17</v>
      </c>
      <c r="G958" s="2">
        <f>VALUE(395.4044105326)</f>
        <v>395.40441053260002</v>
      </c>
      <c r="H958" s="3">
        <f>VALUE(397.7691609447)</f>
        <v>397.76916094469999</v>
      </c>
      <c r="I958" s="4">
        <f>VALUE(5778)</f>
        <v>5778</v>
      </c>
      <c r="J958" s="5">
        <f>VALUE(7569)</f>
        <v>7569</v>
      </c>
      <c r="K958" s="6">
        <f>VALUE(11650)</f>
        <v>11650</v>
      </c>
      <c r="L958" s="7">
        <f>VALUE(17628)</f>
        <v>17628</v>
      </c>
      <c r="M958" s="8">
        <f>VALUE(30152)</f>
        <v>30152</v>
      </c>
      <c r="N958" t="s">
        <v>24</v>
      </c>
    </row>
    <row r="959" spans="1:14" x14ac:dyDescent="0.25">
      <c r="A959" t="s">
        <v>14</v>
      </c>
      <c r="B959" t="s">
        <v>39</v>
      </c>
      <c r="C959" t="s">
        <v>15</v>
      </c>
      <c r="D959" t="s">
        <v>31</v>
      </c>
      <c r="E959" t="s">
        <v>21</v>
      </c>
      <c r="F959" t="s">
        <v>18</v>
      </c>
      <c r="G959" s="2">
        <f>VALUE(222.7255036706)</f>
        <v>222.72550367060001</v>
      </c>
      <c r="H959" s="3">
        <f>VALUE(223.6884699648)</f>
        <v>223.68846996479999</v>
      </c>
      <c r="I959" s="4">
        <f>VALUE(5525)</f>
        <v>5525</v>
      </c>
      <c r="J959" s="5">
        <f>VALUE(6456)</f>
        <v>6456</v>
      </c>
      <c r="K959" s="6">
        <f>VALUE(7853)</f>
        <v>7853</v>
      </c>
      <c r="L959" s="7">
        <f>VALUE(10867)</f>
        <v>10867</v>
      </c>
      <c r="M959" s="8">
        <f>VALUE(14173)</f>
        <v>14173</v>
      </c>
      <c r="N959" t="s">
        <v>24</v>
      </c>
    </row>
    <row r="960" spans="1:14" x14ac:dyDescent="0.25">
      <c r="A960" t="s">
        <v>14</v>
      </c>
      <c r="B960" t="s">
        <v>39</v>
      </c>
      <c r="C960" t="s">
        <v>15</v>
      </c>
      <c r="D960" t="s">
        <v>31</v>
      </c>
      <c r="E960" t="s">
        <v>21</v>
      </c>
      <c r="F960" t="s">
        <v>19</v>
      </c>
      <c r="G960" s="2">
        <f>VALUE(238.1257575489)</f>
        <v>238.1257575489</v>
      </c>
      <c r="H960" s="3">
        <f>VALUE(204.1399620716)</f>
        <v>204.1399620716</v>
      </c>
      <c r="I960" s="1">
        <f>VALUE(4694)</f>
        <v>4694</v>
      </c>
      <c r="J960" s="1">
        <f>VALUE(5034)</f>
        <v>5034</v>
      </c>
      <c r="K960" s="6">
        <f>VALUE(5636)</f>
        <v>5636</v>
      </c>
      <c r="L960" s="7">
        <f>VALUE(7705)</f>
        <v>7705</v>
      </c>
      <c r="M960" s="8">
        <f>VALUE(12698)</f>
        <v>12698</v>
      </c>
      <c r="N960" t="s">
        <v>25</v>
      </c>
    </row>
    <row r="961" spans="1:14" x14ac:dyDescent="0.25">
      <c r="A961" t="s">
        <v>14</v>
      </c>
      <c r="B961" t="s">
        <v>39</v>
      </c>
      <c r="C961" t="s">
        <v>15</v>
      </c>
      <c r="D961" t="s">
        <v>31</v>
      </c>
      <c r="E961" t="s">
        <v>21</v>
      </c>
      <c r="F961" t="s">
        <v>20</v>
      </c>
      <c r="G961" s="2">
        <f>VALUE(291.8289839335)</f>
        <v>291.82898393350001</v>
      </c>
      <c r="H961" s="3">
        <f>VALUE(285.2750488327)</f>
        <v>285.27504883270001</v>
      </c>
      <c r="I961" s="1">
        <f>VALUE(3926)</f>
        <v>3926</v>
      </c>
      <c r="J961" s="1">
        <f>VALUE(4870)</f>
        <v>4870</v>
      </c>
      <c r="K961" s="1">
        <f>VALUE(5694)</f>
        <v>5694</v>
      </c>
      <c r="L961" s="1">
        <f>VALUE(8000)</f>
        <v>8000</v>
      </c>
      <c r="M961" s="8">
        <f>VALUE(9247)</f>
        <v>9247</v>
      </c>
      <c r="N961" t="s">
        <v>25</v>
      </c>
    </row>
    <row r="962" spans="1:14" x14ac:dyDescent="0.25">
      <c r="A962" t="s">
        <v>14</v>
      </c>
      <c r="B962" t="s">
        <v>39</v>
      </c>
      <c r="C962" t="s">
        <v>15</v>
      </c>
      <c r="D962" t="s">
        <v>31</v>
      </c>
      <c r="E962" t="s">
        <v>22</v>
      </c>
      <c r="F962" t="s">
        <v>15</v>
      </c>
      <c r="G962" s="2">
        <f>VALUE(732.0275642363)</f>
        <v>732.02756423630001</v>
      </c>
      <c r="H962" s="3">
        <f>VALUE(731.6941333073)</f>
        <v>731.69413330730004</v>
      </c>
      <c r="I962" s="1">
        <f>VALUE(3659)</f>
        <v>3659</v>
      </c>
      <c r="J962" s="1">
        <f>VALUE(4044)</f>
        <v>4044</v>
      </c>
      <c r="K962" s="1">
        <f>VALUE(4783)</f>
        <v>4783</v>
      </c>
      <c r="L962" s="1">
        <f>VALUE(6262)</f>
        <v>6262</v>
      </c>
      <c r="M962" s="8">
        <f>VALUE(7510)</f>
        <v>7510</v>
      </c>
      <c r="N962" t="s">
        <v>25</v>
      </c>
    </row>
    <row r="963" spans="1:14" x14ac:dyDescent="0.25">
      <c r="A963" t="s">
        <v>14</v>
      </c>
      <c r="B963" t="s">
        <v>39</v>
      </c>
      <c r="C963" t="s">
        <v>15</v>
      </c>
      <c r="D963" t="s">
        <v>31</v>
      </c>
      <c r="E963" t="s">
        <v>22</v>
      </c>
      <c r="F963" t="s">
        <v>17</v>
      </c>
      <c r="G963" s="1" t="str">
        <f t="shared" ref="G963:M965" si="167">"X"</f>
        <v>X</v>
      </c>
      <c r="H963" s="1" t="str">
        <f t="shared" si="167"/>
        <v>X</v>
      </c>
      <c r="I963" s="1" t="str">
        <f t="shared" si="167"/>
        <v>X</v>
      </c>
      <c r="J963" s="1" t="str">
        <f t="shared" si="167"/>
        <v>X</v>
      </c>
      <c r="K963" s="1" t="str">
        <f t="shared" si="167"/>
        <v>X</v>
      </c>
      <c r="L963" s="1" t="str">
        <f t="shared" si="167"/>
        <v>X</v>
      </c>
      <c r="M963" s="1" t="str">
        <f t="shared" si="167"/>
        <v>X</v>
      </c>
      <c r="N963" t="s">
        <v>27</v>
      </c>
    </row>
    <row r="964" spans="1:14" x14ac:dyDescent="0.25">
      <c r="A964" t="s">
        <v>14</v>
      </c>
      <c r="B964" t="s">
        <v>39</v>
      </c>
      <c r="C964" t="s">
        <v>15</v>
      </c>
      <c r="D964" t="s">
        <v>31</v>
      </c>
      <c r="E964" t="s">
        <v>22</v>
      </c>
      <c r="F964" t="s">
        <v>18</v>
      </c>
      <c r="G964" s="1" t="str">
        <f t="shared" si="167"/>
        <v>X</v>
      </c>
      <c r="H964" s="1" t="str">
        <f t="shared" si="167"/>
        <v>X</v>
      </c>
      <c r="I964" s="1" t="str">
        <f t="shared" si="167"/>
        <v>X</v>
      </c>
      <c r="J964" s="1" t="str">
        <f t="shared" si="167"/>
        <v>X</v>
      </c>
      <c r="K964" s="1" t="str">
        <f t="shared" si="167"/>
        <v>X</v>
      </c>
      <c r="L964" s="1" t="str">
        <f t="shared" si="167"/>
        <v>X</v>
      </c>
      <c r="M964" s="1" t="str">
        <f t="shared" si="167"/>
        <v>X</v>
      </c>
      <c r="N964" t="s">
        <v>27</v>
      </c>
    </row>
    <row r="965" spans="1:14" x14ac:dyDescent="0.25">
      <c r="A965" t="s">
        <v>14</v>
      </c>
      <c r="B965" t="s">
        <v>39</v>
      </c>
      <c r="C965" t="s">
        <v>15</v>
      </c>
      <c r="D965" t="s">
        <v>31</v>
      </c>
      <c r="E965" t="s">
        <v>22</v>
      </c>
      <c r="F965" t="s">
        <v>19</v>
      </c>
      <c r="G965" s="1" t="str">
        <f t="shared" si="167"/>
        <v>X</v>
      </c>
      <c r="H965" s="1" t="str">
        <f t="shared" si="167"/>
        <v>X</v>
      </c>
      <c r="I965" s="1" t="str">
        <f t="shared" si="167"/>
        <v>X</v>
      </c>
      <c r="J965" s="1" t="str">
        <f t="shared" si="167"/>
        <v>X</v>
      </c>
      <c r="K965" s="1" t="str">
        <f t="shared" si="167"/>
        <v>X</v>
      </c>
      <c r="L965" s="1" t="str">
        <f t="shared" si="167"/>
        <v>X</v>
      </c>
      <c r="M965" s="1" t="str">
        <f t="shared" si="167"/>
        <v>X</v>
      </c>
      <c r="N965" t="s">
        <v>27</v>
      </c>
    </row>
    <row r="966" spans="1:14" x14ac:dyDescent="0.25">
      <c r="A966" t="s">
        <v>14</v>
      </c>
      <c r="B966" t="s">
        <v>39</v>
      </c>
      <c r="C966" t="s">
        <v>15</v>
      </c>
      <c r="D966" t="s">
        <v>31</v>
      </c>
      <c r="E966" t="s">
        <v>22</v>
      </c>
      <c r="F966" t="s">
        <v>20</v>
      </c>
      <c r="G966" s="2">
        <f>VALUE(424.8624239641)</f>
        <v>424.8624239641</v>
      </c>
      <c r="H966" s="3">
        <f>VALUE(429.1155192474)</f>
        <v>429.11551924740002</v>
      </c>
      <c r="I966" s="1">
        <f>VALUE(3659)</f>
        <v>3659</v>
      </c>
      <c r="J966" s="1">
        <f>VALUE(3945)</f>
        <v>3945</v>
      </c>
      <c r="K966" s="1">
        <f>VALUE(4562)</f>
        <v>4562</v>
      </c>
      <c r="L966" s="1">
        <f>VALUE(5279)</f>
        <v>5279</v>
      </c>
      <c r="M966" s="8">
        <f>VALUE(6651)</f>
        <v>6651</v>
      </c>
      <c r="N966" t="s">
        <v>25</v>
      </c>
    </row>
    <row r="967" spans="1:14" x14ac:dyDescent="0.25">
      <c r="A967" t="s">
        <v>14</v>
      </c>
      <c r="B967" t="s">
        <v>39</v>
      </c>
      <c r="C967" t="s">
        <v>15</v>
      </c>
      <c r="D967" t="s">
        <v>31</v>
      </c>
      <c r="E967" t="s">
        <v>23</v>
      </c>
      <c r="F967" t="s">
        <v>15</v>
      </c>
      <c r="G967" s="2">
        <f>VALUE(2356.2063227143)</f>
        <v>2356.2063227142999</v>
      </c>
      <c r="H967" s="3">
        <f>VALUE(2381.9494946388)</f>
        <v>2381.9494946387999</v>
      </c>
      <c r="I967" s="1">
        <f>VALUE(3276)</f>
        <v>3276</v>
      </c>
      <c r="J967" s="1">
        <f>VALUE(3672)</f>
        <v>3672</v>
      </c>
      <c r="K967" s="1">
        <f>VALUE(4406)</f>
        <v>4406</v>
      </c>
      <c r="L967" s="1">
        <f>VALUE(5254)</f>
        <v>5254</v>
      </c>
      <c r="M967" s="1">
        <f>VALUE(6000)</f>
        <v>6000</v>
      </c>
      <c r="N967" t="s">
        <v>25</v>
      </c>
    </row>
    <row r="968" spans="1:14" x14ac:dyDescent="0.25">
      <c r="A968" t="s">
        <v>14</v>
      </c>
      <c r="B968" t="s">
        <v>39</v>
      </c>
      <c r="C968" t="s">
        <v>15</v>
      </c>
      <c r="D968" t="s">
        <v>31</v>
      </c>
      <c r="E968" t="s">
        <v>23</v>
      </c>
      <c r="F968" t="s">
        <v>17</v>
      </c>
      <c r="G968" s="1" t="str">
        <f t="shared" ref="G968:M969" si="168">"X"</f>
        <v>X</v>
      </c>
      <c r="H968" s="1" t="str">
        <f t="shared" si="168"/>
        <v>X</v>
      </c>
      <c r="I968" s="1" t="str">
        <f t="shared" si="168"/>
        <v>X</v>
      </c>
      <c r="J968" s="1" t="str">
        <f t="shared" si="168"/>
        <v>X</v>
      </c>
      <c r="K968" s="1" t="str">
        <f t="shared" si="168"/>
        <v>X</v>
      </c>
      <c r="L968" s="1" t="str">
        <f t="shared" si="168"/>
        <v>X</v>
      </c>
      <c r="M968" s="1" t="str">
        <f t="shared" si="168"/>
        <v>X</v>
      </c>
      <c r="N968" t="s">
        <v>27</v>
      </c>
    </row>
    <row r="969" spans="1:14" x14ac:dyDescent="0.25">
      <c r="A969" t="s">
        <v>14</v>
      </c>
      <c r="B969" t="s">
        <v>39</v>
      </c>
      <c r="C969" t="s">
        <v>15</v>
      </c>
      <c r="D969" t="s">
        <v>31</v>
      </c>
      <c r="E969" t="s">
        <v>23</v>
      </c>
      <c r="F969" t="s">
        <v>18</v>
      </c>
      <c r="G969" s="1" t="str">
        <f t="shared" si="168"/>
        <v>X</v>
      </c>
      <c r="H969" s="1" t="str">
        <f t="shared" si="168"/>
        <v>X</v>
      </c>
      <c r="I969" s="1" t="str">
        <f t="shared" si="168"/>
        <v>X</v>
      </c>
      <c r="J969" s="1" t="str">
        <f t="shared" si="168"/>
        <v>X</v>
      </c>
      <c r="K969" s="1" t="str">
        <f t="shared" si="168"/>
        <v>X</v>
      </c>
      <c r="L969" s="1" t="str">
        <f t="shared" si="168"/>
        <v>X</v>
      </c>
      <c r="M969" s="1" t="str">
        <f t="shared" si="168"/>
        <v>X</v>
      </c>
      <c r="N969" t="s">
        <v>27</v>
      </c>
    </row>
    <row r="970" spans="1:14" x14ac:dyDescent="0.25">
      <c r="A970" t="s">
        <v>14</v>
      </c>
      <c r="B970" t="s">
        <v>39</v>
      </c>
      <c r="C970" t="s">
        <v>15</v>
      </c>
      <c r="D970" t="s">
        <v>31</v>
      </c>
      <c r="E970" t="s">
        <v>23</v>
      </c>
      <c r="F970" t="s">
        <v>19</v>
      </c>
      <c r="G970" s="2">
        <f>VALUE(221.5404679759)</f>
        <v>221.54046797589999</v>
      </c>
      <c r="H970" s="3">
        <f>VALUE(228.7340094078)</f>
        <v>228.73400940779999</v>
      </c>
      <c r="I970" s="4">
        <f>VALUE(4000)</f>
        <v>4000</v>
      </c>
      <c r="J970" s="5">
        <f>VALUE(4127)</f>
        <v>4127</v>
      </c>
      <c r="K970" s="1">
        <f>VALUE(4974)</f>
        <v>4974</v>
      </c>
      <c r="L970" s="7">
        <f>VALUE(5778)</f>
        <v>5778</v>
      </c>
      <c r="M970" s="1">
        <f>VALUE(8225)</f>
        <v>8225</v>
      </c>
      <c r="N970" t="s">
        <v>25</v>
      </c>
    </row>
    <row r="971" spans="1:14" x14ac:dyDescent="0.25">
      <c r="A971" t="s">
        <v>14</v>
      </c>
      <c r="B971" t="s">
        <v>39</v>
      </c>
      <c r="C971" t="s">
        <v>15</v>
      </c>
      <c r="D971" t="s">
        <v>31</v>
      </c>
      <c r="E971" t="s">
        <v>23</v>
      </c>
      <c r="F971" t="s">
        <v>20</v>
      </c>
      <c r="G971" s="2">
        <f>VALUE(1771.2321539109)</f>
        <v>1771.2321539109</v>
      </c>
      <c r="H971" s="3">
        <f>VALUE(1786.503243142)</f>
        <v>1786.503243142</v>
      </c>
      <c r="I971" s="1">
        <f>VALUE(3200)</f>
        <v>3200</v>
      </c>
      <c r="J971" s="1">
        <f>VALUE(3453)</f>
        <v>3453</v>
      </c>
      <c r="K971" s="1">
        <f>VALUE(4143)</f>
        <v>4143</v>
      </c>
      <c r="L971" s="1">
        <f>VALUE(4901)</f>
        <v>4901</v>
      </c>
      <c r="M971" s="1">
        <f>VALUE(5609)</f>
        <v>5609</v>
      </c>
      <c r="N971" t="s">
        <v>25</v>
      </c>
    </row>
    <row r="972" spans="1:14" x14ac:dyDescent="0.25">
      <c r="A972" t="s">
        <v>14</v>
      </c>
      <c r="B972" t="s">
        <v>39</v>
      </c>
      <c r="C972" t="s">
        <v>15</v>
      </c>
      <c r="D972" t="s">
        <v>31</v>
      </c>
      <c r="E972" t="s">
        <v>26</v>
      </c>
      <c r="F972" t="s">
        <v>15</v>
      </c>
      <c r="G972" s="2">
        <f>VALUE(111.0309311886)</f>
        <v>111.03093118859999</v>
      </c>
      <c r="H972" s="3">
        <f>VALUE(113.2452000119)</f>
        <v>113.2452000119</v>
      </c>
      <c r="I972" s="1">
        <f>VALUE(5200)</f>
        <v>5200</v>
      </c>
      <c r="J972" s="1">
        <f>VALUE(5793)</f>
        <v>5793</v>
      </c>
      <c r="K972" s="1">
        <f>VALUE(9279)</f>
        <v>9279</v>
      </c>
      <c r="L972" s="1">
        <f>VALUE(13809)</f>
        <v>13809</v>
      </c>
      <c r="M972" s="1">
        <f>VALUE(27269)</f>
        <v>27269</v>
      </c>
      <c r="N972" t="s">
        <v>25</v>
      </c>
    </row>
    <row r="973" spans="1:14" x14ac:dyDescent="0.25">
      <c r="A973" t="s">
        <v>14</v>
      </c>
      <c r="B973" t="s">
        <v>39</v>
      </c>
      <c r="C973" t="s">
        <v>15</v>
      </c>
      <c r="D973" t="s">
        <v>31</v>
      </c>
      <c r="E973" t="s">
        <v>26</v>
      </c>
      <c r="F973" t="s">
        <v>17</v>
      </c>
      <c r="G973" s="1" t="str">
        <f t="shared" ref="G973:M976" si="169">"X"</f>
        <v>X</v>
      </c>
      <c r="H973" s="1" t="str">
        <f t="shared" si="169"/>
        <v>X</v>
      </c>
      <c r="I973" s="1" t="str">
        <f t="shared" si="169"/>
        <v>X</v>
      </c>
      <c r="J973" s="1" t="str">
        <f t="shared" si="169"/>
        <v>X</v>
      </c>
      <c r="K973" s="1" t="str">
        <f t="shared" si="169"/>
        <v>X</v>
      </c>
      <c r="L973" s="1" t="str">
        <f t="shared" si="169"/>
        <v>X</v>
      </c>
      <c r="M973" s="1" t="str">
        <f t="shared" si="169"/>
        <v>X</v>
      </c>
      <c r="N973" t="s">
        <v>27</v>
      </c>
    </row>
    <row r="974" spans="1:14" x14ac:dyDescent="0.25">
      <c r="A974" t="s">
        <v>14</v>
      </c>
      <c r="B974" t="s">
        <v>39</v>
      </c>
      <c r="C974" t="s">
        <v>15</v>
      </c>
      <c r="D974" t="s">
        <v>31</v>
      </c>
      <c r="E974" t="s">
        <v>26</v>
      </c>
      <c r="F974" t="s">
        <v>18</v>
      </c>
      <c r="G974" s="1" t="str">
        <f t="shared" si="169"/>
        <v>X</v>
      </c>
      <c r="H974" s="1" t="str">
        <f t="shared" si="169"/>
        <v>X</v>
      </c>
      <c r="I974" s="1" t="str">
        <f t="shared" si="169"/>
        <v>X</v>
      </c>
      <c r="J974" s="1" t="str">
        <f t="shared" si="169"/>
        <v>X</v>
      </c>
      <c r="K974" s="1" t="str">
        <f t="shared" si="169"/>
        <v>X</v>
      </c>
      <c r="L974" s="1" t="str">
        <f t="shared" si="169"/>
        <v>X</v>
      </c>
      <c r="M974" s="1" t="str">
        <f t="shared" si="169"/>
        <v>X</v>
      </c>
      <c r="N974" t="s">
        <v>27</v>
      </c>
    </row>
    <row r="975" spans="1:14" x14ac:dyDescent="0.25">
      <c r="A975" t="s">
        <v>14</v>
      </c>
      <c r="B975" t="s">
        <v>39</v>
      </c>
      <c r="C975" t="s">
        <v>15</v>
      </c>
      <c r="D975" t="s">
        <v>31</v>
      </c>
      <c r="E975" t="s">
        <v>26</v>
      </c>
      <c r="F975" t="s">
        <v>19</v>
      </c>
      <c r="G975" s="1" t="str">
        <f t="shared" si="169"/>
        <v>X</v>
      </c>
      <c r="H975" s="1" t="str">
        <f t="shared" si="169"/>
        <v>X</v>
      </c>
      <c r="I975" s="1" t="str">
        <f t="shared" si="169"/>
        <v>X</v>
      </c>
      <c r="J975" s="1" t="str">
        <f t="shared" si="169"/>
        <v>X</v>
      </c>
      <c r="K975" s="1" t="str">
        <f t="shared" si="169"/>
        <v>X</v>
      </c>
      <c r="L975" s="1" t="str">
        <f t="shared" si="169"/>
        <v>X</v>
      </c>
      <c r="M975" s="1" t="str">
        <f t="shared" si="169"/>
        <v>X</v>
      </c>
      <c r="N975" t="s">
        <v>27</v>
      </c>
    </row>
    <row r="976" spans="1:14" x14ac:dyDescent="0.25">
      <c r="A976" t="s">
        <v>14</v>
      </c>
      <c r="B976" t="s">
        <v>39</v>
      </c>
      <c r="C976" t="s">
        <v>15</v>
      </c>
      <c r="D976" t="s">
        <v>31</v>
      </c>
      <c r="E976" t="s">
        <v>26</v>
      </c>
      <c r="F976" t="s">
        <v>20</v>
      </c>
      <c r="G976" s="1" t="str">
        <f t="shared" si="169"/>
        <v>X</v>
      </c>
      <c r="H976" s="1" t="str">
        <f t="shared" si="169"/>
        <v>X</v>
      </c>
      <c r="I976" s="1" t="str">
        <f t="shared" si="169"/>
        <v>X</v>
      </c>
      <c r="J976" s="1" t="str">
        <f t="shared" si="169"/>
        <v>X</v>
      </c>
      <c r="K976" s="1" t="str">
        <f t="shared" si="169"/>
        <v>X</v>
      </c>
      <c r="L976" s="1" t="str">
        <f t="shared" si="169"/>
        <v>X</v>
      </c>
      <c r="M976" s="1" t="str">
        <f t="shared" si="169"/>
        <v>X</v>
      </c>
      <c r="N976" t="s">
        <v>27</v>
      </c>
    </row>
    <row r="977" spans="1:14" x14ac:dyDescent="0.25">
      <c r="A977" t="s">
        <v>14</v>
      </c>
      <c r="B977" t="s">
        <v>39</v>
      </c>
      <c r="C977" t="s">
        <v>15</v>
      </c>
      <c r="D977" t="s">
        <v>32</v>
      </c>
      <c r="E977" t="s">
        <v>15</v>
      </c>
      <c r="F977" t="s">
        <v>15</v>
      </c>
      <c r="G977" s="1">
        <f>VALUE(23911.9035050831)</f>
        <v>23911.903505083101</v>
      </c>
      <c r="H977" s="1">
        <f>VALUE(24174.7695671116)</f>
        <v>24174.769567111602</v>
      </c>
      <c r="I977" s="1">
        <f>VALUE(3465)</f>
        <v>3465</v>
      </c>
      <c r="J977" s="1">
        <f>VALUE(4066)</f>
        <v>4066</v>
      </c>
      <c r="K977" s="1">
        <f>VALUE(4875)</f>
        <v>4875</v>
      </c>
      <c r="L977" s="1">
        <f>VALUE(5680)</f>
        <v>5680</v>
      </c>
      <c r="M977" s="1">
        <f>VALUE(6931)</f>
        <v>6931</v>
      </c>
      <c r="N977" t="s">
        <v>16</v>
      </c>
    </row>
    <row r="978" spans="1:14" x14ac:dyDescent="0.25">
      <c r="A978" t="s">
        <v>14</v>
      </c>
      <c r="B978" t="s">
        <v>39</v>
      </c>
      <c r="C978" t="s">
        <v>15</v>
      </c>
      <c r="D978" t="s">
        <v>32</v>
      </c>
      <c r="E978" t="s">
        <v>15</v>
      </c>
      <c r="F978" t="s">
        <v>17</v>
      </c>
      <c r="G978" s="1">
        <f>VALUE(2120.283973186)</f>
        <v>2120.2839731859999</v>
      </c>
      <c r="H978" s="1">
        <f>VALUE(2126.4730974066)</f>
        <v>2126.4730974066001</v>
      </c>
      <c r="I978" s="4">
        <f>VALUE(4227)</f>
        <v>4227</v>
      </c>
      <c r="J978" s="1">
        <f>VALUE(5263)</f>
        <v>5263</v>
      </c>
      <c r="K978" s="1">
        <f>VALUE(6769)</f>
        <v>6769</v>
      </c>
      <c r="L978" s="1">
        <f>VALUE(9142)</f>
        <v>9142</v>
      </c>
      <c r="M978" s="8">
        <f>VALUE(13417)</f>
        <v>13417</v>
      </c>
      <c r="N978" t="s">
        <v>25</v>
      </c>
    </row>
    <row r="979" spans="1:14" x14ac:dyDescent="0.25">
      <c r="A979" t="s">
        <v>14</v>
      </c>
      <c r="B979" t="s">
        <v>39</v>
      </c>
      <c r="C979" t="s">
        <v>15</v>
      </c>
      <c r="D979" t="s">
        <v>32</v>
      </c>
      <c r="E979" t="s">
        <v>15</v>
      </c>
      <c r="F979" t="s">
        <v>18</v>
      </c>
      <c r="G979" s="1">
        <f>VALUE(2237.9336209724)</f>
        <v>2237.9336209724001</v>
      </c>
      <c r="H979" s="1">
        <f>VALUE(2252.2266538099)</f>
        <v>2252.2266538099002</v>
      </c>
      <c r="I979" s="1">
        <f>VALUE(3803)</f>
        <v>3803</v>
      </c>
      <c r="J979" s="1">
        <f>VALUE(4490)</f>
        <v>4490</v>
      </c>
      <c r="K979" s="1">
        <f>VALUE(5272)</f>
        <v>5272</v>
      </c>
      <c r="L979" s="1">
        <f>VALUE(6585)</f>
        <v>6585</v>
      </c>
      <c r="M979" s="1">
        <f>VALUE(7825)</f>
        <v>7825</v>
      </c>
      <c r="N979" t="s">
        <v>16</v>
      </c>
    </row>
    <row r="980" spans="1:14" x14ac:dyDescent="0.25">
      <c r="A980" t="s">
        <v>14</v>
      </c>
      <c r="B980" t="s">
        <v>39</v>
      </c>
      <c r="C980" t="s">
        <v>15</v>
      </c>
      <c r="D980" t="s">
        <v>32</v>
      </c>
      <c r="E980" t="s">
        <v>15</v>
      </c>
      <c r="F980" t="s">
        <v>19</v>
      </c>
      <c r="G980" s="1">
        <f>VALUE(3281.3079823293)</f>
        <v>3281.3079823293001</v>
      </c>
      <c r="H980" s="1">
        <f>VALUE(3350.5771236852)</f>
        <v>3350.5771236852001</v>
      </c>
      <c r="I980" s="1">
        <f>VALUE(3792)</f>
        <v>3792</v>
      </c>
      <c r="J980" s="1">
        <f>VALUE(4429)</f>
        <v>4429</v>
      </c>
      <c r="K980" s="1">
        <f>VALUE(5103)</f>
        <v>5103</v>
      </c>
      <c r="L980" s="1">
        <f>VALUE(6077)</f>
        <v>6077</v>
      </c>
      <c r="M980" s="1">
        <f>VALUE(6939)</f>
        <v>6939</v>
      </c>
      <c r="N980" t="s">
        <v>16</v>
      </c>
    </row>
    <row r="981" spans="1:14" x14ac:dyDescent="0.25">
      <c r="A981" t="s">
        <v>14</v>
      </c>
      <c r="B981" t="s">
        <v>39</v>
      </c>
      <c r="C981" t="s">
        <v>15</v>
      </c>
      <c r="D981" t="s">
        <v>32</v>
      </c>
      <c r="E981" t="s">
        <v>15</v>
      </c>
      <c r="F981" t="s">
        <v>20</v>
      </c>
      <c r="G981" s="1">
        <f>VALUE(16264.5126289266)</f>
        <v>16264.512628926601</v>
      </c>
      <c r="H981" s="1">
        <f>VALUE(16438.0024675126)</f>
        <v>16438.002467512601</v>
      </c>
      <c r="I981" s="1">
        <f>VALUE(3350)</f>
        <v>3350</v>
      </c>
      <c r="J981" s="1">
        <f>VALUE(3900)</f>
        <v>3900</v>
      </c>
      <c r="K981" s="1">
        <f>VALUE(4636)</f>
        <v>4636</v>
      </c>
      <c r="L981" s="1">
        <f>VALUE(5336)</f>
        <v>5336</v>
      </c>
      <c r="M981" s="1">
        <f>VALUE(6022)</f>
        <v>6022</v>
      </c>
      <c r="N981" t="s">
        <v>16</v>
      </c>
    </row>
    <row r="982" spans="1:14" x14ac:dyDescent="0.25">
      <c r="A982" t="s">
        <v>14</v>
      </c>
      <c r="B982" t="s">
        <v>39</v>
      </c>
      <c r="C982" t="s">
        <v>15</v>
      </c>
      <c r="D982" t="s">
        <v>32</v>
      </c>
      <c r="E982" t="s">
        <v>21</v>
      </c>
      <c r="F982" t="s">
        <v>15</v>
      </c>
      <c r="G982" s="1">
        <f>VALUE(3093.5649306998)</f>
        <v>3093.5649306997998</v>
      </c>
      <c r="H982" s="1">
        <f>VALUE(3046.5200058847)</f>
        <v>3046.5200058846999</v>
      </c>
      <c r="I982" s="1">
        <f>VALUE(4031)</f>
        <v>4031</v>
      </c>
      <c r="J982" s="1">
        <f>VALUE(5037)</f>
        <v>5037</v>
      </c>
      <c r="K982" s="1">
        <f>VALUE(6183)</f>
        <v>6183</v>
      </c>
      <c r="L982" s="1">
        <f>VALUE(7910)</f>
        <v>7910</v>
      </c>
      <c r="M982" s="8">
        <f>VALUE(11020)</f>
        <v>11020</v>
      </c>
      <c r="N982" t="s">
        <v>25</v>
      </c>
    </row>
    <row r="983" spans="1:14" x14ac:dyDescent="0.25">
      <c r="A983" t="s">
        <v>14</v>
      </c>
      <c r="B983" t="s">
        <v>39</v>
      </c>
      <c r="C983" t="s">
        <v>15</v>
      </c>
      <c r="D983" t="s">
        <v>32</v>
      </c>
      <c r="E983" t="s">
        <v>21</v>
      </c>
      <c r="F983" t="s">
        <v>17</v>
      </c>
      <c r="G983" s="2">
        <f>VALUE(1039.4159390915)</f>
        <v>1039.4159390914999</v>
      </c>
      <c r="H983" s="3">
        <f>VALUE(1019.246143665)</f>
        <v>1019.246143665</v>
      </c>
      <c r="I983" s="1">
        <f>VALUE(4864)</f>
        <v>4864</v>
      </c>
      <c r="J983" s="1">
        <f>VALUE(6063)</f>
        <v>6063</v>
      </c>
      <c r="K983" s="1">
        <f>VALUE(7800)</f>
        <v>7800</v>
      </c>
      <c r="L983" s="1">
        <f>VALUE(10783)</f>
        <v>10783</v>
      </c>
      <c r="M983" s="8">
        <f>VALUE(15785)</f>
        <v>15785</v>
      </c>
      <c r="N983" t="s">
        <v>25</v>
      </c>
    </row>
    <row r="984" spans="1:14" x14ac:dyDescent="0.25">
      <c r="A984" t="s">
        <v>14</v>
      </c>
      <c r="B984" t="s">
        <v>39</v>
      </c>
      <c r="C984" t="s">
        <v>15</v>
      </c>
      <c r="D984" t="s">
        <v>32</v>
      </c>
      <c r="E984" t="s">
        <v>21</v>
      </c>
      <c r="F984" t="s">
        <v>18</v>
      </c>
      <c r="G984" s="2">
        <f>VALUE(569.6478257015)</f>
        <v>569.64782570149998</v>
      </c>
      <c r="H984" s="3">
        <f>VALUE(562.3231148473)</f>
        <v>562.32311484729996</v>
      </c>
      <c r="I984" s="4">
        <f>VALUE(4094)</f>
        <v>4094</v>
      </c>
      <c r="J984" s="1">
        <f>VALUE(5013)</f>
        <v>5013</v>
      </c>
      <c r="K984" s="1">
        <f>VALUE(6108)</f>
        <v>6108</v>
      </c>
      <c r="L984" s="1">
        <f>VALUE(7717)</f>
        <v>7717</v>
      </c>
      <c r="M984" s="1">
        <f>VALUE(9459)</f>
        <v>9459</v>
      </c>
      <c r="N984" t="s">
        <v>25</v>
      </c>
    </row>
    <row r="985" spans="1:14" x14ac:dyDescent="0.25">
      <c r="A985" t="s">
        <v>14</v>
      </c>
      <c r="B985" t="s">
        <v>39</v>
      </c>
      <c r="C985" t="s">
        <v>15</v>
      </c>
      <c r="D985" t="s">
        <v>32</v>
      </c>
      <c r="E985" t="s">
        <v>21</v>
      </c>
      <c r="F985" t="s">
        <v>19</v>
      </c>
      <c r="G985" s="2">
        <f>VALUE(534.0125180205)</f>
        <v>534.01251802050001</v>
      </c>
      <c r="H985" s="3">
        <f>VALUE(525.0071696864)</f>
        <v>525.00716968639995</v>
      </c>
      <c r="I985" s="4">
        <f>VALUE(4040)</f>
        <v>4040</v>
      </c>
      <c r="J985" s="1">
        <f>VALUE(5143)</f>
        <v>5143</v>
      </c>
      <c r="K985" s="1">
        <f>VALUE(5952)</f>
        <v>5952</v>
      </c>
      <c r="L985" s="1">
        <f>VALUE(6915)</f>
        <v>6915</v>
      </c>
      <c r="M985" s="1">
        <f>VALUE(8346)</f>
        <v>8346</v>
      </c>
      <c r="N985" t="s">
        <v>25</v>
      </c>
    </row>
    <row r="986" spans="1:14" x14ac:dyDescent="0.25">
      <c r="A986" t="s">
        <v>14</v>
      </c>
      <c r="B986" t="s">
        <v>39</v>
      </c>
      <c r="C986" t="s">
        <v>15</v>
      </c>
      <c r="D986" t="s">
        <v>32</v>
      </c>
      <c r="E986" t="s">
        <v>21</v>
      </c>
      <c r="F986" t="s">
        <v>20</v>
      </c>
      <c r="G986" s="2">
        <f>VALUE(948.1309806017)</f>
        <v>948.1309806017</v>
      </c>
      <c r="H986" s="3">
        <f>VALUE(937.5859104014)</f>
        <v>937.58591040140004</v>
      </c>
      <c r="I986" s="4">
        <f>VALUE(3593)</f>
        <v>3593</v>
      </c>
      <c r="J986" s="1">
        <f>VALUE(4360)</f>
        <v>4360</v>
      </c>
      <c r="K986" s="1">
        <f>VALUE(5415)</f>
        <v>5415</v>
      </c>
      <c r="L986" s="1">
        <f>VALUE(6293)</f>
        <v>6293</v>
      </c>
      <c r="M986" s="8">
        <f>VALUE(7692)</f>
        <v>7692</v>
      </c>
      <c r="N986" t="s">
        <v>25</v>
      </c>
    </row>
    <row r="987" spans="1:14" x14ac:dyDescent="0.25">
      <c r="A987" t="s">
        <v>14</v>
      </c>
      <c r="B987" t="s">
        <v>39</v>
      </c>
      <c r="C987" t="s">
        <v>15</v>
      </c>
      <c r="D987" t="s">
        <v>32</v>
      </c>
      <c r="E987" t="s">
        <v>22</v>
      </c>
      <c r="F987" t="s">
        <v>15</v>
      </c>
      <c r="G987" s="1">
        <f>VALUE(6409.2390468776)</f>
        <v>6409.2390468776002</v>
      </c>
      <c r="H987" s="1">
        <f>VALUE(6540.7140739187)</f>
        <v>6540.7140739186998</v>
      </c>
      <c r="I987" s="1">
        <f>VALUE(3705)</f>
        <v>3705</v>
      </c>
      <c r="J987" s="1">
        <f>VALUE(4318)</f>
        <v>4318</v>
      </c>
      <c r="K987" s="1">
        <f>VALUE(5093)</f>
        <v>5093</v>
      </c>
      <c r="L987" s="1">
        <f>VALUE(5919)</f>
        <v>5919</v>
      </c>
      <c r="M987" s="1">
        <f>VALUE(6963)</f>
        <v>6963</v>
      </c>
      <c r="N987" t="s">
        <v>16</v>
      </c>
    </row>
    <row r="988" spans="1:14" x14ac:dyDescent="0.25">
      <c r="A988" t="s">
        <v>14</v>
      </c>
      <c r="B988" t="s">
        <v>39</v>
      </c>
      <c r="C988" t="s">
        <v>15</v>
      </c>
      <c r="D988" t="s">
        <v>32</v>
      </c>
      <c r="E988" t="s">
        <v>22</v>
      </c>
      <c r="F988" t="s">
        <v>17</v>
      </c>
      <c r="G988" s="2">
        <f>VALUE(490.1262847523)</f>
        <v>490.12628475230002</v>
      </c>
      <c r="H988" s="3">
        <f>VALUE(506.4773157033)</f>
        <v>506.47731570330001</v>
      </c>
      <c r="I988" s="1">
        <f>VALUE(4376)</f>
        <v>4376</v>
      </c>
      <c r="J988" s="1">
        <f>VALUE(5285)</f>
        <v>5285</v>
      </c>
      <c r="K988" s="1">
        <f>VALUE(6466)</f>
        <v>6466</v>
      </c>
      <c r="L988" s="7">
        <f>VALUE(8296)</f>
        <v>8296</v>
      </c>
      <c r="M988" s="8">
        <f>VALUE(10708)</f>
        <v>10708</v>
      </c>
      <c r="N988" t="s">
        <v>25</v>
      </c>
    </row>
    <row r="989" spans="1:14" x14ac:dyDescent="0.25">
      <c r="A989" t="s">
        <v>14</v>
      </c>
      <c r="B989" t="s">
        <v>39</v>
      </c>
      <c r="C989" t="s">
        <v>15</v>
      </c>
      <c r="D989" t="s">
        <v>32</v>
      </c>
      <c r="E989" t="s">
        <v>22</v>
      </c>
      <c r="F989" t="s">
        <v>18</v>
      </c>
      <c r="G989" s="2">
        <f>VALUE(743.5299153427)</f>
        <v>743.52991534269995</v>
      </c>
      <c r="H989" s="3">
        <f>VALUE(750.1729729037)</f>
        <v>750.17297290370004</v>
      </c>
      <c r="I989" s="1">
        <f>VALUE(4040)</f>
        <v>4040</v>
      </c>
      <c r="J989" s="1">
        <f>VALUE(4660)</f>
        <v>4660</v>
      </c>
      <c r="K989" s="1">
        <f>VALUE(5417)</f>
        <v>5417</v>
      </c>
      <c r="L989" s="1">
        <f>VALUE(6605)</f>
        <v>6605</v>
      </c>
      <c r="M989" s="1">
        <f>VALUE(7586)</f>
        <v>7586</v>
      </c>
      <c r="N989" t="s">
        <v>25</v>
      </c>
    </row>
    <row r="990" spans="1:14" x14ac:dyDescent="0.25">
      <c r="A990" t="s">
        <v>14</v>
      </c>
      <c r="B990" t="s">
        <v>39</v>
      </c>
      <c r="C990" t="s">
        <v>15</v>
      </c>
      <c r="D990" t="s">
        <v>32</v>
      </c>
      <c r="E990" t="s">
        <v>22</v>
      </c>
      <c r="F990" t="s">
        <v>19</v>
      </c>
      <c r="G990" s="2">
        <f>VALUE(1259.6746322125)</f>
        <v>1259.6746322125</v>
      </c>
      <c r="H990" s="3">
        <f>VALUE(1288.0228416389)</f>
        <v>1288.0228416389</v>
      </c>
      <c r="I990" s="1">
        <f>VALUE(3835)</f>
        <v>3835</v>
      </c>
      <c r="J990" s="1">
        <f>VALUE(4342)</f>
        <v>4342</v>
      </c>
      <c r="K990" s="1">
        <f>VALUE(5038)</f>
        <v>5038</v>
      </c>
      <c r="L990" s="1">
        <f>VALUE(5891)</f>
        <v>5891</v>
      </c>
      <c r="M990" s="1">
        <f>VALUE(6721)</f>
        <v>6721</v>
      </c>
      <c r="N990" t="s">
        <v>25</v>
      </c>
    </row>
    <row r="991" spans="1:14" x14ac:dyDescent="0.25">
      <c r="A991" t="s">
        <v>14</v>
      </c>
      <c r="B991" t="s">
        <v>39</v>
      </c>
      <c r="C991" t="s">
        <v>15</v>
      </c>
      <c r="D991" t="s">
        <v>32</v>
      </c>
      <c r="E991" t="s">
        <v>22</v>
      </c>
      <c r="F991" t="s">
        <v>20</v>
      </c>
      <c r="G991" s="1">
        <f>VALUE(3915.9082145701)</f>
        <v>3915.9082145701</v>
      </c>
      <c r="H991" s="1">
        <f>VALUE(3996.0409436728)</f>
        <v>3996.0409436728</v>
      </c>
      <c r="I991" s="1">
        <f>VALUE(3629)</f>
        <v>3629</v>
      </c>
      <c r="J991" s="1">
        <f>VALUE(4187)</f>
        <v>4187</v>
      </c>
      <c r="K991" s="1">
        <f>VALUE(4908)</f>
        <v>4908</v>
      </c>
      <c r="L991" s="1">
        <f>VALUE(5645)</f>
        <v>5645</v>
      </c>
      <c r="M991" s="1">
        <f>VALUE(6505)</f>
        <v>6505</v>
      </c>
      <c r="N991" t="s">
        <v>16</v>
      </c>
    </row>
    <row r="992" spans="1:14" x14ac:dyDescent="0.25">
      <c r="A992" t="s">
        <v>14</v>
      </c>
      <c r="B992" t="s">
        <v>39</v>
      </c>
      <c r="C992" t="s">
        <v>15</v>
      </c>
      <c r="D992" t="s">
        <v>32</v>
      </c>
      <c r="E992" t="s">
        <v>23</v>
      </c>
      <c r="F992" t="s">
        <v>15</v>
      </c>
      <c r="G992" s="1">
        <f>VALUE(14277.3271051127)</f>
        <v>14277.327105112699</v>
      </c>
      <c r="H992" s="1">
        <f>VALUE(14459.9937882602)</f>
        <v>14459.993788260201</v>
      </c>
      <c r="I992" s="1">
        <f>VALUE(3339)</f>
        <v>3339</v>
      </c>
      <c r="J992" s="1">
        <f>VALUE(3878)</f>
        <v>3878</v>
      </c>
      <c r="K992" s="1">
        <f>VALUE(4624)</f>
        <v>4624</v>
      </c>
      <c r="L992" s="1">
        <f>VALUE(5268)</f>
        <v>5268</v>
      </c>
      <c r="M992" s="1">
        <f>VALUE(6003)</f>
        <v>6003</v>
      </c>
      <c r="N992" t="s">
        <v>16</v>
      </c>
    </row>
    <row r="993" spans="1:14" x14ac:dyDescent="0.25">
      <c r="A993" t="s">
        <v>14</v>
      </c>
      <c r="B993" t="s">
        <v>39</v>
      </c>
      <c r="C993" t="s">
        <v>15</v>
      </c>
      <c r="D993" t="s">
        <v>32</v>
      </c>
      <c r="E993" t="s">
        <v>23</v>
      </c>
      <c r="F993" t="s">
        <v>17</v>
      </c>
      <c r="G993" s="2">
        <f>VALUE(564.7534558333)</f>
        <v>564.75345583329999</v>
      </c>
      <c r="H993" s="3">
        <f>VALUE(574.4230099045)</f>
        <v>574.42300990449996</v>
      </c>
      <c r="I993" s="4">
        <f>VALUE(4000)</f>
        <v>4000</v>
      </c>
      <c r="J993" s="5">
        <f>VALUE(4742)</f>
        <v>4742</v>
      </c>
      <c r="K993" s="6">
        <f>VALUE(5429)</f>
        <v>5429</v>
      </c>
      <c r="L993" s="7">
        <f>VALUE(7137)</f>
        <v>7137</v>
      </c>
      <c r="M993" s="8">
        <f>VALUE(9521)</f>
        <v>9521</v>
      </c>
      <c r="N993" t="s">
        <v>24</v>
      </c>
    </row>
    <row r="994" spans="1:14" x14ac:dyDescent="0.25">
      <c r="A994" t="s">
        <v>14</v>
      </c>
      <c r="B994" t="s">
        <v>39</v>
      </c>
      <c r="C994" t="s">
        <v>15</v>
      </c>
      <c r="D994" t="s">
        <v>32</v>
      </c>
      <c r="E994" t="s">
        <v>23</v>
      </c>
      <c r="F994" t="s">
        <v>18</v>
      </c>
      <c r="G994" s="2">
        <f>VALUE(914.3428645274)</f>
        <v>914.34286452740002</v>
      </c>
      <c r="H994" s="3">
        <f>VALUE(928.6852389001)</f>
        <v>928.68523890009999</v>
      </c>
      <c r="I994" s="1">
        <f>VALUE(3628)</f>
        <v>3628</v>
      </c>
      <c r="J994" s="1">
        <f>VALUE(4127)</f>
        <v>4127</v>
      </c>
      <c r="K994" s="1">
        <f>VALUE(4884)</f>
        <v>4884</v>
      </c>
      <c r="L994" s="1">
        <f>VALUE(5667)</f>
        <v>5667</v>
      </c>
      <c r="M994" s="1">
        <f>VALUE(7092)</f>
        <v>7092</v>
      </c>
      <c r="N994" t="s">
        <v>25</v>
      </c>
    </row>
    <row r="995" spans="1:14" x14ac:dyDescent="0.25">
      <c r="A995" t="s">
        <v>14</v>
      </c>
      <c r="B995" t="s">
        <v>39</v>
      </c>
      <c r="C995" t="s">
        <v>15</v>
      </c>
      <c r="D995" t="s">
        <v>32</v>
      </c>
      <c r="E995" t="s">
        <v>23</v>
      </c>
      <c r="F995" t="s">
        <v>19</v>
      </c>
      <c r="G995" s="1">
        <f>VALUE(1485.9197510747)</f>
        <v>1485.9197510746999</v>
      </c>
      <c r="H995" s="1">
        <f>VALUE(1535.7864935025)</f>
        <v>1535.7864935025</v>
      </c>
      <c r="I995" s="1">
        <f>VALUE(3739)</f>
        <v>3739</v>
      </c>
      <c r="J995" s="1">
        <f>VALUE(4333)</f>
        <v>4333</v>
      </c>
      <c r="K995" s="1">
        <f>VALUE(4998)</f>
        <v>4998</v>
      </c>
      <c r="L995" s="1">
        <f>VALUE(5790)</f>
        <v>5790</v>
      </c>
      <c r="M995" s="8">
        <f>VALUE(6608)</f>
        <v>6608</v>
      </c>
      <c r="N995" t="s">
        <v>25</v>
      </c>
    </row>
    <row r="996" spans="1:14" x14ac:dyDescent="0.25">
      <c r="A996" t="s">
        <v>14</v>
      </c>
      <c r="B996" t="s">
        <v>39</v>
      </c>
      <c r="C996" t="s">
        <v>15</v>
      </c>
      <c r="D996" t="s">
        <v>32</v>
      </c>
      <c r="E996" t="s">
        <v>23</v>
      </c>
      <c r="F996" t="s">
        <v>20</v>
      </c>
      <c r="G996" s="1">
        <f>VALUE(11312.3110336773)</f>
        <v>11312.311033677301</v>
      </c>
      <c r="H996" s="1">
        <f>VALUE(11421.0990459531)</f>
        <v>11421.0990459531</v>
      </c>
      <c r="I996" s="1">
        <f>VALUE(3288)</f>
        <v>3288</v>
      </c>
      <c r="J996" s="1">
        <f>VALUE(3789)</f>
        <v>3789</v>
      </c>
      <c r="K996" s="1">
        <f>VALUE(4506)</f>
        <v>4506</v>
      </c>
      <c r="L996" s="1">
        <f>VALUE(5159)</f>
        <v>5159</v>
      </c>
      <c r="M996" s="1">
        <f>VALUE(5741)</f>
        <v>5741</v>
      </c>
      <c r="N996" t="s">
        <v>16</v>
      </c>
    </row>
    <row r="997" spans="1:14" x14ac:dyDescent="0.25">
      <c r="A997" t="s">
        <v>14</v>
      </c>
      <c r="B997" t="s">
        <v>39</v>
      </c>
      <c r="C997" t="s">
        <v>15</v>
      </c>
      <c r="D997" t="s">
        <v>32</v>
      </c>
      <c r="E997" t="s">
        <v>26</v>
      </c>
      <c r="F997" t="s">
        <v>15</v>
      </c>
      <c r="G997" s="1" t="str">
        <f t="shared" ref="G997:M1001" si="170">"X"</f>
        <v>X</v>
      </c>
      <c r="H997" s="1" t="str">
        <f t="shared" si="170"/>
        <v>X</v>
      </c>
      <c r="I997" s="1" t="str">
        <f t="shared" si="170"/>
        <v>X</v>
      </c>
      <c r="J997" s="1" t="str">
        <f t="shared" si="170"/>
        <v>X</v>
      </c>
      <c r="K997" s="1" t="str">
        <f t="shared" si="170"/>
        <v>X</v>
      </c>
      <c r="L997" s="1" t="str">
        <f t="shared" si="170"/>
        <v>X</v>
      </c>
      <c r="M997" s="1" t="str">
        <f t="shared" si="170"/>
        <v>X</v>
      </c>
      <c r="N997" t="s">
        <v>27</v>
      </c>
    </row>
    <row r="998" spans="1:14" x14ac:dyDescent="0.25">
      <c r="A998" t="s">
        <v>14</v>
      </c>
      <c r="B998" t="s">
        <v>39</v>
      </c>
      <c r="C998" t="s">
        <v>15</v>
      </c>
      <c r="D998" t="s">
        <v>32</v>
      </c>
      <c r="E998" t="s">
        <v>26</v>
      </c>
      <c r="F998" t="s">
        <v>17</v>
      </c>
      <c r="G998" s="1" t="str">
        <f t="shared" si="170"/>
        <v>X</v>
      </c>
      <c r="H998" s="1" t="str">
        <f t="shared" si="170"/>
        <v>X</v>
      </c>
      <c r="I998" s="1" t="str">
        <f t="shared" si="170"/>
        <v>X</v>
      </c>
      <c r="J998" s="1" t="str">
        <f t="shared" si="170"/>
        <v>X</v>
      </c>
      <c r="K998" s="1" t="str">
        <f t="shared" si="170"/>
        <v>X</v>
      </c>
      <c r="L998" s="1" t="str">
        <f t="shared" si="170"/>
        <v>X</v>
      </c>
      <c r="M998" s="1" t="str">
        <f t="shared" si="170"/>
        <v>X</v>
      </c>
      <c r="N998" t="s">
        <v>27</v>
      </c>
    </row>
    <row r="999" spans="1:14" x14ac:dyDescent="0.25">
      <c r="A999" t="s">
        <v>14</v>
      </c>
      <c r="B999" t="s">
        <v>39</v>
      </c>
      <c r="C999" t="s">
        <v>15</v>
      </c>
      <c r="D999" t="s">
        <v>32</v>
      </c>
      <c r="E999" t="s">
        <v>26</v>
      </c>
      <c r="F999" t="s">
        <v>18</v>
      </c>
      <c r="G999" s="1" t="str">
        <f t="shared" si="170"/>
        <v>X</v>
      </c>
      <c r="H999" s="1" t="str">
        <f t="shared" si="170"/>
        <v>X</v>
      </c>
      <c r="I999" s="1" t="str">
        <f t="shared" si="170"/>
        <v>X</v>
      </c>
      <c r="J999" s="1" t="str">
        <f t="shared" si="170"/>
        <v>X</v>
      </c>
      <c r="K999" s="1" t="str">
        <f t="shared" si="170"/>
        <v>X</v>
      </c>
      <c r="L999" s="1" t="str">
        <f t="shared" si="170"/>
        <v>X</v>
      </c>
      <c r="M999" s="1" t="str">
        <f t="shared" si="170"/>
        <v>X</v>
      </c>
      <c r="N999" t="s">
        <v>27</v>
      </c>
    </row>
    <row r="1000" spans="1:14" x14ac:dyDescent="0.25">
      <c r="A1000" t="s">
        <v>14</v>
      </c>
      <c r="B1000" t="s">
        <v>39</v>
      </c>
      <c r="C1000" t="s">
        <v>15</v>
      </c>
      <c r="D1000" t="s">
        <v>32</v>
      </c>
      <c r="E1000" t="s">
        <v>26</v>
      </c>
      <c r="F1000" t="s">
        <v>19</v>
      </c>
      <c r="G1000" s="1" t="str">
        <f t="shared" si="170"/>
        <v>X</v>
      </c>
      <c r="H1000" s="1" t="str">
        <f t="shared" si="170"/>
        <v>X</v>
      </c>
      <c r="I1000" s="1" t="str">
        <f t="shared" si="170"/>
        <v>X</v>
      </c>
      <c r="J1000" s="1" t="str">
        <f t="shared" si="170"/>
        <v>X</v>
      </c>
      <c r="K1000" s="1" t="str">
        <f t="shared" si="170"/>
        <v>X</v>
      </c>
      <c r="L1000" s="1" t="str">
        <f t="shared" si="170"/>
        <v>X</v>
      </c>
      <c r="M1000" s="1" t="str">
        <f t="shared" si="170"/>
        <v>X</v>
      </c>
      <c r="N1000" t="s">
        <v>27</v>
      </c>
    </row>
    <row r="1001" spans="1:14" x14ac:dyDescent="0.25">
      <c r="A1001" t="s">
        <v>14</v>
      </c>
      <c r="B1001" t="s">
        <v>39</v>
      </c>
      <c r="C1001" t="s">
        <v>15</v>
      </c>
      <c r="D1001" t="s">
        <v>32</v>
      </c>
      <c r="E1001" t="s">
        <v>26</v>
      </c>
      <c r="F1001" t="s">
        <v>20</v>
      </c>
      <c r="G1001" s="1" t="str">
        <f t="shared" si="170"/>
        <v>X</v>
      </c>
      <c r="H1001" s="1" t="str">
        <f t="shared" si="170"/>
        <v>X</v>
      </c>
      <c r="I1001" s="1" t="str">
        <f t="shared" si="170"/>
        <v>X</v>
      </c>
      <c r="J1001" s="1" t="str">
        <f t="shared" si="170"/>
        <v>X</v>
      </c>
      <c r="K1001" s="1" t="str">
        <f t="shared" si="170"/>
        <v>X</v>
      </c>
      <c r="L1001" s="1" t="str">
        <f t="shared" si="170"/>
        <v>X</v>
      </c>
      <c r="M1001" s="1" t="str">
        <f t="shared" si="170"/>
        <v>X</v>
      </c>
      <c r="N1001" t="s">
        <v>27</v>
      </c>
    </row>
    <row r="1002" spans="1:14" x14ac:dyDescent="0.25">
      <c r="A1002" t="s">
        <v>14</v>
      </c>
      <c r="B1002" t="s">
        <v>39</v>
      </c>
      <c r="C1002" t="s">
        <v>15</v>
      </c>
      <c r="D1002" t="s">
        <v>33</v>
      </c>
      <c r="E1002" t="s">
        <v>15</v>
      </c>
      <c r="F1002" t="s">
        <v>15</v>
      </c>
      <c r="G1002" s="2">
        <f>VALUE(1228.5543506066)</f>
        <v>1228.5543506066001</v>
      </c>
      <c r="H1002" s="3">
        <f>VALUE(1143.9149622483)</f>
        <v>1143.9149622483001</v>
      </c>
      <c r="I1002" s="1">
        <f>VALUE(3122)</f>
        <v>3122</v>
      </c>
      <c r="J1002" s="1">
        <f>VALUE(3707)</f>
        <v>3707</v>
      </c>
      <c r="K1002" s="1">
        <f>VALUE(4850)</f>
        <v>4850</v>
      </c>
      <c r="L1002" s="1">
        <f>VALUE(6393)</f>
        <v>6393</v>
      </c>
      <c r="M1002" s="8">
        <f>VALUE(9125)</f>
        <v>9125</v>
      </c>
      <c r="N1002" t="s">
        <v>25</v>
      </c>
    </row>
    <row r="1003" spans="1:14" x14ac:dyDescent="0.25">
      <c r="A1003" t="s">
        <v>14</v>
      </c>
      <c r="B1003" t="s">
        <v>39</v>
      </c>
      <c r="C1003" t="s">
        <v>15</v>
      </c>
      <c r="D1003" t="s">
        <v>33</v>
      </c>
      <c r="E1003" t="s">
        <v>15</v>
      </c>
      <c r="F1003" t="s">
        <v>17</v>
      </c>
      <c r="G1003" s="2">
        <f>VALUE(172.0228674475)</f>
        <v>172.0228674475</v>
      </c>
      <c r="H1003" s="3">
        <f>VALUE(132.7386173544)</f>
        <v>132.73861735439999</v>
      </c>
      <c r="I1003" s="4">
        <f>VALUE(5079)</f>
        <v>5079</v>
      </c>
      <c r="J1003" s="5">
        <f>VALUE(7042)</f>
        <v>7042</v>
      </c>
      <c r="K1003" s="6">
        <f>VALUE(10000)</f>
        <v>10000</v>
      </c>
      <c r="L1003" s="7">
        <f>VALUE(16067)</f>
        <v>16067</v>
      </c>
      <c r="M1003" s="8">
        <f>VALUE(22485)</f>
        <v>22485</v>
      </c>
      <c r="N1003" t="s">
        <v>24</v>
      </c>
    </row>
    <row r="1004" spans="1:14" x14ac:dyDescent="0.25">
      <c r="A1004" t="s">
        <v>14</v>
      </c>
      <c r="B1004" t="s">
        <v>39</v>
      </c>
      <c r="C1004" t="s">
        <v>15</v>
      </c>
      <c r="D1004" t="s">
        <v>33</v>
      </c>
      <c r="E1004" t="s">
        <v>15</v>
      </c>
      <c r="F1004" t="s">
        <v>18</v>
      </c>
      <c r="G1004" s="1" t="str">
        <f t="shared" ref="G1004:M1005" si="171">"X"</f>
        <v>X</v>
      </c>
      <c r="H1004" s="1" t="str">
        <f t="shared" si="171"/>
        <v>X</v>
      </c>
      <c r="I1004" s="1" t="str">
        <f t="shared" si="171"/>
        <v>X</v>
      </c>
      <c r="J1004" s="1" t="str">
        <f t="shared" si="171"/>
        <v>X</v>
      </c>
      <c r="K1004" s="1" t="str">
        <f t="shared" si="171"/>
        <v>X</v>
      </c>
      <c r="L1004" s="1" t="str">
        <f t="shared" si="171"/>
        <v>X</v>
      </c>
      <c r="M1004" s="1" t="str">
        <f t="shared" si="171"/>
        <v>X</v>
      </c>
      <c r="N1004" t="s">
        <v>27</v>
      </c>
    </row>
    <row r="1005" spans="1:14" x14ac:dyDescent="0.25">
      <c r="A1005" t="s">
        <v>14</v>
      </c>
      <c r="B1005" t="s">
        <v>39</v>
      </c>
      <c r="C1005" t="s">
        <v>15</v>
      </c>
      <c r="D1005" t="s">
        <v>33</v>
      </c>
      <c r="E1005" t="s">
        <v>15</v>
      </c>
      <c r="F1005" t="s">
        <v>19</v>
      </c>
      <c r="G1005" s="1" t="str">
        <f t="shared" si="171"/>
        <v>X</v>
      </c>
      <c r="H1005" s="1" t="str">
        <f t="shared" si="171"/>
        <v>X</v>
      </c>
      <c r="I1005" s="1" t="str">
        <f t="shared" si="171"/>
        <v>X</v>
      </c>
      <c r="J1005" s="1" t="str">
        <f t="shared" si="171"/>
        <v>X</v>
      </c>
      <c r="K1005" s="1" t="str">
        <f t="shared" si="171"/>
        <v>X</v>
      </c>
      <c r="L1005" s="1" t="str">
        <f t="shared" si="171"/>
        <v>X</v>
      </c>
      <c r="M1005" s="1" t="str">
        <f t="shared" si="171"/>
        <v>X</v>
      </c>
      <c r="N1005" t="s">
        <v>27</v>
      </c>
    </row>
    <row r="1006" spans="1:14" x14ac:dyDescent="0.25">
      <c r="A1006" t="s">
        <v>14</v>
      </c>
      <c r="B1006" t="s">
        <v>39</v>
      </c>
      <c r="C1006" t="s">
        <v>15</v>
      </c>
      <c r="D1006" t="s">
        <v>33</v>
      </c>
      <c r="E1006" t="s">
        <v>15</v>
      </c>
      <c r="F1006" t="s">
        <v>20</v>
      </c>
      <c r="G1006" s="2">
        <f>VALUE(682.7635152874)</f>
        <v>682.76351528739997</v>
      </c>
      <c r="H1006" s="3">
        <f>VALUE(704.8454480829)</f>
        <v>704.84544808290002</v>
      </c>
      <c r="I1006" s="1">
        <f>VALUE(3010)</f>
        <v>3010</v>
      </c>
      <c r="J1006" s="1">
        <f>VALUE(3441)</f>
        <v>3441</v>
      </c>
      <c r="K1006" s="1">
        <f>VALUE(4229)</f>
        <v>4229</v>
      </c>
      <c r="L1006" s="7">
        <f>VALUE(5475)</f>
        <v>5475</v>
      </c>
      <c r="M1006" s="1">
        <f>VALUE(6412)</f>
        <v>6412</v>
      </c>
      <c r="N1006" t="s">
        <v>25</v>
      </c>
    </row>
    <row r="1007" spans="1:14" x14ac:dyDescent="0.25">
      <c r="A1007" t="s">
        <v>14</v>
      </c>
      <c r="B1007" t="s">
        <v>39</v>
      </c>
      <c r="C1007" t="s">
        <v>15</v>
      </c>
      <c r="D1007" t="s">
        <v>33</v>
      </c>
      <c r="E1007" t="s">
        <v>21</v>
      </c>
      <c r="F1007" t="s">
        <v>15</v>
      </c>
      <c r="G1007" s="2">
        <f>VALUE(380.264940031)</f>
        <v>380.26494003099998</v>
      </c>
      <c r="H1007" s="3">
        <f>VALUE(286.3084197792)</f>
        <v>286.30841977919999</v>
      </c>
      <c r="I1007" s="4">
        <f>VALUE(4034)</f>
        <v>4034</v>
      </c>
      <c r="J1007" s="5">
        <f>VALUE(5417)</f>
        <v>5417</v>
      </c>
      <c r="K1007" s="6">
        <f>VALUE(7013)</f>
        <v>7013</v>
      </c>
      <c r="L1007" s="7">
        <f>VALUE(9259)</f>
        <v>9259</v>
      </c>
      <c r="M1007" s="8">
        <f>VALUE(14784)</f>
        <v>14784</v>
      </c>
      <c r="N1007" t="s">
        <v>24</v>
      </c>
    </row>
    <row r="1008" spans="1:14" x14ac:dyDescent="0.25">
      <c r="A1008" t="s">
        <v>14</v>
      </c>
      <c r="B1008" t="s">
        <v>39</v>
      </c>
      <c r="C1008" t="s">
        <v>15</v>
      </c>
      <c r="D1008" t="s">
        <v>33</v>
      </c>
      <c r="E1008" t="s">
        <v>21</v>
      </c>
      <c r="F1008" t="s">
        <v>17</v>
      </c>
      <c r="G1008" s="1" t="str">
        <f t="shared" ref="G1008:M1011" si="172">"X"</f>
        <v>X</v>
      </c>
      <c r="H1008" s="1" t="str">
        <f t="shared" si="172"/>
        <v>X</v>
      </c>
      <c r="I1008" s="1" t="str">
        <f t="shared" si="172"/>
        <v>X</v>
      </c>
      <c r="J1008" s="1" t="str">
        <f t="shared" si="172"/>
        <v>X</v>
      </c>
      <c r="K1008" s="1" t="str">
        <f t="shared" si="172"/>
        <v>X</v>
      </c>
      <c r="L1008" s="1" t="str">
        <f t="shared" si="172"/>
        <v>X</v>
      </c>
      <c r="M1008" s="1" t="str">
        <f t="shared" si="172"/>
        <v>X</v>
      </c>
      <c r="N1008" t="s">
        <v>27</v>
      </c>
    </row>
    <row r="1009" spans="1:14" x14ac:dyDescent="0.25">
      <c r="A1009" t="s">
        <v>14</v>
      </c>
      <c r="B1009" t="s">
        <v>39</v>
      </c>
      <c r="C1009" t="s">
        <v>15</v>
      </c>
      <c r="D1009" t="s">
        <v>33</v>
      </c>
      <c r="E1009" t="s">
        <v>21</v>
      </c>
      <c r="F1009" t="s">
        <v>18</v>
      </c>
      <c r="G1009" s="1" t="str">
        <f t="shared" si="172"/>
        <v>X</v>
      </c>
      <c r="H1009" s="1" t="str">
        <f t="shared" si="172"/>
        <v>X</v>
      </c>
      <c r="I1009" s="1" t="str">
        <f t="shared" si="172"/>
        <v>X</v>
      </c>
      <c r="J1009" s="1" t="str">
        <f t="shared" si="172"/>
        <v>X</v>
      </c>
      <c r="K1009" s="1" t="str">
        <f t="shared" si="172"/>
        <v>X</v>
      </c>
      <c r="L1009" s="1" t="str">
        <f t="shared" si="172"/>
        <v>X</v>
      </c>
      <c r="M1009" s="1" t="str">
        <f t="shared" si="172"/>
        <v>X</v>
      </c>
      <c r="N1009" t="s">
        <v>27</v>
      </c>
    </row>
    <row r="1010" spans="1:14" x14ac:dyDescent="0.25">
      <c r="A1010" t="s">
        <v>14</v>
      </c>
      <c r="B1010" t="s">
        <v>39</v>
      </c>
      <c r="C1010" t="s">
        <v>15</v>
      </c>
      <c r="D1010" t="s">
        <v>33</v>
      </c>
      <c r="E1010" t="s">
        <v>21</v>
      </c>
      <c r="F1010" t="s">
        <v>19</v>
      </c>
      <c r="G1010" s="1" t="str">
        <f t="shared" si="172"/>
        <v>X</v>
      </c>
      <c r="H1010" s="1" t="str">
        <f t="shared" si="172"/>
        <v>X</v>
      </c>
      <c r="I1010" s="1" t="str">
        <f t="shared" si="172"/>
        <v>X</v>
      </c>
      <c r="J1010" s="1" t="str">
        <f t="shared" si="172"/>
        <v>X</v>
      </c>
      <c r="K1010" s="1" t="str">
        <f t="shared" si="172"/>
        <v>X</v>
      </c>
      <c r="L1010" s="1" t="str">
        <f t="shared" si="172"/>
        <v>X</v>
      </c>
      <c r="M1010" s="1" t="str">
        <f t="shared" si="172"/>
        <v>X</v>
      </c>
      <c r="N1010" t="s">
        <v>27</v>
      </c>
    </row>
    <row r="1011" spans="1:14" x14ac:dyDescent="0.25">
      <c r="A1011" t="s">
        <v>14</v>
      </c>
      <c r="B1011" t="s">
        <v>39</v>
      </c>
      <c r="C1011" t="s">
        <v>15</v>
      </c>
      <c r="D1011" t="s">
        <v>33</v>
      </c>
      <c r="E1011" t="s">
        <v>21</v>
      </c>
      <c r="F1011" t="s">
        <v>20</v>
      </c>
      <c r="G1011" s="1" t="str">
        <f t="shared" si="172"/>
        <v>X</v>
      </c>
      <c r="H1011" s="1" t="str">
        <f t="shared" si="172"/>
        <v>X</v>
      </c>
      <c r="I1011" s="1" t="str">
        <f t="shared" si="172"/>
        <v>X</v>
      </c>
      <c r="J1011" s="1" t="str">
        <f t="shared" si="172"/>
        <v>X</v>
      </c>
      <c r="K1011" s="1" t="str">
        <f t="shared" si="172"/>
        <v>X</v>
      </c>
      <c r="L1011" s="1" t="str">
        <f t="shared" si="172"/>
        <v>X</v>
      </c>
      <c r="M1011" s="1" t="str">
        <f t="shared" si="172"/>
        <v>X</v>
      </c>
      <c r="N1011" t="s">
        <v>27</v>
      </c>
    </row>
    <row r="1012" spans="1:14" x14ac:dyDescent="0.25">
      <c r="A1012" t="s">
        <v>14</v>
      </c>
      <c r="B1012" t="s">
        <v>39</v>
      </c>
      <c r="C1012" t="s">
        <v>15</v>
      </c>
      <c r="D1012" t="s">
        <v>33</v>
      </c>
      <c r="E1012" t="s">
        <v>22</v>
      </c>
      <c r="F1012" t="s">
        <v>15</v>
      </c>
      <c r="G1012" s="2">
        <f>VALUE(283.0205904168)</f>
        <v>283.02059041680002</v>
      </c>
      <c r="H1012" s="3">
        <f>VALUE(281.0876496045)</f>
        <v>281.08764960449997</v>
      </c>
      <c r="I1012" s="1">
        <f>VALUE(3552)</f>
        <v>3552</v>
      </c>
      <c r="J1012" s="1">
        <f>VALUE(3752)</f>
        <v>3752</v>
      </c>
      <c r="K1012" s="1">
        <f>VALUE(4519)</f>
        <v>4519</v>
      </c>
      <c r="L1012" s="7">
        <f>VALUE(6016)</f>
        <v>6016</v>
      </c>
      <c r="M1012" s="8">
        <f>VALUE(6979)</f>
        <v>6979</v>
      </c>
      <c r="N1012" t="s">
        <v>25</v>
      </c>
    </row>
    <row r="1013" spans="1:14" x14ac:dyDescent="0.25">
      <c r="A1013" t="s">
        <v>14</v>
      </c>
      <c r="B1013" t="s">
        <v>39</v>
      </c>
      <c r="C1013" t="s">
        <v>15</v>
      </c>
      <c r="D1013" t="s">
        <v>33</v>
      </c>
      <c r="E1013" t="s">
        <v>22</v>
      </c>
      <c r="F1013" t="s">
        <v>17</v>
      </c>
      <c r="G1013" s="1" t="str">
        <f t="shared" ref="G1013:M1015" si="173">"X"</f>
        <v>X</v>
      </c>
      <c r="H1013" s="1" t="str">
        <f t="shared" si="173"/>
        <v>X</v>
      </c>
      <c r="I1013" s="1" t="str">
        <f t="shared" si="173"/>
        <v>X</v>
      </c>
      <c r="J1013" s="1" t="str">
        <f t="shared" si="173"/>
        <v>X</v>
      </c>
      <c r="K1013" s="1" t="str">
        <f t="shared" si="173"/>
        <v>X</v>
      </c>
      <c r="L1013" s="1" t="str">
        <f t="shared" si="173"/>
        <v>X</v>
      </c>
      <c r="M1013" s="1" t="str">
        <f t="shared" si="173"/>
        <v>X</v>
      </c>
      <c r="N1013" t="s">
        <v>27</v>
      </c>
    </row>
    <row r="1014" spans="1:14" x14ac:dyDescent="0.25">
      <c r="A1014" t="s">
        <v>14</v>
      </c>
      <c r="B1014" t="s">
        <v>39</v>
      </c>
      <c r="C1014" t="s">
        <v>15</v>
      </c>
      <c r="D1014" t="s">
        <v>33</v>
      </c>
      <c r="E1014" t="s">
        <v>22</v>
      </c>
      <c r="F1014" t="s">
        <v>18</v>
      </c>
      <c r="G1014" s="1" t="str">
        <f t="shared" si="173"/>
        <v>X</v>
      </c>
      <c r="H1014" s="1" t="str">
        <f t="shared" si="173"/>
        <v>X</v>
      </c>
      <c r="I1014" s="1" t="str">
        <f t="shared" si="173"/>
        <v>X</v>
      </c>
      <c r="J1014" s="1" t="str">
        <f t="shared" si="173"/>
        <v>X</v>
      </c>
      <c r="K1014" s="1" t="str">
        <f t="shared" si="173"/>
        <v>X</v>
      </c>
      <c r="L1014" s="1" t="str">
        <f t="shared" si="173"/>
        <v>X</v>
      </c>
      <c r="M1014" s="1" t="str">
        <f t="shared" si="173"/>
        <v>X</v>
      </c>
      <c r="N1014" t="s">
        <v>27</v>
      </c>
    </row>
    <row r="1015" spans="1:14" x14ac:dyDescent="0.25">
      <c r="A1015" t="s">
        <v>14</v>
      </c>
      <c r="B1015" t="s">
        <v>39</v>
      </c>
      <c r="C1015" t="s">
        <v>15</v>
      </c>
      <c r="D1015" t="s">
        <v>33</v>
      </c>
      <c r="E1015" t="s">
        <v>22</v>
      </c>
      <c r="F1015" t="s">
        <v>19</v>
      </c>
      <c r="G1015" s="1" t="str">
        <f t="shared" si="173"/>
        <v>X</v>
      </c>
      <c r="H1015" s="1" t="str">
        <f t="shared" si="173"/>
        <v>X</v>
      </c>
      <c r="I1015" s="1" t="str">
        <f t="shared" si="173"/>
        <v>X</v>
      </c>
      <c r="J1015" s="1" t="str">
        <f t="shared" si="173"/>
        <v>X</v>
      </c>
      <c r="K1015" s="1" t="str">
        <f t="shared" si="173"/>
        <v>X</v>
      </c>
      <c r="L1015" s="1" t="str">
        <f t="shared" si="173"/>
        <v>X</v>
      </c>
      <c r="M1015" s="1" t="str">
        <f t="shared" si="173"/>
        <v>X</v>
      </c>
      <c r="N1015" t="s">
        <v>27</v>
      </c>
    </row>
    <row r="1016" spans="1:14" x14ac:dyDescent="0.25">
      <c r="A1016" t="s">
        <v>14</v>
      </c>
      <c r="B1016" t="s">
        <v>39</v>
      </c>
      <c r="C1016" t="s">
        <v>15</v>
      </c>
      <c r="D1016" t="s">
        <v>33</v>
      </c>
      <c r="E1016" t="s">
        <v>22</v>
      </c>
      <c r="F1016" t="s">
        <v>20</v>
      </c>
      <c r="G1016" s="2">
        <f>VALUE(158.7368765219)</f>
        <v>158.7368765219</v>
      </c>
      <c r="H1016" s="3">
        <f>VALUE(162.7671568884)</f>
        <v>162.7671568884</v>
      </c>
      <c r="I1016" s="1">
        <f>VALUE(3364)</f>
        <v>3364</v>
      </c>
      <c r="J1016" s="1">
        <f>VALUE(3714)</f>
        <v>3714</v>
      </c>
      <c r="K1016" s="6">
        <f>VALUE(4553)</f>
        <v>4553</v>
      </c>
      <c r="L1016" s="7">
        <f>VALUE(5578)</f>
        <v>5578</v>
      </c>
      <c r="M1016" s="8">
        <f>VALUE(6751)</f>
        <v>6751</v>
      </c>
      <c r="N1016" t="s">
        <v>25</v>
      </c>
    </row>
    <row r="1017" spans="1:14" x14ac:dyDescent="0.25">
      <c r="A1017" t="s">
        <v>14</v>
      </c>
      <c r="B1017" t="s">
        <v>39</v>
      </c>
      <c r="C1017" t="s">
        <v>15</v>
      </c>
      <c r="D1017" t="s">
        <v>33</v>
      </c>
      <c r="E1017" t="s">
        <v>23</v>
      </c>
      <c r="F1017" t="s">
        <v>15</v>
      </c>
      <c r="G1017" s="2">
        <f>VALUE(563.7355666967)</f>
        <v>563.73556669669995</v>
      </c>
      <c r="H1017" s="3">
        <f>VALUE(574.9856394025)</f>
        <v>574.98563940250006</v>
      </c>
      <c r="I1017" s="1">
        <f>VALUE(2986)</f>
        <v>2986</v>
      </c>
      <c r="J1017" s="1">
        <f>VALUE(3362)</f>
        <v>3362</v>
      </c>
      <c r="K1017" s="6">
        <f>VALUE(4225)</f>
        <v>4225</v>
      </c>
      <c r="L1017" s="1">
        <f>VALUE(5595)</f>
        <v>5595</v>
      </c>
      <c r="M1017" s="1">
        <f>VALUE(6412)</f>
        <v>6412</v>
      </c>
      <c r="N1017" t="s">
        <v>25</v>
      </c>
    </row>
    <row r="1018" spans="1:14" x14ac:dyDescent="0.25">
      <c r="A1018" t="s">
        <v>14</v>
      </c>
      <c r="B1018" t="s">
        <v>39</v>
      </c>
      <c r="C1018" t="s">
        <v>15</v>
      </c>
      <c r="D1018" t="s">
        <v>33</v>
      </c>
      <c r="E1018" t="s">
        <v>23</v>
      </c>
      <c r="F1018" t="s">
        <v>17</v>
      </c>
      <c r="G1018" s="1" t="str">
        <f t="shared" ref="G1018:M1020" si="174">"X"</f>
        <v>X</v>
      </c>
      <c r="H1018" s="1" t="str">
        <f t="shared" si="174"/>
        <v>X</v>
      </c>
      <c r="I1018" s="1" t="str">
        <f t="shared" si="174"/>
        <v>X</v>
      </c>
      <c r="J1018" s="1" t="str">
        <f t="shared" si="174"/>
        <v>X</v>
      </c>
      <c r="K1018" s="1" t="str">
        <f t="shared" si="174"/>
        <v>X</v>
      </c>
      <c r="L1018" s="1" t="str">
        <f t="shared" si="174"/>
        <v>X</v>
      </c>
      <c r="M1018" s="1" t="str">
        <f t="shared" si="174"/>
        <v>X</v>
      </c>
      <c r="N1018" t="s">
        <v>27</v>
      </c>
    </row>
    <row r="1019" spans="1:14" x14ac:dyDescent="0.25">
      <c r="A1019" t="s">
        <v>14</v>
      </c>
      <c r="B1019" t="s">
        <v>39</v>
      </c>
      <c r="C1019" t="s">
        <v>15</v>
      </c>
      <c r="D1019" t="s">
        <v>33</v>
      </c>
      <c r="E1019" t="s">
        <v>23</v>
      </c>
      <c r="F1019" t="s">
        <v>18</v>
      </c>
      <c r="G1019" s="1" t="str">
        <f t="shared" si="174"/>
        <v>X</v>
      </c>
      <c r="H1019" s="1" t="str">
        <f t="shared" si="174"/>
        <v>X</v>
      </c>
      <c r="I1019" s="1" t="str">
        <f t="shared" si="174"/>
        <v>X</v>
      </c>
      <c r="J1019" s="1" t="str">
        <f t="shared" si="174"/>
        <v>X</v>
      </c>
      <c r="K1019" s="1" t="str">
        <f t="shared" si="174"/>
        <v>X</v>
      </c>
      <c r="L1019" s="1" t="str">
        <f t="shared" si="174"/>
        <v>X</v>
      </c>
      <c r="M1019" s="1" t="str">
        <f t="shared" si="174"/>
        <v>X</v>
      </c>
      <c r="N1019" t="s">
        <v>27</v>
      </c>
    </row>
    <row r="1020" spans="1:14" x14ac:dyDescent="0.25">
      <c r="A1020" t="s">
        <v>14</v>
      </c>
      <c r="B1020" t="s">
        <v>39</v>
      </c>
      <c r="C1020" t="s">
        <v>15</v>
      </c>
      <c r="D1020" t="s">
        <v>33</v>
      </c>
      <c r="E1020" t="s">
        <v>23</v>
      </c>
      <c r="F1020" t="s">
        <v>19</v>
      </c>
      <c r="G1020" s="1" t="str">
        <f t="shared" si="174"/>
        <v>X</v>
      </c>
      <c r="H1020" s="1" t="str">
        <f t="shared" si="174"/>
        <v>X</v>
      </c>
      <c r="I1020" s="1" t="str">
        <f t="shared" si="174"/>
        <v>X</v>
      </c>
      <c r="J1020" s="1" t="str">
        <f t="shared" si="174"/>
        <v>X</v>
      </c>
      <c r="K1020" s="1" t="str">
        <f t="shared" si="174"/>
        <v>X</v>
      </c>
      <c r="L1020" s="1" t="str">
        <f t="shared" si="174"/>
        <v>X</v>
      </c>
      <c r="M1020" s="1" t="str">
        <f t="shared" si="174"/>
        <v>X</v>
      </c>
      <c r="N1020" t="s">
        <v>27</v>
      </c>
    </row>
    <row r="1021" spans="1:14" x14ac:dyDescent="0.25">
      <c r="A1021" t="s">
        <v>14</v>
      </c>
      <c r="B1021" t="s">
        <v>39</v>
      </c>
      <c r="C1021" t="s">
        <v>15</v>
      </c>
      <c r="D1021" t="s">
        <v>33</v>
      </c>
      <c r="E1021" t="s">
        <v>23</v>
      </c>
      <c r="F1021" t="s">
        <v>20</v>
      </c>
      <c r="G1021" s="2">
        <f>VALUE(499.7231918367)</f>
        <v>499.72319183669998</v>
      </c>
      <c r="H1021" s="3">
        <f>VALUE(517.5338949886)</f>
        <v>517.53389498859997</v>
      </c>
      <c r="I1021" s="1">
        <f>VALUE(2972)</f>
        <v>2972</v>
      </c>
      <c r="J1021" s="1">
        <f>VALUE(3319)</f>
        <v>3319</v>
      </c>
      <c r="K1021" s="6">
        <f>VALUE(4019)</f>
        <v>4019</v>
      </c>
      <c r="L1021" s="7">
        <f>VALUE(5313)</f>
        <v>5313</v>
      </c>
      <c r="M1021" s="1">
        <f>VALUE(6286)</f>
        <v>6286</v>
      </c>
      <c r="N1021" t="s">
        <v>25</v>
      </c>
    </row>
    <row r="1022" spans="1:14" x14ac:dyDescent="0.25">
      <c r="A1022" t="s">
        <v>14</v>
      </c>
      <c r="B1022" t="s">
        <v>39</v>
      </c>
      <c r="C1022" t="s">
        <v>15</v>
      </c>
      <c r="D1022" t="s">
        <v>33</v>
      </c>
      <c r="E1022" t="s">
        <v>26</v>
      </c>
      <c r="F1022" t="s">
        <v>15</v>
      </c>
      <c r="G1022" s="1" t="str">
        <f t="shared" ref="G1022:M1022" si="175">"X"</f>
        <v>X</v>
      </c>
      <c r="H1022" s="1" t="str">
        <f t="shared" si="175"/>
        <v>X</v>
      </c>
      <c r="I1022" s="1" t="str">
        <f t="shared" si="175"/>
        <v>X</v>
      </c>
      <c r="J1022" s="1" t="str">
        <f t="shared" si="175"/>
        <v>X</v>
      </c>
      <c r="K1022" s="1" t="str">
        <f t="shared" si="175"/>
        <v>X</v>
      </c>
      <c r="L1022" s="1" t="str">
        <f t="shared" si="175"/>
        <v>X</v>
      </c>
      <c r="M1022" s="1" t="str">
        <f t="shared" si="175"/>
        <v>X</v>
      </c>
      <c r="N1022" t="s">
        <v>27</v>
      </c>
    </row>
    <row r="1023" spans="1:14" x14ac:dyDescent="0.25">
      <c r="A1023" t="s">
        <v>14</v>
      </c>
      <c r="B1023" t="s">
        <v>39</v>
      </c>
      <c r="C1023" t="s">
        <v>15</v>
      </c>
      <c r="D1023" t="s">
        <v>33</v>
      </c>
      <c r="E1023" t="s">
        <v>26</v>
      </c>
      <c r="F1023" t="s">
        <v>17</v>
      </c>
      <c r="G1023" s="1" t="str">
        <f t="shared" ref="G1023:M1025" si="176">"..."</f>
        <v>...</v>
      </c>
      <c r="H1023" s="1" t="str">
        <f t="shared" si="176"/>
        <v>...</v>
      </c>
      <c r="I1023" s="1" t="str">
        <f t="shared" si="176"/>
        <v>...</v>
      </c>
      <c r="J1023" s="1" t="str">
        <f t="shared" si="176"/>
        <v>...</v>
      </c>
      <c r="K1023" s="1" t="str">
        <f t="shared" si="176"/>
        <v>...</v>
      </c>
      <c r="L1023" s="1" t="str">
        <f t="shared" si="176"/>
        <v>...</v>
      </c>
      <c r="M1023" s="1" t="str">
        <f t="shared" si="176"/>
        <v>...</v>
      </c>
      <c r="N1023" t="s">
        <v>30</v>
      </c>
    </row>
    <row r="1024" spans="1:14" x14ac:dyDescent="0.25">
      <c r="A1024" t="s">
        <v>14</v>
      </c>
      <c r="B1024" t="s">
        <v>39</v>
      </c>
      <c r="C1024" t="s">
        <v>15</v>
      </c>
      <c r="D1024" t="s">
        <v>33</v>
      </c>
      <c r="E1024" t="s">
        <v>26</v>
      </c>
      <c r="F1024" t="s">
        <v>18</v>
      </c>
      <c r="G1024" s="1" t="str">
        <f t="shared" si="176"/>
        <v>...</v>
      </c>
      <c r="H1024" s="1" t="str">
        <f t="shared" si="176"/>
        <v>...</v>
      </c>
      <c r="I1024" s="1" t="str">
        <f t="shared" si="176"/>
        <v>...</v>
      </c>
      <c r="J1024" s="1" t="str">
        <f t="shared" si="176"/>
        <v>...</v>
      </c>
      <c r="K1024" s="1" t="str">
        <f t="shared" si="176"/>
        <v>...</v>
      </c>
      <c r="L1024" s="1" t="str">
        <f t="shared" si="176"/>
        <v>...</v>
      </c>
      <c r="M1024" s="1" t="str">
        <f t="shared" si="176"/>
        <v>...</v>
      </c>
      <c r="N1024" t="s">
        <v>30</v>
      </c>
    </row>
    <row r="1025" spans="1:14" x14ac:dyDescent="0.25">
      <c r="A1025" t="s">
        <v>14</v>
      </c>
      <c r="B1025" t="s">
        <v>39</v>
      </c>
      <c r="C1025" t="s">
        <v>15</v>
      </c>
      <c r="D1025" t="s">
        <v>33</v>
      </c>
      <c r="E1025" t="s">
        <v>26</v>
      </c>
      <c r="F1025" t="s">
        <v>19</v>
      </c>
      <c r="G1025" s="1" t="str">
        <f t="shared" si="176"/>
        <v>...</v>
      </c>
      <c r="H1025" s="1" t="str">
        <f t="shared" si="176"/>
        <v>...</v>
      </c>
      <c r="I1025" s="1" t="str">
        <f t="shared" si="176"/>
        <v>...</v>
      </c>
      <c r="J1025" s="1" t="str">
        <f t="shared" si="176"/>
        <v>...</v>
      </c>
      <c r="K1025" s="1" t="str">
        <f t="shared" si="176"/>
        <v>...</v>
      </c>
      <c r="L1025" s="1" t="str">
        <f t="shared" si="176"/>
        <v>...</v>
      </c>
      <c r="M1025" s="1" t="str">
        <f t="shared" si="176"/>
        <v>...</v>
      </c>
      <c r="N1025" t="s">
        <v>30</v>
      </c>
    </row>
    <row r="1026" spans="1:14" x14ac:dyDescent="0.25">
      <c r="A1026" t="s">
        <v>14</v>
      </c>
      <c r="B1026" t="s">
        <v>39</v>
      </c>
      <c r="C1026" t="s">
        <v>15</v>
      </c>
      <c r="D1026" t="s">
        <v>33</v>
      </c>
      <c r="E1026" t="s">
        <v>26</v>
      </c>
      <c r="F1026" t="s">
        <v>20</v>
      </c>
      <c r="G1026" s="1" t="str">
        <f t="shared" ref="G1026:M1026" si="177">"X"</f>
        <v>X</v>
      </c>
      <c r="H1026" s="1" t="str">
        <f t="shared" si="177"/>
        <v>X</v>
      </c>
      <c r="I1026" s="1" t="str">
        <f t="shared" si="177"/>
        <v>X</v>
      </c>
      <c r="J1026" s="1" t="str">
        <f t="shared" si="177"/>
        <v>X</v>
      </c>
      <c r="K1026" s="1" t="str">
        <f t="shared" si="177"/>
        <v>X</v>
      </c>
      <c r="L1026" s="1" t="str">
        <f t="shared" si="177"/>
        <v>X</v>
      </c>
      <c r="M1026" s="1" t="str">
        <f t="shared" si="177"/>
        <v>X</v>
      </c>
      <c r="N1026" t="s">
        <v>27</v>
      </c>
    </row>
    <row r="1027" spans="1:14" x14ac:dyDescent="0.25">
      <c r="A1027" t="s">
        <v>14</v>
      </c>
      <c r="B1027" t="s">
        <v>39</v>
      </c>
      <c r="C1027" t="s">
        <v>15</v>
      </c>
      <c r="D1027" t="s">
        <v>34</v>
      </c>
      <c r="E1027" t="s">
        <v>15</v>
      </c>
      <c r="F1027" t="s">
        <v>15</v>
      </c>
      <c r="G1027" s="2">
        <f>VALUE(770.8886076865)</f>
        <v>770.88860768649999</v>
      </c>
      <c r="H1027" s="3">
        <f>VALUE(766.076508716)</f>
        <v>766.07650871600003</v>
      </c>
      <c r="I1027" s="4">
        <f>VALUE(3478)</f>
        <v>3478</v>
      </c>
      <c r="J1027" s="5">
        <f>VALUE(4333)</f>
        <v>4333</v>
      </c>
      <c r="K1027" s="6">
        <f>VALUE(6088)</f>
        <v>6088</v>
      </c>
      <c r="L1027" s="7">
        <f>VALUE(9470)</f>
        <v>9470</v>
      </c>
      <c r="M1027" s="8">
        <f>VALUE(14445)</f>
        <v>14445</v>
      </c>
      <c r="N1027" t="s">
        <v>24</v>
      </c>
    </row>
    <row r="1028" spans="1:14" x14ac:dyDescent="0.25">
      <c r="A1028" t="s">
        <v>14</v>
      </c>
      <c r="B1028" t="s">
        <v>39</v>
      </c>
      <c r="C1028" t="s">
        <v>15</v>
      </c>
      <c r="D1028" t="s">
        <v>34</v>
      </c>
      <c r="E1028" t="s">
        <v>15</v>
      </c>
      <c r="F1028" t="s">
        <v>17</v>
      </c>
      <c r="G1028" s="2">
        <f>VALUE(232.945649539)</f>
        <v>232.94564953899999</v>
      </c>
      <c r="H1028" s="3">
        <f>VALUE(242.4740983276)</f>
        <v>242.47409832759999</v>
      </c>
      <c r="I1028" s="4">
        <f>VALUE(7564)</f>
        <v>7564</v>
      </c>
      <c r="J1028" s="1">
        <f>VALUE(9131)</f>
        <v>9131</v>
      </c>
      <c r="K1028" s="1">
        <f>VALUE(10941)</f>
        <v>10941</v>
      </c>
      <c r="L1028" s="1">
        <f>VALUE(15873)</f>
        <v>15873</v>
      </c>
      <c r="M1028" s="1">
        <f>VALUE(23239)</f>
        <v>23239</v>
      </c>
      <c r="N1028" t="s">
        <v>25</v>
      </c>
    </row>
    <row r="1029" spans="1:14" x14ac:dyDescent="0.25">
      <c r="A1029" t="s">
        <v>14</v>
      </c>
      <c r="B1029" t="s">
        <v>39</v>
      </c>
      <c r="C1029" t="s">
        <v>15</v>
      </c>
      <c r="D1029" t="s">
        <v>34</v>
      </c>
      <c r="E1029" t="s">
        <v>15</v>
      </c>
      <c r="F1029" t="s">
        <v>18</v>
      </c>
      <c r="G1029" s="1" t="str">
        <f t="shared" ref="G1029:M1030" si="178">"X"</f>
        <v>X</v>
      </c>
      <c r="H1029" s="1" t="str">
        <f t="shared" si="178"/>
        <v>X</v>
      </c>
      <c r="I1029" s="1" t="str">
        <f t="shared" si="178"/>
        <v>X</v>
      </c>
      <c r="J1029" s="1" t="str">
        <f t="shared" si="178"/>
        <v>X</v>
      </c>
      <c r="K1029" s="1" t="str">
        <f t="shared" si="178"/>
        <v>X</v>
      </c>
      <c r="L1029" s="1" t="str">
        <f t="shared" si="178"/>
        <v>X</v>
      </c>
      <c r="M1029" s="1" t="str">
        <f t="shared" si="178"/>
        <v>X</v>
      </c>
      <c r="N1029" t="s">
        <v>27</v>
      </c>
    </row>
    <row r="1030" spans="1:14" x14ac:dyDescent="0.25">
      <c r="A1030" t="s">
        <v>14</v>
      </c>
      <c r="B1030" t="s">
        <v>39</v>
      </c>
      <c r="C1030" t="s">
        <v>15</v>
      </c>
      <c r="D1030" t="s">
        <v>34</v>
      </c>
      <c r="E1030" t="s">
        <v>15</v>
      </c>
      <c r="F1030" t="s">
        <v>19</v>
      </c>
      <c r="G1030" s="1" t="str">
        <f t="shared" si="178"/>
        <v>X</v>
      </c>
      <c r="H1030" s="1" t="str">
        <f t="shared" si="178"/>
        <v>X</v>
      </c>
      <c r="I1030" s="1" t="str">
        <f t="shared" si="178"/>
        <v>X</v>
      </c>
      <c r="J1030" s="1" t="str">
        <f t="shared" si="178"/>
        <v>X</v>
      </c>
      <c r="K1030" s="1" t="str">
        <f t="shared" si="178"/>
        <v>X</v>
      </c>
      <c r="L1030" s="1" t="str">
        <f t="shared" si="178"/>
        <v>X</v>
      </c>
      <c r="M1030" s="1" t="str">
        <f t="shared" si="178"/>
        <v>X</v>
      </c>
      <c r="N1030" t="s">
        <v>27</v>
      </c>
    </row>
    <row r="1031" spans="1:14" x14ac:dyDescent="0.25">
      <c r="A1031" t="s">
        <v>14</v>
      </c>
      <c r="B1031" t="s">
        <v>39</v>
      </c>
      <c r="C1031" t="s">
        <v>15</v>
      </c>
      <c r="D1031" t="s">
        <v>34</v>
      </c>
      <c r="E1031" t="s">
        <v>15</v>
      </c>
      <c r="F1031" t="s">
        <v>20</v>
      </c>
      <c r="G1031" s="2">
        <f>VALUE(407.9638468422)</f>
        <v>407.96384684219998</v>
      </c>
      <c r="H1031" s="3">
        <f>VALUE(399.5229695544)</f>
        <v>399.52296955439999</v>
      </c>
      <c r="I1031" s="4">
        <f>VALUE(3283)</f>
        <v>3283</v>
      </c>
      <c r="J1031" s="5">
        <f>VALUE(3778)</f>
        <v>3778</v>
      </c>
      <c r="K1031" s="1">
        <f>VALUE(5159)</f>
        <v>5159</v>
      </c>
      <c r="L1031" s="1">
        <f>VALUE(6389)</f>
        <v>6389</v>
      </c>
      <c r="M1031" s="1">
        <f>VALUE(7897)</f>
        <v>7897</v>
      </c>
      <c r="N1031" t="s">
        <v>25</v>
      </c>
    </row>
    <row r="1032" spans="1:14" x14ac:dyDescent="0.25">
      <c r="A1032" t="s">
        <v>14</v>
      </c>
      <c r="B1032" t="s">
        <v>39</v>
      </c>
      <c r="C1032" t="s">
        <v>15</v>
      </c>
      <c r="D1032" t="s">
        <v>34</v>
      </c>
      <c r="E1032" t="s">
        <v>21</v>
      </c>
      <c r="F1032" t="s">
        <v>15</v>
      </c>
      <c r="G1032" s="2">
        <f>VALUE(234.413220082)</f>
        <v>234.41322008200001</v>
      </c>
      <c r="H1032" s="3">
        <f>VALUE(236.6079208847)</f>
        <v>236.60792088470001</v>
      </c>
      <c r="I1032" s="1">
        <f>VALUE(4338)</f>
        <v>4338</v>
      </c>
      <c r="J1032" s="1">
        <f>VALUE(6410)</f>
        <v>6410</v>
      </c>
      <c r="K1032" s="1">
        <f>VALUE(9452)</f>
        <v>9452</v>
      </c>
      <c r="L1032" s="1">
        <f>VALUE(13492)</f>
        <v>13492</v>
      </c>
      <c r="M1032" s="1">
        <f>VALUE(23239)</f>
        <v>23239</v>
      </c>
      <c r="N1032" t="s">
        <v>25</v>
      </c>
    </row>
    <row r="1033" spans="1:14" x14ac:dyDescent="0.25">
      <c r="A1033" t="s">
        <v>14</v>
      </c>
      <c r="B1033" t="s">
        <v>39</v>
      </c>
      <c r="C1033" t="s">
        <v>15</v>
      </c>
      <c r="D1033" t="s">
        <v>34</v>
      </c>
      <c r="E1033" t="s">
        <v>21</v>
      </c>
      <c r="F1033" t="s">
        <v>17</v>
      </c>
      <c r="G1033" s="2">
        <f>VALUE(140.765999505)</f>
        <v>140.765999505</v>
      </c>
      <c r="H1033" s="3">
        <f>VALUE(146.8696644187)</f>
        <v>146.86966441870001</v>
      </c>
      <c r="I1033" s="1">
        <f>VALUE(6794)</f>
        <v>6794</v>
      </c>
      <c r="J1033" s="1">
        <f>VALUE(9524)</f>
        <v>9524</v>
      </c>
      <c r="K1033" s="1">
        <f>VALUE(11711)</f>
        <v>11711</v>
      </c>
      <c r="L1033" s="1">
        <f>VALUE(19385)</f>
        <v>19385</v>
      </c>
      <c r="M1033" s="1">
        <f>VALUE(27203)</f>
        <v>27203</v>
      </c>
      <c r="N1033" t="s">
        <v>25</v>
      </c>
    </row>
    <row r="1034" spans="1:14" x14ac:dyDescent="0.25">
      <c r="A1034" t="s">
        <v>14</v>
      </c>
      <c r="B1034" t="s">
        <v>39</v>
      </c>
      <c r="C1034" t="s">
        <v>15</v>
      </c>
      <c r="D1034" t="s">
        <v>34</v>
      </c>
      <c r="E1034" t="s">
        <v>21</v>
      </c>
      <c r="F1034" t="s">
        <v>18</v>
      </c>
      <c r="G1034" s="1" t="str">
        <f t="shared" ref="G1034:M1036" si="179">"X"</f>
        <v>X</v>
      </c>
      <c r="H1034" s="1" t="str">
        <f t="shared" si="179"/>
        <v>X</v>
      </c>
      <c r="I1034" s="1" t="str">
        <f t="shared" si="179"/>
        <v>X</v>
      </c>
      <c r="J1034" s="1" t="str">
        <f t="shared" si="179"/>
        <v>X</v>
      </c>
      <c r="K1034" s="1" t="str">
        <f t="shared" si="179"/>
        <v>X</v>
      </c>
      <c r="L1034" s="1" t="str">
        <f t="shared" si="179"/>
        <v>X</v>
      </c>
      <c r="M1034" s="1" t="str">
        <f t="shared" si="179"/>
        <v>X</v>
      </c>
      <c r="N1034" t="s">
        <v>27</v>
      </c>
    </row>
    <row r="1035" spans="1:14" x14ac:dyDescent="0.25">
      <c r="A1035" t="s">
        <v>14</v>
      </c>
      <c r="B1035" t="s">
        <v>39</v>
      </c>
      <c r="C1035" t="s">
        <v>15</v>
      </c>
      <c r="D1035" t="s">
        <v>34</v>
      </c>
      <c r="E1035" t="s">
        <v>21</v>
      </c>
      <c r="F1035" t="s">
        <v>19</v>
      </c>
      <c r="G1035" s="1" t="str">
        <f t="shared" si="179"/>
        <v>X</v>
      </c>
      <c r="H1035" s="1" t="str">
        <f t="shared" si="179"/>
        <v>X</v>
      </c>
      <c r="I1035" s="1" t="str">
        <f t="shared" si="179"/>
        <v>X</v>
      </c>
      <c r="J1035" s="1" t="str">
        <f t="shared" si="179"/>
        <v>X</v>
      </c>
      <c r="K1035" s="1" t="str">
        <f t="shared" si="179"/>
        <v>X</v>
      </c>
      <c r="L1035" s="1" t="str">
        <f t="shared" si="179"/>
        <v>X</v>
      </c>
      <c r="M1035" s="1" t="str">
        <f t="shared" si="179"/>
        <v>X</v>
      </c>
      <c r="N1035" t="s">
        <v>27</v>
      </c>
    </row>
    <row r="1036" spans="1:14" x14ac:dyDescent="0.25">
      <c r="A1036" t="s">
        <v>14</v>
      </c>
      <c r="B1036" t="s">
        <v>39</v>
      </c>
      <c r="C1036" t="s">
        <v>15</v>
      </c>
      <c r="D1036" t="s">
        <v>34</v>
      </c>
      <c r="E1036" t="s">
        <v>21</v>
      </c>
      <c r="F1036" t="s">
        <v>20</v>
      </c>
      <c r="G1036" s="1" t="str">
        <f t="shared" si="179"/>
        <v>X</v>
      </c>
      <c r="H1036" s="1" t="str">
        <f t="shared" si="179"/>
        <v>X</v>
      </c>
      <c r="I1036" s="1" t="str">
        <f t="shared" si="179"/>
        <v>X</v>
      </c>
      <c r="J1036" s="1" t="str">
        <f t="shared" si="179"/>
        <v>X</v>
      </c>
      <c r="K1036" s="1" t="str">
        <f t="shared" si="179"/>
        <v>X</v>
      </c>
      <c r="L1036" s="1" t="str">
        <f t="shared" si="179"/>
        <v>X</v>
      </c>
      <c r="M1036" s="1" t="str">
        <f t="shared" si="179"/>
        <v>X</v>
      </c>
      <c r="N1036" t="s">
        <v>27</v>
      </c>
    </row>
    <row r="1037" spans="1:14" x14ac:dyDescent="0.25">
      <c r="A1037" t="s">
        <v>14</v>
      </c>
      <c r="B1037" t="s">
        <v>39</v>
      </c>
      <c r="C1037" t="s">
        <v>15</v>
      </c>
      <c r="D1037" t="s">
        <v>34</v>
      </c>
      <c r="E1037" t="s">
        <v>22</v>
      </c>
      <c r="F1037" t="s">
        <v>15</v>
      </c>
      <c r="G1037" s="2">
        <f>VALUE(282.2675734654)</f>
        <v>282.26757346540001</v>
      </c>
      <c r="H1037" s="3">
        <f>VALUE(292.8319240814)</f>
        <v>292.83192408140002</v>
      </c>
      <c r="I1037" s="4">
        <f>VALUE(3630)</f>
        <v>3630</v>
      </c>
      <c r="J1037" s="5">
        <f>VALUE(5009)</f>
        <v>5009</v>
      </c>
      <c r="K1037" s="1">
        <f>VALUE(6449)</f>
        <v>6449</v>
      </c>
      <c r="L1037" s="7">
        <f>VALUE(8650)</f>
        <v>8650</v>
      </c>
      <c r="M1037" s="1">
        <f>VALUE(12699)</f>
        <v>12699</v>
      </c>
      <c r="N1037" t="s">
        <v>25</v>
      </c>
    </row>
    <row r="1038" spans="1:14" x14ac:dyDescent="0.25">
      <c r="A1038" t="s">
        <v>14</v>
      </c>
      <c r="B1038" t="s">
        <v>39</v>
      </c>
      <c r="C1038" t="s">
        <v>15</v>
      </c>
      <c r="D1038" t="s">
        <v>34</v>
      </c>
      <c r="E1038" t="s">
        <v>22</v>
      </c>
      <c r="F1038" t="s">
        <v>17</v>
      </c>
      <c r="G1038" s="1" t="str">
        <f t="shared" ref="G1038:M1040" si="180">"X"</f>
        <v>X</v>
      </c>
      <c r="H1038" s="1" t="str">
        <f t="shared" si="180"/>
        <v>X</v>
      </c>
      <c r="I1038" s="1" t="str">
        <f t="shared" si="180"/>
        <v>X</v>
      </c>
      <c r="J1038" s="1" t="str">
        <f t="shared" si="180"/>
        <v>X</v>
      </c>
      <c r="K1038" s="1" t="str">
        <f t="shared" si="180"/>
        <v>X</v>
      </c>
      <c r="L1038" s="1" t="str">
        <f t="shared" si="180"/>
        <v>X</v>
      </c>
      <c r="M1038" s="1" t="str">
        <f t="shared" si="180"/>
        <v>X</v>
      </c>
      <c r="N1038" t="s">
        <v>27</v>
      </c>
    </row>
    <row r="1039" spans="1:14" x14ac:dyDescent="0.25">
      <c r="A1039" t="s">
        <v>14</v>
      </c>
      <c r="B1039" t="s">
        <v>39</v>
      </c>
      <c r="C1039" t="s">
        <v>15</v>
      </c>
      <c r="D1039" t="s">
        <v>34</v>
      </c>
      <c r="E1039" t="s">
        <v>22</v>
      </c>
      <c r="F1039" t="s">
        <v>18</v>
      </c>
      <c r="G1039" s="1" t="str">
        <f t="shared" si="180"/>
        <v>X</v>
      </c>
      <c r="H1039" s="1" t="str">
        <f t="shared" si="180"/>
        <v>X</v>
      </c>
      <c r="I1039" s="1" t="str">
        <f t="shared" si="180"/>
        <v>X</v>
      </c>
      <c r="J1039" s="1" t="str">
        <f t="shared" si="180"/>
        <v>X</v>
      </c>
      <c r="K1039" s="1" t="str">
        <f t="shared" si="180"/>
        <v>X</v>
      </c>
      <c r="L1039" s="1" t="str">
        <f t="shared" si="180"/>
        <v>X</v>
      </c>
      <c r="M1039" s="1" t="str">
        <f t="shared" si="180"/>
        <v>X</v>
      </c>
      <c r="N1039" t="s">
        <v>27</v>
      </c>
    </row>
    <row r="1040" spans="1:14" x14ac:dyDescent="0.25">
      <c r="A1040" t="s">
        <v>14</v>
      </c>
      <c r="B1040" t="s">
        <v>39</v>
      </c>
      <c r="C1040" t="s">
        <v>15</v>
      </c>
      <c r="D1040" t="s">
        <v>34</v>
      </c>
      <c r="E1040" t="s">
        <v>22</v>
      </c>
      <c r="F1040" t="s">
        <v>19</v>
      </c>
      <c r="G1040" s="1" t="str">
        <f t="shared" si="180"/>
        <v>X</v>
      </c>
      <c r="H1040" s="1" t="str">
        <f t="shared" si="180"/>
        <v>X</v>
      </c>
      <c r="I1040" s="1" t="str">
        <f t="shared" si="180"/>
        <v>X</v>
      </c>
      <c r="J1040" s="1" t="str">
        <f t="shared" si="180"/>
        <v>X</v>
      </c>
      <c r="K1040" s="1" t="str">
        <f t="shared" si="180"/>
        <v>X</v>
      </c>
      <c r="L1040" s="1" t="str">
        <f t="shared" si="180"/>
        <v>X</v>
      </c>
      <c r="M1040" s="1" t="str">
        <f t="shared" si="180"/>
        <v>X</v>
      </c>
      <c r="N1040" t="s">
        <v>27</v>
      </c>
    </row>
    <row r="1041" spans="1:14" x14ac:dyDescent="0.25">
      <c r="A1041" t="s">
        <v>14</v>
      </c>
      <c r="B1041" t="s">
        <v>39</v>
      </c>
      <c r="C1041" t="s">
        <v>15</v>
      </c>
      <c r="D1041" t="s">
        <v>34</v>
      </c>
      <c r="E1041" t="s">
        <v>22</v>
      </c>
      <c r="F1041" t="s">
        <v>20</v>
      </c>
      <c r="G1041" s="2">
        <f>VALUE(131.9250181642)</f>
        <v>131.9250181642</v>
      </c>
      <c r="H1041" s="3">
        <f>VALUE(136.680874651)</f>
        <v>136.68087465100001</v>
      </c>
      <c r="I1041" s="1">
        <f>VALUE(3520)</f>
        <v>3520</v>
      </c>
      <c r="J1041" s="1">
        <f>VALUE(4762)</f>
        <v>4762</v>
      </c>
      <c r="K1041" s="1">
        <f>VALUE(5686)</f>
        <v>5686</v>
      </c>
      <c r="L1041" s="1">
        <f>VALUE(6500)</f>
        <v>6500</v>
      </c>
      <c r="M1041" s="1">
        <f>VALUE(7437)</f>
        <v>7437</v>
      </c>
      <c r="N1041" t="s">
        <v>25</v>
      </c>
    </row>
    <row r="1042" spans="1:14" x14ac:dyDescent="0.25">
      <c r="A1042" t="s">
        <v>14</v>
      </c>
      <c r="B1042" t="s">
        <v>39</v>
      </c>
      <c r="C1042" t="s">
        <v>15</v>
      </c>
      <c r="D1042" t="s">
        <v>34</v>
      </c>
      <c r="E1042" t="s">
        <v>23</v>
      </c>
      <c r="F1042" t="s">
        <v>15</v>
      </c>
      <c r="G1042" s="2">
        <f>VALUE(248.9617197203)</f>
        <v>248.96171972030001</v>
      </c>
      <c r="H1042" s="3">
        <f>VALUE(231.1282646103)</f>
        <v>231.12826461029999</v>
      </c>
      <c r="I1042" s="4">
        <f>VALUE(3212)</f>
        <v>3212</v>
      </c>
      <c r="J1042" s="5">
        <f>VALUE(3474)</f>
        <v>3474</v>
      </c>
      <c r="K1042" s="6">
        <f>VALUE(4259)</f>
        <v>4259</v>
      </c>
      <c r="L1042" s="1">
        <f>VALUE(5471)</f>
        <v>5471</v>
      </c>
      <c r="M1042" s="8">
        <f>VALUE(7568)</f>
        <v>7568</v>
      </c>
      <c r="N1042" t="s">
        <v>25</v>
      </c>
    </row>
    <row r="1043" spans="1:14" x14ac:dyDescent="0.25">
      <c r="A1043" t="s">
        <v>14</v>
      </c>
      <c r="B1043" t="s">
        <v>39</v>
      </c>
      <c r="C1043" t="s">
        <v>15</v>
      </c>
      <c r="D1043" t="s">
        <v>34</v>
      </c>
      <c r="E1043" t="s">
        <v>23</v>
      </c>
      <c r="F1043" t="s">
        <v>17</v>
      </c>
      <c r="G1043" s="1" t="str">
        <f t="shared" ref="G1043:M1045" si="181">"X"</f>
        <v>X</v>
      </c>
      <c r="H1043" s="1" t="str">
        <f t="shared" si="181"/>
        <v>X</v>
      </c>
      <c r="I1043" s="1" t="str">
        <f t="shared" si="181"/>
        <v>X</v>
      </c>
      <c r="J1043" s="1" t="str">
        <f t="shared" si="181"/>
        <v>X</v>
      </c>
      <c r="K1043" s="1" t="str">
        <f t="shared" si="181"/>
        <v>X</v>
      </c>
      <c r="L1043" s="1" t="str">
        <f t="shared" si="181"/>
        <v>X</v>
      </c>
      <c r="M1043" s="1" t="str">
        <f t="shared" si="181"/>
        <v>X</v>
      </c>
      <c r="N1043" t="s">
        <v>27</v>
      </c>
    </row>
    <row r="1044" spans="1:14" x14ac:dyDescent="0.25">
      <c r="A1044" t="s">
        <v>14</v>
      </c>
      <c r="B1044" t="s">
        <v>39</v>
      </c>
      <c r="C1044" t="s">
        <v>15</v>
      </c>
      <c r="D1044" t="s">
        <v>34</v>
      </c>
      <c r="E1044" t="s">
        <v>23</v>
      </c>
      <c r="F1044" t="s">
        <v>18</v>
      </c>
      <c r="G1044" s="1" t="str">
        <f t="shared" si="181"/>
        <v>X</v>
      </c>
      <c r="H1044" s="1" t="str">
        <f t="shared" si="181"/>
        <v>X</v>
      </c>
      <c r="I1044" s="1" t="str">
        <f t="shared" si="181"/>
        <v>X</v>
      </c>
      <c r="J1044" s="1" t="str">
        <f t="shared" si="181"/>
        <v>X</v>
      </c>
      <c r="K1044" s="1" t="str">
        <f t="shared" si="181"/>
        <v>X</v>
      </c>
      <c r="L1044" s="1" t="str">
        <f t="shared" si="181"/>
        <v>X</v>
      </c>
      <c r="M1044" s="1" t="str">
        <f t="shared" si="181"/>
        <v>X</v>
      </c>
      <c r="N1044" t="s">
        <v>27</v>
      </c>
    </row>
    <row r="1045" spans="1:14" x14ac:dyDescent="0.25">
      <c r="A1045" t="s">
        <v>14</v>
      </c>
      <c r="B1045" t="s">
        <v>39</v>
      </c>
      <c r="C1045" t="s">
        <v>15</v>
      </c>
      <c r="D1045" t="s">
        <v>34</v>
      </c>
      <c r="E1045" t="s">
        <v>23</v>
      </c>
      <c r="F1045" t="s">
        <v>19</v>
      </c>
      <c r="G1045" s="1" t="str">
        <f t="shared" si="181"/>
        <v>X</v>
      </c>
      <c r="H1045" s="1" t="str">
        <f t="shared" si="181"/>
        <v>X</v>
      </c>
      <c r="I1045" s="1" t="str">
        <f t="shared" si="181"/>
        <v>X</v>
      </c>
      <c r="J1045" s="1" t="str">
        <f t="shared" si="181"/>
        <v>X</v>
      </c>
      <c r="K1045" s="1" t="str">
        <f t="shared" si="181"/>
        <v>X</v>
      </c>
      <c r="L1045" s="1" t="str">
        <f t="shared" si="181"/>
        <v>X</v>
      </c>
      <c r="M1045" s="1" t="str">
        <f t="shared" si="181"/>
        <v>X</v>
      </c>
      <c r="N1045" t="s">
        <v>27</v>
      </c>
    </row>
    <row r="1046" spans="1:14" x14ac:dyDescent="0.25">
      <c r="A1046" t="s">
        <v>14</v>
      </c>
      <c r="B1046" t="s">
        <v>39</v>
      </c>
      <c r="C1046" t="s">
        <v>15</v>
      </c>
      <c r="D1046" t="s">
        <v>34</v>
      </c>
      <c r="E1046" t="s">
        <v>23</v>
      </c>
      <c r="F1046" t="s">
        <v>20</v>
      </c>
      <c r="G1046" s="2">
        <f>VALUE(214.5594062865)</f>
        <v>214.55940628650001</v>
      </c>
      <c r="H1046" s="3">
        <f>VALUE(200.617476672)</f>
        <v>200.61747667200001</v>
      </c>
      <c r="I1046" s="4">
        <f>VALUE(3212)</f>
        <v>3212</v>
      </c>
      <c r="J1046" s="5">
        <f>VALUE(3415)</f>
        <v>3415</v>
      </c>
      <c r="K1046" s="6">
        <f>VALUE(3987)</f>
        <v>3987</v>
      </c>
      <c r="L1046" s="1">
        <f>VALUE(5417)</f>
        <v>5417</v>
      </c>
      <c r="M1046" s="8">
        <f>VALUE(6731)</f>
        <v>6731</v>
      </c>
      <c r="N1046" t="s">
        <v>25</v>
      </c>
    </row>
    <row r="1047" spans="1:14" x14ac:dyDescent="0.25">
      <c r="A1047" t="s">
        <v>14</v>
      </c>
      <c r="B1047" t="s">
        <v>39</v>
      </c>
      <c r="C1047" t="s">
        <v>15</v>
      </c>
      <c r="D1047" t="s">
        <v>34</v>
      </c>
      <c r="E1047" t="s">
        <v>26</v>
      </c>
      <c r="F1047" t="s">
        <v>15</v>
      </c>
      <c r="G1047" s="1" t="str">
        <f t="shared" ref="G1047:M1049" si="182">"X"</f>
        <v>X</v>
      </c>
      <c r="H1047" s="1" t="str">
        <f t="shared" si="182"/>
        <v>X</v>
      </c>
      <c r="I1047" s="1" t="str">
        <f t="shared" si="182"/>
        <v>X</v>
      </c>
      <c r="J1047" s="1" t="str">
        <f t="shared" si="182"/>
        <v>X</v>
      </c>
      <c r="K1047" s="1" t="str">
        <f t="shared" si="182"/>
        <v>X</v>
      </c>
      <c r="L1047" s="1" t="str">
        <f t="shared" si="182"/>
        <v>X</v>
      </c>
      <c r="M1047" s="1" t="str">
        <f t="shared" si="182"/>
        <v>X</v>
      </c>
      <c r="N1047" t="s">
        <v>27</v>
      </c>
    </row>
    <row r="1048" spans="1:14" x14ac:dyDescent="0.25">
      <c r="A1048" t="s">
        <v>14</v>
      </c>
      <c r="B1048" t="s">
        <v>39</v>
      </c>
      <c r="C1048" t="s">
        <v>15</v>
      </c>
      <c r="D1048" t="s">
        <v>34</v>
      </c>
      <c r="E1048" t="s">
        <v>26</v>
      </c>
      <c r="F1048" t="s">
        <v>17</v>
      </c>
      <c r="G1048" s="1" t="str">
        <f t="shared" si="182"/>
        <v>X</v>
      </c>
      <c r="H1048" s="1" t="str">
        <f t="shared" si="182"/>
        <v>X</v>
      </c>
      <c r="I1048" s="1" t="str">
        <f t="shared" si="182"/>
        <v>X</v>
      </c>
      <c r="J1048" s="1" t="str">
        <f t="shared" si="182"/>
        <v>X</v>
      </c>
      <c r="K1048" s="1" t="str">
        <f t="shared" si="182"/>
        <v>X</v>
      </c>
      <c r="L1048" s="1" t="str">
        <f t="shared" si="182"/>
        <v>X</v>
      </c>
      <c r="M1048" s="1" t="str">
        <f t="shared" si="182"/>
        <v>X</v>
      </c>
      <c r="N1048" t="s">
        <v>27</v>
      </c>
    </row>
    <row r="1049" spans="1:14" x14ac:dyDescent="0.25">
      <c r="A1049" t="s">
        <v>14</v>
      </c>
      <c r="B1049" t="s">
        <v>39</v>
      </c>
      <c r="C1049" t="s">
        <v>15</v>
      </c>
      <c r="D1049" t="s">
        <v>34</v>
      </c>
      <c r="E1049" t="s">
        <v>26</v>
      </c>
      <c r="F1049" t="s">
        <v>18</v>
      </c>
      <c r="G1049" s="1" t="str">
        <f t="shared" si="182"/>
        <v>X</v>
      </c>
      <c r="H1049" s="1" t="str">
        <f t="shared" si="182"/>
        <v>X</v>
      </c>
      <c r="I1049" s="1" t="str">
        <f t="shared" si="182"/>
        <v>X</v>
      </c>
      <c r="J1049" s="1" t="str">
        <f t="shared" si="182"/>
        <v>X</v>
      </c>
      <c r="K1049" s="1" t="str">
        <f t="shared" si="182"/>
        <v>X</v>
      </c>
      <c r="L1049" s="1" t="str">
        <f t="shared" si="182"/>
        <v>X</v>
      </c>
      <c r="M1049" s="1" t="str">
        <f t="shared" si="182"/>
        <v>X</v>
      </c>
      <c r="N1049" t="s">
        <v>27</v>
      </c>
    </row>
    <row r="1050" spans="1:14" x14ac:dyDescent="0.25">
      <c r="A1050" t="s">
        <v>14</v>
      </c>
      <c r="B1050" t="s">
        <v>39</v>
      </c>
      <c r="C1050" t="s">
        <v>15</v>
      </c>
      <c r="D1050" t="s">
        <v>34</v>
      </c>
      <c r="E1050" t="s">
        <v>26</v>
      </c>
      <c r="F1050" t="s">
        <v>19</v>
      </c>
      <c r="G1050" s="1" t="str">
        <f t="shared" ref="G1050:M1050" si="183">"..."</f>
        <v>...</v>
      </c>
      <c r="H1050" s="1" t="str">
        <f t="shared" si="183"/>
        <v>...</v>
      </c>
      <c r="I1050" s="1" t="str">
        <f t="shared" si="183"/>
        <v>...</v>
      </c>
      <c r="J1050" s="1" t="str">
        <f t="shared" si="183"/>
        <v>...</v>
      </c>
      <c r="K1050" s="1" t="str">
        <f t="shared" si="183"/>
        <v>...</v>
      </c>
      <c r="L1050" s="1" t="str">
        <f t="shared" si="183"/>
        <v>...</v>
      </c>
      <c r="M1050" s="1" t="str">
        <f t="shared" si="183"/>
        <v>...</v>
      </c>
      <c r="N1050" t="s">
        <v>30</v>
      </c>
    </row>
    <row r="1051" spans="1:14" x14ac:dyDescent="0.25">
      <c r="A1051" t="s">
        <v>14</v>
      </c>
      <c r="B1051" t="s">
        <v>39</v>
      </c>
      <c r="C1051" t="s">
        <v>15</v>
      </c>
      <c r="D1051" t="s">
        <v>34</v>
      </c>
      <c r="E1051" t="s">
        <v>26</v>
      </c>
      <c r="F1051" t="s">
        <v>20</v>
      </c>
      <c r="G1051" s="1" t="str">
        <f t="shared" ref="G1051:M1051" si="184">"X"</f>
        <v>X</v>
      </c>
      <c r="H1051" s="1" t="str">
        <f t="shared" si="184"/>
        <v>X</v>
      </c>
      <c r="I1051" s="1" t="str">
        <f t="shared" si="184"/>
        <v>X</v>
      </c>
      <c r="J1051" s="1" t="str">
        <f t="shared" si="184"/>
        <v>X</v>
      </c>
      <c r="K1051" s="1" t="str">
        <f t="shared" si="184"/>
        <v>X</v>
      </c>
      <c r="L1051" s="1" t="str">
        <f t="shared" si="184"/>
        <v>X</v>
      </c>
      <c r="M1051" s="1" t="str">
        <f t="shared" si="184"/>
        <v>X</v>
      </c>
      <c r="N1051" t="s">
        <v>27</v>
      </c>
    </row>
    <row r="1052" spans="1:14" x14ac:dyDescent="0.25">
      <c r="A1052" t="s">
        <v>14</v>
      </c>
      <c r="B1052" t="s">
        <v>39</v>
      </c>
      <c r="C1052" t="s">
        <v>35</v>
      </c>
      <c r="D1052" t="s">
        <v>15</v>
      </c>
      <c r="E1052" t="s">
        <v>15</v>
      </c>
      <c r="F1052" t="s">
        <v>15</v>
      </c>
      <c r="G1052" s="1">
        <f>VALUE(3975.5856151314)</f>
        <v>3975.5856151314001</v>
      </c>
      <c r="H1052" s="1">
        <f>VALUE(3886.2000198761)</f>
        <v>3886.2000198761002</v>
      </c>
      <c r="I1052" s="1">
        <f>VALUE(3047)</f>
        <v>3047</v>
      </c>
      <c r="J1052" s="1">
        <f>VALUE(3371)</f>
        <v>3371</v>
      </c>
      <c r="K1052" s="1">
        <f>VALUE(3934)</f>
        <v>3934</v>
      </c>
      <c r="L1052" s="1">
        <f>VALUE(4460)</f>
        <v>4460</v>
      </c>
      <c r="M1052" s="1">
        <f>VALUE(5224)</f>
        <v>5224</v>
      </c>
      <c r="N1052" t="s">
        <v>16</v>
      </c>
    </row>
    <row r="1053" spans="1:14" x14ac:dyDescent="0.25">
      <c r="A1053" t="s">
        <v>14</v>
      </c>
      <c r="B1053" t="s">
        <v>39</v>
      </c>
      <c r="C1053" t="s">
        <v>35</v>
      </c>
      <c r="D1053" t="s">
        <v>15</v>
      </c>
      <c r="E1053" t="s">
        <v>15</v>
      </c>
      <c r="F1053" t="s">
        <v>17</v>
      </c>
      <c r="G1053" s="1" t="str">
        <f t="shared" ref="G1053:M1053" si="185">"X"</f>
        <v>X</v>
      </c>
      <c r="H1053" s="1" t="str">
        <f t="shared" si="185"/>
        <v>X</v>
      </c>
      <c r="I1053" s="1" t="str">
        <f t="shared" si="185"/>
        <v>X</v>
      </c>
      <c r="J1053" s="1" t="str">
        <f t="shared" si="185"/>
        <v>X</v>
      </c>
      <c r="K1053" s="1" t="str">
        <f t="shared" si="185"/>
        <v>X</v>
      </c>
      <c r="L1053" s="1" t="str">
        <f t="shared" si="185"/>
        <v>X</v>
      </c>
      <c r="M1053" s="1" t="str">
        <f t="shared" si="185"/>
        <v>X</v>
      </c>
      <c r="N1053" t="s">
        <v>27</v>
      </c>
    </row>
    <row r="1054" spans="1:14" x14ac:dyDescent="0.25">
      <c r="A1054" t="s">
        <v>14</v>
      </c>
      <c r="B1054" t="s">
        <v>39</v>
      </c>
      <c r="C1054" t="s">
        <v>35</v>
      </c>
      <c r="D1054" t="s">
        <v>15</v>
      </c>
      <c r="E1054" t="s">
        <v>15</v>
      </c>
      <c r="F1054" t="s">
        <v>18</v>
      </c>
      <c r="G1054" s="2">
        <f>VALUE(248.6725600366)</f>
        <v>248.6725600366</v>
      </c>
      <c r="H1054" s="3">
        <f>VALUE(243.2066496672)</f>
        <v>243.2066496672</v>
      </c>
      <c r="I1054" s="4">
        <f>VALUE(3116)</f>
        <v>3116</v>
      </c>
      <c r="J1054" s="5">
        <f>VALUE(3495)</f>
        <v>3495</v>
      </c>
      <c r="K1054" s="1">
        <f>VALUE(4159)</f>
        <v>4159</v>
      </c>
      <c r="L1054" s="7">
        <f>VALUE(4484)</f>
        <v>4484</v>
      </c>
      <c r="M1054" s="8">
        <f>VALUE(6540)</f>
        <v>6540</v>
      </c>
      <c r="N1054" t="s">
        <v>25</v>
      </c>
    </row>
    <row r="1055" spans="1:14" x14ac:dyDescent="0.25">
      <c r="A1055" t="s">
        <v>14</v>
      </c>
      <c r="B1055" t="s">
        <v>39</v>
      </c>
      <c r="C1055" t="s">
        <v>35</v>
      </c>
      <c r="D1055" t="s">
        <v>15</v>
      </c>
      <c r="E1055" t="s">
        <v>15</v>
      </c>
      <c r="F1055" t="s">
        <v>19</v>
      </c>
      <c r="G1055" s="2">
        <f>VALUE(462.290793916)</f>
        <v>462.29079391599998</v>
      </c>
      <c r="H1055" s="3">
        <f>VALUE(456.0462512923)</f>
        <v>456.04625129229998</v>
      </c>
      <c r="I1055" s="1">
        <f>VALUE(3296)</f>
        <v>3296</v>
      </c>
      <c r="J1055" s="1">
        <f>VALUE(3722)</f>
        <v>3722</v>
      </c>
      <c r="K1055" s="1">
        <f>VALUE(4073)</f>
        <v>4073</v>
      </c>
      <c r="L1055" s="1">
        <f>VALUE(4659)</f>
        <v>4659</v>
      </c>
      <c r="M1055" s="1">
        <f>VALUE(5221)</f>
        <v>5221</v>
      </c>
      <c r="N1055" t="s">
        <v>25</v>
      </c>
    </row>
    <row r="1056" spans="1:14" x14ac:dyDescent="0.25">
      <c r="A1056" t="s">
        <v>14</v>
      </c>
      <c r="B1056" t="s">
        <v>39</v>
      </c>
      <c r="C1056" t="s">
        <v>35</v>
      </c>
      <c r="D1056" t="s">
        <v>15</v>
      </c>
      <c r="E1056" t="s">
        <v>15</v>
      </c>
      <c r="F1056" t="s">
        <v>20</v>
      </c>
      <c r="G1056" s="1">
        <f>VALUE(3138.8427418234)</f>
        <v>3138.8427418234</v>
      </c>
      <c r="H1056" s="1">
        <f>VALUE(3061.190422569)</f>
        <v>3061.190422569</v>
      </c>
      <c r="I1056" s="1">
        <f>VALUE(3013)</f>
        <v>3013</v>
      </c>
      <c r="J1056" s="1">
        <f>VALUE(3326)</f>
        <v>3326</v>
      </c>
      <c r="K1056" s="1">
        <f>VALUE(3879)</f>
        <v>3879</v>
      </c>
      <c r="L1056" s="1">
        <f>VALUE(4424)</f>
        <v>4424</v>
      </c>
      <c r="M1056" s="1">
        <f>VALUE(5061)</f>
        <v>5061</v>
      </c>
      <c r="N1056" t="s">
        <v>16</v>
      </c>
    </row>
    <row r="1057" spans="1:14" x14ac:dyDescent="0.25">
      <c r="A1057" t="s">
        <v>14</v>
      </c>
      <c r="B1057" t="s">
        <v>39</v>
      </c>
      <c r="C1057" t="s">
        <v>35</v>
      </c>
      <c r="D1057" t="s">
        <v>15</v>
      </c>
      <c r="E1057" t="s">
        <v>21</v>
      </c>
      <c r="F1057" t="s">
        <v>15</v>
      </c>
      <c r="G1057" s="2">
        <f>VALUE(294.2990535121)</f>
        <v>294.29905351209999</v>
      </c>
      <c r="H1057" s="3">
        <f>VALUE(256.3283958972)</f>
        <v>256.32839589719998</v>
      </c>
      <c r="I1057" s="1">
        <f>VALUE(3147)</f>
        <v>3147</v>
      </c>
      <c r="J1057" s="1">
        <f>VALUE(3593)</f>
        <v>3593</v>
      </c>
      <c r="K1057" s="1">
        <f>VALUE(4282)</f>
        <v>4282</v>
      </c>
      <c r="L1057" s="1">
        <f>VALUE(5450)</f>
        <v>5450</v>
      </c>
      <c r="M1057" s="1">
        <f>VALUE(6500)</f>
        <v>6500</v>
      </c>
      <c r="N1057" t="s">
        <v>25</v>
      </c>
    </row>
    <row r="1058" spans="1:14" x14ac:dyDescent="0.25">
      <c r="A1058" t="s">
        <v>14</v>
      </c>
      <c r="B1058" t="s">
        <v>39</v>
      </c>
      <c r="C1058" t="s">
        <v>35</v>
      </c>
      <c r="D1058" t="s">
        <v>15</v>
      </c>
      <c r="E1058" t="s">
        <v>21</v>
      </c>
      <c r="F1058" t="s">
        <v>17</v>
      </c>
      <c r="G1058" s="1" t="str">
        <f t="shared" ref="G1058:M1061" si="186">"X"</f>
        <v>X</v>
      </c>
      <c r="H1058" s="1" t="str">
        <f t="shared" si="186"/>
        <v>X</v>
      </c>
      <c r="I1058" s="1" t="str">
        <f t="shared" si="186"/>
        <v>X</v>
      </c>
      <c r="J1058" s="1" t="str">
        <f t="shared" si="186"/>
        <v>X</v>
      </c>
      <c r="K1058" s="1" t="str">
        <f t="shared" si="186"/>
        <v>X</v>
      </c>
      <c r="L1058" s="1" t="str">
        <f t="shared" si="186"/>
        <v>X</v>
      </c>
      <c r="M1058" s="1" t="str">
        <f t="shared" si="186"/>
        <v>X</v>
      </c>
      <c r="N1058" t="s">
        <v>27</v>
      </c>
    </row>
    <row r="1059" spans="1:14" x14ac:dyDescent="0.25">
      <c r="A1059" t="s">
        <v>14</v>
      </c>
      <c r="B1059" t="s">
        <v>39</v>
      </c>
      <c r="C1059" t="s">
        <v>35</v>
      </c>
      <c r="D1059" t="s">
        <v>15</v>
      </c>
      <c r="E1059" t="s">
        <v>21</v>
      </c>
      <c r="F1059" t="s">
        <v>18</v>
      </c>
      <c r="G1059" s="1" t="str">
        <f t="shared" si="186"/>
        <v>X</v>
      </c>
      <c r="H1059" s="1" t="str">
        <f t="shared" si="186"/>
        <v>X</v>
      </c>
      <c r="I1059" s="1" t="str">
        <f t="shared" si="186"/>
        <v>X</v>
      </c>
      <c r="J1059" s="1" t="str">
        <f t="shared" si="186"/>
        <v>X</v>
      </c>
      <c r="K1059" s="1" t="str">
        <f t="shared" si="186"/>
        <v>X</v>
      </c>
      <c r="L1059" s="1" t="str">
        <f t="shared" si="186"/>
        <v>X</v>
      </c>
      <c r="M1059" s="1" t="str">
        <f t="shared" si="186"/>
        <v>X</v>
      </c>
      <c r="N1059" t="s">
        <v>27</v>
      </c>
    </row>
    <row r="1060" spans="1:14" x14ac:dyDescent="0.25">
      <c r="A1060" t="s">
        <v>14</v>
      </c>
      <c r="B1060" t="s">
        <v>39</v>
      </c>
      <c r="C1060" t="s">
        <v>35</v>
      </c>
      <c r="D1060" t="s">
        <v>15</v>
      </c>
      <c r="E1060" t="s">
        <v>21</v>
      </c>
      <c r="F1060" t="s">
        <v>19</v>
      </c>
      <c r="G1060" s="1" t="str">
        <f t="shared" si="186"/>
        <v>X</v>
      </c>
      <c r="H1060" s="1" t="str">
        <f t="shared" si="186"/>
        <v>X</v>
      </c>
      <c r="I1060" s="1" t="str">
        <f t="shared" si="186"/>
        <v>X</v>
      </c>
      <c r="J1060" s="1" t="str">
        <f t="shared" si="186"/>
        <v>X</v>
      </c>
      <c r="K1060" s="1" t="str">
        <f t="shared" si="186"/>
        <v>X</v>
      </c>
      <c r="L1060" s="1" t="str">
        <f t="shared" si="186"/>
        <v>X</v>
      </c>
      <c r="M1060" s="1" t="str">
        <f t="shared" si="186"/>
        <v>X</v>
      </c>
      <c r="N1060" t="s">
        <v>27</v>
      </c>
    </row>
    <row r="1061" spans="1:14" x14ac:dyDescent="0.25">
      <c r="A1061" t="s">
        <v>14</v>
      </c>
      <c r="B1061" t="s">
        <v>39</v>
      </c>
      <c r="C1061" t="s">
        <v>35</v>
      </c>
      <c r="D1061" t="s">
        <v>15</v>
      </c>
      <c r="E1061" t="s">
        <v>21</v>
      </c>
      <c r="F1061" t="s">
        <v>20</v>
      </c>
      <c r="G1061" s="1" t="str">
        <f t="shared" si="186"/>
        <v>X</v>
      </c>
      <c r="H1061" s="1" t="str">
        <f t="shared" si="186"/>
        <v>X</v>
      </c>
      <c r="I1061" s="1" t="str">
        <f t="shared" si="186"/>
        <v>X</v>
      </c>
      <c r="J1061" s="1" t="str">
        <f t="shared" si="186"/>
        <v>X</v>
      </c>
      <c r="K1061" s="1" t="str">
        <f t="shared" si="186"/>
        <v>X</v>
      </c>
      <c r="L1061" s="1" t="str">
        <f t="shared" si="186"/>
        <v>X</v>
      </c>
      <c r="M1061" s="1" t="str">
        <f t="shared" si="186"/>
        <v>X</v>
      </c>
      <c r="N1061" t="s">
        <v>27</v>
      </c>
    </row>
    <row r="1062" spans="1:14" x14ac:dyDescent="0.25">
      <c r="A1062" t="s">
        <v>14</v>
      </c>
      <c r="B1062" t="s">
        <v>39</v>
      </c>
      <c r="C1062" t="s">
        <v>35</v>
      </c>
      <c r="D1062" t="s">
        <v>15</v>
      </c>
      <c r="E1062" t="s">
        <v>22</v>
      </c>
      <c r="F1062" t="s">
        <v>15</v>
      </c>
      <c r="G1062" s="1">
        <f>VALUE(2055.2631142277)</f>
        <v>2055.2631142277</v>
      </c>
      <c r="H1062" s="1">
        <f>VALUE(2065.1052752838)</f>
        <v>2065.1052752838</v>
      </c>
      <c r="I1062" s="1">
        <f>VALUE(3193)</f>
        <v>3193</v>
      </c>
      <c r="J1062" s="1">
        <f>VALUE(3611)</f>
        <v>3611</v>
      </c>
      <c r="K1062" s="1">
        <f>VALUE(4044)</f>
        <v>4044</v>
      </c>
      <c r="L1062" s="1">
        <f>VALUE(4544)</f>
        <v>4544</v>
      </c>
      <c r="M1062" s="1">
        <f>VALUE(5200)</f>
        <v>5200</v>
      </c>
      <c r="N1062" t="s">
        <v>16</v>
      </c>
    </row>
    <row r="1063" spans="1:14" x14ac:dyDescent="0.25">
      <c r="A1063" t="s">
        <v>14</v>
      </c>
      <c r="B1063" t="s">
        <v>39</v>
      </c>
      <c r="C1063" t="s">
        <v>35</v>
      </c>
      <c r="D1063" t="s">
        <v>15</v>
      </c>
      <c r="E1063" t="s">
        <v>22</v>
      </c>
      <c r="F1063" t="s">
        <v>17</v>
      </c>
      <c r="G1063" s="1" t="str">
        <f t="shared" ref="G1063:M1064" si="187">"X"</f>
        <v>X</v>
      </c>
      <c r="H1063" s="1" t="str">
        <f t="shared" si="187"/>
        <v>X</v>
      </c>
      <c r="I1063" s="1" t="str">
        <f t="shared" si="187"/>
        <v>X</v>
      </c>
      <c r="J1063" s="1" t="str">
        <f t="shared" si="187"/>
        <v>X</v>
      </c>
      <c r="K1063" s="1" t="str">
        <f t="shared" si="187"/>
        <v>X</v>
      </c>
      <c r="L1063" s="1" t="str">
        <f t="shared" si="187"/>
        <v>X</v>
      </c>
      <c r="M1063" s="1" t="str">
        <f t="shared" si="187"/>
        <v>X</v>
      </c>
      <c r="N1063" t="s">
        <v>27</v>
      </c>
    </row>
    <row r="1064" spans="1:14" x14ac:dyDescent="0.25">
      <c r="A1064" t="s">
        <v>14</v>
      </c>
      <c r="B1064" t="s">
        <v>39</v>
      </c>
      <c r="C1064" t="s">
        <v>35</v>
      </c>
      <c r="D1064" t="s">
        <v>15</v>
      </c>
      <c r="E1064" t="s">
        <v>22</v>
      </c>
      <c r="F1064" t="s">
        <v>18</v>
      </c>
      <c r="G1064" s="1" t="str">
        <f t="shared" si="187"/>
        <v>X</v>
      </c>
      <c r="H1064" s="1" t="str">
        <f t="shared" si="187"/>
        <v>X</v>
      </c>
      <c r="I1064" s="1" t="str">
        <f t="shared" si="187"/>
        <v>X</v>
      </c>
      <c r="J1064" s="1" t="str">
        <f t="shared" si="187"/>
        <v>X</v>
      </c>
      <c r="K1064" s="1" t="str">
        <f t="shared" si="187"/>
        <v>X</v>
      </c>
      <c r="L1064" s="1" t="str">
        <f t="shared" si="187"/>
        <v>X</v>
      </c>
      <c r="M1064" s="1" t="str">
        <f t="shared" si="187"/>
        <v>X</v>
      </c>
      <c r="N1064" t="s">
        <v>27</v>
      </c>
    </row>
    <row r="1065" spans="1:14" x14ac:dyDescent="0.25">
      <c r="A1065" t="s">
        <v>14</v>
      </c>
      <c r="B1065" t="s">
        <v>39</v>
      </c>
      <c r="C1065" t="s">
        <v>35</v>
      </c>
      <c r="D1065" t="s">
        <v>15</v>
      </c>
      <c r="E1065" t="s">
        <v>22</v>
      </c>
      <c r="F1065" t="s">
        <v>19</v>
      </c>
      <c r="G1065" s="2">
        <f>VALUE(297.8610201369)</f>
        <v>297.86102013689998</v>
      </c>
      <c r="H1065" s="3">
        <f>VALUE(296.7042277761)</f>
        <v>296.70422777610003</v>
      </c>
      <c r="I1065" s="1">
        <f>VALUE(3408)</f>
        <v>3408</v>
      </c>
      <c r="J1065" s="1">
        <f>VALUE(3772)</f>
        <v>3772</v>
      </c>
      <c r="K1065" s="1">
        <f>VALUE(4044)</f>
        <v>4044</v>
      </c>
      <c r="L1065" s="1">
        <f>VALUE(4659)</f>
        <v>4659</v>
      </c>
      <c r="M1065" s="1">
        <f>VALUE(5007)</f>
        <v>5007</v>
      </c>
      <c r="N1065" t="s">
        <v>25</v>
      </c>
    </row>
    <row r="1066" spans="1:14" x14ac:dyDescent="0.25">
      <c r="A1066" t="s">
        <v>14</v>
      </c>
      <c r="B1066" t="s">
        <v>39</v>
      </c>
      <c r="C1066" t="s">
        <v>35</v>
      </c>
      <c r="D1066" t="s">
        <v>15</v>
      </c>
      <c r="E1066" t="s">
        <v>22</v>
      </c>
      <c r="F1066" t="s">
        <v>20</v>
      </c>
      <c r="G1066" s="1">
        <f>VALUE(1510.7589783833)</f>
        <v>1510.7589783833</v>
      </c>
      <c r="H1066" s="1">
        <f>VALUE(1518.2311287174)</f>
        <v>1518.2311287174</v>
      </c>
      <c r="I1066" s="1">
        <f>VALUE(3178)</f>
        <v>3178</v>
      </c>
      <c r="J1066" s="1">
        <f>VALUE(3596)</f>
        <v>3596</v>
      </c>
      <c r="K1066" s="1">
        <f>VALUE(4008)</f>
        <v>4008</v>
      </c>
      <c r="L1066" s="1">
        <f>VALUE(4528)</f>
        <v>4528</v>
      </c>
      <c r="M1066" s="1">
        <f>VALUE(5061)</f>
        <v>5061</v>
      </c>
      <c r="N1066" t="s">
        <v>16</v>
      </c>
    </row>
    <row r="1067" spans="1:14" x14ac:dyDescent="0.25">
      <c r="A1067" t="s">
        <v>14</v>
      </c>
      <c r="B1067" t="s">
        <v>39</v>
      </c>
      <c r="C1067" t="s">
        <v>35</v>
      </c>
      <c r="D1067" t="s">
        <v>15</v>
      </c>
      <c r="E1067" t="s">
        <v>23</v>
      </c>
      <c r="F1067" t="s">
        <v>15</v>
      </c>
      <c r="G1067" s="2">
        <f>VALUE(1592.940028554)</f>
        <v>1592.940028554</v>
      </c>
      <c r="H1067" s="3">
        <f>VALUE(1529.6675905715)</f>
        <v>1529.6675905715001</v>
      </c>
      <c r="I1067" s="1">
        <f>VALUE(2857)</f>
        <v>2857</v>
      </c>
      <c r="J1067" s="1">
        <f>VALUE(3143)</f>
        <v>3143</v>
      </c>
      <c r="K1067" s="1">
        <f>VALUE(3610)</f>
        <v>3610</v>
      </c>
      <c r="L1067" s="1">
        <f>VALUE(4228)</f>
        <v>4228</v>
      </c>
      <c r="M1067" s="1">
        <f>VALUE(4900)</f>
        <v>4900</v>
      </c>
      <c r="N1067" t="s">
        <v>25</v>
      </c>
    </row>
    <row r="1068" spans="1:14" x14ac:dyDescent="0.25">
      <c r="A1068" t="s">
        <v>14</v>
      </c>
      <c r="B1068" t="s">
        <v>39</v>
      </c>
      <c r="C1068" t="s">
        <v>35</v>
      </c>
      <c r="D1068" t="s">
        <v>15</v>
      </c>
      <c r="E1068" t="s">
        <v>23</v>
      </c>
      <c r="F1068" t="s">
        <v>17</v>
      </c>
      <c r="G1068" s="1" t="str">
        <f t="shared" ref="G1068:M1070" si="188">"X"</f>
        <v>X</v>
      </c>
      <c r="H1068" s="1" t="str">
        <f t="shared" si="188"/>
        <v>X</v>
      </c>
      <c r="I1068" s="1" t="str">
        <f t="shared" si="188"/>
        <v>X</v>
      </c>
      <c r="J1068" s="1" t="str">
        <f t="shared" si="188"/>
        <v>X</v>
      </c>
      <c r="K1068" s="1" t="str">
        <f t="shared" si="188"/>
        <v>X</v>
      </c>
      <c r="L1068" s="1" t="str">
        <f t="shared" si="188"/>
        <v>X</v>
      </c>
      <c r="M1068" s="1" t="str">
        <f t="shared" si="188"/>
        <v>X</v>
      </c>
      <c r="N1068" t="s">
        <v>27</v>
      </c>
    </row>
    <row r="1069" spans="1:14" x14ac:dyDescent="0.25">
      <c r="A1069" t="s">
        <v>14</v>
      </c>
      <c r="B1069" t="s">
        <v>39</v>
      </c>
      <c r="C1069" t="s">
        <v>35</v>
      </c>
      <c r="D1069" t="s">
        <v>15</v>
      </c>
      <c r="E1069" t="s">
        <v>23</v>
      </c>
      <c r="F1069" t="s">
        <v>18</v>
      </c>
      <c r="G1069" s="1" t="str">
        <f t="shared" si="188"/>
        <v>X</v>
      </c>
      <c r="H1069" s="1" t="str">
        <f t="shared" si="188"/>
        <v>X</v>
      </c>
      <c r="I1069" s="1" t="str">
        <f t="shared" si="188"/>
        <v>X</v>
      </c>
      <c r="J1069" s="1" t="str">
        <f t="shared" si="188"/>
        <v>X</v>
      </c>
      <c r="K1069" s="1" t="str">
        <f t="shared" si="188"/>
        <v>X</v>
      </c>
      <c r="L1069" s="1" t="str">
        <f t="shared" si="188"/>
        <v>X</v>
      </c>
      <c r="M1069" s="1" t="str">
        <f t="shared" si="188"/>
        <v>X</v>
      </c>
      <c r="N1069" t="s">
        <v>27</v>
      </c>
    </row>
    <row r="1070" spans="1:14" x14ac:dyDescent="0.25">
      <c r="A1070" t="s">
        <v>14</v>
      </c>
      <c r="B1070" t="s">
        <v>39</v>
      </c>
      <c r="C1070" t="s">
        <v>35</v>
      </c>
      <c r="D1070" t="s">
        <v>15</v>
      </c>
      <c r="E1070" t="s">
        <v>23</v>
      </c>
      <c r="F1070" t="s">
        <v>19</v>
      </c>
      <c r="G1070" s="1" t="str">
        <f t="shared" si="188"/>
        <v>X</v>
      </c>
      <c r="H1070" s="1" t="str">
        <f t="shared" si="188"/>
        <v>X</v>
      </c>
      <c r="I1070" s="1" t="str">
        <f t="shared" si="188"/>
        <v>X</v>
      </c>
      <c r="J1070" s="1" t="str">
        <f t="shared" si="188"/>
        <v>X</v>
      </c>
      <c r="K1070" s="1" t="str">
        <f t="shared" si="188"/>
        <v>X</v>
      </c>
      <c r="L1070" s="1" t="str">
        <f t="shared" si="188"/>
        <v>X</v>
      </c>
      <c r="M1070" s="1" t="str">
        <f t="shared" si="188"/>
        <v>X</v>
      </c>
      <c r="N1070" t="s">
        <v>27</v>
      </c>
    </row>
    <row r="1071" spans="1:14" x14ac:dyDescent="0.25">
      <c r="A1071" t="s">
        <v>14</v>
      </c>
      <c r="B1071" t="s">
        <v>39</v>
      </c>
      <c r="C1071" t="s">
        <v>35</v>
      </c>
      <c r="D1071" t="s">
        <v>15</v>
      </c>
      <c r="E1071" t="s">
        <v>23</v>
      </c>
      <c r="F1071" t="s">
        <v>20</v>
      </c>
      <c r="G1071" s="2">
        <f>VALUE(1428.3944107323)</f>
        <v>1428.3944107323</v>
      </c>
      <c r="H1071" s="3">
        <f>VALUE(1371.3201916616)</f>
        <v>1371.3201916615999</v>
      </c>
      <c r="I1071" s="1">
        <f>VALUE(2857)</f>
        <v>2857</v>
      </c>
      <c r="J1071" s="1">
        <f>VALUE(3143)</f>
        <v>3143</v>
      </c>
      <c r="K1071" s="1">
        <f>VALUE(3586)</f>
        <v>3586</v>
      </c>
      <c r="L1071" s="1">
        <f>VALUE(4201)</f>
        <v>4201</v>
      </c>
      <c r="M1071" s="1">
        <f>VALUE(4884)</f>
        <v>4884</v>
      </c>
      <c r="N1071" t="s">
        <v>25</v>
      </c>
    </row>
    <row r="1072" spans="1:14" x14ac:dyDescent="0.25">
      <c r="A1072" t="s">
        <v>14</v>
      </c>
      <c r="B1072" t="s">
        <v>39</v>
      </c>
      <c r="C1072" t="s">
        <v>35</v>
      </c>
      <c r="D1072" t="s">
        <v>15</v>
      </c>
      <c r="E1072" t="s">
        <v>26</v>
      </c>
      <c r="F1072" t="s">
        <v>15</v>
      </c>
      <c r="G1072" s="1" t="str">
        <f t="shared" ref="G1072:M1072" si="189">"X"</f>
        <v>X</v>
      </c>
      <c r="H1072" s="1" t="str">
        <f t="shared" si="189"/>
        <v>X</v>
      </c>
      <c r="I1072" s="1" t="str">
        <f t="shared" si="189"/>
        <v>X</v>
      </c>
      <c r="J1072" s="1" t="str">
        <f t="shared" si="189"/>
        <v>X</v>
      </c>
      <c r="K1072" s="1" t="str">
        <f t="shared" si="189"/>
        <v>X</v>
      </c>
      <c r="L1072" s="1" t="str">
        <f t="shared" si="189"/>
        <v>X</v>
      </c>
      <c r="M1072" s="1" t="str">
        <f t="shared" si="189"/>
        <v>X</v>
      </c>
      <c r="N1072" t="s">
        <v>27</v>
      </c>
    </row>
    <row r="1073" spans="1:14" x14ac:dyDescent="0.25">
      <c r="A1073" t="s">
        <v>14</v>
      </c>
      <c r="B1073" t="s">
        <v>39</v>
      </c>
      <c r="C1073" t="s">
        <v>35</v>
      </c>
      <c r="D1073" t="s">
        <v>15</v>
      </c>
      <c r="E1073" t="s">
        <v>26</v>
      </c>
      <c r="F1073" t="s">
        <v>17</v>
      </c>
      <c r="G1073" s="1" t="str">
        <f t="shared" ref="G1073:M1073" si="190">"..."</f>
        <v>...</v>
      </c>
      <c r="H1073" s="1" t="str">
        <f t="shared" si="190"/>
        <v>...</v>
      </c>
      <c r="I1073" s="1" t="str">
        <f t="shared" si="190"/>
        <v>...</v>
      </c>
      <c r="J1073" s="1" t="str">
        <f t="shared" si="190"/>
        <v>...</v>
      </c>
      <c r="K1073" s="1" t="str">
        <f t="shared" si="190"/>
        <v>...</v>
      </c>
      <c r="L1073" s="1" t="str">
        <f t="shared" si="190"/>
        <v>...</v>
      </c>
      <c r="M1073" s="1" t="str">
        <f t="shared" si="190"/>
        <v>...</v>
      </c>
      <c r="N1073" t="s">
        <v>30</v>
      </c>
    </row>
    <row r="1074" spans="1:14" x14ac:dyDescent="0.25">
      <c r="A1074" t="s">
        <v>14</v>
      </c>
      <c r="B1074" t="s">
        <v>39</v>
      </c>
      <c r="C1074" t="s">
        <v>35</v>
      </c>
      <c r="D1074" t="s">
        <v>15</v>
      </c>
      <c r="E1074" t="s">
        <v>26</v>
      </c>
      <c r="F1074" t="s">
        <v>18</v>
      </c>
      <c r="G1074" s="1" t="str">
        <f t="shared" ref="G1074:M1074" si="191">"X"</f>
        <v>X</v>
      </c>
      <c r="H1074" s="1" t="str">
        <f t="shared" si="191"/>
        <v>X</v>
      </c>
      <c r="I1074" s="1" t="str">
        <f t="shared" si="191"/>
        <v>X</v>
      </c>
      <c r="J1074" s="1" t="str">
        <f t="shared" si="191"/>
        <v>X</v>
      </c>
      <c r="K1074" s="1" t="str">
        <f t="shared" si="191"/>
        <v>X</v>
      </c>
      <c r="L1074" s="1" t="str">
        <f t="shared" si="191"/>
        <v>X</v>
      </c>
      <c r="M1074" s="1" t="str">
        <f t="shared" si="191"/>
        <v>X</v>
      </c>
      <c r="N1074" t="s">
        <v>27</v>
      </c>
    </row>
    <row r="1075" spans="1:14" x14ac:dyDescent="0.25">
      <c r="A1075" t="s">
        <v>14</v>
      </c>
      <c r="B1075" t="s">
        <v>39</v>
      </c>
      <c r="C1075" t="s">
        <v>35</v>
      </c>
      <c r="D1075" t="s">
        <v>15</v>
      </c>
      <c r="E1075" t="s">
        <v>26</v>
      </c>
      <c r="F1075" t="s">
        <v>19</v>
      </c>
      <c r="G1075" s="1" t="str">
        <f t="shared" ref="G1075:M1075" si="192">"..."</f>
        <v>...</v>
      </c>
      <c r="H1075" s="1" t="str">
        <f t="shared" si="192"/>
        <v>...</v>
      </c>
      <c r="I1075" s="1" t="str">
        <f t="shared" si="192"/>
        <v>...</v>
      </c>
      <c r="J1075" s="1" t="str">
        <f t="shared" si="192"/>
        <v>...</v>
      </c>
      <c r="K1075" s="1" t="str">
        <f t="shared" si="192"/>
        <v>...</v>
      </c>
      <c r="L1075" s="1" t="str">
        <f t="shared" si="192"/>
        <v>...</v>
      </c>
      <c r="M1075" s="1" t="str">
        <f t="shared" si="192"/>
        <v>...</v>
      </c>
      <c r="N1075" t="s">
        <v>30</v>
      </c>
    </row>
    <row r="1076" spans="1:14" x14ac:dyDescent="0.25">
      <c r="A1076" t="s">
        <v>14</v>
      </c>
      <c r="B1076" t="s">
        <v>39</v>
      </c>
      <c r="C1076" t="s">
        <v>35</v>
      </c>
      <c r="D1076" t="s">
        <v>15</v>
      </c>
      <c r="E1076" t="s">
        <v>26</v>
      </c>
      <c r="F1076" t="s">
        <v>20</v>
      </c>
      <c r="G1076" s="1" t="str">
        <f t="shared" ref="G1076:M1076" si="193">"X"</f>
        <v>X</v>
      </c>
      <c r="H1076" s="1" t="str">
        <f t="shared" si="193"/>
        <v>X</v>
      </c>
      <c r="I1076" s="1" t="str">
        <f t="shared" si="193"/>
        <v>X</v>
      </c>
      <c r="J1076" s="1" t="str">
        <f t="shared" si="193"/>
        <v>X</v>
      </c>
      <c r="K1076" s="1" t="str">
        <f t="shared" si="193"/>
        <v>X</v>
      </c>
      <c r="L1076" s="1" t="str">
        <f t="shared" si="193"/>
        <v>X</v>
      </c>
      <c r="M1076" s="1" t="str">
        <f t="shared" si="193"/>
        <v>X</v>
      </c>
      <c r="N1076" t="s">
        <v>27</v>
      </c>
    </row>
    <row r="1077" spans="1:14" x14ac:dyDescent="0.25">
      <c r="A1077" t="s">
        <v>14</v>
      </c>
      <c r="B1077" t="s">
        <v>39</v>
      </c>
      <c r="C1077" t="s">
        <v>35</v>
      </c>
      <c r="D1077" t="s">
        <v>28</v>
      </c>
      <c r="E1077" t="s">
        <v>15</v>
      </c>
      <c r="F1077" t="s">
        <v>15</v>
      </c>
      <c r="G1077" s="1">
        <f>VALUE(1684.7644420592)</f>
        <v>1684.7644420592001</v>
      </c>
      <c r="H1077" s="1">
        <f>VALUE(1613.216331903)</f>
        <v>1613.2163319030001</v>
      </c>
      <c r="I1077" s="1">
        <f>VALUE(3182)</f>
        <v>3182</v>
      </c>
      <c r="J1077" s="1">
        <f>VALUE(3590)</f>
        <v>3590</v>
      </c>
      <c r="K1077" s="1">
        <f>VALUE(4044)</f>
        <v>4044</v>
      </c>
      <c r="L1077" s="1">
        <f>VALUE(4550)</f>
        <v>4550</v>
      </c>
      <c r="M1077" s="1">
        <f>VALUE(5318)</f>
        <v>5318</v>
      </c>
      <c r="N1077" t="s">
        <v>16</v>
      </c>
    </row>
    <row r="1078" spans="1:14" x14ac:dyDescent="0.25">
      <c r="A1078" t="s">
        <v>14</v>
      </c>
      <c r="B1078" t="s">
        <v>39</v>
      </c>
      <c r="C1078" t="s">
        <v>35</v>
      </c>
      <c r="D1078" t="s">
        <v>28</v>
      </c>
      <c r="E1078" t="s">
        <v>15</v>
      </c>
      <c r="F1078" t="s">
        <v>17</v>
      </c>
      <c r="G1078" s="1" t="str">
        <f t="shared" ref="G1078:M1079" si="194">"X"</f>
        <v>X</v>
      </c>
      <c r="H1078" s="1" t="str">
        <f t="shared" si="194"/>
        <v>X</v>
      </c>
      <c r="I1078" s="1" t="str">
        <f t="shared" si="194"/>
        <v>X</v>
      </c>
      <c r="J1078" s="1" t="str">
        <f t="shared" si="194"/>
        <v>X</v>
      </c>
      <c r="K1078" s="1" t="str">
        <f t="shared" si="194"/>
        <v>X</v>
      </c>
      <c r="L1078" s="1" t="str">
        <f t="shared" si="194"/>
        <v>X</v>
      </c>
      <c r="M1078" s="1" t="str">
        <f t="shared" si="194"/>
        <v>X</v>
      </c>
      <c r="N1078" t="s">
        <v>27</v>
      </c>
    </row>
    <row r="1079" spans="1:14" x14ac:dyDescent="0.25">
      <c r="A1079" t="s">
        <v>14</v>
      </c>
      <c r="B1079" t="s">
        <v>39</v>
      </c>
      <c r="C1079" t="s">
        <v>35</v>
      </c>
      <c r="D1079" t="s">
        <v>28</v>
      </c>
      <c r="E1079" t="s">
        <v>15</v>
      </c>
      <c r="F1079" t="s">
        <v>18</v>
      </c>
      <c r="G1079" s="1" t="str">
        <f t="shared" si="194"/>
        <v>X</v>
      </c>
      <c r="H1079" s="1" t="str">
        <f t="shared" si="194"/>
        <v>X</v>
      </c>
      <c r="I1079" s="1" t="str">
        <f t="shared" si="194"/>
        <v>X</v>
      </c>
      <c r="J1079" s="1" t="str">
        <f t="shared" si="194"/>
        <v>X</v>
      </c>
      <c r="K1079" s="1" t="str">
        <f t="shared" si="194"/>
        <v>X</v>
      </c>
      <c r="L1079" s="1" t="str">
        <f t="shared" si="194"/>
        <v>X</v>
      </c>
      <c r="M1079" s="1" t="str">
        <f t="shared" si="194"/>
        <v>X</v>
      </c>
      <c r="N1079" t="s">
        <v>27</v>
      </c>
    </row>
    <row r="1080" spans="1:14" x14ac:dyDescent="0.25">
      <c r="A1080" t="s">
        <v>14</v>
      </c>
      <c r="B1080" t="s">
        <v>39</v>
      </c>
      <c r="C1080" t="s">
        <v>35</v>
      </c>
      <c r="D1080" t="s">
        <v>28</v>
      </c>
      <c r="E1080" t="s">
        <v>15</v>
      </c>
      <c r="F1080" t="s">
        <v>19</v>
      </c>
      <c r="G1080" s="2">
        <f>VALUE(192.2646366247)</f>
        <v>192.26463662469999</v>
      </c>
      <c r="H1080" s="3">
        <f>VALUE(187.4870590228)</f>
        <v>187.4870590228</v>
      </c>
      <c r="I1080" s="1">
        <f>VALUE(3600)</f>
        <v>3600</v>
      </c>
      <c r="J1080" s="1">
        <f>VALUE(3908)</f>
        <v>3908</v>
      </c>
      <c r="K1080" s="1">
        <f>VALUE(4227)</f>
        <v>4227</v>
      </c>
      <c r="L1080" s="1">
        <f>VALUE(4550)</f>
        <v>4550</v>
      </c>
      <c r="M1080" s="1">
        <f>VALUE(5066)</f>
        <v>5066</v>
      </c>
      <c r="N1080" t="s">
        <v>25</v>
      </c>
    </row>
    <row r="1081" spans="1:14" x14ac:dyDescent="0.25">
      <c r="A1081" t="s">
        <v>14</v>
      </c>
      <c r="B1081" t="s">
        <v>39</v>
      </c>
      <c r="C1081" t="s">
        <v>35</v>
      </c>
      <c r="D1081" t="s">
        <v>28</v>
      </c>
      <c r="E1081" t="s">
        <v>15</v>
      </c>
      <c r="F1081" t="s">
        <v>20</v>
      </c>
      <c r="G1081" s="2">
        <f>VALUE(1304.2151988683)</f>
        <v>1304.2151988682999</v>
      </c>
      <c r="H1081" s="3">
        <f>VALUE(1244.0963379023)</f>
        <v>1244.0963379023001</v>
      </c>
      <c r="I1081" s="1">
        <f>VALUE(3143)</f>
        <v>3143</v>
      </c>
      <c r="J1081" s="1">
        <f>VALUE(3583)</f>
        <v>3583</v>
      </c>
      <c r="K1081" s="1">
        <f>VALUE(3983)</f>
        <v>3983</v>
      </c>
      <c r="L1081" s="1">
        <f>VALUE(4525)</f>
        <v>4525</v>
      </c>
      <c r="M1081" s="1">
        <f>VALUE(5285)</f>
        <v>5285</v>
      </c>
      <c r="N1081" t="s">
        <v>25</v>
      </c>
    </row>
    <row r="1082" spans="1:14" x14ac:dyDescent="0.25">
      <c r="A1082" t="s">
        <v>14</v>
      </c>
      <c r="B1082" t="s">
        <v>39</v>
      </c>
      <c r="C1082" t="s">
        <v>35</v>
      </c>
      <c r="D1082" t="s">
        <v>28</v>
      </c>
      <c r="E1082" t="s">
        <v>21</v>
      </c>
      <c r="F1082" t="s">
        <v>15</v>
      </c>
      <c r="G1082" s="1" t="str">
        <f t="shared" ref="G1082:M1086" si="195">"X"</f>
        <v>X</v>
      </c>
      <c r="H1082" s="1" t="str">
        <f t="shared" si="195"/>
        <v>X</v>
      </c>
      <c r="I1082" s="1" t="str">
        <f t="shared" si="195"/>
        <v>X</v>
      </c>
      <c r="J1082" s="1" t="str">
        <f t="shared" si="195"/>
        <v>X</v>
      </c>
      <c r="K1082" s="1" t="str">
        <f t="shared" si="195"/>
        <v>X</v>
      </c>
      <c r="L1082" s="1" t="str">
        <f t="shared" si="195"/>
        <v>X</v>
      </c>
      <c r="M1082" s="1" t="str">
        <f t="shared" si="195"/>
        <v>X</v>
      </c>
      <c r="N1082" t="s">
        <v>27</v>
      </c>
    </row>
    <row r="1083" spans="1:14" x14ac:dyDescent="0.25">
      <c r="A1083" t="s">
        <v>14</v>
      </c>
      <c r="B1083" t="s">
        <v>39</v>
      </c>
      <c r="C1083" t="s">
        <v>35</v>
      </c>
      <c r="D1083" t="s">
        <v>28</v>
      </c>
      <c r="E1083" t="s">
        <v>21</v>
      </c>
      <c r="F1083" t="s">
        <v>17</v>
      </c>
      <c r="G1083" s="1" t="str">
        <f t="shared" si="195"/>
        <v>X</v>
      </c>
      <c r="H1083" s="1" t="str">
        <f t="shared" si="195"/>
        <v>X</v>
      </c>
      <c r="I1083" s="1" t="str">
        <f t="shared" si="195"/>
        <v>X</v>
      </c>
      <c r="J1083" s="1" t="str">
        <f t="shared" si="195"/>
        <v>X</v>
      </c>
      <c r="K1083" s="1" t="str">
        <f t="shared" si="195"/>
        <v>X</v>
      </c>
      <c r="L1083" s="1" t="str">
        <f t="shared" si="195"/>
        <v>X</v>
      </c>
      <c r="M1083" s="1" t="str">
        <f t="shared" si="195"/>
        <v>X</v>
      </c>
      <c r="N1083" t="s">
        <v>27</v>
      </c>
    </row>
    <row r="1084" spans="1:14" x14ac:dyDescent="0.25">
      <c r="A1084" t="s">
        <v>14</v>
      </c>
      <c r="B1084" t="s">
        <v>39</v>
      </c>
      <c r="C1084" t="s">
        <v>35</v>
      </c>
      <c r="D1084" t="s">
        <v>28</v>
      </c>
      <c r="E1084" t="s">
        <v>21</v>
      </c>
      <c r="F1084" t="s">
        <v>18</v>
      </c>
      <c r="G1084" s="1" t="str">
        <f t="shared" si="195"/>
        <v>X</v>
      </c>
      <c r="H1084" s="1" t="str">
        <f t="shared" si="195"/>
        <v>X</v>
      </c>
      <c r="I1084" s="1" t="str">
        <f t="shared" si="195"/>
        <v>X</v>
      </c>
      <c r="J1084" s="1" t="str">
        <f t="shared" si="195"/>
        <v>X</v>
      </c>
      <c r="K1084" s="1" t="str">
        <f t="shared" si="195"/>
        <v>X</v>
      </c>
      <c r="L1084" s="1" t="str">
        <f t="shared" si="195"/>
        <v>X</v>
      </c>
      <c r="M1084" s="1" t="str">
        <f t="shared" si="195"/>
        <v>X</v>
      </c>
      <c r="N1084" t="s">
        <v>27</v>
      </c>
    </row>
    <row r="1085" spans="1:14" x14ac:dyDescent="0.25">
      <c r="A1085" t="s">
        <v>14</v>
      </c>
      <c r="B1085" t="s">
        <v>39</v>
      </c>
      <c r="C1085" t="s">
        <v>35</v>
      </c>
      <c r="D1085" t="s">
        <v>28</v>
      </c>
      <c r="E1085" t="s">
        <v>21</v>
      </c>
      <c r="F1085" t="s">
        <v>19</v>
      </c>
      <c r="G1085" s="1" t="str">
        <f t="shared" si="195"/>
        <v>X</v>
      </c>
      <c r="H1085" s="1" t="str">
        <f t="shared" si="195"/>
        <v>X</v>
      </c>
      <c r="I1085" s="1" t="str">
        <f t="shared" si="195"/>
        <v>X</v>
      </c>
      <c r="J1085" s="1" t="str">
        <f t="shared" si="195"/>
        <v>X</v>
      </c>
      <c r="K1085" s="1" t="str">
        <f t="shared" si="195"/>
        <v>X</v>
      </c>
      <c r="L1085" s="1" t="str">
        <f t="shared" si="195"/>
        <v>X</v>
      </c>
      <c r="M1085" s="1" t="str">
        <f t="shared" si="195"/>
        <v>X</v>
      </c>
      <c r="N1085" t="s">
        <v>27</v>
      </c>
    </row>
    <row r="1086" spans="1:14" x14ac:dyDescent="0.25">
      <c r="A1086" t="s">
        <v>14</v>
      </c>
      <c r="B1086" t="s">
        <v>39</v>
      </c>
      <c r="C1086" t="s">
        <v>35</v>
      </c>
      <c r="D1086" t="s">
        <v>28</v>
      </c>
      <c r="E1086" t="s">
        <v>21</v>
      </c>
      <c r="F1086" t="s">
        <v>20</v>
      </c>
      <c r="G1086" s="1" t="str">
        <f t="shared" si="195"/>
        <v>X</v>
      </c>
      <c r="H1086" s="1" t="str">
        <f t="shared" si="195"/>
        <v>X</v>
      </c>
      <c r="I1086" s="1" t="str">
        <f t="shared" si="195"/>
        <v>X</v>
      </c>
      <c r="J1086" s="1" t="str">
        <f t="shared" si="195"/>
        <v>X</v>
      </c>
      <c r="K1086" s="1" t="str">
        <f t="shared" si="195"/>
        <v>X</v>
      </c>
      <c r="L1086" s="1" t="str">
        <f t="shared" si="195"/>
        <v>X</v>
      </c>
      <c r="M1086" s="1" t="str">
        <f t="shared" si="195"/>
        <v>X</v>
      </c>
      <c r="N1086" t="s">
        <v>27</v>
      </c>
    </row>
    <row r="1087" spans="1:14" x14ac:dyDescent="0.25">
      <c r="A1087" t="s">
        <v>14</v>
      </c>
      <c r="B1087" t="s">
        <v>39</v>
      </c>
      <c r="C1087" t="s">
        <v>35</v>
      </c>
      <c r="D1087" t="s">
        <v>28</v>
      </c>
      <c r="E1087" t="s">
        <v>22</v>
      </c>
      <c r="F1087" t="s">
        <v>15</v>
      </c>
      <c r="G1087" s="2">
        <f>VALUE(1125.9206714296)</f>
        <v>1125.9206714295999</v>
      </c>
      <c r="H1087" s="3">
        <f>VALUE(1132.6439002383)</f>
        <v>1132.6439002382999</v>
      </c>
      <c r="I1087" s="1">
        <f>VALUE(3250)</f>
        <v>3250</v>
      </c>
      <c r="J1087" s="1">
        <f>VALUE(3653)</f>
        <v>3653</v>
      </c>
      <c r="K1087" s="1">
        <f>VALUE(4070)</f>
        <v>4070</v>
      </c>
      <c r="L1087" s="1">
        <f>VALUE(4550)</f>
        <v>4550</v>
      </c>
      <c r="M1087" s="8">
        <f>VALUE(5234)</f>
        <v>5234</v>
      </c>
      <c r="N1087" t="s">
        <v>25</v>
      </c>
    </row>
    <row r="1088" spans="1:14" x14ac:dyDescent="0.25">
      <c r="A1088" t="s">
        <v>14</v>
      </c>
      <c r="B1088" t="s">
        <v>39</v>
      </c>
      <c r="C1088" t="s">
        <v>35</v>
      </c>
      <c r="D1088" t="s">
        <v>28</v>
      </c>
      <c r="E1088" t="s">
        <v>22</v>
      </c>
      <c r="F1088" t="s">
        <v>17</v>
      </c>
      <c r="G1088" s="1" t="str">
        <f t="shared" ref="G1088:M1089" si="196">"X"</f>
        <v>X</v>
      </c>
      <c r="H1088" s="1" t="str">
        <f t="shared" si="196"/>
        <v>X</v>
      </c>
      <c r="I1088" s="1" t="str">
        <f t="shared" si="196"/>
        <v>X</v>
      </c>
      <c r="J1088" s="1" t="str">
        <f t="shared" si="196"/>
        <v>X</v>
      </c>
      <c r="K1088" s="1" t="str">
        <f t="shared" si="196"/>
        <v>X</v>
      </c>
      <c r="L1088" s="1" t="str">
        <f t="shared" si="196"/>
        <v>X</v>
      </c>
      <c r="M1088" s="1" t="str">
        <f t="shared" si="196"/>
        <v>X</v>
      </c>
      <c r="N1088" t="s">
        <v>27</v>
      </c>
    </row>
    <row r="1089" spans="1:14" x14ac:dyDescent="0.25">
      <c r="A1089" t="s">
        <v>14</v>
      </c>
      <c r="B1089" t="s">
        <v>39</v>
      </c>
      <c r="C1089" t="s">
        <v>35</v>
      </c>
      <c r="D1089" t="s">
        <v>28</v>
      </c>
      <c r="E1089" t="s">
        <v>22</v>
      </c>
      <c r="F1089" t="s">
        <v>18</v>
      </c>
      <c r="G1089" s="1" t="str">
        <f t="shared" si="196"/>
        <v>X</v>
      </c>
      <c r="H1089" s="1" t="str">
        <f t="shared" si="196"/>
        <v>X</v>
      </c>
      <c r="I1089" s="1" t="str">
        <f t="shared" si="196"/>
        <v>X</v>
      </c>
      <c r="J1089" s="1" t="str">
        <f t="shared" si="196"/>
        <v>X</v>
      </c>
      <c r="K1089" s="1" t="str">
        <f t="shared" si="196"/>
        <v>X</v>
      </c>
      <c r="L1089" s="1" t="str">
        <f t="shared" si="196"/>
        <v>X</v>
      </c>
      <c r="M1089" s="1" t="str">
        <f t="shared" si="196"/>
        <v>X</v>
      </c>
      <c r="N1089" t="s">
        <v>27</v>
      </c>
    </row>
    <row r="1090" spans="1:14" x14ac:dyDescent="0.25">
      <c r="A1090" t="s">
        <v>14</v>
      </c>
      <c r="B1090" t="s">
        <v>39</v>
      </c>
      <c r="C1090" t="s">
        <v>35</v>
      </c>
      <c r="D1090" t="s">
        <v>28</v>
      </c>
      <c r="E1090" t="s">
        <v>22</v>
      </c>
      <c r="F1090" t="s">
        <v>19</v>
      </c>
      <c r="G1090" s="2">
        <f>VALUE(136.0310306235)</f>
        <v>136.03103062349999</v>
      </c>
      <c r="H1090" s="3">
        <f>VALUE(135.9961824557)</f>
        <v>135.99618245569999</v>
      </c>
      <c r="I1090" s="1">
        <f>VALUE(3714)</f>
        <v>3714</v>
      </c>
      <c r="J1090" s="1">
        <f>VALUE(3900)</f>
        <v>3900</v>
      </c>
      <c r="K1090" s="1">
        <f>VALUE(4138)</f>
        <v>4138</v>
      </c>
      <c r="L1090" s="1">
        <f>VALUE(4404)</f>
        <v>4404</v>
      </c>
      <c r="M1090" s="1">
        <f>VALUE(4958)</f>
        <v>4958</v>
      </c>
      <c r="N1090" t="s">
        <v>25</v>
      </c>
    </row>
    <row r="1091" spans="1:14" x14ac:dyDescent="0.25">
      <c r="A1091" t="s">
        <v>14</v>
      </c>
      <c r="B1091" t="s">
        <v>39</v>
      </c>
      <c r="C1091" t="s">
        <v>35</v>
      </c>
      <c r="D1091" t="s">
        <v>28</v>
      </c>
      <c r="E1091" t="s">
        <v>22</v>
      </c>
      <c r="F1091" t="s">
        <v>20</v>
      </c>
      <c r="G1091" s="2">
        <f>VALUE(860.214603935)</f>
        <v>860.21460393500001</v>
      </c>
      <c r="H1091" s="3">
        <f>VALUE(864.6553316034)</f>
        <v>864.65533160339999</v>
      </c>
      <c r="I1091" s="1">
        <f>VALUE(3231)</f>
        <v>3231</v>
      </c>
      <c r="J1091" s="1">
        <f>VALUE(3642)</f>
        <v>3642</v>
      </c>
      <c r="K1091" s="1">
        <f>VALUE(4050)</f>
        <v>4050</v>
      </c>
      <c r="L1091" s="1">
        <f>VALUE(4550)</f>
        <v>4550</v>
      </c>
      <c r="M1091" s="1">
        <f>VALUE(5060)</f>
        <v>5060</v>
      </c>
      <c r="N1091" t="s">
        <v>25</v>
      </c>
    </row>
    <row r="1092" spans="1:14" x14ac:dyDescent="0.25">
      <c r="A1092" t="s">
        <v>14</v>
      </c>
      <c r="B1092" t="s">
        <v>39</v>
      </c>
      <c r="C1092" t="s">
        <v>35</v>
      </c>
      <c r="D1092" t="s">
        <v>28</v>
      </c>
      <c r="E1092" t="s">
        <v>23</v>
      </c>
      <c r="F1092" t="s">
        <v>15</v>
      </c>
      <c r="G1092" s="2">
        <f>VALUE(355.5836838864)</f>
        <v>355.58368388640002</v>
      </c>
      <c r="H1092" s="3">
        <f>VALUE(295.5229579359)</f>
        <v>295.52295793590002</v>
      </c>
      <c r="I1092" s="4">
        <f>VALUE(3106)</f>
        <v>3106</v>
      </c>
      <c r="J1092" s="1">
        <f>VALUE(3307)</f>
        <v>3307</v>
      </c>
      <c r="K1092" s="1">
        <f>VALUE(3688)</f>
        <v>3688</v>
      </c>
      <c r="L1092" s="1">
        <f>VALUE(4279)</f>
        <v>4279</v>
      </c>
      <c r="M1092" s="8">
        <f>VALUE(5184)</f>
        <v>5184</v>
      </c>
      <c r="N1092" t="s">
        <v>25</v>
      </c>
    </row>
    <row r="1093" spans="1:14" x14ac:dyDescent="0.25">
      <c r="A1093" t="s">
        <v>14</v>
      </c>
      <c r="B1093" t="s">
        <v>39</v>
      </c>
      <c r="C1093" t="s">
        <v>35</v>
      </c>
      <c r="D1093" t="s">
        <v>28</v>
      </c>
      <c r="E1093" t="s">
        <v>23</v>
      </c>
      <c r="F1093" t="s">
        <v>17</v>
      </c>
      <c r="G1093" s="1" t="str">
        <f t="shared" ref="G1093:M1093" si="197">"..."</f>
        <v>...</v>
      </c>
      <c r="H1093" s="1" t="str">
        <f t="shared" si="197"/>
        <v>...</v>
      </c>
      <c r="I1093" s="1" t="str">
        <f t="shared" si="197"/>
        <v>...</v>
      </c>
      <c r="J1093" s="1" t="str">
        <f t="shared" si="197"/>
        <v>...</v>
      </c>
      <c r="K1093" s="1" t="str">
        <f t="shared" si="197"/>
        <v>...</v>
      </c>
      <c r="L1093" s="1" t="str">
        <f t="shared" si="197"/>
        <v>...</v>
      </c>
      <c r="M1093" s="1" t="str">
        <f t="shared" si="197"/>
        <v>...</v>
      </c>
      <c r="N1093" t="s">
        <v>30</v>
      </c>
    </row>
    <row r="1094" spans="1:14" x14ac:dyDescent="0.25">
      <c r="A1094" t="s">
        <v>14</v>
      </c>
      <c r="B1094" t="s">
        <v>39</v>
      </c>
      <c r="C1094" t="s">
        <v>35</v>
      </c>
      <c r="D1094" t="s">
        <v>28</v>
      </c>
      <c r="E1094" t="s">
        <v>23</v>
      </c>
      <c r="F1094" t="s">
        <v>18</v>
      </c>
      <c r="G1094" s="1" t="str">
        <f t="shared" ref="G1094:M1095" si="198">"X"</f>
        <v>X</v>
      </c>
      <c r="H1094" s="1" t="str">
        <f t="shared" si="198"/>
        <v>X</v>
      </c>
      <c r="I1094" s="1" t="str">
        <f t="shared" si="198"/>
        <v>X</v>
      </c>
      <c r="J1094" s="1" t="str">
        <f t="shared" si="198"/>
        <v>X</v>
      </c>
      <c r="K1094" s="1" t="str">
        <f t="shared" si="198"/>
        <v>X</v>
      </c>
      <c r="L1094" s="1" t="str">
        <f t="shared" si="198"/>
        <v>X</v>
      </c>
      <c r="M1094" s="1" t="str">
        <f t="shared" si="198"/>
        <v>X</v>
      </c>
      <c r="N1094" t="s">
        <v>27</v>
      </c>
    </row>
    <row r="1095" spans="1:14" x14ac:dyDescent="0.25">
      <c r="A1095" t="s">
        <v>14</v>
      </c>
      <c r="B1095" t="s">
        <v>39</v>
      </c>
      <c r="C1095" t="s">
        <v>35</v>
      </c>
      <c r="D1095" t="s">
        <v>28</v>
      </c>
      <c r="E1095" t="s">
        <v>23</v>
      </c>
      <c r="F1095" t="s">
        <v>19</v>
      </c>
      <c r="G1095" s="1" t="str">
        <f t="shared" si="198"/>
        <v>X</v>
      </c>
      <c r="H1095" s="1" t="str">
        <f t="shared" si="198"/>
        <v>X</v>
      </c>
      <c r="I1095" s="1" t="str">
        <f t="shared" si="198"/>
        <v>X</v>
      </c>
      <c r="J1095" s="1" t="str">
        <f t="shared" si="198"/>
        <v>X</v>
      </c>
      <c r="K1095" s="1" t="str">
        <f t="shared" si="198"/>
        <v>X</v>
      </c>
      <c r="L1095" s="1" t="str">
        <f t="shared" si="198"/>
        <v>X</v>
      </c>
      <c r="M1095" s="1" t="str">
        <f t="shared" si="198"/>
        <v>X</v>
      </c>
      <c r="N1095" t="s">
        <v>27</v>
      </c>
    </row>
    <row r="1096" spans="1:14" x14ac:dyDescent="0.25">
      <c r="A1096" t="s">
        <v>14</v>
      </c>
      <c r="B1096" t="s">
        <v>39</v>
      </c>
      <c r="C1096" t="s">
        <v>35</v>
      </c>
      <c r="D1096" t="s">
        <v>28</v>
      </c>
      <c r="E1096" t="s">
        <v>23</v>
      </c>
      <c r="F1096" t="s">
        <v>20</v>
      </c>
      <c r="G1096" s="2">
        <f>VALUE(318.1110769229)</f>
        <v>318.1110769229</v>
      </c>
      <c r="H1096" s="3">
        <f>VALUE(265.7481874166)</f>
        <v>265.74818741659999</v>
      </c>
      <c r="I1096" s="4">
        <f>VALUE(3106)</f>
        <v>3106</v>
      </c>
      <c r="J1096" s="1">
        <f>VALUE(3278)</f>
        <v>3278</v>
      </c>
      <c r="K1096" s="1">
        <f>VALUE(3665)</f>
        <v>3665</v>
      </c>
      <c r="L1096" s="7">
        <f>VALUE(4182)</f>
        <v>4182</v>
      </c>
      <c r="M1096" s="8">
        <f>VALUE(5184)</f>
        <v>5184</v>
      </c>
      <c r="N1096" t="s">
        <v>25</v>
      </c>
    </row>
    <row r="1097" spans="1:14" x14ac:dyDescent="0.25">
      <c r="A1097" t="s">
        <v>14</v>
      </c>
      <c r="B1097" t="s">
        <v>39</v>
      </c>
      <c r="C1097" t="s">
        <v>35</v>
      </c>
      <c r="D1097" t="s">
        <v>28</v>
      </c>
      <c r="E1097" t="s">
        <v>26</v>
      </c>
      <c r="F1097" t="s">
        <v>15</v>
      </c>
      <c r="G1097" s="1" t="str">
        <f t="shared" ref="G1097:M1097" si="199">"X"</f>
        <v>X</v>
      </c>
      <c r="H1097" s="1" t="str">
        <f t="shared" si="199"/>
        <v>X</v>
      </c>
      <c r="I1097" s="1" t="str">
        <f t="shared" si="199"/>
        <v>X</v>
      </c>
      <c r="J1097" s="1" t="str">
        <f t="shared" si="199"/>
        <v>X</v>
      </c>
      <c r="K1097" s="1" t="str">
        <f t="shared" si="199"/>
        <v>X</v>
      </c>
      <c r="L1097" s="1" t="str">
        <f t="shared" si="199"/>
        <v>X</v>
      </c>
      <c r="M1097" s="1" t="str">
        <f t="shared" si="199"/>
        <v>X</v>
      </c>
      <c r="N1097" t="s">
        <v>27</v>
      </c>
    </row>
    <row r="1098" spans="1:14" x14ac:dyDescent="0.25">
      <c r="A1098" t="s">
        <v>14</v>
      </c>
      <c r="B1098" t="s">
        <v>39</v>
      </c>
      <c r="C1098" t="s">
        <v>35</v>
      </c>
      <c r="D1098" t="s">
        <v>28</v>
      </c>
      <c r="E1098" t="s">
        <v>26</v>
      </c>
      <c r="F1098" t="s">
        <v>17</v>
      </c>
      <c r="G1098" s="1" t="str">
        <f t="shared" ref="G1098:M1098" si="200">"..."</f>
        <v>...</v>
      </c>
      <c r="H1098" s="1" t="str">
        <f t="shared" si="200"/>
        <v>...</v>
      </c>
      <c r="I1098" s="1" t="str">
        <f t="shared" si="200"/>
        <v>...</v>
      </c>
      <c r="J1098" s="1" t="str">
        <f t="shared" si="200"/>
        <v>...</v>
      </c>
      <c r="K1098" s="1" t="str">
        <f t="shared" si="200"/>
        <v>...</v>
      </c>
      <c r="L1098" s="1" t="str">
        <f t="shared" si="200"/>
        <v>...</v>
      </c>
      <c r="M1098" s="1" t="str">
        <f t="shared" si="200"/>
        <v>...</v>
      </c>
      <c r="N1098" t="s">
        <v>30</v>
      </c>
    </row>
    <row r="1099" spans="1:14" x14ac:dyDescent="0.25">
      <c r="A1099" t="s">
        <v>14</v>
      </c>
      <c r="B1099" t="s">
        <v>39</v>
      </c>
      <c r="C1099" t="s">
        <v>35</v>
      </c>
      <c r="D1099" t="s">
        <v>28</v>
      </c>
      <c r="E1099" t="s">
        <v>26</v>
      </c>
      <c r="F1099" t="s">
        <v>18</v>
      </c>
      <c r="G1099" s="1" t="str">
        <f t="shared" ref="G1099:M1099" si="201">"X"</f>
        <v>X</v>
      </c>
      <c r="H1099" s="1" t="str">
        <f t="shared" si="201"/>
        <v>X</v>
      </c>
      <c r="I1099" s="1" t="str">
        <f t="shared" si="201"/>
        <v>X</v>
      </c>
      <c r="J1099" s="1" t="str">
        <f t="shared" si="201"/>
        <v>X</v>
      </c>
      <c r="K1099" s="1" t="str">
        <f t="shared" si="201"/>
        <v>X</v>
      </c>
      <c r="L1099" s="1" t="str">
        <f t="shared" si="201"/>
        <v>X</v>
      </c>
      <c r="M1099" s="1" t="str">
        <f t="shared" si="201"/>
        <v>X</v>
      </c>
      <c r="N1099" t="s">
        <v>27</v>
      </c>
    </row>
    <row r="1100" spans="1:14" x14ac:dyDescent="0.25">
      <c r="A1100" t="s">
        <v>14</v>
      </c>
      <c r="B1100" t="s">
        <v>39</v>
      </c>
      <c r="C1100" t="s">
        <v>35</v>
      </c>
      <c r="D1100" t="s">
        <v>28</v>
      </c>
      <c r="E1100" t="s">
        <v>26</v>
      </c>
      <c r="F1100" t="s">
        <v>19</v>
      </c>
      <c r="G1100" s="1" t="str">
        <f t="shared" ref="G1100:M1100" si="202">"..."</f>
        <v>...</v>
      </c>
      <c r="H1100" s="1" t="str">
        <f t="shared" si="202"/>
        <v>...</v>
      </c>
      <c r="I1100" s="1" t="str">
        <f t="shared" si="202"/>
        <v>...</v>
      </c>
      <c r="J1100" s="1" t="str">
        <f t="shared" si="202"/>
        <v>...</v>
      </c>
      <c r="K1100" s="1" t="str">
        <f t="shared" si="202"/>
        <v>...</v>
      </c>
      <c r="L1100" s="1" t="str">
        <f t="shared" si="202"/>
        <v>...</v>
      </c>
      <c r="M1100" s="1" t="str">
        <f t="shared" si="202"/>
        <v>...</v>
      </c>
      <c r="N1100" t="s">
        <v>30</v>
      </c>
    </row>
    <row r="1101" spans="1:14" x14ac:dyDescent="0.25">
      <c r="A1101" t="s">
        <v>14</v>
      </c>
      <c r="B1101" t="s">
        <v>39</v>
      </c>
      <c r="C1101" t="s">
        <v>35</v>
      </c>
      <c r="D1101" t="s">
        <v>28</v>
      </c>
      <c r="E1101" t="s">
        <v>26</v>
      </c>
      <c r="F1101" t="s">
        <v>20</v>
      </c>
      <c r="G1101" s="1" t="str">
        <f t="shared" ref="G1101:M1101" si="203">"X"</f>
        <v>X</v>
      </c>
      <c r="H1101" s="1" t="str">
        <f t="shared" si="203"/>
        <v>X</v>
      </c>
      <c r="I1101" s="1" t="str">
        <f t="shared" si="203"/>
        <v>X</v>
      </c>
      <c r="J1101" s="1" t="str">
        <f t="shared" si="203"/>
        <v>X</v>
      </c>
      <c r="K1101" s="1" t="str">
        <f t="shared" si="203"/>
        <v>X</v>
      </c>
      <c r="L1101" s="1" t="str">
        <f t="shared" si="203"/>
        <v>X</v>
      </c>
      <c r="M1101" s="1" t="str">
        <f t="shared" si="203"/>
        <v>X</v>
      </c>
      <c r="N1101" t="s">
        <v>27</v>
      </c>
    </row>
    <row r="1102" spans="1:14" x14ac:dyDescent="0.25">
      <c r="A1102" t="s">
        <v>14</v>
      </c>
      <c r="B1102" t="s">
        <v>39</v>
      </c>
      <c r="C1102" t="s">
        <v>35</v>
      </c>
      <c r="D1102" t="s">
        <v>29</v>
      </c>
      <c r="E1102" t="s">
        <v>15</v>
      </c>
      <c r="F1102" t="s">
        <v>15</v>
      </c>
      <c r="G1102" s="2">
        <f>VALUE(515.1902110434)</f>
        <v>515.19021104340004</v>
      </c>
      <c r="H1102" s="3">
        <f>VALUE(494.9598190177)</f>
        <v>494.9598190177</v>
      </c>
      <c r="I1102" s="1">
        <f>VALUE(3186)</f>
        <v>3186</v>
      </c>
      <c r="J1102" s="1">
        <f>VALUE(3546)</f>
        <v>3546</v>
      </c>
      <c r="K1102" s="1">
        <f>VALUE(4083)</f>
        <v>4083</v>
      </c>
      <c r="L1102" s="1">
        <f>VALUE(4544)</f>
        <v>4544</v>
      </c>
      <c r="M1102" s="1">
        <f>VALUE(5229)</f>
        <v>5229</v>
      </c>
      <c r="N1102" t="s">
        <v>25</v>
      </c>
    </row>
    <row r="1103" spans="1:14" x14ac:dyDescent="0.25">
      <c r="A1103" t="s">
        <v>14</v>
      </c>
      <c r="B1103" t="s">
        <v>39</v>
      </c>
      <c r="C1103" t="s">
        <v>35</v>
      </c>
      <c r="D1103" t="s">
        <v>29</v>
      </c>
      <c r="E1103" t="s">
        <v>15</v>
      </c>
      <c r="F1103" t="s">
        <v>17</v>
      </c>
      <c r="G1103" s="1" t="str">
        <f t="shared" ref="G1103:M1105" si="204">"X"</f>
        <v>X</v>
      </c>
      <c r="H1103" s="1" t="str">
        <f t="shared" si="204"/>
        <v>X</v>
      </c>
      <c r="I1103" s="1" t="str">
        <f t="shared" si="204"/>
        <v>X</v>
      </c>
      <c r="J1103" s="1" t="str">
        <f t="shared" si="204"/>
        <v>X</v>
      </c>
      <c r="K1103" s="1" t="str">
        <f t="shared" si="204"/>
        <v>X</v>
      </c>
      <c r="L1103" s="1" t="str">
        <f t="shared" si="204"/>
        <v>X</v>
      </c>
      <c r="M1103" s="1" t="str">
        <f t="shared" si="204"/>
        <v>X</v>
      </c>
      <c r="N1103" t="s">
        <v>27</v>
      </c>
    </row>
    <row r="1104" spans="1:14" x14ac:dyDescent="0.25">
      <c r="A1104" t="s">
        <v>14</v>
      </c>
      <c r="B1104" t="s">
        <v>39</v>
      </c>
      <c r="C1104" t="s">
        <v>35</v>
      </c>
      <c r="D1104" t="s">
        <v>29</v>
      </c>
      <c r="E1104" t="s">
        <v>15</v>
      </c>
      <c r="F1104" t="s">
        <v>18</v>
      </c>
      <c r="G1104" s="1" t="str">
        <f t="shared" si="204"/>
        <v>X</v>
      </c>
      <c r="H1104" s="1" t="str">
        <f t="shared" si="204"/>
        <v>X</v>
      </c>
      <c r="I1104" s="1" t="str">
        <f t="shared" si="204"/>
        <v>X</v>
      </c>
      <c r="J1104" s="1" t="str">
        <f t="shared" si="204"/>
        <v>X</v>
      </c>
      <c r="K1104" s="1" t="str">
        <f t="shared" si="204"/>
        <v>X</v>
      </c>
      <c r="L1104" s="1" t="str">
        <f t="shared" si="204"/>
        <v>X</v>
      </c>
      <c r="M1104" s="1" t="str">
        <f t="shared" si="204"/>
        <v>X</v>
      </c>
      <c r="N1104" t="s">
        <v>27</v>
      </c>
    </row>
    <row r="1105" spans="1:14" x14ac:dyDescent="0.25">
      <c r="A1105" t="s">
        <v>14</v>
      </c>
      <c r="B1105" t="s">
        <v>39</v>
      </c>
      <c r="C1105" t="s">
        <v>35</v>
      </c>
      <c r="D1105" t="s">
        <v>29</v>
      </c>
      <c r="E1105" t="s">
        <v>15</v>
      </c>
      <c r="F1105" t="s">
        <v>19</v>
      </c>
      <c r="G1105" s="1" t="str">
        <f t="shared" si="204"/>
        <v>X</v>
      </c>
      <c r="H1105" s="1" t="str">
        <f t="shared" si="204"/>
        <v>X</v>
      </c>
      <c r="I1105" s="1" t="str">
        <f t="shared" si="204"/>
        <v>X</v>
      </c>
      <c r="J1105" s="1" t="str">
        <f t="shared" si="204"/>
        <v>X</v>
      </c>
      <c r="K1105" s="1" t="str">
        <f t="shared" si="204"/>
        <v>X</v>
      </c>
      <c r="L1105" s="1" t="str">
        <f t="shared" si="204"/>
        <v>X</v>
      </c>
      <c r="M1105" s="1" t="str">
        <f t="shared" si="204"/>
        <v>X</v>
      </c>
      <c r="N1105" t="s">
        <v>27</v>
      </c>
    </row>
    <row r="1106" spans="1:14" x14ac:dyDescent="0.25">
      <c r="A1106" t="s">
        <v>14</v>
      </c>
      <c r="B1106" t="s">
        <v>39</v>
      </c>
      <c r="C1106" t="s">
        <v>35</v>
      </c>
      <c r="D1106" t="s">
        <v>29</v>
      </c>
      <c r="E1106" t="s">
        <v>15</v>
      </c>
      <c r="F1106" t="s">
        <v>20</v>
      </c>
      <c r="G1106" s="2">
        <f>VALUE(381.8991901687)</f>
        <v>381.89919016869999</v>
      </c>
      <c r="H1106" s="3">
        <f>VALUE(363.48918023)</f>
        <v>363.48918022999999</v>
      </c>
      <c r="I1106" s="4">
        <f>VALUE(3238)</f>
        <v>3238</v>
      </c>
      <c r="J1106" s="1">
        <f>VALUE(3527)</f>
        <v>3527</v>
      </c>
      <c r="K1106" s="1">
        <f>VALUE(4008)</f>
        <v>4008</v>
      </c>
      <c r="L1106" s="1">
        <f>VALUE(4460)</f>
        <v>4460</v>
      </c>
      <c r="M1106" s="8">
        <f>VALUE(5353)</f>
        <v>5353</v>
      </c>
      <c r="N1106" t="s">
        <v>25</v>
      </c>
    </row>
    <row r="1107" spans="1:14" x14ac:dyDescent="0.25">
      <c r="A1107" t="s">
        <v>14</v>
      </c>
      <c r="B1107" t="s">
        <v>39</v>
      </c>
      <c r="C1107" t="s">
        <v>35</v>
      </c>
      <c r="D1107" t="s">
        <v>29</v>
      </c>
      <c r="E1107" t="s">
        <v>21</v>
      </c>
      <c r="F1107" t="s">
        <v>15</v>
      </c>
      <c r="G1107" s="1" t="str">
        <f t="shared" ref="G1107:M1107" si="205">"X"</f>
        <v>X</v>
      </c>
      <c r="H1107" s="1" t="str">
        <f t="shared" si="205"/>
        <v>X</v>
      </c>
      <c r="I1107" s="1" t="str">
        <f t="shared" si="205"/>
        <v>X</v>
      </c>
      <c r="J1107" s="1" t="str">
        <f t="shared" si="205"/>
        <v>X</v>
      </c>
      <c r="K1107" s="1" t="str">
        <f t="shared" si="205"/>
        <v>X</v>
      </c>
      <c r="L1107" s="1" t="str">
        <f t="shared" si="205"/>
        <v>X</v>
      </c>
      <c r="M1107" s="1" t="str">
        <f t="shared" si="205"/>
        <v>X</v>
      </c>
      <c r="N1107" t="s">
        <v>27</v>
      </c>
    </row>
    <row r="1108" spans="1:14" x14ac:dyDescent="0.25">
      <c r="A1108" t="s">
        <v>14</v>
      </c>
      <c r="B1108" t="s">
        <v>39</v>
      </c>
      <c r="C1108" t="s">
        <v>35</v>
      </c>
      <c r="D1108" t="s">
        <v>29</v>
      </c>
      <c r="E1108" t="s">
        <v>21</v>
      </c>
      <c r="F1108" t="s">
        <v>17</v>
      </c>
      <c r="G1108" s="1" t="str">
        <f t="shared" ref="G1108:M1108" si="206">"..."</f>
        <v>...</v>
      </c>
      <c r="H1108" s="1" t="str">
        <f t="shared" si="206"/>
        <v>...</v>
      </c>
      <c r="I1108" s="1" t="str">
        <f t="shared" si="206"/>
        <v>...</v>
      </c>
      <c r="J1108" s="1" t="str">
        <f t="shared" si="206"/>
        <v>...</v>
      </c>
      <c r="K1108" s="1" t="str">
        <f t="shared" si="206"/>
        <v>...</v>
      </c>
      <c r="L1108" s="1" t="str">
        <f t="shared" si="206"/>
        <v>...</v>
      </c>
      <c r="M1108" s="1" t="str">
        <f t="shared" si="206"/>
        <v>...</v>
      </c>
      <c r="N1108" t="s">
        <v>30</v>
      </c>
    </row>
    <row r="1109" spans="1:14" x14ac:dyDescent="0.25">
      <c r="A1109" t="s">
        <v>14</v>
      </c>
      <c r="B1109" t="s">
        <v>39</v>
      </c>
      <c r="C1109" t="s">
        <v>35</v>
      </c>
      <c r="D1109" t="s">
        <v>29</v>
      </c>
      <c r="E1109" t="s">
        <v>21</v>
      </c>
      <c r="F1109" t="s">
        <v>18</v>
      </c>
      <c r="G1109" s="1" t="str">
        <f t="shared" ref="G1109:M1111" si="207">"X"</f>
        <v>X</v>
      </c>
      <c r="H1109" s="1" t="str">
        <f t="shared" si="207"/>
        <v>X</v>
      </c>
      <c r="I1109" s="1" t="str">
        <f t="shared" si="207"/>
        <v>X</v>
      </c>
      <c r="J1109" s="1" t="str">
        <f t="shared" si="207"/>
        <v>X</v>
      </c>
      <c r="K1109" s="1" t="str">
        <f t="shared" si="207"/>
        <v>X</v>
      </c>
      <c r="L1109" s="1" t="str">
        <f t="shared" si="207"/>
        <v>X</v>
      </c>
      <c r="M1109" s="1" t="str">
        <f t="shared" si="207"/>
        <v>X</v>
      </c>
      <c r="N1109" t="s">
        <v>27</v>
      </c>
    </row>
    <row r="1110" spans="1:14" x14ac:dyDescent="0.25">
      <c r="A1110" t="s">
        <v>14</v>
      </c>
      <c r="B1110" t="s">
        <v>39</v>
      </c>
      <c r="C1110" t="s">
        <v>35</v>
      </c>
      <c r="D1110" t="s">
        <v>29</v>
      </c>
      <c r="E1110" t="s">
        <v>21</v>
      </c>
      <c r="F1110" t="s">
        <v>19</v>
      </c>
      <c r="G1110" s="1" t="str">
        <f t="shared" si="207"/>
        <v>X</v>
      </c>
      <c r="H1110" s="1" t="str">
        <f t="shared" si="207"/>
        <v>X</v>
      </c>
      <c r="I1110" s="1" t="str">
        <f t="shared" si="207"/>
        <v>X</v>
      </c>
      <c r="J1110" s="1" t="str">
        <f t="shared" si="207"/>
        <v>X</v>
      </c>
      <c r="K1110" s="1" t="str">
        <f t="shared" si="207"/>
        <v>X</v>
      </c>
      <c r="L1110" s="1" t="str">
        <f t="shared" si="207"/>
        <v>X</v>
      </c>
      <c r="M1110" s="1" t="str">
        <f t="shared" si="207"/>
        <v>X</v>
      </c>
      <c r="N1110" t="s">
        <v>27</v>
      </c>
    </row>
    <row r="1111" spans="1:14" x14ac:dyDescent="0.25">
      <c r="A1111" t="s">
        <v>14</v>
      </c>
      <c r="B1111" t="s">
        <v>39</v>
      </c>
      <c r="C1111" t="s">
        <v>35</v>
      </c>
      <c r="D1111" t="s">
        <v>29</v>
      </c>
      <c r="E1111" t="s">
        <v>21</v>
      </c>
      <c r="F1111" t="s">
        <v>20</v>
      </c>
      <c r="G1111" s="1" t="str">
        <f t="shared" si="207"/>
        <v>X</v>
      </c>
      <c r="H1111" s="1" t="str">
        <f t="shared" si="207"/>
        <v>X</v>
      </c>
      <c r="I1111" s="1" t="str">
        <f t="shared" si="207"/>
        <v>X</v>
      </c>
      <c r="J1111" s="1" t="str">
        <f t="shared" si="207"/>
        <v>X</v>
      </c>
      <c r="K1111" s="1" t="str">
        <f t="shared" si="207"/>
        <v>X</v>
      </c>
      <c r="L1111" s="1" t="str">
        <f t="shared" si="207"/>
        <v>X</v>
      </c>
      <c r="M1111" s="1" t="str">
        <f t="shared" si="207"/>
        <v>X</v>
      </c>
      <c r="N1111" t="s">
        <v>27</v>
      </c>
    </row>
    <row r="1112" spans="1:14" x14ac:dyDescent="0.25">
      <c r="A1112" t="s">
        <v>14</v>
      </c>
      <c r="B1112" t="s">
        <v>39</v>
      </c>
      <c r="C1112" t="s">
        <v>35</v>
      </c>
      <c r="D1112" t="s">
        <v>29</v>
      </c>
      <c r="E1112" t="s">
        <v>22</v>
      </c>
      <c r="F1112" t="s">
        <v>15</v>
      </c>
      <c r="G1112" s="2">
        <f>VALUE(348.9114497788)</f>
        <v>348.91144977879998</v>
      </c>
      <c r="H1112" s="3">
        <f>VALUE(345.0504293641)</f>
        <v>345.05042936410001</v>
      </c>
      <c r="I1112" s="4">
        <f>VALUE(3152)</f>
        <v>3152</v>
      </c>
      <c r="J1112" s="1">
        <f>VALUE(3587)</f>
        <v>3587</v>
      </c>
      <c r="K1112" s="1">
        <f>VALUE(4085)</f>
        <v>4085</v>
      </c>
      <c r="L1112" s="1">
        <f>VALUE(4573)</f>
        <v>4573</v>
      </c>
      <c r="M1112" s="1">
        <f>VALUE(4972)</f>
        <v>4972</v>
      </c>
      <c r="N1112" t="s">
        <v>25</v>
      </c>
    </row>
    <row r="1113" spans="1:14" x14ac:dyDescent="0.25">
      <c r="A1113" t="s">
        <v>14</v>
      </c>
      <c r="B1113" t="s">
        <v>39</v>
      </c>
      <c r="C1113" t="s">
        <v>35</v>
      </c>
      <c r="D1113" t="s">
        <v>29</v>
      </c>
      <c r="E1113" t="s">
        <v>22</v>
      </c>
      <c r="F1113" t="s">
        <v>17</v>
      </c>
      <c r="G1113" s="1" t="str">
        <f t="shared" ref="G1113:M1115" si="208">"X"</f>
        <v>X</v>
      </c>
      <c r="H1113" s="1" t="str">
        <f t="shared" si="208"/>
        <v>X</v>
      </c>
      <c r="I1113" s="1" t="str">
        <f t="shared" si="208"/>
        <v>X</v>
      </c>
      <c r="J1113" s="1" t="str">
        <f t="shared" si="208"/>
        <v>X</v>
      </c>
      <c r="K1113" s="1" t="str">
        <f t="shared" si="208"/>
        <v>X</v>
      </c>
      <c r="L1113" s="1" t="str">
        <f t="shared" si="208"/>
        <v>X</v>
      </c>
      <c r="M1113" s="1" t="str">
        <f t="shared" si="208"/>
        <v>X</v>
      </c>
      <c r="N1113" t="s">
        <v>27</v>
      </c>
    </row>
    <row r="1114" spans="1:14" x14ac:dyDescent="0.25">
      <c r="A1114" t="s">
        <v>14</v>
      </c>
      <c r="B1114" t="s">
        <v>39</v>
      </c>
      <c r="C1114" t="s">
        <v>35</v>
      </c>
      <c r="D1114" t="s">
        <v>29</v>
      </c>
      <c r="E1114" t="s">
        <v>22</v>
      </c>
      <c r="F1114" t="s">
        <v>18</v>
      </c>
      <c r="G1114" s="1" t="str">
        <f t="shared" si="208"/>
        <v>X</v>
      </c>
      <c r="H1114" s="1" t="str">
        <f t="shared" si="208"/>
        <v>X</v>
      </c>
      <c r="I1114" s="1" t="str">
        <f t="shared" si="208"/>
        <v>X</v>
      </c>
      <c r="J1114" s="1" t="str">
        <f t="shared" si="208"/>
        <v>X</v>
      </c>
      <c r="K1114" s="1" t="str">
        <f t="shared" si="208"/>
        <v>X</v>
      </c>
      <c r="L1114" s="1" t="str">
        <f t="shared" si="208"/>
        <v>X</v>
      </c>
      <c r="M1114" s="1" t="str">
        <f t="shared" si="208"/>
        <v>X</v>
      </c>
      <c r="N1114" t="s">
        <v>27</v>
      </c>
    </row>
    <row r="1115" spans="1:14" x14ac:dyDescent="0.25">
      <c r="A1115" t="s">
        <v>14</v>
      </c>
      <c r="B1115" t="s">
        <v>39</v>
      </c>
      <c r="C1115" t="s">
        <v>35</v>
      </c>
      <c r="D1115" t="s">
        <v>29</v>
      </c>
      <c r="E1115" t="s">
        <v>22</v>
      </c>
      <c r="F1115" t="s">
        <v>19</v>
      </c>
      <c r="G1115" s="1" t="str">
        <f t="shared" si="208"/>
        <v>X</v>
      </c>
      <c r="H1115" s="1" t="str">
        <f t="shared" si="208"/>
        <v>X</v>
      </c>
      <c r="I1115" s="1" t="str">
        <f t="shared" si="208"/>
        <v>X</v>
      </c>
      <c r="J1115" s="1" t="str">
        <f t="shared" si="208"/>
        <v>X</v>
      </c>
      <c r="K1115" s="1" t="str">
        <f t="shared" si="208"/>
        <v>X</v>
      </c>
      <c r="L1115" s="1" t="str">
        <f t="shared" si="208"/>
        <v>X</v>
      </c>
      <c r="M1115" s="1" t="str">
        <f t="shared" si="208"/>
        <v>X</v>
      </c>
      <c r="N1115" t="s">
        <v>27</v>
      </c>
    </row>
    <row r="1116" spans="1:14" x14ac:dyDescent="0.25">
      <c r="A1116" t="s">
        <v>14</v>
      </c>
      <c r="B1116" t="s">
        <v>39</v>
      </c>
      <c r="C1116" t="s">
        <v>35</v>
      </c>
      <c r="D1116" t="s">
        <v>29</v>
      </c>
      <c r="E1116" t="s">
        <v>22</v>
      </c>
      <c r="F1116" t="s">
        <v>20</v>
      </c>
      <c r="G1116" s="2">
        <f>VALUE(252.821958999)</f>
        <v>252.821958999</v>
      </c>
      <c r="H1116" s="3">
        <f>VALUE(250.0463973016)</f>
        <v>250.0463973016</v>
      </c>
      <c r="I1116" s="4">
        <f>VALUE(3163)</f>
        <v>3163</v>
      </c>
      <c r="J1116" s="1">
        <f>VALUE(3557)</f>
        <v>3557</v>
      </c>
      <c r="K1116" s="1">
        <f>VALUE(4052)</f>
        <v>4052</v>
      </c>
      <c r="L1116" s="1">
        <f>VALUE(4460)</f>
        <v>4460</v>
      </c>
      <c r="M1116" s="1">
        <f>VALUE(4983)</f>
        <v>4983</v>
      </c>
      <c r="N1116" t="s">
        <v>25</v>
      </c>
    </row>
    <row r="1117" spans="1:14" x14ac:dyDescent="0.25">
      <c r="A1117" t="s">
        <v>14</v>
      </c>
      <c r="B1117" t="s">
        <v>39</v>
      </c>
      <c r="C1117" t="s">
        <v>35</v>
      </c>
      <c r="D1117" t="s">
        <v>29</v>
      </c>
      <c r="E1117" t="s">
        <v>23</v>
      </c>
      <c r="F1117" t="s">
        <v>15</v>
      </c>
      <c r="G1117" s="1" t="str">
        <f t="shared" ref="G1117:M1117" si="209">"X"</f>
        <v>X</v>
      </c>
      <c r="H1117" s="1" t="str">
        <f t="shared" si="209"/>
        <v>X</v>
      </c>
      <c r="I1117" s="1" t="str">
        <f t="shared" si="209"/>
        <v>X</v>
      </c>
      <c r="J1117" s="1" t="str">
        <f t="shared" si="209"/>
        <v>X</v>
      </c>
      <c r="K1117" s="1" t="str">
        <f t="shared" si="209"/>
        <v>X</v>
      </c>
      <c r="L1117" s="1" t="str">
        <f t="shared" si="209"/>
        <v>X</v>
      </c>
      <c r="M1117" s="1" t="str">
        <f t="shared" si="209"/>
        <v>X</v>
      </c>
      <c r="N1117" t="s">
        <v>27</v>
      </c>
    </row>
    <row r="1118" spans="1:14" x14ac:dyDescent="0.25">
      <c r="A1118" t="s">
        <v>14</v>
      </c>
      <c r="B1118" t="s">
        <v>39</v>
      </c>
      <c r="C1118" t="s">
        <v>35</v>
      </c>
      <c r="D1118" t="s">
        <v>29</v>
      </c>
      <c r="E1118" t="s">
        <v>23</v>
      </c>
      <c r="F1118" t="s">
        <v>17</v>
      </c>
      <c r="G1118" s="1" t="str">
        <f t="shared" ref="G1118:M1118" si="210">"..."</f>
        <v>...</v>
      </c>
      <c r="H1118" s="1" t="str">
        <f t="shared" si="210"/>
        <v>...</v>
      </c>
      <c r="I1118" s="1" t="str">
        <f t="shared" si="210"/>
        <v>...</v>
      </c>
      <c r="J1118" s="1" t="str">
        <f t="shared" si="210"/>
        <v>...</v>
      </c>
      <c r="K1118" s="1" t="str">
        <f t="shared" si="210"/>
        <v>...</v>
      </c>
      <c r="L1118" s="1" t="str">
        <f t="shared" si="210"/>
        <v>...</v>
      </c>
      <c r="M1118" s="1" t="str">
        <f t="shared" si="210"/>
        <v>...</v>
      </c>
      <c r="N1118" t="s">
        <v>30</v>
      </c>
    </row>
    <row r="1119" spans="1:14" x14ac:dyDescent="0.25">
      <c r="A1119" t="s">
        <v>14</v>
      </c>
      <c r="B1119" t="s">
        <v>39</v>
      </c>
      <c r="C1119" t="s">
        <v>35</v>
      </c>
      <c r="D1119" t="s">
        <v>29</v>
      </c>
      <c r="E1119" t="s">
        <v>23</v>
      </c>
      <c r="F1119" t="s">
        <v>18</v>
      </c>
      <c r="G1119" s="1" t="str">
        <f t="shared" ref="G1119:M1122" si="211">"X"</f>
        <v>X</v>
      </c>
      <c r="H1119" s="1" t="str">
        <f t="shared" si="211"/>
        <v>X</v>
      </c>
      <c r="I1119" s="1" t="str">
        <f t="shared" si="211"/>
        <v>X</v>
      </c>
      <c r="J1119" s="1" t="str">
        <f t="shared" si="211"/>
        <v>X</v>
      </c>
      <c r="K1119" s="1" t="str">
        <f t="shared" si="211"/>
        <v>X</v>
      </c>
      <c r="L1119" s="1" t="str">
        <f t="shared" si="211"/>
        <v>X</v>
      </c>
      <c r="M1119" s="1" t="str">
        <f t="shared" si="211"/>
        <v>X</v>
      </c>
      <c r="N1119" t="s">
        <v>27</v>
      </c>
    </row>
    <row r="1120" spans="1:14" x14ac:dyDescent="0.25">
      <c r="A1120" t="s">
        <v>14</v>
      </c>
      <c r="B1120" t="s">
        <v>39</v>
      </c>
      <c r="C1120" t="s">
        <v>35</v>
      </c>
      <c r="D1120" t="s">
        <v>29</v>
      </c>
      <c r="E1120" t="s">
        <v>23</v>
      </c>
      <c r="F1120" t="s">
        <v>19</v>
      </c>
      <c r="G1120" s="1" t="str">
        <f t="shared" si="211"/>
        <v>X</v>
      </c>
      <c r="H1120" s="1" t="str">
        <f t="shared" si="211"/>
        <v>X</v>
      </c>
      <c r="I1120" s="1" t="str">
        <f t="shared" si="211"/>
        <v>X</v>
      </c>
      <c r="J1120" s="1" t="str">
        <f t="shared" si="211"/>
        <v>X</v>
      </c>
      <c r="K1120" s="1" t="str">
        <f t="shared" si="211"/>
        <v>X</v>
      </c>
      <c r="L1120" s="1" t="str">
        <f t="shared" si="211"/>
        <v>X</v>
      </c>
      <c r="M1120" s="1" t="str">
        <f t="shared" si="211"/>
        <v>X</v>
      </c>
      <c r="N1120" t="s">
        <v>27</v>
      </c>
    </row>
    <row r="1121" spans="1:14" x14ac:dyDescent="0.25">
      <c r="A1121" t="s">
        <v>14</v>
      </c>
      <c r="B1121" t="s">
        <v>39</v>
      </c>
      <c r="C1121" t="s">
        <v>35</v>
      </c>
      <c r="D1121" t="s">
        <v>29</v>
      </c>
      <c r="E1121" t="s">
        <v>23</v>
      </c>
      <c r="F1121" t="s">
        <v>20</v>
      </c>
      <c r="G1121" s="1" t="str">
        <f t="shared" si="211"/>
        <v>X</v>
      </c>
      <c r="H1121" s="1" t="str">
        <f t="shared" si="211"/>
        <v>X</v>
      </c>
      <c r="I1121" s="1" t="str">
        <f t="shared" si="211"/>
        <v>X</v>
      </c>
      <c r="J1121" s="1" t="str">
        <f t="shared" si="211"/>
        <v>X</v>
      </c>
      <c r="K1121" s="1" t="str">
        <f t="shared" si="211"/>
        <v>X</v>
      </c>
      <c r="L1121" s="1" t="str">
        <f t="shared" si="211"/>
        <v>X</v>
      </c>
      <c r="M1121" s="1" t="str">
        <f t="shared" si="211"/>
        <v>X</v>
      </c>
      <c r="N1121" t="s">
        <v>27</v>
      </c>
    </row>
    <row r="1122" spans="1:14" x14ac:dyDescent="0.25">
      <c r="A1122" t="s">
        <v>14</v>
      </c>
      <c r="B1122" t="s">
        <v>39</v>
      </c>
      <c r="C1122" t="s">
        <v>35</v>
      </c>
      <c r="D1122" t="s">
        <v>29</v>
      </c>
      <c r="E1122" t="s">
        <v>26</v>
      </c>
      <c r="F1122" t="s">
        <v>15</v>
      </c>
      <c r="G1122" s="1" t="str">
        <f t="shared" si="211"/>
        <v>X</v>
      </c>
      <c r="H1122" s="1" t="str">
        <f t="shared" si="211"/>
        <v>X</v>
      </c>
      <c r="I1122" s="1" t="str">
        <f t="shared" si="211"/>
        <v>X</v>
      </c>
      <c r="J1122" s="1" t="str">
        <f t="shared" si="211"/>
        <v>X</v>
      </c>
      <c r="K1122" s="1" t="str">
        <f t="shared" si="211"/>
        <v>X</v>
      </c>
      <c r="L1122" s="1" t="str">
        <f t="shared" si="211"/>
        <v>X</v>
      </c>
      <c r="M1122" s="1" t="str">
        <f t="shared" si="211"/>
        <v>X</v>
      </c>
      <c r="N1122" t="s">
        <v>27</v>
      </c>
    </row>
    <row r="1123" spans="1:14" x14ac:dyDescent="0.25">
      <c r="A1123" t="s">
        <v>14</v>
      </c>
      <c r="B1123" t="s">
        <v>39</v>
      </c>
      <c r="C1123" t="s">
        <v>35</v>
      </c>
      <c r="D1123" t="s">
        <v>29</v>
      </c>
      <c r="E1123" t="s">
        <v>26</v>
      </c>
      <c r="F1123" t="s">
        <v>17</v>
      </c>
      <c r="G1123" s="1" t="str">
        <f t="shared" ref="G1123:M1125" si="212">"..."</f>
        <v>...</v>
      </c>
      <c r="H1123" s="1" t="str">
        <f t="shared" si="212"/>
        <v>...</v>
      </c>
      <c r="I1123" s="1" t="str">
        <f t="shared" si="212"/>
        <v>...</v>
      </c>
      <c r="J1123" s="1" t="str">
        <f t="shared" si="212"/>
        <v>...</v>
      </c>
      <c r="K1123" s="1" t="str">
        <f t="shared" si="212"/>
        <v>...</v>
      </c>
      <c r="L1123" s="1" t="str">
        <f t="shared" si="212"/>
        <v>...</v>
      </c>
      <c r="M1123" s="1" t="str">
        <f t="shared" si="212"/>
        <v>...</v>
      </c>
      <c r="N1123" t="s">
        <v>30</v>
      </c>
    </row>
    <row r="1124" spans="1:14" x14ac:dyDescent="0.25">
      <c r="A1124" t="s">
        <v>14</v>
      </c>
      <c r="B1124" t="s">
        <v>39</v>
      </c>
      <c r="C1124" t="s">
        <v>35</v>
      </c>
      <c r="D1124" t="s">
        <v>29</v>
      </c>
      <c r="E1124" t="s">
        <v>26</v>
      </c>
      <c r="F1124" t="s">
        <v>18</v>
      </c>
      <c r="G1124" s="1" t="str">
        <f t="shared" si="212"/>
        <v>...</v>
      </c>
      <c r="H1124" s="1" t="str">
        <f t="shared" si="212"/>
        <v>...</v>
      </c>
      <c r="I1124" s="1" t="str">
        <f t="shared" si="212"/>
        <v>...</v>
      </c>
      <c r="J1124" s="1" t="str">
        <f t="shared" si="212"/>
        <v>...</v>
      </c>
      <c r="K1124" s="1" t="str">
        <f t="shared" si="212"/>
        <v>...</v>
      </c>
      <c r="L1124" s="1" t="str">
        <f t="shared" si="212"/>
        <v>...</v>
      </c>
      <c r="M1124" s="1" t="str">
        <f t="shared" si="212"/>
        <v>...</v>
      </c>
      <c r="N1124" t="s">
        <v>30</v>
      </c>
    </row>
    <row r="1125" spans="1:14" x14ac:dyDescent="0.25">
      <c r="A1125" t="s">
        <v>14</v>
      </c>
      <c r="B1125" t="s">
        <v>39</v>
      </c>
      <c r="C1125" t="s">
        <v>35</v>
      </c>
      <c r="D1125" t="s">
        <v>29</v>
      </c>
      <c r="E1125" t="s">
        <v>26</v>
      </c>
      <c r="F1125" t="s">
        <v>19</v>
      </c>
      <c r="G1125" s="1" t="str">
        <f t="shared" si="212"/>
        <v>...</v>
      </c>
      <c r="H1125" s="1" t="str">
        <f t="shared" si="212"/>
        <v>...</v>
      </c>
      <c r="I1125" s="1" t="str">
        <f t="shared" si="212"/>
        <v>...</v>
      </c>
      <c r="J1125" s="1" t="str">
        <f t="shared" si="212"/>
        <v>...</v>
      </c>
      <c r="K1125" s="1" t="str">
        <f t="shared" si="212"/>
        <v>...</v>
      </c>
      <c r="L1125" s="1" t="str">
        <f t="shared" si="212"/>
        <v>...</v>
      </c>
      <c r="M1125" s="1" t="str">
        <f t="shared" si="212"/>
        <v>...</v>
      </c>
      <c r="N1125" t="s">
        <v>30</v>
      </c>
    </row>
    <row r="1126" spans="1:14" x14ac:dyDescent="0.25">
      <c r="A1126" t="s">
        <v>14</v>
      </c>
      <c r="B1126" t="s">
        <v>39</v>
      </c>
      <c r="C1126" t="s">
        <v>35</v>
      </c>
      <c r="D1126" t="s">
        <v>29</v>
      </c>
      <c r="E1126" t="s">
        <v>26</v>
      </c>
      <c r="F1126" t="s">
        <v>20</v>
      </c>
      <c r="G1126" s="1" t="str">
        <f t="shared" ref="G1126:M1126" si="213">"X"</f>
        <v>X</v>
      </c>
      <c r="H1126" s="1" t="str">
        <f t="shared" si="213"/>
        <v>X</v>
      </c>
      <c r="I1126" s="1" t="str">
        <f t="shared" si="213"/>
        <v>X</v>
      </c>
      <c r="J1126" s="1" t="str">
        <f t="shared" si="213"/>
        <v>X</v>
      </c>
      <c r="K1126" s="1" t="str">
        <f t="shared" si="213"/>
        <v>X</v>
      </c>
      <c r="L1126" s="1" t="str">
        <f t="shared" si="213"/>
        <v>X</v>
      </c>
      <c r="M1126" s="1" t="str">
        <f t="shared" si="213"/>
        <v>X</v>
      </c>
      <c r="N1126" t="s">
        <v>27</v>
      </c>
    </row>
    <row r="1127" spans="1:14" x14ac:dyDescent="0.25">
      <c r="A1127" t="s">
        <v>14</v>
      </c>
      <c r="B1127" t="s">
        <v>39</v>
      </c>
      <c r="C1127" t="s">
        <v>35</v>
      </c>
      <c r="D1127" t="s">
        <v>31</v>
      </c>
      <c r="E1127" t="s">
        <v>15</v>
      </c>
      <c r="F1127" t="s">
        <v>15</v>
      </c>
      <c r="G1127" s="2">
        <f>VALUE(360.8893414759)</f>
        <v>360.88934147589998</v>
      </c>
      <c r="H1127" s="3">
        <f>VALUE(356.8795783347)</f>
        <v>356.8795783347</v>
      </c>
      <c r="I1127" s="4">
        <f>VALUE(2847)</f>
        <v>2847</v>
      </c>
      <c r="J1127" s="5">
        <f>VALUE(3317)</f>
        <v>3317</v>
      </c>
      <c r="K1127" s="6">
        <f>VALUE(4025)</f>
        <v>4025</v>
      </c>
      <c r="L1127" s="7">
        <f>VALUE(4668)</f>
        <v>4668</v>
      </c>
      <c r="M1127" s="8">
        <f>VALUE(5491)</f>
        <v>5491</v>
      </c>
      <c r="N1127" t="s">
        <v>24</v>
      </c>
    </row>
    <row r="1128" spans="1:14" x14ac:dyDescent="0.25">
      <c r="A1128" t="s">
        <v>14</v>
      </c>
      <c r="B1128" t="s">
        <v>39</v>
      </c>
      <c r="C1128" t="s">
        <v>35</v>
      </c>
      <c r="D1128" t="s">
        <v>31</v>
      </c>
      <c r="E1128" t="s">
        <v>15</v>
      </c>
      <c r="F1128" t="s">
        <v>17</v>
      </c>
      <c r="G1128" s="1" t="str">
        <f t="shared" ref="G1128:M1130" si="214">"X"</f>
        <v>X</v>
      </c>
      <c r="H1128" s="1" t="str">
        <f t="shared" si="214"/>
        <v>X</v>
      </c>
      <c r="I1128" s="1" t="str">
        <f t="shared" si="214"/>
        <v>X</v>
      </c>
      <c r="J1128" s="1" t="str">
        <f t="shared" si="214"/>
        <v>X</v>
      </c>
      <c r="K1128" s="1" t="str">
        <f t="shared" si="214"/>
        <v>X</v>
      </c>
      <c r="L1128" s="1" t="str">
        <f t="shared" si="214"/>
        <v>X</v>
      </c>
      <c r="M1128" s="1" t="str">
        <f t="shared" si="214"/>
        <v>X</v>
      </c>
      <c r="N1128" t="s">
        <v>27</v>
      </c>
    </row>
    <row r="1129" spans="1:14" x14ac:dyDescent="0.25">
      <c r="A1129" t="s">
        <v>14</v>
      </c>
      <c r="B1129" t="s">
        <v>39</v>
      </c>
      <c r="C1129" t="s">
        <v>35</v>
      </c>
      <c r="D1129" t="s">
        <v>31</v>
      </c>
      <c r="E1129" t="s">
        <v>15</v>
      </c>
      <c r="F1129" t="s">
        <v>18</v>
      </c>
      <c r="G1129" s="1" t="str">
        <f t="shared" si="214"/>
        <v>X</v>
      </c>
      <c r="H1129" s="1" t="str">
        <f t="shared" si="214"/>
        <v>X</v>
      </c>
      <c r="I1129" s="1" t="str">
        <f t="shared" si="214"/>
        <v>X</v>
      </c>
      <c r="J1129" s="1" t="str">
        <f t="shared" si="214"/>
        <v>X</v>
      </c>
      <c r="K1129" s="1" t="str">
        <f t="shared" si="214"/>
        <v>X</v>
      </c>
      <c r="L1129" s="1" t="str">
        <f t="shared" si="214"/>
        <v>X</v>
      </c>
      <c r="M1129" s="1" t="str">
        <f t="shared" si="214"/>
        <v>X</v>
      </c>
      <c r="N1129" t="s">
        <v>27</v>
      </c>
    </row>
    <row r="1130" spans="1:14" x14ac:dyDescent="0.25">
      <c r="A1130" t="s">
        <v>14</v>
      </c>
      <c r="B1130" t="s">
        <v>39</v>
      </c>
      <c r="C1130" t="s">
        <v>35</v>
      </c>
      <c r="D1130" t="s">
        <v>31</v>
      </c>
      <c r="E1130" t="s">
        <v>15</v>
      </c>
      <c r="F1130" t="s">
        <v>19</v>
      </c>
      <c r="G1130" s="1" t="str">
        <f t="shared" si="214"/>
        <v>X</v>
      </c>
      <c r="H1130" s="1" t="str">
        <f t="shared" si="214"/>
        <v>X</v>
      </c>
      <c r="I1130" s="1" t="str">
        <f t="shared" si="214"/>
        <v>X</v>
      </c>
      <c r="J1130" s="1" t="str">
        <f t="shared" si="214"/>
        <v>X</v>
      </c>
      <c r="K1130" s="1" t="str">
        <f t="shared" si="214"/>
        <v>X</v>
      </c>
      <c r="L1130" s="1" t="str">
        <f t="shared" si="214"/>
        <v>X</v>
      </c>
      <c r="M1130" s="1" t="str">
        <f t="shared" si="214"/>
        <v>X</v>
      </c>
      <c r="N1130" t="s">
        <v>27</v>
      </c>
    </row>
    <row r="1131" spans="1:14" x14ac:dyDescent="0.25">
      <c r="A1131" t="s">
        <v>14</v>
      </c>
      <c r="B1131" t="s">
        <v>39</v>
      </c>
      <c r="C1131" t="s">
        <v>35</v>
      </c>
      <c r="D1131" t="s">
        <v>31</v>
      </c>
      <c r="E1131" t="s">
        <v>15</v>
      </c>
      <c r="F1131" t="s">
        <v>20</v>
      </c>
      <c r="G1131" s="2">
        <f>VALUE(296.4189687304)</f>
        <v>296.41896873040002</v>
      </c>
      <c r="H1131" s="3">
        <f>VALUE(292.8447498918)</f>
        <v>292.84474989180001</v>
      </c>
      <c r="I1131" s="4">
        <f>VALUE(2810)</f>
        <v>2810</v>
      </c>
      <c r="J1131" s="5">
        <f>VALUE(3317)</f>
        <v>3317</v>
      </c>
      <c r="K1131" s="6">
        <f>VALUE(3945)</f>
        <v>3945</v>
      </c>
      <c r="L1131" s="1">
        <f>VALUE(4378)</f>
        <v>4378</v>
      </c>
      <c r="M1131" s="8">
        <f>VALUE(4821)</f>
        <v>4821</v>
      </c>
      <c r="N1131" t="s">
        <v>25</v>
      </c>
    </row>
    <row r="1132" spans="1:14" x14ac:dyDescent="0.25">
      <c r="A1132" t="s">
        <v>14</v>
      </c>
      <c r="B1132" t="s">
        <v>39</v>
      </c>
      <c r="C1132" t="s">
        <v>35</v>
      </c>
      <c r="D1132" t="s">
        <v>31</v>
      </c>
      <c r="E1132" t="s">
        <v>21</v>
      </c>
      <c r="F1132" t="s">
        <v>15</v>
      </c>
      <c r="G1132" s="1" t="str">
        <f t="shared" ref="G1132:M1134" si="215">"X"</f>
        <v>X</v>
      </c>
      <c r="H1132" s="1" t="str">
        <f t="shared" si="215"/>
        <v>X</v>
      </c>
      <c r="I1132" s="1" t="str">
        <f t="shared" si="215"/>
        <v>X</v>
      </c>
      <c r="J1132" s="1" t="str">
        <f t="shared" si="215"/>
        <v>X</v>
      </c>
      <c r="K1132" s="1" t="str">
        <f t="shared" si="215"/>
        <v>X</v>
      </c>
      <c r="L1132" s="1" t="str">
        <f t="shared" si="215"/>
        <v>X</v>
      </c>
      <c r="M1132" s="1" t="str">
        <f t="shared" si="215"/>
        <v>X</v>
      </c>
      <c r="N1132" t="s">
        <v>27</v>
      </c>
    </row>
    <row r="1133" spans="1:14" x14ac:dyDescent="0.25">
      <c r="A1133" t="s">
        <v>14</v>
      </c>
      <c r="B1133" t="s">
        <v>39</v>
      </c>
      <c r="C1133" t="s">
        <v>35</v>
      </c>
      <c r="D1133" t="s">
        <v>31</v>
      </c>
      <c r="E1133" t="s">
        <v>21</v>
      </c>
      <c r="F1133" t="s">
        <v>17</v>
      </c>
      <c r="G1133" s="1" t="str">
        <f t="shared" si="215"/>
        <v>X</v>
      </c>
      <c r="H1133" s="1" t="str">
        <f t="shared" si="215"/>
        <v>X</v>
      </c>
      <c r="I1133" s="1" t="str">
        <f t="shared" si="215"/>
        <v>X</v>
      </c>
      <c r="J1133" s="1" t="str">
        <f t="shared" si="215"/>
        <v>X</v>
      </c>
      <c r="K1133" s="1" t="str">
        <f t="shared" si="215"/>
        <v>X</v>
      </c>
      <c r="L1133" s="1" t="str">
        <f t="shared" si="215"/>
        <v>X</v>
      </c>
      <c r="M1133" s="1" t="str">
        <f t="shared" si="215"/>
        <v>X</v>
      </c>
      <c r="N1133" t="s">
        <v>27</v>
      </c>
    </row>
    <row r="1134" spans="1:14" x14ac:dyDescent="0.25">
      <c r="A1134" t="s">
        <v>14</v>
      </c>
      <c r="B1134" t="s">
        <v>39</v>
      </c>
      <c r="C1134" t="s">
        <v>35</v>
      </c>
      <c r="D1134" t="s">
        <v>31</v>
      </c>
      <c r="E1134" t="s">
        <v>21</v>
      </c>
      <c r="F1134" t="s">
        <v>18</v>
      </c>
      <c r="G1134" s="1" t="str">
        <f t="shared" si="215"/>
        <v>X</v>
      </c>
      <c r="H1134" s="1" t="str">
        <f t="shared" si="215"/>
        <v>X</v>
      </c>
      <c r="I1134" s="1" t="str">
        <f t="shared" si="215"/>
        <v>X</v>
      </c>
      <c r="J1134" s="1" t="str">
        <f t="shared" si="215"/>
        <v>X</v>
      </c>
      <c r="K1134" s="1" t="str">
        <f t="shared" si="215"/>
        <v>X</v>
      </c>
      <c r="L1134" s="1" t="str">
        <f t="shared" si="215"/>
        <v>X</v>
      </c>
      <c r="M1134" s="1" t="str">
        <f t="shared" si="215"/>
        <v>X</v>
      </c>
      <c r="N1134" t="s">
        <v>27</v>
      </c>
    </row>
    <row r="1135" spans="1:14" x14ac:dyDescent="0.25">
      <c r="A1135" t="s">
        <v>14</v>
      </c>
      <c r="B1135" t="s">
        <v>39</v>
      </c>
      <c r="C1135" t="s">
        <v>35</v>
      </c>
      <c r="D1135" t="s">
        <v>31</v>
      </c>
      <c r="E1135" t="s">
        <v>21</v>
      </c>
      <c r="F1135" t="s">
        <v>19</v>
      </c>
      <c r="G1135" s="1" t="str">
        <f t="shared" ref="G1135:M1135" si="216">"..."</f>
        <v>...</v>
      </c>
      <c r="H1135" s="1" t="str">
        <f t="shared" si="216"/>
        <v>...</v>
      </c>
      <c r="I1135" s="1" t="str">
        <f t="shared" si="216"/>
        <v>...</v>
      </c>
      <c r="J1135" s="1" t="str">
        <f t="shared" si="216"/>
        <v>...</v>
      </c>
      <c r="K1135" s="1" t="str">
        <f t="shared" si="216"/>
        <v>...</v>
      </c>
      <c r="L1135" s="1" t="str">
        <f t="shared" si="216"/>
        <v>...</v>
      </c>
      <c r="M1135" s="1" t="str">
        <f t="shared" si="216"/>
        <v>...</v>
      </c>
      <c r="N1135" t="s">
        <v>30</v>
      </c>
    </row>
    <row r="1136" spans="1:14" x14ac:dyDescent="0.25">
      <c r="A1136" t="s">
        <v>14</v>
      </c>
      <c r="B1136" t="s">
        <v>39</v>
      </c>
      <c r="C1136" t="s">
        <v>35</v>
      </c>
      <c r="D1136" t="s">
        <v>31</v>
      </c>
      <c r="E1136" t="s">
        <v>21</v>
      </c>
      <c r="F1136" t="s">
        <v>20</v>
      </c>
      <c r="G1136" s="1" t="str">
        <f t="shared" ref="G1136:M1137" si="217">"X"</f>
        <v>X</v>
      </c>
      <c r="H1136" s="1" t="str">
        <f t="shared" si="217"/>
        <v>X</v>
      </c>
      <c r="I1136" s="1" t="str">
        <f t="shared" si="217"/>
        <v>X</v>
      </c>
      <c r="J1136" s="1" t="str">
        <f t="shared" si="217"/>
        <v>X</v>
      </c>
      <c r="K1136" s="1" t="str">
        <f t="shared" si="217"/>
        <v>X</v>
      </c>
      <c r="L1136" s="1" t="str">
        <f t="shared" si="217"/>
        <v>X</v>
      </c>
      <c r="M1136" s="1" t="str">
        <f t="shared" si="217"/>
        <v>X</v>
      </c>
      <c r="N1136" t="s">
        <v>27</v>
      </c>
    </row>
    <row r="1137" spans="1:14" x14ac:dyDescent="0.25">
      <c r="A1137" t="s">
        <v>14</v>
      </c>
      <c r="B1137" t="s">
        <v>39</v>
      </c>
      <c r="C1137" t="s">
        <v>35</v>
      </c>
      <c r="D1137" t="s">
        <v>31</v>
      </c>
      <c r="E1137" t="s">
        <v>22</v>
      </c>
      <c r="F1137" t="s">
        <v>15</v>
      </c>
      <c r="G1137" s="1" t="str">
        <f t="shared" si="217"/>
        <v>X</v>
      </c>
      <c r="H1137" s="1" t="str">
        <f t="shared" si="217"/>
        <v>X</v>
      </c>
      <c r="I1137" s="1" t="str">
        <f t="shared" si="217"/>
        <v>X</v>
      </c>
      <c r="J1137" s="1" t="str">
        <f t="shared" si="217"/>
        <v>X</v>
      </c>
      <c r="K1137" s="1" t="str">
        <f t="shared" si="217"/>
        <v>X</v>
      </c>
      <c r="L1137" s="1" t="str">
        <f t="shared" si="217"/>
        <v>X</v>
      </c>
      <c r="M1137" s="1" t="str">
        <f t="shared" si="217"/>
        <v>X</v>
      </c>
      <c r="N1137" t="s">
        <v>27</v>
      </c>
    </row>
    <row r="1138" spans="1:14" x14ac:dyDescent="0.25">
      <c r="A1138" t="s">
        <v>14</v>
      </c>
      <c r="B1138" t="s">
        <v>39</v>
      </c>
      <c r="C1138" t="s">
        <v>35</v>
      </c>
      <c r="D1138" t="s">
        <v>31</v>
      </c>
      <c r="E1138" t="s">
        <v>22</v>
      </c>
      <c r="F1138" t="s">
        <v>17</v>
      </c>
      <c r="G1138" s="1" t="str">
        <f t="shared" ref="G1138:M1138" si="218">"..."</f>
        <v>...</v>
      </c>
      <c r="H1138" s="1" t="str">
        <f t="shared" si="218"/>
        <v>...</v>
      </c>
      <c r="I1138" s="1" t="str">
        <f t="shared" si="218"/>
        <v>...</v>
      </c>
      <c r="J1138" s="1" t="str">
        <f t="shared" si="218"/>
        <v>...</v>
      </c>
      <c r="K1138" s="1" t="str">
        <f t="shared" si="218"/>
        <v>...</v>
      </c>
      <c r="L1138" s="1" t="str">
        <f t="shared" si="218"/>
        <v>...</v>
      </c>
      <c r="M1138" s="1" t="str">
        <f t="shared" si="218"/>
        <v>...</v>
      </c>
      <c r="N1138" t="s">
        <v>30</v>
      </c>
    </row>
    <row r="1139" spans="1:14" x14ac:dyDescent="0.25">
      <c r="A1139" t="s">
        <v>14</v>
      </c>
      <c r="B1139" t="s">
        <v>39</v>
      </c>
      <c r="C1139" t="s">
        <v>35</v>
      </c>
      <c r="D1139" t="s">
        <v>31</v>
      </c>
      <c r="E1139" t="s">
        <v>22</v>
      </c>
      <c r="F1139" t="s">
        <v>18</v>
      </c>
      <c r="G1139" s="1" t="str">
        <f t="shared" ref="G1139:M1141" si="219">"X"</f>
        <v>X</v>
      </c>
      <c r="H1139" s="1" t="str">
        <f t="shared" si="219"/>
        <v>X</v>
      </c>
      <c r="I1139" s="1" t="str">
        <f t="shared" si="219"/>
        <v>X</v>
      </c>
      <c r="J1139" s="1" t="str">
        <f t="shared" si="219"/>
        <v>X</v>
      </c>
      <c r="K1139" s="1" t="str">
        <f t="shared" si="219"/>
        <v>X</v>
      </c>
      <c r="L1139" s="1" t="str">
        <f t="shared" si="219"/>
        <v>X</v>
      </c>
      <c r="M1139" s="1" t="str">
        <f t="shared" si="219"/>
        <v>X</v>
      </c>
      <c r="N1139" t="s">
        <v>27</v>
      </c>
    </row>
    <row r="1140" spans="1:14" x14ac:dyDescent="0.25">
      <c r="A1140" t="s">
        <v>14</v>
      </c>
      <c r="B1140" t="s">
        <v>39</v>
      </c>
      <c r="C1140" t="s">
        <v>35</v>
      </c>
      <c r="D1140" t="s">
        <v>31</v>
      </c>
      <c r="E1140" t="s">
        <v>22</v>
      </c>
      <c r="F1140" t="s">
        <v>19</v>
      </c>
      <c r="G1140" s="1" t="str">
        <f t="shared" si="219"/>
        <v>X</v>
      </c>
      <c r="H1140" s="1" t="str">
        <f t="shared" si="219"/>
        <v>X</v>
      </c>
      <c r="I1140" s="1" t="str">
        <f t="shared" si="219"/>
        <v>X</v>
      </c>
      <c r="J1140" s="1" t="str">
        <f t="shared" si="219"/>
        <v>X</v>
      </c>
      <c r="K1140" s="1" t="str">
        <f t="shared" si="219"/>
        <v>X</v>
      </c>
      <c r="L1140" s="1" t="str">
        <f t="shared" si="219"/>
        <v>X</v>
      </c>
      <c r="M1140" s="1" t="str">
        <f t="shared" si="219"/>
        <v>X</v>
      </c>
      <c r="N1140" t="s">
        <v>27</v>
      </c>
    </row>
    <row r="1141" spans="1:14" x14ac:dyDescent="0.25">
      <c r="A1141" t="s">
        <v>14</v>
      </c>
      <c r="B1141" t="s">
        <v>39</v>
      </c>
      <c r="C1141" t="s">
        <v>35</v>
      </c>
      <c r="D1141" t="s">
        <v>31</v>
      </c>
      <c r="E1141" t="s">
        <v>22</v>
      </c>
      <c r="F1141" t="s">
        <v>20</v>
      </c>
      <c r="G1141" s="1" t="str">
        <f t="shared" si="219"/>
        <v>X</v>
      </c>
      <c r="H1141" s="1" t="str">
        <f t="shared" si="219"/>
        <v>X</v>
      </c>
      <c r="I1141" s="1" t="str">
        <f t="shared" si="219"/>
        <v>X</v>
      </c>
      <c r="J1141" s="1" t="str">
        <f t="shared" si="219"/>
        <v>X</v>
      </c>
      <c r="K1141" s="1" t="str">
        <f t="shared" si="219"/>
        <v>X</v>
      </c>
      <c r="L1141" s="1" t="str">
        <f t="shared" si="219"/>
        <v>X</v>
      </c>
      <c r="M1141" s="1" t="str">
        <f t="shared" si="219"/>
        <v>X</v>
      </c>
      <c r="N1141" t="s">
        <v>27</v>
      </c>
    </row>
    <row r="1142" spans="1:14" x14ac:dyDescent="0.25">
      <c r="A1142" t="s">
        <v>14</v>
      </c>
      <c r="B1142" t="s">
        <v>39</v>
      </c>
      <c r="C1142" t="s">
        <v>35</v>
      </c>
      <c r="D1142" t="s">
        <v>31</v>
      </c>
      <c r="E1142" t="s">
        <v>23</v>
      </c>
      <c r="F1142" t="s">
        <v>15</v>
      </c>
      <c r="G1142" s="2">
        <f>VALUE(240.9174439522)</f>
        <v>240.91744395219999</v>
      </c>
      <c r="H1142" s="3">
        <f>VALUE(241.8033092224)</f>
        <v>241.8033092224</v>
      </c>
      <c r="I1142" s="4">
        <f>VALUE(2810)</f>
        <v>2810</v>
      </c>
      <c r="J1142" s="5">
        <f>VALUE(3205)</f>
        <v>3205</v>
      </c>
      <c r="K1142" s="6">
        <f>VALUE(3926)</f>
        <v>3926</v>
      </c>
      <c r="L1142" s="7">
        <f>VALUE(4200)</f>
        <v>4200</v>
      </c>
      <c r="M1142" s="1">
        <f>VALUE(4769)</f>
        <v>4769</v>
      </c>
      <c r="N1142" t="s">
        <v>25</v>
      </c>
    </row>
    <row r="1143" spans="1:14" x14ac:dyDescent="0.25">
      <c r="A1143" t="s">
        <v>14</v>
      </c>
      <c r="B1143" t="s">
        <v>39</v>
      </c>
      <c r="C1143" t="s">
        <v>35</v>
      </c>
      <c r="D1143" t="s">
        <v>31</v>
      </c>
      <c r="E1143" t="s">
        <v>23</v>
      </c>
      <c r="F1143" t="s">
        <v>17</v>
      </c>
      <c r="G1143" s="1" t="str">
        <f t="shared" ref="G1143:M1143" si="220">"..."</f>
        <v>...</v>
      </c>
      <c r="H1143" s="1" t="str">
        <f t="shared" si="220"/>
        <v>...</v>
      </c>
      <c r="I1143" s="1" t="str">
        <f t="shared" si="220"/>
        <v>...</v>
      </c>
      <c r="J1143" s="1" t="str">
        <f t="shared" si="220"/>
        <v>...</v>
      </c>
      <c r="K1143" s="1" t="str">
        <f t="shared" si="220"/>
        <v>...</v>
      </c>
      <c r="L1143" s="1" t="str">
        <f t="shared" si="220"/>
        <v>...</v>
      </c>
      <c r="M1143" s="1" t="str">
        <f t="shared" si="220"/>
        <v>...</v>
      </c>
      <c r="N1143" t="s">
        <v>30</v>
      </c>
    </row>
    <row r="1144" spans="1:14" x14ac:dyDescent="0.25">
      <c r="A1144" t="s">
        <v>14</v>
      </c>
      <c r="B1144" t="s">
        <v>39</v>
      </c>
      <c r="C1144" t="s">
        <v>35</v>
      </c>
      <c r="D1144" t="s">
        <v>31</v>
      </c>
      <c r="E1144" t="s">
        <v>23</v>
      </c>
      <c r="F1144" t="s">
        <v>18</v>
      </c>
      <c r="G1144" s="1" t="str">
        <f t="shared" ref="G1144:M1147" si="221">"X"</f>
        <v>X</v>
      </c>
      <c r="H1144" s="1" t="str">
        <f t="shared" si="221"/>
        <v>X</v>
      </c>
      <c r="I1144" s="1" t="str">
        <f t="shared" si="221"/>
        <v>X</v>
      </c>
      <c r="J1144" s="1" t="str">
        <f t="shared" si="221"/>
        <v>X</v>
      </c>
      <c r="K1144" s="1" t="str">
        <f t="shared" si="221"/>
        <v>X</v>
      </c>
      <c r="L1144" s="1" t="str">
        <f t="shared" si="221"/>
        <v>X</v>
      </c>
      <c r="M1144" s="1" t="str">
        <f t="shared" si="221"/>
        <v>X</v>
      </c>
      <c r="N1144" t="s">
        <v>27</v>
      </c>
    </row>
    <row r="1145" spans="1:14" x14ac:dyDescent="0.25">
      <c r="A1145" t="s">
        <v>14</v>
      </c>
      <c r="B1145" t="s">
        <v>39</v>
      </c>
      <c r="C1145" t="s">
        <v>35</v>
      </c>
      <c r="D1145" t="s">
        <v>31</v>
      </c>
      <c r="E1145" t="s">
        <v>23</v>
      </c>
      <c r="F1145" t="s">
        <v>19</v>
      </c>
      <c r="G1145" s="1" t="str">
        <f t="shared" si="221"/>
        <v>X</v>
      </c>
      <c r="H1145" s="1" t="str">
        <f t="shared" si="221"/>
        <v>X</v>
      </c>
      <c r="I1145" s="1" t="str">
        <f t="shared" si="221"/>
        <v>X</v>
      </c>
      <c r="J1145" s="1" t="str">
        <f t="shared" si="221"/>
        <v>X</v>
      </c>
      <c r="K1145" s="1" t="str">
        <f t="shared" si="221"/>
        <v>X</v>
      </c>
      <c r="L1145" s="1" t="str">
        <f t="shared" si="221"/>
        <v>X</v>
      </c>
      <c r="M1145" s="1" t="str">
        <f t="shared" si="221"/>
        <v>X</v>
      </c>
      <c r="N1145" t="s">
        <v>27</v>
      </c>
    </row>
    <row r="1146" spans="1:14" x14ac:dyDescent="0.25">
      <c r="A1146" t="s">
        <v>14</v>
      </c>
      <c r="B1146" t="s">
        <v>39</v>
      </c>
      <c r="C1146" t="s">
        <v>35</v>
      </c>
      <c r="D1146" t="s">
        <v>31</v>
      </c>
      <c r="E1146" t="s">
        <v>23</v>
      </c>
      <c r="F1146" t="s">
        <v>20</v>
      </c>
      <c r="G1146" s="1" t="str">
        <f t="shared" si="221"/>
        <v>X</v>
      </c>
      <c r="H1146" s="1" t="str">
        <f t="shared" si="221"/>
        <v>X</v>
      </c>
      <c r="I1146" s="1" t="str">
        <f t="shared" si="221"/>
        <v>X</v>
      </c>
      <c r="J1146" s="1" t="str">
        <f t="shared" si="221"/>
        <v>X</v>
      </c>
      <c r="K1146" s="1" t="str">
        <f t="shared" si="221"/>
        <v>X</v>
      </c>
      <c r="L1146" s="1" t="str">
        <f t="shared" si="221"/>
        <v>X</v>
      </c>
      <c r="M1146" s="1" t="str">
        <f t="shared" si="221"/>
        <v>X</v>
      </c>
      <c r="N1146" t="s">
        <v>27</v>
      </c>
    </row>
    <row r="1147" spans="1:14" x14ac:dyDescent="0.25">
      <c r="A1147" t="s">
        <v>14</v>
      </c>
      <c r="B1147" t="s">
        <v>39</v>
      </c>
      <c r="C1147" t="s">
        <v>35</v>
      </c>
      <c r="D1147" t="s">
        <v>31</v>
      </c>
      <c r="E1147" t="s">
        <v>26</v>
      </c>
      <c r="F1147" t="s">
        <v>15</v>
      </c>
      <c r="G1147" s="1" t="str">
        <f t="shared" si="221"/>
        <v>X</v>
      </c>
      <c r="H1147" s="1" t="str">
        <f t="shared" si="221"/>
        <v>X</v>
      </c>
      <c r="I1147" s="1" t="str">
        <f t="shared" si="221"/>
        <v>X</v>
      </c>
      <c r="J1147" s="1" t="str">
        <f t="shared" si="221"/>
        <v>X</v>
      </c>
      <c r="K1147" s="1" t="str">
        <f t="shared" si="221"/>
        <v>X</v>
      </c>
      <c r="L1147" s="1" t="str">
        <f t="shared" si="221"/>
        <v>X</v>
      </c>
      <c r="M1147" s="1" t="str">
        <f t="shared" si="221"/>
        <v>X</v>
      </c>
      <c r="N1147" t="s">
        <v>27</v>
      </c>
    </row>
    <row r="1148" spans="1:14" x14ac:dyDescent="0.25">
      <c r="A1148" t="s">
        <v>14</v>
      </c>
      <c r="B1148" t="s">
        <v>39</v>
      </c>
      <c r="C1148" t="s">
        <v>35</v>
      </c>
      <c r="D1148" t="s">
        <v>31</v>
      </c>
      <c r="E1148" t="s">
        <v>26</v>
      </c>
      <c r="F1148" t="s">
        <v>17</v>
      </c>
      <c r="G1148" s="1" t="str">
        <f t="shared" ref="G1148:M1150" si="222">"..."</f>
        <v>...</v>
      </c>
      <c r="H1148" s="1" t="str">
        <f t="shared" si="222"/>
        <v>...</v>
      </c>
      <c r="I1148" s="1" t="str">
        <f t="shared" si="222"/>
        <v>...</v>
      </c>
      <c r="J1148" s="1" t="str">
        <f t="shared" si="222"/>
        <v>...</v>
      </c>
      <c r="K1148" s="1" t="str">
        <f t="shared" si="222"/>
        <v>...</v>
      </c>
      <c r="L1148" s="1" t="str">
        <f t="shared" si="222"/>
        <v>...</v>
      </c>
      <c r="M1148" s="1" t="str">
        <f t="shared" si="222"/>
        <v>...</v>
      </c>
      <c r="N1148" t="s">
        <v>30</v>
      </c>
    </row>
    <row r="1149" spans="1:14" x14ac:dyDescent="0.25">
      <c r="A1149" t="s">
        <v>14</v>
      </c>
      <c r="B1149" t="s">
        <v>39</v>
      </c>
      <c r="C1149" t="s">
        <v>35</v>
      </c>
      <c r="D1149" t="s">
        <v>31</v>
      </c>
      <c r="E1149" t="s">
        <v>26</v>
      </c>
      <c r="F1149" t="s">
        <v>18</v>
      </c>
      <c r="G1149" s="1" t="str">
        <f t="shared" si="222"/>
        <v>...</v>
      </c>
      <c r="H1149" s="1" t="str">
        <f t="shared" si="222"/>
        <v>...</v>
      </c>
      <c r="I1149" s="1" t="str">
        <f t="shared" si="222"/>
        <v>...</v>
      </c>
      <c r="J1149" s="1" t="str">
        <f t="shared" si="222"/>
        <v>...</v>
      </c>
      <c r="K1149" s="1" t="str">
        <f t="shared" si="222"/>
        <v>...</v>
      </c>
      <c r="L1149" s="1" t="str">
        <f t="shared" si="222"/>
        <v>...</v>
      </c>
      <c r="M1149" s="1" t="str">
        <f t="shared" si="222"/>
        <v>...</v>
      </c>
      <c r="N1149" t="s">
        <v>30</v>
      </c>
    </row>
    <row r="1150" spans="1:14" x14ac:dyDescent="0.25">
      <c r="A1150" t="s">
        <v>14</v>
      </c>
      <c r="B1150" t="s">
        <v>39</v>
      </c>
      <c r="C1150" t="s">
        <v>35</v>
      </c>
      <c r="D1150" t="s">
        <v>31</v>
      </c>
      <c r="E1150" t="s">
        <v>26</v>
      </c>
      <c r="F1150" t="s">
        <v>19</v>
      </c>
      <c r="G1150" s="1" t="str">
        <f t="shared" si="222"/>
        <v>...</v>
      </c>
      <c r="H1150" s="1" t="str">
        <f t="shared" si="222"/>
        <v>...</v>
      </c>
      <c r="I1150" s="1" t="str">
        <f t="shared" si="222"/>
        <v>...</v>
      </c>
      <c r="J1150" s="1" t="str">
        <f t="shared" si="222"/>
        <v>...</v>
      </c>
      <c r="K1150" s="1" t="str">
        <f t="shared" si="222"/>
        <v>...</v>
      </c>
      <c r="L1150" s="1" t="str">
        <f t="shared" si="222"/>
        <v>...</v>
      </c>
      <c r="M1150" s="1" t="str">
        <f t="shared" si="222"/>
        <v>...</v>
      </c>
      <c r="N1150" t="s">
        <v>30</v>
      </c>
    </row>
    <row r="1151" spans="1:14" x14ac:dyDescent="0.25">
      <c r="A1151" t="s">
        <v>14</v>
      </c>
      <c r="B1151" t="s">
        <v>39</v>
      </c>
      <c r="C1151" t="s">
        <v>35</v>
      </c>
      <c r="D1151" t="s">
        <v>31</v>
      </c>
      <c r="E1151" t="s">
        <v>26</v>
      </c>
      <c r="F1151" t="s">
        <v>20</v>
      </c>
      <c r="G1151" s="1" t="str">
        <f t="shared" ref="G1151:M1151" si="223">"X"</f>
        <v>X</v>
      </c>
      <c r="H1151" s="1" t="str">
        <f t="shared" si="223"/>
        <v>X</v>
      </c>
      <c r="I1151" s="1" t="str">
        <f t="shared" si="223"/>
        <v>X</v>
      </c>
      <c r="J1151" s="1" t="str">
        <f t="shared" si="223"/>
        <v>X</v>
      </c>
      <c r="K1151" s="1" t="str">
        <f t="shared" si="223"/>
        <v>X</v>
      </c>
      <c r="L1151" s="1" t="str">
        <f t="shared" si="223"/>
        <v>X</v>
      </c>
      <c r="M1151" s="1" t="str">
        <f t="shared" si="223"/>
        <v>X</v>
      </c>
      <c r="N1151" t="s">
        <v>27</v>
      </c>
    </row>
    <row r="1152" spans="1:14" x14ac:dyDescent="0.25">
      <c r="A1152" t="s">
        <v>14</v>
      </c>
      <c r="B1152" t="s">
        <v>39</v>
      </c>
      <c r="C1152" t="s">
        <v>35</v>
      </c>
      <c r="D1152" t="s">
        <v>32</v>
      </c>
      <c r="E1152" t="s">
        <v>15</v>
      </c>
      <c r="F1152" t="s">
        <v>15</v>
      </c>
      <c r="G1152" s="2">
        <f>VALUE(1209.1336184869)</f>
        <v>1209.1336184869001</v>
      </c>
      <c r="H1152" s="3">
        <f>VALUE(1216.5545705191)</f>
        <v>1216.5545705191</v>
      </c>
      <c r="I1152" s="1">
        <f>VALUE(2952)</f>
        <v>2952</v>
      </c>
      <c r="J1152" s="1">
        <f>VALUE(3178)</f>
        <v>3178</v>
      </c>
      <c r="K1152" s="1">
        <f>VALUE(3738)</f>
        <v>3738</v>
      </c>
      <c r="L1152" s="1">
        <f>VALUE(4364)</f>
        <v>4364</v>
      </c>
      <c r="M1152" s="1">
        <f>VALUE(5080)</f>
        <v>5080</v>
      </c>
      <c r="N1152" t="s">
        <v>25</v>
      </c>
    </row>
    <row r="1153" spans="1:14" x14ac:dyDescent="0.25">
      <c r="A1153" t="s">
        <v>14</v>
      </c>
      <c r="B1153" t="s">
        <v>39</v>
      </c>
      <c r="C1153" t="s">
        <v>35</v>
      </c>
      <c r="D1153" t="s">
        <v>32</v>
      </c>
      <c r="E1153" t="s">
        <v>15</v>
      </c>
      <c r="F1153" t="s">
        <v>17</v>
      </c>
      <c r="G1153" s="1" t="str">
        <f t="shared" ref="G1153:M1155" si="224">"X"</f>
        <v>X</v>
      </c>
      <c r="H1153" s="1" t="str">
        <f t="shared" si="224"/>
        <v>X</v>
      </c>
      <c r="I1153" s="1" t="str">
        <f t="shared" si="224"/>
        <v>X</v>
      </c>
      <c r="J1153" s="1" t="str">
        <f t="shared" si="224"/>
        <v>X</v>
      </c>
      <c r="K1153" s="1" t="str">
        <f t="shared" si="224"/>
        <v>X</v>
      </c>
      <c r="L1153" s="1" t="str">
        <f t="shared" si="224"/>
        <v>X</v>
      </c>
      <c r="M1153" s="1" t="str">
        <f t="shared" si="224"/>
        <v>X</v>
      </c>
      <c r="N1153" t="s">
        <v>27</v>
      </c>
    </row>
    <row r="1154" spans="1:14" x14ac:dyDescent="0.25">
      <c r="A1154" t="s">
        <v>14</v>
      </c>
      <c r="B1154" t="s">
        <v>39</v>
      </c>
      <c r="C1154" t="s">
        <v>35</v>
      </c>
      <c r="D1154" t="s">
        <v>32</v>
      </c>
      <c r="E1154" t="s">
        <v>15</v>
      </c>
      <c r="F1154" t="s">
        <v>18</v>
      </c>
      <c r="G1154" s="1" t="str">
        <f t="shared" si="224"/>
        <v>X</v>
      </c>
      <c r="H1154" s="1" t="str">
        <f t="shared" si="224"/>
        <v>X</v>
      </c>
      <c r="I1154" s="1" t="str">
        <f t="shared" si="224"/>
        <v>X</v>
      </c>
      <c r="J1154" s="1" t="str">
        <f t="shared" si="224"/>
        <v>X</v>
      </c>
      <c r="K1154" s="1" t="str">
        <f t="shared" si="224"/>
        <v>X</v>
      </c>
      <c r="L1154" s="1" t="str">
        <f t="shared" si="224"/>
        <v>X</v>
      </c>
      <c r="M1154" s="1" t="str">
        <f t="shared" si="224"/>
        <v>X</v>
      </c>
      <c r="N1154" t="s">
        <v>27</v>
      </c>
    </row>
    <row r="1155" spans="1:14" x14ac:dyDescent="0.25">
      <c r="A1155" t="s">
        <v>14</v>
      </c>
      <c r="B1155" t="s">
        <v>39</v>
      </c>
      <c r="C1155" t="s">
        <v>35</v>
      </c>
      <c r="D1155" t="s">
        <v>32</v>
      </c>
      <c r="E1155" t="s">
        <v>15</v>
      </c>
      <c r="F1155" t="s">
        <v>19</v>
      </c>
      <c r="G1155" s="1" t="str">
        <f t="shared" si="224"/>
        <v>X</v>
      </c>
      <c r="H1155" s="1" t="str">
        <f t="shared" si="224"/>
        <v>X</v>
      </c>
      <c r="I1155" s="1" t="str">
        <f t="shared" si="224"/>
        <v>X</v>
      </c>
      <c r="J1155" s="1" t="str">
        <f t="shared" si="224"/>
        <v>X</v>
      </c>
      <c r="K1155" s="1" t="str">
        <f t="shared" si="224"/>
        <v>X</v>
      </c>
      <c r="L1155" s="1" t="str">
        <f t="shared" si="224"/>
        <v>X</v>
      </c>
      <c r="M1155" s="1" t="str">
        <f t="shared" si="224"/>
        <v>X</v>
      </c>
      <c r="N1155" t="s">
        <v>27</v>
      </c>
    </row>
    <row r="1156" spans="1:14" x14ac:dyDescent="0.25">
      <c r="A1156" t="s">
        <v>14</v>
      </c>
      <c r="B1156" t="s">
        <v>39</v>
      </c>
      <c r="C1156" t="s">
        <v>35</v>
      </c>
      <c r="D1156" t="s">
        <v>32</v>
      </c>
      <c r="E1156" t="s">
        <v>15</v>
      </c>
      <c r="F1156" t="s">
        <v>20</v>
      </c>
      <c r="G1156" s="2">
        <f>VALUE(978.1771308183)</f>
        <v>978.17713081830004</v>
      </c>
      <c r="H1156" s="3">
        <f>VALUE(983.8980409034)</f>
        <v>983.89804090339999</v>
      </c>
      <c r="I1156" s="1">
        <f>VALUE(2872)</f>
        <v>2872</v>
      </c>
      <c r="J1156" s="1">
        <f>VALUE(3143)</f>
        <v>3143</v>
      </c>
      <c r="K1156" s="1">
        <f>VALUE(3699)</f>
        <v>3699</v>
      </c>
      <c r="L1156" s="1">
        <f>VALUE(4314)</f>
        <v>4314</v>
      </c>
      <c r="M1156" s="1">
        <f>VALUE(5050)</f>
        <v>5050</v>
      </c>
      <c r="N1156" t="s">
        <v>25</v>
      </c>
    </row>
    <row r="1157" spans="1:14" x14ac:dyDescent="0.25">
      <c r="A1157" t="s">
        <v>14</v>
      </c>
      <c r="B1157" t="s">
        <v>39</v>
      </c>
      <c r="C1157" t="s">
        <v>35</v>
      </c>
      <c r="D1157" t="s">
        <v>32</v>
      </c>
      <c r="E1157" t="s">
        <v>21</v>
      </c>
      <c r="F1157" t="s">
        <v>15</v>
      </c>
      <c r="G1157" s="1" t="str">
        <f t="shared" ref="G1157:M1157" si="225">"X"</f>
        <v>X</v>
      </c>
      <c r="H1157" s="1" t="str">
        <f t="shared" si="225"/>
        <v>X</v>
      </c>
      <c r="I1157" s="1" t="str">
        <f t="shared" si="225"/>
        <v>X</v>
      </c>
      <c r="J1157" s="1" t="str">
        <f t="shared" si="225"/>
        <v>X</v>
      </c>
      <c r="K1157" s="1" t="str">
        <f t="shared" si="225"/>
        <v>X</v>
      </c>
      <c r="L1157" s="1" t="str">
        <f t="shared" si="225"/>
        <v>X</v>
      </c>
      <c r="M1157" s="1" t="str">
        <f t="shared" si="225"/>
        <v>X</v>
      </c>
      <c r="N1157" t="s">
        <v>27</v>
      </c>
    </row>
    <row r="1158" spans="1:14" x14ac:dyDescent="0.25">
      <c r="A1158" t="s">
        <v>14</v>
      </c>
      <c r="B1158" t="s">
        <v>39</v>
      </c>
      <c r="C1158" t="s">
        <v>35</v>
      </c>
      <c r="D1158" t="s">
        <v>32</v>
      </c>
      <c r="E1158" t="s">
        <v>21</v>
      </c>
      <c r="F1158" t="s">
        <v>17</v>
      </c>
      <c r="G1158" s="1" t="str">
        <f t="shared" ref="G1158:M1158" si="226">"..."</f>
        <v>...</v>
      </c>
      <c r="H1158" s="1" t="str">
        <f t="shared" si="226"/>
        <v>...</v>
      </c>
      <c r="I1158" s="1" t="str">
        <f t="shared" si="226"/>
        <v>...</v>
      </c>
      <c r="J1158" s="1" t="str">
        <f t="shared" si="226"/>
        <v>...</v>
      </c>
      <c r="K1158" s="1" t="str">
        <f t="shared" si="226"/>
        <v>...</v>
      </c>
      <c r="L1158" s="1" t="str">
        <f t="shared" si="226"/>
        <v>...</v>
      </c>
      <c r="M1158" s="1" t="str">
        <f t="shared" si="226"/>
        <v>...</v>
      </c>
      <c r="N1158" t="s">
        <v>30</v>
      </c>
    </row>
    <row r="1159" spans="1:14" x14ac:dyDescent="0.25">
      <c r="A1159" t="s">
        <v>14</v>
      </c>
      <c r="B1159" t="s">
        <v>39</v>
      </c>
      <c r="C1159" t="s">
        <v>35</v>
      </c>
      <c r="D1159" t="s">
        <v>32</v>
      </c>
      <c r="E1159" t="s">
        <v>21</v>
      </c>
      <c r="F1159" t="s">
        <v>18</v>
      </c>
      <c r="G1159" s="1" t="str">
        <f t="shared" ref="G1159:M1161" si="227">"X"</f>
        <v>X</v>
      </c>
      <c r="H1159" s="1" t="str">
        <f t="shared" si="227"/>
        <v>X</v>
      </c>
      <c r="I1159" s="1" t="str">
        <f t="shared" si="227"/>
        <v>X</v>
      </c>
      <c r="J1159" s="1" t="str">
        <f t="shared" si="227"/>
        <v>X</v>
      </c>
      <c r="K1159" s="1" t="str">
        <f t="shared" si="227"/>
        <v>X</v>
      </c>
      <c r="L1159" s="1" t="str">
        <f t="shared" si="227"/>
        <v>X</v>
      </c>
      <c r="M1159" s="1" t="str">
        <f t="shared" si="227"/>
        <v>X</v>
      </c>
      <c r="N1159" t="s">
        <v>27</v>
      </c>
    </row>
    <row r="1160" spans="1:14" x14ac:dyDescent="0.25">
      <c r="A1160" t="s">
        <v>14</v>
      </c>
      <c r="B1160" t="s">
        <v>39</v>
      </c>
      <c r="C1160" t="s">
        <v>35</v>
      </c>
      <c r="D1160" t="s">
        <v>32</v>
      </c>
      <c r="E1160" t="s">
        <v>21</v>
      </c>
      <c r="F1160" t="s">
        <v>19</v>
      </c>
      <c r="G1160" s="1" t="str">
        <f t="shared" si="227"/>
        <v>X</v>
      </c>
      <c r="H1160" s="1" t="str">
        <f t="shared" si="227"/>
        <v>X</v>
      </c>
      <c r="I1160" s="1" t="str">
        <f t="shared" si="227"/>
        <v>X</v>
      </c>
      <c r="J1160" s="1" t="str">
        <f t="shared" si="227"/>
        <v>X</v>
      </c>
      <c r="K1160" s="1" t="str">
        <f t="shared" si="227"/>
        <v>X</v>
      </c>
      <c r="L1160" s="1" t="str">
        <f t="shared" si="227"/>
        <v>X</v>
      </c>
      <c r="M1160" s="1" t="str">
        <f t="shared" si="227"/>
        <v>X</v>
      </c>
      <c r="N1160" t="s">
        <v>27</v>
      </c>
    </row>
    <row r="1161" spans="1:14" x14ac:dyDescent="0.25">
      <c r="A1161" t="s">
        <v>14</v>
      </c>
      <c r="B1161" t="s">
        <v>39</v>
      </c>
      <c r="C1161" t="s">
        <v>35</v>
      </c>
      <c r="D1161" t="s">
        <v>32</v>
      </c>
      <c r="E1161" t="s">
        <v>21</v>
      </c>
      <c r="F1161" t="s">
        <v>20</v>
      </c>
      <c r="G1161" s="1" t="str">
        <f t="shared" si="227"/>
        <v>X</v>
      </c>
      <c r="H1161" s="1" t="str">
        <f t="shared" si="227"/>
        <v>X</v>
      </c>
      <c r="I1161" s="1" t="str">
        <f t="shared" si="227"/>
        <v>X</v>
      </c>
      <c r="J1161" s="1" t="str">
        <f t="shared" si="227"/>
        <v>X</v>
      </c>
      <c r="K1161" s="1" t="str">
        <f t="shared" si="227"/>
        <v>X</v>
      </c>
      <c r="L1161" s="1" t="str">
        <f t="shared" si="227"/>
        <v>X</v>
      </c>
      <c r="M1161" s="1" t="str">
        <f t="shared" si="227"/>
        <v>X</v>
      </c>
      <c r="N1161" t="s">
        <v>27</v>
      </c>
    </row>
    <row r="1162" spans="1:14" x14ac:dyDescent="0.25">
      <c r="A1162" t="s">
        <v>14</v>
      </c>
      <c r="B1162" t="s">
        <v>39</v>
      </c>
      <c r="C1162" t="s">
        <v>35</v>
      </c>
      <c r="D1162" t="s">
        <v>32</v>
      </c>
      <c r="E1162" t="s">
        <v>22</v>
      </c>
      <c r="F1162" t="s">
        <v>15</v>
      </c>
      <c r="G1162" s="2">
        <f>VALUE(421.5976242717)</f>
        <v>421.5976242717</v>
      </c>
      <c r="H1162" s="3">
        <f>VALUE(426.165660561)</f>
        <v>426.16566056099998</v>
      </c>
      <c r="I1162" s="4">
        <f>VALUE(3178)</f>
        <v>3178</v>
      </c>
      <c r="J1162" s="1">
        <f>VALUE(3541)</f>
        <v>3541</v>
      </c>
      <c r="K1162" s="1">
        <f>VALUE(4016)</f>
        <v>4016</v>
      </c>
      <c r="L1162" s="1">
        <f>VALUE(4545)</f>
        <v>4545</v>
      </c>
      <c r="M1162" s="1">
        <f>VALUE(5286)</f>
        <v>5286</v>
      </c>
      <c r="N1162" t="s">
        <v>25</v>
      </c>
    </row>
    <row r="1163" spans="1:14" x14ac:dyDescent="0.25">
      <c r="A1163" t="s">
        <v>14</v>
      </c>
      <c r="B1163" t="s">
        <v>39</v>
      </c>
      <c r="C1163" t="s">
        <v>35</v>
      </c>
      <c r="D1163" t="s">
        <v>32</v>
      </c>
      <c r="E1163" t="s">
        <v>22</v>
      </c>
      <c r="F1163" t="s">
        <v>17</v>
      </c>
      <c r="G1163" s="1" t="str">
        <f t="shared" ref="G1163:M1165" si="228">"X"</f>
        <v>X</v>
      </c>
      <c r="H1163" s="1" t="str">
        <f t="shared" si="228"/>
        <v>X</v>
      </c>
      <c r="I1163" s="1" t="str">
        <f t="shared" si="228"/>
        <v>X</v>
      </c>
      <c r="J1163" s="1" t="str">
        <f t="shared" si="228"/>
        <v>X</v>
      </c>
      <c r="K1163" s="1" t="str">
        <f t="shared" si="228"/>
        <v>X</v>
      </c>
      <c r="L1163" s="1" t="str">
        <f t="shared" si="228"/>
        <v>X</v>
      </c>
      <c r="M1163" s="1" t="str">
        <f t="shared" si="228"/>
        <v>X</v>
      </c>
      <c r="N1163" t="s">
        <v>27</v>
      </c>
    </row>
    <row r="1164" spans="1:14" x14ac:dyDescent="0.25">
      <c r="A1164" t="s">
        <v>14</v>
      </c>
      <c r="B1164" t="s">
        <v>39</v>
      </c>
      <c r="C1164" t="s">
        <v>35</v>
      </c>
      <c r="D1164" t="s">
        <v>32</v>
      </c>
      <c r="E1164" t="s">
        <v>22</v>
      </c>
      <c r="F1164" t="s">
        <v>18</v>
      </c>
      <c r="G1164" s="1" t="str">
        <f t="shared" si="228"/>
        <v>X</v>
      </c>
      <c r="H1164" s="1" t="str">
        <f t="shared" si="228"/>
        <v>X</v>
      </c>
      <c r="I1164" s="1" t="str">
        <f t="shared" si="228"/>
        <v>X</v>
      </c>
      <c r="J1164" s="1" t="str">
        <f t="shared" si="228"/>
        <v>X</v>
      </c>
      <c r="K1164" s="1" t="str">
        <f t="shared" si="228"/>
        <v>X</v>
      </c>
      <c r="L1164" s="1" t="str">
        <f t="shared" si="228"/>
        <v>X</v>
      </c>
      <c r="M1164" s="1" t="str">
        <f t="shared" si="228"/>
        <v>X</v>
      </c>
      <c r="N1164" t="s">
        <v>27</v>
      </c>
    </row>
    <row r="1165" spans="1:14" x14ac:dyDescent="0.25">
      <c r="A1165" t="s">
        <v>14</v>
      </c>
      <c r="B1165" t="s">
        <v>39</v>
      </c>
      <c r="C1165" t="s">
        <v>35</v>
      </c>
      <c r="D1165" t="s">
        <v>32</v>
      </c>
      <c r="E1165" t="s">
        <v>22</v>
      </c>
      <c r="F1165" t="s">
        <v>19</v>
      </c>
      <c r="G1165" s="1" t="str">
        <f t="shared" si="228"/>
        <v>X</v>
      </c>
      <c r="H1165" s="1" t="str">
        <f t="shared" si="228"/>
        <v>X</v>
      </c>
      <c r="I1165" s="1" t="str">
        <f t="shared" si="228"/>
        <v>X</v>
      </c>
      <c r="J1165" s="1" t="str">
        <f t="shared" si="228"/>
        <v>X</v>
      </c>
      <c r="K1165" s="1" t="str">
        <f t="shared" si="228"/>
        <v>X</v>
      </c>
      <c r="L1165" s="1" t="str">
        <f t="shared" si="228"/>
        <v>X</v>
      </c>
      <c r="M1165" s="1" t="str">
        <f t="shared" si="228"/>
        <v>X</v>
      </c>
      <c r="N1165" t="s">
        <v>27</v>
      </c>
    </row>
    <row r="1166" spans="1:14" x14ac:dyDescent="0.25">
      <c r="A1166" t="s">
        <v>14</v>
      </c>
      <c r="B1166" t="s">
        <v>39</v>
      </c>
      <c r="C1166" t="s">
        <v>35</v>
      </c>
      <c r="D1166" t="s">
        <v>32</v>
      </c>
      <c r="E1166" t="s">
        <v>22</v>
      </c>
      <c r="F1166" t="s">
        <v>20</v>
      </c>
      <c r="G1166" s="2">
        <f>VALUE(301.8377909777)</f>
        <v>301.83779097770002</v>
      </c>
      <c r="H1166" s="3">
        <f>VALUE(304.4933155831)</f>
        <v>304.49331558310001</v>
      </c>
      <c r="I1166" s="4">
        <f>VALUE(3019)</f>
        <v>3019</v>
      </c>
      <c r="J1166" s="1">
        <f>VALUE(3504)</f>
        <v>3504</v>
      </c>
      <c r="K1166" s="1">
        <f>VALUE(3934)</f>
        <v>3934</v>
      </c>
      <c r="L1166" s="7">
        <f>VALUE(4533)</f>
        <v>4533</v>
      </c>
      <c r="M1166" s="1">
        <f>VALUE(5286)</f>
        <v>5286</v>
      </c>
      <c r="N1166" t="s">
        <v>25</v>
      </c>
    </row>
    <row r="1167" spans="1:14" x14ac:dyDescent="0.25">
      <c r="A1167" t="s">
        <v>14</v>
      </c>
      <c r="B1167" t="s">
        <v>39</v>
      </c>
      <c r="C1167" t="s">
        <v>35</v>
      </c>
      <c r="D1167" t="s">
        <v>32</v>
      </c>
      <c r="E1167" t="s">
        <v>23</v>
      </c>
      <c r="F1167" t="s">
        <v>15</v>
      </c>
      <c r="G1167" s="2">
        <f>VALUE(716.2410420743)</f>
        <v>716.24104207430003</v>
      </c>
      <c r="H1167" s="3">
        <f>VALUE(727.0961975042)</f>
        <v>727.09619750419995</v>
      </c>
      <c r="I1167" s="1">
        <f>VALUE(2857)</f>
        <v>2857</v>
      </c>
      <c r="J1167" s="1">
        <f>VALUE(3110)</f>
        <v>3110</v>
      </c>
      <c r="K1167" s="1">
        <f>VALUE(3573)</f>
        <v>3573</v>
      </c>
      <c r="L1167" s="1">
        <f>VALUE(4201)</f>
        <v>4201</v>
      </c>
      <c r="M1167" s="1">
        <f>VALUE(4919)</f>
        <v>4919</v>
      </c>
      <c r="N1167" t="s">
        <v>25</v>
      </c>
    </row>
    <row r="1168" spans="1:14" x14ac:dyDescent="0.25">
      <c r="A1168" t="s">
        <v>14</v>
      </c>
      <c r="B1168" t="s">
        <v>39</v>
      </c>
      <c r="C1168" t="s">
        <v>35</v>
      </c>
      <c r="D1168" t="s">
        <v>32</v>
      </c>
      <c r="E1168" t="s">
        <v>23</v>
      </c>
      <c r="F1168" t="s">
        <v>17</v>
      </c>
      <c r="G1168" s="1" t="str">
        <f t="shared" ref="G1168:M1170" si="229">"X"</f>
        <v>X</v>
      </c>
      <c r="H1168" s="1" t="str">
        <f t="shared" si="229"/>
        <v>X</v>
      </c>
      <c r="I1168" s="1" t="str">
        <f t="shared" si="229"/>
        <v>X</v>
      </c>
      <c r="J1168" s="1" t="str">
        <f t="shared" si="229"/>
        <v>X</v>
      </c>
      <c r="K1168" s="1" t="str">
        <f t="shared" si="229"/>
        <v>X</v>
      </c>
      <c r="L1168" s="1" t="str">
        <f t="shared" si="229"/>
        <v>X</v>
      </c>
      <c r="M1168" s="1" t="str">
        <f t="shared" si="229"/>
        <v>X</v>
      </c>
      <c r="N1168" t="s">
        <v>27</v>
      </c>
    </row>
    <row r="1169" spans="1:14" x14ac:dyDescent="0.25">
      <c r="A1169" t="s">
        <v>14</v>
      </c>
      <c r="B1169" t="s">
        <v>39</v>
      </c>
      <c r="C1169" t="s">
        <v>35</v>
      </c>
      <c r="D1169" t="s">
        <v>32</v>
      </c>
      <c r="E1169" t="s">
        <v>23</v>
      </c>
      <c r="F1169" t="s">
        <v>18</v>
      </c>
      <c r="G1169" s="1" t="str">
        <f t="shared" si="229"/>
        <v>X</v>
      </c>
      <c r="H1169" s="1" t="str">
        <f t="shared" si="229"/>
        <v>X</v>
      </c>
      <c r="I1169" s="1" t="str">
        <f t="shared" si="229"/>
        <v>X</v>
      </c>
      <c r="J1169" s="1" t="str">
        <f t="shared" si="229"/>
        <v>X</v>
      </c>
      <c r="K1169" s="1" t="str">
        <f t="shared" si="229"/>
        <v>X</v>
      </c>
      <c r="L1169" s="1" t="str">
        <f t="shared" si="229"/>
        <v>X</v>
      </c>
      <c r="M1169" s="1" t="str">
        <f t="shared" si="229"/>
        <v>X</v>
      </c>
      <c r="N1169" t="s">
        <v>27</v>
      </c>
    </row>
    <row r="1170" spans="1:14" x14ac:dyDescent="0.25">
      <c r="A1170" t="s">
        <v>14</v>
      </c>
      <c r="B1170" t="s">
        <v>39</v>
      </c>
      <c r="C1170" t="s">
        <v>35</v>
      </c>
      <c r="D1170" t="s">
        <v>32</v>
      </c>
      <c r="E1170" t="s">
        <v>23</v>
      </c>
      <c r="F1170" t="s">
        <v>19</v>
      </c>
      <c r="G1170" s="1" t="str">
        <f t="shared" si="229"/>
        <v>X</v>
      </c>
      <c r="H1170" s="1" t="str">
        <f t="shared" si="229"/>
        <v>X</v>
      </c>
      <c r="I1170" s="1" t="str">
        <f t="shared" si="229"/>
        <v>X</v>
      </c>
      <c r="J1170" s="1" t="str">
        <f t="shared" si="229"/>
        <v>X</v>
      </c>
      <c r="K1170" s="1" t="str">
        <f t="shared" si="229"/>
        <v>X</v>
      </c>
      <c r="L1170" s="1" t="str">
        <f t="shared" si="229"/>
        <v>X</v>
      </c>
      <c r="M1170" s="1" t="str">
        <f t="shared" si="229"/>
        <v>X</v>
      </c>
      <c r="N1170" t="s">
        <v>27</v>
      </c>
    </row>
    <row r="1171" spans="1:14" x14ac:dyDescent="0.25">
      <c r="A1171" t="s">
        <v>14</v>
      </c>
      <c r="B1171" t="s">
        <v>39</v>
      </c>
      <c r="C1171" t="s">
        <v>35</v>
      </c>
      <c r="D1171" t="s">
        <v>32</v>
      </c>
      <c r="E1171" t="s">
        <v>23</v>
      </c>
      <c r="F1171" t="s">
        <v>20</v>
      </c>
      <c r="G1171" s="2">
        <f>VALUE(637.0679053181)</f>
        <v>637.06790531809997</v>
      </c>
      <c r="H1171" s="3">
        <f>VALUE(645.4717424017)</f>
        <v>645.4717424017</v>
      </c>
      <c r="I1171" s="1">
        <f>VALUE(2857)</f>
        <v>2857</v>
      </c>
      <c r="J1171" s="1">
        <f>VALUE(3095)</f>
        <v>3095</v>
      </c>
      <c r="K1171" s="1">
        <f>VALUE(3589)</f>
        <v>3589</v>
      </c>
      <c r="L1171" s="1">
        <f>VALUE(4201)</f>
        <v>4201</v>
      </c>
      <c r="M1171" s="1">
        <f>VALUE(4919)</f>
        <v>4919</v>
      </c>
      <c r="N1171" t="s">
        <v>25</v>
      </c>
    </row>
    <row r="1172" spans="1:14" x14ac:dyDescent="0.25">
      <c r="A1172" t="s">
        <v>14</v>
      </c>
      <c r="B1172" t="s">
        <v>39</v>
      </c>
      <c r="C1172" t="s">
        <v>35</v>
      </c>
      <c r="D1172" t="s">
        <v>32</v>
      </c>
      <c r="E1172" t="s">
        <v>26</v>
      </c>
      <c r="F1172" t="s">
        <v>15</v>
      </c>
      <c r="G1172" s="1" t="str">
        <f t="shared" ref="G1172:M1176" si="230">"..."</f>
        <v>...</v>
      </c>
      <c r="H1172" s="1" t="str">
        <f t="shared" si="230"/>
        <v>...</v>
      </c>
      <c r="I1172" s="1" t="str">
        <f t="shared" si="230"/>
        <v>...</v>
      </c>
      <c r="J1172" s="1" t="str">
        <f t="shared" si="230"/>
        <v>...</v>
      </c>
      <c r="K1172" s="1" t="str">
        <f t="shared" si="230"/>
        <v>...</v>
      </c>
      <c r="L1172" s="1" t="str">
        <f t="shared" si="230"/>
        <v>...</v>
      </c>
      <c r="M1172" s="1" t="str">
        <f t="shared" si="230"/>
        <v>...</v>
      </c>
      <c r="N1172" t="s">
        <v>30</v>
      </c>
    </row>
    <row r="1173" spans="1:14" x14ac:dyDescent="0.25">
      <c r="A1173" t="s">
        <v>14</v>
      </c>
      <c r="B1173" t="s">
        <v>39</v>
      </c>
      <c r="C1173" t="s">
        <v>35</v>
      </c>
      <c r="D1173" t="s">
        <v>32</v>
      </c>
      <c r="E1173" t="s">
        <v>26</v>
      </c>
      <c r="F1173" t="s">
        <v>17</v>
      </c>
      <c r="G1173" s="1" t="str">
        <f t="shared" si="230"/>
        <v>...</v>
      </c>
      <c r="H1173" s="1" t="str">
        <f t="shared" si="230"/>
        <v>...</v>
      </c>
      <c r="I1173" s="1" t="str">
        <f t="shared" si="230"/>
        <v>...</v>
      </c>
      <c r="J1173" s="1" t="str">
        <f t="shared" si="230"/>
        <v>...</v>
      </c>
      <c r="K1173" s="1" t="str">
        <f t="shared" si="230"/>
        <v>...</v>
      </c>
      <c r="L1173" s="1" t="str">
        <f t="shared" si="230"/>
        <v>...</v>
      </c>
      <c r="M1173" s="1" t="str">
        <f t="shared" si="230"/>
        <v>...</v>
      </c>
      <c r="N1173" t="s">
        <v>30</v>
      </c>
    </row>
    <row r="1174" spans="1:14" x14ac:dyDescent="0.25">
      <c r="A1174" t="s">
        <v>14</v>
      </c>
      <c r="B1174" t="s">
        <v>39</v>
      </c>
      <c r="C1174" t="s">
        <v>35</v>
      </c>
      <c r="D1174" t="s">
        <v>32</v>
      </c>
      <c r="E1174" t="s">
        <v>26</v>
      </c>
      <c r="F1174" t="s">
        <v>18</v>
      </c>
      <c r="G1174" s="1" t="str">
        <f t="shared" si="230"/>
        <v>...</v>
      </c>
      <c r="H1174" s="1" t="str">
        <f t="shared" si="230"/>
        <v>...</v>
      </c>
      <c r="I1174" s="1" t="str">
        <f t="shared" si="230"/>
        <v>...</v>
      </c>
      <c r="J1174" s="1" t="str">
        <f t="shared" si="230"/>
        <v>...</v>
      </c>
      <c r="K1174" s="1" t="str">
        <f t="shared" si="230"/>
        <v>...</v>
      </c>
      <c r="L1174" s="1" t="str">
        <f t="shared" si="230"/>
        <v>...</v>
      </c>
      <c r="M1174" s="1" t="str">
        <f t="shared" si="230"/>
        <v>...</v>
      </c>
      <c r="N1174" t="s">
        <v>30</v>
      </c>
    </row>
    <row r="1175" spans="1:14" x14ac:dyDescent="0.25">
      <c r="A1175" t="s">
        <v>14</v>
      </c>
      <c r="B1175" t="s">
        <v>39</v>
      </c>
      <c r="C1175" t="s">
        <v>35</v>
      </c>
      <c r="D1175" t="s">
        <v>32</v>
      </c>
      <c r="E1175" t="s">
        <v>26</v>
      </c>
      <c r="F1175" t="s">
        <v>19</v>
      </c>
      <c r="G1175" s="1" t="str">
        <f t="shared" si="230"/>
        <v>...</v>
      </c>
      <c r="H1175" s="1" t="str">
        <f t="shared" si="230"/>
        <v>...</v>
      </c>
      <c r="I1175" s="1" t="str">
        <f t="shared" si="230"/>
        <v>...</v>
      </c>
      <c r="J1175" s="1" t="str">
        <f t="shared" si="230"/>
        <v>...</v>
      </c>
      <c r="K1175" s="1" t="str">
        <f t="shared" si="230"/>
        <v>...</v>
      </c>
      <c r="L1175" s="1" t="str">
        <f t="shared" si="230"/>
        <v>...</v>
      </c>
      <c r="M1175" s="1" t="str">
        <f t="shared" si="230"/>
        <v>...</v>
      </c>
      <c r="N1175" t="s">
        <v>30</v>
      </c>
    </row>
    <row r="1176" spans="1:14" x14ac:dyDescent="0.25">
      <c r="A1176" t="s">
        <v>14</v>
      </c>
      <c r="B1176" t="s">
        <v>39</v>
      </c>
      <c r="C1176" t="s">
        <v>35</v>
      </c>
      <c r="D1176" t="s">
        <v>32</v>
      </c>
      <c r="E1176" t="s">
        <v>26</v>
      </c>
      <c r="F1176" t="s">
        <v>20</v>
      </c>
      <c r="G1176" s="1" t="str">
        <f t="shared" si="230"/>
        <v>...</v>
      </c>
      <c r="H1176" s="1" t="str">
        <f t="shared" si="230"/>
        <v>...</v>
      </c>
      <c r="I1176" s="1" t="str">
        <f t="shared" si="230"/>
        <v>...</v>
      </c>
      <c r="J1176" s="1" t="str">
        <f t="shared" si="230"/>
        <v>...</v>
      </c>
      <c r="K1176" s="1" t="str">
        <f t="shared" si="230"/>
        <v>...</v>
      </c>
      <c r="L1176" s="1" t="str">
        <f t="shared" si="230"/>
        <v>...</v>
      </c>
      <c r="M1176" s="1" t="str">
        <f t="shared" si="230"/>
        <v>...</v>
      </c>
      <c r="N1176" t="s">
        <v>30</v>
      </c>
    </row>
    <row r="1177" spans="1:14" x14ac:dyDescent="0.25">
      <c r="A1177" t="s">
        <v>14</v>
      </c>
      <c r="B1177" t="s">
        <v>39</v>
      </c>
      <c r="C1177" t="s">
        <v>35</v>
      </c>
      <c r="D1177" t="s">
        <v>33</v>
      </c>
      <c r="E1177" t="s">
        <v>15</v>
      </c>
      <c r="F1177" t="s">
        <v>15</v>
      </c>
      <c r="G1177" s="1" t="str">
        <f t="shared" ref="G1177:M1177" si="231">"X"</f>
        <v>X</v>
      </c>
      <c r="H1177" s="1" t="str">
        <f t="shared" si="231"/>
        <v>X</v>
      </c>
      <c r="I1177" s="1" t="str">
        <f t="shared" si="231"/>
        <v>X</v>
      </c>
      <c r="J1177" s="1" t="str">
        <f t="shared" si="231"/>
        <v>X</v>
      </c>
      <c r="K1177" s="1" t="str">
        <f t="shared" si="231"/>
        <v>X</v>
      </c>
      <c r="L1177" s="1" t="str">
        <f t="shared" si="231"/>
        <v>X</v>
      </c>
      <c r="M1177" s="1" t="str">
        <f t="shared" si="231"/>
        <v>X</v>
      </c>
      <c r="N1177" t="s">
        <v>27</v>
      </c>
    </row>
    <row r="1178" spans="1:14" x14ac:dyDescent="0.25">
      <c r="A1178" t="s">
        <v>14</v>
      </c>
      <c r="B1178" t="s">
        <v>39</v>
      </c>
      <c r="C1178" t="s">
        <v>35</v>
      </c>
      <c r="D1178" t="s">
        <v>33</v>
      </c>
      <c r="E1178" t="s">
        <v>15</v>
      </c>
      <c r="F1178" t="s">
        <v>17</v>
      </c>
      <c r="G1178" s="1" t="str">
        <f t="shared" ref="G1178:M1178" si="232">"..."</f>
        <v>...</v>
      </c>
      <c r="H1178" s="1" t="str">
        <f t="shared" si="232"/>
        <v>...</v>
      </c>
      <c r="I1178" s="1" t="str">
        <f t="shared" si="232"/>
        <v>...</v>
      </c>
      <c r="J1178" s="1" t="str">
        <f t="shared" si="232"/>
        <v>...</v>
      </c>
      <c r="K1178" s="1" t="str">
        <f t="shared" si="232"/>
        <v>...</v>
      </c>
      <c r="L1178" s="1" t="str">
        <f t="shared" si="232"/>
        <v>...</v>
      </c>
      <c r="M1178" s="1" t="str">
        <f t="shared" si="232"/>
        <v>...</v>
      </c>
      <c r="N1178" t="s">
        <v>30</v>
      </c>
    </row>
    <row r="1179" spans="1:14" x14ac:dyDescent="0.25">
      <c r="A1179" t="s">
        <v>14</v>
      </c>
      <c r="B1179" t="s">
        <v>39</v>
      </c>
      <c r="C1179" t="s">
        <v>35</v>
      </c>
      <c r="D1179" t="s">
        <v>33</v>
      </c>
      <c r="E1179" t="s">
        <v>15</v>
      </c>
      <c r="F1179" t="s">
        <v>18</v>
      </c>
      <c r="G1179" s="1" t="str">
        <f t="shared" ref="G1179:M1181" si="233">"X"</f>
        <v>X</v>
      </c>
      <c r="H1179" s="1" t="str">
        <f t="shared" si="233"/>
        <v>X</v>
      </c>
      <c r="I1179" s="1" t="str">
        <f t="shared" si="233"/>
        <v>X</v>
      </c>
      <c r="J1179" s="1" t="str">
        <f t="shared" si="233"/>
        <v>X</v>
      </c>
      <c r="K1179" s="1" t="str">
        <f t="shared" si="233"/>
        <v>X</v>
      </c>
      <c r="L1179" s="1" t="str">
        <f t="shared" si="233"/>
        <v>X</v>
      </c>
      <c r="M1179" s="1" t="str">
        <f t="shared" si="233"/>
        <v>X</v>
      </c>
      <c r="N1179" t="s">
        <v>27</v>
      </c>
    </row>
    <row r="1180" spans="1:14" x14ac:dyDescent="0.25">
      <c r="A1180" t="s">
        <v>14</v>
      </c>
      <c r="B1180" t="s">
        <v>39</v>
      </c>
      <c r="C1180" t="s">
        <v>35</v>
      </c>
      <c r="D1180" t="s">
        <v>33</v>
      </c>
      <c r="E1180" t="s">
        <v>15</v>
      </c>
      <c r="F1180" t="s">
        <v>19</v>
      </c>
      <c r="G1180" s="1" t="str">
        <f t="shared" si="233"/>
        <v>X</v>
      </c>
      <c r="H1180" s="1" t="str">
        <f t="shared" si="233"/>
        <v>X</v>
      </c>
      <c r="I1180" s="1" t="str">
        <f t="shared" si="233"/>
        <v>X</v>
      </c>
      <c r="J1180" s="1" t="str">
        <f t="shared" si="233"/>
        <v>X</v>
      </c>
      <c r="K1180" s="1" t="str">
        <f t="shared" si="233"/>
        <v>X</v>
      </c>
      <c r="L1180" s="1" t="str">
        <f t="shared" si="233"/>
        <v>X</v>
      </c>
      <c r="M1180" s="1" t="str">
        <f t="shared" si="233"/>
        <v>X</v>
      </c>
      <c r="N1180" t="s">
        <v>27</v>
      </c>
    </row>
    <row r="1181" spans="1:14" x14ac:dyDescent="0.25">
      <c r="A1181" t="s">
        <v>14</v>
      </c>
      <c r="B1181" t="s">
        <v>39</v>
      </c>
      <c r="C1181" t="s">
        <v>35</v>
      </c>
      <c r="D1181" t="s">
        <v>33</v>
      </c>
      <c r="E1181" t="s">
        <v>15</v>
      </c>
      <c r="F1181" t="s">
        <v>20</v>
      </c>
      <c r="G1181" s="1" t="str">
        <f t="shared" si="233"/>
        <v>X</v>
      </c>
      <c r="H1181" s="1" t="str">
        <f t="shared" si="233"/>
        <v>X</v>
      </c>
      <c r="I1181" s="1" t="str">
        <f t="shared" si="233"/>
        <v>X</v>
      </c>
      <c r="J1181" s="1" t="str">
        <f t="shared" si="233"/>
        <v>X</v>
      </c>
      <c r="K1181" s="1" t="str">
        <f t="shared" si="233"/>
        <v>X</v>
      </c>
      <c r="L1181" s="1" t="str">
        <f t="shared" si="233"/>
        <v>X</v>
      </c>
      <c r="M1181" s="1" t="str">
        <f t="shared" si="233"/>
        <v>X</v>
      </c>
      <c r="N1181" t="s">
        <v>27</v>
      </c>
    </row>
    <row r="1182" spans="1:14" x14ac:dyDescent="0.25">
      <c r="A1182" t="s">
        <v>14</v>
      </c>
      <c r="B1182" t="s">
        <v>39</v>
      </c>
      <c r="C1182" t="s">
        <v>35</v>
      </c>
      <c r="D1182" t="s">
        <v>33</v>
      </c>
      <c r="E1182" t="s">
        <v>21</v>
      </c>
      <c r="F1182" t="s">
        <v>15</v>
      </c>
      <c r="G1182" s="1" t="str">
        <f t="shared" ref="G1182:M1186" si="234">"..."</f>
        <v>...</v>
      </c>
      <c r="H1182" s="1" t="str">
        <f t="shared" si="234"/>
        <v>...</v>
      </c>
      <c r="I1182" s="1" t="str">
        <f t="shared" si="234"/>
        <v>...</v>
      </c>
      <c r="J1182" s="1" t="str">
        <f t="shared" si="234"/>
        <v>...</v>
      </c>
      <c r="K1182" s="1" t="str">
        <f t="shared" si="234"/>
        <v>...</v>
      </c>
      <c r="L1182" s="1" t="str">
        <f t="shared" si="234"/>
        <v>...</v>
      </c>
      <c r="M1182" s="1" t="str">
        <f t="shared" si="234"/>
        <v>...</v>
      </c>
      <c r="N1182" t="s">
        <v>30</v>
      </c>
    </row>
    <row r="1183" spans="1:14" x14ac:dyDescent="0.25">
      <c r="A1183" t="s">
        <v>14</v>
      </c>
      <c r="B1183" t="s">
        <v>39</v>
      </c>
      <c r="C1183" t="s">
        <v>35</v>
      </c>
      <c r="D1183" t="s">
        <v>33</v>
      </c>
      <c r="E1183" t="s">
        <v>21</v>
      </c>
      <c r="F1183" t="s">
        <v>17</v>
      </c>
      <c r="G1183" s="1" t="str">
        <f t="shared" si="234"/>
        <v>...</v>
      </c>
      <c r="H1183" s="1" t="str">
        <f t="shared" si="234"/>
        <v>...</v>
      </c>
      <c r="I1183" s="1" t="str">
        <f t="shared" si="234"/>
        <v>...</v>
      </c>
      <c r="J1183" s="1" t="str">
        <f t="shared" si="234"/>
        <v>...</v>
      </c>
      <c r="K1183" s="1" t="str">
        <f t="shared" si="234"/>
        <v>...</v>
      </c>
      <c r="L1183" s="1" t="str">
        <f t="shared" si="234"/>
        <v>...</v>
      </c>
      <c r="M1183" s="1" t="str">
        <f t="shared" si="234"/>
        <v>...</v>
      </c>
      <c r="N1183" t="s">
        <v>30</v>
      </c>
    </row>
    <row r="1184" spans="1:14" x14ac:dyDescent="0.25">
      <c r="A1184" t="s">
        <v>14</v>
      </c>
      <c r="B1184" t="s">
        <v>39</v>
      </c>
      <c r="C1184" t="s">
        <v>35</v>
      </c>
      <c r="D1184" t="s">
        <v>33</v>
      </c>
      <c r="E1184" t="s">
        <v>21</v>
      </c>
      <c r="F1184" t="s">
        <v>18</v>
      </c>
      <c r="G1184" s="1" t="str">
        <f t="shared" si="234"/>
        <v>...</v>
      </c>
      <c r="H1184" s="1" t="str">
        <f t="shared" si="234"/>
        <v>...</v>
      </c>
      <c r="I1184" s="1" t="str">
        <f t="shared" si="234"/>
        <v>...</v>
      </c>
      <c r="J1184" s="1" t="str">
        <f t="shared" si="234"/>
        <v>...</v>
      </c>
      <c r="K1184" s="1" t="str">
        <f t="shared" si="234"/>
        <v>...</v>
      </c>
      <c r="L1184" s="1" t="str">
        <f t="shared" si="234"/>
        <v>...</v>
      </c>
      <c r="M1184" s="1" t="str">
        <f t="shared" si="234"/>
        <v>...</v>
      </c>
      <c r="N1184" t="s">
        <v>30</v>
      </c>
    </row>
    <row r="1185" spans="1:14" x14ac:dyDescent="0.25">
      <c r="A1185" t="s">
        <v>14</v>
      </c>
      <c r="B1185" t="s">
        <v>39</v>
      </c>
      <c r="C1185" t="s">
        <v>35</v>
      </c>
      <c r="D1185" t="s">
        <v>33</v>
      </c>
      <c r="E1185" t="s">
        <v>21</v>
      </c>
      <c r="F1185" t="s">
        <v>19</v>
      </c>
      <c r="G1185" s="1" t="str">
        <f t="shared" si="234"/>
        <v>...</v>
      </c>
      <c r="H1185" s="1" t="str">
        <f t="shared" si="234"/>
        <v>...</v>
      </c>
      <c r="I1185" s="1" t="str">
        <f t="shared" si="234"/>
        <v>...</v>
      </c>
      <c r="J1185" s="1" t="str">
        <f t="shared" si="234"/>
        <v>...</v>
      </c>
      <c r="K1185" s="1" t="str">
        <f t="shared" si="234"/>
        <v>...</v>
      </c>
      <c r="L1185" s="1" t="str">
        <f t="shared" si="234"/>
        <v>...</v>
      </c>
      <c r="M1185" s="1" t="str">
        <f t="shared" si="234"/>
        <v>...</v>
      </c>
      <c r="N1185" t="s">
        <v>30</v>
      </c>
    </row>
    <row r="1186" spans="1:14" x14ac:dyDescent="0.25">
      <c r="A1186" t="s">
        <v>14</v>
      </c>
      <c r="B1186" t="s">
        <v>39</v>
      </c>
      <c r="C1186" t="s">
        <v>35</v>
      </c>
      <c r="D1186" t="s">
        <v>33</v>
      </c>
      <c r="E1186" t="s">
        <v>21</v>
      </c>
      <c r="F1186" t="s">
        <v>20</v>
      </c>
      <c r="G1186" s="1" t="str">
        <f t="shared" si="234"/>
        <v>...</v>
      </c>
      <c r="H1186" s="1" t="str">
        <f t="shared" si="234"/>
        <v>...</v>
      </c>
      <c r="I1186" s="1" t="str">
        <f t="shared" si="234"/>
        <v>...</v>
      </c>
      <c r="J1186" s="1" t="str">
        <f t="shared" si="234"/>
        <v>...</v>
      </c>
      <c r="K1186" s="1" t="str">
        <f t="shared" si="234"/>
        <v>...</v>
      </c>
      <c r="L1186" s="1" t="str">
        <f t="shared" si="234"/>
        <v>...</v>
      </c>
      <c r="M1186" s="1" t="str">
        <f t="shared" si="234"/>
        <v>...</v>
      </c>
      <c r="N1186" t="s">
        <v>30</v>
      </c>
    </row>
    <row r="1187" spans="1:14" x14ac:dyDescent="0.25">
      <c r="A1187" t="s">
        <v>14</v>
      </c>
      <c r="B1187" t="s">
        <v>39</v>
      </c>
      <c r="C1187" t="s">
        <v>35</v>
      </c>
      <c r="D1187" t="s">
        <v>33</v>
      </c>
      <c r="E1187" t="s">
        <v>22</v>
      </c>
      <c r="F1187" t="s">
        <v>15</v>
      </c>
      <c r="G1187" s="1" t="str">
        <f t="shared" ref="G1187:M1187" si="235">"X"</f>
        <v>X</v>
      </c>
      <c r="H1187" s="1" t="str">
        <f t="shared" si="235"/>
        <v>X</v>
      </c>
      <c r="I1187" s="1" t="str">
        <f t="shared" si="235"/>
        <v>X</v>
      </c>
      <c r="J1187" s="1" t="str">
        <f t="shared" si="235"/>
        <v>X</v>
      </c>
      <c r="K1187" s="1" t="str">
        <f t="shared" si="235"/>
        <v>X</v>
      </c>
      <c r="L1187" s="1" t="str">
        <f t="shared" si="235"/>
        <v>X</v>
      </c>
      <c r="M1187" s="1" t="str">
        <f t="shared" si="235"/>
        <v>X</v>
      </c>
      <c r="N1187" t="s">
        <v>27</v>
      </c>
    </row>
    <row r="1188" spans="1:14" x14ac:dyDescent="0.25">
      <c r="A1188" t="s">
        <v>14</v>
      </c>
      <c r="B1188" t="s">
        <v>39</v>
      </c>
      <c r="C1188" t="s">
        <v>35</v>
      </c>
      <c r="D1188" t="s">
        <v>33</v>
      </c>
      <c r="E1188" t="s">
        <v>22</v>
      </c>
      <c r="F1188" t="s">
        <v>17</v>
      </c>
      <c r="G1188" s="1" t="str">
        <f t="shared" ref="G1188:M1188" si="236">"..."</f>
        <v>...</v>
      </c>
      <c r="H1188" s="1" t="str">
        <f t="shared" si="236"/>
        <v>...</v>
      </c>
      <c r="I1188" s="1" t="str">
        <f t="shared" si="236"/>
        <v>...</v>
      </c>
      <c r="J1188" s="1" t="str">
        <f t="shared" si="236"/>
        <v>...</v>
      </c>
      <c r="K1188" s="1" t="str">
        <f t="shared" si="236"/>
        <v>...</v>
      </c>
      <c r="L1188" s="1" t="str">
        <f t="shared" si="236"/>
        <v>...</v>
      </c>
      <c r="M1188" s="1" t="str">
        <f t="shared" si="236"/>
        <v>...</v>
      </c>
      <c r="N1188" t="s">
        <v>30</v>
      </c>
    </row>
    <row r="1189" spans="1:14" x14ac:dyDescent="0.25">
      <c r="A1189" t="s">
        <v>14</v>
      </c>
      <c r="B1189" t="s">
        <v>39</v>
      </c>
      <c r="C1189" t="s">
        <v>35</v>
      </c>
      <c r="D1189" t="s">
        <v>33</v>
      </c>
      <c r="E1189" t="s">
        <v>22</v>
      </c>
      <c r="F1189" t="s">
        <v>18</v>
      </c>
      <c r="G1189" s="1" t="str">
        <f t="shared" ref="G1189:M1192" si="237">"X"</f>
        <v>X</v>
      </c>
      <c r="H1189" s="1" t="str">
        <f t="shared" si="237"/>
        <v>X</v>
      </c>
      <c r="I1189" s="1" t="str">
        <f t="shared" si="237"/>
        <v>X</v>
      </c>
      <c r="J1189" s="1" t="str">
        <f t="shared" si="237"/>
        <v>X</v>
      </c>
      <c r="K1189" s="1" t="str">
        <f t="shared" si="237"/>
        <v>X</v>
      </c>
      <c r="L1189" s="1" t="str">
        <f t="shared" si="237"/>
        <v>X</v>
      </c>
      <c r="M1189" s="1" t="str">
        <f t="shared" si="237"/>
        <v>X</v>
      </c>
      <c r="N1189" t="s">
        <v>27</v>
      </c>
    </row>
    <row r="1190" spans="1:14" x14ac:dyDescent="0.25">
      <c r="A1190" t="s">
        <v>14</v>
      </c>
      <c r="B1190" t="s">
        <v>39</v>
      </c>
      <c r="C1190" t="s">
        <v>35</v>
      </c>
      <c r="D1190" t="s">
        <v>33</v>
      </c>
      <c r="E1190" t="s">
        <v>22</v>
      </c>
      <c r="F1190" t="s">
        <v>19</v>
      </c>
      <c r="G1190" s="1" t="str">
        <f t="shared" si="237"/>
        <v>X</v>
      </c>
      <c r="H1190" s="1" t="str">
        <f t="shared" si="237"/>
        <v>X</v>
      </c>
      <c r="I1190" s="1" t="str">
        <f t="shared" si="237"/>
        <v>X</v>
      </c>
      <c r="J1190" s="1" t="str">
        <f t="shared" si="237"/>
        <v>X</v>
      </c>
      <c r="K1190" s="1" t="str">
        <f t="shared" si="237"/>
        <v>X</v>
      </c>
      <c r="L1190" s="1" t="str">
        <f t="shared" si="237"/>
        <v>X</v>
      </c>
      <c r="M1190" s="1" t="str">
        <f t="shared" si="237"/>
        <v>X</v>
      </c>
      <c r="N1190" t="s">
        <v>27</v>
      </c>
    </row>
    <row r="1191" spans="1:14" x14ac:dyDescent="0.25">
      <c r="A1191" t="s">
        <v>14</v>
      </c>
      <c r="B1191" t="s">
        <v>39</v>
      </c>
      <c r="C1191" t="s">
        <v>35</v>
      </c>
      <c r="D1191" t="s">
        <v>33</v>
      </c>
      <c r="E1191" t="s">
        <v>22</v>
      </c>
      <c r="F1191" t="s">
        <v>20</v>
      </c>
      <c r="G1191" s="1" t="str">
        <f t="shared" si="237"/>
        <v>X</v>
      </c>
      <c r="H1191" s="1" t="str">
        <f t="shared" si="237"/>
        <v>X</v>
      </c>
      <c r="I1191" s="1" t="str">
        <f t="shared" si="237"/>
        <v>X</v>
      </c>
      <c r="J1191" s="1" t="str">
        <f t="shared" si="237"/>
        <v>X</v>
      </c>
      <c r="K1191" s="1" t="str">
        <f t="shared" si="237"/>
        <v>X</v>
      </c>
      <c r="L1191" s="1" t="str">
        <f t="shared" si="237"/>
        <v>X</v>
      </c>
      <c r="M1191" s="1" t="str">
        <f t="shared" si="237"/>
        <v>X</v>
      </c>
      <c r="N1191" t="s">
        <v>27</v>
      </c>
    </row>
    <row r="1192" spans="1:14" x14ac:dyDescent="0.25">
      <c r="A1192" t="s">
        <v>14</v>
      </c>
      <c r="B1192" t="s">
        <v>39</v>
      </c>
      <c r="C1192" t="s">
        <v>35</v>
      </c>
      <c r="D1192" t="s">
        <v>33</v>
      </c>
      <c r="E1192" t="s">
        <v>23</v>
      </c>
      <c r="F1192" t="s">
        <v>15</v>
      </c>
      <c r="G1192" s="1" t="str">
        <f t="shared" si="237"/>
        <v>X</v>
      </c>
      <c r="H1192" s="1" t="str">
        <f t="shared" si="237"/>
        <v>X</v>
      </c>
      <c r="I1192" s="1" t="str">
        <f t="shared" si="237"/>
        <v>X</v>
      </c>
      <c r="J1192" s="1" t="str">
        <f t="shared" si="237"/>
        <v>X</v>
      </c>
      <c r="K1192" s="1" t="str">
        <f t="shared" si="237"/>
        <v>X</v>
      </c>
      <c r="L1192" s="1" t="str">
        <f t="shared" si="237"/>
        <v>X</v>
      </c>
      <c r="M1192" s="1" t="str">
        <f t="shared" si="237"/>
        <v>X</v>
      </c>
      <c r="N1192" t="s">
        <v>27</v>
      </c>
    </row>
    <row r="1193" spans="1:14" x14ac:dyDescent="0.25">
      <c r="A1193" t="s">
        <v>14</v>
      </c>
      <c r="B1193" t="s">
        <v>39</v>
      </c>
      <c r="C1193" t="s">
        <v>35</v>
      </c>
      <c r="D1193" t="s">
        <v>33</v>
      </c>
      <c r="E1193" t="s">
        <v>23</v>
      </c>
      <c r="F1193" t="s">
        <v>17</v>
      </c>
      <c r="G1193" s="1" t="str">
        <f t="shared" ref="G1193:M1195" si="238">"..."</f>
        <v>...</v>
      </c>
      <c r="H1193" s="1" t="str">
        <f t="shared" si="238"/>
        <v>...</v>
      </c>
      <c r="I1193" s="1" t="str">
        <f t="shared" si="238"/>
        <v>...</v>
      </c>
      <c r="J1193" s="1" t="str">
        <f t="shared" si="238"/>
        <v>...</v>
      </c>
      <c r="K1193" s="1" t="str">
        <f t="shared" si="238"/>
        <v>...</v>
      </c>
      <c r="L1193" s="1" t="str">
        <f t="shared" si="238"/>
        <v>...</v>
      </c>
      <c r="M1193" s="1" t="str">
        <f t="shared" si="238"/>
        <v>...</v>
      </c>
      <c r="N1193" t="s">
        <v>30</v>
      </c>
    </row>
    <row r="1194" spans="1:14" x14ac:dyDescent="0.25">
      <c r="A1194" t="s">
        <v>14</v>
      </c>
      <c r="B1194" t="s">
        <v>39</v>
      </c>
      <c r="C1194" t="s">
        <v>35</v>
      </c>
      <c r="D1194" t="s">
        <v>33</v>
      </c>
      <c r="E1194" t="s">
        <v>23</v>
      </c>
      <c r="F1194" t="s">
        <v>18</v>
      </c>
      <c r="G1194" s="1" t="str">
        <f t="shared" si="238"/>
        <v>...</v>
      </c>
      <c r="H1194" s="1" t="str">
        <f t="shared" si="238"/>
        <v>...</v>
      </c>
      <c r="I1194" s="1" t="str">
        <f t="shared" si="238"/>
        <v>...</v>
      </c>
      <c r="J1194" s="1" t="str">
        <f t="shared" si="238"/>
        <v>...</v>
      </c>
      <c r="K1194" s="1" t="str">
        <f t="shared" si="238"/>
        <v>...</v>
      </c>
      <c r="L1194" s="1" t="str">
        <f t="shared" si="238"/>
        <v>...</v>
      </c>
      <c r="M1194" s="1" t="str">
        <f t="shared" si="238"/>
        <v>...</v>
      </c>
      <c r="N1194" t="s">
        <v>30</v>
      </c>
    </row>
    <row r="1195" spans="1:14" x14ac:dyDescent="0.25">
      <c r="A1195" t="s">
        <v>14</v>
      </c>
      <c r="B1195" t="s">
        <v>39</v>
      </c>
      <c r="C1195" t="s">
        <v>35</v>
      </c>
      <c r="D1195" t="s">
        <v>33</v>
      </c>
      <c r="E1195" t="s">
        <v>23</v>
      </c>
      <c r="F1195" t="s">
        <v>19</v>
      </c>
      <c r="G1195" s="1" t="str">
        <f t="shared" si="238"/>
        <v>...</v>
      </c>
      <c r="H1195" s="1" t="str">
        <f t="shared" si="238"/>
        <v>...</v>
      </c>
      <c r="I1195" s="1" t="str">
        <f t="shared" si="238"/>
        <v>...</v>
      </c>
      <c r="J1195" s="1" t="str">
        <f t="shared" si="238"/>
        <v>...</v>
      </c>
      <c r="K1195" s="1" t="str">
        <f t="shared" si="238"/>
        <v>...</v>
      </c>
      <c r="L1195" s="1" t="str">
        <f t="shared" si="238"/>
        <v>...</v>
      </c>
      <c r="M1195" s="1" t="str">
        <f t="shared" si="238"/>
        <v>...</v>
      </c>
      <c r="N1195" t="s">
        <v>30</v>
      </c>
    </row>
    <row r="1196" spans="1:14" x14ac:dyDescent="0.25">
      <c r="A1196" t="s">
        <v>14</v>
      </c>
      <c r="B1196" t="s">
        <v>39</v>
      </c>
      <c r="C1196" t="s">
        <v>35</v>
      </c>
      <c r="D1196" t="s">
        <v>33</v>
      </c>
      <c r="E1196" t="s">
        <v>23</v>
      </c>
      <c r="F1196" t="s">
        <v>20</v>
      </c>
      <c r="G1196" s="1" t="str">
        <f t="shared" ref="G1196:M1196" si="239">"X"</f>
        <v>X</v>
      </c>
      <c r="H1196" s="1" t="str">
        <f t="shared" si="239"/>
        <v>X</v>
      </c>
      <c r="I1196" s="1" t="str">
        <f t="shared" si="239"/>
        <v>X</v>
      </c>
      <c r="J1196" s="1" t="str">
        <f t="shared" si="239"/>
        <v>X</v>
      </c>
      <c r="K1196" s="1" t="str">
        <f t="shared" si="239"/>
        <v>X</v>
      </c>
      <c r="L1196" s="1" t="str">
        <f t="shared" si="239"/>
        <v>X</v>
      </c>
      <c r="M1196" s="1" t="str">
        <f t="shared" si="239"/>
        <v>X</v>
      </c>
      <c r="N1196" t="s">
        <v>27</v>
      </c>
    </row>
    <row r="1197" spans="1:14" x14ac:dyDescent="0.25">
      <c r="A1197" t="s">
        <v>14</v>
      </c>
      <c r="B1197" t="s">
        <v>39</v>
      </c>
      <c r="C1197" t="s">
        <v>35</v>
      </c>
      <c r="D1197" t="s">
        <v>33</v>
      </c>
      <c r="E1197" t="s">
        <v>26</v>
      </c>
      <c r="F1197" t="s">
        <v>15</v>
      </c>
      <c r="G1197" s="1" t="str">
        <f t="shared" ref="G1197:M1201" si="240">"..."</f>
        <v>...</v>
      </c>
      <c r="H1197" s="1" t="str">
        <f t="shared" si="240"/>
        <v>...</v>
      </c>
      <c r="I1197" s="1" t="str">
        <f t="shared" si="240"/>
        <v>...</v>
      </c>
      <c r="J1197" s="1" t="str">
        <f t="shared" si="240"/>
        <v>...</v>
      </c>
      <c r="K1197" s="1" t="str">
        <f t="shared" si="240"/>
        <v>...</v>
      </c>
      <c r="L1197" s="1" t="str">
        <f t="shared" si="240"/>
        <v>...</v>
      </c>
      <c r="M1197" s="1" t="str">
        <f t="shared" si="240"/>
        <v>...</v>
      </c>
      <c r="N1197" t="s">
        <v>30</v>
      </c>
    </row>
    <row r="1198" spans="1:14" x14ac:dyDescent="0.25">
      <c r="A1198" t="s">
        <v>14</v>
      </c>
      <c r="B1198" t="s">
        <v>39</v>
      </c>
      <c r="C1198" t="s">
        <v>35</v>
      </c>
      <c r="D1198" t="s">
        <v>33</v>
      </c>
      <c r="E1198" t="s">
        <v>26</v>
      </c>
      <c r="F1198" t="s">
        <v>17</v>
      </c>
      <c r="G1198" s="1" t="str">
        <f t="shared" si="240"/>
        <v>...</v>
      </c>
      <c r="H1198" s="1" t="str">
        <f t="shared" si="240"/>
        <v>...</v>
      </c>
      <c r="I1198" s="1" t="str">
        <f t="shared" si="240"/>
        <v>...</v>
      </c>
      <c r="J1198" s="1" t="str">
        <f t="shared" si="240"/>
        <v>...</v>
      </c>
      <c r="K1198" s="1" t="str">
        <f t="shared" si="240"/>
        <v>...</v>
      </c>
      <c r="L1198" s="1" t="str">
        <f t="shared" si="240"/>
        <v>...</v>
      </c>
      <c r="M1198" s="1" t="str">
        <f t="shared" si="240"/>
        <v>...</v>
      </c>
      <c r="N1198" t="s">
        <v>30</v>
      </c>
    </row>
    <row r="1199" spans="1:14" x14ac:dyDescent="0.25">
      <c r="A1199" t="s">
        <v>14</v>
      </c>
      <c r="B1199" t="s">
        <v>39</v>
      </c>
      <c r="C1199" t="s">
        <v>35</v>
      </c>
      <c r="D1199" t="s">
        <v>33</v>
      </c>
      <c r="E1199" t="s">
        <v>26</v>
      </c>
      <c r="F1199" t="s">
        <v>18</v>
      </c>
      <c r="G1199" s="1" t="str">
        <f t="shared" si="240"/>
        <v>...</v>
      </c>
      <c r="H1199" s="1" t="str">
        <f t="shared" si="240"/>
        <v>...</v>
      </c>
      <c r="I1199" s="1" t="str">
        <f t="shared" si="240"/>
        <v>...</v>
      </c>
      <c r="J1199" s="1" t="str">
        <f t="shared" si="240"/>
        <v>...</v>
      </c>
      <c r="K1199" s="1" t="str">
        <f t="shared" si="240"/>
        <v>...</v>
      </c>
      <c r="L1199" s="1" t="str">
        <f t="shared" si="240"/>
        <v>...</v>
      </c>
      <c r="M1199" s="1" t="str">
        <f t="shared" si="240"/>
        <v>...</v>
      </c>
      <c r="N1199" t="s">
        <v>30</v>
      </c>
    </row>
    <row r="1200" spans="1:14" x14ac:dyDescent="0.25">
      <c r="A1200" t="s">
        <v>14</v>
      </c>
      <c r="B1200" t="s">
        <v>39</v>
      </c>
      <c r="C1200" t="s">
        <v>35</v>
      </c>
      <c r="D1200" t="s">
        <v>33</v>
      </c>
      <c r="E1200" t="s">
        <v>26</v>
      </c>
      <c r="F1200" t="s">
        <v>19</v>
      </c>
      <c r="G1200" s="1" t="str">
        <f t="shared" si="240"/>
        <v>...</v>
      </c>
      <c r="H1200" s="1" t="str">
        <f t="shared" si="240"/>
        <v>...</v>
      </c>
      <c r="I1200" s="1" t="str">
        <f t="shared" si="240"/>
        <v>...</v>
      </c>
      <c r="J1200" s="1" t="str">
        <f t="shared" si="240"/>
        <v>...</v>
      </c>
      <c r="K1200" s="1" t="str">
        <f t="shared" si="240"/>
        <v>...</v>
      </c>
      <c r="L1200" s="1" t="str">
        <f t="shared" si="240"/>
        <v>...</v>
      </c>
      <c r="M1200" s="1" t="str">
        <f t="shared" si="240"/>
        <v>...</v>
      </c>
      <c r="N1200" t="s">
        <v>30</v>
      </c>
    </row>
    <row r="1201" spans="1:14" x14ac:dyDescent="0.25">
      <c r="A1201" t="s">
        <v>14</v>
      </c>
      <c r="B1201" t="s">
        <v>39</v>
      </c>
      <c r="C1201" t="s">
        <v>35</v>
      </c>
      <c r="D1201" t="s">
        <v>33</v>
      </c>
      <c r="E1201" t="s">
        <v>26</v>
      </c>
      <c r="F1201" t="s">
        <v>20</v>
      </c>
      <c r="G1201" s="1" t="str">
        <f t="shared" si="240"/>
        <v>...</v>
      </c>
      <c r="H1201" s="1" t="str">
        <f t="shared" si="240"/>
        <v>...</v>
      </c>
      <c r="I1201" s="1" t="str">
        <f t="shared" si="240"/>
        <v>...</v>
      </c>
      <c r="J1201" s="1" t="str">
        <f t="shared" si="240"/>
        <v>...</v>
      </c>
      <c r="K1201" s="1" t="str">
        <f t="shared" si="240"/>
        <v>...</v>
      </c>
      <c r="L1201" s="1" t="str">
        <f t="shared" si="240"/>
        <v>...</v>
      </c>
      <c r="M1201" s="1" t="str">
        <f t="shared" si="240"/>
        <v>...</v>
      </c>
      <c r="N1201" t="s">
        <v>30</v>
      </c>
    </row>
    <row r="1202" spans="1:14" x14ac:dyDescent="0.25">
      <c r="A1202" t="s">
        <v>14</v>
      </c>
      <c r="B1202" t="s">
        <v>39</v>
      </c>
      <c r="C1202" t="s">
        <v>35</v>
      </c>
      <c r="D1202" t="s">
        <v>34</v>
      </c>
      <c r="E1202" t="s">
        <v>15</v>
      </c>
      <c r="F1202" t="s">
        <v>15</v>
      </c>
      <c r="G1202" s="1" t="str">
        <f t="shared" ref="G1202:M1202" si="241">"X"</f>
        <v>X</v>
      </c>
      <c r="H1202" s="1" t="str">
        <f t="shared" si="241"/>
        <v>X</v>
      </c>
      <c r="I1202" s="1" t="str">
        <f t="shared" si="241"/>
        <v>X</v>
      </c>
      <c r="J1202" s="1" t="str">
        <f t="shared" si="241"/>
        <v>X</v>
      </c>
      <c r="K1202" s="1" t="str">
        <f t="shared" si="241"/>
        <v>X</v>
      </c>
      <c r="L1202" s="1" t="str">
        <f t="shared" si="241"/>
        <v>X</v>
      </c>
      <c r="M1202" s="1" t="str">
        <f t="shared" si="241"/>
        <v>X</v>
      </c>
      <c r="N1202" t="s">
        <v>27</v>
      </c>
    </row>
    <row r="1203" spans="1:14" x14ac:dyDescent="0.25">
      <c r="A1203" t="s">
        <v>14</v>
      </c>
      <c r="B1203" t="s">
        <v>39</v>
      </c>
      <c r="C1203" t="s">
        <v>35</v>
      </c>
      <c r="D1203" t="s">
        <v>34</v>
      </c>
      <c r="E1203" t="s">
        <v>15</v>
      </c>
      <c r="F1203" t="s">
        <v>17</v>
      </c>
      <c r="G1203" s="1" t="str">
        <f t="shared" ref="G1203:M1204" si="242">"..."</f>
        <v>...</v>
      </c>
      <c r="H1203" s="1" t="str">
        <f t="shared" si="242"/>
        <v>...</v>
      </c>
      <c r="I1203" s="1" t="str">
        <f t="shared" si="242"/>
        <v>...</v>
      </c>
      <c r="J1203" s="1" t="str">
        <f t="shared" si="242"/>
        <v>...</v>
      </c>
      <c r="K1203" s="1" t="str">
        <f t="shared" si="242"/>
        <v>...</v>
      </c>
      <c r="L1203" s="1" t="str">
        <f t="shared" si="242"/>
        <v>...</v>
      </c>
      <c r="M1203" s="1" t="str">
        <f t="shared" si="242"/>
        <v>...</v>
      </c>
      <c r="N1203" t="s">
        <v>30</v>
      </c>
    </row>
    <row r="1204" spans="1:14" x14ac:dyDescent="0.25">
      <c r="A1204" t="s">
        <v>14</v>
      </c>
      <c r="B1204" t="s">
        <v>39</v>
      </c>
      <c r="C1204" t="s">
        <v>35</v>
      </c>
      <c r="D1204" t="s">
        <v>34</v>
      </c>
      <c r="E1204" t="s">
        <v>15</v>
      </c>
      <c r="F1204" t="s">
        <v>18</v>
      </c>
      <c r="G1204" s="1" t="str">
        <f t="shared" si="242"/>
        <v>...</v>
      </c>
      <c r="H1204" s="1" t="str">
        <f t="shared" si="242"/>
        <v>...</v>
      </c>
      <c r="I1204" s="1" t="str">
        <f t="shared" si="242"/>
        <v>...</v>
      </c>
      <c r="J1204" s="1" t="str">
        <f t="shared" si="242"/>
        <v>...</v>
      </c>
      <c r="K1204" s="1" t="str">
        <f t="shared" si="242"/>
        <v>...</v>
      </c>
      <c r="L1204" s="1" t="str">
        <f t="shared" si="242"/>
        <v>...</v>
      </c>
      <c r="M1204" s="1" t="str">
        <f t="shared" si="242"/>
        <v>...</v>
      </c>
      <c r="N1204" t="s">
        <v>30</v>
      </c>
    </row>
    <row r="1205" spans="1:14" x14ac:dyDescent="0.25">
      <c r="A1205" t="s">
        <v>14</v>
      </c>
      <c r="B1205" t="s">
        <v>39</v>
      </c>
      <c r="C1205" t="s">
        <v>35</v>
      </c>
      <c r="D1205" t="s">
        <v>34</v>
      </c>
      <c r="E1205" t="s">
        <v>15</v>
      </c>
      <c r="F1205" t="s">
        <v>19</v>
      </c>
      <c r="G1205" s="1" t="str">
        <f t="shared" ref="G1205:M1207" si="243">"X"</f>
        <v>X</v>
      </c>
      <c r="H1205" s="1" t="str">
        <f t="shared" si="243"/>
        <v>X</v>
      </c>
      <c r="I1205" s="1" t="str">
        <f t="shared" si="243"/>
        <v>X</v>
      </c>
      <c r="J1205" s="1" t="str">
        <f t="shared" si="243"/>
        <v>X</v>
      </c>
      <c r="K1205" s="1" t="str">
        <f t="shared" si="243"/>
        <v>X</v>
      </c>
      <c r="L1205" s="1" t="str">
        <f t="shared" si="243"/>
        <v>X</v>
      </c>
      <c r="M1205" s="1" t="str">
        <f t="shared" si="243"/>
        <v>X</v>
      </c>
      <c r="N1205" t="s">
        <v>27</v>
      </c>
    </row>
    <row r="1206" spans="1:14" x14ac:dyDescent="0.25">
      <c r="A1206" t="s">
        <v>14</v>
      </c>
      <c r="B1206" t="s">
        <v>39</v>
      </c>
      <c r="C1206" t="s">
        <v>35</v>
      </c>
      <c r="D1206" t="s">
        <v>34</v>
      </c>
      <c r="E1206" t="s">
        <v>15</v>
      </c>
      <c r="F1206" t="s">
        <v>20</v>
      </c>
      <c r="G1206" s="1" t="str">
        <f t="shared" si="243"/>
        <v>X</v>
      </c>
      <c r="H1206" s="1" t="str">
        <f t="shared" si="243"/>
        <v>X</v>
      </c>
      <c r="I1206" s="1" t="str">
        <f t="shared" si="243"/>
        <v>X</v>
      </c>
      <c r="J1206" s="1" t="str">
        <f t="shared" si="243"/>
        <v>X</v>
      </c>
      <c r="K1206" s="1" t="str">
        <f t="shared" si="243"/>
        <v>X</v>
      </c>
      <c r="L1206" s="1" t="str">
        <f t="shared" si="243"/>
        <v>X</v>
      </c>
      <c r="M1206" s="1" t="str">
        <f t="shared" si="243"/>
        <v>X</v>
      </c>
      <c r="N1206" t="s">
        <v>27</v>
      </c>
    </row>
    <row r="1207" spans="1:14" x14ac:dyDescent="0.25">
      <c r="A1207" t="s">
        <v>14</v>
      </c>
      <c r="B1207" t="s">
        <v>39</v>
      </c>
      <c r="C1207" t="s">
        <v>35</v>
      </c>
      <c r="D1207" t="s">
        <v>34</v>
      </c>
      <c r="E1207" t="s">
        <v>21</v>
      </c>
      <c r="F1207" t="s">
        <v>15</v>
      </c>
      <c r="G1207" s="1" t="str">
        <f t="shared" si="243"/>
        <v>X</v>
      </c>
      <c r="H1207" s="1" t="str">
        <f t="shared" si="243"/>
        <v>X</v>
      </c>
      <c r="I1207" s="1" t="str">
        <f t="shared" si="243"/>
        <v>X</v>
      </c>
      <c r="J1207" s="1" t="str">
        <f t="shared" si="243"/>
        <v>X</v>
      </c>
      <c r="K1207" s="1" t="str">
        <f t="shared" si="243"/>
        <v>X</v>
      </c>
      <c r="L1207" s="1" t="str">
        <f t="shared" si="243"/>
        <v>X</v>
      </c>
      <c r="M1207" s="1" t="str">
        <f t="shared" si="243"/>
        <v>X</v>
      </c>
      <c r="N1207" t="s">
        <v>27</v>
      </c>
    </row>
    <row r="1208" spans="1:14" x14ac:dyDescent="0.25">
      <c r="A1208" t="s">
        <v>14</v>
      </c>
      <c r="B1208" t="s">
        <v>39</v>
      </c>
      <c r="C1208" t="s">
        <v>35</v>
      </c>
      <c r="D1208" t="s">
        <v>34</v>
      </c>
      <c r="E1208" t="s">
        <v>21</v>
      </c>
      <c r="F1208" t="s">
        <v>17</v>
      </c>
      <c r="G1208" s="1" t="str">
        <f t="shared" ref="G1208:M1210" si="244">"..."</f>
        <v>...</v>
      </c>
      <c r="H1208" s="1" t="str">
        <f t="shared" si="244"/>
        <v>...</v>
      </c>
      <c r="I1208" s="1" t="str">
        <f t="shared" si="244"/>
        <v>...</v>
      </c>
      <c r="J1208" s="1" t="str">
        <f t="shared" si="244"/>
        <v>...</v>
      </c>
      <c r="K1208" s="1" t="str">
        <f t="shared" si="244"/>
        <v>...</v>
      </c>
      <c r="L1208" s="1" t="str">
        <f t="shared" si="244"/>
        <v>...</v>
      </c>
      <c r="M1208" s="1" t="str">
        <f t="shared" si="244"/>
        <v>...</v>
      </c>
      <c r="N1208" t="s">
        <v>30</v>
      </c>
    </row>
    <row r="1209" spans="1:14" x14ac:dyDescent="0.25">
      <c r="A1209" t="s">
        <v>14</v>
      </c>
      <c r="B1209" t="s">
        <v>39</v>
      </c>
      <c r="C1209" t="s">
        <v>35</v>
      </c>
      <c r="D1209" t="s">
        <v>34</v>
      </c>
      <c r="E1209" t="s">
        <v>21</v>
      </c>
      <c r="F1209" t="s">
        <v>18</v>
      </c>
      <c r="G1209" s="1" t="str">
        <f t="shared" si="244"/>
        <v>...</v>
      </c>
      <c r="H1209" s="1" t="str">
        <f t="shared" si="244"/>
        <v>...</v>
      </c>
      <c r="I1209" s="1" t="str">
        <f t="shared" si="244"/>
        <v>...</v>
      </c>
      <c r="J1209" s="1" t="str">
        <f t="shared" si="244"/>
        <v>...</v>
      </c>
      <c r="K1209" s="1" t="str">
        <f t="shared" si="244"/>
        <v>...</v>
      </c>
      <c r="L1209" s="1" t="str">
        <f t="shared" si="244"/>
        <v>...</v>
      </c>
      <c r="M1209" s="1" t="str">
        <f t="shared" si="244"/>
        <v>...</v>
      </c>
      <c r="N1209" t="s">
        <v>30</v>
      </c>
    </row>
    <row r="1210" spans="1:14" x14ac:dyDescent="0.25">
      <c r="A1210" t="s">
        <v>14</v>
      </c>
      <c r="B1210" t="s">
        <v>39</v>
      </c>
      <c r="C1210" t="s">
        <v>35</v>
      </c>
      <c r="D1210" t="s">
        <v>34</v>
      </c>
      <c r="E1210" t="s">
        <v>21</v>
      </c>
      <c r="F1210" t="s">
        <v>19</v>
      </c>
      <c r="G1210" s="1" t="str">
        <f t="shared" si="244"/>
        <v>...</v>
      </c>
      <c r="H1210" s="1" t="str">
        <f t="shared" si="244"/>
        <v>...</v>
      </c>
      <c r="I1210" s="1" t="str">
        <f t="shared" si="244"/>
        <v>...</v>
      </c>
      <c r="J1210" s="1" t="str">
        <f t="shared" si="244"/>
        <v>...</v>
      </c>
      <c r="K1210" s="1" t="str">
        <f t="shared" si="244"/>
        <v>...</v>
      </c>
      <c r="L1210" s="1" t="str">
        <f t="shared" si="244"/>
        <v>...</v>
      </c>
      <c r="M1210" s="1" t="str">
        <f t="shared" si="244"/>
        <v>...</v>
      </c>
      <c r="N1210" t="s">
        <v>30</v>
      </c>
    </row>
    <row r="1211" spans="1:14" x14ac:dyDescent="0.25">
      <c r="A1211" t="s">
        <v>14</v>
      </c>
      <c r="B1211" t="s">
        <v>39</v>
      </c>
      <c r="C1211" t="s">
        <v>35</v>
      </c>
      <c r="D1211" t="s">
        <v>34</v>
      </c>
      <c r="E1211" t="s">
        <v>21</v>
      </c>
      <c r="F1211" t="s">
        <v>20</v>
      </c>
      <c r="G1211" s="1" t="str">
        <f t="shared" ref="G1211:M1212" si="245">"X"</f>
        <v>X</v>
      </c>
      <c r="H1211" s="1" t="str">
        <f t="shared" si="245"/>
        <v>X</v>
      </c>
      <c r="I1211" s="1" t="str">
        <f t="shared" si="245"/>
        <v>X</v>
      </c>
      <c r="J1211" s="1" t="str">
        <f t="shared" si="245"/>
        <v>X</v>
      </c>
      <c r="K1211" s="1" t="str">
        <f t="shared" si="245"/>
        <v>X</v>
      </c>
      <c r="L1211" s="1" t="str">
        <f t="shared" si="245"/>
        <v>X</v>
      </c>
      <c r="M1211" s="1" t="str">
        <f t="shared" si="245"/>
        <v>X</v>
      </c>
      <c r="N1211" t="s">
        <v>27</v>
      </c>
    </row>
    <row r="1212" spans="1:14" x14ac:dyDescent="0.25">
      <c r="A1212" t="s">
        <v>14</v>
      </c>
      <c r="B1212" t="s">
        <v>39</v>
      </c>
      <c r="C1212" t="s">
        <v>35</v>
      </c>
      <c r="D1212" t="s">
        <v>34</v>
      </c>
      <c r="E1212" t="s">
        <v>22</v>
      </c>
      <c r="F1212" t="s">
        <v>15</v>
      </c>
      <c r="G1212" s="1" t="str">
        <f t="shared" si="245"/>
        <v>X</v>
      </c>
      <c r="H1212" s="1" t="str">
        <f t="shared" si="245"/>
        <v>X</v>
      </c>
      <c r="I1212" s="1" t="str">
        <f t="shared" si="245"/>
        <v>X</v>
      </c>
      <c r="J1212" s="1" t="str">
        <f t="shared" si="245"/>
        <v>X</v>
      </c>
      <c r="K1212" s="1" t="str">
        <f t="shared" si="245"/>
        <v>X</v>
      </c>
      <c r="L1212" s="1" t="str">
        <f t="shared" si="245"/>
        <v>X</v>
      </c>
      <c r="M1212" s="1" t="str">
        <f t="shared" si="245"/>
        <v>X</v>
      </c>
      <c r="N1212" t="s">
        <v>27</v>
      </c>
    </row>
    <row r="1213" spans="1:14" x14ac:dyDescent="0.25">
      <c r="A1213" t="s">
        <v>14</v>
      </c>
      <c r="B1213" t="s">
        <v>39</v>
      </c>
      <c r="C1213" t="s">
        <v>35</v>
      </c>
      <c r="D1213" t="s">
        <v>34</v>
      </c>
      <c r="E1213" t="s">
        <v>22</v>
      </c>
      <c r="F1213" t="s">
        <v>17</v>
      </c>
      <c r="G1213" s="1" t="str">
        <f t="shared" ref="G1213:M1215" si="246">"..."</f>
        <v>...</v>
      </c>
      <c r="H1213" s="1" t="str">
        <f t="shared" si="246"/>
        <v>...</v>
      </c>
      <c r="I1213" s="1" t="str">
        <f t="shared" si="246"/>
        <v>...</v>
      </c>
      <c r="J1213" s="1" t="str">
        <f t="shared" si="246"/>
        <v>...</v>
      </c>
      <c r="K1213" s="1" t="str">
        <f t="shared" si="246"/>
        <v>...</v>
      </c>
      <c r="L1213" s="1" t="str">
        <f t="shared" si="246"/>
        <v>...</v>
      </c>
      <c r="M1213" s="1" t="str">
        <f t="shared" si="246"/>
        <v>...</v>
      </c>
      <c r="N1213" t="s">
        <v>30</v>
      </c>
    </row>
    <row r="1214" spans="1:14" x14ac:dyDescent="0.25">
      <c r="A1214" t="s">
        <v>14</v>
      </c>
      <c r="B1214" t="s">
        <v>39</v>
      </c>
      <c r="C1214" t="s">
        <v>35</v>
      </c>
      <c r="D1214" t="s">
        <v>34</v>
      </c>
      <c r="E1214" t="s">
        <v>22</v>
      </c>
      <c r="F1214" t="s">
        <v>18</v>
      </c>
      <c r="G1214" s="1" t="str">
        <f t="shared" si="246"/>
        <v>...</v>
      </c>
      <c r="H1214" s="1" t="str">
        <f t="shared" si="246"/>
        <v>...</v>
      </c>
      <c r="I1214" s="1" t="str">
        <f t="shared" si="246"/>
        <v>...</v>
      </c>
      <c r="J1214" s="1" t="str">
        <f t="shared" si="246"/>
        <v>...</v>
      </c>
      <c r="K1214" s="1" t="str">
        <f t="shared" si="246"/>
        <v>...</v>
      </c>
      <c r="L1214" s="1" t="str">
        <f t="shared" si="246"/>
        <v>...</v>
      </c>
      <c r="M1214" s="1" t="str">
        <f t="shared" si="246"/>
        <v>...</v>
      </c>
      <c r="N1214" t="s">
        <v>30</v>
      </c>
    </row>
    <row r="1215" spans="1:14" x14ac:dyDescent="0.25">
      <c r="A1215" t="s">
        <v>14</v>
      </c>
      <c r="B1215" t="s">
        <v>39</v>
      </c>
      <c r="C1215" t="s">
        <v>35</v>
      </c>
      <c r="D1215" t="s">
        <v>34</v>
      </c>
      <c r="E1215" t="s">
        <v>22</v>
      </c>
      <c r="F1215" t="s">
        <v>19</v>
      </c>
      <c r="G1215" s="1" t="str">
        <f t="shared" si="246"/>
        <v>...</v>
      </c>
      <c r="H1215" s="1" t="str">
        <f t="shared" si="246"/>
        <v>...</v>
      </c>
      <c r="I1215" s="1" t="str">
        <f t="shared" si="246"/>
        <v>...</v>
      </c>
      <c r="J1215" s="1" t="str">
        <f t="shared" si="246"/>
        <v>...</v>
      </c>
      <c r="K1215" s="1" t="str">
        <f t="shared" si="246"/>
        <v>...</v>
      </c>
      <c r="L1215" s="1" t="str">
        <f t="shared" si="246"/>
        <v>...</v>
      </c>
      <c r="M1215" s="1" t="str">
        <f t="shared" si="246"/>
        <v>...</v>
      </c>
      <c r="N1215" t="s">
        <v>30</v>
      </c>
    </row>
    <row r="1216" spans="1:14" x14ac:dyDescent="0.25">
      <c r="A1216" t="s">
        <v>14</v>
      </c>
      <c r="B1216" t="s">
        <v>39</v>
      </c>
      <c r="C1216" t="s">
        <v>35</v>
      </c>
      <c r="D1216" t="s">
        <v>34</v>
      </c>
      <c r="E1216" t="s">
        <v>22</v>
      </c>
      <c r="F1216" t="s">
        <v>20</v>
      </c>
      <c r="G1216" s="1" t="str">
        <f t="shared" ref="G1216:M1217" si="247">"X"</f>
        <v>X</v>
      </c>
      <c r="H1216" s="1" t="str">
        <f t="shared" si="247"/>
        <v>X</v>
      </c>
      <c r="I1216" s="1" t="str">
        <f t="shared" si="247"/>
        <v>X</v>
      </c>
      <c r="J1216" s="1" t="str">
        <f t="shared" si="247"/>
        <v>X</v>
      </c>
      <c r="K1216" s="1" t="str">
        <f t="shared" si="247"/>
        <v>X</v>
      </c>
      <c r="L1216" s="1" t="str">
        <f t="shared" si="247"/>
        <v>X</v>
      </c>
      <c r="M1216" s="1" t="str">
        <f t="shared" si="247"/>
        <v>X</v>
      </c>
      <c r="N1216" t="s">
        <v>27</v>
      </c>
    </row>
    <row r="1217" spans="1:14" x14ac:dyDescent="0.25">
      <c r="A1217" t="s">
        <v>14</v>
      </c>
      <c r="B1217" t="s">
        <v>39</v>
      </c>
      <c r="C1217" t="s">
        <v>35</v>
      </c>
      <c r="D1217" t="s">
        <v>34</v>
      </c>
      <c r="E1217" t="s">
        <v>23</v>
      </c>
      <c r="F1217" t="s">
        <v>15</v>
      </c>
      <c r="G1217" s="1" t="str">
        <f t="shared" si="247"/>
        <v>X</v>
      </c>
      <c r="H1217" s="1" t="str">
        <f t="shared" si="247"/>
        <v>X</v>
      </c>
      <c r="I1217" s="1" t="str">
        <f t="shared" si="247"/>
        <v>X</v>
      </c>
      <c r="J1217" s="1" t="str">
        <f t="shared" si="247"/>
        <v>X</v>
      </c>
      <c r="K1217" s="1" t="str">
        <f t="shared" si="247"/>
        <v>X</v>
      </c>
      <c r="L1217" s="1" t="str">
        <f t="shared" si="247"/>
        <v>X</v>
      </c>
      <c r="M1217" s="1" t="str">
        <f t="shared" si="247"/>
        <v>X</v>
      </c>
      <c r="N1217" t="s">
        <v>27</v>
      </c>
    </row>
    <row r="1218" spans="1:14" x14ac:dyDescent="0.25">
      <c r="A1218" t="s">
        <v>14</v>
      </c>
      <c r="B1218" t="s">
        <v>39</v>
      </c>
      <c r="C1218" t="s">
        <v>35</v>
      </c>
      <c r="D1218" t="s">
        <v>34</v>
      </c>
      <c r="E1218" t="s">
        <v>23</v>
      </c>
      <c r="F1218" t="s">
        <v>17</v>
      </c>
      <c r="G1218" s="1" t="str">
        <f t="shared" ref="G1218:M1219" si="248">"..."</f>
        <v>...</v>
      </c>
      <c r="H1218" s="1" t="str">
        <f t="shared" si="248"/>
        <v>...</v>
      </c>
      <c r="I1218" s="1" t="str">
        <f t="shared" si="248"/>
        <v>...</v>
      </c>
      <c r="J1218" s="1" t="str">
        <f t="shared" si="248"/>
        <v>...</v>
      </c>
      <c r="K1218" s="1" t="str">
        <f t="shared" si="248"/>
        <v>...</v>
      </c>
      <c r="L1218" s="1" t="str">
        <f t="shared" si="248"/>
        <v>...</v>
      </c>
      <c r="M1218" s="1" t="str">
        <f t="shared" si="248"/>
        <v>...</v>
      </c>
      <c r="N1218" t="s">
        <v>30</v>
      </c>
    </row>
    <row r="1219" spans="1:14" x14ac:dyDescent="0.25">
      <c r="A1219" t="s">
        <v>14</v>
      </c>
      <c r="B1219" t="s">
        <v>39</v>
      </c>
      <c r="C1219" t="s">
        <v>35</v>
      </c>
      <c r="D1219" t="s">
        <v>34</v>
      </c>
      <c r="E1219" t="s">
        <v>23</v>
      </c>
      <c r="F1219" t="s">
        <v>18</v>
      </c>
      <c r="G1219" s="1" t="str">
        <f t="shared" si="248"/>
        <v>...</v>
      </c>
      <c r="H1219" s="1" t="str">
        <f t="shared" si="248"/>
        <v>...</v>
      </c>
      <c r="I1219" s="1" t="str">
        <f t="shared" si="248"/>
        <v>...</v>
      </c>
      <c r="J1219" s="1" t="str">
        <f t="shared" si="248"/>
        <v>...</v>
      </c>
      <c r="K1219" s="1" t="str">
        <f t="shared" si="248"/>
        <v>...</v>
      </c>
      <c r="L1219" s="1" t="str">
        <f t="shared" si="248"/>
        <v>...</v>
      </c>
      <c r="M1219" s="1" t="str">
        <f t="shared" si="248"/>
        <v>...</v>
      </c>
      <c r="N1219" t="s">
        <v>30</v>
      </c>
    </row>
    <row r="1220" spans="1:14" x14ac:dyDescent="0.25">
      <c r="A1220" t="s">
        <v>14</v>
      </c>
      <c r="B1220" t="s">
        <v>39</v>
      </c>
      <c r="C1220" t="s">
        <v>35</v>
      </c>
      <c r="D1220" t="s">
        <v>34</v>
      </c>
      <c r="E1220" t="s">
        <v>23</v>
      </c>
      <c r="F1220" t="s">
        <v>19</v>
      </c>
      <c r="G1220" s="1" t="str">
        <f t="shared" ref="G1220:M1221" si="249">"X"</f>
        <v>X</v>
      </c>
      <c r="H1220" s="1" t="str">
        <f t="shared" si="249"/>
        <v>X</v>
      </c>
      <c r="I1220" s="1" t="str">
        <f t="shared" si="249"/>
        <v>X</v>
      </c>
      <c r="J1220" s="1" t="str">
        <f t="shared" si="249"/>
        <v>X</v>
      </c>
      <c r="K1220" s="1" t="str">
        <f t="shared" si="249"/>
        <v>X</v>
      </c>
      <c r="L1220" s="1" t="str">
        <f t="shared" si="249"/>
        <v>X</v>
      </c>
      <c r="M1220" s="1" t="str">
        <f t="shared" si="249"/>
        <v>X</v>
      </c>
      <c r="N1220" t="s">
        <v>27</v>
      </c>
    </row>
    <row r="1221" spans="1:14" x14ac:dyDescent="0.25">
      <c r="A1221" t="s">
        <v>14</v>
      </c>
      <c r="B1221" t="s">
        <v>39</v>
      </c>
      <c r="C1221" t="s">
        <v>35</v>
      </c>
      <c r="D1221" t="s">
        <v>34</v>
      </c>
      <c r="E1221" t="s">
        <v>23</v>
      </c>
      <c r="F1221" t="s">
        <v>20</v>
      </c>
      <c r="G1221" s="1" t="str">
        <f t="shared" si="249"/>
        <v>X</v>
      </c>
      <c r="H1221" s="1" t="str">
        <f t="shared" si="249"/>
        <v>X</v>
      </c>
      <c r="I1221" s="1" t="str">
        <f t="shared" si="249"/>
        <v>X</v>
      </c>
      <c r="J1221" s="1" t="str">
        <f t="shared" si="249"/>
        <v>X</v>
      </c>
      <c r="K1221" s="1" t="str">
        <f t="shared" si="249"/>
        <v>X</v>
      </c>
      <c r="L1221" s="1" t="str">
        <f t="shared" si="249"/>
        <v>X</v>
      </c>
      <c r="M1221" s="1" t="str">
        <f t="shared" si="249"/>
        <v>X</v>
      </c>
      <c r="N1221" t="s">
        <v>27</v>
      </c>
    </row>
    <row r="1222" spans="1:14" x14ac:dyDescent="0.25">
      <c r="A1222" t="s">
        <v>14</v>
      </c>
      <c r="B1222" t="s">
        <v>39</v>
      </c>
      <c r="C1222" t="s">
        <v>35</v>
      </c>
      <c r="D1222" t="s">
        <v>34</v>
      </c>
      <c r="E1222" t="s">
        <v>26</v>
      </c>
      <c r="F1222" t="s">
        <v>15</v>
      </c>
      <c r="G1222" s="1" t="str">
        <f t="shared" ref="G1222:M1226" si="250">"..."</f>
        <v>...</v>
      </c>
      <c r="H1222" s="1" t="str">
        <f t="shared" si="250"/>
        <v>...</v>
      </c>
      <c r="I1222" s="1" t="str">
        <f t="shared" si="250"/>
        <v>...</v>
      </c>
      <c r="J1222" s="1" t="str">
        <f t="shared" si="250"/>
        <v>...</v>
      </c>
      <c r="K1222" s="1" t="str">
        <f t="shared" si="250"/>
        <v>...</v>
      </c>
      <c r="L1222" s="1" t="str">
        <f t="shared" si="250"/>
        <v>...</v>
      </c>
      <c r="M1222" s="1" t="str">
        <f t="shared" si="250"/>
        <v>...</v>
      </c>
      <c r="N1222" t="s">
        <v>30</v>
      </c>
    </row>
    <row r="1223" spans="1:14" x14ac:dyDescent="0.25">
      <c r="A1223" t="s">
        <v>14</v>
      </c>
      <c r="B1223" t="s">
        <v>39</v>
      </c>
      <c r="C1223" t="s">
        <v>35</v>
      </c>
      <c r="D1223" t="s">
        <v>34</v>
      </c>
      <c r="E1223" t="s">
        <v>26</v>
      </c>
      <c r="F1223" t="s">
        <v>17</v>
      </c>
      <c r="G1223" s="1" t="str">
        <f t="shared" si="250"/>
        <v>...</v>
      </c>
      <c r="H1223" s="1" t="str">
        <f t="shared" si="250"/>
        <v>...</v>
      </c>
      <c r="I1223" s="1" t="str">
        <f t="shared" si="250"/>
        <v>...</v>
      </c>
      <c r="J1223" s="1" t="str">
        <f t="shared" si="250"/>
        <v>...</v>
      </c>
      <c r="K1223" s="1" t="str">
        <f t="shared" si="250"/>
        <v>...</v>
      </c>
      <c r="L1223" s="1" t="str">
        <f t="shared" si="250"/>
        <v>...</v>
      </c>
      <c r="M1223" s="1" t="str">
        <f t="shared" si="250"/>
        <v>...</v>
      </c>
      <c r="N1223" t="s">
        <v>30</v>
      </c>
    </row>
    <row r="1224" spans="1:14" x14ac:dyDescent="0.25">
      <c r="A1224" t="s">
        <v>14</v>
      </c>
      <c r="B1224" t="s">
        <v>39</v>
      </c>
      <c r="C1224" t="s">
        <v>35</v>
      </c>
      <c r="D1224" t="s">
        <v>34</v>
      </c>
      <c r="E1224" t="s">
        <v>26</v>
      </c>
      <c r="F1224" t="s">
        <v>18</v>
      </c>
      <c r="G1224" s="1" t="str">
        <f t="shared" si="250"/>
        <v>...</v>
      </c>
      <c r="H1224" s="1" t="str">
        <f t="shared" si="250"/>
        <v>...</v>
      </c>
      <c r="I1224" s="1" t="str">
        <f t="shared" si="250"/>
        <v>...</v>
      </c>
      <c r="J1224" s="1" t="str">
        <f t="shared" si="250"/>
        <v>...</v>
      </c>
      <c r="K1224" s="1" t="str">
        <f t="shared" si="250"/>
        <v>...</v>
      </c>
      <c r="L1224" s="1" t="str">
        <f t="shared" si="250"/>
        <v>...</v>
      </c>
      <c r="M1224" s="1" t="str">
        <f t="shared" si="250"/>
        <v>...</v>
      </c>
      <c r="N1224" t="s">
        <v>30</v>
      </c>
    </row>
    <row r="1225" spans="1:14" x14ac:dyDescent="0.25">
      <c r="A1225" t="s">
        <v>14</v>
      </c>
      <c r="B1225" t="s">
        <v>39</v>
      </c>
      <c r="C1225" t="s">
        <v>35</v>
      </c>
      <c r="D1225" t="s">
        <v>34</v>
      </c>
      <c r="E1225" t="s">
        <v>26</v>
      </c>
      <c r="F1225" t="s">
        <v>19</v>
      </c>
      <c r="G1225" s="1" t="str">
        <f t="shared" si="250"/>
        <v>...</v>
      </c>
      <c r="H1225" s="1" t="str">
        <f t="shared" si="250"/>
        <v>...</v>
      </c>
      <c r="I1225" s="1" t="str">
        <f t="shared" si="250"/>
        <v>...</v>
      </c>
      <c r="J1225" s="1" t="str">
        <f t="shared" si="250"/>
        <v>...</v>
      </c>
      <c r="K1225" s="1" t="str">
        <f t="shared" si="250"/>
        <v>...</v>
      </c>
      <c r="L1225" s="1" t="str">
        <f t="shared" si="250"/>
        <v>...</v>
      </c>
      <c r="M1225" s="1" t="str">
        <f t="shared" si="250"/>
        <v>...</v>
      </c>
      <c r="N1225" t="s">
        <v>30</v>
      </c>
    </row>
    <row r="1226" spans="1:14" x14ac:dyDescent="0.25">
      <c r="A1226" t="s">
        <v>14</v>
      </c>
      <c r="B1226" t="s">
        <v>39</v>
      </c>
      <c r="C1226" t="s">
        <v>35</v>
      </c>
      <c r="D1226" t="s">
        <v>34</v>
      </c>
      <c r="E1226" t="s">
        <v>26</v>
      </c>
      <c r="F1226" t="s">
        <v>20</v>
      </c>
      <c r="G1226" s="1" t="str">
        <f t="shared" si="250"/>
        <v>...</v>
      </c>
      <c r="H1226" s="1" t="str">
        <f t="shared" si="250"/>
        <v>...</v>
      </c>
      <c r="I1226" s="1" t="str">
        <f t="shared" si="250"/>
        <v>...</v>
      </c>
      <c r="J1226" s="1" t="str">
        <f t="shared" si="250"/>
        <v>...</v>
      </c>
      <c r="K1226" s="1" t="str">
        <f t="shared" si="250"/>
        <v>...</v>
      </c>
      <c r="L1226" s="1" t="str">
        <f t="shared" si="250"/>
        <v>...</v>
      </c>
      <c r="M1226" s="1" t="str">
        <f t="shared" si="250"/>
        <v>...</v>
      </c>
      <c r="N1226" t="s">
        <v>30</v>
      </c>
    </row>
    <row r="1227" spans="1:14" x14ac:dyDescent="0.25">
      <c r="A1227" t="s">
        <v>14</v>
      </c>
      <c r="B1227" t="s">
        <v>39</v>
      </c>
      <c r="C1227" t="s">
        <v>36</v>
      </c>
      <c r="D1227" t="s">
        <v>15</v>
      </c>
      <c r="E1227" t="s">
        <v>15</v>
      </c>
      <c r="F1227" t="s">
        <v>15</v>
      </c>
      <c r="G1227" s="1">
        <f>VALUE(15306.1500820097)</f>
        <v>15306.150082009701</v>
      </c>
      <c r="H1227" s="1">
        <f>VALUE(15108.3515938155)</f>
        <v>15108.3515938155</v>
      </c>
      <c r="I1227" s="1">
        <f>VALUE(3452)</f>
        <v>3452</v>
      </c>
      <c r="J1227" s="1">
        <f>VALUE(4035)</f>
        <v>4035</v>
      </c>
      <c r="K1227" s="1">
        <f>VALUE(4825)</f>
        <v>4825</v>
      </c>
      <c r="L1227" s="1">
        <f>VALUE(5661)</f>
        <v>5661</v>
      </c>
      <c r="M1227" s="1">
        <f>VALUE(6858)</f>
        <v>6858</v>
      </c>
      <c r="N1227" t="s">
        <v>16</v>
      </c>
    </row>
    <row r="1228" spans="1:14" x14ac:dyDescent="0.25">
      <c r="A1228" t="s">
        <v>14</v>
      </c>
      <c r="B1228" t="s">
        <v>39</v>
      </c>
      <c r="C1228" t="s">
        <v>36</v>
      </c>
      <c r="D1228" t="s">
        <v>15</v>
      </c>
      <c r="E1228" t="s">
        <v>15</v>
      </c>
      <c r="F1228" t="s">
        <v>17</v>
      </c>
      <c r="G1228" s="2">
        <f>VALUE(1357.8349650816)</f>
        <v>1357.8349650816001</v>
      </c>
      <c r="H1228" s="3">
        <f>VALUE(1358.6542371401)</f>
        <v>1358.6542371400999</v>
      </c>
      <c r="I1228" s="1">
        <f>VALUE(4235)</f>
        <v>4235</v>
      </c>
      <c r="J1228" s="1">
        <f>VALUE(5045)</f>
        <v>5045</v>
      </c>
      <c r="K1228" s="1">
        <f>VALUE(6182)</f>
        <v>6182</v>
      </c>
      <c r="L1228" s="1">
        <f>VALUE(8022)</f>
        <v>8022</v>
      </c>
      <c r="M1228" s="8">
        <f>VALUE(10088)</f>
        <v>10088</v>
      </c>
      <c r="N1228" t="s">
        <v>25</v>
      </c>
    </row>
    <row r="1229" spans="1:14" x14ac:dyDescent="0.25">
      <c r="A1229" t="s">
        <v>14</v>
      </c>
      <c r="B1229" t="s">
        <v>39</v>
      </c>
      <c r="C1229" t="s">
        <v>36</v>
      </c>
      <c r="D1229" t="s">
        <v>15</v>
      </c>
      <c r="E1229" t="s">
        <v>15</v>
      </c>
      <c r="F1229" t="s">
        <v>18</v>
      </c>
      <c r="G1229" s="1">
        <f>VALUE(1914.9163809645)</f>
        <v>1914.9163809644999</v>
      </c>
      <c r="H1229" s="1">
        <f>VALUE(1904.0677663934)</f>
        <v>1904.0677663934</v>
      </c>
      <c r="I1229" s="1">
        <f>VALUE(3700)</f>
        <v>3700</v>
      </c>
      <c r="J1229" s="1">
        <f>VALUE(4425)</f>
        <v>4425</v>
      </c>
      <c r="K1229" s="1">
        <f>VALUE(5365)</f>
        <v>5365</v>
      </c>
      <c r="L1229" s="1">
        <f>VALUE(6500)</f>
        <v>6500</v>
      </c>
      <c r="M1229" s="1">
        <f>VALUE(7969)</f>
        <v>7969</v>
      </c>
      <c r="N1229" t="s">
        <v>16</v>
      </c>
    </row>
    <row r="1230" spans="1:14" x14ac:dyDescent="0.25">
      <c r="A1230" t="s">
        <v>14</v>
      </c>
      <c r="B1230" t="s">
        <v>39</v>
      </c>
      <c r="C1230" t="s">
        <v>36</v>
      </c>
      <c r="D1230" t="s">
        <v>15</v>
      </c>
      <c r="E1230" t="s">
        <v>15</v>
      </c>
      <c r="F1230" t="s">
        <v>19</v>
      </c>
      <c r="G1230" s="1">
        <f>VALUE(2323.6254485035)</f>
        <v>2323.6254485035001</v>
      </c>
      <c r="H1230" s="1">
        <f>VALUE(2269.9335750885)</f>
        <v>2269.9335750885002</v>
      </c>
      <c r="I1230" s="1">
        <f>VALUE(3944)</f>
        <v>3944</v>
      </c>
      <c r="J1230" s="1">
        <f>VALUE(4394)</f>
        <v>4394</v>
      </c>
      <c r="K1230" s="1">
        <f>VALUE(5055)</f>
        <v>5055</v>
      </c>
      <c r="L1230" s="1">
        <f>VALUE(5688)</f>
        <v>5688</v>
      </c>
      <c r="M1230" s="1">
        <f>VALUE(6766)</f>
        <v>6766</v>
      </c>
      <c r="N1230" t="s">
        <v>16</v>
      </c>
    </row>
    <row r="1231" spans="1:14" x14ac:dyDescent="0.25">
      <c r="A1231" t="s">
        <v>14</v>
      </c>
      <c r="B1231" t="s">
        <v>39</v>
      </c>
      <c r="C1231" t="s">
        <v>36</v>
      </c>
      <c r="D1231" t="s">
        <v>15</v>
      </c>
      <c r="E1231" t="s">
        <v>15</v>
      </c>
      <c r="F1231" t="s">
        <v>20</v>
      </c>
      <c r="G1231" s="1">
        <f>VALUE(9704.2656550759)</f>
        <v>9704.2656550759002</v>
      </c>
      <c r="H1231" s="1">
        <f>VALUE(9573.3942366999)</f>
        <v>9573.3942366998999</v>
      </c>
      <c r="I1231" s="1">
        <f>VALUE(3323)</f>
        <v>3323</v>
      </c>
      <c r="J1231" s="1">
        <f>VALUE(3844)</f>
        <v>3844</v>
      </c>
      <c r="K1231" s="1">
        <f>VALUE(4562)</f>
        <v>4562</v>
      </c>
      <c r="L1231" s="1">
        <f>VALUE(5322)</f>
        <v>5322</v>
      </c>
      <c r="M1231" s="1">
        <f>VALUE(6079)</f>
        <v>6079</v>
      </c>
      <c r="N1231" t="s">
        <v>16</v>
      </c>
    </row>
    <row r="1232" spans="1:14" x14ac:dyDescent="0.25">
      <c r="A1232" t="s">
        <v>14</v>
      </c>
      <c r="B1232" t="s">
        <v>39</v>
      </c>
      <c r="C1232" t="s">
        <v>36</v>
      </c>
      <c r="D1232" t="s">
        <v>15</v>
      </c>
      <c r="E1232" t="s">
        <v>21</v>
      </c>
      <c r="F1232" t="s">
        <v>15</v>
      </c>
      <c r="G1232" s="1">
        <f>VALUE(3532.6749824769)</f>
        <v>3532.6749824768999</v>
      </c>
      <c r="H1232" s="1">
        <f>VALUE(3376.135010787)</f>
        <v>3376.1350107869998</v>
      </c>
      <c r="I1232" s="1">
        <f>VALUE(4048)</f>
        <v>4048</v>
      </c>
      <c r="J1232" s="1">
        <f>VALUE(4861)</f>
        <v>4861</v>
      </c>
      <c r="K1232" s="1">
        <f>VALUE(5799)</f>
        <v>5799</v>
      </c>
      <c r="L1232" s="1">
        <f>VALUE(6948)</f>
        <v>6948</v>
      </c>
      <c r="M1232" s="1">
        <f>VALUE(8667)</f>
        <v>8667</v>
      </c>
      <c r="N1232" t="s">
        <v>16</v>
      </c>
    </row>
    <row r="1233" spans="1:14" x14ac:dyDescent="0.25">
      <c r="A1233" t="s">
        <v>14</v>
      </c>
      <c r="B1233" t="s">
        <v>39</v>
      </c>
      <c r="C1233" t="s">
        <v>36</v>
      </c>
      <c r="D1233" t="s">
        <v>15</v>
      </c>
      <c r="E1233" t="s">
        <v>21</v>
      </c>
      <c r="F1233" t="s">
        <v>17</v>
      </c>
      <c r="G1233" s="2">
        <f>VALUE(832.91260279)</f>
        <v>832.91260279000005</v>
      </c>
      <c r="H1233" s="3">
        <f>VALUE(822.3351608662)</f>
        <v>822.3351608662</v>
      </c>
      <c r="I1233" s="1">
        <f>VALUE(4642)</f>
        <v>4642</v>
      </c>
      <c r="J1233" s="1">
        <f>VALUE(5426)</f>
        <v>5426</v>
      </c>
      <c r="K1233" s="1">
        <f>VALUE(6618)</f>
        <v>6618</v>
      </c>
      <c r="L1233" s="1">
        <f>VALUE(8456)</f>
        <v>8456</v>
      </c>
      <c r="M1233" s="1">
        <f>VALUE(10317)</f>
        <v>10317</v>
      </c>
      <c r="N1233" t="s">
        <v>25</v>
      </c>
    </row>
    <row r="1234" spans="1:14" x14ac:dyDescent="0.25">
      <c r="A1234" t="s">
        <v>14</v>
      </c>
      <c r="B1234" t="s">
        <v>39</v>
      </c>
      <c r="C1234" t="s">
        <v>36</v>
      </c>
      <c r="D1234" t="s">
        <v>15</v>
      </c>
      <c r="E1234" t="s">
        <v>21</v>
      </c>
      <c r="F1234" t="s">
        <v>18</v>
      </c>
      <c r="G1234" s="2">
        <f>VALUE(746.7103906508)</f>
        <v>746.71039065080004</v>
      </c>
      <c r="H1234" s="3">
        <f>VALUE(724.041509547)</f>
        <v>724.04150954700003</v>
      </c>
      <c r="I1234" s="1">
        <f>VALUE(4048)</f>
        <v>4048</v>
      </c>
      <c r="J1234" s="1">
        <f>VALUE(5000)</f>
        <v>5000</v>
      </c>
      <c r="K1234" s="1">
        <f>VALUE(5958)</f>
        <v>5958</v>
      </c>
      <c r="L1234" s="1">
        <f>VALUE(7058)</f>
        <v>7058</v>
      </c>
      <c r="M1234" s="8">
        <f>VALUE(8400)</f>
        <v>8400</v>
      </c>
      <c r="N1234" t="s">
        <v>25</v>
      </c>
    </row>
    <row r="1235" spans="1:14" x14ac:dyDescent="0.25">
      <c r="A1235" t="s">
        <v>14</v>
      </c>
      <c r="B1235" t="s">
        <v>39</v>
      </c>
      <c r="C1235" t="s">
        <v>36</v>
      </c>
      <c r="D1235" t="s">
        <v>15</v>
      </c>
      <c r="E1235" t="s">
        <v>21</v>
      </c>
      <c r="F1235" t="s">
        <v>19</v>
      </c>
      <c r="G1235" s="2">
        <f>VALUE(771.0005524552)</f>
        <v>771.00055245520002</v>
      </c>
      <c r="H1235" s="3">
        <f>VALUE(684.2333688841)</f>
        <v>684.23336888409995</v>
      </c>
      <c r="I1235" s="4">
        <f>VALUE(4273)</f>
        <v>4273</v>
      </c>
      <c r="J1235" s="1">
        <f>VALUE(4762)</f>
        <v>4762</v>
      </c>
      <c r="K1235" s="1">
        <f>VALUE(5374)</f>
        <v>5374</v>
      </c>
      <c r="L1235" s="1">
        <f>VALUE(6508)</f>
        <v>6508</v>
      </c>
      <c r="M1235" s="1">
        <f>VALUE(8154)</f>
        <v>8154</v>
      </c>
      <c r="N1235" t="s">
        <v>25</v>
      </c>
    </row>
    <row r="1236" spans="1:14" x14ac:dyDescent="0.25">
      <c r="A1236" t="s">
        <v>14</v>
      </c>
      <c r="B1236" t="s">
        <v>39</v>
      </c>
      <c r="C1236" t="s">
        <v>36</v>
      </c>
      <c r="D1236" t="s">
        <v>15</v>
      </c>
      <c r="E1236" t="s">
        <v>21</v>
      </c>
      <c r="F1236" t="s">
        <v>20</v>
      </c>
      <c r="G1236" s="1">
        <f>VALUE(1182.0514365809)</f>
        <v>1182.0514365808999</v>
      </c>
      <c r="H1236" s="1">
        <f>VALUE(1145.5249714897)</f>
        <v>1145.5249714897</v>
      </c>
      <c r="I1236" s="1">
        <f>VALUE(3809)</f>
        <v>3809</v>
      </c>
      <c r="J1236" s="1">
        <f>VALUE(4540)</f>
        <v>4540</v>
      </c>
      <c r="K1236" s="1">
        <f>VALUE(5571)</f>
        <v>5571</v>
      </c>
      <c r="L1236" s="1">
        <f>VALUE(6341)</f>
        <v>6341</v>
      </c>
      <c r="M1236" s="1">
        <f>VALUE(7342)</f>
        <v>7342</v>
      </c>
      <c r="N1236" t="s">
        <v>16</v>
      </c>
    </row>
    <row r="1237" spans="1:14" x14ac:dyDescent="0.25">
      <c r="A1237" t="s">
        <v>14</v>
      </c>
      <c r="B1237" t="s">
        <v>39</v>
      </c>
      <c r="C1237" t="s">
        <v>36</v>
      </c>
      <c r="D1237" t="s">
        <v>15</v>
      </c>
      <c r="E1237" t="s">
        <v>22</v>
      </c>
      <c r="F1237" t="s">
        <v>15</v>
      </c>
      <c r="G1237" s="1">
        <f>VALUE(6054.4829991319)</f>
        <v>6054.4829991319002</v>
      </c>
      <c r="H1237" s="1">
        <f>VALUE(6126.8934827864)</f>
        <v>6126.8934827863995</v>
      </c>
      <c r="I1237" s="1">
        <f>VALUE(3755)</f>
        <v>3755</v>
      </c>
      <c r="J1237" s="1">
        <f>VALUE(4235)</f>
        <v>4235</v>
      </c>
      <c r="K1237" s="1">
        <f>VALUE(4894)</f>
        <v>4894</v>
      </c>
      <c r="L1237" s="1">
        <f>VALUE(5502)</f>
        <v>5502</v>
      </c>
      <c r="M1237" s="1">
        <f>VALUE(6431)</f>
        <v>6431</v>
      </c>
      <c r="N1237" t="s">
        <v>16</v>
      </c>
    </row>
    <row r="1238" spans="1:14" x14ac:dyDescent="0.25">
      <c r="A1238" t="s">
        <v>14</v>
      </c>
      <c r="B1238" t="s">
        <v>39</v>
      </c>
      <c r="C1238" t="s">
        <v>36</v>
      </c>
      <c r="D1238" t="s">
        <v>15</v>
      </c>
      <c r="E1238" t="s">
        <v>22</v>
      </c>
      <c r="F1238" t="s">
        <v>17</v>
      </c>
      <c r="G1238" s="2">
        <f>VALUE(391.2194002839)</f>
        <v>391.21940028389997</v>
      </c>
      <c r="H1238" s="3">
        <f>VALUE(397.2127046768)</f>
        <v>397.2127046768</v>
      </c>
      <c r="I1238" s="4">
        <f>VALUE(3921)</f>
        <v>3921</v>
      </c>
      <c r="J1238" s="1">
        <f>VALUE(4685)</f>
        <v>4685</v>
      </c>
      <c r="K1238" s="1">
        <f>VALUE(5638)</f>
        <v>5638</v>
      </c>
      <c r="L1238" s="7">
        <f>VALUE(7183)</f>
        <v>7183</v>
      </c>
      <c r="M1238" s="8">
        <f>VALUE(8815)</f>
        <v>8815</v>
      </c>
      <c r="N1238" t="s">
        <v>25</v>
      </c>
    </row>
    <row r="1239" spans="1:14" x14ac:dyDescent="0.25">
      <c r="A1239" t="s">
        <v>14</v>
      </c>
      <c r="B1239" t="s">
        <v>39</v>
      </c>
      <c r="C1239" t="s">
        <v>36</v>
      </c>
      <c r="D1239" t="s">
        <v>15</v>
      </c>
      <c r="E1239" t="s">
        <v>22</v>
      </c>
      <c r="F1239" t="s">
        <v>18</v>
      </c>
      <c r="G1239" s="2">
        <f>VALUE(740.7093743157)</f>
        <v>740.70937431569996</v>
      </c>
      <c r="H1239" s="3">
        <f>VALUE(749.0656218221)</f>
        <v>749.06562182209996</v>
      </c>
      <c r="I1239" s="1">
        <f>VALUE(3860)</f>
        <v>3860</v>
      </c>
      <c r="J1239" s="1">
        <f>VALUE(4451)</f>
        <v>4451</v>
      </c>
      <c r="K1239" s="1">
        <f>VALUE(5195)</f>
        <v>5195</v>
      </c>
      <c r="L1239" s="1">
        <f>VALUE(5958)</f>
        <v>5958</v>
      </c>
      <c r="M1239" s="1">
        <f>VALUE(6640)</f>
        <v>6640</v>
      </c>
      <c r="N1239" t="s">
        <v>25</v>
      </c>
    </row>
    <row r="1240" spans="1:14" x14ac:dyDescent="0.25">
      <c r="A1240" t="s">
        <v>14</v>
      </c>
      <c r="B1240" t="s">
        <v>39</v>
      </c>
      <c r="C1240" t="s">
        <v>36</v>
      </c>
      <c r="D1240" t="s">
        <v>15</v>
      </c>
      <c r="E1240" t="s">
        <v>22</v>
      </c>
      <c r="F1240" t="s">
        <v>19</v>
      </c>
      <c r="G1240" s="2">
        <f>VALUE(1151.3323649746)</f>
        <v>1151.3323649746001</v>
      </c>
      <c r="H1240" s="3">
        <f>VALUE(1176.0566855095)</f>
        <v>1176.0566855095001</v>
      </c>
      <c r="I1240" s="1">
        <f>VALUE(3876)</f>
        <v>3876</v>
      </c>
      <c r="J1240" s="1">
        <f>VALUE(4333)</f>
        <v>4333</v>
      </c>
      <c r="K1240" s="1">
        <f>VALUE(4979)</f>
        <v>4979</v>
      </c>
      <c r="L1240" s="1">
        <f>VALUE(5487)</f>
        <v>5487</v>
      </c>
      <c r="M1240" s="1">
        <f>VALUE(6190)</f>
        <v>6190</v>
      </c>
      <c r="N1240" t="s">
        <v>25</v>
      </c>
    </row>
    <row r="1241" spans="1:14" x14ac:dyDescent="0.25">
      <c r="A1241" t="s">
        <v>14</v>
      </c>
      <c r="B1241" t="s">
        <v>39</v>
      </c>
      <c r="C1241" t="s">
        <v>36</v>
      </c>
      <c r="D1241" t="s">
        <v>15</v>
      </c>
      <c r="E1241" t="s">
        <v>22</v>
      </c>
      <c r="F1241" t="s">
        <v>20</v>
      </c>
      <c r="G1241" s="1">
        <f>VALUE(3771.2218595577)</f>
        <v>3771.2218595577001</v>
      </c>
      <c r="H1241" s="1">
        <f>VALUE(3804.558470778)</f>
        <v>3804.5584707779999</v>
      </c>
      <c r="I1241" s="1">
        <f>VALUE(3686)</f>
        <v>3686</v>
      </c>
      <c r="J1241" s="1">
        <f>VALUE(4139)</f>
        <v>4139</v>
      </c>
      <c r="K1241" s="1">
        <f>VALUE(4752)</f>
        <v>4752</v>
      </c>
      <c r="L1241" s="1">
        <f>VALUE(5387)</f>
        <v>5387</v>
      </c>
      <c r="M1241" s="1">
        <f>VALUE(6121)</f>
        <v>6121</v>
      </c>
      <c r="N1241" t="s">
        <v>16</v>
      </c>
    </row>
    <row r="1242" spans="1:14" x14ac:dyDescent="0.25">
      <c r="A1242" t="s">
        <v>14</v>
      </c>
      <c r="B1242" t="s">
        <v>39</v>
      </c>
      <c r="C1242" t="s">
        <v>36</v>
      </c>
      <c r="D1242" t="s">
        <v>15</v>
      </c>
      <c r="E1242" t="s">
        <v>23</v>
      </c>
      <c r="F1242" t="s">
        <v>15</v>
      </c>
      <c r="G1242" s="1">
        <f>VALUE(5534.7781055161)</f>
        <v>5534.7781055161004</v>
      </c>
      <c r="H1242" s="1">
        <f>VALUE(5420.003147504)</f>
        <v>5420.0031475039996</v>
      </c>
      <c r="I1242" s="1">
        <f>VALUE(3160)</f>
        <v>3160</v>
      </c>
      <c r="J1242" s="1">
        <f>VALUE(3556)</f>
        <v>3556</v>
      </c>
      <c r="K1242" s="1">
        <f>VALUE(4249)</f>
        <v>4249</v>
      </c>
      <c r="L1242" s="1">
        <f>VALUE(4985)</f>
        <v>4985</v>
      </c>
      <c r="M1242" s="1">
        <f>VALUE(5665)</f>
        <v>5665</v>
      </c>
      <c r="N1242" t="s">
        <v>16</v>
      </c>
    </row>
    <row r="1243" spans="1:14" x14ac:dyDescent="0.25">
      <c r="A1243" t="s">
        <v>14</v>
      </c>
      <c r="B1243" t="s">
        <v>39</v>
      </c>
      <c r="C1243" t="s">
        <v>36</v>
      </c>
      <c r="D1243" t="s">
        <v>15</v>
      </c>
      <c r="E1243" t="s">
        <v>23</v>
      </c>
      <c r="F1243" t="s">
        <v>17</v>
      </c>
      <c r="G1243" s="1" t="str">
        <f t="shared" ref="G1243:M1243" si="251">"X"</f>
        <v>X</v>
      </c>
      <c r="H1243" s="1" t="str">
        <f t="shared" si="251"/>
        <v>X</v>
      </c>
      <c r="I1243" s="1" t="str">
        <f t="shared" si="251"/>
        <v>X</v>
      </c>
      <c r="J1243" s="1" t="str">
        <f t="shared" si="251"/>
        <v>X</v>
      </c>
      <c r="K1243" s="1" t="str">
        <f t="shared" si="251"/>
        <v>X</v>
      </c>
      <c r="L1243" s="1" t="str">
        <f t="shared" si="251"/>
        <v>X</v>
      </c>
      <c r="M1243" s="1" t="str">
        <f t="shared" si="251"/>
        <v>X</v>
      </c>
      <c r="N1243" t="s">
        <v>27</v>
      </c>
    </row>
    <row r="1244" spans="1:14" x14ac:dyDescent="0.25">
      <c r="A1244" t="s">
        <v>14</v>
      </c>
      <c r="B1244" t="s">
        <v>39</v>
      </c>
      <c r="C1244" t="s">
        <v>36</v>
      </c>
      <c r="D1244" t="s">
        <v>15</v>
      </c>
      <c r="E1244" t="s">
        <v>23</v>
      </c>
      <c r="F1244" t="s">
        <v>18</v>
      </c>
      <c r="G1244" s="2">
        <f>VALUE(368.789613795)</f>
        <v>368.78961379499998</v>
      </c>
      <c r="H1244" s="3">
        <f>VALUE(369.3057831677)</f>
        <v>369.30578316769999</v>
      </c>
      <c r="I1244" s="1">
        <f>VALUE(3300)</f>
        <v>3300</v>
      </c>
      <c r="J1244" s="5">
        <f>VALUE(3567)</f>
        <v>3567</v>
      </c>
      <c r="K1244" s="1">
        <f>VALUE(4423)</f>
        <v>4423</v>
      </c>
      <c r="L1244" s="1">
        <f>VALUE(5365)</f>
        <v>5365</v>
      </c>
      <c r="M1244" s="1">
        <f>VALUE(6445)</f>
        <v>6445</v>
      </c>
      <c r="N1244" t="s">
        <v>25</v>
      </c>
    </row>
    <row r="1245" spans="1:14" x14ac:dyDescent="0.25">
      <c r="A1245" t="s">
        <v>14</v>
      </c>
      <c r="B1245" t="s">
        <v>39</v>
      </c>
      <c r="C1245" t="s">
        <v>36</v>
      </c>
      <c r="D1245" t="s">
        <v>15</v>
      </c>
      <c r="E1245" t="s">
        <v>23</v>
      </c>
      <c r="F1245" t="s">
        <v>19</v>
      </c>
      <c r="G1245" s="2">
        <f>VALUE(401.2925310737)</f>
        <v>401.29253107369999</v>
      </c>
      <c r="H1245" s="3">
        <f>VALUE(409.6435206949)</f>
        <v>409.64352069490002</v>
      </c>
      <c r="I1245" s="1">
        <f>VALUE(3660)</f>
        <v>3660</v>
      </c>
      <c r="J1245" s="1">
        <f>VALUE(4099)</f>
        <v>4099</v>
      </c>
      <c r="K1245" s="1">
        <f>VALUE(4767)</f>
        <v>4767</v>
      </c>
      <c r="L1245" s="1">
        <f>VALUE(5282)</f>
        <v>5282</v>
      </c>
      <c r="M1245" s="1">
        <f>VALUE(6285)</f>
        <v>6285</v>
      </c>
      <c r="N1245" t="s">
        <v>25</v>
      </c>
    </row>
    <row r="1246" spans="1:14" x14ac:dyDescent="0.25">
      <c r="A1246" t="s">
        <v>14</v>
      </c>
      <c r="B1246" t="s">
        <v>39</v>
      </c>
      <c r="C1246" t="s">
        <v>36</v>
      </c>
      <c r="D1246" t="s">
        <v>15</v>
      </c>
      <c r="E1246" t="s">
        <v>23</v>
      </c>
      <c r="F1246" t="s">
        <v>20</v>
      </c>
      <c r="G1246" s="1">
        <f>VALUE(4650.8487227968)</f>
        <v>4650.8487227967998</v>
      </c>
      <c r="H1246" s="1">
        <f>VALUE(4522.019354627)</f>
        <v>4522.0193546270002</v>
      </c>
      <c r="I1246" s="1">
        <f>VALUE(3108)</f>
        <v>3108</v>
      </c>
      <c r="J1246" s="1">
        <f>VALUE(3501)</f>
        <v>3501</v>
      </c>
      <c r="K1246" s="1">
        <f>VALUE(4154)</f>
        <v>4154</v>
      </c>
      <c r="L1246" s="1">
        <f>VALUE(4900)</f>
        <v>4900</v>
      </c>
      <c r="M1246" s="1">
        <f>VALUE(5593)</f>
        <v>5593</v>
      </c>
      <c r="N1246" t="s">
        <v>16</v>
      </c>
    </row>
    <row r="1247" spans="1:14" x14ac:dyDescent="0.25">
      <c r="A1247" t="s">
        <v>14</v>
      </c>
      <c r="B1247" t="s">
        <v>39</v>
      </c>
      <c r="C1247" t="s">
        <v>36</v>
      </c>
      <c r="D1247" t="s">
        <v>15</v>
      </c>
      <c r="E1247" t="s">
        <v>26</v>
      </c>
      <c r="F1247" t="s">
        <v>15</v>
      </c>
      <c r="G1247" s="2">
        <f>VALUE(184.2139948848)</f>
        <v>184.2139948848</v>
      </c>
      <c r="H1247" s="3">
        <f>VALUE(185.3199527381)</f>
        <v>185.3199527381</v>
      </c>
      <c r="I1247" s="1">
        <f>VALUE(5000)</f>
        <v>5000</v>
      </c>
      <c r="J1247" s="1">
        <f>VALUE(5238)</f>
        <v>5238</v>
      </c>
      <c r="K1247" s="1">
        <f>VALUE(7110)</f>
        <v>7110</v>
      </c>
      <c r="L1247" s="1">
        <f>VALUE(10396)</f>
        <v>10396</v>
      </c>
      <c r="M1247" s="1">
        <f>VALUE(12222)</f>
        <v>12222</v>
      </c>
      <c r="N1247" t="s">
        <v>25</v>
      </c>
    </row>
    <row r="1248" spans="1:14" x14ac:dyDescent="0.25">
      <c r="A1248" t="s">
        <v>14</v>
      </c>
      <c r="B1248" t="s">
        <v>39</v>
      </c>
      <c r="C1248" t="s">
        <v>36</v>
      </c>
      <c r="D1248" t="s">
        <v>15</v>
      </c>
      <c r="E1248" t="s">
        <v>26</v>
      </c>
      <c r="F1248" t="s">
        <v>17</v>
      </c>
      <c r="G1248" s="1" t="str">
        <f t="shared" ref="G1248:M1249" si="252">"X"</f>
        <v>X</v>
      </c>
      <c r="H1248" s="1" t="str">
        <f t="shared" si="252"/>
        <v>X</v>
      </c>
      <c r="I1248" s="1" t="str">
        <f t="shared" si="252"/>
        <v>X</v>
      </c>
      <c r="J1248" s="1" t="str">
        <f t="shared" si="252"/>
        <v>X</v>
      </c>
      <c r="K1248" s="1" t="str">
        <f t="shared" si="252"/>
        <v>X</v>
      </c>
      <c r="L1248" s="1" t="str">
        <f t="shared" si="252"/>
        <v>X</v>
      </c>
      <c r="M1248" s="1" t="str">
        <f t="shared" si="252"/>
        <v>X</v>
      </c>
      <c r="N1248" t="s">
        <v>27</v>
      </c>
    </row>
    <row r="1249" spans="1:14" x14ac:dyDescent="0.25">
      <c r="A1249" t="s">
        <v>14</v>
      </c>
      <c r="B1249" t="s">
        <v>39</v>
      </c>
      <c r="C1249" t="s">
        <v>36</v>
      </c>
      <c r="D1249" t="s">
        <v>15</v>
      </c>
      <c r="E1249" t="s">
        <v>26</v>
      </c>
      <c r="F1249" t="s">
        <v>18</v>
      </c>
      <c r="G1249" s="1" t="str">
        <f t="shared" si="252"/>
        <v>X</v>
      </c>
      <c r="H1249" s="1" t="str">
        <f t="shared" si="252"/>
        <v>X</v>
      </c>
      <c r="I1249" s="1" t="str">
        <f t="shared" si="252"/>
        <v>X</v>
      </c>
      <c r="J1249" s="1" t="str">
        <f t="shared" si="252"/>
        <v>X</v>
      </c>
      <c r="K1249" s="1" t="str">
        <f t="shared" si="252"/>
        <v>X</v>
      </c>
      <c r="L1249" s="1" t="str">
        <f t="shared" si="252"/>
        <v>X</v>
      </c>
      <c r="M1249" s="1" t="str">
        <f t="shared" si="252"/>
        <v>X</v>
      </c>
      <c r="N1249" t="s">
        <v>27</v>
      </c>
    </row>
    <row r="1250" spans="1:14" x14ac:dyDescent="0.25">
      <c r="A1250" t="s">
        <v>14</v>
      </c>
      <c r="B1250" t="s">
        <v>39</v>
      </c>
      <c r="C1250" t="s">
        <v>36</v>
      </c>
      <c r="D1250" t="s">
        <v>15</v>
      </c>
      <c r="E1250" t="s">
        <v>26</v>
      </c>
      <c r="F1250" t="s">
        <v>19</v>
      </c>
      <c r="G1250" s="1" t="str">
        <f t="shared" ref="G1250:M1250" si="253">"..."</f>
        <v>...</v>
      </c>
      <c r="H1250" s="1" t="str">
        <f t="shared" si="253"/>
        <v>...</v>
      </c>
      <c r="I1250" s="1" t="str">
        <f t="shared" si="253"/>
        <v>...</v>
      </c>
      <c r="J1250" s="1" t="str">
        <f t="shared" si="253"/>
        <v>...</v>
      </c>
      <c r="K1250" s="1" t="str">
        <f t="shared" si="253"/>
        <v>...</v>
      </c>
      <c r="L1250" s="1" t="str">
        <f t="shared" si="253"/>
        <v>...</v>
      </c>
      <c r="M1250" s="1" t="str">
        <f t="shared" si="253"/>
        <v>...</v>
      </c>
      <c r="N1250" t="s">
        <v>30</v>
      </c>
    </row>
    <row r="1251" spans="1:14" x14ac:dyDescent="0.25">
      <c r="A1251" t="s">
        <v>14</v>
      </c>
      <c r="B1251" t="s">
        <v>39</v>
      </c>
      <c r="C1251" t="s">
        <v>36</v>
      </c>
      <c r="D1251" t="s">
        <v>15</v>
      </c>
      <c r="E1251" t="s">
        <v>26</v>
      </c>
      <c r="F1251" t="s">
        <v>20</v>
      </c>
      <c r="G1251" s="1" t="str">
        <f t="shared" ref="G1251:M1251" si="254">"X"</f>
        <v>X</v>
      </c>
      <c r="H1251" s="1" t="str">
        <f t="shared" si="254"/>
        <v>X</v>
      </c>
      <c r="I1251" s="1" t="str">
        <f t="shared" si="254"/>
        <v>X</v>
      </c>
      <c r="J1251" s="1" t="str">
        <f t="shared" si="254"/>
        <v>X</v>
      </c>
      <c r="K1251" s="1" t="str">
        <f t="shared" si="254"/>
        <v>X</v>
      </c>
      <c r="L1251" s="1" t="str">
        <f t="shared" si="254"/>
        <v>X</v>
      </c>
      <c r="M1251" s="1" t="str">
        <f t="shared" si="254"/>
        <v>X</v>
      </c>
      <c r="N1251" t="s">
        <v>27</v>
      </c>
    </row>
    <row r="1252" spans="1:14" x14ac:dyDescent="0.25">
      <c r="A1252" t="s">
        <v>14</v>
      </c>
      <c r="B1252" t="s">
        <v>39</v>
      </c>
      <c r="C1252" t="s">
        <v>36</v>
      </c>
      <c r="D1252" t="s">
        <v>28</v>
      </c>
      <c r="E1252" t="s">
        <v>15</v>
      </c>
      <c r="F1252" t="s">
        <v>15</v>
      </c>
      <c r="G1252" s="1">
        <f>VALUE(5390.5619928444)</f>
        <v>5390.5619928444003</v>
      </c>
      <c r="H1252" s="1">
        <f>VALUE(5325.6659062468)</f>
        <v>5325.6659062467998</v>
      </c>
      <c r="I1252" s="1">
        <f>VALUE(3851)</f>
        <v>3851</v>
      </c>
      <c r="J1252" s="1">
        <f>VALUE(4463)</f>
        <v>4463</v>
      </c>
      <c r="K1252" s="1">
        <f>VALUE(5202)</f>
        <v>5202</v>
      </c>
      <c r="L1252" s="1">
        <f>VALUE(6146)</f>
        <v>6146</v>
      </c>
      <c r="M1252" s="1">
        <f>VALUE(7583)</f>
        <v>7583</v>
      </c>
      <c r="N1252" t="s">
        <v>16</v>
      </c>
    </row>
    <row r="1253" spans="1:14" x14ac:dyDescent="0.25">
      <c r="A1253" t="s">
        <v>14</v>
      </c>
      <c r="B1253" t="s">
        <v>39</v>
      </c>
      <c r="C1253" t="s">
        <v>36</v>
      </c>
      <c r="D1253" t="s">
        <v>28</v>
      </c>
      <c r="E1253" t="s">
        <v>15</v>
      </c>
      <c r="F1253" t="s">
        <v>17</v>
      </c>
      <c r="G1253" s="2">
        <f>VALUE(793.3632210397)</f>
        <v>793.36322103969997</v>
      </c>
      <c r="H1253" s="3">
        <f>VALUE(803.7634838285)</f>
        <v>803.76348382849994</v>
      </c>
      <c r="I1253" s="4">
        <f>VALUE(4235)</f>
        <v>4235</v>
      </c>
      <c r="J1253" s="1">
        <f>VALUE(5098)</f>
        <v>5098</v>
      </c>
      <c r="K1253" s="1">
        <f>VALUE(6391)</f>
        <v>6391</v>
      </c>
      <c r="L1253" s="1">
        <f>VALUE(8030)</f>
        <v>8030</v>
      </c>
      <c r="M1253" s="1">
        <f>VALUE(9975)</f>
        <v>9975</v>
      </c>
      <c r="N1253" t="s">
        <v>25</v>
      </c>
    </row>
    <row r="1254" spans="1:14" x14ac:dyDescent="0.25">
      <c r="A1254" t="s">
        <v>14</v>
      </c>
      <c r="B1254" t="s">
        <v>39</v>
      </c>
      <c r="C1254" t="s">
        <v>36</v>
      </c>
      <c r="D1254" t="s">
        <v>28</v>
      </c>
      <c r="E1254" t="s">
        <v>15</v>
      </c>
      <c r="F1254" t="s">
        <v>18</v>
      </c>
      <c r="G1254" s="2">
        <f>VALUE(856.9151325762)</f>
        <v>856.91513257619999</v>
      </c>
      <c r="H1254" s="3">
        <f>VALUE(841.4086666308)</f>
        <v>841.40866663079998</v>
      </c>
      <c r="I1254" s="1">
        <f>VALUE(3961)</f>
        <v>3961</v>
      </c>
      <c r="J1254" s="1">
        <f>VALUE(4558)</f>
        <v>4558</v>
      </c>
      <c r="K1254" s="1">
        <f>VALUE(5494)</f>
        <v>5494</v>
      </c>
      <c r="L1254" s="1">
        <f>VALUE(6822)</f>
        <v>6822</v>
      </c>
      <c r="M1254" s="1">
        <f>VALUE(8194)</f>
        <v>8194</v>
      </c>
      <c r="N1254" t="s">
        <v>25</v>
      </c>
    </row>
    <row r="1255" spans="1:14" x14ac:dyDescent="0.25">
      <c r="A1255" t="s">
        <v>14</v>
      </c>
      <c r="B1255" t="s">
        <v>39</v>
      </c>
      <c r="C1255" t="s">
        <v>36</v>
      </c>
      <c r="D1255" t="s">
        <v>28</v>
      </c>
      <c r="E1255" t="s">
        <v>15</v>
      </c>
      <c r="F1255" t="s">
        <v>19</v>
      </c>
      <c r="G1255" s="2">
        <f>VALUE(905.4968882057)</f>
        <v>905.49688820569997</v>
      </c>
      <c r="H1255" s="3">
        <f>VALUE(892.4147913525)</f>
        <v>892.41479135249995</v>
      </c>
      <c r="I1255" s="1">
        <f>VALUE(4137)</f>
        <v>4137</v>
      </c>
      <c r="J1255" s="1">
        <f>VALUE(4558)</f>
        <v>4558</v>
      </c>
      <c r="K1255" s="1">
        <f>VALUE(5219)</f>
        <v>5219</v>
      </c>
      <c r="L1255" s="1">
        <f>VALUE(5881)</f>
        <v>5881</v>
      </c>
      <c r="M1255" s="1">
        <f>VALUE(7048)</f>
        <v>7048</v>
      </c>
      <c r="N1255" t="s">
        <v>25</v>
      </c>
    </row>
    <row r="1256" spans="1:14" x14ac:dyDescent="0.25">
      <c r="A1256" t="s">
        <v>14</v>
      </c>
      <c r="B1256" t="s">
        <v>39</v>
      </c>
      <c r="C1256" t="s">
        <v>36</v>
      </c>
      <c r="D1256" t="s">
        <v>28</v>
      </c>
      <c r="E1256" t="s">
        <v>15</v>
      </c>
      <c r="F1256" t="s">
        <v>20</v>
      </c>
      <c r="G1256" s="1">
        <f>VALUE(2830.5568514886)</f>
        <v>2830.5568514885999</v>
      </c>
      <c r="H1256" s="1">
        <f>VALUE(2787.1028337733)</f>
        <v>2787.1028337733001</v>
      </c>
      <c r="I1256" s="1">
        <f>VALUE(3702)</f>
        <v>3702</v>
      </c>
      <c r="J1256" s="1">
        <f>VALUE(4285)</f>
        <v>4285</v>
      </c>
      <c r="K1256" s="1">
        <f>VALUE(4997)</f>
        <v>4997</v>
      </c>
      <c r="L1256" s="1">
        <f>VALUE(5594)</f>
        <v>5594</v>
      </c>
      <c r="M1256" s="1">
        <f>VALUE(6511)</f>
        <v>6511</v>
      </c>
      <c r="N1256" t="s">
        <v>16</v>
      </c>
    </row>
    <row r="1257" spans="1:14" x14ac:dyDescent="0.25">
      <c r="A1257" t="s">
        <v>14</v>
      </c>
      <c r="B1257" t="s">
        <v>39</v>
      </c>
      <c r="C1257" t="s">
        <v>36</v>
      </c>
      <c r="D1257" t="s">
        <v>28</v>
      </c>
      <c r="E1257" t="s">
        <v>21</v>
      </c>
      <c r="F1257" t="s">
        <v>15</v>
      </c>
      <c r="G1257" s="1">
        <f>VALUE(1666.8204810716)</f>
        <v>1666.8204810715999</v>
      </c>
      <c r="H1257" s="1">
        <f>VALUE(1591.4748022207)</f>
        <v>1591.4748022207</v>
      </c>
      <c r="I1257" s="1">
        <f>VALUE(4312)</f>
        <v>4312</v>
      </c>
      <c r="J1257" s="1">
        <f>VALUE(5081)</f>
        <v>5081</v>
      </c>
      <c r="K1257" s="1">
        <f>VALUE(6007)</f>
        <v>6007</v>
      </c>
      <c r="L1257" s="1">
        <f>VALUE(7068)</f>
        <v>7068</v>
      </c>
      <c r="M1257" s="1">
        <f>VALUE(8456)</f>
        <v>8456</v>
      </c>
      <c r="N1257" t="s">
        <v>16</v>
      </c>
    </row>
    <row r="1258" spans="1:14" x14ac:dyDescent="0.25">
      <c r="A1258" t="s">
        <v>14</v>
      </c>
      <c r="B1258" t="s">
        <v>39</v>
      </c>
      <c r="C1258" t="s">
        <v>36</v>
      </c>
      <c r="D1258" t="s">
        <v>28</v>
      </c>
      <c r="E1258" t="s">
        <v>21</v>
      </c>
      <c r="F1258" t="s">
        <v>17</v>
      </c>
      <c r="G1258" s="2">
        <f>VALUE(512.5715072037)</f>
        <v>512.57150720369998</v>
      </c>
      <c r="H1258" s="3">
        <f>VALUE(513.3671952706)</f>
        <v>513.36719527059995</v>
      </c>
      <c r="I1258" s="4">
        <f>VALUE(4642)</f>
        <v>4642</v>
      </c>
      <c r="J1258" s="1">
        <f>VALUE(5571)</f>
        <v>5571</v>
      </c>
      <c r="K1258" s="1">
        <f>VALUE(6620)</f>
        <v>6620</v>
      </c>
      <c r="L1258" s="1">
        <f>VALUE(8157)</f>
        <v>8157</v>
      </c>
      <c r="M1258" s="1">
        <f>VALUE(9920)</f>
        <v>9920</v>
      </c>
      <c r="N1258" t="s">
        <v>25</v>
      </c>
    </row>
    <row r="1259" spans="1:14" x14ac:dyDescent="0.25">
      <c r="A1259" t="s">
        <v>14</v>
      </c>
      <c r="B1259" t="s">
        <v>39</v>
      </c>
      <c r="C1259" t="s">
        <v>36</v>
      </c>
      <c r="D1259" t="s">
        <v>28</v>
      </c>
      <c r="E1259" t="s">
        <v>21</v>
      </c>
      <c r="F1259" t="s">
        <v>18</v>
      </c>
      <c r="G1259" s="2">
        <f>VALUE(332.90708644)</f>
        <v>332.90708644</v>
      </c>
      <c r="H1259" s="3">
        <f>VALUE(309.6553322799)</f>
        <v>309.65533227989999</v>
      </c>
      <c r="I1259" s="1">
        <f>VALUE(4312)</f>
        <v>4312</v>
      </c>
      <c r="J1259" s="1">
        <f>VALUE(5051)</f>
        <v>5051</v>
      </c>
      <c r="K1259" s="1">
        <f>VALUE(6350)</f>
        <v>6350</v>
      </c>
      <c r="L1259" s="1">
        <f>VALUE(7222)</f>
        <v>7222</v>
      </c>
      <c r="M1259" s="8">
        <f>VALUE(8048)</f>
        <v>8048</v>
      </c>
      <c r="N1259" t="s">
        <v>25</v>
      </c>
    </row>
    <row r="1260" spans="1:14" x14ac:dyDescent="0.25">
      <c r="A1260" t="s">
        <v>14</v>
      </c>
      <c r="B1260" t="s">
        <v>39</v>
      </c>
      <c r="C1260" t="s">
        <v>36</v>
      </c>
      <c r="D1260" t="s">
        <v>28</v>
      </c>
      <c r="E1260" t="s">
        <v>21</v>
      </c>
      <c r="F1260" t="s">
        <v>19</v>
      </c>
      <c r="G1260" s="2">
        <f>VALUE(282.3136877008)</f>
        <v>282.31368770080002</v>
      </c>
      <c r="H1260" s="3">
        <f>VALUE(257.8608680162)</f>
        <v>257.86086801620002</v>
      </c>
      <c r="I1260" s="4">
        <f>VALUE(4394)</f>
        <v>4394</v>
      </c>
      <c r="J1260" s="1">
        <f>VALUE(5016)</f>
        <v>5016</v>
      </c>
      <c r="K1260" s="1">
        <f>VALUE(5773)</f>
        <v>5773</v>
      </c>
      <c r="L1260" s="1">
        <f>VALUE(7023)</f>
        <v>7023</v>
      </c>
      <c r="M1260" s="1">
        <f>VALUE(7859)</f>
        <v>7859</v>
      </c>
      <c r="N1260" t="s">
        <v>25</v>
      </c>
    </row>
    <row r="1261" spans="1:14" x14ac:dyDescent="0.25">
      <c r="A1261" t="s">
        <v>14</v>
      </c>
      <c r="B1261" t="s">
        <v>39</v>
      </c>
      <c r="C1261" t="s">
        <v>36</v>
      </c>
      <c r="D1261" t="s">
        <v>28</v>
      </c>
      <c r="E1261" t="s">
        <v>21</v>
      </c>
      <c r="F1261" t="s">
        <v>20</v>
      </c>
      <c r="G1261" s="2">
        <f>VALUE(539.0281997271)</f>
        <v>539.02819972709995</v>
      </c>
      <c r="H1261" s="3">
        <f>VALUE(510.591406654)</f>
        <v>510.59140665400002</v>
      </c>
      <c r="I1261" s="1">
        <f>VALUE(4038)</f>
        <v>4038</v>
      </c>
      <c r="J1261" s="1">
        <f>VALUE(4865)</f>
        <v>4865</v>
      </c>
      <c r="K1261" s="1">
        <f>VALUE(5689)</f>
        <v>5689</v>
      </c>
      <c r="L1261" s="1">
        <f>VALUE(6397)</f>
        <v>6397</v>
      </c>
      <c r="M1261" s="1">
        <f>VALUE(6921)</f>
        <v>6921</v>
      </c>
      <c r="N1261" t="s">
        <v>25</v>
      </c>
    </row>
    <row r="1262" spans="1:14" x14ac:dyDescent="0.25">
      <c r="A1262" t="s">
        <v>14</v>
      </c>
      <c r="B1262" t="s">
        <v>39</v>
      </c>
      <c r="C1262" t="s">
        <v>36</v>
      </c>
      <c r="D1262" t="s">
        <v>28</v>
      </c>
      <c r="E1262" t="s">
        <v>22</v>
      </c>
      <c r="F1262" t="s">
        <v>15</v>
      </c>
      <c r="G1262" s="1">
        <f>VALUE(3014.6159243695)</f>
        <v>3014.6159243695001</v>
      </c>
      <c r="H1262" s="1">
        <f>VALUE(3040.3103637914)</f>
        <v>3040.3103637914001</v>
      </c>
      <c r="I1262" s="1">
        <f>VALUE(3861)</f>
        <v>3861</v>
      </c>
      <c r="J1262" s="1">
        <f>VALUE(4378)</f>
        <v>4378</v>
      </c>
      <c r="K1262" s="1">
        <f>VALUE(5027)</f>
        <v>5027</v>
      </c>
      <c r="L1262" s="1">
        <f>VALUE(5592)</f>
        <v>5592</v>
      </c>
      <c r="M1262" s="1">
        <f>VALUE(6508)</f>
        <v>6508</v>
      </c>
      <c r="N1262" t="s">
        <v>16</v>
      </c>
    </row>
    <row r="1263" spans="1:14" x14ac:dyDescent="0.25">
      <c r="A1263" t="s">
        <v>14</v>
      </c>
      <c r="B1263" t="s">
        <v>39</v>
      </c>
      <c r="C1263" t="s">
        <v>36</v>
      </c>
      <c r="D1263" t="s">
        <v>28</v>
      </c>
      <c r="E1263" t="s">
        <v>22</v>
      </c>
      <c r="F1263" t="s">
        <v>17</v>
      </c>
      <c r="G1263" s="2">
        <f>VALUE(257.4936538056)</f>
        <v>257.49365380559999</v>
      </c>
      <c r="H1263" s="3">
        <f>VALUE(265.8496572951)</f>
        <v>265.84965729509997</v>
      </c>
      <c r="I1263" s="4">
        <f>VALUE(3727)</f>
        <v>3727</v>
      </c>
      <c r="J1263" s="1">
        <f>VALUE(4628)</f>
        <v>4628</v>
      </c>
      <c r="K1263" s="6">
        <f>VALUE(5689)</f>
        <v>5689</v>
      </c>
      <c r="L1263" s="7">
        <f>VALUE(7501)</f>
        <v>7501</v>
      </c>
      <c r="M1263" s="8">
        <f>VALUE(8829)</f>
        <v>8829</v>
      </c>
      <c r="N1263" t="s">
        <v>25</v>
      </c>
    </row>
    <row r="1264" spans="1:14" x14ac:dyDescent="0.25">
      <c r="A1264" t="s">
        <v>14</v>
      </c>
      <c r="B1264" t="s">
        <v>39</v>
      </c>
      <c r="C1264" t="s">
        <v>36</v>
      </c>
      <c r="D1264" t="s">
        <v>28</v>
      </c>
      <c r="E1264" t="s">
        <v>22</v>
      </c>
      <c r="F1264" t="s">
        <v>18</v>
      </c>
      <c r="G1264" s="2">
        <f>VALUE(406.6888489381)</f>
        <v>406.68884893810002</v>
      </c>
      <c r="H1264" s="3">
        <f>VALUE(410.2533389398)</f>
        <v>410.25333893980002</v>
      </c>
      <c r="I1264" s="1">
        <f>VALUE(3976)</f>
        <v>3976</v>
      </c>
      <c r="J1264" s="1">
        <f>VALUE(4526)</f>
        <v>4526</v>
      </c>
      <c r="K1264" s="1">
        <f>VALUE(5196)</f>
        <v>5196</v>
      </c>
      <c r="L1264" s="1">
        <f>VALUE(5958)</f>
        <v>5958</v>
      </c>
      <c r="M1264" s="1">
        <f>VALUE(6508)</f>
        <v>6508</v>
      </c>
      <c r="N1264" t="s">
        <v>25</v>
      </c>
    </row>
    <row r="1265" spans="1:14" x14ac:dyDescent="0.25">
      <c r="A1265" t="s">
        <v>14</v>
      </c>
      <c r="B1265" t="s">
        <v>39</v>
      </c>
      <c r="C1265" t="s">
        <v>36</v>
      </c>
      <c r="D1265" t="s">
        <v>28</v>
      </c>
      <c r="E1265" t="s">
        <v>22</v>
      </c>
      <c r="F1265" t="s">
        <v>19</v>
      </c>
      <c r="G1265" s="2">
        <f>VALUE(558.9159480744)</f>
        <v>558.91594807440003</v>
      </c>
      <c r="H1265" s="3">
        <f>VALUE(568.9277795376)</f>
        <v>568.92777953760003</v>
      </c>
      <c r="I1265" s="1">
        <f>VALUE(4024)</f>
        <v>4024</v>
      </c>
      <c r="J1265" s="1">
        <f>VALUE(4333)</f>
        <v>4333</v>
      </c>
      <c r="K1265" s="1">
        <f>VALUE(5096)</f>
        <v>5096</v>
      </c>
      <c r="L1265" s="1">
        <f>VALUE(5633)</f>
        <v>5633</v>
      </c>
      <c r="M1265" s="1">
        <f>VALUE(6190)</f>
        <v>6190</v>
      </c>
      <c r="N1265" t="s">
        <v>25</v>
      </c>
    </row>
    <row r="1266" spans="1:14" x14ac:dyDescent="0.25">
      <c r="A1266" t="s">
        <v>14</v>
      </c>
      <c r="B1266" t="s">
        <v>39</v>
      </c>
      <c r="C1266" t="s">
        <v>36</v>
      </c>
      <c r="D1266" t="s">
        <v>28</v>
      </c>
      <c r="E1266" t="s">
        <v>22</v>
      </c>
      <c r="F1266" t="s">
        <v>20</v>
      </c>
      <c r="G1266" s="1">
        <f>VALUE(1791.5174735514)</f>
        <v>1791.5174735513999</v>
      </c>
      <c r="H1266" s="1">
        <f>VALUE(1795.2795880189)</f>
        <v>1795.2795880189001</v>
      </c>
      <c r="I1266" s="1">
        <f>VALUE(3810)</f>
        <v>3810</v>
      </c>
      <c r="J1266" s="1">
        <f>VALUE(4292)</f>
        <v>4292</v>
      </c>
      <c r="K1266" s="1">
        <f>VALUE(4906)</f>
        <v>4906</v>
      </c>
      <c r="L1266" s="1">
        <f>VALUE(5417)</f>
        <v>5417</v>
      </c>
      <c r="M1266" s="1">
        <f>VALUE(6130)</f>
        <v>6130</v>
      </c>
      <c r="N1266" t="s">
        <v>16</v>
      </c>
    </row>
    <row r="1267" spans="1:14" x14ac:dyDescent="0.25">
      <c r="A1267" t="s">
        <v>14</v>
      </c>
      <c r="B1267" t="s">
        <v>39</v>
      </c>
      <c r="C1267" t="s">
        <v>36</v>
      </c>
      <c r="D1267" t="s">
        <v>28</v>
      </c>
      <c r="E1267" t="s">
        <v>23</v>
      </c>
      <c r="F1267" t="s">
        <v>15</v>
      </c>
      <c r="G1267" s="2">
        <f>VALUE(590.7665995031)</f>
        <v>590.7665995031</v>
      </c>
      <c r="H1267" s="3">
        <f>VALUE(574.3437382253)</f>
        <v>574.34373822529994</v>
      </c>
      <c r="I1267" s="4">
        <f>VALUE(3333)</f>
        <v>3333</v>
      </c>
      <c r="J1267" s="1">
        <f>VALUE(3838)</f>
        <v>3838</v>
      </c>
      <c r="K1267" s="1">
        <f>VALUE(4573)</f>
        <v>4573</v>
      </c>
      <c r="L1267" s="1">
        <f>VALUE(5377)</f>
        <v>5377</v>
      </c>
      <c r="M1267" s="8">
        <f>VALUE(6477)</f>
        <v>6477</v>
      </c>
      <c r="N1267" t="s">
        <v>25</v>
      </c>
    </row>
    <row r="1268" spans="1:14" x14ac:dyDescent="0.25">
      <c r="A1268" t="s">
        <v>14</v>
      </c>
      <c r="B1268" t="s">
        <v>39</v>
      </c>
      <c r="C1268" t="s">
        <v>36</v>
      </c>
      <c r="D1268" t="s">
        <v>28</v>
      </c>
      <c r="E1268" t="s">
        <v>23</v>
      </c>
      <c r="F1268" t="s">
        <v>17</v>
      </c>
      <c r="G1268" s="1" t="str">
        <f t="shared" ref="G1268:M1270" si="255">"X"</f>
        <v>X</v>
      </c>
      <c r="H1268" s="1" t="str">
        <f t="shared" si="255"/>
        <v>X</v>
      </c>
      <c r="I1268" s="1" t="str">
        <f t="shared" si="255"/>
        <v>X</v>
      </c>
      <c r="J1268" s="1" t="str">
        <f t="shared" si="255"/>
        <v>X</v>
      </c>
      <c r="K1268" s="1" t="str">
        <f t="shared" si="255"/>
        <v>X</v>
      </c>
      <c r="L1268" s="1" t="str">
        <f t="shared" si="255"/>
        <v>X</v>
      </c>
      <c r="M1268" s="1" t="str">
        <f t="shared" si="255"/>
        <v>X</v>
      </c>
      <c r="N1268" t="s">
        <v>27</v>
      </c>
    </row>
    <row r="1269" spans="1:14" x14ac:dyDescent="0.25">
      <c r="A1269" t="s">
        <v>14</v>
      </c>
      <c r="B1269" t="s">
        <v>39</v>
      </c>
      <c r="C1269" t="s">
        <v>36</v>
      </c>
      <c r="D1269" t="s">
        <v>28</v>
      </c>
      <c r="E1269" t="s">
        <v>23</v>
      </c>
      <c r="F1269" t="s">
        <v>18</v>
      </c>
      <c r="G1269" s="1" t="str">
        <f t="shared" si="255"/>
        <v>X</v>
      </c>
      <c r="H1269" s="1" t="str">
        <f t="shared" si="255"/>
        <v>X</v>
      </c>
      <c r="I1269" s="1" t="str">
        <f t="shared" si="255"/>
        <v>X</v>
      </c>
      <c r="J1269" s="1" t="str">
        <f t="shared" si="255"/>
        <v>X</v>
      </c>
      <c r="K1269" s="1" t="str">
        <f t="shared" si="255"/>
        <v>X</v>
      </c>
      <c r="L1269" s="1" t="str">
        <f t="shared" si="255"/>
        <v>X</v>
      </c>
      <c r="M1269" s="1" t="str">
        <f t="shared" si="255"/>
        <v>X</v>
      </c>
      <c r="N1269" t="s">
        <v>27</v>
      </c>
    </row>
    <row r="1270" spans="1:14" x14ac:dyDescent="0.25">
      <c r="A1270" t="s">
        <v>14</v>
      </c>
      <c r="B1270" t="s">
        <v>39</v>
      </c>
      <c r="C1270" t="s">
        <v>36</v>
      </c>
      <c r="D1270" t="s">
        <v>28</v>
      </c>
      <c r="E1270" t="s">
        <v>23</v>
      </c>
      <c r="F1270" t="s">
        <v>19</v>
      </c>
      <c r="G1270" s="1" t="str">
        <f t="shared" si="255"/>
        <v>X</v>
      </c>
      <c r="H1270" s="1" t="str">
        <f t="shared" si="255"/>
        <v>X</v>
      </c>
      <c r="I1270" s="1" t="str">
        <f t="shared" si="255"/>
        <v>X</v>
      </c>
      <c r="J1270" s="1" t="str">
        <f t="shared" si="255"/>
        <v>X</v>
      </c>
      <c r="K1270" s="1" t="str">
        <f t="shared" si="255"/>
        <v>X</v>
      </c>
      <c r="L1270" s="1" t="str">
        <f t="shared" si="255"/>
        <v>X</v>
      </c>
      <c r="M1270" s="1" t="str">
        <f t="shared" si="255"/>
        <v>X</v>
      </c>
      <c r="N1270" t="s">
        <v>27</v>
      </c>
    </row>
    <row r="1271" spans="1:14" x14ac:dyDescent="0.25">
      <c r="A1271" t="s">
        <v>14</v>
      </c>
      <c r="B1271" t="s">
        <v>39</v>
      </c>
      <c r="C1271" t="s">
        <v>36</v>
      </c>
      <c r="D1271" t="s">
        <v>28</v>
      </c>
      <c r="E1271" t="s">
        <v>23</v>
      </c>
      <c r="F1271" t="s">
        <v>20</v>
      </c>
      <c r="G1271" s="2">
        <f>VALUE(447.7065693516)</f>
        <v>447.70656935160002</v>
      </c>
      <c r="H1271" s="3">
        <f>VALUE(426.8100434522)</f>
        <v>426.81004345219998</v>
      </c>
      <c r="I1271" s="4">
        <f>VALUE(3048)</f>
        <v>3048</v>
      </c>
      <c r="J1271" s="5">
        <f>VALUE(3764)</f>
        <v>3764</v>
      </c>
      <c r="K1271" s="1">
        <f>VALUE(4470)</f>
        <v>4470</v>
      </c>
      <c r="L1271" s="1">
        <f>VALUE(5132)</f>
        <v>5132</v>
      </c>
      <c r="M1271" s="8">
        <f>VALUE(5845)</f>
        <v>5845</v>
      </c>
      <c r="N1271" t="s">
        <v>25</v>
      </c>
    </row>
    <row r="1272" spans="1:14" x14ac:dyDescent="0.25">
      <c r="A1272" t="s">
        <v>14</v>
      </c>
      <c r="B1272" t="s">
        <v>39</v>
      </c>
      <c r="C1272" t="s">
        <v>36</v>
      </c>
      <c r="D1272" t="s">
        <v>28</v>
      </c>
      <c r="E1272" t="s">
        <v>26</v>
      </c>
      <c r="F1272" t="s">
        <v>15</v>
      </c>
      <c r="G1272" s="2">
        <f>VALUE(118.3589879002)</f>
        <v>118.35898790020001</v>
      </c>
      <c r="H1272" s="3">
        <f>VALUE(119.5370020094)</f>
        <v>119.5370020094</v>
      </c>
      <c r="I1272" s="1">
        <f>VALUE(5200)</f>
        <v>5200</v>
      </c>
      <c r="J1272" s="1">
        <f>VALUE(5833)</f>
        <v>5833</v>
      </c>
      <c r="K1272" s="1">
        <f>VALUE(7619)</f>
        <v>7619</v>
      </c>
      <c r="L1272" s="1">
        <f>VALUE(10668)</f>
        <v>10668</v>
      </c>
      <c r="M1272" s="1">
        <f>VALUE(12222)</f>
        <v>12222</v>
      </c>
      <c r="N1272" t="s">
        <v>25</v>
      </c>
    </row>
    <row r="1273" spans="1:14" x14ac:dyDescent="0.25">
      <c r="A1273" t="s">
        <v>14</v>
      </c>
      <c r="B1273" t="s">
        <v>39</v>
      </c>
      <c r="C1273" t="s">
        <v>36</v>
      </c>
      <c r="D1273" t="s">
        <v>28</v>
      </c>
      <c r="E1273" t="s">
        <v>26</v>
      </c>
      <c r="F1273" t="s">
        <v>17</v>
      </c>
      <c r="G1273" s="1" t="str">
        <f t="shared" ref="G1273:M1274" si="256">"X"</f>
        <v>X</v>
      </c>
      <c r="H1273" s="1" t="str">
        <f t="shared" si="256"/>
        <v>X</v>
      </c>
      <c r="I1273" s="1" t="str">
        <f t="shared" si="256"/>
        <v>X</v>
      </c>
      <c r="J1273" s="1" t="str">
        <f t="shared" si="256"/>
        <v>X</v>
      </c>
      <c r="K1273" s="1" t="str">
        <f t="shared" si="256"/>
        <v>X</v>
      </c>
      <c r="L1273" s="1" t="str">
        <f t="shared" si="256"/>
        <v>X</v>
      </c>
      <c r="M1273" s="1" t="str">
        <f t="shared" si="256"/>
        <v>X</v>
      </c>
      <c r="N1273" t="s">
        <v>27</v>
      </c>
    </row>
    <row r="1274" spans="1:14" x14ac:dyDescent="0.25">
      <c r="A1274" t="s">
        <v>14</v>
      </c>
      <c r="B1274" t="s">
        <v>39</v>
      </c>
      <c r="C1274" t="s">
        <v>36</v>
      </c>
      <c r="D1274" t="s">
        <v>28</v>
      </c>
      <c r="E1274" t="s">
        <v>26</v>
      </c>
      <c r="F1274" t="s">
        <v>18</v>
      </c>
      <c r="G1274" s="1" t="str">
        <f t="shared" si="256"/>
        <v>X</v>
      </c>
      <c r="H1274" s="1" t="str">
        <f t="shared" si="256"/>
        <v>X</v>
      </c>
      <c r="I1274" s="1" t="str">
        <f t="shared" si="256"/>
        <v>X</v>
      </c>
      <c r="J1274" s="1" t="str">
        <f t="shared" si="256"/>
        <v>X</v>
      </c>
      <c r="K1274" s="1" t="str">
        <f t="shared" si="256"/>
        <v>X</v>
      </c>
      <c r="L1274" s="1" t="str">
        <f t="shared" si="256"/>
        <v>X</v>
      </c>
      <c r="M1274" s="1" t="str">
        <f t="shared" si="256"/>
        <v>X</v>
      </c>
      <c r="N1274" t="s">
        <v>27</v>
      </c>
    </row>
    <row r="1275" spans="1:14" x14ac:dyDescent="0.25">
      <c r="A1275" t="s">
        <v>14</v>
      </c>
      <c r="B1275" t="s">
        <v>39</v>
      </c>
      <c r="C1275" t="s">
        <v>36</v>
      </c>
      <c r="D1275" t="s">
        <v>28</v>
      </c>
      <c r="E1275" t="s">
        <v>26</v>
      </c>
      <c r="F1275" t="s">
        <v>19</v>
      </c>
      <c r="G1275" s="1" t="str">
        <f t="shared" ref="G1275:M1275" si="257">"..."</f>
        <v>...</v>
      </c>
      <c r="H1275" s="1" t="str">
        <f t="shared" si="257"/>
        <v>...</v>
      </c>
      <c r="I1275" s="1" t="str">
        <f t="shared" si="257"/>
        <v>...</v>
      </c>
      <c r="J1275" s="1" t="str">
        <f t="shared" si="257"/>
        <v>...</v>
      </c>
      <c r="K1275" s="1" t="str">
        <f t="shared" si="257"/>
        <v>...</v>
      </c>
      <c r="L1275" s="1" t="str">
        <f t="shared" si="257"/>
        <v>...</v>
      </c>
      <c r="M1275" s="1" t="str">
        <f t="shared" si="257"/>
        <v>...</v>
      </c>
      <c r="N1275" t="s">
        <v>30</v>
      </c>
    </row>
    <row r="1276" spans="1:14" x14ac:dyDescent="0.25">
      <c r="A1276" t="s">
        <v>14</v>
      </c>
      <c r="B1276" t="s">
        <v>39</v>
      </c>
      <c r="C1276" t="s">
        <v>36</v>
      </c>
      <c r="D1276" t="s">
        <v>28</v>
      </c>
      <c r="E1276" t="s">
        <v>26</v>
      </c>
      <c r="F1276" t="s">
        <v>20</v>
      </c>
      <c r="G1276" s="1" t="str">
        <f t="shared" ref="G1276:M1276" si="258">"X"</f>
        <v>X</v>
      </c>
      <c r="H1276" s="1" t="str">
        <f t="shared" si="258"/>
        <v>X</v>
      </c>
      <c r="I1276" s="1" t="str">
        <f t="shared" si="258"/>
        <v>X</v>
      </c>
      <c r="J1276" s="1" t="str">
        <f t="shared" si="258"/>
        <v>X</v>
      </c>
      <c r="K1276" s="1" t="str">
        <f t="shared" si="258"/>
        <v>X</v>
      </c>
      <c r="L1276" s="1" t="str">
        <f t="shared" si="258"/>
        <v>X</v>
      </c>
      <c r="M1276" s="1" t="str">
        <f t="shared" si="258"/>
        <v>X</v>
      </c>
      <c r="N1276" t="s">
        <v>27</v>
      </c>
    </row>
    <row r="1277" spans="1:14" x14ac:dyDescent="0.25">
      <c r="A1277" t="s">
        <v>14</v>
      </c>
      <c r="B1277" t="s">
        <v>39</v>
      </c>
      <c r="C1277" t="s">
        <v>36</v>
      </c>
      <c r="D1277" t="s">
        <v>29</v>
      </c>
      <c r="E1277" t="s">
        <v>15</v>
      </c>
      <c r="F1277" t="s">
        <v>15</v>
      </c>
      <c r="G1277" s="1">
        <f>VALUE(1825.7434887222)</f>
        <v>1825.7434887222</v>
      </c>
      <c r="H1277" s="1">
        <f>VALUE(1817.9320023658)</f>
        <v>1817.9320023657999</v>
      </c>
      <c r="I1277" s="1">
        <f>VALUE(3772)</f>
        <v>3772</v>
      </c>
      <c r="J1277" s="1">
        <f>VALUE(4328)</f>
        <v>4328</v>
      </c>
      <c r="K1277" s="1">
        <f>VALUE(4944)</f>
        <v>4944</v>
      </c>
      <c r="L1277" s="1">
        <f>VALUE(5644)</f>
        <v>5644</v>
      </c>
      <c r="M1277" s="1">
        <f>VALUE(6816)</f>
        <v>6816</v>
      </c>
      <c r="N1277" t="s">
        <v>16</v>
      </c>
    </row>
    <row r="1278" spans="1:14" x14ac:dyDescent="0.25">
      <c r="A1278" t="s">
        <v>14</v>
      </c>
      <c r="B1278" t="s">
        <v>39</v>
      </c>
      <c r="C1278" t="s">
        <v>36</v>
      </c>
      <c r="D1278" t="s">
        <v>29</v>
      </c>
      <c r="E1278" t="s">
        <v>15</v>
      </c>
      <c r="F1278" t="s">
        <v>17</v>
      </c>
      <c r="G1278" s="1" t="str">
        <f t="shared" ref="G1278:M1278" si="259">"X"</f>
        <v>X</v>
      </c>
      <c r="H1278" s="1" t="str">
        <f t="shared" si="259"/>
        <v>X</v>
      </c>
      <c r="I1278" s="1" t="str">
        <f t="shared" si="259"/>
        <v>X</v>
      </c>
      <c r="J1278" s="1" t="str">
        <f t="shared" si="259"/>
        <v>X</v>
      </c>
      <c r="K1278" s="1" t="str">
        <f t="shared" si="259"/>
        <v>X</v>
      </c>
      <c r="L1278" s="1" t="str">
        <f t="shared" si="259"/>
        <v>X</v>
      </c>
      <c r="M1278" s="1" t="str">
        <f t="shared" si="259"/>
        <v>X</v>
      </c>
      <c r="N1278" t="s">
        <v>27</v>
      </c>
    </row>
    <row r="1279" spans="1:14" x14ac:dyDescent="0.25">
      <c r="A1279" t="s">
        <v>14</v>
      </c>
      <c r="B1279" t="s">
        <v>39</v>
      </c>
      <c r="C1279" t="s">
        <v>36</v>
      </c>
      <c r="D1279" t="s">
        <v>29</v>
      </c>
      <c r="E1279" t="s">
        <v>15</v>
      </c>
      <c r="F1279" t="s">
        <v>18</v>
      </c>
      <c r="G1279" s="2">
        <f>VALUE(223.6564186172)</f>
        <v>223.65641861719999</v>
      </c>
      <c r="H1279" s="3">
        <f>VALUE(228.0398431925)</f>
        <v>228.0398431925</v>
      </c>
      <c r="I1279" s="4">
        <f>VALUE(4008)</f>
        <v>4008</v>
      </c>
      <c r="J1279" s="5">
        <f>VALUE(5200)</f>
        <v>5200</v>
      </c>
      <c r="K1279" s="1">
        <f>VALUE(5733)</f>
        <v>5733</v>
      </c>
      <c r="L1279" s="7">
        <f>VALUE(6772)</f>
        <v>6772</v>
      </c>
      <c r="M1279" s="8">
        <f>VALUE(8320)</f>
        <v>8320</v>
      </c>
      <c r="N1279" t="s">
        <v>25</v>
      </c>
    </row>
    <row r="1280" spans="1:14" x14ac:dyDescent="0.25">
      <c r="A1280" t="s">
        <v>14</v>
      </c>
      <c r="B1280" t="s">
        <v>39</v>
      </c>
      <c r="C1280" t="s">
        <v>36</v>
      </c>
      <c r="D1280" t="s">
        <v>29</v>
      </c>
      <c r="E1280" t="s">
        <v>15</v>
      </c>
      <c r="F1280" t="s">
        <v>19</v>
      </c>
      <c r="G1280" s="2">
        <f>VALUE(279.7967647761)</f>
        <v>279.79676477610002</v>
      </c>
      <c r="H1280" s="3">
        <f>VALUE(284.5365303687)</f>
        <v>284.53653036870003</v>
      </c>
      <c r="I1280" s="1">
        <f>VALUE(3985)</f>
        <v>3985</v>
      </c>
      <c r="J1280" s="1">
        <f>VALUE(4549)</f>
        <v>4549</v>
      </c>
      <c r="K1280" s="1">
        <f>VALUE(5168)</f>
        <v>5168</v>
      </c>
      <c r="L1280" s="7">
        <f>VALUE(5670)</f>
        <v>5670</v>
      </c>
      <c r="M1280" s="1">
        <f>VALUE(7127)</f>
        <v>7127</v>
      </c>
      <c r="N1280" t="s">
        <v>25</v>
      </c>
    </row>
    <row r="1281" spans="1:14" x14ac:dyDescent="0.25">
      <c r="A1281" t="s">
        <v>14</v>
      </c>
      <c r="B1281" t="s">
        <v>39</v>
      </c>
      <c r="C1281" t="s">
        <v>36</v>
      </c>
      <c r="D1281" t="s">
        <v>29</v>
      </c>
      <c r="E1281" t="s">
        <v>15</v>
      </c>
      <c r="F1281" t="s">
        <v>20</v>
      </c>
      <c r="G1281" s="2">
        <f>VALUE(1206.8883298801)</f>
        <v>1206.8883298800999</v>
      </c>
      <c r="H1281" s="3">
        <f>VALUE(1187.9222547377)</f>
        <v>1187.9222547377001</v>
      </c>
      <c r="I1281" s="1">
        <f>VALUE(3557)</f>
        <v>3557</v>
      </c>
      <c r="J1281" s="1">
        <f>VALUE(4129)</f>
        <v>4129</v>
      </c>
      <c r="K1281" s="1">
        <f>VALUE(4668)</f>
        <v>4668</v>
      </c>
      <c r="L1281" s="1">
        <f>VALUE(5339)</f>
        <v>5339</v>
      </c>
      <c r="M1281" s="1">
        <f>VALUE(5905)</f>
        <v>5905</v>
      </c>
      <c r="N1281" t="s">
        <v>25</v>
      </c>
    </row>
    <row r="1282" spans="1:14" x14ac:dyDescent="0.25">
      <c r="A1282" t="s">
        <v>14</v>
      </c>
      <c r="B1282" t="s">
        <v>39</v>
      </c>
      <c r="C1282" t="s">
        <v>36</v>
      </c>
      <c r="D1282" t="s">
        <v>29</v>
      </c>
      <c r="E1282" t="s">
        <v>21</v>
      </c>
      <c r="F1282" t="s">
        <v>15</v>
      </c>
      <c r="G1282" s="2">
        <f>VALUE(272.2662189169)</f>
        <v>272.26621891690002</v>
      </c>
      <c r="H1282" s="3">
        <f>VALUE(274.0894835332)</f>
        <v>274.0894835332</v>
      </c>
      <c r="I1282" s="1">
        <f>VALUE(4820)</f>
        <v>4820</v>
      </c>
      <c r="J1282" s="1">
        <f>VALUE(5321)</f>
        <v>5321</v>
      </c>
      <c r="K1282" s="1">
        <f>VALUE(6283)</f>
        <v>6283</v>
      </c>
      <c r="L1282" s="7">
        <f>VALUE(7809)</f>
        <v>7809</v>
      </c>
      <c r="M1282" s="8">
        <f>VALUE(9577)</f>
        <v>9577</v>
      </c>
      <c r="N1282" t="s">
        <v>25</v>
      </c>
    </row>
    <row r="1283" spans="1:14" x14ac:dyDescent="0.25">
      <c r="A1283" t="s">
        <v>14</v>
      </c>
      <c r="B1283" t="s">
        <v>39</v>
      </c>
      <c r="C1283" t="s">
        <v>36</v>
      </c>
      <c r="D1283" t="s">
        <v>29</v>
      </c>
      <c r="E1283" t="s">
        <v>21</v>
      </c>
      <c r="F1283" t="s">
        <v>17</v>
      </c>
      <c r="G1283" s="1" t="str">
        <f t="shared" ref="G1283:M1286" si="260">"X"</f>
        <v>X</v>
      </c>
      <c r="H1283" s="1" t="str">
        <f t="shared" si="260"/>
        <v>X</v>
      </c>
      <c r="I1283" s="1" t="str">
        <f t="shared" si="260"/>
        <v>X</v>
      </c>
      <c r="J1283" s="1" t="str">
        <f t="shared" si="260"/>
        <v>X</v>
      </c>
      <c r="K1283" s="1" t="str">
        <f t="shared" si="260"/>
        <v>X</v>
      </c>
      <c r="L1283" s="1" t="str">
        <f t="shared" si="260"/>
        <v>X</v>
      </c>
      <c r="M1283" s="1" t="str">
        <f t="shared" si="260"/>
        <v>X</v>
      </c>
      <c r="N1283" t="s">
        <v>27</v>
      </c>
    </row>
    <row r="1284" spans="1:14" x14ac:dyDescent="0.25">
      <c r="A1284" t="s">
        <v>14</v>
      </c>
      <c r="B1284" t="s">
        <v>39</v>
      </c>
      <c r="C1284" t="s">
        <v>36</v>
      </c>
      <c r="D1284" t="s">
        <v>29</v>
      </c>
      <c r="E1284" t="s">
        <v>21</v>
      </c>
      <c r="F1284" t="s">
        <v>18</v>
      </c>
      <c r="G1284" s="1" t="str">
        <f t="shared" si="260"/>
        <v>X</v>
      </c>
      <c r="H1284" s="1" t="str">
        <f t="shared" si="260"/>
        <v>X</v>
      </c>
      <c r="I1284" s="1" t="str">
        <f t="shared" si="260"/>
        <v>X</v>
      </c>
      <c r="J1284" s="1" t="str">
        <f t="shared" si="260"/>
        <v>X</v>
      </c>
      <c r="K1284" s="1" t="str">
        <f t="shared" si="260"/>
        <v>X</v>
      </c>
      <c r="L1284" s="1" t="str">
        <f t="shared" si="260"/>
        <v>X</v>
      </c>
      <c r="M1284" s="1" t="str">
        <f t="shared" si="260"/>
        <v>X</v>
      </c>
      <c r="N1284" t="s">
        <v>27</v>
      </c>
    </row>
    <row r="1285" spans="1:14" x14ac:dyDescent="0.25">
      <c r="A1285" t="s">
        <v>14</v>
      </c>
      <c r="B1285" t="s">
        <v>39</v>
      </c>
      <c r="C1285" t="s">
        <v>36</v>
      </c>
      <c r="D1285" t="s">
        <v>29</v>
      </c>
      <c r="E1285" t="s">
        <v>21</v>
      </c>
      <c r="F1285" t="s">
        <v>19</v>
      </c>
      <c r="G1285" s="1" t="str">
        <f t="shared" si="260"/>
        <v>X</v>
      </c>
      <c r="H1285" s="1" t="str">
        <f t="shared" si="260"/>
        <v>X</v>
      </c>
      <c r="I1285" s="1" t="str">
        <f t="shared" si="260"/>
        <v>X</v>
      </c>
      <c r="J1285" s="1" t="str">
        <f t="shared" si="260"/>
        <v>X</v>
      </c>
      <c r="K1285" s="1" t="str">
        <f t="shared" si="260"/>
        <v>X</v>
      </c>
      <c r="L1285" s="1" t="str">
        <f t="shared" si="260"/>
        <v>X</v>
      </c>
      <c r="M1285" s="1" t="str">
        <f t="shared" si="260"/>
        <v>X</v>
      </c>
      <c r="N1285" t="s">
        <v>27</v>
      </c>
    </row>
    <row r="1286" spans="1:14" x14ac:dyDescent="0.25">
      <c r="A1286" t="s">
        <v>14</v>
      </c>
      <c r="B1286" t="s">
        <v>39</v>
      </c>
      <c r="C1286" t="s">
        <v>36</v>
      </c>
      <c r="D1286" t="s">
        <v>29</v>
      </c>
      <c r="E1286" t="s">
        <v>21</v>
      </c>
      <c r="F1286" t="s">
        <v>20</v>
      </c>
      <c r="G1286" s="1" t="str">
        <f t="shared" si="260"/>
        <v>X</v>
      </c>
      <c r="H1286" s="1" t="str">
        <f t="shared" si="260"/>
        <v>X</v>
      </c>
      <c r="I1286" s="1" t="str">
        <f t="shared" si="260"/>
        <v>X</v>
      </c>
      <c r="J1286" s="1" t="str">
        <f t="shared" si="260"/>
        <v>X</v>
      </c>
      <c r="K1286" s="1" t="str">
        <f t="shared" si="260"/>
        <v>X</v>
      </c>
      <c r="L1286" s="1" t="str">
        <f t="shared" si="260"/>
        <v>X</v>
      </c>
      <c r="M1286" s="1" t="str">
        <f t="shared" si="260"/>
        <v>X</v>
      </c>
      <c r="N1286" t="s">
        <v>27</v>
      </c>
    </row>
    <row r="1287" spans="1:14" x14ac:dyDescent="0.25">
      <c r="A1287" t="s">
        <v>14</v>
      </c>
      <c r="B1287" t="s">
        <v>39</v>
      </c>
      <c r="C1287" t="s">
        <v>36</v>
      </c>
      <c r="D1287" t="s">
        <v>29</v>
      </c>
      <c r="E1287" t="s">
        <v>22</v>
      </c>
      <c r="F1287" t="s">
        <v>15</v>
      </c>
      <c r="G1287" s="2">
        <f>VALUE(955.3194677104)</f>
        <v>955.31946771039998</v>
      </c>
      <c r="H1287" s="3">
        <f>VALUE(966.6664962258)</f>
        <v>966.66649622579996</v>
      </c>
      <c r="I1287" s="1">
        <f>VALUE(3844)</f>
        <v>3844</v>
      </c>
      <c r="J1287" s="1">
        <f>VALUE(4333)</f>
        <v>4333</v>
      </c>
      <c r="K1287" s="1">
        <f>VALUE(4934)</f>
        <v>4934</v>
      </c>
      <c r="L1287" s="1">
        <f>VALUE(5486)</f>
        <v>5486</v>
      </c>
      <c r="M1287" s="1">
        <f>VALUE(6283)</f>
        <v>6283</v>
      </c>
      <c r="N1287" t="s">
        <v>25</v>
      </c>
    </row>
    <row r="1288" spans="1:14" x14ac:dyDescent="0.25">
      <c r="A1288" t="s">
        <v>14</v>
      </c>
      <c r="B1288" t="s">
        <v>39</v>
      </c>
      <c r="C1288" t="s">
        <v>36</v>
      </c>
      <c r="D1288" t="s">
        <v>29</v>
      </c>
      <c r="E1288" t="s">
        <v>22</v>
      </c>
      <c r="F1288" t="s">
        <v>17</v>
      </c>
      <c r="G1288" s="1" t="str">
        <f t="shared" ref="G1288:M1290" si="261">"X"</f>
        <v>X</v>
      </c>
      <c r="H1288" s="1" t="str">
        <f t="shared" si="261"/>
        <v>X</v>
      </c>
      <c r="I1288" s="1" t="str">
        <f t="shared" si="261"/>
        <v>X</v>
      </c>
      <c r="J1288" s="1" t="str">
        <f t="shared" si="261"/>
        <v>X</v>
      </c>
      <c r="K1288" s="1" t="str">
        <f t="shared" si="261"/>
        <v>X</v>
      </c>
      <c r="L1288" s="1" t="str">
        <f t="shared" si="261"/>
        <v>X</v>
      </c>
      <c r="M1288" s="1" t="str">
        <f t="shared" si="261"/>
        <v>X</v>
      </c>
      <c r="N1288" t="s">
        <v>27</v>
      </c>
    </row>
    <row r="1289" spans="1:14" x14ac:dyDescent="0.25">
      <c r="A1289" t="s">
        <v>14</v>
      </c>
      <c r="B1289" t="s">
        <v>39</v>
      </c>
      <c r="C1289" t="s">
        <v>36</v>
      </c>
      <c r="D1289" t="s">
        <v>29</v>
      </c>
      <c r="E1289" t="s">
        <v>22</v>
      </c>
      <c r="F1289" t="s">
        <v>18</v>
      </c>
      <c r="G1289" s="1" t="str">
        <f t="shared" si="261"/>
        <v>X</v>
      </c>
      <c r="H1289" s="1" t="str">
        <f t="shared" si="261"/>
        <v>X</v>
      </c>
      <c r="I1289" s="1" t="str">
        <f t="shared" si="261"/>
        <v>X</v>
      </c>
      <c r="J1289" s="1" t="str">
        <f t="shared" si="261"/>
        <v>X</v>
      </c>
      <c r="K1289" s="1" t="str">
        <f t="shared" si="261"/>
        <v>X</v>
      </c>
      <c r="L1289" s="1" t="str">
        <f t="shared" si="261"/>
        <v>X</v>
      </c>
      <c r="M1289" s="1" t="str">
        <f t="shared" si="261"/>
        <v>X</v>
      </c>
      <c r="N1289" t="s">
        <v>27</v>
      </c>
    </row>
    <row r="1290" spans="1:14" x14ac:dyDescent="0.25">
      <c r="A1290" t="s">
        <v>14</v>
      </c>
      <c r="B1290" t="s">
        <v>39</v>
      </c>
      <c r="C1290" t="s">
        <v>36</v>
      </c>
      <c r="D1290" t="s">
        <v>29</v>
      </c>
      <c r="E1290" t="s">
        <v>22</v>
      </c>
      <c r="F1290" t="s">
        <v>19</v>
      </c>
      <c r="G1290" s="1" t="str">
        <f t="shared" si="261"/>
        <v>X</v>
      </c>
      <c r="H1290" s="1" t="str">
        <f t="shared" si="261"/>
        <v>X</v>
      </c>
      <c r="I1290" s="1" t="str">
        <f t="shared" si="261"/>
        <v>X</v>
      </c>
      <c r="J1290" s="1" t="str">
        <f t="shared" si="261"/>
        <v>X</v>
      </c>
      <c r="K1290" s="1" t="str">
        <f t="shared" si="261"/>
        <v>X</v>
      </c>
      <c r="L1290" s="1" t="str">
        <f t="shared" si="261"/>
        <v>X</v>
      </c>
      <c r="M1290" s="1" t="str">
        <f t="shared" si="261"/>
        <v>X</v>
      </c>
      <c r="N1290" t="s">
        <v>27</v>
      </c>
    </row>
    <row r="1291" spans="1:14" x14ac:dyDescent="0.25">
      <c r="A1291" t="s">
        <v>14</v>
      </c>
      <c r="B1291" t="s">
        <v>39</v>
      </c>
      <c r="C1291" t="s">
        <v>36</v>
      </c>
      <c r="D1291" t="s">
        <v>29</v>
      </c>
      <c r="E1291" t="s">
        <v>22</v>
      </c>
      <c r="F1291" t="s">
        <v>20</v>
      </c>
      <c r="G1291" s="2">
        <f>VALUE(639.8828336027)</f>
        <v>639.88283360269998</v>
      </c>
      <c r="H1291" s="3">
        <f>VALUE(645.3414490322)</f>
        <v>645.34144903219999</v>
      </c>
      <c r="I1291" s="1">
        <f>VALUE(3784)</f>
        <v>3784</v>
      </c>
      <c r="J1291" s="1">
        <f>VALUE(4254)</f>
        <v>4254</v>
      </c>
      <c r="K1291" s="1">
        <f>VALUE(4733)</f>
        <v>4733</v>
      </c>
      <c r="L1291" s="1">
        <f>VALUE(5293)</f>
        <v>5293</v>
      </c>
      <c r="M1291" s="1">
        <f>VALUE(5812)</f>
        <v>5812</v>
      </c>
      <c r="N1291" t="s">
        <v>25</v>
      </c>
    </row>
    <row r="1292" spans="1:14" x14ac:dyDescent="0.25">
      <c r="A1292" t="s">
        <v>14</v>
      </c>
      <c r="B1292" t="s">
        <v>39</v>
      </c>
      <c r="C1292" t="s">
        <v>36</v>
      </c>
      <c r="D1292" t="s">
        <v>29</v>
      </c>
      <c r="E1292" t="s">
        <v>23</v>
      </c>
      <c r="F1292" t="s">
        <v>15</v>
      </c>
      <c r="G1292" s="2">
        <f>VALUE(590.6002204752)</f>
        <v>590.60022047519999</v>
      </c>
      <c r="H1292" s="3">
        <f>VALUE(569.2280623613)</f>
        <v>569.22806236129998</v>
      </c>
      <c r="I1292" s="4">
        <f>VALUE(3415)</f>
        <v>3415</v>
      </c>
      <c r="J1292" s="1">
        <f>VALUE(3998)</f>
        <v>3998</v>
      </c>
      <c r="K1292" s="1">
        <f>VALUE(4575)</f>
        <v>4575</v>
      </c>
      <c r="L1292" s="1">
        <f>VALUE(5365)</f>
        <v>5365</v>
      </c>
      <c r="M1292" s="1">
        <f>VALUE(5807)</f>
        <v>5807</v>
      </c>
      <c r="N1292" t="s">
        <v>25</v>
      </c>
    </row>
    <row r="1293" spans="1:14" x14ac:dyDescent="0.25">
      <c r="A1293" t="s">
        <v>14</v>
      </c>
      <c r="B1293" t="s">
        <v>39</v>
      </c>
      <c r="C1293" t="s">
        <v>36</v>
      </c>
      <c r="D1293" t="s">
        <v>29</v>
      </c>
      <c r="E1293" t="s">
        <v>23</v>
      </c>
      <c r="F1293" t="s">
        <v>17</v>
      </c>
      <c r="G1293" s="1" t="str">
        <f t="shared" ref="G1293:M1295" si="262">"X"</f>
        <v>X</v>
      </c>
      <c r="H1293" s="1" t="str">
        <f t="shared" si="262"/>
        <v>X</v>
      </c>
      <c r="I1293" s="1" t="str">
        <f t="shared" si="262"/>
        <v>X</v>
      </c>
      <c r="J1293" s="1" t="str">
        <f t="shared" si="262"/>
        <v>X</v>
      </c>
      <c r="K1293" s="1" t="str">
        <f t="shared" si="262"/>
        <v>X</v>
      </c>
      <c r="L1293" s="1" t="str">
        <f t="shared" si="262"/>
        <v>X</v>
      </c>
      <c r="M1293" s="1" t="str">
        <f t="shared" si="262"/>
        <v>X</v>
      </c>
      <c r="N1293" t="s">
        <v>27</v>
      </c>
    </row>
    <row r="1294" spans="1:14" x14ac:dyDescent="0.25">
      <c r="A1294" t="s">
        <v>14</v>
      </c>
      <c r="B1294" t="s">
        <v>39</v>
      </c>
      <c r="C1294" t="s">
        <v>36</v>
      </c>
      <c r="D1294" t="s">
        <v>29</v>
      </c>
      <c r="E1294" t="s">
        <v>23</v>
      </c>
      <c r="F1294" t="s">
        <v>18</v>
      </c>
      <c r="G1294" s="1" t="str">
        <f t="shared" si="262"/>
        <v>X</v>
      </c>
      <c r="H1294" s="1" t="str">
        <f t="shared" si="262"/>
        <v>X</v>
      </c>
      <c r="I1294" s="1" t="str">
        <f t="shared" si="262"/>
        <v>X</v>
      </c>
      <c r="J1294" s="1" t="str">
        <f t="shared" si="262"/>
        <v>X</v>
      </c>
      <c r="K1294" s="1" t="str">
        <f t="shared" si="262"/>
        <v>X</v>
      </c>
      <c r="L1294" s="1" t="str">
        <f t="shared" si="262"/>
        <v>X</v>
      </c>
      <c r="M1294" s="1" t="str">
        <f t="shared" si="262"/>
        <v>X</v>
      </c>
      <c r="N1294" t="s">
        <v>27</v>
      </c>
    </row>
    <row r="1295" spans="1:14" x14ac:dyDescent="0.25">
      <c r="A1295" t="s">
        <v>14</v>
      </c>
      <c r="B1295" t="s">
        <v>39</v>
      </c>
      <c r="C1295" t="s">
        <v>36</v>
      </c>
      <c r="D1295" t="s">
        <v>29</v>
      </c>
      <c r="E1295" t="s">
        <v>23</v>
      </c>
      <c r="F1295" t="s">
        <v>19</v>
      </c>
      <c r="G1295" s="1" t="str">
        <f t="shared" si="262"/>
        <v>X</v>
      </c>
      <c r="H1295" s="1" t="str">
        <f t="shared" si="262"/>
        <v>X</v>
      </c>
      <c r="I1295" s="1" t="str">
        <f t="shared" si="262"/>
        <v>X</v>
      </c>
      <c r="J1295" s="1" t="str">
        <f t="shared" si="262"/>
        <v>X</v>
      </c>
      <c r="K1295" s="1" t="str">
        <f t="shared" si="262"/>
        <v>X</v>
      </c>
      <c r="L1295" s="1" t="str">
        <f t="shared" si="262"/>
        <v>X</v>
      </c>
      <c r="M1295" s="1" t="str">
        <f t="shared" si="262"/>
        <v>X</v>
      </c>
      <c r="N1295" t="s">
        <v>27</v>
      </c>
    </row>
    <row r="1296" spans="1:14" x14ac:dyDescent="0.25">
      <c r="A1296" t="s">
        <v>14</v>
      </c>
      <c r="B1296" t="s">
        <v>39</v>
      </c>
      <c r="C1296" t="s">
        <v>36</v>
      </c>
      <c r="D1296" t="s">
        <v>29</v>
      </c>
      <c r="E1296" t="s">
        <v>23</v>
      </c>
      <c r="F1296" t="s">
        <v>20</v>
      </c>
      <c r="G1296" s="2">
        <f>VALUE(482.4056295466)</f>
        <v>482.40562954659998</v>
      </c>
      <c r="H1296" s="3">
        <f>VALUE(457.5511430437)</f>
        <v>457.55114304369999</v>
      </c>
      <c r="I1296" s="4">
        <f>VALUE(3367)</f>
        <v>3367</v>
      </c>
      <c r="J1296" s="1">
        <f>VALUE(3900)</f>
        <v>3900</v>
      </c>
      <c r="K1296" s="1">
        <f>VALUE(4530)</f>
        <v>4530</v>
      </c>
      <c r="L1296" s="1">
        <f>VALUE(4998)</f>
        <v>4998</v>
      </c>
      <c r="M1296" s="1">
        <f>VALUE(5541)</f>
        <v>5541</v>
      </c>
      <c r="N1296" t="s">
        <v>25</v>
      </c>
    </row>
    <row r="1297" spans="1:14" x14ac:dyDescent="0.25">
      <c r="A1297" t="s">
        <v>14</v>
      </c>
      <c r="B1297" t="s">
        <v>39</v>
      </c>
      <c r="C1297" t="s">
        <v>36</v>
      </c>
      <c r="D1297" t="s">
        <v>29</v>
      </c>
      <c r="E1297" t="s">
        <v>26</v>
      </c>
      <c r="F1297" t="s">
        <v>15</v>
      </c>
      <c r="G1297" s="1" t="str">
        <f t="shared" ref="G1297:M1299" si="263">"X"</f>
        <v>X</v>
      </c>
      <c r="H1297" s="1" t="str">
        <f t="shared" si="263"/>
        <v>X</v>
      </c>
      <c r="I1297" s="1" t="str">
        <f t="shared" si="263"/>
        <v>X</v>
      </c>
      <c r="J1297" s="1" t="str">
        <f t="shared" si="263"/>
        <v>X</v>
      </c>
      <c r="K1297" s="1" t="str">
        <f t="shared" si="263"/>
        <v>X</v>
      </c>
      <c r="L1297" s="1" t="str">
        <f t="shared" si="263"/>
        <v>X</v>
      </c>
      <c r="M1297" s="1" t="str">
        <f t="shared" si="263"/>
        <v>X</v>
      </c>
      <c r="N1297" t="s">
        <v>27</v>
      </c>
    </row>
    <row r="1298" spans="1:14" x14ac:dyDescent="0.25">
      <c r="A1298" t="s">
        <v>14</v>
      </c>
      <c r="B1298" t="s">
        <v>39</v>
      </c>
      <c r="C1298" t="s">
        <v>36</v>
      </c>
      <c r="D1298" t="s">
        <v>29</v>
      </c>
      <c r="E1298" t="s">
        <v>26</v>
      </c>
      <c r="F1298" t="s">
        <v>17</v>
      </c>
      <c r="G1298" s="1" t="str">
        <f t="shared" si="263"/>
        <v>X</v>
      </c>
      <c r="H1298" s="1" t="str">
        <f t="shared" si="263"/>
        <v>X</v>
      </c>
      <c r="I1298" s="1" t="str">
        <f t="shared" si="263"/>
        <v>X</v>
      </c>
      <c r="J1298" s="1" t="str">
        <f t="shared" si="263"/>
        <v>X</v>
      </c>
      <c r="K1298" s="1" t="str">
        <f t="shared" si="263"/>
        <v>X</v>
      </c>
      <c r="L1298" s="1" t="str">
        <f t="shared" si="263"/>
        <v>X</v>
      </c>
      <c r="M1298" s="1" t="str">
        <f t="shared" si="263"/>
        <v>X</v>
      </c>
      <c r="N1298" t="s">
        <v>27</v>
      </c>
    </row>
    <row r="1299" spans="1:14" x14ac:dyDescent="0.25">
      <c r="A1299" t="s">
        <v>14</v>
      </c>
      <c r="B1299" t="s">
        <v>39</v>
      </c>
      <c r="C1299" t="s">
        <v>36</v>
      </c>
      <c r="D1299" t="s">
        <v>29</v>
      </c>
      <c r="E1299" t="s">
        <v>26</v>
      </c>
      <c r="F1299" t="s">
        <v>18</v>
      </c>
      <c r="G1299" s="1" t="str">
        <f t="shared" si="263"/>
        <v>X</v>
      </c>
      <c r="H1299" s="1" t="str">
        <f t="shared" si="263"/>
        <v>X</v>
      </c>
      <c r="I1299" s="1" t="str">
        <f t="shared" si="263"/>
        <v>X</v>
      </c>
      <c r="J1299" s="1" t="str">
        <f t="shared" si="263"/>
        <v>X</v>
      </c>
      <c r="K1299" s="1" t="str">
        <f t="shared" si="263"/>
        <v>X</v>
      </c>
      <c r="L1299" s="1" t="str">
        <f t="shared" si="263"/>
        <v>X</v>
      </c>
      <c r="M1299" s="1" t="str">
        <f t="shared" si="263"/>
        <v>X</v>
      </c>
      <c r="N1299" t="s">
        <v>27</v>
      </c>
    </row>
    <row r="1300" spans="1:14" x14ac:dyDescent="0.25">
      <c r="A1300" t="s">
        <v>14</v>
      </c>
      <c r="B1300" t="s">
        <v>39</v>
      </c>
      <c r="C1300" t="s">
        <v>36</v>
      </c>
      <c r="D1300" t="s">
        <v>29</v>
      </c>
      <c r="E1300" t="s">
        <v>26</v>
      </c>
      <c r="F1300" t="s">
        <v>19</v>
      </c>
      <c r="G1300" s="1" t="str">
        <f t="shared" ref="G1300:M1301" si="264">"..."</f>
        <v>...</v>
      </c>
      <c r="H1300" s="1" t="str">
        <f t="shared" si="264"/>
        <v>...</v>
      </c>
      <c r="I1300" s="1" t="str">
        <f t="shared" si="264"/>
        <v>...</v>
      </c>
      <c r="J1300" s="1" t="str">
        <f t="shared" si="264"/>
        <v>...</v>
      </c>
      <c r="K1300" s="1" t="str">
        <f t="shared" si="264"/>
        <v>...</v>
      </c>
      <c r="L1300" s="1" t="str">
        <f t="shared" si="264"/>
        <v>...</v>
      </c>
      <c r="M1300" s="1" t="str">
        <f t="shared" si="264"/>
        <v>...</v>
      </c>
      <c r="N1300" t="s">
        <v>30</v>
      </c>
    </row>
    <row r="1301" spans="1:14" x14ac:dyDescent="0.25">
      <c r="A1301" t="s">
        <v>14</v>
      </c>
      <c r="B1301" t="s">
        <v>39</v>
      </c>
      <c r="C1301" t="s">
        <v>36</v>
      </c>
      <c r="D1301" t="s">
        <v>29</v>
      </c>
      <c r="E1301" t="s">
        <v>26</v>
      </c>
      <c r="F1301" t="s">
        <v>20</v>
      </c>
      <c r="G1301" s="1" t="str">
        <f t="shared" si="264"/>
        <v>...</v>
      </c>
      <c r="H1301" s="1" t="str">
        <f t="shared" si="264"/>
        <v>...</v>
      </c>
      <c r="I1301" s="1" t="str">
        <f t="shared" si="264"/>
        <v>...</v>
      </c>
      <c r="J1301" s="1" t="str">
        <f t="shared" si="264"/>
        <v>...</v>
      </c>
      <c r="K1301" s="1" t="str">
        <f t="shared" si="264"/>
        <v>...</v>
      </c>
      <c r="L1301" s="1" t="str">
        <f t="shared" si="264"/>
        <v>...</v>
      </c>
      <c r="M1301" s="1" t="str">
        <f t="shared" si="264"/>
        <v>...</v>
      </c>
      <c r="N1301" t="s">
        <v>30</v>
      </c>
    </row>
    <row r="1302" spans="1:14" x14ac:dyDescent="0.25">
      <c r="A1302" t="s">
        <v>14</v>
      </c>
      <c r="B1302" t="s">
        <v>39</v>
      </c>
      <c r="C1302" t="s">
        <v>36</v>
      </c>
      <c r="D1302" t="s">
        <v>31</v>
      </c>
      <c r="E1302" t="s">
        <v>15</v>
      </c>
      <c r="F1302" t="s">
        <v>15</v>
      </c>
      <c r="G1302" s="2">
        <f>VALUE(1808.0984273982)</f>
        <v>1808.0984273982001</v>
      </c>
      <c r="H1302" s="3">
        <f>VALUE(1786.8423619613)</f>
        <v>1786.8423619613</v>
      </c>
      <c r="I1302" s="1">
        <f>VALUE(3365)</f>
        <v>3365</v>
      </c>
      <c r="J1302" s="1">
        <f>VALUE(3765)</f>
        <v>3765</v>
      </c>
      <c r="K1302" s="1">
        <f>VALUE(4689)</f>
        <v>4689</v>
      </c>
      <c r="L1302" s="1">
        <f>VALUE(5666)</f>
        <v>5666</v>
      </c>
      <c r="M1302" s="8">
        <f>VALUE(7504)</f>
        <v>7504</v>
      </c>
      <c r="N1302" t="s">
        <v>25</v>
      </c>
    </row>
    <row r="1303" spans="1:14" x14ac:dyDescent="0.25">
      <c r="A1303" t="s">
        <v>14</v>
      </c>
      <c r="B1303" t="s">
        <v>39</v>
      </c>
      <c r="C1303" t="s">
        <v>36</v>
      </c>
      <c r="D1303" t="s">
        <v>31</v>
      </c>
      <c r="E1303" t="s">
        <v>15</v>
      </c>
      <c r="F1303" t="s">
        <v>17</v>
      </c>
      <c r="G1303" s="1" t="str">
        <f t="shared" ref="G1303:M1303" si="265">"X"</f>
        <v>X</v>
      </c>
      <c r="H1303" s="1" t="str">
        <f t="shared" si="265"/>
        <v>X</v>
      </c>
      <c r="I1303" s="1" t="str">
        <f t="shared" si="265"/>
        <v>X</v>
      </c>
      <c r="J1303" s="1" t="str">
        <f t="shared" si="265"/>
        <v>X</v>
      </c>
      <c r="K1303" s="1" t="str">
        <f t="shared" si="265"/>
        <v>X</v>
      </c>
      <c r="L1303" s="1" t="str">
        <f t="shared" si="265"/>
        <v>X</v>
      </c>
      <c r="M1303" s="1" t="str">
        <f t="shared" si="265"/>
        <v>X</v>
      </c>
      <c r="N1303" t="s">
        <v>27</v>
      </c>
    </row>
    <row r="1304" spans="1:14" x14ac:dyDescent="0.25">
      <c r="A1304" t="s">
        <v>14</v>
      </c>
      <c r="B1304" t="s">
        <v>39</v>
      </c>
      <c r="C1304" t="s">
        <v>36</v>
      </c>
      <c r="D1304" t="s">
        <v>31</v>
      </c>
      <c r="E1304" t="s">
        <v>15</v>
      </c>
      <c r="F1304" t="s">
        <v>18</v>
      </c>
      <c r="G1304" s="2">
        <f>VALUE(191.8015649256)</f>
        <v>191.80156492559999</v>
      </c>
      <c r="H1304" s="3">
        <f>VALUE(190.1947444146)</f>
        <v>190.1947444146</v>
      </c>
      <c r="I1304" s="1">
        <f>VALUE(3488)</f>
        <v>3488</v>
      </c>
      <c r="J1304" s="1">
        <f>VALUE(4389)</f>
        <v>4389</v>
      </c>
      <c r="K1304" s="6">
        <f>VALUE(5952)</f>
        <v>5952</v>
      </c>
      <c r="L1304" s="7">
        <f>VALUE(7058)</f>
        <v>7058</v>
      </c>
      <c r="M1304" s="8">
        <f>VALUE(10508)</f>
        <v>10508</v>
      </c>
      <c r="N1304" t="s">
        <v>25</v>
      </c>
    </row>
    <row r="1305" spans="1:14" x14ac:dyDescent="0.25">
      <c r="A1305" t="s">
        <v>14</v>
      </c>
      <c r="B1305" t="s">
        <v>39</v>
      </c>
      <c r="C1305" t="s">
        <v>36</v>
      </c>
      <c r="D1305" t="s">
        <v>31</v>
      </c>
      <c r="E1305" t="s">
        <v>15</v>
      </c>
      <c r="F1305" t="s">
        <v>19</v>
      </c>
      <c r="G1305" s="2">
        <f>VALUE(278.2209282453)</f>
        <v>278.2209282453</v>
      </c>
      <c r="H1305" s="3">
        <f>VALUE(247.4172265852)</f>
        <v>247.41722658520001</v>
      </c>
      <c r="I1305" s="1">
        <f>VALUE(3838)</f>
        <v>3838</v>
      </c>
      <c r="J1305" s="5">
        <f>VALUE(4436)</f>
        <v>4436</v>
      </c>
      <c r="K1305" s="1">
        <f>VALUE(5034)</f>
        <v>5034</v>
      </c>
      <c r="L1305" s="1">
        <f>VALUE(5506)</f>
        <v>5506</v>
      </c>
      <c r="M1305" s="8">
        <f>VALUE(7060)</f>
        <v>7060</v>
      </c>
      <c r="N1305" t="s">
        <v>25</v>
      </c>
    </row>
    <row r="1306" spans="1:14" x14ac:dyDescent="0.25">
      <c r="A1306" t="s">
        <v>14</v>
      </c>
      <c r="B1306" t="s">
        <v>39</v>
      </c>
      <c r="C1306" t="s">
        <v>36</v>
      </c>
      <c r="D1306" t="s">
        <v>31</v>
      </c>
      <c r="E1306" t="s">
        <v>15</v>
      </c>
      <c r="F1306" t="s">
        <v>20</v>
      </c>
      <c r="G1306" s="2">
        <f>VALUE(1187.4650227828)</f>
        <v>1187.4650227827999</v>
      </c>
      <c r="H1306" s="3">
        <f>VALUE(1204.6995060228)</f>
        <v>1204.6995060228001</v>
      </c>
      <c r="I1306" s="1">
        <f>VALUE(3330)</f>
        <v>3330</v>
      </c>
      <c r="J1306" s="1">
        <f>VALUE(3659)</f>
        <v>3659</v>
      </c>
      <c r="K1306" s="1">
        <f>VALUE(4410)</f>
        <v>4410</v>
      </c>
      <c r="L1306" s="1">
        <f>VALUE(5200)</f>
        <v>5200</v>
      </c>
      <c r="M1306" s="8">
        <f>VALUE(6145)</f>
        <v>6145</v>
      </c>
      <c r="N1306" t="s">
        <v>25</v>
      </c>
    </row>
    <row r="1307" spans="1:14" x14ac:dyDescent="0.25">
      <c r="A1307" t="s">
        <v>14</v>
      </c>
      <c r="B1307" t="s">
        <v>39</v>
      </c>
      <c r="C1307" t="s">
        <v>36</v>
      </c>
      <c r="D1307" t="s">
        <v>31</v>
      </c>
      <c r="E1307" t="s">
        <v>21</v>
      </c>
      <c r="F1307" t="s">
        <v>15</v>
      </c>
      <c r="G1307" s="2">
        <f>VALUE(551.1236976666)</f>
        <v>551.12369766660004</v>
      </c>
      <c r="H1307" s="3">
        <f>VALUE(514.9472695054)</f>
        <v>514.94726950539996</v>
      </c>
      <c r="I1307" s="4">
        <f>VALUE(4381)</f>
        <v>4381</v>
      </c>
      <c r="J1307" s="1">
        <f>VALUE(5016)</f>
        <v>5016</v>
      </c>
      <c r="K1307" s="1">
        <f>VALUE(5952)</f>
        <v>5952</v>
      </c>
      <c r="L1307" s="7">
        <f>VALUE(8045)</f>
        <v>8045</v>
      </c>
      <c r="M1307" s="8">
        <f>VALUE(11905)</f>
        <v>11905</v>
      </c>
      <c r="N1307" t="s">
        <v>25</v>
      </c>
    </row>
    <row r="1308" spans="1:14" x14ac:dyDescent="0.25">
      <c r="A1308" t="s">
        <v>14</v>
      </c>
      <c r="B1308" t="s">
        <v>39</v>
      </c>
      <c r="C1308" t="s">
        <v>36</v>
      </c>
      <c r="D1308" t="s">
        <v>31</v>
      </c>
      <c r="E1308" t="s">
        <v>21</v>
      </c>
      <c r="F1308" t="s">
        <v>17</v>
      </c>
      <c r="G1308" s="1" t="str">
        <f t="shared" ref="G1308:M1310" si="266">"X"</f>
        <v>X</v>
      </c>
      <c r="H1308" s="1" t="str">
        <f t="shared" si="266"/>
        <v>X</v>
      </c>
      <c r="I1308" s="1" t="str">
        <f t="shared" si="266"/>
        <v>X</v>
      </c>
      <c r="J1308" s="1" t="str">
        <f t="shared" si="266"/>
        <v>X</v>
      </c>
      <c r="K1308" s="1" t="str">
        <f t="shared" si="266"/>
        <v>X</v>
      </c>
      <c r="L1308" s="1" t="str">
        <f t="shared" si="266"/>
        <v>X</v>
      </c>
      <c r="M1308" s="1" t="str">
        <f t="shared" si="266"/>
        <v>X</v>
      </c>
      <c r="N1308" t="s">
        <v>27</v>
      </c>
    </row>
    <row r="1309" spans="1:14" x14ac:dyDescent="0.25">
      <c r="A1309" t="s">
        <v>14</v>
      </c>
      <c r="B1309" t="s">
        <v>39</v>
      </c>
      <c r="C1309" t="s">
        <v>36</v>
      </c>
      <c r="D1309" t="s">
        <v>31</v>
      </c>
      <c r="E1309" t="s">
        <v>21</v>
      </c>
      <c r="F1309" t="s">
        <v>18</v>
      </c>
      <c r="G1309" s="1" t="str">
        <f t="shared" si="266"/>
        <v>X</v>
      </c>
      <c r="H1309" s="1" t="str">
        <f t="shared" si="266"/>
        <v>X</v>
      </c>
      <c r="I1309" s="1" t="str">
        <f t="shared" si="266"/>
        <v>X</v>
      </c>
      <c r="J1309" s="1" t="str">
        <f t="shared" si="266"/>
        <v>X</v>
      </c>
      <c r="K1309" s="1" t="str">
        <f t="shared" si="266"/>
        <v>X</v>
      </c>
      <c r="L1309" s="1" t="str">
        <f t="shared" si="266"/>
        <v>X</v>
      </c>
      <c r="M1309" s="1" t="str">
        <f t="shared" si="266"/>
        <v>X</v>
      </c>
      <c r="N1309" t="s">
        <v>27</v>
      </c>
    </row>
    <row r="1310" spans="1:14" x14ac:dyDescent="0.25">
      <c r="A1310" t="s">
        <v>14</v>
      </c>
      <c r="B1310" t="s">
        <v>39</v>
      </c>
      <c r="C1310" t="s">
        <v>36</v>
      </c>
      <c r="D1310" t="s">
        <v>31</v>
      </c>
      <c r="E1310" t="s">
        <v>21</v>
      </c>
      <c r="F1310" t="s">
        <v>19</v>
      </c>
      <c r="G1310" s="1" t="str">
        <f t="shared" si="266"/>
        <v>X</v>
      </c>
      <c r="H1310" s="1" t="str">
        <f t="shared" si="266"/>
        <v>X</v>
      </c>
      <c r="I1310" s="1" t="str">
        <f t="shared" si="266"/>
        <v>X</v>
      </c>
      <c r="J1310" s="1" t="str">
        <f t="shared" si="266"/>
        <v>X</v>
      </c>
      <c r="K1310" s="1" t="str">
        <f t="shared" si="266"/>
        <v>X</v>
      </c>
      <c r="L1310" s="1" t="str">
        <f t="shared" si="266"/>
        <v>X</v>
      </c>
      <c r="M1310" s="1" t="str">
        <f t="shared" si="266"/>
        <v>X</v>
      </c>
      <c r="N1310" t="s">
        <v>27</v>
      </c>
    </row>
    <row r="1311" spans="1:14" x14ac:dyDescent="0.25">
      <c r="A1311" t="s">
        <v>14</v>
      </c>
      <c r="B1311" t="s">
        <v>39</v>
      </c>
      <c r="C1311" t="s">
        <v>36</v>
      </c>
      <c r="D1311" t="s">
        <v>31</v>
      </c>
      <c r="E1311" t="s">
        <v>21</v>
      </c>
      <c r="F1311" t="s">
        <v>20</v>
      </c>
      <c r="G1311" s="2">
        <f>VALUE(182.6492642323)</f>
        <v>182.6492642323</v>
      </c>
      <c r="H1311" s="3">
        <f>VALUE(178.2813364845)</f>
        <v>178.2813364845</v>
      </c>
      <c r="I1311" s="4">
        <f>VALUE(3571)</f>
        <v>3571</v>
      </c>
      <c r="J1311" s="1">
        <f>VALUE(4792)</f>
        <v>4792</v>
      </c>
      <c r="K1311" s="1">
        <f>VALUE(5666)</f>
        <v>5666</v>
      </c>
      <c r="L1311" s="7">
        <f>VALUE(6980)</f>
        <v>6980</v>
      </c>
      <c r="M1311" s="1">
        <f>VALUE(8767)</f>
        <v>8767</v>
      </c>
      <c r="N1311" t="s">
        <v>25</v>
      </c>
    </row>
    <row r="1312" spans="1:14" x14ac:dyDescent="0.25">
      <c r="A1312" t="s">
        <v>14</v>
      </c>
      <c r="B1312" t="s">
        <v>39</v>
      </c>
      <c r="C1312" t="s">
        <v>36</v>
      </c>
      <c r="D1312" t="s">
        <v>31</v>
      </c>
      <c r="E1312" t="s">
        <v>22</v>
      </c>
      <c r="F1312" t="s">
        <v>15</v>
      </c>
      <c r="G1312" s="2">
        <f>VALUE(288.630415438)</f>
        <v>288.630415438</v>
      </c>
      <c r="H1312" s="3">
        <f>VALUE(285.8657433544)</f>
        <v>285.86574335440002</v>
      </c>
      <c r="I1312" s="1">
        <f>VALUE(3659)</f>
        <v>3659</v>
      </c>
      <c r="J1312" s="1">
        <f>VALUE(3805)</f>
        <v>3805</v>
      </c>
      <c r="K1312" s="6">
        <f>VALUE(4465)</f>
        <v>4465</v>
      </c>
      <c r="L1312" s="7">
        <f>VALUE(5479)</f>
        <v>5479</v>
      </c>
      <c r="M1312" s="8">
        <f>VALUE(6640)</f>
        <v>6640</v>
      </c>
      <c r="N1312" t="s">
        <v>25</v>
      </c>
    </row>
    <row r="1313" spans="1:14" x14ac:dyDescent="0.25">
      <c r="A1313" t="s">
        <v>14</v>
      </c>
      <c r="B1313" t="s">
        <v>39</v>
      </c>
      <c r="C1313" t="s">
        <v>36</v>
      </c>
      <c r="D1313" t="s">
        <v>31</v>
      </c>
      <c r="E1313" t="s">
        <v>22</v>
      </c>
      <c r="F1313" t="s">
        <v>17</v>
      </c>
      <c r="G1313" s="1" t="str">
        <f t="shared" ref="G1313:M1315" si="267">"X"</f>
        <v>X</v>
      </c>
      <c r="H1313" s="1" t="str">
        <f t="shared" si="267"/>
        <v>X</v>
      </c>
      <c r="I1313" s="1" t="str">
        <f t="shared" si="267"/>
        <v>X</v>
      </c>
      <c r="J1313" s="1" t="str">
        <f t="shared" si="267"/>
        <v>X</v>
      </c>
      <c r="K1313" s="1" t="str">
        <f t="shared" si="267"/>
        <v>X</v>
      </c>
      <c r="L1313" s="1" t="str">
        <f t="shared" si="267"/>
        <v>X</v>
      </c>
      <c r="M1313" s="1" t="str">
        <f t="shared" si="267"/>
        <v>X</v>
      </c>
      <c r="N1313" t="s">
        <v>27</v>
      </c>
    </row>
    <row r="1314" spans="1:14" x14ac:dyDescent="0.25">
      <c r="A1314" t="s">
        <v>14</v>
      </c>
      <c r="B1314" t="s">
        <v>39</v>
      </c>
      <c r="C1314" t="s">
        <v>36</v>
      </c>
      <c r="D1314" t="s">
        <v>31</v>
      </c>
      <c r="E1314" t="s">
        <v>22</v>
      </c>
      <c r="F1314" t="s">
        <v>18</v>
      </c>
      <c r="G1314" s="1" t="str">
        <f t="shared" si="267"/>
        <v>X</v>
      </c>
      <c r="H1314" s="1" t="str">
        <f t="shared" si="267"/>
        <v>X</v>
      </c>
      <c r="I1314" s="1" t="str">
        <f t="shared" si="267"/>
        <v>X</v>
      </c>
      <c r="J1314" s="1" t="str">
        <f t="shared" si="267"/>
        <v>X</v>
      </c>
      <c r="K1314" s="1" t="str">
        <f t="shared" si="267"/>
        <v>X</v>
      </c>
      <c r="L1314" s="1" t="str">
        <f t="shared" si="267"/>
        <v>X</v>
      </c>
      <c r="M1314" s="1" t="str">
        <f t="shared" si="267"/>
        <v>X</v>
      </c>
      <c r="N1314" t="s">
        <v>27</v>
      </c>
    </row>
    <row r="1315" spans="1:14" x14ac:dyDescent="0.25">
      <c r="A1315" t="s">
        <v>14</v>
      </c>
      <c r="B1315" t="s">
        <v>39</v>
      </c>
      <c r="C1315" t="s">
        <v>36</v>
      </c>
      <c r="D1315" t="s">
        <v>31</v>
      </c>
      <c r="E1315" t="s">
        <v>22</v>
      </c>
      <c r="F1315" t="s">
        <v>19</v>
      </c>
      <c r="G1315" s="1" t="str">
        <f t="shared" si="267"/>
        <v>X</v>
      </c>
      <c r="H1315" s="1" t="str">
        <f t="shared" si="267"/>
        <v>X</v>
      </c>
      <c r="I1315" s="1" t="str">
        <f t="shared" si="267"/>
        <v>X</v>
      </c>
      <c r="J1315" s="1" t="str">
        <f t="shared" si="267"/>
        <v>X</v>
      </c>
      <c r="K1315" s="1" t="str">
        <f t="shared" si="267"/>
        <v>X</v>
      </c>
      <c r="L1315" s="1" t="str">
        <f t="shared" si="267"/>
        <v>X</v>
      </c>
      <c r="M1315" s="1" t="str">
        <f t="shared" si="267"/>
        <v>X</v>
      </c>
      <c r="N1315" t="s">
        <v>27</v>
      </c>
    </row>
    <row r="1316" spans="1:14" x14ac:dyDescent="0.25">
      <c r="A1316" t="s">
        <v>14</v>
      </c>
      <c r="B1316" t="s">
        <v>39</v>
      </c>
      <c r="C1316" t="s">
        <v>36</v>
      </c>
      <c r="D1316" t="s">
        <v>31</v>
      </c>
      <c r="E1316" t="s">
        <v>22</v>
      </c>
      <c r="F1316" t="s">
        <v>20</v>
      </c>
      <c r="G1316" s="2">
        <f>VALUE(198.0502732709)</f>
        <v>198.05027327089999</v>
      </c>
      <c r="H1316" s="3">
        <f>VALUE(201.6788480466)</f>
        <v>201.6788480466</v>
      </c>
      <c r="I1316" s="1">
        <f>VALUE(3659)</f>
        <v>3659</v>
      </c>
      <c r="J1316" s="1">
        <f>VALUE(3718)</f>
        <v>3718</v>
      </c>
      <c r="K1316" s="1">
        <f>VALUE(4410)</f>
        <v>4410</v>
      </c>
      <c r="L1316" s="1">
        <f>VALUE(5216)</f>
        <v>5216</v>
      </c>
      <c r="M1316" s="1">
        <f>VALUE(6651)</f>
        <v>6651</v>
      </c>
      <c r="N1316" t="s">
        <v>25</v>
      </c>
    </row>
    <row r="1317" spans="1:14" x14ac:dyDescent="0.25">
      <c r="A1317" t="s">
        <v>14</v>
      </c>
      <c r="B1317" t="s">
        <v>39</v>
      </c>
      <c r="C1317" t="s">
        <v>36</v>
      </c>
      <c r="D1317" t="s">
        <v>31</v>
      </c>
      <c r="E1317" t="s">
        <v>23</v>
      </c>
      <c r="F1317" t="s">
        <v>15</v>
      </c>
      <c r="G1317" s="2">
        <f>VALUE(921.0336202129)</f>
        <v>921.03362021290002</v>
      </c>
      <c r="H1317" s="3">
        <f>VALUE(938.4447512758)</f>
        <v>938.44475127579994</v>
      </c>
      <c r="I1317" s="1">
        <f>VALUE(3263)</f>
        <v>3263</v>
      </c>
      <c r="J1317" s="1">
        <f>VALUE(3486)</f>
        <v>3486</v>
      </c>
      <c r="K1317" s="1">
        <f>VALUE(4143)</f>
        <v>4143</v>
      </c>
      <c r="L1317" s="1">
        <f>VALUE(4903)</f>
        <v>4903</v>
      </c>
      <c r="M1317" s="1">
        <f>VALUE(5622)</f>
        <v>5622</v>
      </c>
      <c r="N1317" t="s">
        <v>25</v>
      </c>
    </row>
    <row r="1318" spans="1:14" x14ac:dyDescent="0.25">
      <c r="A1318" t="s">
        <v>14</v>
      </c>
      <c r="B1318" t="s">
        <v>39</v>
      </c>
      <c r="C1318" t="s">
        <v>36</v>
      </c>
      <c r="D1318" t="s">
        <v>31</v>
      </c>
      <c r="E1318" t="s">
        <v>23</v>
      </c>
      <c r="F1318" t="s">
        <v>17</v>
      </c>
      <c r="G1318" s="1" t="str">
        <f t="shared" ref="G1318:M1320" si="268">"X"</f>
        <v>X</v>
      </c>
      <c r="H1318" s="1" t="str">
        <f t="shared" si="268"/>
        <v>X</v>
      </c>
      <c r="I1318" s="1" t="str">
        <f t="shared" si="268"/>
        <v>X</v>
      </c>
      <c r="J1318" s="1" t="str">
        <f t="shared" si="268"/>
        <v>X</v>
      </c>
      <c r="K1318" s="1" t="str">
        <f t="shared" si="268"/>
        <v>X</v>
      </c>
      <c r="L1318" s="1" t="str">
        <f t="shared" si="268"/>
        <v>X</v>
      </c>
      <c r="M1318" s="1" t="str">
        <f t="shared" si="268"/>
        <v>X</v>
      </c>
      <c r="N1318" t="s">
        <v>27</v>
      </c>
    </row>
    <row r="1319" spans="1:14" x14ac:dyDescent="0.25">
      <c r="A1319" t="s">
        <v>14</v>
      </c>
      <c r="B1319" t="s">
        <v>39</v>
      </c>
      <c r="C1319" t="s">
        <v>36</v>
      </c>
      <c r="D1319" t="s">
        <v>31</v>
      </c>
      <c r="E1319" t="s">
        <v>23</v>
      </c>
      <c r="F1319" t="s">
        <v>18</v>
      </c>
      <c r="G1319" s="1" t="str">
        <f t="shared" si="268"/>
        <v>X</v>
      </c>
      <c r="H1319" s="1" t="str">
        <f t="shared" si="268"/>
        <v>X</v>
      </c>
      <c r="I1319" s="1" t="str">
        <f t="shared" si="268"/>
        <v>X</v>
      </c>
      <c r="J1319" s="1" t="str">
        <f t="shared" si="268"/>
        <v>X</v>
      </c>
      <c r="K1319" s="1" t="str">
        <f t="shared" si="268"/>
        <v>X</v>
      </c>
      <c r="L1319" s="1" t="str">
        <f t="shared" si="268"/>
        <v>X</v>
      </c>
      <c r="M1319" s="1" t="str">
        <f t="shared" si="268"/>
        <v>X</v>
      </c>
      <c r="N1319" t="s">
        <v>27</v>
      </c>
    </row>
    <row r="1320" spans="1:14" x14ac:dyDescent="0.25">
      <c r="A1320" t="s">
        <v>14</v>
      </c>
      <c r="B1320" t="s">
        <v>39</v>
      </c>
      <c r="C1320" t="s">
        <v>36</v>
      </c>
      <c r="D1320" t="s">
        <v>31</v>
      </c>
      <c r="E1320" t="s">
        <v>23</v>
      </c>
      <c r="F1320" t="s">
        <v>19</v>
      </c>
      <c r="G1320" s="1" t="str">
        <f t="shared" si="268"/>
        <v>X</v>
      </c>
      <c r="H1320" s="1" t="str">
        <f t="shared" si="268"/>
        <v>X</v>
      </c>
      <c r="I1320" s="1" t="str">
        <f t="shared" si="268"/>
        <v>X</v>
      </c>
      <c r="J1320" s="1" t="str">
        <f t="shared" si="268"/>
        <v>X</v>
      </c>
      <c r="K1320" s="1" t="str">
        <f t="shared" si="268"/>
        <v>X</v>
      </c>
      <c r="L1320" s="1" t="str">
        <f t="shared" si="268"/>
        <v>X</v>
      </c>
      <c r="M1320" s="1" t="str">
        <f t="shared" si="268"/>
        <v>X</v>
      </c>
      <c r="N1320" t="s">
        <v>27</v>
      </c>
    </row>
    <row r="1321" spans="1:14" x14ac:dyDescent="0.25">
      <c r="A1321" t="s">
        <v>14</v>
      </c>
      <c r="B1321" t="s">
        <v>39</v>
      </c>
      <c r="C1321" t="s">
        <v>36</v>
      </c>
      <c r="D1321" t="s">
        <v>31</v>
      </c>
      <c r="E1321" t="s">
        <v>23</v>
      </c>
      <c r="F1321" t="s">
        <v>20</v>
      </c>
      <c r="G1321" s="2">
        <f>VALUE(767.3239328271)</f>
        <v>767.32393282709995</v>
      </c>
      <c r="H1321" s="3">
        <f>VALUE(785.4173223754)</f>
        <v>785.41732237539998</v>
      </c>
      <c r="I1321" s="1">
        <f>VALUE(3206)</f>
        <v>3206</v>
      </c>
      <c r="J1321" s="1">
        <f>VALUE(3453)</f>
        <v>3453</v>
      </c>
      <c r="K1321" s="1">
        <f>VALUE(4078)</f>
        <v>4078</v>
      </c>
      <c r="L1321" s="1">
        <f>VALUE(4784)</f>
        <v>4784</v>
      </c>
      <c r="M1321" s="1">
        <f>VALUE(5512)</f>
        <v>5512</v>
      </c>
      <c r="N1321" t="s">
        <v>25</v>
      </c>
    </row>
    <row r="1322" spans="1:14" x14ac:dyDescent="0.25">
      <c r="A1322" t="s">
        <v>14</v>
      </c>
      <c r="B1322" t="s">
        <v>39</v>
      </c>
      <c r="C1322" t="s">
        <v>36</v>
      </c>
      <c r="D1322" t="s">
        <v>31</v>
      </c>
      <c r="E1322" t="s">
        <v>26</v>
      </c>
      <c r="F1322" t="s">
        <v>15</v>
      </c>
      <c r="G1322" s="1" t="str">
        <f t="shared" ref="G1322:M1324" si="269">"X"</f>
        <v>X</v>
      </c>
      <c r="H1322" s="1" t="str">
        <f t="shared" si="269"/>
        <v>X</v>
      </c>
      <c r="I1322" s="1" t="str">
        <f t="shared" si="269"/>
        <v>X</v>
      </c>
      <c r="J1322" s="1" t="str">
        <f t="shared" si="269"/>
        <v>X</v>
      </c>
      <c r="K1322" s="1" t="str">
        <f t="shared" si="269"/>
        <v>X</v>
      </c>
      <c r="L1322" s="1" t="str">
        <f t="shared" si="269"/>
        <v>X</v>
      </c>
      <c r="M1322" s="1" t="str">
        <f t="shared" si="269"/>
        <v>X</v>
      </c>
      <c r="N1322" t="s">
        <v>27</v>
      </c>
    </row>
    <row r="1323" spans="1:14" x14ac:dyDescent="0.25">
      <c r="A1323" t="s">
        <v>14</v>
      </c>
      <c r="B1323" t="s">
        <v>39</v>
      </c>
      <c r="C1323" t="s">
        <v>36</v>
      </c>
      <c r="D1323" t="s">
        <v>31</v>
      </c>
      <c r="E1323" t="s">
        <v>26</v>
      </c>
      <c r="F1323" t="s">
        <v>17</v>
      </c>
      <c r="G1323" s="1" t="str">
        <f t="shared" si="269"/>
        <v>X</v>
      </c>
      <c r="H1323" s="1" t="str">
        <f t="shared" si="269"/>
        <v>X</v>
      </c>
      <c r="I1323" s="1" t="str">
        <f t="shared" si="269"/>
        <v>X</v>
      </c>
      <c r="J1323" s="1" t="str">
        <f t="shared" si="269"/>
        <v>X</v>
      </c>
      <c r="K1323" s="1" t="str">
        <f t="shared" si="269"/>
        <v>X</v>
      </c>
      <c r="L1323" s="1" t="str">
        <f t="shared" si="269"/>
        <v>X</v>
      </c>
      <c r="M1323" s="1" t="str">
        <f t="shared" si="269"/>
        <v>X</v>
      </c>
      <c r="N1323" t="s">
        <v>27</v>
      </c>
    </row>
    <row r="1324" spans="1:14" x14ac:dyDescent="0.25">
      <c r="A1324" t="s">
        <v>14</v>
      </c>
      <c r="B1324" t="s">
        <v>39</v>
      </c>
      <c r="C1324" t="s">
        <v>36</v>
      </c>
      <c r="D1324" t="s">
        <v>31</v>
      </c>
      <c r="E1324" t="s">
        <v>26</v>
      </c>
      <c r="F1324" t="s">
        <v>18</v>
      </c>
      <c r="G1324" s="1" t="str">
        <f t="shared" si="269"/>
        <v>X</v>
      </c>
      <c r="H1324" s="1" t="str">
        <f t="shared" si="269"/>
        <v>X</v>
      </c>
      <c r="I1324" s="1" t="str">
        <f t="shared" si="269"/>
        <v>X</v>
      </c>
      <c r="J1324" s="1" t="str">
        <f t="shared" si="269"/>
        <v>X</v>
      </c>
      <c r="K1324" s="1" t="str">
        <f t="shared" si="269"/>
        <v>X</v>
      </c>
      <c r="L1324" s="1" t="str">
        <f t="shared" si="269"/>
        <v>X</v>
      </c>
      <c r="M1324" s="1" t="str">
        <f t="shared" si="269"/>
        <v>X</v>
      </c>
      <c r="N1324" t="s">
        <v>27</v>
      </c>
    </row>
    <row r="1325" spans="1:14" x14ac:dyDescent="0.25">
      <c r="A1325" t="s">
        <v>14</v>
      </c>
      <c r="B1325" t="s">
        <v>39</v>
      </c>
      <c r="C1325" t="s">
        <v>36</v>
      </c>
      <c r="D1325" t="s">
        <v>31</v>
      </c>
      <c r="E1325" t="s">
        <v>26</v>
      </c>
      <c r="F1325" t="s">
        <v>19</v>
      </c>
      <c r="G1325" s="1" t="str">
        <f t="shared" ref="G1325:M1325" si="270">"..."</f>
        <v>...</v>
      </c>
      <c r="H1325" s="1" t="str">
        <f t="shared" si="270"/>
        <v>...</v>
      </c>
      <c r="I1325" s="1" t="str">
        <f t="shared" si="270"/>
        <v>...</v>
      </c>
      <c r="J1325" s="1" t="str">
        <f t="shared" si="270"/>
        <v>...</v>
      </c>
      <c r="K1325" s="1" t="str">
        <f t="shared" si="270"/>
        <v>...</v>
      </c>
      <c r="L1325" s="1" t="str">
        <f t="shared" si="270"/>
        <v>...</v>
      </c>
      <c r="M1325" s="1" t="str">
        <f t="shared" si="270"/>
        <v>...</v>
      </c>
      <c r="N1325" t="s">
        <v>30</v>
      </c>
    </row>
    <row r="1326" spans="1:14" x14ac:dyDescent="0.25">
      <c r="A1326" t="s">
        <v>14</v>
      </c>
      <c r="B1326" t="s">
        <v>39</v>
      </c>
      <c r="C1326" t="s">
        <v>36</v>
      </c>
      <c r="D1326" t="s">
        <v>31</v>
      </c>
      <c r="E1326" t="s">
        <v>26</v>
      </c>
      <c r="F1326" t="s">
        <v>20</v>
      </c>
      <c r="G1326" s="1" t="str">
        <f t="shared" ref="G1326:M1326" si="271">"X"</f>
        <v>X</v>
      </c>
      <c r="H1326" s="1" t="str">
        <f t="shared" si="271"/>
        <v>X</v>
      </c>
      <c r="I1326" s="1" t="str">
        <f t="shared" si="271"/>
        <v>X</v>
      </c>
      <c r="J1326" s="1" t="str">
        <f t="shared" si="271"/>
        <v>X</v>
      </c>
      <c r="K1326" s="1" t="str">
        <f t="shared" si="271"/>
        <v>X</v>
      </c>
      <c r="L1326" s="1" t="str">
        <f t="shared" si="271"/>
        <v>X</v>
      </c>
      <c r="M1326" s="1" t="str">
        <f t="shared" si="271"/>
        <v>X</v>
      </c>
      <c r="N1326" t="s">
        <v>27</v>
      </c>
    </row>
    <row r="1327" spans="1:14" x14ac:dyDescent="0.25">
      <c r="A1327" t="s">
        <v>14</v>
      </c>
      <c r="B1327" t="s">
        <v>39</v>
      </c>
      <c r="C1327" t="s">
        <v>36</v>
      </c>
      <c r="D1327" t="s">
        <v>32</v>
      </c>
      <c r="E1327" t="s">
        <v>15</v>
      </c>
      <c r="F1327" t="s">
        <v>15</v>
      </c>
      <c r="G1327" s="1">
        <f>VALUE(5706.2072151809)</f>
        <v>5706.2072151808998</v>
      </c>
      <c r="H1327" s="1">
        <f>VALUE(5614.1693959586)</f>
        <v>5614.1693959586</v>
      </c>
      <c r="I1327" s="1">
        <f>VALUE(3230)</f>
        <v>3230</v>
      </c>
      <c r="J1327" s="1">
        <f>VALUE(3792)</f>
        <v>3792</v>
      </c>
      <c r="K1327" s="1">
        <f>VALUE(4491)</f>
        <v>4491</v>
      </c>
      <c r="L1327" s="1">
        <f>VALUE(5198)</f>
        <v>5198</v>
      </c>
      <c r="M1327" s="1">
        <f>VALUE(6045)</f>
        <v>6045</v>
      </c>
      <c r="N1327" t="s">
        <v>16</v>
      </c>
    </row>
    <row r="1328" spans="1:14" x14ac:dyDescent="0.25">
      <c r="A1328" t="s">
        <v>14</v>
      </c>
      <c r="B1328" t="s">
        <v>39</v>
      </c>
      <c r="C1328" t="s">
        <v>36</v>
      </c>
      <c r="D1328" t="s">
        <v>32</v>
      </c>
      <c r="E1328" t="s">
        <v>15</v>
      </c>
      <c r="F1328" t="s">
        <v>17</v>
      </c>
      <c r="G1328" s="2">
        <f>VALUE(265.8087431308)</f>
        <v>265.8087431308</v>
      </c>
      <c r="H1328" s="3">
        <f>VALUE(258.8765005978)</f>
        <v>258.87650059779997</v>
      </c>
      <c r="I1328" s="1">
        <f>VALUE(3908)</f>
        <v>3908</v>
      </c>
      <c r="J1328" s="1">
        <f>VALUE(4713)</f>
        <v>4713</v>
      </c>
      <c r="K1328" s="1">
        <f>VALUE(5285)</f>
        <v>5285</v>
      </c>
      <c r="L1328" s="1">
        <f>VALUE(6250)</f>
        <v>6250</v>
      </c>
      <c r="M1328" s="8">
        <f>VALUE(7942)</f>
        <v>7942</v>
      </c>
      <c r="N1328" t="s">
        <v>25</v>
      </c>
    </row>
    <row r="1329" spans="1:14" x14ac:dyDescent="0.25">
      <c r="A1329" t="s">
        <v>14</v>
      </c>
      <c r="B1329" t="s">
        <v>39</v>
      </c>
      <c r="C1329" t="s">
        <v>36</v>
      </c>
      <c r="D1329" t="s">
        <v>32</v>
      </c>
      <c r="E1329" t="s">
        <v>15</v>
      </c>
      <c r="F1329" t="s">
        <v>18</v>
      </c>
      <c r="G1329" s="2">
        <f>VALUE(571.9942083498)</f>
        <v>571.99420834980003</v>
      </c>
      <c r="H1329" s="3">
        <f>VALUE(574.5377090529)</f>
        <v>574.53770905290003</v>
      </c>
      <c r="I1329" s="1">
        <f>VALUE(3352)</f>
        <v>3352</v>
      </c>
      <c r="J1329" s="1">
        <f>VALUE(4008)</f>
        <v>4008</v>
      </c>
      <c r="K1329" s="1">
        <f>VALUE(4719)</f>
        <v>4719</v>
      </c>
      <c r="L1329" s="1">
        <f>VALUE(5580)</f>
        <v>5580</v>
      </c>
      <c r="M1329" s="1">
        <f>VALUE(6500)</f>
        <v>6500</v>
      </c>
      <c r="N1329" t="s">
        <v>25</v>
      </c>
    </row>
    <row r="1330" spans="1:14" x14ac:dyDescent="0.25">
      <c r="A1330" t="s">
        <v>14</v>
      </c>
      <c r="B1330" t="s">
        <v>39</v>
      </c>
      <c r="C1330" t="s">
        <v>36</v>
      </c>
      <c r="D1330" t="s">
        <v>32</v>
      </c>
      <c r="E1330" t="s">
        <v>15</v>
      </c>
      <c r="F1330" t="s">
        <v>19</v>
      </c>
      <c r="G1330" s="2">
        <f>VALUE(758.480937429)</f>
        <v>758.48093742900005</v>
      </c>
      <c r="H1330" s="3">
        <f>VALUE(769.9394011774)</f>
        <v>769.93940117739999</v>
      </c>
      <c r="I1330" s="1">
        <f>VALUE(3632)</f>
        <v>3632</v>
      </c>
      <c r="J1330" s="1">
        <f>VALUE(4229)</f>
        <v>4229</v>
      </c>
      <c r="K1330" s="1">
        <f>VALUE(4873)</f>
        <v>4873</v>
      </c>
      <c r="L1330" s="1">
        <f>VALUE(5364)</f>
        <v>5364</v>
      </c>
      <c r="M1330" s="1">
        <f>VALUE(6326)</f>
        <v>6326</v>
      </c>
      <c r="N1330" t="s">
        <v>25</v>
      </c>
    </row>
    <row r="1331" spans="1:14" x14ac:dyDescent="0.25">
      <c r="A1331" t="s">
        <v>14</v>
      </c>
      <c r="B1331" t="s">
        <v>39</v>
      </c>
      <c r="C1331" t="s">
        <v>36</v>
      </c>
      <c r="D1331" t="s">
        <v>32</v>
      </c>
      <c r="E1331" t="s">
        <v>15</v>
      </c>
      <c r="F1331" t="s">
        <v>20</v>
      </c>
      <c r="G1331" s="1">
        <f>VALUE(4108.6455934213)</f>
        <v>4108.6455934213</v>
      </c>
      <c r="H1331" s="1">
        <f>VALUE(4009.4901372986)</f>
        <v>4009.4901372986001</v>
      </c>
      <c r="I1331" s="1">
        <f>VALUE(3132)</f>
        <v>3132</v>
      </c>
      <c r="J1331" s="1">
        <f>VALUE(3683)</f>
        <v>3683</v>
      </c>
      <c r="K1331" s="1">
        <f>VALUE(4318)</f>
        <v>4318</v>
      </c>
      <c r="L1331" s="1">
        <f>VALUE(5056)</f>
        <v>5056</v>
      </c>
      <c r="M1331" s="1">
        <f>VALUE(5773)</f>
        <v>5773</v>
      </c>
      <c r="N1331" t="s">
        <v>16</v>
      </c>
    </row>
    <row r="1332" spans="1:14" x14ac:dyDescent="0.25">
      <c r="A1332" t="s">
        <v>14</v>
      </c>
      <c r="B1332" t="s">
        <v>39</v>
      </c>
      <c r="C1332" t="s">
        <v>36</v>
      </c>
      <c r="D1332" t="s">
        <v>32</v>
      </c>
      <c r="E1332" t="s">
        <v>21</v>
      </c>
      <c r="F1332" t="s">
        <v>15</v>
      </c>
      <c r="G1332" s="2">
        <f>VALUE(869.0823398487)</f>
        <v>869.08233984870003</v>
      </c>
      <c r="H1332" s="3">
        <f>VALUE(849.3566630674)</f>
        <v>849.35666306739995</v>
      </c>
      <c r="I1332" s="1">
        <f>VALUE(3674)</f>
        <v>3674</v>
      </c>
      <c r="J1332" s="1">
        <f>VALUE(4366)</f>
        <v>4366</v>
      </c>
      <c r="K1332" s="1">
        <f>VALUE(5119)</f>
        <v>5119</v>
      </c>
      <c r="L1332" s="1">
        <f>VALUE(6177)</f>
        <v>6177</v>
      </c>
      <c r="M1332" s="1">
        <f>VALUE(7095)</f>
        <v>7095</v>
      </c>
      <c r="N1332" t="s">
        <v>25</v>
      </c>
    </row>
    <row r="1333" spans="1:14" x14ac:dyDescent="0.25">
      <c r="A1333" t="s">
        <v>14</v>
      </c>
      <c r="B1333" t="s">
        <v>39</v>
      </c>
      <c r="C1333" t="s">
        <v>36</v>
      </c>
      <c r="D1333" t="s">
        <v>32</v>
      </c>
      <c r="E1333" t="s">
        <v>21</v>
      </c>
      <c r="F1333" t="s">
        <v>17</v>
      </c>
      <c r="G1333" s="1" t="str">
        <f t="shared" ref="G1333:M1333" si="272">"X"</f>
        <v>X</v>
      </c>
      <c r="H1333" s="1" t="str">
        <f t="shared" si="272"/>
        <v>X</v>
      </c>
      <c r="I1333" s="1" t="str">
        <f t="shared" si="272"/>
        <v>X</v>
      </c>
      <c r="J1333" s="1" t="str">
        <f t="shared" si="272"/>
        <v>X</v>
      </c>
      <c r="K1333" s="1" t="str">
        <f t="shared" si="272"/>
        <v>X</v>
      </c>
      <c r="L1333" s="1" t="str">
        <f t="shared" si="272"/>
        <v>X</v>
      </c>
      <c r="M1333" s="1" t="str">
        <f t="shared" si="272"/>
        <v>X</v>
      </c>
      <c r="N1333" t="s">
        <v>27</v>
      </c>
    </row>
    <row r="1334" spans="1:14" x14ac:dyDescent="0.25">
      <c r="A1334" t="s">
        <v>14</v>
      </c>
      <c r="B1334" t="s">
        <v>39</v>
      </c>
      <c r="C1334" t="s">
        <v>36</v>
      </c>
      <c r="D1334" t="s">
        <v>32</v>
      </c>
      <c r="E1334" t="s">
        <v>21</v>
      </c>
      <c r="F1334" t="s">
        <v>18</v>
      </c>
      <c r="G1334" s="2">
        <f>VALUE(209.9246156181)</f>
        <v>209.92461561810001</v>
      </c>
      <c r="H1334" s="3">
        <f>VALUE(209.4691920658)</f>
        <v>209.4691920658</v>
      </c>
      <c r="I1334" s="4">
        <f>VALUE(3798)</f>
        <v>3798</v>
      </c>
      <c r="J1334" s="1">
        <f>VALUE(4382)</f>
        <v>4382</v>
      </c>
      <c r="K1334" s="1">
        <f>VALUE(5134)</f>
        <v>5134</v>
      </c>
      <c r="L1334" s="1">
        <f>VALUE(6077)</f>
        <v>6077</v>
      </c>
      <c r="M1334" s="8">
        <f>VALUE(6933)</f>
        <v>6933</v>
      </c>
      <c r="N1334" t="s">
        <v>25</v>
      </c>
    </row>
    <row r="1335" spans="1:14" x14ac:dyDescent="0.25">
      <c r="A1335" t="s">
        <v>14</v>
      </c>
      <c r="B1335" t="s">
        <v>39</v>
      </c>
      <c r="C1335" t="s">
        <v>36</v>
      </c>
      <c r="D1335" t="s">
        <v>32</v>
      </c>
      <c r="E1335" t="s">
        <v>21</v>
      </c>
      <c r="F1335" t="s">
        <v>19</v>
      </c>
      <c r="G1335" s="2">
        <f>VALUE(175.9625296908)</f>
        <v>175.96252969080001</v>
      </c>
      <c r="H1335" s="3">
        <f>VALUE(172.4623264165)</f>
        <v>172.46232641649999</v>
      </c>
      <c r="I1335" s="1">
        <f>VALUE(3370)</f>
        <v>3370</v>
      </c>
      <c r="J1335" s="5">
        <f>VALUE(4722)</f>
        <v>4722</v>
      </c>
      <c r="K1335" s="1">
        <f>VALUE(5200)</f>
        <v>5200</v>
      </c>
      <c r="L1335" s="1">
        <f>VALUE(6134)</f>
        <v>6134</v>
      </c>
      <c r="M1335" s="8">
        <f>VALUE(7143)</f>
        <v>7143</v>
      </c>
      <c r="N1335" t="s">
        <v>25</v>
      </c>
    </row>
    <row r="1336" spans="1:14" x14ac:dyDescent="0.25">
      <c r="A1336" t="s">
        <v>14</v>
      </c>
      <c r="B1336" t="s">
        <v>39</v>
      </c>
      <c r="C1336" t="s">
        <v>36</v>
      </c>
      <c r="D1336" t="s">
        <v>32</v>
      </c>
      <c r="E1336" t="s">
        <v>21</v>
      </c>
      <c r="F1336" t="s">
        <v>20</v>
      </c>
      <c r="G1336" s="2">
        <f>VALUE(334.8616532654)</f>
        <v>334.86165326539998</v>
      </c>
      <c r="H1336" s="3">
        <f>VALUE(330.755207837)</f>
        <v>330.755207837</v>
      </c>
      <c r="I1336" s="4">
        <f>VALUE(3375)</f>
        <v>3375</v>
      </c>
      <c r="J1336" s="1">
        <f>VALUE(4121)</f>
        <v>4121</v>
      </c>
      <c r="K1336" s="1">
        <f>VALUE(4915)</f>
        <v>4915</v>
      </c>
      <c r="L1336" s="1">
        <f>VALUE(6000)</f>
        <v>6000</v>
      </c>
      <c r="M1336" s="1">
        <f>VALUE(6807)</f>
        <v>6807</v>
      </c>
      <c r="N1336" t="s">
        <v>25</v>
      </c>
    </row>
    <row r="1337" spans="1:14" x14ac:dyDescent="0.25">
      <c r="A1337" t="s">
        <v>14</v>
      </c>
      <c r="B1337" t="s">
        <v>39</v>
      </c>
      <c r="C1337" t="s">
        <v>36</v>
      </c>
      <c r="D1337" t="s">
        <v>32</v>
      </c>
      <c r="E1337" t="s">
        <v>22</v>
      </c>
      <c r="F1337" t="s">
        <v>15</v>
      </c>
      <c r="G1337" s="1">
        <f>VALUE(1632.4039998345)</f>
        <v>1632.4039998344999</v>
      </c>
      <c r="H1337" s="1">
        <f>VALUE(1661.8936189567)</f>
        <v>1661.8936189567</v>
      </c>
      <c r="I1337" s="1">
        <f>VALUE(3523)</f>
        <v>3523</v>
      </c>
      <c r="J1337" s="1">
        <f>VALUE(4076)</f>
        <v>4076</v>
      </c>
      <c r="K1337" s="1">
        <f>VALUE(4705)</f>
        <v>4705</v>
      </c>
      <c r="L1337" s="1">
        <f>VALUE(5333)</f>
        <v>5333</v>
      </c>
      <c r="M1337" s="1">
        <f>VALUE(6169)</f>
        <v>6169</v>
      </c>
      <c r="N1337" t="s">
        <v>16</v>
      </c>
    </row>
    <row r="1338" spans="1:14" x14ac:dyDescent="0.25">
      <c r="A1338" t="s">
        <v>14</v>
      </c>
      <c r="B1338" t="s">
        <v>39</v>
      </c>
      <c r="C1338" t="s">
        <v>36</v>
      </c>
      <c r="D1338" t="s">
        <v>32</v>
      </c>
      <c r="E1338" t="s">
        <v>22</v>
      </c>
      <c r="F1338" t="s">
        <v>17</v>
      </c>
      <c r="G1338" s="1" t="str">
        <f t="shared" ref="G1338:M1338" si="273">"X"</f>
        <v>X</v>
      </c>
      <c r="H1338" s="1" t="str">
        <f t="shared" si="273"/>
        <v>X</v>
      </c>
      <c r="I1338" s="1" t="str">
        <f t="shared" si="273"/>
        <v>X</v>
      </c>
      <c r="J1338" s="1" t="str">
        <f t="shared" si="273"/>
        <v>X</v>
      </c>
      <c r="K1338" s="1" t="str">
        <f t="shared" si="273"/>
        <v>X</v>
      </c>
      <c r="L1338" s="1" t="str">
        <f t="shared" si="273"/>
        <v>X</v>
      </c>
      <c r="M1338" s="1" t="str">
        <f t="shared" si="273"/>
        <v>X</v>
      </c>
      <c r="N1338" t="s">
        <v>27</v>
      </c>
    </row>
    <row r="1339" spans="1:14" x14ac:dyDescent="0.25">
      <c r="A1339" t="s">
        <v>14</v>
      </c>
      <c r="B1339" t="s">
        <v>39</v>
      </c>
      <c r="C1339" t="s">
        <v>36</v>
      </c>
      <c r="D1339" t="s">
        <v>32</v>
      </c>
      <c r="E1339" t="s">
        <v>22</v>
      </c>
      <c r="F1339" t="s">
        <v>18</v>
      </c>
      <c r="G1339" s="2">
        <f>VALUE(184.8313232113)</f>
        <v>184.8313232113</v>
      </c>
      <c r="H1339" s="3">
        <f>VALUE(188.4082766488)</f>
        <v>188.40827664880001</v>
      </c>
      <c r="I1339" s="1">
        <f>VALUE(3382)</f>
        <v>3382</v>
      </c>
      <c r="J1339" s="1">
        <f>VALUE(4044)</f>
        <v>4044</v>
      </c>
      <c r="K1339" s="1">
        <f>VALUE(4713)</f>
        <v>4713</v>
      </c>
      <c r="L1339" s="1">
        <f>VALUE(5580)</f>
        <v>5580</v>
      </c>
      <c r="M1339" s="1">
        <f>VALUE(6440)</f>
        <v>6440</v>
      </c>
      <c r="N1339" t="s">
        <v>25</v>
      </c>
    </row>
    <row r="1340" spans="1:14" x14ac:dyDescent="0.25">
      <c r="A1340" t="s">
        <v>14</v>
      </c>
      <c r="B1340" t="s">
        <v>39</v>
      </c>
      <c r="C1340" t="s">
        <v>36</v>
      </c>
      <c r="D1340" t="s">
        <v>32</v>
      </c>
      <c r="E1340" t="s">
        <v>22</v>
      </c>
      <c r="F1340" t="s">
        <v>19</v>
      </c>
      <c r="G1340" s="2">
        <f>VALUE(365.8172606793)</f>
        <v>365.81726067929998</v>
      </c>
      <c r="H1340" s="3">
        <f>VALUE(375.1911723598)</f>
        <v>375.19117235980002</v>
      </c>
      <c r="I1340" s="4">
        <f>VALUE(3745)</f>
        <v>3745</v>
      </c>
      <c r="J1340" s="1">
        <f>VALUE(4333)</f>
        <v>4333</v>
      </c>
      <c r="K1340" s="1">
        <f>VALUE(4930)</f>
        <v>4930</v>
      </c>
      <c r="L1340" s="1">
        <f>VALUE(5364)</f>
        <v>5364</v>
      </c>
      <c r="M1340" s="1">
        <f>VALUE(6226)</f>
        <v>6226</v>
      </c>
      <c r="N1340" t="s">
        <v>25</v>
      </c>
    </row>
    <row r="1341" spans="1:14" x14ac:dyDescent="0.25">
      <c r="A1341" t="s">
        <v>14</v>
      </c>
      <c r="B1341" t="s">
        <v>39</v>
      </c>
      <c r="C1341" t="s">
        <v>36</v>
      </c>
      <c r="D1341" t="s">
        <v>32</v>
      </c>
      <c r="E1341" t="s">
        <v>22</v>
      </c>
      <c r="F1341" t="s">
        <v>20</v>
      </c>
      <c r="G1341" s="2">
        <f>VALUE(1030.5309301697)</f>
        <v>1030.5309301697</v>
      </c>
      <c r="H1341" s="3">
        <f>VALUE(1044.7277407451)</f>
        <v>1044.7277407450999</v>
      </c>
      <c r="I1341" s="1">
        <f>VALUE(3500)</f>
        <v>3500</v>
      </c>
      <c r="J1341" s="1">
        <f>VALUE(4008)</f>
        <v>4008</v>
      </c>
      <c r="K1341" s="1">
        <f>VALUE(4595)</f>
        <v>4595</v>
      </c>
      <c r="L1341" s="1">
        <f>VALUE(5241)</f>
        <v>5241</v>
      </c>
      <c r="M1341" s="1">
        <f>VALUE(5959)</f>
        <v>5959</v>
      </c>
      <c r="N1341" t="s">
        <v>25</v>
      </c>
    </row>
    <row r="1342" spans="1:14" x14ac:dyDescent="0.25">
      <c r="A1342" t="s">
        <v>14</v>
      </c>
      <c r="B1342" t="s">
        <v>39</v>
      </c>
      <c r="C1342" t="s">
        <v>36</v>
      </c>
      <c r="D1342" t="s">
        <v>32</v>
      </c>
      <c r="E1342" t="s">
        <v>23</v>
      </c>
      <c r="F1342" t="s">
        <v>15</v>
      </c>
      <c r="G1342" s="1">
        <f>VALUE(3195.0456678182)</f>
        <v>3195.0456678181999</v>
      </c>
      <c r="H1342" s="1">
        <f>VALUE(3094.0458210619)</f>
        <v>3094.0458210618999</v>
      </c>
      <c r="I1342" s="1">
        <f>VALUE(3100)</f>
        <v>3100</v>
      </c>
      <c r="J1342" s="1">
        <f>VALUE(3526)</f>
        <v>3526</v>
      </c>
      <c r="K1342" s="1">
        <f>VALUE(4166)</f>
        <v>4166</v>
      </c>
      <c r="L1342" s="1">
        <f>VALUE(4908)</f>
        <v>4908</v>
      </c>
      <c r="M1342" s="1">
        <f>VALUE(5571)</f>
        <v>5571</v>
      </c>
      <c r="N1342" t="s">
        <v>16</v>
      </c>
    </row>
    <row r="1343" spans="1:14" x14ac:dyDescent="0.25">
      <c r="A1343" t="s">
        <v>14</v>
      </c>
      <c r="B1343" t="s">
        <v>39</v>
      </c>
      <c r="C1343" t="s">
        <v>36</v>
      </c>
      <c r="D1343" t="s">
        <v>32</v>
      </c>
      <c r="E1343" t="s">
        <v>23</v>
      </c>
      <c r="F1343" t="s">
        <v>17</v>
      </c>
      <c r="G1343" s="1" t="str">
        <f t="shared" ref="G1343:M1343" si="274">"X"</f>
        <v>X</v>
      </c>
      <c r="H1343" s="1" t="str">
        <f t="shared" si="274"/>
        <v>X</v>
      </c>
      <c r="I1343" s="1" t="str">
        <f t="shared" si="274"/>
        <v>X</v>
      </c>
      <c r="J1343" s="1" t="str">
        <f t="shared" si="274"/>
        <v>X</v>
      </c>
      <c r="K1343" s="1" t="str">
        <f t="shared" si="274"/>
        <v>X</v>
      </c>
      <c r="L1343" s="1" t="str">
        <f t="shared" si="274"/>
        <v>X</v>
      </c>
      <c r="M1343" s="1" t="str">
        <f t="shared" si="274"/>
        <v>X</v>
      </c>
      <c r="N1343" t="s">
        <v>27</v>
      </c>
    </row>
    <row r="1344" spans="1:14" x14ac:dyDescent="0.25">
      <c r="A1344" t="s">
        <v>14</v>
      </c>
      <c r="B1344" t="s">
        <v>39</v>
      </c>
      <c r="C1344" t="s">
        <v>36</v>
      </c>
      <c r="D1344" t="s">
        <v>32</v>
      </c>
      <c r="E1344" t="s">
        <v>23</v>
      </c>
      <c r="F1344" t="s">
        <v>18</v>
      </c>
      <c r="G1344" s="2">
        <f>VALUE(177.2382695204)</f>
        <v>177.2382695204</v>
      </c>
      <c r="H1344" s="3">
        <f>VALUE(176.6602403383)</f>
        <v>176.66024033830001</v>
      </c>
      <c r="I1344" s="1">
        <f>VALUE(3200)</f>
        <v>3200</v>
      </c>
      <c r="J1344" s="5">
        <f>VALUE(3501)</f>
        <v>3501</v>
      </c>
      <c r="K1344" s="6">
        <f>VALUE(4127)</f>
        <v>4127</v>
      </c>
      <c r="L1344" s="1">
        <f>VALUE(4842)</f>
        <v>4842</v>
      </c>
      <c r="M1344" s="1">
        <f>VALUE(5633)</f>
        <v>5633</v>
      </c>
      <c r="N1344" t="s">
        <v>25</v>
      </c>
    </row>
    <row r="1345" spans="1:14" x14ac:dyDescent="0.25">
      <c r="A1345" t="s">
        <v>14</v>
      </c>
      <c r="B1345" t="s">
        <v>39</v>
      </c>
      <c r="C1345" t="s">
        <v>36</v>
      </c>
      <c r="D1345" t="s">
        <v>32</v>
      </c>
      <c r="E1345" t="s">
        <v>23</v>
      </c>
      <c r="F1345" t="s">
        <v>19</v>
      </c>
      <c r="G1345" s="2">
        <f>VALUE(216.7011470589)</f>
        <v>216.70114705890001</v>
      </c>
      <c r="H1345" s="3">
        <f>VALUE(222.2859024011)</f>
        <v>222.2859024011</v>
      </c>
      <c r="I1345" s="1">
        <f>VALUE(3580)</f>
        <v>3580</v>
      </c>
      <c r="J1345" s="1">
        <f>VALUE(4111)</f>
        <v>4111</v>
      </c>
      <c r="K1345" s="1">
        <f>VALUE(4714)</f>
        <v>4714</v>
      </c>
      <c r="L1345" s="1">
        <f>VALUE(5098)</f>
        <v>5098</v>
      </c>
      <c r="M1345" s="1">
        <f>VALUE(5577)</f>
        <v>5577</v>
      </c>
      <c r="N1345" t="s">
        <v>25</v>
      </c>
    </row>
    <row r="1346" spans="1:14" x14ac:dyDescent="0.25">
      <c r="A1346" t="s">
        <v>14</v>
      </c>
      <c r="B1346" t="s">
        <v>39</v>
      </c>
      <c r="C1346" t="s">
        <v>36</v>
      </c>
      <c r="D1346" t="s">
        <v>32</v>
      </c>
      <c r="E1346" t="s">
        <v>23</v>
      </c>
      <c r="F1346" t="s">
        <v>20</v>
      </c>
      <c r="G1346" s="1">
        <f>VALUE(2736.1670587614)</f>
        <v>2736.1670587613999</v>
      </c>
      <c r="H1346" s="1">
        <f>VALUE(2627.8366434607)</f>
        <v>2627.8366434607001</v>
      </c>
      <c r="I1346" s="1">
        <f>VALUE(3048)</f>
        <v>3048</v>
      </c>
      <c r="J1346" s="1">
        <f>VALUE(3501)</f>
        <v>3501</v>
      </c>
      <c r="K1346" s="1">
        <f>VALUE(4097)</f>
        <v>4097</v>
      </c>
      <c r="L1346" s="1">
        <f>VALUE(4830)</f>
        <v>4830</v>
      </c>
      <c r="M1346" s="1">
        <f>VALUE(5516)</f>
        <v>5516</v>
      </c>
      <c r="N1346" t="s">
        <v>16</v>
      </c>
    </row>
    <row r="1347" spans="1:14" x14ac:dyDescent="0.25">
      <c r="A1347" t="s">
        <v>14</v>
      </c>
      <c r="B1347" t="s">
        <v>39</v>
      </c>
      <c r="C1347" t="s">
        <v>36</v>
      </c>
      <c r="D1347" t="s">
        <v>32</v>
      </c>
      <c r="E1347" t="s">
        <v>26</v>
      </c>
      <c r="F1347" t="s">
        <v>15</v>
      </c>
      <c r="G1347" s="1" t="str">
        <f t="shared" ref="G1347:M1348" si="275">"X"</f>
        <v>X</v>
      </c>
      <c r="H1347" s="1" t="str">
        <f t="shared" si="275"/>
        <v>X</v>
      </c>
      <c r="I1347" s="1" t="str">
        <f t="shared" si="275"/>
        <v>X</v>
      </c>
      <c r="J1347" s="1" t="str">
        <f t="shared" si="275"/>
        <v>X</v>
      </c>
      <c r="K1347" s="1" t="str">
        <f t="shared" si="275"/>
        <v>X</v>
      </c>
      <c r="L1347" s="1" t="str">
        <f t="shared" si="275"/>
        <v>X</v>
      </c>
      <c r="M1347" s="1" t="str">
        <f t="shared" si="275"/>
        <v>X</v>
      </c>
      <c r="N1347" t="s">
        <v>27</v>
      </c>
    </row>
    <row r="1348" spans="1:14" x14ac:dyDescent="0.25">
      <c r="A1348" t="s">
        <v>14</v>
      </c>
      <c r="B1348" t="s">
        <v>39</v>
      </c>
      <c r="C1348" t="s">
        <v>36</v>
      </c>
      <c r="D1348" t="s">
        <v>32</v>
      </c>
      <c r="E1348" t="s">
        <v>26</v>
      </c>
      <c r="F1348" t="s">
        <v>17</v>
      </c>
      <c r="G1348" s="1" t="str">
        <f t="shared" si="275"/>
        <v>X</v>
      </c>
      <c r="H1348" s="1" t="str">
        <f t="shared" si="275"/>
        <v>X</v>
      </c>
      <c r="I1348" s="1" t="str">
        <f t="shared" si="275"/>
        <v>X</v>
      </c>
      <c r="J1348" s="1" t="str">
        <f t="shared" si="275"/>
        <v>X</v>
      </c>
      <c r="K1348" s="1" t="str">
        <f t="shared" si="275"/>
        <v>X</v>
      </c>
      <c r="L1348" s="1" t="str">
        <f t="shared" si="275"/>
        <v>X</v>
      </c>
      <c r="M1348" s="1" t="str">
        <f t="shared" si="275"/>
        <v>X</v>
      </c>
      <c r="N1348" t="s">
        <v>27</v>
      </c>
    </row>
    <row r="1349" spans="1:14" x14ac:dyDescent="0.25">
      <c r="A1349" t="s">
        <v>14</v>
      </c>
      <c r="B1349" t="s">
        <v>39</v>
      </c>
      <c r="C1349" t="s">
        <v>36</v>
      </c>
      <c r="D1349" t="s">
        <v>32</v>
      </c>
      <c r="E1349" t="s">
        <v>26</v>
      </c>
      <c r="F1349" t="s">
        <v>18</v>
      </c>
      <c r="G1349" s="1" t="str">
        <f t="shared" ref="G1349:M1350" si="276">"..."</f>
        <v>...</v>
      </c>
      <c r="H1349" s="1" t="str">
        <f t="shared" si="276"/>
        <v>...</v>
      </c>
      <c r="I1349" s="1" t="str">
        <f t="shared" si="276"/>
        <v>...</v>
      </c>
      <c r="J1349" s="1" t="str">
        <f t="shared" si="276"/>
        <v>...</v>
      </c>
      <c r="K1349" s="1" t="str">
        <f t="shared" si="276"/>
        <v>...</v>
      </c>
      <c r="L1349" s="1" t="str">
        <f t="shared" si="276"/>
        <v>...</v>
      </c>
      <c r="M1349" s="1" t="str">
        <f t="shared" si="276"/>
        <v>...</v>
      </c>
      <c r="N1349" t="s">
        <v>30</v>
      </c>
    </row>
    <row r="1350" spans="1:14" x14ac:dyDescent="0.25">
      <c r="A1350" t="s">
        <v>14</v>
      </c>
      <c r="B1350" t="s">
        <v>39</v>
      </c>
      <c r="C1350" t="s">
        <v>36</v>
      </c>
      <c r="D1350" t="s">
        <v>32</v>
      </c>
      <c r="E1350" t="s">
        <v>26</v>
      </c>
      <c r="F1350" t="s">
        <v>19</v>
      </c>
      <c r="G1350" s="1" t="str">
        <f t="shared" si="276"/>
        <v>...</v>
      </c>
      <c r="H1350" s="1" t="str">
        <f t="shared" si="276"/>
        <v>...</v>
      </c>
      <c r="I1350" s="1" t="str">
        <f t="shared" si="276"/>
        <v>...</v>
      </c>
      <c r="J1350" s="1" t="str">
        <f t="shared" si="276"/>
        <v>...</v>
      </c>
      <c r="K1350" s="1" t="str">
        <f t="shared" si="276"/>
        <v>...</v>
      </c>
      <c r="L1350" s="1" t="str">
        <f t="shared" si="276"/>
        <v>...</v>
      </c>
      <c r="M1350" s="1" t="str">
        <f t="shared" si="276"/>
        <v>...</v>
      </c>
      <c r="N1350" t="s">
        <v>30</v>
      </c>
    </row>
    <row r="1351" spans="1:14" x14ac:dyDescent="0.25">
      <c r="A1351" t="s">
        <v>14</v>
      </c>
      <c r="B1351" t="s">
        <v>39</v>
      </c>
      <c r="C1351" t="s">
        <v>36</v>
      </c>
      <c r="D1351" t="s">
        <v>32</v>
      </c>
      <c r="E1351" t="s">
        <v>26</v>
      </c>
      <c r="F1351" t="s">
        <v>20</v>
      </c>
      <c r="G1351" s="1" t="str">
        <f t="shared" ref="G1351:M1351" si="277">"X"</f>
        <v>X</v>
      </c>
      <c r="H1351" s="1" t="str">
        <f t="shared" si="277"/>
        <v>X</v>
      </c>
      <c r="I1351" s="1" t="str">
        <f t="shared" si="277"/>
        <v>X</v>
      </c>
      <c r="J1351" s="1" t="str">
        <f t="shared" si="277"/>
        <v>X</v>
      </c>
      <c r="K1351" s="1" t="str">
        <f t="shared" si="277"/>
        <v>X</v>
      </c>
      <c r="L1351" s="1" t="str">
        <f t="shared" si="277"/>
        <v>X</v>
      </c>
      <c r="M1351" s="1" t="str">
        <f t="shared" si="277"/>
        <v>X</v>
      </c>
      <c r="N1351" t="s">
        <v>27</v>
      </c>
    </row>
    <row r="1352" spans="1:14" x14ac:dyDescent="0.25">
      <c r="A1352" t="s">
        <v>14</v>
      </c>
      <c r="B1352" t="s">
        <v>39</v>
      </c>
      <c r="C1352" t="s">
        <v>36</v>
      </c>
      <c r="D1352" t="s">
        <v>33</v>
      </c>
      <c r="E1352" t="s">
        <v>15</v>
      </c>
      <c r="F1352" t="s">
        <v>15</v>
      </c>
      <c r="G1352" s="2">
        <f>VALUE(362.4815544156)</f>
        <v>362.48155441559999</v>
      </c>
      <c r="H1352" s="3">
        <f>VALUE(348.2450671268)</f>
        <v>348.2450671268</v>
      </c>
      <c r="I1352" s="4">
        <f>VALUE(3048)</f>
        <v>3048</v>
      </c>
      <c r="J1352" s="5">
        <f>VALUE(3750)</f>
        <v>3750</v>
      </c>
      <c r="K1352" s="6">
        <f>VALUE(4276)</f>
        <v>4276</v>
      </c>
      <c r="L1352" s="7">
        <f>VALUE(5618)</f>
        <v>5618</v>
      </c>
      <c r="M1352" s="8">
        <f>VALUE(6812)</f>
        <v>6812</v>
      </c>
      <c r="N1352" t="s">
        <v>24</v>
      </c>
    </row>
    <row r="1353" spans="1:14" x14ac:dyDescent="0.25">
      <c r="A1353" t="s">
        <v>14</v>
      </c>
      <c r="B1353" t="s">
        <v>39</v>
      </c>
      <c r="C1353" t="s">
        <v>36</v>
      </c>
      <c r="D1353" t="s">
        <v>33</v>
      </c>
      <c r="E1353" t="s">
        <v>15</v>
      </c>
      <c r="F1353" t="s">
        <v>17</v>
      </c>
      <c r="G1353" s="1" t="str">
        <f t="shared" ref="G1353:M1355" si="278">"X"</f>
        <v>X</v>
      </c>
      <c r="H1353" s="1" t="str">
        <f t="shared" si="278"/>
        <v>X</v>
      </c>
      <c r="I1353" s="1" t="str">
        <f t="shared" si="278"/>
        <v>X</v>
      </c>
      <c r="J1353" s="1" t="str">
        <f t="shared" si="278"/>
        <v>X</v>
      </c>
      <c r="K1353" s="1" t="str">
        <f t="shared" si="278"/>
        <v>X</v>
      </c>
      <c r="L1353" s="1" t="str">
        <f t="shared" si="278"/>
        <v>X</v>
      </c>
      <c r="M1353" s="1" t="str">
        <f t="shared" si="278"/>
        <v>X</v>
      </c>
      <c r="N1353" t="s">
        <v>27</v>
      </c>
    </row>
    <row r="1354" spans="1:14" x14ac:dyDescent="0.25">
      <c r="A1354" t="s">
        <v>14</v>
      </c>
      <c r="B1354" t="s">
        <v>39</v>
      </c>
      <c r="C1354" t="s">
        <v>36</v>
      </c>
      <c r="D1354" t="s">
        <v>33</v>
      </c>
      <c r="E1354" t="s">
        <v>15</v>
      </c>
      <c r="F1354" t="s">
        <v>18</v>
      </c>
      <c r="G1354" s="1" t="str">
        <f t="shared" si="278"/>
        <v>X</v>
      </c>
      <c r="H1354" s="1" t="str">
        <f t="shared" si="278"/>
        <v>X</v>
      </c>
      <c r="I1354" s="1" t="str">
        <f t="shared" si="278"/>
        <v>X</v>
      </c>
      <c r="J1354" s="1" t="str">
        <f t="shared" si="278"/>
        <v>X</v>
      </c>
      <c r="K1354" s="1" t="str">
        <f t="shared" si="278"/>
        <v>X</v>
      </c>
      <c r="L1354" s="1" t="str">
        <f t="shared" si="278"/>
        <v>X</v>
      </c>
      <c r="M1354" s="1" t="str">
        <f t="shared" si="278"/>
        <v>X</v>
      </c>
      <c r="N1354" t="s">
        <v>27</v>
      </c>
    </row>
    <row r="1355" spans="1:14" x14ac:dyDescent="0.25">
      <c r="A1355" t="s">
        <v>14</v>
      </c>
      <c r="B1355" t="s">
        <v>39</v>
      </c>
      <c r="C1355" t="s">
        <v>36</v>
      </c>
      <c r="D1355" t="s">
        <v>33</v>
      </c>
      <c r="E1355" t="s">
        <v>15</v>
      </c>
      <c r="F1355" t="s">
        <v>19</v>
      </c>
      <c r="G1355" s="1" t="str">
        <f t="shared" si="278"/>
        <v>X</v>
      </c>
      <c r="H1355" s="1" t="str">
        <f t="shared" si="278"/>
        <v>X</v>
      </c>
      <c r="I1355" s="1" t="str">
        <f t="shared" si="278"/>
        <v>X</v>
      </c>
      <c r="J1355" s="1" t="str">
        <f t="shared" si="278"/>
        <v>X</v>
      </c>
      <c r="K1355" s="1" t="str">
        <f t="shared" si="278"/>
        <v>X</v>
      </c>
      <c r="L1355" s="1" t="str">
        <f t="shared" si="278"/>
        <v>X</v>
      </c>
      <c r="M1355" s="1" t="str">
        <f t="shared" si="278"/>
        <v>X</v>
      </c>
      <c r="N1355" t="s">
        <v>27</v>
      </c>
    </row>
    <row r="1356" spans="1:14" x14ac:dyDescent="0.25">
      <c r="A1356" t="s">
        <v>14</v>
      </c>
      <c r="B1356" t="s">
        <v>39</v>
      </c>
      <c r="C1356" t="s">
        <v>36</v>
      </c>
      <c r="D1356" t="s">
        <v>33</v>
      </c>
      <c r="E1356" t="s">
        <v>15</v>
      </c>
      <c r="F1356" t="s">
        <v>20</v>
      </c>
      <c r="G1356" s="2">
        <f>VALUE(221.882492344)</f>
        <v>221.88249234400001</v>
      </c>
      <c r="H1356" s="3">
        <f>VALUE(233.1591019526)</f>
        <v>233.1591019526</v>
      </c>
      <c r="I1356" s="4">
        <f>VALUE(3048)</f>
        <v>3048</v>
      </c>
      <c r="J1356" s="5">
        <f>VALUE(3364)</f>
        <v>3364</v>
      </c>
      <c r="K1356" s="6">
        <f>VALUE(3869)</f>
        <v>3869</v>
      </c>
      <c r="L1356" s="7">
        <f>VALUE(5258)</f>
        <v>5258</v>
      </c>
      <c r="M1356" s="1">
        <f>VALUE(6421)</f>
        <v>6421</v>
      </c>
      <c r="N1356" t="s">
        <v>25</v>
      </c>
    </row>
    <row r="1357" spans="1:14" x14ac:dyDescent="0.25">
      <c r="A1357" t="s">
        <v>14</v>
      </c>
      <c r="B1357" t="s">
        <v>39</v>
      </c>
      <c r="C1357" t="s">
        <v>36</v>
      </c>
      <c r="D1357" t="s">
        <v>33</v>
      </c>
      <c r="E1357" t="s">
        <v>21</v>
      </c>
      <c r="F1357" t="s">
        <v>15</v>
      </c>
      <c r="G1357" s="1" t="str">
        <f t="shared" ref="G1357:M1369" si="279">"X"</f>
        <v>X</v>
      </c>
      <c r="H1357" s="1" t="str">
        <f t="shared" si="279"/>
        <v>X</v>
      </c>
      <c r="I1357" s="1" t="str">
        <f t="shared" si="279"/>
        <v>X</v>
      </c>
      <c r="J1357" s="1" t="str">
        <f t="shared" si="279"/>
        <v>X</v>
      </c>
      <c r="K1357" s="1" t="str">
        <f t="shared" si="279"/>
        <v>X</v>
      </c>
      <c r="L1357" s="1" t="str">
        <f t="shared" si="279"/>
        <v>X</v>
      </c>
      <c r="M1357" s="1" t="str">
        <f t="shared" si="279"/>
        <v>X</v>
      </c>
      <c r="N1357" t="s">
        <v>27</v>
      </c>
    </row>
    <row r="1358" spans="1:14" x14ac:dyDescent="0.25">
      <c r="A1358" t="s">
        <v>14</v>
      </c>
      <c r="B1358" t="s">
        <v>39</v>
      </c>
      <c r="C1358" t="s">
        <v>36</v>
      </c>
      <c r="D1358" t="s">
        <v>33</v>
      </c>
      <c r="E1358" t="s">
        <v>21</v>
      </c>
      <c r="F1358" t="s">
        <v>17</v>
      </c>
      <c r="G1358" s="1" t="str">
        <f t="shared" si="279"/>
        <v>X</v>
      </c>
      <c r="H1358" s="1" t="str">
        <f t="shared" si="279"/>
        <v>X</v>
      </c>
      <c r="I1358" s="1" t="str">
        <f t="shared" si="279"/>
        <v>X</v>
      </c>
      <c r="J1358" s="1" t="str">
        <f t="shared" si="279"/>
        <v>X</v>
      </c>
      <c r="K1358" s="1" t="str">
        <f t="shared" si="279"/>
        <v>X</v>
      </c>
      <c r="L1358" s="1" t="str">
        <f t="shared" si="279"/>
        <v>X</v>
      </c>
      <c r="M1358" s="1" t="str">
        <f t="shared" si="279"/>
        <v>X</v>
      </c>
      <c r="N1358" t="s">
        <v>27</v>
      </c>
    </row>
    <row r="1359" spans="1:14" x14ac:dyDescent="0.25">
      <c r="A1359" t="s">
        <v>14</v>
      </c>
      <c r="B1359" t="s">
        <v>39</v>
      </c>
      <c r="C1359" t="s">
        <v>36</v>
      </c>
      <c r="D1359" t="s">
        <v>33</v>
      </c>
      <c r="E1359" t="s">
        <v>21</v>
      </c>
      <c r="F1359" t="s">
        <v>18</v>
      </c>
      <c r="G1359" s="1" t="str">
        <f t="shared" si="279"/>
        <v>X</v>
      </c>
      <c r="H1359" s="1" t="str">
        <f t="shared" si="279"/>
        <v>X</v>
      </c>
      <c r="I1359" s="1" t="str">
        <f t="shared" si="279"/>
        <v>X</v>
      </c>
      <c r="J1359" s="1" t="str">
        <f t="shared" si="279"/>
        <v>X</v>
      </c>
      <c r="K1359" s="1" t="str">
        <f t="shared" si="279"/>
        <v>X</v>
      </c>
      <c r="L1359" s="1" t="str">
        <f t="shared" si="279"/>
        <v>X</v>
      </c>
      <c r="M1359" s="1" t="str">
        <f t="shared" si="279"/>
        <v>X</v>
      </c>
      <c r="N1359" t="s">
        <v>27</v>
      </c>
    </row>
    <row r="1360" spans="1:14" x14ac:dyDescent="0.25">
      <c r="A1360" t="s">
        <v>14</v>
      </c>
      <c r="B1360" t="s">
        <v>39</v>
      </c>
      <c r="C1360" t="s">
        <v>36</v>
      </c>
      <c r="D1360" t="s">
        <v>33</v>
      </c>
      <c r="E1360" t="s">
        <v>21</v>
      </c>
      <c r="F1360" t="s">
        <v>19</v>
      </c>
      <c r="G1360" s="1" t="str">
        <f t="shared" si="279"/>
        <v>X</v>
      </c>
      <c r="H1360" s="1" t="str">
        <f t="shared" si="279"/>
        <v>X</v>
      </c>
      <c r="I1360" s="1" t="str">
        <f t="shared" si="279"/>
        <v>X</v>
      </c>
      <c r="J1360" s="1" t="str">
        <f t="shared" si="279"/>
        <v>X</v>
      </c>
      <c r="K1360" s="1" t="str">
        <f t="shared" si="279"/>
        <v>X</v>
      </c>
      <c r="L1360" s="1" t="str">
        <f t="shared" si="279"/>
        <v>X</v>
      </c>
      <c r="M1360" s="1" t="str">
        <f t="shared" si="279"/>
        <v>X</v>
      </c>
      <c r="N1360" t="s">
        <v>27</v>
      </c>
    </row>
    <row r="1361" spans="1:14" x14ac:dyDescent="0.25">
      <c r="A1361" t="s">
        <v>14</v>
      </c>
      <c r="B1361" t="s">
        <v>39</v>
      </c>
      <c r="C1361" t="s">
        <v>36</v>
      </c>
      <c r="D1361" t="s">
        <v>33</v>
      </c>
      <c r="E1361" t="s">
        <v>21</v>
      </c>
      <c r="F1361" t="s">
        <v>20</v>
      </c>
      <c r="G1361" s="1" t="str">
        <f t="shared" si="279"/>
        <v>X</v>
      </c>
      <c r="H1361" s="1" t="str">
        <f t="shared" si="279"/>
        <v>X</v>
      </c>
      <c r="I1361" s="1" t="str">
        <f t="shared" si="279"/>
        <v>X</v>
      </c>
      <c r="J1361" s="1" t="str">
        <f t="shared" si="279"/>
        <v>X</v>
      </c>
      <c r="K1361" s="1" t="str">
        <f t="shared" si="279"/>
        <v>X</v>
      </c>
      <c r="L1361" s="1" t="str">
        <f t="shared" si="279"/>
        <v>X</v>
      </c>
      <c r="M1361" s="1" t="str">
        <f t="shared" si="279"/>
        <v>X</v>
      </c>
      <c r="N1361" t="s">
        <v>27</v>
      </c>
    </row>
    <row r="1362" spans="1:14" x14ac:dyDescent="0.25">
      <c r="A1362" t="s">
        <v>14</v>
      </c>
      <c r="B1362" t="s">
        <v>39</v>
      </c>
      <c r="C1362" t="s">
        <v>36</v>
      </c>
      <c r="D1362" t="s">
        <v>33</v>
      </c>
      <c r="E1362" t="s">
        <v>22</v>
      </c>
      <c r="F1362" t="s">
        <v>15</v>
      </c>
      <c r="G1362" s="1" t="str">
        <f t="shared" si="279"/>
        <v>X</v>
      </c>
      <c r="H1362" s="1" t="str">
        <f t="shared" si="279"/>
        <v>X</v>
      </c>
      <c r="I1362" s="1" t="str">
        <f t="shared" si="279"/>
        <v>X</v>
      </c>
      <c r="J1362" s="1" t="str">
        <f t="shared" si="279"/>
        <v>X</v>
      </c>
      <c r="K1362" s="1" t="str">
        <f t="shared" si="279"/>
        <v>X</v>
      </c>
      <c r="L1362" s="1" t="str">
        <f t="shared" si="279"/>
        <v>X</v>
      </c>
      <c r="M1362" s="1" t="str">
        <f t="shared" si="279"/>
        <v>X</v>
      </c>
      <c r="N1362" t="s">
        <v>27</v>
      </c>
    </row>
    <row r="1363" spans="1:14" x14ac:dyDescent="0.25">
      <c r="A1363" t="s">
        <v>14</v>
      </c>
      <c r="B1363" t="s">
        <v>39</v>
      </c>
      <c r="C1363" t="s">
        <v>36</v>
      </c>
      <c r="D1363" t="s">
        <v>33</v>
      </c>
      <c r="E1363" t="s">
        <v>22</v>
      </c>
      <c r="F1363" t="s">
        <v>17</v>
      </c>
      <c r="G1363" s="1" t="str">
        <f t="shared" si="279"/>
        <v>X</v>
      </c>
      <c r="H1363" s="1" t="str">
        <f t="shared" si="279"/>
        <v>X</v>
      </c>
      <c r="I1363" s="1" t="str">
        <f t="shared" si="279"/>
        <v>X</v>
      </c>
      <c r="J1363" s="1" t="str">
        <f t="shared" si="279"/>
        <v>X</v>
      </c>
      <c r="K1363" s="1" t="str">
        <f t="shared" si="279"/>
        <v>X</v>
      </c>
      <c r="L1363" s="1" t="str">
        <f t="shared" si="279"/>
        <v>X</v>
      </c>
      <c r="M1363" s="1" t="str">
        <f t="shared" si="279"/>
        <v>X</v>
      </c>
      <c r="N1363" t="s">
        <v>27</v>
      </c>
    </row>
    <row r="1364" spans="1:14" x14ac:dyDescent="0.25">
      <c r="A1364" t="s">
        <v>14</v>
      </c>
      <c r="B1364" t="s">
        <v>39</v>
      </c>
      <c r="C1364" t="s">
        <v>36</v>
      </c>
      <c r="D1364" t="s">
        <v>33</v>
      </c>
      <c r="E1364" t="s">
        <v>22</v>
      </c>
      <c r="F1364" t="s">
        <v>18</v>
      </c>
      <c r="G1364" s="1" t="str">
        <f t="shared" si="279"/>
        <v>X</v>
      </c>
      <c r="H1364" s="1" t="str">
        <f t="shared" si="279"/>
        <v>X</v>
      </c>
      <c r="I1364" s="1" t="str">
        <f t="shared" si="279"/>
        <v>X</v>
      </c>
      <c r="J1364" s="1" t="str">
        <f t="shared" si="279"/>
        <v>X</v>
      </c>
      <c r="K1364" s="1" t="str">
        <f t="shared" si="279"/>
        <v>X</v>
      </c>
      <c r="L1364" s="1" t="str">
        <f t="shared" si="279"/>
        <v>X</v>
      </c>
      <c r="M1364" s="1" t="str">
        <f t="shared" si="279"/>
        <v>X</v>
      </c>
      <c r="N1364" t="s">
        <v>27</v>
      </c>
    </row>
    <row r="1365" spans="1:14" x14ac:dyDescent="0.25">
      <c r="A1365" t="s">
        <v>14</v>
      </c>
      <c r="B1365" t="s">
        <v>39</v>
      </c>
      <c r="C1365" t="s">
        <v>36</v>
      </c>
      <c r="D1365" t="s">
        <v>33</v>
      </c>
      <c r="E1365" t="s">
        <v>22</v>
      </c>
      <c r="F1365" t="s">
        <v>19</v>
      </c>
      <c r="G1365" s="1" t="str">
        <f t="shared" si="279"/>
        <v>X</v>
      </c>
      <c r="H1365" s="1" t="str">
        <f t="shared" si="279"/>
        <v>X</v>
      </c>
      <c r="I1365" s="1" t="str">
        <f t="shared" si="279"/>
        <v>X</v>
      </c>
      <c r="J1365" s="1" t="str">
        <f t="shared" si="279"/>
        <v>X</v>
      </c>
      <c r="K1365" s="1" t="str">
        <f t="shared" si="279"/>
        <v>X</v>
      </c>
      <c r="L1365" s="1" t="str">
        <f t="shared" si="279"/>
        <v>X</v>
      </c>
      <c r="M1365" s="1" t="str">
        <f t="shared" si="279"/>
        <v>X</v>
      </c>
      <c r="N1365" t="s">
        <v>27</v>
      </c>
    </row>
    <row r="1366" spans="1:14" x14ac:dyDescent="0.25">
      <c r="A1366" t="s">
        <v>14</v>
      </c>
      <c r="B1366" t="s">
        <v>39</v>
      </c>
      <c r="C1366" t="s">
        <v>36</v>
      </c>
      <c r="D1366" t="s">
        <v>33</v>
      </c>
      <c r="E1366" t="s">
        <v>22</v>
      </c>
      <c r="F1366" t="s">
        <v>20</v>
      </c>
      <c r="G1366" s="1" t="str">
        <f t="shared" si="279"/>
        <v>X</v>
      </c>
      <c r="H1366" s="1" t="str">
        <f t="shared" si="279"/>
        <v>X</v>
      </c>
      <c r="I1366" s="1" t="str">
        <f t="shared" si="279"/>
        <v>X</v>
      </c>
      <c r="J1366" s="1" t="str">
        <f t="shared" si="279"/>
        <v>X</v>
      </c>
      <c r="K1366" s="1" t="str">
        <f t="shared" si="279"/>
        <v>X</v>
      </c>
      <c r="L1366" s="1" t="str">
        <f t="shared" si="279"/>
        <v>X</v>
      </c>
      <c r="M1366" s="1" t="str">
        <f t="shared" si="279"/>
        <v>X</v>
      </c>
      <c r="N1366" t="s">
        <v>27</v>
      </c>
    </row>
    <row r="1367" spans="1:14" x14ac:dyDescent="0.25">
      <c r="A1367" t="s">
        <v>14</v>
      </c>
      <c r="B1367" t="s">
        <v>39</v>
      </c>
      <c r="C1367" t="s">
        <v>36</v>
      </c>
      <c r="D1367" t="s">
        <v>33</v>
      </c>
      <c r="E1367" t="s">
        <v>23</v>
      </c>
      <c r="F1367" t="s">
        <v>15</v>
      </c>
      <c r="G1367" s="1" t="str">
        <f t="shared" si="279"/>
        <v>X</v>
      </c>
      <c r="H1367" s="1" t="str">
        <f t="shared" si="279"/>
        <v>X</v>
      </c>
      <c r="I1367" s="1" t="str">
        <f t="shared" si="279"/>
        <v>X</v>
      </c>
      <c r="J1367" s="1" t="str">
        <f t="shared" si="279"/>
        <v>X</v>
      </c>
      <c r="K1367" s="1" t="str">
        <f t="shared" si="279"/>
        <v>X</v>
      </c>
      <c r="L1367" s="1" t="str">
        <f t="shared" si="279"/>
        <v>X</v>
      </c>
      <c r="M1367" s="1" t="str">
        <f t="shared" si="279"/>
        <v>X</v>
      </c>
      <c r="N1367" t="s">
        <v>27</v>
      </c>
    </row>
    <row r="1368" spans="1:14" x14ac:dyDescent="0.25">
      <c r="A1368" t="s">
        <v>14</v>
      </c>
      <c r="B1368" t="s">
        <v>39</v>
      </c>
      <c r="C1368" t="s">
        <v>36</v>
      </c>
      <c r="D1368" t="s">
        <v>33</v>
      </c>
      <c r="E1368" t="s">
        <v>23</v>
      </c>
      <c r="F1368" t="s">
        <v>17</v>
      </c>
      <c r="G1368" s="1" t="str">
        <f t="shared" si="279"/>
        <v>X</v>
      </c>
      <c r="H1368" s="1" t="str">
        <f t="shared" si="279"/>
        <v>X</v>
      </c>
      <c r="I1368" s="1" t="str">
        <f t="shared" si="279"/>
        <v>X</v>
      </c>
      <c r="J1368" s="1" t="str">
        <f t="shared" si="279"/>
        <v>X</v>
      </c>
      <c r="K1368" s="1" t="str">
        <f t="shared" si="279"/>
        <v>X</v>
      </c>
      <c r="L1368" s="1" t="str">
        <f t="shared" si="279"/>
        <v>X</v>
      </c>
      <c r="M1368" s="1" t="str">
        <f t="shared" si="279"/>
        <v>X</v>
      </c>
      <c r="N1368" t="s">
        <v>27</v>
      </c>
    </row>
    <row r="1369" spans="1:14" x14ac:dyDescent="0.25">
      <c r="A1369" t="s">
        <v>14</v>
      </c>
      <c r="B1369" t="s">
        <v>39</v>
      </c>
      <c r="C1369" t="s">
        <v>36</v>
      </c>
      <c r="D1369" t="s">
        <v>33</v>
      </c>
      <c r="E1369" t="s">
        <v>23</v>
      </c>
      <c r="F1369" t="s">
        <v>18</v>
      </c>
      <c r="G1369" s="1" t="str">
        <f t="shared" si="279"/>
        <v>X</v>
      </c>
      <c r="H1369" s="1" t="str">
        <f t="shared" si="279"/>
        <v>X</v>
      </c>
      <c r="I1369" s="1" t="str">
        <f t="shared" si="279"/>
        <v>X</v>
      </c>
      <c r="J1369" s="1" t="str">
        <f t="shared" si="279"/>
        <v>X</v>
      </c>
      <c r="K1369" s="1" t="str">
        <f t="shared" si="279"/>
        <v>X</v>
      </c>
      <c r="L1369" s="1" t="str">
        <f t="shared" si="279"/>
        <v>X</v>
      </c>
      <c r="M1369" s="1" t="str">
        <f t="shared" si="279"/>
        <v>X</v>
      </c>
      <c r="N1369" t="s">
        <v>27</v>
      </c>
    </row>
    <row r="1370" spans="1:14" x14ac:dyDescent="0.25">
      <c r="A1370" t="s">
        <v>14</v>
      </c>
      <c r="B1370" t="s">
        <v>39</v>
      </c>
      <c r="C1370" t="s">
        <v>36</v>
      </c>
      <c r="D1370" t="s">
        <v>33</v>
      </c>
      <c r="E1370" t="s">
        <v>23</v>
      </c>
      <c r="F1370" t="s">
        <v>19</v>
      </c>
      <c r="G1370" s="1" t="str">
        <f t="shared" ref="G1370:M1370" si="280">"..."</f>
        <v>...</v>
      </c>
      <c r="H1370" s="1" t="str">
        <f t="shared" si="280"/>
        <v>...</v>
      </c>
      <c r="I1370" s="1" t="str">
        <f t="shared" si="280"/>
        <v>...</v>
      </c>
      <c r="J1370" s="1" t="str">
        <f t="shared" si="280"/>
        <v>...</v>
      </c>
      <c r="K1370" s="1" t="str">
        <f t="shared" si="280"/>
        <v>...</v>
      </c>
      <c r="L1370" s="1" t="str">
        <f t="shared" si="280"/>
        <v>...</v>
      </c>
      <c r="M1370" s="1" t="str">
        <f t="shared" si="280"/>
        <v>...</v>
      </c>
      <c r="N1370" t="s">
        <v>30</v>
      </c>
    </row>
    <row r="1371" spans="1:14" x14ac:dyDescent="0.25">
      <c r="A1371" t="s">
        <v>14</v>
      </c>
      <c r="B1371" t="s">
        <v>39</v>
      </c>
      <c r="C1371" t="s">
        <v>36</v>
      </c>
      <c r="D1371" t="s">
        <v>33</v>
      </c>
      <c r="E1371" t="s">
        <v>23</v>
      </c>
      <c r="F1371" t="s">
        <v>20</v>
      </c>
      <c r="G1371" s="1" t="str">
        <f t="shared" ref="G1371:M1371" si="281">"X"</f>
        <v>X</v>
      </c>
      <c r="H1371" s="1" t="str">
        <f t="shared" si="281"/>
        <v>X</v>
      </c>
      <c r="I1371" s="1" t="str">
        <f t="shared" si="281"/>
        <v>X</v>
      </c>
      <c r="J1371" s="1" t="str">
        <f t="shared" si="281"/>
        <v>X</v>
      </c>
      <c r="K1371" s="1" t="str">
        <f t="shared" si="281"/>
        <v>X</v>
      </c>
      <c r="L1371" s="1" t="str">
        <f t="shared" si="281"/>
        <v>X</v>
      </c>
      <c r="M1371" s="1" t="str">
        <f t="shared" si="281"/>
        <v>X</v>
      </c>
      <c r="N1371" t="s">
        <v>27</v>
      </c>
    </row>
    <row r="1372" spans="1:14" x14ac:dyDescent="0.25">
      <c r="A1372" t="s">
        <v>14</v>
      </c>
      <c r="B1372" t="s">
        <v>39</v>
      </c>
      <c r="C1372" t="s">
        <v>36</v>
      </c>
      <c r="D1372" t="s">
        <v>33</v>
      </c>
      <c r="E1372" t="s">
        <v>26</v>
      </c>
      <c r="F1372" t="s">
        <v>15</v>
      </c>
      <c r="G1372" s="1" t="str">
        <f t="shared" ref="G1372:M1376" si="282">"..."</f>
        <v>...</v>
      </c>
      <c r="H1372" s="1" t="str">
        <f t="shared" si="282"/>
        <v>...</v>
      </c>
      <c r="I1372" s="1" t="str">
        <f t="shared" si="282"/>
        <v>...</v>
      </c>
      <c r="J1372" s="1" t="str">
        <f t="shared" si="282"/>
        <v>...</v>
      </c>
      <c r="K1372" s="1" t="str">
        <f t="shared" si="282"/>
        <v>...</v>
      </c>
      <c r="L1372" s="1" t="str">
        <f t="shared" si="282"/>
        <v>...</v>
      </c>
      <c r="M1372" s="1" t="str">
        <f t="shared" si="282"/>
        <v>...</v>
      </c>
      <c r="N1372" t="s">
        <v>30</v>
      </c>
    </row>
    <row r="1373" spans="1:14" x14ac:dyDescent="0.25">
      <c r="A1373" t="s">
        <v>14</v>
      </c>
      <c r="B1373" t="s">
        <v>39</v>
      </c>
      <c r="C1373" t="s">
        <v>36</v>
      </c>
      <c r="D1373" t="s">
        <v>33</v>
      </c>
      <c r="E1373" t="s">
        <v>26</v>
      </c>
      <c r="F1373" t="s">
        <v>17</v>
      </c>
      <c r="G1373" s="1" t="str">
        <f t="shared" si="282"/>
        <v>...</v>
      </c>
      <c r="H1373" s="1" t="str">
        <f t="shared" si="282"/>
        <v>...</v>
      </c>
      <c r="I1373" s="1" t="str">
        <f t="shared" si="282"/>
        <v>...</v>
      </c>
      <c r="J1373" s="1" t="str">
        <f t="shared" si="282"/>
        <v>...</v>
      </c>
      <c r="K1373" s="1" t="str">
        <f t="shared" si="282"/>
        <v>...</v>
      </c>
      <c r="L1373" s="1" t="str">
        <f t="shared" si="282"/>
        <v>...</v>
      </c>
      <c r="M1373" s="1" t="str">
        <f t="shared" si="282"/>
        <v>...</v>
      </c>
      <c r="N1373" t="s">
        <v>30</v>
      </c>
    </row>
    <row r="1374" spans="1:14" x14ac:dyDescent="0.25">
      <c r="A1374" t="s">
        <v>14</v>
      </c>
      <c r="B1374" t="s">
        <v>39</v>
      </c>
      <c r="C1374" t="s">
        <v>36</v>
      </c>
      <c r="D1374" t="s">
        <v>33</v>
      </c>
      <c r="E1374" t="s">
        <v>26</v>
      </c>
      <c r="F1374" t="s">
        <v>18</v>
      </c>
      <c r="G1374" s="1" t="str">
        <f t="shared" si="282"/>
        <v>...</v>
      </c>
      <c r="H1374" s="1" t="str">
        <f t="shared" si="282"/>
        <v>...</v>
      </c>
      <c r="I1374" s="1" t="str">
        <f t="shared" si="282"/>
        <v>...</v>
      </c>
      <c r="J1374" s="1" t="str">
        <f t="shared" si="282"/>
        <v>...</v>
      </c>
      <c r="K1374" s="1" t="str">
        <f t="shared" si="282"/>
        <v>...</v>
      </c>
      <c r="L1374" s="1" t="str">
        <f t="shared" si="282"/>
        <v>...</v>
      </c>
      <c r="M1374" s="1" t="str">
        <f t="shared" si="282"/>
        <v>...</v>
      </c>
      <c r="N1374" t="s">
        <v>30</v>
      </c>
    </row>
    <row r="1375" spans="1:14" x14ac:dyDescent="0.25">
      <c r="A1375" t="s">
        <v>14</v>
      </c>
      <c r="B1375" t="s">
        <v>39</v>
      </c>
      <c r="C1375" t="s">
        <v>36</v>
      </c>
      <c r="D1375" t="s">
        <v>33</v>
      </c>
      <c r="E1375" t="s">
        <v>26</v>
      </c>
      <c r="F1375" t="s">
        <v>19</v>
      </c>
      <c r="G1375" s="1" t="str">
        <f t="shared" si="282"/>
        <v>...</v>
      </c>
      <c r="H1375" s="1" t="str">
        <f t="shared" si="282"/>
        <v>...</v>
      </c>
      <c r="I1375" s="1" t="str">
        <f t="shared" si="282"/>
        <v>...</v>
      </c>
      <c r="J1375" s="1" t="str">
        <f t="shared" si="282"/>
        <v>...</v>
      </c>
      <c r="K1375" s="1" t="str">
        <f t="shared" si="282"/>
        <v>...</v>
      </c>
      <c r="L1375" s="1" t="str">
        <f t="shared" si="282"/>
        <v>...</v>
      </c>
      <c r="M1375" s="1" t="str">
        <f t="shared" si="282"/>
        <v>...</v>
      </c>
      <c r="N1375" t="s">
        <v>30</v>
      </c>
    </row>
    <row r="1376" spans="1:14" x14ac:dyDescent="0.25">
      <c r="A1376" t="s">
        <v>14</v>
      </c>
      <c r="B1376" t="s">
        <v>39</v>
      </c>
      <c r="C1376" t="s">
        <v>36</v>
      </c>
      <c r="D1376" t="s">
        <v>33</v>
      </c>
      <c r="E1376" t="s">
        <v>26</v>
      </c>
      <c r="F1376" t="s">
        <v>20</v>
      </c>
      <c r="G1376" s="1" t="str">
        <f t="shared" si="282"/>
        <v>...</v>
      </c>
      <c r="H1376" s="1" t="str">
        <f t="shared" si="282"/>
        <v>...</v>
      </c>
      <c r="I1376" s="1" t="str">
        <f t="shared" si="282"/>
        <v>...</v>
      </c>
      <c r="J1376" s="1" t="str">
        <f t="shared" si="282"/>
        <v>...</v>
      </c>
      <c r="K1376" s="1" t="str">
        <f t="shared" si="282"/>
        <v>...</v>
      </c>
      <c r="L1376" s="1" t="str">
        <f t="shared" si="282"/>
        <v>...</v>
      </c>
      <c r="M1376" s="1" t="str">
        <f t="shared" si="282"/>
        <v>...</v>
      </c>
      <c r="N1376" t="s">
        <v>30</v>
      </c>
    </row>
    <row r="1377" spans="1:14" x14ac:dyDescent="0.25">
      <c r="A1377" t="s">
        <v>14</v>
      </c>
      <c r="B1377" t="s">
        <v>39</v>
      </c>
      <c r="C1377" t="s">
        <v>36</v>
      </c>
      <c r="D1377" t="s">
        <v>34</v>
      </c>
      <c r="E1377" t="s">
        <v>15</v>
      </c>
      <c r="F1377" t="s">
        <v>15</v>
      </c>
      <c r="G1377" s="2">
        <f>VALUE(199.5386936794)</f>
        <v>199.53869367940001</v>
      </c>
      <c r="H1377" s="3">
        <f>VALUE(202.1693501211)</f>
        <v>202.1693501211</v>
      </c>
      <c r="I1377" s="4">
        <f>VALUE(3212)</f>
        <v>3212</v>
      </c>
      <c r="J1377" s="5">
        <f>VALUE(3778)</f>
        <v>3778</v>
      </c>
      <c r="K1377" s="6">
        <f>VALUE(5281)</f>
        <v>5281</v>
      </c>
      <c r="L1377" s="7">
        <f>VALUE(6504)</f>
        <v>6504</v>
      </c>
      <c r="M1377" s="8">
        <f>VALUE(8095)</f>
        <v>8095</v>
      </c>
      <c r="N1377" t="s">
        <v>24</v>
      </c>
    </row>
    <row r="1378" spans="1:14" x14ac:dyDescent="0.25">
      <c r="A1378" t="s">
        <v>14</v>
      </c>
      <c r="B1378" t="s">
        <v>39</v>
      </c>
      <c r="C1378" t="s">
        <v>36</v>
      </c>
      <c r="D1378" t="s">
        <v>34</v>
      </c>
      <c r="E1378" t="s">
        <v>15</v>
      </c>
      <c r="F1378" t="s">
        <v>17</v>
      </c>
      <c r="G1378" s="1" t="str">
        <f t="shared" ref="G1378:M1380" si="283">"X"</f>
        <v>X</v>
      </c>
      <c r="H1378" s="1" t="str">
        <f t="shared" si="283"/>
        <v>X</v>
      </c>
      <c r="I1378" s="1" t="str">
        <f t="shared" si="283"/>
        <v>X</v>
      </c>
      <c r="J1378" s="1" t="str">
        <f t="shared" si="283"/>
        <v>X</v>
      </c>
      <c r="K1378" s="1" t="str">
        <f t="shared" si="283"/>
        <v>X</v>
      </c>
      <c r="L1378" s="1" t="str">
        <f t="shared" si="283"/>
        <v>X</v>
      </c>
      <c r="M1378" s="1" t="str">
        <f t="shared" si="283"/>
        <v>X</v>
      </c>
      <c r="N1378" t="s">
        <v>27</v>
      </c>
    </row>
    <row r="1379" spans="1:14" x14ac:dyDescent="0.25">
      <c r="A1379" t="s">
        <v>14</v>
      </c>
      <c r="B1379" t="s">
        <v>39</v>
      </c>
      <c r="C1379" t="s">
        <v>36</v>
      </c>
      <c r="D1379" t="s">
        <v>34</v>
      </c>
      <c r="E1379" t="s">
        <v>15</v>
      </c>
      <c r="F1379" t="s">
        <v>18</v>
      </c>
      <c r="G1379" s="1" t="str">
        <f t="shared" si="283"/>
        <v>X</v>
      </c>
      <c r="H1379" s="1" t="str">
        <f t="shared" si="283"/>
        <v>X</v>
      </c>
      <c r="I1379" s="1" t="str">
        <f t="shared" si="283"/>
        <v>X</v>
      </c>
      <c r="J1379" s="1" t="str">
        <f t="shared" si="283"/>
        <v>X</v>
      </c>
      <c r="K1379" s="1" t="str">
        <f t="shared" si="283"/>
        <v>X</v>
      </c>
      <c r="L1379" s="1" t="str">
        <f t="shared" si="283"/>
        <v>X</v>
      </c>
      <c r="M1379" s="1" t="str">
        <f t="shared" si="283"/>
        <v>X</v>
      </c>
      <c r="N1379" t="s">
        <v>27</v>
      </c>
    </row>
    <row r="1380" spans="1:14" x14ac:dyDescent="0.25">
      <c r="A1380" t="s">
        <v>14</v>
      </c>
      <c r="B1380" t="s">
        <v>39</v>
      </c>
      <c r="C1380" t="s">
        <v>36</v>
      </c>
      <c r="D1380" t="s">
        <v>34</v>
      </c>
      <c r="E1380" t="s">
        <v>15</v>
      </c>
      <c r="F1380" t="s">
        <v>19</v>
      </c>
      <c r="G1380" s="1" t="str">
        <f t="shared" si="283"/>
        <v>X</v>
      </c>
      <c r="H1380" s="1" t="str">
        <f t="shared" si="283"/>
        <v>X</v>
      </c>
      <c r="I1380" s="1" t="str">
        <f t="shared" si="283"/>
        <v>X</v>
      </c>
      <c r="J1380" s="1" t="str">
        <f t="shared" si="283"/>
        <v>X</v>
      </c>
      <c r="K1380" s="1" t="str">
        <f t="shared" si="283"/>
        <v>X</v>
      </c>
      <c r="L1380" s="1" t="str">
        <f t="shared" si="283"/>
        <v>X</v>
      </c>
      <c r="M1380" s="1" t="str">
        <f t="shared" si="283"/>
        <v>X</v>
      </c>
      <c r="N1380" t="s">
        <v>27</v>
      </c>
    </row>
    <row r="1381" spans="1:14" x14ac:dyDescent="0.25">
      <c r="A1381" t="s">
        <v>14</v>
      </c>
      <c r="B1381" t="s">
        <v>39</v>
      </c>
      <c r="C1381" t="s">
        <v>36</v>
      </c>
      <c r="D1381" t="s">
        <v>34</v>
      </c>
      <c r="E1381" t="s">
        <v>15</v>
      </c>
      <c r="F1381" t="s">
        <v>20</v>
      </c>
      <c r="G1381" s="2">
        <f>VALUE(136.5717405741)</f>
        <v>136.57174057410001</v>
      </c>
      <c r="H1381" s="3">
        <f>VALUE(138.0812915739)</f>
        <v>138.08129157389999</v>
      </c>
      <c r="I1381" s="4">
        <f>VALUE(3212)</f>
        <v>3212</v>
      </c>
      <c r="J1381" s="5">
        <f>VALUE(3778)</f>
        <v>3778</v>
      </c>
      <c r="K1381" s="6">
        <f>VALUE(4834)</f>
        <v>4834</v>
      </c>
      <c r="L1381" s="7">
        <f>VALUE(6031)</f>
        <v>6031</v>
      </c>
      <c r="M1381" s="1">
        <f>VALUE(7262)</f>
        <v>7262</v>
      </c>
      <c r="N1381" t="s">
        <v>25</v>
      </c>
    </row>
    <row r="1382" spans="1:14" x14ac:dyDescent="0.25">
      <c r="A1382" t="s">
        <v>14</v>
      </c>
      <c r="B1382" t="s">
        <v>39</v>
      </c>
      <c r="C1382" t="s">
        <v>36</v>
      </c>
      <c r="D1382" t="s">
        <v>34</v>
      </c>
      <c r="E1382" t="s">
        <v>21</v>
      </c>
      <c r="F1382" t="s">
        <v>15</v>
      </c>
      <c r="G1382" s="1" t="str">
        <f t="shared" ref="G1382:M1391" si="284">"X"</f>
        <v>X</v>
      </c>
      <c r="H1382" s="1" t="str">
        <f t="shared" si="284"/>
        <v>X</v>
      </c>
      <c r="I1382" s="1" t="str">
        <f t="shared" si="284"/>
        <v>X</v>
      </c>
      <c r="J1382" s="1" t="str">
        <f t="shared" si="284"/>
        <v>X</v>
      </c>
      <c r="K1382" s="1" t="str">
        <f t="shared" si="284"/>
        <v>X</v>
      </c>
      <c r="L1382" s="1" t="str">
        <f t="shared" si="284"/>
        <v>X</v>
      </c>
      <c r="M1382" s="1" t="str">
        <f t="shared" si="284"/>
        <v>X</v>
      </c>
      <c r="N1382" t="s">
        <v>27</v>
      </c>
    </row>
    <row r="1383" spans="1:14" x14ac:dyDescent="0.25">
      <c r="A1383" t="s">
        <v>14</v>
      </c>
      <c r="B1383" t="s">
        <v>39</v>
      </c>
      <c r="C1383" t="s">
        <v>36</v>
      </c>
      <c r="D1383" t="s">
        <v>34</v>
      </c>
      <c r="E1383" t="s">
        <v>21</v>
      </c>
      <c r="F1383" t="s">
        <v>17</v>
      </c>
      <c r="G1383" s="1" t="str">
        <f t="shared" si="284"/>
        <v>X</v>
      </c>
      <c r="H1383" s="1" t="str">
        <f t="shared" si="284"/>
        <v>X</v>
      </c>
      <c r="I1383" s="1" t="str">
        <f t="shared" si="284"/>
        <v>X</v>
      </c>
      <c r="J1383" s="1" t="str">
        <f t="shared" si="284"/>
        <v>X</v>
      </c>
      <c r="K1383" s="1" t="str">
        <f t="shared" si="284"/>
        <v>X</v>
      </c>
      <c r="L1383" s="1" t="str">
        <f t="shared" si="284"/>
        <v>X</v>
      </c>
      <c r="M1383" s="1" t="str">
        <f t="shared" si="284"/>
        <v>X</v>
      </c>
      <c r="N1383" t="s">
        <v>27</v>
      </c>
    </row>
    <row r="1384" spans="1:14" x14ac:dyDescent="0.25">
      <c r="A1384" t="s">
        <v>14</v>
      </c>
      <c r="B1384" t="s">
        <v>39</v>
      </c>
      <c r="C1384" t="s">
        <v>36</v>
      </c>
      <c r="D1384" t="s">
        <v>34</v>
      </c>
      <c r="E1384" t="s">
        <v>21</v>
      </c>
      <c r="F1384" t="s">
        <v>18</v>
      </c>
      <c r="G1384" s="1" t="str">
        <f t="shared" si="284"/>
        <v>X</v>
      </c>
      <c r="H1384" s="1" t="str">
        <f t="shared" si="284"/>
        <v>X</v>
      </c>
      <c r="I1384" s="1" t="str">
        <f t="shared" si="284"/>
        <v>X</v>
      </c>
      <c r="J1384" s="1" t="str">
        <f t="shared" si="284"/>
        <v>X</v>
      </c>
      <c r="K1384" s="1" t="str">
        <f t="shared" si="284"/>
        <v>X</v>
      </c>
      <c r="L1384" s="1" t="str">
        <f t="shared" si="284"/>
        <v>X</v>
      </c>
      <c r="M1384" s="1" t="str">
        <f t="shared" si="284"/>
        <v>X</v>
      </c>
      <c r="N1384" t="s">
        <v>27</v>
      </c>
    </row>
    <row r="1385" spans="1:14" x14ac:dyDescent="0.25">
      <c r="A1385" t="s">
        <v>14</v>
      </c>
      <c r="B1385" t="s">
        <v>39</v>
      </c>
      <c r="C1385" t="s">
        <v>36</v>
      </c>
      <c r="D1385" t="s">
        <v>34</v>
      </c>
      <c r="E1385" t="s">
        <v>21</v>
      </c>
      <c r="F1385" t="s">
        <v>19</v>
      </c>
      <c r="G1385" s="1" t="str">
        <f t="shared" si="284"/>
        <v>X</v>
      </c>
      <c r="H1385" s="1" t="str">
        <f t="shared" si="284"/>
        <v>X</v>
      </c>
      <c r="I1385" s="1" t="str">
        <f t="shared" si="284"/>
        <v>X</v>
      </c>
      <c r="J1385" s="1" t="str">
        <f t="shared" si="284"/>
        <v>X</v>
      </c>
      <c r="K1385" s="1" t="str">
        <f t="shared" si="284"/>
        <v>X</v>
      </c>
      <c r="L1385" s="1" t="str">
        <f t="shared" si="284"/>
        <v>X</v>
      </c>
      <c r="M1385" s="1" t="str">
        <f t="shared" si="284"/>
        <v>X</v>
      </c>
      <c r="N1385" t="s">
        <v>27</v>
      </c>
    </row>
    <row r="1386" spans="1:14" x14ac:dyDescent="0.25">
      <c r="A1386" t="s">
        <v>14</v>
      </c>
      <c r="B1386" t="s">
        <v>39</v>
      </c>
      <c r="C1386" t="s">
        <v>36</v>
      </c>
      <c r="D1386" t="s">
        <v>34</v>
      </c>
      <c r="E1386" t="s">
        <v>21</v>
      </c>
      <c r="F1386" t="s">
        <v>20</v>
      </c>
      <c r="G1386" s="1" t="str">
        <f t="shared" si="284"/>
        <v>X</v>
      </c>
      <c r="H1386" s="1" t="str">
        <f t="shared" si="284"/>
        <v>X</v>
      </c>
      <c r="I1386" s="1" t="str">
        <f t="shared" si="284"/>
        <v>X</v>
      </c>
      <c r="J1386" s="1" t="str">
        <f t="shared" si="284"/>
        <v>X</v>
      </c>
      <c r="K1386" s="1" t="str">
        <f t="shared" si="284"/>
        <v>X</v>
      </c>
      <c r="L1386" s="1" t="str">
        <f t="shared" si="284"/>
        <v>X</v>
      </c>
      <c r="M1386" s="1" t="str">
        <f t="shared" si="284"/>
        <v>X</v>
      </c>
      <c r="N1386" t="s">
        <v>27</v>
      </c>
    </row>
    <row r="1387" spans="1:14" x14ac:dyDescent="0.25">
      <c r="A1387" t="s">
        <v>14</v>
      </c>
      <c r="B1387" t="s">
        <v>39</v>
      </c>
      <c r="C1387" t="s">
        <v>36</v>
      </c>
      <c r="D1387" t="s">
        <v>34</v>
      </c>
      <c r="E1387" t="s">
        <v>22</v>
      </c>
      <c r="F1387" t="s">
        <v>15</v>
      </c>
      <c r="G1387" s="1" t="str">
        <f t="shared" si="284"/>
        <v>X</v>
      </c>
      <c r="H1387" s="1" t="str">
        <f t="shared" si="284"/>
        <v>X</v>
      </c>
      <c r="I1387" s="1" t="str">
        <f t="shared" si="284"/>
        <v>X</v>
      </c>
      <c r="J1387" s="1" t="str">
        <f t="shared" si="284"/>
        <v>X</v>
      </c>
      <c r="K1387" s="1" t="str">
        <f t="shared" si="284"/>
        <v>X</v>
      </c>
      <c r="L1387" s="1" t="str">
        <f t="shared" si="284"/>
        <v>X</v>
      </c>
      <c r="M1387" s="1" t="str">
        <f t="shared" si="284"/>
        <v>X</v>
      </c>
      <c r="N1387" t="s">
        <v>27</v>
      </c>
    </row>
    <row r="1388" spans="1:14" x14ac:dyDescent="0.25">
      <c r="A1388" t="s">
        <v>14</v>
      </c>
      <c r="B1388" t="s">
        <v>39</v>
      </c>
      <c r="C1388" t="s">
        <v>36</v>
      </c>
      <c r="D1388" t="s">
        <v>34</v>
      </c>
      <c r="E1388" t="s">
        <v>22</v>
      </c>
      <c r="F1388" t="s">
        <v>17</v>
      </c>
      <c r="G1388" s="1" t="str">
        <f t="shared" si="284"/>
        <v>X</v>
      </c>
      <c r="H1388" s="1" t="str">
        <f t="shared" si="284"/>
        <v>X</v>
      </c>
      <c r="I1388" s="1" t="str">
        <f t="shared" si="284"/>
        <v>X</v>
      </c>
      <c r="J1388" s="1" t="str">
        <f t="shared" si="284"/>
        <v>X</v>
      </c>
      <c r="K1388" s="1" t="str">
        <f t="shared" si="284"/>
        <v>X</v>
      </c>
      <c r="L1388" s="1" t="str">
        <f t="shared" si="284"/>
        <v>X</v>
      </c>
      <c r="M1388" s="1" t="str">
        <f t="shared" si="284"/>
        <v>X</v>
      </c>
      <c r="N1388" t="s">
        <v>27</v>
      </c>
    </row>
    <row r="1389" spans="1:14" x14ac:dyDescent="0.25">
      <c r="A1389" t="s">
        <v>14</v>
      </c>
      <c r="B1389" t="s">
        <v>39</v>
      </c>
      <c r="C1389" t="s">
        <v>36</v>
      </c>
      <c r="D1389" t="s">
        <v>34</v>
      </c>
      <c r="E1389" t="s">
        <v>22</v>
      </c>
      <c r="F1389" t="s">
        <v>18</v>
      </c>
      <c r="G1389" s="1" t="str">
        <f t="shared" si="284"/>
        <v>X</v>
      </c>
      <c r="H1389" s="1" t="str">
        <f t="shared" si="284"/>
        <v>X</v>
      </c>
      <c r="I1389" s="1" t="str">
        <f t="shared" si="284"/>
        <v>X</v>
      </c>
      <c r="J1389" s="1" t="str">
        <f t="shared" si="284"/>
        <v>X</v>
      </c>
      <c r="K1389" s="1" t="str">
        <f t="shared" si="284"/>
        <v>X</v>
      </c>
      <c r="L1389" s="1" t="str">
        <f t="shared" si="284"/>
        <v>X</v>
      </c>
      <c r="M1389" s="1" t="str">
        <f t="shared" si="284"/>
        <v>X</v>
      </c>
      <c r="N1389" t="s">
        <v>27</v>
      </c>
    </row>
    <row r="1390" spans="1:14" x14ac:dyDescent="0.25">
      <c r="A1390" t="s">
        <v>14</v>
      </c>
      <c r="B1390" t="s">
        <v>39</v>
      </c>
      <c r="C1390" t="s">
        <v>36</v>
      </c>
      <c r="D1390" t="s">
        <v>34</v>
      </c>
      <c r="E1390" t="s">
        <v>22</v>
      </c>
      <c r="F1390" t="s">
        <v>19</v>
      </c>
      <c r="G1390" s="1" t="str">
        <f t="shared" si="284"/>
        <v>X</v>
      </c>
      <c r="H1390" s="1" t="str">
        <f t="shared" si="284"/>
        <v>X</v>
      </c>
      <c r="I1390" s="1" t="str">
        <f t="shared" si="284"/>
        <v>X</v>
      </c>
      <c r="J1390" s="1" t="str">
        <f t="shared" si="284"/>
        <v>X</v>
      </c>
      <c r="K1390" s="1" t="str">
        <f t="shared" si="284"/>
        <v>X</v>
      </c>
      <c r="L1390" s="1" t="str">
        <f t="shared" si="284"/>
        <v>X</v>
      </c>
      <c r="M1390" s="1" t="str">
        <f t="shared" si="284"/>
        <v>X</v>
      </c>
      <c r="N1390" t="s">
        <v>27</v>
      </c>
    </row>
    <row r="1391" spans="1:14" x14ac:dyDescent="0.25">
      <c r="A1391" t="s">
        <v>14</v>
      </c>
      <c r="B1391" t="s">
        <v>39</v>
      </c>
      <c r="C1391" t="s">
        <v>36</v>
      </c>
      <c r="D1391" t="s">
        <v>34</v>
      </c>
      <c r="E1391" t="s">
        <v>22</v>
      </c>
      <c r="F1391" t="s">
        <v>20</v>
      </c>
      <c r="G1391" s="1" t="str">
        <f t="shared" si="284"/>
        <v>X</v>
      </c>
      <c r="H1391" s="1" t="str">
        <f t="shared" si="284"/>
        <v>X</v>
      </c>
      <c r="I1391" s="1" t="str">
        <f t="shared" si="284"/>
        <v>X</v>
      </c>
      <c r="J1391" s="1" t="str">
        <f t="shared" si="284"/>
        <v>X</v>
      </c>
      <c r="K1391" s="1" t="str">
        <f t="shared" si="284"/>
        <v>X</v>
      </c>
      <c r="L1391" s="1" t="str">
        <f t="shared" si="284"/>
        <v>X</v>
      </c>
      <c r="M1391" s="1" t="str">
        <f t="shared" si="284"/>
        <v>X</v>
      </c>
      <c r="N1391" t="s">
        <v>27</v>
      </c>
    </row>
    <row r="1392" spans="1:14" x14ac:dyDescent="0.25">
      <c r="A1392" t="s">
        <v>14</v>
      </c>
      <c r="B1392" t="s">
        <v>39</v>
      </c>
      <c r="C1392" t="s">
        <v>36</v>
      </c>
      <c r="D1392" t="s">
        <v>34</v>
      </c>
      <c r="E1392" t="s">
        <v>23</v>
      </c>
      <c r="F1392" t="s">
        <v>15</v>
      </c>
      <c r="G1392" s="1" t="str">
        <f t="shared" ref="G1392:M1397" si="285">"X"</f>
        <v>X</v>
      </c>
      <c r="H1392" s="1" t="str">
        <f t="shared" si="285"/>
        <v>X</v>
      </c>
      <c r="I1392" s="1" t="str">
        <f t="shared" si="285"/>
        <v>X</v>
      </c>
      <c r="J1392" s="1" t="str">
        <f t="shared" si="285"/>
        <v>X</v>
      </c>
      <c r="K1392" s="1" t="str">
        <f t="shared" si="285"/>
        <v>X</v>
      </c>
      <c r="L1392" s="1" t="str">
        <f t="shared" si="285"/>
        <v>X</v>
      </c>
      <c r="M1392" s="1" t="str">
        <f t="shared" si="285"/>
        <v>X</v>
      </c>
      <c r="N1392" t="s">
        <v>27</v>
      </c>
    </row>
    <row r="1393" spans="1:14" x14ac:dyDescent="0.25">
      <c r="A1393" t="s">
        <v>14</v>
      </c>
      <c r="B1393" t="s">
        <v>39</v>
      </c>
      <c r="C1393" t="s">
        <v>36</v>
      </c>
      <c r="D1393" t="s">
        <v>34</v>
      </c>
      <c r="E1393" t="s">
        <v>23</v>
      </c>
      <c r="F1393" t="s">
        <v>17</v>
      </c>
      <c r="G1393" s="1" t="str">
        <f t="shared" si="285"/>
        <v>X</v>
      </c>
      <c r="H1393" s="1" t="str">
        <f t="shared" si="285"/>
        <v>X</v>
      </c>
      <c r="I1393" s="1" t="str">
        <f t="shared" si="285"/>
        <v>X</v>
      </c>
      <c r="J1393" s="1" t="str">
        <f t="shared" si="285"/>
        <v>X</v>
      </c>
      <c r="K1393" s="1" t="str">
        <f t="shared" si="285"/>
        <v>X</v>
      </c>
      <c r="L1393" s="1" t="str">
        <f t="shared" si="285"/>
        <v>X</v>
      </c>
      <c r="M1393" s="1" t="str">
        <f t="shared" si="285"/>
        <v>X</v>
      </c>
      <c r="N1393" t="s">
        <v>27</v>
      </c>
    </row>
    <row r="1394" spans="1:14" x14ac:dyDescent="0.25">
      <c r="A1394" t="s">
        <v>14</v>
      </c>
      <c r="B1394" t="s">
        <v>39</v>
      </c>
      <c r="C1394" t="s">
        <v>36</v>
      </c>
      <c r="D1394" t="s">
        <v>34</v>
      </c>
      <c r="E1394" t="s">
        <v>23</v>
      </c>
      <c r="F1394" t="s">
        <v>18</v>
      </c>
      <c r="G1394" s="1" t="str">
        <f t="shared" si="285"/>
        <v>X</v>
      </c>
      <c r="H1394" s="1" t="str">
        <f t="shared" si="285"/>
        <v>X</v>
      </c>
      <c r="I1394" s="1" t="str">
        <f t="shared" si="285"/>
        <v>X</v>
      </c>
      <c r="J1394" s="1" t="str">
        <f t="shared" si="285"/>
        <v>X</v>
      </c>
      <c r="K1394" s="1" t="str">
        <f t="shared" si="285"/>
        <v>X</v>
      </c>
      <c r="L1394" s="1" t="str">
        <f t="shared" si="285"/>
        <v>X</v>
      </c>
      <c r="M1394" s="1" t="str">
        <f t="shared" si="285"/>
        <v>X</v>
      </c>
      <c r="N1394" t="s">
        <v>27</v>
      </c>
    </row>
    <row r="1395" spans="1:14" x14ac:dyDescent="0.25">
      <c r="A1395" t="s">
        <v>14</v>
      </c>
      <c r="B1395" t="s">
        <v>39</v>
      </c>
      <c r="C1395" t="s">
        <v>36</v>
      </c>
      <c r="D1395" t="s">
        <v>34</v>
      </c>
      <c r="E1395" t="s">
        <v>23</v>
      </c>
      <c r="F1395" t="s">
        <v>19</v>
      </c>
      <c r="G1395" s="1" t="str">
        <f t="shared" si="285"/>
        <v>X</v>
      </c>
      <c r="H1395" s="1" t="str">
        <f t="shared" si="285"/>
        <v>X</v>
      </c>
      <c r="I1395" s="1" t="str">
        <f t="shared" si="285"/>
        <v>X</v>
      </c>
      <c r="J1395" s="1" t="str">
        <f t="shared" si="285"/>
        <v>X</v>
      </c>
      <c r="K1395" s="1" t="str">
        <f t="shared" si="285"/>
        <v>X</v>
      </c>
      <c r="L1395" s="1" t="str">
        <f t="shared" si="285"/>
        <v>X</v>
      </c>
      <c r="M1395" s="1" t="str">
        <f t="shared" si="285"/>
        <v>X</v>
      </c>
      <c r="N1395" t="s">
        <v>27</v>
      </c>
    </row>
    <row r="1396" spans="1:14" x14ac:dyDescent="0.25">
      <c r="A1396" t="s">
        <v>14</v>
      </c>
      <c r="B1396" t="s">
        <v>39</v>
      </c>
      <c r="C1396" t="s">
        <v>36</v>
      </c>
      <c r="D1396" t="s">
        <v>34</v>
      </c>
      <c r="E1396" t="s">
        <v>23</v>
      </c>
      <c r="F1396" t="s">
        <v>20</v>
      </c>
      <c r="G1396" s="1" t="str">
        <f t="shared" si="285"/>
        <v>X</v>
      </c>
      <c r="H1396" s="1" t="str">
        <f t="shared" si="285"/>
        <v>X</v>
      </c>
      <c r="I1396" s="1" t="str">
        <f t="shared" si="285"/>
        <v>X</v>
      </c>
      <c r="J1396" s="1" t="str">
        <f t="shared" si="285"/>
        <v>X</v>
      </c>
      <c r="K1396" s="1" t="str">
        <f t="shared" si="285"/>
        <v>X</v>
      </c>
      <c r="L1396" s="1" t="str">
        <f t="shared" si="285"/>
        <v>X</v>
      </c>
      <c r="M1396" s="1" t="str">
        <f t="shared" si="285"/>
        <v>X</v>
      </c>
      <c r="N1396" t="s">
        <v>27</v>
      </c>
    </row>
    <row r="1397" spans="1:14" x14ac:dyDescent="0.25">
      <c r="A1397" t="s">
        <v>14</v>
      </c>
      <c r="B1397" t="s">
        <v>39</v>
      </c>
      <c r="C1397" t="s">
        <v>36</v>
      </c>
      <c r="D1397" t="s">
        <v>34</v>
      </c>
      <c r="E1397" t="s">
        <v>26</v>
      </c>
      <c r="F1397" t="s">
        <v>15</v>
      </c>
      <c r="G1397" s="1" t="str">
        <f t="shared" si="285"/>
        <v>X</v>
      </c>
      <c r="H1397" s="1" t="str">
        <f t="shared" si="285"/>
        <v>X</v>
      </c>
      <c r="I1397" s="1" t="str">
        <f t="shared" si="285"/>
        <v>X</v>
      </c>
      <c r="J1397" s="1" t="str">
        <f t="shared" si="285"/>
        <v>X</v>
      </c>
      <c r="K1397" s="1" t="str">
        <f t="shared" si="285"/>
        <v>X</v>
      </c>
      <c r="L1397" s="1" t="str">
        <f t="shared" si="285"/>
        <v>X</v>
      </c>
      <c r="M1397" s="1" t="str">
        <f t="shared" si="285"/>
        <v>X</v>
      </c>
      <c r="N1397" t="s">
        <v>27</v>
      </c>
    </row>
    <row r="1398" spans="1:14" x14ac:dyDescent="0.25">
      <c r="A1398" t="s">
        <v>14</v>
      </c>
      <c r="B1398" t="s">
        <v>39</v>
      </c>
      <c r="C1398" t="s">
        <v>36</v>
      </c>
      <c r="D1398" t="s">
        <v>34</v>
      </c>
      <c r="E1398" t="s">
        <v>26</v>
      </c>
      <c r="F1398" t="s">
        <v>17</v>
      </c>
      <c r="G1398" s="1" t="str">
        <f t="shared" ref="G1398:M1400" si="286">"..."</f>
        <v>...</v>
      </c>
      <c r="H1398" s="1" t="str">
        <f t="shared" si="286"/>
        <v>...</v>
      </c>
      <c r="I1398" s="1" t="str">
        <f t="shared" si="286"/>
        <v>...</v>
      </c>
      <c r="J1398" s="1" t="str">
        <f t="shared" si="286"/>
        <v>...</v>
      </c>
      <c r="K1398" s="1" t="str">
        <f t="shared" si="286"/>
        <v>...</v>
      </c>
      <c r="L1398" s="1" t="str">
        <f t="shared" si="286"/>
        <v>...</v>
      </c>
      <c r="M1398" s="1" t="str">
        <f t="shared" si="286"/>
        <v>...</v>
      </c>
      <c r="N1398" t="s">
        <v>30</v>
      </c>
    </row>
    <row r="1399" spans="1:14" x14ac:dyDescent="0.25">
      <c r="A1399" t="s">
        <v>14</v>
      </c>
      <c r="B1399" t="s">
        <v>39</v>
      </c>
      <c r="C1399" t="s">
        <v>36</v>
      </c>
      <c r="D1399" t="s">
        <v>34</v>
      </c>
      <c r="E1399" t="s">
        <v>26</v>
      </c>
      <c r="F1399" t="s">
        <v>18</v>
      </c>
      <c r="G1399" s="1" t="str">
        <f t="shared" si="286"/>
        <v>...</v>
      </c>
      <c r="H1399" s="1" t="str">
        <f t="shared" si="286"/>
        <v>...</v>
      </c>
      <c r="I1399" s="1" t="str">
        <f t="shared" si="286"/>
        <v>...</v>
      </c>
      <c r="J1399" s="1" t="str">
        <f t="shared" si="286"/>
        <v>...</v>
      </c>
      <c r="K1399" s="1" t="str">
        <f t="shared" si="286"/>
        <v>...</v>
      </c>
      <c r="L1399" s="1" t="str">
        <f t="shared" si="286"/>
        <v>...</v>
      </c>
      <c r="M1399" s="1" t="str">
        <f t="shared" si="286"/>
        <v>...</v>
      </c>
      <c r="N1399" t="s">
        <v>30</v>
      </c>
    </row>
    <row r="1400" spans="1:14" x14ac:dyDescent="0.25">
      <c r="A1400" t="s">
        <v>14</v>
      </c>
      <c r="B1400" t="s">
        <v>39</v>
      </c>
      <c r="C1400" t="s">
        <v>36</v>
      </c>
      <c r="D1400" t="s">
        <v>34</v>
      </c>
      <c r="E1400" t="s">
        <v>26</v>
      </c>
      <c r="F1400" t="s">
        <v>19</v>
      </c>
      <c r="G1400" s="1" t="str">
        <f t="shared" si="286"/>
        <v>...</v>
      </c>
      <c r="H1400" s="1" t="str">
        <f t="shared" si="286"/>
        <v>...</v>
      </c>
      <c r="I1400" s="1" t="str">
        <f t="shared" si="286"/>
        <v>...</v>
      </c>
      <c r="J1400" s="1" t="str">
        <f t="shared" si="286"/>
        <v>...</v>
      </c>
      <c r="K1400" s="1" t="str">
        <f t="shared" si="286"/>
        <v>...</v>
      </c>
      <c r="L1400" s="1" t="str">
        <f t="shared" si="286"/>
        <v>...</v>
      </c>
      <c r="M1400" s="1" t="str">
        <f t="shared" si="286"/>
        <v>...</v>
      </c>
      <c r="N1400" t="s">
        <v>30</v>
      </c>
    </row>
    <row r="1401" spans="1:14" x14ac:dyDescent="0.25">
      <c r="A1401" t="s">
        <v>14</v>
      </c>
      <c r="B1401" t="s">
        <v>39</v>
      </c>
      <c r="C1401" t="s">
        <v>36</v>
      </c>
      <c r="D1401" t="s">
        <v>34</v>
      </c>
      <c r="E1401" t="s">
        <v>26</v>
      </c>
      <c r="F1401" t="s">
        <v>20</v>
      </c>
      <c r="G1401" s="1" t="str">
        <f t="shared" ref="G1401:M1401" si="287">"X"</f>
        <v>X</v>
      </c>
      <c r="H1401" s="1" t="str">
        <f t="shared" si="287"/>
        <v>X</v>
      </c>
      <c r="I1401" s="1" t="str">
        <f t="shared" si="287"/>
        <v>X</v>
      </c>
      <c r="J1401" s="1" t="str">
        <f t="shared" si="287"/>
        <v>X</v>
      </c>
      <c r="K1401" s="1" t="str">
        <f t="shared" si="287"/>
        <v>X</v>
      </c>
      <c r="L1401" s="1" t="str">
        <f t="shared" si="287"/>
        <v>X</v>
      </c>
      <c r="M1401" s="1" t="str">
        <f t="shared" si="287"/>
        <v>X</v>
      </c>
      <c r="N1401" t="s">
        <v>27</v>
      </c>
    </row>
    <row r="1402" spans="1:14" x14ac:dyDescent="0.25">
      <c r="A1402" t="s">
        <v>14</v>
      </c>
      <c r="B1402" t="s">
        <v>39</v>
      </c>
      <c r="C1402" t="s">
        <v>37</v>
      </c>
      <c r="D1402" t="s">
        <v>15</v>
      </c>
      <c r="E1402" t="s">
        <v>15</v>
      </c>
      <c r="F1402" t="s">
        <v>15</v>
      </c>
      <c r="G1402" s="1">
        <f>VALUE(30506.3628057964)</f>
        <v>30506.362805796402</v>
      </c>
      <c r="H1402" s="1">
        <f>VALUE(30735.1122667597)</f>
        <v>30735.112266759701</v>
      </c>
      <c r="I1402" s="1">
        <f>VALUE(3852)</f>
        <v>3852</v>
      </c>
      <c r="J1402" s="1">
        <f>VALUE(4581)</f>
        <v>4581</v>
      </c>
      <c r="K1402" s="1">
        <f>VALUE(5450)</f>
        <v>5450</v>
      </c>
      <c r="L1402" s="1">
        <f>VALUE(7029)</f>
        <v>7029</v>
      </c>
      <c r="M1402" s="1">
        <f>VALUE(10032)</f>
        <v>10032</v>
      </c>
      <c r="N1402" t="s">
        <v>16</v>
      </c>
    </row>
    <row r="1403" spans="1:14" x14ac:dyDescent="0.25">
      <c r="A1403" t="s">
        <v>14</v>
      </c>
      <c r="B1403" t="s">
        <v>39</v>
      </c>
      <c r="C1403" t="s">
        <v>37</v>
      </c>
      <c r="D1403" t="s">
        <v>15</v>
      </c>
      <c r="E1403" t="s">
        <v>15</v>
      </c>
      <c r="F1403" t="s">
        <v>17</v>
      </c>
      <c r="G1403" s="1">
        <f>VALUE(6553.0768194147)</f>
        <v>6553.0768194147004</v>
      </c>
      <c r="H1403" s="1">
        <f>VALUE(6610.9097093163)</f>
        <v>6610.9097093163</v>
      </c>
      <c r="I1403" s="1">
        <f>VALUE(4825)</f>
        <v>4825</v>
      </c>
      <c r="J1403" s="1">
        <f>VALUE(6128)</f>
        <v>6128</v>
      </c>
      <c r="K1403" s="1">
        <f>VALUE(8333)</f>
        <v>8333</v>
      </c>
      <c r="L1403" s="1">
        <f>VALUE(11578)</f>
        <v>11578</v>
      </c>
      <c r="M1403" s="1">
        <f>VALUE(17129)</f>
        <v>17129</v>
      </c>
      <c r="N1403" t="s">
        <v>16</v>
      </c>
    </row>
    <row r="1404" spans="1:14" x14ac:dyDescent="0.25">
      <c r="A1404" t="s">
        <v>14</v>
      </c>
      <c r="B1404" t="s">
        <v>39</v>
      </c>
      <c r="C1404" t="s">
        <v>37</v>
      </c>
      <c r="D1404" t="s">
        <v>15</v>
      </c>
      <c r="E1404" t="s">
        <v>15</v>
      </c>
      <c r="F1404" t="s">
        <v>18</v>
      </c>
      <c r="G1404" s="1">
        <f>VALUE(3594.8016366601)</f>
        <v>3594.8016366601</v>
      </c>
      <c r="H1404" s="1">
        <f>VALUE(3587.1846003898)</f>
        <v>3587.1846003897999</v>
      </c>
      <c r="I1404" s="1">
        <f>VALUE(4190)</f>
        <v>4190</v>
      </c>
      <c r="J1404" s="1">
        <f>VALUE(4973)</f>
        <v>4973</v>
      </c>
      <c r="K1404" s="1">
        <f>VALUE(6211)</f>
        <v>6211</v>
      </c>
      <c r="L1404" s="1">
        <f>VALUE(7869)</f>
        <v>7869</v>
      </c>
      <c r="M1404" s="1">
        <f>VALUE(10500)</f>
        <v>10500</v>
      </c>
      <c r="N1404" t="s">
        <v>16</v>
      </c>
    </row>
    <row r="1405" spans="1:14" x14ac:dyDescent="0.25">
      <c r="A1405" t="s">
        <v>14</v>
      </c>
      <c r="B1405" t="s">
        <v>39</v>
      </c>
      <c r="C1405" t="s">
        <v>37</v>
      </c>
      <c r="D1405" t="s">
        <v>15</v>
      </c>
      <c r="E1405" t="s">
        <v>15</v>
      </c>
      <c r="F1405" t="s">
        <v>19</v>
      </c>
      <c r="G1405" s="1">
        <f>VALUE(4392.610632842)</f>
        <v>4392.6106328420001</v>
      </c>
      <c r="H1405" s="1">
        <f>VALUE(4417.882515132)</f>
        <v>4417.8825151319998</v>
      </c>
      <c r="I1405" s="1">
        <f>VALUE(4109)</f>
        <v>4109</v>
      </c>
      <c r="J1405" s="1">
        <f>VALUE(4809)</f>
        <v>4809</v>
      </c>
      <c r="K1405" s="1">
        <f>VALUE(5640)</f>
        <v>5640</v>
      </c>
      <c r="L1405" s="1">
        <f>VALUE(6611)</f>
        <v>6611</v>
      </c>
      <c r="M1405" s="1">
        <f>VALUE(8040)</f>
        <v>8040</v>
      </c>
      <c r="N1405" t="s">
        <v>16</v>
      </c>
    </row>
    <row r="1406" spans="1:14" x14ac:dyDescent="0.25">
      <c r="A1406" t="s">
        <v>14</v>
      </c>
      <c r="B1406" t="s">
        <v>39</v>
      </c>
      <c r="C1406" t="s">
        <v>37</v>
      </c>
      <c r="D1406" t="s">
        <v>15</v>
      </c>
      <c r="E1406" t="s">
        <v>15</v>
      </c>
      <c r="F1406" t="s">
        <v>20</v>
      </c>
      <c r="G1406" s="1">
        <f>VALUE(15945.3187186082)</f>
        <v>15945.3187186082</v>
      </c>
      <c r="H1406" s="1">
        <f>VALUE(16096.0922020139)</f>
        <v>16096.092202013901</v>
      </c>
      <c r="I1406" s="1">
        <f>VALUE(3628)</f>
        <v>3628</v>
      </c>
      <c r="J1406" s="1">
        <f>VALUE(4200)</f>
        <v>4200</v>
      </c>
      <c r="K1406" s="1">
        <f>VALUE(4996)</f>
        <v>4996</v>
      </c>
      <c r="L1406" s="1">
        <f>VALUE(5687)</f>
        <v>5687</v>
      </c>
      <c r="M1406" s="1">
        <f>VALUE(6608)</f>
        <v>6608</v>
      </c>
      <c r="N1406" t="s">
        <v>16</v>
      </c>
    </row>
    <row r="1407" spans="1:14" x14ac:dyDescent="0.25">
      <c r="A1407" t="s">
        <v>14</v>
      </c>
      <c r="B1407" t="s">
        <v>39</v>
      </c>
      <c r="C1407" t="s">
        <v>37</v>
      </c>
      <c r="D1407" t="s">
        <v>15</v>
      </c>
      <c r="E1407" t="s">
        <v>21</v>
      </c>
      <c r="F1407" t="s">
        <v>15</v>
      </c>
      <c r="G1407" s="1">
        <f>VALUE(6936.9105904597)</f>
        <v>6936.9105904597</v>
      </c>
      <c r="H1407" s="1">
        <f>VALUE(6772.1173371409)</f>
        <v>6772.1173371409004</v>
      </c>
      <c r="I1407" s="1">
        <f>VALUE(5036)</f>
        <v>5036</v>
      </c>
      <c r="J1407" s="1">
        <f>VALUE(6202)</f>
        <v>6202</v>
      </c>
      <c r="K1407" s="1">
        <f>VALUE(8000)</f>
        <v>8000</v>
      </c>
      <c r="L1407" s="1">
        <f>VALUE(10775)</f>
        <v>10775</v>
      </c>
      <c r="M1407" s="1">
        <f>VALUE(15749)</f>
        <v>15749</v>
      </c>
      <c r="N1407" t="s">
        <v>16</v>
      </c>
    </row>
    <row r="1408" spans="1:14" x14ac:dyDescent="0.25">
      <c r="A1408" t="s">
        <v>14</v>
      </c>
      <c r="B1408" t="s">
        <v>39</v>
      </c>
      <c r="C1408" t="s">
        <v>37</v>
      </c>
      <c r="D1408" t="s">
        <v>15</v>
      </c>
      <c r="E1408" t="s">
        <v>21</v>
      </c>
      <c r="F1408" t="s">
        <v>17</v>
      </c>
      <c r="G1408" s="1">
        <f>VALUE(3649.6442010019)</f>
        <v>3649.6442010019</v>
      </c>
      <c r="H1408" s="1">
        <f>VALUE(3640.9670064647)</f>
        <v>3640.9670064646998</v>
      </c>
      <c r="I1408" s="1">
        <f>VALUE(5469)</f>
        <v>5469</v>
      </c>
      <c r="J1408" s="1">
        <f>VALUE(7249)</f>
        <v>7249</v>
      </c>
      <c r="K1408" s="1">
        <f>VALUE(9492)</f>
        <v>9492</v>
      </c>
      <c r="L1408" s="1">
        <f>VALUE(12927)</f>
        <v>12927</v>
      </c>
      <c r="M1408" s="1">
        <f>VALUE(19332)</f>
        <v>19332</v>
      </c>
      <c r="N1408" t="s">
        <v>16</v>
      </c>
    </row>
    <row r="1409" spans="1:14" x14ac:dyDescent="0.25">
      <c r="A1409" t="s">
        <v>14</v>
      </c>
      <c r="B1409" t="s">
        <v>39</v>
      </c>
      <c r="C1409" t="s">
        <v>37</v>
      </c>
      <c r="D1409" t="s">
        <v>15</v>
      </c>
      <c r="E1409" t="s">
        <v>21</v>
      </c>
      <c r="F1409" t="s">
        <v>18</v>
      </c>
      <c r="G1409" s="2">
        <f>VALUE(1136.1532004726)</f>
        <v>1136.1532004726</v>
      </c>
      <c r="H1409" s="1">
        <f>VALUE(1084.101284471)</f>
        <v>1084.1012844710001</v>
      </c>
      <c r="I1409" s="1">
        <f>VALUE(5073)</f>
        <v>5073</v>
      </c>
      <c r="J1409" s="1">
        <f>VALUE(6350)</f>
        <v>6350</v>
      </c>
      <c r="K1409" s="1">
        <f>VALUE(7529)</f>
        <v>7529</v>
      </c>
      <c r="L1409" s="1">
        <f>VALUE(9353)</f>
        <v>9353</v>
      </c>
      <c r="M1409" s="8">
        <f>VALUE(12050)</f>
        <v>12050</v>
      </c>
      <c r="N1409" t="s">
        <v>25</v>
      </c>
    </row>
    <row r="1410" spans="1:14" x14ac:dyDescent="0.25">
      <c r="A1410" t="s">
        <v>14</v>
      </c>
      <c r="B1410" t="s">
        <v>39</v>
      </c>
      <c r="C1410" t="s">
        <v>37</v>
      </c>
      <c r="D1410" t="s">
        <v>15</v>
      </c>
      <c r="E1410" t="s">
        <v>21</v>
      </c>
      <c r="F1410" t="s">
        <v>19</v>
      </c>
      <c r="G1410" s="2">
        <f>VALUE(890.5424169218)</f>
        <v>890.54241692180005</v>
      </c>
      <c r="H1410" s="3">
        <f>VALUE(833.7703703935)</f>
        <v>833.7703703935</v>
      </c>
      <c r="I1410" s="4">
        <f>VALUE(5211)</f>
        <v>5211</v>
      </c>
      <c r="J1410" s="1">
        <f>VALUE(5871)</f>
        <v>5871</v>
      </c>
      <c r="K1410" s="1">
        <f>VALUE(6906)</f>
        <v>6906</v>
      </c>
      <c r="L1410" s="1">
        <f>VALUE(8095)</f>
        <v>8095</v>
      </c>
      <c r="M1410" s="1">
        <f>VALUE(9603)</f>
        <v>9603</v>
      </c>
      <c r="N1410" t="s">
        <v>25</v>
      </c>
    </row>
    <row r="1411" spans="1:14" x14ac:dyDescent="0.25">
      <c r="A1411" t="s">
        <v>14</v>
      </c>
      <c r="B1411" t="s">
        <v>39</v>
      </c>
      <c r="C1411" t="s">
        <v>37</v>
      </c>
      <c r="D1411" t="s">
        <v>15</v>
      </c>
      <c r="E1411" t="s">
        <v>21</v>
      </c>
      <c r="F1411" t="s">
        <v>20</v>
      </c>
      <c r="G1411" s="1">
        <f>VALUE(1258.2131047788)</f>
        <v>1258.2131047788</v>
      </c>
      <c r="H1411" s="1">
        <f>VALUE(1210.9210085271)</f>
        <v>1210.9210085271</v>
      </c>
      <c r="I1411" s="4">
        <f>VALUE(4230)</f>
        <v>4230</v>
      </c>
      <c r="J1411" s="1">
        <f>VALUE(5105)</f>
        <v>5105</v>
      </c>
      <c r="K1411" s="1">
        <f>VALUE(6138)</f>
        <v>6138</v>
      </c>
      <c r="L1411" s="1">
        <f>VALUE(7727)</f>
        <v>7727</v>
      </c>
      <c r="M1411" s="1">
        <f>VALUE(9212)</f>
        <v>9212</v>
      </c>
      <c r="N1411" t="s">
        <v>25</v>
      </c>
    </row>
    <row r="1412" spans="1:14" x14ac:dyDescent="0.25">
      <c r="A1412" t="s">
        <v>14</v>
      </c>
      <c r="B1412" t="s">
        <v>39</v>
      </c>
      <c r="C1412" t="s">
        <v>37</v>
      </c>
      <c r="D1412" t="s">
        <v>15</v>
      </c>
      <c r="E1412" t="s">
        <v>22</v>
      </c>
      <c r="F1412" t="s">
        <v>15</v>
      </c>
      <c r="G1412" s="1">
        <f>VALUE(10947.5119233603)</f>
        <v>10947.5119233603</v>
      </c>
      <c r="H1412" s="1">
        <f>VALUE(11102.0029321107)</f>
        <v>11102.002932110699</v>
      </c>
      <c r="I1412" s="1">
        <f>VALUE(4111)</f>
        <v>4111</v>
      </c>
      <c r="J1412" s="1">
        <f>VALUE(4798)</f>
        <v>4798</v>
      </c>
      <c r="K1412" s="1">
        <f>VALUE(5585)</f>
        <v>5585</v>
      </c>
      <c r="L1412" s="1">
        <f>VALUE(6628)</f>
        <v>6628</v>
      </c>
      <c r="M1412" s="1">
        <f>VALUE(8150)</f>
        <v>8150</v>
      </c>
      <c r="N1412" t="s">
        <v>16</v>
      </c>
    </row>
    <row r="1413" spans="1:14" x14ac:dyDescent="0.25">
      <c r="A1413" t="s">
        <v>14</v>
      </c>
      <c r="B1413" t="s">
        <v>39</v>
      </c>
      <c r="C1413" t="s">
        <v>37</v>
      </c>
      <c r="D1413" t="s">
        <v>15</v>
      </c>
      <c r="E1413" t="s">
        <v>22</v>
      </c>
      <c r="F1413" t="s">
        <v>17</v>
      </c>
      <c r="G1413" s="1">
        <f>VALUE(1900.374770229)</f>
        <v>1900.374770229</v>
      </c>
      <c r="H1413" s="1">
        <f>VALUE(1957.8009978635)</f>
        <v>1957.8009978635</v>
      </c>
      <c r="I1413" s="4">
        <f>VALUE(4333)</f>
        <v>4333</v>
      </c>
      <c r="J1413" s="1">
        <f>VALUE(5458)</f>
        <v>5458</v>
      </c>
      <c r="K1413" s="1">
        <f>VALUE(6917)</f>
        <v>6917</v>
      </c>
      <c r="L1413" s="1">
        <f>VALUE(8922)</f>
        <v>8922</v>
      </c>
      <c r="M1413" s="1">
        <f>VALUE(12616)</f>
        <v>12616</v>
      </c>
      <c r="N1413" t="s">
        <v>25</v>
      </c>
    </row>
    <row r="1414" spans="1:14" x14ac:dyDescent="0.25">
      <c r="A1414" t="s">
        <v>14</v>
      </c>
      <c r="B1414" t="s">
        <v>39</v>
      </c>
      <c r="C1414" t="s">
        <v>37</v>
      </c>
      <c r="D1414" t="s">
        <v>15</v>
      </c>
      <c r="E1414" t="s">
        <v>22</v>
      </c>
      <c r="F1414" t="s">
        <v>18</v>
      </c>
      <c r="G1414" s="2">
        <f>VALUE(1394.6774881282)</f>
        <v>1394.6774881281999</v>
      </c>
      <c r="H1414" s="3">
        <f>VALUE(1423.9007765915)</f>
        <v>1423.9007765915001</v>
      </c>
      <c r="I1414" s="1">
        <f>VALUE(4392)</f>
        <v>4392</v>
      </c>
      <c r="J1414" s="1">
        <f>VALUE(4996)</f>
        <v>4996</v>
      </c>
      <c r="K1414" s="1">
        <f>VALUE(5976)</f>
        <v>5976</v>
      </c>
      <c r="L1414" s="1">
        <f>VALUE(7273)</f>
        <v>7273</v>
      </c>
      <c r="M1414" s="8">
        <f>VALUE(8690)</f>
        <v>8690</v>
      </c>
      <c r="N1414" t="s">
        <v>25</v>
      </c>
    </row>
    <row r="1415" spans="1:14" x14ac:dyDescent="0.25">
      <c r="A1415" t="s">
        <v>14</v>
      </c>
      <c r="B1415" t="s">
        <v>39</v>
      </c>
      <c r="C1415" t="s">
        <v>37</v>
      </c>
      <c r="D1415" t="s">
        <v>15</v>
      </c>
      <c r="E1415" t="s">
        <v>22</v>
      </c>
      <c r="F1415" t="s">
        <v>19</v>
      </c>
      <c r="G1415" s="1">
        <f>VALUE(2041.6242955732)</f>
        <v>2041.6242955732</v>
      </c>
      <c r="H1415" s="1">
        <f>VALUE(2076.4157911995)</f>
        <v>2076.4157911994998</v>
      </c>
      <c r="I1415" s="1">
        <f>VALUE(4241)</f>
        <v>4241</v>
      </c>
      <c r="J1415" s="1">
        <f>VALUE(4862)</f>
        <v>4862</v>
      </c>
      <c r="K1415" s="1">
        <f>VALUE(5561)</f>
        <v>5561</v>
      </c>
      <c r="L1415" s="1">
        <f>VALUE(6289)</f>
        <v>6289</v>
      </c>
      <c r="M1415" s="1">
        <f>VALUE(7355)</f>
        <v>7355</v>
      </c>
      <c r="N1415" t="s">
        <v>16</v>
      </c>
    </row>
    <row r="1416" spans="1:14" x14ac:dyDescent="0.25">
      <c r="A1416" t="s">
        <v>14</v>
      </c>
      <c r="B1416" t="s">
        <v>39</v>
      </c>
      <c r="C1416" t="s">
        <v>37</v>
      </c>
      <c r="D1416" t="s">
        <v>15</v>
      </c>
      <c r="E1416" t="s">
        <v>22</v>
      </c>
      <c r="F1416" t="s">
        <v>20</v>
      </c>
      <c r="G1416" s="1">
        <f>VALUE(5610.8353694299)</f>
        <v>5610.8353694299003</v>
      </c>
      <c r="H1416" s="1">
        <f>VALUE(5643.8853664562)</f>
        <v>5643.8853664562002</v>
      </c>
      <c r="I1416" s="1">
        <f>VALUE(3972)</f>
        <v>3972</v>
      </c>
      <c r="J1416" s="1">
        <f>VALUE(4643)</f>
        <v>4643</v>
      </c>
      <c r="K1416" s="1">
        <f>VALUE(5353)</f>
        <v>5353</v>
      </c>
      <c r="L1416" s="1">
        <f>VALUE(6056)</f>
        <v>6056</v>
      </c>
      <c r="M1416" s="1">
        <f>VALUE(7013)</f>
        <v>7013</v>
      </c>
      <c r="N1416" t="s">
        <v>16</v>
      </c>
    </row>
    <row r="1417" spans="1:14" x14ac:dyDescent="0.25">
      <c r="A1417" t="s">
        <v>14</v>
      </c>
      <c r="B1417" t="s">
        <v>39</v>
      </c>
      <c r="C1417" t="s">
        <v>37</v>
      </c>
      <c r="D1417" t="s">
        <v>15</v>
      </c>
      <c r="E1417" t="s">
        <v>23</v>
      </c>
      <c r="F1417" t="s">
        <v>15</v>
      </c>
      <c r="G1417" s="1">
        <f>VALUE(12098.7334595768)</f>
        <v>12098.733459576801</v>
      </c>
      <c r="H1417" s="1">
        <f>VALUE(12335.7484108826)</f>
        <v>12335.748410882599</v>
      </c>
      <c r="I1417" s="1">
        <f>VALUE(3521)</f>
        <v>3521</v>
      </c>
      <c r="J1417" s="1">
        <f>VALUE(4075)</f>
        <v>4075</v>
      </c>
      <c r="K1417" s="1">
        <f>VALUE(4809)</f>
        <v>4809</v>
      </c>
      <c r="L1417" s="1">
        <f>VALUE(5452)</f>
        <v>5452</v>
      </c>
      <c r="M1417" s="1">
        <f>VALUE(6337)</f>
        <v>6337</v>
      </c>
      <c r="N1417" t="s">
        <v>16</v>
      </c>
    </row>
    <row r="1418" spans="1:14" x14ac:dyDescent="0.25">
      <c r="A1418" t="s">
        <v>14</v>
      </c>
      <c r="B1418" t="s">
        <v>39</v>
      </c>
      <c r="C1418" t="s">
        <v>37</v>
      </c>
      <c r="D1418" t="s">
        <v>15</v>
      </c>
      <c r="E1418" t="s">
        <v>23</v>
      </c>
      <c r="F1418" t="s">
        <v>17</v>
      </c>
      <c r="G1418" s="2">
        <f>VALUE(786.0707002041)</f>
        <v>786.07070020410004</v>
      </c>
      <c r="H1418" s="3">
        <f>VALUE(794.2896362034)</f>
        <v>794.28963620340005</v>
      </c>
      <c r="I1418" s="4">
        <f>VALUE(4000)</f>
        <v>4000</v>
      </c>
      <c r="J1418" s="5">
        <f>VALUE(5000)</f>
        <v>5000</v>
      </c>
      <c r="K1418" s="6">
        <f>VALUE(5850)</f>
        <v>5850</v>
      </c>
      <c r="L1418" s="7">
        <f>VALUE(7822)</f>
        <v>7822</v>
      </c>
      <c r="M1418" s="1">
        <f>VALUE(11125)</f>
        <v>11125</v>
      </c>
      <c r="N1418" t="s">
        <v>25</v>
      </c>
    </row>
    <row r="1419" spans="1:14" x14ac:dyDescent="0.25">
      <c r="A1419" t="s">
        <v>14</v>
      </c>
      <c r="B1419" t="s">
        <v>39</v>
      </c>
      <c r="C1419" t="s">
        <v>37</v>
      </c>
      <c r="D1419" t="s">
        <v>15</v>
      </c>
      <c r="E1419" t="s">
        <v>23</v>
      </c>
      <c r="F1419" t="s">
        <v>18</v>
      </c>
      <c r="G1419" s="2">
        <f>VALUE(948.0027847545)</f>
        <v>948.0027847545</v>
      </c>
      <c r="H1419" s="3">
        <f>VALUE(958.740516022)</f>
        <v>958.74051602199995</v>
      </c>
      <c r="I1419" s="4">
        <f>VALUE(3642)</f>
        <v>3642</v>
      </c>
      <c r="J1419" s="1">
        <f>VALUE(4333)</f>
        <v>4333</v>
      </c>
      <c r="K1419" s="1">
        <f>VALUE(4994)</f>
        <v>4994</v>
      </c>
      <c r="L1419" s="7">
        <f>VALUE(5958)</f>
        <v>5958</v>
      </c>
      <c r="M1419" s="1">
        <f>VALUE(7813)</f>
        <v>7813</v>
      </c>
      <c r="N1419" t="s">
        <v>25</v>
      </c>
    </row>
    <row r="1420" spans="1:14" x14ac:dyDescent="0.25">
      <c r="A1420" t="s">
        <v>14</v>
      </c>
      <c r="B1420" t="s">
        <v>39</v>
      </c>
      <c r="C1420" t="s">
        <v>37</v>
      </c>
      <c r="D1420" t="s">
        <v>15</v>
      </c>
      <c r="E1420" t="s">
        <v>23</v>
      </c>
      <c r="F1420" t="s">
        <v>19</v>
      </c>
      <c r="G1420" s="2">
        <f>VALUE(1454.9638345283)</f>
        <v>1454.9638345282999</v>
      </c>
      <c r="H1420" s="3">
        <f>VALUE(1503.3105096199)</f>
        <v>1503.3105096198999</v>
      </c>
      <c r="I1420" s="1">
        <f>VALUE(3803)</f>
        <v>3803</v>
      </c>
      <c r="J1420" s="1">
        <f>VALUE(4463)</f>
        <v>4463</v>
      </c>
      <c r="K1420" s="1">
        <f>VALUE(5144)</f>
        <v>5144</v>
      </c>
      <c r="L1420" s="1">
        <f>VALUE(6133)</f>
        <v>6133</v>
      </c>
      <c r="M1420" s="8">
        <f>VALUE(7479)</f>
        <v>7479</v>
      </c>
      <c r="N1420" t="s">
        <v>25</v>
      </c>
    </row>
    <row r="1421" spans="1:14" x14ac:dyDescent="0.25">
      <c r="A1421" t="s">
        <v>14</v>
      </c>
      <c r="B1421" t="s">
        <v>39</v>
      </c>
      <c r="C1421" t="s">
        <v>37</v>
      </c>
      <c r="D1421" t="s">
        <v>15</v>
      </c>
      <c r="E1421" t="s">
        <v>23</v>
      </c>
      <c r="F1421" t="s">
        <v>20</v>
      </c>
      <c r="G1421" s="1">
        <f>VALUE(8909.6961400899)</f>
        <v>8909.6961400898999</v>
      </c>
      <c r="H1421" s="1">
        <f>VALUE(9079.4077490373)</f>
        <v>9079.4077490373002</v>
      </c>
      <c r="I1421" s="1">
        <f>VALUE(3465)</f>
        <v>3465</v>
      </c>
      <c r="J1421" s="1">
        <f>VALUE(3979)</f>
        <v>3979</v>
      </c>
      <c r="K1421" s="1">
        <f>VALUE(4656)</f>
        <v>4656</v>
      </c>
      <c r="L1421" s="1">
        <f>VALUE(5278)</f>
        <v>5278</v>
      </c>
      <c r="M1421" s="1">
        <f>VALUE(5795)</f>
        <v>5795</v>
      </c>
      <c r="N1421" t="s">
        <v>16</v>
      </c>
    </row>
    <row r="1422" spans="1:14" x14ac:dyDescent="0.25">
      <c r="A1422" t="s">
        <v>14</v>
      </c>
      <c r="B1422" t="s">
        <v>39</v>
      </c>
      <c r="C1422" t="s">
        <v>37</v>
      </c>
      <c r="D1422" t="s">
        <v>15</v>
      </c>
      <c r="E1422" t="s">
        <v>26</v>
      </c>
      <c r="F1422" t="s">
        <v>15</v>
      </c>
      <c r="G1422" s="2">
        <f>VALUE(523.2068323996)</f>
        <v>523.20683239959999</v>
      </c>
      <c r="H1422" s="3">
        <f>VALUE(525.2435866255)</f>
        <v>525.24358662550003</v>
      </c>
      <c r="I1422" s="1">
        <f>VALUE(5281)</f>
        <v>5281</v>
      </c>
      <c r="J1422" s="1">
        <f>VALUE(6013)</f>
        <v>6013</v>
      </c>
      <c r="K1422" s="1">
        <f>VALUE(9603)</f>
        <v>9603</v>
      </c>
      <c r="L1422" s="1">
        <f>VALUE(13809)</f>
        <v>13809</v>
      </c>
      <c r="M1422" s="1">
        <f>VALUE(22490)</f>
        <v>22490</v>
      </c>
      <c r="N1422" t="s">
        <v>25</v>
      </c>
    </row>
    <row r="1423" spans="1:14" x14ac:dyDescent="0.25">
      <c r="A1423" t="s">
        <v>14</v>
      </c>
      <c r="B1423" t="s">
        <v>39</v>
      </c>
      <c r="C1423" t="s">
        <v>37</v>
      </c>
      <c r="D1423" t="s">
        <v>15</v>
      </c>
      <c r="E1423" t="s">
        <v>26</v>
      </c>
      <c r="F1423" t="s">
        <v>17</v>
      </c>
      <c r="G1423" s="2">
        <f>VALUE(216.9871479797)</f>
        <v>216.98714797970001</v>
      </c>
      <c r="H1423" s="3">
        <f>VALUE(217.8520687847)</f>
        <v>217.85206878470001</v>
      </c>
      <c r="I1423" s="1">
        <f>VALUE(10278)</f>
        <v>10278</v>
      </c>
      <c r="J1423" s="1">
        <f>VALUE(12783)</f>
        <v>12783</v>
      </c>
      <c r="K1423" s="1">
        <f>VALUE(15655)</f>
        <v>15655</v>
      </c>
      <c r="L1423" s="1">
        <f>VALUE(21885)</f>
        <v>21885</v>
      </c>
      <c r="M1423" s="1">
        <f>VALUE(32262)</f>
        <v>32262</v>
      </c>
      <c r="N1423" t="s">
        <v>25</v>
      </c>
    </row>
    <row r="1424" spans="1:14" x14ac:dyDescent="0.25">
      <c r="A1424" t="s">
        <v>14</v>
      </c>
      <c r="B1424" t="s">
        <v>39</v>
      </c>
      <c r="C1424" t="s">
        <v>37</v>
      </c>
      <c r="D1424" t="s">
        <v>15</v>
      </c>
      <c r="E1424" t="s">
        <v>26</v>
      </c>
      <c r="F1424" t="s">
        <v>18</v>
      </c>
      <c r="G1424" s="1" t="str">
        <f t="shared" ref="G1424:M1425" si="288">"X"</f>
        <v>X</v>
      </c>
      <c r="H1424" s="1" t="str">
        <f t="shared" si="288"/>
        <v>X</v>
      </c>
      <c r="I1424" s="1" t="str">
        <f t="shared" si="288"/>
        <v>X</v>
      </c>
      <c r="J1424" s="1" t="str">
        <f t="shared" si="288"/>
        <v>X</v>
      </c>
      <c r="K1424" s="1" t="str">
        <f t="shared" si="288"/>
        <v>X</v>
      </c>
      <c r="L1424" s="1" t="str">
        <f t="shared" si="288"/>
        <v>X</v>
      </c>
      <c r="M1424" s="1" t="str">
        <f t="shared" si="288"/>
        <v>X</v>
      </c>
      <c r="N1424" t="s">
        <v>27</v>
      </c>
    </row>
    <row r="1425" spans="1:14" x14ac:dyDescent="0.25">
      <c r="A1425" t="s">
        <v>14</v>
      </c>
      <c r="B1425" t="s">
        <v>39</v>
      </c>
      <c r="C1425" t="s">
        <v>37</v>
      </c>
      <c r="D1425" t="s">
        <v>15</v>
      </c>
      <c r="E1425" t="s">
        <v>26</v>
      </c>
      <c r="F1425" t="s">
        <v>19</v>
      </c>
      <c r="G1425" s="1" t="str">
        <f t="shared" si="288"/>
        <v>X</v>
      </c>
      <c r="H1425" s="1" t="str">
        <f t="shared" si="288"/>
        <v>X</v>
      </c>
      <c r="I1425" s="1" t="str">
        <f t="shared" si="288"/>
        <v>X</v>
      </c>
      <c r="J1425" s="1" t="str">
        <f t="shared" si="288"/>
        <v>X</v>
      </c>
      <c r="K1425" s="1" t="str">
        <f t="shared" si="288"/>
        <v>X</v>
      </c>
      <c r="L1425" s="1" t="str">
        <f t="shared" si="288"/>
        <v>X</v>
      </c>
      <c r="M1425" s="1" t="str">
        <f t="shared" si="288"/>
        <v>X</v>
      </c>
      <c r="N1425" t="s">
        <v>27</v>
      </c>
    </row>
    <row r="1426" spans="1:14" x14ac:dyDescent="0.25">
      <c r="A1426" t="s">
        <v>14</v>
      </c>
      <c r="B1426" t="s">
        <v>39</v>
      </c>
      <c r="C1426" t="s">
        <v>37</v>
      </c>
      <c r="D1426" t="s">
        <v>15</v>
      </c>
      <c r="E1426" t="s">
        <v>26</v>
      </c>
      <c r="F1426" t="s">
        <v>20</v>
      </c>
      <c r="G1426" s="2">
        <f>VALUE(166.5741043096)</f>
        <v>166.57410430959999</v>
      </c>
      <c r="H1426" s="3">
        <f>VALUE(161.8780779933)</f>
        <v>161.8780779933</v>
      </c>
      <c r="I1426" s="1">
        <f>VALUE(3390)</f>
        <v>3390</v>
      </c>
      <c r="J1426" s="1">
        <f>VALUE(5281)</f>
        <v>5281</v>
      </c>
      <c r="K1426" s="1">
        <f>VALUE(5770)</f>
        <v>5770</v>
      </c>
      <c r="L1426" s="1">
        <f>VALUE(6031)</f>
        <v>6031</v>
      </c>
      <c r="M1426" s="1">
        <f>VALUE(6984)</f>
        <v>6984</v>
      </c>
      <c r="N1426" t="s">
        <v>25</v>
      </c>
    </row>
    <row r="1427" spans="1:14" x14ac:dyDescent="0.25">
      <c r="A1427" t="s">
        <v>14</v>
      </c>
      <c r="B1427" t="s">
        <v>39</v>
      </c>
      <c r="C1427" t="s">
        <v>37</v>
      </c>
      <c r="D1427" t="s">
        <v>28</v>
      </c>
      <c r="E1427" t="s">
        <v>15</v>
      </c>
      <c r="F1427" t="s">
        <v>15</v>
      </c>
      <c r="G1427" s="1">
        <f>VALUE(10971.9254213951)</f>
        <v>10971.925421395101</v>
      </c>
      <c r="H1427" s="1">
        <f>VALUE(10851.7960921535)</f>
        <v>10851.7960921535</v>
      </c>
      <c r="I1427" s="1">
        <f>VALUE(4376)</f>
        <v>4376</v>
      </c>
      <c r="J1427" s="1">
        <f>VALUE(5216)</f>
        <v>5216</v>
      </c>
      <c r="K1427" s="1">
        <f>VALUE(6327)</f>
        <v>6327</v>
      </c>
      <c r="L1427" s="1">
        <f>VALUE(8460)</f>
        <v>8460</v>
      </c>
      <c r="M1427" s="1">
        <f>VALUE(11917)</f>
        <v>11917</v>
      </c>
      <c r="N1427" t="s">
        <v>16</v>
      </c>
    </row>
    <row r="1428" spans="1:14" x14ac:dyDescent="0.25">
      <c r="A1428" t="s">
        <v>14</v>
      </c>
      <c r="B1428" t="s">
        <v>39</v>
      </c>
      <c r="C1428" t="s">
        <v>37</v>
      </c>
      <c r="D1428" t="s">
        <v>28</v>
      </c>
      <c r="E1428" t="s">
        <v>15</v>
      </c>
      <c r="F1428" t="s">
        <v>17</v>
      </c>
      <c r="G1428" s="1">
        <f>VALUE(3703.7360386258)</f>
        <v>3703.7360386258001</v>
      </c>
      <c r="H1428" s="1">
        <f>VALUE(3736.4080964187)</f>
        <v>3736.4080964187001</v>
      </c>
      <c r="I1428" s="1">
        <f>VALUE(5000)</f>
        <v>5000</v>
      </c>
      <c r="J1428" s="1">
        <f>VALUE(6482)</f>
        <v>6482</v>
      </c>
      <c r="K1428" s="1">
        <f>VALUE(8699)</f>
        <v>8699</v>
      </c>
      <c r="L1428" s="1">
        <f>VALUE(11905)</f>
        <v>11905</v>
      </c>
      <c r="M1428" s="1">
        <f>VALUE(17137)</f>
        <v>17137</v>
      </c>
      <c r="N1428" t="s">
        <v>16</v>
      </c>
    </row>
    <row r="1429" spans="1:14" x14ac:dyDescent="0.25">
      <c r="A1429" t="s">
        <v>14</v>
      </c>
      <c r="B1429" t="s">
        <v>39</v>
      </c>
      <c r="C1429" t="s">
        <v>37</v>
      </c>
      <c r="D1429" t="s">
        <v>28</v>
      </c>
      <c r="E1429" t="s">
        <v>15</v>
      </c>
      <c r="F1429" t="s">
        <v>18</v>
      </c>
      <c r="G1429" s="1">
        <f>VALUE(1405.9670811716)</f>
        <v>1405.9670811716001</v>
      </c>
      <c r="H1429" s="1">
        <f>VALUE(1380.5669165202)</f>
        <v>1380.5669165202</v>
      </c>
      <c r="I1429" s="1">
        <f>VALUE(4778)</f>
        <v>4778</v>
      </c>
      <c r="J1429" s="1">
        <f>VALUE(5651)</f>
        <v>5651</v>
      </c>
      <c r="K1429" s="1">
        <f>VALUE(7063)</f>
        <v>7063</v>
      </c>
      <c r="L1429" s="1">
        <f>VALUE(8509)</f>
        <v>8509</v>
      </c>
      <c r="M1429" s="1">
        <f>VALUE(11046)</f>
        <v>11046</v>
      </c>
      <c r="N1429" t="s">
        <v>16</v>
      </c>
    </row>
    <row r="1430" spans="1:14" x14ac:dyDescent="0.25">
      <c r="A1430" t="s">
        <v>14</v>
      </c>
      <c r="B1430" t="s">
        <v>39</v>
      </c>
      <c r="C1430" t="s">
        <v>37</v>
      </c>
      <c r="D1430" t="s">
        <v>28</v>
      </c>
      <c r="E1430" t="s">
        <v>15</v>
      </c>
      <c r="F1430" t="s">
        <v>19</v>
      </c>
      <c r="G1430" s="1">
        <f>VALUE(1656.6198108032)</f>
        <v>1656.6198108031999</v>
      </c>
      <c r="H1430" s="1">
        <f>VALUE(1630.2935776215)</f>
        <v>1630.2935776214999</v>
      </c>
      <c r="I1430" s="1">
        <f>VALUE(4496)</f>
        <v>4496</v>
      </c>
      <c r="J1430" s="1">
        <f>VALUE(5117)</f>
        <v>5117</v>
      </c>
      <c r="K1430" s="1">
        <f>VALUE(6067)</f>
        <v>6067</v>
      </c>
      <c r="L1430" s="1">
        <f>VALUE(7193)</f>
        <v>7193</v>
      </c>
      <c r="M1430" s="1">
        <f>VALUE(8409)</f>
        <v>8409</v>
      </c>
      <c r="N1430" t="s">
        <v>16</v>
      </c>
    </row>
    <row r="1431" spans="1:14" x14ac:dyDescent="0.25">
      <c r="A1431" t="s">
        <v>14</v>
      </c>
      <c r="B1431" t="s">
        <v>39</v>
      </c>
      <c r="C1431" t="s">
        <v>37</v>
      </c>
      <c r="D1431" t="s">
        <v>28</v>
      </c>
      <c r="E1431" t="s">
        <v>15</v>
      </c>
      <c r="F1431" t="s">
        <v>20</v>
      </c>
      <c r="G1431" s="1">
        <f>VALUE(4191.6350593419)</f>
        <v>4191.6350593419002</v>
      </c>
      <c r="H1431" s="1">
        <f>VALUE(4087.6488385508)</f>
        <v>4087.6488385508001</v>
      </c>
      <c r="I1431" s="1">
        <f>VALUE(3952)</f>
        <v>3952</v>
      </c>
      <c r="J1431" s="1">
        <f>VALUE(4746)</f>
        <v>4746</v>
      </c>
      <c r="K1431" s="1">
        <f>VALUE(5480)</f>
        <v>5480</v>
      </c>
      <c r="L1431" s="1">
        <f>VALUE(6319)</f>
        <v>6319</v>
      </c>
      <c r="M1431" s="1">
        <f>VALUE(7532)</f>
        <v>7532</v>
      </c>
      <c r="N1431" t="s">
        <v>16</v>
      </c>
    </row>
    <row r="1432" spans="1:14" x14ac:dyDescent="0.25">
      <c r="A1432" t="s">
        <v>14</v>
      </c>
      <c r="B1432" t="s">
        <v>39</v>
      </c>
      <c r="C1432" t="s">
        <v>37</v>
      </c>
      <c r="D1432" t="s">
        <v>28</v>
      </c>
      <c r="E1432" t="s">
        <v>21</v>
      </c>
      <c r="F1432" t="s">
        <v>15</v>
      </c>
      <c r="G1432" s="1">
        <f>VALUE(3711.1883529043)</f>
        <v>3711.1883529042998</v>
      </c>
      <c r="H1432" s="1">
        <f>VALUE(3577.8679630119)</f>
        <v>3577.8679630119</v>
      </c>
      <c r="I1432" s="1">
        <f>VALUE(5314)</f>
        <v>5314</v>
      </c>
      <c r="J1432" s="1">
        <f>VALUE(6554)</f>
        <v>6554</v>
      </c>
      <c r="K1432" s="1">
        <f>VALUE(8357)</f>
        <v>8357</v>
      </c>
      <c r="L1432" s="1">
        <f>VALUE(11063)</f>
        <v>11063</v>
      </c>
      <c r="M1432" s="1">
        <f>VALUE(15788)</f>
        <v>15788</v>
      </c>
      <c r="N1432" t="s">
        <v>16</v>
      </c>
    </row>
    <row r="1433" spans="1:14" x14ac:dyDescent="0.25">
      <c r="A1433" t="s">
        <v>14</v>
      </c>
      <c r="B1433" t="s">
        <v>39</v>
      </c>
      <c r="C1433" t="s">
        <v>37</v>
      </c>
      <c r="D1433" t="s">
        <v>28</v>
      </c>
      <c r="E1433" t="s">
        <v>21</v>
      </c>
      <c r="F1433" t="s">
        <v>17</v>
      </c>
      <c r="G1433" s="1">
        <f>VALUE(2191.9299660003)</f>
        <v>2191.9299660002998</v>
      </c>
      <c r="H1433" s="1">
        <f>VALUE(2188.9547526188)</f>
        <v>2188.9547526187998</v>
      </c>
      <c r="I1433" s="4">
        <f>VALUE(5471)</f>
        <v>5471</v>
      </c>
      <c r="J1433" s="1">
        <f>VALUE(7458)</f>
        <v>7458</v>
      </c>
      <c r="K1433" s="1">
        <f>VALUE(9425)</f>
        <v>9425</v>
      </c>
      <c r="L1433" s="1">
        <f>VALUE(12467)</f>
        <v>12467</v>
      </c>
      <c r="M1433" s="8">
        <f>VALUE(18510)</f>
        <v>18510</v>
      </c>
      <c r="N1433" t="s">
        <v>25</v>
      </c>
    </row>
    <row r="1434" spans="1:14" x14ac:dyDescent="0.25">
      <c r="A1434" t="s">
        <v>14</v>
      </c>
      <c r="B1434" t="s">
        <v>39</v>
      </c>
      <c r="C1434" t="s">
        <v>37</v>
      </c>
      <c r="D1434" t="s">
        <v>28</v>
      </c>
      <c r="E1434" t="s">
        <v>21</v>
      </c>
      <c r="F1434" t="s">
        <v>18</v>
      </c>
      <c r="G1434" s="2">
        <f>VALUE(535.4691536261)</f>
        <v>535.46915362610002</v>
      </c>
      <c r="H1434" s="3">
        <f>VALUE(496.1002319448)</f>
        <v>496.10023194479999</v>
      </c>
      <c r="I1434" s="1">
        <f>VALUE(5582)</f>
        <v>5582</v>
      </c>
      <c r="J1434" s="1">
        <f>VALUE(6608)</f>
        <v>6608</v>
      </c>
      <c r="K1434" s="1">
        <f>VALUE(7821)</f>
        <v>7821</v>
      </c>
      <c r="L1434" s="7">
        <f>VALUE(9353)</f>
        <v>9353</v>
      </c>
      <c r="M1434" s="1">
        <f>VALUE(11750)</f>
        <v>11750</v>
      </c>
      <c r="N1434" t="s">
        <v>25</v>
      </c>
    </row>
    <row r="1435" spans="1:14" x14ac:dyDescent="0.25">
      <c r="A1435" t="s">
        <v>14</v>
      </c>
      <c r="B1435" t="s">
        <v>39</v>
      </c>
      <c r="C1435" t="s">
        <v>37</v>
      </c>
      <c r="D1435" t="s">
        <v>28</v>
      </c>
      <c r="E1435" t="s">
        <v>21</v>
      </c>
      <c r="F1435" t="s">
        <v>19</v>
      </c>
      <c r="G1435" s="2">
        <f>VALUE(452.3107956547)</f>
        <v>452.31079565469997</v>
      </c>
      <c r="H1435" s="3">
        <f>VALUE(413.5104862629)</f>
        <v>413.51048626289997</v>
      </c>
      <c r="I1435" s="4">
        <f>VALUE(5251)</f>
        <v>5251</v>
      </c>
      <c r="J1435" s="1">
        <f>VALUE(6151)</f>
        <v>6151</v>
      </c>
      <c r="K1435" s="1">
        <f>VALUE(7311)</f>
        <v>7311</v>
      </c>
      <c r="L1435" s="1">
        <f>VALUE(8275)</f>
        <v>8275</v>
      </c>
      <c r="M1435" s="1">
        <f>VALUE(9750)</f>
        <v>9750</v>
      </c>
      <c r="N1435" t="s">
        <v>25</v>
      </c>
    </row>
    <row r="1436" spans="1:14" x14ac:dyDescent="0.25">
      <c r="A1436" t="s">
        <v>14</v>
      </c>
      <c r="B1436" t="s">
        <v>39</v>
      </c>
      <c r="C1436" t="s">
        <v>37</v>
      </c>
      <c r="D1436" t="s">
        <v>28</v>
      </c>
      <c r="E1436" t="s">
        <v>21</v>
      </c>
      <c r="F1436" t="s">
        <v>20</v>
      </c>
      <c r="G1436" s="2">
        <f>VALUE(531.4784376232)</f>
        <v>531.47843762319997</v>
      </c>
      <c r="H1436" s="3">
        <f>VALUE(479.3024921854)</f>
        <v>479.30249218540001</v>
      </c>
      <c r="I1436" s="4">
        <f>VALUE(4690)</f>
        <v>4690</v>
      </c>
      <c r="J1436" s="1">
        <f>VALUE(5302)</f>
        <v>5302</v>
      </c>
      <c r="K1436" s="1">
        <f>VALUE(6515)</f>
        <v>6515</v>
      </c>
      <c r="L1436" s="1">
        <f>VALUE(8208)</f>
        <v>8208</v>
      </c>
      <c r="M1436" s="8">
        <f>VALUE(9635)</f>
        <v>9635</v>
      </c>
      <c r="N1436" t="s">
        <v>25</v>
      </c>
    </row>
    <row r="1437" spans="1:14" x14ac:dyDescent="0.25">
      <c r="A1437" t="s">
        <v>14</v>
      </c>
      <c r="B1437" t="s">
        <v>39</v>
      </c>
      <c r="C1437" t="s">
        <v>37</v>
      </c>
      <c r="D1437" t="s">
        <v>28</v>
      </c>
      <c r="E1437" t="s">
        <v>22</v>
      </c>
      <c r="F1437" t="s">
        <v>15</v>
      </c>
      <c r="G1437" s="1">
        <f>VALUE(5594.8238029589)</f>
        <v>5594.8238029589002</v>
      </c>
      <c r="H1437" s="1">
        <f>VALUE(5601.4128010938)</f>
        <v>5601.4128010938002</v>
      </c>
      <c r="I1437" s="1">
        <f>VALUE(4301)</f>
        <v>4301</v>
      </c>
      <c r="J1437" s="1">
        <f>VALUE(5092)</f>
        <v>5092</v>
      </c>
      <c r="K1437" s="1">
        <f>VALUE(5778)</f>
        <v>5778</v>
      </c>
      <c r="L1437" s="1">
        <f>VALUE(6965)</f>
        <v>6965</v>
      </c>
      <c r="M1437" s="1">
        <f>VALUE(8667)</f>
        <v>8667</v>
      </c>
      <c r="N1437" t="s">
        <v>16</v>
      </c>
    </row>
    <row r="1438" spans="1:14" x14ac:dyDescent="0.25">
      <c r="A1438" t="s">
        <v>14</v>
      </c>
      <c r="B1438" t="s">
        <v>39</v>
      </c>
      <c r="C1438" t="s">
        <v>37</v>
      </c>
      <c r="D1438" t="s">
        <v>28</v>
      </c>
      <c r="E1438" t="s">
        <v>22</v>
      </c>
      <c r="F1438" t="s">
        <v>17</v>
      </c>
      <c r="G1438" s="2">
        <f>VALUE(1230.8068003199)</f>
        <v>1230.8068003199</v>
      </c>
      <c r="H1438" s="3">
        <f>VALUE(1257.3830111768)</f>
        <v>1257.3830111768</v>
      </c>
      <c r="I1438" s="4">
        <f>VALUE(4544)</f>
        <v>4544</v>
      </c>
      <c r="J1438" s="1">
        <f>VALUE(5648)</f>
        <v>5648</v>
      </c>
      <c r="K1438" s="1">
        <f>VALUE(7143)</f>
        <v>7143</v>
      </c>
      <c r="L1438" s="1">
        <f>VALUE(9079)</f>
        <v>9079</v>
      </c>
      <c r="M1438" s="1">
        <f>VALUE(12954)</f>
        <v>12954</v>
      </c>
      <c r="N1438" t="s">
        <v>25</v>
      </c>
    </row>
    <row r="1439" spans="1:14" x14ac:dyDescent="0.25">
      <c r="A1439" t="s">
        <v>14</v>
      </c>
      <c r="B1439" t="s">
        <v>39</v>
      </c>
      <c r="C1439" t="s">
        <v>37</v>
      </c>
      <c r="D1439" t="s">
        <v>28</v>
      </c>
      <c r="E1439" t="s">
        <v>22</v>
      </c>
      <c r="F1439" t="s">
        <v>18</v>
      </c>
      <c r="G1439" s="2">
        <f>VALUE(636.3615582824)</f>
        <v>636.36155828239998</v>
      </c>
      <c r="H1439" s="3">
        <f>VALUE(648.9102674376)</f>
        <v>648.91026743760006</v>
      </c>
      <c r="I1439" s="1">
        <f>VALUE(4829)</f>
        <v>4829</v>
      </c>
      <c r="J1439" s="1">
        <f>VALUE(5396)</f>
        <v>5396</v>
      </c>
      <c r="K1439" s="1">
        <f>VALUE(6153)</f>
        <v>6153</v>
      </c>
      <c r="L1439" s="1">
        <f>VALUE(7517)</f>
        <v>7517</v>
      </c>
      <c r="M1439" s="8">
        <f>VALUE(9164)</f>
        <v>9164</v>
      </c>
      <c r="N1439" t="s">
        <v>25</v>
      </c>
    </row>
    <row r="1440" spans="1:14" x14ac:dyDescent="0.25">
      <c r="A1440" t="s">
        <v>14</v>
      </c>
      <c r="B1440" t="s">
        <v>39</v>
      </c>
      <c r="C1440" t="s">
        <v>37</v>
      </c>
      <c r="D1440" t="s">
        <v>28</v>
      </c>
      <c r="E1440" t="s">
        <v>22</v>
      </c>
      <c r="F1440" t="s">
        <v>19</v>
      </c>
      <c r="G1440" s="2">
        <f>VALUE(1007.0822368198)</f>
        <v>1007.0822368198</v>
      </c>
      <c r="H1440" s="3">
        <f>VALUE(1013.0781009748)</f>
        <v>1013.0781009748</v>
      </c>
      <c r="I1440" s="1">
        <f>VALUE(4330)</f>
        <v>4330</v>
      </c>
      <c r="J1440" s="1">
        <f>VALUE(4972)</f>
        <v>4972</v>
      </c>
      <c r="K1440" s="1">
        <f>VALUE(5684)</f>
        <v>5684</v>
      </c>
      <c r="L1440" s="1">
        <f>VALUE(6458)</f>
        <v>6458</v>
      </c>
      <c r="M1440" s="1">
        <f>VALUE(7581)</f>
        <v>7581</v>
      </c>
      <c r="N1440" t="s">
        <v>25</v>
      </c>
    </row>
    <row r="1441" spans="1:14" x14ac:dyDescent="0.25">
      <c r="A1441" t="s">
        <v>14</v>
      </c>
      <c r="B1441" t="s">
        <v>39</v>
      </c>
      <c r="C1441" t="s">
        <v>37</v>
      </c>
      <c r="D1441" t="s">
        <v>28</v>
      </c>
      <c r="E1441" t="s">
        <v>22</v>
      </c>
      <c r="F1441" t="s">
        <v>20</v>
      </c>
      <c r="G1441" s="1">
        <f>VALUE(2720.5732075368)</f>
        <v>2720.5732075368001</v>
      </c>
      <c r="H1441" s="1">
        <f>VALUE(2682.0414215046)</f>
        <v>2682.0414215045998</v>
      </c>
      <c r="I1441" s="1">
        <f>VALUE(4080)</f>
        <v>4080</v>
      </c>
      <c r="J1441" s="1">
        <f>VALUE(4910)</f>
        <v>4910</v>
      </c>
      <c r="K1441" s="1">
        <f>VALUE(5550)</f>
        <v>5550</v>
      </c>
      <c r="L1441" s="1">
        <f>VALUE(6278)</f>
        <v>6278</v>
      </c>
      <c r="M1441" s="1">
        <f>VALUE(7293)</f>
        <v>7293</v>
      </c>
      <c r="N1441" t="s">
        <v>16</v>
      </c>
    </row>
    <row r="1442" spans="1:14" x14ac:dyDescent="0.25">
      <c r="A1442" t="s">
        <v>14</v>
      </c>
      <c r="B1442" t="s">
        <v>39</v>
      </c>
      <c r="C1442" t="s">
        <v>37</v>
      </c>
      <c r="D1442" t="s">
        <v>28</v>
      </c>
      <c r="E1442" t="s">
        <v>23</v>
      </c>
      <c r="F1442" t="s">
        <v>15</v>
      </c>
      <c r="G1442" s="1">
        <f>VALUE(1364.1800311708)</f>
        <v>1364.1800311708</v>
      </c>
      <c r="H1442" s="1">
        <f>VALUE(1359.8491105296)</f>
        <v>1359.8491105296</v>
      </c>
      <c r="I1442" s="1">
        <f>VALUE(3679)</f>
        <v>3679</v>
      </c>
      <c r="J1442" s="1">
        <f>VALUE(4335)</f>
        <v>4335</v>
      </c>
      <c r="K1442" s="1">
        <f>VALUE(5097)</f>
        <v>5097</v>
      </c>
      <c r="L1442" s="7">
        <f>VALUE(6333)</f>
        <v>6333</v>
      </c>
      <c r="M1442" s="8">
        <f>VALUE(8718)</f>
        <v>8718</v>
      </c>
      <c r="N1442" t="s">
        <v>25</v>
      </c>
    </row>
    <row r="1443" spans="1:14" x14ac:dyDescent="0.25">
      <c r="A1443" t="s">
        <v>14</v>
      </c>
      <c r="B1443" t="s">
        <v>39</v>
      </c>
      <c r="C1443" t="s">
        <v>37</v>
      </c>
      <c r="D1443" t="s">
        <v>28</v>
      </c>
      <c r="E1443" t="s">
        <v>23</v>
      </c>
      <c r="F1443" t="s">
        <v>17</v>
      </c>
      <c r="G1443" s="1" t="str">
        <f t="shared" ref="G1443:M1443" si="289">"X"</f>
        <v>X</v>
      </c>
      <c r="H1443" s="1" t="str">
        <f t="shared" si="289"/>
        <v>X</v>
      </c>
      <c r="I1443" s="1" t="str">
        <f t="shared" si="289"/>
        <v>X</v>
      </c>
      <c r="J1443" s="1" t="str">
        <f t="shared" si="289"/>
        <v>X</v>
      </c>
      <c r="K1443" s="1" t="str">
        <f t="shared" si="289"/>
        <v>X</v>
      </c>
      <c r="L1443" s="1" t="str">
        <f t="shared" si="289"/>
        <v>X</v>
      </c>
      <c r="M1443" s="1" t="str">
        <f t="shared" si="289"/>
        <v>X</v>
      </c>
      <c r="N1443" t="s">
        <v>27</v>
      </c>
    </row>
    <row r="1444" spans="1:14" x14ac:dyDescent="0.25">
      <c r="A1444" t="s">
        <v>14</v>
      </c>
      <c r="B1444" t="s">
        <v>39</v>
      </c>
      <c r="C1444" t="s">
        <v>37</v>
      </c>
      <c r="D1444" t="s">
        <v>28</v>
      </c>
      <c r="E1444" t="s">
        <v>23</v>
      </c>
      <c r="F1444" t="s">
        <v>18</v>
      </c>
      <c r="G1444" s="2">
        <f>VALUE(153.7566328556)</f>
        <v>153.7566328556</v>
      </c>
      <c r="H1444" s="3">
        <f>VALUE(152.5939030619)</f>
        <v>152.59390306189999</v>
      </c>
      <c r="I1444" s="1">
        <f>VALUE(3902)</f>
        <v>3902</v>
      </c>
      <c r="J1444" s="1">
        <f>VALUE(4605)</f>
        <v>4605</v>
      </c>
      <c r="K1444" s="6">
        <f>VALUE(6113)</f>
        <v>6113</v>
      </c>
      <c r="L1444" s="1">
        <f>VALUE(7692)</f>
        <v>7692</v>
      </c>
      <c r="M1444" s="1">
        <f>VALUE(10514)</f>
        <v>10514</v>
      </c>
      <c r="N1444" t="s">
        <v>25</v>
      </c>
    </row>
    <row r="1445" spans="1:14" x14ac:dyDescent="0.25">
      <c r="A1445" t="s">
        <v>14</v>
      </c>
      <c r="B1445" t="s">
        <v>39</v>
      </c>
      <c r="C1445" t="s">
        <v>37</v>
      </c>
      <c r="D1445" t="s">
        <v>28</v>
      </c>
      <c r="E1445" t="s">
        <v>23</v>
      </c>
      <c r="F1445" t="s">
        <v>19</v>
      </c>
      <c r="G1445" s="2">
        <f>VALUE(194.6131111731)</f>
        <v>194.61311117310001</v>
      </c>
      <c r="H1445" s="3">
        <f>VALUE(202.2451029636)</f>
        <v>202.2451029636</v>
      </c>
      <c r="I1445" s="4">
        <f>VALUE(3466)</f>
        <v>3466</v>
      </c>
      <c r="J1445" s="5">
        <f>VALUE(4915)</f>
        <v>4915</v>
      </c>
      <c r="K1445" s="6">
        <f>VALUE(6396)</f>
        <v>6396</v>
      </c>
      <c r="L1445" s="7">
        <f>VALUE(7140)</f>
        <v>7140</v>
      </c>
      <c r="M1445" s="8">
        <f>VALUE(8799)</f>
        <v>8799</v>
      </c>
      <c r="N1445" t="s">
        <v>24</v>
      </c>
    </row>
    <row r="1446" spans="1:14" x14ac:dyDescent="0.25">
      <c r="A1446" t="s">
        <v>14</v>
      </c>
      <c r="B1446" t="s">
        <v>39</v>
      </c>
      <c r="C1446" t="s">
        <v>37</v>
      </c>
      <c r="D1446" t="s">
        <v>28</v>
      </c>
      <c r="E1446" t="s">
        <v>23</v>
      </c>
      <c r="F1446" t="s">
        <v>20</v>
      </c>
      <c r="G1446" s="2">
        <f>VALUE(881.8763711878)</f>
        <v>881.87637118780003</v>
      </c>
      <c r="H1446" s="1">
        <f>VALUE(867.7775313063)</f>
        <v>867.77753130630003</v>
      </c>
      <c r="I1446" s="1">
        <f>VALUE(3716)</f>
        <v>3716</v>
      </c>
      <c r="J1446" s="1">
        <f>VALUE(4170)</f>
        <v>4170</v>
      </c>
      <c r="K1446" s="1">
        <f>VALUE(4783)</f>
        <v>4783</v>
      </c>
      <c r="L1446" s="1">
        <f>VALUE(5408)</f>
        <v>5408</v>
      </c>
      <c r="M1446" s="8">
        <f>VALUE(6657)</f>
        <v>6657</v>
      </c>
      <c r="N1446" t="s">
        <v>25</v>
      </c>
    </row>
    <row r="1447" spans="1:14" x14ac:dyDescent="0.25">
      <c r="A1447" t="s">
        <v>14</v>
      </c>
      <c r="B1447" t="s">
        <v>39</v>
      </c>
      <c r="C1447" t="s">
        <v>37</v>
      </c>
      <c r="D1447" t="s">
        <v>28</v>
      </c>
      <c r="E1447" t="s">
        <v>26</v>
      </c>
      <c r="F1447" t="s">
        <v>15</v>
      </c>
      <c r="G1447" s="2">
        <f>VALUE(301.7332343611)</f>
        <v>301.73323436110002</v>
      </c>
      <c r="H1447" s="3">
        <f>VALUE(312.6662175182)</f>
        <v>312.66621751820003</v>
      </c>
      <c r="I1447" s="1">
        <f>VALUE(6013)</f>
        <v>6013</v>
      </c>
      <c r="J1447" s="1">
        <f>VALUE(7369)</f>
        <v>7369</v>
      </c>
      <c r="K1447" s="1">
        <f>VALUE(10986)</f>
        <v>10986</v>
      </c>
      <c r="L1447" s="1">
        <f>VALUE(15219)</f>
        <v>15219</v>
      </c>
      <c r="M1447" s="1">
        <f>VALUE(25423)</f>
        <v>25423</v>
      </c>
      <c r="N1447" t="s">
        <v>25</v>
      </c>
    </row>
    <row r="1448" spans="1:14" x14ac:dyDescent="0.25">
      <c r="A1448" t="s">
        <v>14</v>
      </c>
      <c r="B1448" t="s">
        <v>39</v>
      </c>
      <c r="C1448" t="s">
        <v>37</v>
      </c>
      <c r="D1448" t="s">
        <v>28</v>
      </c>
      <c r="E1448" t="s">
        <v>26</v>
      </c>
      <c r="F1448" t="s">
        <v>17</v>
      </c>
      <c r="G1448" s="1" t="str">
        <f t="shared" ref="G1448:M1451" si="290">"X"</f>
        <v>X</v>
      </c>
      <c r="H1448" s="1" t="str">
        <f t="shared" si="290"/>
        <v>X</v>
      </c>
      <c r="I1448" s="1" t="str">
        <f t="shared" si="290"/>
        <v>X</v>
      </c>
      <c r="J1448" s="1" t="str">
        <f t="shared" si="290"/>
        <v>X</v>
      </c>
      <c r="K1448" s="1" t="str">
        <f t="shared" si="290"/>
        <v>X</v>
      </c>
      <c r="L1448" s="1" t="str">
        <f t="shared" si="290"/>
        <v>X</v>
      </c>
      <c r="M1448" s="1" t="str">
        <f t="shared" si="290"/>
        <v>X</v>
      </c>
      <c r="N1448" t="s">
        <v>27</v>
      </c>
    </row>
    <row r="1449" spans="1:14" x14ac:dyDescent="0.25">
      <c r="A1449" t="s">
        <v>14</v>
      </c>
      <c r="B1449" t="s">
        <v>39</v>
      </c>
      <c r="C1449" t="s">
        <v>37</v>
      </c>
      <c r="D1449" t="s">
        <v>28</v>
      </c>
      <c r="E1449" t="s">
        <v>26</v>
      </c>
      <c r="F1449" t="s">
        <v>18</v>
      </c>
      <c r="G1449" s="1" t="str">
        <f t="shared" si="290"/>
        <v>X</v>
      </c>
      <c r="H1449" s="1" t="str">
        <f t="shared" si="290"/>
        <v>X</v>
      </c>
      <c r="I1449" s="1" t="str">
        <f t="shared" si="290"/>
        <v>X</v>
      </c>
      <c r="J1449" s="1" t="str">
        <f t="shared" si="290"/>
        <v>X</v>
      </c>
      <c r="K1449" s="1" t="str">
        <f t="shared" si="290"/>
        <v>X</v>
      </c>
      <c r="L1449" s="1" t="str">
        <f t="shared" si="290"/>
        <v>X</v>
      </c>
      <c r="M1449" s="1" t="str">
        <f t="shared" si="290"/>
        <v>X</v>
      </c>
      <c r="N1449" t="s">
        <v>27</v>
      </c>
    </row>
    <row r="1450" spans="1:14" x14ac:dyDescent="0.25">
      <c r="A1450" t="s">
        <v>14</v>
      </c>
      <c r="B1450" t="s">
        <v>39</v>
      </c>
      <c r="C1450" t="s">
        <v>37</v>
      </c>
      <c r="D1450" t="s">
        <v>28</v>
      </c>
      <c r="E1450" t="s">
        <v>26</v>
      </c>
      <c r="F1450" t="s">
        <v>19</v>
      </c>
      <c r="G1450" s="1" t="str">
        <f t="shared" si="290"/>
        <v>X</v>
      </c>
      <c r="H1450" s="1" t="str">
        <f t="shared" si="290"/>
        <v>X</v>
      </c>
      <c r="I1450" s="1" t="str">
        <f t="shared" si="290"/>
        <v>X</v>
      </c>
      <c r="J1450" s="1" t="str">
        <f t="shared" si="290"/>
        <v>X</v>
      </c>
      <c r="K1450" s="1" t="str">
        <f t="shared" si="290"/>
        <v>X</v>
      </c>
      <c r="L1450" s="1" t="str">
        <f t="shared" si="290"/>
        <v>X</v>
      </c>
      <c r="M1450" s="1" t="str">
        <f t="shared" si="290"/>
        <v>X</v>
      </c>
      <c r="N1450" t="s">
        <v>27</v>
      </c>
    </row>
    <row r="1451" spans="1:14" x14ac:dyDescent="0.25">
      <c r="A1451" t="s">
        <v>14</v>
      </c>
      <c r="B1451" t="s">
        <v>39</v>
      </c>
      <c r="C1451" t="s">
        <v>37</v>
      </c>
      <c r="D1451" t="s">
        <v>28</v>
      </c>
      <c r="E1451" t="s">
        <v>26</v>
      </c>
      <c r="F1451" t="s">
        <v>20</v>
      </c>
      <c r="G1451" s="1" t="str">
        <f t="shared" si="290"/>
        <v>X</v>
      </c>
      <c r="H1451" s="1" t="str">
        <f t="shared" si="290"/>
        <v>X</v>
      </c>
      <c r="I1451" s="1" t="str">
        <f t="shared" si="290"/>
        <v>X</v>
      </c>
      <c r="J1451" s="1" t="str">
        <f t="shared" si="290"/>
        <v>X</v>
      </c>
      <c r="K1451" s="1" t="str">
        <f t="shared" si="290"/>
        <v>X</v>
      </c>
      <c r="L1451" s="1" t="str">
        <f t="shared" si="290"/>
        <v>X</v>
      </c>
      <c r="M1451" s="1" t="str">
        <f t="shared" si="290"/>
        <v>X</v>
      </c>
      <c r="N1451" t="s">
        <v>27</v>
      </c>
    </row>
    <row r="1452" spans="1:14" x14ac:dyDescent="0.25">
      <c r="A1452" t="s">
        <v>14</v>
      </c>
      <c r="B1452" t="s">
        <v>39</v>
      </c>
      <c r="C1452" t="s">
        <v>37</v>
      </c>
      <c r="D1452" t="s">
        <v>29</v>
      </c>
      <c r="E1452" t="s">
        <v>15</v>
      </c>
      <c r="F1452" t="s">
        <v>15</v>
      </c>
      <c r="G1452" s="1">
        <f>VALUE(5252.6362205194)</f>
        <v>5252.6362205194</v>
      </c>
      <c r="H1452" s="1">
        <f>VALUE(5336.5769172538)</f>
        <v>5336.5769172538003</v>
      </c>
      <c r="I1452" s="1">
        <f>VALUE(3964)</f>
        <v>3964</v>
      </c>
      <c r="J1452" s="1">
        <f>VALUE(4545)</f>
        <v>4545</v>
      </c>
      <c r="K1452" s="1">
        <f>VALUE(5354)</f>
        <v>5354</v>
      </c>
      <c r="L1452" s="1">
        <f>VALUE(6378)</f>
        <v>6378</v>
      </c>
      <c r="M1452" s="1">
        <f>VALUE(9222)</f>
        <v>9222</v>
      </c>
      <c r="N1452" t="s">
        <v>16</v>
      </c>
    </row>
    <row r="1453" spans="1:14" x14ac:dyDescent="0.25">
      <c r="A1453" t="s">
        <v>14</v>
      </c>
      <c r="B1453" t="s">
        <v>39</v>
      </c>
      <c r="C1453" t="s">
        <v>37</v>
      </c>
      <c r="D1453" t="s">
        <v>29</v>
      </c>
      <c r="E1453" t="s">
        <v>15</v>
      </c>
      <c r="F1453" t="s">
        <v>17</v>
      </c>
      <c r="G1453" s="2">
        <f>VALUE(1003.8445662546)</f>
        <v>1003.8445662546</v>
      </c>
      <c r="H1453" s="3">
        <f>VALUE(1026.2798996884)</f>
        <v>1026.2798996884001</v>
      </c>
      <c r="I1453" s="4">
        <f>VALUE(4333)</f>
        <v>4333</v>
      </c>
      <c r="J1453" s="5">
        <f>VALUE(5476)</f>
        <v>5476</v>
      </c>
      <c r="K1453" s="6">
        <f>VALUE(7244)</f>
        <v>7244</v>
      </c>
      <c r="L1453" s="7">
        <f>VALUE(10833)</f>
        <v>10833</v>
      </c>
      <c r="M1453" s="8">
        <f>VALUE(18114)</f>
        <v>18114</v>
      </c>
      <c r="N1453" t="s">
        <v>24</v>
      </c>
    </row>
    <row r="1454" spans="1:14" x14ac:dyDescent="0.25">
      <c r="A1454" t="s">
        <v>14</v>
      </c>
      <c r="B1454" t="s">
        <v>39</v>
      </c>
      <c r="C1454" t="s">
        <v>37</v>
      </c>
      <c r="D1454" t="s">
        <v>29</v>
      </c>
      <c r="E1454" t="s">
        <v>15</v>
      </c>
      <c r="F1454" t="s">
        <v>18</v>
      </c>
      <c r="G1454" s="2">
        <f>VALUE(660.7596640224)</f>
        <v>660.75966402239999</v>
      </c>
      <c r="H1454" s="3">
        <f>VALUE(671.6024588647)</f>
        <v>671.6024588647</v>
      </c>
      <c r="I1454" s="4">
        <f>VALUE(4172)</f>
        <v>4172</v>
      </c>
      <c r="J1454" s="5">
        <f>VALUE(4756)</f>
        <v>4756</v>
      </c>
      <c r="K1454" s="6">
        <f>VALUE(5517)</f>
        <v>5517</v>
      </c>
      <c r="L1454" s="1">
        <f>VALUE(7610)</f>
        <v>7610</v>
      </c>
      <c r="M1454" s="8">
        <f>VALUE(10574)</f>
        <v>10574</v>
      </c>
      <c r="N1454" t="s">
        <v>25</v>
      </c>
    </row>
    <row r="1455" spans="1:14" x14ac:dyDescent="0.25">
      <c r="A1455" t="s">
        <v>14</v>
      </c>
      <c r="B1455" t="s">
        <v>39</v>
      </c>
      <c r="C1455" t="s">
        <v>37</v>
      </c>
      <c r="D1455" t="s">
        <v>29</v>
      </c>
      <c r="E1455" t="s">
        <v>15</v>
      </c>
      <c r="F1455" t="s">
        <v>19</v>
      </c>
      <c r="G1455" s="2">
        <f>VALUE(746.8589667288)</f>
        <v>746.85896672880006</v>
      </c>
      <c r="H1455" s="3">
        <f>VALUE(760.0830507288)</f>
        <v>760.0830507288</v>
      </c>
      <c r="I1455" s="4">
        <f>VALUE(4246)</f>
        <v>4246</v>
      </c>
      <c r="J1455" s="1">
        <f>VALUE(4843)</f>
        <v>4843</v>
      </c>
      <c r="K1455" s="1">
        <f>VALUE(5567)</f>
        <v>5567</v>
      </c>
      <c r="L1455" s="1">
        <f>VALUE(6243)</f>
        <v>6243</v>
      </c>
      <c r="M1455" s="1">
        <f>VALUE(7930)</f>
        <v>7930</v>
      </c>
      <c r="N1455" t="s">
        <v>25</v>
      </c>
    </row>
    <row r="1456" spans="1:14" x14ac:dyDescent="0.25">
      <c r="A1456" t="s">
        <v>14</v>
      </c>
      <c r="B1456" t="s">
        <v>39</v>
      </c>
      <c r="C1456" t="s">
        <v>37</v>
      </c>
      <c r="D1456" t="s">
        <v>29</v>
      </c>
      <c r="E1456" t="s">
        <v>15</v>
      </c>
      <c r="F1456" t="s">
        <v>20</v>
      </c>
      <c r="G1456" s="1">
        <f>VALUE(2841.1730235136)</f>
        <v>2841.1730235136001</v>
      </c>
      <c r="H1456" s="1">
        <f>VALUE(2878.6115079719)</f>
        <v>2878.6115079719002</v>
      </c>
      <c r="I1456" s="1">
        <f>VALUE(3804)</f>
        <v>3804</v>
      </c>
      <c r="J1456" s="1">
        <f>VALUE(4312)</f>
        <v>4312</v>
      </c>
      <c r="K1456" s="1">
        <f>VALUE(5046)</f>
        <v>5046</v>
      </c>
      <c r="L1456" s="1">
        <f>VALUE(5647)</f>
        <v>5647</v>
      </c>
      <c r="M1456" s="1">
        <f>VALUE(6322)</f>
        <v>6322</v>
      </c>
      <c r="N1456" t="s">
        <v>16</v>
      </c>
    </row>
    <row r="1457" spans="1:14" x14ac:dyDescent="0.25">
      <c r="A1457" t="s">
        <v>14</v>
      </c>
      <c r="B1457" t="s">
        <v>39</v>
      </c>
      <c r="C1457" t="s">
        <v>37</v>
      </c>
      <c r="D1457" t="s">
        <v>29</v>
      </c>
      <c r="E1457" t="s">
        <v>21</v>
      </c>
      <c r="F1457" t="s">
        <v>15</v>
      </c>
      <c r="G1457" s="2">
        <f>VALUE(822.9843953764)</f>
        <v>822.98439537640002</v>
      </c>
      <c r="H1457" s="3">
        <f>VALUE(825.2657705347)</f>
        <v>825.26577053469998</v>
      </c>
      <c r="I1457" s="1">
        <f>VALUE(4990)</f>
        <v>4990</v>
      </c>
      <c r="J1457" s="1">
        <f>VALUE(6607)</f>
        <v>6607</v>
      </c>
      <c r="K1457" s="1">
        <f>VALUE(8629)</f>
        <v>8629</v>
      </c>
      <c r="L1457" s="7">
        <f>VALUE(11690)</f>
        <v>11690</v>
      </c>
      <c r="M1457" s="8">
        <f>VALUE(18116)</f>
        <v>18116</v>
      </c>
      <c r="N1457" t="s">
        <v>25</v>
      </c>
    </row>
    <row r="1458" spans="1:14" x14ac:dyDescent="0.25">
      <c r="A1458" t="s">
        <v>14</v>
      </c>
      <c r="B1458" t="s">
        <v>39</v>
      </c>
      <c r="C1458" t="s">
        <v>37</v>
      </c>
      <c r="D1458" t="s">
        <v>29</v>
      </c>
      <c r="E1458" t="s">
        <v>21</v>
      </c>
      <c r="F1458" t="s">
        <v>17</v>
      </c>
      <c r="G1458" s="2">
        <f>VALUE(423.2126124415)</f>
        <v>423.21261244150003</v>
      </c>
      <c r="H1458" s="3">
        <f>VALUE(427.9676593743)</f>
        <v>427.96765937430001</v>
      </c>
      <c r="I1458" s="4">
        <f>VALUE(6111)</f>
        <v>6111</v>
      </c>
      <c r="J1458" s="1">
        <f>VALUE(7800)</f>
        <v>7800</v>
      </c>
      <c r="K1458" s="1">
        <f>VALUE(10388)</f>
        <v>10388</v>
      </c>
      <c r="L1458" s="7">
        <f>VALUE(16200)</f>
        <v>16200</v>
      </c>
      <c r="M1458" s="8">
        <f>VALUE(22745)</f>
        <v>22745</v>
      </c>
      <c r="N1458" t="s">
        <v>25</v>
      </c>
    </row>
    <row r="1459" spans="1:14" x14ac:dyDescent="0.25">
      <c r="A1459" t="s">
        <v>14</v>
      </c>
      <c r="B1459" t="s">
        <v>39</v>
      </c>
      <c r="C1459" t="s">
        <v>37</v>
      </c>
      <c r="D1459" t="s">
        <v>29</v>
      </c>
      <c r="E1459" t="s">
        <v>21</v>
      </c>
      <c r="F1459" t="s">
        <v>18</v>
      </c>
      <c r="G1459" s="2">
        <f>VALUE(161.9177424233)</f>
        <v>161.91774242330001</v>
      </c>
      <c r="H1459" s="3">
        <f>VALUE(161.7044692031)</f>
        <v>161.70446920309999</v>
      </c>
      <c r="I1459" s="4">
        <f>VALUE(4990)</f>
        <v>4990</v>
      </c>
      <c r="J1459" s="5">
        <f>VALUE(6254)</f>
        <v>6254</v>
      </c>
      <c r="K1459" s="1">
        <f>VALUE(8129)</f>
        <v>8129</v>
      </c>
      <c r="L1459" s="7">
        <f>VALUE(10767)</f>
        <v>10767</v>
      </c>
      <c r="M1459" s="1">
        <f>VALUE(13249)</f>
        <v>13249</v>
      </c>
      <c r="N1459" t="s">
        <v>25</v>
      </c>
    </row>
    <row r="1460" spans="1:14" x14ac:dyDescent="0.25">
      <c r="A1460" t="s">
        <v>14</v>
      </c>
      <c r="B1460" t="s">
        <v>39</v>
      </c>
      <c r="C1460" t="s">
        <v>37</v>
      </c>
      <c r="D1460" t="s">
        <v>29</v>
      </c>
      <c r="E1460" t="s">
        <v>21</v>
      </c>
      <c r="F1460" t="s">
        <v>19</v>
      </c>
      <c r="G1460" s="1" t="str">
        <f t="shared" ref="G1460:M1460" si="291">"X"</f>
        <v>X</v>
      </c>
      <c r="H1460" s="1" t="str">
        <f t="shared" si="291"/>
        <v>X</v>
      </c>
      <c r="I1460" s="1" t="str">
        <f t="shared" si="291"/>
        <v>X</v>
      </c>
      <c r="J1460" s="1" t="str">
        <f t="shared" si="291"/>
        <v>X</v>
      </c>
      <c r="K1460" s="1" t="str">
        <f t="shared" si="291"/>
        <v>X</v>
      </c>
      <c r="L1460" s="1" t="str">
        <f t="shared" si="291"/>
        <v>X</v>
      </c>
      <c r="M1460" s="1" t="str">
        <f t="shared" si="291"/>
        <v>X</v>
      </c>
      <c r="N1460" t="s">
        <v>27</v>
      </c>
    </row>
    <row r="1461" spans="1:14" x14ac:dyDescent="0.25">
      <c r="A1461" t="s">
        <v>14</v>
      </c>
      <c r="B1461" t="s">
        <v>39</v>
      </c>
      <c r="C1461" t="s">
        <v>37</v>
      </c>
      <c r="D1461" t="s">
        <v>29</v>
      </c>
      <c r="E1461" t="s">
        <v>21</v>
      </c>
      <c r="F1461" t="s">
        <v>20</v>
      </c>
      <c r="G1461" s="2">
        <f>VALUE(147.9918043692)</f>
        <v>147.9918043692</v>
      </c>
      <c r="H1461" s="3">
        <f>VALUE(148.4345540236)</f>
        <v>148.43455402359999</v>
      </c>
      <c r="I1461" s="1">
        <f>VALUE(4564)</f>
        <v>4564</v>
      </c>
      <c r="J1461" s="1">
        <f>VALUE(5198)</f>
        <v>5198</v>
      </c>
      <c r="K1461" s="1">
        <f>VALUE(6717)</f>
        <v>6717</v>
      </c>
      <c r="L1461" s="1">
        <f>VALUE(8832)</f>
        <v>8832</v>
      </c>
      <c r="M1461" s="1">
        <f>VALUE(9653)</f>
        <v>9653</v>
      </c>
      <c r="N1461" t="s">
        <v>25</v>
      </c>
    </row>
    <row r="1462" spans="1:14" x14ac:dyDescent="0.25">
      <c r="A1462" t="s">
        <v>14</v>
      </c>
      <c r="B1462" t="s">
        <v>39</v>
      </c>
      <c r="C1462" t="s">
        <v>37</v>
      </c>
      <c r="D1462" t="s">
        <v>29</v>
      </c>
      <c r="E1462" t="s">
        <v>22</v>
      </c>
      <c r="F1462" t="s">
        <v>15</v>
      </c>
      <c r="G1462" s="1">
        <f>VALUE(1664.1962601394)</f>
        <v>1664.1962601394</v>
      </c>
      <c r="H1462" s="1">
        <f>VALUE(1716.7826512633)</f>
        <v>1716.7826512633001</v>
      </c>
      <c r="I1462" s="1">
        <f>VALUE(4230)</f>
        <v>4230</v>
      </c>
      <c r="J1462" s="1">
        <f>VALUE(4762)</f>
        <v>4762</v>
      </c>
      <c r="K1462" s="1">
        <f>VALUE(5423)</f>
        <v>5423</v>
      </c>
      <c r="L1462" s="1">
        <f>VALUE(6304)</f>
        <v>6304</v>
      </c>
      <c r="M1462" s="1">
        <f>VALUE(7724)</f>
        <v>7724</v>
      </c>
      <c r="N1462" t="s">
        <v>16</v>
      </c>
    </row>
    <row r="1463" spans="1:14" x14ac:dyDescent="0.25">
      <c r="A1463" t="s">
        <v>14</v>
      </c>
      <c r="B1463" t="s">
        <v>39</v>
      </c>
      <c r="C1463" t="s">
        <v>37</v>
      </c>
      <c r="D1463" t="s">
        <v>29</v>
      </c>
      <c r="E1463" t="s">
        <v>22</v>
      </c>
      <c r="F1463" t="s">
        <v>17</v>
      </c>
      <c r="G1463" s="2">
        <f>VALUE(292.2014239151)</f>
        <v>292.20142391510001</v>
      </c>
      <c r="H1463" s="3">
        <f>VALUE(311.67170082)</f>
        <v>311.67170082000001</v>
      </c>
      <c r="I1463" s="4">
        <f>VALUE(4047)</f>
        <v>4047</v>
      </c>
      <c r="J1463" s="5">
        <f>VALUE(4499)</f>
        <v>4499</v>
      </c>
      <c r="K1463" s="6">
        <f>VALUE(6278)</f>
        <v>6278</v>
      </c>
      <c r="L1463" s="7">
        <f>VALUE(7911)</f>
        <v>7911</v>
      </c>
      <c r="M1463" s="8">
        <f>VALUE(9750)</f>
        <v>9750</v>
      </c>
      <c r="N1463" t="s">
        <v>24</v>
      </c>
    </row>
    <row r="1464" spans="1:14" x14ac:dyDescent="0.25">
      <c r="A1464" t="s">
        <v>14</v>
      </c>
      <c r="B1464" t="s">
        <v>39</v>
      </c>
      <c r="C1464" t="s">
        <v>37</v>
      </c>
      <c r="D1464" t="s">
        <v>29</v>
      </c>
      <c r="E1464" t="s">
        <v>22</v>
      </c>
      <c r="F1464" t="s">
        <v>18</v>
      </c>
      <c r="G1464" s="2">
        <f>VALUE(278.1401102801)</f>
        <v>278.14011028009998</v>
      </c>
      <c r="H1464" s="3">
        <f>VALUE(289.1158319041)</f>
        <v>289.11583190409999</v>
      </c>
      <c r="I1464" s="4">
        <f>VALUE(4230)</f>
        <v>4230</v>
      </c>
      <c r="J1464" s="1">
        <f>VALUE(4833)</f>
        <v>4833</v>
      </c>
      <c r="K1464" s="6">
        <f>VALUE(5416)</f>
        <v>5416</v>
      </c>
      <c r="L1464" s="7">
        <f>VALUE(6903)</f>
        <v>6903</v>
      </c>
      <c r="M1464" s="8">
        <f>VALUE(8776)</f>
        <v>8776</v>
      </c>
      <c r="N1464" t="s">
        <v>25</v>
      </c>
    </row>
    <row r="1465" spans="1:14" x14ac:dyDescent="0.25">
      <c r="A1465" t="s">
        <v>14</v>
      </c>
      <c r="B1465" t="s">
        <v>39</v>
      </c>
      <c r="C1465" t="s">
        <v>37</v>
      </c>
      <c r="D1465" t="s">
        <v>29</v>
      </c>
      <c r="E1465" t="s">
        <v>22</v>
      </c>
      <c r="F1465" t="s">
        <v>19</v>
      </c>
      <c r="G1465" s="2">
        <f>VALUE(334.4827959057)</f>
        <v>334.48279590570002</v>
      </c>
      <c r="H1465" s="3">
        <f>VALUE(340.1265910363)</f>
        <v>340.1265910363</v>
      </c>
      <c r="I1465" s="1">
        <f>VALUE(4593)</f>
        <v>4593</v>
      </c>
      <c r="J1465" s="1">
        <f>VALUE(5098)</f>
        <v>5098</v>
      </c>
      <c r="K1465" s="1">
        <f>VALUE(5688)</f>
        <v>5688</v>
      </c>
      <c r="L1465" s="1">
        <f>VALUE(6224)</f>
        <v>6224</v>
      </c>
      <c r="M1465" s="8">
        <f>VALUE(7258)</f>
        <v>7258</v>
      </c>
      <c r="N1465" t="s">
        <v>25</v>
      </c>
    </row>
    <row r="1466" spans="1:14" x14ac:dyDescent="0.25">
      <c r="A1466" t="s">
        <v>14</v>
      </c>
      <c r="B1466" t="s">
        <v>39</v>
      </c>
      <c r="C1466" t="s">
        <v>37</v>
      </c>
      <c r="D1466" t="s">
        <v>29</v>
      </c>
      <c r="E1466" t="s">
        <v>22</v>
      </c>
      <c r="F1466" t="s">
        <v>20</v>
      </c>
      <c r="G1466" s="2">
        <f>VALUE(759.3719300385)</f>
        <v>759.37193003849995</v>
      </c>
      <c r="H1466" s="3">
        <f>VALUE(775.8685275029)</f>
        <v>775.86852750289995</v>
      </c>
      <c r="I1466" s="1">
        <f>VALUE(4183)</f>
        <v>4183</v>
      </c>
      <c r="J1466" s="1">
        <f>VALUE(4707)</f>
        <v>4707</v>
      </c>
      <c r="K1466" s="1">
        <f>VALUE(5223)</f>
        <v>5223</v>
      </c>
      <c r="L1466" s="1">
        <f>VALUE(5900)</f>
        <v>5900</v>
      </c>
      <c r="M1466" s="1">
        <f>VALUE(6797)</f>
        <v>6797</v>
      </c>
      <c r="N1466" t="s">
        <v>25</v>
      </c>
    </row>
    <row r="1467" spans="1:14" x14ac:dyDescent="0.25">
      <c r="A1467" t="s">
        <v>14</v>
      </c>
      <c r="B1467" t="s">
        <v>39</v>
      </c>
      <c r="C1467" t="s">
        <v>37</v>
      </c>
      <c r="D1467" t="s">
        <v>29</v>
      </c>
      <c r="E1467" t="s">
        <v>23</v>
      </c>
      <c r="F1467" t="s">
        <v>15</v>
      </c>
      <c r="G1467" s="1">
        <f>VALUE(2661.003970312)</f>
        <v>2661.0039703120001</v>
      </c>
      <c r="H1467" s="1">
        <f>VALUE(2694.465276573)</f>
        <v>2694.4652765730002</v>
      </c>
      <c r="I1467" s="1">
        <f>VALUE(3725)</f>
        <v>3725</v>
      </c>
      <c r="J1467" s="1">
        <f>VALUE(4201)</f>
        <v>4201</v>
      </c>
      <c r="K1467" s="1">
        <f>VALUE(4966)</f>
        <v>4966</v>
      </c>
      <c r="L1467" s="1">
        <f>VALUE(5579)</f>
        <v>5579</v>
      </c>
      <c r="M1467" s="1">
        <f>VALUE(6221)</f>
        <v>6221</v>
      </c>
      <c r="N1467" t="s">
        <v>16</v>
      </c>
    </row>
    <row r="1468" spans="1:14" x14ac:dyDescent="0.25">
      <c r="A1468" t="s">
        <v>14</v>
      </c>
      <c r="B1468" t="s">
        <v>39</v>
      </c>
      <c r="C1468" t="s">
        <v>37</v>
      </c>
      <c r="D1468" t="s">
        <v>29</v>
      </c>
      <c r="E1468" t="s">
        <v>23</v>
      </c>
      <c r="F1468" t="s">
        <v>17</v>
      </c>
      <c r="G1468" s="1" t="str">
        <f t="shared" ref="G1468:M1468" si="292">"X"</f>
        <v>X</v>
      </c>
      <c r="H1468" s="1" t="str">
        <f t="shared" si="292"/>
        <v>X</v>
      </c>
      <c r="I1468" s="1" t="str">
        <f t="shared" si="292"/>
        <v>X</v>
      </c>
      <c r="J1468" s="1" t="str">
        <f t="shared" si="292"/>
        <v>X</v>
      </c>
      <c r="K1468" s="1" t="str">
        <f t="shared" si="292"/>
        <v>X</v>
      </c>
      <c r="L1468" s="1" t="str">
        <f t="shared" si="292"/>
        <v>X</v>
      </c>
      <c r="M1468" s="1" t="str">
        <f t="shared" si="292"/>
        <v>X</v>
      </c>
      <c r="N1468" t="s">
        <v>27</v>
      </c>
    </row>
    <row r="1469" spans="1:14" x14ac:dyDescent="0.25">
      <c r="A1469" t="s">
        <v>14</v>
      </c>
      <c r="B1469" t="s">
        <v>39</v>
      </c>
      <c r="C1469" t="s">
        <v>37</v>
      </c>
      <c r="D1469" t="s">
        <v>29</v>
      </c>
      <c r="E1469" t="s">
        <v>23</v>
      </c>
      <c r="F1469" t="s">
        <v>18</v>
      </c>
      <c r="G1469" s="2">
        <f>VALUE(207.586575272)</f>
        <v>207.586575272</v>
      </c>
      <c r="H1469" s="3">
        <f>VALUE(207.0111599085)</f>
        <v>207.01115990849999</v>
      </c>
      <c r="I1469" s="4">
        <f>VALUE(3268)</f>
        <v>3268</v>
      </c>
      <c r="J1469" s="5">
        <f>VALUE(4182)</f>
        <v>4182</v>
      </c>
      <c r="K1469" s="6">
        <f>VALUE(4821)</f>
        <v>4821</v>
      </c>
      <c r="L1469" s="7">
        <f>VALUE(5453)</f>
        <v>5453</v>
      </c>
      <c r="M1469" s="8">
        <f>VALUE(6628)</f>
        <v>6628</v>
      </c>
      <c r="N1469" t="s">
        <v>24</v>
      </c>
    </row>
    <row r="1470" spans="1:14" x14ac:dyDescent="0.25">
      <c r="A1470" t="s">
        <v>14</v>
      </c>
      <c r="B1470" t="s">
        <v>39</v>
      </c>
      <c r="C1470" t="s">
        <v>37</v>
      </c>
      <c r="D1470" t="s">
        <v>29</v>
      </c>
      <c r="E1470" t="s">
        <v>23</v>
      </c>
      <c r="F1470" t="s">
        <v>19</v>
      </c>
      <c r="G1470" s="2">
        <f>VALUE(322.5139346807)</f>
        <v>322.5139346807</v>
      </c>
      <c r="H1470" s="3">
        <f>VALUE(332.7973717588)</f>
        <v>332.79737175880001</v>
      </c>
      <c r="I1470" s="4">
        <f>VALUE(3636)</f>
        <v>3636</v>
      </c>
      <c r="J1470" s="1">
        <f>VALUE(4549)</f>
        <v>4549</v>
      </c>
      <c r="K1470" s="1">
        <f>VALUE(5210)</f>
        <v>5210</v>
      </c>
      <c r="L1470" s="1">
        <f>VALUE(5886)</f>
        <v>5886</v>
      </c>
      <c r="M1470" s="1">
        <f>VALUE(6758)</f>
        <v>6758</v>
      </c>
      <c r="N1470" t="s">
        <v>25</v>
      </c>
    </row>
    <row r="1471" spans="1:14" x14ac:dyDescent="0.25">
      <c r="A1471" t="s">
        <v>14</v>
      </c>
      <c r="B1471" t="s">
        <v>39</v>
      </c>
      <c r="C1471" t="s">
        <v>37</v>
      </c>
      <c r="D1471" t="s">
        <v>29</v>
      </c>
      <c r="E1471" t="s">
        <v>23</v>
      </c>
      <c r="F1471" t="s">
        <v>20</v>
      </c>
      <c r="G1471" s="1">
        <f>VALUE(1886.1251916288)</f>
        <v>1886.1251916287999</v>
      </c>
      <c r="H1471" s="1">
        <f>VALUE(1905.7851532806)</f>
        <v>1905.7851532806001</v>
      </c>
      <c r="I1471" s="1">
        <f>VALUE(3691)</f>
        <v>3691</v>
      </c>
      <c r="J1471" s="1">
        <f>VALUE(4116)</f>
        <v>4116</v>
      </c>
      <c r="K1471" s="1">
        <f>VALUE(4847)</f>
        <v>4847</v>
      </c>
      <c r="L1471" s="1">
        <f>VALUE(5432)</f>
        <v>5432</v>
      </c>
      <c r="M1471" s="1">
        <f>VALUE(5815)</f>
        <v>5815</v>
      </c>
      <c r="N1471" t="s">
        <v>16</v>
      </c>
    </row>
    <row r="1472" spans="1:14" x14ac:dyDescent="0.25">
      <c r="A1472" t="s">
        <v>14</v>
      </c>
      <c r="B1472" t="s">
        <v>39</v>
      </c>
      <c r="C1472" t="s">
        <v>37</v>
      </c>
      <c r="D1472" t="s">
        <v>29</v>
      </c>
      <c r="E1472" t="s">
        <v>26</v>
      </c>
      <c r="F1472" t="s">
        <v>15</v>
      </c>
      <c r="G1472" s="1" t="str">
        <f t="shared" ref="G1472:M1474" si="293">"X"</f>
        <v>X</v>
      </c>
      <c r="H1472" s="1" t="str">
        <f t="shared" si="293"/>
        <v>X</v>
      </c>
      <c r="I1472" s="1" t="str">
        <f t="shared" si="293"/>
        <v>X</v>
      </c>
      <c r="J1472" s="1" t="str">
        <f t="shared" si="293"/>
        <v>X</v>
      </c>
      <c r="K1472" s="1" t="str">
        <f t="shared" si="293"/>
        <v>X</v>
      </c>
      <c r="L1472" s="1" t="str">
        <f t="shared" si="293"/>
        <v>X</v>
      </c>
      <c r="M1472" s="1" t="str">
        <f t="shared" si="293"/>
        <v>X</v>
      </c>
      <c r="N1472" t="s">
        <v>27</v>
      </c>
    </row>
    <row r="1473" spans="1:14" x14ac:dyDescent="0.25">
      <c r="A1473" t="s">
        <v>14</v>
      </c>
      <c r="B1473" t="s">
        <v>39</v>
      </c>
      <c r="C1473" t="s">
        <v>37</v>
      </c>
      <c r="D1473" t="s">
        <v>29</v>
      </c>
      <c r="E1473" t="s">
        <v>26</v>
      </c>
      <c r="F1473" t="s">
        <v>17</v>
      </c>
      <c r="G1473" s="1" t="str">
        <f t="shared" si="293"/>
        <v>X</v>
      </c>
      <c r="H1473" s="1" t="str">
        <f t="shared" si="293"/>
        <v>X</v>
      </c>
      <c r="I1473" s="1" t="str">
        <f t="shared" si="293"/>
        <v>X</v>
      </c>
      <c r="J1473" s="1" t="str">
        <f t="shared" si="293"/>
        <v>X</v>
      </c>
      <c r="K1473" s="1" t="str">
        <f t="shared" si="293"/>
        <v>X</v>
      </c>
      <c r="L1473" s="1" t="str">
        <f t="shared" si="293"/>
        <v>X</v>
      </c>
      <c r="M1473" s="1" t="str">
        <f t="shared" si="293"/>
        <v>X</v>
      </c>
      <c r="N1473" t="s">
        <v>27</v>
      </c>
    </row>
    <row r="1474" spans="1:14" x14ac:dyDescent="0.25">
      <c r="A1474" t="s">
        <v>14</v>
      </c>
      <c r="B1474" t="s">
        <v>39</v>
      </c>
      <c r="C1474" t="s">
        <v>37</v>
      </c>
      <c r="D1474" t="s">
        <v>29</v>
      </c>
      <c r="E1474" t="s">
        <v>26</v>
      </c>
      <c r="F1474" t="s">
        <v>18</v>
      </c>
      <c r="G1474" s="1" t="str">
        <f t="shared" si="293"/>
        <v>X</v>
      </c>
      <c r="H1474" s="1" t="str">
        <f t="shared" si="293"/>
        <v>X</v>
      </c>
      <c r="I1474" s="1" t="str">
        <f t="shared" si="293"/>
        <v>X</v>
      </c>
      <c r="J1474" s="1" t="str">
        <f t="shared" si="293"/>
        <v>X</v>
      </c>
      <c r="K1474" s="1" t="str">
        <f t="shared" si="293"/>
        <v>X</v>
      </c>
      <c r="L1474" s="1" t="str">
        <f t="shared" si="293"/>
        <v>X</v>
      </c>
      <c r="M1474" s="1" t="str">
        <f t="shared" si="293"/>
        <v>X</v>
      </c>
      <c r="N1474" t="s">
        <v>27</v>
      </c>
    </row>
    <row r="1475" spans="1:14" x14ac:dyDescent="0.25">
      <c r="A1475" t="s">
        <v>14</v>
      </c>
      <c r="B1475" t="s">
        <v>39</v>
      </c>
      <c r="C1475" t="s">
        <v>37</v>
      </c>
      <c r="D1475" t="s">
        <v>29</v>
      </c>
      <c r="E1475" t="s">
        <v>26</v>
      </c>
      <c r="F1475" t="s">
        <v>19</v>
      </c>
      <c r="G1475" s="1" t="str">
        <f t="shared" ref="G1475:M1475" si="294">"..."</f>
        <v>...</v>
      </c>
      <c r="H1475" s="1" t="str">
        <f t="shared" si="294"/>
        <v>...</v>
      </c>
      <c r="I1475" s="1" t="str">
        <f t="shared" si="294"/>
        <v>...</v>
      </c>
      <c r="J1475" s="1" t="str">
        <f t="shared" si="294"/>
        <v>...</v>
      </c>
      <c r="K1475" s="1" t="str">
        <f t="shared" si="294"/>
        <v>...</v>
      </c>
      <c r="L1475" s="1" t="str">
        <f t="shared" si="294"/>
        <v>...</v>
      </c>
      <c r="M1475" s="1" t="str">
        <f t="shared" si="294"/>
        <v>...</v>
      </c>
      <c r="N1475" t="s">
        <v>30</v>
      </c>
    </row>
    <row r="1476" spans="1:14" x14ac:dyDescent="0.25">
      <c r="A1476" t="s">
        <v>14</v>
      </c>
      <c r="B1476" t="s">
        <v>39</v>
      </c>
      <c r="C1476" t="s">
        <v>37</v>
      </c>
      <c r="D1476" t="s">
        <v>29</v>
      </c>
      <c r="E1476" t="s">
        <v>26</v>
      </c>
      <c r="F1476" t="s">
        <v>20</v>
      </c>
      <c r="G1476" s="1" t="str">
        <f t="shared" ref="G1476:M1476" si="295">"X"</f>
        <v>X</v>
      </c>
      <c r="H1476" s="1" t="str">
        <f t="shared" si="295"/>
        <v>X</v>
      </c>
      <c r="I1476" s="1" t="str">
        <f t="shared" si="295"/>
        <v>X</v>
      </c>
      <c r="J1476" s="1" t="str">
        <f t="shared" si="295"/>
        <v>X</v>
      </c>
      <c r="K1476" s="1" t="str">
        <f t="shared" si="295"/>
        <v>X</v>
      </c>
      <c r="L1476" s="1" t="str">
        <f t="shared" si="295"/>
        <v>X</v>
      </c>
      <c r="M1476" s="1" t="str">
        <f t="shared" si="295"/>
        <v>X</v>
      </c>
      <c r="N1476" t="s">
        <v>27</v>
      </c>
    </row>
    <row r="1477" spans="1:14" x14ac:dyDescent="0.25">
      <c r="A1477" t="s">
        <v>14</v>
      </c>
      <c r="B1477" t="s">
        <v>39</v>
      </c>
      <c r="C1477" t="s">
        <v>37</v>
      </c>
      <c r="D1477" t="s">
        <v>31</v>
      </c>
      <c r="E1477" t="s">
        <v>15</v>
      </c>
      <c r="F1477" t="s">
        <v>15</v>
      </c>
      <c r="G1477" s="2">
        <f>VALUE(1715.2861147525)</f>
        <v>1715.2861147525</v>
      </c>
      <c r="H1477" s="3">
        <f>VALUE(1729.7801024596)</f>
        <v>1729.7801024595999</v>
      </c>
      <c r="I1477" s="1">
        <f>VALUE(3629)</f>
        <v>3629</v>
      </c>
      <c r="J1477" s="1">
        <f>VALUE(4390)</f>
        <v>4390</v>
      </c>
      <c r="K1477" s="1">
        <f>VALUE(5446)</f>
        <v>5446</v>
      </c>
      <c r="L1477" s="7">
        <f>VALUE(8225)</f>
        <v>8225</v>
      </c>
      <c r="M1477" s="1">
        <f>VALUE(13367)</f>
        <v>13367</v>
      </c>
      <c r="N1477" t="s">
        <v>25</v>
      </c>
    </row>
    <row r="1478" spans="1:14" x14ac:dyDescent="0.25">
      <c r="A1478" t="s">
        <v>14</v>
      </c>
      <c r="B1478" t="s">
        <v>39</v>
      </c>
      <c r="C1478" t="s">
        <v>37</v>
      </c>
      <c r="D1478" t="s">
        <v>31</v>
      </c>
      <c r="E1478" t="s">
        <v>15</v>
      </c>
      <c r="F1478" t="s">
        <v>17</v>
      </c>
      <c r="G1478" s="2">
        <f>VALUE(400.0315137317)</f>
        <v>400.03151373169999</v>
      </c>
      <c r="H1478" s="3">
        <f>VALUE(407.5197271503)</f>
        <v>407.51972715030001</v>
      </c>
      <c r="I1478" s="4">
        <f>VALUE(5000)</f>
        <v>5000</v>
      </c>
      <c r="J1478" s="5">
        <f>VALUE(5489)</f>
        <v>5489</v>
      </c>
      <c r="K1478" s="6">
        <f>VALUE(9921)</f>
        <v>9921</v>
      </c>
      <c r="L1478" s="7">
        <f>VALUE(15244)</f>
        <v>15244</v>
      </c>
      <c r="M1478" s="8">
        <f>VALUE(25267)</f>
        <v>25267</v>
      </c>
      <c r="N1478" t="s">
        <v>24</v>
      </c>
    </row>
    <row r="1479" spans="1:14" x14ac:dyDescent="0.25">
      <c r="A1479" t="s">
        <v>14</v>
      </c>
      <c r="B1479" t="s">
        <v>39</v>
      </c>
      <c r="C1479" t="s">
        <v>37</v>
      </c>
      <c r="D1479" t="s">
        <v>31</v>
      </c>
      <c r="E1479" t="s">
        <v>15</v>
      </c>
      <c r="F1479" t="s">
        <v>18</v>
      </c>
      <c r="G1479" s="2">
        <f>VALUE(238.3496039307)</f>
        <v>238.3496039307</v>
      </c>
      <c r="H1479" s="3">
        <f>VALUE(242.0631824385)</f>
        <v>242.06318243850001</v>
      </c>
      <c r="I1479" s="4">
        <f>VALUE(3976)</f>
        <v>3976</v>
      </c>
      <c r="J1479" s="5">
        <f>VALUE(5023)</f>
        <v>5023</v>
      </c>
      <c r="K1479" s="6">
        <f>VALUE(6886)</f>
        <v>6886</v>
      </c>
      <c r="L1479" s="7">
        <f>VALUE(9960)</f>
        <v>9960</v>
      </c>
      <c r="M1479" s="1">
        <f>VALUE(13367)</f>
        <v>13367</v>
      </c>
      <c r="N1479" t="s">
        <v>25</v>
      </c>
    </row>
    <row r="1480" spans="1:14" x14ac:dyDescent="0.25">
      <c r="A1480" t="s">
        <v>14</v>
      </c>
      <c r="B1480" t="s">
        <v>39</v>
      </c>
      <c r="C1480" t="s">
        <v>37</v>
      </c>
      <c r="D1480" t="s">
        <v>31</v>
      </c>
      <c r="E1480" t="s">
        <v>15</v>
      </c>
      <c r="F1480" t="s">
        <v>19</v>
      </c>
      <c r="G1480" s="2">
        <f>VALUE(210.1584598261)</f>
        <v>210.1584598261</v>
      </c>
      <c r="H1480" s="3">
        <f>VALUE(214.80047372)</f>
        <v>214.80047372000001</v>
      </c>
      <c r="I1480" s="4">
        <f>VALUE(4127)</f>
        <v>4127</v>
      </c>
      <c r="J1480" s="5">
        <f>VALUE(5112)</f>
        <v>5112</v>
      </c>
      <c r="K1480" s="6">
        <f>VALUE(6000)</f>
        <v>6000</v>
      </c>
      <c r="L1480" s="7">
        <f>VALUE(8225)</f>
        <v>8225</v>
      </c>
      <c r="M1480" s="8">
        <f>VALUE(9210)</f>
        <v>9210</v>
      </c>
      <c r="N1480" t="s">
        <v>24</v>
      </c>
    </row>
    <row r="1481" spans="1:14" x14ac:dyDescent="0.25">
      <c r="A1481" t="s">
        <v>14</v>
      </c>
      <c r="B1481" t="s">
        <v>39</v>
      </c>
      <c r="C1481" t="s">
        <v>37</v>
      </c>
      <c r="D1481" t="s">
        <v>31</v>
      </c>
      <c r="E1481" t="s">
        <v>15</v>
      </c>
      <c r="F1481" t="s">
        <v>20</v>
      </c>
      <c r="G1481" s="2">
        <f>VALUE(866.746537264)</f>
        <v>866.74653726400004</v>
      </c>
      <c r="H1481" s="3">
        <f>VALUE(865.3967191508)</f>
        <v>865.39671915079998</v>
      </c>
      <c r="I1481" s="1">
        <f>VALUE(3380)</f>
        <v>3380</v>
      </c>
      <c r="J1481" s="1">
        <f>VALUE(3965)</f>
        <v>3965</v>
      </c>
      <c r="K1481" s="1">
        <f>VALUE(4729)</f>
        <v>4729</v>
      </c>
      <c r="L1481" s="1">
        <f>VALUE(5476)</f>
        <v>5476</v>
      </c>
      <c r="M1481" s="8">
        <f>VALUE(6797)</f>
        <v>6797</v>
      </c>
      <c r="N1481" t="s">
        <v>25</v>
      </c>
    </row>
    <row r="1482" spans="1:14" x14ac:dyDescent="0.25">
      <c r="A1482" t="s">
        <v>14</v>
      </c>
      <c r="B1482" t="s">
        <v>39</v>
      </c>
      <c r="C1482" t="s">
        <v>37</v>
      </c>
      <c r="D1482" t="s">
        <v>31</v>
      </c>
      <c r="E1482" t="s">
        <v>21</v>
      </c>
      <c r="F1482" t="s">
        <v>15</v>
      </c>
      <c r="G1482" s="2">
        <f>VALUE(458.2813684065)</f>
        <v>458.28136840650001</v>
      </c>
      <c r="H1482" s="3">
        <f>VALUE(462.3072293283)</f>
        <v>462.30722932830002</v>
      </c>
      <c r="I1482" s="1">
        <f>VALUE(5623)</f>
        <v>5623</v>
      </c>
      <c r="J1482" s="1">
        <f>VALUE(7104)</f>
        <v>7104</v>
      </c>
      <c r="K1482" s="6">
        <f>VALUE(9210)</f>
        <v>9210</v>
      </c>
      <c r="L1482" s="1">
        <f>VALUE(14003)</f>
        <v>14003</v>
      </c>
      <c r="M1482" s="8">
        <f>VALUE(20889)</f>
        <v>20889</v>
      </c>
      <c r="N1482" t="s">
        <v>25</v>
      </c>
    </row>
    <row r="1483" spans="1:14" x14ac:dyDescent="0.25">
      <c r="A1483" t="s">
        <v>14</v>
      </c>
      <c r="B1483" t="s">
        <v>39</v>
      </c>
      <c r="C1483" t="s">
        <v>37</v>
      </c>
      <c r="D1483" t="s">
        <v>31</v>
      </c>
      <c r="E1483" t="s">
        <v>21</v>
      </c>
      <c r="F1483" t="s">
        <v>17</v>
      </c>
      <c r="G1483" s="2">
        <f>VALUE(215.4525208622)</f>
        <v>215.4525208622</v>
      </c>
      <c r="H1483" s="3">
        <f>VALUE(219.5689764918)</f>
        <v>219.56897649179999</v>
      </c>
      <c r="I1483" s="1">
        <f>VALUE(6970)</f>
        <v>6970</v>
      </c>
      <c r="J1483" s="5">
        <f>VALUE(8333)</f>
        <v>8333</v>
      </c>
      <c r="K1483" s="6">
        <f>VALUE(12621)</f>
        <v>12621</v>
      </c>
      <c r="L1483" s="7">
        <f>VALUE(18812)</f>
        <v>18812</v>
      </c>
      <c r="M1483" s="8">
        <f>VALUE(30152)</f>
        <v>30152</v>
      </c>
      <c r="N1483" t="s">
        <v>25</v>
      </c>
    </row>
    <row r="1484" spans="1:14" x14ac:dyDescent="0.25">
      <c r="A1484" t="s">
        <v>14</v>
      </c>
      <c r="B1484" t="s">
        <v>39</v>
      </c>
      <c r="C1484" t="s">
        <v>37</v>
      </c>
      <c r="D1484" t="s">
        <v>31</v>
      </c>
      <c r="E1484" t="s">
        <v>21</v>
      </c>
      <c r="F1484" t="s">
        <v>18</v>
      </c>
      <c r="G1484" s="1" t="str">
        <f t="shared" ref="G1484:M1486" si="296">"X"</f>
        <v>X</v>
      </c>
      <c r="H1484" s="1" t="str">
        <f t="shared" si="296"/>
        <v>X</v>
      </c>
      <c r="I1484" s="1" t="str">
        <f t="shared" si="296"/>
        <v>X</v>
      </c>
      <c r="J1484" s="1" t="str">
        <f t="shared" si="296"/>
        <v>X</v>
      </c>
      <c r="K1484" s="1" t="str">
        <f t="shared" si="296"/>
        <v>X</v>
      </c>
      <c r="L1484" s="1" t="str">
        <f t="shared" si="296"/>
        <v>X</v>
      </c>
      <c r="M1484" s="1" t="str">
        <f t="shared" si="296"/>
        <v>X</v>
      </c>
      <c r="N1484" t="s">
        <v>27</v>
      </c>
    </row>
    <row r="1485" spans="1:14" x14ac:dyDescent="0.25">
      <c r="A1485" t="s">
        <v>14</v>
      </c>
      <c r="B1485" t="s">
        <v>39</v>
      </c>
      <c r="C1485" t="s">
        <v>37</v>
      </c>
      <c r="D1485" t="s">
        <v>31</v>
      </c>
      <c r="E1485" t="s">
        <v>21</v>
      </c>
      <c r="F1485" t="s">
        <v>19</v>
      </c>
      <c r="G1485" s="1" t="str">
        <f t="shared" si="296"/>
        <v>X</v>
      </c>
      <c r="H1485" s="1" t="str">
        <f t="shared" si="296"/>
        <v>X</v>
      </c>
      <c r="I1485" s="1" t="str">
        <f t="shared" si="296"/>
        <v>X</v>
      </c>
      <c r="J1485" s="1" t="str">
        <f t="shared" si="296"/>
        <v>X</v>
      </c>
      <c r="K1485" s="1" t="str">
        <f t="shared" si="296"/>
        <v>X</v>
      </c>
      <c r="L1485" s="1" t="str">
        <f t="shared" si="296"/>
        <v>X</v>
      </c>
      <c r="M1485" s="1" t="str">
        <f t="shared" si="296"/>
        <v>X</v>
      </c>
      <c r="N1485" t="s">
        <v>27</v>
      </c>
    </row>
    <row r="1486" spans="1:14" x14ac:dyDescent="0.25">
      <c r="A1486" t="s">
        <v>14</v>
      </c>
      <c r="B1486" t="s">
        <v>39</v>
      </c>
      <c r="C1486" t="s">
        <v>37</v>
      </c>
      <c r="D1486" t="s">
        <v>31</v>
      </c>
      <c r="E1486" t="s">
        <v>21</v>
      </c>
      <c r="F1486" t="s">
        <v>20</v>
      </c>
      <c r="G1486" s="1" t="str">
        <f t="shared" si="296"/>
        <v>X</v>
      </c>
      <c r="H1486" s="1" t="str">
        <f t="shared" si="296"/>
        <v>X</v>
      </c>
      <c r="I1486" s="1" t="str">
        <f t="shared" si="296"/>
        <v>X</v>
      </c>
      <c r="J1486" s="1" t="str">
        <f t="shared" si="296"/>
        <v>X</v>
      </c>
      <c r="K1486" s="1" t="str">
        <f t="shared" si="296"/>
        <v>X</v>
      </c>
      <c r="L1486" s="1" t="str">
        <f t="shared" si="296"/>
        <v>X</v>
      </c>
      <c r="M1486" s="1" t="str">
        <f t="shared" si="296"/>
        <v>X</v>
      </c>
      <c r="N1486" t="s">
        <v>27</v>
      </c>
    </row>
    <row r="1487" spans="1:14" x14ac:dyDescent="0.25">
      <c r="A1487" t="s">
        <v>14</v>
      </c>
      <c r="B1487" t="s">
        <v>39</v>
      </c>
      <c r="C1487" t="s">
        <v>37</v>
      </c>
      <c r="D1487" t="s">
        <v>31</v>
      </c>
      <c r="E1487" t="s">
        <v>22</v>
      </c>
      <c r="F1487" t="s">
        <v>15</v>
      </c>
      <c r="G1487" s="2">
        <f>VALUE(303.9481397588)</f>
        <v>303.94813975879998</v>
      </c>
      <c r="H1487" s="3">
        <f>VALUE(305.560130466)</f>
        <v>305.56013046599998</v>
      </c>
      <c r="I1487" s="4">
        <f>VALUE(3976)</f>
        <v>3976</v>
      </c>
      <c r="J1487" s="5">
        <f>VALUE(4617)</f>
        <v>4617</v>
      </c>
      <c r="K1487" s="1">
        <f>VALUE(5412)</f>
        <v>5412</v>
      </c>
      <c r="L1487" s="1">
        <f>VALUE(6886)</f>
        <v>6886</v>
      </c>
      <c r="M1487" s="1">
        <f>VALUE(9344)</f>
        <v>9344</v>
      </c>
      <c r="N1487" t="s">
        <v>25</v>
      </c>
    </row>
    <row r="1488" spans="1:14" x14ac:dyDescent="0.25">
      <c r="A1488" t="s">
        <v>14</v>
      </c>
      <c r="B1488" t="s">
        <v>39</v>
      </c>
      <c r="C1488" t="s">
        <v>37</v>
      </c>
      <c r="D1488" t="s">
        <v>31</v>
      </c>
      <c r="E1488" t="s">
        <v>22</v>
      </c>
      <c r="F1488" t="s">
        <v>17</v>
      </c>
      <c r="G1488" s="1" t="str">
        <f t="shared" ref="G1488:M1490" si="297">"X"</f>
        <v>X</v>
      </c>
      <c r="H1488" s="1" t="str">
        <f t="shared" si="297"/>
        <v>X</v>
      </c>
      <c r="I1488" s="1" t="str">
        <f t="shared" si="297"/>
        <v>X</v>
      </c>
      <c r="J1488" s="1" t="str">
        <f t="shared" si="297"/>
        <v>X</v>
      </c>
      <c r="K1488" s="1" t="str">
        <f t="shared" si="297"/>
        <v>X</v>
      </c>
      <c r="L1488" s="1" t="str">
        <f t="shared" si="297"/>
        <v>X</v>
      </c>
      <c r="M1488" s="1" t="str">
        <f t="shared" si="297"/>
        <v>X</v>
      </c>
      <c r="N1488" t="s">
        <v>27</v>
      </c>
    </row>
    <row r="1489" spans="1:14" x14ac:dyDescent="0.25">
      <c r="A1489" t="s">
        <v>14</v>
      </c>
      <c r="B1489" t="s">
        <v>39</v>
      </c>
      <c r="C1489" t="s">
        <v>37</v>
      </c>
      <c r="D1489" t="s">
        <v>31</v>
      </c>
      <c r="E1489" t="s">
        <v>22</v>
      </c>
      <c r="F1489" t="s">
        <v>18</v>
      </c>
      <c r="G1489" s="1" t="str">
        <f t="shared" si="297"/>
        <v>X</v>
      </c>
      <c r="H1489" s="1" t="str">
        <f t="shared" si="297"/>
        <v>X</v>
      </c>
      <c r="I1489" s="1" t="str">
        <f t="shared" si="297"/>
        <v>X</v>
      </c>
      <c r="J1489" s="1" t="str">
        <f t="shared" si="297"/>
        <v>X</v>
      </c>
      <c r="K1489" s="1" t="str">
        <f t="shared" si="297"/>
        <v>X</v>
      </c>
      <c r="L1489" s="1" t="str">
        <f t="shared" si="297"/>
        <v>X</v>
      </c>
      <c r="M1489" s="1" t="str">
        <f t="shared" si="297"/>
        <v>X</v>
      </c>
      <c r="N1489" t="s">
        <v>27</v>
      </c>
    </row>
    <row r="1490" spans="1:14" x14ac:dyDescent="0.25">
      <c r="A1490" t="s">
        <v>14</v>
      </c>
      <c r="B1490" t="s">
        <v>39</v>
      </c>
      <c r="C1490" t="s">
        <v>37</v>
      </c>
      <c r="D1490" t="s">
        <v>31</v>
      </c>
      <c r="E1490" t="s">
        <v>22</v>
      </c>
      <c r="F1490" t="s">
        <v>19</v>
      </c>
      <c r="G1490" s="1" t="str">
        <f t="shared" si="297"/>
        <v>X</v>
      </c>
      <c r="H1490" s="1" t="str">
        <f t="shared" si="297"/>
        <v>X</v>
      </c>
      <c r="I1490" s="1" t="str">
        <f t="shared" si="297"/>
        <v>X</v>
      </c>
      <c r="J1490" s="1" t="str">
        <f t="shared" si="297"/>
        <v>X</v>
      </c>
      <c r="K1490" s="1" t="str">
        <f t="shared" si="297"/>
        <v>X</v>
      </c>
      <c r="L1490" s="1" t="str">
        <f t="shared" si="297"/>
        <v>X</v>
      </c>
      <c r="M1490" s="1" t="str">
        <f t="shared" si="297"/>
        <v>X</v>
      </c>
      <c r="N1490" t="s">
        <v>27</v>
      </c>
    </row>
    <row r="1491" spans="1:14" x14ac:dyDescent="0.25">
      <c r="A1491" t="s">
        <v>14</v>
      </c>
      <c r="B1491" t="s">
        <v>39</v>
      </c>
      <c r="C1491" t="s">
        <v>37</v>
      </c>
      <c r="D1491" t="s">
        <v>31</v>
      </c>
      <c r="E1491" t="s">
        <v>22</v>
      </c>
      <c r="F1491" t="s">
        <v>20</v>
      </c>
      <c r="G1491" s="2">
        <f>VALUE(150.9483118966)</f>
        <v>150.94831189659999</v>
      </c>
      <c r="H1491" s="3">
        <f>VALUE(148.9468821484)</f>
        <v>148.94688214839999</v>
      </c>
      <c r="I1491" s="1">
        <f>VALUE(4048)</f>
        <v>4048</v>
      </c>
      <c r="J1491" s="1">
        <f>VALUE(4273)</f>
        <v>4273</v>
      </c>
      <c r="K1491" s="1">
        <f>VALUE(5100)</f>
        <v>5100</v>
      </c>
      <c r="L1491" s="1">
        <f>VALUE(6015)</f>
        <v>6015</v>
      </c>
      <c r="M1491" s="8">
        <f>VALUE(8084)</f>
        <v>8084</v>
      </c>
      <c r="N1491" t="s">
        <v>25</v>
      </c>
    </row>
    <row r="1492" spans="1:14" x14ac:dyDescent="0.25">
      <c r="A1492" t="s">
        <v>14</v>
      </c>
      <c r="B1492" t="s">
        <v>39</v>
      </c>
      <c r="C1492" t="s">
        <v>37</v>
      </c>
      <c r="D1492" t="s">
        <v>31</v>
      </c>
      <c r="E1492" t="s">
        <v>23</v>
      </c>
      <c r="F1492" t="s">
        <v>15</v>
      </c>
      <c r="G1492" s="2">
        <f>VALUE(904.6764191765)</f>
        <v>904.67641917649996</v>
      </c>
      <c r="H1492" s="3">
        <f>VALUE(911.1718127674)</f>
        <v>911.17181276739996</v>
      </c>
      <c r="I1492" s="1">
        <f>VALUE(3380)</f>
        <v>3380</v>
      </c>
      <c r="J1492" s="1">
        <f>VALUE(4000)</f>
        <v>4000</v>
      </c>
      <c r="K1492" s="1">
        <f>VALUE(4756)</f>
        <v>4756</v>
      </c>
      <c r="L1492" s="1">
        <f>VALUE(5489)</f>
        <v>5489</v>
      </c>
      <c r="M1492" s="8">
        <f>VALUE(6500)</f>
        <v>6500</v>
      </c>
      <c r="N1492" t="s">
        <v>25</v>
      </c>
    </row>
    <row r="1493" spans="1:14" x14ac:dyDescent="0.25">
      <c r="A1493" t="s">
        <v>14</v>
      </c>
      <c r="B1493" t="s">
        <v>39</v>
      </c>
      <c r="C1493" t="s">
        <v>37</v>
      </c>
      <c r="D1493" t="s">
        <v>31</v>
      </c>
      <c r="E1493" t="s">
        <v>23</v>
      </c>
      <c r="F1493" t="s">
        <v>17</v>
      </c>
      <c r="G1493" s="1" t="str">
        <f t="shared" ref="G1493:M1495" si="298">"X"</f>
        <v>X</v>
      </c>
      <c r="H1493" s="1" t="str">
        <f t="shared" si="298"/>
        <v>X</v>
      </c>
      <c r="I1493" s="1" t="str">
        <f t="shared" si="298"/>
        <v>X</v>
      </c>
      <c r="J1493" s="1" t="str">
        <f t="shared" si="298"/>
        <v>X</v>
      </c>
      <c r="K1493" s="1" t="str">
        <f t="shared" si="298"/>
        <v>X</v>
      </c>
      <c r="L1493" s="1" t="str">
        <f t="shared" si="298"/>
        <v>X</v>
      </c>
      <c r="M1493" s="1" t="str">
        <f t="shared" si="298"/>
        <v>X</v>
      </c>
      <c r="N1493" t="s">
        <v>27</v>
      </c>
    </row>
    <row r="1494" spans="1:14" x14ac:dyDescent="0.25">
      <c r="A1494" t="s">
        <v>14</v>
      </c>
      <c r="B1494" t="s">
        <v>39</v>
      </c>
      <c r="C1494" t="s">
        <v>37</v>
      </c>
      <c r="D1494" t="s">
        <v>31</v>
      </c>
      <c r="E1494" t="s">
        <v>23</v>
      </c>
      <c r="F1494" t="s">
        <v>18</v>
      </c>
      <c r="G1494" s="1" t="str">
        <f t="shared" si="298"/>
        <v>X</v>
      </c>
      <c r="H1494" s="1" t="str">
        <f t="shared" si="298"/>
        <v>X</v>
      </c>
      <c r="I1494" s="1" t="str">
        <f t="shared" si="298"/>
        <v>X</v>
      </c>
      <c r="J1494" s="1" t="str">
        <f t="shared" si="298"/>
        <v>X</v>
      </c>
      <c r="K1494" s="1" t="str">
        <f t="shared" si="298"/>
        <v>X</v>
      </c>
      <c r="L1494" s="1" t="str">
        <f t="shared" si="298"/>
        <v>X</v>
      </c>
      <c r="M1494" s="1" t="str">
        <f t="shared" si="298"/>
        <v>X</v>
      </c>
      <c r="N1494" t="s">
        <v>27</v>
      </c>
    </row>
    <row r="1495" spans="1:14" x14ac:dyDescent="0.25">
      <c r="A1495" t="s">
        <v>14</v>
      </c>
      <c r="B1495" t="s">
        <v>39</v>
      </c>
      <c r="C1495" t="s">
        <v>37</v>
      </c>
      <c r="D1495" t="s">
        <v>31</v>
      </c>
      <c r="E1495" t="s">
        <v>23</v>
      </c>
      <c r="F1495" t="s">
        <v>19</v>
      </c>
      <c r="G1495" s="1" t="str">
        <f t="shared" si="298"/>
        <v>X</v>
      </c>
      <c r="H1495" s="1" t="str">
        <f t="shared" si="298"/>
        <v>X</v>
      </c>
      <c r="I1495" s="1" t="str">
        <f t="shared" si="298"/>
        <v>X</v>
      </c>
      <c r="J1495" s="1" t="str">
        <f t="shared" si="298"/>
        <v>X</v>
      </c>
      <c r="K1495" s="1" t="str">
        <f t="shared" si="298"/>
        <v>X</v>
      </c>
      <c r="L1495" s="1" t="str">
        <f t="shared" si="298"/>
        <v>X</v>
      </c>
      <c r="M1495" s="1" t="str">
        <f t="shared" si="298"/>
        <v>X</v>
      </c>
      <c r="N1495" t="s">
        <v>27</v>
      </c>
    </row>
    <row r="1496" spans="1:14" x14ac:dyDescent="0.25">
      <c r="A1496" t="s">
        <v>14</v>
      </c>
      <c r="B1496" t="s">
        <v>39</v>
      </c>
      <c r="C1496" t="s">
        <v>37</v>
      </c>
      <c r="D1496" t="s">
        <v>31</v>
      </c>
      <c r="E1496" t="s">
        <v>23</v>
      </c>
      <c r="F1496" t="s">
        <v>20</v>
      </c>
      <c r="G1496" s="2">
        <f>VALUE(629.1992973468)</f>
        <v>629.19929734679999</v>
      </c>
      <c r="H1496" s="3">
        <f>VALUE(627.3722296706)</f>
        <v>627.37222967059995</v>
      </c>
      <c r="I1496" s="1">
        <f>VALUE(3305)</f>
        <v>3305</v>
      </c>
      <c r="J1496" s="1">
        <f>VALUE(3795)</f>
        <v>3795</v>
      </c>
      <c r="K1496" s="1">
        <f>VALUE(4443)</f>
        <v>4443</v>
      </c>
      <c r="L1496" s="1">
        <f>VALUE(5095)</f>
        <v>5095</v>
      </c>
      <c r="M1496" s="1">
        <f>VALUE(5752)</f>
        <v>5752</v>
      </c>
      <c r="N1496" t="s">
        <v>25</v>
      </c>
    </row>
    <row r="1497" spans="1:14" x14ac:dyDescent="0.25">
      <c r="A1497" t="s">
        <v>14</v>
      </c>
      <c r="B1497" t="s">
        <v>39</v>
      </c>
      <c r="C1497" t="s">
        <v>37</v>
      </c>
      <c r="D1497" t="s">
        <v>31</v>
      </c>
      <c r="E1497" t="s">
        <v>26</v>
      </c>
      <c r="F1497" t="s">
        <v>15</v>
      </c>
      <c r="G1497" s="1" t="str">
        <f t="shared" ref="G1497:M1501" si="299">"X"</f>
        <v>X</v>
      </c>
      <c r="H1497" s="1" t="str">
        <f t="shared" si="299"/>
        <v>X</v>
      </c>
      <c r="I1497" s="1" t="str">
        <f t="shared" si="299"/>
        <v>X</v>
      </c>
      <c r="J1497" s="1" t="str">
        <f t="shared" si="299"/>
        <v>X</v>
      </c>
      <c r="K1497" s="1" t="str">
        <f t="shared" si="299"/>
        <v>X</v>
      </c>
      <c r="L1497" s="1" t="str">
        <f t="shared" si="299"/>
        <v>X</v>
      </c>
      <c r="M1497" s="1" t="str">
        <f t="shared" si="299"/>
        <v>X</v>
      </c>
      <c r="N1497" t="s">
        <v>27</v>
      </c>
    </row>
    <row r="1498" spans="1:14" x14ac:dyDescent="0.25">
      <c r="A1498" t="s">
        <v>14</v>
      </c>
      <c r="B1498" t="s">
        <v>39</v>
      </c>
      <c r="C1498" t="s">
        <v>37</v>
      </c>
      <c r="D1498" t="s">
        <v>31</v>
      </c>
      <c r="E1498" t="s">
        <v>26</v>
      </c>
      <c r="F1498" t="s">
        <v>17</v>
      </c>
      <c r="G1498" s="1" t="str">
        <f t="shared" si="299"/>
        <v>X</v>
      </c>
      <c r="H1498" s="1" t="str">
        <f t="shared" si="299"/>
        <v>X</v>
      </c>
      <c r="I1498" s="1" t="str">
        <f t="shared" si="299"/>
        <v>X</v>
      </c>
      <c r="J1498" s="1" t="str">
        <f t="shared" si="299"/>
        <v>X</v>
      </c>
      <c r="K1498" s="1" t="str">
        <f t="shared" si="299"/>
        <v>X</v>
      </c>
      <c r="L1498" s="1" t="str">
        <f t="shared" si="299"/>
        <v>X</v>
      </c>
      <c r="M1498" s="1" t="str">
        <f t="shared" si="299"/>
        <v>X</v>
      </c>
      <c r="N1498" t="s">
        <v>27</v>
      </c>
    </row>
    <row r="1499" spans="1:14" x14ac:dyDescent="0.25">
      <c r="A1499" t="s">
        <v>14</v>
      </c>
      <c r="B1499" t="s">
        <v>39</v>
      </c>
      <c r="C1499" t="s">
        <v>37</v>
      </c>
      <c r="D1499" t="s">
        <v>31</v>
      </c>
      <c r="E1499" t="s">
        <v>26</v>
      </c>
      <c r="F1499" t="s">
        <v>18</v>
      </c>
      <c r="G1499" s="1" t="str">
        <f t="shared" si="299"/>
        <v>X</v>
      </c>
      <c r="H1499" s="1" t="str">
        <f t="shared" si="299"/>
        <v>X</v>
      </c>
      <c r="I1499" s="1" t="str">
        <f t="shared" si="299"/>
        <v>X</v>
      </c>
      <c r="J1499" s="1" t="str">
        <f t="shared" si="299"/>
        <v>X</v>
      </c>
      <c r="K1499" s="1" t="str">
        <f t="shared" si="299"/>
        <v>X</v>
      </c>
      <c r="L1499" s="1" t="str">
        <f t="shared" si="299"/>
        <v>X</v>
      </c>
      <c r="M1499" s="1" t="str">
        <f t="shared" si="299"/>
        <v>X</v>
      </c>
      <c r="N1499" t="s">
        <v>27</v>
      </c>
    </row>
    <row r="1500" spans="1:14" x14ac:dyDescent="0.25">
      <c r="A1500" t="s">
        <v>14</v>
      </c>
      <c r="B1500" t="s">
        <v>39</v>
      </c>
      <c r="C1500" t="s">
        <v>37</v>
      </c>
      <c r="D1500" t="s">
        <v>31</v>
      </c>
      <c r="E1500" t="s">
        <v>26</v>
      </c>
      <c r="F1500" t="s">
        <v>19</v>
      </c>
      <c r="G1500" s="1" t="str">
        <f t="shared" si="299"/>
        <v>X</v>
      </c>
      <c r="H1500" s="1" t="str">
        <f t="shared" si="299"/>
        <v>X</v>
      </c>
      <c r="I1500" s="1" t="str">
        <f t="shared" si="299"/>
        <v>X</v>
      </c>
      <c r="J1500" s="1" t="str">
        <f t="shared" si="299"/>
        <v>X</v>
      </c>
      <c r="K1500" s="1" t="str">
        <f t="shared" si="299"/>
        <v>X</v>
      </c>
      <c r="L1500" s="1" t="str">
        <f t="shared" si="299"/>
        <v>X</v>
      </c>
      <c r="M1500" s="1" t="str">
        <f t="shared" si="299"/>
        <v>X</v>
      </c>
      <c r="N1500" t="s">
        <v>27</v>
      </c>
    </row>
    <row r="1501" spans="1:14" x14ac:dyDescent="0.25">
      <c r="A1501" t="s">
        <v>14</v>
      </c>
      <c r="B1501" t="s">
        <v>39</v>
      </c>
      <c r="C1501" t="s">
        <v>37</v>
      </c>
      <c r="D1501" t="s">
        <v>31</v>
      </c>
      <c r="E1501" t="s">
        <v>26</v>
      </c>
      <c r="F1501" t="s">
        <v>20</v>
      </c>
      <c r="G1501" s="1" t="str">
        <f t="shared" si="299"/>
        <v>X</v>
      </c>
      <c r="H1501" s="1" t="str">
        <f t="shared" si="299"/>
        <v>X</v>
      </c>
      <c r="I1501" s="1" t="str">
        <f t="shared" si="299"/>
        <v>X</v>
      </c>
      <c r="J1501" s="1" t="str">
        <f t="shared" si="299"/>
        <v>X</v>
      </c>
      <c r="K1501" s="1" t="str">
        <f t="shared" si="299"/>
        <v>X</v>
      </c>
      <c r="L1501" s="1" t="str">
        <f t="shared" si="299"/>
        <v>X</v>
      </c>
      <c r="M1501" s="1" t="str">
        <f t="shared" si="299"/>
        <v>X</v>
      </c>
      <c r="N1501" t="s">
        <v>27</v>
      </c>
    </row>
    <row r="1502" spans="1:14" x14ac:dyDescent="0.25">
      <c r="A1502" t="s">
        <v>14</v>
      </c>
      <c r="B1502" t="s">
        <v>39</v>
      </c>
      <c r="C1502" t="s">
        <v>37</v>
      </c>
      <c r="D1502" t="s">
        <v>32</v>
      </c>
      <c r="E1502" t="s">
        <v>15</v>
      </c>
      <c r="F1502" t="s">
        <v>15</v>
      </c>
      <c r="G1502" s="1">
        <f>VALUE(11685.1428230122)</f>
        <v>11685.1428230122</v>
      </c>
      <c r="H1502" s="1">
        <f>VALUE(11975.1393327077)</f>
        <v>11975.1393327077</v>
      </c>
      <c r="I1502" s="1">
        <f>VALUE(3638)</f>
        <v>3638</v>
      </c>
      <c r="J1502" s="1">
        <f>VALUE(4222)</f>
        <v>4222</v>
      </c>
      <c r="K1502" s="1">
        <f>VALUE(5020)</f>
        <v>5020</v>
      </c>
      <c r="L1502" s="1">
        <f>VALUE(5870)</f>
        <v>5870</v>
      </c>
      <c r="M1502" s="1">
        <f>VALUE(7296)</f>
        <v>7296</v>
      </c>
      <c r="N1502" t="s">
        <v>16</v>
      </c>
    </row>
    <row r="1503" spans="1:14" x14ac:dyDescent="0.25">
      <c r="A1503" t="s">
        <v>14</v>
      </c>
      <c r="B1503" t="s">
        <v>39</v>
      </c>
      <c r="C1503" t="s">
        <v>37</v>
      </c>
      <c r="D1503" t="s">
        <v>32</v>
      </c>
      <c r="E1503" t="s">
        <v>15</v>
      </c>
      <c r="F1503" t="s">
        <v>17</v>
      </c>
      <c r="G1503" s="2">
        <f>VALUE(1186.4793760879)</f>
        <v>1186.4793760878999</v>
      </c>
      <c r="H1503" s="3">
        <f>VALUE(1196.9658161177)</f>
        <v>1196.9658161176999</v>
      </c>
      <c r="I1503" s="1">
        <f>VALUE(4500)</f>
        <v>4500</v>
      </c>
      <c r="J1503" s="1">
        <f>VALUE(5471)</f>
        <v>5471</v>
      </c>
      <c r="K1503" s="1">
        <f>VALUE(7000)</f>
        <v>7000</v>
      </c>
      <c r="L1503" s="1">
        <f>VALUE(9467)</f>
        <v>9467</v>
      </c>
      <c r="M1503" s="8">
        <f>VALUE(12326)</f>
        <v>12326</v>
      </c>
      <c r="N1503" t="s">
        <v>25</v>
      </c>
    </row>
    <row r="1504" spans="1:14" x14ac:dyDescent="0.25">
      <c r="A1504" t="s">
        <v>14</v>
      </c>
      <c r="B1504" t="s">
        <v>39</v>
      </c>
      <c r="C1504" t="s">
        <v>37</v>
      </c>
      <c r="D1504" t="s">
        <v>32</v>
      </c>
      <c r="E1504" t="s">
        <v>15</v>
      </c>
      <c r="F1504" t="s">
        <v>18</v>
      </c>
      <c r="G1504" s="2">
        <f>VALUE(1167.5941819551)</f>
        <v>1167.5941819551001</v>
      </c>
      <c r="H1504" s="3">
        <f>VALUE(1180.0737990372)</f>
        <v>1180.0737990371999</v>
      </c>
      <c r="I1504" s="1">
        <f>VALUE(4044)</f>
        <v>4044</v>
      </c>
      <c r="J1504" s="1">
        <f>VALUE(4798)</f>
        <v>4798</v>
      </c>
      <c r="K1504" s="1">
        <f>VALUE(5723)</f>
        <v>5723</v>
      </c>
      <c r="L1504" s="1">
        <f>VALUE(7090)</f>
        <v>7090</v>
      </c>
      <c r="M1504" s="1">
        <f>VALUE(8438)</f>
        <v>8438</v>
      </c>
      <c r="N1504" t="s">
        <v>25</v>
      </c>
    </row>
    <row r="1505" spans="1:14" x14ac:dyDescent="0.25">
      <c r="A1505" t="s">
        <v>14</v>
      </c>
      <c r="B1505" t="s">
        <v>39</v>
      </c>
      <c r="C1505" t="s">
        <v>37</v>
      </c>
      <c r="D1505" t="s">
        <v>32</v>
      </c>
      <c r="E1505" t="s">
        <v>15</v>
      </c>
      <c r="F1505" t="s">
        <v>19</v>
      </c>
      <c r="G1505" s="1">
        <f>VALUE(1689.598239288)</f>
        <v>1689.5982392880001</v>
      </c>
      <c r="H1505" s="1">
        <f>VALUE(1737.5305241052)</f>
        <v>1737.5305241051999</v>
      </c>
      <c r="I1505" s="1">
        <f>VALUE(3854)</f>
        <v>3854</v>
      </c>
      <c r="J1505" s="1">
        <f>VALUE(4466)</f>
        <v>4466</v>
      </c>
      <c r="K1505" s="1">
        <f>VALUE(5173)</f>
        <v>5173</v>
      </c>
      <c r="L1505" s="1">
        <f>VALUE(6133)</f>
        <v>6133</v>
      </c>
      <c r="M1505" s="1">
        <f>VALUE(7254)</f>
        <v>7254</v>
      </c>
      <c r="N1505" t="s">
        <v>16</v>
      </c>
    </row>
    <row r="1506" spans="1:14" x14ac:dyDescent="0.25">
      <c r="A1506" t="s">
        <v>14</v>
      </c>
      <c r="B1506" t="s">
        <v>39</v>
      </c>
      <c r="C1506" t="s">
        <v>37</v>
      </c>
      <c r="D1506" t="s">
        <v>32</v>
      </c>
      <c r="E1506" t="s">
        <v>15</v>
      </c>
      <c r="F1506" t="s">
        <v>20</v>
      </c>
      <c r="G1506" s="1">
        <f>VALUE(7634.8834588624)</f>
        <v>7634.8834588624004</v>
      </c>
      <c r="H1506" s="1">
        <f>VALUE(7854.4046165822)</f>
        <v>7854.4046165822001</v>
      </c>
      <c r="I1506" s="1">
        <f>VALUE(3508)</f>
        <v>3508</v>
      </c>
      <c r="J1506" s="1">
        <f>VALUE(4057)</f>
        <v>4057</v>
      </c>
      <c r="K1506" s="1">
        <f>VALUE(4759)</f>
        <v>4759</v>
      </c>
      <c r="L1506" s="1">
        <f>VALUE(5402)</f>
        <v>5402</v>
      </c>
      <c r="M1506" s="1">
        <f>VALUE(6075)</f>
        <v>6075</v>
      </c>
      <c r="N1506" t="s">
        <v>16</v>
      </c>
    </row>
    <row r="1507" spans="1:14" x14ac:dyDescent="0.25">
      <c r="A1507" t="s">
        <v>14</v>
      </c>
      <c r="B1507" t="s">
        <v>39</v>
      </c>
      <c r="C1507" t="s">
        <v>37</v>
      </c>
      <c r="D1507" t="s">
        <v>32</v>
      </c>
      <c r="E1507" t="s">
        <v>21</v>
      </c>
      <c r="F1507" t="s">
        <v>15</v>
      </c>
      <c r="G1507" s="1">
        <f>VALUE(1631.0313850811)</f>
        <v>1631.0313850811001</v>
      </c>
      <c r="H1507" s="1">
        <f>VALUE(1627.7270558196)</f>
        <v>1627.7270558196001</v>
      </c>
      <c r="I1507" s="1">
        <f>VALUE(4495)</f>
        <v>4495</v>
      </c>
      <c r="J1507" s="1">
        <f>VALUE(5446)</f>
        <v>5446</v>
      </c>
      <c r="K1507" s="1">
        <f>VALUE(6612)</f>
        <v>6612</v>
      </c>
      <c r="L1507" s="1">
        <f>VALUE(8417)</f>
        <v>8417</v>
      </c>
      <c r="M1507" s="1">
        <f>VALUE(11308)</f>
        <v>11308</v>
      </c>
      <c r="N1507" t="s">
        <v>16</v>
      </c>
    </row>
    <row r="1508" spans="1:14" x14ac:dyDescent="0.25">
      <c r="A1508" t="s">
        <v>14</v>
      </c>
      <c r="B1508" t="s">
        <v>39</v>
      </c>
      <c r="C1508" t="s">
        <v>37</v>
      </c>
      <c r="D1508" t="s">
        <v>32</v>
      </c>
      <c r="E1508" t="s">
        <v>21</v>
      </c>
      <c r="F1508" t="s">
        <v>17</v>
      </c>
      <c r="G1508" s="2">
        <f>VALUE(641.4033834674)</f>
        <v>641.40338346739998</v>
      </c>
      <c r="H1508" s="3">
        <f>VALUE(640.167728084)</f>
        <v>640.16772808400003</v>
      </c>
      <c r="I1508" s="1">
        <f>VALUE(5230)</f>
        <v>5230</v>
      </c>
      <c r="J1508" s="1">
        <f>VALUE(6190)</f>
        <v>6190</v>
      </c>
      <c r="K1508" s="1">
        <f>VALUE(7857)</f>
        <v>7857</v>
      </c>
      <c r="L1508" s="1">
        <f>VALUE(10812)</f>
        <v>10812</v>
      </c>
      <c r="M1508" s="8">
        <f>VALUE(15361)</f>
        <v>15361</v>
      </c>
      <c r="N1508" t="s">
        <v>25</v>
      </c>
    </row>
    <row r="1509" spans="1:14" x14ac:dyDescent="0.25">
      <c r="A1509" t="s">
        <v>14</v>
      </c>
      <c r="B1509" t="s">
        <v>39</v>
      </c>
      <c r="C1509" t="s">
        <v>37</v>
      </c>
      <c r="D1509" t="s">
        <v>32</v>
      </c>
      <c r="E1509" t="s">
        <v>21</v>
      </c>
      <c r="F1509" t="s">
        <v>18</v>
      </c>
      <c r="G1509" s="2">
        <f>VALUE(265.9770384517)</f>
        <v>265.97703845170003</v>
      </c>
      <c r="H1509" s="3">
        <f>VALUE(265.1718274204)</f>
        <v>265.17182742040001</v>
      </c>
      <c r="I1509" s="1">
        <f>VALUE(4860)</f>
        <v>4860</v>
      </c>
      <c r="J1509" s="1">
        <f>VALUE(5778)</f>
        <v>5778</v>
      </c>
      <c r="K1509" s="1">
        <f>VALUE(7000)</f>
        <v>7000</v>
      </c>
      <c r="L1509" s="7">
        <f>VALUE(8740)</f>
        <v>8740</v>
      </c>
      <c r="M1509" s="8">
        <f>VALUE(10512)</f>
        <v>10512</v>
      </c>
      <c r="N1509" t="s">
        <v>25</v>
      </c>
    </row>
    <row r="1510" spans="1:14" x14ac:dyDescent="0.25">
      <c r="A1510" t="s">
        <v>14</v>
      </c>
      <c r="B1510" t="s">
        <v>39</v>
      </c>
      <c r="C1510" t="s">
        <v>37</v>
      </c>
      <c r="D1510" t="s">
        <v>32</v>
      </c>
      <c r="E1510" t="s">
        <v>21</v>
      </c>
      <c r="F1510" t="s">
        <v>19</v>
      </c>
      <c r="G1510" s="2">
        <f>VALUE(254.5705003971)</f>
        <v>254.57050039710001</v>
      </c>
      <c r="H1510" s="3">
        <f>VALUE(252.3079596727)</f>
        <v>252.30795967270001</v>
      </c>
      <c r="I1510" s="4">
        <f>VALUE(5211)</f>
        <v>5211</v>
      </c>
      <c r="J1510" s="1">
        <f>VALUE(5397)</f>
        <v>5397</v>
      </c>
      <c r="K1510" s="1">
        <f>VALUE(6304)</f>
        <v>6304</v>
      </c>
      <c r="L1510" s="1">
        <f>VALUE(7242)</f>
        <v>7242</v>
      </c>
      <c r="M1510" s="8">
        <f>VALUE(8377)</f>
        <v>8377</v>
      </c>
      <c r="N1510" t="s">
        <v>25</v>
      </c>
    </row>
    <row r="1511" spans="1:14" x14ac:dyDescent="0.25">
      <c r="A1511" t="s">
        <v>14</v>
      </c>
      <c r="B1511" t="s">
        <v>39</v>
      </c>
      <c r="C1511" t="s">
        <v>37</v>
      </c>
      <c r="D1511" t="s">
        <v>32</v>
      </c>
      <c r="E1511" t="s">
        <v>21</v>
      </c>
      <c r="F1511" t="s">
        <v>20</v>
      </c>
      <c r="G1511" s="2">
        <f>VALUE(466.7227954803)</f>
        <v>466.72279548030002</v>
      </c>
      <c r="H1511" s="3">
        <f>VALUE(467.7218733579)</f>
        <v>467.72187335789999</v>
      </c>
      <c r="I1511" s="4">
        <f>VALUE(3721)</f>
        <v>3721</v>
      </c>
      <c r="J1511" s="1">
        <f>VALUE(4864)</f>
        <v>4864</v>
      </c>
      <c r="K1511" s="1">
        <f>VALUE(5694)</f>
        <v>5694</v>
      </c>
      <c r="L1511" s="1">
        <f>VALUE(6463)</f>
        <v>6463</v>
      </c>
      <c r="M1511" s="1">
        <f>VALUE(7750)</f>
        <v>7750</v>
      </c>
      <c r="N1511" t="s">
        <v>25</v>
      </c>
    </row>
    <row r="1512" spans="1:14" x14ac:dyDescent="0.25">
      <c r="A1512" t="s">
        <v>14</v>
      </c>
      <c r="B1512" t="s">
        <v>39</v>
      </c>
      <c r="C1512" t="s">
        <v>37</v>
      </c>
      <c r="D1512" t="s">
        <v>32</v>
      </c>
      <c r="E1512" t="s">
        <v>22</v>
      </c>
      <c r="F1512" t="s">
        <v>15</v>
      </c>
      <c r="G1512" s="1">
        <f>VALUE(3120.1418050244)</f>
        <v>3120.1418050244001</v>
      </c>
      <c r="H1512" s="1">
        <f>VALUE(3207.570379368)</f>
        <v>3207.570379368</v>
      </c>
      <c r="I1512" s="1">
        <f>VALUE(3900)</f>
        <v>3900</v>
      </c>
      <c r="J1512" s="1">
        <f>VALUE(4465)</f>
        <v>4465</v>
      </c>
      <c r="K1512" s="1">
        <f>VALUE(5252)</f>
        <v>5252</v>
      </c>
      <c r="L1512" s="1">
        <f>VALUE(6147)</f>
        <v>6147</v>
      </c>
      <c r="M1512" s="1">
        <f>VALUE(7246)</f>
        <v>7246</v>
      </c>
      <c r="N1512" t="s">
        <v>16</v>
      </c>
    </row>
    <row r="1513" spans="1:14" x14ac:dyDescent="0.25">
      <c r="A1513" t="s">
        <v>14</v>
      </c>
      <c r="B1513" t="s">
        <v>39</v>
      </c>
      <c r="C1513" t="s">
        <v>37</v>
      </c>
      <c r="D1513" t="s">
        <v>32</v>
      </c>
      <c r="E1513" t="s">
        <v>22</v>
      </c>
      <c r="F1513" t="s">
        <v>17</v>
      </c>
      <c r="G1513" s="2">
        <f>VALUE(268.2556869976)</f>
        <v>268.25568699759998</v>
      </c>
      <c r="H1513" s="3">
        <f>VALUE(277.3445371197)</f>
        <v>277.34453711970002</v>
      </c>
      <c r="I1513" s="1">
        <f>VALUE(4737)</f>
        <v>4737</v>
      </c>
      <c r="J1513" s="1">
        <f>VALUE(5471)</f>
        <v>5471</v>
      </c>
      <c r="K1513" s="1">
        <f>VALUE(6564)</f>
        <v>6564</v>
      </c>
      <c r="L1513" s="7">
        <f>VALUE(8392)</f>
        <v>8392</v>
      </c>
      <c r="M1513" s="8">
        <f>VALUE(10667)</f>
        <v>10667</v>
      </c>
      <c r="N1513" t="s">
        <v>25</v>
      </c>
    </row>
    <row r="1514" spans="1:14" x14ac:dyDescent="0.25">
      <c r="A1514" t="s">
        <v>14</v>
      </c>
      <c r="B1514" t="s">
        <v>39</v>
      </c>
      <c r="C1514" t="s">
        <v>37</v>
      </c>
      <c r="D1514" t="s">
        <v>32</v>
      </c>
      <c r="E1514" t="s">
        <v>22</v>
      </c>
      <c r="F1514" t="s">
        <v>18</v>
      </c>
      <c r="G1514" s="2">
        <f>VALUE(373.2610517475)</f>
        <v>373.26105174750001</v>
      </c>
      <c r="H1514" s="3">
        <f>VALUE(376.4801730594)</f>
        <v>376.48017305939999</v>
      </c>
      <c r="I1514" s="1">
        <f>VALUE(4334)</f>
        <v>4334</v>
      </c>
      <c r="J1514" s="1">
        <f>VALUE(5014)</f>
        <v>5014</v>
      </c>
      <c r="K1514" s="1">
        <f>VALUE(6190)</f>
        <v>6190</v>
      </c>
      <c r="L1514" s="1">
        <f>VALUE(7108)</f>
        <v>7108</v>
      </c>
      <c r="M1514" s="1">
        <f>VALUE(7941)</f>
        <v>7941</v>
      </c>
      <c r="N1514" t="s">
        <v>25</v>
      </c>
    </row>
    <row r="1515" spans="1:14" x14ac:dyDescent="0.25">
      <c r="A1515" t="s">
        <v>14</v>
      </c>
      <c r="B1515" t="s">
        <v>39</v>
      </c>
      <c r="C1515" t="s">
        <v>37</v>
      </c>
      <c r="D1515" t="s">
        <v>32</v>
      </c>
      <c r="E1515" t="s">
        <v>22</v>
      </c>
      <c r="F1515" t="s">
        <v>19</v>
      </c>
      <c r="G1515" s="2">
        <f>VALUE(621.5328987031)</f>
        <v>621.53289870310005</v>
      </c>
      <c r="H1515" s="3">
        <f>VALUE(641.038342022)</f>
        <v>641.03834202200005</v>
      </c>
      <c r="I1515" s="4">
        <f>VALUE(3839)</f>
        <v>3839</v>
      </c>
      <c r="J1515" s="1">
        <f>VALUE(4400)</f>
        <v>4400</v>
      </c>
      <c r="K1515" s="1">
        <f>VALUE(5103)</f>
        <v>5103</v>
      </c>
      <c r="L1515" s="1">
        <f>VALUE(5927)</f>
        <v>5927</v>
      </c>
      <c r="M1515" s="1">
        <f>VALUE(6837)</f>
        <v>6837</v>
      </c>
      <c r="N1515" t="s">
        <v>25</v>
      </c>
    </row>
    <row r="1516" spans="1:14" x14ac:dyDescent="0.25">
      <c r="A1516" t="s">
        <v>14</v>
      </c>
      <c r="B1516" t="s">
        <v>39</v>
      </c>
      <c r="C1516" t="s">
        <v>37</v>
      </c>
      <c r="D1516" t="s">
        <v>32</v>
      </c>
      <c r="E1516" t="s">
        <v>22</v>
      </c>
      <c r="F1516" t="s">
        <v>20</v>
      </c>
      <c r="G1516" s="1">
        <f>VALUE(1857.0921675762)</f>
        <v>1857.0921675761999</v>
      </c>
      <c r="H1516" s="1">
        <f>VALUE(1912.7073271669)</f>
        <v>1912.7073271669001</v>
      </c>
      <c r="I1516" s="1">
        <f>VALUE(3840)</f>
        <v>3840</v>
      </c>
      <c r="J1516" s="1">
        <f>VALUE(4345)</f>
        <v>4345</v>
      </c>
      <c r="K1516" s="1">
        <f>VALUE(5087)</f>
        <v>5087</v>
      </c>
      <c r="L1516" s="1">
        <f>VALUE(5722)</f>
        <v>5722</v>
      </c>
      <c r="M1516" s="1">
        <f>VALUE(6683)</f>
        <v>6683</v>
      </c>
      <c r="N1516" t="s">
        <v>16</v>
      </c>
    </row>
    <row r="1517" spans="1:14" x14ac:dyDescent="0.25">
      <c r="A1517" t="s">
        <v>14</v>
      </c>
      <c r="B1517" t="s">
        <v>39</v>
      </c>
      <c r="C1517" t="s">
        <v>37</v>
      </c>
      <c r="D1517" t="s">
        <v>32</v>
      </c>
      <c r="E1517" t="s">
        <v>23</v>
      </c>
      <c r="F1517" t="s">
        <v>15</v>
      </c>
      <c r="G1517" s="1">
        <f>VALUE(6869.3391976423)</f>
        <v>6869.3391976423</v>
      </c>
      <c r="H1517" s="1">
        <f>VALUE(7081.0799865217)</f>
        <v>7081.0799865217004</v>
      </c>
      <c r="I1517" s="1">
        <f>VALUE(3494)</f>
        <v>3494</v>
      </c>
      <c r="J1517" s="1">
        <f>VALUE(4014)</f>
        <v>4014</v>
      </c>
      <c r="K1517" s="1">
        <f>VALUE(4735)</f>
        <v>4735</v>
      </c>
      <c r="L1517" s="1">
        <f>VALUE(5318)</f>
        <v>5318</v>
      </c>
      <c r="M1517" s="1">
        <f>VALUE(6064)</f>
        <v>6064</v>
      </c>
      <c r="N1517" t="s">
        <v>16</v>
      </c>
    </row>
    <row r="1518" spans="1:14" x14ac:dyDescent="0.25">
      <c r="A1518" t="s">
        <v>14</v>
      </c>
      <c r="B1518" t="s">
        <v>39</v>
      </c>
      <c r="C1518" t="s">
        <v>37</v>
      </c>
      <c r="D1518" t="s">
        <v>32</v>
      </c>
      <c r="E1518" t="s">
        <v>23</v>
      </c>
      <c r="F1518" t="s">
        <v>17</v>
      </c>
      <c r="G1518" s="2">
        <f>VALUE(275.4697236513)</f>
        <v>275.4697236513</v>
      </c>
      <c r="H1518" s="3">
        <f>VALUE(278.3730853367)</f>
        <v>278.3730853367</v>
      </c>
      <c r="I1518" s="1">
        <f>VALUE(4000)</f>
        <v>4000</v>
      </c>
      <c r="J1518" s="5">
        <f>VALUE(5046)</f>
        <v>5046</v>
      </c>
      <c r="K1518" s="6">
        <f>VALUE(5542)</f>
        <v>5542</v>
      </c>
      <c r="L1518" s="7">
        <f>VALUE(7065)</f>
        <v>7065</v>
      </c>
      <c r="M1518" s="8">
        <f>VALUE(9176)</f>
        <v>9176</v>
      </c>
      <c r="N1518" t="s">
        <v>25</v>
      </c>
    </row>
    <row r="1519" spans="1:14" x14ac:dyDescent="0.25">
      <c r="A1519" t="s">
        <v>14</v>
      </c>
      <c r="B1519" t="s">
        <v>39</v>
      </c>
      <c r="C1519" t="s">
        <v>37</v>
      </c>
      <c r="D1519" t="s">
        <v>32</v>
      </c>
      <c r="E1519" t="s">
        <v>23</v>
      </c>
      <c r="F1519" t="s">
        <v>18</v>
      </c>
      <c r="G1519" s="2">
        <f>VALUE(522.9327077667)</f>
        <v>522.93270776669999</v>
      </c>
      <c r="H1519" s="3">
        <f>VALUE(532.6155843807)</f>
        <v>532.61558438070006</v>
      </c>
      <c r="I1519" s="1">
        <f>VALUE(3875)</f>
        <v>3875</v>
      </c>
      <c r="J1519" s="1">
        <f>VALUE(4427)</f>
        <v>4427</v>
      </c>
      <c r="K1519" s="1">
        <f>VALUE(4960)</f>
        <v>4960</v>
      </c>
      <c r="L1519" s="7">
        <f>VALUE(5763)</f>
        <v>5763</v>
      </c>
      <c r="M1519" s="8">
        <f>VALUE(7482)</f>
        <v>7482</v>
      </c>
      <c r="N1519" t="s">
        <v>25</v>
      </c>
    </row>
    <row r="1520" spans="1:14" x14ac:dyDescent="0.25">
      <c r="A1520" t="s">
        <v>14</v>
      </c>
      <c r="B1520" t="s">
        <v>39</v>
      </c>
      <c r="C1520" t="s">
        <v>37</v>
      </c>
      <c r="D1520" t="s">
        <v>32</v>
      </c>
      <c r="E1520" t="s">
        <v>23</v>
      </c>
      <c r="F1520" t="s">
        <v>19</v>
      </c>
      <c r="G1520" s="2">
        <f>VALUE(811.7937591662)</f>
        <v>811.79375916619995</v>
      </c>
      <c r="H1520" s="3">
        <f>VALUE(842.4236035531)</f>
        <v>842.42360355309995</v>
      </c>
      <c r="I1520" s="1">
        <f>VALUE(3792)</f>
        <v>3792</v>
      </c>
      <c r="J1520" s="1">
        <f>VALUE(4436)</f>
        <v>4436</v>
      </c>
      <c r="K1520" s="1">
        <f>VALUE(5038)</f>
        <v>5038</v>
      </c>
      <c r="L1520" s="1">
        <f>VALUE(5967)</f>
        <v>5967</v>
      </c>
      <c r="M1520" s="8">
        <f>VALUE(6933)</f>
        <v>6933</v>
      </c>
      <c r="N1520" t="s">
        <v>25</v>
      </c>
    </row>
    <row r="1521" spans="1:14" x14ac:dyDescent="0.25">
      <c r="A1521" t="s">
        <v>14</v>
      </c>
      <c r="B1521" t="s">
        <v>39</v>
      </c>
      <c r="C1521" t="s">
        <v>37</v>
      </c>
      <c r="D1521" t="s">
        <v>32</v>
      </c>
      <c r="E1521" t="s">
        <v>23</v>
      </c>
      <c r="F1521" t="s">
        <v>20</v>
      </c>
      <c r="G1521" s="1">
        <f>VALUE(5259.1430070581)</f>
        <v>5259.1430070581</v>
      </c>
      <c r="H1521" s="1">
        <f>VALUE(5427.6677132512)</f>
        <v>5427.6677132512004</v>
      </c>
      <c r="I1521" s="1">
        <f>VALUE(3445)</f>
        <v>3445</v>
      </c>
      <c r="J1521" s="1">
        <f>VALUE(3891)</f>
        <v>3891</v>
      </c>
      <c r="K1521" s="1">
        <f>VALUE(4610)</f>
        <v>4610</v>
      </c>
      <c r="L1521" s="1">
        <f>VALUE(5183)</f>
        <v>5183</v>
      </c>
      <c r="M1521" s="1">
        <f>VALUE(5736)</f>
        <v>5736</v>
      </c>
      <c r="N1521" t="s">
        <v>16</v>
      </c>
    </row>
    <row r="1522" spans="1:14" x14ac:dyDescent="0.25">
      <c r="A1522" t="s">
        <v>14</v>
      </c>
      <c r="B1522" t="s">
        <v>39</v>
      </c>
      <c r="C1522" t="s">
        <v>37</v>
      </c>
      <c r="D1522" t="s">
        <v>32</v>
      </c>
      <c r="E1522" t="s">
        <v>26</v>
      </c>
      <c r="F1522" t="s">
        <v>15</v>
      </c>
      <c r="G1522" s="1" t="str">
        <f t="shared" ref="G1522:M1526" si="300">"X"</f>
        <v>X</v>
      </c>
      <c r="H1522" s="1" t="str">
        <f t="shared" si="300"/>
        <v>X</v>
      </c>
      <c r="I1522" s="1" t="str">
        <f t="shared" si="300"/>
        <v>X</v>
      </c>
      <c r="J1522" s="1" t="str">
        <f t="shared" si="300"/>
        <v>X</v>
      </c>
      <c r="K1522" s="1" t="str">
        <f t="shared" si="300"/>
        <v>X</v>
      </c>
      <c r="L1522" s="1" t="str">
        <f t="shared" si="300"/>
        <v>X</v>
      </c>
      <c r="M1522" s="1" t="str">
        <f t="shared" si="300"/>
        <v>X</v>
      </c>
      <c r="N1522" t="s">
        <v>27</v>
      </c>
    </row>
    <row r="1523" spans="1:14" x14ac:dyDescent="0.25">
      <c r="A1523" t="s">
        <v>14</v>
      </c>
      <c r="B1523" t="s">
        <v>39</v>
      </c>
      <c r="C1523" t="s">
        <v>37</v>
      </c>
      <c r="D1523" t="s">
        <v>32</v>
      </c>
      <c r="E1523" t="s">
        <v>26</v>
      </c>
      <c r="F1523" t="s">
        <v>17</v>
      </c>
      <c r="G1523" s="1" t="str">
        <f t="shared" si="300"/>
        <v>X</v>
      </c>
      <c r="H1523" s="1" t="str">
        <f t="shared" si="300"/>
        <v>X</v>
      </c>
      <c r="I1523" s="1" t="str">
        <f t="shared" si="300"/>
        <v>X</v>
      </c>
      <c r="J1523" s="1" t="str">
        <f t="shared" si="300"/>
        <v>X</v>
      </c>
      <c r="K1523" s="1" t="str">
        <f t="shared" si="300"/>
        <v>X</v>
      </c>
      <c r="L1523" s="1" t="str">
        <f t="shared" si="300"/>
        <v>X</v>
      </c>
      <c r="M1523" s="1" t="str">
        <f t="shared" si="300"/>
        <v>X</v>
      </c>
      <c r="N1523" t="s">
        <v>27</v>
      </c>
    </row>
    <row r="1524" spans="1:14" x14ac:dyDescent="0.25">
      <c r="A1524" t="s">
        <v>14</v>
      </c>
      <c r="B1524" t="s">
        <v>39</v>
      </c>
      <c r="C1524" t="s">
        <v>37</v>
      </c>
      <c r="D1524" t="s">
        <v>32</v>
      </c>
      <c r="E1524" t="s">
        <v>26</v>
      </c>
      <c r="F1524" t="s">
        <v>18</v>
      </c>
      <c r="G1524" s="1" t="str">
        <f t="shared" si="300"/>
        <v>X</v>
      </c>
      <c r="H1524" s="1" t="str">
        <f t="shared" si="300"/>
        <v>X</v>
      </c>
      <c r="I1524" s="1" t="str">
        <f t="shared" si="300"/>
        <v>X</v>
      </c>
      <c r="J1524" s="1" t="str">
        <f t="shared" si="300"/>
        <v>X</v>
      </c>
      <c r="K1524" s="1" t="str">
        <f t="shared" si="300"/>
        <v>X</v>
      </c>
      <c r="L1524" s="1" t="str">
        <f t="shared" si="300"/>
        <v>X</v>
      </c>
      <c r="M1524" s="1" t="str">
        <f t="shared" si="300"/>
        <v>X</v>
      </c>
      <c r="N1524" t="s">
        <v>27</v>
      </c>
    </row>
    <row r="1525" spans="1:14" x14ac:dyDescent="0.25">
      <c r="A1525" t="s">
        <v>14</v>
      </c>
      <c r="B1525" t="s">
        <v>39</v>
      </c>
      <c r="C1525" t="s">
        <v>37</v>
      </c>
      <c r="D1525" t="s">
        <v>32</v>
      </c>
      <c r="E1525" t="s">
        <v>26</v>
      </c>
      <c r="F1525" t="s">
        <v>19</v>
      </c>
      <c r="G1525" s="1" t="str">
        <f t="shared" si="300"/>
        <v>X</v>
      </c>
      <c r="H1525" s="1" t="str">
        <f t="shared" si="300"/>
        <v>X</v>
      </c>
      <c r="I1525" s="1" t="str">
        <f t="shared" si="300"/>
        <v>X</v>
      </c>
      <c r="J1525" s="1" t="str">
        <f t="shared" si="300"/>
        <v>X</v>
      </c>
      <c r="K1525" s="1" t="str">
        <f t="shared" si="300"/>
        <v>X</v>
      </c>
      <c r="L1525" s="1" t="str">
        <f t="shared" si="300"/>
        <v>X</v>
      </c>
      <c r="M1525" s="1" t="str">
        <f t="shared" si="300"/>
        <v>X</v>
      </c>
      <c r="N1525" t="s">
        <v>27</v>
      </c>
    </row>
    <row r="1526" spans="1:14" x14ac:dyDescent="0.25">
      <c r="A1526" t="s">
        <v>14</v>
      </c>
      <c r="B1526" t="s">
        <v>39</v>
      </c>
      <c r="C1526" t="s">
        <v>37</v>
      </c>
      <c r="D1526" t="s">
        <v>32</v>
      </c>
      <c r="E1526" t="s">
        <v>26</v>
      </c>
      <c r="F1526" t="s">
        <v>20</v>
      </c>
      <c r="G1526" s="1" t="str">
        <f t="shared" si="300"/>
        <v>X</v>
      </c>
      <c r="H1526" s="1" t="str">
        <f t="shared" si="300"/>
        <v>X</v>
      </c>
      <c r="I1526" s="1" t="str">
        <f t="shared" si="300"/>
        <v>X</v>
      </c>
      <c r="J1526" s="1" t="str">
        <f t="shared" si="300"/>
        <v>X</v>
      </c>
      <c r="K1526" s="1" t="str">
        <f t="shared" si="300"/>
        <v>X</v>
      </c>
      <c r="L1526" s="1" t="str">
        <f t="shared" si="300"/>
        <v>X</v>
      </c>
      <c r="M1526" s="1" t="str">
        <f t="shared" si="300"/>
        <v>X</v>
      </c>
      <c r="N1526" t="s">
        <v>27</v>
      </c>
    </row>
    <row r="1527" spans="1:14" x14ac:dyDescent="0.25">
      <c r="A1527" t="s">
        <v>14</v>
      </c>
      <c r="B1527" t="s">
        <v>39</v>
      </c>
      <c r="C1527" t="s">
        <v>37</v>
      </c>
      <c r="D1527" t="s">
        <v>33</v>
      </c>
      <c r="E1527" t="s">
        <v>15</v>
      </c>
      <c r="F1527" t="s">
        <v>15</v>
      </c>
      <c r="G1527" s="2">
        <f>VALUE(492.4798004464)</f>
        <v>492.47980044640002</v>
      </c>
      <c r="H1527" s="3">
        <f>VALUE(451.096143861)</f>
        <v>451.09614386099997</v>
      </c>
      <c r="I1527" s="4">
        <f>VALUE(3475)</f>
        <v>3475</v>
      </c>
      <c r="J1527" s="5">
        <f>VALUE(4229)</f>
        <v>4229</v>
      </c>
      <c r="K1527" s="6">
        <f>VALUE(5292)</f>
        <v>5292</v>
      </c>
      <c r="L1527" s="7">
        <f>VALUE(6751)</f>
        <v>6751</v>
      </c>
      <c r="M1527" s="8">
        <f>VALUE(11064)</f>
        <v>11064</v>
      </c>
      <c r="N1527" t="s">
        <v>24</v>
      </c>
    </row>
    <row r="1528" spans="1:14" x14ac:dyDescent="0.25">
      <c r="A1528" t="s">
        <v>14</v>
      </c>
      <c r="B1528" t="s">
        <v>39</v>
      </c>
      <c r="C1528" t="s">
        <v>37</v>
      </c>
      <c r="D1528" t="s">
        <v>33</v>
      </c>
      <c r="E1528" t="s">
        <v>15</v>
      </c>
      <c r="F1528" t="s">
        <v>17</v>
      </c>
      <c r="G1528" s="1" t="str">
        <f t="shared" ref="G1528:M1530" si="301">"X"</f>
        <v>X</v>
      </c>
      <c r="H1528" s="1" t="str">
        <f t="shared" si="301"/>
        <v>X</v>
      </c>
      <c r="I1528" s="1" t="str">
        <f t="shared" si="301"/>
        <v>X</v>
      </c>
      <c r="J1528" s="1" t="str">
        <f t="shared" si="301"/>
        <v>X</v>
      </c>
      <c r="K1528" s="1" t="str">
        <f t="shared" si="301"/>
        <v>X</v>
      </c>
      <c r="L1528" s="1" t="str">
        <f t="shared" si="301"/>
        <v>X</v>
      </c>
      <c r="M1528" s="1" t="str">
        <f t="shared" si="301"/>
        <v>X</v>
      </c>
      <c r="N1528" t="s">
        <v>27</v>
      </c>
    </row>
    <row r="1529" spans="1:14" x14ac:dyDescent="0.25">
      <c r="A1529" t="s">
        <v>14</v>
      </c>
      <c r="B1529" t="s">
        <v>39</v>
      </c>
      <c r="C1529" t="s">
        <v>37</v>
      </c>
      <c r="D1529" t="s">
        <v>33</v>
      </c>
      <c r="E1529" t="s">
        <v>15</v>
      </c>
      <c r="F1529" t="s">
        <v>18</v>
      </c>
      <c r="G1529" s="1" t="str">
        <f t="shared" si="301"/>
        <v>X</v>
      </c>
      <c r="H1529" s="1" t="str">
        <f t="shared" si="301"/>
        <v>X</v>
      </c>
      <c r="I1529" s="1" t="str">
        <f t="shared" si="301"/>
        <v>X</v>
      </c>
      <c r="J1529" s="1" t="str">
        <f t="shared" si="301"/>
        <v>X</v>
      </c>
      <c r="K1529" s="1" t="str">
        <f t="shared" si="301"/>
        <v>X</v>
      </c>
      <c r="L1529" s="1" t="str">
        <f t="shared" si="301"/>
        <v>X</v>
      </c>
      <c r="M1529" s="1" t="str">
        <f t="shared" si="301"/>
        <v>X</v>
      </c>
      <c r="N1529" t="s">
        <v>27</v>
      </c>
    </row>
    <row r="1530" spans="1:14" x14ac:dyDescent="0.25">
      <c r="A1530" t="s">
        <v>14</v>
      </c>
      <c r="B1530" t="s">
        <v>39</v>
      </c>
      <c r="C1530" t="s">
        <v>37</v>
      </c>
      <c r="D1530" t="s">
        <v>33</v>
      </c>
      <c r="E1530" t="s">
        <v>15</v>
      </c>
      <c r="F1530" t="s">
        <v>19</v>
      </c>
      <c r="G1530" s="1" t="str">
        <f t="shared" si="301"/>
        <v>X</v>
      </c>
      <c r="H1530" s="1" t="str">
        <f t="shared" si="301"/>
        <v>X</v>
      </c>
      <c r="I1530" s="1" t="str">
        <f t="shared" si="301"/>
        <v>X</v>
      </c>
      <c r="J1530" s="1" t="str">
        <f t="shared" si="301"/>
        <v>X</v>
      </c>
      <c r="K1530" s="1" t="str">
        <f t="shared" si="301"/>
        <v>X</v>
      </c>
      <c r="L1530" s="1" t="str">
        <f t="shared" si="301"/>
        <v>X</v>
      </c>
      <c r="M1530" s="1" t="str">
        <f t="shared" si="301"/>
        <v>X</v>
      </c>
      <c r="N1530" t="s">
        <v>27</v>
      </c>
    </row>
    <row r="1531" spans="1:14" x14ac:dyDescent="0.25">
      <c r="A1531" t="s">
        <v>14</v>
      </c>
      <c r="B1531" t="s">
        <v>39</v>
      </c>
      <c r="C1531" t="s">
        <v>37</v>
      </c>
      <c r="D1531" t="s">
        <v>33</v>
      </c>
      <c r="E1531" t="s">
        <v>15</v>
      </c>
      <c r="F1531" t="s">
        <v>20</v>
      </c>
      <c r="G1531" s="2">
        <f>VALUE(254.4523295847)</f>
        <v>254.45232958470001</v>
      </c>
      <c r="H1531" s="3">
        <f>VALUE(256.1999712745)</f>
        <v>256.1999712745</v>
      </c>
      <c r="I1531" s="1">
        <f>VALUE(3268)</f>
        <v>3268</v>
      </c>
      <c r="J1531" s="5">
        <f>VALUE(3707)</f>
        <v>3707</v>
      </c>
      <c r="K1531" s="1">
        <f>VALUE(4623)</f>
        <v>4623</v>
      </c>
      <c r="L1531" s="7">
        <f>VALUE(5475)</f>
        <v>5475</v>
      </c>
      <c r="M1531" s="8">
        <f>VALUE(6402)</f>
        <v>6402</v>
      </c>
      <c r="N1531" t="s">
        <v>25</v>
      </c>
    </row>
    <row r="1532" spans="1:14" x14ac:dyDescent="0.25">
      <c r="A1532" t="s">
        <v>14</v>
      </c>
      <c r="B1532" t="s">
        <v>39</v>
      </c>
      <c r="C1532" t="s">
        <v>37</v>
      </c>
      <c r="D1532" t="s">
        <v>33</v>
      </c>
      <c r="E1532" t="s">
        <v>21</v>
      </c>
      <c r="F1532" t="s">
        <v>15</v>
      </c>
      <c r="G1532" s="1" t="str">
        <f t="shared" ref="G1532:M1541" si="302">"X"</f>
        <v>X</v>
      </c>
      <c r="H1532" s="1" t="str">
        <f t="shared" si="302"/>
        <v>X</v>
      </c>
      <c r="I1532" s="1" t="str">
        <f t="shared" si="302"/>
        <v>X</v>
      </c>
      <c r="J1532" s="1" t="str">
        <f t="shared" si="302"/>
        <v>X</v>
      </c>
      <c r="K1532" s="1" t="str">
        <f t="shared" si="302"/>
        <v>X</v>
      </c>
      <c r="L1532" s="1" t="str">
        <f t="shared" si="302"/>
        <v>X</v>
      </c>
      <c r="M1532" s="1" t="str">
        <f t="shared" si="302"/>
        <v>X</v>
      </c>
      <c r="N1532" t="s">
        <v>27</v>
      </c>
    </row>
    <row r="1533" spans="1:14" x14ac:dyDescent="0.25">
      <c r="A1533" t="s">
        <v>14</v>
      </c>
      <c r="B1533" t="s">
        <v>39</v>
      </c>
      <c r="C1533" t="s">
        <v>37</v>
      </c>
      <c r="D1533" t="s">
        <v>33</v>
      </c>
      <c r="E1533" t="s">
        <v>21</v>
      </c>
      <c r="F1533" t="s">
        <v>17</v>
      </c>
      <c r="G1533" s="1" t="str">
        <f t="shared" si="302"/>
        <v>X</v>
      </c>
      <c r="H1533" s="1" t="str">
        <f t="shared" si="302"/>
        <v>X</v>
      </c>
      <c r="I1533" s="1" t="str">
        <f t="shared" si="302"/>
        <v>X</v>
      </c>
      <c r="J1533" s="1" t="str">
        <f t="shared" si="302"/>
        <v>X</v>
      </c>
      <c r="K1533" s="1" t="str">
        <f t="shared" si="302"/>
        <v>X</v>
      </c>
      <c r="L1533" s="1" t="str">
        <f t="shared" si="302"/>
        <v>X</v>
      </c>
      <c r="M1533" s="1" t="str">
        <f t="shared" si="302"/>
        <v>X</v>
      </c>
      <c r="N1533" t="s">
        <v>27</v>
      </c>
    </row>
    <row r="1534" spans="1:14" x14ac:dyDescent="0.25">
      <c r="A1534" t="s">
        <v>14</v>
      </c>
      <c r="B1534" t="s">
        <v>39</v>
      </c>
      <c r="C1534" t="s">
        <v>37</v>
      </c>
      <c r="D1534" t="s">
        <v>33</v>
      </c>
      <c r="E1534" t="s">
        <v>21</v>
      </c>
      <c r="F1534" t="s">
        <v>18</v>
      </c>
      <c r="G1534" s="1" t="str">
        <f t="shared" si="302"/>
        <v>X</v>
      </c>
      <c r="H1534" s="1" t="str">
        <f t="shared" si="302"/>
        <v>X</v>
      </c>
      <c r="I1534" s="1" t="str">
        <f t="shared" si="302"/>
        <v>X</v>
      </c>
      <c r="J1534" s="1" t="str">
        <f t="shared" si="302"/>
        <v>X</v>
      </c>
      <c r="K1534" s="1" t="str">
        <f t="shared" si="302"/>
        <v>X</v>
      </c>
      <c r="L1534" s="1" t="str">
        <f t="shared" si="302"/>
        <v>X</v>
      </c>
      <c r="M1534" s="1" t="str">
        <f t="shared" si="302"/>
        <v>X</v>
      </c>
      <c r="N1534" t="s">
        <v>27</v>
      </c>
    </row>
    <row r="1535" spans="1:14" x14ac:dyDescent="0.25">
      <c r="A1535" t="s">
        <v>14</v>
      </c>
      <c r="B1535" t="s">
        <v>39</v>
      </c>
      <c r="C1535" t="s">
        <v>37</v>
      </c>
      <c r="D1535" t="s">
        <v>33</v>
      </c>
      <c r="E1535" t="s">
        <v>21</v>
      </c>
      <c r="F1535" t="s">
        <v>19</v>
      </c>
      <c r="G1535" s="1" t="str">
        <f t="shared" si="302"/>
        <v>X</v>
      </c>
      <c r="H1535" s="1" t="str">
        <f t="shared" si="302"/>
        <v>X</v>
      </c>
      <c r="I1535" s="1" t="str">
        <f t="shared" si="302"/>
        <v>X</v>
      </c>
      <c r="J1535" s="1" t="str">
        <f t="shared" si="302"/>
        <v>X</v>
      </c>
      <c r="K1535" s="1" t="str">
        <f t="shared" si="302"/>
        <v>X</v>
      </c>
      <c r="L1535" s="1" t="str">
        <f t="shared" si="302"/>
        <v>X</v>
      </c>
      <c r="M1535" s="1" t="str">
        <f t="shared" si="302"/>
        <v>X</v>
      </c>
      <c r="N1535" t="s">
        <v>27</v>
      </c>
    </row>
    <row r="1536" spans="1:14" x14ac:dyDescent="0.25">
      <c r="A1536" t="s">
        <v>14</v>
      </c>
      <c r="B1536" t="s">
        <v>39</v>
      </c>
      <c r="C1536" t="s">
        <v>37</v>
      </c>
      <c r="D1536" t="s">
        <v>33</v>
      </c>
      <c r="E1536" t="s">
        <v>21</v>
      </c>
      <c r="F1536" t="s">
        <v>20</v>
      </c>
      <c r="G1536" s="1" t="str">
        <f t="shared" si="302"/>
        <v>X</v>
      </c>
      <c r="H1536" s="1" t="str">
        <f t="shared" si="302"/>
        <v>X</v>
      </c>
      <c r="I1536" s="1" t="str">
        <f t="shared" si="302"/>
        <v>X</v>
      </c>
      <c r="J1536" s="1" t="str">
        <f t="shared" si="302"/>
        <v>X</v>
      </c>
      <c r="K1536" s="1" t="str">
        <f t="shared" si="302"/>
        <v>X</v>
      </c>
      <c r="L1536" s="1" t="str">
        <f t="shared" si="302"/>
        <v>X</v>
      </c>
      <c r="M1536" s="1" t="str">
        <f t="shared" si="302"/>
        <v>X</v>
      </c>
      <c r="N1536" t="s">
        <v>27</v>
      </c>
    </row>
    <row r="1537" spans="1:14" x14ac:dyDescent="0.25">
      <c r="A1537" t="s">
        <v>14</v>
      </c>
      <c r="B1537" t="s">
        <v>39</v>
      </c>
      <c r="C1537" t="s">
        <v>37</v>
      </c>
      <c r="D1537" t="s">
        <v>33</v>
      </c>
      <c r="E1537" t="s">
        <v>22</v>
      </c>
      <c r="F1537" t="s">
        <v>15</v>
      </c>
      <c r="G1537" s="1" t="str">
        <f t="shared" si="302"/>
        <v>X</v>
      </c>
      <c r="H1537" s="1" t="str">
        <f t="shared" si="302"/>
        <v>X</v>
      </c>
      <c r="I1537" s="1" t="str">
        <f t="shared" si="302"/>
        <v>X</v>
      </c>
      <c r="J1537" s="1" t="str">
        <f t="shared" si="302"/>
        <v>X</v>
      </c>
      <c r="K1537" s="1" t="str">
        <f t="shared" si="302"/>
        <v>X</v>
      </c>
      <c r="L1537" s="1" t="str">
        <f t="shared" si="302"/>
        <v>X</v>
      </c>
      <c r="M1537" s="1" t="str">
        <f t="shared" si="302"/>
        <v>X</v>
      </c>
      <c r="N1537" t="s">
        <v>27</v>
      </c>
    </row>
    <row r="1538" spans="1:14" x14ac:dyDescent="0.25">
      <c r="A1538" t="s">
        <v>14</v>
      </c>
      <c r="B1538" t="s">
        <v>39</v>
      </c>
      <c r="C1538" t="s">
        <v>37</v>
      </c>
      <c r="D1538" t="s">
        <v>33</v>
      </c>
      <c r="E1538" t="s">
        <v>22</v>
      </c>
      <c r="F1538" t="s">
        <v>17</v>
      </c>
      <c r="G1538" s="1" t="str">
        <f t="shared" si="302"/>
        <v>X</v>
      </c>
      <c r="H1538" s="1" t="str">
        <f t="shared" si="302"/>
        <v>X</v>
      </c>
      <c r="I1538" s="1" t="str">
        <f t="shared" si="302"/>
        <v>X</v>
      </c>
      <c r="J1538" s="1" t="str">
        <f t="shared" si="302"/>
        <v>X</v>
      </c>
      <c r="K1538" s="1" t="str">
        <f t="shared" si="302"/>
        <v>X</v>
      </c>
      <c r="L1538" s="1" t="str">
        <f t="shared" si="302"/>
        <v>X</v>
      </c>
      <c r="M1538" s="1" t="str">
        <f t="shared" si="302"/>
        <v>X</v>
      </c>
      <c r="N1538" t="s">
        <v>27</v>
      </c>
    </row>
    <row r="1539" spans="1:14" x14ac:dyDescent="0.25">
      <c r="A1539" t="s">
        <v>14</v>
      </c>
      <c r="B1539" t="s">
        <v>39</v>
      </c>
      <c r="C1539" t="s">
        <v>37</v>
      </c>
      <c r="D1539" t="s">
        <v>33</v>
      </c>
      <c r="E1539" t="s">
        <v>22</v>
      </c>
      <c r="F1539" t="s">
        <v>18</v>
      </c>
      <c r="G1539" s="1" t="str">
        <f t="shared" si="302"/>
        <v>X</v>
      </c>
      <c r="H1539" s="1" t="str">
        <f t="shared" si="302"/>
        <v>X</v>
      </c>
      <c r="I1539" s="1" t="str">
        <f t="shared" si="302"/>
        <v>X</v>
      </c>
      <c r="J1539" s="1" t="str">
        <f t="shared" si="302"/>
        <v>X</v>
      </c>
      <c r="K1539" s="1" t="str">
        <f t="shared" si="302"/>
        <v>X</v>
      </c>
      <c r="L1539" s="1" t="str">
        <f t="shared" si="302"/>
        <v>X</v>
      </c>
      <c r="M1539" s="1" t="str">
        <f t="shared" si="302"/>
        <v>X</v>
      </c>
      <c r="N1539" t="s">
        <v>27</v>
      </c>
    </row>
    <row r="1540" spans="1:14" x14ac:dyDescent="0.25">
      <c r="A1540" t="s">
        <v>14</v>
      </c>
      <c r="B1540" t="s">
        <v>39</v>
      </c>
      <c r="C1540" t="s">
        <v>37</v>
      </c>
      <c r="D1540" t="s">
        <v>33</v>
      </c>
      <c r="E1540" t="s">
        <v>22</v>
      </c>
      <c r="F1540" t="s">
        <v>19</v>
      </c>
      <c r="G1540" s="1" t="str">
        <f t="shared" si="302"/>
        <v>X</v>
      </c>
      <c r="H1540" s="1" t="str">
        <f t="shared" si="302"/>
        <v>X</v>
      </c>
      <c r="I1540" s="1" t="str">
        <f t="shared" si="302"/>
        <v>X</v>
      </c>
      <c r="J1540" s="1" t="str">
        <f t="shared" si="302"/>
        <v>X</v>
      </c>
      <c r="K1540" s="1" t="str">
        <f t="shared" si="302"/>
        <v>X</v>
      </c>
      <c r="L1540" s="1" t="str">
        <f t="shared" si="302"/>
        <v>X</v>
      </c>
      <c r="M1540" s="1" t="str">
        <f t="shared" si="302"/>
        <v>X</v>
      </c>
      <c r="N1540" t="s">
        <v>27</v>
      </c>
    </row>
    <row r="1541" spans="1:14" x14ac:dyDescent="0.25">
      <c r="A1541" t="s">
        <v>14</v>
      </c>
      <c r="B1541" t="s">
        <v>39</v>
      </c>
      <c r="C1541" t="s">
        <v>37</v>
      </c>
      <c r="D1541" t="s">
        <v>33</v>
      </c>
      <c r="E1541" t="s">
        <v>22</v>
      </c>
      <c r="F1541" t="s">
        <v>20</v>
      </c>
      <c r="G1541" s="1" t="str">
        <f t="shared" si="302"/>
        <v>X</v>
      </c>
      <c r="H1541" s="1" t="str">
        <f t="shared" si="302"/>
        <v>X</v>
      </c>
      <c r="I1541" s="1" t="str">
        <f t="shared" si="302"/>
        <v>X</v>
      </c>
      <c r="J1541" s="1" t="str">
        <f t="shared" si="302"/>
        <v>X</v>
      </c>
      <c r="K1541" s="1" t="str">
        <f t="shared" si="302"/>
        <v>X</v>
      </c>
      <c r="L1541" s="1" t="str">
        <f t="shared" si="302"/>
        <v>X</v>
      </c>
      <c r="M1541" s="1" t="str">
        <f t="shared" si="302"/>
        <v>X</v>
      </c>
      <c r="N1541" t="s">
        <v>27</v>
      </c>
    </row>
    <row r="1542" spans="1:14" x14ac:dyDescent="0.25">
      <c r="A1542" t="s">
        <v>14</v>
      </c>
      <c r="B1542" t="s">
        <v>39</v>
      </c>
      <c r="C1542" t="s">
        <v>37</v>
      </c>
      <c r="D1542" t="s">
        <v>33</v>
      </c>
      <c r="E1542" t="s">
        <v>23</v>
      </c>
      <c r="F1542" t="s">
        <v>15</v>
      </c>
      <c r="G1542" s="2">
        <f>VALUE(221.5503353119)</f>
        <v>221.5503353119</v>
      </c>
      <c r="H1542" s="3">
        <f>VALUE(218.5367317967)</f>
        <v>218.5367317967</v>
      </c>
      <c r="I1542" s="4">
        <f>VALUE(3198)</f>
        <v>3198</v>
      </c>
      <c r="J1542" s="5">
        <f>VALUE(3707)</f>
        <v>3707</v>
      </c>
      <c r="K1542" s="1">
        <f>VALUE(4557)</f>
        <v>4557</v>
      </c>
      <c r="L1542" s="7">
        <f>VALUE(5475)</f>
        <v>5475</v>
      </c>
      <c r="M1542" s="8">
        <f>VALUE(6402)</f>
        <v>6402</v>
      </c>
      <c r="N1542" t="s">
        <v>25</v>
      </c>
    </row>
    <row r="1543" spans="1:14" x14ac:dyDescent="0.25">
      <c r="A1543" t="s">
        <v>14</v>
      </c>
      <c r="B1543" t="s">
        <v>39</v>
      </c>
      <c r="C1543" t="s">
        <v>37</v>
      </c>
      <c r="D1543" t="s">
        <v>33</v>
      </c>
      <c r="E1543" t="s">
        <v>23</v>
      </c>
      <c r="F1543" t="s">
        <v>17</v>
      </c>
      <c r="G1543" s="1" t="str">
        <f t="shared" ref="G1543:M1547" si="303">"X"</f>
        <v>X</v>
      </c>
      <c r="H1543" s="1" t="str">
        <f t="shared" si="303"/>
        <v>X</v>
      </c>
      <c r="I1543" s="1" t="str">
        <f t="shared" si="303"/>
        <v>X</v>
      </c>
      <c r="J1543" s="1" t="str">
        <f t="shared" si="303"/>
        <v>X</v>
      </c>
      <c r="K1543" s="1" t="str">
        <f t="shared" si="303"/>
        <v>X</v>
      </c>
      <c r="L1543" s="1" t="str">
        <f t="shared" si="303"/>
        <v>X</v>
      </c>
      <c r="M1543" s="1" t="str">
        <f t="shared" si="303"/>
        <v>X</v>
      </c>
      <c r="N1543" t="s">
        <v>27</v>
      </c>
    </row>
    <row r="1544" spans="1:14" x14ac:dyDescent="0.25">
      <c r="A1544" t="s">
        <v>14</v>
      </c>
      <c r="B1544" t="s">
        <v>39</v>
      </c>
      <c r="C1544" t="s">
        <v>37</v>
      </c>
      <c r="D1544" t="s">
        <v>33</v>
      </c>
      <c r="E1544" t="s">
        <v>23</v>
      </c>
      <c r="F1544" t="s">
        <v>18</v>
      </c>
      <c r="G1544" s="1" t="str">
        <f t="shared" si="303"/>
        <v>X</v>
      </c>
      <c r="H1544" s="1" t="str">
        <f t="shared" si="303"/>
        <v>X</v>
      </c>
      <c r="I1544" s="1" t="str">
        <f t="shared" si="303"/>
        <v>X</v>
      </c>
      <c r="J1544" s="1" t="str">
        <f t="shared" si="303"/>
        <v>X</v>
      </c>
      <c r="K1544" s="1" t="str">
        <f t="shared" si="303"/>
        <v>X</v>
      </c>
      <c r="L1544" s="1" t="str">
        <f t="shared" si="303"/>
        <v>X</v>
      </c>
      <c r="M1544" s="1" t="str">
        <f t="shared" si="303"/>
        <v>X</v>
      </c>
      <c r="N1544" t="s">
        <v>27</v>
      </c>
    </row>
    <row r="1545" spans="1:14" x14ac:dyDescent="0.25">
      <c r="A1545" t="s">
        <v>14</v>
      </c>
      <c r="B1545" t="s">
        <v>39</v>
      </c>
      <c r="C1545" t="s">
        <v>37</v>
      </c>
      <c r="D1545" t="s">
        <v>33</v>
      </c>
      <c r="E1545" t="s">
        <v>23</v>
      </c>
      <c r="F1545" t="s">
        <v>19</v>
      </c>
      <c r="G1545" s="1" t="str">
        <f t="shared" si="303"/>
        <v>X</v>
      </c>
      <c r="H1545" s="1" t="str">
        <f t="shared" si="303"/>
        <v>X</v>
      </c>
      <c r="I1545" s="1" t="str">
        <f t="shared" si="303"/>
        <v>X</v>
      </c>
      <c r="J1545" s="1" t="str">
        <f t="shared" si="303"/>
        <v>X</v>
      </c>
      <c r="K1545" s="1" t="str">
        <f t="shared" si="303"/>
        <v>X</v>
      </c>
      <c r="L1545" s="1" t="str">
        <f t="shared" si="303"/>
        <v>X</v>
      </c>
      <c r="M1545" s="1" t="str">
        <f t="shared" si="303"/>
        <v>X</v>
      </c>
      <c r="N1545" t="s">
        <v>27</v>
      </c>
    </row>
    <row r="1546" spans="1:14" x14ac:dyDescent="0.25">
      <c r="A1546" t="s">
        <v>14</v>
      </c>
      <c r="B1546" t="s">
        <v>39</v>
      </c>
      <c r="C1546" t="s">
        <v>37</v>
      </c>
      <c r="D1546" t="s">
        <v>33</v>
      </c>
      <c r="E1546" t="s">
        <v>23</v>
      </c>
      <c r="F1546" t="s">
        <v>20</v>
      </c>
      <c r="G1546" s="1" t="str">
        <f t="shared" si="303"/>
        <v>X</v>
      </c>
      <c r="H1546" s="1" t="str">
        <f t="shared" si="303"/>
        <v>X</v>
      </c>
      <c r="I1546" s="1" t="str">
        <f t="shared" si="303"/>
        <v>X</v>
      </c>
      <c r="J1546" s="1" t="str">
        <f t="shared" si="303"/>
        <v>X</v>
      </c>
      <c r="K1546" s="1" t="str">
        <f t="shared" si="303"/>
        <v>X</v>
      </c>
      <c r="L1546" s="1" t="str">
        <f t="shared" si="303"/>
        <v>X</v>
      </c>
      <c r="M1546" s="1" t="str">
        <f t="shared" si="303"/>
        <v>X</v>
      </c>
      <c r="N1546" t="s">
        <v>27</v>
      </c>
    </row>
    <row r="1547" spans="1:14" x14ac:dyDescent="0.25">
      <c r="A1547" t="s">
        <v>14</v>
      </c>
      <c r="B1547" t="s">
        <v>39</v>
      </c>
      <c r="C1547" t="s">
        <v>37</v>
      </c>
      <c r="D1547" t="s">
        <v>33</v>
      </c>
      <c r="E1547" t="s">
        <v>26</v>
      </c>
      <c r="F1547" t="s">
        <v>15</v>
      </c>
      <c r="G1547" s="1" t="str">
        <f t="shared" si="303"/>
        <v>X</v>
      </c>
      <c r="H1547" s="1" t="str">
        <f t="shared" si="303"/>
        <v>X</v>
      </c>
      <c r="I1547" s="1" t="str">
        <f t="shared" si="303"/>
        <v>X</v>
      </c>
      <c r="J1547" s="1" t="str">
        <f t="shared" si="303"/>
        <v>X</v>
      </c>
      <c r="K1547" s="1" t="str">
        <f t="shared" si="303"/>
        <v>X</v>
      </c>
      <c r="L1547" s="1" t="str">
        <f t="shared" si="303"/>
        <v>X</v>
      </c>
      <c r="M1547" s="1" t="str">
        <f t="shared" si="303"/>
        <v>X</v>
      </c>
      <c r="N1547" t="s">
        <v>27</v>
      </c>
    </row>
    <row r="1548" spans="1:14" x14ac:dyDescent="0.25">
      <c r="A1548" t="s">
        <v>14</v>
      </c>
      <c r="B1548" t="s">
        <v>39</v>
      </c>
      <c r="C1548" t="s">
        <v>37</v>
      </c>
      <c r="D1548" t="s">
        <v>33</v>
      </c>
      <c r="E1548" t="s">
        <v>26</v>
      </c>
      <c r="F1548" t="s">
        <v>17</v>
      </c>
      <c r="G1548" s="1" t="str">
        <f t="shared" ref="G1548:M1550" si="304">"..."</f>
        <v>...</v>
      </c>
      <c r="H1548" s="1" t="str">
        <f t="shared" si="304"/>
        <v>...</v>
      </c>
      <c r="I1548" s="1" t="str">
        <f t="shared" si="304"/>
        <v>...</v>
      </c>
      <c r="J1548" s="1" t="str">
        <f t="shared" si="304"/>
        <v>...</v>
      </c>
      <c r="K1548" s="1" t="str">
        <f t="shared" si="304"/>
        <v>...</v>
      </c>
      <c r="L1548" s="1" t="str">
        <f t="shared" si="304"/>
        <v>...</v>
      </c>
      <c r="M1548" s="1" t="str">
        <f t="shared" si="304"/>
        <v>...</v>
      </c>
      <c r="N1548" t="s">
        <v>30</v>
      </c>
    </row>
    <row r="1549" spans="1:14" x14ac:dyDescent="0.25">
      <c r="A1549" t="s">
        <v>14</v>
      </c>
      <c r="B1549" t="s">
        <v>39</v>
      </c>
      <c r="C1549" t="s">
        <v>37</v>
      </c>
      <c r="D1549" t="s">
        <v>33</v>
      </c>
      <c r="E1549" t="s">
        <v>26</v>
      </c>
      <c r="F1549" t="s">
        <v>18</v>
      </c>
      <c r="G1549" s="1" t="str">
        <f t="shared" si="304"/>
        <v>...</v>
      </c>
      <c r="H1549" s="1" t="str">
        <f t="shared" si="304"/>
        <v>...</v>
      </c>
      <c r="I1549" s="1" t="str">
        <f t="shared" si="304"/>
        <v>...</v>
      </c>
      <c r="J1549" s="1" t="str">
        <f t="shared" si="304"/>
        <v>...</v>
      </c>
      <c r="K1549" s="1" t="str">
        <f t="shared" si="304"/>
        <v>...</v>
      </c>
      <c r="L1549" s="1" t="str">
        <f t="shared" si="304"/>
        <v>...</v>
      </c>
      <c r="M1549" s="1" t="str">
        <f t="shared" si="304"/>
        <v>...</v>
      </c>
      <c r="N1549" t="s">
        <v>30</v>
      </c>
    </row>
    <row r="1550" spans="1:14" x14ac:dyDescent="0.25">
      <c r="A1550" t="s">
        <v>14</v>
      </c>
      <c r="B1550" t="s">
        <v>39</v>
      </c>
      <c r="C1550" t="s">
        <v>37</v>
      </c>
      <c r="D1550" t="s">
        <v>33</v>
      </c>
      <c r="E1550" t="s">
        <v>26</v>
      </c>
      <c r="F1550" t="s">
        <v>19</v>
      </c>
      <c r="G1550" s="1" t="str">
        <f t="shared" si="304"/>
        <v>...</v>
      </c>
      <c r="H1550" s="1" t="str">
        <f t="shared" si="304"/>
        <v>...</v>
      </c>
      <c r="I1550" s="1" t="str">
        <f t="shared" si="304"/>
        <v>...</v>
      </c>
      <c r="J1550" s="1" t="str">
        <f t="shared" si="304"/>
        <v>...</v>
      </c>
      <c r="K1550" s="1" t="str">
        <f t="shared" si="304"/>
        <v>...</v>
      </c>
      <c r="L1550" s="1" t="str">
        <f t="shared" si="304"/>
        <v>...</v>
      </c>
      <c r="M1550" s="1" t="str">
        <f t="shared" si="304"/>
        <v>...</v>
      </c>
      <c r="N1550" t="s">
        <v>30</v>
      </c>
    </row>
    <row r="1551" spans="1:14" x14ac:dyDescent="0.25">
      <c r="A1551" t="s">
        <v>14</v>
      </c>
      <c r="B1551" t="s">
        <v>39</v>
      </c>
      <c r="C1551" t="s">
        <v>37</v>
      </c>
      <c r="D1551" t="s">
        <v>33</v>
      </c>
      <c r="E1551" t="s">
        <v>26</v>
      </c>
      <c r="F1551" t="s">
        <v>20</v>
      </c>
      <c r="G1551" s="1" t="str">
        <f t="shared" ref="G1551:M1551" si="305">"X"</f>
        <v>X</v>
      </c>
      <c r="H1551" s="1" t="str">
        <f t="shared" si="305"/>
        <v>X</v>
      </c>
      <c r="I1551" s="1" t="str">
        <f t="shared" si="305"/>
        <v>X</v>
      </c>
      <c r="J1551" s="1" t="str">
        <f t="shared" si="305"/>
        <v>X</v>
      </c>
      <c r="K1551" s="1" t="str">
        <f t="shared" si="305"/>
        <v>X</v>
      </c>
      <c r="L1551" s="1" t="str">
        <f t="shared" si="305"/>
        <v>X</v>
      </c>
      <c r="M1551" s="1" t="str">
        <f t="shared" si="305"/>
        <v>X</v>
      </c>
      <c r="N1551" t="s">
        <v>27</v>
      </c>
    </row>
    <row r="1552" spans="1:14" x14ac:dyDescent="0.25">
      <c r="A1552" t="s">
        <v>14</v>
      </c>
      <c r="B1552" t="s">
        <v>39</v>
      </c>
      <c r="C1552" t="s">
        <v>37</v>
      </c>
      <c r="D1552" t="s">
        <v>34</v>
      </c>
      <c r="E1552" t="s">
        <v>15</v>
      </c>
      <c r="F1552" t="s">
        <v>15</v>
      </c>
      <c r="G1552" s="2">
        <f>VALUE(385.1996516978)</f>
        <v>385.19965169779999</v>
      </c>
      <c r="H1552" s="3">
        <f>VALUE(389.5814056691)</f>
        <v>389.58140566909998</v>
      </c>
      <c r="I1552" s="4">
        <f>VALUE(4117)</f>
        <v>4117</v>
      </c>
      <c r="J1552" s="5">
        <f>VALUE(5159)</f>
        <v>5159</v>
      </c>
      <c r="K1552" s="6">
        <f>VALUE(7143)</f>
        <v>7143</v>
      </c>
      <c r="L1552" s="7">
        <f>VALUE(10714)</f>
        <v>10714</v>
      </c>
      <c r="M1552" s="8">
        <f>VALUE(15280)</f>
        <v>15280</v>
      </c>
      <c r="N1552" t="s">
        <v>24</v>
      </c>
    </row>
    <row r="1553" spans="1:14" x14ac:dyDescent="0.25">
      <c r="A1553" t="s">
        <v>14</v>
      </c>
      <c r="B1553" t="s">
        <v>39</v>
      </c>
      <c r="C1553" t="s">
        <v>37</v>
      </c>
      <c r="D1553" t="s">
        <v>34</v>
      </c>
      <c r="E1553" t="s">
        <v>15</v>
      </c>
      <c r="F1553" t="s">
        <v>17</v>
      </c>
      <c r="G1553" s="2">
        <f>VALUE(166.0893201506)</f>
        <v>166.0893201506</v>
      </c>
      <c r="H1553" s="3">
        <f>VALUE(172.4960591343)</f>
        <v>172.4960591343</v>
      </c>
      <c r="I1553" s="4">
        <f>VALUE(7596)</f>
        <v>7596</v>
      </c>
      <c r="J1553" s="1">
        <f>VALUE(9150)</f>
        <v>9150</v>
      </c>
      <c r="K1553" s="1">
        <f>VALUE(10794)</f>
        <v>10794</v>
      </c>
      <c r="L1553" s="1">
        <f>VALUE(14750)</f>
        <v>14750</v>
      </c>
      <c r="M1553" s="8">
        <f>VALUE(19495)</f>
        <v>19495</v>
      </c>
      <c r="N1553" t="s">
        <v>25</v>
      </c>
    </row>
    <row r="1554" spans="1:14" x14ac:dyDescent="0.25">
      <c r="A1554" t="s">
        <v>14</v>
      </c>
      <c r="B1554" t="s">
        <v>39</v>
      </c>
      <c r="C1554" t="s">
        <v>37</v>
      </c>
      <c r="D1554" t="s">
        <v>34</v>
      </c>
      <c r="E1554" t="s">
        <v>15</v>
      </c>
      <c r="F1554" t="s">
        <v>18</v>
      </c>
      <c r="G1554" s="1" t="str">
        <f t="shared" ref="G1554:M1555" si="306">"X"</f>
        <v>X</v>
      </c>
      <c r="H1554" s="1" t="str">
        <f t="shared" si="306"/>
        <v>X</v>
      </c>
      <c r="I1554" s="1" t="str">
        <f t="shared" si="306"/>
        <v>X</v>
      </c>
      <c r="J1554" s="1" t="str">
        <f t="shared" si="306"/>
        <v>X</v>
      </c>
      <c r="K1554" s="1" t="str">
        <f t="shared" si="306"/>
        <v>X</v>
      </c>
      <c r="L1554" s="1" t="str">
        <f t="shared" si="306"/>
        <v>X</v>
      </c>
      <c r="M1554" s="1" t="str">
        <f t="shared" si="306"/>
        <v>X</v>
      </c>
      <c r="N1554" t="s">
        <v>27</v>
      </c>
    </row>
    <row r="1555" spans="1:14" x14ac:dyDescent="0.25">
      <c r="A1555" t="s">
        <v>14</v>
      </c>
      <c r="B1555" t="s">
        <v>39</v>
      </c>
      <c r="C1555" t="s">
        <v>37</v>
      </c>
      <c r="D1555" t="s">
        <v>34</v>
      </c>
      <c r="E1555" t="s">
        <v>15</v>
      </c>
      <c r="F1555" t="s">
        <v>19</v>
      </c>
      <c r="G1555" s="1" t="str">
        <f t="shared" si="306"/>
        <v>X</v>
      </c>
      <c r="H1555" s="1" t="str">
        <f t="shared" si="306"/>
        <v>X</v>
      </c>
      <c r="I1555" s="1" t="str">
        <f t="shared" si="306"/>
        <v>X</v>
      </c>
      <c r="J1555" s="1" t="str">
        <f t="shared" si="306"/>
        <v>X</v>
      </c>
      <c r="K1555" s="1" t="str">
        <f t="shared" si="306"/>
        <v>X</v>
      </c>
      <c r="L1555" s="1" t="str">
        <f t="shared" si="306"/>
        <v>X</v>
      </c>
      <c r="M1555" s="1" t="str">
        <f t="shared" si="306"/>
        <v>X</v>
      </c>
      <c r="N1555" t="s">
        <v>27</v>
      </c>
    </row>
    <row r="1556" spans="1:14" x14ac:dyDescent="0.25">
      <c r="A1556" t="s">
        <v>14</v>
      </c>
      <c r="B1556" t="s">
        <v>39</v>
      </c>
      <c r="C1556" t="s">
        <v>37</v>
      </c>
      <c r="D1556" t="s">
        <v>34</v>
      </c>
      <c r="E1556" t="s">
        <v>15</v>
      </c>
      <c r="F1556" t="s">
        <v>20</v>
      </c>
      <c r="G1556" s="2">
        <f>VALUE(155.2617064366)</f>
        <v>155.26170643660001</v>
      </c>
      <c r="H1556" s="3">
        <f>VALUE(153.7295924025)</f>
        <v>153.7295924025</v>
      </c>
      <c r="I1556" s="1">
        <f>VALUE(3545)</f>
        <v>3545</v>
      </c>
      <c r="J1556" s="1">
        <f>VALUE(5036)</f>
        <v>5036</v>
      </c>
      <c r="K1556" s="1">
        <f>VALUE(5686)</f>
        <v>5686</v>
      </c>
      <c r="L1556" s="1">
        <f>VALUE(6825)</f>
        <v>6825</v>
      </c>
      <c r="M1556" s="1">
        <f>VALUE(8174)</f>
        <v>8174</v>
      </c>
      <c r="N1556" t="s">
        <v>25</v>
      </c>
    </row>
    <row r="1557" spans="1:14" x14ac:dyDescent="0.25">
      <c r="A1557" t="s">
        <v>14</v>
      </c>
      <c r="B1557" t="s">
        <v>39</v>
      </c>
      <c r="C1557" t="s">
        <v>37</v>
      </c>
      <c r="D1557" t="s">
        <v>34</v>
      </c>
      <c r="E1557" t="s">
        <v>21</v>
      </c>
      <c r="F1557" t="s">
        <v>15</v>
      </c>
      <c r="G1557" s="2">
        <f>VALUE(139.4491434366)</f>
        <v>139.4491434366</v>
      </c>
      <c r="H1557" s="3">
        <f>VALUE(144.7492607844)</f>
        <v>144.74926078440001</v>
      </c>
      <c r="I1557" s="1">
        <f>VALUE(5198)</f>
        <v>5198</v>
      </c>
      <c r="J1557" s="1">
        <f>VALUE(7128)</f>
        <v>7128</v>
      </c>
      <c r="K1557" s="1">
        <f>VALUE(10361)</f>
        <v>10361</v>
      </c>
      <c r="L1557" s="1">
        <f>VALUE(13300)</f>
        <v>13300</v>
      </c>
      <c r="M1557" s="1">
        <f>VALUE(19646)</f>
        <v>19646</v>
      </c>
      <c r="N1557" t="s">
        <v>25</v>
      </c>
    </row>
    <row r="1558" spans="1:14" x14ac:dyDescent="0.25">
      <c r="A1558" t="s">
        <v>14</v>
      </c>
      <c r="B1558" t="s">
        <v>39</v>
      </c>
      <c r="C1558" t="s">
        <v>37</v>
      </c>
      <c r="D1558" t="s">
        <v>34</v>
      </c>
      <c r="E1558" t="s">
        <v>21</v>
      </c>
      <c r="F1558" t="s">
        <v>17</v>
      </c>
      <c r="G1558" s="2">
        <f>VALUE(106.2647050173)</f>
        <v>106.2647050173</v>
      </c>
      <c r="H1558" s="3">
        <f>VALUE(110.7276559922)</f>
        <v>110.7276559922</v>
      </c>
      <c r="I1558" s="1">
        <f>VALUE(4333)</f>
        <v>4333</v>
      </c>
      <c r="J1558" s="1">
        <f>VALUE(9472)</f>
        <v>9472</v>
      </c>
      <c r="K1558" s="1">
        <f>VALUE(10833)</f>
        <v>10833</v>
      </c>
      <c r="L1558" s="1">
        <f>VALUE(15873)</f>
        <v>15873</v>
      </c>
      <c r="M1558" s="1">
        <f>VALUE(20481)</f>
        <v>20481</v>
      </c>
      <c r="N1558" t="s">
        <v>25</v>
      </c>
    </row>
    <row r="1559" spans="1:14" x14ac:dyDescent="0.25">
      <c r="A1559" t="s">
        <v>14</v>
      </c>
      <c r="B1559" t="s">
        <v>39</v>
      </c>
      <c r="C1559" t="s">
        <v>37</v>
      </c>
      <c r="D1559" t="s">
        <v>34</v>
      </c>
      <c r="E1559" t="s">
        <v>21</v>
      </c>
      <c r="F1559" t="s">
        <v>18</v>
      </c>
      <c r="G1559" s="1" t="str">
        <f t="shared" ref="G1559:M1561" si="307">"X"</f>
        <v>X</v>
      </c>
      <c r="H1559" s="1" t="str">
        <f t="shared" si="307"/>
        <v>X</v>
      </c>
      <c r="I1559" s="1" t="str">
        <f t="shared" si="307"/>
        <v>X</v>
      </c>
      <c r="J1559" s="1" t="str">
        <f t="shared" si="307"/>
        <v>X</v>
      </c>
      <c r="K1559" s="1" t="str">
        <f t="shared" si="307"/>
        <v>X</v>
      </c>
      <c r="L1559" s="1" t="str">
        <f t="shared" si="307"/>
        <v>X</v>
      </c>
      <c r="M1559" s="1" t="str">
        <f t="shared" si="307"/>
        <v>X</v>
      </c>
      <c r="N1559" t="s">
        <v>27</v>
      </c>
    </row>
    <row r="1560" spans="1:14" x14ac:dyDescent="0.25">
      <c r="A1560" t="s">
        <v>14</v>
      </c>
      <c r="B1560" t="s">
        <v>39</v>
      </c>
      <c r="C1560" t="s">
        <v>37</v>
      </c>
      <c r="D1560" t="s">
        <v>34</v>
      </c>
      <c r="E1560" t="s">
        <v>21</v>
      </c>
      <c r="F1560" t="s">
        <v>19</v>
      </c>
      <c r="G1560" s="1" t="str">
        <f t="shared" si="307"/>
        <v>X</v>
      </c>
      <c r="H1560" s="1" t="str">
        <f t="shared" si="307"/>
        <v>X</v>
      </c>
      <c r="I1560" s="1" t="str">
        <f t="shared" si="307"/>
        <v>X</v>
      </c>
      <c r="J1560" s="1" t="str">
        <f t="shared" si="307"/>
        <v>X</v>
      </c>
      <c r="K1560" s="1" t="str">
        <f t="shared" si="307"/>
        <v>X</v>
      </c>
      <c r="L1560" s="1" t="str">
        <f t="shared" si="307"/>
        <v>X</v>
      </c>
      <c r="M1560" s="1" t="str">
        <f t="shared" si="307"/>
        <v>X</v>
      </c>
      <c r="N1560" t="s">
        <v>27</v>
      </c>
    </row>
    <row r="1561" spans="1:14" x14ac:dyDescent="0.25">
      <c r="A1561" t="s">
        <v>14</v>
      </c>
      <c r="B1561" t="s">
        <v>39</v>
      </c>
      <c r="C1561" t="s">
        <v>37</v>
      </c>
      <c r="D1561" t="s">
        <v>34</v>
      </c>
      <c r="E1561" t="s">
        <v>21</v>
      </c>
      <c r="F1561" t="s">
        <v>20</v>
      </c>
      <c r="G1561" s="1" t="str">
        <f t="shared" si="307"/>
        <v>X</v>
      </c>
      <c r="H1561" s="1" t="str">
        <f t="shared" si="307"/>
        <v>X</v>
      </c>
      <c r="I1561" s="1" t="str">
        <f t="shared" si="307"/>
        <v>X</v>
      </c>
      <c r="J1561" s="1" t="str">
        <f t="shared" si="307"/>
        <v>X</v>
      </c>
      <c r="K1561" s="1" t="str">
        <f t="shared" si="307"/>
        <v>X</v>
      </c>
      <c r="L1561" s="1" t="str">
        <f t="shared" si="307"/>
        <v>X</v>
      </c>
      <c r="M1561" s="1" t="str">
        <f t="shared" si="307"/>
        <v>X</v>
      </c>
      <c r="N1561" t="s">
        <v>27</v>
      </c>
    </row>
    <row r="1562" spans="1:14" x14ac:dyDescent="0.25">
      <c r="A1562" t="s">
        <v>14</v>
      </c>
      <c r="B1562" t="s">
        <v>39</v>
      </c>
      <c r="C1562" t="s">
        <v>37</v>
      </c>
      <c r="D1562" t="s">
        <v>34</v>
      </c>
      <c r="E1562" t="s">
        <v>22</v>
      </c>
      <c r="F1562" t="s">
        <v>15</v>
      </c>
      <c r="G1562" s="2">
        <f>VALUE(166.4554786932)</f>
        <v>166.45547869320001</v>
      </c>
      <c r="H1562" s="3">
        <f>VALUE(172.8095524056)</f>
        <v>172.80955240559999</v>
      </c>
      <c r="I1562" s="4">
        <f>VALUE(3630)</f>
        <v>3630</v>
      </c>
      <c r="J1562" s="5">
        <f>VALUE(5150)</f>
        <v>5150</v>
      </c>
      <c r="K1562" s="6">
        <f>VALUE(6588)</f>
        <v>6588</v>
      </c>
      <c r="L1562" s="7">
        <f>VALUE(9167)</f>
        <v>9167</v>
      </c>
      <c r="M1562" s="1">
        <f>VALUE(12743)</f>
        <v>12743</v>
      </c>
      <c r="N1562" t="s">
        <v>25</v>
      </c>
    </row>
    <row r="1563" spans="1:14" x14ac:dyDescent="0.25">
      <c r="A1563" t="s">
        <v>14</v>
      </c>
      <c r="B1563" t="s">
        <v>39</v>
      </c>
      <c r="C1563" t="s">
        <v>37</v>
      </c>
      <c r="D1563" t="s">
        <v>34</v>
      </c>
      <c r="E1563" t="s">
        <v>22</v>
      </c>
      <c r="F1563" t="s">
        <v>17</v>
      </c>
      <c r="G1563" s="1" t="str">
        <f t="shared" ref="G1563:M1573" si="308">"X"</f>
        <v>X</v>
      </c>
      <c r="H1563" s="1" t="str">
        <f t="shared" si="308"/>
        <v>X</v>
      </c>
      <c r="I1563" s="1" t="str">
        <f t="shared" si="308"/>
        <v>X</v>
      </c>
      <c r="J1563" s="1" t="str">
        <f t="shared" si="308"/>
        <v>X</v>
      </c>
      <c r="K1563" s="1" t="str">
        <f t="shared" si="308"/>
        <v>X</v>
      </c>
      <c r="L1563" s="1" t="str">
        <f t="shared" si="308"/>
        <v>X</v>
      </c>
      <c r="M1563" s="1" t="str">
        <f t="shared" si="308"/>
        <v>X</v>
      </c>
      <c r="N1563" t="s">
        <v>27</v>
      </c>
    </row>
    <row r="1564" spans="1:14" x14ac:dyDescent="0.25">
      <c r="A1564" t="s">
        <v>14</v>
      </c>
      <c r="B1564" t="s">
        <v>39</v>
      </c>
      <c r="C1564" t="s">
        <v>37</v>
      </c>
      <c r="D1564" t="s">
        <v>34</v>
      </c>
      <c r="E1564" t="s">
        <v>22</v>
      </c>
      <c r="F1564" t="s">
        <v>18</v>
      </c>
      <c r="G1564" s="1" t="str">
        <f t="shared" si="308"/>
        <v>X</v>
      </c>
      <c r="H1564" s="1" t="str">
        <f t="shared" si="308"/>
        <v>X</v>
      </c>
      <c r="I1564" s="1" t="str">
        <f t="shared" si="308"/>
        <v>X</v>
      </c>
      <c r="J1564" s="1" t="str">
        <f t="shared" si="308"/>
        <v>X</v>
      </c>
      <c r="K1564" s="1" t="str">
        <f t="shared" si="308"/>
        <v>X</v>
      </c>
      <c r="L1564" s="1" t="str">
        <f t="shared" si="308"/>
        <v>X</v>
      </c>
      <c r="M1564" s="1" t="str">
        <f t="shared" si="308"/>
        <v>X</v>
      </c>
      <c r="N1564" t="s">
        <v>27</v>
      </c>
    </row>
    <row r="1565" spans="1:14" x14ac:dyDescent="0.25">
      <c r="A1565" t="s">
        <v>14</v>
      </c>
      <c r="B1565" t="s">
        <v>39</v>
      </c>
      <c r="C1565" t="s">
        <v>37</v>
      </c>
      <c r="D1565" t="s">
        <v>34</v>
      </c>
      <c r="E1565" t="s">
        <v>22</v>
      </c>
      <c r="F1565" t="s">
        <v>19</v>
      </c>
      <c r="G1565" s="1" t="str">
        <f t="shared" si="308"/>
        <v>X</v>
      </c>
      <c r="H1565" s="1" t="str">
        <f t="shared" si="308"/>
        <v>X</v>
      </c>
      <c r="I1565" s="1" t="str">
        <f t="shared" si="308"/>
        <v>X</v>
      </c>
      <c r="J1565" s="1" t="str">
        <f t="shared" si="308"/>
        <v>X</v>
      </c>
      <c r="K1565" s="1" t="str">
        <f t="shared" si="308"/>
        <v>X</v>
      </c>
      <c r="L1565" s="1" t="str">
        <f t="shared" si="308"/>
        <v>X</v>
      </c>
      <c r="M1565" s="1" t="str">
        <f t="shared" si="308"/>
        <v>X</v>
      </c>
      <c r="N1565" t="s">
        <v>27</v>
      </c>
    </row>
    <row r="1566" spans="1:14" x14ac:dyDescent="0.25">
      <c r="A1566" t="s">
        <v>14</v>
      </c>
      <c r="B1566" t="s">
        <v>39</v>
      </c>
      <c r="C1566" t="s">
        <v>37</v>
      </c>
      <c r="D1566" t="s">
        <v>34</v>
      </c>
      <c r="E1566" t="s">
        <v>22</v>
      </c>
      <c r="F1566" t="s">
        <v>20</v>
      </c>
      <c r="G1566" s="1" t="str">
        <f t="shared" si="308"/>
        <v>X</v>
      </c>
      <c r="H1566" s="1" t="str">
        <f t="shared" si="308"/>
        <v>X</v>
      </c>
      <c r="I1566" s="1" t="str">
        <f t="shared" si="308"/>
        <v>X</v>
      </c>
      <c r="J1566" s="1" t="str">
        <f t="shared" si="308"/>
        <v>X</v>
      </c>
      <c r="K1566" s="1" t="str">
        <f t="shared" si="308"/>
        <v>X</v>
      </c>
      <c r="L1566" s="1" t="str">
        <f t="shared" si="308"/>
        <v>X</v>
      </c>
      <c r="M1566" s="1" t="str">
        <f t="shared" si="308"/>
        <v>X</v>
      </c>
      <c r="N1566" t="s">
        <v>27</v>
      </c>
    </row>
    <row r="1567" spans="1:14" x14ac:dyDescent="0.25">
      <c r="A1567" t="s">
        <v>14</v>
      </c>
      <c r="B1567" t="s">
        <v>39</v>
      </c>
      <c r="C1567" t="s">
        <v>37</v>
      </c>
      <c r="D1567" t="s">
        <v>34</v>
      </c>
      <c r="E1567" t="s">
        <v>23</v>
      </c>
      <c r="F1567" t="s">
        <v>15</v>
      </c>
      <c r="G1567" s="1" t="str">
        <f t="shared" si="308"/>
        <v>X</v>
      </c>
      <c r="H1567" s="1" t="str">
        <f t="shared" si="308"/>
        <v>X</v>
      </c>
      <c r="I1567" s="1" t="str">
        <f t="shared" si="308"/>
        <v>X</v>
      </c>
      <c r="J1567" s="1" t="str">
        <f t="shared" si="308"/>
        <v>X</v>
      </c>
      <c r="K1567" s="1" t="str">
        <f t="shared" si="308"/>
        <v>X</v>
      </c>
      <c r="L1567" s="1" t="str">
        <f t="shared" si="308"/>
        <v>X</v>
      </c>
      <c r="M1567" s="1" t="str">
        <f t="shared" si="308"/>
        <v>X</v>
      </c>
      <c r="N1567" t="s">
        <v>27</v>
      </c>
    </row>
    <row r="1568" spans="1:14" x14ac:dyDescent="0.25">
      <c r="A1568" t="s">
        <v>14</v>
      </c>
      <c r="B1568" t="s">
        <v>39</v>
      </c>
      <c r="C1568" t="s">
        <v>37</v>
      </c>
      <c r="D1568" t="s">
        <v>34</v>
      </c>
      <c r="E1568" t="s">
        <v>23</v>
      </c>
      <c r="F1568" t="s">
        <v>17</v>
      </c>
      <c r="G1568" s="1" t="str">
        <f t="shared" si="308"/>
        <v>X</v>
      </c>
      <c r="H1568" s="1" t="str">
        <f t="shared" si="308"/>
        <v>X</v>
      </c>
      <c r="I1568" s="1" t="str">
        <f t="shared" si="308"/>
        <v>X</v>
      </c>
      <c r="J1568" s="1" t="str">
        <f t="shared" si="308"/>
        <v>X</v>
      </c>
      <c r="K1568" s="1" t="str">
        <f t="shared" si="308"/>
        <v>X</v>
      </c>
      <c r="L1568" s="1" t="str">
        <f t="shared" si="308"/>
        <v>X</v>
      </c>
      <c r="M1568" s="1" t="str">
        <f t="shared" si="308"/>
        <v>X</v>
      </c>
      <c r="N1568" t="s">
        <v>27</v>
      </c>
    </row>
    <row r="1569" spans="1:14" x14ac:dyDescent="0.25">
      <c r="A1569" t="s">
        <v>14</v>
      </c>
      <c r="B1569" t="s">
        <v>39</v>
      </c>
      <c r="C1569" t="s">
        <v>37</v>
      </c>
      <c r="D1569" t="s">
        <v>34</v>
      </c>
      <c r="E1569" t="s">
        <v>23</v>
      </c>
      <c r="F1569" t="s">
        <v>18</v>
      </c>
      <c r="G1569" s="1" t="str">
        <f t="shared" si="308"/>
        <v>X</v>
      </c>
      <c r="H1569" s="1" t="str">
        <f t="shared" si="308"/>
        <v>X</v>
      </c>
      <c r="I1569" s="1" t="str">
        <f t="shared" si="308"/>
        <v>X</v>
      </c>
      <c r="J1569" s="1" t="str">
        <f t="shared" si="308"/>
        <v>X</v>
      </c>
      <c r="K1569" s="1" t="str">
        <f t="shared" si="308"/>
        <v>X</v>
      </c>
      <c r="L1569" s="1" t="str">
        <f t="shared" si="308"/>
        <v>X</v>
      </c>
      <c r="M1569" s="1" t="str">
        <f t="shared" si="308"/>
        <v>X</v>
      </c>
      <c r="N1569" t="s">
        <v>27</v>
      </c>
    </row>
    <row r="1570" spans="1:14" x14ac:dyDescent="0.25">
      <c r="A1570" t="s">
        <v>14</v>
      </c>
      <c r="B1570" t="s">
        <v>39</v>
      </c>
      <c r="C1570" t="s">
        <v>37</v>
      </c>
      <c r="D1570" t="s">
        <v>34</v>
      </c>
      <c r="E1570" t="s">
        <v>23</v>
      </c>
      <c r="F1570" t="s">
        <v>19</v>
      </c>
      <c r="G1570" s="1" t="str">
        <f t="shared" si="308"/>
        <v>X</v>
      </c>
      <c r="H1570" s="1" t="str">
        <f t="shared" si="308"/>
        <v>X</v>
      </c>
      <c r="I1570" s="1" t="str">
        <f t="shared" si="308"/>
        <v>X</v>
      </c>
      <c r="J1570" s="1" t="str">
        <f t="shared" si="308"/>
        <v>X</v>
      </c>
      <c r="K1570" s="1" t="str">
        <f t="shared" si="308"/>
        <v>X</v>
      </c>
      <c r="L1570" s="1" t="str">
        <f t="shared" si="308"/>
        <v>X</v>
      </c>
      <c r="M1570" s="1" t="str">
        <f t="shared" si="308"/>
        <v>X</v>
      </c>
      <c r="N1570" t="s">
        <v>27</v>
      </c>
    </row>
    <row r="1571" spans="1:14" x14ac:dyDescent="0.25">
      <c r="A1571" t="s">
        <v>14</v>
      </c>
      <c r="B1571" t="s">
        <v>39</v>
      </c>
      <c r="C1571" t="s">
        <v>37</v>
      </c>
      <c r="D1571" t="s">
        <v>34</v>
      </c>
      <c r="E1571" t="s">
        <v>23</v>
      </c>
      <c r="F1571" t="s">
        <v>20</v>
      </c>
      <c r="G1571" s="1" t="str">
        <f t="shared" si="308"/>
        <v>X</v>
      </c>
      <c r="H1571" s="1" t="str">
        <f t="shared" si="308"/>
        <v>X</v>
      </c>
      <c r="I1571" s="1" t="str">
        <f t="shared" si="308"/>
        <v>X</v>
      </c>
      <c r="J1571" s="1" t="str">
        <f t="shared" si="308"/>
        <v>X</v>
      </c>
      <c r="K1571" s="1" t="str">
        <f t="shared" si="308"/>
        <v>X</v>
      </c>
      <c r="L1571" s="1" t="str">
        <f t="shared" si="308"/>
        <v>X</v>
      </c>
      <c r="M1571" s="1" t="str">
        <f t="shared" si="308"/>
        <v>X</v>
      </c>
      <c r="N1571" t="s">
        <v>27</v>
      </c>
    </row>
    <row r="1572" spans="1:14" x14ac:dyDescent="0.25">
      <c r="A1572" t="s">
        <v>14</v>
      </c>
      <c r="B1572" t="s">
        <v>39</v>
      </c>
      <c r="C1572" t="s">
        <v>37</v>
      </c>
      <c r="D1572" t="s">
        <v>34</v>
      </c>
      <c r="E1572" t="s">
        <v>26</v>
      </c>
      <c r="F1572" t="s">
        <v>15</v>
      </c>
      <c r="G1572" s="1" t="str">
        <f t="shared" si="308"/>
        <v>X</v>
      </c>
      <c r="H1572" s="1" t="str">
        <f t="shared" si="308"/>
        <v>X</v>
      </c>
      <c r="I1572" s="1" t="str">
        <f t="shared" si="308"/>
        <v>X</v>
      </c>
      <c r="J1572" s="1" t="str">
        <f t="shared" si="308"/>
        <v>X</v>
      </c>
      <c r="K1572" s="1" t="str">
        <f t="shared" si="308"/>
        <v>X</v>
      </c>
      <c r="L1572" s="1" t="str">
        <f t="shared" si="308"/>
        <v>X</v>
      </c>
      <c r="M1572" s="1" t="str">
        <f t="shared" si="308"/>
        <v>X</v>
      </c>
      <c r="N1572" t="s">
        <v>27</v>
      </c>
    </row>
    <row r="1573" spans="1:14" x14ac:dyDescent="0.25">
      <c r="A1573" t="s">
        <v>14</v>
      </c>
      <c r="B1573" t="s">
        <v>39</v>
      </c>
      <c r="C1573" t="s">
        <v>37</v>
      </c>
      <c r="D1573" t="s">
        <v>34</v>
      </c>
      <c r="E1573" t="s">
        <v>26</v>
      </c>
      <c r="F1573" t="s">
        <v>17</v>
      </c>
      <c r="G1573" s="1" t="str">
        <f t="shared" si="308"/>
        <v>X</v>
      </c>
      <c r="H1573" s="1" t="str">
        <f t="shared" si="308"/>
        <v>X</v>
      </c>
      <c r="I1573" s="1" t="str">
        <f t="shared" si="308"/>
        <v>X</v>
      </c>
      <c r="J1573" s="1" t="str">
        <f t="shared" si="308"/>
        <v>X</v>
      </c>
      <c r="K1573" s="1" t="str">
        <f t="shared" si="308"/>
        <v>X</v>
      </c>
      <c r="L1573" s="1" t="str">
        <f t="shared" si="308"/>
        <v>X</v>
      </c>
      <c r="M1573" s="1" t="str">
        <f t="shared" si="308"/>
        <v>X</v>
      </c>
      <c r="N1573" t="s">
        <v>27</v>
      </c>
    </row>
    <row r="1574" spans="1:14" x14ac:dyDescent="0.25">
      <c r="A1574" t="s">
        <v>14</v>
      </c>
      <c r="B1574" t="s">
        <v>39</v>
      </c>
      <c r="C1574" t="s">
        <v>37</v>
      </c>
      <c r="D1574" t="s">
        <v>34</v>
      </c>
      <c r="E1574" t="s">
        <v>26</v>
      </c>
      <c r="F1574" t="s">
        <v>18</v>
      </c>
      <c r="G1574" s="1" t="str">
        <f t="shared" ref="G1574:M1576" si="309">"..."</f>
        <v>...</v>
      </c>
      <c r="H1574" s="1" t="str">
        <f t="shared" si="309"/>
        <v>...</v>
      </c>
      <c r="I1574" s="1" t="str">
        <f t="shared" si="309"/>
        <v>...</v>
      </c>
      <c r="J1574" s="1" t="str">
        <f t="shared" si="309"/>
        <v>...</v>
      </c>
      <c r="K1574" s="1" t="str">
        <f t="shared" si="309"/>
        <v>...</v>
      </c>
      <c r="L1574" s="1" t="str">
        <f t="shared" si="309"/>
        <v>...</v>
      </c>
      <c r="M1574" s="1" t="str">
        <f t="shared" si="309"/>
        <v>...</v>
      </c>
      <c r="N1574" t="s">
        <v>30</v>
      </c>
    </row>
    <row r="1575" spans="1:14" x14ac:dyDescent="0.25">
      <c r="A1575" t="s">
        <v>14</v>
      </c>
      <c r="B1575" t="s">
        <v>39</v>
      </c>
      <c r="C1575" t="s">
        <v>37</v>
      </c>
      <c r="D1575" t="s">
        <v>34</v>
      </c>
      <c r="E1575" t="s">
        <v>26</v>
      </c>
      <c r="F1575" t="s">
        <v>19</v>
      </c>
      <c r="G1575" s="1" t="str">
        <f t="shared" si="309"/>
        <v>...</v>
      </c>
      <c r="H1575" s="1" t="str">
        <f t="shared" si="309"/>
        <v>...</v>
      </c>
      <c r="I1575" s="1" t="str">
        <f t="shared" si="309"/>
        <v>...</v>
      </c>
      <c r="J1575" s="1" t="str">
        <f t="shared" si="309"/>
        <v>...</v>
      </c>
      <c r="K1575" s="1" t="str">
        <f t="shared" si="309"/>
        <v>...</v>
      </c>
      <c r="L1575" s="1" t="str">
        <f t="shared" si="309"/>
        <v>...</v>
      </c>
      <c r="M1575" s="1" t="str">
        <f t="shared" si="309"/>
        <v>...</v>
      </c>
      <c r="N1575" t="s">
        <v>30</v>
      </c>
    </row>
    <row r="1576" spans="1:14" x14ac:dyDescent="0.25">
      <c r="A1576" t="s">
        <v>14</v>
      </c>
      <c r="B1576" t="s">
        <v>39</v>
      </c>
      <c r="C1576" t="s">
        <v>37</v>
      </c>
      <c r="D1576" t="s">
        <v>34</v>
      </c>
      <c r="E1576" t="s">
        <v>26</v>
      </c>
      <c r="F1576" t="s">
        <v>20</v>
      </c>
      <c r="G1576" s="1" t="str">
        <f t="shared" si="309"/>
        <v>...</v>
      </c>
      <c r="H1576" s="1" t="str">
        <f t="shared" si="309"/>
        <v>...</v>
      </c>
      <c r="I1576" s="1" t="str">
        <f t="shared" si="309"/>
        <v>...</v>
      </c>
      <c r="J1576" s="1" t="str">
        <f t="shared" si="309"/>
        <v>...</v>
      </c>
      <c r="K1576" s="1" t="str">
        <f t="shared" si="309"/>
        <v>...</v>
      </c>
      <c r="L1576" s="1" t="str">
        <f t="shared" si="309"/>
        <v>...</v>
      </c>
      <c r="M1576" s="1" t="str">
        <f t="shared" si="309"/>
        <v>...</v>
      </c>
      <c r="N1576" t="s">
        <v>30</v>
      </c>
    </row>
    <row r="1577" spans="1:14" x14ac:dyDescent="0.25">
      <c r="A1577" t="s">
        <v>14</v>
      </c>
      <c r="B1577" t="s">
        <v>39</v>
      </c>
      <c r="C1577" t="s">
        <v>38</v>
      </c>
      <c r="D1577" t="s">
        <v>15</v>
      </c>
      <c r="E1577" t="s">
        <v>15</v>
      </c>
      <c r="F1577" t="s">
        <v>15</v>
      </c>
      <c r="G1577" s="1">
        <f>VALUE(16200.9564191284)</f>
        <v>16200.956419128401</v>
      </c>
      <c r="H1577" s="1">
        <f>VALUE(15938.7027674785)</f>
        <v>15938.7027674785</v>
      </c>
      <c r="I1577" s="1">
        <f>VALUE(3937)</f>
        <v>3937</v>
      </c>
      <c r="J1577" s="1">
        <f>VALUE(4737)</f>
        <v>4737</v>
      </c>
      <c r="K1577" s="1">
        <f>VALUE(5647)</f>
        <v>5647</v>
      </c>
      <c r="L1577" s="1">
        <f>VALUE(7329)</f>
        <v>7329</v>
      </c>
      <c r="M1577" s="1">
        <f>VALUE(11646)</f>
        <v>11646</v>
      </c>
      <c r="N1577" t="s">
        <v>16</v>
      </c>
    </row>
    <row r="1578" spans="1:14" x14ac:dyDescent="0.25">
      <c r="A1578" t="s">
        <v>14</v>
      </c>
      <c r="B1578" t="s">
        <v>39</v>
      </c>
      <c r="C1578" t="s">
        <v>38</v>
      </c>
      <c r="D1578" t="s">
        <v>15</v>
      </c>
      <c r="E1578" t="s">
        <v>15</v>
      </c>
      <c r="F1578" t="s">
        <v>17</v>
      </c>
      <c r="G1578" s="1">
        <f>VALUE(4373.815100796)</f>
        <v>4373.8151007959996</v>
      </c>
      <c r="H1578" s="1">
        <f>VALUE(4278.8561703174)</f>
        <v>4278.8561703174</v>
      </c>
      <c r="I1578" s="4">
        <f>VALUE(4800)</f>
        <v>4800</v>
      </c>
      <c r="J1578" s="1">
        <f>VALUE(6000)</f>
        <v>6000</v>
      </c>
      <c r="K1578" s="1">
        <f>VALUE(8740)</f>
        <v>8740</v>
      </c>
      <c r="L1578" s="1">
        <f>VALUE(13732)</f>
        <v>13732</v>
      </c>
      <c r="M1578" s="8">
        <f>VALUE(21466)</f>
        <v>21466</v>
      </c>
      <c r="N1578" t="s">
        <v>25</v>
      </c>
    </row>
    <row r="1579" spans="1:14" x14ac:dyDescent="0.25">
      <c r="A1579" t="s">
        <v>14</v>
      </c>
      <c r="B1579" t="s">
        <v>39</v>
      </c>
      <c r="C1579" t="s">
        <v>38</v>
      </c>
      <c r="D1579" t="s">
        <v>15</v>
      </c>
      <c r="E1579" t="s">
        <v>15</v>
      </c>
      <c r="F1579" t="s">
        <v>18</v>
      </c>
      <c r="G1579" s="1">
        <f>VALUE(1557.1923488043)</f>
        <v>1557.1923488043001</v>
      </c>
      <c r="H1579" s="1">
        <f>VALUE(1486.7019444454)</f>
        <v>1486.7019444453999</v>
      </c>
      <c r="I1579" s="1">
        <f>VALUE(4094)</f>
        <v>4094</v>
      </c>
      <c r="J1579" s="1">
        <f>VALUE(5102)</f>
        <v>5102</v>
      </c>
      <c r="K1579" s="1">
        <f>VALUE(6392)</f>
        <v>6392</v>
      </c>
      <c r="L1579" s="1">
        <f>VALUE(8285)</f>
        <v>8285</v>
      </c>
      <c r="M1579" s="1">
        <f>VALUE(10223)</f>
        <v>10223</v>
      </c>
      <c r="N1579" t="s">
        <v>16</v>
      </c>
    </row>
    <row r="1580" spans="1:14" x14ac:dyDescent="0.25">
      <c r="A1580" t="s">
        <v>14</v>
      </c>
      <c r="B1580" t="s">
        <v>39</v>
      </c>
      <c r="C1580" t="s">
        <v>38</v>
      </c>
      <c r="D1580" t="s">
        <v>15</v>
      </c>
      <c r="E1580" t="s">
        <v>15</v>
      </c>
      <c r="F1580" t="s">
        <v>19</v>
      </c>
      <c r="G1580" s="1">
        <f>VALUE(1960.9329371064)</f>
        <v>1960.9329371064</v>
      </c>
      <c r="H1580" s="1">
        <f>VALUE(1966.5113319199)</f>
        <v>1966.5113319198999</v>
      </c>
      <c r="I1580" s="1">
        <f>VALUE(4178)</f>
        <v>4178</v>
      </c>
      <c r="J1580" s="1">
        <f>VALUE(4906)</f>
        <v>4906</v>
      </c>
      <c r="K1580" s="1">
        <f>VALUE(5667)</f>
        <v>5667</v>
      </c>
      <c r="L1580" s="1">
        <f>VALUE(6474)</f>
        <v>6474</v>
      </c>
      <c r="M1580" s="1">
        <f>VALUE(7800)</f>
        <v>7800</v>
      </c>
      <c r="N1580" t="s">
        <v>16</v>
      </c>
    </row>
    <row r="1581" spans="1:14" x14ac:dyDescent="0.25">
      <c r="A1581" t="s">
        <v>14</v>
      </c>
      <c r="B1581" t="s">
        <v>39</v>
      </c>
      <c r="C1581" t="s">
        <v>38</v>
      </c>
      <c r="D1581" t="s">
        <v>15</v>
      </c>
      <c r="E1581" t="s">
        <v>15</v>
      </c>
      <c r="F1581" t="s">
        <v>20</v>
      </c>
      <c r="G1581" s="1">
        <f>VALUE(8289.0526639395)</f>
        <v>8289.0526639394993</v>
      </c>
      <c r="H1581" s="1">
        <f>VALUE(8185.726125603)</f>
        <v>8185.7261256029997</v>
      </c>
      <c r="I1581" s="1">
        <f>VALUE(3728)</f>
        <v>3728</v>
      </c>
      <c r="J1581" s="1">
        <f>VALUE(4381)</f>
        <v>4381</v>
      </c>
      <c r="K1581" s="1">
        <f>VALUE(5148)</f>
        <v>5148</v>
      </c>
      <c r="L1581" s="1">
        <f>VALUE(5876)</f>
        <v>5876</v>
      </c>
      <c r="M1581" s="1">
        <f>VALUE(6764)</f>
        <v>6764</v>
      </c>
      <c r="N1581" t="s">
        <v>16</v>
      </c>
    </row>
    <row r="1582" spans="1:14" x14ac:dyDescent="0.25">
      <c r="A1582" t="s">
        <v>14</v>
      </c>
      <c r="B1582" t="s">
        <v>39</v>
      </c>
      <c r="C1582" t="s">
        <v>38</v>
      </c>
      <c r="D1582" t="s">
        <v>15</v>
      </c>
      <c r="E1582" t="s">
        <v>21</v>
      </c>
      <c r="F1582" t="s">
        <v>15</v>
      </c>
      <c r="G1582" s="1">
        <f>VALUE(3379.3529019993)</f>
        <v>3379.3529019992998</v>
      </c>
      <c r="H1582" s="1">
        <f>VALUE(3188.2564434373)</f>
        <v>3188.2564434372998</v>
      </c>
      <c r="I1582" s="1">
        <f>VALUE(5000)</f>
        <v>5000</v>
      </c>
      <c r="J1582" s="1">
        <f>VALUE(6425)</f>
        <v>6425</v>
      </c>
      <c r="K1582" s="1">
        <f>VALUE(9041)</f>
        <v>9041</v>
      </c>
      <c r="L1582" s="1">
        <f>VALUE(13333)</f>
        <v>13333</v>
      </c>
      <c r="M1582" s="8">
        <f>VALUE(20356)</f>
        <v>20356</v>
      </c>
      <c r="N1582" t="s">
        <v>25</v>
      </c>
    </row>
    <row r="1583" spans="1:14" x14ac:dyDescent="0.25">
      <c r="A1583" t="s">
        <v>14</v>
      </c>
      <c r="B1583" t="s">
        <v>39</v>
      </c>
      <c r="C1583" t="s">
        <v>38</v>
      </c>
      <c r="D1583" t="s">
        <v>15</v>
      </c>
      <c r="E1583" t="s">
        <v>21</v>
      </c>
      <c r="F1583" t="s">
        <v>17</v>
      </c>
      <c r="G1583" s="1">
        <f>VALUE(2195.659534714)</f>
        <v>2195.6595347140001</v>
      </c>
      <c r="H1583" s="1">
        <f>VALUE(2132.065652974)</f>
        <v>2132.0656529739999</v>
      </c>
      <c r="I1583" s="4">
        <f>VALUE(5417)</f>
        <v>5417</v>
      </c>
      <c r="J1583" s="5">
        <f>VALUE(7150)</f>
        <v>7150</v>
      </c>
      <c r="K1583" s="1">
        <f>VALUE(10833)</f>
        <v>10833</v>
      </c>
      <c r="L1583" s="1">
        <f>VALUE(15873)</f>
        <v>15873</v>
      </c>
      <c r="M1583" s="8">
        <f>VALUE(23077)</f>
        <v>23077</v>
      </c>
      <c r="N1583" t="s">
        <v>25</v>
      </c>
    </row>
    <row r="1584" spans="1:14" x14ac:dyDescent="0.25">
      <c r="A1584" t="s">
        <v>14</v>
      </c>
      <c r="B1584" t="s">
        <v>39</v>
      </c>
      <c r="C1584" t="s">
        <v>38</v>
      </c>
      <c r="D1584" t="s">
        <v>15</v>
      </c>
      <c r="E1584" t="s">
        <v>21</v>
      </c>
      <c r="F1584" t="s">
        <v>18</v>
      </c>
      <c r="G1584" s="2">
        <f>VALUE(464.821101784)</f>
        <v>464.82110178400001</v>
      </c>
      <c r="H1584" s="3">
        <f>VALUE(406.2141023563)</f>
        <v>406.21410235629997</v>
      </c>
      <c r="I1584" s="4">
        <f>VALUE(5389)</f>
        <v>5389</v>
      </c>
      <c r="J1584" s="5">
        <f>VALUE(6392)</f>
        <v>6392</v>
      </c>
      <c r="K1584" s="1">
        <f>VALUE(8346)</f>
        <v>8346</v>
      </c>
      <c r="L1584" s="7">
        <f>VALUE(9705)</f>
        <v>9705</v>
      </c>
      <c r="M1584" s="8">
        <f>VALUE(12471)</f>
        <v>12471</v>
      </c>
      <c r="N1584" t="s">
        <v>25</v>
      </c>
    </row>
    <row r="1585" spans="1:14" x14ac:dyDescent="0.25">
      <c r="A1585" t="s">
        <v>14</v>
      </c>
      <c r="B1585" t="s">
        <v>39</v>
      </c>
      <c r="C1585" t="s">
        <v>38</v>
      </c>
      <c r="D1585" t="s">
        <v>15</v>
      </c>
      <c r="E1585" t="s">
        <v>21</v>
      </c>
      <c r="F1585" t="s">
        <v>19</v>
      </c>
      <c r="G1585" s="2">
        <f>VALUE(283.248207822)</f>
        <v>283.24820782199998</v>
      </c>
      <c r="H1585" s="3">
        <f>VALUE(268.7388984224)</f>
        <v>268.73889842239998</v>
      </c>
      <c r="I1585" s="4">
        <f>VALUE(4398)</f>
        <v>4398</v>
      </c>
      <c r="J1585" s="5">
        <f>VALUE(5756)</f>
        <v>5756</v>
      </c>
      <c r="K1585" s="6">
        <f>VALUE(6450)</f>
        <v>6450</v>
      </c>
      <c r="L1585" s="1">
        <f>VALUE(7870)</f>
        <v>7870</v>
      </c>
      <c r="M1585" s="8">
        <f>VALUE(9183)</f>
        <v>9183</v>
      </c>
      <c r="N1585" t="s">
        <v>25</v>
      </c>
    </row>
    <row r="1586" spans="1:14" x14ac:dyDescent="0.25">
      <c r="A1586" t="s">
        <v>14</v>
      </c>
      <c r="B1586" t="s">
        <v>39</v>
      </c>
      <c r="C1586" t="s">
        <v>38</v>
      </c>
      <c r="D1586" t="s">
        <v>15</v>
      </c>
      <c r="E1586" t="s">
        <v>21</v>
      </c>
      <c r="F1586" t="s">
        <v>20</v>
      </c>
      <c r="G1586" s="2">
        <f>VALUE(435.6240576793)</f>
        <v>435.62405767929999</v>
      </c>
      <c r="H1586" s="3">
        <f>VALUE(381.2377896846)</f>
        <v>381.23778968459999</v>
      </c>
      <c r="I1586" s="4">
        <f>VALUE(3912)</f>
        <v>3912</v>
      </c>
      <c r="J1586" s="5">
        <f>VALUE(5426)</f>
        <v>5426</v>
      </c>
      <c r="K1586" s="1">
        <f>VALUE(6834)</f>
        <v>6834</v>
      </c>
      <c r="L1586" s="1">
        <f>VALUE(8473)</f>
        <v>8473</v>
      </c>
      <c r="M1586" s="8">
        <f>VALUE(12765)</f>
        <v>12765</v>
      </c>
      <c r="N1586" t="s">
        <v>25</v>
      </c>
    </row>
    <row r="1587" spans="1:14" x14ac:dyDescent="0.25">
      <c r="A1587" t="s">
        <v>14</v>
      </c>
      <c r="B1587" t="s">
        <v>39</v>
      </c>
      <c r="C1587" t="s">
        <v>38</v>
      </c>
      <c r="D1587" t="s">
        <v>15</v>
      </c>
      <c r="E1587" t="s">
        <v>22</v>
      </c>
      <c r="F1587" t="s">
        <v>15</v>
      </c>
      <c r="G1587" s="1">
        <f>VALUE(5638.7993597383)</f>
        <v>5638.7993597383002</v>
      </c>
      <c r="H1587" s="1">
        <f>VALUE(5515.8985319239)</f>
        <v>5515.8985319239</v>
      </c>
      <c r="I1587" s="1">
        <f>VALUE(4178)</f>
        <v>4178</v>
      </c>
      <c r="J1587" s="1">
        <f>VALUE(5013)</f>
        <v>5013</v>
      </c>
      <c r="K1587" s="1">
        <f>VALUE(5892)</f>
        <v>5892</v>
      </c>
      <c r="L1587" s="1">
        <f>VALUE(7082)</f>
        <v>7082</v>
      </c>
      <c r="M1587" s="1">
        <f>VALUE(9327)</f>
        <v>9327</v>
      </c>
      <c r="N1587" t="s">
        <v>16</v>
      </c>
    </row>
    <row r="1588" spans="1:14" x14ac:dyDescent="0.25">
      <c r="A1588" t="s">
        <v>14</v>
      </c>
      <c r="B1588" t="s">
        <v>39</v>
      </c>
      <c r="C1588" t="s">
        <v>38</v>
      </c>
      <c r="D1588" t="s">
        <v>15</v>
      </c>
      <c r="E1588" t="s">
        <v>22</v>
      </c>
      <c r="F1588" t="s">
        <v>17</v>
      </c>
      <c r="G1588" s="2">
        <f>VALUE(1470.2064993153)</f>
        <v>1470.2064993153001</v>
      </c>
      <c r="H1588" s="3">
        <f>VALUE(1434.8746929012)</f>
        <v>1434.8746929012</v>
      </c>
      <c r="I1588" s="4">
        <f>VALUE(4540)</f>
        <v>4540</v>
      </c>
      <c r="J1588" s="1">
        <f>VALUE(5575)</f>
        <v>5575</v>
      </c>
      <c r="K1588" s="1">
        <f>VALUE(7223)</f>
        <v>7223</v>
      </c>
      <c r="L1588" s="1">
        <f>VALUE(9998)</f>
        <v>9998</v>
      </c>
      <c r="M1588" s="8">
        <f>VALUE(14064)</f>
        <v>14064</v>
      </c>
      <c r="N1588" t="s">
        <v>25</v>
      </c>
    </row>
    <row r="1589" spans="1:14" x14ac:dyDescent="0.25">
      <c r="A1589" t="s">
        <v>14</v>
      </c>
      <c r="B1589" t="s">
        <v>39</v>
      </c>
      <c r="C1589" t="s">
        <v>38</v>
      </c>
      <c r="D1589" t="s">
        <v>15</v>
      </c>
      <c r="E1589" t="s">
        <v>22</v>
      </c>
      <c r="F1589" t="s">
        <v>18</v>
      </c>
      <c r="G1589" s="2">
        <f>VALUE(634.3283375088)</f>
        <v>634.32833750880002</v>
      </c>
      <c r="H1589" s="3">
        <f>VALUE(624.5572914322)</f>
        <v>624.55729143220003</v>
      </c>
      <c r="I1589" s="4">
        <f>VALUE(4181)</f>
        <v>4181</v>
      </c>
      <c r="J1589" s="1">
        <f>VALUE(5105)</f>
        <v>5105</v>
      </c>
      <c r="K1589" s="1">
        <f>VALUE(6329)</f>
        <v>6329</v>
      </c>
      <c r="L1589" s="1">
        <f>VALUE(7560)</f>
        <v>7560</v>
      </c>
      <c r="M1589" s="8">
        <f>VALUE(9079)</f>
        <v>9079</v>
      </c>
      <c r="N1589" t="s">
        <v>25</v>
      </c>
    </row>
    <row r="1590" spans="1:14" x14ac:dyDescent="0.25">
      <c r="A1590" t="s">
        <v>14</v>
      </c>
      <c r="B1590" t="s">
        <v>39</v>
      </c>
      <c r="C1590" t="s">
        <v>38</v>
      </c>
      <c r="D1590" t="s">
        <v>15</v>
      </c>
      <c r="E1590" t="s">
        <v>22</v>
      </c>
      <c r="F1590" t="s">
        <v>19</v>
      </c>
      <c r="G1590" s="2">
        <f>VALUE(846.1896100227)</f>
        <v>846.18961002269998</v>
      </c>
      <c r="H1590" s="3">
        <f>VALUE(839.5868873215)</f>
        <v>839.58688732149994</v>
      </c>
      <c r="I1590" s="1">
        <f>VALUE(4333)</f>
        <v>4333</v>
      </c>
      <c r="J1590" s="1">
        <f>VALUE(4994)</f>
        <v>4994</v>
      </c>
      <c r="K1590" s="1">
        <f>VALUE(5781)</f>
        <v>5781</v>
      </c>
      <c r="L1590" s="1">
        <f>VALUE(6577)</f>
        <v>6577</v>
      </c>
      <c r="M1590" s="1">
        <f>VALUE(7638)</f>
        <v>7638</v>
      </c>
      <c r="N1590" t="s">
        <v>25</v>
      </c>
    </row>
    <row r="1591" spans="1:14" x14ac:dyDescent="0.25">
      <c r="A1591" t="s">
        <v>14</v>
      </c>
      <c r="B1591" t="s">
        <v>39</v>
      </c>
      <c r="C1591" t="s">
        <v>38</v>
      </c>
      <c r="D1591" t="s">
        <v>15</v>
      </c>
      <c r="E1591" t="s">
        <v>22</v>
      </c>
      <c r="F1591" t="s">
        <v>20</v>
      </c>
      <c r="G1591" s="1">
        <f>VALUE(2673.6191767935)</f>
        <v>2673.6191767935002</v>
      </c>
      <c r="H1591" s="1">
        <f>VALUE(2600.616957158)</f>
        <v>2600.6169571579999</v>
      </c>
      <c r="I1591" s="1">
        <f>VALUE(4027)</f>
        <v>4027</v>
      </c>
      <c r="J1591" s="1">
        <f>VALUE(4845)</f>
        <v>4845</v>
      </c>
      <c r="K1591" s="1">
        <f>VALUE(5600)</f>
        <v>5600</v>
      </c>
      <c r="L1591" s="1">
        <f>VALUE(6341)</f>
        <v>6341</v>
      </c>
      <c r="M1591" s="1">
        <f>VALUE(7092)</f>
        <v>7092</v>
      </c>
      <c r="N1591" t="s">
        <v>16</v>
      </c>
    </row>
    <row r="1592" spans="1:14" x14ac:dyDescent="0.25">
      <c r="A1592" t="s">
        <v>14</v>
      </c>
      <c r="B1592" t="s">
        <v>39</v>
      </c>
      <c r="C1592" t="s">
        <v>38</v>
      </c>
      <c r="D1592" t="s">
        <v>15</v>
      </c>
      <c r="E1592" t="s">
        <v>23</v>
      </c>
      <c r="F1592" t="s">
        <v>15</v>
      </c>
      <c r="G1592" s="1">
        <f>VALUE(6859.2765001171)</f>
        <v>6859.2765001171001</v>
      </c>
      <c r="H1592" s="1">
        <f>VALUE(6920.1944644218)</f>
        <v>6920.1944644218001</v>
      </c>
      <c r="I1592" s="1">
        <f>VALUE(3718)</f>
        <v>3718</v>
      </c>
      <c r="J1592" s="1">
        <f>VALUE(4260)</f>
        <v>4260</v>
      </c>
      <c r="K1592" s="1">
        <f>VALUE(4998)</f>
        <v>4998</v>
      </c>
      <c r="L1592" s="1">
        <f>VALUE(5690)</f>
        <v>5690</v>
      </c>
      <c r="M1592" s="1">
        <f>VALUE(6640)</f>
        <v>6640</v>
      </c>
      <c r="N1592" t="s">
        <v>16</v>
      </c>
    </row>
    <row r="1593" spans="1:14" x14ac:dyDescent="0.25">
      <c r="A1593" t="s">
        <v>14</v>
      </c>
      <c r="B1593" t="s">
        <v>39</v>
      </c>
      <c r="C1593" t="s">
        <v>38</v>
      </c>
      <c r="D1593" t="s">
        <v>15</v>
      </c>
      <c r="E1593" t="s">
        <v>23</v>
      </c>
      <c r="F1593" t="s">
        <v>17</v>
      </c>
      <c r="G1593" s="2">
        <f>VALUE(559.5934544199)</f>
        <v>559.59345441990001</v>
      </c>
      <c r="H1593" s="3">
        <f>VALUE(567.1620369361)</f>
        <v>567.16203693609998</v>
      </c>
      <c r="I1593" s="4">
        <f>VALUE(4000)</f>
        <v>4000</v>
      </c>
      <c r="J1593" s="5">
        <f>VALUE(4952)</f>
        <v>4952</v>
      </c>
      <c r="K1593" s="6">
        <f>VALUE(6081)</f>
        <v>6081</v>
      </c>
      <c r="L1593" s="7">
        <f>VALUE(10630)</f>
        <v>10630</v>
      </c>
      <c r="M1593" s="8">
        <f>VALUE(16502)</f>
        <v>16502</v>
      </c>
      <c r="N1593" t="s">
        <v>24</v>
      </c>
    </row>
    <row r="1594" spans="1:14" x14ac:dyDescent="0.25">
      <c r="A1594" t="s">
        <v>14</v>
      </c>
      <c r="B1594" t="s">
        <v>39</v>
      </c>
      <c r="C1594" t="s">
        <v>38</v>
      </c>
      <c r="D1594" t="s">
        <v>15</v>
      </c>
      <c r="E1594" t="s">
        <v>23</v>
      </c>
      <c r="F1594" t="s">
        <v>18</v>
      </c>
      <c r="G1594" s="2">
        <f>VALUE(408.9946073904)</f>
        <v>408.99460739040001</v>
      </c>
      <c r="H1594" s="3">
        <f>VALUE(405.3501692994)</f>
        <v>405.35016929940002</v>
      </c>
      <c r="I1594" s="1">
        <f>VALUE(3803)</f>
        <v>3803</v>
      </c>
      <c r="J1594" s="5">
        <f>VALUE(4182)</f>
        <v>4182</v>
      </c>
      <c r="K1594" s="1">
        <f>VALUE(5238)</f>
        <v>5238</v>
      </c>
      <c r="L1594" s="1">
        <f>VALUE(6194)</f>
        <v>6194</v>
      </c>
      <c r="M1594" s="1">
        <f>VALUE(7937)</f>
        <v>7937</v>
      </c>
      <c r="N1594" t="s">
        <v>25</v>
      </c>
    </row>
    <row r="1595" spans="1:14" x14ac:dyDescent="0.25">
      <c r="A1595" t="s">
        <v>14</v>
      </c>
      <c r="B1595" t="s">
        <v>39</v>
      </c>
      <c r="C1595" t="s">
        <v>38</v>
      </c>
      <c r="D1595" t="s">
        <v>15</v>
      </c>
      <c r="E1595" t="s">
        <v>23</v>
      </c>
      <c r="F1595" t="s">
        <v>19</v>
      </c>
      <c r="G1595" s="2">
        <f>VALUE(818.1068051516)</f>
        <v>818.10680515160004</v>
      </c>
      <c r="H1595" s="3">
        <f>VALUE(849.7374440879)</f>
        <v>849.73744408790003</v>
      </c>
      <c r="I1595" s="1">
        <f>VALUE(3909)</f>
        <v>3909</v>
      </c>
      <c r="J1595" s="1">
        <f>VALUE(4540)</f>
        <v>4540</v>
      </c>
      <c r="K1595" s="1">
        <f>VALUE(5219)</f>
        <v>5219</v>
      </c>
      <c r="L1595" s="1">
        <f>VALUE(6062)</f>
        <v>6062</v>
      </c>
      <c r="M1595" s="8">
        <f>VALUE(6817)</f>
        <v>6817</v>
      </c>
      <c r="N1595" t="s">
        <v>25</v>
      </c>
    </row>
    <row r="1596" spans="1:14" x14ac:dyDescent="0.25">
      <c r="A1596" t="s">
        <v>14</v>
      </c>
      <c r="B1596" t="s">
        <v>39</v>
      </c>
      <c r="C1596" t="s">
        <v>38</v>
      </c>
      <c r="D1596" t="s">
        <v>15</v>
      </c>
      <c r="E1596" t="s">
        <v>23</v>
      </c>
      <c r="F1596" t="s">
        <v>20</v>
      </c>
      <c r="G1596" s="1">
        <f>VALUE(5072.5816331552)</f>
        <v>5072.5816331551996</v>
      </c>
      <c r="H1596" s="1">
        <f>VALUE(5097.9448140984)</f>
        <v>5097.9448140983995</v>
      </c>
      <c r="I1596" s="1">
        <f>VALUE(3651)</f>
        <v>3651</v>
      </c>
      <c r="J1596" s="1">
        <f>VALUE(4231)</f>
        <v>4231</v>
      </c>
      <c r="K1596" s="1">
        <f>VALUE(4901)</f>
        <v>4901</v>
      </c>
      <c r="L1596" s="1">
        <f>VALUE(5500)</f>
        <v>5500</v>
      </c>
      <c r="M1596" s="1">
        <f>VALUE(6158)</f>
        <v>6158</v>
      </c>
      <c r="N1596" t="s">
        <v>16</v>
      </c>
    </row>
    <row r="1597" spans="1:14" x14ac:dyDescent="0.25">
      <c r="A1597" t="s">
        <v>14</v>
      </c>
      <c r="B1597" t="s">
        <v>39</v>
      </c>
      <c r="C1597" t="s">
        <v>38</v>
      </c>
      <c r="D1597" t="s">
        <v>15</v>
      </c>
      <c r="E1597" t="s">
        <v>26</v>
      </c>
      <c r="F1597" t="s">
        <v>15</v>
      </c>
      <c r="G1597" s="2">
        <f>VALUE(323.5276572737)</f>
        <v>323.52765727370002</v>
      </c>
      <c r="H1597" s="3">
        <f>VALUE(314.3533276955)</f>
        <v>314.35332769550001</v>
      </c>
      <c r="I1597" s="1">
        <f>VALUE(3601)</f>
        <v>3601</v>
      </c>
      <c r="J1597" s="1">
        <f>VALUE(5555)</f>
        <v>5555</v>
      </c>
      <c r="K1597" s="1">
        <f>VALUE(8253)</f>
        <v>8253</v>
      </c>
      <c r="L1597" s="1">
        <f>VALUE(15158)</f>
        <v>15158</v>
      </c>
      <c r="M1597" s="1">
        <f>VALUE(29906)</f>
        <v>29906</v>
      </c>
      <c r="N1597" t="s">
        <v>25</v>
      </c>
    </row>
    <row r="1598" spans="1:14" x14ac:dyDescent="0.25">
      <c r="A1598" t="s">
        <v>14</v>
      </c>
      <c r="B1598" t="s">
        <v>39</v>
      </c>
      <c r="C1598" t="s">
        <v>38</v>
      </c>
      <c r="D1598" t="s">
        <v>15</v>
      </c>
      <c r="E1598" t="s">
        <v>26</v>
      </c>
      <c r="F1598" t="s">
        <v>17</v>
      </c>
      <c r="G1598" s="2">
        <f>VALUE(148.3556123468)</f>
        <v>148.3556123468</v>
      </c>
      <c r="H1598" s="3">
        <f>VALUE(144.7537875061)</f>
        <v>144.7537875061</v>
      </c>
      <c r="I1598" s="1">
        <f>VALUE(3601)</f>
        <v>3601</v>
      </c>
      <c r="J1598" s="1">
        <f>VALUE(9208)</f>
        <v>9208</v>
      </c>
      <c r="K1598" s="1">
        <f>VALUE(16091)</f>
        <v>16091</v>
      </c>
      <c r="L1598" s="1">
        <f>VALUE(26647)</f>
        <v>26647</v>
      </c>
      <c r="M1598" s="1">
        <f>VALUE(46990)</f>
        <v>46990</v>
      </c>
      <c r="N1598" t="s">
        <v>25</v>
      </c>
    </row>
    <row r="1599" spans="1:14" x14ac:dyDescent="0.25">
      <c r="A1599" t="s">
        <v>14</v>
      </c>
      <c r="B1599" t="s">
        <v>39</v>
      </c>
      <c r="C1599" t="s">
        <v>38</v>
      </c>
      <c r="D1599" t="s">
        <v>15</v>
      </c>
      <c r="E1599" t="s">
        <v>26</v>
      </c>
      <c r="F1599" t="s">
        <v>18</v>
      </c>
      <c r="G1599" s="1" t="str">
        <f t="shared" ref="G1599:M1601" si="310">"X"</f>
        <v>X</v>
      </c>
      <c r="H1599" s="1" t="str">
        <f t="shared" si="310"/>
        <v>X</v>
      </c>
      <c r="I1599" s="1" t="str">
        <f t="shared" si="310"/>
        <v>X</v>
      </c>
      <c r="J1599" s="1" t="str">
        <f t="shared" si="310"/>
        <v>X</v>
      </c>
      <c r="K1599" s="1" t="str">
        <f t="shared" si="310"/>
        <v>X</v>
      </c>
      <c r="L1599" s="1" t="str">
        <f t="shared" si="310"/>
        <v>X</v>
      </c>
      <c r="M1599" s="1" t="str">
        <f t="shared" si="310"/>
        <v>X</v>
      </c>
      <c r="N1599" t="s">
        <v>27</v>
      </c>
    </row>
    <row r="1600" spans="1:14" x14ac:dyDescent="0.25">
      <c r="A1600" t="s">
        <v>14</v>
      </c>
      <c r="B1600" t="s">
        <v>39</v>
      </c>
      <c r="C1600" t="s">
        <v>38</v>
      </c>
      <c r="D1600" t="s">
        <v>15</v>
      </c>
      <c r="E1600" t="s">
        <v>26</v>
      </c>
      <c r="F1600" t="s">
        <v>19</v>
      </c>
      <c r="G1600" s="1" t="str">
        <f t="shared" si="310"/>
        <v>X</v>
      </c>
      <c r="H1600" s="1" t="str">
        <f t="shared" si="310"/>
        <v>X</v>
      </c>
      <c r="I1600" s="1" t="str">
        <f t="shared" si="310"/>
        <v>X</v>
      </c>
      <c r="J1600" s="1" t="str">
        <f t="shared" si="310"/>
        <v>X</v>
      </c>
      <c r="K1600" s="1" t="str">
        <f t="shared" si="310"/>
        <v>X</v>
      </c>
      <c r="L1600" s="1" t="str">
        <f t="shared" si="310"/>
        <v>X</v>
      </c>
      <c r="M1600" s="1" t="str">
        <f t="shared" si="310"/>
        <v>X</v>
      </c>
      <c r="N1600" t="s">
        <v>27</v>
      </c>
    </row>
    <row r="1601" spans="1:14" x14ac:dyDescent="0.25">
      <c r="A1601" t="s">
        <v>14</v>
      </c>
      <c r="B1601" t="s">
        <v>39</v>
      </c>
      <c r="C1601" t="s">
        <v>38</v>
      </c>
      <c r="D1601" t="s">
        <v>15</v>
      </c>
      <c r="E1601" t="s">
        <v>26</v>
      </c>
      <c r="F1601" t="s">
        <v>20</v>
      </c>
      <c r="G1601" s="1" t="str">
        <f t="shared" si="310"/>
        <v>X</v>
      </c>
      <c r="H1601" s="1" t="str">
        <f t="shared" si="310"/>
        <v>X</v>
      </c>
      <c r="I1601" s="1" t="str">
        <f t="shared" si="310"/>
        <v>X</v>
      </c>
      <c r="J1601" s="1" t="str">
        <f t="shared" si="310"/>
        <v>X</v>
      </c>
      <c r="K1601" s="1" t="str">
        <f t="shared" si="310"/>
        <v>X</v>
      </c>
      <c r="L1601" s="1" t="str">
        <f t="shared" si="310"/>
        <v>X</v>
      </c>
      <c r="M1601" s="1" t="str">
        <f t="shared" si="310"/>
        <v>X</v>
      </c>
      <c r="N1601" t="s">
        <v>27</v>
      </c>
    </row>
    <row r="1602" spans="1:14" x14ac:dyDescent="0.25">
      <c r="A1602" t="s">
        <v>14</v>
      </c>
      <c r="B1602" t="s">
        <v>39</v>
      </c>
      <c r="C1602" t="s">
        <v>38</v>
      </c>
      <c r="D1602" t="s">
        <v>28</v>
      </c>
      <c r="E1602" t="s">
        <v>15</v>
      </c>
      <c r="F1602" t="s">
        <v>15</v>
      </c>
      <c r="G1602" s="1">
        <f>VALUE(6582.5540099301)</f>
        <v>6582.5540099300997</v>
      </c>
      <c r="H1602" s="1">
        <f>VALUE(6326.390685741)</f>
        <v>6326.3906857410002</v>
      </c>
      <c r="I1602" s="1">
        <f>VALUE(4333)</f>
        <v>4333</v>
      </c>
      <c r="J1602" s="1">
        <f>VALUE(5336)</f>
        <v>5336</v>
      </c>
      <c r="K1602" s="1">
        <f>VALUE(6500)</f>
        <v>6500</v>
      </c>
      <c r="L1602" s="1">
        <f>VALUE(9327)</f>
        <v>9327</v>
      </c>
      <c r="M1602" s="1">
        <f>VALUE(14400)</f>
        <v>14400</v>
      </c>
      <c r="N1602" t="s">
        <v>16</v>
      </c>
    </row>
    <row r="1603" spans="1:14" x14ac:dyDescent="0.25">
      <c r="A1603" t="s">
        <v>14</v>
      </c>
      <c r="B1603" t="s">
        <v>39</v>
      </c>
      <c r="C1603" t="s">
        <v>38</v>
      </c>
      <c r="D1603" t="s">
        <v>28</v>
      </c>
      <c r="E1603" t="s">
        <v>15</v>
      </c>
      <c r="F1603" t="s">
        <v>17</v>
      </c>
      <c r="G1603" s="1">
        <f>VALUE(2770.3920803127)</f>
        <v>2770.3920803126998</v>
      </c>
      <c r="H1603" s="1">
        <f>VALUE(2696.6686214835)</f>
        <v>2696.6686214834999</v>
      </c>
      <c r="I1603" s="4">
        <f>VALUE(4825)</f>
        <v>4825</v>
      </c>
      <c r="J1603" s="1">
        <f>VALUE(6106)</f>
        <v>6106</v>
      </c>
      <c r="K1603" s="1">
        <f>VALUE(9145)</f>
        <v>9145</v>
      </c>
      <c r="L1603" s="1">
        <f>VALUE(13459)</f>
        <v>13459</v>
      </c>
      <c r="M1603" s="8">
        <f>VALUE(20834)</f>
        <v>20834</v>
      </c>
      <c r="N1603" t="s">
        <v>25</v>
      </c>
    </row>
    <row r="1604" spans="1:14" x14ac:dyDescent="0.25">
      <c r="A1604" t="s">
        <v>14</v>
      </c>
      <c r="B1604" t="s">
        <v>39</v>
      </c>
      <c r="C1604" t="s">
        <v>38</v>
      </c>
      <c r="D1604" t="s">
        <v>28</v>
      </c>
      <c r="E1604" t="s">
        <v>15</v>
      </c>
      <c r="F1604" t="s">
        <v>18</v>
      </c>
      <c r="G1604" s="2">
        <f>VALUE(694.2402879531)</f>
        <v>694.24028795310005</v>
      </c>
      <c r="H1604" s="3">
        <f>VALUE(672.1371408535)</f>
        <v>672.1371408535</v>
      </c>
      <c r="I1604" s="4">
        <f>VALUE(4333)</f>
        <v>4333</v>
      </c>
      <c r="J1604" s="1">
        <f>VALUE(5863)</f>
        <v>5863</v>
      </c>
      <c r="K1604" s="1">
        <f>VALUE(7738)</f>
        <v>7738</v>
      </c>
      <c r="L1604" s="1">
        <f>VALUE(9079)</f>
        <v>9079</v>
      </c>
      <c r="M1604" s="1">
        <f>VALUE(10906)</f>
        <v>10906</v>
      </c>
      <c r="N1604" t="s">
        <v>25</v>
      </c>
    </row>
    <row r="1605" spans="1:14" x14ac:dyDescent="0.25">
      <c r="A1605" t="s">
        <v>14</v>
      </c>
      <c r="B1605" t="s">
        <v>39</v>
      </c>
      <c r="C1605" t="s">
        <v>38</v>
      </c>
      <c r="D1605" t="s">
        <v>28</v>
      </c>
      <c r="E1605" t="s">
        <v>15</v>
      </c>
      <c r="F1605" t="s">
        <v>19</v>
      </c>
      <c r="G1605" s="2">
        <f>VALUE(704.4520086599)</f>
        <v>704.4520086599</v>
      </c>
      <c r="H1605" s="3">
        <f>VALUE(686.8885789707)</f>
        <v>686.8885789707</v>
      </c>
      <c r="I1605" s="4">
        <f>VALUE(4333)</f>
        <v>4333</v>
      </c>
      <c r="J1605" s="1">
        <f>VALUE(5135)</f>
        <v>5135</v>
      </c>
      <c r="K1605" s="1">
        <f>VALUE(6066)</f>
        <v>6066</v>
      </c>
      <c r="L1605" s="1">
        <f>VALUE(6975)</f>
        <v>6975</v>
      </c>
      <c r="M1605" s="1">
        <f>VALUE(8327)</f>
        <v>8327</v>
      </c>
      <c r="N1605" t="s">
        <v>25</v>
      </c>
    </row>
    <row r="1606" spans="1:14" x14ac:dyDescent="0.25">
      <c r="A1606" t="s">
        <v>14</v>
      </c>
      <c r="B1606" t="s">
        <v>39</v>
      </c>
      <c r="C1606" t="s">
        <v>38</v>
      </c>
      <c r="D1606" t="s">
        <v>28</v>
      </c>
      <c r="E1606" t="s">
        <v>15</v>
      </c>
      <c r="F1606" t="s">
        <v>20</v>
      </c>
      <c r="G1606" s="1">
        <f>VALUE(2407.9620006202)</f>
        <v>2407.9620006201999</v>
      </c>
      <c r="H1606" s="1">
        <f>VALUE(2266.0518523515)</f>
        <v>2266.0518523515002</v>
      </c>
      <c r="I1606" s="1">
        <f>VALUE(4069)</f>
        <v>4069</v>
      </c>
      <c r="J1606" s="1">
        <f>VALUE(4821)</f>
        <v>4821</v>
      </c>
      <c r="K1606" s="1">
        <f>VALUE(5592)</f>
        <v>5592</v>
      </c>
      <c r="L1606" s="1">
        <f>VALUE(6474)</f>
        <v>6474</v>
      </c>
      <c r="M1606" s="1">
        <f>VALUE(7674)</f>
        <v>7674</v>
      </c>
      <c r="N1606" t="s">
        <v>16</v>
      </c>
    </row>
    <row r="1607" spans="1:14" x14ac:dyDescent="0.25">
      <c r="A1607" t="s">
        <v>14</v>
      </c>
      <c r="B1607" t="s">
        <v>39</v>
      </c>
      <c r="C1607" t="s">
        <v>38</v>
      </c>
      <c r="D1607" t="s">
        <v>28</v>
      </c>
      <c r="E1607" t="s">
        <v>21</v>
      </c>
      <c r="F1607" t="s">
        <v>15</v>
      </c>
      <c r="G1607" s="1">
        <f>VALUE(2159.0162830415)</f>
        <v>2159.0162830415002</v>
      </c>
      <c r="H1607" s="1">
        <f>VALUE(2041.0340192183)</f>
        <v>2041.0340192183</v>
      </c>
      <c r="I1607" s="4">
        <f>VALUE(4863)</f>
        <v>4863</v>
      </c>
      <c r="J1607" s="5">
        <f>VALUE(6425)</f>
        <v>6425</v>
      </c>
      <c r="K1607" s="1">
        <f>VALUE(9047)</f>
        <v>9047</v>
      </c>
      <c r="L1607" s="7">
        <f>VALUE(12892)</f>
        <v>12892</v>
      </c>
      <c r="M1607" s="8">
        <f>VALUE(18650)</f>
        <v>18650</v>
      </c>
      <c r="N1607" t="s">
        <v>25</v>
      </c>
    </row>
    <row r="1608" spans="1:14" x14ac:dyDescent="0.25">
      <c r="A1608" t="s">
        <v>14</v>
      </c>
      <c r="B1608" t="s">
        <v>39</v>
      </c>
      <c r="C1608" t="s">
        <v>38</v>
      </c>
      <c r="D1608" t="s">
        <v>28</v>
      </c>
      <c r="E1608" t="s">
        <v>21</v>
      </c>
      <c r="F1608" t="s">
        <v>17</v>
      </c>
      <c r="G1608" s="2">
        <f>VALUE(1524.0625953551)</f>
        <v>1524.0625953551</v>
      </c>
      <c r="H1608" s="3">
        <f>VALUE(1484.0382836346)</f>
        <v>1484.0382836346</v>
      </c>
      <c r="I1608" s="4">
        <f>VALUE(5000)</f>
        <v>5000</v>
      </c>
      <c r="J1608" s="5">
        <f>VALUE(6831)</f>
        <v>6831</v>
      </c>
      <c r="K1608" s="1">
        <f>VALUE(10577)</f>
        <v>10577</v>
      </c>
      <c r="L1608" s="1">
        <f>VALUE(14832)</f>
        <v>14832</v>
      </c>
      <c r="M1608" s="1">
        <f>VALUE(21770)</f>
        <v>21770</v>
      </c>
      <c r="N1608" t="s">
        <v>25</v>
      </c>
    </row>
    <row r="1609" spans="1:14" x14ac:dyDescent="0.25">
      <c r="A1609" t="s">
        <v>14</v>
      </c>
      <c r="B1609" t="s">
        <v>39</v>
      </c>
      <c r="C1609" t="s">
        <v>38</v>
      </c>
      <c r="D1609" t="s">
        <v>28</v>
      </c>
      <c r="E1609" t="s">
        <v>21</v>
      </c>
      <c r="F1609" t="s">
        <v>18</v>
      </c>
      <c r="G1609" s="2">
        <f>VALUE(242.1192926625)</f>
        <v>242.11929266249999</v>
      </c>
      <c r="H1609" s="3">
        <f>VALUE(221.8079878744)</f>
        <v>221.8079878744</v>
      </c>
      <c r="I1609" s="1">
        <f>VALUE(5389)</f>
        <v>5389</v>
      </c>
      <c r="J1609" s="5">
        <f>VALUE(7119)</f>
        <v>7119</v>
      </c>
      <c r="K1609" s="1">
        <f>VALUE(8795)</f>
        <v>8795</v>
      </c>
      <c r="L1609" s="1">
        <f>VALUE(9777)</f>
        <v>9777</v>
      </c>
      <c r="M1609" s="8">
        <f>VALUE(12659)</f>
        <v>12659</v>
      </c>
      <c r="N1609" t="s">
        <v>25</v>
      </c>
    </row>
    <row r="1610" spans="1:14" x14ac:dyDescent="0.25">
      <c r="A1610" t="s">
        <v>14</v>
      </c>
      <c r="B1610" t="s">
        <v>39</v>
      </c>
      <c r="C1610" t="s">
        <v>38</v>
      </c>
      <c r="D1610" t="s">
        <v>28</v>
      </c>
      <c r="E1610" t="s">
        <v>21</v>
      </c>
      <c r="F1610" t="s">
        <v>19</v>
      </c>
      <c r="G1610" s="1" t="str">
        <f t="shared" ref="G1610:M1610" si="311">"X"</f>
        <v>X</v>
      </c>
      <c r="H1610" s="1" t="str">
        <f t="shared" si="311"/>
        <v>X</v>
      </c>
      <c r="I1610" s="1" t="str">
        <f t="shared" si="311"/>
        <v>X</v>
      </c>
      <c r="J1610" s="1" t="str">
        <f t="shared" si="311"/>
        <v>X</v>
      </c>
      <c r="K1610" s="1" t="str">
        <f t="shared" si="311"/>
        <v>X</v>
      </c>
      <c r="L1610" s="1" t="str">
        <f t="shared" si="311"/>
        <v>X</v>
      </c>
      <c r="M1610" s="1" t="str">
        <f t="shared" si="311"/>
        <v>X</v>
      </c>
      <c r="N1610" t="s">
        <v>27</v>
      </c>
    </row>
    <row r="1611" spans="1:14" x14ac:dyDescent="0.25">
      <c r="A1611" t="s">
        <v>14</v>
      </c>
      <c r="B1611" t="s">
        <v>39</v>
      </c>
      <c r="C1611" t="s">
        <v>38</v>
      </c>
      <c r="D1611" t="s">
        <v>28</v>
      </c>
      <c r="E1611" t="s">
        <v>21</v>
      </c>
      <c r="F1611" t="s">
        <v>20</v>
      </c>
      <c r="G1611" s="2">
        <f>VALUE(247.5678373766)</f>
        <v>247.56783737660001</v>
      </c>
      <c r="H1611" s="3">
        <f>VALUE(198.9420436601)</f>
        <v>198.94204366010001</v>
      </c>
      <c r="I1611" s="4">
        <f>VALUE(3700)</f>
        <v>3700</v>
      </c>
      <c r="J1611" s="5">
        <f>VALUE(5546)</f>
        <v>5546</v>
      </c>
      <c r="K1611" s="1">
        <f>VALUE(7107)</f>
        <v>7107</v>
      </c>
      <c r="L1611" s="1">
        <f>VALUE(8108)</f>
        <v>8108</v>
      </c>
      <c r="M1611" s="8">
        <f>VALUE(10790)</f>
        <v>10790</v>
      </c>
      <c r="N1611" t="s">
        <v>25</v>
      </c>
    </row>
    <row r="1612" spans="1:14" x14ac:dyDescent="0.25">
      <c r="A1612" t="s">
        <v>14</v>
      </c>
      <c r="B1612" t="s">
        <v>39</v>
      </c>
      <c r="C1612" t="s">
        <v>38</v>
      </c>
      <c r="D1612" t="s">
        <v>28</v>
      </c>
      <c r="E1612" t="s">
        <v>22</v>
      </c>
      <c r="F1612" t="s">
        <v>15</v>
      </c>
      <c r="G1612" s="1">
        <f>VALUE(3245.442076336)</f>
        <v>3245.4420763359999</v>
      </c>
      <c r="H1612" s="1">
        <f>VALUE(3137.8171952319)</f>
        <v>3137.8171952318999</v>
      </c>
      <c r="I1612" s="1">
        <f>VALUE(4333)</f>
        <v>4333</v>
      </c>
      <c r="J1612" s="1">
        <f>VALUE(5354)</f>
        <v>5354</v>
      </c>
      <c r="K1612" s="1">
        <f>VALUE(6190)</f>
        <v>6190</v>
      </c>
      <c r="L1612" s="1">
        <f>VALUE(7535)</f>
        <v>7535</v>
      </c>
      <c r="M1612" s="1">
        <f>VALUE(10183)</f>
        <v>10183</v>
      </c>
      <c r="N1612" t="s">
        <v>16</v>
      </c>
    </row>
    <row r="1613" spans="1:14" x14ac:dyDescent="0.25">
      <c r="A1613" t="s">
        <v>14</v>
      </c>
      <c r="B1613" t="s">
        <v>39</v>
      </c>
      <c r="C1613" t="s">
        <v>38</v>
      </c>
      <c r="D1613" t="s">
        <v>28</v>
      </c>
      <c r="E1613" t="s">
        <v>22</v>
      </c>
      <c r="F1613" t="s">
        <v>17</v>
      </c>
      <c r="G1613" s="2">
        <f>VALUE(1059.2470475974)</f>
        <v>1059.2470475974001</v>
      </c>
      <c r="H1613" s="3">
        <f>VALUE(1019.4183115435)</f>
        <v>1019.4183115435</v>
      </c>
      <c r="I1613" s="4">
        <f>VALUE(4286)</f>
        <v>4286</v>
      </c>
      <c r="J1613" s="5">
        <f>VALUE(5471)</f>
        <v>5471</v>
      </c>
      <c r="K1613" s="1">
        <f>VALUE(7334)</f>
        <v>7334</v>
      </c>
      <c r="L1613" s="1">
        <f>VALUE(9998)</f>
        <v>9998</v>
      </c>
      <c r="M1613" s="8">
        <f>VALUE(14064)</f>
        <v>14064</v>
      </c>
      <c r="N1613" t="s">
        <v>25</v>
      </c>
    </row>
    <row r="1614" spans="1:14" x14ac:dyDescent="0.25">
      <c r="A1614" t="s">
        <v>14</v>
      </c>
      <c r="B1614" t="s">
        <v>39</v>
      </c>
      <c r="C1614" t="s">
        <v>38</v>
      </c>
      <c r="D1614" t="s">
        <v>28</v>
      </c>
      <c r="E1614" t="s">
        <v>22</v>
      </c>
      <c r="F1614" t="s">
        <v>18</v>
      </c>
      <c r="G1614" s="2">
        <f>VALUE(330.7928792543)</f>
        <v>330.79287925429998</v>
      </c>
      <c r="H1614" s="3">
        <f>VALUE(334.5168711997)</f>
        <v>334.51687119970001</v>
      </c>
      <c r="I1614" s="4">
        <f>VALUE(3805)</f>
        <v>3805</v>
      </c>
      <c r="J1614" s="5">
        <f>VALUE(5695)</f>
        <v>5695</v>
      </c>
      <c r="K1614" s="1">
        <f>VALUE(6967)</f>
        <v>6967</v>
      </c>
      <c r="L1614" s="1">
        <f>VALUE(8175)</f>
        <v>8175</v>
      </c>
      <c r="M1614" s="1">
        <f>VALUE(10247)</f>
        <v>10247</v>
      </c>
      <c r="N1614" t="s">
        <v>25</v>
      </c>
    </row>
    <row r="1615" spans="1:14" x14ac:dyDescent="0.25">
      <c r="A1615" t="s">
        <v>14</v>
      </c>
      <c r="B1615" t="s">
        <v>39</v>
      </c>
      <c r="C1615" t="s">
        <v>38</v>
      </c>
      <c r="D1615" t="s">
        <v>28</v>
      </c>
      <c r="E1615" t="s">
        <v>22</v>
      </c>
      <c r="F1615" t="s">
        <v>19</v>
      </c>
      <c r="G1615" s="2">
        <f>VALUE(444.9225778446)</f>
        <v>444.92257784460003</v>
      </c>
      <c r="H1615" s="3">
        <f>VALUE(436.5189359258)</f>
        <v>436.51893592580001</v>
      </c>
      <c r="I1615" s="1">
        <f>VALUE(4401)</f>
        <v>4401</v>
      </c>
      <c r="J1615" s="1">
        <f>VALUE(5338)</f>
        <v>5338</v>
      </c>
      <c r="K1615" s="1">
        <f>VALUE(6008)</f>
        <v>6008</v>
      </c>
      <c r="L1615" s="1">
        <f>VALUE(6933)</f>
        <v>6933</v>
      </c>
      <c r="M1615" s="1">
        <f>VALUE(8130)</f>
        <v>8130</v>
      </c>
      <c r="N1615" t="s">
        <v>25</v>
      </c>
    </row>
    <row r="1616" spans="1:14" x14ac:dyDescent="0.25">
      <c r="A1616" t="s">
        <v>14</v>
      </c>
      <c r="B1616" t="s">
        <v>39</v>
      </c>
      <c r="C1616" t="s">
        <v>38</v>
      </c>
      <c r="D1616" t="s">
        <v>28</v>
      </c>
      <c r="E1616" t="s">
        <v>22</v>
      </c>
      <c r="F1616" t="s">
        <v>20</v>
      </c>
      <c r="G1616" s="1">
        <f>VALUE(1410.4795716397)</f>
        <v>1410.4795716397</v>
      </c>
      <c r="H1616" s="1">
        <f>VALUE(1347.3630765629)</f>
        <v>1347.3630765629</v>
      </c>
      <c r="I1616" s="1">
        <f>VALUE(4304)</f>
        <v>4304</v>
      </c>
      <c r="J1616" s="1">
        <f>VALUE(5146)</f>
        <v>5146</v>
      </c>
      <c r="K1616" s="1">
        <f>VALUE(5769)</f>
        <v>5769</v>
      </c>
      <c r="L1616" s="1">
        <f>VALUE(6521)</f>
        <v>6521</v>
      </c>
      <c r="M1616" s="1">
        <f>VALUE(7409)</f>
        <v>7409</v>
      </c>
      <c r="N1616" t="s">
        <v>16</v>
      </c>
    </row>
    <row r="1617" spans="1:14" x14ac:dyDescent="0.25">
      <c r="A1617" t="s">
        <v>14</v>
      </c>
      <c r="B1617" t="s">
        <v>39</v>
      </c>
      <c r="C1617" t="s">
        <v>38</v>
      </c>
      <c r="D1617" t="s">
        <v>28</v>
      </c>
      <c r="E1617" t="s">
        <v>23</v>
      </c>
      <c r="F1617" t="s">
        <v>15</v>
      </c>
      <c r="G1617" s="2">
        <f>VALUE(969.9266403131)</f>
        <v>969.92664031310005</v>
      </c>
      <c r="H1617" s="3">
        <f>VALUE(940.637966979)</f>
        <v>940.637966979</v>
      </c>
      <c r="I1617" s="1">
        <f>VALUE(3852)</f>
        <v>3852</v>
      </c>
      <c r="J1617" s="1">
        <f>VALUE(4385)</f>
        <v>4385</v>
      </c>
      <c r="K1617" s="1">
        <f>VALUE(5126)</f>
        <v>5126</v>
      </c>
      <c r="L1617" s="7">
        <f>VALUE(6004)</f>
        <v>6004</v>
      </c>
      <c r="M1617" s="8">
        <f>VALUE(9456)</f>
        <v>9456</v>
      </c>
      <c r="N1617" t="s">
        <v>25</v>
      </c>
    </row>
    <row r="1618" spans="1:14" x14ac:dyDescent="0.25">
      <c r="A1618" t="s">
        <v>14</v>
      </c>
      <c r="B1618" t="s">
        <v>39</v>
      </c>
      <c r="C1618" t="s">
        <v>38</v>
      </c>
      <c r="D1618" t="s">
        <v>28</v>
      </c>
      <c r="E1618" t="s">
        <v>23</v>
      </c>
      <c r="F1618" t="s">
        <v>17</v>
      </c>
      <c r="G1618" s="1" t="str">
        <f t="shared" ref="G1618:M1620" si="312">"X"</f>
        <v>X</v>
      </c>
      <c r="H1618" s="1" t="str">
        <f t="shared" si="312"/>
        <v>X</v>
      </c>
      <c r="I1618" s="1" t="str">
        <f t="shared" si="312"/>
        <v>X</v>
      </c>
      <c r="J1618" s="1" t="str">
        <f t="shared" si="312"/>
        <v>X</v>
      </c>
      <c r="K1618" s="1" t="str">
        <f t="shared" si="312"/>
        <v>X</v>
      </c>
      <c r="L1618" s="1" t="str">
        <f t="shared" si="312"/>
        <v>X</v>
      </c>
      <c r="M1618" s="1" t="str">
        <f t="shared" si="312"/>
        <v>X</v>
      </c>
      <c r="N1618" t="s">
        <v>27</v>
      </c>
    </row>
    <row r="1619" spans="1:14" x14ac:dyDescent="0.25">
      <c r="A1619" t="s">
        <v>14</v>
      </c>
      <c r="B1619" t="s">
        <v>39</v>
      </c>
      <c r="C1619" t="s">
        <v>38</v>
      </c>
      <c r="D1619" t="s">
        <v>28</v>
      </c>
      <c r="E1619" t="s">
        <v>23</v>
      </c>
      <c r="F1619" t="s">
        <v>18</v>
      </c>
      <c r="G1619" s="1" t="str">
        <f t="shared" si="312"/>
        <v>X</v>
      </c>
      <c r="H1619" s="1" t="str">
        <f t="shared" si="312"/>
        <v>X</v>
      </c>
      <c r="I1619" s="1" t="str">
        <f t="shared" si="312"/>
        <v>X</v>
      </c>
      <c r="J1619" s="1" t="str">
        <f t="shared" si="312"/>
        <v>X</v>
      </c>
      <c r="K1619" s="1" t="str">
        <f t="shared" si="312"/>
        <v>X</v>
      </c>
      <c r="L1619" s="1" t="str">
        <f t="shared" si="312"/>
        <v>X</v>
      </c>
      <c r="M1619" s="1" t="str">
        <f t="shared" si="312"/>
        <v>X</v>
      </c>
      <c r="N1619" t="s">
        <v>27</v>
      </c>
    </row>
    <row r="1620" spans="1:14" x14ac:dyDescent="0.25">
      <c r="A1620" t="s">
        <v>14</v>
      </c>
      <c r="B1620" t="s">
        <v>39</v>
      </c>
      <c r="C1620" t="s">
        <v>38</v>
      </c>
      <c r="D1620" t="s">
        <v>28</v>
      </c>
      <c r="E1620" t="s">
        <v>23</v>
      </c>
      <c r="F1620" t="s">
        <v>19</v>
      </c>
      <c r="G1620" s="1" t="str">
        <f t="shared" si="312"/>
        <v>X</v>
      </c>
      <c r="H1620" s="1" t="str">
        <f t="shared" si="312"/>
        <v>X</v>
      </c>
      <c r="I1620" s="1" t="str">
        <f t="shared" si="312"/>
        <v>X</v>
      </c>
      <c r="J1620" s="1" t="str">
        <f t="shared" si="312"/>
        <v>X</v>
      </c>
      <c r="K1620" s="1" t="str">
        <f t="shared" si="312"/>
        <v>X</v>
      </c>
      <c r="L1620" s="1" t="str">
        <f t="shared" si="312"/>
        <v>X</v>
      </c>
      <c r="M1620" s="1" t="str">
        <f t="shared" si="312"/>
        <v>X</v>
      </c>
      <c r="N1620" t="s">
        <v>27</v>
      </c>
    </row>
    <row r="1621" spans="1:14" x14ac:dyDescent="0.25">
      <c r="A1621" t="s">
        <v>14</v>
      </c>
      <c r="B1621" t="s">
        <v>39</v>
      </c>
      <c r="C1621" t="s">
        <v>38</v>
      </c>
      <c r="D1621" t="s">
        <v>28</v>
      </c>
      <c r="E1621" t="s">
        <v>23</v>
      </c>
      <c r="F1621" t="s">
        <v>20</v>
      </c>
      <c r="G1621" s="2">
        <f>VALUE(692.7473750469)</f>
        <v>692.74737504689995</v>
      </c>
      <c r="H1621" s="3">
        <f>VALUE(663.279586676)</f>
        <v>663.27958667600001</v>
      </c>
      <c r="I1621" s="1">
        <f>VALUE(3823)</f>
        <v>3823</v>
      </c>
      <c r="J1621" s="1">
        <f>VALUE(4383)</f>
        <v>4383</v>
      </c>
      <c r="K1621" s="1">
        <f>VALUE(4974)</f>
        <v>4974</v>
      </c>
      <c r="L1621" s="1">
        <f>VALUE(5647)</f>
        <v>5647</v>
      </c>
      <c r="M1621" s="8">
        <f>VALUE(6805)</f>
        <v>6805</v>
      </c>
      <c r="N1621" t="s">
        <v>25</v>
      </c>
    </row>
    <row r="1622" spans="1:14" x14ac:dyDescent="0.25">
      <c r="A1622" t="s">
        <v>14</v>
      </c>
      <c r="B1622" t="s">
        <v>39</v>
      </c>
      <c r="C1622" t="s">
        <v>38</v>
      </c>
      <c r="D1622" t="s">
        <v>28</v>
      </c>
      <c r="E1622" t="s">
        <v>26</v>
      </c>
      <c r="F1622" t="s">
        <v>15</v>
      </c>
      <c r="G1622" s="2">
        <f>VALUE(208.1690102395)</f>
        <v>208.16901023950001</v>
      </c>
      <c r="H1622" s="3">
        <f>VALUE(206.9015043118)</f>
        <v>206.90150431180001</v>
      </c>
      <c r="I1622" s="1">
        <f>VALUE(5674)</f>
        <v>5674</v>
      </c>
      <c r="J1622" s="1">
        <f>VALUE(6339)</f>
        <v>6339</v>
      </c>
      <c r="K1622" s="1">
        <f>VALUE(9920)</f>
        <v>9920</v>
      </c>
      <c r="L1622" s="1">
        <f>VALUE(19345)</f>
        <v>19345</v>
      </c>
      <c r="M1622" s="1">
        <f>VALUE(35669)</f>
        <v>35669</v>
      </c>
      <c r="N1622" t="s">
        <v>25</v>
      </c>
    </row>
    <row r="1623" spans="1:14" x14ac:dyDescent="0.25">
      <c r="A1623" t="s">
        <v>14</v>
      </c>
      <c r="B1623" t="s">
        <v>39</v>
      </c>
      <c r="C1623" t="s">
        <v>38</v>
      </c>
      <c r="D1623" t="s">
        <v>28</v>
      </c>
      <c r="E1623" t="s">
        <v>26</v>
      </c>
      <c r="F1623" t="s">
        <v>17</v>
      </c>
      <c r="G1623" s="1" t="str">
        <f t="shared" ref="G1623:M1626" si="313">"X"</f>
        <v>X</v>
      </c>
      <c r="H1623" s="1" t="str">
        <f t="shared" si="313"/>
        <v>X</v>
      </c>
      <c r="I1623" s="1" t="str">
        <f t="shared" si="313"/>
        <v>X</v>
      </c>
      <c r="J1623" s="1" t="str">
        <f t="shared" si="313"/>
        <v>X</v>
      </c>
      <c r="K1623" s="1" t="str">
        <f t="shared" si="313"/>
        <v>X</v>
      </c>
      <c r="L1623" s="1" t="str">
        <f t="shared" si="313"/>
        <v>X</v>
      </c>
      <c r="M1623" s="1" t="str">
        <f t="shared" si="313"/>
        <v>X</v>
      </c>
      <c r="N1623" t="s">
        <v>27</v>
      </c>
    </row>
    <row r="1624" spans="1:14" x14ac:dyDescent="0.25">
      <c r="A1624" t="s">
        <v>14</v>
      </c>
      <c r="B1624" t="s">
        <v>39</v>
      </c>
      <c r="C1624" t="s">
        <v>38</v>
      </c>
      <c r="D1624" t="s">
        <v>28</v>
      </c>
      <c r="E1624" t="s">
        <v>26</v>
      </c>
      <c r="F1624" t="s">
        <v>18</v>
      </c>
      <c r="G1624" s="1" t="str">
        <f t="shared" si="313"/>
        <v>X</v>
      </c>
      <c r="H1624" s="1" t="str">
        <f t="shared" si="313"/>
        <v>X</v>
      </c>
      <c r="I1624" s="1" t="str">
        <f t="shared" si="313"/>
        <v>X</v>
      </c>
      <c r="J1624" s="1" t="str">
        <f t="shared" si="313"/>
        <v>X</v>
      </c>
      <c r="K1624" s="1" t="str">
        <f t="shared" si="313"/>
        <v>X</v>
      </c>
      <c r="L1624" s="1" t="str">
        <f t="shared" si="313"/>
        <v>X</v>
      </c>
      <c r="M1624" s="1" t="str">
        <f t="shared" si="313"/>
        <v>X</v>
      </c>
      <c r="N1624" t="s">
        <v>27</v>
      </c>
    </row>
    <row r="1625" spans="1:14" x14ac:dyDescent="0.25">
      <c r="A1625" t="s">
        <v>14</v>
      </c>
      <c r="B1625" t="s">
        <v>39</v>
      </c>
      <c r="C1625" t="s">
        <v>38</v>
      </c>
      <c r="D1625" t="s">
        <v>28</v>
      </c>
      <c r="E1625" t="s">
        <v>26</v>
      </c>
      <c r="F1625" t="s">
        <v>19</v>
      </c>
      <c r="G1625" s="1" t="str">
        <f t="shared" si="313"/>
        <v>X</v>
      </c>
      <c r="H1625" s="1" t="str">
        <f t="shared" si="313"/>
        <v>X</v>
      </c>
      <c r="I1625" s="1" t="str">
        <f t="shared" si="313"/>
        <v>X</v>
      </c>
      <c r="J1625" s="1" t="str">
        <f t="shared" si="313"/>
        <v>X</v>
      </c>
      <c r="K1625" s="1" t="str">
        <f t="shared" si="313"/>
        <v>X</v>
      </c>
      <c r="L1625" s="1" t="str">
        <f t="shared" si="313"/>
        <v>X</v>
      </c>
      <c r="M1625" s="1" t="str">
        <f t="shared" si="313"/>
        <v>X</v>
      </c>
      <c r="N1625" t="s">
        <v>27</v>
      </c>
    </row>
    <row r="1626" spans="1:14" x14ac:dyDescent="0.25">
      <c r="A1626" t="s">
        <v>14</v>
      </c>
      <c r="B1626" t="s">
        <v>39</v>
      </c>
      <c r="C1626" t="s">
        <v>38</v>
      </c>
      <c r="D1626" t="s">
        <v>28</v>
      </c>
      <c r="E1626" t="s">
        <v>26</v>
      </c>
      <c r="F1626" t="s">
        <v>20</v>
      </c>
      <c r="G1626" s="1" t="str">
        <f t="shared" si="313"/>
        <v>X</v>
      </c>
      <c r="H1626" s="1" t="str">
        <f t="shared" si="313"/>
        <v>X</v>
      </c>
      <c r="I1626" s="1" t="str">
        <f t="shared" si="313"/>
        <v>X</v>
      </c>
      <c r="J1626" s="1" t="str">
        <f t="shared" si="313"/>
        <v>X</v>
      </c>
      <c r="K1626" s="1" t="str">
        <f t="shared" si="313"/>
        <v>X</v>
      </c>
      <c r="L1626" s="1" t="str">
        <f t="shared" si="313"/>
        <v>X</v>
      </c>
      <c r="M1626" s="1" t="str">
        <f t="shared" si="313"/>
        <v>X</v>
      </c>
      <c r="N1626" t="s">
        <v>27</v>
      </c>
    </row>
    <row r="1627" spans="1:14" x14ac:dyDescent="0.25">
      <c r="A1627" t="s">
        <v>14</v>
      </c>
      <c r="B1627" t="s">
        <v>39</v>
      </c>
      <c r="C1627" t="s">
        <v>38</v>
      </c>
      <c r="D1627" t="s">
        <v>29</v>
      </c>
      <c r="E1627" t="s">
        <v>15</v>
      </c>
      <c r="F1627" t="s">
        <v>15</v>
      </c>
      <c r="G1627" s="1">
        <f>VALUE(3495.9423867455)</f>
        <v>3495.9423867454998</v>
      </c>
      <c r="H1627" s="1">
        <f>VALUE(3471.0072748468)</f>
        <v>3471.0072748468001</v>
      </c>
      <c r="I1627" s="1">
        <f>VALUE(3770)</f>
        <v>3770</v>
      </c>
      <c r="J1627" s="1">
        <f>VALUE(4467)</f>
        <v>4467</v>
      </c>
      <c r="K1627" s="1">
        <f>VALUE(5345)</f>
        <v>5345</v>
      </c>
      <c r="L1627" s="1">
        <f>VALUE(6426)</f>
        <v>6426</v>
      </c>
      <c r="M1627" s="8">
        <f>VALUE(10041)</f>
        <v>10041</v>
      </c>
      <c r="N1627" t="s">
        <v>25</v>
      </c>
    </row>
    <row r="1628" spans="1:14" x14ac:dyDescent="0.25">
      <c r="A1628" t="s">
        <v>14</v>
      </c>
      <c r="B1628" t="s">
        <v>39</v>
      </c>
      <c r="C1628" t="s">
        <v>38</v>
      </c>
      <c r="D1628" t="s">
        <v>29</v>
      </c>
      <c r="E1628" t="s">
        <v>15</v>
      </c>
      <c r="F1628" t="s">
        <v>17</v>
      </c>
      <c r="G1628" s="2">
        <f>VALUE(682.9813275055)</f>
        <v>682.98132750549996</v>
      </c>
      <c r="H1628" s="3">
        <f>VALUE(676.7676411668)</f>
        <v>676.76764116679999</v>
      </c>
      <c r="I1628" s="4">
        <f>VALUE(4047)</f>
        <v>4047</v>
      </c>
      <c r="J1628" s="5">
        <f>VALUE(6346)</f>
        <v>6346</v>
      </c>
      <c r="K1628" s="6">
        <f>VALUE(8667)</f>
        <v>8667</v>
      </c>
      <c r="L1628" s="7">
        <f>VALUE(14883)</f>
        <v>14883</v>
      </c>
      <c r="M1628" s="8">
        <f>VALUE(23077)</f>
        <v>23077</v>
      </c>
      <c r="N1628" t="s">
        <v>24</v>
      </c>
    </row>
    <row r="1629" spans="1:14" x14ac:dyDescent="0.25">
      <c r="A1629" t="s">
        <v>14</v>
      </c>
      <c r="B1629" t="s">
        <v>39</v>
      </c>
      <c r="C1629" t="s">
        <v>38</v>
      </c>
      <c r="D1629" t="s">
        <v>29</v>
      </c>
      <c r="E1629" t="s">
        <v>15</v>
      </c>
      <c r="F1629" t="s">
        <v>18</v>
      </c>
      <c r="G1629" s="2">
        <f>VALUE(341.129634544)</f>
        <v>341.129634544</v>
      </c>
      <c r="H1629" s="3">
        <f>VALUE(316.263901139)</f>
        <v>316.26390113899998</v>
      </c>
      <c r="I1629" s="4">
        <f>VALUE(3910)</f>
        <v>3910</v>
      </c>
      <c r="J1629" s="5">
        <f>VALUE(4182)</f>
        <v>4182</v>
      </c>
      <c r="K1629" s="6">
        <f>VALUE(6053)</f>
        <v>6053</v>
      </c>
      <c r="L1629" s="7">
        <f>VALUE(7583)</f>
        <v>7583</v>
      </c>
      <c r="M1629" s="8">
        <f>VALUE(9615)</f>
        <v>9615</v>
      </c>
      <c r="N1629" t="s">
        <v>24</v>
      </c>
    </row>
    <row r="1630" spans="1:14" x14ac:dyDescent="0.25">
      <c r="A1630" t="s">
        <v>14</v>
      </c>
      <c r="B1630" t="s">
        <v>39</v>
      </c>
      <c r="C1630" t="s">
        <v>38</v>
      </c>
      <c r="D1630" t="s">
        <v>29</v>
      </c>
      <c r="E1630" t="s">
        <v>15</v>
      </c>
      <c r="F1630" t="s">
        <v>19</v>
      </c>
      <c r="G1630" s="2">
        <f>VALUE(457.0506558047)</f>
        <v>457.0506558047</v>
      </c>
      <c r="H1630" s="3">
        <f>VALUE(472.3681451888)</f>
        <v>472.36814518879999</v>
      </c>
      <c r="I1630" s="1">
        <f>VALUE(4250)</f>
        <v>4250</v>
      </c>
      <c r="J1630" s="1">
        <f>VALUE(4754)</f>
        <v>4754</v>
      </c>
      <c r="K1630" s="1">
        <f>VALUE(5362)</f>
        <v>5362</v>
      </c>
      <c r="L1630" s="1">
        <f>VALUE(6124)</f>
        <v>6124</v>
      </c>
      <c r="M1630" s="1">
        <f>VALUE(7105)</f>
        <v>7105</v>
      </c>
      <c r="N1630" t="s">
        <v>25</v>
      </c>
    </row>
    <row r="1631" spans="1:14" x14ac:dyDescent="0.25">
      <c r="A1631" t="s">
        <v>14</v>
      </c>
      <c r="B1631" t="s">
        <v>39</v>
      </c>
      <c r="C1631" t="s">
        <v>38</v>
      </c>
      <c r="D1631" t="s">
        <v>29</v>
      </c>
      <c r="E1631" t="s">
        <v>15</v>
      </c>
      <c r="F1631" t="s">
        <v>20</v>
      </c>
      <c r="G1631" s="1">
        <f>VALUE(2000.3250327933)</f>
        <v>2000.3250327932999</v>
      </c>
      <c r="H1631" s="1">
        <f>VALUE(1989.3448842412)</f>
        <v>1989.3448842411999</v>
      </c>
      <c r="I1631" s="1">
        <f>VALUE(3667)</f>
        <v>3667</v>
      </c>
      <c r="J1631" s="1">
        <f>VALUE(4259)</f>
        <v>4259</v>
      </c>
      <c r="K1631" s="1">
        <f>VALUE(4966)</f>
        <v>4966</v>
      </c>
      <c r="L1631" s="1">
        <f>VALUE(5720)</f>
        <v>5720</v>
      </c>
      <c r="M1631" s="1">
        <f>VALUE(6343)</f>
        <v>6343</v>
      </c>
      <c r="N1631" t="s">
        <v>16</v>
      </c>
    </row>
    <row r="1632" spans="1:14" x14ac:dyDescent="0.25">
      <c r="A1632" t="s">
        <v>14</v>
      </c>
      <c r="B1632" t="s">
        <v>39</v>
      </c>
      <c r="C1632" t="s">
        <v>38</v>
      </c>
      <c r="D1632" t="s">
        <v>29</v>
      </c>
      <c r="E1632" t="s">
        <v>21</v>
      </c>
      <c r="F1632" t="s">
        <v>15</v>
      </c>
      <c r="G1632" s="2">
        <f>VALUE(460.9355624329)</f>
        <v>460.93556243289999</v>
      </c>
      <c r="H1632" s="3">
        <f>VALUE(436.7794047484)</f>
        <v>436.7794047484</v>
      </c>
      <c r="I1632" s="1">
        <f>VALUE(5884)</f>
        <v>5884</v>
      </c>
      <c r="J1632" s="5">
        <f>VALUE(7279)</f>
        <v>7279</v>
      </c>
      <c r="K1632" s="6">
        <f>VALUE(10324)</f>
        <v>10324</v>
      </c>
      <c r="L1632" s="7">
        <f>VALUE(15504)</f>
        <v>15504</v>
      </c>
      <c r="M1632" s="8">
        <f>VALUE(25098)</f>
        <v>25098</v>
      </c>
      <c r="N1632" t="s">
        <v>25</v>
      </c>
    </row>
    <row r="1633" spans="1:14" x14ac:dyDescent="0.25">
      <c r="A1633" t="s">
        <v>14</v>
      </c>
      <c r="B1633" t="s">
        <v>39</v>
      </c>
      <c r="C1633" t="s">
        <v>38</v>
      </c>
      <c r="D1633" t="s">
        <v>29</v>
      </c>
      <c r="E1633" t="s">
        <v>21</v>
      </c>
      <c r="F1633" t="s">
        <v>17</v>
      </c>
      <c r="G1633" s="2">
        <f>VALUE(271.5043576159)</f>
        <v>271.50435761590001</v>
      </c>
      <c r="H1633" s="3">
        <f>VALUE(271.8557476787)</f>
        <v>271.85574767870003</v>
      </c>
      <c r="I1633" s="4">
        <f>VALUE(7279)</f>
        <v>7279</v>
      </c>
      <c r="J1633" s="5">
        <f>VALUE(10040)</f>
        <v>10040</v>
      </c>
      <c r="K1633" s="6">
        <f>VALUE(14286)</f>
        <v>14286</v>
      </c>
      <c r="L1633" s="7">
        <f>VALUE(20500)</f>
        <v>20500</v>
      </c>
      <c r="M1633" s="8">
        <f>VALUE(33250)</f>
        <v>33250</v>
      </c>
      <c r="N1633" t="s">
        <v>24</v>
      </c>
    </row>
    <row r="1634" spans="1:14" x14ac:dyDescent="0.25">
      <c r="A1634" t="s">
        <v>14</v>
      </c>
      <c r="B1634" t="s">
        <v>39</v>
      </c>
      <c r="C1634" t="s">
        <v>38</v>
      </c>
      <c r="D1634" t="s">
        <v>29</v>
      </c>
      <c r="E1634" t="s">
        <v>21</v>
      </c>
      <c r="F1634" t="s">
        <v>18</v>
      </c>
      <c r="G1634" s="1" t="str">
        <f t="shared" ref="G1634:M1636" si="314">"X"</f>
        <v>X</v>
      </c>
      <c r="H1634" s="1" t="str">
        <f t="shared" si="314"/>
        <v>X</v>
      </c>
      <c r="I1634" s="1" t="str">
        <f t="shared" si="314"/>
        <v>X</v>
      </c>
      <c r="J1634" s="1" t="str">
        <f t="shared" si="314"/>
        <v>X</v>
      </c>
      <c r="K1634" s="1" t="str">
        <f t="shared" si="314"/>
        <v>X</v>
      </c>
      <c r="L1634" s="1" t="str">
        <f t="shared" si="314"/>
        <v>X</v>
      </c>
      <c r="M1634" s="1" t="str">
        <f t="shared" si="314"/>
        <v>X</v>
      </c>
      <c r="N1634" t="s">
        <v>27</v>
      </c>
    </row>
    <row r="1635" spans="1:14" x14ac:dyDescent="0.25">
      <c r="A1635" t="s">
        <v>14</v>
      </c>
      <c r="B1635" t="s">
        <v>39</v>
      </c>
      <c r="C1635" t="s">
        <v>38</v>
      </c>
      <c r="D1635" t="s">
        <v>29</v>
      </c>
      <c r="E1635" t="s">
        <v>21</v>
      </c>
      <c r="F1635" t="s">
        <v>19</v>
      </c>
      <c r="G1635" s="1" t="str">
        <f t="shared" si="314"/>
        <v>X</v>
      </c>
      <c r="H1635" s="1" t="str">
        <f t="shared" si="314"/>
        <v>X</v>
      </c>
      <c r="I1635" s="1" t="str">
        <f t="shared" si="314"/>
        <v>X</v>
      </c>
      <c r="J1635" s="1" t="str">
        <f t="shared" si="314"/>
        <v>X</v>
      </c>
      <c r="K1635" s="1" t="str">
        <f t="shared" si="314"/>
        <v>X</v>
      </c>
      <c r="L1635" s="1" t="str">
        <f t="shared" si="314"/>
        <v>X</v>
      </c>
      <c r="M1635" s="1" t="str">
        <f t="shared" si="314"/>
        <v>X</v>
      </c>
      <c r="N1635" t="s">
        <v>27</v>
      </c>
    </row>
    <row r="1636" spans="1:14" x14ac:dyDescent="0.25">
      <c r="A1636" t="s">
        <v>14</v>
      </c>
      <c r="B1636" t="s">
        <v>39</v>
      </c>
      <c r="C1636" t="s">
        <v>38</v>
      </c>
      <c r="D1636" t="s">
        <v>29</v>
      </c>
      <c r="E1636" t="s">
        <v>21</v>
      </c>
      <c r="F1636" t="s">
        <v>20</v>
      </c>
      <c r="G1636" s="1" t="str">
        <f t="shared" si="314"/>
        <v>X</v>
      </c>
      <c r="H1636" s="1" t="str">
        <f t="shared" si="314"/>
        <v>X</v>
      </c>
      <c r="I1636" s="1" t="str">
        <f t="shared" si="314"/>
        <v>X</v>
      </c>
      <c r="J1636" s="1" t="str">
        <f t="shared" si="314"/>
        <v>X</v>
      </c>
      <c r="K1636" s="1" t="str">
        <f t="shared" si="314"/>
        <v>X</v>
      </c>
      <c r="L1636" s="1" t="str">
        <f t="shared" si="314"/>
        <v>X</v>
      </c>
      <c r="M1636" s="1" t="str">
        <f t="shared" si="314"/>
        <v>X</v>
      </c>
      <c r="N1636" t="s">
        <v>27</v>
      </c>
    </row>
    <row r="1637" spans="1:14" x14ac:dyDescent="0.25">
      <c r="A1637" t="s">
        <v>14</v>
      </c>
      <c r="B1637" t="s">
        <v>39</v>
      </c>
      <c r="C1637" t="s">
        <v>38</v>
      </c>
      <c r="D1637" t="s">
        <v>29</v>
      </c>
      <c r="E1637" t="s">
        <v>22</v>
      </c>
      <c r="F1637" t="s">
        <v>15</v>
      </c>
      <c r="G1637" s="2">
        <f>VALUE(1028.0173441545)</f>
        <v>1028.0173441545001</v>
      </c>
      <c r="H1637" s="3">
        <f>VALUE(1009.9494926433)</f>
        <v>1009.9494926433</v>
      </c>
      <c r="I1637" s="4">
        <f>VALUE(3810)</f>
        <v>3810</v>
      </c>
      <c r="J1637" s="1">
        <f>VALUE(4678)</f>
        <v>4678</v>
      </c>
      <c r="K1637" s="1">
        <f>VALUE(5634)</f>
        <v>5634</v>
      </c>
      <c r="L1637" s="1">
        <f>VALUE(6670)</f>
        <v>6670</v>
      </c>
      <c r="M1637" s="8">
        <f>VALUE(8150)</f>
        <v>8150</v>
      </c>
      <c r="N1637" t="s">
        <v>25</v>
      </c>
    </row>
    <row r="1638" spans="1:14" x14ac:dyDescent="0.25">
      <c r="A1638" t="s">
        <v>14</v>
      </c>
      <c r="B1638" t="s">
        <v>39</v>
      </c>
      <c r="C1638" t="s">
        <v>38</v>
      </c>
      <c r="D1638" t="s">
        <v>29</v>
      </c>
      <c r="E1638" t="s">
        <v>22</v>
      </c>
      <c r="F1638" t="s">
        <v>17</v>
      </c>
      <c r="G1638" s="2">
        <f>VALUE(225.8149141913)</f>
        <v>225.81491419130001</v>
      </c>
      <c r="H1638" s="3">
        <f>VALUE(225.3857211717)</f>
        <v>225.3857211717</v>
      </c>
      <c r="I1638" s="4">
        <f>VALUE(4047)</f>
        <v>4047</v>
      </c>
      <c r="J1638" s="5">
        <f>VALUE(5733)</f>
        <v>5733</v>
      </c>
      <c r="K1638" s="6">
        <f>VALUE(6779)</f>
        <v>6779</v>
      </c>
      <c r="L1638" s="7">
        <f>VALUE(8748)</f>
        <v>8748</v>
      </c>
      <c r="M1638" s="8">
        <f>VALUE(13962)</f>
        <v>13962</v>
      </c>
      <c r="N1638" t="s">
        <v>24</v>
      </c>
    </row>
    <row r="1639" spans="1:14" x14ac:dyDescent="0.25">
      <c r="A1639" t="s">
        <v>14</v>
      </c>
      <c r="B1639" t="s">
        <v>39</v>
      </c>
      <c r="C1639" t="s">
        <v>38</v>
      </c>
      <c r="D1639" t="s">
        <v>29</v>
      </c>
      <c r="E1639" t="s">
        <v>22</v>
      </c>
      <c r="F1639" t="s">
        <v>18</v>
      </c>
      <c r="G1639" s="1" t="str">
        <f t="shared" ref="G1639:M1640" si="315">"X"</f>
        <v>X</v>
      </c>
      <c r="H1639" s="1" t="str">
        <f t="shared" si="315"/>
        <v>X</v>
      </c>
      <c r="I1639" s="1" t="str">
        <f t="shared" si="315"/>
        <v>X</v>
      </c>
      <c r="J1639" s="1" t="str">
        <f t="shared" si="315"/>
        <v>X</v>
      </c>
      <c r="K1639" s="1" t="str">
        <f t="shared" si="315"/>
        <v>X</v>
      </c>
      <c r="L1639" s="1" t="str">
        <f t="shared" si="315"/>
        <v>X</v>
      </c>
      <c r="M1639" s="1" t="str">
        <f t="shared" si="315"/>
        <v>X</v>
      </c>
      <c r="N1639" t="s">
        <v>27</v>
      </c>
    </row>
    <row r="1640" spans="1:14" x14ac:dyDescent="0.25">
      <c r="A1640" t="s">
        <v>14</v>
      </c>
      <c r="B1640" t="s">
        <v>39</v>
      </c>
      <c r="C1640" t="s">
        <v>38</v>
      </c>
      <c r="D1640" t="s">
        <v>29</v>
      </c>
      <c r="E1640" t="s">
        <v>22</v>
      </c>
      <c r="F1640" t="s">
        <v>19</v>
      </c>
      <c r="G1640" s="1" t="str">
        <f t="shared" si="315"/>
        <v>X</v>
      </c>
      <c r="H1640" s="1" t="str">
        <f t="shared" si="315"/>
        <v>X</v>
      </c>
      <c r="I1640" s="1" t="str">
        <f t="shared" si="315"/>
        <v>X</v>
      </c>
      <c r="J1640" s="1" t="str">
        <f t="shared" si="315"/>
        <v>X</v>
      </c>
      <c r="K1640" s="1" t="str">
        <f t="shared" si="315"/>
        <v>X</v>
      </c>
      <c r="L1640" s="1" t="str">
        <f t="shared" si="315"/>
        <v>X</v>
      </c>
      <c r="M1640" s="1" t="str">
        <f t="shared" si="315"/>
        <v>X</v>
      </c>
      <c r="N1640" t="s">
        <v>27</v>
      </c>
    </row>
    <row r="1641" spans="1:14" x14ac:dyDescent="0.25">
      <c r="A1641" t="s">
        <v>14</v>
      </c>
      <c r="B1641" t="s">
        <v>39</v>
      </c>
      <c r="C1641" t="s">
        <v>38</v>
      </c>
      <c r="D1641" t="s">
        <v>29</v>
      </c>
      <c r="E1641" t="s">
        <v>22</v>
      </c>
      <c r="F1641" t="s">
        <v>20</v>
      </c>
      <c r="G1641" s="2">
        <f>VALUE(487.885647056)</f>
        <v>487.88564705599998</v>
      </c>
      <c r="H1641" s="3">
        <f>VALUE(469.1525257825)</f>
        <v>469.15252578249999</v>
      </c>
      <c r="I1641" s="4">
        <f>VALUE(3756)</f>
        <v>3756</v>
      </c>
      <c r="J1641" s="5">
        <f>VALUE(4436)</f>
        <v>4436</v>
      </c>
      <c r="K1641" s="1">
        <f>VALUE(5273)</f>
        <v>5273</v>
      </c>
      <c r="L1641" s="1">
        <f>VALUE(5919)</f>
        <v>5919</v>
      </c>
      <c r="M1641" s="1">
        <f>VALUE(6700)</f>
        <v>6700</v>
      </c>
      <c r="N1641" t="s">
        <v>25</v>
      </c>
    </row>
    <row r="1642" spans="1:14" x14ac:dyDescent="0.25">
      <c r="A1642" t="s">
        <v>14</v>
      </c>
      <c r="B1642" t="s">
        <v>39</v>
      </c>
      <c r="C1642" t="s">
        <v>38</v>
      </c>
      <c r="D1642" t="s">
        <v>29</v>
      </c>
      <c r="E1642" t="s">
        <v>23</v>
      </c>
      <c r="F1642" t="s">
        <v>15</v>
      </c>
      <c r="G1642" s="1">
        <f>VALUE(1963.1261386655)</f>
        <v>1963.1261386655001</v>
      </c>
      <c r="H1642" s="1">
        <f>VALUE(1990.2756217518)</f>
        <v>1990.2756217517999</v>
      </c>
      <c r="I1642" s="1">
        <f>VALUE(3619)</f>
        <v>3619</v>
      </c>
      <c r="J1642" s="1">
        <f>VALUE(4233)</f>
        <v>4233</v>
      </c>
      <c r="K1642" s="1">
        <f>VALUE(4974)</f>
        <v>4974</v>
      </c>
      <c r="L1642" s="1">
        <f>VALUE(5802)</f>
        <v>5802</v>
      </c>
      <c r="M1642" s="1">
        <f>VALUE(6428)</f>
        <v>6428</v>
      </c>
      <c r="N1642" t="s">
        <v>16</v>
      </c>
    </row>
    <row r="1643" spans="1:14" x14ac:dyDescent="0.25">
      <c r="A1643" t="s">
        <v>14</v>
      </c>
      <c r="B1643" t="s">
        <v>39</v>
      </c>
      <c r="C1643" t="s">
        <v>38</v>
      </c>
      <c r="D1643" t="s">
        <v>29</v>
      </c>
      <c r="E1643" t="s">
        <v>23</v>
      </c>
      <c r="F1643" t="s">
        <v>17</v>
      </c>
      <c r="G1643" s="1" t="str">
        <f t="shared" ref="G1643:M1644" si="316">"X"</f>
        <v>X</v>
      </c>
      <c r="H1643" s="1" t="str">
        <f t="shared" si="316"/>
        <v>X</v>
      </c>
      <c r="I1643" s="1" t="str">
        <f t="shared" si="316"/>
        <v>X</v>
      </c>
      <c r="J1643" s="1" t="str">
        <f t="shared" si="316"/>
        <v>X</v>
      </c>
      <c r="K1643" s="1" t="str">
        <f t="shared" si="316"/>
        <v>X</v>
      </c>
      <c r="L1643" s="1" t="str">
        <f t="shared" si="316"/>
        <v>X</v>
      </c>
      <c r="M1643" s="1" t="str">
        <f t="shared" si="316"/>
        <v>X</v>
      </c>
      <c r="N1643" t="s">
        <v>27</v>
      </c>
    </row>
    <row r="1644" spans="1:14" x14ac:dyDescent="0.25">
      <c r="A1644" t="s">
        <v>14</v>
      </c>
      <c r="B1644" t="s">
        <v>39</v>
      </c>
      <c r="C1644" t="s">
        <v>38</v>
      </c>
      <c r="D1644" t="s">
        <v>29</v>
      </c>
      <c r="E1644" t="s">
        <v>23</v>
      </c>
      <c r="F1644" t="s">
        <v>18</v>
      </c>
      <c r="G1644" s="1" t="str">
        <f t="shared" si="316"/>
        <v>X</v>
      </c>
      <c r="H1644" s="1" t="str">
        <f t="shared" si="316"/>
        <v>X</v>
      </c>
      <c r="I1644" s="1" t="str">
        <f t="shared" si="316"/>
        <v>X</v>
      </c>
      <c r="J1644" s="1" t="str">
        <f t="shared" si="316"/>
        <v>X</v>
      </c>
      <c r="K1644" s="1" t="str">
        <f t="shared" si="316"/>
        <v>X</v>
      </c>
      <c r="L1644" s="1" t="str">
        <f t="shared" si="316"/>
        <v>X</v>
      </c>
      <c r="M1644" s="1" t="str">
        <f t="shared" si="316"/>
        <v>X</v>
      </c>
      <c r="N1644" t="s">
        <v>27</v>
      </c>
    </row>
    <row r="1645" spans="1:14" x14ac:dyDescent="0.25">
      <c r="A1645" t="s">
        <v>14</v>
      </c>
      <c r="B1645" t="s">
        <v>39</v>
      </c>
      <c r="C1645" t="s">
        <v>38</v>
      </c>
      <c r="D1645" t="s">
        <v>29</v>
      </c>
      <c r="E1645" t="s">
        <v>23</v>
      </c>
      <c r="F1645" t="s">
        <v>19</v>
      </c>
      <c r="G1645" s="2">
        <f>VALUE(253.0465315051)</f>
        <v>253.04653150510001</v>
      </c>
      <c r="H1645" s="3">
        <f>VALUE(267.5433402795)</f>
        <v>267.5433402795</v>
      </c>
      <c r="I1645" s="1">
        <f>VALUE(4127)</f>
        <v>4127</v>
      </c>
      <c r="J1645" s="1">
        <f>VALUE(4594)</f>
        <v>4594</v>
      </c>
      <c r="K1645" s="1">
        <f>VALUE(5345)</f>
        <v>5345</v>
      </c>
      <c r="L1645" s="1">
        <f>VALUE(5985)</f>
        <v>5985</v>
      </c>
      <c r="M1645" s="1">
        <f>VALUE(6362)</f>
        <v>6362</v>
      </c>
      <c r="N1645" t="s">
        <v>25</v>
      </c>
    </row>
    <row r="1646" spans="1:14" x14ac:dyDescent="0.25">
      <c r="A1646" t="s">
        <v>14</v>
      </c>
      <c r="B1646" t="s">
        <v>39</v>
      </c>
      <c r="C1646" t="s">
        <v>38</v>
      </c>
      <c r="D1646" t="s">
        <v>29</v>
      </c>
      <c r="E1646" t="s">
        <v>23</v>
      </c>
      <c r="F1646" t="s">
        <v>20</v>
      </c>
      <c r="G1646" s="2">
        <f>VALUE(1435.3149964489)</f>
        <v>1435.3149964489</v>
      </c>
      <c r="H1646" s="3">
        <f>VALUE(1448.2977303041)</f>
        <v>1448.2977303041</v>
      </c>
      <c r="I1646" s="1">
        <f>VALUE(3554)</f>
        <v>3554</v>
      </c>
      <c r="J1646" s="1">
        <f>VALUE(4233)</f>
        <v>4233</v>
      </c>
      <c r="K1646" s="1">
        <f>VALUE(4921)</f>
        <v>4921</v>
      </c>
      <c r="L1646" s="1">
        <f>VALUE(5522)</f>
        <v>5522</v>
      </c>
      <c r="M1646" s="1">
        <f>VALUE(6182)</f>
        <v>6182</v>
      </c>
      <c r="N1646" t="s">
        <v>25</v>
      </c>
    </row>
    <row r="1647" spans="1:14" x14ac:dyDescent="0.25">
      <c r="A1647" t="s">
        <v>14</v>
      </c>
      <c r="B1647" t="s">
        <v>39</v>
      </c>
      <c r="C1647" t="s">
        <v>38</v>
      </c>
      <c r="D1647" t="s">
        <v>29</v>
      </c>
      <c r="E1647" t="s">
        <v>26</v>
      </c>
      <c r="F1647" t="s">
        <v>15</v>
      </c>
      <c r="G1647" s="1" t="str">
        <f t="shared" ref="G1647:M1649" si="317">"X"</f>
        <v>X</v>
      </c>
      <c r="H1647" s="1" t="str">
        <f t="shared" si="317"/>
        <v>X</v>
      </c>
      <c r="I1647" s="1" t="str">
        <f t="shared" si="317"/>
        <v>X</v>
      </c>
      <c r="J1647" s="1" t="str">
        <f t="shared" si="317"/>
        <v>X</v>
      </c>
      <c r="K1647" s="1" t="str">
        <f t="shared" si="317"/>
        <v>X</v>
      </c>
      <c r="L1647" s="1" t="str">
        <f t="shared" si="317"/>
        <v>X</v>
      </c>
      <c r="M1647" s="1" t="str">
        <f t="shared" si="317"/>
        <v>X</v>
      </c>
      <c r="N1647" t="s">
        <v>27</v>
      </c>
    </row>
    <row r="1648" spans="1:14" x14ac:dyDescent="0.25">
      <c r="A1648" t="s">
        <v>14</v>
      </c>
      <c r="B1648" t="s">
        <v>39</v>
      </c>
      <c r="C1648" t="s">
        <v>38</v>
      </c>
      <c r="D1648" t="s">
        <v>29</v>
      </c>
      <c r="E1648" t="s">
        <v>26</v>
      </c>
      <c r="F1648" t="s">
        <v>17</v>
      </c>
      <c r="G1648" s="1" t="str">
        <f t="shared" si="317"/>
        <v>X</v>
      </c>
      <c r="H1648" s="1" t="str">
        <f t="shared" si="317"/>
        <v>X</v>
      </c>
      <c r="I1648" s="1" t="str">
        <f t="shared" si="317"/>
        <v>X</v>
      </c>
      <c r="J1648" s="1" t="str">
        <f t="shared" si="317"/>
        <v>X</v>
      </c>
      <c r="K1648" s="1" t="str">
        <f t="shared" si="317"/>
        <v>X</v>
      </c>
      <c r="L1648" s="1" t="str">
        <f t="shared" si="317"/>
        <v>X</v>
      </c>
      <c r="M1648" s="1" t="str">
        <f t="shared" si="317"/>
        <v>X</v>
      </c>
      <c r="N1648" t="s">
        <v>27</v>
      </c>
    </row>
    <row r="1649" spans="1:14" x14ac:dyDescent="0.25">
      <c r="A1649" t="s">
        <v>14</v>
      </c>
      <c r="B1649" t="s">
        <v>39</v>
      </c>
      <c r="C1649" t="s">
        <v>38</v>
      </c>
      <c r="D1649" t="s">
        <v>29</v>
      </c>
      <c r="E1649" t="s">
        <v>26</v>
      </c>
      <c r="F1649" t="s">
        <v>18</v>
      </c>
      <c r="G1649" s="1" t="str">
        <f t="shared" si="317"/>
        <v>X</v>
      </c>
      <c r="H1649" s="1" t="str">
        <f t="shared" si="317"/>
        <v>X</v>
      </c>
      <c r="I1649" s="1" t="str">
        <f t="shared" si="317"/>
        <v>X</v>
      </c>
      <c r="J1649" s="1" t="str">
        <f t="shared" si="317"/>
        <v>X</v>
      </c>
      <c r="K1649" s="1" t="str">
        <f t="shared" si="317"/>
        <v>X</v>
      </c>
      <c r="L1649" s="1" t="str">
        <f t="shared" si="317"/>
        <v>X</v>
      </c>
      <c r="M1649" s="1" t="str">
        <f t="shared" si="317"/>
        <v>X</v>
      </c>
      <c r="N1649" t="s">
        <v>27</v>
      </c>
    </row>
    <row r="1650" spans="1:14" x14ac:dyDescent="0.25">
      <c r="A1650" t="s">
        <v>14</v>
      </c>
      <c r="B1650" t="s">
        <v>39</v>
      </c>
      <c r="C1650" t="s">
        <v>38</v>
      </c>
      <c r="D1650" t="s">
        <v>29</v>
      </c>
      <c r="E1650" t="s">
        <v>26</v>
      </c>
      <c r="F1650" t="s">
        <v>19</v>
      </c>
      <c r="G1650" s="1" t="str">
        <f t="shared" ref="G1650:M1650" si="318">"..."</f>
        <v>...</v>
      </c>
      <c r="H1650" s="1" t="str">
        <f t="shared" si="318"/>
        <v>...</v>
      </c>
      <c r="I1650" s="1" t="str">
        <f t="shared" si="318"/>
        <v>...</v>
      </c>
      <c r="J1650" s="1" t="str">
        <f t="shared" si="318"/>
        <v>...</v>
      </c>
      <c r="K1650" s="1" t="str">
        <f t="shared" si="318"/>
        <v>...</v>
      </c>
      <c r="L1650" s="1" t="str">
        <f t="shared" si="318"/>
        <v>...</v>
      </c>
      <c r="M1650" s="1" t="str">
        <f t="shared" si="318"/>
        <v>...</v>
      </c>
      <c r="N1650" t="s">
        <v>30</v>
      </c>
    </row>
    <row r="1651" spans="1:14" x14ac:dyDescent="0.25">
      <c r="A1651" t="s">
        <v>14</v>
      </c>
      <c r="B1651" t="s">
        <v>39</v>
      </c>
      <c r="C1651" t="s">
        <v>38</v>
      </c>
      <c r="D1651" t="s">
        <v>29</v>
      </c>
      <c r="E1651" t="s">
        <v>26</v>
      </c>
      <c r="F1651" t="s">
        <v>20</v>
      </c>
      <c r="G1651" s="1" t="str">
        <f t="shared" ref="G1651:M1651" si="319">"X"</f>
        <v>X</v>
      </c>
      <c r="H1651" s="1" t="str">
        <f t="shared" si="319"/>
        <v>X</v>
      </c>
      <c r="I1651" s="1" t="str">
        <f t="shared" si="319"/>
        <v>X</v>
      </c>
      <c r="J1651" s="1" t="str">
        <f t="shared" si="319"/>
        <v>X</v>
      </c>
      <c r="K1651" s="1" t="str">
        <f t="shared" si="319"/>
        <v>X</v>
      </c>
      <c r="L1651" s="1" t="str">
        <f t="shared" si="319"/>
        <v>X</v>
      </c>
      <c r="M1651" s="1" t="str">
        <f t="shared" si="319"/>
        <v>X</v>
      </c>
      <c r="N1651" t="s">
        <v>27</v>
      </c>
    </row>
    <row r="1652" spans="1:14" x14ac:dyDescent="0.25">
      <c r="A1652" t="s">
        <v>14</v>
      </c>
      <c r="B1652" t="s">
        <v>39</v>
      </c>
      <c r="C1652" t="s">
        <v>38</v>
      </c>
      <c r="D1652" t="s">
        <v>31</v>
      </c>
      <c r="E1652" t="s">
        <v>15</v>
      </c>
      <c r="F1652" t="s">
        <v>15</v>
      </c>
      <c r="G1652" s="2">
        <f>VALUE(456.9049180618)</f>
        <v>456.9049180618</v>
      </c>
      <c r="H1652" s="3">
        <f>VALUE(458.0887548798)</f>
        <v>458.08875487979998</v>
      </c>
      <c r="I1652" s="4">
        <f>VALUE(3765)</f>
        <v>3765</v>
      </c>
      <c r="J1652" s="5">
        <f>VALUE(4396)</f>
        <v>4396</v>
      </c>
      <c r="K1652" s="1">
        <f>VALUE(5889)</f>
        <v>5889</v>
      </c>
      <c r="L1652" s="7">
        <f>VALUE(9477)</f>
        <v>9477</v>
      </c>
      <c r="M1652" s="8">
        <f>VALUE(15786)</f>
        <v>15786</v>
      </c>
      <c r="N1652" t="s">
        <v>25</v>
      </c>
    </row>
    <row r="1653" spans="1:14" x14ac:dyDescent="0.25">
      <c r="A1653" t="s">
        <v>14</v>
      </c>
      <c r="B1653" t="s">
        <v>39</v>
      </c>
      <c r="C1653" t="s">
        <v>38</v>
      </c>
      <c r="D1653" t="s">
        <v>31</v>
      </c>
      <c r="E1653" t="s">
        <v>15</v>
      </c>
      <c r="F1653" t="s">
        <v>17</v>
      </c>
      <c r="G1653" s="1" t="str">
        <f t="shared" ref="G1653:M1655" si="320">"X"</f>
        <v>X</v>
      </c>
      <c r="H1653" s="1" t="str">
        <f t="shared" si="320"/>
        <v>X</v>
      </c>
      <c r="I1653" s="1" t="str">
        <f t="shared" si="320"/>
        <v>X</v>
      </c>
      <c r="J1653" s="1" t="str">
        <f t="shared" si="320"/>
        <v>X</v>
      </c>
      <c r="K1653" s="1" t="str">
        <f t="shared" si="320"/>
        <v>X</v>
      </c>
      <c r="L1653" s="1" t="str">
        <f t="shared" si="320"/>
        <v>X</v>
      </c>
      <c r="M1653" s="1" t="str">
        <f t="shared" si="320"/>
        <v>X</v>
      </c>
      <c r="N1653" t="s">
        <v>27</v>
      </c>
    </row>
    <row r="1654" spans="1:14" x14ac:dyDescent="0.25">
      <c r="A1654" t="s">
        <v>14</v>
      </c>
      <c r="B1654" t="s">
        <v>39</v>
      </c>
      <c r="C1654" t="s">
        <v>38</v>
      </c>
      <c r="D1654" t="s">
        <v>31</v>
      </c>
      <c r="E1654" t="s">
        <v>15</v>
      </c>
      <c r="F1654" t="s">
        <v>18</v>
      </c>
      <c r="G1654" s="1" t="str">
        <f t="shared" si="320"/>
        <v>X</v>
      </c>
      <c r="H1654" s="1" t="str">
        <f t="shared" si="320"/>
        <v>X</v>
      </c>
      <c r="I1654" s="1" t="str">
        <f t="shared" si="320"/>
        <v>X</v>
      </c>
      <c r="J1654" s="1" t="str">
        <f t="shared" si="320"/>
        <v>X</v>
      </c>
      <c r="K1654" s="1" t="str">
        <f t="shared" si="320"/>
        <v>X</v>
      </c>
      <c r="L1654" s="1" t="str">
        <f t="shared" si="320"/>
        <v>X</v>
      </c>
      <c r="M1654" s="1" t="str">
        <f t="shared" si="320"/>
        <v>X</v>
      </c>
      <c r="N1654" t="s">
        <v>27</v>
      </c>
    </row>
    <row r="1655" spans="1:14" x14ac:dyDescent="0.25">
      <c r="A1655" t="s">
        <v>14</v>
      </c>
      <c r="B1655" t="s">
        <v>39</v>
      </c>
      <c r="C1655" t="s">
        <v>38</v>
      </c>
      <c r="D1655" t="s">
        <v>31</v>
      </c>
      <c r="E1655" t="s">
        <v>15</v>
      </c>
      <c r="F1655" t="s">
        <v>19</v>
      </c>
      <c r="G1655" s="1" t="str">
        <f t="shared" si="320"/>
        <v>X</v>
      </c>
      <c r="H1655" s="1" t="str">
        <f t="shared" si="320"/>
        <v>X</v>
      </c>
      <c r="I1655" s="1" t="str">
        <f t="shared" si="320"/>
        <v>X</v>
      </c>
      <c r="J1655" s="1" t="str">
        <f t="shared" si="320"/>
        <v>X</v>
      </c>
      <c r="K1655" s="1" t="str">
        <f t="shared" si="320"/>
        <v>X</v>
      </c>
      <c r="L1655" s="1" t="str">
        <f t="shared" si="320"/>
        <v>X</v>
      </c>
      <c r="M1655" s="1" t="str">
        <f t="shared" si="320"/>
        <v>X</v>
      </c>
      <c r="N1655" t="s">
        <v>27</v>
      </c>
    </row>
    <row r="1656" spans="1:14" x14ac:dyDescent="0.25">
      <c r="A1656" t="s">
        <v>14</v>
      </c>
      <c r="B1656" t="s">
        <v>39</v>
      </c>
      <c r="C1656" t="s">
        <v>38</v>
      </c>
      <c r="D1656" t="s">
        <v>31</v>
      </c>
      <c r="E1656" t="s">
        <v>15</v>
      </c>
      <c r="F1656" t="s">
        <v>20</v>
      </c>
      <c r="G1656" s="2">
        <f>VALUE(193.5323447489)</f>
        <v>193.53234474889999</v>
      </c>
      <c r="H1656" s="3">
        <f>VALUE(193.7833694896)</f>
        <v>193.78336948960001</v>
      </c>
      <c r="I1656" s="1">
        <f>VALUE(3405)</f>
        <v>3405</v>
      </c>
      <c r="J1656" s="1">
        <f>VALUE(3765)</f>
        <v>3765</v>
      </c>
      <c r="K1656" s="1">
        <f>VALUE(4415)</f>
        <v>4415</v>
      </c>
      <c r="L1656" s="1">
        <f>VALUE(5555)</f>
        <v>5555</v>
      </c>
      <c r="M1656" s="8">
        <f>VALUE(7142)</f>
        <v>7142</v>
      </c>
      <c r="N1656" t="s">
        <v>25</v>
      </c>
    </row>
    <row r="1657" spans="1:14" x14ac:dyDescent="0.25">
      <c r="A1657" t="s">
        <v>14</v>
      </c>
      <c r="B1657" t="s">
        <v>39</v>
      </c>
      <c r="C1657" t="s">
        <v>38</v>
      </c>
      <c r="D1657" t="s">
        <v>31</v>
      </c>
      <c r="E1657" t="s">
        <v>21</v>
      </c>
      <c r="F1657" t="s">
        <v>15</v>
      </c>
      <c r="G1657" s="1" t="str">
        <f t="shared" ref="G1657:M1666" si="321">"X"</f>
        <v>X</v>
      </c>
      <c r="H1657" s="1" t="str">
        <f t="shared" si="321"/>
        <v>X</v>
      </c>
      <c r="I1657" s="1" t="str">
        <f t="shared" si="321"/>
        <v>X</v>
      </c>
      <c r="J1657" s="1" t="str">
        <f t="shared" si="321"/>
        <v>X</v>
      </c>
      <c r="K1657" s="1" t="str">
        <f t="shared" si="321"/>
        <v>X</v>
      </c>
      <c r="L1657" s="1" t="str">
        <f t="shared" si="321"/>
        <v>X</v>
      </c>
      <c r="M1657" s="1" t="str">
        <f t="shared" si="321"/>
        <v>X</v>
      </c>
      <c r="N1657" t="s">
        <v>27</v>
      </c>
    </row>
    <row r="1658" spans="1:14" x14ac:dyDescent="0.25">
      <c r="A1658" t="s">
        <v>14</v>
      </c>
      <c r="B1658" t="s">
        <v>39</v>
      </c>
      <c r="C1658" t="s">
        <v>38</v>
      </c>
      <c r="D1658" t="s">
        <v>31</v>
      </c>
      <c r="E1658" t="s">
        <v>21</v>
      </c>
      <c r="F1658" t="s">
        <v>17</v>
      </c>
      <c r="G1658" s="1" t="str">
        <f t="shared" si="321"/>
        <v>X</v>
      </c>
      <c r="H1658" s="1" t="str">
        <f t="shared" si="321"/>
        <v>X</v>
      </c>
      <c r="I1658" s="1" t="str">
        <f t="shared" si="321"/>
        <v>X</v>
      </c>
      <c r="J1658" s="1" t="str">
        <f t="shared" si="321"/>
        <v>X</v>
      </c>
      <c r="K1658" s="1" t="str">
        <f t="shared" si="321"/>
        <v>X</v>
      </c>
      <c r="L1658" s="1" t="str">
        <f t="shared" si="321"/>
        <v>X</v>
      </c>
      <c r="M1658" s="1" t="str">
        <f t="shared" si="321"/>
        <v>X</v>
      </c>
      <c r="N1658" t="s">
        <v>27</v>
      </c>
    </row>
    <row r="1659" spans="1:14" x14ac:dyDescent="0.25">
      <c r="A1659" t="s">
        <v>14</v>
      </c>
      <c r="B1659" t="s">
        <v>39</v>
      </c>
      <c r="C1659" t="s">
        <v>38</v>
      </c>
      <c r="D1659" t="s">
        <v>31</v>
      </c>
      <c r="E1659" t="s">
        <v>21</v>
      </c>
      <c r="F1659" t="s">
        <v>18</v>
      </c>
      <c r="G1659" s="1" t="str">
        <f t="shared" si="321"/>
        <v>X</v>
      </c>
      <c r="H1659" s="1" t="str">
        <f t="shared" si="321"/>
        <v>X</v>
      </c>
      <c r="I1659" s="1" t="str">
        <f t="shared" si="321"/>
        <v>X</v>
      </c>
      <c r="J1659" s="1" t="str">
        <f t="shared" si="321"/>
        <v>X</v>
      </c>
      <c r="K1659" s="1" t="str">
        <f t="shared" si="321"/>
        <v>X</v>
      </c>
      <c r="L1659" s="1" t="str">
        <f t="shared" si="321"/>
        <v>X</v>
      </c>
      <c r="M1659" s="1" t="str">
        <f t="shared" si="321"/>
        <v>X</v>
      </c>
      <c r="N1659" t="s">
        <v>27</v>
      </c>
    </row>
    <row r="1660" spans="1:14" x14ac:dyDescent="0.25">
      <c r="A1660" t="s">
        <v>14</v>
      </c>
      <c r="B1660" t="s">
        <v>39</v>
      </c>
      <c r="C1660" t="s">
        <v>38</v>
      </c>
      <c r="D1660" t="s">
        <v>31</v>
      </c>
      <c r="E1660" t="s">
        <v>21</v>
      </c>
      <c r="F1660" t="s">
        <v>19</v>
      </c>
      <c r="G1660" s="1" t="str">
        <f t="shared" si="321"/>
        <v>X</v>
      </c>
      <c r="H1660" s="1" t="str">
        <f t="shared" si="321"/>
        <v>X</v>
      </c>
      <c r="I1660" s="1" t="str">
        <f t="shared" si="321"/>
        <v>X</v>
      </c>
      <c r="J1660" s="1" t="str">
        <f t="shared" si="321"/>
        <v>X</v>
      </c>
      <c r="K1660" s="1" t="str">
        <f t="shared" si="321"/>
        <v>X</v>
      </c>
      <c r="L1660" s="1" t="str">
        <f t="shared" si="321"/>
        <v>X</v>
      </c>
      <c r="M1660" s="1" t="str">
        <f t="shared" si="321"/>
        <v>X</v>
      </c>
      <c r="N1660" t="s">
        <v>27</v>
      </c>
    </row>
    <row r="1661" spans="1:14" x14ac:dyDescent="0.25">
      <c r="A1661" t="s">
        <v>14</v>
      </c>
      <c r="B1661" t="s">
        <v>39</v>
      </c>
      <c r="C1661" t="s">
        <v>38</v>
      </c>
      <c r="D1661" t="s">
        <v>31</v>
      </c>
      <c r="E1661" t="s">
        <v>21</v>
      </c>
      <c r="F1661" t="s">
        <v>20</v>
      </c>
      <c r="G1661" s="1" t="str">
        <f t="shared" si="321"/>
        <v>X</v>
      </c>
      <c r="H1661" s="1" t="str">
        <f t="shared" si="321"/>
        <v>X</v>
      </c>
      <c r="I1661" s="1" t="str">
        <f t="shared" si="321"/>
        <v>X</v>
      </c>
      <c r="J1661" s="1" t="str">
        <f t="shared" si="321"/>
        <v>X</v>
      </c>
      <c r="K1661" s="1" t="str">
        <f t="shared" si="321"/>
        <v>X</v>
      </c>
      <c r="L1661" s="1" t="str">
        <f t="shared" si="321"/>
        <v>X</v>
      </c>
      <c r="M1661" s="1" t="str">
        <f t="shared" si="321"/>
        <v>X</v>
      </c>
      <c r="N1661" t="s">
        <v>27</v>
      </c>
    </row>
    <row r="1662" spans="1:14" x14ac:dyDescent="0.25">
      <c r="A1662" t="s">
        <v>14</v>
      </c>
      <c r="B1662" t="s">
        <v>39</v>
      </c>
      <c r="C1662" t="s">
        <v>38</v>
      </c>
      <c r="D1662" t="s">
        <v>31</v>
      </c>
      <c r="E1662" t="s">
        <v>22</v>
      </c>
      <c r="F1662" t="s">
        <v>15</v>
      </c>
      <c r="G1662" s="1" t="str">
        <f t="shared" si="321"/>
        <v>X</v>
      </c>
      <c r="H1662" s="1" t="str">
        <f t="shared" si="321"/>
        <v>X</v>
      </c>
      <c r="I1662" s="1" t="str">
        <f t="shared" si="321"/>
        <v>X</v>
      </c>
      <c r="J1662" s="1" t="str">
        <f t="shared" si="321"/>
        <v>X</v>
      </c>
      <c r="K1662" s="1" t="str">
        <f t="shared" si="321"/>
        <v>X</v>
      </c>
      <c r="L1662" s="1" t="str">
        <f t="shared" si="321"/>
        <v>X</v>
      </c>
      <c r="M1662" s="1" t="str">
        <f t="shared" si="321"/>
        <v>X</v>
      </c>
      <c r="N1662" t="s">
        <v>27</v>
      </c>
    </row>
    <row r="1663" spans="1:14" x14ac:dyDescent="0.25">
      <c r="A1663" t="s">
        <v>14</v>
      </c>
      <c r="B1663" t="s">
        <v>39</v>
      </c>
      <c r="C1663" t="s">
        <v>38</v>
      </c>
      <c r="D1663" t="s">
        <v>31</v>
      </c>
      <c r="E1663" t="s">
        <v>22</v>
      </c>
      <c r="F1663" t="s">
        <v>17</v>
      </c>
      <c r="G1663" s="1" t="str">
        <f t="shared" si="321"/>
        <v>X</v>
      </c>
      <c r="H1663" s="1" t="str">
        <f t="shared" si="321"/>
        <v>X</v>
      </c>
      <c r="I1663" s="1" t="str">
        <f t="shared" si="321"/>
        <v>X</v>
      </c>
      <c r="J1663" s="1" t="str">
        <f t="shared" si="321"/>
        <v>X</v>
      </c>
      <c r="K1663" s="1" t="str">
        <f t="shared" si="321"/>
        <v>X</v>
      </c>
      <c r="L1663" s="1" t="str">
        <f t="shared" si="321"/>
        <v>X</v>
      </c>
      <c r="M1663" s="1" t="str">
        <f t="shared" si="321"/>
        <v>X</v>
      </c>
      <c r="N1663" t="s">
        <v>27</v>
      </c>
    </row>
    <row r="1664" spans="1:14" x14ac:dyDescent="0.25">
      <c r="A1664" t="s">
        <v>14</v>
      </c>
      <c r="B1664" t="s">
        <v>39</v>
      </c>
      <c r="C1664" t="s">
        <v>38</v>
      </c>
      <c r="D1664" t="s">
        <v>31</v>
      </c>
      <c r="E1664" t="s">
        <v>22</v>
      </c>
      <c r="F1664" t="s">
        <v>18</v>
      </c>
      <c r="G1664" s="1" t="str">
        <f t="shared" si="321"/>
        <v>X</v>
      </c>
      <c r="H1664" s="1" t="str">
        <f t="shared" si="321"/>
        <v>X</v>
      </c>
      <c r="I1664" s="1" t="str">
        <f t="shared" si="321"/>
        <v>X</v>
      </c>
      <c r="J1664" s="1" t="str">
        <f t="shared" si="321"/>
        <v>X</v>
      </c>
      <c r="K1664" s="1" t="str">
        <f t="shared" si="321"/>
        <v>X</v>
      </c>
      <c r="L1664" s="1" t="str">
        <f t="shared" si="321"/>
        <v>X</v>
      </c>
      <c r="M1664" s="1" t="str">
        <f t="shared" si="321"/>
        <v>X</v>
      </c>
      <c r="N1664" t="s">
        <v>27</v>
      </c>
    </row>
    <row r="1665" spans="1:14" x14ac:dyDescent="0.25">
      <c r="A1665" t="s">
        <v>14</v>
      </c>
      <c r="B1665" t="s">
        <v>39</v>
      </c>
      <c r="C1665" t="s">
        <v>38</v>
      </c>
      <c r="D1665" t="s">
        <v>31</v>
      </c>
      <c r="E1665" t="s">
        <v>22</v>
      </c>
      <c r="F1665" t="s">
        <v>19</v>
      </c>
      <c r="G1665" s="1" t="str">
        <f t="shared" si="321"/>
        <v>X</v>
      </c>
      <c r="H1665" s="1" t="str">
        <f t="shared" si="321"/>
        <v>X</v>
      </c>
      <c r="I1665" s="1" t="str">
        <f t="shared" si="321"/>
        <v>X</v>
      </c>
      <c r="J1665" s="1" t="str">
        <f t="shared" si="321"/>
        <v>X</v>
      </c>
      <c r="K1665" s="1" t="str">
        <f t="shared" si="321"/>
        <v>X</v>
      </c>
      <c r="L1665" s="1" t="str">
        <f t="shared" si="321"/>
        <v>X</v>
      </c>
      <c r="M1665" s="1" t="str">
        <f t="shared" si="321"/>
        <v>X</v>
      </c>
      <c r="N1665" t="s">
        <v>27</v>
      </c>
    </row>
    <row r="1666" spans="1:14" x14ac:dyDescent="0.25">
      <c r="A1666" t="s">
        <v>14</v>
      </c>
      <c r="B1666" t="s">
        <v>39</v>
      </c>
      <c r="C1666" t="s">
        <v>38</v>
      </c>
      <c r="D1666" t="s">
        <v>31</v>
      </c>
      <c r="E1666" t="s">
        <v>22</v>
      </c>
      <c r="F1666" t="s">
        <v>20</v>
      </c>
      <c r="G1666" s="1" t="str">
        <f t="shared" si="321"/>
        <v>X</v>
      </c>
      <c r="H1666" s="1" t="str">
        <f t="shared" si="321"/>
        <v>X</v>
      </c>
      <c r="I1666" s="1" t="str">
        <f t="shared" si="321"/>
        <v>X</v>
      </c>
      <c r="J1666" s="1" t="str">
        <f t="shared" si="321"/>
        <v>X</v>
      </c>
      <c r="K1666" s="1" t="str">
        <f t="shared" si="321"/>
        <v>X</v>
      </c>
      <c r="L1666" s="1" t="str">
        <f t="shared" si="321"/>
        <v>X</v>
      </c>
      <c r="M1666" s="1" t="str">
        <f t="shared" si="321"/>
        <v>X</v>
      </c>
      <c r="N1666" t="s">
        <v>27</v>
      </c>
    </row>
    <row r="1667" spans="1:14" x14ac:dyDescent="0.25">
      <c r="A1667" t="s">
        <v>14</v>
      </c>
      <c r="B1667" t="s">
        <v>39</v>
      </c>
      <c r="C1667" t="s">
        <v>38</v>
      </c>
      <c r="D1667" t="s">
        <v>31</v>
      </c>
      <c r="E1667" t="s">
        <v>23</v>
      </c>
      <c r="F1667" t="s">
        <v>15</v>
      </c>
      <c r="G1667" s="2">
        <f>VALUE(289.5788393727)</f>
        <v>289.57883937269997</v>
      </c>
      <c r="H1667" s="3">
        <f>VALUE(290.5296213732)</f>
        <v>290.52962137319997</v>
      </c>
      <c r="I1667" s="1">
        <f>VALUE(3500)</f>
        <v>3500</v>
      </c>
      <c r="J1667" s="5">
        <f>VALUE(4000)</f>
        <v>4000</v>
      </c>
      <c r="K1667" s="6">
        <f>VALUE(5347)</f>
        <v>5347</v>
      </c>
      <c r="L1667" s="7">
        <f>VALUE(6000)</f>
        <v>6000</v>
      </c>
      <c r="M1667" s="8">
        <f>VALUE(9120)</f>
        <v>9120</v>
      </c>
      <c r="N1667" t="s">
        <v>25</v>
      </c>
    </row>
    <row r="1668" spans="1:14" x14ac:dyDescent="0.25">
      <c r="A1668" t="s">
        <v>14</v>
      </c>
      <c r="B1668" t="s">
        <v>39</v>
      </c>
      <c r="C1668" t="s">
        <v>38</v>
      </c>
      <c r="D1668" t="s">
        <v>31</v>
      </c>
      <c r="E1668" t="s">
        <v>23</v>
      </c>
      <c r="F1668" t="s">
        <v>17</v>
      </c>
      <c r="G1668" s="1" t="str">
        <f t="shared" ref="G1668:M1670" si="322">"X"</f>
        <v>X</v>
      </c>
      <c r="H1668" s="1" t="str">
        <f t="shared" si="322"/>
        <v>X</v>
      </c>
      <c r="I1668" s="1" t="str">
        <f t="shared" si="322"/>
        <v>X</v>
      </c>
      <c r="J1668" s="1" t="str">
        <f t="shared" si="322"/>
        <v>X</v>
      </c>
      <c r="K1668" s="1" t="str">
        <f t="shared" si="322"/>
        <v>X</v>
      </c>
      <c r="L1668" s="1" t="str">
        <f t="shared" si="322"/>
        <v>X</v>
      </c>
      <c r="M1668" s="1" t="str">
        <f t="shared" si="322"/>
        <v>X</v>
      </c>
      <c r="N1668" t="s">
        <v>27</v>
      </c>
    </row>
    <row r="1669" spans="1:14" x14ac:dyDescent="0.25">
      <c r="A1669" t="s">
        <v>14</v>
      </c>
      <c r="B1669" t="s">
        <v>39</v>
      </c>
      <c r="C1669" t="s">
        <v>38</v>
      </c>
      <c r="D1669" t="s">
        <v>31</v>
      </c>
      <c r="E1669" t="s">
        <v>23</v>
      </c>
      <c r="F1669" t="s">
        <v>18</v>
      </c>
      <c r="G1669" s="1" t="str">
        <f t="shared" si="322"/>
        <v>X</v>
      </c>
      <c r="H1669" s="1" t="str">
        <f t="shared" si="322"/>
        <v>X</v>
      </c>
      <c r="I1669" s="1" t="str">
        <f t="shared" si="322"/>
        <v>X</v>
      </c>
      <c r="J1669" s="1" t="str">
        <f t="shared" si="322"/>
        <v>X</v>
      </c>
      <c r="K1669" s="1" t="str">
        <f t="shared" si="322"/>
        <v>X</v>
      </c>
      <c r="L1669" s="1" t="str">
        <f t="shared" si="322"/>
        <v>X</v>
      </c>
      <c r="M1669" s="1" t="str">
        <f t="shared" si="322"/>
        <v>X</v>
      </c>
      <c r="N1669" t="s">
        <v>27</v>
      </c>
    </row>
    <row r="1670" spans="1:14" x14ac:dyDescent="0.25">
      <c r="A1670" t="s">
        <v>14</v>
      </c>
      <c r="B1670" t="s">
        <v>39</v>
      </c>
      <c r="C1670" t="s">
        <v>38</v>
      </c>
      <c r="D1670" t="s">
        <v>31</v>
      </c>
      <c r="E1670" t="s">
        <v>23</v>
      </c>
      <c r="F1670" t="s">
        <v>19</v>
      </c>
      <c r="G1670" s="1" t="str">
        <f t="shared" si="322"/>
        <v>X</v>
      </c>
      <c r="H1670" s="1" t="str">
        <f t="shared" si="322"/>
        <v>X</v>
      </c>
      <c r="I1670" s="1" t="str">
        <f t="shared" si="322"/>
        <v>X</v>
      </c>
      <c r="J1670" s="1" t="str">
        <f t="shared" si="322"/>
        <v>X</v>
      </c>
      <c r="K1670" s="1" t="str">
        <f t="shared" si="322"/>
        <v>X</v>
      </c>
      <c r="L1670" s="1" t="str">
        <f t="shared" si="322"/>
        <v>X</v>
      </c>
      <c r="M1670" s="1" t="str">
        <f t="shared" si="322"/>
        <v>X</v>
      </c>
      <c r="N1670" t="s">
        <v>27</v>
      </c>
    </row>
    <row r="1671" spans="1:14" x14ac:dyDescent="0.25">
      <c r="A1671" t="s">
        <v>14</v>
      </c>
      <c r="B1671" t="s">
        <v>39</v>
      </c>
      <c r="C1671" t="s">
        <v>38</v>
      </c>
      <c r="D1671" t="s">
        <v>31</v>
      </c>
      <c r="E1671" t="s">
        <v>23</v>
      </c>
      <c r="F1671" t="s">
        <v>20</v>
      </c>
      <c r="G1671" s="2">
        <f>VALUE(155.5260844382)</f>
        <v>155.5260844382</v>
      </c>
      <c r="H1671" s="3">
        <f>VALUE(155.1390475208)</f>
        <v>155.13904752080001</v>
      </c>
      <c r="I1671" s="1">
        <f>VALUE(3347)</f>
        <v>3347</v>
      </c>
      <c r="J1671" s="1">
        <f>VALUE(3765)</f>
        <v>3765</v>
      </c>
      <c r="K1671" s="1">
        <f>VALUE(4415)</f>
        <v>4415</v>
      </c>
      <c r="L1671" s="1">
        <f>VALUE(5441)</f>
        <v>5441</v>
      </c>
      <c r="M1671" s="8">
        <f>VALUE(5633)</f>
        <v>5633</v>
      </c>
      <c r="N1671" t="s">
        <v>25</v>
      </c>
    </row>
    <row r="1672" spans="1:14" x14ac:dyDescent="0.25">
      <c r="A1672" t="s">
        <v>14</v>
      </c>
      <c r="B1672" t="s">
        <v>39</v>
      </c>
      <c r="C1672" t="s">
        <v>38</v>
      </c>
      <c r="D1672" t="s">
        <v>31</v>
      </c>
      <c r="E1672" t="s">
        <v>26</v>
      </c>
      <c r="F1672" t="s">
        <v>15</v>
      </c>
      <c r="G1672" s="1" t="str">
        <f t="shared" ref="G1672:M1673" si="323">"X"</f>
        <v>X</v>
      </c>
      <c r="H1672" s="1" t="str">
        <f t="shared" si="323"/>
        <v>X</v>
      </c>
      <c r="I1672" s="1" t="str">
        <f t="shared" si="323"/>
        <v>X</v>
      </c>
      <c r="J1672" s="1" t="str">
        <f t="shared" si="323"/>
        <v>X</v>
      </c>
      <c r="K1672" s="1" t="str">
        <f t="shared" si="323"/>
        <v>X</v>
      </c>
      <c r="L1672" s="1" t="str">
        <f t="shared" si="323"/>
        <v>X</v>
      </c>
      <c r="M1672" s="1" t="str">
        <f t="shared" si="323"/>
        <v>X</v>
      </c>
      <c r="N1672" t="s">
        <v>27</v>
      </c>
    </row>
    <row r="1673" spans="1:14" x14ac:dyDescent="0.25">
      <c r="A1673" t="s">
        <v>14</v>
      </c>
      <c r="B1673" t="s">
        <v>39</v>
      </c>
      <c r="C1673" t="s">
        <v>38</v>
      </c>
      <c r="D1673" t="s">
        <v>31</v>
      </c>
      <c r="E1673" t="s">
        <v>26</v>
      </c>
      <c r="F1673" t="s">
        <v>17</v>
      </c>
      <c r="G1673" s="1" t="str">
        <f t="shared" si="323"/>
        <v>X</v>
      </c>
      <c r="H1673" s="1" t="str">
        <f t="shared" si="323"/>
        <v>X</v>
      </c>
      <c r="I1673" s="1" t="str">
        <f t="shared" si="323"/>
        <v>X</v>
      </c>
      <c r="J1673" s="1" t="str">
        <f t="shared" si="323"/>
        <v>X</v>
      </c>
      <c r="K1673" s="1" t="str">
        <f t="shared" si="323"/>
        <v>X</v>
      </c>
      <c r="L1673" s="1" t="str">
        <f t="shared" si="323"/>
        <v>X</v>
      </c>
      <c r="M1673" s="1" t="str">
        <f t="shared" si="323"/>
        <v>X</v>
      </c>
      <c r="N1673" t="s">
        <v>27</v>
      </c>
    </row>
    <row r="1674" spans="1:14" x14ac:dyDescent="0.25">
      <c r="A1674" t="s">
        <v>14</v>
      </c>
      <c r="B1674" t="s">
        <v>39</v>
      </c>
      <c r="C1674" t="s">
        <v>38</v>
      </c>
      <c r="D1674" t="s">
        <v>31</v>
      </c>
      <c r="E1674" t="s">
        <v>26</v>
      </c>
      <c r="F1674" t="s">
        <v>18</v>
      </c>
      <c r="G1674" s="1" t="str">
        <f t="shared" ref="G1674:M1674" si="324">"..."</f>
        <v>...</v>
      </c>
      <c r="H1674" s="1" t="str">
        <f t="shared" si="324"/>
        <v>...</v>
      </c>
      <c r="I1674" s="1" t="str">
        <f t="shared" si="324"/>
        <v>...</v>
      </c>
      <c r="J1674" s="1" t="str">
        <f t="shared" si="324"/>
        <v>...</v>
      </c>
      <c r="K1674" s="1" t="str">
        <f t="shared" si="324"/>
        <v>...</v>
      </c>
      <c r="L1674" s="1" t="str">
        <f t="shared" si="324"/>
        <v>...</v>
      </c>
      <c r="M1674" s="1" t="str">
        <f t="shared" si="324"/>
        <v>...</v>
      </c>
      <c r="N1674" t="s">
        <v>30</v>
      </c>
    </row>
    <row r="1675" spans="1:14" x14ac:dyDescent="0.25">
      <c r="A1675" t="s">
        <v>14</v>
      </c>
      <c r="B1675" t="s">
        <v>39</v>
      </c>
      <c r="C1675" t="s">
        <v>38</v>
      </c>
      <c r="D1675" t="s">
        <v>31</v>
      </c>
      <c r="E1675" t="s">
        <v>26</v>
      </c>
      <c r="F1675" t="s">
        <v>19</v>
      </c>
      <c r="G1675" s="1" t="str">
        <f t="shared" ref="G1675:M1676" si="325">"X"</f>
        <v>X</v>
      </c>
      <c r="H1675" s="1" t="str">
        <f t="shared" si="325"/>
        <v>X</v>
      </c>
      <c r="I1675" s="1" t="str">
        <f t="shared" si="325"/>
        <v>X</v>
      </c>
      <c r="J1675" s="1" t="str">
        <f t="shared" si="325"/>
        <v>X</v>
      </c>
      <c r="K1675" s="1" t="str">
        <f t="shared" si="325"/>
        <v>X</v>
      </c>
      <c r="L1675" s="1" t="str">
        <f t="shared" si="325"/>
        <v>X</v>
      </c>
      <c r="M1675" s="1" t="str">
        <f t="shared" si="325"/>
        <v>X</v>
      </c>
      <c r="N1675" t="s">
        <v>27</v>
      </c>
    </row>
    <row r="1676" spans="1:14" x14ac:dyDescent="0.25">
      <c r="A1676" t="s">
        <v>14</v>
      </c>
      <c r="B1676" t="s">
        <v>39</v>
      </c>
      <c r="C1676" t="s">
        <v>38</v>
      </c>
      <c r="D1676" t="s">
        <v>31</v>
      </c>
      <c r="E1676" t="s">
        <v>26</v>
      </c>
      <c r="F1676" t="s">
        <v>20</v>
      </c>
      <c r="G1676" s="1" t="str">
        <f t="shared" si="325"/>
        <v>X</v>
      </c>
      <c r="H1676" s="1" t="str">
        <f t="shared" si="325"/>
        <v>X</v>
      </c>
      <c r="I1676" s="1" t="str">
        <f t="shared" si="325"/>
        <v>X</v>
      </c>
      <c r="J1676" s="1" t="str">
        <f t="shared" si="325"/>
        <v>X</v>
      </c>
      <c r="K1676" s="1" t="str">
        <f t="shared" si="325"/>
        <v>X</v>
      </c>
      <c r="L1676" s="1" t="str">
        <f t="shared" si="325"/>
        <v>X</v>
      </c>
      <c r="M1676" s="1" t="str">
        <f t="shared" si="325"/>
        <v>X</v>
      </c>
      <c r="N1676" t="s">
        <v>27</v>
      </c>
    </row>
    <row r="1677" spans="1:14" x14ac:dyDescent="0.25">
      <c r="A1677" t="s">
        <v>14</v>
      </c>
      <c r="B1677" t="s">
        <v>39</v>
      </c>
      <c r="C1677" t="s">
        <v>38</v>
      </c>
      <c r="D1677" t="s">
        <v>32</v>
      </c>
      <c r="E1677" t="s">
        <v>15</v>
      </c>
      <c r="F1677" t="s">
        <v>15</v>
      </c>
      <c r="G1677" s="1">
        <f>VALUE(5311.4198484031)</f>
        <v>5311.4198484031003</v>
      </c>
      <c r="H1677" s="1">
        <f>VALUE(5368.9062679262)</f>
        <v>5368.9062679261997</v>
      </c>
      <c r="I1677" s="1">
        <f>VALUE(3821)</f>
        <v>3821</v>
      </c>
      <c r="J1677" s="1">
        <f>VALUE(4449)</f>
        <v>4449</v>
      </c>
      <c r="K1677" s="1">
        <f>VALUE(5162)</f>
        <v>5162</v>
      </c>
      <c r="L1677" s="1">
        <f>VALUE(5988)</f>
        <v>5988</v>
      </c>
      <c r="M1677" s="1">
        <f>VALUE(7497)</f>
        <v>7497</v>
      </c>
      <c r="N1677" t="s">
        <v>16</v>
      </c>
    </row>
    <row r="1678" spans="1:14" x14ac:dyDescent="0.25">
      <c r="A1678" t="s">
        <v>14</v>
      </c>
      <c r="B1678" t="s">
        <v>39</v>
      </c>
      <c r="C1678" t="s">
        <v>38</v>
      </c>
      <c r="D1678" t="s">
        <v>32</v>
      </c>
      <c r="E1678" t="s">
        <v>15</v>
      </c>
      <c r="F1678" t="s">
        <v>17</v>
      </c>
      <c r="G1678" s="2">
        <f>VALUE(624.0552392866)</f>
        <v>624.0552392866</v>
      </c>
      <c r="H1678" s="3">
        <f>VALUE(626.3013617995)</f>
        <v>626.3013617995</v>
      </c>
      <c r="I1678" s="4">
        <f>VALUE(4333)</f>
        <v>4333</v>
      </c>
      <c r="J1678" s="1">
        <f>VALUE(5427)</f>
        <v>5427</v>
      </c>
      <c r="K1678" s="6">
        <f>VALUE(7150)</f>
        <v>7150</v>
      </c>
      <c r="L1678" s="7">
        <f>VALUE(10126)</f>
        <v>10126</v>
      </c>
      <c r="M1678" s="8">
        <f>VALUE(16135)</f>
        <v>16135</v>
      </c>
      <c r="N1678" t="s">
        <v>25</v>
      </c>
    </row>
    <row r="1679" spans="1:14" x14ac:dyDescent="0.25">
      <c r="A1679" t="s">
        <v>14</v>
      </c>
      <c r="B1679" t="s">
        <v>39</v>
      </c>
      <c r="C1679" t="s">
        <v>38</v>
      </c>
      <c r="D1679" t="s">
        <v>32</v>
      </c>
      <c r="E1679" t="s">
        <v>15</v>
      </c>
      <c r="F1679" t="s">
        <v>18</v>
      </c>
      <c r="G1679" s="2">
        <f>VALUE(430.3476529138)</f>
        <v>430.3476529138</v>
      </c>
      <c r="H1679" s="3">
        <f>VALUE(427.9821664164)</f>
        <v>427.98216641639999</v>
      </c>
      <c r="I1679" s="4">
        <f>VALUE(4127)</f>
        <v>4127</v>
      </c>
      <c r="J1679" s="1">
        <f>VALUE(4909)</f>
        <v>4909</v>
      </c>
      <c r="K1679" s="1">
        <f>VALUE(5417)</f>
        <v>5417</v>
      </c>
      <c r="L1679" s="1">
        <f>VALUE(6623)</f>
        <v>6623</v>
      </c>
      <c r="M1679" s="1">
        <f>VALUE(7937)</f>
        <v>7937</v>
      </c>
      <c r="N1679" t="s">
        <v>25</v>
      </c>
    </row>
    <row r="1680" spans="1:14" x14ac:dyDescent="0.25">
      <c r="A1680" t="s">
        <v>14</v>
      </c>
      <c r="B1680" t="s">
        <v>39</v>
      </c>
      <c r="C1680" t="s">
        <v>38</v>
      </c>
      <c r="D1680" t="s">
        <v>32</v>
      </c>
      <c r="E1680" t="s">
        <v>15</v>
      </c>
      <c r="F1680" t="s">
        <v>19</v>
      </c>
      <c r="G1680" s="2">
        <f>VALUE(714.2105103781)</f>
        <v>714.21051037810003</v>
      </c>
      <c r="H1680" s="3">
        <f>VALUE(724.4130669819)</f>
        <v>724.41306698189999</v>
      </c>
      <c r="I1680" s="1">
        <f>VALUE(3962)</f>
        <v>3962</v>
      </c>
      <c r="J1680" s="1">
        <f>VALUE(4643)</f>
        <v>4643</v>
      </c>
      <c r="K1680" s="1">
        <f>VALUE(5467)</f>
        <v>5467</v>
      </c>
      <c r="L1680" s="1">
        <f>VALUE(6303)</f>
        <v>6303</v>
      </c>
      <c r="M1680" s="1">
        <f>VALUE(7496)</f>
        <v>7496</v>
      </c>
      <c r="N1680" t="s">
        <v>25</v>
      </c>
    </row>
    <row r="1681" spans="1:14" x14ac:dyDescent="0.25">
      <c r="A1681" t="s">
        <v>14</v>
      </c>
      <c r="B1681" t="s">
        <v>39</v>
      </c>
      <c r="C1681" t="s">
        <v>38</v>
      </c>
      <c r="D1681" t="s">
        <v>32</v>
      </c>
      <c r="E1681" t="s">
        <v>15</v>
      </c>
      <c r="F1681" t="s">
        <v>20</v>
      </c>
      <c r="G1681" s="1">
        <f>VALUE(3542.8064458246)</f>
        <v>3542.8064458245999</v>
      </c>
      <c r="H1681" s="1">
        <f>VALUE(3590.2096727284)</f>
        <v>3590.2096727284002</v>
      </c>
      <c r="I1681" s="1">
        <f>VALUE(3683)</f>
        <v>3683</v>
      </c>
      <c r="J1681" s="1">
        <f>VALUE(4262)</f>
        <v>4262</v>
      </c>
      <c r="K1681" s="1">
        <f>VALUE(4983)</f>
        <v>4983</v>
      </c>
      <c r="L1681" s="1">
        <f>VALUE(5585)</f>
        <v>5585</v>
      </c>
      <c r="M1681" s="1">
        <f>VALUE(6241)</f>
        <v>6241</v>
      </c>
      <c r="N1681" t="s">
        <v>16</v>
      </c>
    </row>
    <row r="1682" spans="1:14" x14ac:dyDescent="0.25">
      <c r="A1682" t="s">
        <v>14</v>
      </c>
      <c r="B1682" t="s">
        <v>39</v>
      </c>
      <c r="C1682" t="s">
        <v>38</v>
      </c>
      <c r="D1682" t="s">
        <v>32</v>
      </c>
      <c r="E1682" t="s">
        <v>21</v>
      </c>
      <c r="F1682" t="s">
        <v>15</v>
      </c>
      <c r="G1682" s="2">
        <f>VALUE(522.1562536291)</f>
        <v>522.15625362909998</v>
      </c>
      <c r="H1682" s="3">
        <f>VALUE(506.1435745438)</f>
        <v>506.14357454380001</v>
      </c>
      <c r="I1682" s="1">
        <f>VALUE(4643)</f>
        <v>4643</v>
      </c>
      <c r="J1682" s="1">
        <f>VALUE(5893)</f>
        <v>5893</v>
      </c>
      <c r="K1682" s="1">
        <f>VALUE(7728)</f>
        <v>7728</v>
      </c>
      <c r="L1682" s="7">
        <f>VALUE(10793)</f>
        <v>10793</v>
      </c>
      <c r="M1682" s="8">
        <f>VALUE(15079)</f>
        <v>15079</v>
      </c>
      <c r="N1682" t="s">
        <v>25</v>
      </c>
    </row>
    <row r="1683" spans="1:14" x14ac:dyDescent="0.25">
      <c r="A1683" t="s">
        <v>14</v>
      </c>
      <c r="B1683" t="s">
        <v>39</v>
      </c>
      <c r="C1683" t="s">
        <v>38</v>
      </c>
      <c r="D1683" t="s">
        <v>32</v>
      </c>
      <c r="E1683" t="s">
        <v>21</v>
      </c>
      <c r="F1683" t="s">
        <v>17</v>
      </c>
      <c r="G1683" s="2">
        <f>VALUE(249.6790143497)</f>
        <v>249.6790143497</v>
      </c>
      <c r="H1683" s="3">
        <f>VALUE(242.4084788329)</f>
        <v>242.40847883289999</v>
      </c>
      <c r="I1683" s="4">
        <f>VALUE(5623)</f>
        <v>5623</v>
      </c>
      <c r="J1683" s="5">
        <f>VALUE(6810)</f>
        <v>6810</v>
      </c>
      <c r="K1683" s="1">
        <f>VALUE(9186)</f>
        <v>9186</v>
      </c>
      <c r="L1683" s="7">
        <f>VALUE(13875)</f>
        <v>13875</v>
      </c>
      <c r="M1683" s="8">
        <f>VALUE(17500)</f>
        <v>17500</v>
      </c>
      <c r="N1683" t="s">
        <v>25</v>
      </c>
    </row>
    <row r="1684" spans="1:14" x14ac:dyDescent="0.25">
      <c r="A1684" t="s">
        <v>14</v>
      </c>
      <c r="B1684" t="s">
        <v>39</v>
      </c>
      <c r="C1684" t="s">
        <v>38</v>
      </c>
      <c r="D1684" t="s">
        <v>32</v>
      </c>
      <c r="E1684" t="s">
        <v>21</v>
      </c>
      <c r="F1684" t="s">
        <v>18</v>
      </c>
      <c r="G1684" s="1" t="str">
        <f t="shared" ref="G1684:M1686" si="326">"X"</f>
        <v>X</v>
      </c>
      <c r="H1684" s="1" t="str">
        <f t="shared" si="326"/>
        <v>X</v>
      </c>
      <c r="I1684" s="1" t="str">
        <f t="shared" si="326"/>
        <v>X</v>
      </c>
      <c r="J1684" s="1" t="str">
        <f t="shared" si="326"/>
        <v>X</v>
      </c>
      <c r="K1684" s="1" t="str">
        <f t="shared" si="326"/>
        <v>X</v>
      </c>
      <c r="L1684" s="1" t="str">
        <f t="shared" si="326"/>
        <v>X</v>
      </c>
      <c r="M1684" s="1" t="str">
        <f t="shared" si="326"/>
        <v>X</v>
      </c>
      <c r="N1684" t="s">
        <v>27</v>
      </c>
    </row>
    <row r="1685" spans="1:14" x14ac:dyDescent="0.25">
      <c r="A1685" t="s">
        <v>14</v>
      </c>
      <c r="B1685" t="s">
        <v>39</v>
      </c>
      <c r="C1685" t="s">
        <v>38</v>
      </c>
      <c r="D1685" t="s">
        <v>32</v>
      </c>
      <c r="E1685" t="s">
        <v>21</v>
      </c>
      <c r="F1685" t="s">
        <v>19</v>
      </c>
      <c r="G1685" s="1" t="str">
        <f t="shared" si="326"/>
        <v>X</v>
      </c>
      <c r="H1685" s="1" t="str">
        <f t="shared" si="326"/>
        <v>X</v>
      </c>
      <c r="I1685" s="1" t="str">
        <f t="shared" si="326"/>
        <v>X</v>
      </c>
      <c r="J1685" s="1" t="str">
        <f t="shared" si="326"/>
        <v>X</v>
      </c>
      <c r="K1685" s="1" t="str">
        <f t="shared" si="326"/>
        <v>X</v>
      </c>
      <c r="L1685" s="1" t="str">
        <f t="shared" si="326"/>
        <v>X</v>
      </c>
      <c r="M1685" s="1" t="str">
        <f t="shared" si="326"/>
        <v>X</v>
      </c>
      <c r="N1685" t="s">
        <v>27</v>
      </c>
    </row>
    <row r="1686" spans="1:14" x14ac:dyDescent="0.25">
      <c r="A1686" t="s">
        <v>14</v>
      </c>
      <c r="B1686" t="s">
        <v>39</v>
      </c>
      <c r="C1686" t="s">
        <v>38</v>
      </c>
      <c r="D1686" t="s">
        <v>32</v>
      </c>
      <c r="E1686" t="s">
        <v>21</v>
      </c>
      <c r="F1686" t="s">
        <v>20</v>
      </c>
      <c r="G1686" s="1" t="str">
        <f t="shared" si="326"/>
        <v>X</v>
      </c>
      <c r="H1686" s="1" t="str">
        <f t="shared" si="326"/>
        <v>X</v>
      </c>
      <c r="I1686" s="1" t="str">
        <f t="shared" si="326"/>
        <v>X</v>
      </c>
      <c r="J1686" s="1" t="str">
        <f t="shared" si="326"/>
        <v>X</v>
      </c>
      <c r="K1686" s="1" t="str">
        <f t="shared" si="326"/>
        <v>X</v>
      </c>
      <c r="L1686" s="1" t="str">
        <f t="shared" si="326"/>
        <v>X</v>
      </c>
      <c r="M1686" s="1" t="str">
        <f t="shared" si="326"/>
        <v>X</v>
      </c>
      <c r="N1686" t="s">
        <v>27</v>
      </c>
    </row>
    <row r="1687" spans="1:14" x14ac:dyDescent="0.25">
      <c r="A1687" t="s">
        <v>14</v>
      </c>
      <c r="B1687" t="s">
        <v>39</v>
      </c>
      <c r="C1687" t="s">
        <v>38</v>
      </c>
      <c r="D1687" t="s">
        <v>32</v>
      </c>
      <c r="E1687" t="s">
        <v>22</v>
      </c>
      <c r="F1687" t="s">
        <v>15</v>
      </c>
      <c r="G1687" s="2">
        <f>VALUE(1235.095617747)</f>
        <v>1235.095617747</v>
      </c>
      <c r="H1687" s="3">
        <f>VALUE(1245.084415033)</f>
        <v>1245.0844150329999</v>
      </c>
      <c r="I1687" s="1">
        <f>VALUE(4187)</f>
        <v>4187</v>
      </c>
      <c r="J1687" s="1">
        <f>VALUE(4891)</f>
        <v>4891</v>
      </c>
      <c r="K1687" s="1">
        <f>VALUE(5580)</f>
        <v>5580</v>
      </c>
      <c r="L1687" s="1">
        <f>VALUE(6385)</f>
        <v>6385</v>
      </c>
      <c r="M1687" s="1">
        <f>VALUE(7256)</f>
        <v>7256</v>
      </c>
      <c r="N1687" t="s">
        <v>25</v>
      </c>
    </row>
    <row r="1688" spans="1:14" x14ac:dyDescent="0.25">
      <c r="A1688" t="s">
        <v>14</v>
      </c>
      <c r="B1688" t="s">
        <v>39</v>
      </c>
      <c r="C1688" t="s">
        <v>38</v>
      </c>
      <c r="D1688" t="s">
        <v>32</v>
      </c>
      <c r="E1688" t="s">
        <v>22</v>
      </c>
      <c r="F1688" t="s">
        <v>17</v>
      </c>
      <c r="G1688" s="2">
        <f>VALUE(143.7040751187)</f>
        <v>143.70407511869999</v>
      </c>
      <c r="H1688" s="3">
        <f>VALUE(148.2355083079)</f>
        <v>148.23550830790001</v>
      </c>
      <c r="I1688" s="1">
        <f>VALUE(4982)</f>
        <v>4982</v>
      </c>
      <c r="J1688" s="1">
        <f>VALUE(5721)</f>
        <v>5721</v>
      </c>
      <c r="K1688" s="1">
        <f>VALUE(7222)</f>
        <v>7222</v>
      </c>
      <c r="L1688" s="7">
        <f>VALUE(8992)</f>
        <v>8992</v>
      </c>
      <c r="M1688" s="8">
        <f>VALUE(13656)</f>
        <v>13656</v>
      </c>
      <c r="N1688" t="s">
        <v>25</v>
      </c>
    </row>
    <row r="1689" spans="1:14" x14ac:dyDescent="0.25">
      <c r="A1689" t="s">
        <v>14</v>
      </c>
      <c r="B1689" t="s">
        <v>39</v>
      </c>
      <c r="C1689" t="s">
        <v>38</v>
      </c>
      <c r="D1689" t="s">
        <v>32</v>
      </c>
      <c r="E1689" t="s">
        <v>22</v>
      </c>
      <c r="F1689" t="s">
        <v>18</v>
      </c>
      <c r="G1689" s="1" t="str">
        <f t="shared" ref="G1689:M1689" si="327">"X"</f>
        <v>X</v>
      </c>
      <c r="H1689" s="1" t="str">
        <f t="shared" si="327"/>
        <v>X</v>
      </c>
      <c r="I1689" s="1" t="str">
        <f t="shared" si="327"/>
        <v>X</v>
      </c>
      <c r="J1689" s="1" t="str">
        <f t="shared" si="327"/>
        <v>X</v>
      </c>
      <c r="K1689" s="1" t="str">
        <f t="shared" si="327"/>
        <v>X</v>
      </c>
      <c r="L1689" s="1" t="str">
        <f t="shared" si="327"/>
        <v>X</v>
      </c>
      <c r="M1689" s="1" t="str">
        <f t="shared" si="327"/>
        <v>X</v>
      </c>
      <c r="N1689" t="s">
        <v>27</v>
      </c>
    </row>
    <row r="1690" spans="1:14" x14ac:dyDescent="0.25">
      <c r="A1690" t="s">
        <v>14</v>
      </c>
      <c r="B1690" t="s">
        <v>39</v>
      </c>
      <c r="C1690" t="s">
        <v>38</v>
      </c>
      <c r="D1690" t="s">
        <v>32</v>
      </c>
      <c r="E1690" t="s">
        <v>22</v>
      </c>
      <c r="F1690" t="s">
        <v>19</v>
      </c>
      <c r="G1690" s="2">
        <f>VALUE(221.9005177321)</f>
        <v>221.90051773210001</v>
      </c>
      <c r="H1690" s="3">
        <f>VALUE(221.2058867678)</f>
        <v>221.2058867678</v>
      </c>
      <c r="I1690" s="4">
        <f>VALUE(4095)</f>
        <v>4095</v>
      </c>
      <c r="J1690" s="1">
        <f>VALUE(4891)</f>
        <v>4891</v>
      </c>
      <c r="K1690" s="1">
        <f>VALUE(5698)</f>
        <v>5698</v>
      </c>
      <c r="L1690" s="1">
        <f>VALUE(6433)</f>
        <v>6433</v>
      </c>
      <c r="M1690" s="1">
        <f>VALUE(6931)</f>
        <v>6931</v>
      </c>
      <c r="N1690" t="s">
        <v>25</v>
      </c>
    </row>
    <row r="1691" spans="1:14" x14ac:dyDescent="0.25">
      <c r="A1691" t="s">
        <v>14</v>
      </c>
      <c r="B1691" t="s">
        <v>39</v>
      </c>
      <c r="C1691" t="s">
        <v>38</v>
      </c>
      <c r="D1691" t="s">
        <v>32</v>
      </c>
      <c r="E1691" t="s">
        <v>22</v>
      </c>
      <c r="F1691" t="s">
        <v>20</v>
      </c>
      <c r="G1691" s="2">
        <f>VALUE(726.4473258465)</f>
        <v>726.44732584650001</v>
      </c>
      <c r="H1691" s="3">
        <f>VALUE(734.1125601777)</f>
        <v>734.11256017769995</v>
      </c>
      <c r="I1691" s="1">
        <f>VALUE(3937)</f>
        <v>3937</v>
      </c>
      <c r="J1691" s="1">
        <f>VALUE(4746)</f>
        <v>4746</v>
      </c>
      <c r="K1691" s="1">
        <f>VALUE(5545)</f>
        <v>5545</v>
      </c>
      <c r="L1691" s="1">
        <f>VALUE(6003)</f>
        <v>6003</v>
      </c>
      <c r="M1691" s="1">
        <f>VALUE(6818)</f>
        <v>6818</v>
      </c>
      <c r="N1691" t="s">
        <v>25</v>
      </c>
    </row>
    <row r="1692" spans="1:14" x14ac:dyDescent="0.25">
      <c r="A1692" t="s">
        <v>14</v>
      </c>
      <c r="B1692" t="s">
        <v>39</v>
      </c>
      <c r="C1692" t="s">
        <v>38</v>
      </c>
      <c r="D1692" t="s">
        <v>32</v>
      </c>
      <c r="E1692" t="s">
        <v>23</v>
      </c>
      <c r="F1692" t="s">
        <v>15</v>
      </c>
      <c r="G1692" s="1">
        <f>VALUE(3496.7011975779)</f>
        <v>3496.7011975779001</v>
      </c>
      <c r="H1692" s="1">
        <f>VALUE(3557.7717831724)</f>
        <v>3557.7717831723999</v>
      </c>
      <c r="I1692" s="1">
        <f>VALUE(3734)</f>
        <v>3734</v>
      </c>
      <c r="J1692" s="1">
        <f>VALUE(4260)</f>
        <v>4260</v>
      </c>
      <c r="K1692" s="1">
        <f>VALUE(4966)</f>
        <v>4966</v>
      </c>
      <c r="L1692" s="1">
        <f>VALUE(5548)</f>
        <v>5548</v>
      </c>
      <c r="M1692" s="1">
        <f>VALUE(6303)</f>
        <v>6303</v>
      </c>
      <c r="N1692" t="s">
        <v>16</v>
      </c>
    </row>
    <row r="1693" spans="1:14" x14ac:dyDescent="0.25">
      <c r="A1693" t="s">
        <v>14</v>
      </c>
      <c r="B1693" t="s">
        <v>39</v>
      </c>
      <c r="C1693" t="s">
        <v>38</v>
      </c>
      <c r="D1693" t="s">
        <v>32</v>
      </c>
      <c r="E1693" t="s">
        <v>23</v>
      </c>
      <c r="F1693" t="s">
        <v>17</v>
      </c>
      <c r="G1693" s="2">
        <f>VALUE(207.3459618856)</f>
        <v>207.34596188559999</v>
      </c>
      <c r="H1693" s="3">
        <f>VALUE(211.7883118871)</f>
        <v>211.78831188710001</v>
      </c>
      <c r="I1693" s="4">
        <f>VALUE(4000)</f>
        <v>4000</v>
      </c>
      <c r="J1693" s="5">
        <f>VALUE(4798)</f>
        <v>4798</v>
      </c>
      <c r="K1693" s="6">
        <f>VALUE(5462)</f>
        <v>5462</v>
      </c>
      <c r="L1693" s="7">
        <f>VALUE(7651)</f>
        <v>7651</v>
      </c>
      <c r="M1693" s="8">
        <f>VALUE(16669)</f>
        <v>16669</v>
      </c>
      <c r="N1693" t="s">
        <v>24</v>
      </c>
    </row>
    <row r="1694" spans="1:14" x14ac:dyDescent="0.25">
      <c r="A1694" t="s">
        <v>14</v>
      </c>
      <c r="B1694" t="s">
        <v>39</v>
      </c>
      <c r="C1694" t="s">
        <v>38</v>
      </c>
      <c r="D1694" t="s">
        <v>32</v>
      </c>
      <c r="E1694" t="s">
        <v>23</v>
      </c>
      <c r="F1694" t="s">
        <v>18</v>
      </c>
      <c r="G1694" s="2">
        <f>VALUE(201.5788323837)</f>
        <v>201.57883238369999</v>
      </c>
      <c r="H1694" s="3">
        <f>VALUE(206.4566249808)</f>
        <v>206.4566249808</v>
      </c>
      <c r="I1694" s="1">
        <f>VALUE(4084)</f>
        <v>4084</v>
      </c>
      <c r="J1694" s="5">
        <f>VALUE(4651)</f>
        <v>4651</v>
      </c>
      <c r="K1694" s="1">
        <f>VALUE(5262)</f>
        <v>5262</v>
      </c>
      <c r="L1694" s="1">
        <f>VALUE(5880)</f>
        <v>5880</v>
      </c>
      <c r="M1694" s="8">
        <f>VALUE(7140)</f>
        <v>7140</v>
      </c>
      <c r="N1694" t="s">
        <v>25</v>
      </c>
    </row>
    <row r="1695" spans="1:14" x14ac:dyDescent="0.25">
      <c r="A1695" t="s">
        <v>14</v>
      </c>
      <c r="B1695" t="s">
        <v>39</v>
      </c>
      <c r="C1695" t="s">
        <v>38</v>
      </c>
      <c r="D1695" t="s">
        <v>32</v>
      </c>
      <c r="E1695" t="s">
        <v>23</v>
      </c>
      <c r="F1695" t="s">
        <v>19</v>
      </c>
      <c r="G1695" s="2">
        <f>VALUE(407.8433407689)</f>
        <v>407.84334076890002</v>
      </c>
      <c r="H1695" s="3">
        <f>VALUE(419.403899465)</f>
        <v>419.40389946499999</v>
      </c>
      <c r="I1695" s="1">
        <f>VALUE(3893)</f>
        <v>3893</v>
      </c>
      <c r="J1695" s="1">
        <f>VALUE(4500)</f>
        <v>4500</v>
      </c>
      <c r="K1695" s="1">
        <f>VALUE(5125)</f>
        <v>5125</v>
      </c>
      <c r="L1695" s="1">
        <f>VALUE(5940)</f>
        <v>5940</v>
      </c>
      <c r="M1695" s="8">
        <f>VALUE(6817)</f>
        <v>6817</v>
      </c>
      <c r="N1695" t="s">
        <v>25</v>
      </c>
    </row>
    <row r="1696" spans="1:14" x14ac:dyDescent="0.25">
      <c r="A1696" t="s">
        <v>14</v>
      </c>
      <c r="B1696" t="s">
        <v>39</v>
      </c>
      <c r="C1696" t="s">
        <v>38</v>
      </c>
      <c r="D1696" t="s">
        <v>32</v>
      </c>
      <c r="E1696" t="s">
        <v>23</v>
      </c>
      <c r="F1696" t="s">
        <v>20</v>
      </c>
      <c r="G1696" s="1">
        <f>VALUE(2679.9330625397)</f>
        <v>2679.9330625397001</v>
      </c>
      <c r="H1696" s="1">
        <f>VALUE(2720.1229468395)</f>
        <v>2720.1229468394999</v>
      </c>
      <c r="I1696" s="1">
        <f>VALUE(3665)</f>
        <v>3665</v>
      </c>
      <c r="J1696" s="1">
        <f>VALUE(4218)</f>
        <v>4218</v>
      </c>
      <c r="K1696" s="1">
        <f>VALUE(4858)</f>
        <v>4858</v>
      </c>
      <c r="L1696" s="1">
        <f>VALUE(5422)</f>
        <v>5422</v>
      </c>
      <c r="M1696" s="1">
        <f>VALUE(6010)</f>
        <v>6010</v>
      </c>
      <c r="N1696" t="s">
        <v>16</v>
      </c>
    </row>
    <row r="1697" spans="1:14" x14ac:dyDescent="0.25">
      <c r="A1697" t="s">
        <v>14</v>
      </c>
      <c r="B1697" t="s">
        <v>39</v>
      </c>
      <c r="C1697" t="s">
        <v>38</v>
      </c>
      <c r="D1697" t="s">
        <v>32</v>
      </c>
      <c r="E1697" t="s">
        <v>26</v>
      </c>
      <c r="F1697" t="s">
        <v>15</v>
      </c>
      <c r="G1697" s="1" t="str">
        <f t="shared" ref="G1697:M1699" si="328">"X"</f>
        <v>X</v>
      </c>
      <c r="H1697" s="1" t="str">
        <f t="shared" si="328"/>
        <v>X</v>
      </c>
      <c r="I1697" s="1" t="str">
        <f t="shared" si="328"/>
        <v>X</v>
      </c>
      <c r="J1697" s="1" t="str">
        <f t="shared" si="328"/>
        <v>X</v>
      </c>
      <c r="K1697" s="1" t="str">
        <f t="shared" si="328"/>
        <v>X</v>
      </c>
      <c r="L1697" s="1" t="str">
        <f t="shared" si="328"/>
        <v>X</v>
      </c>
      <c r="M1697" s="1" t="str">
        <f t="shared" si="328"/>
        <v>X</v>
      </c>
      <c r="N1697" t="s">
        <v>27</v>
      </c>
    </row>
    <row r="1698" spans="1:14" x14ac:dyDescent="0.25">
      <c r="A1698" t="s">
        <v>14</v>
      </c>
      <c r="B1698" t="s">
        <v>39</v>
      </c>
      <c r="C1698" t="s">
        <v>38</v>
      </c>
      <c r="D1698" t="s">
        <v>32</v>
      </c>
      <c r="E1698" t="s">
        <v>26</v>
      </c>
      <c r="F1698" t="s">
        <v>17</v>
      </c>
      <c r="G1698" s="1" t="str">
        <f t="shared" si="328"/>
        <v>X</v>
      </c>
      <c r="H1698" s="1" t="str">
        <f t="shared" si="328"/>
        <v>X</v>
      </c>
      <c r="I1698" s="1" t="str">
        <f t="shared" si="328"/>
        <v>X</v>
      </c>
      <c r="J1698" s="1" t="str">
        <f t="shared" si="328"/>
        <v>X</v>
      </c>
      <c r="K1698" s="1" t="str">
        <f t="shared" si="328"/>
        <v>X</v>
      </c>
      <c r="L1698" s="1" t="str">
        <f t="shared" si="328"/>
        <v>X</v>
      </c>
      <c r="M1698" s="1" t="str">
        <f t="shared" si="328"/>
        <v>X</v>
      </c>
      <c r="N1698" t="s">
        <v>27</v>
      </c>
    </row>
    <row r="1699" spans="1:14" x14ac:dyDescent="0.25">
      <c r="A1699" t="s">
        <v>14</v>
      </c>
      <c r="B1699" t="s">
        <v>39</v>
      </c>
      <c r="C1699" t="s">
        <v>38</v>
      </c>
      <c r="D1699" t="s">
        <v>32</v>
      </c>
      <c r="E1699" t="s">
        <v>26</v>
      </c>
      <c r="F1699" t="s">
        <v>18</v>
      </c>
      <c r="G1699" s="1" t="str">
        <f t="shared" si="328"/>
        <v>X</v>
      </c>
      <c r="H1699" s="1" t="str">
        <f t="shared" si="328"/>
        <v>X</v>
      </c>
      <c r="I1699" s="1" t="str">
        <f t="shared" si="328"/>
        <v>X</v>
      </c>
      <c r="J1699" s="1" t="str">
        <f t="shared" si="328"/>
        <v>X</v>
      </c>
      <c r="K1699" s="1" t="str">
        <f t="shared" si="328"/>
        <v>X</v>
      </c>
      <c r="L1699" s="1" t="str">
        <f t="shared" si="328"/>
        <v>X</v>
      </c>
      <c r="M1699" s="1" t="str">
        <f t="shared" si="328"/>
        <v>X</v>
      </c>
      <c r="N1699" t="s">
        <v>27</v>
      </c>
    </row>
    <row r="1700" spans="1:14" x14ac:dyDescent="0.25">
      <c r="A1700" t="s">
        <v>14</v>
      </c>
      <c r="B1700" t="s">
        <v>39</v>
      </c>
      <c r="C1700" t="s">
        <v>38</v>
      </c>
      <c r="D1700" t="s">
        <v>32</v>
      </c>
      <c r="E1700" t="s">
        <v>26</v>
      </c>
      <c r="F1700" t="s">
        <v>19</v>
      </c>
      <c r="G1700" s="1" t="str">
        <f t="shared" ref="G1700:M1700" si="329">"..."</f>
        <v>...</v>
      </c>
      <c r="H1700" s="1" t="str">
        <f t="shared" si="329"/>
        <v>...</v>
      </c>
      <c r="I1700" s="1" t="str">
        <f t="shared" si="329"/>
        <v>...</v>
      </c>
      <c r="J1700" s="1" t="str">
        <f t="shared" si="329"/>
        <v>...</v>
      </c>
      <c r="K1700" s="1" t="str">
        <f t="shared" si="329"/>
        <v>...</v>
      </c>
      <c r="L1700" s="1" t="str">
        <f t="shared" si="329"/>
        <v>...</v>
      </c>
      <c r="M1700" s="1" t="str">
        <f t="shared" si="329"/>
        <v>...</v>
      </c>
      <c r="N1700" t="s">
        <v>30</v>
      </c>
    </row>
    <row r="1701" spans="1:14" x14ac:dyDescent="0.25">
      <c r="A1701" t="s">
        <v>14</v>
      </c>
      <c r="B1701" t="s">
        <v>39</v>
      </c>
      <c r="C1701" t="s">
        <v>38</v>
      </c>
      <c r="D1701" t="s">
        <v>32</v>
      </c>
      <c r="E1701" t="s">
        <v>26</v>
      </c>
      <c r="F1701" t="s">
        <v>20</v>
      </c>
      <c r="G1701" s="1" t="str">
        <f t="shared" ref="G1701:M1701" si="330">"X"</f>
        <v>X</v>
      </c>
      <c r="H1701" s="1" t="str">
        <f t="shared" si="330"/>
        <v>X</v>
      </c>
      <c r="I1701" s="1" t="str">
        <f t="shared" si="330"/>
        <v>X</v>
      </c>
      <c r="J1701" s="1" t="str">
        <f t="shared" si="330"/>
        <v>X</v>
      </c>
      <c r="K1701" s="1" t="str">
        <f t="shared" si="330"/>
        <v>X</v>
      </c>
      <c r="L1701" s="1" t="str">
        <f t="shared" si="330"/>
        <v>X</v>
      </c>
      <c r="M1701" s="1" t="str">
        <f t="shared" si="330"/>
        <v>X</v>
      </c>
      <c r="N1701" t="s">
        <v>27</v>
      </c>
    </row>
    <row r="1702" spans="1:14" x14ac:dyDescent="0.25">
      <c r="A1702" t="s">
        <v>14</v>
      </c>
      <c r="B1702" t="s">
        <v>39</v>
      </c>
      <c r="C1702" t="s">
        <v>38</v>
      </c>
      <c r="D1702" t="s">
        <v>33</v>
      </c>
      <c r="E1702" t="s">
        <v>15</v>
      </c>
      <c r="F1702" t="s">
        <v>15</v>
      </c>
      <c r="G1702" s="2">
        <f>VALUE(227.7472417723)</f>
        <v>227.74724177229999</v>
      </c>
      <c r="H1702" s="3">
        <f>VALUE(191.726106274)</f>
        <v>191.72610627399999</v>
      </c>
      <c r="I1702" s="4">
        <f>VALUE(4282)</f>
        <v>4282</v>
      </c>
      <c r="J1702" s="5">
        <f>VALUE(5417)</f>
        <v>5417</v>
      </c>
      <c r="K1702" s="1">
        <f>VALUE(6328)</f>
        <v>6328</v>
      </c>
      <c r="L1702" s="7">
        <f>VALUE(7718)</f>
        <v>7718</v>
      </c>
      <c r="M1702" s="8">
        <f>VALUE(14300)</f>
        <v>14300</v>
      </c>
      <c r="N1702" t="s">
        <v>25</v>
      </c>
    </row>
    <row r="1703" spans="1:14" x14ac:dyDescent="0.25">
      <c r="A1703" t="s">
        <v>14</v>
      </c>
      <c r="B1703" t="s">
        <v>39</v>
      </c>
      <c r="C1703" t="s">
        <v>38</v>
      </c>
      <c r="D1703" t="s">
        <v>33</v>
      </c>
      <c r="E1703" t="s">
        <v>15</v>
      </c>
      <c r="F1703" t="s">
        <v>17</v>
      </c>
      <c r="G1703" s="1" t="str">
        <f t="shared" ref="G1703:M1709" si="331">"X"</f>
        <v>X</v>
      </c>
      <c r="H1703" s="1" t="str">
        <f t="shared" si="331"/>
        <v>X</v>
      </c>
      <c r="I1703" s="1" t="str">
        <f t="shared" si="331"/>
        <v>X</v>
      </c>
      <c r="J1703" s="1" t="str">
        <f t="shared" si="331"/>
        <v>X</v>
      </c>
      <c r="K1703" s="1" t="str">
        <f t="shared" si="331"/>
        <v>X</v>
      </c>
      <c r="L1703" s="1" t="str">
        <f t="shared" si="331"/>
        <v>X</v>
      </c>
      <c r="M1703" s="1" t="str">
        <f t="shared" si="331"/>
        <v>X</v>
      </c>
      <c r="N1703" t="s">
        <v>27</v>
      </c>
    </row>
    <row r="1704" spans="1:14" x14ac:dyDescent="0.25">
      <c r="A1704" t="s">
        <v>14</v>
      </c>
      <c r="B1704" t="s">
        <v>39</v>
      </c>
      <c r="C1704" t="s">
        <v>38</v>
      </c>
      <c r="D1704" t="s">
        <v>33</v>
      </c>
      <c r="E1704" t="s">
        <v>15</v>
      </c>
      <c r="F1704" t="s">
        <v>18</v>
      </c>
      <c r="G1704" s="1" t="str">
        <f t="shared" si="331"/>
        <v>X</v>
      </c>
      <c r="H1704" s="1" t="str">
        <f t="shared" si="331"/>
        <v>X</v>
      </c>
      <c r="I1704" s="1" t="str">
        <f t="shared" si="331"/>
        <v>X</v>
      </c>
      <c r="J1704" s="1" t="str">
        <f t="shared" si="331"/>
        <v>X</v>
      </c>
      <c r="K1704" s="1" t="str">
        <f t="shared" si="331"/>
        <v>X</v>
      </c>
      <c r="L1704" s="1" t="str">
        <f t="shared" si="331"/>
        <v>X</v>
      </c>
      <c r="M1704" s="1" t="str">
        <f t="shared" si="331"/>
        <v>X</v>
      </c>
      <c r="N1704" t="s">
        <v>27</v>
      </c>
    </row>
    <row r="1705" spans="1:14" x14ac:dyDescent="0.25">
      <c r="A1705" t="s">
        <v>14</v>
      </c>
      <c r="B1705" t="s">
        <v>39</v>
      </c>
      <c r="C1705" t="s">
        <v>38</v>
      </c>
      <c r="D1705" t="s">
        <v>33</v>
      </c>
      <c r="E1705" t="s">
        <v>15</v>
      </c>
      <c r="F1705" t="s">
        <v>19</v>
      </c>
      <c r="G1705" s="1" t="str">
        <f t="shared" si="331"/>
        <v>X</v>
      </c>
      <c r="H1705" s="1" t="str">
        <f t="shared" si="331"/>
        <v>X</v>
      </c>
      <c r="I1705" s="1" t="str">
        <f t="shared" si="331"/>
        <v>X</v>
      </c>
      <c r="J1705" s="1" t="str">
        <f t="shared" si="331"/>
        <v>X</v>
      </c>
      <c r="K1705" s="1" t="str">
        <f t="shared" si="331"/>
        <v>X</v>
      </c>
      <c r="L1705" s="1" t="str">
        <f t="shared" si="331"/>
        <v>X</v>
      </c>
      <c r="M1705" s="1" t="str">
        <f t="shared" si="331"/>
        <v>X</v>
      </c>
      <c r="N1705" t="s">
        <v>27</v>
      </c>
    </row>
    <row r="1706" spans="1:14" x14ac:dyDescent="0.25">
      <c r="A1706" t="s">
        <v>14</v>
      </c>
      <c r="B1706" t="s">
        <v>39</v>
      </c>
      <c r="C1706" t="s">
        <v>38</v>
      </c>
      <c r="D1706" t="s">
        <v>33</v>
      </c>
      <c r="E1706" t="s">
        <v>15</v>
      </c>
      <c r="F1706" t="s">
        <v>20</v>
      </c>
      <c r="G1706" s="1" t="str">
        <f t="shared" si="331"/>
        <v>X</v>
      </c>
      <c r="H1706" s="1" t="str">
        <f t="shared" si="331"/>
        <v>X</v>
      </c>
      <c r="I1706" s="1" t="str">
        <f t="shared" si="331"/>
        <v>X</v>
      </c>
      <c r="J1706" s="1" t="str">
        <f t="shared" si="331"/>
        <v>X</v>
      </c>
      <c r="K1706" s="1" t="str">
        <f t="shared" si="331"/>
        <v>X</v>
      </c>
      <c r="L1706" s="1" t="str">
        <f t="shared" si="331"/>
        <v>X</v>
      </c>
      <c r="M1706" s="1" t="str">
        <f t="shared" si="331"/>
        <v>X</v>
      </c>
      <c r="N1706" t="s">
        <v>27</v>
      </c>
    </row>
    <row r="1707" spans="1:14" x14ac:dyDescent="0.25">
      <c r="A1707" t="s">
        <v>14</v>
      </c>
      <c r="B1707" t="s">
        <v>39</v>
      </c>
      <c r="C1707" t="s">
        <v>38</v>
      </c>
      <c r="D1707" t="s">
        <v>33</v>
      </c>
      <c r="E1707" t="s">
        <v>21</v>
      </c>
      <c r="F1707" t="s">
        <v>15</v>
      </c>
      <c r="G1707" s="1" t="str">
        <f t="shared" si="331"/>
        <v>X</v>
      </c>
      <c r="H1707" s="1" t="str">
        <f t="shared" si="331"/>
        <v>X</v>
      </c>
      <c r="I1707" s="1" t="str">
        <f t="shared" si="331"/>
        <v>X</v>
      </c>
      <c r="J1707" s="1" t="str">
        <f t="shared" si="331"/>
        <v>X</v>
      </c>
      <c r="K1707" s="1" t="str">
        <f t="shared" si="331"/>
        <v>X</v>
      </c>
      <c r="L1707" s="1" t="str">
        <f t="shared" si="331"/>
        <v>X</v>
      </c>
      <c r="M1707" s="1" t="str">
        <f t="shared" si="331"/>
        <v>X</v>
      </c>
      <c r="N1707" t="s">
        <v>27</v>
      </c>
    </row>
    <row r="1708" spans="1:14" x14ac:dyDescent="0.25">
      <c r="A1708" t="s">
        <v>14</v>
      </c>
      <c r="B1708" t="s">
        <v>39</v>
      </c>
      <c r="C1708" t="s">
        <v>38</v>
      </c>
      <c r="D1708" t="s">
        <v>33</v>
      </c>
      <c r="E1708" t="s">
        <v>21</v>
      </c>
      <c r="F1708" t="s">
        <v>17</v>
      </c>
      <c r="G1708" s="1" t="str">
        <f t="shared" si="331"/>
        <v>X</v>
      </c>
      <c r="H1708" s="1" t="str">
        <f t="shared" si="331"/>
        <v>X</v>
      </c>
      <c r="I1708" s="1" t="str">
        <f t="shared" si="331"/>
        <v>X</v>
      </c>
      <c r="J1708" s="1" t="str">
        <f t="shared" si="331"/>
        <v>X</v>
      </c>
      <c r="K1708" s="1" t="str">
        <f t="shared" si="331"/>
        <v>X</v>
      </c>
      <c r="L1708" s="1" t="str">
        <f t="shared" si="331"/>
        <v>X</v>
      </c>
      <c r="M1708" s="1" t="str">
        <f t="shared" si="331"/>
        <v>X</v>
      </c>
      <c r="N1708" t="s">
        <v>27</v>
      </c>
    </row>
    <row r="1709" spans="1:14" x14ac:dyDescent="0.25">
      <c r="A1709" t="s">
        <v>14</v>
      </c>
      <c r="B1709" t="s">
        <v>39</v>
      </c>
      <c r="C1709" t="s">
        <v>38</v>
      </c>
      <c r="D1709" t="s">
        <v>33</v>
      </c>
      <c r="E1709" t="s">
        <v>21</v>
      </c>
      <c r="F1709" t="s">
        <v>18</v>
      </c>
      <c r="G1709" s="1" t="str">
        <f t="shared" si="331"/>
        <v>X</v>
      </c>
      <c r="H1709" s="1" t="str">
        <f t="shared" si="331"/>
        <v>X</v>
      </c>
      <c r="I1709" s="1" t="str">
        <f t="shared" si="331"/>
        <v>X</v>
      </c>
      <c r="J1709" s="1" t="str">
        <f t="shared" si="331"/>
        <v>X</v>
      </c>
      <c r="K1709" s="1" t="str">
        <f t="shared" si="331"/>
        <v>X</v>
      </c>
      <c r="L1709" s="1" t="str">
        <f t="shared" si="331"/>
        <v>X</v>
      </c>
      <c r="M1709" s="1" t="str">
        <f t="shared" si="331"/>
        <v>X</v>
      </c>
      <c r="N1709" t="s">
        <v>27</v>
      </c>
    </row>
    <row r="1710" spans="1:14" x14ac:dyDescent="0.25">
      <c r="A1710" t="s">
        <v>14</v>
      </c>
      <c r="B1710" t="s">
        <v>39</v>
      </c>
      <c r="C1710" t="s">
        <v>38</v>
      </c>
      <c r="D1710" t="s">
        <v>33</v>
      </c>
      <c r="E1710" t="s">
        <v>21</v>
      </c>
      <c r="F1710" t="s">
        <v>19</v>
      </c>
      <c r="G1710" s="1" t="str">
        <f t="shared" ref="G1710:M1710" si="332">"..."</f>
        <v>...</v>
      </c>
      <c r="H1710" s="1" t="str">
        <f t="shared" si="332"/>
        <v>...</v>
      </c>
      <c r="I1710" s="1" t="str">
        <f t="shared" si="332"/>
        <v>...</v>
      </c>
      <c r="J1710" s="1" t="str">
        <f t="shared" si="332"/>
        <v>...</v>
      </c>
      <c r="K1710" s="1" t="str">
        <f t="shared" si="332"/>
        <v>...</v>
      </c>
      <c r="L1710" s="1" t="str">
        <f t="shared" si="332"/>
        <v>...</v>
      </c>
      <c r="M1710" s="1" t="str">
        <f t="shared" si="332"/>
        <v>...</v>
      </c>
      <c r="N1710" t="s">
        <v>30</v>
      </c>
    </row>
    <row r="1711" spans="1:14" x14ac:dyDescent="0.25">
      <c r="A1711" t="s">
        <v>14</v>
      </c>
      <c r="B1711" t="s">
        <v>39</v>
      </c>
      <c r="C1711" t="s">
        <v>38</v>
      </c>
      <c r="D1711" t="s">
        <v>33</v>
      </c>
      <c r="E1711" t="s">
        <v>21</v>
      </c>
      <c r="F1711" t="s">
        <v>20</v>
      </c>
      <c r="G1711" s="1" t="str">
        <f t="shared" ref="G1711:M1721" si="333">"X"</f>
        <v>X</v>
      </c>
      <c r="H1711" s="1" t="str">
        <f t="shared" si="333"/>
        <v>X</v>
      </c>
      <c r="I1711" s="1" t="str">
        <f t="shared" si="333"/>
        <v>X</v>
      </c>
      <c r="J1711" s="1" t="str">
        <f t="shared" si="333"/>
        <v>X</v>
      </c>
      <c r="K1711" s="1" t="str">
        <f t="shared" si="333"/>
        <v>X</v>
      </c>
      <c r="L1711" s="1" t="str">
        <f t="shared" si="333"/>
        <v>X</v>
      </c>
      <c r="M1711" s="1" t="str">
        <f t="shared" si="333"/>
        <v>X</v>
      </c>
      <c r="N1711" t="s">
        <v>27</v>
      </c>
    </row>
    <row r="1712" spans="1:14" x14ac:dyDescent="0.25">
      <c r="A1712" t="s">
        <v>14</v>
      </c>
      <c r="B1712" t="s">
        <v>39</v>
      </c>
      <c r="C1712" t="s">
        <v>38</v>
      </c>
      <c r="D1712" t="s">
        <v>33</v>
      </c>
      <c r="E1712" t="s">
        <v>22</v>
      </c>
      <c r="F1712" t="s">
        <v>15</v>
      </c>
      <c r="G1712" s="1" t="str">
        <f t="shared" si="333"/>
        <v>X</v>
      </c>
      <c r="H1712" s="1" t="str">
        <f t="shared" si="333"/>
        <v>X</v>
      </c>
      <c r="I1712" s="1" t="str">
        <f t="shared" si="333"/>
        <v>X</v>
      </c>
      <c r="J1712" s="1" t="str">
        <f t="shared" si="333"/>
        <v>X</v>
      </c>
      <c r="K1712" s="1" t="str">
        <f t="shared" si="333"/>
        <v>X</v>
      </c>
      <c r="L1712" s="1" t="str">
        <f t="shared" si="333"/>
        <v>X</v>
      </c>
      <c r="M1712" s="1" t="str">
        <f t="shared" si="333"/>
        <v>X</v>
      </c>
      <c r="N1712" t="s">
        <v>27</v>
      </c>
    </row>
    <row r="1713" spans="1:14" x14ac:dyDescent="0.25">
      <c r="A1713" t="s">
        <v>14</v>
      </c>
      <c r="B1713" t="s">
        <v>39</v>
      </c>
      <c r="C1713" t="s">
        <v>38</v>
      </c>
      <c r="D1713" t="s">
        <v>33</v>
      </c>
      <c r="E1713" t="s">
        <v>22</v>
      </c>
      <c r="F1713" t="s">
        <v>17</v>
      </c>
      <c r="G1713" s="1" t="str">
        <f t="shared" si="333"/>
        <v>X</v>
      </c>
      <c r="H1713" s="1" t="str">
        <f t="shared" si="333"/>
        <v>X</v>
      </c>
      <c r="I1713" s="1" t="str">
        <f t="shared" si="333"/>
        <v>X</v>
      </c>
      <c r="J1713" s="1" t="str">
        <f t="shared" si="333"/>
        <v>X</v>
      </c>
      <c r="K1713" s="1" t="str">
        <f t="shared" si="333"/>
        <v>X</v>
      </c>
      <c r="L1713" s="1" t="str">
        <f t="shared" si="333"/>
        <v>X</v>
      </c>
      <c r="M1713" s="1" t="str">
        <f t="shared" si="333"/>
        <v>X</v>
      </c>
      <c r="N1713" t="s">
        <v>27</v>
      </c>
    </row>
    <row r="1714" spans="1:14" x14ac:dyDescent="0.25">
      <c r="A1714" t="s">
        <v>14</v>
      </c>
      <c r="B1714" t="s">
        <v>39</v>
      </c>
      <c r="C1714" t="s">
        <v>38</v>
      </c>
      <c r="D1714" t="s">
        <v>33</v>
      </c>
      <c r="E1714" t="s">
        <v>22</v>
      </c>
      <c r="F1714" t="s">
        <v>18</v>
      </c>
      <c r="G1714" s="1" t="str">
        <f t="shared" si="333"/>
        <v>X</v>
      </c>
      <c r="H1714" s="1" t="str">
        <f t="shared" si="333"/>
        <v>X</v>
      </c>
      <c r="I1714" s="1" t="str">
        <f t="shared" si="333"/>
        <v>X</v>
      </c>
      <c r="J1714" s="1" t="str">
        <f t="shared" si="333"/>
        <v>X</v>
      </c>
      <c r="K1714" s="1" t="str">
        <f t="shared" si="333"/>
        <v>X</v>
      </c>
      <c r="L1714" s="1" t="str">
        <f t="shared" si="333"/>
        <v>X</v>
      </c>
      <c r="M1714" s="1" t="str">
        <f t="shared" si="333"/>
        <v>X</v>
      </c>
      <c r="N1714" t="s">
        <v>27</v>
      </c>
    </row>
    <row r="1715" spans="1:14" x14ac:dyDescent="0.25">
      <c r="A1715" t="s">
        <v>14</v>
      </c>
      <c r="B1715" t="s">
        <v>39</v>
      </c>
      <c r="C1715" t="s">
        <v>38</v>
      </c>
      <c r="D1715" t="s">
        <v>33</v>
      </c>
      <c r="E1715" t="s">
        <v>22</v>
      </c>
      <c r="F1715" t="s">
        <v>19</v>
      </c>
      <c r="G1715" s="1" t="str">
        <f t="shared" si="333"/>
        <v>X</v>
      </c>
      <c r="H1715" s="1" t="str">
        <f t="shared" si="333"/>
        <v>X</v>
      </c>
      <c r="I1715" s="1" t="str">
        <f t="shared" si="333"/>
        <v>X</v>
      </c>
      <c r="J1715" s="1" t="str">
        <f t="shared" si="333"/>
        <v>X</v>
      </c>
      <c r="K1715" s="1" t="str">
        <f t="shared" si="333"/>
        <v>X</v>
      </c>
      <c r="L1715" s="1" t="str">
        <f t="shared" si="333"/>
        <v>X</v>
      </c>
      <c r="M1715" s="1" t="str">
        <f t="shared" si="333"/>
        <v>X</v>
      </c>
      <c r="N1715" t="s">
        <v>27</v>
      </c>
    </row>
    <row r="1716" spans="1:14" x14ac:dyDescent="0.25">
      <c r="A1716" t="s">
        <v>14</v>
      </c>
      <c r="B1716" t="s">
        <v>39</v>
      </c>
      <c r="C1716" t="s">
        <v>38</v>
      </c>
      <c r="D1716" t="s">
        <v>33</v>
      </c>
      <c r="E1716" t="s">
        <v>22</v>
      </c>
      <c r="F1716" t="s">
        <v>20</v>
      </c>
      <c r="G1716" s="1" t="str">
        <f t="shared" si="333"/>
        <v>X</v>
      </c>
      <c r="H1716" s="1" t="str">
        <f t="shared" si="333"/>
        <v>X</v>
      </c>
      <c r="I1716" s="1" t="str">
        <f t="shared" si="333"/>
        <v>X</v>
      </c>
      <c r="J1716" s="1" t="str">
        <f t="shared" si="333"/>
        <v>X</v>
      </c>
      <c r="K1716" s="1" t="str">
        <f t="shared" si="333"/>
        <v>X</v>
      </c>
      <c r="L1716" s="1" t="str">
        <f t="shared" si="333"/>
        <v>X</v>
      </c>
      <c r="M1716" s="1" t="str">
        <f t="shared" si="333"/>
        <v>X</v>
      </c>
      <c r="N1716" t="s">
        <v>27</v>
      </c>
    </row>
    <row r="1717" spans="1:14" x14ac:dyDescent="0.25">
      <c r="A1717" t="s">
        <v>14</v>
      </c>
      <c r="B1717" t="s">
        <v>39</v>
      </c>
      <c r="C1717" t="s">
        <v>38</v>
      </c>
      <c r="D1717" t="s">
        <v>33</v>
      </c>
      <c r="E1717" t="s">
        <v>23</v>
      </c>
      <c r="F1717" t="s">
        <v>15</v>
      </c>
      <c r="G1717" s="1" t="str">
        <f t="shared" si="333"/>
        <v>X</v>
      </c>
      <c r="H1717" s="1" t="str">
        <f t="shared" si="333"/>
        <v>X</v>
      </c>
      <c r="I1717" s="1" t="str">
        <f t="shared" si="333"/>
        <v>X</v>
      </c>
      <c r="J1717" s="1" t="str">
        <f t="shared" si="333"/>
        <v>X</v>
      </c>
      <c r="K1717" s="1" t="str">
        <f t="shared" si="333"/>
        <v>X</v>
      </c>
      <c r="L1717" s="1" t="str">
        <f t="shared" si="333"/>
        <v>X</v>
      </c>
      <c r="M1717" s="1" t="str">
        <f t="shared" si="333"/>
        <v>X</v>
      </c>
      <c r="N1717" t="s">
        <v>27</v>
      </c>
    </row>
    <row r="1718" spans="1:14" x14ac:dyDescent="0.25">
      <c r="A1718" t="s">
        <v>14</v>
      </c>
      <c r="B1718" t="s">
        <v>39</v>
      </c>
      <c r="C1718" t="s">
        <v>38</v>
      </c>
      <c r="D1718" t="s">
        <v>33</v>
      </c>
      <c r="E1718" t="s">
        <v>23</v>
      </c>
      <c r="F1718" t="s">
        <v>17</v>
      </c>
      <c r="G1718" s="1" t="str">
        <f t="shared" si="333"/>
        <v>X</v>
      </c>
      <c r="H1718" s="1" t="str">
        <f t="shared" si="333"/>
        <v>X</v>
      </c>
      <c r="I1718" s="1" t="str">
        <f t="shared" si="333"/>
        <v>X</v>
      </c>
      <c r="J1718" s="1" t="str">
        <f t="shared" si="333"/>
        <v>X</v>
      </c>
      <c r="K1718" s="1" t="str">
        <f t="shared" si="333"/>
        <v>X</v>
      </c>
      <c r="L1718" s="1" t="str">
        <f t="shared" si="333"/>
        <v>X</v>
      </c>
      <c r="M1718" s="1" t="str">
        <f t="shared" si="333"/>
        <v>X</v>
      </c>
      <c r="N1718" t="s">
        <v>27</v>
      </c>
    </row>
    <row r="1719" spans="1:14" x14ac:dyDescent="0.25">
      <c r="A1719" t="s">
        <v>14</v>
      </c>
      <c r="B1719" t="s">
        <v>39</v>
      </c>
      <c r="C1719" t="s">
        <v>38</v>
      </c>
      <c r="D1719" t="s">
        <v>33</v>
      </c>
      <c r="E1719" t="s">
        <v>23</v>
      </c>
      <c r="F1719" t="s">
        <v>18</v>
      </c>
      <c r="G1719" s="1" t="str">
        <f t="shared" si="333"/>
        <v>X</v>
      </c>
      <c r="H1719" s="1" t="str">
        <f t="shared" si="333"/>
        <v>X</v>
      </c>
      <c r="I1719" s="1" t="str">
        <f t="shared" si="333"/>
        <v>X</v>
      </c>
      <c r="J1719" s="1" t="str">
        <f t="shared" si="333"/>
        <v>X</v>
      </c>
      <c r="K1719" s="1" t="str">
        <f t="shared" si="333"/>
        <v>X</v>
      </c>
      <c r="L1719" s="1" t="str">
        <f t="shared" si="333"/>
        <v>X</v>
      </c>
      <c r="M1719" s="1" t="str">
        <f t="shared" si="333"/>
        <v>X</v>
      </c>
      <c r="N1719" t="s">
        <v>27</v>
      </c>
    </row>
    <row r="1720" spans="1:14" x14ac:dyDescent="0.25">
      <c r="A1720" t="s">
        <v>14</v>
      </c>
      <c r="B1720" t="s">
        <v>39</v>
      </c>
      <c r="C1720" t="s">
        <v>38</v>
      </c>
      <c r="D1720" t="s">
        <v>33</v>
      </c>
      <c r="E1720" t="s">
        <v>23</v>
      </c>
      <c r="F1720" t="s">
        <v>19</v>
      </c>
      <c r="G1720" s="1" t="str">
        <f t="shared" si="333"/>
        <v>X</v>
      </c>
      <c r="H1720" s="1" t="str">
        <f t="shared" si="333"/>
        <v>X</v>
      </c>
      <c r="I1720" s="1" t="str">
        <f t="shared" si="333"/>
        <v>X</v>
      </c>
      <c r="J1720" s="1" t="str">
        <f t="shared" si="333"/>
        <v>X</v>
      </c>
      <c r="K1720" s="1" t="str">
        <f t="shared" si="333"/>
        <v>X</v>
      </c>
      <c r="L1720" s="1" t="str">
        <f t="shared" si="333"/>
        <v>X</v>
      </c>
      <c r="M1720" s="1" t="str">
        <f t="shared" si="333"/>
        <v>X</v>
      </c>
      <c r="N1720" t="s">
        <v>27</v>
      </c>
    </row>
    <row r="1721" spans="1:14" x14ac:dyDescent="0.25">
      <c r="A1721" t="s">
        <v>14</v>
      </c>
      <c r="B1721" t="s">
        <v>39</v>
      </c>
      <c r="C1721" t="s">
        <v>38</v>
      </c>
      <c r="D1721" t="s">
        <v>33</v>
      </c>
      <c r="E1721" t="s">
        <v>23</v>
      </c>
      <c r="F1721" t="s">
        <v>20</v>
      </c>
      <c r="G1721" s="1" t="str">
        <f t="shared" si="333"/>
        <v>X</v>
      </c>
      <c r="H1721" s="1" t="str">
        <f t="shared" si="333"/>
        <v>X</v>
      </c>
      <c r="I1721" s="1" t="str">
        <f t="shared" si="333"/>
        <v>X</v>
      </c>
      <c r="J1721" s="1" t="str">
        <f t="shared" si="333"/>
        <v>X</v>
      </c>
      <c r="K1721" s="1" t="str">
        <f t="shared" si="333"/>
        <v>X</v>
      </c>
      <c r="L1721" s="1" t="str">
        <f t="shared" si="333"/>
        <v>X</v>
      </c>
      <c r="M1721" s="1" t="str">
        <f t="shared" si="333"/>
        <v>X</v>
      </c>
      <c r="N1721" t="s">
        <v>27</v>
      </c>
    </row>
    <row r="1722" spans="1:14" x14ac:dyDescent="0.25">
      <c r="A1722" t="s">
        <v>14</v>
      </c>
      <c r="B1722" t="s">
        <v>39</v>
      </c>
      <c r="C1722" t="s">
        <v>38</v>
      </c>
      <c r="D1722" t="s">
        <v>33</v>
      </c>
      <c r="E1722" t="s">
        <v>26</v>
      </c>
      <c r="F1722" t="s">
        <v>15</v>
      </c>
      <c r="G1722" s="1" t="str">
        <f t="shared" ref="G1722:M1726" si="334">"..."</f>
        <v>...</v>
      </c>
      <c r="H1722" s="1" t="str">
        <f t="shared" si="334"/>
        <v>...</v>
      </c>
      <c r="I1722" s="1" t="str">
        <f t="shared" si="334"/>
        <v>...</v>
      </c>
      <c r="J1722" s="1" t="str">
        <f t="shared" si="334"/>
        <v>...</v>
      </c>
      <c r="K1722" s="1" t="str">
        <f t="shared" si="334"/>
        <v>...</v>
      </c>
      <c r="L1722" s="1" t="str">
        <f t="shared" si="334"/>
        <v>...</v>
      </c>
      <c r="M1722" s="1" t="str">
        <f t="shared" si="334"/>
        <v>...</v>
      </c>
      <c r="N1722" t="s">
        <v>30</v>
      </c>
    </row>
    <row r="1723" spans="1:14" x14ac:dyDescent="0.25">
      <c r="A1723" t="s">
        <v>14</v>
      </c>
      <c r="B1723" t="s">
        <v>39</v>
      </c>
      <c r="C1723" t="s">
        <v>38</v>
      </c>
      <c r="D1723" t="s">
        <v>33</v>
      </c>
      <c r="E1723" t="s">
        <v>26</v>
      </c>
      <c r="F1723" t="s">
        <v>17</v>
      </c>
      <c r="G1723" s="1" t="str">
        <f t="shared" si="334"/>
        <v>...</v>
      </c>
      <c r="H1723" s="1" t="str">
        <f t="shared" si="334"/>
        <v>...</v>
      </c>
      <c r="I1723" s="1" t="str">
        <f t="shared" si="334"/>
        <v>...</v>
      </c>
      <c r="J1723" s="1" t="str">
        <f t="shared" si="334"/>
        <v>...</v>
      </c>
      <c r="K1723" s="1" t="str">
        <f t="shared" si="334"/>
        <v>...</v>
      </c>
      <c r="L1723" s="1" t="str">
        <f t="shared" si="334"/>
        <v>...</v>
      </c>
      <c r="M1723" s="1" t="str">
        <f t="shared" si="334"/>
        <v>...</v>
      </c>
      <c r="N1723" t="s">
        <v>30</v>
      </c>
    </row>
    <row r="1724" spans="1:14" x14ac:dyDescent="0.25">
      <c r="A1724" t="s">
        <v>14</v>
      </c>
      <c r="B1724" t="s">
        <v>39</v>
      </c>
      <c r="C1724" t="s">
        <v>38</v>
      </c>
      <c r="D1724" t="s">
        <v>33</v>
      </c>
      <c r="E1724" t="s">
        <v>26</v>
      </c>
      <c r="F1724" t="s">
        <v>18</v>
      </c>
      <c r="G1724" s="1" t="str">
        <f t="shared" si="334"/>
        <v>...</v>
      </c>
      <c r="H1724" s="1" t="str">
        <f t="shared" si="334"/>
        <v>...</v>
      </c>
      <c r="I1724" s="1" t="str">
        <f t="shared" si="334"/>
        <v>...</v>
      </c>
      <c r="J1724" s="1" t="str">
        <f t="shared" si="334"/>
        <v>...</v>
      </c>
      <c r="K1724" s="1" t="str">
        <f t="shared" si="334"/>
        <v>...</v>
      </c>
      <c r="L1724" s="1" t="str">
        <f t="shared" si="334"/>
        <v>...</v>
      </c>
      <c r="M1724" s="1" t="str">
        <f t="shared" si="334"/>
        <v>...</v>
      </c>
      <c r="N1724" t="s">
        <v>30</v>
      </c>
    </row>
    <row r="1725" spans="1:14" x14ac:dyDescent="0.25">
      <c r="A1725" t="s">
        <v>14</v>
      </c>
      <c r="B1725" t="s">
        <v>39</v>
      </c>
      <c r="C1725" t="s">
        <v>38</v>
      </c>
      <c r="D1725" t="s">
        <v>33</v>
      </c>
      <c r="E1725" t="s">
        <v>26</v>
      </c>
      <c r="F1725" t="s">
        <v>19</v>
      </c>
      <c r="G1725" s="1" t="str">
        <f t="shared" si="334"/>
        <v>...</v>
      </c>
      <c r="H1725" s="1" t="str">
        <f t="shared" si="334"/>
        <v>...</v>
      </c>
      <c r="I1725" s="1" t="str">
        <f t="shared" si="334"/>
        <v>...</v>
      </c>
      <c r="J1725" s="1" t="str">
        <f t="shared" si="334"/>
        <v>...</v>
      </c>
      <c r="K1725" s="1" t="str">
        <f t="shared" si="334"/>
        <v>...</v>
      </c>
      <c r="L1725" s="1" t="str">
        <f t="shared" si="334"/>
        <v>...</v>
      </c>
      <c r="M1725" s="1" t="str">
        <f t="shared" si="334"/>
        <v>...</v>
      </c>
      <c r="N1725" t="s">
        <v>30</v>
      </c>
    </row>
    <row r="1726" spans="1:14" x14ac:dyDescent="0.25">
      <c r="A1726" t="s">
        <v>14</v>
      </c>
      <c r="B1726" t="s">
        <v>39</v>
      </c>
      <c r="C1726" t="s">
        <v>38</v>
      </c>
      <c r="D1726" t="s">
        <v>33</v>
      </c>
      <c r="E1726" t="s">
        <v>26</v>
      </c>
      <c r="F1726" t="s">
        <v>20</v>
      </c>
      <c r="G1726" s="1" t="str">
        <f t="shared" si="334"/>
        <v>...</v>
      </c>
      <c r="H1726" s="1" t="str">
        <f t="shared" si="334"/>
        <v>...</v>
      </c>
      <c r="I1726" s="1" t="str">
        <f t="shared" si="334"/>
        <v>...</v>
      </c>
      <c r="J1726" s="1" t="str">
        <f t="shared" si="334"/>
        <v>...</v>
      </c>
      <c r="K1726" s="1" t="str">
        <f t="shared" si="334"/>
        <v>...</v>
      </c>
      <c r="L1726" s="1" t="str">
        <f t="shared" si="334"/>
        <v>...</v>
      </c>
      <c r="M1726" s="1" t="str">
        <f t="shared" si="334"/>
        <v>...</v>
      </c>
      <c r="N1726" t="s">
        <v>30</v>
      </c>
    </row>
    <row r="1727" spans="1:14" x14ac:dyDescent="0.25">
      <c r="A1727" t="s">
        <v>14</v>
      </c>
      <c r="B1727" t="s">
        <v>39</v>
      </c>
      <c r="C1727" t="s">
        <v>38</v>
      </c>
      <c r="D1727" t="s">
        <v>34</v>
      </c>
      <c r="E1727" t="s">
        <v>15</v>
      </c>
      <c r="F1727" t="s">
        <v>15</v>
      </c>
      <c r="G1727" s="2">
        <f>VALUE(126.3880142156)</f>
        <v>126.38801421559999</v>
      </c>
      <c r="H1727" s="3">
        <f>VALUE(122.5836778107)</f>
        <v>122.5836778107</v>
      </c>
      <c r="I1727" s="4">
        <f>VALUE(3850)</f>
        <v>3850</v>
      </c>
      <c r="J1727" s="1">
        <f>VALUE(5277)</f>
        <v>5277</v>
      </c>
      <c r="K1727" s="6">
        <f>VALUE(8063)</f>
        <v>8063</v>
      </c>
      <c r="L1727" s="7">
        <f>VALUE(14683)</f>
        <v>14683</v>
      </c>
      <c r="M1727" s="8">
        <f>VALUE(25233)</f>
        <v>25233</v>
      </c>
      <c r="N1727" t="s">
        <v>25</v>
      </c>
    </row>
    <row r="1728" spans="1:14" x14ac:dyDescent="0.25">
      <c r="A1728" t="s">
        <v>14</v>
      </c>
      <c r="B1728" t="s">
        <v>39</v>
      </c>
      <c r="C1728" t="s">
        <v>38</v>
      </c>
      <c r="D1728" t="s">
        <v>34</v>
      </c>
      <c r="E1728" t="s">
        <v>15</v>
      </c>
      <c r="F1728" t="s">
        <v>17</v>
      </c>
      <c r="G1728" s="1" t="str">
        <f t="shared" ref="G1728:M1737" si="335">"X"</f>
        <v>X</v>
      </c>
      <c r="H1728" s="1" t="str">
        <f t="shared" si="335"/>
        <v>X</v>
      </c>
      <c r="I1728" s="1" t="str">
        <f t="shared" si="335"/>
        <v>X</v>
      </c>
      <c r="J1728" s="1" t="str">
        <f t="shared" si="335"/>
        <v>X</v>
      </c>
      <c r="K1728" s="1" t="str">
        <f t="shared" si="335"/>
        <v>X</v>
      </c>
      <c r="L1728" s="1" t="str">
        <f t="shared" si="335"/>
        <v>X</v>
      </c>
      <c r="M1728" s="1" t="str">
        <f t="shared" si="335"/>
        <v>X</v>
      </c>
      <c r="N1728" t="s">
        <v>27</v>
      </c>
    </row>
    <row r="1729" spans="1:14" x14ac:dyDescent="0.25">
      <c r="A1729" t="s">
        <v>14</v>
      </c>
      <c r="B1729" t="s">
        <v>39</v>
      </c>
      <c r="C1729" t="s">
        <v>38</v>
      </c>
      <c r="D1729" t="s">
        <v>34</v>
      </c>
      <c r="E1729" t="s">
        <v>15</v>
      </c>
      <c r="F1729" t="s">
        <v>18</v>
      </c>
      <c r="G1729" s="1" t="str">
        <f t="shared" si="335"/>
        <v>X</v>
      </c>
      <c r="H1729" s="1" t="str">
        <f t="shared" si="335"/>
        <v>X</v>
      </c>
      <c r="I1729" s="1" t="str">
        <f t="shared" si="335"/>
        <v>X</v>
      </c>
      <c r="J1729" s="1" t="str">
        <f t="shared" si="335"/>
        <v>X</v>
      </c>
      <c r="K1729" s="1" t="str">
        <f t="shared" si="335"/>
        <v>X</v>
      </c>
      <c r="L1729" s="1" t="str">
        <f t="shared" si="335"/>
        <v>X</v>
      </c>
      <c r="M1729" s="1" t="str">
        <f t="shared" si="335"/>
        <v>X</v>
      </c>
      <c r="N1729" t="s">
        <v>27</v>
      </c>
    </row>
    <row r="1730" spans="1:14" x14ac:dyDescent="0.25">
      <c r="A1730" t="s">
        <v>14</v>
      </c>
      <c r="B1730" t="s">
        <v>39</v>
      </c>
      <c r="C1730" t="s">
        <v>38</v>
      </c>
      <c r="D1730" t="s">
        <v>34</v>
      </c>
      <c r="E1730" t="s">
        <v>15</v>
      </c>
      <c r="F1730" t="s">
        <v>19</v>
      </c>
      <c r="G1730" s="1" t="str">
        <f t="shared" si="335"/>
        <v>X</v>
      </c>
      <c r="H1730" s="1" t="str">
        <f t="shared" si="335"/>
        <v>X</v>
      </c>
      <c r="I1730" s="1" t="str">
        <f t="shared" si="335"/>
        <v>X</v>
      </c>
      <c r="J1730" s="1" t="str">
        <f t="shared" si="335"/>
        <v>X</v>
      </c>
      <c r="K1730" s="1" t="str">
        <f t="shared" si="335"/>
        <v>X</v>
      </c>
      <c r="L1730" s="1" t="str">
        <f t="shared" si="335"/>
        <v>X</v>
      </c>
      <c r="M1730" s="1" t="str">
        <f t="shared" si="335"/>
        <v>X</v>
      </c>
      <c r="N1730" t="s">
        <v>27</v>
      </c>
    </row>
    <row r="1731" spans="1:14" x14ac:dyDescent="0.25">
      <c r="A1731" t="s">
        <v>14</v>
      </c>
      <c r="B1731" t="s">
        <v>39</v>
      </c>
      <c r="C1731" t="s">
        <v>38</v>
      </c>
      <c r="D1731" t="s">
        <v>34</v>
      </c>
      <c r="E1731" t="s">
        <v>15</v>
      </c>
      <c r="F1731" t="s">
        <v>20</v>
      </c>
      <c r="G1731" s="1" t="str">
        <f t="shared" si="335"/>
        <v>X</v>
      </c>
      <c r="H1731" s="1" t="str">
        <f t="shared" si="335"/>
        <v>X</v>
      </c>
      <c r="I1731" s="1" t="str">
        <f t="shared" si="335"/>
        <v>X</v>
      </c>
      <c r="J1731" s="1" t="str">
        <f t="shared" si="335"/>
        <v>X</v>
      </c>
      <c r="K1731" s="1" t="str">
        <f t="shared" si="335"/>
        <v>X</v>
      </c>
      <c r="L1731" s="1" t="str">
        <f t="shared" si="335"/>
        <v>X</v>
      </c>
      <c r="M1731" s="1" t="str">
        <f t="shared" si="335"/>
        <v>X</v>
      </c>
      <c r="N1731" t="s">
        <v>27</v>
      </c>
    </row>
    <row r="1732" spans="1:14" x14ac:dyDescent="0.25">
      <c r="A1732" t="s">
        <v>14</v>
      </c>
      <c r="B1732" t="s">
        <v>39</v>
      </c>
      <c r="C1732" t="s">
        <v>38</v>
      </c>
      <c r="D1732" t="s">
        <v>34</v>
      </c>
      <c r="E1732" t="s">
        <v>21</v>
      </c>
      <c r="F1732" t="s">
        <v>15</v>
      </c>
      <c r="G1732" s="1" t="str">
        <f t="shared" si="335"/>
        <v>X</v>
      </c>
      <c r="H1732" s="1" t="str">
        <f t="shared" si="335"/>
        <v>X</v>
      </c>
      <c r="I1732" s="1" t="str">
        <f t="shared" si="335"/>
        <v>X</v>
      </c>
      <c r="J1732" s="1" t="str">
        <f t="shared" si="335"/>
        <v>X</v>
      </c>
      <c r="K1732" s="1" t="str">
        <f t="shared" si="335"/>
        <v>X</v>
      </c>
      <c r="L1732" s="1" t="str">
        <f t="shared" si="335"/>
        <v>X</v>
      </c>
      <c r="M1732" s="1" t="str">
        <f t="shared" si="335"/>
        <v>X</v>
      </c>
      <c r="N1732" t="s">
        <v>27</v>
      </c>
    </row>
    <row r="1733" spans="1:14" x14ac:dyDescent="0.25">
      <c r="A1733" t="s">
        <v>14</v>
      </c>
      <c r="B1733" t="s">
        <v>39</v>
      </c>
      <c r="C1733" t="s">
        <v>38</v>
      </c>
      <c r="D1733" t="s">
        <v>34</v>
      </c>
      <c r="E1733" t="s">
        <v>21</v>
      </c>
      <c r="F1733" t="s">
        <v>17</v>
      </c>
      <c r="G1733" s="1" t="str">
        <f t="shared" si="335"/>
        <v>X</v>
      </c>
      <c r="H1733" s="1" t="str">
        <f t="shared" si="335"/>
        <v>X</v>
      </c>
      <c r="I1733" s="1" t="str">
        <f t="shared" si="335"/>
        <v>X</v>
      </c>
      <c r="J1733" s="1" t="str">
        <f t="shared" si="335"/>
        <v>X</v>
      </c>
      <c r="K1733" s="1" t="str">
        <f t="shared" si="335"/>
        <v>X</v>
      </c>
      <c r="L1733" s="1" t="str">
        <f t="shared" si="335"/>
        <v>X</v>
      </c>
      <c r="M1733" s="1" t="str">
        <f t="shared" si="335"/>
        <v>X</v>
      </c>
      <c r="N1733" t="s">
        <v>27</v>
      </c>
    </row>
    <row r="1734" spans="1:14" x14ac:dyDescent="0.25">
      <c r="A1734" t="s">
        <v>14</v>
      </c>
      <c r="B1734" t="s">
        <v>39</v>
      </c>
      <c r="C1734" t="s">
        <v>38</v>
      </c>
      <c r="D1734" t="s">
        <v>34</v>
      </c>
      <c r="E1734" t="s">
        <v>21</v>
      </c>
      <c r="F1734" t="s">
        <v>18</v>
      </c>
      <c r="G1734" s="1" t="str">
        <f t="shared" si="335"/>
        <v>X</v>
      </c>
      <c r="H1734" s="1" t="str">
        <f t="shared" si="335"/>
        <v>X</v>
      </c>
      <c r="I1734" s="1" t="str">
        <f t="shared" si="335"/>
        <v>X</v>
      </c>
      <c r="J1734" s="1" t="str">
        <f t="shared" si="335"/>
        <v>X</v>
      </c>
      <c r="K1734" s="1" t="str">
        <f t="shared" si="335"/>
        <v>X</v>
      </c>
      <c r="L1734" s="1" t="str">
        <f t="shared" si="335"/>
        <v>X</v>
      </c>
      <c r="M1734" s="1" t="str">
        <f t="shared" si="335"/>
        <v>X</v>
      </c>
      <c r="N1734" t="s">
        <v>27</v>
      </c>
    </row>
    <row r="1735" spans="1:14" x14ac:dyDescent="0.25">
      <c r="A1735" t="s">
        <v>14</v>
      </c>
      <c r="B1735" t="s">
        <v>39</v>
      </c>
      <c r="C1735" t="s">
        <v>38</v>
      </c>
      <c r="D1735" t="s">
        <v>34</v>
      </c>
      <c r="E1735" t="s">
        <v>21</v>
      </c>
      <c r="F1735" t="s">
        <v>19</v>
      </c>
      <c r="G1735" s="1" t="str">
        <f t="shared" si="335"/>
        <v>X</v>
      </c>
      <c r="H1735" s="1" t="str">
        <f t="shared" si="335"/>
        <v>X</v>
      </c>
      <c r="I1735" s="1" t="str">
        <f t="shared" si="335"/>
        <v>X</v>
      </c>
      <c r="J1735" s="1" t="str">
        <f t="shared" si="335"/>
        <v>X</v>
      </c>
      <c r="K1735" s="1" t="str">
        <f t="shared" si="335"/>
        <v>X</v>
      </c>
      <c r="L1735" s="1" t="str">
        <f t="shared" si="335"/>
        <v>X</v>
      </c>
      <c r="M1735" s="1" t="str">
        <f t="shared" si="335"/>
        <v>X</v>
      </c>
      <c r="N1735" t="s">
        <v>27</v>
      </c>
    </row>
    <row r="1736" spans="1:14" x14ac:dyDescent="0.25">
      <c r="A1736" t="s">
        <v>14</v>
      </c>
      <c r="B1736" t="s">
        <v>39</v>
      </c>
      <c r="C1736" t="s">
        <v>38</v>
      </c>
      <c r="D1736" t="s">
        <v>34</v>
      </c>
      <c r="E1736" t="s">
        <v>21</v>
      </c>
      <c r="F1736" t="s">
        <v>20</v>
      </c>
      <c r="G1736" s="1" t="str">
        <f t="shared" si="335"/>
        <v>X</v>
      </c>
      <c r="H1736" s="1" t="str">
        <f t="shared" si="335"/>
        <v>X</v>
      </c>
      <c r="I1736" s="1" t="str">
        <f t="shared" si="335"/>
        <v>X</v>
      </c>
      <c r="J1736" s="1" t="str">
        <f t="shared" si="335"/>
        <v>X</v>
      </c>
      <c r="K1736" s="1" t="str">
        <f t="shared" si="335"/>
        <v>X</v>
      </c>
      <c r="L1736" s="1" t="str">
        <f t="shared" si="335"/>
        <v>X</v>
      </c>
      <c r="M1736" s="1" t="str">
        <f t="shared" si="335"/>
        <v>X</v>
      </c>
      <c r="N1736" t="s">
        <v>27</v>
      </c>
    </row>
    <row r="1737" spans="1:14" x14ac:dyDescent="0.25">
      <c r="A1737" t="s">
        <v>14</v>
      </c>
      <c r="B1737" t="s">
        <v>39</v>
      </c>
      <c r="C1737" t="s">
        <v>38</v>
      </c>
      <c r="D1737" t="s">
        <v>34</v>
      </c>
      <c r="E1737" t="s">
        <v>22</v>
      </c>
      <c r="F1737" t="s">
        <v>15</v>
      </c>
      <c r="G1737" s="1" t="str">
        <f t="shared" si="335"/>
        <v>X</v>
      </c>
      <c r="H1737" s="1" t="str">
        <f t="shared" si="335"/>
        <v>X</v>
      </c>
      <c r="I1737" s="1" t="str">
        <f t="shared" si="335"/>
        <v>X</v>
      </c>
      <c r="J1737" s="1" t="str">
        <f t="shared" si="335"/>
        <v>X</v>
      </c>
      <c r="K1737" s="1" t="str">
        <f t="shared" si="335"/>
        <v>X</v>
      </c>
      <c r="L1737" s="1" t="str">
        <f t="shared" si="335"/>
        <v>X</v>
      </c>
      <c r="M1737" s="1" t="str">
        <f t="shared" si="335"/>
        <v>X</v>
      </c>
      <c r="N1737" t="s">
        <v>27</v>
      </c>
    </row>
    <row r="1738" spans="1:14" x14ac:dyDescent="0.25">
      <c r="A1738" t="s">
        <v>14</v>
      </c>
      <c r="B1738" t="s">
        <v>39</v>
      </c>
      <c r="C1738" t="s">
        <v>38</v>
      </c>
      <c r="D1738" t="s">
        <v>34</v>
      </c>
      <c r="E1738" t="s">
        <v>22</v>
      </c>
      <c r="F1738" t="s">
        <v>17</v>
      </c>
      <c r="G1738" s="1" t="str">
        <f t="shared" ref="G1738:M1743" si="336">"X"</f>
        <v>X</v>
      </c>
      <c r="H1738" s="1" t="str">
        <f t="shared" si="336"/>
        <v>X</v>
      </c>
      <c r="I1738" s="1" t="str">
        <f t="shared" si="336"/>
        <v>X</v>
      </c>
      <c r="J1738" s="1" t="str">
        <f t="shared" si="336"/>
        <v>X</v>
      </c>
      <c r="K1738" s="1" t="str">
        <f t="shared" si="336"/>
        <v>X</v>
      </c>
      <c r="L1738" s="1" t="str">
        <f t="shared" si="336"/>
        <v>X</v>
      </c>
      <c r="M1738" s="1" t="str">
        <f t="shared" si="336"/>
        <v>X</v>
      </c>
      <c r="N1738" t="s">
        <v>27</v>
      </c>
    </row>
    <row r="1739" spans="1:14" x14ac:dyDescent="0.25">
      <c r="A1739" t="s">
        <v>14</v>
      </c>
      <c r="B1739" t="s">
        <v>39</v>
      </c>
      <c r="C1739" t="s">
        <v>38</v>
      </c>
      <c r="D1739" t="s">
        <v>34</v>
      </c>
      <c r="E1739" t="s">
        <v>22</v>
      </c>
      <c r="F1739" t="s">
        <v>18</v>
      </c>
      <c r="G1739" s="1" t="str">
        <f t="shared" si="336"/>
        <v>X</v>
      </c>
      <c r="H1739" s="1" t="str">
        <f t="shared" si="336"/>
        <v>X</v>
      </c>
      <c r="I1739" s="1" t="str">
        <f t="shared" si="336"/>
        <v>X</v>
      </c>
      <c r="J1739" s="1" t="str">
        <f t="shared" si="336"/>
        <v>X</v>
      </c>
      <c r="K1739" s="1" t="str">
        <f t="shared" si="336"/>
        <v>X</v>
      </c>
      <c r="L1739" s="1" t="str">
        <f t="shared" si="336"/>
        <v>X</v>
      </c>
      <c r="M1739" s="1" t="str">
        <f t="shared" si="336"/>
        <v>X</v>
      </c>
      <c r="N1739" t="s">
        <v>27</v>
      </c>
    </row>
    <row r="1740" spans="1:14" x14ac:dyDescent="0.25">
      <c r="A1740" t="s">
        <v>14</v>
      </c>
      <c r="B1740" t="s">
        <v>39</v>
      </c>
      <c r="C1740" t="s">
        <v>38</v>
      </c>
      <c r="D1740" t="s">
        <v>34</v>
      </c>
      <c r="E1740" t="s">
        <v>22</v>
      </c>
      <c r="F1740" t="s">
        <v>19</v>
      </c>
      <c r="G1740" s="1" t="str">
        <f t="shared" si="336"/>
        <v>X</v>
      </c>
      <c r="H1740" s="1" t="str">
        <f t="shared" si="336"/>
        <v>X</v>
      </c>
      <c r="I1740" s="1" t="str">
        <f t="shared" si="336"/>
        <v>X</v>
      </c>
      <c r="J1740" s="1" t="str">
        <f t="shared" si="336"/>
        <v>X</v>
      </c>
      <c r="K1740" s="1" t="str">
        <f t="shared" si="336"/>
        <v>X</v>
      </c>
      <c r="L1740" s="1" t="str">
        <f t="shared" si="336"/>
        <v>X</v>
      </c>
      <c r="M1740" s="1" t="str">
        <f t="shared" si="336"/>
        <v>X</v>
      </c>
      <c r="N1740" t="s">
        <v>27</v>
      </c>
    </row>
    <row r="1741" spans="1:14" x14ac:dyDescent="0.25">
      <c r="A1741" t="s">
        <v>14</v>
      </c>
      <c r="B1741" t="s">
        <v>39</v>
      </c>
      <c r="C1741" t="s">
        <v>38</v>
      </c>
      <c r="D1741" t="s">
        <v>34</v>
      </c>
      <c r="E1741" t="s">
        <v>22</v>
      </c>
      <c r="F1741" t="s">
        <v>20</v>
      </c>
      <c r="G1741" s="1" t="str">
        <f t="shared" si="336"/>
        <v>X</v>
      </c>
      <c r="H1741" s="1" t="str">
        <f t="shared" si="336"/>
        <v>X</v>
      </c>
      <c r="I1741" s="1" t="str">
        <f t="shared" si="336"/>
        <v>X</v>
      </c>
      <c r="J1741" s="1" t="str">
        <f t="shared" si="336"/>
        <v>X</v>
      </c>
      <c r="K1741" s="1" t="str">
        <f t="shared" si="336"/>
        <v>X</v>
      </c>
      <c r="L1741" s="1" t="str">
        <f t="shared" si="336"/>
        <v>X</v>
      </c>
      <c r="M1741" s="1" t="str">
        <f t="shared" si="336"/>
        <v>X</v>
      </c>
      <c r="N1741" t="s">
        <v>27</v>
      </c>
    </row>
    <row r="1742" spans="1:14" x14ac:dyDescent="0.25">
      <c r="A1742" t="s">
        <v>14</v>
      </c>
      <c r="B1742" t="s">
        <v>39</v>
      </c>
      <c r="C1742" t="s">
        <v>38</v>
      </c>
      <c r="D1742" t="s">
        <v>34</v>
      </c>
      <c r="E1742" t="s">
        <v>23</v>
      </c>
      <c r="F1742" t="s">
        <v>15</v>
      </c>
      <c r="G1742" s="1" t="str">
        <f t="shared" si="336"/>
        <v>X</v>
      </c>
      <c r="H1742" s="1" t="str">
        <f t="shared" si="336"/>
        <v>X</v>
      </c>
      <c r="I1742" s="1" t="str">
        <f t="shared" si="336"/>
        <v>X</v>
      </c>
      <c r="J1742" s="1" t="str">
        <f t="shared" si="336"/>
        <v>X</v>
      </c>
      <c r="K1742" s="1" t="str">
        <f t="shared" si="336"/>
        <v>X</v>
      </c>
      <c r="L1742" s="1" t="str">
        <f t="shared" si="336"/>
        <v>X</v>
      </c>
      <c r="M1742" s="1" t="str">
        <f t="shared" si="336"/>
        <v>X</v>
      </c>
      <c r="N1742" t="s">
        <v>27</v>
      </c>
    </row>
    <row r="1743" spans="1:14" x14ac:dyDescent="0.25">
      <c r="A1743" t="s">
        <v>14</v>
      </c>
      <c r="B1743" t="s">
        <v>39</v>
      </c>
      <c r="C1743" t="s">
        <v>38</v>
      </c>
      <c r="D1743" t="s">
        <v>34</v>
      </c>
      <c r="E1743" t="s">
        <v>23</v>
      </c>
      <c r="F1743" t="s">
        <v>17</v>
      </c>
      <c r="G1743" s="1" t="str">
        <f t="shared" si="336"/>
        <v>X</v>
      </c>
      <c r="H1743" s="1" t="str">
        <f t="shared" si="336"/>
        <v>X</v>
      </c>
      <c r="I1743" s="1" t="str">
        <f t="shared" si="336"/>
        <v>X</v>
      </c>
      <c r="J1743" s="1" t="str">
        <f t="shared" si="336"/>
        <v>X</v>
      </c>
      <c r="K1743" s="1" t="str">
        <f t="shared" si="336"/>
        <v>X</v>
      </c>
      <c r="L1743" s="1" t="str">
        <f t="shared" si="336"/>
        <v>X</v>
      </c>
      <c r="M1743" s="1" t="str">
        <f t="shared" si="336"/>
        <v>X</v>
      </c>
      <c r="N1743" t="s">
        <v>27</v>
      </c>
    </row>
    <row r="1744" spans="1:14" x14ac:dyDescent="0.25">
      <c r="A1744" t="s">
        <v>14</v>
      </c>
      <c r="B1744" t="s">
        <v>39</v>
      </c>
      <c r="C1744" t="s">
        <v>38</v>
      </c>
      <c r="D1744" t="s">
        <v>34</v>
      </c>
      <c r="E1744" t="s">
        <v>23</v>
      </c>
      <c r="F1744" t="s">
        <v>18</v>
      </c>
      <c r="G1744" s="1" t="str">
        <f t="shared" ref="G1744:M1744" si="337">"..."</f>
        <v>...</v>
      </c>
      <c r="H1744" s="1" t="str">
        <f t="shared" si="337"/>
        <v>...</v>
      </c>
      <c r="I1744" s="1" t="str">
        <f t="shared" si="337"/>
        <v>...</v>
      </c>
      <c r="J1744" s="1" t="str">
        <f t="shared" si="337"/>
        <v>...</v>
      </c>
      <c r="K1744" s="1" t="str">
        <f t="shared" si="337"/>
        <v>...</v>
      </c>
      <c r="L1744" s="1" t="str">
        <f t="shared" si="337"/>
        <v>...</v>
      </c>
      <c r="M1744" s="1" t="str">
        <f t="shared" si="337"/>
        <v>...</v>
      </c>
      <c r="N1744" t="s">
        <v>30</v>
      </c>
    </row>
    <row r="1745" spans="1:14" x14ac:dyDescent="0.25">
      <c r="A1745" t="s">
        <v>14</v>
      </c>
      <c r="B1745" t="s">
        <v>39</v>
      </c>
      <c r="C1745" t="s">
        <v>38</v>
      </c>
      <c r="D1745" t="s">
        <v>34</v>
      </c>
      <c r="E1745" t="s">
        <v>23</v>
      </c>
      <c r="F1745" t="s">
        <v>19</v>
      </c>
      <c r="G1745" s="1" t="str">
        <f t="shared" ref="G1745:M1749" si="338">"X"</f>
        <v>X</v>
      </c>
      <c r="H1745" s="1" t="str">
        <f t="shared" si="338"/>
        <v>X</v>
      </c>
      <c r="I1745" s="1" t="str">
        <f t="shared" si="338"/>
        <v>X</v>
      </c>
      <c r="J1745" s="1" t="str">
        <f t="shared" si="338"/>
        <v>X</v>
      </c>
      <c r="K1745" s="1" t="str">
        <f t="shared" si="338"/>
        <v>X</v>
      </c>
      <c r="L1745" s="1" t="str">
        <f t="shared" si="338"/>
        <v>X</v>
      </c>
      <c r="M1745" s="1" t="str">
        <f t="shared" si="338"/>
        <v>X</v>
      </c>
      <c r="N1745" t="s">
        <v>27</v>
      </c>
    </row>
    <row r="1746" spans="1:14" x14ac:dyDescent="0.25">
      <c r="A1746" t="s">
        <v>14</v>
      </c>
      <c r="B1746" t="s">
        <v>39</v>
      </c>
      <c r="C1746" t="s">
        <v>38</v>
      </c>
      <c r="D1746" t="s">
        <v>34</v>
      </c>
      <c r="E1746" t="s">
        <v>23</v>
      </c>
      <c r="F1746" t="s">
        <v>20</v>
      </c>
      <c r="G1746" s="1" t="str">
        <f t="shared" si="338"/>
        <v>X</v>
      </c>
      <c r="H1746" s="1" t="str">
        <f t="shared" si="338"/>
        <v>X</v>
      </c>
      <c r="I1746" s="1" t="str">
        <f t="shared" si="338"/>
        <v>X</v>
      </c>
      <c r="J1746" s="1" t="str">
        <f t="shared" si="338"/>
        <v>X</v>
      </c>
      <c r="K1746" s="1" t="str">
        <f t="shared" si="338"/>
        <v>X</v>
      </c>
      <c r="L1746" s="1" t="str">
        <f t="shared" si="338"/>
        <v>X</v>
      </c>
      <c r="M1746" s="1" t="str">
        <f t="shared" si="338"/>
        <v>X</v>
      </c>
      <c r="N1746" t="s">
        <v>27</v>
      </c>
    </row>
    <row r="1747" spans="1:14" x14ac:dyDescent="0.25">
      <c r="A1747" t="s">
        <v>14</v>
      </c>
      <c r="B1747" t="s">
        <v>39</v>
      </c>
      <c r="C1747" t="s">
        <v>38</v>
      </c>
      <c r="D1747" t="s">
        <v>34</v>
      </c>
      <c r="E1747" t="s">
        <v>26</v>
      </c>
      <c r="F1747" t="s">
        <v>15</v>
      </c>
      <c r="G1747" s="1" t="str">
        <f t="shared" si="338"/>
        <v>X</v>
      </c>
      <c r="H1747" s="1" t="str">
        <f t="shared" si="338"/>
        <v>X</v>
      </c>
      <c r="I1747" s="1" t="str">
        <f t="shared" si="338"/>
        <v>X</v>
      </c>
      <c r="J1747" s="1" t="str">
        <f t="shared" si="338"/>
        <v>X</v>
      </c>
      <c r="K1747" s="1" t="str">
        <f t="shared" si="338"/>
        <v>X</v>
      </c>
      <c r="L1747" s="1" t="str">
        <f t="shared" si="338"/>
        <v>X</v>
      </c>
      <c r="M1747" s="1" t="str">
        <f t="shared" si="338"/>
        <v>X</v>
      </c>
      <c r="N1747" t="s">
        <v>27</v>
      </c>
    </row>
    <row r="1748" spans="1:14" x14ac:dyDescent="0.25">
      <c r="A1748" t="s">
        <v>14</v>
      </c>
      <c r="B1748" t="s">
        <v>39</v>
      </c>
      <c r="C1748" t="s">
        <v>38</v>
      </c>
      <c r="D1748" t="s">
        <v>34</v>
      </c>
      <c r="E1748" t="s">
        <v>26</v>
      </c>
      <c r="F1748" t="s">
        <v>17</v>
      </c>
      <c r="G1748" s="1" t="str">
        <f t="shared" si="338"/>
        <v>X</v>
      </c>
      <c r="H1748" s="1" t="str">
        <f t="shared" si="338"/>
        <v>X</v>
      </c>
      <c r="I1748" s="1" t="str">
        <f t="shared" si="338"/>
        <v>X</v>
      </c>
      <c r="J1748" s="1" t="str">
        <f t="shared" si="338"/>
        <v>X</v>
      </c>
      <c r="K1748" s="1" t="str">
        <f t="shared" si="338"/>
        <v>X</v>
      </c>
      <c r="L1748" s="1" t="str">
        <f t="shared" si="338"/>
        <v>X</v>
      </c>
      <c r="M1748" s="1" t="str">
        <f t="shared" si="338"/>
        <v>X</v>
      </c>
      <c r="N1748" t="s">
        <v>27</v>
      </c>
    </row>
    <row r="1749" spans="1:14" x14ac:dyDescent="0.25">
      <c r="A1749" t="s">
        <v>14</v>
      </c>
      <c r="B1749" t="s">
        <v>39</v>
      </c>
      <c r="C1749" t="s">
        <v>38</v>
      </c>
      <c r="D1749" t="s">
        <v>34</v>
      </c>
      <c r="E1749" t="s">
        <v>26</v>
      </c>
      <c r="F1749" t="s">
        <v>18</v>
      </c>
      <c r="G1749" s="1" t="str">
        <f t="shared" si="338"/>
        <v>X</v>
      </c>
      <c r="H1749" s="1" t="str">
        <f t="shared" si="338"/>
        <v>X</v>
      </c>
      <c r="I1749" s="1" t="str">
        <f t="shared" si="338"/>
        <v>X</v>
      </c>
      <c r="J1749" s="1" t="str">
        <f t="shared" si="338"/>
        <v>X</v>
      </c>
      <c r="K1749" s="1" t="str">
        <f t="shared" si="338"/>
        <v>X</v>
      </c>
      <c r="L1749" s="1" t="str">
        <f t="shared" si="338"/>
        <v>X</v>
      </c>
      <c r="M1749" s="1" t="str">
        <f t="shared" si="338"/>
        <v>X</v>
      </c>
      <c r="N1749" t="s">
        <v>27</v>
      </c>
    </row>
    <row r="1750" spans="1:14" x14ac:dyDescent="0.25">
      <c r="A1750" t="s">
        <v>14</v>
      </c>
      <c r="B1750" t="s">
        <v>39</v>
      </c>
      <c r="C1750" t="s">
        <v>38</v>
      </c>
      <c r="D1750" t="s">
        <v>34</v>
      </c>
      <c r="E1750" t="s">
        <v>26</v>
      </c>
      <c r="F1750" t="s">
        <v>19</v>
      </c>
      <c r="G1750" s="1" t="str">
        <f t="shared" ref="G1750:M1751" si="339">"..."</f>
        <v>...</v>
      </c>
      <c r="H1750" s="1" t="str">
        <f t="shared" si="339"/>
        <v>...</v>
      </c>
      <c r="I1750" s="1" t="str">
        <f t="shared" si="339"/>
        <v>...</v>
      </c>
      <c r="J1750" s="1" t="str">
        <f t="shared" si="339"/>
        <v>...</v>
      </c>
      <c r="K1750" s="1" t="str">
        <f t="shared" si="339"/>
        <v>...</v>
      </c>
      <c r="L1750" s="1" t="str">
        <f t="shared" si="339"/>
        <v>...</v>
      </c>
      <c r="M1750" s="1" t="str">
        <f t="shared" si="339"/>
        <v>...</v>
      </c>
      <c r="N1750" t="s">
        <v>30</v>
      </c>
    </row>
    <row r="1751" spans="1:14" x14ac:dyDescent="0.25">
      <c r="A1751" t="s">
        <v>14</v>
      </c>
      <c r="B1751" t="s">
        <v>39</v>
      </c>
      <c r="C1751" t="s">
        <v>38</v>
      </c>
      <c r="D1751" t="s">
        <v>34</v>
      </c>
      <c r="E1751" t="s">
        <v>26</v>
      </c>
      <c r="F1751" t="s">
        <v>20</v>
      </c>
      <c r="G1751" s="1" t="str">
        <f t="shared" si="339"/>
        <v>...</v>
      </c>
      <c r="H1751" s="1" t="str">
        <f t="shared" si="339"/>
        <v>...</v>
      </c>
      <c r="I1751" s="1" t="str">
        <f t="shared" si="339"/>
        <v>...</v>
      </c>
      <c r="J1751" s="1" t="str">
        <f t="shared" si="339"/>
        <v>...</v>
      </c>
      <c r="K1751" s="1" t="str">
        <f t="shared" si="339"/>
        <v>...</v>
      </c>
      <c r="L1751" s="1" t="str">
        <f t="shared" si="339"/>
        <v>...</v>
      </c>
      <c r="M1751" s="1" t="str">
        <f t="shared" si="339"/>
        <v>...</v>
      </c>
      <c r="N1751" t="s">
        <v>30</v>
      </c>
    </row>
    <row r="1752" spans="1:14" x14ac:dyDescent="0.25">
      <c r="A1752" t="s">
        <v>14</v>
      </c>
      <c r="B1752" t="s">
        <v>40</v>
      </c>
      <c r="C1752" t="s">
        <v>15</v>
      </c>
      <c r="D1752" t="s">
        <v>15</v>
      </c>
      <c r="E1752" t="s">
        <v>15</v>
      </c>
      <c r="F1752" t="s">
        <v>15</v>
      </c>
      <c r="G1752" s="1">
        <f>VALUE(47470.9614573623)</f>
        <v>47470.961457362399</v>
      </c>
      <c r="H1752" s="1">
        <f>VALUE(38927.5059766634)</f>
        <v>38927.5059766634</v>
      </c>
      <c r="I1752" s="1">
        <f>VALUE(2795)</f>
        <v>2795</v>
      </c>
      <c r="J1752" s="1">
        <f>VALUE(3364)</f>
        <v>3364</v>
      </c>
      <c r="K1752" s="1">
        <f>VALUE(4225)</f>
        <v>4225</v>
      </c>
      <c r="L1752" s="1">
        <f>VALUE(5465)</f>
        <v>5465</v>
      </c>
      <c r="M1752" s="1">
        <f>VALUE(7068)</f>
        <v>7068</v>
      </c>
      <c r="N1752" t="s">
        <v>16</v>
      </c>
    </row>
    <row r="1753" spans="1:14" x14ac:dyDescent="0.25">
      <c r="A1753" t="s">
        <v>14</v>
      </c>
      <c r="B1753" t="s">
        <v>40</v>
      </c>
      <c r="C1753" t="s">
        <v>15</v>
      </c>
      <c r="D1753" t="s">
        <v>15</v>
      </c>
      <c r="E1753" t="s">
        <v>15</v>
      </c>
      <c r="F1753" t="s">
        <v>17</v>
      </c>
      <c r="G1753" s="1">
        <f>VALUE(4382.6063886976)</f>
        <v>4382.6063886975999</v>
      </c>
      <c r="H1753" s="1">
        <f>VALUE(3747.4518194027)</f>
        <v>3747.4518194027</v>
      </c>
      <c r="I1753" s="4">
        <f>VALUE(3430)</f>
        <v>3430</v>
      </c>
      <c r="J1753" s="1">
        <f>VALUE(4333)</f>
        <v>4333</v>
      </c>
      <c r="K1753" s="1">
        <f>VALUE(5992)</f>
        <v>5992</v>
      </c>
      <c r="L1753" s="1">
        <f>VALUE(8206)</f>
        <v>8206</v>
      </c>
      <c r="M1753" s="1">
        <f>VALUE(11383)</f>
        <v>11383</v>
      </c>
      <c r="N1753" t="s">
        <v>25</v>
      </c>
    </row>
    <row r="1754" spans="1:14" x14ac:dyDescent="0.25">
      <c r="A1754" t="s">
        <v>14</v>
      </c>
      <c r="B1754" t="s">
        <v>40</v>
      </c>
      <c r="C1754" t="s">
        <v>15</v>
      </c>
      <c r="D1754" t="s">
        <v>15</v>
      </c>
      <c r="E1754" t="s">
        <v>15</v>
      </c>
      <c r="F1754" t="s">
        <v>18</v>
      </c>
      <c r="G1754" s="1">
        <f>VALUE(5440.9715753752)</f>
        <v>5440.9715753751998</v>
      </c>
      <c r="H1754" s="1">
        <f>VALUE(4654.4045926533)</f>
        <v>4654.4045926532999</v>
      </c>
      <c r="I1754" s="1">
        <f>VALUE(3455)</f>
        <v>3455</v>
      </c>
      <c r="J1754" s="1">
        <f>VALUE(4000)</f>
        <v>4000</v>
      </c>
      <c r="K1754" s="1">
        <f>VALUE(5093)</f>
        <v>5093</v>
      </c>
      <c r="L1754" s="1">
        <f>VALUE(6666)</f>
        <v>6666</v>
      </c>
      <c r="M1754" s="1">
        <f>VALUE(8125)</f>
        <v>8125</v>
      </c>
      <c r="N1754" t="s">
        <v>16</v>
      </c>
    </row>
    <row r="1755" spans="1:14" x14ac:dyDescent="0.25">
      <c r="A1755" t="s">
        <v>14</v>
      </c>
      <c r="B1755" t="s">
        <v>40</v>
      </c>
      <c r="C1755" t="s">
        <v>15</v>
      </c>
      <c r="D1755" t="s">
        <v>15</v>
      </c>
      <c r="E1755" t="s">
        <v>15</v>
      </c>
      <c r="F1755" t="s">
        <v>19</v>
      </c>
      <c r="G1755" s="1">
        <f>VALUE(5511.4507238426)</f>
        <v>5511.4507238426004</v>
      </c>
      <c r="H1755" s="1">
        <f>VALUE(4593.4763777566)</f>
        <v>4593.4763777566004</v>
      </c>
      <c r="I1755" s="1">
        <f>VALUE(3256)</f>
        <v>3256</v>
      </c>
      <c r="J1755" s="1">
        <f>VALUE(3905)</f>
        <v>3905</v>
      </c>
      <c r="K1755" s="1">
        <f>VALUE(4899)</f>
        <v>4899</v>
      </c>
      <c r="L1755" s="1">
        <f>VALUE(6067)</f>
        <v>6067</v>
      </c>
      <c r="M1755" s="1">
        <f>VALUE(7366)</f>
        <v>7366</v>
      </c>
      <c r="N1755" t="s">
        <v>16</v>
      </c>
    </row>
    <row r="1756" spans="1:14" x14ac:dyDescent="0.25">
      <c r="A1756" t="s">
        <v>14</v>
      </c>
      <c r="B1756" t="s">
        <v>40</v>
      </c>
      <c r="C1756" t="s">
        <v>15</v>
      </c>
      <c r="D1756" t="s">
        <v>15</v>
      </c>
      <c r="E1756" t="s">
        <v>15</v>
      </c>
      <c r="F1756" t="s">
        <v>20</v>
      </c>
      <c r="G1756" s="1">
        <f>VALUE(32102.238813159)</f>
        <v>32102.238813159001</v>
      </c>
      <c r="H1756" s="1">
        <f>VALUE(25908.346422349)</f>
        <v>25908.346422349001</v>
      </c>
      <c r="I1756" s="1">
        <f>VALUE(2654)</f>
        <v>2654</v>
      </c>
      <c r="J1756" s="1">
        <f>VALUE(3155)</f>
        <v>3155</v>
      </c>
      <c r="K1756" s="1">
        <f>VALUE(3857)</f>
        <v>3857</v>
      </c>
      <c r="L1756" s="1">
        <f>VALUE(4875)</f>
        <v>4875</v>
      </c>
      <c r="M1756" s="1">
        <f>VALUE(5975)</f>
        <v>5975</v>
      </c>
      <c r="N1756" t="s">
        <v>16</v>
      </c>
    </row>
    <row r="1757" spans="1:14" x14ac:dyDescent="0.25">
      <c r="A1757" t="s">
        <v>14</v>
      </c>
      <c r="B1757" t="s">
        <v>40</v>
      </c>
      <c r="C1757" t="s">
        <v>15</v>
      </c>
      <c r="D1757" t="s">
        <v>15</v>
      </c>
      <c r="E1757" t="s">
        <v>21</v>
      </c>
      <c r="F1757" t="s">
        <v>15</v>
      </c>
      <c r="G1757" s="1">
        <f>VALUE(8647.8364277019)</f>
        <v>8647.8364277019009</v>
      </c>
      <c r="H1757" s="1">
        <f>VALUE(7074.249970938)</f>
        <v>7074.2499709379999</v>
      </c>
      <c r="I1757" s="1">
        <f>VALUE(3805)</f>
        <v>3805</v>
      </c>
      <c r="J1757" s="1">
        <f>VALUE(4691)</f>
        <v>4691</v>
      </c>
      <c r="K1757" s="1">
        <f>VALUE(5893)</f>
        <v>5893</v>
      </c>
      <c r="L1757" s="1">
        <f>VALUE(7468)</f>
        <v>7468</v>
      </c>
      <c r="M1757" s="1">
        <f>VALUE(9208)</f>
        <v>9208</v>
      </c>
      <c r="N1757" t="s">
        <v>16</v>
      </c>
    </row>
    <row r="1758" spans="1:14" x14ac:dyDescent="0.25">
      <c r="A1758" t="s">
        <v>14</v>
      </c>
      <c r="B1758" t="s">
        <v>40</v>
      </c>
      <c r="C1758" t="s">
        <v>15</v>
      </c>
      <c r="D1758" t="s">
        <v>15</v>
      </c>
      <c r="E1758" t="s">
        <v>21</v>
      </c>
      <c r="F1758" t="s">
        <v>17</v>
      </c>
      <c r="G1758" s="1">
        <f>VALUE(2259.0963085756)</f>
        <v>2259.0963085755998</v>
      </c>
      <c r="H1758" s="1">
        <f>VALUE(1888.1579682139)</f>
        <v>1888.1579682138999</v>
      </c>
      <c r="I1758" s="1">
        <f>VALUE(3918)</f>
        <v>3918</v>
      </c>
      <c r="J1758" s="1">
        <f>VALUE(5146)</f>
        <v>5146</v>
      </c>
      <c r="K1758" s="1">
        <f>VALUE(6897)</f>
        <v>6897</v>
      </c>
      <c r="L1758" s="1">
        <f>VALUE(9417)</f>
        <v>9417</v>
      </c>
      <c r="M1758" s="1">
        <f>VALUE(12350)</f>
        <v>12350</v>
      </c>
      <c r="N1758" t="s">
        <v>16</v>
      </c>
    </row>
    <row r="1759" spans="1:14" x14ac:dyDescent="0.25">
      <c r="A1759" t="s">
        <v>14</v>
      </c>
      <c r="B1759" t="s">
        <v>40</v>
      </c>
      <c r="C1759" t="s">
        <v>15</v>
      </c>
      <c r="D1759" t="s">
        <v>15</v>
      </c>
      <c r="E1759" t="s">
        <v>21</v>
      </c>
      <c r="F1759" t="s">
        <v>18</v>
      </c>
      <c r="G1759" s="1">
        <f>VALUE(1830.4437901435)</f>
        <v>1830.4437901435001</v>
      </c>
      <c r="H1759" s="1">
        <f>VALUE(1510.0282466401)</f>
        <v>1510.0282466401</v>
      </c>
      <c r="I1759" s="1">
        <f>VALUE(3976)</f>
        <v>3976</v>
      </c>
      <c r="J1759" s="1">
        <f>VALUE(4965)</f>
        <v>4965</v>
      </c>
      <c r="K1759" s="1">
        <f>VALUE(6183)</f>
        <v>6183</v>
      </c>
      <c r="L1759" s="1">
        <f>VALUE(7583)</f>
        <v>7583</v>
      </c>
      <c r="M1759" s="1">
        <f>VALUE(8770)</f>
        <v>8770</v>
      </c>
      <c r="N1759" t="s">
        <v>16</v>
      </c>
    </row>
    <row r="1760" spans="1:14" x14ac:dyDescent="0.25">
      <c r="A1760" t="s">
        <v>14</v>
      </c>
      <c r="B1760" t="s">
        <v>40</v>
      </c>
      <c r="C1760" t="s">
        <v>15</v>
      </c>
      <c r="D1760" t="s">
        <v>15</v>
      </c>
      <c r="E1760" t="s">
        <v>21</v>
      </c>
      <c r="F1760" t="s">
        <v>19</v>
      </c>
      <c r="G1760" s="1">
        <f>VALUE(1514.7451776542)</f>
        <v>1514.7451776542</v>
      </c>
      <c r="H1760" s="1">
        <f>VALUE(1139.6733074512)</f>
        <v>1139.6733074511999</v>
      </c>
      <c r="I1760" s="4">
        <f>VALUE(3761)</f>
        <v>3761</v>
      </c>
      <c r="J1760" s="1">
        <f>VALUE(4520)</f>
        <v>4520</v>
      </c>
      <c r="K1760" s="1">
        <f>VALUE(5518)</f>
        <v>5518</v>
      </c>
      <c r="L1760" s="1">
        <f>VALUE(7042)</f>
        <v>7042</v>
      </c>
      <c r="M1760" s="1">
        <f>VALUE(7973)</f>
        <v>7973</v>
      </c>
      <c r="N1760" t="s">
        <v>25</v>
      </c>
    </row>
    <row r="1761" spans="1:14" x14ac:dyDescent="0.25">
      <c r="A1761" t="s">
        <v>14</v>
      </c>
      <c r="B1761" t="s">
        <v>40</v>
      </c>
      <c r="C1761" t="s">
        <v>15</v>
      </c>
      <c r="D1761" t="s">
        <v>15</v>
      </c>
      <c r="E1761" t="s">
        <v>21</v>
      </c>
      <c r="F1761" t="s">
        <v>20</v>
      </c>
      <c r="G1761" s="1">
        <f>VALUE(3043.5511513286)</f>
        <v>3043.5511513286001</v>
      </c>
      <c r="H1761" s="1">
        <f>VALUE(2536.3904486328)</f>
        <v>2536.3904486328001</v>
      </c>
      <c r="I1761" s="1">
        <f>VALUE(3634)</f>
        <v>3634</v>
      </c>
      <c r="J1761" s="1">
        <f>VALUE(4375)</f>
        <v>4375</v>
      </c>
      <c r="K1761" s="1">
        <f>VALUE(5396)</f>
        <v>5396</v>
      </c>
      <c r="L1761" s="1">
        <f>VALUE(6500)</f>
        <v>6500</v>
      </c>
      <c r="M1761" s="1">
        <f>VALUE(7614)</f>
        <v>7614</v>
      </c>
      <c r="N1761" t="s">
        <v>16</v>
      </c>
    </row>
    <row r="1762" spans="1:14" x14ac:dyDescent="0.25">
      <c r="A1762" t="s">
        <v>14</v>
      </c>
      <c r="B1762" t="s">
        <v>40</v>
      </c>
      <c r="C1762" t="s">
        <v>15</v>
      </c>
      <c r="D1762" t="s">
        <v>15</v>
      </c>
      <c r="E1762" t="s">
        <v>22</v>
      </c>
      <c r="F1762" t="s">
        <v>15</v>
      </c>
      <c r="G1762" s="1">
        <f>VALUE(18441.9278585553)</f>
        <v>18441.9278585553</v>
      </c>
      <c r="H1762" s="1">
        <f>VALUE(15104.0974823392)</f>
        <v>15104.097482339201</v>
      </c>
      <c r="I1762" s="1">
        <f>VALUE(3160)</f>
        <v>3160</v>
      </c>
      <c r="J1762" s="1">
        <f>VALUE(3794)</f>
        <v>3794</v>
      </c>
      <c r="K1762" s="1">
        <f>VALUE(4645)</f>
        <v>4645</v>
      </c>
      <c r="L1762" s="1">
        <f>VALUE(5643)</f>
        <v>5643</v>
      </c>
      <c r="M1762" s="1">
        <f>VALUE(6931)</f>
        <v>6931</v>
      </c>
      <c r="N1762" t="s">
        <v>16</v>
      </c>
    </row>
    <row r="1763" spans="1:14" x14ac:dyDescent="0.25">
      <c r="A1763" t="s">
        <v>14</v>
      </c>
      <c r="B1763" t="s">
        <v>40</v>
      </c>
      <c r="C1763" t="s">
        <v>15</v>
      </c>
      <c r="D1763" t="s">
        <v>15</v>
      </c>
      <c r="E1763" t="s">
        <v>22</v>
      </c>
      <c r="F1763" t="s">
        <v>17</v>
      </c>
      <c r="G1763" s="2">
        <f>VALUE(1624.7453657385)</f>
        <v>1624.7453657384999</v>
      </c>
      <c r="H1763" s="3">
        <f>VALUE(1389.1116918457)</f>
        <v>1389.1116918457001</v>
      </c>
      <c r="I1763" s="4">
        <f>VALUE(3000)</f>
        <v>3000</v>
      </c>
      <c r="J1763" s="1">
        <f>VALUE(4000)</f>
        <v>4000</v>
      </c>
      <c r="K1763" s="1">
        <f>VALUE(5416)</f>
        <v>5416</v>
      </c>
      <c r="L1763" s="1">
        <f>VALUE(7119)</f>
        <v>7119</v>
      </c>
      <c r="M1763" s="1">
        <f>VALUE(8953)</f>
        <v>8953</v>
      </c>
      <c r="N1763" t="s">
        <v>25</v>
      </c>
    </row>
    <row r="1764" spans="1:14" x14ac:dyDescent="0.25">
      <c r="A1764" t="s">
        <v>14</v>
      </c>
      <c r="B1764" t="s">
        <v>40</v>
      </c>
      <c r="C1764" t="s">
        <v>15</v>
      </c>
      <c r="D1764" t="s">
        <v>15</v>
      </c>
      <c r="E1764" t="s">
        <v>22</v>
      </c>
      <c r="F1764" t="s">
        <v>18</v>
      </c>
      <c r="G1764" s="1">
        <f>VALUE(2717.6385998548)</f>
        <v>2717.6385998547998</v>
      </c>
      <c r="H1764" s="1">
        <f>VALUE(2302.9961970142)</f>
        <v>2302.9961970141999</v>
      </c>
      <c r="I1764" s="1">
        <f>VALUE(3566)</f>
        <v>3566</v>
      </c>
      <c r="J1764" s="1">
        <f>VALUE(4000)</f>
        <v>4000</v>
      </c>
      <c r="K1764" s="1">
        <f>VALUE(4820)</f>
        <v>4820</v>
      </c>
      <c r="L1764" s="1">
        <f>VALUE(6088)</f>
        <v>6088</v>
      </c>
      <c r="M1764" s="1">
        <f>VALUE(7440)</f>
        <v>7440</v>
      </c>
      <c r="N1764" t="s">
        <v>16</v>
      </c>
    </row>
    <row r="1765" spans="1:14" x14ac:dyDescent="0.25">
      <c r="A1765" t="s">
        <v>14</v>
      </c>
      <c r="B1765" t="s">
        <v>40</v>
      </c>
      <c r="C1765" t="s">
        <v>15</v>
      </c>
      <c r="D1765" t="s">
        <v>15</v>
      </c>
      <c r="E1765" t="s">
        <v>22</v>
      </c>
      <c r="F1765" t="s">
        <v>19</v>
      </c>
      <c r="G1765" s="1">
        <f>VALUE(2853.7367910775)</f>
        <v>2853.7367910775001</v>
      </c>
      <c r="H1765" s="1">
        <f>VALUE(2420.5430760425)</f>
        <v>2420.5430760425002</v>
      </c>
      <c r="I1765" s="1">
        <f>VALUE(3358)</f>
        <v>3358</v>
      </c>
      <c r="J1765" s="1">
        <f>VALUE(4078)</f>
        <v>4078</v>
      </c>
      <c r="K1765" s="1">
        <f>VALUE(4948)</f>
        <v>4948</v>
      </c>
      <c r="L1765" s="1">
        <f>VALUE(6013)</f>
        <v>6013</v>
      </c>
      <c r="M1765" s="1">
        <f>VALUE(7121)</f>
        <v>7121</v>
      </c>
      <c r="N1765" t="s">
        <v>16</v>
      </c>
    </row>
    <row r="1766" spans="1:14" x14ac:dyDescent="0.25">
      <c r="A1766" t="s">
        <v>14</v>
      </c>
      <c r="B1766" t="s">
        <v>40</v>
      </c>
      <c r="C1766" t="s">
        <v>15</v>
      </c>
      <c r="D1766" t="s">
        <v>15</v>
      </c>
      <c r="E1766" t="s">
        <v>22</v>
      </c>
      <c r="F1766" t="s">
        <v>20</v>
      </c>
      <c r="G1766" s="1">
        <f>VALUE(11245.8071018845)</f>
        <v>11245.8071018845</v>
      </c>
      <c r="H1766" s="1">
        <f>VALUE(8991.4465174368)</f>
        <v>8991.4465174367997</v>
      </c>
      <c r="I1766" s="1">
        <f>VALUE(3082)</f>
        <v>3082</v>
      </c>
      <c r="J1766" s="1">
        <f>VALUE(3671)</f>
        <v>3671</v>
      </c>
      <c r="K1766" s="1">
        <f>VALUE(4475)</f>
        <v>4475</v>
      </c>
      <c r="L1766" s="1">
        <f>VALUE(5337)</f>
        <v>5337</v>
      </c>
      <c r="M1766" s="1">
        <f>VALUE(6244)</f>
        <v>6244</v>
      </c>
      <c r="N1766" t="s">
        <v>16</v>
      </c>
    </row>
    <row r="1767" spans="1:14" x14ac:dyDescent="0.25">
      <c r="A1767" t="s">
        <v>14</v>
      </c>
      <c r="B1767" t="s">
        <v>40</v>
      </c>
      <c r="C1767" t="s">
        <v>15</v>
      </c>
      <c r="D1767" t="s">
        <v>15</v>
      </c>
      <c r="E1767" t="s">
        <v>23</v>
      </c>
      <c r="F1767" t="s">
        <v>15</v>
      </c>
      <c r="G1767" s="1">
        <f>VALUE(19712.5828287699)</f>
        <v>19712.582828769901</v>
      </c>
      <c r="H1767" s="1">
        <f>VALUE(16127.7857111937)</f>
        <v>16127.785711193699</v>
      </c>
      <c r="I1767" s="1">
        <f>VALUE(2573)</f>
        <v>2573</v>
      </c>
      <c r="J1767" s="1">
        <f>VALUE(2968)</f>
        <v>2968</v>
      </c>
      <c r="K1767" s="1">
        <f>VALUE(3467)</f>
        <v>3467</v>
      </c>
      <c r="L1767" s="1">
        <f>VALUE(4132)</f>
        <v>4132</v>
      </c>
      <c r="M1767" s="1">
        <f>VALUE(5024)</f>
        <v>5024</v>
      </c>
      <c r="N1767" t="s">
        <v>16</v>
      </c>
    </row>
    <row r="1768" spans="1:14" x14ac:dyDescent="0.25">
      <c r="A1768" t="s">
        <v>14</v>
      </c>
      <c r="B1768" t="s">
        <v>40</v>
      </c>
      <c r="C1768" t="s">
        <v>15</v>
      </c>
      <c r="D1768" t="s">
        <v>15</v>
      </c>
      <c r="E1768" t="s">
        <v>23</v>
      </c>
      <c r="F1768" t="s">
        <v>17</v>
      </c>
      <c r="G1768" s="2">
        <f>VALUE(437.6303805308)</f>
        <v>437.63038053079998</v>
      </c>
      <c r="H1768" s="3">
        <f>VALUE(407.7773769557)</f>
        <v>407.77737695569999</v>
      </c>
      <c r="I1768" s="4">
        <f>VALUE(3302)</f>
        <v>3302</v>
      </c>
      <c r="J1768" s="5">
        <f>VALUE(3684)</f>
        <v>3684</v>
      </c>
      <c r="K1768" s="6">
        <f>VALUE(4293)</f>
        <v>4293</v>
      </c>
      <c r="L1768" s="7">
        <f>VALUE(6328)</f>
        <v>6328</v>
      </c>
      <c r="M1768" s="8">
        <f>VALUE(9750)</f>
        <v>9750</v>
      </c>
      <c r="N1768" t="s">
        <v>24</v>
      </c>
    </row>
    <row r="1769" spans="1:14" x14ac:dyDescent="0.25">
      <c r="A1769" t="s">
        <v>14</v>
      </c>
      <c r="B1769" t="s">
        <v>40</v>
      </c>
      <c r="C1769" t="s">
        <v>15</v>
      </c>
      <c r="D1769" t="s">
        <v>15</v>
      </c>
      <c r="E1769" t="s">
        <v>23</v>
      </c>
      <c r="F1769" t="s">
        <v>18</v>
      </c>
      <c r="G1769" s="2">
        <f>VALUE(793.9108411626)</f>
        <v>793.91084116260004</v>
      </c>
      <c r="H1769" s="3">
        <f>VALUE(741.1345217234)</f>
        <v>741.13452172339998</v>
      </c>
      <c r="I1769" s="1">
        <f>VALUE(3111)</f>
        <v>3111</v>
      </c>
      <c r="J1769" s="1">
        <f>VALUE(3383)</f>
        <v>3383</v>
      </c>
      <c r="K1769" s="1">
        <f>VALUE(3951)</f>
        <v>3951</v>
      </c>
      <c r="L1769" s="7">
        <f>VALUE(4821)</f>
        <v>4821</v>
      </c>
      <c r="M1769" s="1">
        <f>VALUE(6118)</f>
        <v>6118</v>
      </c>
      <c r="N1769" t="s">
        <v>25</v>
      </c>
    </row>
    <row r="1770" spans="1:14" x14ac:dyDescent="0.25">
      <c r="A1770" t="s">
        <v>14</v>
      </c>
      <c r="B1770" t="s">
        <v>40</v>
      </c>
      <c r="C1770" t="s">
        <v>15</v>
      </c>
      <c r="D1770" t="s">
        <v>15</v>
      </c>
      <c r="E1770" t="s">
        <v>23</v>
      </c>
      <c r="F1770" t="s">
        <v>19</v>
      </c>
      <c r="G1770" s="2">
        <f>VALUE(1125.8087641025)</f>
        <v>1125.8087641024999</v>
      </c>
      <c r="H1770" s="3">
        <f>VALUE(1016.0321965245)</f>
        <v>1016.0321965245</v>
      </c>
      <c r="I1770" s="1">
        <f>VALUE(3014)</f>
        <v>3014</v>
      </c>
      <c r="J1770" s="1">
        <f>VALUE(3451)</f>
        <v>3451</v>
      </c>
      <c r="K1770" s="1">
        <f>VALUE(4048)</f>
        <v>4048</v>
      </c>
      <c r="L1770" s="1">
        <f>VALUE(5114)</f>
        <v>5114</v>
      </c>
      <c r="M1770" s="1">
        <f>VALUE(6413)</f>
        <v>6413</v>
      </c>
      <c r="N1770" t="s">
        <v>25</v>
      </c>
    </row>
    <row r="1771" spans="1:14" x14ac:dyDescent="0.25">
      <c r="A1771" t="s">
        <v>14</v>
      </c>
      <c r="B1771" t="s">
        <v>40</v>
      </c>
      <c r="C1771" t="s">
        <v>15</v>
      </c>
      <c r="D1771" t="s">
        <v>15</v>
      </c>
      <c r="E1771" t="s">
        <v>23</v>
      </c>
      <c r="F1771" t="s">
        <v>20</v>
      </c>
      <c r="G1771" s="1">
        <f>VALUE(17352.8043638638)</f>
        <v>17352.804363863801</v>
      </c>
      <c r="H1771" s="1">
        <f>VALUE(13961.0839272334)</f>
        <v>13961.0839272334</v>
      </c>
      <c r="I1771" s="1">
        <f>VALUE(2530)</f>
        <v>2530</v>
      </c>
      <c r="J1771" s="1">
        <f>VALUE(2902)</f>
        <v>2902</v>
      </c>
      <c r="K1771" s="1">
        <f>VALUE(3405)</f>
        <v>3405</v>
      </c>
      <c r="L1771" s="1">
        <f>VALUE(4008)</f>
        <v>4008</v>
      </c>
      <c r="M1771" s="1">
        <f>VALUE(4812)</f>
        <v>4812</v>
      </c>
      <c r="N1771" t="s">
        <v>16</v>
      </c>
    </row>
    <row r="1772" spans="1:14" x14ac:dyDescent="0.25">
      <c r="A1772" t="s">
        <v>14</v>
      </c>
      <c r="B1772" t="s">
        <v>40</v>
      </c>
      <c r="C1772" t="s">
        <v>15</v>
      </c>
      <c r="D1772" t="s">
        <v>15</v>
      </c>
      <c r="E1772" t="s">
        <v>26</v>
      </c>
      <c r="F1772" t="s">
        <v>15</v>
      </c>
      <c r="G1772" s="1">
        <f>VALUE(668.6143423353)</f>
        <v>668.61434233529997</v>
      </c>
      <c r="H1772" s="1">
        <f>VALUE(621.3728121925)</f>
        <v>621.37281219249996</v>
      </c>
      <c r="I1772" s="1">
        <f>VALUE(3149)</f>
        <v>3149</v>
      </c>
      <c r="J1772" s="5">
        <f>VALUE(3969)</f>
        <v>3969</v>
      </c>
      <c r="K1772" s="1">
        <f>VALUE(6137)</f>
        <v>6137</v>
      </c>
      <c r="L1772" s="1">
        <f>VALUE(7805)</f>
        <v>7805</v>
      </c>
      <c r="M1772" s="1">
        <f>VALUE(11427)</f>
        <v>11427</v>
      </c>
      <c r="N1772" t="s">
        <v>25</v>
      </c>
    </row>
    <row r="1773" spans="1:14" x14ac:dyDescent="0.25">
      <c r="A1773" t="s">
        <v>14</v>
      </c>
      <c r="B1773" t="s">
        <v>40</v>
      </c>
      <c r="C1773" t="s">
        <v>15</v>
      </c>
      <c r="D1773" t="s">
        <v>15</v>
      </c>
      <c r="E1773" t="s">
        <v>26</v>
      </c>
      <c r="F1773" t="s">
        <v>17</v>
      </c>
      <c r="G1773" s="1" t="str">
        <f t="shared" ref="G1773:M1775" si="340">"X"</f>
        <v>X</v>
      </c>
      <c r="H1773" s="1" t="str">
        <f t="shared" si="340"/>
        <v>X</v>
      </c>
      <c r="I1773" s="1" t="str">
        <f t="shared" si="340"/>
        <v>X</v>
      </c>
      <c r="J1773" s="1" t="str">
        <f t="shared" si="340"/>
        <v>X</v>
      </c>
      <c r="K1773" s="1" t="str">
        <f t="shared" si="340"/>
        <v>X</v>
      </c>
      <c r="L1773" s="1" t="str">
        <f t="shared" si="340"/>
        <v>X</v>
      </c>
      <c r="M1773" s="1" t="str">
        <f t="shared" si="340"/>
        <v>X</v>
      </c>
      <c r="N1773" t="s">
        <v>27</v>
      </c>
    </row>
    <row r="1774" spans="1:14" x14ac:dyDescent="0.25">
      <c r="A1774" t="s">
        <v>14</v>
      </c>
      <c r="B1774" t="s">
        <v>40</v>
      </c>
      <c r="C1774" t="s">
        <v>15</v>
      </c>
      <c r="D1774" t="s">
        <v>15</v>
      </c>
      <c r="E1774" t="s">
        <v>26</v>
      </c>
      <c r="F1774" t="s">
        <v>18</v>
      </c>
      <c r="G1774" s="1" t="str">
        <f t="shared" si="340"/>
        <v>X</v>
      </c>
      <c r="H1774" s="1" t="str">
        <f t="shared" si="340"/>
        <v>X</v>
      </c>
      <c r="I1774" s="1" t="str">
        <f t="shared" si="340"/>
        <v>X</v>
      </c>
      <c r="J1774" s="1" t="str">
        <f t="shared" si="340"/>
        <v>X</v>
      </c>
      <c r="K1774" s="1" t="str">
        <f t="shared" si="340"/>
        <v>X</v>
      </c>
      <c r="L1774" s="1" t="str">
        <f t="shared" si="340"/>
        <v>X</v>
      </c>
      <c r="M1774" s="1" t="str">
        <f t="shared" si="340"/>
        <v>X</v>
      </c>
      <c r="N1774" t="s">
        <v>27</v>
      </c>
    </row>
    <row r="1775" spans="1:14" x14ac:dyDescent="0.25">
      <c r="A1775" t="s">
        <v>14</v>
      </c>
      <c r="B1775" t="s">
        <v>40</v>
      </c>
      <c r="C1775" t="s">
        <v>15</v>
      </c>
      <c r="D1775" t="s">
        <v>15</v>
      </c>
      <c r="E1775" t="s">
        <v>26</v>
      </c>
      <c r="F1775" t="s">
        <v>19</v>
      </c>
      <c r="G1775" s="1" t="str">
        <f t="shared" si="340"/>
        <v>X</v>
      </c>
      <c r="H1775" s="1" t="str">
        <f t="shared" si="340"/>
        <v>X</v>
      </c>
      <c r="I1775" s="1" t="str">
        <f t="shared" si="340"/>
        <v>X</v>
      </c>
      <c r="J1775" s="1" t="str">
        <f t="shared" si="340"/>
        <v>X</v>
      </c>
      <c r="K1775" s="1" t="str">
        <f t="shared" si="340"/>
        <v>X</v>
      </c>
      <c r="L1775" s="1" t="str">
        <f t="shared" si="340"/>
        <v>X</v>
      </c>
      <c r="M1775" s="1" t="str">
        <f t="shared" si="340"/>
        <v>X</v>
      </c>
      <c r="N1775" t="s">
        <v>27</v>
      </c>
    </row>
    <row r="1776" spans="1:14" x14ac:dyDescent="0.25">
      <c r="A1776" t="s">
        <v>14</v>
      </c>
      <c r="B1776" t="s">
        <v>40</v>
      </c>
      <c r="C1776" t="s">
        <v>15</v>
      </c>
      <c r="D1776" t="s">
        <v>15</v>
      </c>
      <c r="E1776" t="s">
        <v>26</v>
      </c>
      <c r="F1776" t="s">
        <v>20</v>
      </c>
      <c r="G1776" s="2">
        <f>VALUE(460.0761960821)</f>
        <v>460.07619608210001</v>
      </c>
      <c r="H1776" s="3">
        <f>VALUE(419.425529046)</f>
        <v>419.42552904600001</v>
      </c>
      <c r="I1776" s="1">
        <f>VALUE(3052)</f>
        <v>3052</v>
      </c>
      <c r="J1776" s="1">
        <f>VALUE(3497)</f>
        <v>3497</v>
      </c>
      <c r="K1776" s="1">
        <f>VALUE(5555)</f>
        <v>5555</v>
      </c>
      <c r="L1776" s="1">
        <f>VALUE(6429)</f>
        <v>6429</v>
      </c>
      <c r="M1776" s="1">
        <f>VALUE(7381)</f>
        <v>7381</v>
      </c>
      <c r="N1776" t="s">
        <v>25</v>
      </c>
    </row>
    <row r="1777" spans="1:14" x14ac:dyDescent="0.25">
      <c r="A1777" t="s">
        <v>14</v>
      </c>
      <c r="B1777" t="s">
        <v>40</v>
      </c>
      <c r="C1777" t="s">
        <v>15</v>
      </c>
      <c r="D1777" t="s">
        <v>28</v>
      </c>
      <c r="E1777" t="s">
        <v>15</v>
      </c>
      <c r="F1777" t="s">
        <v>15</v>
      </c>
      <c r="G1777" s="1">
        <f>VALUE(22156.8936833121)</f>
        <v>22156.893683312101</v>
      </c>
      <c r="H1777" s="1">
        <f>VALUE(17270.5125074121)</f>
        <v>17270.512507412099</v>
      </c>
      <c r="I1777" s="1">
        <f>VALUE(3286)</f>
        <v>3286</v>
      </c>
      <c r="J1777" s="1">
        <f>VALUE(3900)</f>
        <v>3900</v>
      </c>
      <c r="K1777" s="1">
        <f>VALUE(4826)</f>
        <v>4826</v>
      </c>
      <c r="L1777" s="1">
        <f>VALUE(6067)</f>
        <v>6067</v>
      </c>
      <c r="M1777" s="1">
        <f>VALUE(7575)</f>
        <v>7575</v>
      </c>
      <c r="N1777" t="s">
        <v>16</v>
      </c>
    </row>
    <row r="1778" spans="1:14" x14ac:dyDescent="0.25">
      <c r="A1778" t="s">
        <v>14</v>
      </c>
      <c r="B1778" t="s">
        <v>40</v>
      </c>
      <c r="C1778" t="s">
        <v>15</v>
      </c>
      <c r="D1778" t="s">
        <v>28</v>
      </c>
      <c r="E1778" t="s">
        <v>15</v>
      </c>
      <c r="F1778" t="s">
        <v>17</v>
      </c>
      <c r="G1778" s="1">
        <f>VALUE(2947.2418551681)</f>
        <v>2947.2418551680998</v>
      </c>
      <c r="H1778" s="1">
        <f>VALUE(2470.9330528999)</f>
        <v>2470.9330528998998</v>
      </c>
      <c r="I1778" s="1">
        <f>VALUE(3357)</f>
        <v>3357</v>
      </c>
      <c r="J1778" s="1">
        <f>VALUE(4114)</f>
        <v>4114</v>
      </c>
      <c r="K1778" s="1">
        <f>VALUE(5958)</f>
        <v>5958</v>
      </c>
      <c r="L1778" s="1">
        <f>VALUE(7955)</f>
        <v>7955</v>
      </c>
      <c r="M1778" s="1">
        <f>VALUE(10835)</f>
        <v>10835</v>
      </c>
      <c r="N1778" t="s">
        <v>16</v>
      </c>
    </row>
    <row r="1779" spans="1:14" x14ac:dyDescent="0.25">
      <c r="A1779" t="s">
        <v>14</v>
      </c>
      <c r="B1779" t="s">
        <v>40</v>
      </c>
      <c r="C1779" t="s">
        <v>15</v>
      </c>
      <c r="D1779" t="s">
        <v>28</v>
      </c>
      <c r="E1779" t="s">
        <v>15</v>
      </c>
      <c r="F1779" t="s">
        <v>18</v>
      </c>
      <c r="G1779" s="1">
        <f>VALUE(3131.3069027699)</f>
        <v>3131.3069027698998</v>
      </c>
      <c r="H1779" s="1">
        <f>VALUE(2571.8666440539)</f>
        <v>2571.8666440539</v>
      </c>
      <c r="I1779" s="1">
        <f>VALUE(3583)</f>
        <v>3583</v>
      </c>
      <c r="J1779" s="1">
        <f>VALUE(4333)</f>
        <v>4333</v>
      </c>
      <c r="K1779" s="1">
        <f>VALUE(5258)</f>
        <v>5258</v>
      </c>
      <c r="L1779" s="1">
        <f>VALUE(6772)</f>
        <v>6772</v>
      </c>
      <c r="M1779" s="1">
        <f>VALUE(8201)</f>
        <v>8201</v>
      </c>
      <c r="N1779" t="s">
        <v>16</v>
      </c>
    </row>
    <row r="1780" spans="1:14" x14ac:dyDescent="0.25">
      <c r="A1780" t="s">
        <v>14</v>
      </c>
      <c r="B1780" t="s">
        <v>40</v>
      </c>
      <c r="C1780" t="s">
        <v>15</v>
      </c>
      <c r="D1780" t="s">
        <v>28</v>
      </c>
      <c r="E1780" t="s">
        <v>15</v>
      </c>
      <c r="F1780" t="s">
        <v>19</v>
      </c>
      <c r="G1780" s="1">
        <f>VALUE(3054.3394708587)</f>
        <v>3054.3394708587002</v>
      </c>
      <c r="H1780" s="1">
        <f>VALUE(2439.9138628905)</f>
        <v>2439.9138628904998</v>
      </c>
      <c r="I1780" s="1">
        <f>VALUE(3576)</f>
        <v>3576</v>
      </c>
      <c r="J1780" s="1">
        <f>VALUE(4348)</f>
        <v>4348</v>
      </c>
      <c r="K1780" s="1">
        <f>VALUE(5190)</f>
        <v>5190</v>
      </c>
      <c r="L1780" s="1">
        <f>VALUE(6380)</f>
        <v>6380</v>
      </c>
      <c r="M1780" s="1">
        <f>VALUE(7443)</f>
        <v>7443</v>
      </c>
      <c r="N1780" t="s">
        <v>16</v>
      </c>
    </row>
    <row r="1781" spans="1:14" x14ac:dyDescent="0.25">
      <c r="A1781" t="s">
        <v>14</v>
      </c>
      <c r="B1781" t="s">
        <v>40</v>
      </c>
      <c r="C1781" t="s">
        <v>15</v>
      </c>
      <c r="D1781" t="s">
        <v>28</v>
      </c>
      <c r="E1781" t="s">
        <v>15</v>
      </c>
      <c r="F1781" t="s">
        <v>20</v>
      </c>
      <c r="G1781" s="1">
        <f>VALUE(12996.9698768718)</f>
        <v>12996.969876871801</v>
      </c>
      <c r="H1781" s="1">
        <f>VALUE(9768.5606507418)</f>
        <v>9768.5606507417997</v>
      </c>
      <c r="I1781" s="1">
        <f>VALUE(3212)</f>
        <v>3212</v>
      </c>
      <c r="J1781" s="1">
        <f>VALUE(3714)</f>
        <v>3714</v>
      </c>
      <c r="K1781" s="1">
        <f>VALUE(4498)</f>
        <v>4498</v>
      </c>
      <c r="L1781" s="1">
        <f>VALUE(5480)</f>
        <v>5480</v>
      </c>
      <c r="M1781" s="1">
        <f>VALUE(6452)</f>
        <v>6452</v>
      </c>
      <c r="N1781" t="s">
        <v>16</v>
      </c>
    </row>
    <row r="1782" spans="1:14" x14ac:dyDescent="0.25">
      <c r="A1782" t="s">
        <v>14</v>
      </c>
      <c r="B1782" t="s">
        <v>40</v>
      </c>
      <c r="C1782" t="s">
        <v>15</v>
      </c>
      <c r="D1782" t="s">
        <v>28</v>
      </c>
      <c r="E1782" t="s">
        <v>21</v>
      </c>
      <c r="F1782" t="s">
        <v>15</v>
      </c>
      <c r="G1782" s="1">
        <f>VALUE(4852.4837015472)</f>
        <v>4852.4837015472003</v>
      </c>
      <c r="H1782" s="1">
        <f>VALUE(3802.5767152924)</f>
        <v>3802.5767152924</v>
      </c>
      <c r="I1782" s="1">
        <f>VALUE(3911)</f>
        <v>3911</v>
      </c>
      <c r="J1782" s="1">
        <f>VALUE(4850)</f>
        <v>4850</v>
      </c>
      <c r="K1782" s="1">
        <f>VALUE(6041)</f>
        <v>6041</v>
      </c>
      <c r="L1782" s="1">
        <f>VALUE(7574)</f>
        <v>7574</v>
      </c>
      <c r="M1782" s="1">
        <f>VALUE(9285)</f>
        <v>9285</v>
      </c>
      <c r="N1782" t="s">
        <v>16</v>
      </c>
    </row>
    <row r="1783" spans="1:14" x14ac:dyDescent="0.25">
      <c r="A1783" t="s">
        <v>14</v>
      </c>
      <c r="B1783" t="s">
        <v>40</v>
      </c>
      <c r="C1783" t="s">
        <v>15</v>
      </c>
      <c r="D1783" t="s">
        <v>28</v>
      </c>
      <c r="E1783" t="s">
        <v>21</v>
      </c>
      <c r="F1783" t="s">
        <v>17</v>
      </c>
      <c r="G1783" s="2">
        <f>VALUE(1468.4068620177)</f>
        <v>1468.4068620177</v>
      </c>
      <c r="H1783" s="3">
        <f>VALUE(1195.678684143)</f>
        <v>1195.6786841430001</v>
      </c>
      <c r="I1783" s="4">
        <f>VALUE(3810)</f>
        <v>3810</v>
      </c>
      <c r="J1783" s="5">
        <f>VALUE(5101)</f>
        <v>5101</v>
      </c>
      <c r="K1783" s="1">
        <f>VALUE(6810)</f>
        <v>6810</v>
      </c>
      <c r="L1783" s="1">
        <f>VALUE(8992)</f>
        <v>8992</v>
      </c>
      <c r="M1783" s="1">
        <f>VALUE(11969)</f>
        <v>11969</v>
      </c>
      <c r="N1783" t="s">
        <v>25</v>
      </c>
    </row>
    <row r="1784" spans="1:14" x14ac:dyDescent="0.25">
      <c r="A1784" t="s">
        <v>14</v>
      </c>
      <c r="B1784" t="s">
        <v>40</v>
      </c>
      <c r="C1784" t="s">
        <v>15</v>
      </c>
      <c r="D1784" t="s">
        <v>28</v>
      </c>
      <c r="E1784" t="s">
        <v>21</v>
      </c>
      <c r="F1784" t="s">
        <v>18</v>
      </c>
      <c r="G1784" s="2">
        <f>VALUE(951.447270002)</f>
        <v>951.44727000199998</v>
      </c>
      <c r="H1784" s="3">
        <f>VALUE(764.6538759853)</f>
        <v>764.65387598530003</v>
      </c>
      <c r="I1784" s="1">
        <f>VALUE(4086)</f>
        <v>4086</v>
      </c>
      <c r="J1784" s="1">
        <f>VALUE(5178)</f>
        <v>5178</v>
      </c>
      <c r="K1784" s="1">
        <f>VALUE(6365)</f>
        <v>6365</v>
      </c>
      <c r="L1784" s="1">
        <f>VALUE(7619)</f>
        <v>7619</v>
      </c>
      <c r="M1784" s="1">
        <f>VALUE(8858)</f>
        <v>8858</v>
      </c>
      <c r="N1784" t="s">
        <v>25</v>
      </c>
    </row>
    <row r="1785" spans="1:14" x14ac:dyDescent="0.25">
      <c r="A1785" t="s">
        <v>14</v>
      </c>
      <c r="B1785" t="s">
        <v>40</v>
      </c>
      <c r="C1785" t="s">
        <v>15</v>
      </c>
      <c r="D1785" t="s">
        <v>28</v>
      </c>
      <c r="E1785" t="s">
        <v>21</v>
      </c>
      <c r="F1785" t="s">
        <v>19</v>
      </c>
      <c r="G1785" s="2">
        <f>VALUE(833.9828061129)</f>
        <v>833.98280611289999</v>
      </c>
      <c r="H1785" s="3">
        <f>VALUE(596.895933116)</f>
        <v>596.89593311600004</v>
      </c>
      <c r="I1785" s="1">
        <f>VALUE(4000)</f>
        <v>4000</v>
      </c>
      <c r="J1785" s="1">
        <f>VALUE(4871)</f>
        <v>4871</v>
      </c>
      <c r="K1785" s="1">
        <f>VALUE(5742)</f>
        <v>5742</v>
      </c>
      <c r="L1785" s="1">
        <f>VALUE(7065)</f>
        <v>7065</v>
      </c>
      <c r="M1785" s="1">
        <f>VALUE(7949)</f>
        <v>7949</v>
      </c>
      <c r="N1785" t="s">
        <v>25</v>
      </c>
    </row>
    <row r="1786" spans="1:14" x14ac:dyDescent="0.25">
      <c r="A1786" t="s">
        <v>14</v>
      </c>
      <c r="B1786" t="s">
        <v>40</v>
      </c>
      <c r="C1786" t="s">
        <v>15</v>
      </c>
      <c r="D1786" t="s">
        <v>28</v>
      </c>
      <c r="E1786" t="s">
        <v>21</v>
      </c>
      <c r="F1786" t="s">
        <v>20</v>
      </c>
      <c r="G1786" s="1">
        <f>VALUE(1598.6467634146)</f>
        <v>1598.6467634145999</v>
      </c>
      <c r="H1786" s="1">
        <f>VALUE(1245.3482220481)</f>
        <v>1245.3482220481001</v>
      </c>
      <c r="I1786" s="1">
        <f>VALUE(3889)</f>
        <v>3889</v>
      </c>
      <c r="J1786" s="1">
        <f>VALUE(4591)</f>
        <v>4591</v>
      </c>
      <c r="K1786" s="1">
        <f>VALUE(5714)</f>
        <v>5714</v>
      </c>
      <c r="L1786" s="1">
        <f>VALUE(6646)</f>
        <v>6646</v>
      </c>
      <c r="M1786" s="1">
        <f>VALUE(7973)</f>
        <v>7973</v>
      </c>
      <c r="N1786" t="s">
        <v>16</v>
      </c>
    </row>
    <row r="1787" spans="1:14" x14ac:dyDescent="0.25">
      <c r="A1787" t="s">
        <v>14</v>
      </c>
      <c r="B1787" t="s">
        <v>40</v>
      </c>
      <c r="C1787" t="s">
        <v>15</v>
      </c>
      <c r="D1787" t="s">
        <v>28</v>
      </c>
      <c r="E1787" t="s">
        <v>22</v>
      </c>
      <c r="F1787" t="s">
        <v>15</v>
      </c>
      <c r="G1787" s="1">
        <f>VALUE(12357.4372049831)</f>
        <v>12357.4372049831</v>
      </c>
      <c r="H1787" s="1">
        <f>VALUE(9740.8106434072)</f>
        <v>9740.8106434071997</v>
      </c>
      <c r="I1787" s="1">
        <f>VALUE(3297)</f>
        <v>3297</v>
      </c>
      <c r="J1787" s="1">
        <f>VALUE(3928)</f>
        <v>3928</v>
      </c>
      <c r="K1787" s="1">
        <f>VALUE(4762)</f>
        <v>4762</v>
      </c>
      <c r="L1787" s="1">
        <f>VALUE(5783)</f>
        <v>5783</v>
      </c>
      <c r="M1787" s="1">
        <f>VALUE(7040)</f>
        <v>7040</v>
      </c>
      <c r="N1787" t="s">
        <v>16</v>
      </c>
    </row>
    <row r="1788" spans="1:14" x14ac:dyDescent="0.25">
      <c r="A1788" t="s">
        <v>14</v>
      </c>
      <c r="B1788" t="s">
        <v>40</v>
      </c>
      <c r="C1788" t="s">
        <v>15</v>
      </c>
      <c r="D1788" t="s">
        <v>28</v>
      </c>
      <c r="E1788" t="s">
        <v>22</v>
      </c>
      <c r="F1788" t="s">
        <v>17</v>
      </c>
      <c r="G1788" s="2">
        <f>VALUE(1269.0014159999)</f>
        <v>1269.0014159999</v>
      </c>
      <c r="H1788" s="3">
        <f>VALUE(1076.9139236273)</f>
        <v>1076.9139236272999</v>
      </c>
      <c r="I1788" s="4">
        <f>VALUE(2857)</f>
        <v>2857</v>
      </c>
      <c r="J1788" s="5">
        <f>VALUE(3981)</f>
        <v>3981</v>
      </c>
      <c r="K1788" s="6">
        <f>VALUE(5197)</f>
        <v>5197</v>
      </c>
      <c r="L1788" s="1">
        <f>VALUE(7119)</f>
        <v>7119</v>
      </c>
      <c r="M1788" s="1">
        <f>VALUE(9024)</f>
        <v>9024</v>
      </c>
      <c r="N1788" t="s">
        <v>25</v>
      </c>
    </row>
    <row r="1789" spans="1:14" x14ac:dyDescent="0.25">
      <c r="A1789" t="s">
        <v>14</v>
      </c>
      <c r="B1789" t="s">
        <v>40</v>
      </c>
      <c r="C1789" t="s">
        <v>15</v>
      </c>
      <c r="D1789" t="s">
        <v>28</v>
      </c>
      <c r="E1789" t="s">
        <v>22</v>
      </c>
      <c r="F1789" t="s">
        <v>18</v>
      </c>
      <c r="G1789" s="1">
        <f>VALUE(1845.1857450792)</f>
        <v>1845.1857450791999</v>
      </c>
      <c r="H1789" s="3">
        <f>VALUE(1497.1385758231)</f>
        <v>1497.1385758230999</v>
      </c>
      <c r="I1789" s="1">
        <f>VALUE(3566)</f>
        <v>3566</v>
      </c>
      <c r="J1789" s="1">
        <f>VALUE(4127)</f>
        <v>4127</v>
      </c>
      <c r="K1789" s="1">
        <f>VALUE(4894)</f>
        <v>4894</v>
      </c>
      <c r="L1789" s="1">
        <f>VALUE(6067)</f>
        <v>6067</v>
      </c>
      <c r="M1789" s="1">
        <f>VALUE(7468)</f>
        <v>7468</v>
      </c>
      <c r="N1789" t="s">
        <v>25</v>
      </c>
    </row>
    <row r="1790" spans="1:14" x14ac:dyDescent="0.25">
      <c r="A1790" t="s">
        <v>14</v>
      </c>
      <c r="B1790" t="s">
        <v>40</v>
      </c>
      <c r="C1790" t="s">
        <v>15</v>
      </c>
      <c r="D1790" t="s">
        <v>28</v>
      </c>
      <c r="E1790" t="s">
        <v>22</v>
      </c>
      <c r="F1790" t="s">
        <v>19</v>
      </c>
      <c r="G1790" s="1">
        <f>VALUE(1905.7566230135)</f>
        <v>1905.7566230135001</v>
      </c>
      <c r="H1790" s="1">
        <f>VALUE(1574.8421797219)</f>
        <v>1574.8421797219</v>
      </c>
      <c r="I1790" s="1">
        <f>VALUE(3439)</f>
        <v>3439</v>
      </c>
      <c r="J1790" s="1">
        <f>VALUE(4333)</f>
        <v>4333</v>
      </c>
      <c r="K1790" s="1">
        <f>VALUE(5056)</f>
        <v>5056</v>
      </c>
      <c r="L1790" s="1">
        <f>VALUE(6112)</f>
        <v>6112</v>
      </c>
      <c r="M1790" s="1">
        <f>VALUE(7158)</f>
        <v>7158</v>
      </c>
      <c r="N1790" t="s">
        <v>16</v>
      </c>
    </row>
    <row r="1791" spans="1:14" x14ac:dyDescent="0.25">
      <c r="A1791" t="s">
        <v>14</v>
      </c>
      <c r="B1791" t="s">
        <v>40</v>
      </c>
      <c r="C1791" t="s">
        <v>15</v>
      </c>
      <c r="D1791" t="s">
        <v>28</v>
      </c>
      <c r="E1791" t="s">
        <v>22</v>
      </c>
      <c r="F1791" t="s">
        <v>20</v>
      </c>
      <c r="G1791" s="1">
        <f>VALUE(7337.4934208905)</f>
        <v>7337.4934208904997</v>
      </c>
      <c r="H1791" s="1">
        <f>VALUE(5591.9159642349)</f>
        <v>5591.9159642348995</v>
      </c>
      <c r="I1791" s="1">
        <f>VALUE(3253)</f>
        <v>3253</v>
      </c>
      <c r="J1791" s="1">
        <f>VALUE(3831)</f>
        <v>3831</v>
      </c>
      <c r="K1791" s="1">
        <f>VALUE(4582)</f>
        <v>4582</v>
      </c>
      <c r="L1791" s="1">
        <f>VALUE(5452)</f>
        <v>5452</v>
      </c>
      <c r="M1791" s="1">
        <f>VALUE(6369)</f>
        <v>6369</v>
      </c>
      <c r="N1791" t="s">
        <v>16</v>
      </c>
    </row>
    <row r="1792" spans="1:14" x14ac:dyDescent="0.25">
      <c r="A1792" t="s">
        <v>14</v>
      </c>
      <c r="B1792" t="s">
        <v>40</v>
      </c>
      <c r="C1792" t="s">
        <v>15</v>
      </c>
      <c r="D1792" t="s">
        <v>28</v>
      </c>
      <c r="E1792" t="s">
        <v>23</v>
      </c>
      <c r="F1792" t="s">
        <v>15</v>
      </c>
      <c r="G1792" s="1">
        <f>VALUE(4580.634028836)</f>
        <v>4580.6340288359997</v>
      </c>
      <c r="H1792" s="1">
        <f>VALUE(3380.2984729003)</f>
        <v>3380.2984729003001</v>
      </c>
      <c r="I1792" s="1">
        <f>VALUE(2968)</f>
        <v>2968</v>
      </c>
      <c r="J1792" s="1">
        <f>VALUE(3409)</f>
        <v>3409</v>
      </c>
      <c r="K1792" s="1">
        <f>VALUE(3981)</f>
        <v>3981</v>
      </c>
      <c r="L1792" s="1">
        <f>VALUE(4764)</f>
        <v>4764</v>
      </c>
      <c r="M1792" s="1">
        <f>VALUE(5746)</f>
        <v>5746</v>
      </c>
      <c r="N1792" t="s">
        <v>16</v>
      </c>
    </row>
    <row r="1793" spans="1:14" x14ac:dyDescent="0.25">
      <c r="A1793" t="s">
        <v>14</v>
      </c>
      <c r="B1793" t="s">
        <v>40</v>
      </c>
      <c r="C1793" t="s">
        <v>15</v>
      </c>
      <c r="D1793" t="s">
        <v>28</v>
      </c>
      <c r="E1793" t="s">
        <v>23</v>
      </c>
      <c r="F1793" t="s">
        <v>17</v>
      </c>
      <c r="G1793" s="1" t="str">
        <f t="shared" ref="G1793:M1793" si="341">"X"</f>
        <v>X</v>
      </c>
      <c r="H1793" s="1" t="str">
        <f t="shared" si="341"/>
        <v>X</v>
      </c>
      <c r="I1793" s="1" t="str">
        <f t="shared" si="341"/>
        <v>X</v>
      </c>
      <c r="J1793" s="1" t="str">
        <f t="shared" si="341"/>
        <v>X</v>
      </c>
      <c r="K1793" s="1" t="str">
        <f t="shared" si="341"/>
        <v>X</v>
      </c>
      <c r="L1793" s="1" t="str">
        <f t="shared" si="341"/>
        <v>X</v>
      </c>
      <c r="M1793" s="1" t="str">
        <f t="shared" si="341"/>
        <v>X</v>
      </c>
      <c r="N1793" t="s">
        <v>27</v>
      </c>
    </row>
    <row r="1794" spans="1:14" x14ac:dyDescent="0.25">
      <c r="A1794" t="s">
        <v>14</v>
      </c>
      <c r="B1794" t="s">
        <v>40</v>
      </c>
      <c r="C1794" t="s">
        <v>15</v>
      </c>
      <c r="D1794" t="s">
        <v>28</v>
      </c>
      <c r="E1794" t="s">
        <v>23</v>
      </c>
      <c r="F1794" t="s">
        <v>18</v>
      </c>
      <c r="G1794" s="2">
        <f>VALUE(263.4970338941)</f>
        <v>263.49703389410001</v>
      </c>
      <c r="H1794" s="3">
        <f>VALUE(238.3512177464)</f>
        <v>238.35121774640001</v>
      </c>
      <c r="I1794" s="4">
        <f>VALUE(3106)</f>
        <v>3106</v>
      </c>
      <c r="J1794" s="1">
        <f>VALUE(3671)</f>
        <v>3671</v>
      </c>
      <c r="K1794" s="6">
        <f>VALUE(4646)</f>
        <v>4646</v>
      </c>
      <c r="L1794" s="1">
        <f>VALUE(5634)</f>
        <v>5634</v>
      </c>
      <c r="M1794" s="8">
        <f>VALUE(7049)</f>
        <v>7049</v>
      </c>
      <c r="N1794" t="s">
        <v>25</v>
      </c>
    </row>
    <row r="1795" spans="1:14" x14ac:dyDescent="0.25">
      <c r="A1795" t="s">
        <v>14</v>
      </c>
      <c r="B1795" t="s">
        <v>40</v>
      </c>
      <c r="C1795" t="s">
        <v>15</v>
      </c>
      <c r="D1795" t="s">
        <v>28</v>
      </c>
      <c r="E1795" t="s">
        <v>23</v>
      </c>
      <c r="F1795" t="s">
        <v>19</v>
      </c>
      <c r="G1795" s="2">
        <f>VALUE(305.9773070625)</f>
        <v>305.97730706250002</v>
      </c>
      <c r="H1795" s="3">
        <f>VALUE(259.6035378629)</f>
        <v>259.6035378629</v>
      </c>
      <c r="I1795" s="1">
        <f>VALUE(3204)</f>
        <v>3204</v>
      </c>
      <c r="J1795" s="1">
        <f>VALUE(4048)</f>
        <v>4048</v>
      </c>
      <c r="K1795" s="1">
        <f>VALUE(4860)</f>
        <v>4860</v>
      </c>
      <c r="L1795" s="1">
        <f>VALUE(5927)</f>
        <v>5927</v>
      </c>
      <c r="M1795" s="1">
        <f>VALUE(7035)</f>
        <v>7035</v>
      </c>
      <c r="N1795" t="s">
        <v>25</v>
      </c>
    </row>
    <row r="1796" spans="1:14" x14ac:dyDescent="0.25">
      <c r="A1796" t="s">
        <v>14</v>
      </c>
      <c r="B1796" t="s">
        <v>40</v>
      </c>
      <c r="C1796" t="s">
        <v>15</v>
      </c>
      <c r="D1796" t="s">
        <v>28</v>
      </c>
      <c r="E1796" t="s">
        <v>23</v>
      </c>
      <c r="F1796" t="s">
        <v>20</v>
      </c>
      <c r="G1796" s="1">
        <f>VALUE(3835.1638622994)</f>
        <v>3835.1638622994001</v>
      </c>
      <c r="H1796" s="1">
        <f>VALUE(2717.9872572902)</f>
        <v>2717.9872572902</v>
      </c>
      <c r="I1796" s="1">
        <f>VALUE(2873)</f>
        <v>2873</v>
      </c>
      <c r="J1796" s="1">
        <f>VALUE(3389)</f>
        <v>3389</v>
      </c>
      <c r="K1796" s="1">
        <f>VALUE(3870)</f>
        <v>3870</v>
      </c>
      <c r="L1796" s="1">
        <f>VALUE(4552)</f>
        <v>4552</v>
      </c>
      <c r="M1796" s="1">
        <f>VALUE(5354)</f>
        <v>5354</v>
      </c>
      <c r="N1796" t="s">
        <v>16</v>
      </c>
    </row>
    <row r="1797" spans="1:14" x14ac:dyDescent="0.25">
      <c r="A1797" t="s">
        <v>14</v>
      </c>
      <c r="B1797" t="s">
        <v>40</v>
      </c>
      <c r="C1797" t="s">
        <v>15</v>
      </c>
      <c r="D1797" t="s">
        <v>28</v>
      </c>
      <c r="E1797" t="s">
        <v>26</v>
      </c>
      <c r="F1797" t="s">
        <v>15</v>
      </c>
      <c r="G1797" s="1">
        <f>VALUE(366.3387479458)</f>
        <v>366.33874794579998</v>
      </c>
      <c r="H1797" s="1">
        <f>VALUE(346.8266758122)</f>
        <v>346.82667581219999</v>
      </c>
      <c r="I1797" s="4">
        <f>VALUE(4207)</f>
        <v>4207</v>
      </c>
      <c r="J1797" s="1">
        <f>VALUE(5555)</f>
        <v>5555</v>
      </c>
      <c r="K1797" s="1">
        <f>VALUE(6386)</f>
        <v>6386</v>
      </c>
      <c r="L1797" s="1">
        <f>VALUE(8115)</f>
        <v>8115</v>
      </c>
      <c r="M1797" s="1">
        <f>VALUE(12354)</f>
        <v>12354</v>
      </c>
      <c r="N1797" t="s">
        <v>25</v>
      </c>
    </row>
    <row r="1798" spans="1:14" x14ac:dyDescent="0.25">
      <c r="A1798" t="s">
        <v>14</v>
      </c>
      <c r="B1798" t="s">
        <v>40</v>
      </c>
      <c r="C1798" t="s">
        <v>15</v>
      </c>
      <c r="D1798" t="s">
        <v>28</v>
      </c>
      <c r="E1798" t="s">
        <v>26</v>
      </c>
      <c r="F1798" t="s">
        <v>17</v>
      </c>
      <c r="G1798" s="1" t="str">
        <f t="shared" ref="G1798:M1800" si="342">"X"</f>
        <v>X</v>
      </c>
      <c r="H1798" s="1" t="str">
        <f t="shared" si="342"/>
        <v>X</v>
      </c>
      <c r="I1798" s="1" t="str">
        <f t="shared" si="342"/>
        <v>X</v>
      </c>
      <c r="J1798" s="1" t="str">
        <f t="shared" si="342"/>
        <v>X</v>
      </c>
      <c r="K1798" s="1" t="str">
        <f t="shared" si="342"/>
        <v>X</v>
      </c>
      <c r="L1798" s="1" t="str">
        <f t="shared" si="342"/>
        <v>X</v>
      </c>
      <c r="M1798" s="1" t="str">
        <f t="shared" si="342"/>
        <v>X</v>
      </c>
      <c r="N1798" t="s">
        <v>27</v>
      </c>
    </row>
    <row r="1799" spans="1:14" x14ac:dyDescent="0.25">
      <c r="A1799" t="s">
        <v>14</v>
      </c>
      <c r="B1799" t="s">
        <v>40</v>
      </c>
      <c r="C1799" t="s">
        <v>15</v>
      </c>
      <c r="D1799" t="s">
        <v>28</v>
      </c>
      <c r="E1799" t="s">
        <v>26</v>
      </c>
      <c r="F1799" t="s">
        <v>18</v>
      </c>
      <c r="G1799" s="1" t="str">
        <f t="shared" si="342"/>
        <v>X</v>
      </c>
      <c r="H1799" s="1" t="str">
        <f t="shared" si="342"/>
        <v>X</v>
      </c>
      <c r="I1799" s="1" t="str">
        <f t="shared" si="342"/>
        <v>X</v>
      </c>
      <c r="J1799" s="1" t="str">
        <f t="shared" si="342"/>
        <v>X</v>
      </c>
      <c r="K1799" s="1" t="str">
        <f t="shared" si="342"/>
        <v>X</v>
      </c>
      <c r="L1799" s="1" t="str">
        <f t="shared" si="342"/>
        <v>X</v>
      </c>
      <c r="M1799" s="1" t="str">
        <f t="shared" si="342"/>
        <v>X</v>
      </c>
      <c r="N1799" t="s">
        <v>27</v>
      </c>
    </row>
    <row r="1800" spans="1:14" x14ac:dyDescent="0.25">
      <c r="A1800" t="s">
        <v>14</v>
      </c>
      <c r="B1800" t="s">
        <v>40</v>
      </c>
      <c r="C1800" t="s">
        <v>15</v>
      </c>
      <c r="D1800" t="s">
        <v>28</v>
      </c>
      <c r="E1800" t="s">
        <v>26</v>
      </c>
      <c r="F1800" t="s">
        <v>19</v>
      </c>
      <c r="G1800" s="1" t="str">
        <f t="shared" si="342"/>
        <v>X</v>
      </c>
      <c r="H1800" s="1" t="str">
        <f t="shared" si="342"/>
        <v>X</v>
      </c>
      <c r="I1800" s="1" t="str">
        <f t="shared" si="342"/>
        <v>X</v>
      </c>
      <c r="J1800" s="1" t="str">
        <f t="shared" si="342"/>
        <v>X</v>
      </c>
      <c r="K1800" s="1" t="str">
        <f t="shared" si="342"/>
        <v>X</v>
      </c>
      <c r="L1800" s="1" t="str">
        <f t="shared" si="342"/>
        <v>X</v>
      </c>
      <c r="M1800" s="1" t="str">
        <f t="shared" si="342"/>
        <v>X</v>
      </c>
      <c r="N1800" t="s">
        <v>27</v>
      </c>
    </row>
    <row r="1801" spans="1:14" x14ac:dyDescent="0.25">
      <c r="A1801" t="s">
        <v>14</v>
      </c>
      <c r="B1801" t="s">
        <v>40</v>
      </c>
      <c r="C1801" t="s">
        <v>15</v>
      </c>
      <c r="D1801" t="s">
        <v>28</v>
      </c>
      <c r="E1801" t="s">
        <v>26</v>
      </c>
      <c r="F1801" t="s">
        <v>20</v>
      </c>
      <c r="G1801" s="2">
        <f>VALUE(225.6658302673)</f>
        <v>225.66583026730001</v>
      </c>
      <c r="H1801" s="1">
        <f>VALUE(213.3092071686)</f>
        <v>213.30920716860001</v>
      </c>
      <c r="I1801" s="4">
        <f>VALUE(4167)</f>
        <v>4167</v>
      </c>
      <c r="J1801" s="1">
        <f>VALUE(5397)</f>
        <v>5397</v>
      </c>
      <c r="K1801" s="1">
        <f>VALUE(6121)</f>
        <v>6121</v>
      </c>
      <c r="L1801" s="1">
        <f>VALUE(6848)</f>
        <v>6848</v>
      </c>
      <c r="M1801" s="1">
        <f>VALUE(7567)</f>
        <v>7567</v>
      </c>
      <c r="N1801" t="s">
        <v>25</v>
      </c>
    </row>
    <row r="1802" spans="1:14" x14ac:dyDescent="0.25">
      <c r="A1802" t="s">
        <v>14</v>
      </c>
      <c r="B1802" t="s">
        <v>40</v>
      </c>
      <c r="C1802" t="s">
        <v>15</v>
      </c>
      <c r="D1802" t="s">
        <v>29</v>
      </c>
      <c r="E1802" t="s">
        <v>15</v>
      </c>
      <c r="F1802" t="s">
        <v>15</v>
      </c>
      <c r="G1802" s="1">
        <f>VALUE(6883.5024206268)</f>
        <v>6883.5024206267999</v>
      </c>
      <c r="H1802" s="1">
        <f>VALUE(5523.0927693859)</f>
        <v>5523.0927693859003</v>
      </c>
      <c r="I1802" s="1">
        <f>VALUE(3090)</f>
        <v>3090</v>
      </c>
      <c r="J1802" s="1">
        <f>VALUE(3456)</f>
        <v>3456</v>
      </c>
      <c r="K1802" s="1">
        <f>VALUE(4017)</f>
        <v>4017</v>
      </c>
      <c r="L1802" s="1">
        <f>VALUE(5143)</f>
        <v>5143</v>
      </c>
      <c r="M1802" s="1">
        <f>VALUE(6897)</f>
        <v>6897</v>
      </c>
      <c r="N1802" t="s">
        <v>16</v>
      </c>
    </row>
    <row r="1803" spans="1:14" x14ac:dyDescent="0.25">
      <c r="A1803" t="s">
        <v>14</v>
      </c>
      <c r="B1803" t="s">
        <v>40</v>
      </c>
      <c r="C1803" t="s">
        <v>15</v>
      </c>
      <c r="D1803" t="s">
        <v>29</v>
      </c>
      <c r="E1803" t="s">
        <v>15</v>
      </c>
      <c r="F1803" t="s">
        <v>17</v>
      </c>
      <c r="G1803" s="2">
        <f>VALUE(512.3422009316)</f>
        <v>512.34220093160002</v>
      </c>
      <c r="H1803" s="3">
        <f>VALUE(454.636815565)</f>
        <v>454.63681556500001</v>
      </c>
      <c r="I1803" s="4">
        <f>VALUE(3810)</f>
        <v>3810</v>
      </c>
      <c r="J1803" s="5">
        <f>VALUE(4746)</f>
        <v>4746</v>
      </c>
      <c r="K1803" s="6">
        <f>VALUE(5968)</f>
        <v>5968</v>
      </c>
      <c r="L1803" s="7">
        <f>VALUE(8557)</f>
        <v>8557</v>
      </c>
      <c r="M1803" s="8">
        <f>VALUE(12330)</f>
        <v>12330</v>
      </c>
      <c r="N1803" t="s">
        <v>24</v>
      </c>
    </row>
    <row r="1804" spans="1:14" x14ac:dyDescent="0.25">
      <c r="A1804" t="s">
        <v>14</v>
      </c>
      <c r="B1804" t="s">
        <v>40</v>
      </c>
      <c r="C1804" t="s">
        <v>15</v>
      </c>
      <c r="D1804" t="s">
        <v>29</v>
      </c>
      <c r="E1804" t="s">
        <v>15</v>
      </c>
      <c r="F1804" t="s">
        <v>18</v>
      </c>
      <c r="G1804" s="2">
        <f>VALUE(785.1053621174)</f>
        <v>785.10536211739998</v>
      </c>
      <c r="H1804" s="3">
        <f>VALUE(729.7936253742)</f>
        <v>729.79362537420002</v>
      </c>
      <c r="I1804" s="1">
        <f>VALUE(3429)</f>
        <v>3429</v>
      </c>
      <c r="J1804" s="5">
        <f>VALUE(3575)</f>
        <v>3575</v>
      </c>
      <c r="K1804" s="6">
        <f>VALUE(4339)</f>
        <v>4339</v>
      </c>
      <c r="L1804" s="7">
        <f>VALUE(6263)</f>
        <v>6263</v>
      </c>
      <c r="M1804" s="1">
        <f>VALUE(8125)</f>
        <v>8125</v>
      </c>
      <c r="N1804" t="s">
        <v>25</v>
      </c>
    </row>
    <row r="1805" spans="1:14" x14ac:dyDescent="0.25">
      <c r="A1805" t="s">
        <v>14</v>
      </c>
      <c r="B1805" t="s">
        <v>40</v>
      </c>
      <c r="C1805" t="s">
        <v>15</v>
      </c>
      <c r="D1805" t="s">
        <v>29</v>
      </c>
      <c r="E1805" t="s">
        <v>15</v>
      </c>
      <c r="F1805" t="s">
        <v>19</v>
      </c>
      <c r="G1805" s="2">
        <f>VALUE(691.1581088123)</f>
        <v>691.15810881230004</v>
      </c>
      <c r="H1805" s="3">
        <f>VALUE(596.2658921334)</f>
        <v>596.26589213340003</v>
      </c>
      <c r="I1805" s="1">
        <f>VALUE(3302)</f>
        <v>3302</v>
      </c>
      <c r="J1805" s="1">
        <f>VALUE(3752)</f>
        <v>3752</v>
      </c>
      <c r="K1805" s="1">
        <f>VALUE(4588)</f>
        <v>4588</v>
      </c>
      <c r="L1805" s="1">
        <f>VALUE(5810)</f>
        <v>5810</v>
      </c>
      <c r="M1805" s="1">
        <f>VALUE(7410)</f>
        <v>7410</v>
      </c>
      <c r="N1805" t="s">
        <v>25</v>
      </c>
    </row>
    <row r="1806" spans="1:14" x14ac:dyDescent="0.25">
      <c r="A1806" t="s">
        <v>14</v>
      </c>
      <c r="B1806" t="s">
        <v>40</v>
      </c>
      <c r="C1806" t="s">
        <v>15</v>
      </c>
      <c r="D1806" t="s">
        <v>29</v>
      </c>
      <c r="E1806" t="s">
        <v>15</v>
      </c>
      <c r="F1806" t="s">
        <v>20</v>
      </c>
      <c r="G1806" s="1">
        <f>VALUE(4894.8967487655)</f>
        <v>4894.8967487655</v>
      </c>
      <c r="H1806" s="1">
        <f>VALUE(3742.3964363133)</f>
        <v>3742.3964363133</v>
      </c>
      <c r="I1806" s="1">
        <f>VALUE(3011)</f>
        <v>3011</v>
      </c>
      <c r="J1806" s="1">
        <f>VALUE(3333)</f>
        <v>3333</v>
      </c>
      <c r="K1806" s="1">
        <f>VALUE(3851)</f>
        <v>3851</v>
      </c>
      <c r="L1806" s="1">
        <f>VALUE(4730)</f>
        <v>4730</v>
      </c>
      <c r="M1806" s="1">
        <f>VALUE(5637)</f>
        <v>5637</v>
      </c>
      <c r="N1806" t="s">
        <v>16</v>
      </c>
    </row>
    <row r="1807" spans="1:14" x14ac:dyDescent="0.25">
      <c r="A1807" t="s">
        <v>14</v>
      </c>
      <c r="B1807" t="s">
        <v>40</v>
      </c>
      <c r="C1807" t="s">
        <v>15</v>
      </c>
      <c r="D1807" t="s">
        <v>29</v>
      </c>
      <c r="E1807" t="s">
        <v>21</v>
      </c>
      <c r="F1807" t="s">
        <v>15</v>
      </c>
      <c r="G1807" s="2">
        <f>VALUE(815.1916565096)</f>
        <v>815.19165650959997</v>
      </c>
      <c r="H1807" s="3">
        <f>VALUE(681.2669599844)</f>
        <v>681.26695998440005</v>
      </c>
      <c r="I1807" s="4">
        <f>VALUE(4063)</f>
        <v>4063</v>
      </c>
      <c r="J1807" s="1">
        <f>VALUE(5158)</f>
        <v>5158</v>
      </c>
      <c r="K1807" s="1">
        <f>VALUE(6825)</f>
        <v>6825</v>
      </c>
      <c r="L1807" s="1">
        <f>VALUE(8320)</f>
        <v>8320</v>
      </c>
      <c r="M1807" s="8">
        <f>VALUE(10833)</f>
        <v>10833</v>
      </c>
      <c r="N1807" t="s">
        <v>25</v>
      </c>
    </row>
    <row r="1808" spans="1:14" x14ac:dyDescent="0.25">
      <c r="A1808" t="s">
        <v>14</v>
      </c>
      <c r="B1808" t="s">
        <v>40</v>
      </c>
      <c r="C1808" t="s">
        <v>15</v>
      </c>
      <c r="D1808" t="s">
        <v>29</v>
      </c>
      <c r="E1808" t="s">
        <v>21</v>
      </c>
      <c r="F1808" t="s">
        <v>17</v>
      </c>
      <c r="G1808" s="2">
        <f>VALUE(268.9841892863)</f>
        <v>268.98418928630002</v>
      </c>
      <c r="H1808" s="3">
        <f>VALUE(244.4668735298)</f>
        <v>244.46687352980001</v>
      </c>
      <c r="I1808" s="4">
        <f>VALUE(3810)</f>
        <v>3810</v>
      </c>
      <c r="J1808" s="1">
        <f>VALUE(5043)</f>
        <v>5043</v>
      </c>
      <c r="K1808" s="6">
        <f>VALUE(6897)</f>
        <v>6897</v>
      </c>
      <c r="L1808" s="7">
        <f>VALUE(10075)</f>
        <v>10075</v>
      </c>
      <c r="M1808" s="1">
        <f>VALUE(13000)</f>
        <v>13000</v>
      </c>
      <c r="N1808" t="s">
        <v>25</v>
      </c>
    </row>
    <row r="1809" spans="1:14" x14ac:dyDescent="0.25">
      <c r="A1809" t="s">
        <v>14</v>
      </c>
      <c r="B1809" t="s">
        <v>40</v>
      </c>
      <c r="C1809" t="s">
        <v>15</v>
      </c>
      <c r="D1809" t="s">
        <v>29</v>
      </c>
      <c r="E1809" t="s">
        <v>21</v>
      </c>
      <c r="F1809" t="s">
        <v>18</v>
      </c>
      <c r="G1809" s="2">
        <f>VALUE(186.0187332619)</f>
        <v>186.0187332619</v>
      </c>
      <c r="H1809" s="3">
        <f>VALUE(157.0504453872)</f>
        <v>157.0504453872</v>
      </c>
      <c r="I1809" s="4">
        <f>VALUE(3429)</f>
        <v>3429</v>
      </c>
      <c r="J1809" s="5">
        <f>VALUE(4875)</f>
        <v>4875</v>
      </c>
      <c r="K1809" s="6">
        <f>VALUE(6764)</f>
        <v>6764</v>
      </c>
      <c r="L1809" s="1">
        <f>VALUE(8300)</f>
        <v>8300</v>
      </c>
      <c r="M1809" s="8">
        <f>VALUE(9967)</f>
        <v>9967</v>
      </c>
      <c r="N1809" t="s">
        <v>25</v>
      </c>
    </row>
    <row r="1810" spans="1:14" x14ac:dyDescent="0.25">
      <c r="A1810" t="s">
        <v>14</v>
      </c>
      <c r="B1810" t="s">
        <v>40</v>
      </c>
      <c r="C1810" t="s">
        <v>15</v>
      </c>
      <c r="D1810" t="s">
        <v>29</v>
      </c>
      <c r="E1810" t="s">
        <v>21</v>
      </c>
      <c r="F1810" t="s">
        <v>19</v>
      </c>
      <c r="G1810" s="1" t="str">
        <f t="shared" ref="G1810:M1810" si="343">"X"</f>
        <v>X</v>
      </c>
      <c r="H1810" s="1" t="str">
        <f t="shared" si="343"/>
        <v>X</v>
      </c>
      <c r="I1810" s="1" t="str">
        <f t="shared" si="343"/>
        <v>X</v>
      </c>
      <c r="J1810" s="1" t="str">
        <f t="shared" si="343"/>
        <v>X</v>
      </c>
      <c r="K1810" s="1" t="str">
        <f t="shared" si="343"/>
        <v>X</v>
      </c>
      <c r="L1810" s="1" t="str">
        <f t="shared" si="343"/>
        <v>X</v>
      </c>
      <c r="M1810" s="1" t="str">
        <f t="shared" si="343"/>
        <v>X</v>
      </c>
      <c r="N1810" t="s">
        <v>27</v>
      </c>
    </row>
    <row r="1811" spans="1:14" x14ac:dyDescent="0.25">
      <c r="A1811" t="s">
        <v>14</v>
      </c>
      <c r="B1811" t="s">
        <v>40</v>
      </c>
      <c r="C1811" t="s">
        <v>15</v>
      </c>
      <c r="D1811" t="s">
        <v>29</v>
      </c>
      <c r="E1811" t="s">
        <v>21</v>
      </c>
      <c r="F1811" t="s">
        <v>20</v>
      </c>
      <c r="G1811" s="2">
        <f>VALUE(227.7069420842)</f>
        <v>227.70694208419999</v>
      </c>
      <c r="H1811" s="3">
        <f>VALUE(175.3140072734)</f>
        <v>175.31400727339999</v>
      </c>
      <c r="I1811" s="4">
        <f>VALUE(4705)</f>
        <v>4705</v>
      </c>
      <c r="J1811" s="1">
        <f>VALUE(5396)</f>
        <v>5396</v>
      </c>
      <c r="K1811" s="1">
        <f>VALUE(6343)</f>
        <v>6343</v>
      </c>
      <c r="L1811" s="1">
        <f>VALUE(7042)</f>
        <v>7042</v>
      </c>
      <c r="M1811" s="8">
        <f>VALUE(8263)</f>
        <v>8263</v>
      </c>
      <c r="N1811" t="s">
        <v>25</v>
      </c>
    </row>
    <row r="1812" spans="1:14" x14ac:dyDescent="0.25">
      <c r="A1812" t="s">
        <v>14</v>
      </c>
      <c r="B1812" t="s">
        <v>40</v>
      </c>
      <c r="C1812" t="s">
        <v>15</v>
      </c>
      <c r="D1812" t="s">
        <v>29</v>
      </c>
      <c r="E1812" t="s">
        <v>22</v>
      </c>
      <c r="F1812" t="s">
        <v>15</v>
      </c>
      <c r="G1812" s="1">
        <f>VALUE(2268.1883917657)</f>
        <v>2268.1883917657001</v>
      </c>
      <c r="H1812" s="1">
        <f>VALUE(1911.5476878927)</f>
        <v>1911.5476878927</v>
      </c>
      <c r="I1812" s="1">
        <f>VALUE(3346)</f>
        <v>3346</v>
      </c>
      <c r="J1812" s="1">
        <f>VALUE(3687)</f>
        <v>3687</v>
      </c>
      <c r="K1812" s="1">
        <f>VALUE(4478)</f>
        <v>4478</v>
      </c>
      <c r="L1812" s="1">
        <f>VALUE(5309)</f>
        <v>5309</v>
      </c>
      <c r="M1812" s="1">
        <f>VALUE(6372)</f>
        <v>6372</v>
      </c>
      <c r="N1812" t="s">
        <v>16</v>
      </c>
    </row>
    <row r="1813" spans="1:14" x14ac:dyDescent="0.25">
      <c r="A1813" t="s">
        <v>14</v>
      </c>
      <c r="B1813" t="s">
        <v>40</v>
      </c>
      <c r="C1813" t="s">
        <v>15</v>
      </c>
      <c r="D1813" t="s">
        <v>29</v>
      </c>
      <c r="E1813" t="s">
        <v>22</v>
      </c>
      <c r="F1813" t="s">
        <v>17</v>
      </c>
      <c r="G1813" s="1" t="str">
        <f t="shared" ref="G1813:M1813" si="344">"X"</f>
        <v>X</v>
      </c>
      <c r="H1813" s="1" t="str">
        <f t="shared" si="344"/>
        <v>X</v>
      </c>
      <c r="I1813" s="1" t="str">
        <f t="shared" si="344"/>
        <v>X</v>
      </c>
      <c r="J1813" s="1" t="str">
        <f t="shared" si="344"/>
        <v>X</v>
      </c>
      <c r="K1813" s="1" t="str">
        <f t="shared" si="344"/>
        <v>X</v>
      </c>
      <c r="L1813" s="1" t="str">
        <f t="shared" si="344"/>
        <v>X</v>
      </c>
      <c r="M1813" s="1" t="str">
        <f t="shared" si="344"/>
        <v>X</v>
      </c>
      <c r="N1813" t="s">
        <v>27</v>
      </c>
    </row>
    <row r="1814" spans="1:14" x14ac:dyDescent="0.25">
      <c r="A1814" t="s">
        <v>14</v>
      </c>
      <c r="B1814" t="s">
        <v>40</v>
      </c>
      <c r="C1814" t="s">
        <v>15</v>
      </c>
      <c r="D1814" t="s">
        <v>29</v>
      </c>
      <c r="E1814" t="s">
        <v>22</v>
      </c>
      <c r="F1814" t="s">
        <v>18</v>
      </c>
      <c r="G1814" s="2">
        <f>VALUE(401.0158492609)</f>
        <v>401.01584926089998</v>
      </c>
      <c r="H1814" s="3">
        <f>VALUE(369.2689734177)</f>
        <v>369.26897341770001</v>
      </c>
      <c r="I1814" s="1">
        <f>VALUE(3575)</f>
        <v>3575</v>
      </c>
      <c r="J1814" s="1">
        <f>VALUE(3575)</f>
        <v>3575</v>
      </c>
      <c r="K1814" s="1">
        <f>VALUE(4598)</f>
        <v>4598</v>
      </c>
      <c r="L1814" s="7">
        <f>VALUE(5338)</f>
        <v>5338</v>
      </c>
      <c r="M1814" s="1">
        <f>VALUE(7050)</f>
        <v>7050</v>
      </c>
      <c r="N1814" t="s">
        <v>25</v>
      </c>
    </row>
    <row r="1815" spans="1:14" x14ac:dyDescent="0.25">
      <c r="A1815" t="s">
        <v>14</v>
      </c>
      <c r="B1815" t="s">
        <v>40</v>
      </c>
      <c r="C1815" t="s">
        <v>15</v>
      </c>
      <c r="D1815" t="s">
        <v>29</v>
      </c>
      <c r="E1815" t="s">
        <v>22</v>
      </c>
      <c r="F1815" t="s">
        <v>19</v>
      </c>
      <c r="G1815" s="2">
        <f>VALUE(377.9712008201)</f>
        <v>377.97120082010002</v>
      </c>
      <c r="H1815" s="3">
        <f>VALUE(331.3445862413)</f>
        <v>331.34458624130002</v>
      </c>
      <c r="I1815" s="4">
        <f>VALUE(3302)</f>
        <v>3302</v>
      </c>
      <c r="J1815" s="5">
        <f>VALUE(3719)</f>
        <v>3719</v>
      </c>
      <c r="K1815" s="1">
        <f>VALUE(4540)</f>
        <v>4540</v>
      </c>
      <c r="L1815" s="1">
        <f>VALUE(5664)</f>
        <v>5664</v>
      </c>
      <c r="M1815" s="8">
        <f>VALUE(6381)</f>
        <v>6381</v>
      </c>
      <c r="N1815" t="s">
        <v>25</v>
      </c>
    </row>
    <row r="1816" spans="1:14" x14ac:dyDescent="0.25">
      <c r="A1816" t="s">
        <v>14</v>
      </c>
      <c r="B1816" t="s">
        <v>40</v>
      </c>
      <c r="C1816" t="s">
        <v>15</v>
      </c>
      <c r="D1816" t="s">
        <v>29</v>
      </c>
      <c r="E1816" t="s">
        <v>22</v>
      </c>
      <c r="F1816" t="s">
        <v>20</v>
      </c>
      <c r="G1816" s="2">
        <f>VALUE(1375.2581621025)</f>
        <v>1375.2581621024999</v>
      </c>
      <c r="H1816" s="3">
        <f>VALUE(1123.4191723141)</f>
        <v>1123.4191723141</v>
      </c>
      <c r="I1816" s="1">
        <f>VALUE(3253)</f>
        <v>3253</v>
      </c>
      <c r="J1816" s="1">
        <f>VALUE(3700)</f>
        <v>3700</v>
      </c>
      <c r="K1816" s="1">
        <f>VALUE(4385)</f>
        <v>4385</v>
      </c>
      <c r="L1816" s="1">
        <f>VALUE(5152)</f>
        <v>5152</v>
      </c>
      <c r="M1816" s="1">
        <f>VALUE(5788)</f>
        <v>5788</v>
      </c>
      <c r="N1816" t="s">
        <v>25</v>
      </c>
    </row>
    <row r="1817" spans="1:14" x14ac:dyDescent="0.25">
      <c r="A1817" t="s">
        <v>14</v>
      </c>
      <c r="B1817" t="s">
        <v>40</v>
      </c>
      <c r="C1817" t="s">
        <v>15</v>
      </c>
      <c r="D1817" t="s">
        <v>29</v>
      </c>
      <c r="E1817" t="s">
        <v>23</v>
      </c>
      <c r="F1817" t="s">
        <v>15</v>
      </c>
      <c r="G1817" s="1">
        <f>VALUE(3719.1925908658)</f>
        <v>3719.1925908658</v>
      </c>
      <c r="H1817" s="1">
        <f>VALUE(2857.5172739024)</f>
        <v>2857.5172739024001</v>
      </c>
      <c r="I1817" s="1">
        <f>VALUE(3000)</f>
        <v>3000</v>
      </c>
      <c r="J1817" s="1">
        <f>VALUE(3250)</f>
        <v>3250</v>
      </c>
      <c r="K1817" s="1">
        <f>VALUE(3640)</f>
        <v>3640</v>
      </c>
      <c r="L1817" s="1">
        <f>VALUE(4230)</f>
        <v>4230</v>
      </c>
      <c r="M1817" s="1">
        <f>VALUE(5004)</f>
        <v>5004</v>
      </c>
      <c r="N1817" t="s">
        <v>16</v>
      </c>
    </row>
    <row r="1818" spans="1:14" x14ac:dyDescent="0.25">
      <c r="A1818" t="s">
        <v>14</v>
      </c>
      <c r="B1818" t="s">
        <v>40</v>
      </c>
      <c r="C1818" t="s">
        <v>15</v>
      </c>
      <c r="D1818" t="s">
        <v>29</v>
      </c>
      <c r="E1818" t="s">
        <v>23</v>
      </c>
      <c r="F1818" t="s">
        <v>17</v>
      </c>
      <c r="G1818" s="1" t="str">
        <f t="shared" ref="G1818:M1819" si="345">"X"</f>
        <v>X</v>
      </c>
      <c r="H1818" s="1" t="str">
        <f t="shared" si="345"/>
        <v>X</v>
      </c>
      <c r="I1818" s="1" t="str">
        <f t="shared" si="345"/>
        <v>X</v>
      </c>
      <c r="J1818" s="1" t="str">
        <f t="shared" si="345"/>
        <v>X</v>
      </c>
      <c r="K1818" s="1" t="str">
        <f t="shared" si="345"/>
        <v>X</v>
      </c>
      <c r="L1818" s="1" t="str">
        <f t="shared" si="345"/>
        <v>X</v>
      </c>
      <c r="M1818" s="1" t="str">
        <f t="shared" si="345"/>
        <v>X</v>
      </c>
      <c r="N1818" t="s">
        <v>27</v>
      </c>
    </row>
    <row r="1819" spans="1:14" x14ac:dyDescent="0.25">
      <c r="A1819" t="s">
        <v>14</v>
      </c>
      <c r="B1819" t="s">
        <v>40</v>
      </c>
      <c r="C1819" t="s">
        <v>15</v>
      </c>
      <c r="D1819" t="s">
        <v>29</v>
      </c>
      <c r="E1819" t="s">
        <v>23</v>
      </c>
      <c r="F1819" t="s">
        <v>18</v>
      </c>
      <c r="G1819" s="1" t="str">
        <f t="shared" si="345"/>
        <v>X</v>
      </c>
      <c r="H1819" s="1" t="str">
        <f t="shared" si="345"/>
        <v>X</v>
      </c>
      <c r="I1819" s="1" t="str">
        <f t="shared" si="345"/>
        <v>X</v>
      </c>
      <c r="J1819" s="1" t="str">
        <f t="shared" si="345"/>
        <v>X</v>
      </c>
      <c r="K1819" s="1" t="str">
        <f t="shared" si="345"/>
        <v>X</v>
      </c>
      <c r="L1819" s="1" t="str">
        <f t="shared" si="345"/>
        <v>X</v>
      </c>
      <c r="M1819" s="1" t="str">
        <f t="shared" si="345"/>
        <v>X</v>
      </c>
      <c r="N1819" t="s">
        <v>27</v>
      </c>
    </row>
    <row r="1820" spans="1:14" x14ac:dyDescent="0.25">
      <c r="A1820" t="s">
        <v>14</v>
      </c>
      <c r="B1820" t="s">
        <v>40</v>
      </c>
      <c r="C1820" t="s">
        <v>15</v>
      </c>
      <c r="D1820" t="s">
        <v>29</v>
      </c>
      <c r="E1820" t="s">
        <v>23</v>
      </c>
      <c r="F1820" t="s">
        <v>19</v>
      </c>
      <c r="G1820" s="2">
        <f>VALUE(180.705116115)</f>
        <v>180.70511611500001</v>
      </c>
      <c r="H1820" s="3">
        <f>VALUE(160.4856720981)</f>
        <v>160.4856720981</v>
      </c>
      <c r="I1820" s="1">
        <f>VALUE(3162)</f>
        <v>3162</v>
      </c>
      <c r="J1820" s="1">
        <f>VALUE(3469)</f>
        <v>3469</v>
      </c>
      <c r="K1820" s="6">
        <f>VALUE(3810)</f>
        <v>3810</v>
      </c>
      <c r="L1820" s="1">
        <f>VALUE(4586)</f>
        <v>4586</v>
      </c>
      <c r="M1820" s="8">
        <f>VALUE(5528)</f>
        <v>5528</v>
      </c>
      <c r="N1820" t="s">
        <v>25</v>
      </c>
    </row>
    <row r="1821" spans="1:14" x14ac:dyDescent="0.25">
      <c r="A1821" t="s">
        <v>14</v>
      </c>
      <c r="B1821" t="s">
        <v>40</v>
      </c>
      <c r="C1821" t="s">
        <v>15</v>
      </c>
      <c r="D1821" t="s">
        <v>29</v>
      </c>
      <c r="E1821" t="s">
        <v>23</v>
      </c>
      <c r="F1821" t="s">
        <v>20</v>
      </c>
      <c r="G1821" s="1">
        <f>VALUE(3236.2976081032)</f>
        <v>3236.2976081032002</v>
      </c>
      <c r="H1821" s="1">
        <f>VALUE(2397.1125253291)</f>
        <v>2397.1125253291002</v>
      </c>
      <c r="I1821" s="1">
        <f>VALUE(2947)</f>
        <v>2947</v>
      </c>
      <c r="J1821" s="1">
        <f>VALUE(3215)</f>
        <v>3215</v>
      </c>
      <c r="K1821" s="1">
        <f>VALUE(3576)</f>
        <v>3576</v>
      </c>
      <c r="L1821" s="1">
        <f>VALUE(4160)</f>
        <v>4160</v>
      </c>
      <c r="M1821" s="1">
        <f>VALUE(4949)</f>
        <v>4949</v>
      </c>
      <c r="N1821" t="s">
        <v>16</v>
      </c>
    </row>
    <row r="1822" spans="1:14" x14ac:dyDescent="0.25">
      <c r="A1822" t="s">
        <v>14</v>
      </c>
      <c r="B1822" t="s">
        <v>40</v>
      </c>
      <c r="C1822" t="s">
        <v>15</v>
      </c>
      <c r="D1822" t="s">
        <v>29</v>
      </c>
      <c r="E1822" t="s">
        <v>26</v>
      </c>
      <c r="F1822" t="s">
        <v>15</v>
      </c>
      <c r="G1822" s="1" t="str">
        <f t="shared" ref="G1822:M1824" si="346">"X"</f>
        <v>X</v>
      </c>
      <c r="H1822" s="1" t="str">
        <f t="shared" si="346"/>
        <v>X</v>
      </c>
      <c r="I1822" s="1" t="str">
        <f t="shared" si="346"/>
        <v>X</v>
      </c>
      <c r="J1822" s="1" t="str">
        <f t="shared" si="346"/>
        <v>X</v>
      </c>
      <c r="K1822" s="1" t="str">
        <f t="shared" si="346"/>
        <v>X</v>
      </c>
      <c r="L1822" s="1" t="str">
        <f t="shared" si="346"/>
        <v>X</v>
      </c>
      <c r="M1822" s="1" t="str">
        <f t="shared" si="346"/>
        <v>X</v>
      </c>
      <c r="N1822" t="s">
        <v>27</v>
      </c>
    </row>
    <row r="1823" spans="1:14" x14ac:dyDescent="0.25">
      <c r="A1823" t="s">
        <v>14</v>
      </c>
      <c r="B1823" t="s">
        <v>40</v>
      </c>
      <c r="C1823" t="s">
        <v>15</v>
      </c>
      <c r="D1823" t="s">
        <v>29</v>
      </c>
      <c r="E1823" t="s">
        <v>26</v>
      </c>
      <c r="F1823" t="s">
        <v>17</v>
      </c>
      <c r="G1823" s="1" t="str">
        <f t="shared" si="346"/>
        <v>X</v>
      </c>
      <c r="H1823" s="1" t="str">
        <f t="shared" si="346"/>
        <v>X</v>
      </c>
      <c r="I1823" s="1" t="str">
        <f t="shared" si="346"/>
        <v>X</v>
      </c>
      <c r="J1823" s="1" t="str">
        <f t="shared" si="346"/>
        <v>X</v>
      </c>
      <c r="K1823" s="1" t="str">
        <f t="shared" si="346"/>
        <v>X</v>
      </c>
      <c r="L1823" s="1" t="str">
        <f t="shared" si="346"/>
        <v>X</v>
      </c>
      <c r="M1823" s="1" t="str">
        <f t="shared" si="346"/>
        <v>X</v>
      </c>
      <c r="N1823" t="s">
        <v>27</v>
      </c>
    </row>
    <row r="1824" spans="1:14" x14ac:dyDescent="0.25">
      <c r="A1824" t="s">
        <v>14</v>
      </c>
      <c r="B1824" t="s">
        <v>40</v>
      </c>
      <c r="C1824" t="s">
        <v>15</v>
      </c>
      <c r="D1824" t="s">
        <v>29</v>
      </c>
      <c r="E1824" t="s">
        <v>26</v>
      </c>
      <c r="F1824" t="s">
        <v>18</v>
      </c>
      <c r="G1824" s="1" t="str">
        <f t="shared" si="346"/>
        <v>X</v>
      </c>
      <c r="H1824" s="1" t="str">
        <f t="shared" si="346"/>
        <v>X</v>
      </c>
      <c r="I1824" s="1" t="str">
        <f t="shared" si="346"/>
        <v>X</v>
      </c>
      <c r="J1824" s="1" t="str">
        <f t="shared" si="346"/>
        <v>X</v>
      </c>
      <c r="K1824" s="1" t="str">
        <f t="shared" si="346"/>
        <v>X</v>
      </c>
      <c r="L1824" s="1" t="str">
        <f t="shared" si="346"/>
        <v>X</v>
      </c>
      <c r="M1824" s="1" t="str">
        <f t="shared" si="346"/>
        <v>X</v>
      </c>
      <c r="N1824" t="s">
        <v>27</v>
      </c>
    </row>
    <row r="1825" spans="1:14" x14ac:dyDescent="0.25">
      <c r="A1825" t="s">
        <v>14</v>
      </c>
      <c r="B1825" t="s">
        <v>40</v>
      </c>
      <c r="C1825" t="s">
        <v>15</v>
      </c>
      <c r="D1825" t="s">
        <v>29</v>
      </c>
      <c r="E1825" t="s">
        <v>26</v>
      </c>
      <c r="F1825" t="s">
        <v>19</v>
      </c>
      <c r="G1825" s="1" t="str">
        <f t="shared" ref="G1825:M1825" si="347">"..."</f>
        <v>...</v>
      </c>
      <c r="H1825" s="1" t="str">
        <f t="shared" si="347"/>
        <v>...</v>
      </c>
      <c r="I1825" s="1" t="str">
        <f t="shared" si="347"/>
        <v>...</v>
      </c>
      <c r="J1825" s="1" t="str">
        <f t="shared" si="347"/>
        <v>...</v>
      </c>
      <c r="K1825" s="1" t="str">
        <f t="shared" si="347"/>
        <v>...</v>
      </c>
      <c r="L1825" s="1" t="str">
        <f t="shared" si="347"/>
        <v>...</v>
      </c>
      <c r="M1825" s="1" t="str">
        <f t="shared" si="347"/>
        <v>...</v>
      </c>
      <c r="N1825" t="s">
        <v>30</v>
      </c>
    </row>
    <row r="1826" spans="1:14" x14ac:dyDescent="0.25">
      <c r="A1826" t="s">
        <v>14</v>
      </c>
      <c r="B1826" t="s">
        <v>40</v>
      </c>
      <c r="C1826" t="s">
        <v>15</v>
      </c>
      <c r="D1826" t="s">
        <v>29</v>
      </c>
      <c r="E1826" t="s">
        <v>26</v>
      </c>
      <c r="F1826" t="s">
        <v>20</v>
      </c>
      <c r="G1826" s="1" t="str">
        <f t="shared" ref="G1826:M1826" si="348">"X"</f>
        <v>X</v>
      </c>
      <c r="H1826" s="1" t="str">
        <f t="shared" si="348"/>
        <v>X</v>
      </c>
      <c r="I1826" s="1" t="str">
        <f t="shared" si="348"/>
        <v>X</v>
      </c>
      <c r="J1826" s="1" t="str">
        <f t="shared" si="348"/>
        <v>X</v>
      </c>
      <c r="K1826" s="1" t="str">
        <f t="shared" si="348"/>
        <v>X</v>
      </c>
      <c r="L1826" s="1" t="str">
        <f t="shared" si="348"/>
        <v>X</v>
      </c>
      <c r="M1826" s="1" t="str">
        <f t="shared" si="348"/>
        <v>X</v>
      </c>
      <c r="N1826" t="s">
        <v>27</v>
      </c>
    </row>
    <row r="1827" spans="1:14" x14ac:dyDescent="0.25">
      <c r="A1827" t="s">
        <v>14</v>
      </c>
      <c r="B1827" t="s">
        <v>40</v>
      </c>
      <c r="C1827" t="s">
        <v>15</v>
      </c>
      <c r="D1827" t="s">
        <v>31</v>
      </c>
      <c r="E1827" t="s">
        <v>15</v>
      </c>
      <c r="F1827" t="s">
        <v>15</v>
      </c>
      <c r="G1827" s="1">
        <f>VALUE(2730.3446230941)</f>
        <v>2730.3446230940999</v>
      </c>
      <c r="H1827" s="1">
        <f>VALUE(2334.8072330802)</f>
        <v>2334.8072330802001</v>
      </c>
      <c r="I1827" s="1">
        <f>VALUE(3000)</f>
        <v>3000</v>
      </c>
      <c r="J1827" s="1">
        <f>VALUE(3261)</f>
        <v>3261</v>
      </c>
      <c r="K1827" s="1">
        <f>VALUE(3846)</f>
        <v>3846</v>
      </c>
      <c r="L1827" s="1">
        <f>VALUE(5416)</f>
        <v>5416</v>
      </c>
      <c r="M1827" s="8">
        <f>VALUE(7244)</f>
        <v>7244</v>
      </c>
      <c r="N1827" t="s">
        <v>25</v>
      </c>
    </row>
    <row r="1828" spans="1:14" x14ac:dyDescent="0.25">
      <c r="A1828" t="s">
        <v>14</v>
      </c>
      <c r="B1828" t="s">
        <v>40</v>
      </c>
      <c r="C1828" t="s">
        <v>15</v>
      </c>
      <c r="D1828" t="s">
        <v>31</v>
      </c>
      <c r="E1828" t="s">
        <v>15</v>
      </c>
      <c r="F1828" t="s">
        <v>17</v>
      </c>
      <c r="G1828" s="2">
        <f>VALUE(238.1682332347)</f>
        <v>238.16823323470001</v>
      </c>
      <c r="H1828" s="3">
        <f>VALUE(233.137610982)</f>
        <v>233.13761098200001</v>
      </c>
      <c r="I1828" s="4">
        <f>VALUE(2795)</f>
        <v>2795</v>
      </c>
      <c r="J1828" s="5">
        <f>VALUE(3440)</f>
        <v>3440</v>
      </c>
      <c r="K1828" s="6">
        <f>VALUE(5833)</f>
        <v>5833</v>
      </c>
      <c r="L1828" s="7">
        <f>VALUE(10875)</f>
        <v>10875</v>
      </c>
      <c r="M1828" s="8">
        <f>VALUE(18758)</f>
        <v>18758</v>
      </c>
      <c r="N1828" t="s">
        <v>24</v>
      </c>
    </row>
    <row r="1829" spans="1:14" x14ac:dyDescent="0.25">
      <c r="A1829" t="s">
        <v>14</v>
      </c>
      <c r="B1829" t="s">
        <v>40</v>
      </c>
      <c r="C1829" t="s">
        <v>15</v>
      </c>
      <c r="D1829" t="s">
        <v>31</v>
      </c>
      <c r="E1829" t="s">
        <v>15</v>
      </c>
      <c r="F1829" t="s">
        <v>18</v>
      </c>
      <c r="G1829" s="2">
        <f>VALUE(301.4890722082)</f>
        <v>301.48907220820001</v>
      </c>
      <c r="H1829" s="3">
        <f>VALUE(267.6440464082)</f>
        <v>267.64404640819998</v>
      </c>
      <c r="I1829" s="4">
        <f>VALUE(3365)</f>
        <v>3365</v>
      </c>
      <c r="J1829" s="5">
        <f>VALUE(3951)</f>
        <v>3951</v>
      </c>
      <c r="K1829" s="6">
        <f>VALUE(5333)</f>
        <v>5333</v>
      </c>
      <c r="L1829" s="7">
        <f>VALUE(7127)</f>
        <v>7127</v>
      </c>
      <c r="M1829" s="8">
        <f>VALUE(8975)</f>
        <v>8975</v>
      </c>
      <c r="N1829" t="s">
        <v>24</v>
      </c>
    </row>
    <row r="1830" spans="1:14" x14ac:dyDescent="0.25">
      <c r="A1830" t="s">
        <v>14</v>
      </c>
      <c r="B1830" t="s">
        <v>40</v>
      </c>
      <c r="C1830" t="s">
        <v>15</v>
      </c>
      <c r="D1830" t="s">
        <v>31</v>
      </c>
      <c r="E1830" t="s">
        <v>15</v>
      </c>
      <c r="F1830" t="s">
        <v>19</v>
      </c>
      <c r="G1830" s="2">
        <f>VALUE(338.7518276955)</f>
        <v>338.75182769550003</v>
      </c>
      <c r="H1830" s="3">
        <f>VALUE(266.2106883952)</f>
        <v>266.21068839520001</v>
      </c>
      <c r="I1830" s="4">
        <f>VALUE(3769)</f>
        <v>3769</v>
      </c>
      <c r="J1830" s="5">
        <f>VALUE(4024)</f>
        <v>4024</v>
      </c>
      <c r="K1830" s="1">
        <f>VALUE(5055)</f>
        <v>5055</v>
      </c>
      <c r="L1830" s="1">
        <f>VALUE(6000)</f>
        <v>6000</v>
      </c>
      <c r="M1830" s="8">
        <f>VALUE(7791)</f>
        <v>7791</v>
      </c>
      <c r="N1830" t="s">
        <v>25</v>
      </c>
    </row>
    <row r="1831" spans="1:14" x14ac:dyDescent="0.25">
      <c r="A1831" t="s">
        <v>14</v>
      </c>
      <c r="B1831" t="s">
        <v>40</v>
      </c>
      <c r="C1831" t="s">
        <v>15</v>
      </c>
      <c r="D1831" t="s">
        <v>31</v>
      </c>
      <c r="E1831" t="s">
        <v>15</v>
      </c>
      <c r="F1831" t="s">
        <v>20</v>
      </c>
      <c r="G1831" s="2">
        <f>VALUE(1851.9354899557)</f>
        <v>1851.9354899556999</v>
      </c>
      <c r="H1831" s="3">
        <f>VALUE(1567.8148872948)</f>
        <v>1567.8148872948</v>
      </c>
      <c r="I1831" s="1">
        <f>VALUE(2863)</f>
        <v>2863</v>
      </c>
      <c r="J1831" s="1">
        <f>VALUE(3175)</f>
        <v>3175</v>
      </c>
      <c r="K1831" s="1">
        <f>VALUE(3599)</f>
        <v>3599</v>
      </c>
      <c r="L1831" s="1">
        <f>VALUE(4540)</f>
        <v>4540</v>
      </c>
      <c r="M1831" s="1">
        <f>VALUE(5903)</f>
        <v>5903</v>
      </c>
      <c r="N1831" t="s">
        <v>25</v>
      </c>
    </row>
    <row r="1832" spans="1:14" x14ac:dyDescent="0.25">
      <c r="A1832" t="s">
        <v>14</v>
      </c>
      <c r="B1832" t="s">
        <v>40</v>
      </c>
      <c r="C1832" t="s">
        <v>15</v>
      </c>
      <c r="D1832" t="s">
        <v>31</v>
      </c>
      <c r="E1832" t="s">
        <v>21</v>
      </c>
      <c r="F1832" t="s">
        <v>15</v>
      </c>
      <c r="G1832" s="2">
        <f>VALUE(730.752092399)</f>
        <v>730.75209239900005</v>
      </c>
      <c r="H1832" s="3">
        <f>VALUE(623.9610681094)</f>
        <v>623.9610681094</v>
      </c>
      <c r="I1832" s="4">
        <f>VALUE(4116)</f>
        <v>4116</v>
      </c>
      <c r="J1832" s="1">
        <f>VALUE(4762)</f>
        <v>4762</v>
      </c>
      <c r="K1832" s="1">
        <f>VALUE(5688)</f>
        <v>5688</v>
      </c>
      <c r="L1832" s="1">
        <f>VALUE(7152)</f>
        <v>7152</v>
      </c>
      <c r="M1832" s="8">
        <f>VALUE(8975)</f>
        <v>8975</v>
      </c>
      <c r="N1832" t="s">
        <v>25</v>
      </c>
    </row>
    <row r="1833" spans="1:14" x14ac:dyDescent="0.25">
      <c r="A1833" t="s">
        <v>14</v>
      </c>
      <c r="B1833" t="s">
        <v>40</v>
      </c>
      <c r="C1833" t="s">
        <v>15</v>
      </c>
      <c r="D1833" t="s">
        <v>31</v>
      </c>
      <c r="E1833" t="s">
        <v>21</v>
      </c>
      <c r="F1833" t="s">
        <v>17</v>
      </c>
      <c r="G1833" s="1" t="str">
        <f t="shared" ref="G1833:M1833" si="349">"X"</f>
        <v>X</v>
      </c>
      <c r="H1833" s="1" t="str">
        <f t="shared" si="349"/>
        <v>X</v>
      </c>
      <c r="I1833" s="1" t="str">
        <f t="shared" si="349"/>
        <v>X</v>
      </c>
      <c r="J1833" s="1" t="str">
        <f t="shared" si="349"/>
        <v>X</v>
      </c>
      <c r="K1833" s="1" t="str">
        <f t="shared" si="349"/>
        <v>X</v>
      </c>
      <c r="L1833" s="1" t="str">
        <f t="shared" si="349"/>
        <v>X</v>
      </c>
      <c r="M1833" s="1" t="str">
        <f t="shared" si="349"/>
        <v>X</v>
      </c>
      <c r="N1833" t="s">
        <v>27</v>
      </c>
    </row>
    <row r="1834" spans="1:14" x14ac:dyDescent="0.25">
      <c r="A1834" t="s">
        <v>14</v>
      </c>
      <c r="B1834" t="s">
        <v>40</v>
      </c>
      <c r="C1834" t="s">
        <v>15</v>
      </c>
      <c r="D1834" t="s">
        <v>31</v>
      </c>
      <c r="E1834" t="s">
        <v>21</v>
      </c>
      <c r="F1834" t="s">
        <v>18</v>
      </c>
      <c r="G1834" s="2">
        <f>VALUE(154.2852917124)</f>
        <v>154.28529171240001</v>
      </c>
      <c r="H1834" s="3">
        <f>VALUE(128.0083878045)</f>
        <v>128.00838780449999</v>
      </c>
      <c r="I1834" s="4">
        <f>VALUE(4000)</f>
        <v>4000</v>
      </c>
      <c r="J1834" s="1">
        <f>VALUE(4762)</f>
        <v>4762</v>
      </c>
      <c r="K1834" s="1">
        <f>VALUE(6509)</f>
        <v>6509</v>
      </c>
      <c r="L1834" s="7">
        <f>VALUE(7496)</f>
        <v>7496</v>
      </c>
      <c r="M1834" s="8">
        <f>VALUE(9297)</f>
        <v>9297</v>
      </c>
      <c r="N1834" t="s">
        <v>25</v>
      </c>
    </row>
    <row r="1835" spans="1:14" x14ac:dyDescent="0.25">
      <c r="A1835" t="s">
        <v>14</v>
      </c>
      <c r="B1835" t="s">
        <v>40</v>
      </c>
      <c r="C1835" t="s">
        <v>15</v>
      </c>
      <c r="D1835" t="s">
        <v>31</v>
      </c>
      <c r="E1835" t="s">
        <v>21</v>
      </c>
      <c r="F1835" t="s">
        <v>19</v>
      </c>
      <c r="G1835" s="1" t="str">
        <f t="shared" ref="G1835:M1835" si="350">"X"</f>
        <v>X</v>
      </c>
      <c r="H1835" s="1" t="str">
        <f t="shared" si="350"/>
        <v>X</v>
      </c>
      <c r="I1835" s="1" t="str">
        <f t="shared" si="350"/>
        <v>X</v>
      </c>
      <c r="J1835" s="1" t="str">
        <f t="shared" si="350"/>
        <v>X</v>
      </c>
      <c r="K1835" s="1" t="str">
        <f t="shared" si="350"/>
        <v>X</v>
      </c>
      <c r="L1835" s="1" t="str">
        <f t="shared" si="350"/>
        <v>X</v>
      </c>
      <c r="M1835" s="1" t="str">
        <f t="shared" si="350"/>
        <v>X</v>
      </c>
      <c r="N1835" t="s">
        <v>27</v>
      </c>
    </row>
    <row r="1836" spans="1:14" x14ac:dyDescent="0.25">
      <c r="A1836" t="s">
        <v>14</v>
      </c>
      <c r="B1836" t="s">
        <v>40</v>
      </c>
      <c r="C1836" t="s">
        <v>15</v>
      </c>
      <c r="D1836" t="s">
        <v>31</v>
      </c>
      <c r="E1836" t="s">
        <v>21</v>
      </c>
      <c r="F1836" t="s">
        <v>20</v>
      </c>
      <c r="G1836" s="2">
        <f>VALUE(295.3772573854)</f>
        <v>295.37725738540001</v>
      </c>
      <c r="H1836" s="3">
        <f>VALUE(271.2902432462)</f>
        <v>271.29024324620002</v>
      </c>
      <c r="I1836" s="4">
        <f>VALUE(4175)</f>
        <v>4175</v>
      </c>
      <c r="J1836" s="1">
        <f>VALUE(4634)</f>
        <v>4634</v>
      </c>
      <c r="K1836" s="1">
        <f>VALUE(5396)</f>
        <v>5396</v>
      </c>
      <c r="L1836" s="1">
        <f>VALUE(6361)</f>
        <v>6361</v>
      </c>
      <c r="M1836" s="1">
        <f>VALUE(7334)</f>
        <v>7334</v>
      </c>
      <c r="N1836" t="s">
        <v>25</v>
      </c>
    </row>
    <row r="1837" spans="1:14" x14ac:dyDescent="0.25">
      <c r="A1837" t="s">
        <v>14</v>
      </c>
      <c r="B1837" t="s">
        <v>40</v>
      </c>
      <c r="C1837" t="s">
        <v>15</v>
      </c>
      <c r="D1837" t="s">
        <v>31</v>
      </c>
      <c r="E1837" t="s">
        <v>22</v>
      </c>
      <c r="F1837" t="s">
        <v>15</v>
      </c>
      <c r="G1837" s="2">
        <f>VALUE(574.1842607769)</f>
        <v>574.18426077690003</v>
      </c>
      <c r="H1837" s="3">
        <f>VALUE(515.5950633215)</f>
        <v>515.59506332149999</v>
      </c>
      <c r="I1837" s="4">
        <f>VALUE(3083)</f>
        <v>3083</v>
      </c>
      <c r="J1837" s="1">
        <f>VALUE(3467)</f>
        <v>3467</v>
      </c>
      <c r="K1837" s="6">
        <f>VALUE(4240)</f>
        <v>4240</v>
      </c>
      <c r="L1837" s="1">
        <f>VALUE(5399)</f>
        <v>5399</v>
      </c>
      <c r="M1837" s="8">
        <f>VALUE(6226)</f>
        <v>6226</v>
      </c>
      <c r="N1837" t="s">
        <v>25</v>
      </c>
    </row>
    <row r="1838" spans="1:14" x14ac:dyDescent="0.25">
      <c r="A1838" t="s">
        <v>14</v>
      </c>
      <c r="B1838" t="s">
        <v>40</v>
      </c>
      <c r="C1838" t="s">
        <v>15</v>
      </c>
      <c r="D1838" t="s">
        <v>31</v>
      </c>
      <c r="E1838" t="s">
        <v>22</v>
      </c>
      <c r="F1838" t="s">
        <v>17</v>
      </c>
      <c r="G1838" s="1" t="str">
        <f t="shared" ref="G1838:M1840" si="351">"X"</f>
        <v>X</v>
      </c>
      <c r="H1838" s="1" t="str">
        <f t="shared" si="351"/>
        <v>X</v>
      </c>
      <c r="I1838" s="1" t="str">
        <f t="shared" si="351"/>
        <v>X</v>
      </c>
      <c r="J1838" s="1" t="str">
        <f t="shared" si="351"/>
        <v>X</v>
      </c>
      <c r="K1838" s="1" t="str">
        <f t="shared" si="351"/>
        <v>X</v>
      </c>
      <c r="L1838" s="1" t="str">
        <f t="shared" si="351"/>
        <v>X</v>
      </c>
      <c r="M1838" s="1" t="str">
        <f t="shared" si="351"/>
        <v>X</v>
      </c>
      <c r="N1838" t="s">
        <v>27</v>
      </c>
    </row>
    <row r="1839" spans="1:14" x14ac:dyDescent="0.25">
      <c r="A1839" t="s">
        <v>14</v>
      </c>
      <c r="B1839" t="s">
        <v>40</v>
      </c>
      <c r="C1839" t="s">
        <v>15</v>
      </c>
      <c r="D1839" t="s">
        <v>31</v>
      </c>
      <c r="E1839" t="s">
        <v>22</v>
      </c>
      <c r="F1839" t="s">
        <v>18</v>
      </c>
      <c r="G1839" s="1" t="str">
        <f t="shared" si="351"/>
        <v>X</v>
      </c>
      <c r="H1839" s="1" t="str">
        <f t="shared" si="351"/>
        <v>X</v>
      </c>
      <c r="I1839" s="1" t="str">
        <f t="shared" si="351"/>
        <v>X</v>
      </c>
      <c r="J1839" s="1" t="str">
        <f t="shared" si="351"/>
        <v>X</v>
      </c>
      <c r="K1839" s="1" t="str">
        <f t="shared" si="351"/>
        <v>X</v>
      </c>
      <c r="L1839" s="1" t="str">
        <f t="shared" si="351"/>
        <v>X</v>
      </c>
      <c r="M1839" s="1" t="str">
        <f t="shared" si="351"/>
        <v>X</v>
      </c>
      <c r="N1839" t="s">
        <v>27</v>
      </c>
    </row>
    <row r="1840" spans="1:14" x14ac:dyDescent="0.25">
      <c r="A1840" t="s">
        <v>14</v>
      </c>
      <c r="B1840" t="s">
        <v>40</v>
      </c>
      <c r="C1840" t="s">
        <v>15</v>
      </c>
      <c r="D1840" t="s">
        <v>31</v>
      </c>
      <c r="E1840" t="s">
        <v>22</v>
      </c>
      <c r="F1840" t="s">
        <v>19</v>
      </c>
      <c r="G1840" s="1" t="str">
        <f t="shared" si="351"/>
        <v>X</v>
      </c>
      <c r="H1840" s="1" t="str">
        <f t="shared" si="351"/>
        <v>X</v>
      </c>
      <c r="I1840" s="1" t="str">
        <f t="shared" si="351"/>
        <v>X</v>
      </c>
      <c r="J1840" s="1" t="str">
        <f t="shared" si="351"/>
        <v>X</v>
      </c>
      <c r="K1840" s="1" t="str">
        <f t="shared" si="351"/>
        <v>X</v>
      </c>
      <c r="L1840" s="1" t="str">
        <f t="shared" si="351"/>
        <v>X</v>
      </c>
      <c r="M1840" s="1" t="str">
        <f t="shared" si="351"/>
        <v>X</v>
      </c>
      <c r="N1840" t="s">
        <v>27</v>
      </c>
    </row>
    <row r="1841" spans="1:14" x14ac:dyDescent="0.25">
      <c r="A1841" t="s">
        <v>14</v>
      </c>
      <c r="B1841" t="s">
        <v>40</v>
      </c>
      <c r="C1841" t="s">
        <v>15</v>
      </c>
      <c r="D1841" t="s">
        <v>31</v>
      </c>
      <c r="E1841" t="s">
        <v>22</v>
      </c>
      <c r="F1841" t="s">
        <v>20</v>
      </c>
      <c r="G1841" s="2">
        <f>VALUE(354.0492684906)</f>
        <v>354.04926849060001</v>
      </c>
      <c r="H1841" s="3">
        <f>VALUE(319.7899340929)</f>
        <v>319.78993409290001</v>
      </c>
      <c r="I1841" s="4">
        <f>VALUE(3083)</f>
        <v>3083</v>
      </c>
      <c r="J1841" s="1">
        <f>VALUE(3435)</f>
        <v>3435</v>
      </c>
      <c r="K1841" s="1">
        <f>VALUE(3953)</f>
        <v>3953</v>
      </c>
      <c r="L1841" s="1">
        <f>VALUE(4899)</f>
        <v>4899</v>
      </c>
      <c r="M1841" s="8">
        <f>VALUE(5555)</f>
        <v>5555</v>
      </c>
      <c r="N1841" t="s">
        <v>25</v>
      </c>
    </row>
    <row r="1842" spans="1:14" x14ac:dyDescent="0.25">
      <c r="A1842" t="s">
        <v>14</v>
      </c>
      <c r="B1842" t="s">
        <v>40</v>
      </c>
      <c r="C1842" t="s">
        <v>15</v>
      </c>
      <c r="D1842" t="s">
        <v>31</v>
      </c>
      <c r="E1842" t="s">
        <v>23</v>
      </c>
      <c r="F1842" t="s">
        <v>15</v>
      </c>
      <c r="G1842" s="2">
        <f>VALUE(1374.4107927686)</f>
        <v>1374.4107927686</v>
      </c>
      <c r="H1842" s="3">
        <f>VALUE(1148.9266640495)</f>
        <v>1148.9266640495</v>
      </c>
      <c r="I1842" s="1">
        <f>VALUE(2798)</f>
        <v>2798</v>
      </c>
      <c r="J1842" s="1">
        <f>VALUE(3128)</f>
        <v>3128</v>
      </c>
      <c r="K1842" s="1">
        <f>VALUE(3389)</f>
        <v>3389</v>
      </c>
      <c r="L1842" s="1">
        <f>VALUE(3780)</f>
        <v>3780</v>
      </c>
      <c r="M1842" s="8">
        <f>VALUE(4566)</f>
        <v>4566</v>
      </c>
      <c r="N1842" t="s">
        <v>25</v>
      </c>
    </row>
    <row r="1843" spans="1:14" x14ac:dyDescent="0.25">
      <c r="A1843" t="s">
        <v>14</v>
      </c>
      <c r="B1843" t="s">
        <v>40</v>
      </c>
      <c r="C1843" t="s">
        <v>15</v>
      </c>
      <c r="D1843" t="s">
        <v>31</v>
      </c>
      <c r="E1843" t="s">
        <v>23</v>
      </c>
      <c r="F1843" t="s">
        <v>17</v>
      </c>
      <c r="G1843" s="1" t="str">
        <f t="shared" ref="G1843:M1845" si="352">"X"</f>
        <v>X</v>
      </c>
      <c r="H1843" s="1" t="str">
        <f t="shared" si="352"/>
        <v>X</v>
      </c>
      <c r="I1843" s="1" t="str">
        <f t="shared" si="352"/>
        <v>X</v>
      </c>
      <c r="J1843" s="1" t="str">
        <f t="shared" si="352"/>
        <v>X</v>
      </c>
      <c r="K1843" s="1" t="str">
        <f t="shared" si="352"/>
        <v>X</v>
      </c>
      <c r="L1843" s="1" t="str">
        <f t="shared" si="352"/>
        <v>X</v>
      </c>
      <c r="M1843" s="1" t="str">
        <f t="shared" si="352"/>
        <v>X</v>
      </c>
      <c r="N1843" t="s">
        <v>27</v>
      </c>
    </row>
    <row r="1844" spans="1:14" x14ac:dyDescent="0.25">
      <c r="A1844" t="s">
        <v>14</v>
      </c>
      <c r="B1844" t="s">
        <v>40</v>
      </c>
      <c r="C1844" t="s">
        <v>15</v>
      </c>
      <c r="D1844" t="s">
        <v>31</v>
      </c>
      <c r="E1844" t="s">
        <v>23</v>
      </c>
      <c r="F1844" t="s">
        <v>18</v>
      </c>
      <c r="G1844" s="1" t="str">
        <f t="shared" si="352"/>
        <v>X</v>
      </c>
      <c r="H1844" s="1" t="str">
        <f t="shared" si="352"/>
        <v>X</v>
      </c>
      <c r="I1844" s="1" t="str">
        <f t="shared" si="352"/>
        <v>X</v>
      </c>
      <c r="J1844" s="1" t="str">
        <f t="shared" si="352"/>
        <v>X</v>
      </c>
      <c r="K1844" s="1" t="str">
        <f t="shared" si="352"/>
        <v>X</v>
      </c>
      <c r="L1844" s="1" t="str">
        <f t="shared" si="352"/>
        <v>X</v>
      </c>
      <c r="M1844" s="1" t="str">
        <f t="shared" si="352"/>
        <v>X</v>
      </c>
      <c r="N1844" t="s">
        <v>27</v>
      </c>
    </row>
    <row r="1845" spans="1:14" x14ac:dyDescent="0.25">
      <c r="A1845" t="s">
        <v>14</v>
      </c>
      <c r="B1845" t="s">
        <v>40</v>
      </c>
      <c r="C1845" t="s">
        <v>15</v>
      </c>
      <c r="D1845" t="s">
        <v>31</v>
      </c>
      <c r="E1845" t="s">
        <v>23</v>
      </c>
      <c r="F1845" t="s">
        <v>19</v>
      </c>
      <c r="G1845" s="1" t="str">
        <f t="shared" si="352"/>
        <v>X</v>
      </c>
      <c r="H1845" s="1" t="str">
        <f t="shared" si="352"/>
        <v>X</v>
      </c>
      <c r="I1845" s="1" t="str">
        <f t="shared" si="352"/>
        <v>X</v>
      </c>
      <c r="J1845" s="1" t="str">
        <f t="shared" si="352"/>
        <v>X</v>
      </c>
      <c r="K1845" s="1" t="str">
        <f t="shared" si="352"/>
        <v>X</v>
      </c>
      <c r="L1845" s="1" t="str">
        <f t="shared" si="352"/>
        <v>X</v>
      </c>
      <c r="M1845" s="1" t="str">
        <f t="shared" si="352"/>
        <v>X</v>
      </c>
      <c r="N1845" t="s">
        <v>27</v>
      </c>
    </row>
    <row r="1846" spans="1:14" x14ac:dyDescent="0.25">
      <c r="A1846" t="s">
        <v>14</v>
      </c>
      <c r="B1846" t="s">
        <v>40</v>
      </c>
      <c r="C1846" t="s">
        <v>15</v>
      </c>
      <c r="D1846" t="s">
        <v>31</v>
      </c>
      <c r="E1846" t="s">
        <v>23</v>
      </c>
      <c r="F1846" t="s">
        <v>20</v>
      </c>
      <c r="G1846" s="2">
        <f>VALUE(1171.1843410006)</f>
        <v>1171.1843410005999</v>
      </c>
      <c r="H1846" s="3">
        <f>VALUE(950.6536391939)</f>
        <v>950.65363919389995</v>
      </c>
      <c r="I1846" s="1">
        <f>VALUE(2790)</f>
        <v>2790</v>
      </c>
      <c r="J1846" s="1">
        <f>VALUE(3073)</f>
        <v>3073</v>
      </c>
      <c r="K1846" s="1">
        <f>VALUE(3339)</f>
        <v>3339</v>
      </c>
      <c r="L1846" s="1">
        <f>VALUE(3683)</f>
        <v>3683</v>
      </c>
      <c r="M1846" s="1">
        <f>VALUE(4072)</f>
        <v>4072</v>
      </c>
      <c r="N1846" t="s">
        <v>25</v>
      </c>
    </row>
    <row r="1847" spans="1:14" x14ac:dyDescent="0.25">
      <c r="A1847" t="s">
        <v>14</v>
      </c>
      <c r="B1847" t="s">
        <v>40</v>
      </c>
      <c r="C1847" t="s">
        <v>15</v>
      </c>
      <c r="D1847" t="s">
        <v>31</v>
      </c>
      <c r="E1847" t="s">
        <v>26</v>
      </c>
      <c r="F1847" t="s">
        <v>15</v>
      </c>
      <c r="G1847" s="1" t="str">
        <f t="shared" ref="G1847:M1849" si="353">"X"</f>
        <v>X</v>
      </c>
      <c r="H1847" s="1" t="str">
        <f t="shared" si="353"/>
        <v>X</v>
      </c>
      <c r="I1847" s="1" t="str">
        <f t="shared" si="353"/>
        <v>X</v>
      </c>
      <c r="J1847" s="1" t="str">
        <f t="shared" si="353"/>
        <v>X</v>
      </c>
      <c r="K1847" s="1" t="str">
        <f t="shared" si="353"/>
        <v>X</v>
      </c>
      <c r="L1847" s="1" t="str">
        <f t="shared" si="353"/>
        <v>X</v>
      </c>
      <c r="M1847" s="1" t="str">
        <f t="shared" si="353"/>
        <v>X</v>
      </c>
      <c r="N1847" t="s">
        <v>27</v>
      </c>
    </row>
    <row r="1848" spans="1:14" x14ac:dyDescent="0.25">
      <c r="A1848" t="s">
        <v>14</v>
      </c>
      <c r="B1848" t="s">
        <v>40</v>
      </c>
      <c r="C1848" t="s">
        <v>15</v>
      </c>
      <c r="D1848" t="s">
        <v>31</v>
      </c>
      <c r="E1848" t="s">
        <v>26</v>
      </c>
      <c r="F1848" t="s">
        <v>17</v>
      </c>
      <c r="G1848" s="1" t="str">
        <f t="shared" si="353"/>
        <v>X</v>
      </c>
      <c r="H1848" s="1" t="str">
        <f t="shared" si="353"/>
        <v>X</v>
      </c>
      <c r="I1848" s="1" t="str">
        <f t="shared" si="353"/>
        <v>X</v>
      </c>
      <c r="J1848" s="1" t="str">
        <f t="shared" si="353"/>
        <v>X</v>
      </c>
      <c r="K1848" s="1" t="str">
        <f t="shared" si="353"/>
        <v>X</v>
      </c>
      <c r="L1848" s="1" t="str">
        <f t="shared" si="353"/>
        <v>X</v>
      </c>
      <c r="M1848" s="1" t="str">
        <f t="shared" si="353"/>
        <v>X</v>
      </c>
      <c r="N1848" t="s">
        <v>27</v>
      </c>
    </row>
    <row r="1849" spans="1:14" x14ac:dyDescent="0.25">
      <c r="A1849" t="s">
        <v>14</v>
      </c>
      <c r="B1849" t="s">
        <v>40</v>
      </c>
      <c r="C1849" t="s">
        <v>15</v>
      </c>
      <c r="D1849" t="s">
        <v>31</v>
      </c>
      <c r="E1849" t="s">
        <v>26</v>
      </c>
      <c r="F1849" t="s">
        <v>18</v>
      </c>
      <c r="G1849" s="1" t="str">
        <f t="shared" si="353"/>
        <v>X</v>
      </c>
      <c r="H1849" s="1" t="str">
        <f t="shared" si="353"/>
        <v>X</v>
      </c>
      <c r="I1849" s="1" t="str">
        <f t="shared" si="353"/>
        <v>X</v>
      </c>
      <c r="J1849" s="1" t="str">
        <f t="shared" si="353"/>
        <v>X</v>
      </c>
      <c r="K1849" s="1" t="str">
        <f t="shared" si="353"/>
        <v>X</v>
      </c>
      <c r="L1849" s="1" t="str">
        <f t="shared" si="353"/>
        <v>X</v>
      </c>
      <c r="M1849" s="1" t="str">
        <f t="shared" si="353"/>
        <v>X</v>
      </c>
      <c r="N1849" t="s">
        <v>27</v>
      </c>
    </row>
    <row r="1850" spans="1:14" x14ac:dyDescent="0.25">
      <c r="A1850" t="s">
        <v>14</v>
      </c>
      <c r="B1850" t="s">
        <v>40</v>
      </c>
      <c r="C1850" t="s">
        <v>15</v>
      </c>
      <c r="D1850" t="s">
        <v>31</v>
      </c>
      <c r="E1850" t="s">
        <v>26</v>
      </c>
      <c r="F1850" t="s">
        <v>19</v>
      </c>
      <c r="G1850" s="1" t="str">
        <f t="shared" ref="G1850:M1850" si="354">"..."</f>
        <v>...</v>
      </c>
      <c r="H1850" s="1" t="str">
        <f t="shared" si="354"/>
        <v>...</v>
      </c>
      <c r="I1850" s="1" t="str">
        <f t="shared" si="354"/>
        <v>...</v>
      </c>
      <c r="J1850" s="1" t="str">
        <f t="shared" si="354"/>
        <v>...</v>
      </c>
      <c r="K1850" s="1" t="str">
        <f t="shared" si="354"/>
        <v>...</v>
      </c>
      <c r="L1850" s="1" t="str">
        <f t="shared" si="354"/>
        <v>...</v>
      </c>
      <c r="M1850" s="1" t="str">
        <f t="shared" si="354"/>
        <v>...</v>
      </c>
      <c r="N1850" t="s">
        <v>30</v>
      </c>
    </row>
    <row r="1851" spans="1:14" x14ac:dyDescent="0.25">
      <c r="A1851" t="s">
        <v>14</v>
      </c>
      <c r="B1851" t="s">
        <v>40</v>
      </c>
      <c r="C1851" t="s">
        <v>15</v>
      </c>
      <c r="D1851" t="s">
        <v>31</v>
      </c>
      <c r="E1851" t="s">
        <v>26</v>
      </c>
      <c r="F1851" t="s">
        <v>20</v>
      </c>
      <c r="G1851" s="1" t="str">
        <f t="shared" ref="G1851:M1851" si="355">"X"</f>
        <v>X</v>
      </c>
      <c r="H1851" s="1" t="str">
        <f t="shared" si="355"/>
        <v>X</v>
      </c>
      <c r="I1851" s="1" t="str">
        <f t="shared" si="355"/>
        <v>X</v>
      </c>
      <c r="J1851" s="1" t="str">
        <f t="shared" si="355"/>
        <v>X</v>
      </c>
      <c r="K1851" s="1" t="str">
        <f t="shared" si="355"/>
        <v>X</v>
      </c>
      <c r="L1851" s="1" t="str">
        <f t="shared" si="355"/>
        <v>X</v>
      </c>
      <c r="M1851" s="1" t="str">
        <f t="shared" si="355"/>
        <v>X</v>
      </c>
      <c r="N1851" t="s">
        <v>27</v>
      </c>
    </row>
    <row r="1852" spans="1:14" x14ac:dyDescent="0.25">
      <c r="A1852" t="s">
        <v>14</v>
      </c>
      <c r="B1852" t="s">
        <v>40</v>
      </c>
      <c r="C1852" t="s">
        <v>15</v>
      </c>
      <c r="D1852" t="s">
        <v>32</v>
      </c>
      <c r="E1852" t="s">
        <v>15</v>
      </c>
      <c r="F1852" t="s">
        <v>15</v>
      </c>
      <c r="G1852" s="1">
        <f>VALUE(14573.0758210124)</f>
        <v>14573.0758210124</v>
      </c>
      <c r="H1852" s="1">
        <f>VALUE(12843.116107589)</f>
        <v>12843.116107589</v>
      </c>
      <c r="I1852" s="1">
        <f>VALUE(2500)</f>
        <v>2500</v>
      </c>
      <c r="J1852" s="1">
        <f>VALUE(2880)</f>
        <v>2880</v>
      </c>
      <c r="K1852" s="1">
        <f>VALUE(3536)</f>
        <v>3536</v>
      </c>
      <c r="L1852" s="1">
        <f>VALUE(4564)</f>
        <v>4564</v>
      </c>
      <c r="M1852" s="1">
        <f>VALUE(5999)</f>
        <v>5999</v>
      </c>
      <c r="N1852" t="s">
        <v>16</v>
      </c>
    </row>
    <row r="1853" spans="1:14" x14ac:dyDescent="0.25">
      <c r="A1853" t="s">
        <v>14</v>
      </c>
      <c r="B1853" t="s">
        <v>40</v>
      </c>
      <c r="C1853" t="s">
        <v>15</v>
      </c>
      <c r="D1853" t="s">
        <v>32</v>
      </c>
      <c r="E1853" t="s">
        <v>15</v>
      </c>
      <c r="F1853" t="s">
        <v>17</v>
      </c>
      <c r="G1853" s="2">
        <f>VALUE(614.5467287575)</f>
        <v>614.54672875749998</v>
      </c>
      <c r="H1853" s="3">
        <f>VALUE(531.5090870328)</f>
        <v>531.50908703280004</v>
      </c>
      <c r="I1853" s="1">
        <f>VALUE(4230)</f>
        <v>4230</v>
      </c>
      <c r="J1853" s="1">
        <f>VALUE(5046)</f>
        <v>5046</v>
      </c>
      <c r="K1853" s="6">
        <f>VALUE(6392)</f>
        <v>6392</v>
      </c>
      <c r="L1853" s="1">
        <f>VALUE(8244)</f>
        <v>8244</v>
      </c>
      <c r="M1853" s="8">
        <f>VALUE(10535)</f>
        <v>10535</v>
      </c>
      <c r="N1853" t="s">
        <v>25</v>
      </c>
    </row>
    <row r="1854" spans="1:14" x14ac:dyDescent="0.25">
      <c r="A1854" t="s">
        <v>14</v>
      </c>
      <c r="B1854" t="s">
        <v>40</v>
      </c>
      <c r="C1854" t="s">
        <v>15</v>
      </c>
      <c r="D1854" t="s">
        <v>32</v>
      </c>
      <c r="E1854" t="s">
        <v>15</v>
      </c>
      <c r="F1854" t="s">
        <v>18</v>
      </c>
      <c r="G1854" s="1">
        <f>VALUE(1035.1724654593)</f>
        <v>1035.1724654592999</v>
      </c>
      <c r="H1854" s="1">
        <f>VALUE(924.0976274562)</f>
        <v>924.09762745620003</v>
      </c>
      <c r="I1854" s="1">
        <f>VALUE(3294)</f>
        <v>3294</v>
      </c>
      <c r="J1854" s="1">
        <f>VALUE(3870)</f>
        <v>3870</v>
      </c>
      <c r="K1854" s="1">
        <f>VALUE(4863)</f>
        <v>4863</v>
      </c>
      <c r="L1854" s="1">
        <f>VALUE(6349)</f>
        <v>6349</v>
      </c>
      <c r="M1854" s="1">
        <f>VALUE(7753)</f>
        <v>7753</v>
      </c>
      <c r="N1854" t="s">
        <v>16</v>
      </c>
    </row>
    <row r="1855" spans="1:14" x14ac:dyDescent="0.25">
      <c r="A1855" t="s">
        <v>14</v>
      </c>
      <c r="B1855" t="s">
        <v>40</v>
      </c>
      <c r="C1855" t="s">
        <v>15</v>
      </c>
      <c r="D1855" t="s">
        <v>32</v>
      </c>
      <c r="E1855" t="s">
        <v>15</v>
      </c>
      <c r="F1855" t="s">
        <v>19</v>
      </c>
      <c r="G1855" s="1">
        <f>VALUE(1323.5253244203)</f>
        <v>1323.5253244203</v>
      </c>
      <c r="H1855" s="1">
        <f>VALUE(1212.6799441542)</f>
        <v>1212.6799441542</v>
      </c>
      <c r="I1855" s="1">
        <f>VALUE(3033)</f>
        <v>3033</v>
      </c>
      <c r="J1855" s="1">
        <f>VALUE(3440)</f>
        <v>3440</v>
      </c>
      <c r="K1855" s="1">
        <f>VALUE(4200)</f>
        <v>4200</v>
      </c>
      <c r="L1855" s="1">
        <f>VALUE(5401)</f>
        <v>5401</v>
      </c>
      <c r="M1855" s="1">
        <f>VALUE(7050)</f>
        <v>7050</v>
      </c>
      <c r="N1855" t="s">
        <v>16</v>
      </c>
    </row>
    <row r="1856" spans="1:14" x14ac:dyDescent="0.25">
      <c r="A1856" t="s">
        <v>14</v>
      </c>
      <c r="B1856" t="s">
        <v>40</v>
      </c>
      <c r="C1856" t="s">
        <v>15</v>
      </c>
      <c r="D1856" t="s">
        <v>32</v>
      </c>
      <c r="E1856" t="s">
        <v>15</v>
      </c>
      <c r="F1856" t="s">
        <v>20</v>
      </c>
      <c r="G1856" s="1">
        <f>VALUE(11594.1728786807)</f>
        <v>11594.1728786807</v>
      </c>
      <c r="H1856" s="1">
        <f>VALUE(10170.4987196583)</f>
        <v>10170.498719658301</v>
      </c>
      <c r="I1856" s="1">
        <f>VALUE(2476)</f>
        <v>2476</v>
      </c>
      <c r="J1856" s="1">
        <f>VALUE(2759)</f>
        <v>2759</v>
      </c>
      <c r="K1856" s="1">
        <f>VALUE(3317)</f>
        <v>3317</v>
      </c>
      <c r="L1856" s="1">
        <f>VALUE(4157)</f>
        <v>4157</v>
      </c>
      <c r="M1856" s="1">
        <f>VALUE(5200)</f>
        <v>5200</v>
      </c>
      <c r="N1856" t="s">
        <v>16</v>
      </c>
    </row>
    <row r="1857" spans="1:14" x14ac:dyDescent="0.25">
      <c r="A1857" t="s">
        <v>14</v>
      </c>
      <c r="B1857" t="s">
        <v>40</v>
      </c>
      <c r="C1857" t="s">
        <v>15</v>
      </c>
      <c r="D1857" t="s">
        <v>32</v>
      </c>
      <c r="E1857" t="s">
        <v>21</v>
      </c>
      <c r="F1857" t="s">
        <v>15</v>
      </c>
      <c r="G1857" s="1">
        <f>VALUE(1937.1596474822)</f>
        <v>1937.1596474821999</v>
      </c>
      <c r="H1857" s="1">
        <f>VALUE(1724.0345207221)</f>
        <v>1724.0345207221001</v>
      </c>
      <c r="I1857" s="1">
        <f>VALUE(3380)</f>
        <v>3380</v>
      </c>
      <c r="J1857" s="1">
        <f>VALUE(4173)</f>
        <v>4173</v>
      </c>
      <c r="K1857" s="1">
        <f>VALUE(5137)</f>
        <v>5137</v>
      </c>
      <c r="L1857" s="1">
        <f>VALUE(6674)</f>
        <v>6674</v>
      </c>
      <c r="M1857" s="1">
        <f>VALUE(8169)</f>
        <v>8169</v>
      </c>
      <c r="N1857" t="s">
        <v>16</v>
      </c>
    </row>
    <row r="1858" spans="1:14" x14ac:dyDescent="0.25">
      <c r="A1858" t="s">
        <v>14</v>
      </c>
      <c r="B1858" t="s">
        <v>40</v>
      </c>
      <c r="C1858" t="s">
        <v>15</v>
      </c>
      <c r="D1858" t="s">
        <v>32</v>
      </c>
      <c r="E1858" t="s">
        <v>21</v>
      </c>
      <c r="F1858" t="s">
        <v>17</v>
      </c>
      <c r="G1858" s="2">
        <f>VALUE(381.8577876687)</f>
        <v>381.85778766869998</v>
      </c>
      <c r="H1858" s="3">
        <f>VALUE(324.3054397835)</f>
        <v>324.30543978349999</v>
      </c>
      <c r="I1858" s="1">
        <f>VALUE(4333)</f>
        <v>4333</v>
      </c>
      <c r="J1858" s="5">
        <f>VALUE(5410)</f>
        <v>5410</v>
      </c>
      <c r="K1858" s="6">
        <f>VALUE(7029)</f>
        <v>7029</v>
      </c>
      <c r="L1858" s="7">
        <f>VALUE(8809)</f>
        <v>8809</v>
      </c>
      <c r="M1858" s="8">
        <f>VALUE(11087)</f>
        <v>11087</v>
      </c>
      <c r="N1858" t="s">
        <v>25</v>
      </c>
    </row>
    <row r="1859" spans="1:14" x14ac:dyDescent="0.25">
      <c r="A1859" t="s">
        <v>14</v>
      </c>
      <c r="B1859" t="s">
        <v>40</v>
      </c>
      <c r="C1859" t="s">
        <v>15</v>
      </c>
      <c r="D1859" t="s">
        <v>32</v>
      </c>
      <c r="E1859" t="s">
        <v>21</v>
      </c>
      <c r="F1859" t="s">
        <v>18</v>
      </c>
      <c r="G1859" s="2">
        <f>VALUE(412.0255659741)</f>
        <v>412.0255659741</v>
      </c>
      <c r="H1859" s="3">
        <f>VALUE(360.4202767014)</f>
        <v>360.42027670139998</v>
      </c>
      <c r="I1859" s="4">
        <f>VALUE(3473)</f>
        <v>3473</v>
      </c>
      <c r="J1859" s="1">
        <f>VALUE(4658)</f>
        <v>4658</v>
      </c>
      <c r="K1859" s="1">
        <f>VALUE(5733)</f>
        <v>5733</v>
      </c>
      <c r="L1859" s="1">
        <f>VALUE(7055)</f>
        <v>7055</v>
      </c>
      <c r="M1859" s="1">
        <f>VALUE(8236)</f>
        <v>8236</v>
      </c>
      <c r="N1859" t="s">
        <v>25</v>
      </c>
    </row>
    <row r="1860" spans="1:14" x14ac:dyDescent="0.25">
      <c r="A1860" t="s">
        <v>14</v>
      </c>
      <c r="B1860" t="s">
        <v>40</v>
      </c>
      <c r="C1860" t="s">
        <v>15</v>
      </c>
      <c r="D1860" t="s">
        <v>32</v>
      </c>
      <c r="E1860" t="s">
        <v>21</v>
      </c>
      <c r="F1860" t="s">
        <v>19</v>
      </c>
      <c r="G1860" s="2">
        <f>VALUE(320.476090944)</f>
        <v>320.47609094400002</v>
      </c>
      <c r="H1860" s="3">
        <f>VALUE(277.0217159722)</f>
        <v>277.02171597220001</v>
      </c>
      <c r="I1860" s="1">
        <f>VALUE(3209)</f>
        <v>3209</v>
      </c>
      <c r="J1860" s="5">
        <f>VALUE(3576)</f>
        <v>3576</v>
      </c>
      <c r="K1860" s="1">
        <f>VALUE(4616)</f>
        <v>4616</v>
      </c>
      <c r="L1860" s="7">
        <f>VALUE(5950)</f>
        <v>5950</v>
      </c>
      <c r="M1860" s="1">
        <f>VALUE(7692)</f>
        <v>7692</v>
      </c>
      <c r="N1860" t="s">
        <v>25</v>
      </c>
    </row>
    <row r="1861" spans="1:14" x14ac:dyDescent="0.25">
      <c r="A1861" t="s">
        <v>14</v>
      </c>
      <c r="B1861" t="s">
        <v>40</v>
      </c>
      <c r="C1861" t="s">
        <v>15</v>
      </c>
      <c r="D1861" t="s">
        <v>32</v>
      </c>
      <c r="E1861" t="s">
        <v>21</v>
      </c>
      <c r="F1861" t="s">
        <v>20</v>
      </c>
      <c r="G1861" s="2">
        <f>VALUE(822.8002028954)</f>
        <v>822.80020289540005</v>
      </c>
      <c r="H1861" s="3">
        <f>VALUE(762.287088265)</f>
        <v>762.28708826499997</v>
      </c>
      <c r="I1861" s="1">
        <f>VALUE(3326)</f>
        <v>3326</v>
      </c>
      <c r="J1861" s="1">
        <f>VALUE(3906)</f>
        <v>3906</v>
      </c>
      <c r="K1861" s="1">
        <f>VALUE(4666)</f>
        <v>4666</v>
      </c>
      <c r="L1861" s="1">
        <f>VALUE(5758)</f>
        <v>5758</v>
      </c>
      <c r="M1861" s="1">
        <f>VALUE(6956)</f>
        <v>6956</v>
      </c>
      <c r="N1861" t="s">
        <v>25</v>
      </c>
    </row>
    <row r="1862" spans="1:14" x14ac:dyDescent="0.25">
      <c r="A1862" t="s">
        <v>14</v>
      </c>
      <c r="B1862" t="s">
        <v>40</v>
      </c>
      <c r="C1862" t="s">
        <v>15</v>
      </c>
      <c r="D1862" t="s">
        <v>32</v>
      </c>
      <c r="E1862" t="s">
        <v>22</v>
      </c>
      <c r="F1862" t="s">
        <v>15</v>
      </c>
      <c r="G1862" s="1">
        <f>VALUE(2897.8603349814)</f>
        <v>2897.8603349813998</v>
      </c>
      <c r="H1862" s="1">
        <f>VALUE(2628.18230998)</f>
        <v>2628.1823099799999</v>
      </c>
      <c r="I1862" s="4">
        <f>VALUE(2520)</f>
        <v>2520</v>
      </c>
      <c r="J1862" s="5">
        <f>VALUE(3340)</f>
        <v>3340</v>
      </c>
      <c r="K1862" s="1">
        <f>VALUE(4303)</f>
        <v>4303</v>
      </c>
      <c r="L1862" s="1">
        <f>VALUE(5385)</f>
        <v>5385</v>
      </c>
      <c r="M1862" s="1">
        <f>VALUE(6870)</f>
        <v>6870</v>
      </c>
      <c r="N1862" t="s">
        <v>25</v>
      </c>
    </row>
    <row r="1863" spans="1:14" x14ac:dyDescent="0.25">
      <c r="A1863" t="s">
        <v>14</v>
      </c>
      <c r="B1863" t="s">
        <v>40</v>
      </c>
      <c r="C1863" t="s">
        <v>15</v>
      </c>
      <c r="D1863" t="s">
        <v>32</v>
      </c>
      <c r="E1863" t="s">
        <v>22</v>
      </c>
      <c r="F1863" t="s">
        <v>17</v>
      </c>
      <c r="G1863" s="2">
        <f>VALUE(163.2198160875)</f>
        <v>163.21981608749999</v>
      </c>
      <c r="H1863" s="3">
        <f>VALUE(145.684719269)</f>
        <v>145.684719269</v>
      </c>
      <c r="I1863" s="1">
        <f>VALUE(4465)</f>
        <v>4465</v>
      </c>
      <c r="J1863" s="1">
        <f>VALUE(5074)</f>
        <v>5074</v>
      </c>
      <c r="K1863" s="1">
        <f>VALUE(6109)</f>
        <v>6109</v>
      </c>
      <c r="L1863" s="1">
        <f>VALUE(7518)</f>
        <v>7518</v>
      </c>
      <c r="M1863" s="8">
        <f>VALUE(8721)</f>
        <v>8721</v>
      </c>
      <c r="N1863" t="s">
        <v>25</v>
      </c>
    </row>
    <row r="1864" spans="1:14" x14ac:dyDescent="0.25">
      <c r="A1864" t="s">
        <v>14</v>
      </c>
      <c r="B1864" t="s">
        <v>40</v>
      </c>
      <c r="C1864" t="s">
        <v>15</v>
      </c>
      <c r="D1864" t="s">
        <v>32</v>
      </c>
      <c r="E1864" t="s">
        <v>22</v>
      </c>
      <c r="F1864" t="s">
        <v>18</v>
      </c>
      <c r="G1864" s="2">
        <f>VALUE(360.9686003534)</f>
        <v>360.96860035340001</v>
      </c>
      <c r="H1864" s="3">
        <f>VALUE(332.8281761914)</f>
        <v>332.82817619140002</v>
      </c>
      <c r="I1864" s="4">
        <f>VALUE(3407)</f>
        <v>3407</v>
      </c>
      <c r="J1864" s="1">
        <f>VALUE(3913)</f>
        <v>3913</v>
      </c>
      <c r="K1864" s="1">
        <f>VALUE(4589)</f>
        <v>4589</v>
      </c>
      <c r="L1864" s="7">
        <f>VALUE(6545)</f>
        <v>6545</v>
      </c>
      <c r="M1864" s="1">
        <f>VALUE(7223)</f>
        <v>7223</v>
      </c>
      <c r="N1864" t="s">
        <v>25</v>
      </c>
    </row>
    <row r="1865" spans="1:14" x14ac:dyDescent="0.25">
      <c r="A1865" t="s">
        <v>14</v>
      </c>
      <c r="B1865" t="s">
        <v>40</v>
      </c>
      <c r="C1865" t="s">
        <v>15</v>
      </c>
      <c r="D1865" t="s">
        <v>32</v>
      </c>
      <c r="E1865" t="s">
        <v>22</v>
      </c>
      <c r="F1865" t="s">
        <v>19</v>
      </c>
      <c r="G1865" s="2">
        <f>VALUE(445.2148845694)</f>
        <v>445.2148845694</v>
      </c>
      <c r="H1865" s="3">
        <f>VALUE(413.8528238028)</f>
        <v>413.8528238028</v>
      </c>
      <c r="I1865" s="1">
        <f>VALUE(3160)</f>
        <v>3160</v>
      </c>
      <c r="J1865" s="1">
        <f>VALUE(3569)</f>
        <v>3569</v>
      </c>
      <c r="K1865" s="1">
        <f>VALUE(4604)</f>
        <v>4604</v>
      </c>
      <c r="L1865" s="1">
        <f>VALUE(6062)</f>
        <v>6062</v>
      </c>
      <c r="M1865" s="1">
        <f>VALUE(7267)</f>
        <v>7267</v>
      </c>
      <c r="N1865" t="s">
        <v>25</v>
      </c>
    </row>
    <row r="1866" spans="1:14" x14ac:dyDescent="0.25">
      <c r="A1866" t="s">
        <v>14</v>
      </c>
      <c r="B1866" t="s">
        <v>40</v>
      </c>
      <c r="C1866" t="s">
        <v>15</v>
      </c>
      <c r="D1866" t="s">
        <v>32</v>
      </c>
      <c r="E1866" t="s">
        <v>22</v>
      </c>
      <c r="F1866" t="s">
        <v>20</v>
      </c>
      <c r="G1866" s="1">
        <f>VALUE(1928.4570339711)</f>
        <v>1928.4570339710999</v>
      </c>
      <c r="H1866" s="1">
        <f>VALUE(1735.8165907168)</f>
        <v>1735.8165907168</v>
      </c>
      <c r="I1866" s="1">
        <f>VALUE(2409)</f>
        <v>2409</v>
      </c>
      <c r="J1866" s="1">
        <f>VALUE(3048)</f>
        <v>3048</v>
      </c>
      <c r="K1866" s="1">
        <f>VALUE(4039)</f>
        <v>4039</v>
      </c>
      <c r="L1866" s="1">
        <f>VALUE(5200)</f>
        <v>5200</v>
      </c>
      <c r="M1866" s="1">
        <f>VALUE(5924)</f>
        <v>5924</v>
      </c>
      <c r="N1866" t="s">
        <v>16</v>
      </c>
    </row>
    <row r="1867" spans="1:14" x14ac:dyDescent="0.25">
      <c r="A1867" t="s">
        <v>14</v>
      </c>
      <c r="B1867" t="s">
        <v>40</v>
      </c>
      <c r="C1867" t="s">
        <v>15</v>
      </c>
      <c r="D1867" t="s">
        <v>32</v>
      </c>
      <c r="E1867" t="s">
        <v>23</v>
      </c>
      <c r="F1867" t="s">
        <v>15</v>
      </c>
      <c r="G1867" s="1">
        <f>VALUE(9575.2868044234)</f>
        <v>9575.2868044234001</v>
      </c>
      <c r="H1867" s="1">
        <f>VALUE(8341.2429626906)</f>
        <v>8341.2429626905996</v>
      </c>
      <c r="I1867" s="1">
        <f>VALUE(2479)</f>
        <v>2479</v>
      </c>
      <c r="J1867" s="1">
        <f>VALUE(2738)</f>
        <v>2738</v>
      </c>
      <c r="K1867" s="1">
        <f>VALUE(3206)</f>
        <v>3206</v>
      </c>
      <c r="L1867" s="1">
        <f>VALUE(3883)</f>
        <v>3883</v>
      </c>
      <c r="M1867" s="1">
        <f>VALUE(4690)</f>
        <v>4690</v>
      </c>
      <c r="N1867" t="s">
        <v>16</v>
      </c>
    </row>
    <row r="1868" spans="1:14" x14ac:dyDescent="0.25">
      <c r="A1868" t="s">
        <v>14</v>
      </c>
      <c r="B1868" t="s">
        <v>40</v>
      </c>
      <c r="C1868" t="s">
        <v>15</v>
      </c>
      <c r="D1868" t="s">
        <v>32</v>
      </c>
      <c r="E1868" t="s">
        <v>23</v>
      </c>
      <c r="F1868" t="s">
        <v>17</v>
      </c>
      <c r="G1868" s="1" t="str">
        <f t="shared" ref="G1868:M1868" si="356">"X"</f>
        <v>X</v>
      </c>
      <c r="H1868" s="1" t="str">
        <f t="shared" si="356"/>
        <v>X</v>
      </c>
      <c r="I1868" s="1" t="str">
        <f t="shared" si="356"/>
        <v>X</v>
      </c>
      <c r="J1868" s="1" t="str">
        <f t="shared" si="356"/>
        <v>X</v>
      </c>
      <c r="K1868" s="1" t="str">
        <f t="shared" si="356"/>
        <v>X</v>
      </c>
      <c r="L1868" s="1" t="str">
        <f t="shared" si="356"/>
        <v>X</v>
      </c>
      <c r="M1868" s="1" t="str">
        <f t="shared" si="356"/>
        <v>X</v>
      </c>
      <c r="N1868" t="s">
        <v>27</v>
      </c>
    </row>
    <row r="1869" spans="1:14" x14ac:dyDescent="0.25">
      <c r="A1869" t="s">
        <v>14</v>
      </c>
      <c r="B1869" t="s">
        <v>40</v>
      </c>
      <c r="C1869" t="s">
        <v>15</v>
      </c>
      <c r="D1869" t="s">
        <v>32</v>
      </c>
      <c r="E1869" t="s">
        <v>23</v>
      </c>
      <c r="F1869" t="s">
        <v>18</v>
      </c>
      <c r="G1869" s="2">
        <f>VALUE(256.672709992)</f>
        <v>256.67270999200002</v>
      </c>
      <c r="H1869" s="3">
        <f>VALUE(225.0486682377)</f>
        <v>225.04866823770001</v>
      </c>
      <c r="I1869" s="1">
        <f>VALUE(3063)</f>
        <v>3063</v>
      </c>
      <c r="J1869" s="1">
        <f>VALUE(3383)</f>
        <v>3383</v>
      </c>
      <c r="K1869" s="1">
        <f>VALUE(3979)</f>
        <v>3979</v>
      </c>
      <c r="L1869" s="7">
        <f>VALUE(4513)</f>
        <v>4513</v>
      </c>
      <c r="M1869" s="8">
        <f>VALUE(6079)</f>
        <v>6079</v>
      </c>
      <c r="N1869" t="s">
        <v>25</v>
      </c>
    </row>
    <row r="1870" spans="1:14" x14ac:dyDescent="0.25">
      <c r="A1870" t="s">
        <v>14</v>
      </c>
      <c r="B1870" t="s">
        <v>40</v>
      </c>
      <c r="C1870" t="s">
        <v>15</v>
      </c>
      <c r="D1870" t="s">
        <v>32</v>
      </c>
      <c r="E1870" t="s">
        <v>23</v>
      </c>
      <c r="F1870" t="s">
        <v>19</v>
      </c>
      <c r="G1870" s="2">
        <f>VALUE(549.2970925683)</f>
        <v>549.29709256829995</v>
      </c>
      <c r="H1870" s="3">
        <f>VALUE(513.1498188305)</f>
        <v>513.14981883049995</v>
      </c>
      <c r="I1870" s="1">
        <f>VALUE(2872)</f>
        <v>2872</v>
      </c>
      <c r="J1870" s="1">
        <f>VALUE(3319)</f>
        <v>3319</v>
      </c>
      <c r="K1870" s="1">
        <f>VALUE(3850)</f>
        <v>3850</v>
      </c>
      <c r="L1870" s="7">
        <f>VALUE(4690)</f>
        <v>4690</v>
      </c>
      <c r="M1870" s="8">
        <f>VALUE(6118)</f>
        <v>6118</v>
      </c>
      <c r="N1870" t="s">
        <v>25</v>
      </c>
    </row>
    <row r="1871" spans="1:14" x14ac:dyDescent="0.25">
      <c r="A1871" t="s">
        <v>14</v>
      </c>
      <c r="B1871" t="s">
        <v>40</v>
      </c>
      <c r="C1871" t="s">
        <v>15</v>
      </c>
      <c r="D1871" t="s">
        <v>32</v>
      </c>
      <c r="E1871" t="s">
        <v>23</v>
      </c>
      <c r="F1871" t="s">
        <v>20</v>
      </c>
      <c r="G1871" s="1">
        <f>VALUE(8703.0432371829)</f>
        <v>8703.0432371828992</v>
      </c>
      <c r="H1871" s="1">
        <f>VALUE(7544.7150579354)</f>
        <v>7544.7150579354002</v>
      </c>
      <c r="I1871" s="1">
        <f>VALUE(2472)</f>
        <v>2472</v>
      </c>
      <c r="J1871" s="1">
        <f>VALUE(2708)</f>
        <v>2708</v>
      </c>
      <c r="K1871" s="1">
        <f>VALUE(3151)</f>
        <v>3151</v>
      </c>
      <c r="L1871" s="1">
        <f>VALUE(3774)</f>
        <v>3774</v>
      </c>
      <c r="M1871" s="1">
        <f>VALUE(4540)</f>
        <v>4540</v>
      </c>
      <c r="N1871" t="s">
        <v>16</v>
      </c>
    </row>
    <row r="1872" spans="1:14" x14ac:dyDescent="0.25">
      <c r="A1872" t="s">
        <v>14</v>
      </c>
      <c r="B1872" t="s">
        <v>40</v>
      </c>
      <c r="C1872" t="s">
        <v>15</v>
      </c>
      <c r="D1872" t="s">
        <v>32</v>
      </c>
      <c r="E1872" t="s">
        <v>26</v>
      </c>
      <c r="F1872" t="s">
        <v>15</v>
      </c>
      <c r="G1872" s="2">
        <f>VALUE(162.7690341254)</f>
        <v>162.7690341254</v>
      </c>
      <c r="H1872" s="3">
        <f>VALUE(149.6563141963)</f>
        <v>149.6563141963</v>
      </c>
      <c r="I1872" s="1">
        <f>VALUE(2948)</f>
        <v>2948</v>
      </c>
      <c r="J1872" s="1">
        <f>VALUE(3135)</f>
        <v>3135</v>
      </c>
      <c r="K1872" s="1">
        <f>VALUE(3344)</f>
        <v>3344</v>
      </c>
      <c r="L1872" s="7">
        <f>VALUE(4339)</f>
        <v>4339</v>
      </c>
      <c r="M1872" s="1">
        <f>VALUE(6825)</f>
        <v>6825</v>
      </c>
      <c r="N1872" t="s">
        <v>25</v>
      </c>
    </row>
    <row r="1873" spans="1:14" x14ac:dyDescent="0.25">
      <c r="A1873" t="s">
        <v>14</v>
      </c>
      <c r="B1873" t="s">
        <v>40</v>
      </c>
      <c r="C1873" t="s">
        <v>15</v>
      </c>
      <c r="D1873" t="s">
        <v>32</v>
      </c>
      <c r="E1873" t="s">
        <v>26</v>
      </c>
      <c r="F1873" t="s">
        <v>17</v>
      </c>
      <c r="G1873" s="1" t="str">
        <f t="shared" ref="G1873:M1875" si="357">"X"</f>
        <v>X</v>
      </c>
      <c r="H1873" s="1" t="str">
        <f t="shared" si="357"/>
        <v>X</v>
      </c>
      <c r="I1873" s="1" t="str">
        <f t="shared" si="357"/>
        <v>X</v>
      </c>
      <c r="J1873" s="1" t="str">
        <f t="shared" si="357"/>
        <v>X</v>
      </c>
      <c r="K1873" s="1" t="str">
        <f t="shared" si="357"/>
        <v>X</v>
      </c>
      <c r="L1873" s="1" t="str">
        <f t="shared" si="357"/>
        <v>X</v>
      </c>
      <c r="M1873" s="1" t="str">
        <f t="shared" si="357"/>
        <v>X</v>
      </c>
      <c r="N1873" t="s">
        <v>27</v>
      </c>
    </row>
    <row r="1874" spans="1:14" x14ac:dyDescent="0.25">
      <c r="A1874" t="s">
        <v>14</v>
      </c>
      <c r="B1874" t="s">
        <v>40</v>
      </c>
      <c r="C1874" t="s">
        <v>15</v>
      </c>
      <c r="D1874" t="s">
        <v>32</v>
      </c>
      <c r="E1874" t="s">
        <v>26</v>
      </c>
      <c r="F1874" t="s">
        <v>18</v>
      </c>
      <c r="G1874" s="1" t="str">
        <f t="shared" si="357"/>
        <v>X</v>
      </c>
      <c r="H1874" s="1" t="str">
        <f t="shared" si="357"/>
        <v>X</v>
      </c>
      <c r="I1874" s="1" t="str">
        <f t="shared" si="357"/>
        <v>X</v>
      </c>
      <c r="J1874" s="1" t="str">
        <f t="shared" si="357"/>
        <v>X</v>
      </c>
      <c r="K1874" s="1" t="str">
        <f t="shared" si="357"/>
        <v>X</v>
      </c>
      <c r="L1874" s="1" t="str">
        <f t="shared" si="357"/>
        <v>X</v>
      </c>
      <c r="M1874" s="1" t="str">
        <f t="shared" si="357"/>
        <v>X</v>
      </c>
      <c r="N1874" t="s">
        <v>27</v>
      </c>
    </row>
    <row r="1875" spans="1:14" x14ac:dyDescent="0.25">
      <c r="A1875" t="s">
        <v>14</v>
      </c>
      <c r="B1875" t="s">
        <v>40</v>
      </c>
      <c r="C1875" t="s">
        <v>15</v>
      </c>
      <c r="D1875" t="s">
        <v>32</v>
      </c>
      <c r="E1875" t="s">
        <v>26</v>
      </c>
      <c r="F1875" t="s">
        <v>19</v>
      </c>
      <c r="G1875" s="1" t="str">
        <f t="shared" si="357"/>
        <v>X</v>
      </c>
      <c r="H1875" s="1" t="str">
        <f t="shared" si="357"/>
        <v>X</v>
      </c>
      <c r="I1875" s="1" t="str">
        <f t="shared" si="357"/>
        <v>X</v>
      </c>
      <c r="J1875" s="1" t="str">
        <f t="shared" si="357"/>
        <v>X</v>
      </c>
      <c r="K1875" s="1" t="str">
        <f t="shared" si="357"/>
        <v>X</v>
      </c>
      <c r="L1875" s="1" t="str">
        <f t="shared" si="357"/>
        <v>X</v>
      </c>
      <c r="M1875" s="1" t="str">
        <f t="shared" si="357"/>
        <v>X</v>
      </c>
      <c r="N1875" t="s">
        <v>27</v>
      </c>
    </row>
    <row r="1876" spans="1:14" x14ac:dyDescent="0.25">
      <c r="A1876" t="s">
        <v>14</v>
      </c>
      <c r="B1876" t="s">
        <v>40</v>
      </c>
      <c r="C1876" t="s">
        <v>15</v>
      </c>
      <c r="D1876" t="s">
        <v>32</v>
      </c>
      <c r="E1876" t="s">
        <v>26</v>
      </c>
      <c r="F1876" t="s">
        <v>20</v>
      </c>
      <c r="G1876" s="2">
        <f>VALUE(139.8724046313)</f>
        <v>139.87240463129999</v>
      </c>
      <c r="H1876" s="3">
        <f>VALUE(127.6799827411)</f>
        <v>127.67998274110001</v>
      </c>
      <c r="I1876" s="1">
        <f>VALUE(2948)</f>
        <v>2948</v>
      </c>
      <c r="J1876" s="1">
        <f>VALUE(3115)</f>
        <v>3115</v>
      </c>
      <c r="K1876" s="1">
        <f>VALUE(3193)</f>
        <v>3193</v>
      </c>
      <c r="L1876" s="1">
        <f>VALUE(3921)</f>
        <v>3921</v>
      </c>
      <c r="M1876" s="1">
        <f>VALUE(5376)</f>
        <v>5376</v>
      </c>
      <c r="N1876" t="s">
        <v>25</v>
      </c>
    </row>
    <row r="1877" spans="1:14" x14ac:dyDescent="0.25">
      <c r="A1877" t="s">
        <v>14</v>
      </c>
      <c r="B1877" t="s">
        <v>40</v>
      </c>
      <c r="C1877" t="s">
        <v>15</v>
      </c>
      <c r="D1877" t="s">
        <v>33</v>
      </c>
      <c r="E1877" t="s">
        <v>15</v>
      </c>
      <c r="F1877" t="s">
        <v>15</v>
      </c>
      <c r="G1877" s="2">
        <f>VALUE(638.4765315889)</f>
        <v>638.4765315889</v>
      </c>
      <c r="H1877" s="3">
        <f>VALUE(553.8832537767)</f>
        <v>553.88325377670003</v>
      </c>
      <c r="I1877" s="1">
        <f>VALUE(2845)</f>
        <v>2845</v>
      </c>
      <c r="J1877" s="1">
        <f>VALUE(3125)</f>
        <v>3125</v>
      </c>
      <c r="K1877" s="6">
        <f>VALUE(3608)</f>
        <v>3608</v>
      </c>
      <c r="L1877" s="7">
        <f>VALUE(4906)</f>
        <v>4906</v>
      </c>
      <c r="M1877" s="8">
        <f>VALUE(6888)</f>
        <v>6888</v>
      </c>
      <c r="N1877" t="s">
        <v>25</v>
      </c>
    </row>
    <row r="1878" spans="1:14" x14ac:dyDescent="0.25">
      <c r="A1878" t="s">
        <v>14</v>
      </c>
      <c r="B1878" t="s">
        <v>40</v>
      </c>
      <c r="C1878" t="s">
        <v>15</v>
      </c>
      <c r="D1878" t="s">
        <v>33</v>
      </c>
      <c r="E1878" t="s">
        <v>15</v>
      </c>
      <c r="F1878" t="s">
        <v>17</v>
      </c>
      <c r="G1878" s="1" t="str">
        <f t="shared" ref="G1878:M1880" si="358">"X"</f>
        <v>X</v>
      </c>
      <c r="H1878" s="1" t="str">
        <f t="shared" si="358"/>
        <v>X</v>
      </c>
      <c r="I1878" s="1" t="str">
        <f t="shared" si="358"/>
        <v>X</v>
      </c>
      <c r="J1878" s="1" t="str">
        <f t="shared" si="358"/>
        <v>X</v>
      </c>
      <c r="K1878" s="1" t="str">
        <f t="shared" si="358"/>
        <v>X</v>
      </c>
      <c r="L1878" s="1" t="str">
        <f t="shared" si="358"/>
        <v>X</v>
      </c>
      <c r="M1878" s="1" t="str">
        <f t="shared" si="358"/>
        <v>X</v>
      </c>
      <c r="N1878" t="s">
        <v>27</v>
      </c>
    </row>
    <row r="1879" spans="1:14" x14ac:dyDescent="0.25">
      <c r="A1879" t="s">
        <v>14</v>
      </c>
      <c r="B1879" t="s">
        <v>40</v>
      </c>
      <c r="C1879" t="s">
        <v>15</v>
      </c>
      <c r="D1879" t="s">
        <v>33</v>
      </c>
      <c r="E1879" t="s">
        <v>15</v>
      </c>
      <c r="F1879" t="s">
        <v>18</v>
      </c>
      <c r="G1879" s="1" t="str">
        <f t="shared" si="358"/>
        <v>X</v>
      </c>
      <c r="H1879" s="1" t="str">
        <f t="shared" si="358"/>
        <v>X</v>
      </c>
      <c r="I1879" s="1" t="str">
        <f t="shared" si="358"/>
        <v>X</v>
      </c>
      <c r="J1879" s="1" t="str">
        <f t="shared" si="358"/>
        <v>X</v>
      </c>
      <c r="K1879" s="1" t="str">
        <f t="shared" si="358"/>
        <v>X</v>
      </c>
      <c r="L1879" s="1" t="str">
        <f t="shared" si="358"/>
        <v>X</v>
      </c>
      <c r="M1879" s="1" t="str">
        <f t="shared" si="358"/>
        <v>X</v>
      </c>
      <c r="N1879" t="s">
        <v>27</v>
      </c>
    </row>
    <row r="1880" spans="1:14" x14ac:dyDescent="0.25">
      <c r="A1880" t="s">
        <v>14</v>
      </c>
      <c r="B1880" t="s">
        <v>40</v>
      </c>
      <c r="C1880" t="s">
        <v>15</v>
      </c>
      <c r="D1880" t="s">
        <v>33</v>
      </c>
      <c r="E1880" t="s">
        <v>15</v>
      </c>
      <c r="F1880" t="s">
        <v>19</v>
      </c>
      <c r="G1880" s="1" t="str">
        <f t="shared" si="358"/>
        <v>X</v>
      </c>
      <c r="H1880" s="1" t="str">
        <f t="shared" si="358"/>
        <v>X</v>
      </c>
      <c r="I1880" s="1" t="str">
        <f t="shared" si="358"/>
        <v>X</v>
      </c>
      <c r="J1880" s="1" t="str">
        <f t="shared" si="358"/>
        <v>X</v>
      </c>
      <c r="K1880" s="1" t="str">
        <f t="shared" si="358"/>
        <v>X</v>
      </c>
      <c r="L1880" s="1" t="str">
        <f t="shared" si="358"/>
        <v>X</v>
      </c>
      <c r="M1880" s="1" t="str">
        <f t="shared" si="358"/>
        <v>X</v>
      </c>
      <c r="N1880" t="s">
        <v>27</v>
      </c>
    </row>
    <row r="1881" spans="1:14" x14ac:dyDescent="0.25">
      <c r="A1881" t="s">
        <v>14</v>
      </c>
      <c r="B1881" t="s">
        <v>40</v>
      </c>
      <c r="C1881" t="s">
        <v>15</v>
      </c>
      <c r="D1881" t="s">
        <v>33</v>
      </c>
      <c r="E1881" t="s">
        <v>15</v>
      </c>
      <c r="F1881" t="s">
        <v>20</v>
      </c>
      <c r="G1881" s="2">
        <f>VALUE(370.5970638256)</f>
        <v>370.5970638256</v>
      </c>
      <c r="H1881" s="3">
        <f>VALUE(335.5114146355)</f>
        <v>335.51141463549999</v>
      </c>
      <c r="I1881" s="4">
        <f>VALUE(2847)</f>
        <v>2847</v>
      </c>
      <c r="J1881" s="1">
        <f>VALUE(3125)</f>
        <v>3125</v>
      </c>
      <c r="K1881" s="1">
        <f>VALUE(3318)</f>
        <v>3318</v>
      </c>
      <c r="L1881" s="1">
        <f>VALUE(3810)</f>
        <v>3810</v>
      </c>
      <c r="M1881" s="1">
        <f>VALUE(4689)</f>
        <v>4689</v>
      </c>
      <c r="N1881" t="s">
        <v>25</v>
      </c>
    </row>
    <row r="1882" spans="1:14" x14ac:dyDescent="0.25">
      <c r="A1882" t="s">
        <v>14</v>
      </c>
      <c r="B1882" t="s">
        <v>40</v>
      </c>
      <c r="C1882" t="s">
        <v>15</v>
      </c>
      <c r="D1882" t="s">
        <v>33</v>
      </c>
      <c r="E1882" t="s">
        <v>21</v>
      </c>
      <c r="F1882" t="s">
        <v>15</v>
      </c>
      <c r="G1882" s="1" t="str">
        <f t="shared" ref="G1882:M1886" si="359">"X"</f>
        <v>X</v>
      </c>
      <c r="H1882" s="1" t="str">
        <f t="shared" si="359"/>
        <v>X</v>
      </c>
      <c r="I1882" s="1" t="str">
        <f t="shared" si="359"/>
        <v>X</v>
      </c>
      <c r="J1882" s="1" t="str">
        <f t="shared" si="359"/>
        <v>X</v>
      </c>
      <c r="K1882" s="1" t="str">
        <f t="shared" si="359"/>
        <v>X</v>
      </c>
      <c r="L1882" s="1" t="str">
        <f t="shared" si="359"/>
        <v>X</v>
      </c>
      <c r="M1882" s="1" t="str">
        <f t="shared" si="359"/>
        <v>X</v>
      </c>
      <c r="N1882" t="s">
        <v>27</v>
      </c>
    </row>
    <row r="1883" spans="1:14" x14ac:dyDescent="0.25">
      <c r="A1883" t="s">
        <v>14</v>
      </c>
      <c r="B1883" t="s">
        <v>40</v>
      </c>
      <c r="C1883" t="s">
        <v>15</v>
      </c>
      <c r="D1883" t="s">
        <v>33</v>
      </c>
      <c r="E1883" t="s">
        <v>21</v>
      </c>
      <c r="F1883" t="s">
        <v>17</v>
      </c>
      <c r="G1883" s="1" t="str">
        <f t="shared" si="359"/>
        <v>X</v>
      </c>
      <c r="H1883" s="1" t="str">
        <f t="shared" si="359"/>
        <v>X</v>
      </c>
      <c r="I1883" s="1" t="str">
        <f t="shared" si="359"/>
        <v>X</v>
      </c>
      <c r="J1883" s="1" t="str">
        <f t="shared" si="359"/>
        <v>X</v>
      </c>
      <c r="K1883" s="1" t="str">
        <f t="shared" si="359"/>
        <v>X</v>
      </c>
      <c r="L1883" s="1" t="str">
        <f t="shared" si="359"/>
        <v>X</v>
      </c>
      <c r="M1883" s="1" t="str">
        <f t="shared" si="359"/>
        <v>X</v>
      </c>
      <c r="N1883" t="s">
        <v>27</v>
      </c>
    </row>
    <row r="1884" spans="1:14" x14ac:dyDescent="0.25">
      <c r="A1884" t="s">
        <v>14</v>
      </c>
      <c r="B1884" t="s">
        <v>40</v>
      </c>
      <c r="C1884" t="s">
        <v>15</v>
      </c>
      <c r="D1884" t="s">
        <v>33</v>
      </c>
      <c r="E1884" t="s">
        <v>21</v>
      </c>
      <c r="F1884" t="s">
        <v>18</v>
      </c>
      <c r="G1884" s="1" t="str">
        <f t="shared" si="359"/>
        <v>X</v>
      </c>
      <c r="H1884" s="1" t="str">
        <f t="shared" si="359"/>
        <v>X</v>
      </c>
      <c r="I1884" s="1" t="str">
        <f t="shared" si="359"/>
        <v>X</v>
      </c>
      <c r="J1884" s="1" t="str">
        <f t="shared" si="359"/>
        <v>X</v>
      </c>
      <c r="K1884" s="1" t="str">
        <f t="shared" si="359"/>
        <v>X</v>
      </c>
      <c r="L1884" s="1" t="str">
        <f t="shared" si="359"/>
        <v>X</v>
      </c>
      <c r="M1884" s="1" t="str">
        <f t="shared" si="359"/>
        <v>X</v>
      </c>
      <c r="N1884" t="s">
        <v>27</v>
      </c>
    </row>
    <row r="1885" spans="1:14" x14ac:dyDescent="0.25">
      <c r="A1885" t="s">
        <v>14</v>
      </c>
      <c r="B1885" t="s">
        <v>40</v>
      </c>
      <c r="C1885" t="s">
        <v>15</v>
      </c>
      <c r="D1885" t="s">
        <v>33</v>
      </c>
      <c r="E1885" t="s">
        <v>21</v>
      </c>
      <c r="F1885" t="s">
        <v>19</v>
      </c>
      <c r="G1885" s="1" t="str">
        <f t="shared" si="359"/>
        <v>X</v>
      </c>
      <c r="H1885" s="1" t="str">
        <f t="shared" si="359"/>
        <v>X</v>
      </c>
      <c r="I1885" s="1" t="str">
        <f t="shared" si="359"/>
        <v>X</v>
      </c>
      <c r="J1885" s="1" t="str">
        <f t="shared" si="359"/>
        <v>X</v>
      </c>
      <c r="K1885" s="1" t="str">
        <f t="shared" si="359"/>
        <v>X</v>
      </c>
      <c r="L1885" s="1" t="str">
        <f t="shared" si="359"/>
        <v>X</v>
      </c>
      <c r="M1885" s="1" t="str">
        <f t="shared" si="359"/>
        <v>X</v>
      </c>
      <c r="N1885" t="s">
        <v>27</v>
      </c>
    </row>
    <row r="1886" spans="1:14" x14ac:dyDescent="0.25">
      <c r="A1886" t="s">
        <v>14</v>
      </c>
      <c r="B1886" t="s">
        <v>40</v>
      </c>
      <c r="C1886" t="s">
        <v>15</v>
      </c>
      <c r="D1886" t="s">
        <v>33</v>
      </c>
      <c r="E1886" t="s">
        <v>21</v>
      </c>
      <c r="F1886" t="s">
        <v>20</v>
      </c>
      <c r="G1886" s="1" t="str">
        <f t="shared" si="359"/>
        <v>X</v>
      </c>
      <c r="H1886" s="1" t="str">
        <f t="shared" si="359"/>
        <v>X</v>
      </c>
      <c r="I1886" s="1" t="str">
        <f t="shared" si="359"/>
        <v>X</v>
      </c>
      <c r="J1886" s="1" t="str">
        <f t="shared" si="359"/>
        <v>X</v>
      </c>
      <c r="K1886" s="1" t="str">
        <f t="shared" si="359"/>
        <v>X</v>
      </c>
      <c r="L1886" s="1" t="str">
        <f t="shared" si="359"/>
        <v>X</v>
      </c>
      <c r="M1886" s="1" t="str">
        <f t="shared" si="359"/>
        <v>X</v>
      </c>
      <c r="N1886" t="s">
        <v>27</v>
      </c>
    </row>
    <row r="1887" spans="1:14" x14ac:dyDescent="0.25">
      <c r="A1887" t="s">
        <v>14</v>
      </c>
      <c r="B1887" t="s">
        <v>40</v>
      </c>
      <c r="C1887" t="s">
        <v>15</v>
      </c>
      <c r="D1887" t="s">
        <v>33</v>
      </c>
      <c r="E1887" t="s">
        <v>22</v>
      </c>
      <c r="F1887" t="s">
        <v>15</v>
      </c>
      <c r="G1887" s="2">
        <f>VALUE(141.0537942154)</f>
        <v>141.05379421539999</v>
      </c>
      <c r="H1887" s="3">
        <f>VALUE(128.8503813776)</f>
        <v>128.8503813776</v>
      </c>
      <c r="I1887" s="4">
        <f>VALUE(3162)</f>
        <v>3162</v>
      </c>
      <c r="J1887" s="5">
        <f>VALUE(3552)</f>
        <v>3552</v>
      </c>
      <c r="K1887" s="1">
        <f>VALUE(3743)</f>
        <v>3743</v>
      </c>
      <c r="L1887" s="1">
        <f>VALUE(4101)</f>
        <v>4101</v>
      </c>
      <c r="M1887" s="1">
        <f>VALUE(4764)</f>
        <v>4764</v>
      </c>
      <c r="N1887" t="s">
        <v>25</v>
      </c>
    </row>
    <row r="1888" spans="1:14" x14ac:dyDescent="0.25">
      <c r="A1888" t="s">
        <v>14</v>
      </c>
      <c r="B1888" t="s">
        <v>40</v>
      </c>
      <c r="C1888" t="s">
        <v>15</v>
      </c>
      <c r="D1888" t="s">
        <v>33</v>
      </c>
      <c r="E1888" t="s">
        <v>22</v>
      </c>
      <c r="F1888" t="s">
        <v>17</v>
      </c>
      <c r="G1888" s="1" t="str">
        <f t="shared" ref="G1888:M1891" si="360">"X"</f>
        <v>X</v>
      </c>
      <c r="H1888" s="1" t="str">
        <f t="shared" si="360"/>
        <v>X</v>
      </c>
      <c r="I1888" s="1" t="str">
        <f t="shared" si="360"/>
        <v>X</v>
      </c>
      <c r="J1888" s="1" t="str">
        <f t="shared" si="360"/>
        <v>X</v>
      </c>
      <c r="K1888" s="1" t="str">
        <f t="shared" si="360"/>
        <v>X</v>
      </c>
      <c r="L1888" s="1" t="str">
        <f t="shared" si="360"/>
        <v>X</v>
      </c>
      <c r="M1888" s="1" t="str">
        <f t="shared" si="360"/>
        <v>X</v>
      </c>
      <c r="N1888" t="s">
        <v>27</v>
      </c>
    </row>
    <row r="1889" spans="1:14" x14ac:dyDescent="0.25">
      <c r="A1889" t="s">
        <v>14</v>
      </c>
      <c r="B1889" t="s">
        <v>40</v>
      </c>
      <c r="C1889" t="s">
        <v>15</v>
      </c>
      <c r="D1889" t="s">
        <v>33</v>
      </c>
      <c r="E1889" t="s">
        <v>22</v>
      </c>
      <c r="F1889" t="s">
        <v>18</v>
      </c>
      <c r="G1889" s="1" t="str">
        <f t="shared" si="360"/>
        <v>X</v>
      </c>
      <c r="H1889" s="1" t="str">
        <f t="shared" si="360"/>
        <v>X</v>
      </c>
      <c r="I1889" s="1" t="str">
        <f t="shared" si="360"/>
        <v>X</v>
      </c>
      <c r="J1889" s="1" t="str">
        <f t="shared" si="360"/>
        <v>X</v>
      </c>
      <c r="K1889" s="1" t="str">
        <f t="shared" si="360"/>
        <v>X</v>
      </c>
      <c r="L1889" s="1" t="str">
        <f t="shared" si="360"/>
        <v>X</v>
      </c>
      <c r="M1889" s="1" t="str">
        <f t="shared" si="360"/>
        <v>X</v>
      </c>
      <c r="N1889" t="s">
        <v>27</v>
      </c>
    </row>
    <row r="1890" spans="1:14" x14ac:dyDescent="0.25">
      <c r="A1890" t="s">
        <v>14</v>
      </c>
      <c r="B1890" t="s">
        <v>40</v>
      </c>
      <c r="C1890" t="s">
        <v>15</v>
      </c>
      <c r="D1890" t="s">
        <v>33</v>
      </c>
      <c r="E1890" t="s">
        <v>22</v>
      </c>
      <c r="F1890" t="s">
        <v>19</v>
      </c>
      <c r="G1890" s="1" t="str">
        <f t="shared" si="360"/>
        <v>X</v>
      </c>
      <c r="H1890" s="1" t="str">
        <f t="shared" si="360"/>
        <v>X</v>
      </c>
      <c r="I1890" s="1" t="str">
        <f t="shared" si="360"/>
        <v>X</v>
      </c>
      <c r="J1890" s="1" t="str">
        <f t="shared" si="360"/>
        <v>X</v>
      </c>
      <c r="K1890" s="1" t="str">
        <f t="shared" si="360"/>
        <v>X</v>
      </c>
      <c r="L1890" s="1" t="str">
        <f t="shared" si="360"/>
        <v>X</v>
      </c>
      <c r="M1890" s="1" t="str">
        <f t="shared" si="360"/>
        <v>X</v>
      </c>
      <c r="N1890" t="s">
        <v>27</v>
      </c>
    </row>
    <row r="1891" spans="1:14" x14ac:dyDescent="0.25">
      <c r="A1891" t="s">
        <v>14</v>
      </c>
      <c r="B1891" t="s">
        <v>40</v>
      </c>
      <c r="C1891" t="s">
        <v>15</v>
      </c>
      <c r="D1891" t="s">
        <v>33</v>
      </c>
      <c r="E1891" t="s">
        <v>22</v>
      </c>
      <c r="F1891" t="s">
        <v>20</v>
      </c>
      <c r="G1891" s="1" t="str">
        <f t="shared" si="360"/>
        <v>X</v>
      </c>
      <c r="H1891" s="1" t="str">
        <f t="shared" si="360"/>
        <v>X</v>
      </c>
      <c r="I1891" s="1" t="str">
        <f t="shared" si="360"/>
        <v>X</v>
      </c>
      <c r="J1891" s="1" t="str">
        <f t="shared" si="360"/>
        <v>X</v>
      </c>
      <c r="K1891" s="1" t="str">
        <f t="shared" si="360"/>
        <v>X</v>
      </c>
      <c r="L1891" s="1" t="str">
        <f t="shared" si="360"/>
        <v>X</v>
      </c>
      <c r="M1891" s="1" t="str">
        <f t="shared" si="360"/>
        <v>X</v>
      </c>
      <c r="N1891" t="s">
        <v>27</v>
      </c>
    </row>
    <row r="1892" spans="1:14" x14ac:dyDescent="0.25">
      <c r="A1892" t="s">
        <v>14</v>
      </c>
      <c r="B1892" t="s">
        <v>40</v>
      </c>
      <c r="C1892" t="s">
        <v>15</v>
      </c>
      <c r="D1892" t="s">
        <v>33</v>
      </c>
      <c r="E1892" t="s">
        <v>23</v>
      </c>
      <c r="F1892" t="s">
        <v>15</v>
      </c>
      <c r="G1892" s="2">
        <f>VALUE(298.4113671864)</f>
        <v>298.41136718640001</v>
      </c>
      <c r="H1892" s="3">
        <f>VALUE(271.795724569)</f>
        <v>271.79572456900001</v>
      </c>
      <c r="I1892" s="4">
        <f>VALUE(2800)</f>
        <v>2800</v>
      </c>
      <c r="J1892" s="1">
        <f>VALUE(2952)</f>
        <v>2952</v>
      </c>
      <c r="K1892" s="1">
        <f>VALUE(3220)</f>
        <v>3220</v>
      </c>
      <c r="L1892" s="7">
        <f>VALUE(3488)</f>
        <v>3488</v>
      </c>
      <c r="M1892" s="8">
        <f>VALUE(4689)</f>
        <v>4689</v>
      </c>
      <c r="N1892" t="s">
        <v>25</v>
      </c>
    </row>
    <row r="1893" spans="1:14" x14ac:dyDescent="0.25">
      <c r="A1893" t="s">
        <v>14</v>
      </c>
      <c r="B1893" t="s">
        <v>40</v>
      </c>
      <c r="C1893" t="s">
        <v>15</v>
      </c>
      <c r="D1893" t="s">
        <v>33</v>
      </c>
      <c r="E1893" t="s">
        <v>23</v>
      </c>
      <c r="F1893" t="s">
        <v>17</v>
      </c>
      <c r="G1893" s="1" t="str">
        <f t="shared" ref="G1893:M1895" si="361">"X"</f>
        <v>X</v>
      </c>
      <c r="H1893" s="1" t="str">
        <f t="shared" si="361"/>
        <v>X</v>
      </c>
      <c r="I1893" s="1" t="str">
        <f t="shared" si="361"/>
        <v>X</v>
      </c>
      <c r="J1893" s="1" t="str">
        <f t="shared" si="361"/>
        <v>X</v>
      </c>
      <c r="K1893" s="1" t="str">
        <f t="shared" si="361"/>
        <v>X</v>
      </c>
      <c r="L1893" s="1" t="str">
        <f t="shared" si="361"/>
        <v>X</v>
      </c>
      <c r="M1893" s="1" t="str">
        <f t="shared" si="361"/>
        <v>X</v>
      </c>
      <c r="N1893" t="s">
        <v>27</v>
      </c>
    </row>
    <row r="1894" spans="1:14" x14ac:dyDescent="0.25">
      <c r="A1894" t="s">
        <v>14</v>
      </c>
      <c r="B1894" t="s">
        <v>40</v>
      </c>
      <c r="C1894" t="s">
        <v>15</v>
      </c>
      <c r="D1894" t="s">
        <v>33</v>
      </c>
      <c r="E1894" t="s">
        <v>23</v>
      </c>
      <c r="F1894" t="s">
        <v>18</v>
      </c>
      <c r="G1894" s="1" t="str">
        <f t="shared" si="361"/>
        <v>X</v>
      </c>
      <c r="H1894" s="1" t="str">
        <f t="shared" si="361"/>
        <v>X</v>
      </c>
      <c r="I1894" s="1" t="str">
        <f t="shared" si="361"/>
        <v>X</v>
      </c>
      <c r="J1894" s="1" t="str">
        <f t="shared" si="361"/>
        <v>X</v>
      </c>
      <c r="K1894" s="1" t="str">
        <f t="shared" si="361"/>
        <v>X</v>
      </c>
      <c r="L1894" s="1" t="str">
        <f t="shared" si="361"/>
        <v>X</v>
      </c>
      <c r="M1894" s="1" t="str">
        <f t="shared" si="361"/>
        <v>X</v>
      </c>
      <c r="N1894" t="s">
        <v>27</v>
      </c>
    </row>
    <row r="1895" spans="1:14" x14ac:dyDescent="0.25">
      <c r="A1895" t="s">
        <v>14</v>
      </c>
      <c r="B1895" t="s">
        <v>40</v>
      </c>
      <c r="C1895" t="s">
        <v>15</v>
      </c>
      <c r="D1895" t="s">
        <v>33</v>
      </c>
      <c r="E1895" t="s">
        <v>23</v>
      </c>
      <c r="F1895" t="s">
        <v>19</v>
      </c>
      <c r="G1895" s="1" t="str">
        <f t="shared" si="361"/>
        <v>X</v>
      </c>
      <c r="H1895" s="1" t="str">
        <f t="shared" si="361"/>
        <v>X</v>
      </c>
      <c r="I1895" s="1" t="str">
        <f t="shared" si="361"/>
        <v>X</v>
      </c>
      <c r="J1895" s="1" t="str">
        <f t="shared" si="361"/>
        <v>X</v>
      </c>
      <c r="K1895" s="1" t="str">
        <f t="shared" si="361"/>
        <v>X</v>
      </c>
      <c r="L1895" s="1" t="str">
        <f t="shared" si="361"/>
        <v>X</v>
      </c>
      <c r="M1895" s="1" t="str">
        <f t="shared" si="361"/>
        <v>X</v>
      </c>
      <c r="N1895" t="s">
        <v>27</v>
      </c>
    </row>
    <row r="1896" spans="1:14" x14ac:dyDescent="0.25">
      <c r="A1896" t="s">
        <v>14</v>
      </c>
      <c r="B1896" t="s">
        <v>40</v>
      </c>
      <c r="C1896" t="s">
        <v>15</v>
      </c>
      <c r="D1896" t="s">
        <v>33</v>
      </c>
      <c r="E1896" t="s">
        <v>23</v>
      </c>
      <c r="F1896" t="s">
        <v>20</v>
      </c>
      <c r="G1896" s="2">
        <f>VALUE(245.6417179688)</f>
        <v>245.64171796880001</v>
      </c>
      <c r="H1896" s="3">
        <f>VALUE(224.3259870102)</f>
        <v>224.32598701020001</v>
      </c>
      <c r="I1896" s="1">
        <f>VALUE(2845)</f>
        <v>2845</v>
      </c>
      <c r="J1896" s="1">
        <f>VALUE(3036)</f>
        <v>3036</v>
      </c>
      <c r="K1896" s="1">
        <f>VALUE(3220)</f>
        <v>3220</v>
      </c>
      <c r="L1896" s="7">
        <f>VALUE(3488)</f>
        <v>3488</v>
      </c>
      <c r="M1896" s="8">
        <f>VALUE(4363)</f>
        <v>4363</v>
      </c>
      <c r="N1896" t="s">
        <v>25</v>
      </c>
    </row>
    <row r="1897" spans="1:14" x14ac:dyDescent="0.25">
      <c r="A1897" t="s">
        <v>14</v>
      </c>
      <c r="B1897" t="s">
        <v>40</v>
      </c>
      <c r="C1897" t="s">
        <v>15</v>
      </c>
      <c r="D1897" t="s">
        <v>33</v>
      </c>
      <c r="E1897" t="s">
        <v>26</v>
      </c>
      <c r="F1897" t="s">
        <v>15</v>
      </c>
      <c r="G1897" s="1" t="str">
        <f t="shared" ref="G1897:M1901" si="362">"..."</f>
        <v>...</v>
      </c>
      <c r="H1897" s="1" t="str">
        <f t="shared" si="362"/>
        <v>...</v>
      </c>
      <c r="I1897" s="1" t="str">
        <f t="shared" si="362"/>
        <v>...</v>
      </c>
      <c r="J1897" s="1" t="str">
        <f t="shared" si="362"/>
        <v>...</v>
      </c>
      <c r="K1897" s="1" t="str">
        <f t="shared" si="362"/>
        <v>...</v>
      </c>
      <c r="L1897" s="1" t="str">
        <f t="shared" si="362"/>
        <v>...</v>
      </c>
      <c r="M1897" s="1" t="str">
        <f t="shared" si="362"/>
        <v>...</v>
      </c>
      <c r="N1897" t="s">
        <v>30</v>
      </c>
    </row>
    <row r="1898" spans="1:14" x14ac:dyDescent="0.25">
      <c r="A1898" t="s">
        <v>14</v>
      </c>
      <c r="B1898" t="s">
        <v>40</v>
      </c>
      <c r="C1898" t="s">
        <v>15</v>
      </c>
      <c r="D1898" t="s">
        <v>33</v>
      </c>
      <c r="E1898" t="s">
        <v>26</v>
      </c>
      <c r="F1898" t="s">
        <v>17</v>
      </c>
      <c r="G1898" s="1" t="str">
        <f t="shared" si="362"/>
        <v>...</v>
      </c>
      <c r="H1898" s="1" t="str">
        <f t="shared" si="362"/>
        <v>...</v>
      </c>
      <c r="I1898" s="1" t="str">
        <f t="shared" si="362"/>
        <v>...</v>
      </c>
      <c r="J1898" s="1" t="str">
        <f t="shared" si="362"/>
        <v>...</v>
      </c>
      <c r="K1898" s="1" t="str">
        <f t="shared" si="362"/>
        <v>...</v>
      </c>
      <c r="L1898" s="1" t="str">
        <f t="shared" si="362"/>
        <v>...</v>
      </c>
      <c r="M1898" s="1" t="str">
        <f t="shared" si="362"/>
        <v>...</v>
      </c>
      <c r="N1898" t="s">
        <v>30</v>
      </c>
    </row>
    <row r="1899" spans="1:14" x14ac:dyDescent="0.25">
      <c r="A1899" t="s">
        <v>14</v>
      </c>
      <c r="B1899" t="s">
        <v>40</v>
      </c>
      <c r="C1899" t="s">
        <v>15</v>
      </c>
      <c r="D1899" t="s">
        <v>33</v>
      </c>
      <c r="E1899" t="s">
        <v>26</v>
      </c>
      <c r="F1899" t="s">
        <v>18</v>
      </c>
      <c r="G1899" s="1" t="str">
        <f t="shared" si="362"/>
        <v>...</v>
      </c>
      <c r="H1899" s="1" t="str">
        <f t="shared" si="362"/>
        <v>...</v>
      </c>
      <c r="I1899" s="1" t="str">
        <f t="shared" si="362"/>
        <v>...</v>
      </c>
      <c r="J1899" s="1" t="str">
        <f t="shared" si="362"/>
        <v>...</v>
      </c>
      <c r="K1899" s="1" t="str">
        <f t="shared" si="362"/>
        <v>...</v>
      </c>
      <c r="L1899" s="1" t="str">
        <f t="shared" si="362"/>
        <v>...</v>
      </c>
      <c r="M1899" s="1" t="str">
        <f t="shared" si="362"/>
        <v>...</v>
      </c>
      <c r="N1899" t="s">
        <v>30</v>
      </c>
    </row>
    <row r="1900" spans="1:14" x14ac:dyDescent="0.25">
      <c r="A1900" t="s">
        <v>14</v>
      </c>
      <c r="B1900" t="s">
        <v>40</v>
      </c>
      <c r="C1900" t="s">
        <v>15</v>
      </c>
      <c r="D1900" t="s">
        <v>33</v>
      </c>
      <c r="E1900" t="s">
        <v>26</v>
      </c>
      <c r="F1900" t="s">
        <v>19</v>
      </c>
      <c r="G1900" s="1" t="str">
        <f t="shared" si="362"/>
        <v>...</v>
      </c>
      <c r="H1900" s="1" t="str">
        <f t="shared" si="362"/>
        <v>...</v>
      </c>
      <c r="I1900" s="1" t="str">
        <f t="shared" si="362"/>
        <v>...</v>
      </c>
      <c r="J1900" s="1" t="str">
        <f t="shared" si="362"/>
        <v>...</v>
      </c>
      <c r="K1900" s="1" t="str">
        <f t="shared" si="362"/>
        <v>...</v>
      </c>
      <c r="L1900" s="1" t="str">
        <f t="shared" si="362"/>
        <v>...</v>
      </c>
      <c r="M1900" s="1" t="str">
        <f t="shared" si="362"/>
        <v>...</v>
      </c>
      <c r="N1900" t="s">
        <v>30</v>
      </c>
    </row>
    <row r="1901" spans="1:14" x14ac:dyDescent="0.25">
      <c r="A1901" t="s">
        <v>14</v>
      </c>
      <c r="B1901" t="s">
        <v>40</v>
      </c>
      <c r="C1901" t="s">
        <v>15</v>
      </c>
      <c r="D1901" t="s">
        <v>33</v>
      </c>
      <c r="E1901" t="s">
        <v>26</v>
      </c>
      <c r="F1901" t="s">
        <v>20</v>
      </c>
      <c r="G1901" s="1" t="str">
        <f t="shared" si="362"/>
        <v>...</v>
      </c>
      <c r="H1901" s="1" t="str">
        <f t="shared" si="362"/>
        <v>...</v>
      </c>
      <c r="I1901" s="1" t="str">
        <f t="shared" si="362"/>
        <v>...</v>
      </c>
      <c r="J1901" s="1" t="str">
        <f t="shared" si="362"/>
        <v>...</v>
      </c>
      <c r="K1901" s="1" t="str">
        <f t="shared" si="362"/>
        <v>...</v>
      </c>
      <c r="L1901" s="1" t="str">
        <f t="shared" si="362"/>
        <v>...</v>
      </c>
      <c r="M1901" s="1" t="str">
        <f t="shared" si="362"/>
        <v>...</v>
      </c>
      <c r="N1901" t="s">
        <v>30</v>
      </c>
    </row>
    <row r="1902" spans="1:14" x14ac:dyDescent="0.25">
      <c r="A1902" t="s">
        <v>14</v>
      </c>
      <c r="B1902" t="s">
        <v>40</v>
      </c>
      <c r="C1902" t="s">
        <v>15</v>
      </c>
      <c r="D1902" t="s">
        <v>34</v>
      </c>
      <c r="E1902" t="s">
        <v>15</v>
      </c>
      <c r="F1902" t="s">
        <v>15</v>
      </c>
      <c r="G1902" s="1">
        <f>VALUE(467.7429060969)</f>
        <v>467.74290609690001</v>
      </c>
      <c r="H1902" s="1">
        <f>VALUE(394.3506146278)</f>
        <v>394.35061462779998</v>
      </c>
      <c r="I1902" s="4">
        <f>VALUE(2640)</f>
        <v>2640</v>
      </c>
      <c r="J1902" s="5">
        <f>VALUE(4436)</f>
        <v>4436</v>
      </c>
      <c r="K1902" s="1">
        <f>VALUE(5159)</f>
        <v>5159</v>
      </c>
      <c r="L1902" s="1">
        <f>VALUE(6278)</f>
        <v>6278</v>
      </c>
      <c r="M1902" s="1">
        <f>VALUE(8048)</f>
        <v>8048</v>
      </c>
      <c r="N1902" t="s">
        <v>25</v>
      </c>
    </row>
    <row r="1903" spans="1:14" x14ac:dyDescent="0.25">
      <c r="A1903" t="s">
        <v>14</v>
      </c>
      <c r="B1903" t="s">
        <v>40</v>
      </c>
      <c r="C1903" t="s">
        <v>15</v>
      </c>
      <c r="D1903" t="s">
        <v>34</v>
      </c>
      <c r="E1903" t="s">
        <v>15</v>
      </c>
      <c r="F1903" t="s">
        <v>17</v>
      </c>
      <c r="G1903" s="1" t="str">
        <f t="shared" ref="G1903:M1905" si="363">"X"</f>
        <v>X</v>
      </c>
      <c r="H1903" s="1" t="str">
        <f t="shared" si="363"/>
        <v>X</v>
      </c>
      <c r="I1903" s="1" t="str">
        <f t="shared" si="363"/>
        <v>X</v>
      </c>
      <c r="J1903" s="1" t="str">
        <f t="shared" si="363"/>
        <v>X</v>
      </c>
      <c r="K1903" s="1" t="str">
        <f t="shared" si="363"/>
        <v>X</v>
      </c>
      <c r="L1903" s="1" t="str">
        <f t="shared" si="363"/>
        <v>X</v>
      </c>
      <c r="M1903" s="1" t="str">
        <f t="shared" si="363"/>
        <v>X</v>
      </c>
      <c r="N1903" t="s">
        <v>27</v>
      </c>
    </row>
    <row r="1904" spans="1:14" x14ac:dyDescent="0.25">
      <c r="A1904" t="s">
        <v>14</v>
      </c>
      <c r="B1904" t="s">
        <v>40</v>
      </c>
      <c r="C1904" t="s">
        <v>15</v>
      </c>
      <c r="D1904" t="s">
        <v>34</v>
      </c>
      <c r="E1904" t="s">
        <v>15</v>
      </c>
      <c r="F1904" t="s">
        <v>18</v>
      </c>
      <c r="G1904" s="1" t="str">
        <f t="shared" si="363"/>
        <v>X</v>
      </c>
      <c r="H1904" s="1" t="str">
        <f t="shared" si="363"/>
        <v>X</v>
      </c>
      <c r="I1904" s="1" t="str">
        <f t="shared" si="363"/>
        <v>X</v>
      </c>
      <c r="J1904" s="1" t="str">
        <f t="shared" si="363"/>
        <v>X</v>
      </c>
      <c r="K1904" s="1" t="str">
        <f t="shared" si="363"/>
        <v>X</v>
      </c>
      <c r="L1904" s="1" t="str">
        <f t="shared" si="363"/>
        <v>X</v>
      </c>
      <c r="M1904" s="1" t="str">
        <f t="shared" si="363"/>
        <v>X</v>
      </c>
      <c r="N1904" t="s">
        <v>27</v>
      </c>
    </row>
    <row r="1905" spans="1:14" x14ac:dyDescent="0.25">
      <c r="A1905" t="s">
        <v>14</v>
      </c>
      <c r="B1905" t="s">
        <v>40</v>
      </c>
      <c r="C1905" t="s">
        <v>15</v>
      </c>
      <c r="D1905" t="s">
        <v>34</v>
      </c>
      <c r="E1905" t="s">
        <v>15</v>
      </c>
      <c r="F1905" t="s">
        <v>19</v>
      </c>
      <c r="G1905" s="1" t="str">
        <f t="shared" si="363"/>
        <v>X</v>
      </c>
      <c r="H1905" s="1" t="str">
        <f t="shared" si="363"/>
        <v>X</v>
      </c>
      <c r="I1905" s="1" t="str">
        <f t="shared" si="363"/>
        <v>X</v>
      </c>
      <c r="J1905" s="1" t="str">
        <f t="shared" si="363"/>
        <v>X</v>
      </c>
      <c r="K1905" s="1" t="str">
        <f t="shared" si="363"/>
        <v>X</v>
      </c>
      <c r="L1905" s="1" t="str">
        <f t="shared" si="363"/>
        <v>X</v>
      </c>
      <c r="M1905" s="1" t="str">
        <f t="shared" si="363"/>
        <v>X</v>
      </c>
      <c r="N1905" t="s">
        <v>27</v>
      </c>
    </row>
    <row r="1906" spans="1:14" x14ac:dyDescent="0.25">
      <c r="A1906" t="s">
        <v>14</v>
      </c>
      <c r="B1906" t="s">
        <v>40</v>
      </c>
      <c r="C1906" t="s">
        <v>15</v>
      </c>
      <c r="D1906" t="s">
        <v>34</v>
      </c>
      <c r="E1906" t="s">
        <v>15</v>
      </c>
      <c r="F1906" t="s">
        <v>20</v>
      </c>
      <c r="G1906" s="1">
        <f>VALUE(380.2592051877)</f>
        <v>380.25920518769999</v>
      </c>
      <c r="H1906" s="1">
        <f>VALUE(318.284721669)</f>
        <v>318.28472166900002</v>
      </c>
      <c r="I1906" s="4">
        <f>VALUE(2430)</f>
        <v>2430</v>
      </c>
      <c r="J1906" s="5">
        <f>VALUE(3987)</f>
        <v>3987</v>
      </c>
      <c r="K1906" s="1">
        <f>VALUE(4929)</f>
        <v>4929</v>
      </c>
      <c r="L1906" s="1">
        <f>VALUE(5796)</f>
        <v>5796</v>
      </c>
      <c r="M1906" s="1">
        <f>VALUE(6957)</f>
        <v>6957</v>
      </c>
      <c r="N1906" t="s">
        <v>25</v>
      </c>
    </row>
    <row r="1907" spans="1:14" x14ac:dyDescent="0.25">
      <c r="A1907" t="s">
        <v>14</v>
      </c>
      <c r="B1907" t="s">
        <v>40</v>
      </c>
      <c r="C1907" t="s">
        <v>15</v>
      </c>
      <c r="D1907" t="s">
        <v>34</v>
      </c>
      <c r="E1907" t="s">
        <v>21</v>
      </c>
      <c r="F1907" t="s">
        <v>15</v>
      </c>
      <c r="G1907" s="2">
        <f>VALUE(105.7200378176)</f>
        <v>105.7200378176</v>
      </c>
      <c r="H1907" s="3">
        <f>VALUE(86.7096602442)</f>
        <v>86.709660244199995</v>
      </c>
      <c r="I1907" s="1">
        <f>VALUE(4541)</f>
        <v>4541</v>
      </c>
      <c r="J1907" s="1">
        <f>VALUE(4952)</f>
        <v>4952</v>
      </c>
      <c r="K1907" s="1">
        <f>VALUE(5674)</f>
        <v>5674</v>
      </c>
      <c r="L1907" s="1">
        <f>VALUE(7635)</f>
        <v>7635</v>
      </c>
      <c r="M1907" s="1">
        <f>VALUE(8839)</f>
        <v>8839</v>
      </c>
      <c r="N1907" t="s">
        <v>25</v>
      </c>
    </row>
    <row r="1908" spans="1:14" x14ac:dyDescent="0.25">
      <c r="A1908" t="s">
        <v>14</v>
      </c>
      <c r="B1908" t="s">
        <v>40</v>
      </c>
      <c r="C1908" t="s">
        <v>15</v>
      </c>
      <c r="D1908" t="s">
        <v>34</v>
      </c>
      <c r="E1908" t="s">
        <v>21</v>
      </c>
      <c r="F1908" t="s">
        <v>17</v>
      </c>
      <c r="G1908" s="1" t="str">
        <f t="shared" ref="G1908:M1911" si="364">"X"</f>
        <v>X</v>
      </c>
      <c r="H1908" s="1" t="str">
        <f t="shared" si="364"/>
        <v>X</v>
      </c>
      <c r="I1908" s="1" t="str">
        <f t="shared" si="364"/>
        <v>X</v>
      </c>
      <c r="J1908" s="1" t="str">
        <f t="shared" si="364"/>
        <v>X</v>
      </c>
      <c r="K1908" s="1" t="str">
        <f t="shared" si="364"/>
        <v>X</v>
      </c>
      <c r="L1908" s="1" t="str">
        <f t="shared" si="364"/>
        <v>X</v>
      </c>
      <c r="M1908" s="1" t="str">
        <f t="shared" si="364"/>
        <v>X</v>
      </c>
      <c r="N1908" t="s">
        <v>27</v>
      </c>
    </row>
    <row r="1909" spans="1:14" x14ac:dyDescent="0.25">
      <c r="A1909" t="s">
        <v>14</v>
      </c>
      <c r="B1909" t="s">
        <v>40</v>
      </c>
      <c r="C1909" t="s">
        <v>15</v>
      </c>
      <c r="D1909" t="s">
        <v>34</v>
      </c>
      <c r="E1909" t="s">
        <v>21</v>
      </c>
      <c r="F1909" t="s">
        <v>18</v>
      </c>
      <c r="G1909" s="1" t="str">
        <f t="shared" si="364"/>
        <v>X</v>
      </c>
      <c r="H1909" s="1" t="str">
        <f t="shared" si="364"/>
        <v>X</v>
      </c>
      <c r="I1909" s="1" t="str">
        <f t="shared" si="364"/>
        <v>X</v>
      </c>
      <c r="J1909" s="1" t="str">
        <f t="shared" si="364"/>
        <v>X</v>
      </c>
      <c r="K1909" s="1" t="str">
        <f t="shared" si="364"/>
        <v>X</v>
      </c>
      <c r="L1909" s="1" t="str">
        <f t="shared" si="364"/>
        <v>X</v>
      </c>
      <c r="M1909" s="1" t="str">
        <f t="shared" si="364"/>
        <v>X</v>
      </c>
      <c r="N1909" t="s">
        <v>27</v>
      </c>
    </row>
    <row r="1910" spans="1:14" x14ac:dyDescent="0.25">
      <c r="A1910" t="s">
        <v>14</v>
      </c>
      <c r="B1910" t="s">
        <v>40</v>
      </c>
      <c r="C1910" t="s">
        <v>15</v>
      </c>
      <c r="D1910" t="s">
        <v>34</v>
      </c>
      <c r="E1910" t="s">
        <v>21</v>
      </c>
      <c r="F1910" t="s">
        <v>19</v>
      </c>
      <c r="G1910" s="1" t="str">
        <f t="shared" si="364"/>
        <v>X</v>
      </c>
      <c r="H1910" s="1" t="str">
        <f t="shared" si="364"/>
        <v>X</v>
      </c>
      <c r="I1910" s="1" t="str">
        <f t="shared" si="364"/>
        <v>X</v>
      </c>
      <c r="J1910" s="1" t="str">
        <f t="shared" si="364"/>
        <v>X</v>
      </c>
      <c r="K1910" s="1" t="str">
        <f t="shared" si="364"/>
        <v>X</v>
      </c>
      <c r="L1910" s="1" t="str">
        <f t="shared" si="364"/>
        <v>X</v>
      </c>
      <c r="M1910" s="1" t="str">
        <f t="shared" si="364"/>
        <v>X</v>
      </c>
      <c r="N1910" t="s">
        <v>27</v>
      </c>
    </row>
    <row r="1911" spans="1:14" x14ac:dyDescent="0.25">
      <c r="A1911" t="s">
        <v>14</v>
      </c>
      <c r="B1911" t="s">
        <v>40</v>
      </c>
      <c r="C1911" t="s">
        <v>15</v>
      </c>
      <c r="D1911" t="s">
        <v>34</v>
      </c>
      <c r="E1911" t="s">
        <v>21</v>
      </c>
      <c r="F1911" t="s">
        <v>20</v>
      </c>
      <c r="G1911" s="1" t="str">
        <f t="shared" si="364"/>
        <v>X</v>
      </c>
      <c r="H1911" s="1" t="str">
        <f t="shared" si="364"/>
        <v>X</v>
      </c>
      <c r="I1911" s="1" t="str">
        <f t="shared" si="364"/>
        <v>X</v>
      </c>
      <c r="J1911" s="1" t="str">
        <f t="shared" si="364"/>
        <v>X</v>
      </c>
      <c r="K1911" s="1" t="str">
        <f t="shared" si="364"/>
        <v>X</v>
      </c>
      <c r="L1911" s="1" t="str">
        <f t="shared" si="364"/>
        <v>X</v>
      </c>
      <c r="M1911" s="1" t="str">
        <f t="shared" si="364"/>
        <v>X</v>
      </c>
      <c r="N1911" t="s">
        <v>27</v>
      </c>
    </row>
    <row r="1912" spans="1:14" x14ac:dyDescent="0.25">
      <c r="A1912" t="s">
        <v>14</v>
      </c>
      <c r="B1912" t="s">
        <v>40</v>
      </c>
      <c r="C1912" t="s">
        <v>15</v>
      </c>
      <c r="D1912" t="s">
        <v>34</v>
      </c>
      <c r="E1912" t="s">
        <v>22</v>
      </c>
      <c r="F1912" t="s">
        <v>15</v>
      </c>
      <c r="G1912" s="1">
        <f>VALUE(203.2038718328)</f>
        <v>203.20387183279999</v>
      </c>
      <c r="H1912" s="1">
        <f>VALUE(179.1113963602)</f>
        <v>179.11139636019999</v>
      </c>
      <c r="I1912" s="4">
        <f>VALUE(3810)</f>
        <v>3810</v>
      </c>
      <c r="J1912" s="1">
        <f>VALUE(4817)</f>
        <v>4817</v>
      </c>
      <c r="K1912" s="1">
        <f>VALUE(5546)</f>
        <v>5546</v>
      </c>
      <c r="L1912" s="1">
        <f>VALUE(6627)</f>
        <v>6627</v>
      </c>
      <c r="M1912" s="1">
        <f>VALUE(8390)</f>
        <v>8390</v>
      </c>
      <c r="N1912" t="s">
        <v>25</v>
      </c>
    </row>
    <row r="1913" spans="1:14" x14ac:dyDescent="0.25">
      <c r="A1913" t="s">
        <v>14</v>
      </c>
      <c r="B1913" t="s">
        <v>40</v>
      </c>
      <c r="C1913" t="s">
        <v>15</v>
      </c>
      <c r="D1913" t="s">
        <v>34</v>
      </c>
      <c r="E1913" t="s">
        <v>22</v>
      </c>
      <c r="F1913" t="s">
        <v>17</v>
      </c>
      <c r="G1913" s="1" t="str">
        <f t="shared" ref="G1913:M1915" si="365">"X"</f>
        <v>X</v>
      </c>
      <c r="H1913" s="1" t="str">
        <f t="shared" si="365"/>
        <v>X</v>
      </c>
      <c r="I1913" s="1" t="str">
        <f t="shared" si="365"/>
        <v>X</v>
      </c>
      <c r="J1913" s="1" t="str">
        <f t="shared" si="365"/>
        <v>X</v>
      </c>
      <c r="K1913" s="1" t="str">
        <f t="shared" si="365"/>
        <v>X</v>
      </c>
      <c r="L1913" s="1" t="str">
        <f t="shared" si="365"/>
        <v>X</v>
      </c>
      <c r="M1913" s="1" t="str">
        <f t="shared" si="365"/>
        <v>X</v>
      </c>
      <c r="N1913" t="s">
        <v>27</v>
      </c>
    </row>
    <row r="1914" spans="1:14" x14ac:dyDescent="0.25">
      <c r="A1914" t="s">
        <v>14</v>
      </c>
      <c r="B1914" t="s">
        <v>40</v>
      </c>
      <c r="C1914" t="s">
        <v>15</v>
      </c>
      <c r="D1914" t="s">
        <v>34</v>
      </c>
      <c r="E1914" t="s">
        <v>22</v>
      </c>
      <c r="F1914" t="s">
        <v>18</v>
      </c>
      <c r="G1914" s="1" t="str">
        <f t="shared" si="365"/>
        <v>X</v>
      </c>
      <c r="H1914" s="1" t="str">
        <f t="shared" si="365"/>
        <v>X</v>
      </c>
      <c r="I1914" s="1" t="str">
        <f t="shared" si="365"/>
        <v>X</v>
      </c>
      <c r="J1914" s="1" t="str">
        <f t="shared" si="365"/>
        <v>X</v>
      </c>
      <c r="K1914" s="1" t="str">
        <f t="shared" si="365"/>
        <v>X</v>
      </c>
      <c r="L1914" s="1" t="str">
        <f t="shared" si="365"/>
        <v>X</v>
      </c>
      <c r="M1914" s="1" t="str">
        <f t="shared" si="365"/>
        <v>X</v>
      </c>
      <c r="N1914" t="s">
        <v>27</v>
      </c>
    </row>
    <row r="1915" spans="1:14" x14ac:dyDescent="0.25">
      <c r="A1915" t="s">
        <v>14</v>
      </c>
      <c r="B1915" t="s">
        <v>40</v>
      </c>
      <c r="C1915" t="s">
        <v>15</v>
      </c>
      <c r="D1915" t="s">
        <v>34</v>
      </c>
      <c r="E1915" t="s">
        <v>22</v>
      </c>
      <c r="F1915" t="s">
        <v>19</v>
      </c>
      <c r="G1915" s="1" t="str">
        <f t="shared" si="365"/>
        <v>X</v>
      </c>
      <c r="H1915" s="1" t="str">
        <f t="shared" si="365"/>
        <v>X</v>
      </c>
      <c r="I1915" s="1" t="str">
        <f t="shared" si="365"/>
        <v>X</v>
      </c>
      <c r="J1915" s="1" t="str">
        <f t="shared" si="365"/>
        <v>X</v>
      </c>
      <c r="K1915" s="1" t="str">
        <f t="shared" si="365"/>
        <v>X</v>
      </c>
      <c r="L1915" s="1" t="str">
        <f t="shared" si="365"/>
        <v>X</v>
      </c>
      <c r="M1915" s="1" t="str">
        <f t="shared" si="365"/>
        <v>X</v>
      </c>
      <c r="N1915" t="s">
        <v>27</v>
      </c>
    </row>
    <row r="1916" spans="1:14" x14ac:dyDescent="0.25">
      <c r="A1916" t="s">
        <v>14</v>
      </c>
      <c r="B1916" t="s">
        <v>40</v>
      </c>
      <c r="C1916" t="s">
        <v>15</v>
      </c>
      <c r="D1916" t="s">
        <v>34</v>
      </c>
      <c r="E1916" t="s">
        <v>22</v>
      </c>
      <c r="F1916" t="s">
        <v>20</v>
      </c>
      <c r="G1916" s="2">
        <f>VALUE(160.7962182189)</f>
        <v>160.79621821890001</v>
      </c>
      <c r="H1916" s="3">
        <f>VALUE(137.1569137527)</f>
        <v>137.15691375270001</v>
      </c>
      <c r="I1916" s="1">
        <f>VALUE(2571)</f>
        <v>2571</v>
      </c>
      <c r="J1916" s="1">
        <f>VALUE(4579)</f>
        <v>4579</v>
      </c>
      <c r="K1916" s="1">
        <f>VALUE(5143)</f>
        <v>5143</v>
      </c>
      <c r="L1916" s="1">
        <f>VALUE(5881)</f>
        <v>5881</v>
      </c>
      <c r="M1916" s="1">
        <f>VALUE(6945)</f>
        <v>6945</v>
      </c>
      <c r="N1916" t="s">
        <v>25</v>
      </c>
    </row>
    <row r="1917" spans="1:14" x14ac:dyDescent="0.25">
      <c r="A1917" t="s">
        <v>14</v>
      </c>
      <c r="B1917" t="s">
        <v>40</v>
      </c>
      <c r="C1917" t="s">
        <v>15</v>
      </c>
      <c r="D1917" t="s">
        <v>34</v>
      </c>
      <c r="E1917" t="s">
        <v>23</v>
      </c>
      <c r="F1917" t="s">
        <v>15</v>
      </c>
      <c r="G1917" s="2">
        <f>VALUE(153.5729020277)</f>
        <v>153.5729020277</v>
      </c>
      <c r="H1917" s="3">
        <f>VALUE(123.0211588838)</f>
        <v>123.0211588838</v>
      </c>
      <c r="I1917" s="1">
        <f>VALUE(2400)</f>
        <v>2400</v>
      </c>
      <c r="J1917" s="1">
        <f>VALUE(2757)</f>
        <v>2757</v>
      </c>
      <c r="K1917" s="1">
        <f>VALUE(4421)</f>
        <v>4421</v>
      </c>
      <c r="L1917" s="1">
        <f>VALUE(5034)</f>
        <v>5034</v>
      </c>
      <c r="M1917" s="1">
        <f>VALUE(5952)</f>
        <v>5952</v>
      </c>
      <c r="N1917" t="s">
        <v>25</v>
      </c>
    </row>
    <row r="1918" spans="1:14" x14ac:dyDescent="0.25">
      <c r="A1918" t="s">
        <v>14</v>
      </c>
      <c r="B1918" t="s">
        <v>40</v>
      </c>
      <c r="C1918" t="s">
        <v>15</v>
      </c>
      <c r="D1918" t="s">
        <v>34</v>
      </c>
      <c r="E1918" t="s">
        <v>23</v>
      </c>
      <c r="F1918" t="s">
        <v>17</v>
      </c>
      <c r="G1918" s="1" t="str">
        <f t="shared" ref="G1918:M1918" si="366">"..."</f>
        <v>...</v>
      </c>
      <c r="H1918" s="1" t="str">
        <f t="shared" si="366"/>
        <v>...</v>
      </c>
      <c r="I1918" s="1" t="str">
        <f t="shared" si="366"/>
        <v>...</v>
      </c>
      <c r="J1918" s="1" t="str">
        <f t="shared" si="366"/>
        <v>...</v>
      </c>
      <c r="K1918" s="1" t="str">
        <f t="shared" si="366"/>
        <v>...</v>
      </c>
      <c r="L1918" s="1" t="str">
        <f t="shared" si="366"/>
        <v>...</v>
      </c>
      <c r="M1918" s="1" t="str">
        <f t="shared" si="366"/>
        <v>...</v>
      </c>
      <c r="N1918" t="s">
        <v>30</v>
      </c>
    </row>
    <row r="1919" spans="1:14" x14ac:dyDescent="0.25">
      <c r="A1919" t="s">
        <v>14</v>
      </c>
      <c r="B1919" t="s">
        <v>40</v>
      </c>
      <c r="C1919" t="s">
        <v>15</v>
      </c>
      <c r="D1919" t="s">
        <v>34</v>
      </c>
      <c r="E1919" t="s">
        <v>23</v>
      </c>
      <c r="F1919" t="s">
        <v>18</v>
      </c>
      <c r="G1919" s="1" t="str">
        <f t="shared" ref="G1919:M1919" si="367">"X"</f>
        <v>X</v>
      </c>
      <c r="H1919" s="1" t="str">
        <f t="shared" si="367"/>
        <v>X</v>
      </c>
      <c r="I1919" s="1" t="str">
        <f t="shared" si="367"/>
        <v>X</v>
      </c>
      <c r="J1919" s="1" t="str">
        <f t="shared" si="367"/>
        <v>X</v>
      </c>
      <c r="K1919" s="1" t="str">
        <f t="shared" si="367"/>
        <v>X</v>
      </c>
      <c r="L1919" s="1" t="str">
        <f t="shared" si="367"/>
        <v>X</v>
      </c>
      <c r="M1919" s="1" t="str">
        <f t="shared" si="367"/>
        <v>X</v>
      </c>
      <c r="N1919" t="s">
        <v>27</v>
      </c>
    </row>
    <row r="1920" spans="1:14" x14ac:dyDescent="0.25">
      <c r="A1920" t="s">
        <v>14</v>
      </c>
      <c r="B1920" t="s">
        <v>40</v>
      </c>
      <c r="C1920" t="s">
        <v>15</v>
      </c>
      <c r="D1920" t="s">
        <v>34</v>
      </c>
      <c r="E1920" t="s">
        <v>23</v>
      </c>
      <c r="F1920" t="s">
        <v>19</v>
      </c>
      <c r="G1920" s="1" t="str">
        <f t="shared" ref="G1920:M1920" si="368">"..."</f>
        <v>...</v>
      </c>
      <c r="H1920" s="1" t="str">
        <f t="shared" si="368"/>
        <v>...</v>
      </c>
      <c r="I1920" s="1" t="str">
        <f t="shared" si="368"/>
        <v>...</v>
      </c>
      <c r="J1920" s="1" t="str">
        <f t="shared" si="368"/>
        <v>...</v>
      </c>
      <c r="K1920" s="1" t="str">
        <f t="shared" si="368"/>
        <v>...</v>
      </c>
      <c r="L1920" s="1" t="str">
        <f t="shared" si="368"/>
        <v>...</v>
      </c>
      <c r="M1920" s="1" t="str">
        <f t="shared" si="368"/>
        <v>...</v>
      </c>
      <c r="N1920" t="s">
        <v>30</v>
      </c>
    </row>
    <row r="1921" spans="1:14" x14ac:dyDescent="0.25">
      <c r="A1921" t="s">
        <v>14</v>
      </c>
      <c r="B1921" t="s">
        <v>40</v>
      </c>
      <c r="C1921" t="s">
        <v>15</v>
      </c>
      <c r="D1921" t="s">
        <v>34</v>
      </c>
      <c r="E1921" t="s">
        <v>23</v>
      </c>
      <c r="F1921" t="s">
        <v>20</v>
      </c>
      <c r="G1921" s="2">
        <f>VALUE(150.3992546469)</f>
        <v>150.3992546469</v>
      </c>
      <c r="H1921" s="3">
        <f>VALUE(121.3060062765)</f>
        <v>121.3060062765</v>
      </c>
      <c r="I1921" s="1">
        <f>VALUE(2400)</f>
        <v>2400</v>
      </c>
      <c r="J1921" s="1">
        <f>VALUE(2704)</f>
        <v>2704</v>
      </c>
      <c r="K1921" s="6">
        <f>VALUE(4421)</f>
        <v>4421</v>
      </c>
      <c r="L1921" s="1">
        <f>VALUE(4989)</f>
        <v>4989</v>
      </c>
      <c r="M1921" s="1">
        <f>VALUE(5881)</f>
        <v>5881</v>
      </c>
      <c r="N1921" t="s">
        <v>25</v>
      </c>
    </row>
    <row r="1922" spans="1:14" x14ac:dyDescent="0.25">
      <c r="A1922" t="s">
        <v>14</v>
      </c>
      <c r="B1922" t="s">
        <v>40</v>
      </c>
      <c r="C1922" t="s">
        <v>15</v>
      </c>
      <c r="D1922" t="s">
        <v>34</v>
      </c>
      <c r="E1922" t="s">
        <v>26</v>
      </c>
      <c r="F1922" t="s">
        <v>15</v>
      </c>
      <c r="G1922" s="1" t="str">
        <f t="shared" ref="G1922:M1922" si="369">"X"</f>
        <v>X</v>
      </c>
      <c r="H1922" s="1" t="str">
        <f t="shared" si="369"/>
        <v>X</v>
      </c>
      <c r="I1922" s="1" t="str">
        <f t="shared" si="369"/>
        <v>X</v>
      </c>
      <c r="J1922" s="1" t="str">
        <f t="shared" si="369"/>
        <v>X</v>
      </c>
      <c r="K1922" s="1" t="str">
        <f t="shared" si="369"/>
        <v>X</v>
      </c>
      <c r="L1922" s="1" t="str">
        <f t="shared" si="369"/>
        <v>X</v>
      </c>
      <c r="M1922" s="1" t="str">
        <f t="shared" si="369"/>
        <v>X</v>
      </c>
      <c r="N1922" t="s">
        <v>27</v>
      </c>
    </row>
    <row r="1923" spans="1:14" x14ac:dyDescent="0.25">
      <c r="A1923" t="s">
        <v>14</v>
      </c>
      <c r="B1923" t="s">
        <v>40</v>
      </c>
      <c r="C1923" t="s">
        <v>15</v>
      </c>
      <c r="D1923" t="s">
        <v>34</v>
      </c>
      <c r="E1923" t="s">
        <v>26</v>
      </c>
      <c r="F1923" t="s">
        <v>17</v>
      </c>
      <c r="G1923" s="1" t="str">
        <f t="shared" ref="G1923:M1925" si="370">"..."</f>
        <v>...</v>
      </c>
      <c r="H1923" s="1" t="str">
        <f t="shared" si="370"/>
        <v>...</v>
      </c>
      <c r="I1923" s="1" t="str">
        <f t="shared" si="370"/>
        <v>...</v>
      </c>
      <c r="J1923" s="1" t="str">
        <f t="shared" si="370"/>
        <v>...</v>
      </c>
      <c r="K1923" s="1" t="str">
        <f t="shared" si="370"/>
        <v>...</v>
      </c>
      <c r="L1923" s="1" t="str">
        <f t="shared" si="370"/>
        <v>...</v>
      </c>
      <c r="M1923" s="1" t="str">
        <f t="shared" si="370"/>
        <v>...</v>
      </c>
      <c r="N1923" t="s">
        <v>30</v>
      </c>
    </row>
    <row r="1924" spans="1:14" x14ac:dyDescent="0.25">
      <c r="A1924" t="s">
        <v>14</v>
      </c>
      <c r="B1924" t="s">
        <v>40</v>
      </c>
      <c r="C1924" t="s">
        <v>15</v>
      </c>
      <c r="D1924" t="s">
        <v>34</v>
      </c>
      <c r="E1924" t="s">
        <v>26</v>
      </c>
      <c r="F1924" t="s">
        <v>18</v>
      </c>
      <c r="G1924" s="1" t="str">
        <f t="shared" si="370"/>
        <v>...</v>
      </c>
      <c r="H1924" s="1" t="str">
        <f t="shared" si="370"/>
        <v>...</v>
      </c>
      <c r="I1924" s="1" t="str">
        <f t="shared" si="370"/>
        <v>...</v>
      </c>
      <c r="J1924" s="1" t="str">
        <f t="shared" si="370"/>
        <v>...</v>
      </c>
      <c r="K1924" s="1" t="str">
        <f t="shared" si="370"/>
        <v>...</v>
      </c>
      <c r="L1924" s="1" t="str">
        <f t="shared" si="370"/>
        <v>...</v>
      </c>
      <c r="M1924" s="1" t="str">
        <f t="shared" si="370"/>
        <v>...</v>
      </c>
      <c r="N1924" t="s">
        <v>30</v>
      </c>
    </row>
    <row r="1925" spans="1:14" x14ac:dyDescent="0.25">
      <c r="A1925" t="s">
        <v>14</v>
      </c>
      <c r="B1925" t="s">
        <v>40</v>
      </c>
      <c r="C1925" t="s">
        <v>15</v>
      </c>
      <c r="D1925" t="s">
        <v>34</v>
      </c>
      <c r="E1925" t="s">
        <v>26</v>
      </c>
      <c r="F1925" t="s">
        <v>19</v>
      </c>
      <c r="G1925" s="1" t="str">
        <f t="shared" si="370"/>
        <v>...</v>
      </c>
      <c r="H1925" s="1" t="str">
        <f t="shared" si="370"/>
        <v>...</v>
      </c>
      <c r="I1925" s="1" t="str">
        <f t="shared" si="370"/>
        <v>...</v>
      </c>
      <c r="J1925" s="1" t="str">
        <f t="shared" si="370"/>
        <v>...</v>
      </c>
      <c r="K1925" s="1" t="str">
        <f t="shared" si="370"/>
        <v>...</v>
      </c>
      <c r="L1925" s="1" t="str">
        <f t="shared" si="370"/>
        <v>...</v>
      </c>
      <c r="M1925" s="1" t="str">
        <f t="shared" si="370"/>
        <v>...</v>
      </c>
      <c r="N1925" t="s">
        <v>30</v>
      </c>
    </row>
    <row r="1926" spans="1:14" x14ac:dyDescent="0.25">
      <c r="A1926" t="s">
        <v>14</v>
      </c>
      <c r="B1926" t="s">
        <v>40</v>
      </c>
      <c r="C1926" t="s">
        <v>15</v>
      </c>
      <c r="D1926" t="s">
        <v>34</v>
      </c>
      <c r="E1926" t="s">
        <v>26</v>
      </c>
      <c r="F1926" t="s">
        <v>20</v>
      </c>
      <c r="G1926" s="1" t="str">
        <f t="shared" ref="G1926:M1926" si="371">"X"</f>
        <v>X</v>
      </c>
      <c r="H1926" s="1" t="str">
        <f t="shared" si="371"/>
        <v>X</v>
      </c>
      <c r="I1926" s="1" t="str">
        <f t="shared" si="371"/>
        <v>X</v>
      </c>
      <c r="J1926" s="1" t="str">
        <f t="shared" si="371"/>
        <v>X</v>
      </c>
      <c r="K1926" s="1" t="str">
        <f t="shared" si="371"/>
        <v>X</v>
      </c>
      <c r="L1926" s="1" t="str">
        <f t="shared" si="371"/>
        <v>X</v>
      </c>
      <c r="M1926" s="1" t="str">
        <f t="shared" si="371"/>
        <v>X</v>
      </c>
      <c r="N1926" t="s">
        <v>27</v>
      </c>
    </row>
    <row r="1927" spans="1:14" x14ac:dyDescent="0.25">
      <c r="A1927" t="s">
        <v>14</v>
      </c>
      <c r="B1927" t="s">
        <v>40</v>
      </c>
      <c r="C1927" t="s">
        <v>35</v>
      </c>
      <c r="D1927" t="s">
        <v>15</v>
      </c>
      <c r="E1927" t="s">
        <v>15</v>
      </c>
      <c r="F1927" t="s">
        <v>15</v>
      </c>
      <c r="G1927" s="1">
        <f>VALUE(3606.2567319708)</f>
        <v>3606.2567319708</v>
      </c>
      <c r="H1927" s="1">
        <f>VALUE(3268.9855164574)</f>
        <v>3268.9855164574001</v>
      </c>
      <c r="I1927" s="1">
        <f>VALUE(2471)</f>
        <v>2471</v>
      </c>
      <c r="J1927" s="1">
        <f>VALUE(2884)</f>
        <v>2884</v>
      </c>
      <c r="K1927" s="1">
        <f>VALUE(3381)</f>
        <v>3381</v>
      </c>
      <c r="L1927" s="1">
        <f>VALUE(3881)</f>
        <v>3881</v>
      </c>
      <c r="M1927" s="1">
        <f>VALUE(4436)</f>
        <v>4436</v>
      </c>
      <c r="N1927" t="s">
        <v>16</v>
      </c>
    </row>
    <row r="1928" spans="1:14" x14ac:dyDescent="0.25">
      <c r="A1928" t="s">
        <v>14</v>
      </c>
      <c r="B1928" t="s">
        <v>40</v>
      </c>
      <c r="C1928" t="s">
        <v>35</v>
      </c>
      <c r="D1928" t="s">
        <v>15</v>
      </c>
      <c r="E1928" t="s">
        <v>15</v>
      </c>
      <c r="F1928" t="s">
        <v>17</v>
      </c>
      <c r="G1928" s="1" t="str">
        <f t="shared" ref="G1928:M1928" si="372">"X"</f>
        <v>X</v>
      </c>
      <c r="H1928" s="1" t="str">
        <f t="shared" si="372"/>
        <v>X</v>
      </c>
      <c r="I1928" s="1" t="str">
        <f t="shared" si="372"/>
        <v>X</v>
      </c>
      <c r="J1928" s="1" t="str">
        <f t="shared" si="372"/>
        <v>X</v>
      </c>
      <c r="K1928" s="1" t="str">
        <f t="shared" si="372"/>
        <v>X</v>
      </c>
      <c r="L1928" s="1" t="str">
        <f t="shared" si="372"/>
        <v>X</v>
      </c>
      <c r="M1928" s="1" t="str">
        <f t="shared" si="372"/>
        <v>X</v>
      </c>
      <c r="N1928" t="s">
        <v>27</v>
      </c>
    </row>
    <row r="1929" spans="1:14" x14ac:dyDescent="0.25">
      <c r="A1929" t="s">
        <v>14</v>
      </c>
      <c r="B1929" t="s">
        <v>40</v>
      </c>
      <c r="C1929" t="s">
        <v>35</v>
      </c>
      <c r="D1929" t="s">
        <v>15</v>
      </c>
      <c r="E1929" t="s">
        <v>15</v>
      </c>
      <c r="F1929" t="s">
        <v>18</v>
      </c>
      <c r="G1929" s="2">
        <f>VALUE(263.684675644)</f>
        <v>263.68467564399998</v>
      </c>
      <c r="H1929" s="3">
        <f>VALUE(251.5587709332)</f>
        <v>251.55877093320001</v>
      </c>
      <c r="I1929" s="1">
        <f>VALUE(3063)</f>
        <v>3063</v>
      </c>
      <c r="J1929" s="1">
        <f>VALUE(3529)</f>
        <v>3529</v>
      </c>
      <c r="K1929" s="1">
        <f>VALUE(3765)</f>
        <v>3765</v>
      </c>
      <c r="L1929" s="7">
        <f>VALUE(4008)</f>
        <v>4008</v>
      </c>
      <c r="M1929" s="8">
        <f>VALUE(4520)</f>
        <v>4520</v>
      </c>
      <c r="N1929" t="s">
        <v>25</v>
      </c>
    </row>
    <row r="1930" spans="1:14" x14ac:dyDescent="0.25">
      <c r="A1930" t="s">
        <v>14</v>
      </c>
      <c r="B1930" t="s">
        <v>40</v>
      </c>
      <c r="C1930" t="s">
        <v>35</v>
      </c>
      <c r="D1930" t="s">
        <v>15</v>
      </c>
      <c r="E1930" t="s">
        <v>15</v>
      </c>
      <c r="F1930" t="s">
        <v>19</v>
      </c>
      <c r="G1930" s="2">
        <f>VALUE(315.3462458901)</f>
        <v>315.34624589010002</v>
      </c>
      <c r="H1930" s="3">
        <f>VALUE(291.3839721419)</f>
        <v>291.38397214190002</v>
      </c>
      <c r="I1930" s="1">
        <f>VALUE(2961)</f>
        <v>2961</v>
      </c>
      <c r="J1930" s="1">
        <f>VALUE(3253)</f>
        <v>3253</v>
      </c>
      <c r="K1930" s="1">
        <f>VALUE(3589)</f>
        <v>3589</v>
      </c>
      <c r="L1930" s="1">
        <f>VALUE(4151)</f>
        <v>4151</v>
      </c>
      <c r="M1930" s="1">
        <f>VALUE(4578)</f>
        <v>4578</v>
      </c>
      <c r="N1930" t="s">
        <v>25</v>
      </c>
    </row>
    <row r="1931" spans="1:14" x14ac:dyDescent="0.25">
      <c r="A1931" t="s">
        <v>14</v>
      </c>
      <c r="B1931" t="s">
        <v>40</v>
      </c>
      <c r="C1931" t="s">
        <v>35</v>
      </c>
      <c r="D1931" t="s">
        <v>15</v>
      </c>
      <c r="E1931" t="s">
        <v>15</v>
      </c>
      <c r="F1931" t="s">
        <v>20</v>
      </c>
      <c r="G1931" s="1">
        <f>VALUE(2949.04009914)</f>
        <v>2949.0400991400002</v>
      </c>
      <c r="H1931" s="1">
        <f>VALUE(2669.8047512842)</f>
        <v>2669.8047512841999</v>
      </c>
      <c r="I1931" s="1">
        <f>VALUE(2430)</f>
        <v>2430</v>
      </c>
      <c r="J1931" s="1">
        <f>VALUE(2759)</f>
        <v>2759</v>
      </c>
      <c r="K1931" s="1">
        <f>VALUE(3250)</f>
        <v>3250</v>
      </c>
      <c r="L1931" s="1">
        <f>VALUE(3828)</f>
        <v>3828</v>
      </c>
      <c r="M1931" s="1">
        <f>VALUE(4374)</f>
        <v>4374</v>
      </c>
      <c r="N1931" t="s">
        <v>16</v>
      </c>
    </row>
    <row r="1932" spans="1:14" x14ac:dyDescent="0.25">
      <c r="A1932" t="s">
        <v>14</v>
      </c>
      <c r="B1932" t="s">
        <v>40</v>
      </c>
      <c r="C1932" t="s">
        <v>35</v>
      </c>
      <c r="D1932" t="s">
        <v>15</v>
      </c>
      <c r="E1932" t="s">
        <v>21</v>
      </c>
      <c r="F1932" t="s">
        <v>15</v>
      </c>
      <c r="G1932" s="2">
        <f>VALUE(345.7357257865)</f>
        <v>345.73572578649998</v>
      </c>
      <c r="H1932" s="3">
        <f>VALUE(283.327153231)</f>
        <v>283.32715323100001</v>
      </c>
      <c r="I1932" s="4">
        <f>VALUE(3023)</f>
        <v>3023</v>
      </c>
      <c r="J1932" s="1">
        <f>VALUE(3471)</f>
        <v>3471</v>
      </c>
      <c r="K1932" s="1">
        <f>VALUE(3987)</f>
        <v>3987</v>
      </c>
      <c r="L1932" s="1">
        <f>VALUE(4698)</f>
        <v>4698</v>
      </c>
      <c r="M1932" s="8">
        <f>VALUE(5300)</f>
        <v>5300</v>
      </c>
      <c r="N1932" t="s">
        <v>25</v>
      </c>
    </row>
    <row r="1933" spans="1:14" x14ac:dyDescent="0.25">
      <c r="A1933" t="s">
        <v>14</v>
      </c>
      <c r="B1933" t="s">
        <v>40</v>
      </c>
      <c r="C1933" t="s">
        <v>35</v>
      </c>
      <c r="D1933" t="s">
        <v>15</v>
      </c>
      <c r="E1933" t="s">
        <v>21</v>
      </c>
      <c r="F1933" t="s">
        <v>17</v>
      </c>
      <c r="G1933" s="1" t="str">
        <f t="shared" ref="G1933:M1935" si="373">"X"</f>
        <v>X</v>
      </c>
      <c r="H1933" s="1" t="str">
        <f t="shared" si="373"/>
        <v>X</v>
      </c>
      <c r="I1933" s="1" t="str">
        <f t="shared" si="373"/>
        <v>X</v>
      </c>
      <c r="J1933" s="1" t="str">
        <f t="shared" si="373"/>
        <v>X</v>
      </c>
      <c r="K1933" s="1" t="str">
        <f t="shared" si="373"/>
        <v>X</v>
      </c>
      <c r="L1933" s="1" t="str">
        <f t="shared" si="373"/>
        <v>X</v>
      </c>
      <c r="M1933" s="1" t="str">
        <f t="shared" si="373"/>
        <v>X</v>
      </c>
      <c r="N1933" t="s">
        <v>27</v>
      </c>
    </row>
    <row r="1934" spans="1:14" x14ac:dyDescent="0.25">
      <c r="A1934" t="s">
        <v>14</v>
      </c>
      <c r="B1934" t="s">
        <v>40</v>
      </c>
      <c r="C1934" t="s">
        <v>35</v>
      </c>
      <c r="D1934" t="s">
        <v>15</v>
      </c>
      <c r="E1934" t="s">
        <v>21</v>
      </c>
      <c r="F1934" t="s">
        <v>18</v>
      </c>
      <c r="G1934" s="1" t="str">
        <f t="shared" si="373"/>
        <v>X</v>
      </c>
      <c r="H1934" s="1" t="str">
        <f t="shared" si="373"/>
        <v>X</v>
      </c>
      <c r="I1934" s="1" t="str">
        <f t="shared" si="373"/>
        <v>X</v>
      </c>
      <c r="J1934" s="1" t="str">
        <f t="shared" si="373"/>
        <v>X</v>
      </c>
      <c r="K1934" s="1" t="str">
        <f t="shared" si="373"/>
        <v>X</v>
      </c>
      <c r="L1934" s="1" t="str">
        <f t="shared" si="373"/>
        <v>X</v>
      </c>
      <c r="M1934" s="1" t="str">
        <f t="shared" si="373"/>
        <v>X</v>
      </c>
      <c r="N1934" t="s">
        <v>27</v>
      </c>
    </row>
    <row r="1935" spans="1:14" x14ac:dyDescent="0.25">
      <c r="A1935" t="s">
        <v>14</v>
      </c>
      <c r="B1935" t="s">
        <v>40</v>
      </c>
      <c r="C1935" t="s">
        <v>35</v>
      </c>
      <c r="D1935" t="s">
        <v>15</v>
      </c>
      <c r="E1935" t="s">
        <v>21</v>
      </c>
      <c r="F1935" t="s">
        <v>19</v>
      </c>
      <c r="G1935" s="1" t="str">
        <f t="shared" si="373"/>
        <v>X</v>
      </c>
      <c r="H1935" s="1" t="str">
        <f t="shared" si="373"/>
        <v>X</v>
      </c>
      <c r="I1935" s="1" t="str">
        <f t="shared" si="373"/>
        <v>X</v>
      </c>
      <c r="J1935" s="1" t="str">
        <f t="shared" si="373"/>
        <v>X</v>
      </c>
      <c r="K1935" s="1" t="str">
        <f t="shared" si="373"/>
        <v>X</v>
      </c>
      <c r="L1935" s="1" t="str">
        <f t="shared" si="373"/>
        <v>X</v>
      </c>
      <c r="M1935" s="1" t="str">
        <f t="shared" si="373"/>
        <v>X</v>
      </c>
      <c r="N1935" t="s">
        <v>27</v>
      </c>
    </row>
    <row r="1936" spans="1:14" x14ac:dyDescent="0.25">
      <c r="A1936" t="s">
        <v>14</v>
      </c>
      <c r="B1936" t="s">
        <v>40</v>
      </c>
      <c r="C1936" t="s">
        <v>35</v>
      </c>
      <c r="D1936" t="s">
        <v>15</v>
      </c>
      <c r="E1936" t="s">
        <v>21</v>
      </c>
      <c r="F1936" t="s">
        <v>20</v>
      </c>
      <c r="G1936" s="2">
        <f>VALUE(200.1533285586)</f>
        <v>200.15332855860001</v>
      </c>
      <c r="H1936" s="3">
        <f>VALUE(170.0771558824)</f>
        <v>170.07715588240001</v>
      </c>
      <c r="I1936" s="4">
        <f>VALUE(3175)</f>
        <v>3175</v>
      </c>
      <c r="J1936" s="1">
        <f>VALUE(3508)</f>
        <v>3508</v>
      </c>
      <c r="K1936" s="1">
        <f>VALUE(4078)</f>
        <v>4078</v>
      </c>
      <c r="L1936" s="1">
        <f>VALUE(4828)</f>
        <v>4828</v>
      </c>
      <c r="M1936" s="8">
        <f>VALUE(5238)</f>
        <v>5238</v>
      </c>
      <c r="N1936" t="s">
        <v>25</v>
      </c>
    </row>
    <row r="1937" spans="1:14" x14ac:dyDescent="0.25">
      <c r="A1937" t="s">
        <v>14</v>
      </c>
      <c r="B1937" t="s">
        <v>40</v>
      </c>
      <c r="C1937" t="s">
        <v>35</v>
      </c>
      <c r="D1937" t="s">
        <v>15</v>
      </c>
      <c r="E1937" t="s">
        <v>22</v>
      </c>
      <c r="F1937" t="s">
        <v>15</v>
      </c>
      <c r="G1937" s="1">
        <f>VALUE(1643.8605776488)</f>
        <v>1643.8605776488</v>
      </c>
      <c r="H1937" s="1">
        <f>VALUE(1570.007625474)</f>
        <v>1570.007625474</v>
      </c>
      <c r="I1937" s="4">
        <f>VALUE(2857)</f>
        <v>2857</v>
      </c>
      <c r="J1937" s="1">
        <f>VALUE(3227)</f>
        <v>3227</v>
      </c>
      <c r="K1937" s="1">
        <f>VALUE(3616)</f>
        <v>3616</v>
      </c>
      <c r="L1937" s="1">
        <f>VALUE(4038)</f>
        <v>4038</v>
      </c>
      <c r="M1937" s="1">
        <f>VALUE(4523)</f>
        <v>4523</v>
      </c>
      <c r="N1937" t="s">
        <v>25</v>
      </c>
    </row>
    <row r="1938" spans="1:14" x14ac:dyDescent="0.25">
      <c r="A1938" t="s">
        <v>14</v>
      </c>
      <c r="B1938" t="s">
        <v>40</v>
      </c>
      <c r="C1938" t="s">
        <v>35</v>
      </c>
      <c r="D1938" t="s">
        <v>15</v>
      </c>
      <c r="E1938" t="s">
        <v>22</v>
      </c>
      <c r="F1938" t="s">
        <v>17</v>
      </c>
      <c r="G1938" s="1" t="str">
        <f t="shared" ref="G1938:M1939" si="374">"X"</f>
        <v>X</v>
      </c>
      <c r="H1938" s="1" t="str">
        <f t="shared" si="374"/>
        <v>X</v>
      </c>
      <c r="I1938" s="1" t="str">
        <f t="shared" si="374"/>
        <v>X</v>
      </c>
      <c r="J1938" s="1" t="str">
        <f t="shared" si="374"/>
        <v>X</v>
      </c>
      <c r="K1938" s="1" t="str">
        <f t="shared" si="374"/>
        <v>X</v>
      </c>
      <c r="L1938" s="1" t="str">
        <f t="shared" si="374"/>
        <v>X</v>
      </c>
      <c r="M1938" s="1" t="str">
        <f t="shared" si="374"/>
        <v>X</v>
      </c>
      <c r="N1938" t="s">
        <v>27</v>
      </c>
    </row>
    <row r="1939" spans="1:14" x14ac:dyDescent="0.25">
      <c r="A1939" t="s">
        <v>14</v>
      </c>
      <c r="B1939" t="s">
        <v>40</v>
      </c>
      <c r="C1939" t="s">
        <v>35</v>
      </c>
      <c r="D1939" t="s">
        <v>15</v>
      </c>
      <c r="E1939" t="s">
        <v>22</v>
      </c>
      <c r="F1939" t="s">
        <v>18</v>
      </c>
      <c r="G1939" s="1" t="str">
        <f t="shared" si="374"/>
        <v>X</v>
      </c>
      <c r="H1939" s="1" t="str">
        <f t="shared" si="374"/>
        <v>X</v>
      </c>
      <c r="I1939" s="1" t="str">
        <f t="shared" si="374"/>
        <v>X</v>
      </c>
      <c r="J1939" s="1" t="str">
        <f t="shared" si="374"/>
        <v>X</v>
      </c>
      <c r="K1939" s="1" t="str">
        <f t="shared" si="374"/>
        <v>X</v>
      </c>
      <c r="L1939" s="1" t="str">
        <f t="shared" si="374"/>
        <v>X</v>
      </c>
      <c r="M1939" s="1" t="str">
        <f t="shared" si="374"/>
        <v>X</v>
      </c>
      <c r="N1939" t="s">
        <v>27</v>
      </c>
    </row>
    <row r="1940" spans="1:14" x14ac:dyDescent="0.25">
      <c r="A1940" t="s">
        <v>14</v>
      </c>
      <c r="B1940" t="s">
        <v>40</v>
      </c>
      <c r="C1940" t="s">
        <v>35</v>
      </c>
      <c r="D1940" t="s">
        <v>15</v>
      </c>
      <c r="E1940" t="s">
        <v>22</v>
      </c>
      <c r="F1940" t="s">
        <v>19</v>
      </c>
      <c r="G1940" s="2">
        <f>VALUE(238.3036044826)</f>
        <v>238.30360448260001</v>
      </c>
      <c r="H1940" s="3">
        <f>VALUE(231.0682760136)</f>
        <v>231.06827601360001</v>
      </c>
      <c r="I1940" s="1">
        <f>VALUE(2986)</f>
        <v>2986</v>
      </c>
      <c r="J1940" s="1">
        <f>VALUE(3250)</f>
        <v>3250</v>
      </c>
      <c r="K1940" s="1">
        <f>VALUE(3589)</f>
        <v>3589</v>
      </c>
      <c r="L1940" s="1">
        <f>VALUE(4117)</f>
        <v>4117</v>
      </c>
      <c r="M1940" s="1">
        <f>VALUE(4550)</f>
        <v>4550</v>
      </c>
      <c r="N1940" t="s">
        <v>25</v>
      </c>
    </row>
    <row r="1941" spans="1:14" x14ac:dyDescent="0.25">
      <c r="A1941" t="s">
        <v>14</v>
      </c>
      <c r="B1941" t="s">
        <v>40</v>
      </c>
      <c r="C1941" t="s">
        <v>35</v>
      </c>
      <c r="D1941" t="s">
        <v>15</v>
      </c>
      <c r="E1941" t="s">
        <v>22</v>
      </c>
      <c r="F1941" t="s">
        <v>20</v>
      </c>
      <c r="G1941" s="2">
        <f>VALUE(1208.756443734)</f>
        <v>1208.756443734</v>
      </c>
      <c r="H1941" s="3">
        <f>VALUE(1145.5859924935)</f>
        <v>1145.5859924935</v>
      </c>
      <c r="I1941" s="4">
        <f>VALUE(2672)</f>
        <v>2672</v>
      </c>
      <c r="J1941" s="1">
        <f>VALUE(3197)</f>
        <v>3197</v>
      </c>
      <c r="K1941" s="1">
        <f>VALUE(3611)</f>
        <v>3611</v>
      </c>
      <c r="L1941" s="1">
        <f>VALUE(4038)</f>
        <v>4038</v>
      </c>
      <c r="M1941" s="1">
        <f>VALUE(4540)</f>
        <v>4540</v>
      </c>
      <c r="N1941" t="s">
        <v>25</v>
      </c>
    </row>
    <row r="1942" spans="1:14" x14ac:dyDescent="0.25">
      <c r="A1942" t="s">
        <v>14</v>
      </c>
      <c r="B1942" t="s">
        <v>40</v>
      </c>
      <c r="C1942" t="s">
        <v>35</v>
      </c>
      <c r="D1942" t="s">
        <v>15</v>
      </c>
      <c r="E1942" t="s">
        <v>23</v>
      </c>
      <c r="F1942" t="s">
        <v>15</v>
      </c>
      <c r="G1942" s="1">
        <f>VALUE(1588.6198538477)</f>
        <v>1588.6198538476999</v>
      </c>
      <c r="H1942" s="3">
        <f>VALUE(1389.0903719973)</f>
        <v>1389.0903719973001</v>
      </c>
      <c r="I1942" s="1">
        <f>VALUE(2400)</f>
        <v>2400</v>
      </c>
      <c r="J1942" s="1">
        <f>VALUE(2571)</f>
        <v>2571</v>
      </c>
      <c r="K1942" s="1">
        <f>VALUE(3000)</f>
        <v>3000</v>
      </c>
      <c r="L1942" s="1">
        <f>VALUE(3355)</f>
        <v>3355</v>
      </c>
      <c r="M1942" s="1">
        <f>VALUE(3881)</f>
        <v>3881</v>
      </c>
      <c r="N1942" t="s">
        <v>25</v>
      </c>
    </row>
    <row r="1943" spans="1:14" x14ac:dyDescent="0.25">
      <c r="A1943" t="s">
        <v>14</v>
      </c>
      <c r="B1943" t="s">
        <v>40</v>
      </c>
      <c r="C1943" t="s">
        <v>35</v>
      </c>
      <c r="D1943" t="s">
        <v>15</v>
      </c>
      <c r="E1943" t="s">
        <v>23</v>
      </c>
      <c r="F1943" t="s">
        <v>17</v>
      </c>
      <c r="G1943" s="1" t="str">
        <f t="shared" ref="G1943:M1945" si="375">"X"</f>
        <v>X</v>
      </c>
      <c r="H1943" s="1" t="str">
        <f t="shared" si="375"/>
        <v>X</v>
      </c>
      <c r="I1943" s="1" t="str">
        <f t="shared" si="375"/>
        <v>X</v>
      </c>
      <c r="J1943" s="1" t="str">
        <f t="shared" si="375"/>
        <v>X</v>
      </c>
      <c r="K1943" s="1" t="str">
        <f t="shared" si="375"/>
        <v>X</v>
      </c>
      <c r="L1943" s="1" t="str">
        <f t="shared" si="375"/>
        <v>X</v>
      </c>
      <c r="M1943" s="1" t="str">
        <f t="shared" si="375"/>
        <v>X</v>
      </c>
      <c r="N1943" t="s">
        <v>27</v>
      </c>
    </row>
    <row r="1944" spans="1:14" x14ac:dyDescent="0.25">
      <c r="A1944" t="s">
        <v>14</v>
      </c>
      <c r="B1944" t="s">
        <v>40</v>
      </c>
      <c r="C1944" t="s">
        <v>35</v>
      </c>
      <c r="D1944" t="s">
        <v>15</v>
      </c>
      <c r="E1944" t="s">
        <v>23</v>
      </c>
      <c r="F1944" t="s">
        <v>18</v>
      </c>
      <c r="G1944" s="1" t="str">
        <f t="shared" si="375"/>
        <v>X</v>
      </c>
      <c r="H1944" s="1" t="str">
        <f t="shared" si="375"/>
        <v>X</v>
      </c>
      <c r="I1944" s="1" t="str">
        <f t="shared" si="375"/>
        <v>X</v>
      </c>
      <c r="J1944" s="1" t="str">
        <f t="shared" si="375"/>
        <v>X</v>
      </c>
      <c r="K1944" s="1" t="str">
        <f t="shared" si="375"/>
        <v>X</v>
      </c>
      <c r="L1944" s="1" t="str">
        <f t="shared" si="375"/>
        <v>X</v>
      </c>
      <c r="M1944" s="1" t="str">
        <f t="shared" si="375"/>
        <v>X</v>
      </c>
      <c r="N1944" t="s">
        <v>27</v>
      </c>
    </row>
    <row r="1945" spans="1:14" x14ac:dyDescent="0.25">
      <c r="A1945" t="s">
        <v>14</v>
      </c>
      <c r="B1945" t="s">
        <v>40</v>
      </c>
      <c r="C1945" t="s">
        <v>35</v>
      </c>
      <c r="D1945" t="s">
        <v>15</v>
      </c>
      <c r="E1945" t="s">
        <v>23</v>
      </c>
      <c r="F1945" t="s">
        <v>19</v>
      </c>
      <c r="G1945" s="1" t="str">
        <f t="shared" si="375"/>
        <v>X</v>
      </c>
      <c r="H1945" s="1" t="str">
        <f t="shared" si="375"/>
        <v>X</v>
      </c>
      <c r="I1945" s="1" t="str">
        <f t="shared" si="375"/>
        <v>X</v>
      </c>
      <c r="J1945" s="1" t="str">
        <f t="shared" si="375"/>
        <v>X</v>
      </c>
      <c r="K1945" s="1" t="str">
        <f t="shared" si="375"/>
        <v>X</v>
      </c>
      <c r="L1945" s="1" t="str">
        <f t="shared" si="375"/>
        <v>X</v>
      </c>
      <c r="M1945" s="1" t="str">
        <f t="shared" si="375"/>
        <v>X</v>
      </c>
      <c r="N1945" t="s">
        <v>27</v>
      </c>
    </row>
    <row r="1946" spans="1:14" x14ac:dyDescent="0.25">
      <c r="A1946" t="s">
        <v>14</v>
      </c>
      <c r="B1946" t="s">
        <v>40</v>
      </c>
      <c r="C1946" t="s">
        <v>35</v>
      </c>
      <c r="D1946" t="s">
        <v>15</v>
      </c>
      <c r="E1946" t="s">
        <v>23</v>
      </c>
      <c r="F1946" t="s">
        <v>20</v>
      </c>
      <c r="G1946" s="1">
        <f>VALUE(1512.0897521596)</f>
        <v>1512.0897521596</v>
      </c>
      <c r="H1946" s="3">
        <f>VALUE(1327.5812371532)</f>
        <v>1327.5812371531999</v>
      </c>
      <c r="I1946" s="1">
        <f>VALUE(2400)</f>
        <v>2400</v>
      </c>
      <c r="J1946" s="1">
        <f>VALUE(2537)</f>
        <v>2537</v>
      </c>
      <c r="K1946" s="1">
        <f>VALUE(2943)</f>
        <v>2943</v>
      </c>
      <c r="L1946" s="1">
        <f>VALUE(3314)</f>
        <v>3314</v>
      </c>
      <c r="M1946" s="1">
        <f>VALUE(3844)</f>
        <v>3844</v>
      </c>
      <c r="N1946" t="s">
        <v>25</v>
      </c>
    </row>
    <row r="1947" spans="1:14" x14ac:dyDescent="0.25">
      <c r="A1947" t="s">
        <v>14</v>
      </c>
      <c r="B1947" t="s">
        <v>40</v>
      </c>
      <c r="C1947" t="s">
        <v>35</v>
      </c>
      <c r="D1947" t="s">
        <v>15</v>
      </c>
      <c r="E1947" t="s">
        <v>26</v>
      </c>
      <c r="F1947" t="s">
        <v>15</v>
      </c>
      <c r="G1947" s="1" t="str">
        <f t="shared" ref="G1947:M1947" si="376">"X"</f>
        <v>X</v>
      </c>
      <c r="H1947" s="1" t="str">
        <f t="shared" si="376"/>
        <v>X</v>
      </c>
      <c r="I1947" s="1" t="str">
        <f t="shared" si="376"/>
        <v>X</v>
      </c>
      <c r="J1947" s="1" t="str">
        <f t="shared" si="376"/>
        <v>X</v>
      </c>
      <c r="K1947" s="1" t="str">
        <f t="shared" si="376"/>
        <v>X</v>
      </c>
      <c r="L1947" s="1" t="str">
        <f t="shared" si="376"/>
        <v>X</v>
      </c>
      <c r="M1947" s="1" t="str">
        <f t="shared" si="376"/>
        <v>X</v>
      </c>
      <c r="N1947" t="s">
        <v>27</v>
      </c>
    </row>
    <row r="1948" spans="1:14" x14ac:dyDescent="0.25">
      <c r="A1948" t="s">
        <v>14</v>
      </c>
      <c r="B1948" t="s">
        <v>40</v>
      </c>
      <c r="C1948" t="s">
        <v>35</v>
      </c>
      <c r="D1948" t="s">
        <v>15</v>
      </c>
      <c r="E1948" t="s">
        <v>26</v>
      </c>
      <c r="F1948" t="s">
        <v>17</v>
      </c>
      <c r="G1948" s="1" t="str">
        <f t="shared" ref="G1948:M1950" si="377">"..."</f>
        <v>...</v>
      </c>
      <c r="H1948" s="1" t="str">
        <f t="shared" si="377"/>
        <v>...</v>
      </c>
      <c r="I1948" s="1" t="str">
        <f t="shared" si="377"/>
        <v>...</v>
      </c>
      <c r="J1948" s="1" t="str">
        <f t="shared" si="377"/>
        <v>...</v>
      </c>
      <c r="K1948" s="1" t="str">
        <f t="shared" si="377"/>
        <v>...</v>
      </c>
      <c r="L1948" s="1" t="str">
        <f t="shared" si="377"/>
        <v>...</v>
      </c>
      <c r="M1948" s="1" t="str">
        <f t="shared" si="377"/>
        <v>...</v>
      </c>
      <c r="N1948" t="s">
        <v>30</v>
      </c>
    </row>
    <row r="1949" spans="1:14" x14ac:dyDescent="0.25">
      <c r="A1949" t="s">
        <v>14</v>
      </c>
      <c r="B1949" t="s">
        <v>40</v>
      </c>
      <c r="C1949" t="s">
        <v>35</v>
      </c>
      <c r="D1949" t="s">
        <v>15</v>
      </c>
      <c r="E1949" t="s">
        <v>26</v>
      </c>
      <c r="F1949" t="s">
        <v>18</v>
      </c>
      <c r="G1949" s="1" t="str">
        <f t="shared" si="377"/>
        <v>...</v>
      </c>
      <c r="H1949" s="1" t="str">
        <f t="shared" si="377"/>
        <v>...</v>
      </c>
      <c r="I1949" s="1" t="str">
        <f t="shared" si="377"/>
        <v>...</v>
      </c>
      <c r="J1949" s="1" t="str">
        <f t="shared" si="377"/>
        <v>...</v>
      </c>
      <c r="K1949" s="1" t="str">
        <f t="shared" si="377"/>
        <v>...</v>
      </c>
      <c r="L1949" s="1" t="str">
        <f t="shared" si="377"/>
        <v>...</v>
      </c>
      <c r="M1949" s="1" t="str">
        <f t="shared" si="377"/>
        <v>...</v>
      </c>
      <c r="N1949" t="s">
        <v>30</v>
      </c>
    </row>
    <row r="1950" spans="1:14" x14ac:dyDescent="0.25">
      <c r="A1950" t="s">
        <v>14</v>
      </c>
      <c r="B1950" t="s">
        <v>40</v>
      </c>
      <c r="C1950" t="s">
        <v>35</v>
      </c>
      <c r="D1950" t="s">
        <v>15</v>
      </c>
      <c r="E1950" t="s">
        <v>26</v>
      </c>
      <c r="F1950" t="s">
        <v>19</v>
      </c>
      <c r="G1950" s="1" t="str">
        <f t="shared" si="377"/>
        <v>...</v>
      </c>
      <c r="H1950" s="1" t="str">
        <f t="shared" si="377"/>
        <v>...</v>
      </c>
      <c r="I1950" s="1" t="str">
        <f t="shared" si="377"/>
        <v>...</v>
      </c>
      <c r="J1950" s="1" t="str">
        <f t="shared" si="377"/>
        <v>...</v>
      </c>
      <c r="K1950" s="1" t="str">
        <f t="shared" si="377"/>
        <v>...</v>
      </c>
      <c r="L1950" s="1" t="str">
        <f t="shared" si="377"/>
        <v>...</v>
      </c>
      <c r="M1950" s="1" t="str">
        <f t="shared" si="377"/>
        <v>...</v>
      </c>
      <c r="N1950" t="s">
        <v>30</v>
      </c>
    </row>
    <row r="1951" spans="1:14" x14ac:dyDescent="0.25">
      <c r="A1951" t="s">
        <v>14</v>
      </c>
      <c r="B1951" t="s">
        <v>40</v>
      </c>
      <c r="C1951" t="s">
        <v>35</v>
      </c>
      <c r="D1951" t="s">
        <v>15</v>
      </c>
      <c r="E1951" t="s">
        <v>26</v>
      </c>
      <c r="F1951" t="s">
        <v>20</v>
      </c>
      <c r="G1951" s="1" t="str">
        <f t="shared" ref="G1951:M1951" si="378">"X"</f>
        <v>X</v>
      </c>
      <c r="H1951" s="1" t="str">
        <f t="shared" si="378"/>
        <v>X</v>
      </c>
      <c r="I1951" s="1" t="str">
        <f t="shared" si="378"/>
        <v>X</v>
      </c>
      <c r="J1951" s="1" t="str">
        <f t="shared" si="378"/>
        <v>X</v>
      </c>
      <c r="K1951" s="1" t="str">
        <f t="shared" si="378"/>
        <v>X</v>
      </c>
      <c r="L1951" s="1" t="str">
        <f t="shared" si="378"/>
        <v>X</v>
      </c>
      <c r="M1951" s="1" t="str">
        <f t="shared" si="378"/>
        <v>X</v>
      </c>
      <c r="N1951" t="s">
        <v>27</v>
      </c>
    </row>
    <row r="1952" spans="1:14" x14ac:dyDescent="0.25">
      <c r="A1952" t="s">
        <v>14</v>
      </c>
      <c r="B1952" t="s">
        <v>40</v>
      </c>
      <c r="C1952" t="s">
        <v>35</v>
      </c>
      <c r="D1952" t="s">
        <v>28</v>
      </c>
      <c r="E1952" t="s">
        <v>15</v>
      </c>
      <c r="F1952" t="s">
        <v>15</v>
      </c>
      <c r="G1952" s="1">
        <f>VALUE(1726.9394022284)</f>
        <v>1726.9394022284</v>
      </c>
      <c r="H1952" s="3">
        <f>VALUE(1523.1815477508)</f>
        <v>1523.1815477508001</v>
      </c>
      <c r="I1952" s="1">
        <f>VALUE(2918)</f>
        <v>2918</v>
      </c>
      <c r="J1952" s="1">
        <f>VALUE(3279)</f>
        <v>3279</v>
      </c>
      <c r="K1952" s="1">
        <f>VALUE(3688)</f>
        <v>3688</v>
      </c>
      <c r="L1952" s="1">
        <f>VALUE(4127)</f>
        <v>4127</v>
      </c>
      <c r="M1952" s="1">
        <f>VALUE(4559)</f>
        <v>4559</v>
      </c>
      <c r="N1952" t="s">
        <v>25</v>
      </c>
    </row>
    <row r="1953" spans="1:14" x14ac:dyDescent="0.25">
      <c r="A1953" t="s">
        <v>14</v>
      </c>
      <c r="B1953" t="s">
        <v>40</v>
      </c>
      <c r="C1953" t="s">
        <v>35</v>
      </c>
      <c r="D1953" t="s">
        <v>28</v>
      </c>
      <c r="E1953" t="s">
        <v>15</v>
      </c>
      <c r="F1953" t="s">
        <v>17</v>
      </c>
      <c r="G1953" s="1" t="str">
        <f t="shared" ref="G1953:M1954" si="379">"X"</f>
        <v>X</v>
      </c>
      <c r="H1953" s="1" t="str">
        <f t="shared" si="379"/>
        <v>X</v>
      </c>
      <c r="I1953" s="1" t="str">
        <f t="shared" si="379"/>
        <v>X</v>
      </c>
      <c r="J1953" s="1" t="str">
        <f t="shared" si="379"/>
        <v>X</v>
      </c>
      <c r="K1953" s="1" t="str">
        <f t="shared" si="379"/>
        <v>X</v>
      </c>
      <c r="L1953" s="1" t="str">
        <f t="shared" si="379"/>
        <v>X</v>
      </c>
      <c r="M1953" s="1" t="str">
        <f t="shared" si="379"/>
        <v>X</v>
      </c>
      <c r="N1953" t="s">
        <v>27</v>
      </c>
    </row>
    <row r="1954" spans="1:14" x14ac:dyDescent="0.25">
      <c r="A1954" t="s">
        <v>14</v>
      </c>
      <c r="B1954" t="s">
        <v>40</v>
      </c>
      <c r="C1954" t="s">
        <v>35</v>
      </c>
      <c r="D1954" t="s">
        <v>28</v>
      </c>
      <c r="E1954" t="s">
        <v>15</v>
      </c>
      <c r="F1954" t="s">
        <v>18</v>
      </c>
      <c r="G1954" s="1" t="str">
        <f t="shared" si="379"/>
        <v>X</v>
      </c>
      <c r="H1954" s="1" t="str">
        <f t="shared" si="379"/>
        <v>X</v>
      </c>
      <c r="I1954" s="1" t="str">
        <f t="shared" si="379"/>
        <v>X</v>
      </c>
      <c r="J1954" s="1" t="str">
        <f t="shared" si="379"/>
        <v>X</v>
      </c>
      <c r="K1954" s="1" t="str">
        <f t="shared" si="379"/>
        <v>X</v>
      </c>
      <c r="L1954" s="1" t="str">
        <f t="shared" si="379"/>
        <v>X</v>
      </c>
      <c r="M1954" s="1" t="str">
        <f t="shared" si="379"/>
        <v>X</v>
      </c>
      <c r="N1954" t="s">
        <v>27</v>
      </c>
    </row>
    <row r="1955" spans="1:14" x14ac:dyDescent="0.25">
      <c r="A1955" t="s">
        <v>14</v>
      </c>
      <c r="B1955" t="s">
        <v>40</v>
      </c>
      <c r="C1955" t="s">
        <v>35</v>
      </c>
      <c r="D1955" t="s">
        <v>28</v>
      </c>
      <c r="E1955" t="s">
        <v>15</v>
      </c>
      <c r="F1955" t="s">
        <v>19</v>
      </c>
      <c r="G1955" s="2">
        <f>VALUE(190.3617646905)</f>
        <v>190.3617646905</v>
      </c>
      <c r="H1955" s="3">
        <f>VALUE(178.6803314965)</f>
        <v>178.6803314965</v>
      </c>
      <c r="I1955" s="4">
        <f>VALUE(3012)</f>
        <v>3012</v>
      </c>
      <c r="J1955" s="1">
        <f>VALUE(3250)</f>
        <v>3250</v>
      </c>
      <c r="K1955" s="1">
        <f>VALUE(3638)</f>
        <v>3638</v>
      </c>
      <c r="L1955" s="7">
        <f>VALUE(4332)</f>
        <v>4332</v>
      </c>
      <c r="M1955" s="1">
        <f>VALUE(4722)</f>
        <v>4722</v>
      </c>
      <c r="N1955" t="s">
        <v>25</v>
      </c>
    </row>
    <row r="1956" spans="1:14" x14ac:dyDescent="0.25">
      <c r="A1956" t="s">
        <v>14</v>
      </c>
      <c r="B1956" t="s">
        <v>40</v>
      </c>
      <c r="C1956" t="s">
        <v>35</v>
      </c>
      <c r="D1956" t="s">
        <v>28</v>
      </c>
      <c r="E1956" t="s">
        <v>15</v>
      </c>
      <c r="F1956" t="s">
        <v>20</v>
      </c>
      <c r="G1956" s="2">
        <f>VALUE(1332.2384533329)</f>
        <v>1332.2384533329</v>
      </c>
      <c r="H1956" s="3">
        <f>VALUE(1151.5715512162)</f>
        <v>1151.5715512162001</v>
      </c>
      <c r="I1956" s="4">
        <f>VALUE(2889)</f>
        <v>2889</v>
      </c>
      <c r="J1956" s="1">
        <f>VALUE(3230)</f>
        <v>3230</v>
      </c>
      <c r="K1956" s="1">
        <f>VALUE(3679)</f>
        <v>3679</v>
      </c>
      <c r="L1956" s="1">
        <f>VALUE(4127)</f>
        <v>4127</v>
      </c>
      <c r="M1956" s="1">
        <f>VALUE(4616)</f>
        <v>4616</v>
      </c>
      <c r="N1956" t="s">
        <v>25</v>
      </c>
    </row>
    <row r="1957" spans="1:14" x14ac:dyDescent="0.25">
      <c r="A1957" t="s">
        <v>14</v>
      </c>
      <c r="B1957" t="s">
        <v>40</v>
      </c>
      <c r="C1957" t="s">
        <v>35</v>
      </c>
      <c r="D1957" t="s">
        <v>28</v>
      </c>
      <c r="E1957" t="s">
        <v>21</v>
      </c>
      <c r="F1957" t="s">
        <v>15</v>
      </c>
      <c r="G1957" s="2">
        <f>VALUE(231.1851899727)</f>
        <v>231.18518997269999</v>
      </c>
      <c r="H1957" s="3">
        <f>VALUE(190.1219645271)</f>
        <v>190.1219645271</v>
      </c>
      <c r="I1957" s="4">
        <f>VALUE(3429)</f>
        <v>3429</v>
      </c>
      <c r="J1957" s="1">
        <f>VALUE(3529)</f>
        <v>3529</v>
      </c>
      <c r="K1957" s="1">
        <f>VALUE(3916)</f>
        <v>3916</v>
      </c>
      <c r="L1957" s="1">
        <f>VALUE(4408)</f>
        <v>4408</v>
      </c>
      <c r="M1957" s="8">
        <f>VALUE(5238)</f>
        <v>5238</v>
      </c>
      <c r="N1957" t="s">
        <v>25</v>
      </c>
    </row>
    <row r="1958" spans="1:14" x14ac:dyDescent="0.25">
      <c r="A1958" t="s">
        <v>14</v>
      </c>
      <c r="B1958" t="s">
        <v>40</v>
      </c>
      <c r="C1958" t="s">
        <v>35</v>
      </c>
      <c r="D1958" t="s">
        <v>28</v>
      </c>
      <c r="E1958" t="s">
        <v>21</v>
      </c>
      <c r="F1958" t="s">
        <v>17</v>
      </c>
      <c r="G1958" s="1" t="str">
        <f t="shared" ref="G1958:M1961" si="380">"X"</f>
        <v>X</v>
      </c>
      <c r="H1958" s="1" t="str">
        <f t="shared" si="380"/>
        <v>X</v>
      </c>
      <c r="I1958" s="1" t="str">
        <f t="shared" si="380"/>
        <v>X</v>
      </c>
      <c r="J1958" s="1" t="str">
        <f t="shared" si="380"/>
        <v>X</v>
      </c>
      <c r="K1958" s="1" t="str">
        <f t="shared" si="380"/>
        <v>X</v>
      </c>
      <c r="L1958" s="1" t="str">
        <f t="shared" si="380"/>
        <v>X</v>
      </c>
      <c r="M1958" s="1" t="str">
        <f t="shared" si="380"/>
        <v>X</v>
      </c>
      <c r="N1958" t="s">
        <v>27</v>
      </c>
    </row>
    <row r="1959" spans="1:14" x14ac:dyDescent="0.25">
      <c r="A1959" t="s">
        <v>14</v>
      </c>
      <c r="B1959" t="s">
        <v>40</v>
      </c>
      <c r="C1959" t="s">
        <v>35</v>
      </c>
      <c r="D1959" t="s">
        <v>28</v>
      </c>
      <c r="E1959" t="s">
        <v>21</v>
      </c>
      <c r="F1959" t="s">
        <v>18</v>
      </c>
      <c r="G1959" s="1" t="str">
        <f t="shared" si="380"/>
        <v>X</v>
      </c>
      <c r="H1959" s="1" t="str">
        <f t="shared" si="380"/>
        <v>X</v>
      </c>
      <c r="I1959" s="1" t="str">
        <f t="shared" si="380"/>
        <v>X</v>
      </c>
      <c r="J1959" s="1" t="str">
        <f t="shared" si="380"/>
        <v>X</v>
      </c>
      <c r="K1959" s="1" t="str">
        <f t="shared" si="380"/>
        <v>X</v>
      </c>
      <c r="L1959" s="1" t="str">
        <f t="shared" si="380"/>
        <v>X</v>
      </c>
      <c r="M1959" s="1" t="str">
        <f t="shared" si="380"/>
        <v>X</v>
      </c>
      <c r="N1959" t="s">
        <v>27</v>
      </c>
    </row>
    <row r="1960" spans="1:14" x14ac:dyDescent="0.25">
      <c r="A1960" t="s">
        <v>14</v>
      </c>
      <c r="B1960" t="s">
        <v>40</v>
      </c>
      <c r="C1960" t="s">
        <v>35</v>
      </c>
      <c r="D1960" t="s">
        <v>28</v>
      </c>
      <c r="E1960" t="s">
        <v>21</v>
      </c>
      <c r="F1960" t="s">
        <v>19</v>
      </c>
      <c r="G1960" s="1" t="str">
        <f t="shared" si="380"/>
        <v>X</v>
      </c>
      <c r="H1960" s="1" t="str">
        <f t="shared" si="380"/>
        <v>X</v>
      </c>
      <c r="I1960" s="1" t="str">
        <f t="shared" si="380"/>
        <v>X</v>
      </c>
      <c r="J1960" s="1" t="str">
        <f t="shared" si="380"/>
        <v>X</v>
      </c>
      <c r="K1960" s="1" t="str">
        <f t="shared" si="380"/>
        <v>X</v>
      </c>
      <c r="L1960" s="1" t="str">
        <f t="shared" si="380"/>
        <v>X</v>
      </c>
      <c r="M1960" s="1" t="str">
        <f t="shared" si="380"/>
        <v>X</v>
      </c>
      <c r="N1960" t="s">
        <v>27</v>
      </c>
    </row>
    <row r="1961" spans="1:14" x14ac:dyDescent="0.25">
      <c r="A1961" t="s">
        <v>14</v>
      </c>
      <c r="B1961" t="s">
        <v>40</v>
      </c>
      <c r="C1961" t="s">
        <v>35</v>
      </c>
      <c r="D1961" t="s">
        <v>28</v>
      </c>
      <c r="E1961" t="s">
        <v>21</v>
      </c>
      <c r="F1961" t="s">
        <v>20</v>
      </c>
      <c r="G1961" s="1" t="str">
        <f t="shared" si="380"/>
        <v>X</v>
      </c>
      <c r="H1961" s="1" t="str">
        <f t="shared" si="380"/>
        <v>X</v>
      </c>
      <c r="I1961" s="1" t="str">
        <f t="shared" si="380"/>
        <v>X</v>
      </c>
      <c r="J1961" s="1" t="str">
        <f t="shared" si="380"/>
        <v>X</v>
      </c>
      <c r="K1961" s="1" t="str">
        <f t="shared" si="380"/>
        <v>X</v>
      </c>
      <c r="L1961" s="1" t="str">
        <f t="shared" si="380"/>
        <v>X</v>
      </c>
      <c r="M1961" s="1" t="str">
        <f t="shared" si="380"/>
        <v>X</v>
      </c>
      <c r="N1961" t="s">
        <v>27</v>
      </c>
    </row>
    <row r="1962" spans="1:14" x14ac:dyDescent="0.25">
      <c r="A1962" t="s">
        <v>14</v>
      </c>
      <c r="B1962" t="s">
        <v>40</v>
      </c>
      <c r="C1962" t="s">
        <v>35</v>
      </c>
      <c r="D1962" t="s">
        <v>28</v>
      </c>
      <c r="E1962" t="s">
        <v>22</v>
      </c>
      <c r="F1962" t="s">
        <v>15</v>
      </c>
      <c r="G1962" s="2">
        <f>VALUE(1134.8417868744)</f>
        <v>1134.8417868744</v>
      </c>
      <c r="H1962" s="3">
        <f>VALUE(1082.5255414596)</f>
        <v>1082.5255414595999</v>
      </c>
      <c r="I1962" s="4">
        <f>VALUE(2977)</f>
        <v>2977</v>
      </c>
      <c r="J1962" s="1">
        <f>VALUE(3294)</f>
        <v>3294</v>
      </c>
      <c r="K1962" s="1">
        <f>VALUE(3673)</f>
        <v>3673</v>
      </c>
      <c r="L1962" s="1">
        <f>VALUE(4127)</f>
        <v>4127</v>
      </c>
      <c r="M1962" s="1">
        <f>VALUE(4536)</f>
        <v>4536</v>
      </c>
      <c r="N1962" t="s">
        <v>25</v>
      </c>
    </row>
    <row r="1963" spans="1:14" x14ac:dyDescent="0.25">
      <c r="A1963" t="s">
        <v>14</v>
      </c>
      <c r="B1963" t="s">
        <v>40</v>
      </c>
      <c r="C1963" t="s">
        <v>35</v>
      </c>
      <c r="D1963" t="s">
        <v>28</v>
      </c>
      <c r="E1963" t="s">
        <v>22</v>
      </c>
      <c r="F1963" t="s">
        <v>17</v>
      </c>
      <c r="G1963" s="1" t="str">
        <f t="shared" ref="G1963:M1965" si="381">"X"</f>
        <v>X</v>
      </c>
      <c r="H1963" s="1" t="str">
        <f t="shared" si="381"/>
        <v>X</v>
      </c>
      <c r="I1963" s="1" t="str">
        <f t="shared" si="381"/>
        <v>X</v>
      </c>
      <c r="J1963" s="1" t="str">
        <f t="shared" si="381"/>
        <v>X</v>
      </c>
      <c r="K1963" s="1" t="str">
        <f t="shared" si="381"/>
        <v>X</v>
      </c>
      <c r="L1963" s="1" t="str">
        <f t="shared" si="381"/>
        <v>X</v>
      </c>
      <c r="M1963" s="1" t="str">
        <f t="shared" si="381"/>
        <v>X</v>
      </c>
      <c r="N1963" t="s">
        <v>27</v>
      </c>
    </row>
    <row r="1964" spans="1:14" x14ac:dyDescent="0.25">
      <c r="A1964" t="s">
        <v>14</v>
      </c>
      <c r="B1964" t="s">
        <v>40</v>
      </c>
      <c r="C1964" t="s">
        <v>35</v>
      </c>
      <c r="D1964" t="s">
        <v>28</v>
      </c>
      <c r="E1964" t="s">
        <v>22</v>
      </c>
      <c r="F1964" t="s">
        <v>18</v>
      </c>
      <c r="G1964" s="1" t="str">
        <f t="shared" si="381"/>
        <v>X</v>
      </c>
      <c r="H1964" s="1" t="str">
        <f t="shared" si="381"/>
        <v>X</v>
      </c>
      <c r="I1964" s="1" t="str">
        <f t="shared" si="381"/>
        <v>X</v>
      </c>
      <c r="J1964" s="1" t="str">
        <f t="shared" si="381"/>
        <v>X</v>
      </c>
      <c r="K1964" s="1" t="str">
        <f t="shared" si="381"/>
        <v>X</v>
      </c>
      <c r="L1964" s="1" t="str">
        <f t="shared" si="381"/>
        <v>X</v>
      </c>
      <c r="M1964" s="1" t="str">
        <f t="shared" si="381"/>
        <v>X</v>
      </c>
      <c r="N1964" t="s">
        <v>27</v>
      </c>
    </row>
    <row r="1965" spans="1:14" x14ac:dyDescent="0.25">
      <c r="A1965" t="s">
        <v>14</v>
      </c>
      <c r="B1965" t="s">
        <v>40</v>
      </c>
      <c r="C1965" t="s">
        <v>35</v>
      </c>
      <c r="D1965" t="s">
        <v>28</v>
      </c>
      <c r="E1965" t="s">
        <v>22</v>
      </c>
      <c r="F1965" t="s">
        <v>19</v>
      </c>
      <c r="G1965" s="1" t="str">
        <f t="shared" si="381"/>
        <v>X</v>
      </c>
      <c r="H1965" s="1" t="str">
        <f t="shared" si="381"/>
        <v>X</v>
      </c>
      <c r="I1965" s="1" t="str">
        <f t="shared" si="381"/>
        <v>X</v>
      </c>
      <c r="J1965" s="1" t="str">
        <f t="shared" si="381"/>
        <v>X</v>
      </c>
      <c r="K1965" s="1" t="str">
        <f t="shared" si="381"/>
        <v>X</v>
      </c>
      <c r="L1965" s="1" t="str">
        <f t="shared" si="381"/>
        <v>X</v>
      </c>
      <c r="M1965" s="1" t="str">
        <f t="shared" si="381"/>
        <v>X</v>
      </c>
      <c r="N1965" t="s">
        <v>27</v>
      </c>
    </row>
    <row r="1966" spans="1:14" x14ac:dyDescent="0.25">
      <c r="A1966" t="s">
        <v>14</v>
      </c>
      <c r="B1966" t="s">
        <v>40</v>
      </c>
      <c r="C1966" t="s">
        <v>35</v>
      </c>
      <c r="D1966" t="s">
        <v>28</v>
      </c>
      <c r="E1966" t="s">
        <v>22</v>
      </c>
      <c r="F1966" t="s">
        <v>20</v>
      </c>
      <c r="G1966" s="2">
        <f>VALUE(840.338423426)</f>
        <v>840.33842342599996</v>
      </c>
      <c r="H1966" s="3">
        <f>VALUE(790.6322338651)</f>
        <v>790.63223386510003</v>
      </c>
      <c r="I1966" s="4">
        <f>VALUE(2962)</f>
        <v>2962</v>
      </c>
      <c r="J1966" s="1">
        <f>VALUE(3250)</f>
        <v>3250</v>
      </c>
      <c r="K1966" s="1">
        <f>VALUE(3673)</f>
        <v>3673</v>
      </c>
      <c r="L1966" s="1">
        <f>VALUE(4174)</f>
        <v>4174</v>
      </c>
      <c r="M1966" s="1">
        <f>VALUE(4559)</f>
        <v>4559</v>
      </c>
      <c r="N1966" t="s">
        <v>25</v>
      </c>
    </row>
    <row r="1967" spans="1:14" x14ac:dyDescent="0.25">
      <c r="A1967" t="s">
        <v>14</v>
      </c>
      <c r="B1967" t="s">
        <v>40</v>
      </c>
      <c r="C1967" t="s">
        <v>35</v>
      </c>
      <c r="D1967" t="s">
        <v>28</v>
      </c>
      <c r="E1967" t="s">
        <v>23</v>
      </c>
      <c r="F1967" t="s">
        <v>15</v>
      </c>
      <c r="G1967" s="2">
        <f>VALUE(342.2298054968)</f>
        <v>342.2298054968</v>
      </c>
      <c r="H1967" s="3">
        <f>VALUE(233.4924608349)</f>
        <v>233.49246083489999</v>
      </c>
      <c r="I1967" s="4">
        <f>VALUE(2400)</f>
        <v>2400</v>
      </c>
      <c r="J1967" s="5">
        <f>VALUE(3087)</f>
        <v>3087</v>
      </c>
      <c r="K1967" s="1">
        <f>VALUE(3395)</f>
        <v>3395</v>
      </c>
      <c r="L1967" s="1">
        <f>VALUE(3855)</f>
        <v>3855</v>
      </c>
      <c r="M1967" s="1">
        <f>VALUE(4334)</f>
        <v>4334</v>
      </c>
      <c r="N1967" t="s">
        <v>25</v>
      </c>
    </row>
    <row r="1968" spans="1:14" x14ac:dyDescent="0.25">
      <c r="A1968" t="s">
        <v>14</v>
      </c>
      <c r="B1968" t="s">
        <v>40</v>
      </c>
      <c r="C1968" t="s">
        <v>35</v>
      </c>
      <c r="D1968" t="s">
        <v>28</v>
      </c>
      <c r="E1968" t="s">
        <v>23</v>
      </c>
      <c r="F1968" t="s">
        <v>17</v>
      </c>
      <c r="G1968" s="1" t="str">
        <f t="shared" ref="G1968:M1970" si="382">"X"</f>
        <v>X</v>
      </c>
      <c r="H1968" s="1" t="str">
        <f t="shared" si="382"/>
        <v>X</v>
      </c>
      <c r="I1968" s="1" t="str">
        <f t="shared" si="382"/>
        <v>X</v>
      </c>
      <c r="J1968" s="1" t="str">
        <f t="shared" si="382"/>
        <v>X</v>
      </c>
      <c r="K1968" s="1" t="str">
        <f t="shared" si="382"/>
        <v>X</v>
      </c>
      <c r="L1968" s="1" t="str">
        <f t="shared" si="382"/>
        <v>X</v>
      </c>
      <c r="M1968" s="1" t="str">
        <f t="shared" si="382"/>
        <v>X</v>
      </c>
      <c r="N1968" t="s">
        <v>27</v>
      </c>
    </row>
    <row r="1969" spans="1:14" x14ac:dyDescent="0.25">
      <c r="A1969" t="s">
        <v>14</v>
      </c>
      <c r="B1969" t="s">
        <v>40</v>
      </c>
      <c r="C1969" t="s">
        <v>35</v>
      </c>
      <c r="D1969" t="s">
        <v>28</v>
      </c>
      <c r="E1969" t="s">
        <v>23</v>
      </c>
      <c r="F1969" t="s">
        <v>18</v>
      </c>
      <c r="G1969" s="1" t="str">
        <f t="shared" si="382"/>
        <v>X</v>
      </c>
      <c r="H1969" s="1" t="str">
        <f t="shared" si="382"/>
        <v>X</v>
      </c>
      <c r="I1969" s="1" t="str">
        <f t="shared" si="382"/>
        <v>X</v>
      </c>
      <c r="J1969" s="1" t="str">
        <f t="shared" si="382"/>
        <v>X</v>
      </c>
      <c r="K1969" s="1" t="str">
        <f t="shared" si="382"/>
        <v>X</v>
      </c>
      <c r="L1969" s="1" t="str">
        <f t="shared" si="382"/>
        <v>X</v>
      </c>
      <c r="M1969" s="1" t="str">
        <f t="shared" si="382"/>
        <v>X</v>
      </c>
      <c r="N1969" t="s">
        <v>27</v>
      </c>
    </row>
    <row r="1970" spans="1:14" x14ac:dyDescent="0.25">
      <c r="A1970" t="s">
        <v>14</v>
      </c>
      <c r="B1970" t="s">
        <v>40</v>
      </c>
      <c r="C1970" t="s">
        <v>35</v>
      </c>
      <c r="D1970" t="s">
        <v>28</v>
      </c>
      <c r="E1970" t="s">
        <v>23</v>
      </c>
      <c r="F1970" t="s">
        <v>19</v>
      </c>
      <c r="G1970" s="1" t="str">
        <f t="shared" si="382"/>
        <v>X</v>
      </c>
      <c r="H1970" s="1" t="str">
        <f t="shared" si="382"/>
        <v>X</v>
      </c>
      <c r="I1970" s="1" t="str">
        <f t="shared" si="382"/>
        <v>X</v>
      </c>
      <c r="J1970" s="1" t="str">
        <f t="shared" si="382"/>
        <v>X</v>
      </c>
      <c r="K1970" s="1" t="str">
        <f t="shared" si="382"/>
        <v>X</v>
      </c>
      <c r="L1970" s="1" t="str">
        <f t="shared" si="382"/>
        <v>X</v>
      </c>
      <c r="M1970" s="1" t="str">
        <f t="shared" si="382"/>
        <v>X</v>
      </c>
      <c r="N1970" t="s">
        <v>27</v>
      </c>
    </row>
    <row r="1971" spans="1:14" x14ac:dyDescent="0.25">
      <c r="A1971" t="s">
        <v>14</v>
      </c>
      <c r="B1971" t="s">
        <v>40</v>
      </c>
      <c r="C1971" t="s">
        <v>35</v>
      </c>
      <c r="D1971" t="s">
        <v>28</v>
      </c>
      <c r="E1971" t="s">
        <v>23</v>
      </c>
      <c r="F1971" t="s">
        <v>20</v>
      </c>
      <c r="G1971" s="2">
        <f>VALUE(328.7043304976)</f>
        <v>328.70433049759998</v>
      </c>
      <c r="H1971" s="3">
        <f>VALUE(223.892760283)</f>
        <v>223.892760283</v>
      </c>
      <c r="I1971" s="4">
        <f>VALUE(2301)</f>
        <v>2301</v>
      </c>
      <c r="J1971" s="5">
        <f>VALUE(3087)</f>
        <v>3087</v>
      </c>
      <c r="K1971" s="1">
        <f>VALUE(3420)</f>
        <v>3420</v>
      </c>
      <c r="L1971" s="1">
        <f>VALUE(3842)</f>
        <v>3842</v>
      </c>
      <c r="M1971" s="1">
        <f>VALUE(4241)</f>
        <v>4241</v>
      </c>
      <c r="N1971" t="s">
        <v>25</v>
      </c>
    </row>
    <row r="1972" spans="1:14" x14ac:dyDescent="0.25">
      <c r="A1972" t="s">
        <v>14</v>
      </c>
      <c r="B1972" t="s">
        <v>40</v>
      </c>
      <c r="C1972" t="s">
        <v>35</v>
      </c>
      <c r="D1972" t="s">
        <v>28</v>
      </c>
      <c r="E1972" t="s">
        <v>26</v>
      </c>
      <c r="F1972" t="s">
        <v>15</v>
      </c>
      <c r="G1972" s="1" t="str">
        <f t="shared" ref="G1972:M1972" si="383">"X"</f>
        <v>X</v>
      </c>
      <c r="H1972" s="1" t="str">
        <f t="shared" si="383"/>
        <v>X</v>
      </c>
      <c r="I1972" s="1" t="str">
        <f t="shared" si="383"/>
        <v>X</v>
      </c>
      <c r="J1972" s="1" t="str">
        <f t="shared" si="383"/>
        <v>X</v>
      </c>
      <c r="K1972" s="1" t="str">
        <f t="shared" si="383"/>
        <v>X</v>
      </c>
      <c r="L1972" s="1" t="str">
        <f t="shared" si="383"/>
        <v>X</v>
      </c>
      <c r="M1972" s="1" t="str">
        <f t="shared" si="383"/>
        <v>X</v>
      </c>
      <c r="N1972" t="s">
        <v>27</v>
      </c>
    </row>
    <row r="1973" spans="1:14" x14ac:dyDescent="0.25">
      <c r="A1973" t="s">
        <v>14</v>
      </c>
      <c r="B1973" t="s">
        <v>40</v>
      </c>
      <c r="C1973" t="s">
        <v>35</v>
      </c>
      <c r="D1973" t="s">
        <v>28</v>
      </c>
      <c r="E1973" t="s">
        <v>26</v>
      </c>
      <c r="F1973" t="s">
        <v>17</v>
      </c>
      <c r="G1973" s="1" t="str">
        <f t="shared" ref="G1973:M1975" si="384">"..."</f>
        <v>...</v>
      </c>
      <c r="H1973" s="1" t="str">
        <f t="shared" si="384"/>
        <v>...</v>
      </c>
      <c r="I1973" s="1" t="str">
        <f t="shared" si="384"/>
        <v>...</v>
      </c>
      <c r="J1973" s="1" t="str">
        <f t="shared" si="384"/>
        <v>...</v>
      </c>
      <c r="K1973" s="1" t="str">
        <f t="shared" si="384"/>
        <v>...</v>
      </c>
      <c r="L1973" s="1" t="str">
        <f t="shared" si="384"/>
        <v>...</v>
      </c>
      <c r="M1973" s="1" t="str">
        <f t="shared" si="384"/>
        <v>...</v>
      </c>
      <c r="N1973" t="s">
        <v>30</v>
      </c>
    </row>
    <row r="1974" spans="1:14" x14ac:dyDescent="0.25">
      <c r="A1974" t="s">
        <v>14</v>
      </c>
      <c r="B1974" t="s">
        <v>40</v>
      </c>
      <c r="C1974" t="s">
        <v>35</v>
      </c>
      <c r="D1974" t="s">
        <v>28</v>
      </c>
      <c r="E1974" t="s">
        <v>26</v>
      </c>
      <c r="F1974" t="s">
        <v>18</v>
      </c>
      <c r="G1974" s="1" t="str">
        <f t="shared" si="384"/>
        <v>...</v>
      </c>
      <c r="H1974" s="1" t="str">
        <f t="shared" si="384"/>
        <v>...</v>
      </c>
      <c r="I1974" s="1" t="str">
        <f t="shared" si="384"/>
        <v>...</v>
      </c>
      <c r="J1974" s="1" t="str">
        <f t="shared" si="384"/>
        <v>...</v>
      </c>
      <c r="K1974" s="1" t="str">
        <f t="shared" si="384"/>
        <v>...</v>
      </c>
      <c r="L1974" s="1" t="str">
        <f t="shared" si="384"/>
        <v>...</v>
      </c>
      <c r="M1974" s="1" t="str">
        <f t="shared" si="384"/>
        <v>...</v>
      </c>
      <c r="N1974" t="s">
        <v>30</v>
      </c>
    </row>
    <row r="1975" spans="1:14" x14ac:dyDescent="0.25">
      <c r="A1975" t="s">
        <v>14</v>
      </c>
      <c r="B1975" t="s">
        <v>40</v>
      </c>
      <c r="C1975" t="s">
        <v>35</v>
      </c>
      <c r="D1975" t="s">
        <v>28</v>
      </c>
      <c r="E1975" t="s">
        <v>26</v>
      </c>
      <c r="F1975" t="s">
        <v>19</v>
      </c>
      <c r="G1975" s="1" t="str">
        <f t="shared" si="384"/>
        <v>...</v>
      </c>
      <c r="H1975" s="1" t="str">
        <f t="shared" si="384"/>
        <v>...</v>
      </c>
      <c r="I1975" s="1" t="str">
        <f t="shared" si="384"/>
        <v>...</v>
      </c>
      <c r="J1975" s="1" t="str">
        <f t="shared" si="384"/>
        <v>...</v>
      </c>
      <c r="K1975" s="1" t="str">
        <f t="shared" si="384"/>
        <v>...</v>
      </c>
      <c r="L1975" s="1" t="str">
        <f t="shared" si="384"/>
        <v>...</v>
      </c>
      <c r="M1975" s="1" t="str">
        <f t="shared" si="384"/>
        <v>...</v>
      </c>
      <c r="N1975" t="s">
        <v>30</v>
      </c>
    </row>
    <row r="1976" spans="1:14" x14ac:dyDescent="0.25">
      <c r="A1976" t="s">
        <v>14</v>
      </c>
      <c r="B1976" t="s">
        <v>40</v>
      </c>
      <c r="C1976" t="s">
        <v>35</v>
      </c>
      <c r="D1976" t="s">
        <v>28</v>
      </c>
      <c r="E1976" t="s">
        <v>26</v>
      </c>
      <c r="F1976" t="s">
        <v>20</v>
      </c>
      <c r="G1976" s="1" t="str">
        <f t="shared" ref="G1976:M1976" si="385">"X"</f>
        <v>X</v>
      </c>
      <c r="H1976" s="1" t="str">
        <f t="shared" si="385"/>
        <v>X</v>
      </c>
      <c r="I1976" s="1" t="str">
        <f t="shared" si="385"/>
        <v>X</v>
      </c>
      <c r="J1976" s="1" t="str">
        <f t="shared" si="385"/>
        <v>X</v>
      </c>
      <c r="K1976" s="1" t="str">
        <f t="shared" si="385"/>
        <v>X</v>
      </c>
      <c r="L1976" s="1" t="str">
        <f t="shared" si="385"/>
        <v>X</v>
      </c>
      <c r="M1976" s="1" t="str">
        <f t="shared" si="385"/>
        <v>X</v>
      </c>
      <c r="N1976" t="s">
        <v>27</v>
      </c>
    </row>
    <row r="1977" spans="1:14" x14ac:dyDescent="0.25">
      <c r="A1977" t="s">
        <v>14</v>
      </c>
      <c r="B1977" t="s">
        <v>40</v>
      </c>
      <c r="C1977" t="s">
        <v>35</v>
      </c>
      <c r="D1977" t="s">
        <v>29</v>
      </c>
      <c r="E1977" t="s">
        <v>15</v>
      </c>
      <c r="F1977" t="s">
        <v>15</v>
      </c>
      <c r="G1977" s="2">
        <f>VALUE(383.4903719282)</f>
        <v>383.49037192819998</v>
      </c>
      <c r="H1977" s="3">
        <f>VALUE(343.1509601863)</f>
        <v>343.15096018629998</v>
      </c>
      <c r="I1977" s="4">
        <f>VALUE(3000)</f>
        <v>3000</v>
      </c>
      <c r="J1977" s="1">
        <f>VALUE(3133)</f>
        <v>3133</v>
      </c>
      <c r="K1977" s="1">
        <f>VALUE(3608)</f>
        <v>3608</v>
      </c>
      <c r="L1977" s="1">
        <f>VALUE(4000)</f>
        <v>4000</v>
      </c>
      <c r="M1977" s="1">
        <f>VALUE(4391)</f>
        <v>4391</v>
      </c>
      <c r="N1977" t="s">
        <v>25</v>
      </c>
    </row>
    <row r="1978" spans="1:14" x14ac:dyDescent="0.25">
      <c r="A1978" t="s">
        <v>14</v>
      </c>
      <c r="B1978" t="s">
        <v>40</v>
      </c>
      <c r="C1978" t="s">
        <v>35</v>
      </c>
      <c r="D1978" t="s">
        <v>29</v>
      </c>
      <c r="E1978" t="s">
        <v>15</v>
      </c>
      <c r="F1978" t="s">
        <v>17</v>
      </c>
      <c r="G1978" s="1" t="str">
        <f t="shared" ref="G1978:M1980" si="386">"X"</f>
        <v>X</v>
      </c>
      <c r="H1978" s="1" t="str">
        <f t="shared" si="386"/>
        <v>X</v>
      </c>
      <c r="I1978" s="1" t="str">
        <f t="shared" si="386"/>
        <v>X</v>
      </c>
      <c r="J1978" s="1" t="str">
        <f t="shared" si="386"/>
        <v>X</v>
      </c>
      <c r="K1978" s="1" t="str">
        <f t="shared" si="386"/>
        <v>X</v>
      </c>
      <c r="L1978" s="1" t="str">
        <f t="shared" si="386"/>
        <v>X</v>
      </c>
      <c r="M1978" s="1" t="str">
        <f t="shared" si="386"/>
        <v>X</v>
      </c>
      <c r="N1978" t="s">
        <v>27</v>
      </c>
    </row>
    <row r="1979" spans="1:14" x14ac:dyDescent="0.25">
      <c r="A1979" t="s">
        <v>14</v>
      </c>
      <c r="B1979" t="s">
        <v>40</v>
      </c>
      <c r="C1979" t="s">
        <v>35</v>
      </c>
      <c r="D1979" t="s">
        <v>29</v>
      </c>
      <c r="E1979" t="s">
        <v>15</v>
      </c>
      <c r="F1979" t="s">
        <v>18</v>
      </c>
      <c r="G1979" s="1" t="str">
        <f t="shared" si="386"/>
        <v>X</v>
      </c>
      <c r="H1979" s="1" t="str">
        <f t="shared" si="386"/>
        <v>X</v>
      </c>
      <c r="I1979" s="1" t="str">
        <f t="shared" si="386"/>
        <v>X</v>
      </c>
      <c r="J1979" s="1" t="str">
        <f t="shared" si="386"/>
        <v>X</v>
      </c>
      <c r="K1979" s="1" t="str">
        <f t="shared" si="386"/>
        <v>X</v>
      </c>
      <c r="L1979" s="1" t="str">
        <f t="shared" si="386"/>
        <v>X</v>
      </c>
      <c r="M1979" s="1" t="str">
        <f t="shared" si="386"/>
        <v>X</v>
      </c>
      <c r="N1979" t="s">
        <v>27</v>
      </c>
    </row>
    <row r="1980" spans="1:14" x14ac:dyDescent="0.25">
      <c r="A1980" t="s">
        <v>14</v>
      </c>
      <c r="B1980" t="s">
        <v>40</v>
      </c>
      <c r="C1980" t="s">
        <v>35</v>
      </c>
      <c r="D1980" t="s">
        <v>29</v>
      </c>
      <c r="E1980" t="s">
        <v>15</v>
      </c>
      <c r="F1980" t="s">
        <v>19</v>
      </c>
      <c r="G1980" s="1" t="str">
        <f t="shared" si="386"/>
        <v>X</v>
      </c>
      <c r="H1980" s="1" t="str">
        <f t="shared" si="386"/>
        <v>X</v>
      </c>
      <c r="I1980" s="1" t="str">
        <f t="shared" si="386"/>
        <v>X</v>
      </c>
      <c r="J1980" s="1" t="str">
        <f t="shared" si="386"/>
        <v>X</v>
      </c>
      <c r="K1980" s="1" t="str">
        <f t="shared" si="386"/>
        <v>X</v>
      </c>
      <c r="L1980" s="1" t="str">
        <f t="shared" si="386"/>
        <v>X</v>
      </c>
      <c r="M1980" s="1" t="str">
        <f t="shared" si="386"/>
        <v>X</v>
      </c>
      <c r="N1980" t="s">
        <v>27</v>
      </c>
    </row>
    <row r="1981" spans="1:14" x14ac:dyDescent="0.25">
      <c r="A1981" t="s">
        <v>14</v>
      </c>
      <c r="B1981" t="s">
        <v>40</v>
      </c>
      <c r="C1981" t="s">
        <v>35</v>
      </c>
      <c r="D1981" t="s">
        <v>29</v>
      </c>
      <c r="E1981" t="s">
        <v>15</v>
      </c>
      <c r="F1981" t="s">
        <v>20</v>
      </c>
      <c r="G1981" s="2">
        <f>VALUE(274.9870008022)</f>
        <v>274.98700080219999</v>
      </c>
      <c r="H1981" s="3">
        <f>VALUE(245.5106674578)</f>
        <v>245.5106674578</v>
      </c>
      <c r="I1981" s="4">
        <f>VALUE(2897)</f>
        <v>2897</v>
      </c>
      <c r="J1981" s="1">
        <f>VALUE(3087)</f>
        <v>3087</v>
      </c>
      <c r="K1981" s="6">
        <f>VALUE(3588)</f>
        <v>3588</v>
      </c>
      <c r="L1981" s="1">
        <f>VALUE(3946)</f>
        <v>3946</v>
      </c>
      <c r="M1981" s="1">
        <f>VALUE(4540)</f>
        <v>4540</v>
      </c>
      <c r="N1981" t="s">
        <v>25</v>
      </c>
    </row>
    <row r="1982" spans="1:14" x14ac:dyDescent="0.25">
      <c r="A1982" t="s">
        <v>14</v>
      </c>
      <c r="B1982" t="s">
        <v>40</v>
      </c>
      <c r="C1982" t="s">
        <v>35</v>
      </c>
      <c r="D1982" t="s">
        <v>29</v>
      </c>
      <c r="E1982" t="s">
        <v>21</v>
      </c>
      <c r="F1982" t="s">
        <v>15</v>
      </c>
      <c r="G1982" s="1" t="str">
        <f t="shared" ref="G1982:M1984" si="387">"X"</f>
        <v>X</v>
      </c>
      <c r="H1982" s="1" t="str">
        <f t="shared" si="387"/>
        <v>X</v>
      </c>
      <c r="I1982" s="1" t="str">
        <f t="shared" si="387"/>
        <v>X</v>
      </c>
      <c r="J1982" s="1" t="str">
        <f t="shared" si="387"/>
        <v>X</v>
      </c>
      <c r="K1982" s="1" t="str">
        <f t="shared" si="387"/>
        <v>X</v>
      </c>
      <c r="L1982" s="1" t="str">
        <f t="shared" si="387"/>
        <v>X</v>
      </c>
      <c r="M1982" s="1" t="str">
        <f t="shared" si="387"/>
        <v>X</v>
      </c>
      <c r="N1982" t="s">
        <v>27</v>
      </c>
    </row>
    <row r="1983" spans="1:14" x14ac:dyDescent="0.25">
      <c r="A1983" t="s">
        <v>14</v>
      </c>
      <c r="B1983" t="s">
        <v>40</v>
      </c>
      <c r="C1983" t="s">
        <v>35</v>
      </c>
      <c r="D1983" t="s">
        <v>29</v>
      </c>
      <c r="E1983" t="s">
        <v>21</v>
      </c>
      <c r="F1983" t="s">
        <v>17</v>
      </c>
      <c r="G1983" s="1" t="str">
        <f t="shared" si="387"/>
        <v>X</v>
      </c>
      <c r="H1983" s="1" t="str">
        <f t="shared" si="387"/>
        <v>X</v>
      </c>
      <c r="I1983" s="1" t="str">
        <f t="shared" si="387"/>
        <v>X</v>
      </c>
      <c r="J1983" s="1" t="str">
        <f t="shared" si="387"/>
        <v>X</v>
      </c>
      <c r="K1983" s="1" t="str">
        <f t="shared" si="387"/>
        <v>X</v>
      </c>
      <c r="L1983" s="1" t="str">
        <f t="shared" si="387"/>
        <v>X</v>
      </c>
      <c r="M1983" s="1" t="str">
        <f t="shared" si="387"/>
        <v>X</v>
      </c>
      <c r="N1983" t="s">
        <v>27</v>
      </c>
    </row>
    <row r="1984" spans="1:14" x14ac:dyDescent="0.25">
      <c r="A1984" t="s">
        <v>14</v>
      </c>
      <c r="B1984" t="s">
        <v>40</v>
      </c>
      <c r="C1984" t="s">
        <v>35</v>
      </c>
      <c r="D1984" t="s">
        <v>29</v>
      </c>
      <c r="E1984" t="s">
        <v>21</v>
      </c>
      <c r="F1984" t="s">
        <v>18</v>
      </c>
      <c r="G1984" s="1" t="str">
        <f t="shared" si="387"/>
        <v>X</v>
      </c>
      <c r="H1984" s="1" t="str">
        <f t="shared" si="387"/>
        <v>X</v>
      </c>
      <c r="I1984" s="1" t="str">
        <f t="shared" si="387"/>
        <v>X</v>
      </c>
      <c r="J1984" s="1" t="str">
        <f t="shared" si="387"/>
        <v>X</v>
      </c>
      <c r="K1984" s="1" t="str">
        <f t="shared" si="387"/>
        <v>X</v>
      </c>
      <c r="L1984" s="1" t="str">
        <f t="shared" si="387"/>
        <v>X</v>
      </c>
      <c r="M1984" s="1" t="str">
        <f t="shared" si="387"/>
        <v>X</v>
      </c>
      <c r="N1984" t="s">
        <v>27</v>
      </c>
    </row>
    <row r="1985" spans="1:14" x14ac:dyDescent="0.25">
      <c r="A1985" t="s">
        <v>14</v>
      </c>
      <c r="B1985" t="s">
        <v>40</v>
      </c>
      <c r="C1985" t="s">
        <v>35</v>
      </c>
      <c r="D1985" t="s">
        <v>29</v>
      </c>
      <c r="E1985" t="s">
        <v>21</v>
      </c>
      <c r="F1985" t="s">
        <v>19</v>
      </c>
      <c r="G1985" s="1" t="str">
        <f t="shared" ref="G1985:M1985" si="388">"..."</f>
        <v>...</v>
      </c>
      <c r="H1985" s="1" t="str">
        <f t="shared" si="388"/>
        <v>...</v>
      </c>
      <c r="I1985" s="1" t="str">
        <f t="shared" si="388"/>
        <v>...</v>
      </c>
      <c r="J1985" s="1" t="str">
        <f t="shared" si="388"/>
        <v>...</v>
      </c>
      <c r="K1985" s="1" t="str">
        <f t="shared" si="388"/>
        <v>...</v>
      </c>
      <c r="L1985" s="1" t="str">
        <f t="shared" si="388"/>
        <v>...</v>
      </c>
      <c r="M1985" s="1" t="str">
        <f t="shared" si="388"/>
        <v>...</v>
      </c>
      <c r="N1985" t="s">
        <v>30</v>
      </c>
    </row>
    <row r="1986" spans="1:14" x14ac:dyDescent="0.25">
      <c r="A1986" t="s">
        <v>14</v>
      </c>
      <c r="B1986" t="s">
        <v>40</v>
      </c>
      <c r="C1986" t="s">
        <v>35</v>
      </c>
      <c r="D1986" t="s">
        <v>29</v>
      </c>
      <c r="E1986" t="s">
        <v>21</v>
      </c>
      <c r="F1986" t="s">
        <v>20</v>
      </c>
      <c r="G1986" s="1" t="str">
        <f t="shared" ref="G1986:M1986" si="389">"X"</f>
        <v>X</v>
      </c>
      <c r="H1986" s="1" t="str">
        <f t="shared" si="389"/>
        <v>X</v>
      </c>
      <c r="I1986" s="1" t="str">
        <f t="shared" si="389"/>
        <v>X</v>
      </c>
      <c r="J1986" s="1" t="str">
        <f t="shared" si="389"/>
        <v>X</v>
      </c>
      <c r="K1986" s="1" t="str">
        <f t="shared" si="389"/>
        <v>X</v>
      </c>
      <c r="L1986" s="1" t="str">
        <f t="shared" si="389"/>
        <v>X</v>
      </c>
      <c r="M1986" s="1" t="str">
        <f t="shared" si="389"/>
        <v>X</v>
      </c>
      <c r="N1986" t="s">
        <v>27</v>
      </c>
    </row>
    <row r="1987" spans="1:14" x14ac:dyDescent="0.25">
      <c r="A1987" t="s">
        <v>14</v>
      </c>
      <c r="B1987" t="s">
        <v>40</v>
      </c>
      <c r="C1987" t="s">
        <v>35</v>
      </c>
      <c r="D1987" t="s">
        <v>29</v>
      </c>
      <c r="E1987" t="s">
        <v>22</v>
      </c>
      <c r="F1987" t="s">
        <v>15</v>
      </c>
      <c r="G1987" s="2">
        <f>VALUE(197.3935602631)</f>
        <v>197.3935602631</v>
      </c>
      <c r="H1987" s="3">
        <f>VALUE(186.3308936526)</f>
        <v>186.3308936526</v>
      </c>
      <c r="I1987" s="1">
        <f>VALUE(3133)</f>
        <v>3133</v>
      </c>
      <c r="J1987" s="1">
        <f>VALUE(3456)</f>
        <v>3456</v>
      </c>
      <c r="K1987" s="1">
        <f>VALUE(3710)</f>
        <v>3710</v>
      </c>
      <c r="L1987" s="1">
        <f>VALUE(4155)</f>
        <v>4155</v>
      </c>
      <c r="M1987" s="1">
        <f>VALUE(4540)</f>
        <v>4540</v>
      </c>
      <c r="N1987" t="s">
        <v>25</v>
      </c>
    </row>
    <row r="1988" spans="1:14" x14ac:dyDescent="0.25">
      <c r="A1988" t="s">
        <v>14</v>
      </c>
      <c r="B1988" t="s">
        <v>40</v>
      </c>
      <c r="C1988" t="s">
        <v>35</v>
      </c>
      <c r="D1988" t="s">
        <v>29</v>
      </c>
      <c r="E1988" t="s">
        <v>22</v>
      </c>
      <c r="F1988" t="s">
        <v>17</v>
      </c>
      <c r="G1988" s="1" t="str">
        <f t="shared" ref="G1988:M1991" si="390">"X"</f>
        <v>X</v>
      </c>
      <c r="H1988" s="1" t="str">
        <f t="shared" si="390"/>
        <v>X</v>
      </c>
      <c r="I1988" s="1" t="str">
        <f t="shared" si="390"/>
        <v>X</v>
      </c>
      <c r="J1988" s="1" t="str">
        <f t="shared" si="390"/>
        <v>X</v>
      </c>
      <c r="K1988" s="1" t="str">
        <f t="shared" si="390"/>
        <v>X</v>
      </c>
      <c r="L1988" s="1" t="str">
        <f t="shared" si="390"/>
        <v>X</v>
      </c>
      <c r="M1988" s="1" t="str">
        <f t="shared" si="390"/>
        <v>X</v>
      </c>
      <c r="N1988" t="s">
        <v>27</v>
      </c>
    </row>
    <row r="1989" spans="1:14" x14ac:dyDescent="0.25">
      <c r="A1989" t="s">
        <v>14</v>
      </c>
      <c r="B1989" t="s">
        <v>40</v>
      </c>
      <c r="C1989" t="s">
        <v>35</v>
      </c>
      <c r="D1989" t="s">
        <v>29</v>
      </c>
      <c r="E1989" t="s">
        <v>22</v>
      </c>
      <c r="F1989" t="s">
        <v>18</v>
      </c>
      <c r="G1989" s="1" t="str">
        <f t="shared" si="390"/>
        <v>X</v>
      </c>
      <c r="H1989" s="1" t="str">
        <f t="shared" si="390"/>
        <v>X</v>
      </c>
      <c r="I1989" s="1" t="str">
        <f t="shared" si="390"/>
        <v>X</v>
      </c>
      <c r="J1989" s="1" t="str">
        <f t="shared" si="390"/>
        <v>X</v>
      </c>
      <c r="K1989" s="1" t="str">
        <f t="shared" si="390"/>
        <v>X</v>
      </c>
      <c r="L1989" s="1" t="str">
        <f t="shared" si="390"/>
        <v>X</v>
      </c>
      <c r="M1989" s="1" t="str">
        <f t="shared" si="390"/>
        <v>X</v>
      </c>
      <c r="N1989" t="s">
        <v>27</v>
      </c>
    </row>
    <row r="1990" spans="1:14" x14ac:dyDescent="0.25">
      <c r="A1990" t="s">
        <v>14</v>
      </c>
      <c r="B1990" t="s">
        <v>40</v>
      </c>
      <c r="C1990" t="s">
        <v>35</v>
      </c>
      <c r="D1990" t="s">
        <v>29</v>
      </c>
      <c r="E1990" t="s">
        <v>22</v>
      </c>
      <c r="F1990" t="s">
        <v>19</v>
      </c>
      <c r="G1990" s="1" t="str">
        <f t="shared" si="390"/>
        <v>X</v>
      </c>
      <c r="H1990" s="1" t="str">
        <f t="shared" si="390"/>
        <v>X</v>
      </c>
      <c r="I1990" s="1" t="str">
        <f t="shared" si="390"/>
        <v>X</v>
      </c>
      <c r="J1990" s="1" t="str">
        <f t="shared" si="390"/>
        <v>X</v>
      </c>
      <c r="K1990" s="1" t="str">
        <f t="shared" si="390"/>
        <v>X</v>
      </c>
      <c r="L1990" s="1" t="str">
        <f t="shared" si="390"/>
        <v>X</v>
      </c>
      <c r="M1990" s="1" t="str">
        <f t="shared" si="390"/>
        <v>X</v>
      </c>
      <c r="N1990" t="s">
        <v>27</v>
      </c>
    </row>
    <row r="1991" spans="1:14" x14ac:dyDescent="0.25">
      <c r="A1991" t="s">
        <v>14</v>
      </c>
      <c r="B1991" t="s">
        <v>40</v>
      </c>
      <c r="C1991" t="s">
        <v>35</v>
      </c>
      <c r="D1991" t="s">
        <v>29</v>
      </c>
      <c r="E1991" t="s">
        <v>22</v>
      </c>
      <c r="F1991" t="s">
        <v>20</v>
      </c>
      <c r="G1991" s="1" t="str">
        <f t="shared" si="390"/>
        <v>X</v>
      </c>
      <c r="H1991" s="1" t="str">
        <f t="shared" si="390"/>
        <v>X</v>
      </c>
      <c r="I1991" s="1" t="str">
        <f t="shared" si="390"/>
        <v>X</v>
      </c>
      <c r="J1991" s="1" t="str">
        <f t="shared" si="390"/>
        <v>X</v>
      </c>
      <c r="K1991" s="1" t="str">
        <f t="shared" si="390"/>
        <v>X</v>
      </c>
      <c r="L1991" s="1" t="str">
        <f t="shared" si="390"/>
        <v>X</v>
      </c>
      <c r="M1991" s="1" t="str">
        <f t="shared" si="390"/>
        <v>X</v>
      </c>
      <c r="N1991" t="s">
        <v>27</v>
      </c>
    </row>
    <row r="1992" spans="1:14" x14ac:dyDescent="0.25">
      <c r="A1992" t="s">
        <v>14</v>
      </c>
      <c r="B1992" t="s">
        <v>40</v>
      </c>
      <c r="C1992" t="s">
        <v>35</v>
      </c>
      <c r="D1992" t="s">
        <v>29</v>
      </c>
      <c r="E1992" t="s">
        <v>23</v>
      </c>
      <c r="F1992" t="s">
        <v>15</v>
      </c>
      <c r="G1992" s="2">
        <f>VALUE(166.8084152944)</f>
        <v>166.80841529439999</v>
      </c>
      <c r="H1992" s="3">
        <f>VALUE(145.5898478814)</f>
        <v>145.5898478814</v>
      </c>
      <c r="I1992" s="4">
        <f>VALUE(2847)</f>
        <v>2847</v>
      </c>
      <c r="J1992" s="5">
        <f>VALUE(3000)</f>
        <v>3000</v>
      </c>
      <c r="K1992" s="6">
        <f>VALUE(3250)</f>
        <v>3250</v>
      </c>
      <c r="L1992" s="1">
        <f>VALUE(3817)</f>
        <v>3817</v>
      </c>
      <c r="M1992" s="1">
        <f>VALUE(4057)</f>
        <v>4057</v>
      </c>
      <c r="N1992" t="s">
        <v>25</v>
      </c>
    </row>
    <row r="1993" spans="1:14" x14ac:dyDescent="0.25">
      <c r="A1993" t="s">
        <v>14</v>
      </c>
      <c r="B1993" t="s">
        <v>40</v>
      </c>
      <c r="C1993" t="s">
        <v>35</v>
      </c>
      <c r="D1993" t="s">
        <v>29</v>
      </c>
      <c r="E1993" t="s">
        <v>23</v>
      </c>
      <c r="F1993" t="s">
        <v>17</v>
      </c>
      <c r="G1993" s="1" t="str">
        <f t="shared" ref="G1993:M1993" si="391">"..."</f>
        <v>...</v>
      </c>
      <c r="H1993" s="1" t="str">
        <f t="shared" si="391"/>
        <v>...</v>
      </c>
      <c r="I1993" s="1" t="str">
        <f t="shared" si="391"/>
        <v>...</v>
      </c>
      <c r="J1993" s="1" t="str">
        <f t="shared" si="391"/>
        <v>...</v>
      </c>
      <c r="K1993" s="1" t="str">
        <f t="shared" si="391"/>
        <v>...</v>
      </c>
      <c r="L1993" s="1" t="str">
        <f t="shared" si="391"/>
        <v>...</v>
      </c>
      <c r="M1993" s="1" t="str">
        <f t="shared" si="391"/>
        <v>...</v>
      </c>
      <c r="N1993" t="s">
        <v>30</v>
      </c>
    </row>
    <row r="1994" spans="1:14" x14ac:dyDescent="0.25">
      <c r="A1994" t="s">
        <v>14</v>
      </c>
      <c r="B1994" t="s">
        <v>40</v>
      </c>
      <c r="C1994" t="s">
        <v>35</v>
      </c>
      <c r="D1994" t="s">
        <v>29</v>
      </c>
      <c r="E1994" t="s">
        <v>23</v>
      </c>
      <c r="F1994" t="s">
        <v>18</v>
      </c>
      <c r="G1994" s="1" t="str">
        <f t="shared" ref="G1994:M1994" si="392">"X"</f>
        <v>X</v>
      </c>
      <c r="H1994" s="1" t="str">
        <f t="shared" si="392"/>
        <v>X</v>
      </c>
      <c r="I1994" s="1" t="str">
        <f t="shared" si="392"/>
        <v>X</v>
      </c>
      <c r="J1994" s="1" t="str">
        <f t="shared" si="392"/>
        <v>X</v>
      </c>
      <c r="K1994" s="1" t="str">
        <f t="shared" si="392"/>
        <v>X</v>
      </c>
      <c r="L1994" s="1" t="str">
        <f t="shared" si="392"/>
        <v>X</v>
      </c>
      <c r="M1994" s="1" t="str">
        <f t="shared" si="392"/>
        <v>X</v>
      </c>
      <c r="N1994" t="s">
        <v>27</v>
      </c>
    </row>
    <row r="1995" spans="1:14" x14ac:dyDescent="0.25">
      <c r="A1995" t="s">
        <v>14</v>
      </c>
      <c r="B1995" t="s">
        <v>40</v>
      </c>
      <c r="C1995" t="s">
        <v>35</v>
      </c>
      <c r="D1995" t="s">
        <v>29</v>
      </c>
      <c r="E1995" t="s">
        <v>23</v>
      </c>
      <c r="F1995" t="s">
        <v>19</v>
      </c>
      <c r="G1995" s="1" t="str">
        <f t="shared" ref="G1995:M1995" si="393">"..."</f>
        <v>...</v>
      </c>
      <c r="H1995" s="1" t="str">
        <f t="shared" si="393"/>
        <v>...</v>
      </c>
      <c r="I1995" s="1" t="str">
        <f t="shared" si="393"/>
        <v>...</v>
      </c>
      <c r="J1995" s="1" t="str">
        <f t="shared" si="393"/>
        <v>...</v>
      </c>
      <c r="K1995" s="1" t="str">
        <f t="shared" si="393"/>
        <v>...</v>
      </c>
      <c r="L1995" s="1" t="str">
        <f t="shared" si="393"/>
        <v>...</v>
      </c>
      <c r="M1995" s="1" t="str">
        <f t="shared" si="393"/>
        <v>...</v>
      </c>
      <c r="N1995" t="s">
        <v>30</v>
      </c>
    </row>
    <row r="1996" spans="1:14" x14ac:dyDescent="0.25">
      <c r="A1996" t="s">
        <v>14</v>
      </c>
      <c r="B1996" t="s">
        <v>40</v>
      </c>
      <c r="C1996" t="s">
        <v>35</v>
      </c>
      <c r="D1996" t="s">
        <v>29</v>
      </c>
      <c r="E1996" t="s">
        <v>23</v>
      </c>
      <c r="F1996" t="s">
        <v>20</v>
      </c>
      <c r="G1996" s="1" t="str">
        <f t="shared" ref="G1996:M1997" si="394">"X"</f>
        <v>X</v>
      </c>
      <c r="H1996" s="1" t="str">
        <f t="shared" si="394"/>
        <v>X</v>
      </c>
      <c r="I1996" s="1" t="str">
        <f t="shared" si="394"/>
        <v>X</v>
      </c>
      <c r="J1996" s="1" t="str">
        <f t="shared" si="394"/>
        <v>X</v>
      </c>
      <c r="K1996" s="1" t="str">
        <f t="shared" si="394"/>
        <v>X</v>
      </c>
      <c r="L1996" s="1" t="str">
        <f t="shared" si="394"/>
        <v>X</v>
      </c>
      <c r="M1996" s="1" t="str">
        <f t="shared" si="394"/>
        <v>X</v>
      </c>
      <c r="N1996" t="s">
        <v>27</v>
      </c>
    </row>
    <row r="1997" spans="1:14" x14ac:dyDescent="0.25">
      <c r="A1997" t="s">
        <v>14</v>
      </c>
      <c r="B1997" t="s">
        <v>40</v>
      </c>
      <c r="C1997" t="s">
        <v>35</v>
      </c>
      <c r="D1997" t="s">
        <v>29</v>
      </c>
      <c r="E1997" t="s">
        <v>26</v>
      </c>
      <c r="F1997" t="s">
        <v>15</v>
      </c>
      <c r="G1997" s="1" t="str">
        <f t="shared" si="394"/>
        <v>X</v>
      </c>
      <c r="H1997" s="1" t="str">
        <f t="shared" si="394"/>
        <v>X</v>
      </c>
      <c r="I1997" s="1" t="str">
        <f t="shared" si="394"/>
        <v>X</v>
      </c>
      <c r="J1997" s="1" t="str">
        <f t="shared" si="394"/>
        <v>X</v>
      </c>
      <c r="K1997" s="1" t="str">
        <f t="shared" si="394"/>
        <v>X</v>
      </c>
      <c r="L1997" s="1" t="str">
        <f t="shared" si="394"/>
        <v>X</v>
      </c>
      <c r="M1997" s="1" t="str">
        <f t="shared" si="394"/>
        <v>X</v>
      </c>
      <c r="N1997" t="s">
        <v>27</v>
      </c>
    </row>
    <row r="1998" spans="1:14" x14ac:dyDescent="0.25">
      <c r="A1998" t="s">
        <v>14</v>
      </c>
      <c r="B1998" t="s">
        <v>40</v>
      </c>
      <c r="C1998" t="s">
        <v>35</v>
      </c>
      <c r="D1998" t="s">
        <v>29</v>
      </c>
      <c r="E1998" t="s">
        <v>26</v>
      </c>
      <c r="F1998" t="s">
        <v>17</v>
      </c>
      <c r="G1998" s="1" t="str">
        <f t="shared" ref="G1998:M2000" si="395">"..."</f>
        <v>...</v>
      </c>
      <c r="H1998" s="1" t="str">
        <f t="shared" si="395"/>
        <v>...</v>
      </c>
      <c r="I1998" s="1" t="str">
        <f t="shared" si="395"/>
        <v>...</v>
      </c>
      <c r="J1998" s="1" t="str">
        <f t="shared" si="395"/>
        <v>...</v>
      </c>
      <c r="K1998" s="1" t="str">
        <f t="shared" si="395"/>
        <v>...</v>
      </c>
      <c r="L1998" s="1" t="str">
        <f t="shared" si="395"/>
        <v>...</v>
      </c>
      <c r="M1998" s="1" t="str">
        <f t="shared" si="395"/>
        <v>...</v>
      </c>
      <c r="N1998" t="s">
        <v>30</v>
      </c>
    </row>
    <row r="1999" spans="1:14" x14ac:dyDescent="0.25">
      <c r="A1999" t="s">
        <v>14</v>
      </c>
      <c r="B1999" t="s">
        <v>40</v>
      </c>
      <c r="C1999" t="s">
        <v>35</v>
      </c>
      <c r="D1999" t="s">
        <v>29</v>
      </c>
      <c r="E1999" t="s">
        <v>26</v>
      </c>
      <c r="F1999" t="s">
        <v>18</v>
      </c>
      <c r="G1999" s="1" t="str">
        <f t="shared" si="395"/>
        <v>...</v>
      </c>
      <c r="H1999" s="1" t="str">
        <f t="shared" si="395"/>
        <v>...</v>
      </c>
      <c r="I1999" s="1" t="str">
        <f t="shared" si="395"/>
        <v>...</v>
      </c>
      <c r="J1999" s="1" t="str">
        <f t="shared" si="395"/>
        <v>...</v>
      </c>
      <c r="K1999" s="1" t="str">
        <f t="shared" si="395"/>
        <v>...</v>
      </c>
      <c r="L1999" s="1" t="str">
        <f t="shared" si="395"/>
        <v>...</v>
      </c>
      <c r="M1999" s="1" t="str">
        <f t="shared" si="395"/>
        <v>...</v>
      </c>
      <c r="N1999" t="s">
        <v>30</v>
      </c>
    </row>
    <row r="2000" spans="1:14" x14ac:dyDescent="0.25">
      <c r="A2000" t="s">
        <v>14</v>
      </c>
      <c r="B2000" t="s">
        <v>40</v>
      </c>
      <c r="C2000" t="s">
        <v>35</v>
      </c>
      <c r="D2000" t="s">
        <v>29</v>
      </c>
      <c r="E2000" t="s">
        <v>26</v>
      </c>
      <c r="F2000" t="s">
        <v>19</v>
      </c>
      <c r="G2000" s="1" t="str">
        <f t="shared" si="395"/>
        <v>...</v>
      </c>
      <c r="H2000" s="1" t="str">
        <f t="shared" si="395"/>
        <v>...</v>
      </c>
      <c r="I2000" s="1" t="str">
        <f t="shared" si="395"/>
        <v>...</v>
      </c>
      <c r="J2000" s="1" t="str">
        <f t="shared" si="395"/>
        <v>...</v>
      </c>
      <c r="K2000" s="1" t="str">
        <f t="shared" si="395"/>
        <v>...</v>
      </c>
      <c r="L2000" s="1" t="str">
        <f t="shared" si="395"/>
        <v>...</v>
      </c>
      <c r="M2000" s="1" t="str">
        <f t="shared" si="395"/>
        <v>...</v>
      </c>
      <c r="N2000" t="s">
        <v>30</v>
      </c>
    </row>
    <row r="2001" spans="1:14" x14ac:dyDescent="0.25">
      <c r="A2001" t="s">
        <v>14</v>
      </c>
      <c r="B2001" t="s">
        <v>40</v>
      </c>
      <c r="C2001" t="s">
        <v>35</v>
      </c>
      <c r="D2001" t="s">
        <v>29</v>
      </c>
      <c r="E2001" t="s">
        <v>26</v>
      </c>
      <c r="F2001" t="s">
        <v>20</v>
      </c>
      <c r="G2001" s="1" t="str">
        <f t="shared" ref="G2001:M2001" si="396">"X"</f>
        <v>X</v>
      </c>
      <c r="H2001" s="1" t="str">
        <f t="shared" si="396"/>
        <v>X</v>
      </c>
      <c r="I2001" s="1" t="str">
        <f t="shared" si="396"/>
        <v>X</v>
      </c>
      <c r="J2001" s="1" t="str">
        <f t="shared" si="396"/>
        <v>X</v>
      </c>
      <c r="K2001" s="1" t="str">
        <f t="shared" si="396"/>
        <v>X</v>
      </c>
      <c r="L2001" s="1" t="str">
        <f t="shared" si="396"/>
        <v>X</v>
      </c>
      <c r="M2001" s="1" t="str">
        <f t="shared" si="396"/>
        <v>X</v>
      </c>
      <c r="N2001" t="s">
        <v>27</v>
      </c>
    </row>
    <row r="2002" spans="1:14" x14ac:dyDescent="0.25">
      <c r="A2002" t="s">
        <v>14</v>
      </c>
      <c r="B2002" t="s">
        <v>40</v>
      </c>
      <c r="C2002" t="s">
        <v>35</v>
      </c>
      <c r="D2002" t="s">
        <v>31</v>
      </c>
      <c r="E2002" t="s">
        <v>15</v>
      </c>
      <c r="F2002" t="s">
        <v>15</v>
      </c>
      <c r="G2002" s="2">
        <f>VALUE(218.5475839076)</f>
        <v>218.5475839076</v>
      </c>
      <c r="H2002" s="3">
        <f>VALUE(187.021249363)</f>
        <v>187.02124936300001</v>
      </c>
      <c r="I2002" s="4">
        <f>VALUE(2508)</f>
        <v>2508</v>
      </c>
      <c r="J2002" s="5">
        <f>VALUE(3030)</f>
        <v>3030</v>
      </c>
      <c r="K2002" s="6">
        <f>VALUE(3175)</f>
        <v>3175</v>
      </c>
      <c r="L2002" s="1">
        <f>VALUE(3621)</f>
        <v>3621</v>
      </c>
      <c r="M2002" s="8">
        <f>VALUE(4328)</f>
        <v>4328</v>
      </c>
      <c r="N2002" t="s">
        <v>25</v>
      </c>
    </row>
    <row r="2003" spans="1:14" x14ac:dyDescent="0.25">
      <c r="A2003" t="s">
        <v>14</v>
      </c>
      <c r="B2003" t="s">
        <v>40</v>
      </c>
      <c r="C2003" t="s">
        <v>35</v>
      </c>
      <c r="D2003" t="s">
        <v>31</v>
      </c>
      <c r="E2003" t="s">
        <v>15</v>
      </c>
      <c r="F2003" t="s">
        <v>17</v>
      </c>
      <c r="G2003" s="1" t="str">
        <f t="shared" ref="G2003:M2003" si="397">"..."</f>
        <v>...</v>
      </c>
      <c r="H2003" s="1" t="str">
        <f t="shared" si="397"/>
        <v>...</v>
      </c>
      <c r="I2003" s="1" t="str">
        <f t="shared" si="397"/>
        <v>...</v>
      </c>
      <c r="J2003" s="1" t="str">
        <f t="shared" si="397"/>
        <v>...</v>
      </c>
      <c r="K2003" s="1" t="str">
        <f t="shared" si="397"/>
        <v>...</v>
      </c>
      <c r="L2003" s="1" t="str">
        <f t="shared" si="397"/>
        <v>...</v>
      </c>
      <c r="M2003" s="1" t="str">
        <f t="shared" si="397"/>
        <v>...</v>
      </c>
      <c r="N2003" t="s">
        <v>30</v>
      </c>
    </row>
    <row r="2004" spans="1:14" x14ac:dyDescent="0.25">
      <c r="A2004" t="s">
        <v>14</v>
      </c>
      <c r="B2004" t="s">
        <v>40</v>
      </c>
      <c r="C2004" t="s">
        <v>35</v>
      </c>
      <c r="D2004" t="s">
        <v>31</v>
      </c>
      <c r="E2004" t="s">
        <v>15</v>
      </c>
      <c r="F2004" t="s">
        <v>18</v>
      </c>
      <c r="G2004" s="1" t="str">
        <f t="shared" ref="G2004:M2005" si="398">"X"</f>
        <v>X</v>
      </c>
      <c r="H2004" s="1" t="str">
        <f t="shared" si="398"/>
        <v>X</v>
      </c>
      <c r="I2004" s="1" t="str">
        <f t="shared" si="398"/>
        <v>X</v>
      </c>
      <c r="J2004" s="1" t="str">
        <f t="shared" si="398"/>
        <v>X</v>
      </c>
      <c r="K2004" s="1" t="str">
        <f t="shared" si="398"/>
        <v>X</v>
      </c>
      <c r="L2004" s="1" t="str">
        <f t="shared" si="398"/>
        <v>X</v>
      </c>
      <c r="M2004" s="1" t="str">
        <f t="shared" si="398"/>
        <v>X</v>
      </c>
      <c r="N2004" t="s">
        <v>27</v>
      </c>
    </row>
    <row r="2005" spans="1:14" x14ac:dyDescent="0.25">
      <c r="A2005" t="s">
        <v>14</v>
      </c>
      <c r="B2005" t="s">
        <v>40</v>
      </c>
      <c r="C2005" t="s">
        <v>35</v>
      </c>
      <c r="D2005" t="s">
        <v>31</v>
      </c>
      <c r="E2005" t="s">
        <v>15</v>
      </c>
      <c r="F2005" t="s">
        <v>19</v>
      </c>
      <c r="G2005" s="1" t="str">
        <f t="shared" si="398"/>
        <v>X</v>
      </c>
      <c r="H2005" s="1" t="str">
        <f t="shared" si="398"/>
        <v>X</v>
      </c>
      <c r="I2005" s="1" t="str">
        <f t="shared" si="398"/>
        <v>X</v>
      </c>
      <c r="J2005" s="1" t="str">
        <f t="shared" si="398"/>
        <v>X</v>
      </c>
      <c r="K2005" s="1" t="str">
        <f t="shared" si="398"/>
        <v>X</v>
      </c>
      <c r="L2005" s="1" t="str">
        <f t="shared" si="398"/>
        <v>X</v>
      </c>
      <c r="M2005" s="1" t="str">
        <f t="shared" si="398"/>
        <v>X</v>
      </c>
      <c r="N2005" t="s">
        <v>27</v>
      </c>
    </row>
    <row r="2006" spans="1:14" x14ac:dyDescent="0.25">
      <c r="A2006" t="s">
        <v>14</v>
      </c>
      <c r="B2006" t="s">
        <v>40</v>
      </c>
      <c r="C2006" t="s">
        <v>35</v>
      </c>
      <c r="D2006" t="s">
        <v>31</v>
      </c>
      <c r="E2006" t="s">
        <v>15</v>
      </c>
      <c r="F2006" t="s">
        <v>20</v>
      </c>
      <c r="G2006" s="2">
        <f>VALUE(196.9402870991)</f>
        <v>196.9402870991</v>
      </c>
      <c r="H2006" s="3">
        <f>VALUE(177.7127957894)</f>
        <v>177.71279578939999</v>
      </c>
      <c r="I2006" s="4">
        <f>VALUE(2454)</f>
        <v>2454</v>
      </c>
      <c r="J2006" s="5">
        <f>VALUE(3030)</f>
        <v>3030</v>
      </c>
      <c r="K2006" s="6">
        <f>VALUE(3175)</f>
        <v>3175</v>
      </c>
      <c r="L2006" s="1">
        <f>VALUE(3621)</f>
        <v>3621</v>
      </c>
      <c r="M2006" s="1">
        <f>VALUE(4054)</f>
        <v>4054</v>
      </c>
      <c r="N2006" t="s">
        <v>25</v>
      </c>
    </row>
    <row r="2007" spans="1:14" x14ac:dyDescent="0.25">
      <c r="A2007" t="s">
        <v>14</v>
      </c>
      <c r="B2007" t="s">
        <v>40</v>
      </c>
      <c r="C2007" t="s">
        <v>35</v>
      </c>
      <c r="D2007" t="s">
        <v>31</v>
      </c>
      <c r="E2007" t="s">
        <v>21</v>
      </c>
      <c r="F2007" t="s">
        <v>15</v>
      </c>
      <c r="G2007" s="1" t="str">
        <f t="shared" ref="G2007:M2007" si="399">"X"</f>
        <v>X</v>
      </c>
      <c r="H2007" s="1" t="str">
        <f t="shared" si="399"/>
        <v>X</v>
      </c>
      <c r="I2007" s="1" t="str">
        <f t="shared" si="399"/>
        <v>X</v>
      </c>
      <c r="J2007" s="1" t="str">
        <f t="shared" si="399"/>
        <v>X</v>
      </c>
      <c r="K2007" s="1" t="str">
        <f t="shared" si="399"/>
        <v>X</v>
      </c>
      <c r="L2007" s="1" t="str">
        <f t="shared" si="399"/>
        <v>X</v>
      </c>
      <c r="M2007" s="1" t="str">
        <f t="shared" si="399"/>
        <v>X</v>
      </c>
      <c r="N2007" t="s">
        <v>27</v>
      </c>
    </row>
    <row r="2008" spans="1:14" x14ac:dyDescent="0.25">
      <c r="A2008" t="s">
        <v>14</v>
      </c>
      <c r="B2008" t="s">
        <v>40</v>
      </c>
      <c r="C2008" t="s">
        <v>35</v>
      </c>
      <c r="D2008" t="s">
        <v>31</v>
      </c>
      <c r="E2008" t="s">
        <v>21</v>
      </c>
      <c r="F2008" t="s">
        <v>17</v>
      </c>
      <c r="G2008" s="1" t="str">
        <f t="shared" ref="G2008:M2008" si="400">"..."</f>
        <v>...</v>
      </c>
      <c r="H2008" s="1" t="str">
        <f t="shared" si="400"/>
        <v>...</v>
      </c>
      <c r="I2008" s="1" t="str">
        <f t="shared" si="400"/>
        <v>...</v>
      </c>
      <c r="J2008" s="1" t="str">
        <f t="shared" si="400"/>
        <v>...</v>
      </c>
      <c r="K2008" s="1" t="str">
        <f t="shared" si="400"/>
        <v>...</v>
      </c>
      <c r="L2008" s="1" t="str">
        <f t="shared" si="400"/>
        <v>...</v>
      </c>
      <c r="M2008" s="1" t="str">
        <f t="shared" si="400"/>
        <v>...</v>
      </c>
      <c r="N2008" t="s">
        <v>30</v>
      </c>
    </row>
    <row r="2009" spans="1:14" x14ac:dyDescent="0.25">
      <c r="A2009" t="s">
        <v>14</v>
      </c>
      <c r="B2009" t="s">
        <v>40</v>
      </c>
      <c r="C2009" t="s">
        <v>35</v>
      </c>
      <c r="D2009" t="s">
        <v>31</v>
      </c>
      <c r="E2009" t="s">
        <v>21</v>
      </c>
      <c r="F2009" t="s">
        <v>18</v>
      </c>
      <c r="G2009" s="1" t="str">
        <f t="shared" ref="G2009:M2012" si="401">"X"</f>
        <v>X</v>
      </c>
      <c r="H2009" s="1" t="str">
        <f t="shared" si="401"/>
        <v>X</v>
      </c>
      <c r="I2009" s="1" t="str">
        <f t="shared" si="401"/>
        <v>X</v>
      </c>
      <c r="J2009" s="1" t="str">
        <f t="shared" si="401"/>
        <v>X</v>
      </c>
      <c r="K2009" s="1" t="str">
        <f t="shared" si="401"/>
        <v>X</v>
      </c>
      <c r="L2009" s="1" t="str">
        <f t="shared" si="401"/>
        <v>X</v>
      </c>
      <c r="M2009" s="1" t="str">
        <f t="shared" si="401"/>
        <v>X</v>
      </c>
      <c r="N2009" t="s">
        <v>27</v>
      </c>
    </row>
    <row r="2010" spans="1:14" x14ac:dyDescent="0.25">
      <c r="A2010" t="s">
        <v>14</v>
      </c>
      <c r="B2010" t="s">
        <v>40</v>
      </c>
      <c r="C2010" t="s">
        <v>35</v>
      </c>
      <c r="D2010" t="s">
        <v>31</v>
      </c>
      <c r="E2010" t="s">
        <v>21</v>
      </c>
      <c r="F2010" t="s">
        <v>19</v>
      </c>
      <c r="G2010" s="1" t="str">
        <f t="shared" si="401"/>
        <v>X</v>
      </c>
      <c r="H2010" s="1" t="str">
        <f t="shared" si="401"/>
        <v>X</v>
      </c>
      <c r="I2010" s="1" t="str">
        <f t="shared" si="401"/>
        <v>X</v>
      </c>
      <c r="J2010" s="1" t="str">
        <f t="shared" si="401"/>
        <v>X</v>
      </c>
      <c r="K2010" s="1" t="str">
        <f t="shared" si="401"/>
        <v>X</v>
      </c>
      <c r="L2010" s="1" t="str">
        <f t="shared" si="401"/>
        <v>X</v>
      </c>
      <c r="M2010" s="1" t="str">
        <f t="shared" si="401"/>
        <v>X</v>
      </c>
      <c r="N2010" t="s">
        <v>27</v>
      </c>
    </row>
    <row r="2011" spans="1:14" x14ac:dyDescent="0.25">
      <c r="A2011" t="s">
        <v>14</v>
      </c>
      <c r="B2011" t="s">
        <v>40</v>
      </c>
      <c r="C2011" t="s">
        <v>35</v>
      </c>
      <c r="D2011" t="s">
        <v>31</v>
      </c>
      <c r="E2011" t="s">
        <v>21</v>
      </c>
      <c r="F2011" t="s">
        <v>20</v>
      </c>
      <c r="G2011" s="1" t="str">
        <f t="shared" si="401"/>
        <v>X</v>
      </c>
      <c r="H2011" s="1" t="str">
        <f t="shared" si="401"/>
        <v>X</v>
      </c>
      <c r="I2011" s="1" t="str">
        <f t="shared" si="401"/>
        <v>X</v>
      </c>
      <c r="J2011" s="1" t="str">
        <f t="shared" si="401"/>
        <v>X</v>
      </c>
      <c r="K2011" s="1" t="str">
        <f t="shared" si="401"/>
        <v>X</v>
      </c>
      <c r="L2011" s="1" t="str">
        <f t="shared" si="401"/>
        <v>X</v>
      </c>
      <c r="M2011" s="1" t="str">
        <f t="shared" si="401"/>
        <v>X</v>
      </c>
      <c r="N2011" t="s">
        <v>27</v>
      </c>
    </row>
    <row r="2012" spans="1:14" x14ac:dyDescent="0.25">
      <c r="A2012" t="s">
        <v>14</v>
      </c>
      <c r="B2012" t="s">
        <v>40</v>
      </c>
      <c r="C2012" t="s">
        <v>35</v>
      </c>
      <c r="D2012" t="s">
        <v>31</v>
      </c>
      <c r="E2012" t="s">
        <v>22</v>
      </c>
      <c r="F2012" t="s">
        <v>15</v>
      </c>
      <c r="G2012" s="1" t="str">
        <f t="shared" si="401"/>
        <v>X</v>
      </c>
      <c r="H2012" s="1" t="str">
        <f t="shared" si="401"/>
        <v>X</v>
      </c>
      <c r="I2012" s="1" t="str">
        <f t="shared" si="401"/>
        <v>X</v>
      </c>
      <c r="J2012" s="1" t="str">
        <f t="shared" si="401"/>
        <v>X</v>
      </c>
      <c r="K2012" s="1" t="str">
        <f t="shared" si="401"/>
        <v>X</v>
      </c>
      <c r="L2012" s="1" t="str">
        <f t="shared" si="401"/>
        <v>X</v>
      </c>
      <c r="M2012" s="1" t="str">
        <f t="shared" si="401"/>
        <v>X</v>
      </c>
      <c r="N2012" t="s">
        <v>27</v>
      </c>
    </row>
    <row r="2013" spans="1:14" x14ac:dyDescent="0.25">
      <c r="A2013" t="s">
        <v>14</v>
      </c>
      <c r="B2013" t="s">
        <v>40</v>
      </c>
      <c r="C2013" t="s">
        <v>35</v>
      </c>
      <c r="D2013" t="s">
        <v>31</v>
      </c>
      <c r="E2013" t="s">
        <v>22</v>
      </c>
      <c r="F2013" t="s">
        <v>17</v>
      </c>
      <c r="G2013" s="1" t="str">
        <f t="shared" ref="G2013:M2013" si="402">"..."</f>
        <v>...</v>
      </c>
      <c r="H2013" s="1" t="str">
        <f t="shared" si="402"/>
        <v>...</v>
      </c>
      <c r="I2013" s="1" t="str">
        <f t="shared" si="402"/>
        <v>...</v>
      </c>
      <c r="J2013" s="1" t="str">
        <f t="shared" si="402"/>
        <v>...</v>
      </c>
      <c r="K2013" s="1" t="str">
        <f t="shared" si="402"/>
        <v>...</v>
      </c>
      <c r="L2013" s="1" t="str">
        <f t="shared" si="402"/>
        <v>...</v>
      </c>
      <c r="M2013" s="1" t="str">
        <f t="shared" si="402"/>
        <v>...</v>
      </c>
      <c r="N2013" t="s">
        <v>30</v>
      </c>
    </row>
    <row r="2014" spans="1:14" x14ac:dyDescent="0.25">
      <c r="A2014" t="s">
        <v>14</v>
      </c>
      <c r="B2014" t="s">
        <v>40</v>
      </c>
      <c r="C2014" t="s">
        <v>35</v>
      </c>
      <c r="D2014" t="s">
        <v>31</v>
      </c>
      <c r="E2014" t="s">
        <v>22</v>
      </c>
      <c r="F2014" t="s">
        <v>18</v>
      </c>
      <c r="G2014" s="1" t="str">
        <f t="shared" ref="G2014:M2017" si="403">"X"</f>
        <v>X</v>
      </c>
      <c r="H2014" s="1" t="str">
        <f t="shared" si="403"/>
        <v>X</v>
      </c>
      <c r="I2014" s="1" t="str">
        <f t="shared" si="403"/>
        <v>X</v>
      </c>
      <c r="J2014" s="1" t="str">
        <f t="shared" si="403"/>
        <v>X</v>
      </c>
      <c r="K2014" s="1" t="str">
        <f t="shared" si="403"/>
        <v>X</v>
      </c>
      <c r="L2014" s="1" t="str">
        <f t="shared" si="403"/>
        <v>X</v>
      </c>
      <c r="M2014" s="1" t="str">
        <f t="shared" si="403"/>
        <v>X</v>
      </c>
      <c r="N2014" t="s">
        <v>27</v>
      </c>
    </row>
    <row r="2015" spans="1:14" x14ac:dyDescent="0.25">
      <c r="A2015" t="s">
        <v>14</v>
      </c>
      <c r="B2015" t="s">
        <v>40</v>
      </c>
      <c r="C2015" t="s">
        <v>35</v>
      </c>
      <c r="D2015" t="s">
        <v>31</v>
      </c>
      <c r="E2015" t="s">
        <v>22</v>
      </c>
      <c r="F2015" t="s">
        <v>19</v>
      </c>
      <c r="G2015" s="1" t="str">
        <f t="shared" si="403"/>
        <v>X</v>
      </c>
      <c r="H2015" s="1" t="str">
        <f t="shared" si="403"/>
        <v>X</v>
      </c>
      <c r="I2015" s="1" t="str">
        <f t="shared" si="403"/>
        <v>X</v>
      </c>
      <c r="J2015" s="1" t="str">
        <f t="shared" si="403"/>
        <v>X</v>
      </c>
      <c r="K2015" s="1" t="str">
        <f t="shared" si="403"/>
        <v>X</v>
      </c>
      <c r="L2015" s="1" t="str">
        <f t="shared" si="403"/>
        <v>X</v>
      </c>
      <c r="M2015" s="1" t="str">
        <f t="shared" si="403"/>
        <v>X</v>
      </c>
      <c r="N2015" t="s">
        <v>27</v>
      </c>
    </row>
    <row r="2016" spans="1:14" x14ac:dyDescent="0.25">
      <c r="A2016" t="s">
        <v>14</v>
      </c>
      <c r="B2016" t="s">
        <v>40</v>
      </c>
      <c r="C2016" t="s">
        <v>35</v>
      </c>
      <c r="D2016" t="s">
        <v>31</v>
      </c>
      <c r="E2016" t="s">
        <v>22</v>
      </c>
      <c r="F2016" t="s">
        <v>20</v>
      </c>
      <c r="G2016" s="1" t="str">
        <f t="shared" si="403"/>
        <v>X</v>
      </c>
      <c r="H2016" s="1" t="str">
        <f t="shared" si="403"/>
        <v>X</v>
      </c>
      <c r="I2016" s="1" t="str">
        <f t="shared" si="403"/>
        <v>X</v>
      </c>
      <c r="J2016" s="1" t="str">
        <f t="shared" si="403"/>
        <v>X</v>
      </c>
      <c r="K2016" s="1" t="str">
        <f t="shared" si="403"/>
        <v>X</v>
      </c>
      <c r="L2016" s="1" t="str">
        <f t="shared" si="403"/>
        <v>X</v>
      </c>
      <c r="M2016" s="1" t="str">
        <f t="shared" si="403"/>
        <v>X</v>
      </c>
      <c r="N2016" t="s">
        <v>27</v>
      </c>
    </row>
    <row r="2017" spans="1:14" x14ac:dyDescent="0.25">
      <c r="A2017" t="s">
        <v>14</v>
      </c>
      <c r="B2017" t="s">
        <v>40</v>
      </c>
      <c r="C2017" t="s">
        <v>35</v>
      </c>
      <c r="D2017" t="s">
        <v>31</v>
      </c>
      <c r="E2017" t="s">
        <v>23</v>
      </c>
      <c r="F2017" t="s">
        <v>15</v>
      </c>
      <c r="G2017" s="1" t="str">
        <f t="shared" si="403"/>
        <v>X</v>
      </c>
      <c r="H2017" s="1" t="str">
        <f t="shared" si="403"/>
        <v>X</v>
      </c>
      <c r="I2017" s="1" t="str">
        <f t="shared" si="403"/>
        <v>X</v>
      </c>
      <c r="J2017" s="1" t="str">
        <f t="shared" si="403"/>
        <v>X</v>
      </c>
      <c r="K2017" s="1" t="str">
        <f t="shared" si="403"/>
        <v>X</v>
      </c>
      <c r="L2017" s="1" t="str">
        <f t="shared" si="403"/>
        <v>X</v>
      </c>
      <c r="M2017" s="1" t="str">
        <f t="shared" si="403"/>
        <v>X</v>
      </c>
      <c r="N2017" t="s">
        <v>27</v>
      </c>
    </row>
    <row r="2018" spans="1:14" x14ac:dyDescent="0.25">
      <c r="A2018" t="s">
        <v>14</v>
      </c>
      <c r="B2018" t="s">
        <v>40</v>
      </c>
      <c r="C2018" t="s">
        <v>35</v>
      </c>
      <c r="D2018" t="s">
        <v>31</v>
      </c>
      <c r="E2018" t="s">
        <v>23</v>
      </c>
      <c r="F2018" t="s">
        <v>17</v>
      </c>
      <c r="G2018" s="1" t="str">
        <f t="shared" ref="G2018:M2019" si="404">"..."</f>
        <v>...</v>
      </c>
      <c r="H2018" s="1" t="str">
        <f t="shared" si="404"/>
        <v>...</v>
      </c>
      <c r="I2018" s="1" t="str">
        <f t="shared" si="404"/>
        <v>...</v>
      </c>
      <c r="J2018" s="1" t="str">
        <f t="shared" si="404"/>
        <v>...</v>
      </c>
      <c r="K2018" s="1" t="str">
        <f t="shared" si="404"/>
        <v>...</v>
      </c>
      <c r="L2018" s="1" t="str">
        <f t="shared" si="404"/>
        <v>...</v>
      </c>
      <c r="M2018" s="1" t="str">
        <f t="shared" si="404"/>
        <v>...</v>
      </c>
      <c r="N2018" t="s">
        <v>30</v>
      </c>
    </row>
    <row r="2019" spans="1:14" x14ac:dyDescent="0.25">
      <c r="A2019" t="s">
        <v>14</v>
      </c>
      <c r="B2019" t="s">
        <v>40</v>
      </c>
      <c r="C2019" t="s">
        <v>35</v>
      </c>
      <c r="D2019" t="s">
        <v>31</v>
      </c>
      <c r="E2019" t="s">
        <v>23</v>
      </c>
      <c r="F2019" t="s">
        <v>18</v>
      </c>
      <c r="G2019" s="1" t="str">
        <f t="shared" si="404"/>
        <v>...</v>
      </c>
      <c r="H2019" s="1" t="str">
        <f t="shared" si="404"/>
        <v>...</v>
      </c>
      <c r="I2019" s="1" t="str">
        <f t="shared" si="404"/>
        <v>...</v>
      </c>
      <c r="J2019" s="1" t="str">
        <f t="shared" si="404"/>
        <v>...</v>
      </c>
      <c r="K2019" s="1" t="str">
        <f t="shared" si="404"/>
        <v>...</v>
      </c>
      <c r="L2019" s="1" t="str">
        <f t="shared" si="404"/>
        <v>...</v>
      </c>
      <c r="M2019" s="1" t="str">
        <f t="shared" si="404"/>
        <v>...</v>
      </c>
      <c r="N2019" t="s">
        <v>30</v>
      </c>
    </row>
    <row r="2020" spans="1:14" x14ac:dyDescent="0.25">
      <c r="A2020" t="s">
        <v>14</v>
      </c>
      <c r="B2020" t="s">
        <v>40</v>
      </c>
      <c r="C2020" t="s">
        <v>35</v>
      </c>
      <c r="D2020" t="s">
        <v>31</v>
      </c>
      <c r="E2020" t="s">
        <v>23</v>
      </c>
      <c r="F2020" t="s">
        <v>19</v>
      </c>
      <c r="G2020" s="1" t="str">
        <f t="shared" ref="G2020:M2022" si="405">"X"</f>
        <v>X</v>
      </c>
      <c r="H2020" s="1" t="str">
        <f t="shared" si="405"/>
        <v>X</v>
      </c>
      <c r="I2020" s="1" t="str">
        <f t="shared" si="405"/>
        <v>X</v>
      </c>
      <c r="J2020" s="1" t="str">
        <f t="shared" si="405"/>
        <v>X</v>
      </c>
      <c r="K2020" s="1" t="str">
        <f t="shared" si="405"/>
        <v>X</v>
      </c>
      <c r="L2020" s="1" t="str">
        <f t="shared" si="405"/>
        <v>X</v>
      </c>
      <c r="M2020" s="1" t="str">
        <f t="shared" si="405"/>
        <v>X</v>
      </c>
      <c r="N2020" t="s">
        <v>27</v>
      </c>
    </row>
    <row r="2021" spans="1:14" x14ac:dyDescent="0.25">
      <c r="A2021" t="s">
        <v>14</v>
      </c>
      <c r="B2021" t="s">
        <v>40</v>
      </c>
      <c r="C2021" t="s">
        <v>35</v>
      </c>
      <c r="D2021" t="s">
        <v>31</v>
      </c>
      <c r="E2021" t="s">
        <v>23</v>
      </c>
      <c r="F2021" t="s">
        <v>20</v>
      </c>
      <c r="G2021" s="1" t="str">
        <f t="shared" si="405"/>
        <v>X</v>
      </c>
      <c r="H2021" s="1" t="str">
        <f t="shared" si="405"/>
        <v>X</v>
      </c>
      <c r="I2021" s="1" t="str">
        <f t="shared" si="405"/>
        <v>X</v>
      </c>
      <c r="J2021" s="1" t="str">
        <f t="shared" si="405"/>
        <v>X</v>
      </c>
      <c r="K2021" s="1" t="str">
        <f t="shared" si="405"/>
        <v>X</v>
      </c>
      <c r="L2021" s="1" t="str">
        <f t="shared" si="405"/>
        <v>X</v>
      </c>
      <c r="M2021" s="1" t="str">
        <f t="shared" si="405"/>
        <v>X</v>
      </c>
      <c r="N2021" t="s">
        <v>27</v>
      </c>
    </row>
    <row r="2022" spans="1:14" x14ac:dyDescent="0.25">
      <c r="A2022" t="s">
        <v>14</v>
      </c>
      <c r="B2022" t="s">
        <v>40</v>
      </c>
      <c r="C2022" t="s">
        <v>35</v>
      </c>
      <c r="D2022" t="s">
        <v>31</v>
      </c>
      <c r="E2022" t="s">
        <v>26</v>
      </c>
      <c r="F2022" t="s">
        <v>15</v>
      </c>
      <c r="G2022" s="1" t="str">
        <f t="shared" si="405"/>
        <v>X</v>
      </c>
      <c r="H2022" s="1" t="str">
        <f t="shared" si="405"/>
        <v>X</v>
      </c>
      <c r="I2022" s="1" t="str">
        <f t="shared" si="405"/>
        <v>X</v>
      </c>
      <c r="J2022" s="1" t="str">
        <f t="shared" si="405"/>
        <v>X</v>
      </c>
      <c r="K2022" s="1" t="str">
        <f t="shared" si="405"/>
        <v>X</v>
      </c>
      <c r="L2022" s="1" t="str">
        <f t="shared" si="405"/>
        <v>X</v>
      </c>
      <c r="M2022" s="1" t="str">
        <f t="shared" si="405"/>
        <v>X</v>
      </c>
      <c r="N2022" t="s">
        <v>27</v>
      </c>
    </row>
    <row r="2023" spans="1:14" x14ac:dyDescent="0.25">
      <c r="A2023" t="s">
        <v>14</v>
      </c>
      <c r="B2023" t="s">
        <v>40</v>
      </c>
      <c r="C2023" t="s">
        <v>35</v>
      </c>
      <c r="D2023" t="s">
        <v>31</v>
      </c>
      <c r="E2023" t="s">
        <v>26</v>
      </c>
      <c r="F2023" t="s">
        <v>17</v>
      </c>
      <c r="G2023" s="1" t="str">
        <f t="shared" ref="G2023:M2025" si="406">"..."</f>
        <v>...</v>
      </c>
      <c r="H2023" s="1" t="str">
        <f t="shared" si="406"/>
        <v>...</v>
      </c>
      <c r="I2023" s="1" t="str">
        <f t="shared" si="406"/>
        <v>...</v>
      </c>
      <c r="J2023" s="1" t="str">
        <f t="shared" si="406"/>
        <v>...</v>
      </c>
      <c r="K2023" s="1" t="str">
        <f t="shared" si="406"/>
        <v>...</v>
      </c>
      <c r="L2023" s="1" t="str">
        <f t="shared" si="406"/>
        <v>...</v>
      </c>
      <c r="M2023" s="1" t="str">
        <f t="shared" si="406"/>
        <v>...</v>
      </c>
      <c r="N2023" t="s">
        <v>30</v>
      </c>
    </row>
    <row r="2024" spans="1:14" x14ac:dyDescent="0.25">
      <c r="A2024" t="s">
        <v>14</v>
      </c>
      <c r="B2024" t="s">
        <v>40</v>
      </c>
      <c r="C2024" t="s">
        <v>35</v>
      </c>
      <c r="D2024" t="s">
        <v>31</v>
      </c>
      <c r="E2024" t="s">
        <v>26</v>
      </c>
      <c r="F2024" t="s">
        <v>18</v>
      </c>
      <c r="G2024" s="1" t="str">
        <f t="shared" si="406"/>
        <v>...</v>
      </c>
      <c r="H2024" s="1" t="str">
        <f t="shared" si="406"/>
        <v>...</v>
      </c>
      <c r="I2024" s="1" t="str">
        <f t="shared" si="406"/>
        <v>...</v>
      </c>
      <c r="J2024" s="1" t="str">
        <f t="shared" si="406"/>
        <v>...</v>
      </c>
      <c r="K2024" s="1" t="str">
        <f t="shared" si="406"/>
        <v>...</v>
      </c>
      <c r="L2024" s="1" t="str">
        <f t="shared" si="406"/>
        <v>...</v>
      </c>
      <c r="M2024" s="1" t="str">
        <f t="shared" si="406"/>
        <v>...</v>
      </c>
      <c r="N2024" t="s">
        <v>30</v>
      </c>
    </row>
    <row r="2025" spans="1:14" x14ac:dyDescent="0.25">
      <c r="A2025" t="s">
        <v>14</v>
      </c>
      <c r="B2025" t="s">
        <v>40</v>
      </c>
      <c r="C2025" t="s">
        <v>35</v>
      </c>
      <c r="D2025" t="s">
        <v>31</v>
      </c>
      <c r="E2025" t="s">
        <v>26</v>
      </c>
      <c r="F2025" t="s">
        <v>19</v>
      </c>
      <c r="G2025" s="1" t="str">
        <f t="shared" si="406"/>
        <v>...</v>
      </c>
      <c r="H2025" s="1" t="str">
        <f t="shared" si="406"/>
        <v>...</v>
      </c>
      <c r="I2025" s="1" t="str">
        <f t="shared" si="406"/>
        <v>...</v>
      </c>
      <c r="J2025" s="1" t="str">
        <f t="shared" si="406"/>
        <v>...</v>
      </c>
      <c r="K2025" s="1" t="str">
        <f t="shared" si="406"/>
        <v>...</v>
      </c>
      <c r="L2025" s="1" t="str">
        <f t="shared" si="406"/>
        <v>...</v>
      </c>
      <c r="M2025" s="1" t="str">
        <f t="shared" si="406"/>
        <v>...</v>
      </c>
      <c r="N2025" t="s">
        <v>30</v>
      </c>
    </row>
    <row r="2026" spans="1:14" x14ac:dyDescent="0.25">
      <c r="A2026" t="s">
        <v>14</v>
      </c>
      <c r="B2026" t="s">
        <v>40</v>
      </c>
      <c r="C2026" t="s">
        <v>35</v>
      </c>
      <c r="D2026" t="s">
        <v>31</v>
      </c>
      <c r="E2026" t="s">
        <v>26</v>
      </c>
      <c r="F2026" t="s">
        <v>20</v>
      </c>
      <c r="G2026" s="1" t="str">
        <f t="shared" ref="G2026:M2026" si="407">"X"</f>
        <v>X</v>
      </c>
      <c r="H2026" s="1" t="str">
        <f t="shared" si="407"/>
        <v>X</v>
      </c>
      <c r="I2026" s="1" t="str">
        <f t="shared" si="407"/>
        <v>X</v>
      </c>
      <c r="J2026" s="1" t="str">
        <f t="shared" si="407"/>
        <v>X</v>
      </c>
      <c r="K2026" s="1" t="str">
        <f t="shared" si="407"/>
        <v>X</v>
      </c>
      <c r="L2026" s="1" t="str">
        <f t="shared" si="407"/>
        <v>X</v>
      </c>
      <c r="M2026" s="1" t="str">
        <f t="shared" si="407"/>
        <v>X</v>
      </c>
      <c r="N2026" t="s">
        <v>27</v>
      </c>
    </row>
    <row r="2027" spans="1:14" x14ac:dyDescent="0.25">
      <c r="A2027" t="s">
        <v>14</v>
      </c>
      <c r="B2027" t="s">
        <v>40</v>
      </c>
      <c r="C2027" t="s">
        <v>35</v>
      </c>
      <c r="D2027" t="s">
        <v>32</v>
      </c>
      <c r="E2027" t="s">
        <v>15</v>
      </c>
      <c r="F2027" t="s">
        <v>15</v>
      </c>
      <c r="G2027" s="1">
        <f>VALUE(1133.0658315603)</f>
        <v>1133.0658315603</v>
      </c>
      <c r="H2027" s="1">
        <f>VALUE(1069.2086314674)</f>
        <v>1069.2086314674</v>
      </c>
      <c r="I2027" s="1">
        <f>VALUE(2400)</f>
        <v>2400</v>
      </c>
      <c r="J2027" s="1">
        <f>VALUE(2480)</f>
        <v>2480</v>
      </c>
      <c r="K2027" s="1">
        <f>VALUE(2753)</f>
        <v>2753</v>
      </c>
      <c r="L2027" s="1">
        <f>VALUE(3256)</f>
        <v>3256</v>
      </c>
      <c r="M2027" s="1">
        <f>VALUE(3825)</f>
        <v>3825</v>
      </c>
      <c r="N2027" t="s">
        <v>16</v>
      </c>
    </row>
    <row r="2028" spans="1:14" x14ac:dyDescent="0.25">
      <c r="A2028" t="s">
        <v>14</v>
      </c>
      <c r="B2028" t="s">
        <v>40</v>
      </c>
      <c r="C2028" t="s">
        <v>35</v>
      </c>
      <c r="D2028" t="s">
        <v>32</v>
      </c>
      <c r="E2028" t="s">
        <v>15</v>
      </c>
      <c r="F2028" t="s">
        <v>17</v>
      </c>
      <c r="G2028" s="1" t="str">
        <f t="shared" ref="G2028:M2030" si="408">"X"</f>
        <v>X</v>
      </c>
      <c r="H2028" s="1" t="str">
        <f t="shared" si="408"/>
        <v>X</v>
      </c>
      <c r="I2028" s="1" t="str">
        <f t="shared" si="408"/>
        <v>X</v>
      </c>
      <c r="J2028" s="1" t="str">
        <f t="shared" si="408"/>
        <v>X</v>
      </c>
      <c r="K2028" s="1" t="str">
        <f t="shared" si="408"/>
        <v>X</v>
      </c>
      <c r="L2028" s="1" t="str">
        <f t="shared" si="408"/>
        <v>X</v>
      </c>
      <c r="M2028" s="1" t="str">
        <f t="shared" si="408"/>
        <v>X</v>
      </c>
      <c r="N2028" t="s">
        <v>27</v>
      </c>
    </row>
    <row r="2029" spans="1:14" x14ac:dyDescent="0.25">
      <c r="A2029" t="s">
        <v>14</v>
      </c>
      <c r="B2029" t="s">
        <v>40</v>
      </c>
      <c r="C2029" t="s">
        <v>35</v>
      </c>
      <c r="D2029" t="s">
        <v>32</v>
      </c>
      <c r="E2029" t="s">
        <v>15</v>
      </c>
      <c r="F2029" t="s">
        <v>18</v>
      </c>
      <c r="G2029" s="1" t="str">
        <f t="shared" si="408"/>
        <v>X</v>
      </c>
      <c r="H2029" s="1" t="str">
        <f t="shared" si="408"/>
        <v>X</v>
      </c>
      <c r="I2029" s="1" t="str">
        <f t="shared" si="408"/>
        <v>X</v>
      </c>
      <c r="J2029" s="1" t="str">
        <f t="shared" si="408"/>
        <v>X</v>
      </c>
      <c r="K2029" s="1" t="str">
        <f t="shared" si="408"/>
        <v>X</v>
      </c>
      <c r="L2029" s="1" t="str">
        <f t="shared" si="408"/>
        <v>X</v>
      </c>
      <c r="M2029" s="1" t="str">
        <f t="shared" si="408"/>
        <v>X</v>
      </c>
      <c r="N2029" t="s">
        <v>27</v>
      </c>
    </row>
    <row r="2030" spans="1:14" x14ac:dyDescent="0.25">
      <c r="A2030" t="s">
        <v>14</v>
      </c>
      <c r="B2030" t="s">
        <v>40</v>
      </c>
      <c r="C2030" t="s">
        <v>35</v>
      </c>
      <c r="D2030" t="s">
        <v>32</v>
      </c>
      <c r="E2030" t="s">
        <v>15</v>
      </c>
      <c r="F2030" t="s">
        <v>19</v>
      </c>
      <c r="G2030" s="1" t="str">
        <f t="shared" si="408"/>
        <v>X</v>
      </c>
      <c r="H2030" s="1" t="str">
        <f t="shared" si="408"/>
        <v>X</v>
      </c>
      <c r="I2030" s="1" t="str">
        <f t="shared" si="408"/>
        <v>X</v>
      </c>
      <c r="J2030" s="1" t="str">
        <f t="shared" si="408"/>
        <v>X</v>
      </c>
      <c r="K2030" s="1" t="str">
        <f t="shared" si="408"/>
        <v>X</v>
      </c>
      <c r="L2030" s="1" t="str">
        <f t="shared" si="408"/>
        <v>X</v>
      </c>
      <c r="M2030" s="1" t="str">
        <f t="shared" si="408"/>
        <v>X</v>
      </c>
      <c r="N2030" t="s">
        <v>27</v>
      </c>
    </row>
    <row r="2031" spans="1:14" x14ac:dyDescent="0.25">
      <c r="A2031" t="s">
        <v>14</v>
      </c>
      <c r="B2031" t="s">
        <v>40</v>
      </c>
      <c r="C2031" t="s">
        <v>35</v>
      </c>
      <c r="D2031" t="s">
        <v>32</v>
      </c>
      <c r="E2031" t="s">
        <v>15</v>
      </c>
      <c r="F2031" t="s">
        <v>20</v>
      </c>
      <c r="G2031" s="2">
        <f>VALUE(1024.1183459192)</f>
        <v>1024.1183459192</v>
      </c>
      <c r="H2031" s="3">
        <f>VALUE(972.3581434043)</f>
        <v>972.35814340429999</v>
      </c>
      <c r="I2031" s="4">
        <f>VALUE(2400)</f>
        <v>2400</v>
      </c>
      <c r="J2031" s="1">
        <f>VALUE(2475)</f>
        <v>2475</v>
      </c>
      <c r="K2031" s="1">
        <f>VALUE(2721)</f>
        <v>2721</v>
      </c>
      <c r="L2031" s="1">
        <f>VALUE(3166)</f>
        <v>3166</v>
      </c>
      <c r="M2031" s="1">
        <f>VALUE(3756)</f>
        <v>3756</v>
      </c>
      <c r="N2031" t="s">
        <v>25</v>
      </c>
    </row>
    <row r="2032" spans="1:14" x14ac:dyDescent="0.25">
      <c r="A2032" t="s">
        <v>14</v>
      </c>
      <c r="B2032" t="s">
        <v>40</v>
      </c>
      <c r="C2032" t="s">
        <v>35</v>
      </c>
      <c r="D2032" t="s">
        <v>32</v>
      </c>
      <c r="E2032" t="s">
        <v>21</v>
      </c>
      <c r="F2032" t="s">
        <v>15</v>
      </c>
      <c r="G2032" s="1" t="str">
        <f t="shared" ref="G2032:M2036" si="409">"X"</f>
        <v>X</v>
      </c>
      <c r="H2032" s="1" t="str">
        <f t="shared" si="409"/>
        <v>X</v>
      </c>
      <c r="I2032" s="1" t="str">
        <f t="shared" si="409"/>
        <v>X</v>
      </c>
      <c r="J2032" s="1" t="str">
        <f t="shared" si="409"/>
        <v>X</v>
      </c>
      <c r="K2032" s="1" t="str">
        <f t="shared" si="409"/>
        <v>X</v>
      </c>
      <c r="L2032" s="1" t="str">
        <f t="shared" si="409"/>
        <v>X</v>
      </c>
      <c r="M2032" s="1" t="str">
        <f t="shared" si="409"/>
        <v>X</v>
      </c>
      <c r="N2032" t="s">
        <v>27</v>
      </c>
    </row>
    <row r="2033" spans="1:14" x14ac:dyDescent="0.25">
      <c r="A2033" t="s">
        <v>14</v>
      </c>
      <c r="B2033" t="s">
        <v>40</v>
      </c>
      <c r="C2033" t="s">
        <v>35</v>
      </c>
      <c r="D2033" t="s">
        <v>32</v>
      </c>
      <c r="E2033" t="s">
        <v>21</v>
      </c>
      <c r="F2033" t="s">
        <v>17</v>
      </c>
      <c r="G2033" s="1" t="str">
        <f t="shared" si="409"/>
        <v>X</v>
      </c>
      <c r="H2033" s="1" t="str">
        <f t="shared" si="409"/>
        <v>X</v>
      </c>
      <c r="I2033" s="1" t="str">
        <f t="shared" si="409"/>
        <v>X</v>
      </c>
      <c r="J2033" s="1" t="str">
        <f t="shared" si="409"/>
        <v>X</v>
      </c>
      <c r="K2033" s="1" t="str">
        <f t="shared" si="409"/>
        <v>X</v>
      </c>
      <c r="L2033" s="1" t="str">
        <f t="shared" si="409"/>
        <v>X</v>
      </c>
      <c r="M2033" s="1" t="str">
        <f t="shared" si="409"/>
        <v>X</v>
      </c>
      <c r="N2033" t="s">
        <v>27</v>
      </c>
    </row>
    <row r="2034" spans="1:14" x14ac:dyDescent="0.25">
      <c r="A2034" t="s">
        <v>14</v>
      </c>
      <c r="B2034" t="s">
        <v>40</v>
      </c>
      <c r="C2034" t="s">
        <v>35</v>
      </c>
      <c r="D2034" t="s">
        <v>32</v>
      </c>
      <c r="E2034" t="s">
        <v>21</v>
      </c>
      <c r="F2034" t="s">
        <v>18</v>
      </c>
      <c r="G2034" s="1" t="str">
        <f t="shared" si="409"/>
        <v>X</v>
      </c>
      <c r="H2034" s="1" t="str">
        <f t="shared" si="409"/>
        <v>X</v>
      </c>
      <c r="I2034" s="1" t="str">
        <f t="shared" si="409"/>
        <v>X</v>
      </c>
      <c r="J2034" s="1" t="str">
        <f t="shared" si="409"/>
        <v>X</v>
      </c>
      <c r="K2034" s="1" t="str">
        <f t="shared" si="409"/>
        <v>X</v>
      </c>
      <c r="L2034" s="1" t="str">
        <f t="shared" si="409"/>
        <v>X</v>
      </c>
      <c r="M2034" s="1" t="str">
        <f t="shared" si="409"/>
        <v>X</v>
      </c>
      <c r="N2034" t="s">
        <v>27</v>
      </c>
    </row>
    <row r="2035" spans="1:14" x14ac:dyDescent="0.25">
      <c r="A2035" t="s">
        <v>14</v>
      </c>
      <c r="B2035" t="s">
        <v>40</v>
      </c>
      <c r="C2035" t="s">
        <v>35</v>
      </c>
      <c r="D2035" t="s">
        <v>32</v>
      </c>
      <c r="E2035" t="s">
        <v>21</v>
      </c>
      <c r="F2035" t="s">
        <v>19</v>
      </c>
      <c r="G2035" s="1" t="str">
        <f t="shared" si="409"/>
        <v>X</v>
      </c>
      <c r="H2035" s="1" t="str">
        <f t="shared" si="409"/>
        <v>X</v>
      </c>
      <c r="I2035" s="1" t="str">
        <f t="shared" si="409"/>
        <v>X</v>
      </c>
      <c r="J2035" s="1" t="str">
        <f t="shared" si="409"/>
        <v>X</v>
      </c>
      <c r="K2035" s="1" t="str">
        <f t="shared" si="409"/>
        <v>X</v>
      </c>
      <c r="L2035" s="1" t="str">
        <f t="shared" si="409"/>
        <v>X</v>
      </c>
      <c r="M2035" s="1" t="str">
        <f t="shared" si="409"/>
        <v>X</v>
      </c>
      <c r="N2035" t="s">
        <v>27</v>
      </c>
    </row>
    <row r="2036" spans="1:14" x14ac:dyDescent="0.25">
      <c r="A2036" t="s">
        <v>14</v>
      </c>
      <c r="B2036" t="s">
        <v>40</v>
      </c>
      <c r="C2036" t="s">
        <v>35</v>
      </c>
      <c r="D2036" t="s">
        <v>32</v>
      </c>
      <c r="E2036" t="s">
        <v>21</v>
      </c>
      <c r="F2036" t="s">
        <v>20</v>
      </c>
      <c r="G2036" s="1" t="str">
        <f t="shared" si="409"/>
        <v>X</v>
      </c>
      <c r="H2036" s="1" t="str">
        <f t="shared" si="409"/>
        <v>X</v>
      </c>
      <c r="I2036" s="1" t="str">
        <f t="shared" si="409"/>
        <v>X</v>
      </c>
      <c r="J2036" s="1" t="str">
        <f t="shared" si="409"/>
        <v>X</v>
      </c>
      <c r="K2036" s="1" t="str">
        <f t="shared" si="409"/>
        <v>X</v>
      </c>
      <c r="L2036" s="1" t="str">
        <f t="shared" si="409"/>
        <v>X</v>
      </c>
      <c r="M2036" s="1" t="str">
        <f t="shared" si="409"/>
        <v>X</v>
      </c>
      <c r="N2036" t="s">
        <v>27</v>
      </c>
    </row>
    <row r="2037" spans="1:14" x14ac:dyDescent="0.25">
      <c r="A2037" t="s">
        <v>14</v>
      </c>
      <c r="B2037" t="s">
        <v>40</v>
      </c>
      <c r="C2037" t="s">
        <v>35</v>
      </c>
      <c r="D2037" t="s">
        <v>32</v>
      </c>
      <c r="E2037" t="s">
        <v>22</v>
      </c>
      <c r="F2037" t="s">
        <v>15</v>
      </c>
      <c r="G2037" s="2">
        <f>VALUE(197.7664498076)</f>
        <v>197.7664498076</v>
      </c>
      <c r="H2037" s="3">
        <f>VALUE(190.07726314)</f>
        <v>190.07726314000001</v>
      </c>
      <c r="I2037" s="4">
        <f>VALUE(2300)</f>
        <v>2300</v>
      </c>
      <c r="J2037" s="5">
        <f>VALUE(2750)</f>
        <v>2750</v>
      </c>
      <c r="K2037" s="1">
        <f>VALUE(3235)</f>
        <v>3235</v>
      </c>
      <c r="L2037" s="1">
        <f>VALUE(3754)</f>
        <v>3754</v>
      </c>
      <c r="M2037" s="8">
        <f>VALUE(4031)</f>
        <v>4031</v>
      </c>
      <c r="N2037" t="s">
        <v>25</v>
      </c>
    </row>
    <row r="2038" spans="1:14" x14ac:dyDescent="0.25">
      <c r="A2038" t="s">
        <v>14</v>
      </c>
      <c r="B2038" t="s">
        <v>40</v>
      </c>
      <c r="C2038" t="s">
        <v>35</v>
      </c>
      <c r="D2038" t="s">
        <v>32</v>
      </c>
      <c r="E2038" t="s">
        <v>22</v>
      </c>
      <c r="F2038" t="s">
        <v>17</v>
      </c>
      <c r="G2038" s="1" t="str">
        <f t="shared" ref="G2038:M2038" si="410">"..."</f>
        <v>...</v>
      </c>
      <c r="H2038" s="1" t="str">
        <f t="shared" si="410"/>
        <v>...</v>
      </c>
      <c r="I2038" s="1" t="str">
        <f t="shared" si="410"/>
        <v>...</v>
      </c>
      <c r="J2038" s="1" t="str">
        <f t="shared" si="410"/>
        <v>...</v>
      </c>
      <c r="K2038" s="1" t="str">
        <f t="shared" si="410"/>
        <v>...</v>
      </c>
      <c r="L2038" s="1" t="str">
        <f t="shared" si="410"/>
        <v>...</v>
      </c>
      <c r="M2038" s="1" t="str">
        <f t="shared" si="410"/>
        <v>...</v>
      </c>
      <c r="N2038" t="s">
        <v>30</v>
      </c>
    </row>
    <row r="2039" spans="1:14" x14ac:dyDescent="0.25">
      <c r="A2039" t="s">
        <v>14</v>
      </c>
      <c r="B2039" t="s">
        <v>40</v>
      </c>
      <c r="C2039" t="s">
        <v>35</v>
      </c>
      <c r="D2039" t="s">
        <v>32</v>
      </c>
      <c r="E2039" t="s">
        <v>22</v>
      </c>
      <c r="F2039" t="s">
        <v>18</v>
      </c>
      <c r="G2039" s="1" t="str">
        <f t="shared" ref="G2039:M2040" si="411">"X"</f>
        <v>X</v>
      </c>
      <c r="H2039" s="1" t="str">
        <f t="shared" si="411"/>
        <v>X</v>
      </c>
      <c r="I2039" s="1" t="str">
        <f t="shared" si="411"/>
        <v>X</v>
      </c>
      <c r="J2039" s="1" t="str">
        <f t="shared" si="411"/>
        <v>X</v>
      </c>
      <c r="K2039" s="1" t="str">
        <f t="shared" si="411"/>
        <v>X</v>
      </c>
      <c r="L2039" s="1" t="str">
        <f t="shared" si="411"/>
        <v>X</v>
      </c>
      <c r="M2039" s="1" t="str">
        <f t="shared" si="411"/>
        <v>X</v>
      </c>
      <c r="N2039" t="s">
        <v>27</v>
      </c>
    </row>
    <row r="2040" spans="1:14" x14ac:dyDescent="0.25">
      <c r="A2040" t="s">
        <v>14</v>
      </c>
      <c r="B2040" t="s">
        <v>40</v>
      </c>
      <c r="C2040" t="s">
        <v>35</v>
      </c>
      <c r="D2040" t="s">
        <v>32</v>
      </c>
      <c r="E2040" t="s">
        <v>22</v>
      </c>
      <c r="F2040" t="s">
        <v>19</v>
      </c>
      <c r="G2040" s="1" t="str">
        <f t="shared" si="411"/>
        <v>X</v>
      </c>
      <c r="H2040" s="1" t="str">
        <f t="shared" si="411"/>
        <v>X</v>
      </c>
      <c r="I2040" s="1" t="str">
        <f t="shared" si="411"/>
        <v>X</v>
      </c>
      <c r="J2040" s="1" t="str">
        <f t="shared" si="411"/>
        <v>X</v>
      </c>
      <c r="K2040" s="1" t="str">
        <f t="shared" si="411"/>
        <v>X</v>
      </c>
      <c r="L2040" s="1" t="str">
        <f t="shared" si="411"/>
        <v>X</v>
      </c>
      <c r="M2040" s="1" t="str">
        <f t="shared" si="411"/>
        <v>X</v>
      </c>
      <c r="N2040" t="s">
        <v>27</v>
      </c>
    </row>
    <row r="2041" spans="1:14" x14ac:dyDescent="0.25">
      <c r="A2041" t="s">
        <v>14</v>
      </c>
      <c r="B2041" t="s">
        <v>40</v>
      </c>
      <c r="C2041" t="s">
        <v>35</v>
      </c>
      <c r="D2041" t="s">
        <v>32</v>
      </c>
      <c r="E2041" t="s">
        <v>22</v>
      </c>
      <c r="F2041" t="s">
        <v>20</v>
      </c>
      <c r="G2041" s="2">
        <f>VALUE(156.6027944186)</f>
        <v>156.60279441860001</v>
      </c>
      <c r="H2041" s="3">
        <f>VALUE(148.9279976077)</f>
        <v>148.92799760770001</v>
      </c>
      <c r="I2041" s="1">
        <f>VALUE(2300)</f>
        <v>2300</v>
      </c>
      <c r="J2041" s="1">
        <f>VALUE(2575)</f>
        <v>2575</v>
      </c>
      <c r="K2041" s="1">
        <f>VALUE(3154)</f>
        <v>3154</v>
      </c>
      <c r="L2041" s="1">
        <f>VALUE(3660)</f>
        <v>3660</v>
      </c>
      <c r="M2041" s="8">
        <f>VALUE(4084)</f>
        <v>4084</v>
      </c>
      <c r="N2041" t="s">
        <v>25</v>
      </c>
    </row>
    <row r="2042" spans="1:14" x14ac:dyDescent="0.25">
      <c r="A2042" t="s">
        <v>14</v>
      </c>
      <c r="B2042" t="s">
        <v>40</v>
      </c>
      <c r="C2042" t="s">
        <v>35</v>
      </c>
      <c r="D2042" t="s">
        <v>32</v>
      </c>
      <c r="E2042" t="s">
        <v>23</v>
      </c>
      <c r="F2042" t="s">
        <v>15</v>
      </c>
      <c r="G2042" s="2">
        <f>VALUE(875.385349805)</f>
        <v>875.38534980500003</v>
      </c>
      <c r="H2042" s="3">
        <f>VALUE(822.8193849466)</f>
        <v>822.81938494660005</v>
      </c>
      <c r="I2042" s="4">
        <f>VALUE(2400)</f>
        <v>2400</v>
      </c>
      <c r="J2042" s="1">
        <f>VALUE(2472)</f>
        <v>2472</v>
      </c>
      <c r="K2042" s="1">
        <f>VALUE(2667)</f>
        <v>2667</v>
      </c>
      <c r="L2042" s="1">
        <f>VALUE(3143)</f>
        <v>3143</v>
      </c>
      <c r="M2042" s="1">
        <f>VALUE(3693)</f>
        <v>3693</v>
      </c>
      <c r="N2042" t="s">
        <v>25</v>
      </c>
    </row>
    <row r="2043" spans="1:14" x14ac:dyDescent="0.25">
      <c r="A2043" t="s">
        <v>14</v>
      </c>
      <c r="B2043" t="s">
        <v>40</v>
      </c>
      <c r="C2043" t="s">
        <v>35</v>
      </c>
      <c r="D2043" t="s">
        <v>32</v>
      </c>
      <c r="E2043" t="s">
        <v>23</v>
      </c>
      <c r="F2043" t="s">
        <v>17</v>
      </c>
      <c r="G2043" s="1" t="str">
        <f t="shared" ref="G2043:M2043" si="412">"..."</f>
        <v>...</v>
      </c>
      <c r="H2043" s="1" t="str">
        <f t="shared" si="412"/>
        <v>...</v>
      </c>
      <c r="I2043" s="1" t="str">
        <f t="shared" si="412"/>
        <v>...</v>
      </c>
      <c r="J2043" s="1" t="str">
        <f t="shared" si="412"/>
        <v>...</v>
      </c>
      <c r="K2043" s="1" t="str">
        <f t="shared" si="412"/>
        <v>...</v>
      </c>
      <c r="L2043" s="1" t="str">
        <f t="shared" si="412"/>
        <v>...</v>
      </c>
      <c r="M2043" s="1" t="str">
        <f t="shared" si="412"/>
        <v>...</v>
      </c>
      <c r="N2043" t="s">
        <v>30</v>
      </c>
    </row>
    <row r="2044" spans="1:14" x14ac:dyDescent="0.25">
      <c r="A2044" t="s">
        <v>14</v>
      </c>
      <c r="B2044" t="s">
        <v>40</v>
      </c>
      <c r="C2044" t="s">
        <v>35</v>
      </c>
      <c r="D2044" t="s">
        <v>32</v>
      </c>
      <c r="E2044" t="s">
        <v>23</v>
      </c>
      <c r="F2044" t="s">
        <v>18</v>
      </c>
      <c r="G2044" s="1" t="str">
        <f t="shared" ref="G2044:M2045" si="413">"X"</f>
        <v>X</v>
      </c>
      <c r="H2044" s="1" t="str">
        <f t="shared" si="413"/>
        <v>X</v>
      </c>
      <c r="I2044" s="1" t="str">
        <f t="shared" si="413"/>
        <v>X</v>
      </c>
      <c r="J2044" s="1" t="str">
        <f t="shared" si="413"/>
        <v>X</v>
      </c>
      <c r="K2044" s="1" t="str">
        <f t="shared" si="413"/>
        <v>X</v>
      </c>
      <c r="L2044" s="1" t="str">
        <f t="shared" si="413"/>
        <v>X</v>
      </c>
      <c r="M2044" s="1" t="str">
        <f t="shared" si="413"/>
        <v>X</v>
      </c>
      <c r="N2044" t="s">
        <v>27</v>
      </c>
    </row>
    <row r="2045" spans="1:14" x14ac:dyDescent="0.25">
      <c r="A2045" t="s">
        <v>14</v>
      </c>
      <c r="B2045" t="s">
        <v>40</v>
      </c>
      <c r="C2045" t="s">
        <v>35</v>
      </c>
      <c r="D2045" t="s">
        <v>32</v>
      </c>
      <c r="E2045" t="s">
        <v>23</v>
      </c>
      <c r="F2045" t="s">
        <v>19</v>
      </c>
      <c r="G2045" s="1" t="str">
        <f t="shared" si="413"/>
        <v>X</v>
      </c>
      <c r="H2045" s="1" t="str">
        <f t="shared" si="413"/>
        <v>X</v>
      </c>
      <c r="I2045" s="1" t="str">
        <f t="shared" si="413"/>
        <v>X</v>
      </c>
      <c r="J2045" s="1" t="str">
        <f t="shared" si="413"/>
        <v>X</v>
      </c>
      <c r="K2045" s="1" t="str">
        <f t="shared" si="413"/>
        <v>X</v>
      </c>
      <c r="L2045" s="1" t="str">
        <f t="shared" si="413"/>
        <v>X</v>
      </c>
      <c r="M2045" s="1" t="str">
        <f t="shared" si="413"/>
        <v>X</v>
      </c>
      <c r="N2045" t="s">
        <v>27</v>
      </c>
    </row>
    <row r="2046" spans="1:14" x14ac:dyDescent="0.25">
      <c r="A2046" t="s">
        <v>14</v>
      </c>
      <c r="B2046" t="s">
        <v>40</v>
      </c>
      <c r="C2046" t="s">
        <v>35</v>
      </c>
      <c r="D2046" t="s">
        <v>32</v>
      </c>
      <c r="E2046" t="s">
        <v>23</v>
      </c>
      <c r="F2046" t="s">
        <v>20</v>
      </c>
      <c r="G2046" s="2">
        <f>VALUE(835.1360627931)</f>
        <v>835.1360627931</v>
      </c>
      <c r="H2046" s="3">
        <f>VALUE(793.9993256302)</f>
        <v>793.99932563020002</v>
      </c>
      <c r="I2046" s="4">
        <f>VALUE(2400)</f>
        <v>2400</v>
      </c>
      <c r="J2046" s="1">
        <f>VALUE(2471)</f>
        <v>2471</v>
      </c>
      <c r="K2046" s="1">
        <f>VALUE(2645)</f>
        <v>2645</v>
      </c>
      <c r="L2046" s="1">
        <f>VALUE(3143)</f>
        <v>3143</v>
      </c>
      <c r="M2046" s="1">
        <f>VALUE(3596)</f>
        <v>3596</v>
      </c>
      <c r="N2046" t="s">
        <v>25</v>
      </c>
    </row>
    <row r="2047" spans="1:14" x14ac:dyDescent="0.25">
      <c r="A2047" t="s">
        <v>14</v>
      </c>
      <c r="B2047" t="s">
        <v>40</v>
      </c>
      <c r="C2047" t="s">
        <v>35</v>
      </c>
      <c r="D2047" t="s">
        <v>32</v>
      </c>
      <c r="E2047" t="s">
        <v>26</v>
      </c>
      <c r="F2047" t="s">
        <v>15</v>
      </c>
      <c r="G2047" s="1" t="str">
        <f t="shared" ref="G2047:M2051" si="414">"..."</f>
        <v>...</v>
      </c>
      <c r="H2047" s="1" t="str">
        <f t="shared" si="414"/>
        <v>...</v>
      </c>
      <c r="I2047" s="1" t="str">
        <f t="shared" si="414"/>
        <v>...</v>
      </c>
      <c r="J2047" s="1" t="str">
        <f t="shared" si="414"/>
        <v>...</v>
      </c>
      <c r="K2047" s="1" t="str">
        <f t="shared" si="414"/>
        <v>...</v>
      </c>
      <c r="L2047" s="1" t="str">
        <f t="shared" si="414"/>
        <v>...</v>
      </c>
      <c r="M2047" s="1" t="str">
        <f t="shared" si="414"/>
        <v>...</v>
      </c>
      <c r="N2047" t="s">
        <v>30</v>
      </c>
    </row>
    <row r="2048" spans="1:14" x14ac:dyDescent="0.25">
      <c r="A2048" t="s">
        <v>14</v>
      </c>
      <c r="B2048" t="s">
        <v>40</v>
      </c>
      <c r="C2048" t="s">
        <v>35</v>
      </c>
      <c r="D2048" t="s">
        <v>32</v>
      </c>
      <c r="E2048" t="s">
        <v>26</v>
      </c>
      <c r="F2048" t="s">
        <v>17</v>
      </c>
      <c r="G2048" s="1" t="str">
        <f t="shared" si="414"/>
        <v>...</v>
      </c>
      <c r="H2048" s="1" t="str">
        <f t="shared" si="414"/>
        <v>...</v>
      </c>
      <c r="I2048" s="1" t="str">
        <f t="shared" si="414"/>
        <v>...</v>
      </c>
      <c r="J2048" s="1" t="str">
        <f t="shared" si="414"/>
        <v>...</v>
      </c>
      <c r="K2048" s="1" t="str">
        <f t="shared" si="414"/>
        <v>...</v>
      </c>
      <c r="L2048" s="1" t="str">
        <f t="shared" si="414"/>
        <v>...</v>
      </c>
      <c r="M2048" s="1" t="str">
        <f t="shared" si="414"/>
        <v>...</v>
      </c>
      <c r="N2048" t="s">
        <v>30</v>
      </c>
    </row>
    <row r="2049" spans="1:14" x14ac:dyDescent="0.25">
      <c r="A2049" t="s">
        <v>14</v>
      </c>
      <c r="B2049" t="s">
        <v>40</v>
      </c>
      <c r="C2049" t="s">
        <v>35</v>
      </c>
      <c r="D2049" t="s">
        <v>32</v>
      </c>
      <c r="E2049" t="s">
        <v>26</v>
      </c>
      <c r="F2049" t="s">
        <v>18</v>
      </c>
      <c r="G2049" s="1" t="str">
        <f t="shared" si="414"/>
        <v>...</v>
      </c>
      <c r="H2049" s="1" t="str">
        <f t="shared" si="414"/>
        <v>...</v>
      </c>
      <c r="I2049" s="1" t="str">
        <f t="shared" si="414"/>
        <v>...</v>
      </c>
      <c r="J2049" s="1" t="str">
        <f t="shared" si="414"/>
        <v>...</v>
      </c>
      <c r="K2049" s="1" t="str">
        <f t="shared" si="414"/>
        <v>...</v>
      </c>
      <c r="L2049" s="1" t="str">
        <f t="shared" si="414"/>
        <v>...</v>
      </c>
      <c r="M2049" s="1" t="str">
        <f t="shared" si="414"/>
        <v>...</v>
      </c>
      <c r="N2049" t="s">
        <v>30</v>
      </c>
    </row>
    <row r="2050" spans="1:14" x14ac:dyDescent="0.25">
      <c r="A2050" t="s">
        <v>14</v>
      </c>
      <c r="B2050" t="s">
        <v>40</v>
      </c>
      <c r="C2050" t="s">
        <v>35</v>
      </c>
      <c r="D2050" t="s">
        <v>32</v>
      </c>
      <c r="E2050" t="s">
        <v>26</v>
      </c>
      <c r="F2050" t="s">
        <v>19</v>
      </c>
      <c r="G2050" s="1" t="str">
        <f t="shared" si="414"/>
        <v>...</v>
      </c>
      <c r="H2050" s="1" t="str">
        <f t="shared" si="414"/>
        <v>...</v>
      </c>
      <c r="I2050" s="1" t="str">
        <f t="shared" si="414"/>
        <v>...</v>
      </c>
      <c r="J2050" s="1" t="str">
        <f t="shared" si="414"/>
        <v>...</v>
      </c>
      <c r="K2050" s="1" t="str">
        <f t="shared" si="414"/>
        <v>...</v>
      </c>
      <c r="L2050" s="1" t="str">
        <f t="shared" si="414"/>
        <v>...</v>
      </c>
      <c r="M2050" s="1" t="str">
        <f t="shared" si="414"/>
        <v>...</v>
      </c>
      <c r="N2050" t="s">
        <v>30</v>
      </c>
    </row>
    <row r="2051" spans="1:14" x14ac:dyDescent="0.25">
      <c r="A2051" t="s">
        <v>14</v>
      </c>
      <c r="B2051" t="s">
        <v>40</v>
      </c>
      <c r="C2051" t="s">
        <v>35</v>
      </c>
      <c r="D2051" t="s">
        <v>32</v>
      </c>
      <c r="E2051" t="s">
        <v>26</v>
      </c>
      <c r="F2051" t="s">
        <v>20</v>
      </c>
      <c r="G2051" s="1" t="str">
        <f t="shared" si="414"/>
        <v>...</v>
      </c>
      <c r="H2051" s="1" t="str">
        <f t="shared" si="414"/>
        <v>...</v>
      </c>
      <c r="I2051" s="1" t="str">
        <f t="shared" si="414"/>
        <v>...</v>
      </c>
      <c r="J2051" s="1" t="str">
        <f t="shared" si="414"/>
        <v>...</v>
      </c>
      <c r="K2051" s="1" t="str">
        <f t="shared" si="414"/>
        <v>...</v>
      </c>
      <c r="L2051" s="1" t="str">
        <f t="shared" si="414"/>
        <v>...</v>
      </c>
      <c r="M2051" s="1" t="str">
        <f t="shared" si="414"/>
        <v>...</v>
      </c>
      <c r="N2051" t="s">
        <v>30</v>
      </c>
    </row>
    <row r="2052" spans="1:14" x14ac:dyDescent="0.25">
      <c r="A2052" t="s">
        <v>14</v>
      </c>
      <c r="B2052" t="s">
        <v>40</v>
      </c>
      <c r="C2052" t="s">
        <v>35</v>
      </c>
      <c r="D2052" t="s">
        <v>33</v>
      </c>
      <c r="E2052" t="s">
        <v>15</v>
      </c>
      <c r="F2052" t="s">
        <v>15</v>
      </c>
      <c r="G2052" s="1" t="str">
        <f t="shared" ref="G2052:M2057" si="415">"X"</f>
        <v>X</v>
      </c>
      <c r="H2052" s="1" t="str">
        <f t="shared" si="415"/>
        <v>X</v>
      </c>
      <c r="I2052" s="1" t="str">
        <f t="shared" si="415"/>
        <v>X</v>
      </c>
      <c r="J2052" s="1" t="str">
        <f t="shared" si="415"/>
        <v>X</v>
      </c>
      <c r="K2052" s="1" t="str">
        <f t="shared" si="415"/>
        <v>X</v>
      </c>
      <c r="L2052" s="1" t="str">
        <f t="shared" si="415"/>
        <v>X</v>
      </c>
      <c r="M2052" s="1" t="str">
        <f t="shared" si="415"/>
        <v>X</v>
      </c>
      <c r="N2052" t="s">
        <v>27</v>
      </c>
    </row>
    <row r="2053" spans="1:14" x14ac:dyDescent="0.25">
      <c r="A2053" t="s">
        <v>14</v>
      </c>
      <c r="B2053" t="s">
        <v>40</v>
      </c>
      <c r="C2053" t="s">
        <v>35</v>
      </c>
      <c r="D2053" t="s">
        <v>33</v>
      </c>
      <c r="E2053" t="s">
        <v>15</v>
      </c>
      <c r="F2053" t="s">
        <v>17</v>
      </c>
      <c r="G2053" s="1" t="str">
        <f t="shared" si="415"/>
        <v>X</v>
      </c>
      <c r="H2053" s="1" t="str">
        <f t="shared" si="415"/>
        <v>X</v>
      </c>
      <c r="I2053" s="1" t="str">
        <f t="shared" si="415"/>
        <v>X</v>
      </c>
      <c r="J2053" s="1" t="str">
        <f t="shared" si="415"/>
        <v>X</v>
      </c>
      <c r="K2053" s="1" t="str">
        <f t="shared" si="415"/>
        <v>X</v>
      </c>
      <c r="L2053" s="1" t="str">
        <f t="shared" si="415"/>
        <v>X</v>
      </c>
      <c r="M2053" s="1" t="str">
        <f t="shared" si="415"/>
        <v>X</v>
      </c>
      <c r="N2053" t="s">
        <v>27</v>
      </c>
    </row>
    <row r="2054" spans="1:14" x14ac:dyDescent="0.25">
      <c r="A2054" t="s">
        <v>14</v>
      </c>
      <c r="B2054" t="s">
        <v>40</v>
      </c>
      <c r="C2054" t="s">
        <v>35</v>
      </c>
      <c r="D2054" t="s">
        <v>33</v>
      </c>
      <c r="E2054" t="s">
        <v>15</v>
      </c>
      <c r="F2054" t="s">
        <v>18</v>
      </c>
      <c r="G2054" s="1" t="str">
        <f t="shared" si="415"/>
        <v>X</v>
      </c>
      <c r="H2054" s="1" t="str">
        <f t="shared" si="415"/>
        <v>X</v>
      </c>
      <c r="I2054" s="1" t="str">
        <f t="shared" si="415"/>
        <v>X</v>
      </c>
      <c r="J2054" s="1" t="str">
        <f t="shared" si="415"/>
        <v>X</v>
      </c>
      <c r="K2054" s="1" t="str">
        <f t="shared" si="415"/>
        <v>X</v>
      </c>
      <c r="L2054" s="1" t="str">
        <f t="shared" si="415"/>
        <v>X</v>
      </c>
      <c r="M2054" s="1" t="str">
        <f t="shared" si="415"/>
        <v>X</v>
      </c>
      <c r="N2054" t="s">
        <v>27</v>
      </c>
    </row>
    <row r="2055" spans="1:14" x14ac:dyDescent="0.25">
      <c r="A2055" t="s">
        <v>14</v>
      </c>
      <c r="B2055" t="s">
        <v>40</v>
      </c>
      <c r="C2055" t="s">
        <v>35</v>
      </c>
      <c r="D2055" t="s">
        <v>33</v>
      </c>
      <c r="E2055" t="s">
        <v>15</v>
      </c>
      <c r="F2055" t="s">
        <v>19</v>
      </c>
      <c r="G2055" s="1" t="str">
        <f t="shared" si="415"/>
        <v>X</v>
      </c>
      <c r="H2055" s="1" t="str">
        <f t="shared" si="415"/>
        <v>X</v>
      </c>
      <c r="I2055" s="1" t="str">
        <f t="shared" si="415"/>
        <v>X</v>
      </c>
      <c r="J2055" s="1" t="str">
        <f t="shared" si="415"/>
        <v>X</v>
      </c>
      <c r="K2055" s="1" t="str">
        <f t="shared" si="415"/>
        <v>X</v>
      </c>
      <c r="L2055" s="1" t="str">
        <f t="shared" si="415"/>
        <v>X</v>
      </c>
      <c r="M2055" s="1" t="str">
        <f t="shared" si="415"/>
        <v>X</v>
      </c>
      <c r="N2055" t="s">
        <v>27</v>
      </c>
    </row>
    <row r="2056" spans="1:14" x14ac:dyDescent="0.25">
      <c r="A2056" t="s">
        <v>14</v>
      </c>
      <c r="B2056" t="s">
        <v>40</v>
      </c>
      <c r="C2056" t="s">
        <v>35</v>
      </c>
      <c r="D2056" t="s">
        <v>33</v>
      </c>
      <c r="E2056" t="s">
        <v>15</v>
      </c>
      <c r="F2056" t="s">
        <v>20</v>
      </c>
      <c r="G2056" s="1" t="str">
        <f t="shared" si="415"/>
        <v>X</v>
      </c>
      <c r="H2056" s="1" t="str">
        <f t="shared" si="415"/>
        <v>X</v>
      </c>
      <c r="I2056" s="1" t="str">
        <f t="shared" si="415"/>
        <v>X</v>
      </c>
      <c r="J2056" s="1" t="str">
        <f t="shared" si="415"/>
        <v>X</v>
      </c>
      <c r="K2056" s="1" t="str">
        <f t="shared" si="415"/>
        <v>X</v>
      </c>
      <c r="L2056" s="1" t="str">
        <f t="shared" si="415"/>
        <v>X</v>
      </c>
      <c r="M2056" s="1" t="str">
        <f t="shared" si="415"/>
        <v>X</v>
      </c>
      <c r="N2056" t="s">
        <v>27</v>
      </c>
    </row>
    <row r="2057" spans="1:14" x14ac:dyDescent="0.25">
      <c r="A2057" t="s">
        <v>14</v>
      </c>
      <c r="B2057" t="s">
        <v>40</v>
      </c>
      <c r="C2057" t="s">
        <v>35</v>
      </c>
      <c r="D2057" t="s">
        <v>33</v>
      </c>
      <c r="E2057" t="s">
        <v>21</v>
      </c>
      <c r="F2057" t="s">
        <v>15</v>
      </c>
      <c r="G2057" s="1" t="str">
        <f t="shared" si="415"/>
        <v>X</v>
      </c>
      <c r="H2057" s="1" t="str">
        <f t="shared" si="415"/>
        <v>X</v>
      </c>
      <c r="I2057" s="1" t="str">
        <f t="shared" si="415"/>
        <v>X</v>
      </c>
      <c r="J2057" s="1" t="str">
        <f t="shared" si="415"/>
        <v>X</v>
      </c>
      <c r="K2057" s="1" t="str">
        <f t="shared" si="415"/>
        <v>X</v>
      </c>
      <c r="L2057" s="1" t="str">
        <f t="shared" si="415"/>
        <v>X</v>
      </c>
      <c r="M2057" s="1" t="str">
        <f t="shared" si="415"/>
        <v>X</v>
      </c>
      <c r="N2057" t="s">
        <v>27</v>
      </c>
    </row>
    <row r="2058" spans="1:14" x14ac:dyDescent="0.25">
      <c r="A2058" t="s">
        <v>14</v>
      </c>
      <c r="B2058" t="s">
        <v>40</v>
      </c>
      <c r="C2058" t="s">
        <v>35</v>
      </c>
      <c r="D2058" t="s">
        <v>33</v>
      </c>
      <c r="E2058" t="s">
        <v>21</v>
      </c>
      <c r="F2058" t="s">
        <v>17</v>
      </c>
      <c r="G2058" s="1" t="str">
        <f t="shared" ref="G2058:M2058" si="416">"..."</f>
        <v>...</v>
      </c>
      <c r="H2058" s="1" t="str">
        <f t="shared" si="416"/>
        <v>...</v>
      </c>
      <c r="I2058" s="1" t="str">
        <f t="shared" si="416"/>
        <v>...</v>
      </c>
      <c r="J2058" s="1" t="str">
        <f t="shared" si="416"/>
        <v>...</v>
      </c>
      <c r="K2058" s="1" t="str">
        <f t="shared" si="416"/>
        <v>...</v>
      </c>
      <c r="L2058" s="1" t="str">
        <f t="shared" si="416"/>
        <v>...</v>
      </c>
      <c r="M2058" s="1" t="str">
        <f t="shared" si="416"/>
        <v>...</v>
      </c>
      <c r="N2058" t="s">
        <v>30</v>
      </c>
    </row>
    <row r="2059" spans="1:14" x14ac:dyDescent="0.25">
      <c r="A2059" t="s">
        <v>14</v>
      </c>
      <c r="B2059" t="s">
        <v>40</v>
      </c>
      <c r="C2059" t="s">
        <v>35</v>
      </c>
      <c r="D2059" t="s">
        <v>33</v>
      </c>
      <c r="E2059" t="s">
        <v>21</v>
      </c>
      <c r="F2059" t="s">
        <v>18</v>
      </c>
      <c r="G2059" s="1" t="str">
        <f t="shared" ref="G2059:M2067" si="417">"X"</f>
        <v>X</v>
      </c>
      <c r="H2059" s="1" t="str">
        <f t="shared" si="417"/>
        <v>X</v>
      </c>
      <c r="I2059" s="1" t="str">
        <f t="shared" si="417"/>
        <v>X</v>
      </c>
      <c r="J2059" s="1" t="str">
        <f t="shared" si="417"/>
        <v>X</v>
      </c>
      <c r="K2059" s="1" t="str">
        <f t="shared" si="417"/>
        <v>X</v>
      </c>
      <c r="L2059" s="1" t="str">
        <f t="shared" si="417"/>
        <v>X</v>
      </c>
      <c r="M2059" s="1" t="str">
        <f t="shared" si="417"/>
        <v>X</v>
      </c>
      <c r="N2059" t="s">
        <v>27</v>
      </c>
    </row>
    <row r="2060" spans="1:14" x14ac:dyDescent="0.25">
      <c r="A2060" t="s">
        <v>14</v>
      </c>
      <c r="B2060" t="s">
        <v>40</v>
      </c>
      <c r="C2060" t="s">
        <v>35</v>
      </c>
      <c r="D2060" t="s">
        <v>33</v>
      </c>
      <c r="E2060" t="s">
        <v>21</v>
      </c>
      <c r="F2060" t="s">
        <v>19</v>
      </c>
      <c r="G2060" s="1" t="str">
        <f t="shared" si="417"/>
        <v>X</v>
      </c>
      <c r="H2060" s="1" t="str">
        <f t="shared" si="417"/>
        <v>X</v>
      </c>
      <c r="I2060" s="1" t="str">
        <f t="shared" si="417"/>
        <v>X</v>
      </c>
      <c r="J2060" s="1" t="str">
        <f t="shared" si="417"/>
        <v>X</v>
      </c>
      <c r="K2060" s="1" t="str">
        <f t="shared" si="417"/>
        <v>X</v>
      </c>
      <c r="L2060" s="1" t="str">
        <f t="shared" si="417"/>
        <v>X</v>
      </c>
      <c r="M2060" s="1" t="str">
        <f t="shared" si="417"/>
        <v>X</v>
      </c>
      <c r="N2060" t="s">
        <v>27</v>
      </c>
    </row>
    <row r="2061" spans="1:14" x14ac:dyDescent="0.25">
      <c r="A2061" t="s">
        <v>14</v>
      </c>
      <c r="B2061" t="s">
        <v>40</v>
      </c>
      <c r="C2061" t="s">
        <v>35</v>
      </c>
      <c r="D2061" t="s">
        <v>33</v>
      </c>
      <c r="E2061" t="s">
        <v>21</v>
      </c>
      <c r="F2061" t="s">
        <v>20</v>
      </c>
      <c r="G2061" s="1" t="str">
        <f t="shared" si="417"/>
        <v>X</v>
      </c>
      <c r="H2061" s="1" t="str">
        <f t="shared" si="417"/>
        <v>X</v>
      </c>
      <c r="I2061" s="1" t="str">
        <f t="shared" si="417"/>
        <v>X</v>
      </c>
      <c r="J2061" s="1" t="str">
        <f t="shared" si="417"/>
        <v>X</v>
      </c>
      <c r="K2061" s="1" t="str">
        <f t="shared" si="417"/>
        <v>X</v>
      </c>
      <c r="L2061" s="1" t="str">
        <f t="shared" si="417"/>
        <v>X</v>
      </c>
      <c r="M2061" s="1" t="str">
        <f t="shared" si="417"/>
        <v>X</v>
      </c>
      <c r="N2061" t="s">
        <v>27</v>
      </c>
    </row>
    <row r="2062" spans="1:14" x14ac:dyDescent="0.25">
      <c r="A2062" t="s">
        <v>14</v>
      </c>
      <c r="B2062" t="s">
        <v>40</v>
      </c>
      <c r="C2062" t="s">
        <v>35</v>
      </c>
      <c r="D2062" t="s">
        <v>33</v>
      </c>
      <c r="E2062" t="s">
        <v>22</v>
      </c>
      <c r="F2062" t="s">
        <v>15</v>
      </c>
      <c r="G2062" s="1" t="str">
        <f t="shared" si="417"/>
        <v>X</v>
      </c>
      <c r="H2062" s="1" t="str">
        <f t="shared" si="417"/>
        <v>X</v>
      </c>
      <c r="I2062" s="1" t="str">
        <f t="shared" si="417"/>
        <v>X</v>
      </c>
      <c r="J2062" s="1" t="str">
        <f t="shared" si="417"/>
        <v>X</v>
      </c>
      <c r="K2062" s="1" t="str">
        <f t="shared" si="417"/>
        <v>X</v>
      </c>
      <c r="L2062" s="1" t="str">
        <f t="shared" si="417"/>
        <v>X</v>
      </c>
      <c r="M2062" s="1" t="str">
        <f t="shared" si="417"/>
        <v>X</v>
      </c>
      <c r="N2062" t="s">
        <v>27</v>
      </c>
    </row>
    <row r="2063" spans="1:14" x14ac:dyDescent="0.25">
      <c r="A2063" t="s">
        <v>14</v>
      </c>
      <c r="B2063" t="s">
        <v>40</v>
      </c>
      <c r="C2063" t="s">
        <v>35</v>
      </c>
      <c r="D2063" t="s">
        <v>33</v>
      </c>
      <c r="E2063" t="s">
        <v>22</v>
      </c>
      <c r="F2063" t="s">
        <v>17</v>
      </c>
      <c r="G2063" s="1" t="str">
        <f t="shared" si="417"/>
        <v>X</v>
      </c>
      <c r="H2063" s="1" t="str">
        <f t="shared" si="417"/>
        <v>X</v>
      </c>
      <c r="I2063" s="1" t="str">
        <f t="shared" si="417"/>
        <v>X</v>
      </c>
      <c r="J2063" s="1" t="str">
        <f t="shared" si="417"/>
        <v>X</v>
      </c>
      <c r="K2063" s="1" t="str">
        <f t="shared" si="417"/>
        <v>X</v>
      </c>
      <c r="L2063" s="1" t="str">
        <f t="shared" si="417"/>
        <v>X</v>
      </c>
      <c r="M2063" s="1" t="str">
        <f t="shared" si="417"/>
        <v>X</v>
      </c>
      <c r="N2063" t="s">
        <v>27</v>
      </c>
    </row>
    <row r="2064" spans="1:14" x14ac:dyDescent="0.25">
      <c r="A2064" t="s">
        <v>14</v>
      </c>
      <c r="B2064" t="s">
        <v>40</v>
      </c>
      <c r="C2064" t="s">
        <v>35</v>
      </c>
      <c r="D2064" t="s">
        <v>33</v>
      </c>
      <c r="E2064" t="s">
        <v>22</v>
      </c>
      <c r="F2064" t="s">
        <v>18</v>
      </c>
      <c r="G2064" s="1" t="str">
        <f t="shared" si="417"/>
        <v>X</v>
      </c>
      <c r="H2064" s="1" t="str">
        <f t="shared" si="417"/>
        <v>X</v>
      </c>
      <c r="I2064" s="1" t="str">
        <f t="shared" si="417"/>
        <v>X</v>
      </c>
      <c r="J2064" s="1" t="str">
        <f t="shared" si="417"/>
        <v>X</v>
      </c>
      <c r="K2064" s="1" t="str">
        <f t="shared" si="417"/>
        <v>X</v>
      </c>
      <c r="L2064" s="1" t="str">
        <f t="shared" si="417"/>
        <v>X</v>
      </c>
      <c r="M2064" s="1" t="str">
        <f t="shared" si="417"/>
        <v>X</v>
      </c>
      <c r="N2064" t="s">
        <v>27</v>
      </c>
    </row>
    <row r="2065" spans="1:14" x14ac:dyDescent="0.25">
      <c r="A2065" t="s">
        <v>14</v>
      </c>
      <c r="B2065" t="s">
        <v>40</v>
      </c>
      <c r="C2065" t="s">
        <v>35</v>
      </c>
      <c r="D2065" t="s">
        <v>33</v>
      </c>
      <c r="E2065" t="s">
        <v>22</v>
      </c>
      <c r="F2065" t="s">
        <v>19</v>
      </c>
      <c r="G2065" s="1" t="str">
        <f t="shared" si="417"/>
        <v>X</v>
      </c>
      <c r="H2065" s="1" t="str">
        <f t="shared" si="417"/>
        <v>X</v>
      </c>
      <c r="I2065" s="1" t="str">
        <f t="shared" si="417"/>
        <v>X</v>
      </c>
      <c r="J2065" s="1" t="str">
        <f t="shared" si="417"/>
        <v>X</v>
      </c>
      <c r="K2065" s="1" t="str">
        <f t="shared" si="417"/>
        <v>X</v>
      </c>
      <c r="L2065" s="1" t="str">
        <f t="shared" si="417"/>
        <v>X</v>
      </c>
      <c r="M2065" s="1" t="str">
        <f t="shared" si="417"/>
        <v>X</v>
      </c>
      <c r="N2065" t="s">
        <v>27</v>
      </c>
    </row>
    <row r="2066" spans="1:14" x14ac:dyDescent="0.25">
      <c r="A2066" t="s">
        <v>14</v>
      </c>
      <c r="B2066" t="s">
        <v>40</v>
      </c>
      <c r="C2066" t="s">
        <v>35</v>
      </c>
      <c r="D2066" t="s">
        <v>33</v>
      </c>
      <c r="E2066" t="s">
        <v>22</v>
      </c>
      <c r="F2066" t="s">
        <v>20</v>
      </c>
      <c r="G2066" s="1" t="str">
        <f t="shared" si="417"/>
        <v>X</v>
      </c>
      <c r="H2066" s="1" t="str">
        <f t="shared" si="417"/>
        <v>X</v>
      </c>
      <c r="I2066" s="1" t="str">
        <f t="shared" si="417"/>
        <v>X</v>
      </c>
      <c r="J2066" s="1" t="str">
        <f t="shared" si="417"/>
        <v>X</v>
      </c>
      <c r="K2066" s="1" t="str">
        <f t="shared" si="417"/>
        <v>X</v>
      </c>
      <c r="L2066" s="1" t="str">
        <f t="shared" si="417"/>
        <v>X</v>
      </c>
      <c r="M2066" s="1" t="str">
        <f t="shared" si="417"/>
        <v>X</v>
      </c>
      <c r="N2066" t="s">
        <v>27</v>
      </c>
    </row>
    <row r="2067" spans="1:14" x14ac:dyDescent="0.25">
      <c r="A2067" t="s">
        <v>14</v>
      </c>
      <c r="B2067" t="s">
        <v>40</v>
      </c>
      <c r="C2067" t="s">
        <v>35</v>
      </c>
      <c r="D2067" t="s">
        <v>33</v>
      </c>
      <c r="E2067" t="s">
        <v>23</v>
      </c>
      <c r="F2067" t="s">
        <v>15</v>
      </c>
      <c r="G2067" s="1" t="str">
        <f t="shared" si="417"/>
        <v>X</v>
      </c>
      <c r="H2067" s="1" t="str">
        <f t="shared" si="417"/>
        <v>X</v>
      </c>
      <c r="I2067" s="1" t="str">
        <f t="shared" si="417"/>
        <v>X</v>
      </c>
      <c r="J2067" s="1" t="str">
        <f t="shared" si="417"/>
        <v>X</v>
      </c>
      <c r="K2067" s="1" t="str">
        <f t="shared" si="417"/>
        <v>X</v>
      </c>
      <c r="L2067" s="1" t="str">
        <f t="shared" si="417"/>
        <v>X</v>
      </c>
      <c r="M2067" s="1" t="str">
        <f t="shared" si="417"/>
        <v>X</v>
      </c>
      <c r="N2067" t="s">
        <v>27</v>
      </c>
    </row>
    <row r="2068" spans="1:14" x14ac:dyDescent="0.25">
      <c r="A2068" t="s">
        <v>14</v>
      </c>
      <c r="B2068" t="s">
        <v>40</v>
      </c>
      <c r="C2068" t="s">
        <v>35</v>
      </c>
      <c r="D2068" t="s">
        <v>33</v>
      </c>
      <c r="E2068" t="s">
        <v>23</v>
      </c>
      <c r="F2068" t="s">
        <v>17</v>
      </c>
      <c r="G2068" s="1" t="str">
        <f t="shared" ref="G2068:M2068" si="418">"..."</f>
        <v>...</v>
      </c>
      <c r="H2068" s="1" t="str">
        <f t="shared" si="418"/>
        <v>...</v>
      </c>
      <c r="I2068" s="1" t="str">
        <f t="shared" si="418"/>
        <v>...</v>
      </c>
      <c r="J2068" s="1" t="str">
        <f t="shared" si="418"/>
        <v>...</v>
      </c>
      <c r="K2068" s="1" t="str">
        <f t="shared" si="418"/>
        <v>...</v>
      </c>
      <c r="L2068" s="1" t="str">
        <f t="shared" si="418"/>
        <v>...</v>
      </c>
      <c r="M2068" s="1" t="str">
        <f t="shared" si="418"/>
        <v>...</v>
      </c>
      <c r="N2068" t="s">
        <v>30</v>
      </c>
    </row>
    <row r="2069" spans="1:14" x14ac:dyDescent="0.25">
      <c r="A2069" t="s">
        <v>14</v>
      </c>
      <c r="B2069" t="s">
        <v>40</v>
      </c>
      <c r="C2069" t="s">
        <v>35</v>
      </c>
      <c r="D2069" t="s">
        <v>33</v>
      </c>
      <c r="E2069" t="s">
        <v>23</v>
      </c>
      <c r="F2069" t="s">
        <v>18</v>
      </c>
      <c r="G2069" s="1" t="str">
        <f t="shared" ref="G2069:M2069" si="419">"X"</f>
        <v>X</v>
      </c>
      <c r="H2069" s="1" t="str">
        <f t="shared" si="419"/>
        <v>X</v>
      </c>
      <c r="I2069" s="1" t="str">
        <f t="shared" si="419"/>
        <v>X</v>
      </c>
      <c r="J2069" s="1" t="str">
        <f t="shared" si="419"/>
        <v>X</v>
      </c>
      <c r="K2069" s="1" t="str">
        <f t="shared" si="419"/>
        <v>X</v>
      </c>
      <c r="L2069" s="1" t="str">
        <f t="shared" si="419"/>
        <v>X</v>
      </c>
      <c r="M2069" s="1" t="str">
        <f t="shared" si="419"/>
        <v>X</v>
      </c>
      <c r="N2069" t="s">
        <v>27</v>
      </c>
    </row>
    <row r="2070" spans="1:14" x14ac:dyDescent="0.25">
      <c r="A2070" t="s">
        <v>14</v>
      </c>
      <c r="B2070" t="s">
        <v>40</v>
      </c>
      <c r="C2070" t="s">
        <v>35</v>
      </c>
      <c r="D2070" t="s">
        <v>33</v>
      </c>
      <c r="E2070" t="s">
        <v>23</v>
      </c>
      <c r="F2070" t="s">
        <v>19</v>
      </c>
      <c r="G2070" s="1" t="str">
        <f t="shared" ref="G2070:M2070" si="420">"..."</f>
        <v>...</v>
      </c>
      <c r="H2070" s="1" t="str">
        <f t="shared" si="420"/>
        <v>...</v>
      </c>
      <c r="I2070" s="1" t="str">
        <f t="shared" si="420"/>
        <v>...</v>
      </c>
      <c r="J2070" s="1" t="str">
        <f t="shared" si="420"/>
        <v>...</v>
      </c>
      <c r="K2070" s="1" t="str">
        <f t="shared" si="420"/>
        <v>...</v>
      </c>
      <c r="L2070" s="1" t="str">
        <f t="shared" si="420"/>
        <v>...</v>
      </c>
      <c r="M2070" s="1" t="str">
        <f t="shared" si="420"/>
        <v>...</v>
      </c>
      <c r="N2070" t="s">
        <v>30</v>
      </c>
    </row>
    <row r="2071" spans="1:14" x14ac:dyDescent="0.25">
      <c r="A2071" t="s">
        <v>14</v>
      </c>
      <c r="B2071" t="s">
        <v>40</v>
      </c>
      <c r="C2071" t="s">
        <v>35</v>
      </c>
      <c r="D2071" t="s">
        <v>33</v>
      </c>
      <c r="E2071" t="s">
        <v>23</v>
      </c>
      <c r="F2071" t="s">
        <v>20</v>
      </c>
      <c r="G2071" s="1" t="str">
        <f t="shared" ref="G2071:M2071" si="421">"X"</f>
        <v>X</v>
      </c>
      <c r="H2071" s="1" t="str">
        <f t="shared" si="421"/>
        <v>X</v>
      </c>
      <c r="I2071" s="1" t="str">
        <f t="shared" si="421"/>
        <v>X</v>
      </c>
      <c r="J2071" s="1" t="str">
        <f t="shared" si="421"/>
        <v>X</v>
      </c>
      <c r="K2071" s="1" t="str">
        <f t="shared" si="421"/>
        <v>X</v>
      </c>
      <c r="L2071" s="1" t="str">
        <f t="shared" si="421"/>
        <v>X</v>
      </c>
      <c r="M2071" s="1" t="str">
        <f t="shared" si="421"/>
        <v>X</v>
      </c>
      <c r="N2071" t="s">
        <v>27</v>
      </c>
    </row>
    <row r="2072" spans="1:14" x14ac:dyDescent="0.25">
      <c r="A2072" t="s">
        <v>14</v>
      </c>
      <c r="B2072" t="s">
        <v>40</v>
      </c>
      <c r="C2072" t="s">
        <v>35</v>
      </c>
      <c r="D2072" t="s">
        <v>33</v>
      </c>
      <c r="E2072" t="s">
        <v>26</v>
      </c>
      <c r="F2072" t="s">
        <v>15</v>
      </c>
      <c r="G2072" s="1" t="str">
        <f t="shared" ref="G2072:M2076" si="422">"..."</f>
        <v>...</v>
      </c>
      <c r="H2072" s="1" t="str">
        <f t="shared" si="422"/>
        <v>...</v>
      </c>
      <c r="I2072" s="1" t="str">
        <f t="shared" si="422"/>
        <v>...</v>
      </c>
      <c r="J2072" s="1" t="str">
        <f t="shared" si="422"/>
        <v>...</v>
      </c>
      <c r="K2072" s="1" t="str">
        <f t="shared" si="422"/>
        <v>...</v>
      </c>
      <c r="L2072" s="1" t="str">
        <f t="shared" si="422"/>
        <v>...</v>
      </c>
      <c r="M2072" s="1" t="str">
        <f t="shared" si="422"/>
        <v>...</v>
      </c>
      <c r="N2072" t="s">
        <v>30</v>
      </c>
    </row>
    <row r="2073" spans="1:14" x14ac:dyDescent="0.25">
      <c r="A2073" t="s">
        <v>14</v>
      </c>
      <c r="B2073" t="s">
        <v>40</v>
      </c>
      <c r="C2073" t="s">
        <v>35</v>
      </c>
      <c r="D2073" t="s">
        <v>33</v>
      </c>
      <c r="E2073" t="s">
        <v>26</v>
      </c>
      <c r="F2073" t="s">
        <v>17</v>
      </c>
      <c r="G2073" s="1" t="str">
        <f t="shared" si="422"/>
        <v>...</v>
      </c>
      <c r="H2073" s="1" t="str">
        <f t="shared" si="422"/>
        <v>...</v>
      </c>
      <c r="I2073" s="1" t="str">
        <f t="shared" si="422"/>
        <v>...</v>
      </c>
      <c r="J2073" s="1" t="str">
        <f t="shared" si="422"/>
        <v>...</v>
      </c>
      <c r="K2073" s="1" t="str">
        <f t="shared" si="422"/>
        <v>...</v>
      </c>
      <c r="L2073" s="1" t="str">
        <f t="shared" si="422"/>
        <v>...</v>
      </c>
      <c r="M2073" s="1" t="str">
        <f t="shared" si="422"/>
        <v>...</v>
      </c>
      <c r="N2073" t="s">
        <v>30</v>
      </c>
    </row>
    <row r="2074" spans="1:14" x14ac:dyDescent="0.25">
      <c r="A2074" t="s">
        <v>14</v>
      </c>
      <c r="B2074" t="s">
        <v>40</v>
      </c>
      <c r="C2074" t="s">
        <v>35</v>
      </c>
      <c r="D2074" t="s">
        <v>33</v>
      </c>
      <c r="E2074" t="s">
        <v>26</v>
      </c>
      <c r="F2074" t="s">
        <v>18</v>
      </c>
      <c r="G2074" s="1" t="str">
        <f t="shared" si="422"/>
        <v>...</v>
      </c>
      <c r="H2074" s="1" t="str">
        <f t="shared" si="422"/>
        <v>...</v>
      </c>
      <c r="I2074" s="1" t="str">
        <f t="shared" si="422"/>
        <v>...</v>
      </c>
      <c r="J2074" s="1" t="str">
        <f t="shared" si="422"/>
        <v>...</v>
      </c>
      <c r="K2074" s="1" t="str">
        <f t="shared" si="422"/>
        <v>...</v>
      </c>
      <c r="L2074" s="1" t="str">
        <f t="shared" si="422"/>
        <v>...</v>
      </c>
      <c r="M2074" s="1" t="str">
        <f t="shared" si="422"/>
        <v>...</v>
      </c>
      <c r="N2074" t="s">
        <v>30</v>
      </c>
    </row>
    <row r="2075" spans="1:14" x14ac:dyDescent="0.25">
      <c r="A2075" t="s">
        <v>14</v>
      </c>
      <c r="B2075" t="s">
        <v>40</v>
      </c>
      <c r="C2075" t="s">
        <v>35</v>
      </c>
      <c r="D2075" t="s">
        <v>33</v>
      </c>
      <c r="E2075" t="s">
        <v>26</v>
      </c>
      <c r="F2075" t="s">
        <v>19</v>
      </c>
      <c r="G2075" s="1" t="str">
        <f t="shared" si="422"/>
        <v>...</v>
      </c>
      <c r="H2075" s="1" t="str">
        <f t="shared" si="422"/>
        <v>...</v>
      </c>
      <c r="I2075" s="1" t="str">
        <f t="shared" si="422"/>
        <v>...</v>
      </c>
      <c r="J2075" s="1" t="str">
        <f t="shared" si="422"/>
        <v>...</v>
      </c>
      <c r="K2075" s="1" t="str">
        <f t="shared" si="422"/>
        <v>...</v>
      </c>
      <c r="L2075" s="1" t="str">
        <f t="shared" si="422"/>
        <v>...</v>
      </c>
      <c r="M2075" s="1" t="str">
        <f t="shared" si="422"/>
        <v>...</v>
      </c>
      <c r="N2075" t="s">
        <v>30</v>
      </c>
    </row>
    <row r="2076" spans="1:14" x14ac:dyDescent="0.25">
      <c r="A2076" t="s">
        <v>14</v>
      </c>
      <c r="B2076" t="s">
        <v>40</v>
      </c>
      <c r="C2076" t="s">
        <v>35</v>
      </c>
      <c r="D2076" t="s">
        <v>33</v>
      </c>
      <c r="E2076" t="s">
        <v>26</v>
      </c>
      <c r="F2076" t="s">
        <v>20</v>
      </c>
      <c r="G2076" s="1" t="str">
        <f t="shared" si="422"/>
        <v>...</v>
      </c>
      <c r="H2076" s="1" t="str">
        <f t="shared" si="422"/>
        <v>...</v>
      </c>
      <c r="I2076" s="1" t="str">
        <f t="shared" si="422"/>
        <v>...</v>
      </c>
      <c r="J2076" s="1" t="str">
        <f t="shared" si="422"/>
        <v>...</v>
      </c>
      <c r="K2076" s="1" t="str">
        <f t="shared" si="422"/>
        <v>...</v>
      </c>
      <c r="L2076" s="1" t="str">
        <f t="shared" si="422"/>
        <v>...</v>
      </c>
      <c r="M2076" s="1" t="str">
        <f t="shared" si="422"/>
        <v>...</v>
      </c>
      <c r="N2076" t="s">
        <v>30</v>
      </c>
    </row>
    <row r="2077" spans="1:14" x14ac:dyDescent="0.25">
      <c r="A2077" t="s">
        <v>14</v>
      </c>
      <c r="B2077" t="s">
        <v>40</v>
      </c>
      <c r="C2077" t="s">
        <v>35</v>
      </c>
      <c r="D2077" t="s">
        <v>34</v>
      </c>
      <c r="E2077" t="s">
        <v>15</v>
      </c>
      <c r="F2077" t="s">
        <v>15</v>
      </c>
      <c r="G2077" s="1" t="str">
        <f t="shared" ref="G2077:M2077" si="423">"X"</f>
        <v>X</v>
      </c>
      <c r="H2077" s="1" t="str">
        <f t="shared" si="423"/>
        <v>X</v>
      </c>
      <c r="I2077" s="1" t="str">
        <f t="shared" si="423"/>
        <v>X</v>
      </c>
      <c r="J2077" s="1" t="str">
        <f t="shared" si="423"/>
        <v>X</v>
      </c>
      <c r="K2077" s="1" t="str">
        <f t="shared" si="423"/>
        <v>X</v>
      </c>
      <c r="L2077" s="1" t="str">
        <f t="shared" si="423"/>
        <v>X</v>
      </c>
      <c r="M2077" s="1" t="str">
        <f t="shared" si="423"/>
        <v>X</v>
      </c>
      <c r="N2077" t="s">
        <v>27</v>
      </c>
    </row>
    <row r="2078" spans="1:14" x14ac:dyDescent="0.25">
      <c r="A2078" t="s">
        <v>14</v>
      </c>
      <c r="B2078" t="s">
        <v>40</v>
      </c>
      <c r="C2078" t="s">
        <v>35</v>
      </c>
      <c r="D2078" t="s">
        <v>34</v>
      </c>
      <c r="E2078" t="s">
        <v>15</v>
      </c>
      <c r="F2078" t="s">
        <v>17</v>
      </c>
      <c r="G2078" s="1" t="str">
        <f t="shared" ref="G2078:M2080" si="424">"..."</f>
        <v>...</v>
      </c>
      <c r="H2078" s="1" t="str">
        <f t="shared" si="424"/>
        <v>...</v>
      </c>
      <c r="I2078" s="1" t="str">
        <f t="shared" si="424"/>
        <v>...</v>
      </c>
      <c r="J2078" s="1" t="str">
        <f t="shared" si="424"/>
        <v>...</v>
      </c>
      <c r="K2078" s="1" t="str">
        <f t="shared" si="424"/>
        <v>...</v>
      </c>
      <c r="L2078" s="1" t="str">
        <f t="shared" si="424"/>
        <v>...</v>
      </c>
      <c r="M2078" s="1" t="str">
        <f t="shared" si="424"/>
        <v>...</v>
      </c>
      <c r="N2078" t="s">
        <v>30</v>
      </c>
    </row>
    <row r="2079" spans="1:14" x14ac:dyDescent="0.25">
      <c r="A2079" t="s">
        <v>14</v>
      </c>
      <c r="B2079" t="s">
        <v>40</v>
      </c>
      <c r="C2079" t="s">
        <v>35</v>
      </c>
      <c r="D2079" t="s">
        <v>34</v>
      </c>
      <c r="E2079" t="s">
        <v>15</v>
      </c>
      <c r="F2079" t="s">
        <v>18</v>
      </c>
      <c r="G2079" s="1" t="str">
        <f t="shared" si="424"/>
        <v>...</v>
      </c>
      <c r="H2079" s="1" t="str">
        <f t="shared" si="424"/>
        <v>...</v>
      </c>
      <c r="I2079" s="1" t="str">
        <f t="shared" si="424"/>
        <v>...</v>
      </c>
      <c r="J2079" s="1" t="str">
        <f t="shared" si="424"/>
        <v>...</v>
      </c>
      <c r="K2079" s="1" t="str">
        <f t="shared" si="424"/>
        <v>...</v>
      </c>
      <c r="L2079" s="1" t="str">
        <f t="shared" si="424"/>
        <v>...</v>
      </c>
      <c r="M2079" s="1" t="str">
        <f t="shared" si="424"/>
        <v>...</v>
      </c>
      <c r="N2079" t="s">
        <v>30</v>
      </c>
    </row>
    <row r="2080" spans="1:14" x14ac:dyDescent="0.25">
      <c r="A2080" t="s">
        <v>14</v>
      </c>
      <c r="B2080" t="s">
        <v>40</v>
      </c>
      <c r="C2080" t="s">
        <v>35</v>
      </c>
      <c r="D2080" t="s">
        <v>34</v>
      </c>
      <c r="E2080" t="s">
        <v>15</v>
      </c>
      <c r="F2080" t="s">
        <v>19</v>
      </c>
      <c r="G2080" s="1" t="str">
        <f t="shared" si="424"/>
        <v>...</v>
      </c>
      <c r="H2080" s="1" t="str">
        <f t="shared" si="424"/>
        <v>...</v>
      </c>
      <c r="I2080" s="1" t="str">
        <f t="shared" si="424"/>
        <v>...</v>
      </c>
      <c r="J2080" s="1" t="str">
        <f t="shared" si="424"/>
        <v>...</v>
      </c>
      <c r="K2080" s="1" t="str">
        <f t="shared" si="424"/>
        <v>...</v>
      </c>
      <c r="L2080" s="1" t="str">
        <f t="shared" si="424"/>
        <v>...</v>
      </c>
      <c r="M2080" s="1" t="str">
        <f t="shared" si="424"/>
        <v>...</v>
      </c>
      <c r="N2080" t="s">
        <v>30</v>
      </c>
    </row>
    <row r="2081" spans="1:14" x14ac:dyDescent="0.25">
      <c r="A2081" t="s">
        <v>14</v>
      </c>
      <c r="B2081" t="s">
        <v>40</v>
      </c>
      <c r="C2081" t="s">
        <v>35</v>
      </c>
      <c r="D2081" t="s">
        <v>34</v>
      </c>
      <c r="E2081" t="s">
        <v>15</v>
      </c>
      <c r="F2081" t="s">
        <v>20</v>
      </c>
      <c r="G2081" s="1" t="str">
        <f t="shared" ref="G2081:M2082" si="425">"X"</f>
        <v>X</v>
      </c>
      <c r="H2081" s="1" t="str">
        <f t="shared" si="425"/>
        <v>X</v>
      </c>
      <c r="I2081" s="1" t="str">
        <f t="shared" si="425"/>
        <v>X</v>
      </c>
      <c r="J2081" s="1" t="str">
        <f t="shared" si="425"/>
        <v>X</v>
      </c>
      <c r="K2081" s="1" t="str">
        <f t="shared" si="425"/>
        <v>X</v>
      </c>
      <c r="L2081" s="1" t="str">
        <f t="shared" si="425"/>
        <v>X</v>
      </c>
      <c r="M2081" s="1" t="str">
        <f t="shared" si="425"/>
        <v>X</v>
      </c>
      <c r="N2081" t="s">
        <v>27</v>
      </c>
    </row>
    <row r="2082" spans="1:14" x14ac:dyDescent="0.25">
      <c r="A2082" t="s">
        <v>14</v>
      </c>
      <c r="B2082" t="s">
        <v>40</v>
      </c>
      <c r="C2082" t="s">
        <v>35</v>
      </c>
      <c r="D2082" t="s">
        <v>34</v>
      </c>
      <c r="E2082" t="s">
        <v>21</v>
      </c>
      <c r="F2082" t="s">
        <v>15</v>
      </c>
      <c r="G2082" s="1" t="str">
        <f t="shared" si="425"/>
        <v>X</v>
      </c>
      <c r="H2082" s="1" t="str">
        <f t="shared" si="425"/>
        <v>X</v>
      </c>
      <c r="I2082" s="1" t="str">
        <f t="shared" si="425"/>
        <v>X</v>
      </c>
      <c r="J2082" s="1" t="str">
        <f t="shared" si="425"/>
        <v>X</v>
      </c>
      <c r="K2082" s="1" t="str">
        <f t="shared" si="425"/>
        <v>X</v>
      </c>
      <c r="L2082" s="1" t="str">
        <f t="shared" si="425"/>
        <v>X</v>
      </c>
      <c r="M2082" s="1" t="str">
        <f t="shared" si="425"/>
        <v>X</v>
      </c>
      <c r="N2082" t="s">
        <v>27</v>
      </c>
    </row>
    <row r="2083" spans="1:14" x14ac:dyDescent="0.25">
      <c r="A2083" t="s">
        <v>14</v>
      </c>
      <c r="B2083" t="s">
        <v>40</v>
      </c>
      <c r="C2083" t="s">
        <v>35</v>
      </c>
      <c r="D2083" t="s">
        <v>34</v>
      </c>
      <c r="E2083" t="s">
        <v>21</v>
      </c>
      <c r="F2083" t="s">
        <v>17</v>
      </c>
      <c r="G2083" s="1" t="str">
        <f t="shared" ref="G2083:M2085" si="426">"..."</f>
        <v>...</v>
      </c>
      <c r="H2083" s="1" t="str">
        <f t="shared" si="426"/>
        <v>...</v>
      </c>
      <c r="I2083" s="1" t="str">
        <f t="shared" si="426"/>
        <v>...</v>
      </c>
      <c r="J2083" s="1" t="str">
        <f t="shared" si="426"/>
        <v>...</v>
      </c>
      <c r="K2083" s="1" t="str">
        <f t="shared" si="426"/>
        <v>...</v>
      </c>
      <c r="L2083" s="1" t="str">
        <f t="shared" si="426"/>
        <v>...</v>
      </c>
      <c r="M2083" s="1" t="str">
        <f t="shared" si="426"/>
        <v>...</v>
      </c>
      <c r="N2083" t="s">
        <v>30</v>
      </c>
    </row>
    <row r="2084" spans="1:14" x14ac:dyDescent="0.25">
      <c r="A2084" t="s">
        <v>14</v>
      </c>
      <c r="B2084" t="s">
        <v>40</v>
      </c>
      <c r="C2084" t="s">
        <v>35</v>
      </c>
      <c r="D2084" t="s">
        <v>34</v>
      </c>
      <c r="E2084" t="s">
        <v>21</v>
      </c>
      <c r="F2084" t="s">
        <v>18</v>
      </c>
      <c r="G2084" s="1" t="str">
        <f t="shared" si="426"/>
        <v>...</v>
      </c>
      <c r="H2084" s="1" t="str">
        <f t="shared" si="426"/>
        <v>...</v>
      </c>
      <c r="I2084" s="1" t="str">
        <f t="shared" si="426"/>
        <v>...</v>
      </c>
      <c r="J2084" s="1" t="str">
        <f t="shared" si="426"/>
        <v>...</v>
      </c>
      <c r="K2084" s="1" t="str">
        <f t="shared" si="426"/>
        <v>...</v>
      </c>
      <c r="L2084" s="1" t="str">
        <f t="shared" si="426"/>
        <v>...</v>
      </c>
      <c r="M2084" s="1" t="str">
        <f t="shared" si="426"/>
        <v>...</v>
      </c>
      <c r="N2084" t="s">
        <v>30</v>
      </c>
    </row>
    <row r="2085" spans="1:14" x14ac:dyDescent="0.25">
      <c r="A2085" t="s">
        <v>14</v>
      </c>
      <c r="B2085" t="s">
        <v>40</v>
      </c>
      <c r="C2085" t="s">
        <v>35</v>
      </c>
      <c r="D2085" t="s">
        <v>34</v>
      </c>
      <c r="E2085" t="s">
        <v>21</v>
      </c>
      <c r="F2085" t="s">
        <v>19</v>
      </c>
      <c r="G2085" s="1" t="str">
        <f t="shared" si="426"/>
        <v>...</v>
      </c>
      <c r="H2085" s="1" t="str">
        <f t="shared" si="426"/>
        <v>...</v>
      </c>
      <c r="I2085" s="1" t="str">
        <f t="shared" si="426"/>
        <v>...</v>
      </c>
      <c r="J2085" s="1" t="str">
        <f t="shared" si="426"/>
        <v>...</v>
      </c>
      <c r="K2085" s="1" t="str">
        <f t="shared" si="426"/>
        <v>...</v>
      </c>
      <c r="L2085" s="1" t="str">
        <f t="shared" si="426"/>
        <v>...</v>
      </c>
      <c r="M2085" s="1" t="str">
        <f t="shared" si="426"/>
        <v>...</v>
      </c>
      <c r="N2085" t="s">
        <v>30</v>
      </c>
    </row>
    <row r="2086" spans="1:14" x14ac:dyDescent="0.25">
      <c r="A2086" t="s">
        <v>14</v>
      </c>
      <c r="B2086" t="s">
        <v>40</v>
      </c>
      <c r="C2086" t="s">
        <v>35</v>
      </c>
      <c r="D2086" t="s">
        <v>34</v>
      </c>
      <c r="E2086" t="s">
        <v>21</v>
      </c>
      <c r="F2086" t="s">
        <v>20</v>
      </c>
      <c r="G2086" s="1" t="str">
        <f t="shared" ref="G2086:M2087" si="427">"X"</f>
        <v>X</v>
      </c>
      <c r="H2086" s="1" t="str">
        <f t="shared" si="427"/>
        <v>X</v>
      </c>
      <c r="I2086" s="1" t="str">
        <f t="shared" si="427"/>
        <v>X</v>
      </c>
      <c r="J2086" s="1" t="str">
        <f t="shared" si="427"/>
        <v>X</v>
      </c>
      <c r="K2086" s="1" t="str">
        <f t="shared" si="427"/>
        <v>X</v>
      </c>
      <c r="L2086" s="1" t="str">
        <f t="shared" si="427"/>
        <v>X</v>
      </c>
      <c r="M2086" s="1" t="str">
        <f t="shared" si="427"/>
        <v>X</v>
      </c>
      <c r="N2086" t="s">
        <v>27</v>
      </c>
    </row>
    <row r="2087" spans="1:14" x14ac:dyDescent="0.25">
      <c r="A2087" t="s">
        <v>14</v>
      </c>
      <c r="B2087" t="s">
        <v>40</v>
      </c>
      <c r="C2087" t="s">
        <v>35</v>
      </c>
      <c r="D2087" t="s">
        <v>34</v>
      </c>
      <c r="E2087" t="s">
        <v>22</v>
      </c>
      <c r="F2087" t="s">
        <v>15</v>
      </c>
      <c r="G2087" s="1" t="str">
        <f t="shared" si="427"/>
        <v>X</v>
      </c>
      <c r="H2087" s="1" t="str">
        <f t="shared" si="427"/>
        <v>X</v>
      </c>
      <c r="I2087" s="1" t="str">
        <f t="shared" si="427"/>
        <v>X</v>
      </c>
      <c r="J2087" s="1" t="str">
        <f t="shared" si="427"/>
        <v>X</v>
      </c>
      <c r="K2087" s="1" t="str">
        <f t="shared" si="427"/>
        <v>X</v>
      </c>
      <c r="L2087" s="1" t="str">
        <f t="shared" si="427"/>
        <v>X</v>
      </c>
      <c r="M2087" s="1" t="str">
        <f t="shared" si="427"/>
        <v>X</v>
      </c>
      <c r="N2087" t="s">
        <v>27</v>
      </c>
    </row>
    <row r="2088" spans="1:14" x14ac:dyDescent="0.25">
      <c r="A2088" t="s">
        <v>14</v>
      </c>
      <c r="B2088" t="s">
        <v>40</v>
      </c>
      <c r="C2088" t="s">
        <v>35</v>
      </c>
      <c r="D2088" t="s">
        <v>34</v>
      </c>
      <c r="E2088" t="s">
        <v>22</v>
      </c>
      <c r="F2088" t="s">
        <v>17</v>
      </c>
      <c r="G2088" s="1" t="str">
        <f t="shared" ref="G2088:M2090" si="428">"..."</f>
        <v>...</v>
      </c>
      <c r="H2088" s="1" t="str">
        <f t="shared" si="428"/>
        <v>...</v>
      </c>
      <c r="I2088" s="1" t="str">
        <f t="shared" si="428"/>
        <v>...</v>
      </c>
      <c r="J2088" s="1" t="str">
        <f t="shared" si="428"/>
        <v>...</v>
      </c>
      <c r="K2088" s="1" t="str">
        <f t="shared" si="428"/>
        <v>...</v>
      </c>
      <c r="L2088" s="1" t="str">
        <f t="shared" si="428"/>
        <v>...</v>
      </c>
      <c r="M2088" s="1" t="str">
        <f t="shared" si="428"/>
        <v>...</v>
      </c>
      <c r="N2088" t="s">
        <v>30</v>
      </c>
    </row>
    <row r="2089" spans="1:14" x14ac:dyDescent="0.25">
      <c r="A2089" t="s">
        <v>14</v>
      </c>
      <c r="B2089" t="s">
        <v>40</v>
      </c>
      <c r="C2089" t="s">
        <v>35</v>
      </c>
      <c r="D2089" t="s">
        <v>34</v>
      </c>
      <c r="E2089" t="s">
        <v>22</v>
      </c>
      <c r="F2089" t="s">
        <v>18</v>
      </c>
      <c r="G2089" s="1" t="str">
        <f t="shared" si="428"/>
        <v>...</v>
      </c>
      <c r="H2089" s="1" t="str">
        <f t="shared" si="428"/>
        <v>...</v>
      </c>
      <c r="I2089" s="1" t="str">
        <f t="shared" si="428"/>
        <v>...</v>
      </c>
      <c r="J2089" s="1" t="str">
        <f t="shared" si="428"/>
        <v>...</v>
      </c>
      <c r="K2089" s="1" t="str">
        <f t="shared" si="428"/>
        <v>...</v>
      </c>
      <c r="L2089" s="1" t="str">
        <f t="shared" si="428"/>
        <v>...</v>
      </c>
      <c r="M2089" s="1" t="str">
        <f t="shared" si="428"/>
        <v>...</v>
      </c>
      <c r="N2089" t="s">
        <v>30</v>
      </c>
    </row>
    <row r="2090" spans="1:14" x14ac:dyDescent="0.25">
      <c r="A2090" t="s">
        <v>14</v>
      </c>
      <c r="B2090" t="s">
        <v>40</v>
      </c>
      <c r="C2090" t="s">
        <v>35</v>
      </c>
      <c r="D2090" t="s">
        <v>34</v>
      </c>
      <c r="E2090" t="s">
        <v>22</v>
      </c>
      <c r="F2090" t="s">
        <v>19</v>
      </c>
      <c r="G2090" s="1" t="str">
        <f t="shared" si="428"/>
        <v>...</v>
      </c>
      <c r="H2090" s="1" t="str">
        <f t="shared" si="428"/>
        <v>...</v>
      </c>
      <c r="I2090" s="1" t="str">
        <f t="shared" si="428"/>
        <v>...</v>
      </c>
      <c r="J2090" s="1" t="str">
        <f t="shared" si="428"/>
        <v>...</v>
      </c>
      <c r="K2090" s="1" t="str">
        <f t="shared" si="428"/>
        <v>...</v>
      </c>
      <c r="L2090" s="1" t="str">
        <f t="shared" si="428"/>
        <v>...</v>
      </c>
      <c r="M2090" s="1" t="str">
        <f t="shared" si="428"/>
        <v>...</v>
      </c>
      <c r="N2090" t="s">
        <v>30</v>
      </c>
    </row>
    <row r="2091" spans="1:14" x14ac:dyDescent="0.25">
      <c r="A2091" t="s">
        <v>14</v>
      </c>
      <c r="B2091" t="s">
        <v>40</v>
      </c>
      <c r="C2091" t="s">
        <v>35</v>
      </c>
      <c r="D2091" t="s">
        <v>34</v>
      </c>
      <c r="E2091" t="s">
        <v>22</v>
      </c>
      <c r="F2091" t="s">
        <v>20</v>
      </c>
      <c r="G2091" s="1" t="str">
        <f t="shared" ref="G2091:M2092" si="429">"X"</f>
        <v>X</v>
      </c>
      <c r="H2091" s="1" t="str">
        <f t="shared" si="429"/>
        <v>X</v>
      </c>
      <c r="I2091" s="1" t="str">
        <f t="shared" si="429"/>
        <v>X</v>
      </c>
      <c r="J2091" s="1" t="str">
        <f t="shared" si="429"/>
        <v>X</v>
      </c>
      <c r="K2091" s="1" t="str">
        <f t="shared" si="429"/>
        <v>X</v>
      </c>
      <c r="L2091" s="1" t="str">
        <f t="shared" si="429"/>
        <v>X</v>
      </c>
      <c r="M2091" s="1" t="str">
        <f t="shared" si="429"/>
        <v>X</v>
      </c>
      <c r="N2091" t="s">
        <v>27</v>
      </c>
    </row>
    <row r="2092" spans="1:14" x14ac:dyDescent="0.25">
      <c r="A2092" t="s">
        <v>14</v>
      </c>
      <c r="B2092" t="s">
        <v>40</v>
      </c>
      <c r="C2092" t="s">
        <v>35</v>
      </c>
      <c r="D2092" t="s">
        <v>34</v>
      </c>
      <c r="E2092" t="s">
        <v>23</v>
      </c>
      <c r="F2092" t="s">
        <v>15</v>
      </c>
      <c r="G2092" s="1" t="str">
        <f t="shared" si="429"/>
        <v>X</v>
      </c>
      <c r="H2092" s="1" t="str">
        <f t="shared" si="429"/>
        <v>X</v>
      </c>
      <c r="I2092" s="1" t="str">
        <f t="shared" si="429"/>
        <v>X</v>
      </c>
      <c r="J2092" s="1" t="str">
        <f t="shared" si="429"/>
        <v>X</v>
      </c>
      <c r="K2092" s="1" t="str">
        <f t="shared" si="429"/>
        <v>X</v>
      </c>
      <c r="L2092" s="1" t="str">
        <f t="shared" si="429"/>
        <v>X</v>
      </c>
      <c r="M2092" s="1" t="str">
        <f t="shared" si="429"/>
        <v>X</v>
      </c>
      <c r="N2092" t="s">
        <v>27</v>
      </c>
    </row>
    <row r="2093" spans="1:14" x14ac:dyDescent="0.25">
      <c r="A2093" t="s">
        <v>14</v>
      </c>
      <c r="B2093" t="s">
        <v>40</v>
      </c>
      <c r="C2093" t="s">
        <v>35</v>
      </c>
      <c r="D2093" t="s">
        <v>34</v>
      </c>
      <c r="E2093" t="s">
        <v>23</v>
      </c>
      <c r="F2093" t="s">
        <v>17</v>
      </c>
      <c r="G2093" s="1" t="str">
        <f t="shared" ref="G2093:M2095" si="430">"..."</f>
        <v>...</v>
      </c>
      <c r="H2093" s="1" t="str">
        <f t="shared" si="430"/>
        <v>...</v>
      </c>
      <c r="I2093" s="1" t="str">
        <f t="shared" si="430"/>
        <v>...</v>
      </c>
      <c r="J2093" s="1" t="str">
        <f t="shared" si="430"/>
        <v>...</v>
      </c>
      <c r="K2093" s="1" t="str">
        <f t="shared" si="430"/>
        <v>...</v>
      </c>
      <c r="L2093" s="1" t="str">
        <f t="shared" si="430"/>
        <v>...</v>
      </c>
      <c r="M2093" s="1" t="str">
        <f t="shared" si="430"/>
        <v>...</v>
      </c>
      <c r="N2093" t="s">
        <v>30</v>
      </c>
    </row>
    <row r="2094" spans="1:14" x14ac:dyDescent="0.25">
      <c r="A2094" t="s">
        <v>14</v>
      </c>
      <c r="B2094" t="s">
        <v>40</v>
      </c>
      <c r="C2094" t="s">
        <v>35</v>
      </c>
      <c r="D2094" t="s">
        <v>34</v>
      </c>
      <c r="E2094" t="s">
        <v>23</v>
      </c>
      <c r="F2094" t="s">
        <v>18</v>
      </c>
      <c r="G2094" s="1" t="str">
        <f t="shared" si="430"/>
        <v>...</v>
      </c>
      <c r="H2094" s="1" t="str">
        <f t="shared" si="430"/>
        <v>...</v>
      </c>
      <c r="I2094" s="1" t="str">
        <f t="shared" si="430"/>
        <v>...</v>
      </c>
      <c r="J2094" s="1" t="str">
        <f t="shared" si="430"/>
        <v>...</v>
      </c>
      <c r="K2094" s="1" t="str">
        <f t="shared" si="430"/>
        <v>...</v>
      </c>
      <c r="L2094" s="1" t="str">
        <f t="shared" si="430"/>
        <v>...</v>
      </c>
      <c r="M2094" s="1" t="str">
        <f t="shared" si="430"/>
        <v>...</v>
      </c>
      <c r="N2094" t="s">
        <v>30</v>
      </c>
    </row>
    <row r="2095" spans="1:14" x14ac:dyDescent="0.25">
      <c r="A2095" t="s">
        <v>14</v>
      </c>
      <c r="B2095" t="s">
        <v>40</v>
      </c>
      <c r="C2095" t="s">
        <v>35</v>
      </c>
      <c r="D2095" t="s">
        <v>34</v>
      </c>
      <c r="E2095" t="s">
        <v>23</v>
      </c>
      <c r="F2095" t="s">
        <v>19</v>
      </c>
      <c r="G2095" s="1" t="str">
        <f t="shared" si="430"/>
        <v>...</v>
      </c>
      <c r="H2095" s="1" t="str">
        <f t="shared" si="430"/>
        <v>...</v>
      </c>
      <c r="I2095" s="1" t="str">
        <f t="shared" si="430"/>
        <v>...</v>
      </c>
      <c r="J2095" s="1" t="str">
        <f t="shared" si="430"/>
        <v>...</v>
      </c>
      <c r="K2095" s="1" t="str">
        <f t="shared" si="430"/>
        <v>...</v>
      </c>
      <c r="L2095" s="1" t="str">
        <f t="shared" si="430"/>
        <v>...</v>
      </c>
      <c r="M2095" s="1" t="str">
        <f t="shared" si="430"/>
        <v>...</v>
      </c>
      <c r="N2095" t="s">
        <v>30</v>
      </c>
    </row>
    <row r="2096" spans="1:14" x14ac:dyDescent="0.25">
      <c r="A2096" t="s">
        <v>14</v>
      </c>
      <c r="B2096" t="s">
        <v>40</v>
      </c>
      <c r="C2096" t="s">
        <v>35</v>
      </c>
      <c r="D2096" t="s">
        <v>34</v>
      </c>
      <c r="E2096" t="s">
        <v>23</v>
      </c>
      <c r="F2096" t="s">
        <v>20</v>
      </c>
      <c r="G2096" s="1" t="str">
        <f t="shared" ref="G2096:M2097" si="431">"X"</f>
        <v>X</v>
      </c>
      <c r="H2096" s="1" t="str">
        <f t="shared" si="431"/>
        <v>X</v>
      </c>
      <c r="I2096" s="1" t="str">
        <f t="shared" si="431"/>
        <v>X</v>
      </c>
      <c r="J2096" s="1" t="str">
        <f t="shared" si="431"/>
        <v>X</v>
      </c>
      <c r="K2096" s="1" t="str">
        <f t="shared" si="431"/>
        <v>X</v>
      </c>
      <c r="L2096" s="1" t="str">
        <f t="shared" si="431"/>
        <v>X</v>
      </c>
      <c r="M2096" s="1" t="str">
        <f t="shared" si="431"/>
        <v>X</v>
      </c>
      <c r="N2096" t="s">
        <v>27</v>
      </c>
    </row>
    <row r="2097" spans="1:14" x14ac:dyDescent="0.25">
      <c r="A2097" t="s">
        <v>14</v>
      </c>
      <c r="B2097" t="s">
        <v>40</v>
      </c>
      <c r="C2097" t="s">
        <v>35</v>
      </c>
      <c r="D2097" t="s">
        <v>34</v>
      </c>
      <c r="E2097" t="s">
        <v>26</v>
      </c>
      <c r="F2097" t="s">
        <v>15</v>
      </c>
      <c r="G2097" s="1" t="str">
        <f t="shared" si="431"/>
        <v>X</v>
      </c>
      <c r="H2097" s="1" t="str">
        <f t="shared" si="431"/>
        <v>X</v>
      </c>
      <c r="I2097" s="1" t="str">
        <f t="shared" si="431"/>
        <v>X</v>
      </c>
      <c r="J2097" s="1" t="str">
        <f t="shared" si="431"/>
        <v>X</v>
      </c>
      <c r="K2097" s="1" t="str">
        <f t="shared" si="431"/>
        <v>X</v>
      </c>
      <c r="L2097" s="1" t="str">
        <f t="shared" si="431"/>
        <v>X</v>
      </c>
      <c r="M2097" s="1" t="str">
        <f t="shared" si="431"/>
        <v>X</v>
      </c>
      <c r="N2097" t="s">
        <v>27</v>
      </c>
    </row>
    <row r="2098" spans="1:14" x14ac:dyDescent="0.25">
      <c r="A2098" t="s">
        <v>14</v>
      </c>
      <c r="B2098" t="s">
        <v>40</v>
      </c>
      <c r="C2098" t="s">
        <v>35</v>
      </c>
      <c r="D2098" t="s">
        <v>34</v>
      </c>
      <c r="E2098" t="s">
        <v>26</v>
      </c>
      <c r="F2098" t="s">
        <v>17</v>
      </c>
      <c r="G2098" s="1" t="str">
        <f t="shared" ref="G2098:M2100" si="432">"..."</f>
        <v>...</v>
      </c>
      <c r="H2098" s="1" t="str">
        <f t="shared" si="432"/>
        <v>...</v>
      </c>
      <c r="I2098" s="1" t="str">
        <f t="shared" si="432"/>
        <v>...</v>
      </c>
      <c r="J2098" s="1" t="str">
        <f t="shared" si="432"/>
        <v>...</v>
      </c>
      <c r="K2098" s="1" t="str">
        <f t="shared" si="432"/>
        <v>...</v>
      </c>
      <c r="L2098" s="1" t="str">
        <f t="shared" si="432"/>
        <v>...</v>
      </c>
      <c r="M2098" s="1" t="str">
        <f t="shared" si="432"/>
        <v>...</v>
      </c>
      <c r="N2098" t="s">
        <v>30</v>
      </c>
    </row>
    <row r="2099" spans="1:14" x14ac:dyDescent="0.25">
      <c r="A2099" t="s">
        <v>14</v>
      </c>
      <c r="B2099" t="s">
        <v>40</v>
      </c>
      <c r="C2099" t="s">
        <v>35</v>
      </c>
      <c r="D2099" t="s">
        <v>34</v>
      </c>
      <c r="E2099" t="s">
        <v>26</v>
      </c>
      <c r="F2099" t="s">
        <v>18</v>
      </c>
      <c r="G2099" s="1" t="str">
        <f t="shared" si="432"/>
        <v>...</v>
      </c>
      <c r="H2099" s="1" t="str">
        <f t="shared" si="432"/>
        <v>...</v>
      </c>
      <c r="I2099" s="1" t="str">
        <f t="shared" si="432"/>
        <v>...</v>
      </c>
      <c r="J2099" s="1" t="str">
        <f t="shared" si="432"/>
        <v>...</v>
      </c>
      <c r="K2099" s="1" t="str">
        <f t="shared" si="432"/>
        <v>...</v>
      </c>
      <c r="L2099" s="1" t="str">
        <f t="shared" si="432"/>
        <v>...</v>
      </c>
      <c r="M2099" s="1" t="str">
        <f t="shared" si="432"/>
        <v>...</v>
      </c>
      <c r="N2099" t="s">
        <v>30</v>
      </c>
    </row>
    <row r="2100" spans="1:14" x14ac:dyDescent="0.25">
      <c r="A2100" t="s">
        <v>14</v>
      </c>
      <c r="B2100" t="s">
        <v>40</v>
      </c>
      <c r="C2100" t="s">
        <v>35</v>
      </c>
      <c r="D2100" t="s">
        <v>34</v>
      </c>
      <c r="E2100" t="s">
        <v>26</v>
      </c>
      <c r="F2100" t="s">
        <v>19</v>
      </c>
      <c r="G2100" s="1" t="str">
        <f t="shared" si="432"/>
        <v>...</v>
      </c>
      <c r="H2100" s="1" t="str">
        <f t="shared" si="432"/>
        <v>...</v>
      </c>
      <c r="I2100" s="1" t="str">
        <f t="shared" si="432"/>
        <v>...</v>
      </c>
      <c r="J2100" s="1" t="str">
        <f t="shared" si="432"/>
        <v>...</v>
      </c>
      <c r="K2100" s="1" t="str">
        <f t="shared" si="432"/>
        <v>...</v>
      </c>
      <c r="L2100" s="1" t="str">
        <f t="shared" si="432"/>
        <v>...</v>
      </c>
      <c r="M2100" s="1" t="str">
        <f t="shared" si="432"/>
        <v>...</v>
      </c>
      <c r="N2100" t="s">
        <v>30</v>
      </c>
    </row>
    <row r="2101" spans="1:14" x14ac:dyDescent="0.25">
      <c r="A2101" t="s">
        <v>14</v>
      </c>
      <c r="B2101" t="s">
        <v>40</v>
      </c>
      <c r="C2101" t="s">
        <v>35</v>
      </c>
      <c r="D2101" t="s">
        <v>34</v>
      </c>
      <c r="E2101" t="s">
        <v>26</v>
      </c>
      <c r="F2101" t="s">
        <v>20</v>
      </c>
      <c r="G2101" s="1" t="str">
        <f t="shared" ref="G2101:M2101" si="433">"X"</f>
        <v>X</v>
      </c>
      <c r="H2101" s="1" t="str">
        <f t="shared" si="433"/>
        <v>X</v>
      </c>
      <c r="I2101" s="1" t="str">
        <f t="shared" si="433"/>
        <v>X</v>
      </c>
      <c r="J2101" s="1" t="str">
        <f t="shared" si="433"/>
        <v>X</v>
      </c>
      <c r="K2101" s="1" t="str">
        <f t="shared" si="433"/>
        <v>X</v>
      </c>
      <c r="L2101" s="1" t="str">
        <f t="shared" si="433"/>
        <v>X</v>
      </c>
      <c r="M2101" s="1" t="str">
        <f t="shared" si="433"/>
        <v>X</v>
      </c>
      <c r="N2101" t="s">
        <v>27</v>
      </c>
    </row>
    <row r="2102" spans="1:14" x14ac:dyDescent="0.25">
      <c r="A2102" t="s">
        <v>14</v>
      </c>
      <c r="B2102" t="s">
        <v>40</v>
      </c>
      <c r="C2102" t="s">
        <v>36</v>
      </c>
      <c r="D2102" t="s">
        <v>15</v>
      </c>
      <c r="E2102" t="s">
        <v>15</v>
      </c>
      <c r="F2102" t="s">
        <v>15</v>
      </c>
      <c r="G2102" s="1">
        <f>VALUE(12449.4598041043)</f>
        <v>12449.459804104299</v>
      </c>
      <c r="H2102" s="1">
        <f>VALUE(10953.4977696876)</f>
        <v>10953.497769687599</v>
      </c>
      <c r="I2102" s="1">
        <f>VALUE(2779)</f>
        <v>2779</v>
      </c>
      <c r="J2102" s="1">
        <f>VALUE(3333)</f>
        <v>3333</v>
      </c>
      <c r="K2102" s="1">
        <f>VALUE(4213)</f>
        <v>4213</v>
      </c>
      <c r="L2102" s="1">
        <f>VALUE(5200)</f>
        <v>5200</v>
      </c>
      <c r="M2102" s="1">
        <f>VALUE(6365)</f>
        <v>6365</v>
      </c>
      <c r="N2102" t="s">
        <v>16</v>
      </c>
    </row>
    <row r="2103" spans="1:14" x14ac:dyDescent="0.25">
      <c r="A2103" t="s">
        <v>14</v>
      </c>
      <c r="B2103" t="s">
        <v>40</v>
      </c>
      <c r="C2103" t="s">
        <v>36</v>
      </c>
      <c r="D2103" t="s">
        <v>15</v>
      </c>
      <c r="E2103" t="s">
        <v>15</v>
      </c>
      <c r="F2103" t="s">
        <v>17</v>
      </c>
      <c r="G2103" s="2">
        <f>VALUE(804.700175751)</f>
        <v>804.70017575099996</v>
      </c>
      <c r="H2103" s="3">
        <f>VALUE(730.0785722998)</f>
        <v>730.07857229980004</v>
      </c>
      <c r="I2103" s="4">
        <f>VALUE(3333)</f>
        <v>3333</v>
      </c>
      <c r="J2103" s="5">
        <f>VALUE(3954)</f>
        <v>3954</v>
      </c>
      <c r="K2103" s="1">
        <f>VALUE(5122)</f>
        <v>5122</v>
      </c>
      <c r="L2103" s="7">
        <f>VALUE(6518)</f>
        <v>6518</v>
      </c>
      <c r="M2103" s="8">
        <f>VALUE(8403)</f>
        <v>8403</v>
      </c>
      <c r="N2103" t="s">
        <v>25</v>
      </c>
    </row>
    <row r="2104" spans="1:14" x14ac:dyDescent="0.25">
      <c r="A2104" t="s">
        <v>14</v>
      </c>
      <c r="B2104" t="s">
        <v>40</v>
      </c>
      <c r="C2104" t="s">
        <v>36</v>
      </c>
      <c r="D2104" t="s">
        <v>15</v>
      </c>
      <c r="E2104" t="s">
        <v>15</v>
      </c>
      <c r="F2104" t="s">
        <v>18</v>
      </c>
      <c r="G2104" s="1">
        <f>VALUE(1525.6281545054)</f>
        <v>1525.6281545054001</v>
      </c>
      <c r="H2104" s="3">
        <f>VALUE(1371.6756730497)</f>
        <v>1371.6756730497</v>
      </c>
      <c r="I2104" s="1">
        <f>VALUE(3261)</f>
        <v>3261</v>
      </c>
      <c r="J2104" s="5">
        <f>VALUE(4000)</f>
        <v>4000</v>
      </c>
      <c r="K2104" s="1">
        <f>VALUE(4870)</f>
        <v>4870</v>
      </c>
      <c r="L2104" s="1">
        <f>VALUE(6160)</f>
        <v>6160</v>
      </c>
      <c r="M2104" s="1">
        <f>VALUE(7675)</f>
        <v>7675</v>
      </c>
      <c r="N2104" t="s">
        <v>25</v>
      </c>
    </row>
    <row r="2105" spans="1:14" x14ac:dyDescent="0.25">
      <c r="A2105" t="s">
        <v>14</v>
      </c>
      <c r="B2105" t="s">
        <v>40</v>
      </c>
      <c r="C2105" t="s">
        <v>36</v>
      </c>
      <c r="D2105" t="s">
        <v>15</v>
      </c>
      <c r="E2105" t="s">
        <v>15</v>
      </c>
      <c r="F2105" t="s">
        <v>19</v>
      </c>
      <c r="G2105" s="1">
        <f>VALUE(1679.1284755571)</f>
        <v>1679.1284755571</v>
      </c>
      <c r="H2105" s="1">
        <f>VALUE(1467.4666611622)</f>
        <v>1467.4666611621999</v>
      </c>
      <c r="I2105" s="1">
        <f>VALUE(3232)</f>
        <v>3232</v>
      </c>
      <c r="J2105" s="1">
        <f>VALUE(3798)</f>
        <v>3798</v>
      </c>
      <c r="K2105" s="1">
        <f>VALUE(4690)</f>
        <v>4690</v>
      </c>
      <c r="L2105" s="1">
        <f>VALUE(5506)</f>
        <v>5506</v>
      </c>
      <c r="M2105" s="1">
        <f>VALUE(6628)</f>
        <v>6628</v>
      </c>
      <c r="N2105" t="s">
        <v>16</v>
      </c>
    </row>
    <row r="2106" spans="1:14" x14ac:dyDescent="0.25">
      <c r="A2106" t="s">
        <v>14</v>
      </c>
      <c r="B2106" t="s">
        <v>40</v>
      </c>
      <c r="C2106" t="s">
        <v>36</v>
      </c>
      <c r="D2106" t="s">
        <v>15</v>
      </c>
      <c r="E2106" t="s">
        <v>15</v>
      </c>
      <c r="F2106" t="s">
        <v>20</v>
      </c>
      <c r="G2106" s="1">
        <f>VALUE(8423.083400154)</f>
        <v>8423.0834001540006</v>
      </c>
      <c r="H2106" s="1">
        <f>VALUE(7367.8778680587)</f>
        <v>7367.8778680587002</v>
      </c>
      <c r="I2106" s="1">
        <f>VALUE(2634)</f>
        <v>2634</v>
      </c>
      <c r="J2106" s="1">
        <f>VALUE(3149)</f>
        <v>3149</v>
      </c>
      <c r="K2106" s="1">
        <f>VALUE(3889)</f>
        <v>3889</v>
      </c>
      <c r="L2106" s="1">
        <f>VALUE(4847)</f>
        <v>4847</v>
      </c>
      <c r="M2106" s="1">
        <f>VALUE(5814)</f>
        <v>5814</v>
      </c>
      <c r="N2106" t="s">
        <v>16</v>
      </c>
    </row>
    <row r="2107" spans="1:14" x14ac:dyDescent="0.25">
      <c r="A2107" t="s">
        <v>14</v>
      </c>
      <c r="B2107" t="s">
        <v>40</v>
      </c>
      <c r="C2107" t="s">
        <v>36</v>
      </c>
      <c r="D2107" t="s">
        <v>15</v>
      </c>
      <c r="E2107" t="s">
        <v>21</v>
      </c>
      <c r="F2107" t="s">
        <v>15</v>
      </c>
      <c r="G2107" s="1">
        <f>VALUE(3194.2410040157)</f>
        <v>3194.2410040157001</v>
      </c>
      <c r="H2107" s="1">
        <f>VALUE(2787.5687327616)</f>
        <v>2787.5687327616001</v>
      </c>
      <c r="I2107" s="1">
        <f>VALUE(3539)</f>
        <v>3539</v>
      </c>
      <c r="J2107" s="1">
        <f>VALUE(4334)</f>
        <v>4334</v>
      </c>
      <c r="K2107" s="1">
        <f>VALUE(5167)</f>
        <v>5167</v>
      </c>
      <c r="L2107" s="1">
        <f>VALUE(6369)</f>
        <v>6369</v>
      </c>
      <c r="M2107" s="1">
        <f>VALUE(7495)</f>
        <v>7495</v>
      </c>
      <c r="N2107" t="s">
        <v>16</v>
      </c>
    </row>
    <row r="2108" spans="1:14" x14ac:dyDescent="0.25">
      <c r="A2108" t="s">
        <v>14</v>
      </c>
      <c r="B2108" t="s">
        <v>40</v>
      </c>
      <c r="C2108" t="s">
        <v>36</v>
      </c>
      <c r="D2108" t="s">
        <v>15</v>
      </c>
      <c r="E2108" t="s">
        <v>21</v>
      </c>
      <c r="F2108" t="s">
        <v>17</v>
      </c>
      <c r="G2108" s="2">
        <f>VALUE(463.3197491717)</f>
        <v>463.31974917169998</v>
      </c>
      <c r="H2108" s="3">
        <f>VALUE(414.0002016813)</f>
        <v>414.00020168129998</v>
      </c>
      <c r="I2108" s="4">
        <f>VALUE(3333)</f>
        <v>3333</v>
      </c>
      <c r="J2108" s="5">
        <f>VALUE(4408)</f>
        <v>4408</v>
      </c>
      <c r="K2108" s="6">
        <f>VALUE(5778)</f>
        <v>5778</v>
      </c>
      <c r="L2108" s="1">
        <f>VALUE(7458)</f>
        <v>7458</v>
      </c>
      <c r="M2108" s="8">
        <f>VALUE(8518)</f>
        <v>8518</v>
      </c>
      <c r="N2108" t="s">
        <v>25</v>
      </c>
    </row>
    <row r="2109" spans="1:14" x14ac:dyDescent="0.25">
      <c r="A2109" t="s">
        <v>14</v>
      </c>
      <c r="B2109" t="s">
        <v>40</v>
      </c>
      <c r="C2109" t="s">
        <v>36</v>
      </c>
      <c r="D2109" t="s">
        <v>15</v>
      </c>
      <c r="E2109" t="s">
        <v>21</v>
      </c>
      <c r="F2109" t="s">
        <v>18</v>
      </c>
      <c r="G2109" s="2">
        <f>VALUE(685.2930239546)</f>
        <v>685.29302395460002</v>
      </c>
      <c r="H2109" s="3">
        <f>VALUE(593.5563853179)</f>
        <v>593.55638531789998</v>
      </c>
      <c r="I2109" s="4">
        <f>VALUE(3671)</f>
        <v>3671</v>
      </c>
      <c r="J2109" s="1">
        <f>VALUE(4715)</f>
        <v>4715</v>
      </c>
      <c r="K2109" s="1">
        <f>VALUE(5726)</f>
        <v>5726</v>
      </c>
      <c r="L2109" s="1">
        <f>VALUE(6888)</f>
        <v>6888</v>
      </c>
      <c r="M2109" s="8">
        <f>VALUE(7937)</f>
        <v>7937</v>
      </c>
      <c r="N2109" t="s">
        <v>25</v>
      </c>
    </row>
    <row r="2110" spans="1:14" x14ac:dyDescent="0.25">
      <c r="A2110" t="s">
        <v>14</v>
      </c>
      <c r="B2110" t="s">
        <v>40</v>
      </c>
      <c r="C2110" t="s">
        <v>36</v>
      </c>
      <c r="D2110" t="s">
        <v>15</v>
      </c>
      <c r="E2110" t="s">
        <v>21</v>
      </c>
      <c r="F2110" t="s">
        <v>19</v>
      </c>
      <c r="G2110" s="2">
        <f>VALUE(697.9686549334)</f>
        <v>697.96865493339999</v>
      </c>
      <c r="H2110" s="3">
        <f>VALUE(577.1213505372)</f>
        <v>577.12135053719999</v>
      </c>
      <c r="I2110" s="1">
        <f>VALUE(3312)</f>
        <v>3312</v>
      </c>
      <c r="J2110" s="1">
        <f>VALUE(4333)</f>
        <v>4333</v>
      </c>
      <c r="K2110" s="1">
        <f>VALUE(4946)</f>
        <v>4946</v>
      </c>
      <c r="L2110" s="1">
        <f>VALUE(5950)</f>
        <v>5950</v>
      </c>
      <c r="M2110" s="1">
        <f>VALUE(7048)</f>
        <v>7048</v>
      </c>
      <c r="N2110" t="s">
        <v>25</v>
      </c>
    </row>
    <row r="2111" spans="1:14" x14ac:dyDescent="0.25">
      <c r="A2111" t="s">
        <v>14</v>
      </c>
      <c r="B2111" t="s">
        <v>40</v>
      </c>
      <c r="C2111" t="s">
        <v>36</v>
      </c>
      <c r="D2111" t="s">
        <v>15</v>
      </c>
      <c r="E2111" t="s">
        <v>21</v>
      </c>
      <c r="F2111" t="s">
        <v>20</v>
      </c>
      <c r="G2111" s="1">
        <f>VALUE(1347.659575956)</f>
        <v>1347.659575956</v>
      </c>
      <c r="H2111" s="1">
        <f>VALUE(1202.8907952252)</f>
        <v>1202.8907952252</v>
      </c>
      <c r="I2111" s="1">
        <f>VALUE(3611)</f>
        <v>3611</v>
      </c>
      <c r="J2111" s="1">
        <f>VALUE(4207)</f>
        <v>4207</v>
      </c>
      <c r="K2111" s="1">
        <f>VALUE(5055)</f>
        <v>5055</v>
      </c>
      <c r="L2111" s="1">
        <f>VALUE(6095)</f>
        <v>6095</v>
      </c>
      <c r="M2111" s="1">
        <f>VALUE(6800)</f>
        <v>6800</v>
      </c>
      <c r="N2111" t="s">
        <v>16</v>
      </c>
    </row>
    <row r="2112" spans="1:14" x14ac:dyDescent="0.25">
      <c r="A2112" t="s">
        <v>14</v>
      </c>
      <c r="B2112" t="s">
        <v>40</v>
      </c>
      <c r="C2112" t="s">
        <v>36</v>
      </c>
      <c r="D2112" t="s">
        <v>15</v>
      </c>
      <c r="E2112" t="s">
        <v>22</v>
      </c>
      <c r="F2112" t="s">
        <v>15</v>
      </c>
      <c r="G2112" s="1">
        <f>VALUE(4543.5360698345)</f>
        <v>4543.5360698345003</v>
      </c>
      <c r="H2112" s="1">
        <f>VALUE(4057.9444019933)</f>
        <v>4057.9444019932998</v>
      </c>
      <c r="I2112" s="1">
        <f>VALUE(3238)</f>
        <v>3238</v>
      </c>
      <c r="J2112" s="1">
        <f>VALUE(3843)</f>
        <v>3843</v>
      </c>
      <c r="K2112" s="1">
        <f>VALUE(4550)</f>
        <v>4550</v>
      </c>
      <c r="L2112" s="1">
        <f>VALUE(5214)</f>
        <v>5214</v>
      </c>
      <c r="M2112" s="1">
        <f>VALUE(5958)</f>
        <v>5958</v>
      </c>
      <c r="N2112" t="s">
        <v>16</v>
      </c>
    </row>
    <row r="2113" spans="1:14" x14ac:dyDescent="0.25">
      <c r="A2113" t="s">
        <v>14</v>
      </c>
      <c r="B2113" t="s">
        <v>40</v>
      </c>
      <c r="C2113" t="s">
        <v>36</v>
      </c>
      <c r="D2113" t="s">
        <v>15</v>
      </c>
      <c r="E2113" t="s">
        <v>22</v>
      </c>
      <c r="F2113" t="s">
        <v>17</v>
      </c>
      <c r="G2113" s="2">
        <f>VALUE(245.3498797718)</f>
        <v>245.3498797718</v>
      </c>
      <c r="H2113" s="3">
        <f>VALUE(225.7554999748)</f>
        <v>225.75549997479999</v>
      </c>
      <c r="I2113" s="1">
        <f>VALUE(3611)</f>
        <v>3611</v>
      </c>
      <c r="J2113" s="5">
        <f>VALUE(3971)</f>
        <v>3971</v>
      </c>
      <c r="K2113" s="1">
        <f>VALUE(4660)</f>
        <v>4660</v>
      </c>
      <c r="L2113" s="1">
        <f>VALUE(5520)</f>
        <v>5520</v>
      </c>
      <c r="M2113" s="1">
        <f>VALUE(6500)</f>
        <v>6500</v>
      </c>
      <c r="N2113" t="s">
        <v>25</v>
      </c>
    </row>
    <row r="2114" spans="1:14" x14ac:dyDescent="0.25">
      <c r="A2114" t="s">
        <v>14</v>
      </c>
      <c r="B2114" t="s">
        <v>40</v>
      </c>
      <c r="C2114" t="s">
        <v>36</v>
      </c>
      <c r="D2114" t="s">
        <v>15</v>
      </c>
      <c r="E2114" t="s">
        <v>22</v>
      </c>
      <c r="F2114" t="s">
        <v>18</v>
      </c>
      <c r="G2114" s="2">
        <f>VALUE(606.1346121691)</f>
        <v>606.13461216910002</v>
      </c>
      <c r="H2114" s="3">
        <f>VALUE(549.6851798259)</f>
        <v>549.68517982590004</v>
      </c>
      <c r="I2114" s="4">
        <f>VALUE(3155)</f>
        <v>3155</v>
      </c>
      <c r="J2114" s="5">
        <f>VALUE(4123)</f>
        <v>4123</v>
      </c>
      <c r="K2114" s="1">
        <f>VALUE(4641)</f>
        <v>4641</v>
      </c>
      <c r="L2114" s="1">
        <f>VALUE(5404)</f>
        <v>5404</v>
      </c>
      <c r="M2114" s="1">
        <f>VALUE(6640)</f>
        <v>6640</v>
      </c>
      <c r="N2114" t="s">
        <v>25</v>
      </c>
    </row>
    <row r="2115" spans="1:14" x14ac:dyDescent="0.25">
      <c r="A2115" t="s">
        <v>14</v>
      </c>
      <c r="B2115" t="s">
        <v>40</v>
      </c>
      <c r="C2115" t="s">
        <v>36</v>
      </c>
      <c r="D2115" t="s">
        <v>15</v>
      </c>
      <c r="E2115" t="s">
        <v>22</v>
      </c>
      <c r="F2115" t="s">
        <v>19</v>
      </c>
      <c r="G2115" s="2">
        <f>VALUE(694.8332183814)</f>
        <v>694.8332183814</v>
      </c>
      <c r="H2115" s="3">
        <f>VALUE(614.2307229627)</f>
        <v>614.23072296270004</v>
      </c>
      <c r="I2115" s="1">
        <f>VALUE(3409)</f>
        <v>3409</v>
      </c>
      <c r="J2115" s="1">
        <f>VALUE(3819)</f>
        <v>3819</v>
      </c>
      <c r="K2115" s="1">
        <f>VALUE(4740)</f>
        <v>4740</v>
      </c>
      <c r="L2115" s="1">
        <f>VALUE(5356)</f>
        <v>5356</v>
      </c>
      <c r="M2115" s="1">
        <f>VALUE(6155)</f>
        <v>6155</v>
      </c>
      <c r="N2115" t="s">
        <v>25</v>
      </c>
    </row>
    <row r="2116" spans="1:14" x14ac:dyDescent="0.25">
      <c r="A2116" t="s">
        <v>14</v>
      </c>
      <c r="B2116" t="s">
        <v>40</v>
      </c>
      <c r="C2116" t="s">
        <v>36</v>
      </c>
      <c r="D2116" t="s">
        <v>15</v>
      </c>
      <c r="E2116" t="s">
        <v>22</v>
      </c>
      <c r="F2116" t="s">
        <v>20</v>
      </c>
      <c r="G2116" s="1">
        <f>VALUE(2997.2183595122)</f>
        <v>2997.2183595122001</v>
      </c>
      <c r="H2116" s="1">
        <f>VALUE(2668.2729992299)</f>
        <v>2668.2729992299001</v>
      </c>
      <c r="I2116" s="1">
        <f>VALUE(3185)</f>
        <v>3185</v>
      </c>
      <c r="J2116" s="1">
        <f>VALUE(3792)</f>
        <v>3792</v>
      </c>
      <c r="K2116" s="1">
        <f>VALUE(4496)</f>
        <v>4496</v>
      </c>
      <c r="L2116" s="1">
        <f>VALUE(5141)</f>
        <v>5141</v>
      </c>
      <c r="M2116" s="1">
        <f>VALUE(5755)</f>
        <v>5755</v>
      </c>
      <c r="N2116" t="s">
        <v>16</v>
      </c>
    </row>
    <row r="2117" spans="1:14" x14ac:dyDescent="0.25">
      <c r="A2117" t="s">
        <v>14</v>
      </c>
      <c r="B2117" t="s">
        <v>40</v>
      </c>
      <c r="C2117" t="s">
        <v>36</v>
      </c>
      <c r="D2117" t="s">
        <v>15</v>
      </c>
      <c r="E2117" t="s">
        <v>23</v>
      </c>
      <c r="F2117" t="s">
        <v>15</v>
      </c>
      <c r="G2117" s="1">
        <f>VALUE(4525.0056267002)</f>
        <v>4525.0056267002001</v>
      </c>
      <c r="H2117" s="1">
        <f>VALUE(3929.61223386)</f>
        <v>3929.6122338599998</v>
      </c>
      <c r="I2117" s="1">
        <f>VALUE(2480)</f>
        <v>2480</v>
      </c>
      <c r="J2117" s="1">
        <f>VALUE(2803)</f>
        <v>2803</v>
      </c>
      <c r="K2117" s="1">
        <f>VALUE(3264)</f>
        <v>3264</v>
      </c>
      <c r="L2117" s="1">
        <f>VALUE(3828)</f>
        <v>3828</v>
      </c>
      <c r="M2117" s="1">
        <f>VALUE(4616)</f>
        <v>4616</v>
      </c>
      <c r="N2117" t="s">
        <v>16</v>
      </c>
    </row>
    <row r="2118" spans="1:14" x14ac:dyDescent="0.25">
      <c r="A2118" t="s">
        <v>14</v>
      </c>
      <c r="B2118" t="s">
        <v>40</v>
      </c>
      <c r="C2118" t="s">
        <v>36</v>
      </c>
      <c r="D2118" t="s">
        <v>15</v>
      </c>
      <c r="E2118" t="s">
        <v>23</v>
      </c>
      <c r="F2118" t="s">
        <v>17</v>
      </c>
      <c r="G2118" s="1" t="str">
        <f t="shared" ref="G2118:M2118" si="434">"X"</f>
        <v>X</v>
      </c>
      <c r="H2118" s="1" t="str">
        <f t="shared" si="434"/>
        <v>X</v>
      </c>
      <c r="I2118" s="1" t="str">
        <f t="shared" si="434"/>
        <v>X</v>
      </c>
      <c r="J2118" s="1" t="str">
        <f t="shared" si="434"/>
        <v>X</v>
      </c>
      <c r="K2118" s="1" t="str">
        <f t="shared" si="434"/>
        <v>X</v>
      </c>
      <c r="L2118" s="1" t="str">
        <f t="shared" si="434"/>
        <v>X</v>
      </c>
      <c r="M2118" s="1" t="str">
        <f t="shared" si="434"/>
        <v>X</v>
      </c>
      <c r="N2118" t="s">
        <v>27</v>
      </c>
    </row>
    <row r="2119" spans="1:14" x14ac:dyDescent="0.25">
      <c r="A2119" t="s">
        <v>14</v>
      </c>
      <c r="B2119" t="s">
        <v>40</v>
      </c>
      <c r="C2119" t="s">
        <v>36</v>
      </c>
      <c r="D2119" t="s">
        <v>15</v>
      </c>
      <c r="E2119" t="s">
        <v>23</v>
      </c>
      <c r="F2119" t="s">
        <v>18</v>
      </c>
      <c r="G2119" s="2">
        <f>VALUE(198.5298863338)</f>
        <v>198.52988633379999</v>
      </c>
      <c r="H2119" s="3">
        <f>VALUE(192.199696334)</f>
        <v>192.19969633400001</v>
      </c>
      <c r="I2119" s="4">
        <f>VALUE(3013)</f>
        <v>3013</v>
      </c>
      <c r="J2119" s="1">
        <f>VALUE(3238)</f>
        <v>3238</v>
      </c>
      <c r="K2119" s="6">
        <f>VALUE(3365)</f>
        <v>3365</v>
      </c>
      <c r="L2119" s="7">
        <f>VALUE(3990)</f>
        <v>3990</v>
      </c>
      <c r="M2119" s="8">
        <f>VALUE(5834)</f>
        <v>5834</v>
      </c>
      <c r="N2119" t="s">
        <v>25</v>
      </c>
    </row>
    <row r="2120" spans="1:14" x14ac:dyDescent="0.25">
      <c r="A2120" t="s">
        <v>14</v>
      </c>
      <c r="B2120" t="s">
        <v>40</v>
      </c>
      <c r="C2120" t="s">
        <v>36</v>
      </c>
      <c r="D2120" t="s">
        <v>15</v>
      </c>
      <c r="E2120" t="s">
        <v>23</v>
      </c>
      <c r="F2120" t="s">
        <v>19</v>
      </c>
      <c r="G2120" s="2">
        <f>VALUE(285.2715416448)</f>
        <v>285.27154164479998</v>
      </c>
      <c r="H2120" s="3">
        <f>VALUE(275.0067740349)</f>
        <v>275.00677403489999</v>
      </c>
      <c r="I2120" s="1">
        <f>VALUE(2800)</f>
        <v>2800</v>
      </c>
      <c r="J2120" s="1">
        <f>VALUE(3384)</f>
        <v>3384</v>
      </c>
      <c r="K2120" s="1">
        <f>VALUE(3981)</f>
        <v>3981</v>
      </c>
      <c r="L2120" s="1">
        <f>VALUE(4754)</f>
        <v>4754</v>
      </c>
      <c r="M2120" s="1">
        <f>VALUE(6563)</f>
        <v>6563</v>
      </c>
      <c r="N2120" t="s">
        <v>25</v>
      </c>
    </row>
    <row r="2121" spans="1:14" x14ac:dyDescent="0.25">
      <c r="A2121" t="s">
        <v>14</v>
      </c>
      <c r="B2121" t="s">
        <v>40</v>
      </c>
      <c r="C2121" t="s">
        <v>36</v>
      </c>
      <c r="D2121" t="s">
        <v>15</v>
      </c>
      <c r="E2121" t="s">
        <v>23</v>
      </c>
      <c r="F2121" t="s">
        <v>20</v>
      </c>
      <c r="G2121" s="1">
        <f>VALUE(3949.1082227282)</f>
        <v>3949.1082227282</v>
      </c>
      <c r="H2121" s="1">
        <f>VALUE(3376.2141922021)</f>
        <v>3376.2141922021001</v>
      </c>
      <c r="I2121" s="1">
        <f>VALUE(2471)</f>
        <v>2471</v>
      </c>
      <c r="J2121" s="1">
        <f>VALUE(2755)</f>
        <v>2755</v>
      </c>
      <c r="K2121" s="1">
        <f>VALUE(3223)</f>
        <v>3223</v>
      </c>
      <c r="L2121" s="1">
        <f>VALUE(3760)</f>
        <v>3760</v>
      </c>
      <c r="M2121" s="1">
        <f>VALUE(4440)</f>
        <v>4440</v>
      </c>
      <c r="N2121" t="s">
        <v>16</v>
      </c>
    </row>
    <row r="2122" spans="1:14" x14ac:dyDescent="0.25">
      <c r="A2122" t="s">
        <v>14</v>
      </c>
      <c r="B2122" t="s">
        <v>40</v>
      </c>
      <c r="C2122" t="s">
        <v>36</v>
      </c>
      <c r="D2122" t="s">
        <v>15</v>
      </c>
      <c r="E2122" t="s">
        <v>26</v>
      </c>
      <c r="F2122" t="s">
        <v>15</v>
      </c>
      <c r="G2122" s="2">
        <f>VALUE(186.6771035539)</f>
        <v>186.6771035539</v>
      </c>
      <c r="H2122" s="3">
        <f>VALUE(178.3724010727)</f>
        <v>178.3724010727</v>
      </c>
      <c r="I2122" s="4">
        <f>VALUE(4167)</f>
        <v>4167</v>
      </c>
      <c r="J2122" s="1">
        <f>VALUE(4999)</f>
        <v>4999</v>
      </c>
      <c r="K2122" s="1">
        <f>VALUE(6190)</f>
        <v>6190</v>
      </c>
      <c r="L2122" s="1">
        <f>VALUE(7698)</f>
        <v>7698</v>
      </c>
      <c r="M2122" s="1">
        <f>VALUE(8810)</f>
        <v>8810</v>
      </c>
      <c r="N2122" t="s">
        <v>25</v>
      </c>
    </row>
    <row r="2123" spans="1:14" x14ac:dyDescent="0.25">
      <c r="A2123" t="s">
        <v>14</v>
      </c>
      <c r="B2123" t="s">
        <v>40</v>
      </c>
      <c r="C2123" t="s">
        <v>36</v>
      </c>
      <c r="D2123" t="s">
        <v>15</v>
      </c>
      <c r="E2123" t="s">
        <v>26</v>
      </c>
      <c r="F2123" t="s">
        <v>17</v>
      </c>
      <c r="G2123" s="1" t="str">
        <f t="shared" ref="G2123:M2125" si="435">"X"</f>
        <v>X</v>
      </c>
      <c r="H2123" s="1" t="str">
        <f t="shared" si="435"/>
        <v>X</v>
      </c>
      <c r="I2123" s="1" t="str">
        <f t="shared" si="435"/>
        <v>X</v>
      </c>
      <c r="J2123" s="1" t="str">
        <f t="shared" si="435"/>
        <v>X</v>
      </c>
      <c r="K2123" s="1" t="str">
        <f t="shared" si="435"/>
        <v>X</v>
      </c>
      <c r="L2123" s="1" t="str">
        <f t="shared" si="435"/>
        <v>X</v>
      </c>
      <c r="M2123" s="1" t="str">
        <f t="shared" si="435"/>
        <v>X</v>
      </c>
      <c r="N2123" t="s">
        <v>27</v>
      </c>
    </row>
    <row r="2124" spans="1:14" x14ac:dyDescent="0.25">
      <c r="A2124" t="s">
        <v>14</v>
      </c>
      <c r="B2124" t="s">
        <v>40</v>
      </c>
      <c r="C2124" t="s">
        <v>36</v>
      </c>
      <c r="D2124" t="s">
        <v>15</v>
      </c>
      <c r="E2124" t="s">
        <v>26</v>
      </c>
      <c r="F2124" t="s">
        <v>18</v>
      </c>
      <c r="G2124" s="1" t="str">
        <f t="shared" si="435"/>
        <v>X</v>
      </c>
      <c r="H2124" s="1" t="str">
        <f t="shared" si="435"/>
        <v>X</v>
      </c>
      <c r="I2124" s="1" t="str">
        <f t="shared" si="435"/>
        <v>X</v>
      </c>
      <c r="J2124" s="1" t="str">
        <f t="shared" si="435"/>
        <v>X</v>
      </c>
      <c r="K2124" s="1" t="str">
        <f t="shared" si="435"/>
        <v>X</v>
      </c>
      <c r="L2124" s="1" t="str">
        <f t="shared" si="435"/>
        <v>X</v>
      </c>
      <c r="M2124" s="1" t="str">
        <f t="shared" si="435"/>
        <v>X</v>
      </c>
      <c r="N2124" t="s">
        <v>27</v>
      </c>
    </row>
    <row r="2125" spans="1:14" x14ac:dyDescent="0.25">
      <c r="A2125" t="s">
        <v>14</v>
      </c>
      <c r="B2125" t="s">
        <v>40</v>
      </c>
      <c r="C2125" t="s">
        <v>36</v>
      </c>
      <c r="D2125" t="s">
        <v>15</v>
      </c>
      <c r="E2125" t="s">
        <v>26</v>
      </c>
      <c r="F2125" t="s">
        <v>19</v>
      </c>
      <c r="G2125" s="1" t="str">
        <f t="shared" si="435"/>
        <v>X</v>
      </c>
      <c r="H2125" s="1" t="str">
        <f t="shared" si="435"/>
        <v>X</v>
      </c>
      <c r="I2125" s="1" t="str">
        <f t="shared" si="435"/>
        <v>X</v>
      </c>
      <c r="J2125" s="1" t="str">
        <f t="shared" si="435"/>
        <v>X</v>
      </c>
      <c r="K2125" s="1" t="str">
        <f t="shared" si="435"/>
        <v>X</v>
      </c>
      <c r="L2125" s="1" t="str">
        <f t="shared" si="435"/>
        <v>X</v>
      </c>
      <c r="M2125" s="1" t="str">
        <f t="shared" si="435"/>
        <v>X</v>
      </c>
      <c r="N2125" t="s">
        <v>27</v>
      </c>
    </row>
    <row r="2126" spans="1:14" x14ac:dyDescent="0.25">
      <c r="A2126" t="s">
        <v>14</v>
      </c>
      <c r="B2126" t="s">
        <v>40</v>
      </c>
      <c r="C2126" t="s">
        <v>36</v>
      </c>
      <c r="D2126" t="s">
        <v>15</v>
      </c>
      <c r="E2126" t="s">
        <v>26</v>
      </c>
      <c r="F2126" t="s">
        <v>20</v>
      </c>
      <c r="G2126" s="2">
        <f>VALUE(129.0972419576)</f>
        <v>129.0972419576</v>
      </c>
      <c r="H2126" s="3">
        <f>VALUE(120.4998814015)</f>
        <v>120.49988140150001</v>
      </c>
      <c r="I2126" s="1">
        <f>VALUE(3660)</f>
        <v>3660</v>
      </c>
      <c r="J2126" s="1">
        <f>VALUE(4999)</f>
        <v>4999</v>
      </c>
      <c r="K2126" s="1">
        <f>VALUE(5814)</f>
        <v>5814</v>
      </c>
      <c r="L2126" s="1">
        <f>VALUE(6905)</f>
        <v>6905</v>
      </c>
      <c r="M2126" s="1">
        <f>VALUE(7936)</f>
        <v>7936</v>
      </c>
      <c r="N2126" t="s">
        <v>25</v>
      </c>
    </row>
    <row r="2127" spans="1:14" x14ac:dyDescent="0.25">
      <c r="A2127" t="s">
        <v>14</v>
      </c>
      <c r="B2127" t="s">
        <v>40</v>
      </c>
      <c r="C2127" t="s">
        <v>36</v>
      </c>
      <c r="D2127" t="s">
        <v>28</v>
      </c>
      <c r="E2127" t="s">
        <v>15</v>
      </c>
      <c r="F2127" t="s">
        <v>15</v>
      </c>
      <c r="G2127" s="1">
        <f>VALUE(4996.3175818552)</f>
        <v>4996.3175818551999</v>
      </c>
      <c r="H2127" s="1">
        <f>VALUE(4334.1351259254)</f>
        <v>4334.1351259253997</v>
      </c>
      <c r="I2127" s="1">
        <f>VALUE(3409)</f>
        <v>3409</v>
      </c>
      <c r="J2127" s="1">
        <f>VALUE(4034)</f>
        <v>4034</v>
      </c>
      <c r="K2127" s="1">
        <f>VALUE(4800)</f>
        <v>4800</v>
      </c>
      <c r="L2127" s="1">
        <f>VALUE(5713)</f>
        <v>5713</v>
      </c>
      <c r="M2127" s="1">
        <f>VALUE(6700)</f>
        <v>6700</v>
      </c>
      <c r="N2127" t="s">
        <v>16</v>
      </c>
    </row>
    <row r="2128" spans="1:14" x14ac:dyDescent="0.25">
      <c r="A2128" t="s">
        <v>14</v>
      </c>
      <c r="B2128" t="s">
        <v>40</v>
      </c>
      <c r="C2128" t="s">
        <v>36</v>
      </c>
      <c r="D2128" t="s">
        <v>28</v>
      </c>
      <c r="E2128" t="s">
        <v>15</v>
      </c>
      <c r="F2128" t="s">
        <v>17</v>
      </c>
      <c r="G2128" s="2">
        <f>VALUE(487.4780102048)</f>
        <v>487.4780102048</v>
      </c>
      <c r="H2128" s="3">
        <f>VALUE(427.8587019814)</f>
        <v>427.85870198139997</v>
      </c>
      <c r="I2128" s="4">
        <f>VALUE(3560)</f>
        <v>3560</v>
      </c>
      <c r="J2128" s="5">
        <f>VALUE(4017)</f>
        <v>4017</v>
      </c>
      <c r="K2128" s="6">
        <f>VALUE(5167)</f>
        <v>5167</v>
      </c>
      <c r="L2128" s="1">
        <f>VALUE(6933)</f>
        <v>6933</v>
      </c>
      <c r="M2128" s="8">
        <f>VALUE(8403)</f>
        <v>8403</v>
      </c>
      <c r="N2128" t="s">
        <v>25</v>
      </c>
    </row>
    <row r="2129" spans="1:14" x14ac:dyDescent="0.25">
      <c r="A2129" t="s">
        <v>14</v>
      </c>
      <c r="B2129" t="s">
        <v>40</v>
      </c>
      <c r="C2129" t="s">
        <v>36</v>
      </c>
      <c r="D2129" t="s">
        <v>28</v>
      </c>
      <c r="E2129" t="s">
        <v>15</v>
      </c>
      <c r="F2129" t="s">
        <v>18</v>
      </c>
      <c r="G2129" s="2">
        <f>VALUE(770.4776337111)</f>
        <v>770.4776337111</v>
      </c>
      <c r="H2129" s="3">
        <f>VALUE(692.0451924915)</f>
        <v>692.04519249149996</v>
      </c>
      <c r="I2129" s="4">
        <f>VALUE(3360)</f>
        <v>3360</v>
      </c>
      <c r="J2129" s="1">
        <f>VALUE(4384)</f>
        <v>4384</v>
      </c>
      <c r="K2129" s="1">
        <f>VALUE(4965)</f>
        <v>4965</v>
      </c>
      <c r="L2129" s="1">
        <f>VALUE(6208)</f>
        <v>6208</v>
      </c>
      <c r="M2129" s="8">
        <f>VALUE(7790)</f>
        <v>7790</v>
      </c>
      <c r="N2129" t="s">
        <v>25</v>
      </c>
    </row>
    <row r="2130" spans="1:14" x14ac:dyDescent="0.25">
      <c r="A2130" t="s">
        <v>14</v>
      </c>
      <c r="B2130" t="s">
        <v>40</v>
      </c>
      <c r="C2130" t="s">
        <v>36</v>
      </c>
      <c r="D2130" t="s">
        <v>28</v>
      </c>
      <c r="E2130" t="s">
        <v>15</v>
      </c>
      <c r="F2130" t="s">
        <v>19</v>
      </c>
      <c r="G2130" s="2">
        <f>VALUE(794.0201452585)</f>
        <v>794.02014525849995</v>
      </c>
      <c r="H2130" s="3">
        <f>VALUE(679.2271092415)</f>
        <v>679.22710924149999</v>
      </c>
      <c r="I2130" s="1">
        <f>VALUE(3690)</f>
        <v>3690</v>
      </c>
      <c r="J2130" s="1">
        <f>VALUE(4442)</f>
        <v>4442</v>
      </c>
      <c r="K2130" s="1">
        <f>VALUE(5000)</f>
        <v>5000</v>
      </c>
      <c r="L2130" s="1">
        <f>VALUE(5742)</f>
        <v>5742</v>
      </c>
      <c r="M2130" s="1">
        <f>VALUE(6744)</f>
        <v>6744</v>
      </c>
      <c r="N2130" t="s">
        <v>25</v>
      </c>
    </row>
    <row r="2131" spans="1:14" x14ac:dyDescent="0.25">
      <c r="A2131" t="s">
        <v>14</v>
      </c>
      <c r="B2131" t="s">
        <v>40</v>
      </c>
      <c r="C2131" t="s">
        <v>36</v>
      </c>
      <c r="D2131" t="s">
        <v>28</v>
      </c>
      <c r="E2131" t="s">
        <v>15</v>
      </c>
      <c r="F2131" t="s">
        <v>20</v>
      </c>
      <c r="G2131" s="1">
        <f>VALUE(2927.422194544)</f>
        <v>2927.4221945439999</v>
      </c>
      <c r="H2131" s="1">
        <f>VALUE(2518.6051270938)</f>
        <v>2518.6051270938001</v>
      </c>
      <c r="I2131" s="1">
        <f>VALUE(3311)</f>
        <v>3311</v>
      </c>
      <c r="J2131" s="1">
        <f>VALUE(3917)</f>
        <v>3917</v>
      </c>
      <c r="K2131" s="1">
        <f>VALUE(4643)</f>
        <v>4643</v>
      </c>
      <c r="L2131" s="1">
        <f>VALUE(5482)</f>
        <v>5482</v>
      </c>
      <c r="M2131" s="1">
        <f>VALUE(6250)</f>
        <v>6250</v>
      </c>
      <c r="N2131" t="s">
        <v>16</v>
      </c>
    </row>
    <row r="2132" spans="1:14" x14ac:dyDescent="0.25">
      <c r="A2132" t="s">
        <v>14</v>
      </c>
      <c r="B2132" t="s">
        <v>40</v>
      </c>
      <c r="C2132" t="s">
        <v>36</v>
      </c>
      <c r="D2132" t="s">
        <v>28</v>
      </c>
      <c r="E2132" t="s">
        <v>21</v>
      </c>
      <c r="F2132" t="s">
        <v>15</v>
      </c>
      <c r="G2132" s="1">
        <f>VALUE(1570.5920359394)</f>
        <v>1570.5920359393999</v>
      </c>
      <c r="H2132" s="1">
        <f>VALUE(1344.413982558)</f>
        <v>1344.413982558</v>
      </c>
      <c r="I2132" s="1">
        <f>VALUE(3954)</f>
        <v>3954</v>
      </c>
      <c r="J2132" s="1">
        <f>VALUE(4687)</f>
        <v>4687</v>
      </c>
      <c r="K2132" s="1">
        <f>VALUE(5482)</f>
        <v>5482</v>
      </c>
      <c r="L2132" s="1">
        <f>VALUE(6503)</f>
        <v>6503</v>
      </c>
      <c r="M2132" s="1">
        <f>VALUE(7560)</f>
        <v>7560</v>
      </c>
      <c r="N2132" t="s">
        <v>16</v>
      </c>
    </row>
    <row r="2133" spans="1:14" x14ac:dyDescent="0.25">
      <c r="A2133" t="s">
        <v>14</v>
      </c>
      <c r="B2133" t="s">
        <v>40</v>
      </c>
      <c r="C2133" t="s">
        <v>36</v>
      </c>
      <c r="D2133" t="s">
        <v>28</v>
      </c>
      <c r="E2133" t="s">
        <v>21</v>
      </c>
      <c r="F2133" t="s">
        <v>17</v>
      </c>
      <c r="G2133" s="2">
        <f>VALUE(306.5967825687)</f>
        <v>306.59678256870001</v>
      </c>
      <c r="H2133" s="3">
        <f>VALUE(270.6041547375)</f>
        <v>270.60415473749998</v>
      </c>
      <c r="I2133" s="4">
        <f>VALUE(3333)</f>
        <v>3333</v>
      </c>
      <c r="J2133" s="5">
        <f>VALUE(4487)</f>
        <v>4487</v>
      </c>
      <c r="K2133" s="6">
        <f>VALUE(5868)</f>
        <v>5868</v>
      </c>
      <c r="L2133" s="7">
        <f>VALUE(7510)</f>
        <v>7510</v>
      </c>
      <c r="M2133" s="8">
        <f>VALUE(8666)</f>
        <v>8666</v>
      </c>
      <c r="N2133" t="s">
        <v>24</v>
      </c>
    </row>
    <row r="2134" spans="1:14" x14ac:dyDescent="0.25">
      <c r="A2134" t="s">
        <v>14</v>
      </c>
      <c r="B2134" t="s">
        <v>40</v>
      </c>
      <c r="C2134" t="s">
        <v>36</v>
      </c>
      <c r="D2134" t="s">
        <v>28</v>
      </c>
      <c r="E2134" t="s">
        <v>21</v>
      </c>
      <c r="F2134" t="s">
        <v>18</v>
      </c>
      <c r="G2134" s="2">
        <f>VALUE(331.5865304703)</f>
        <v>331.58653047029998</v>
      </c>
      <c r="H2134" s="3">
        <f>VALUE(286.2960450161)</f>
        <v>286.29604501609998</v>
      </c>
      <c r="I2134" s="4">
        <f>VALUE(4081)</f>
        <v>4081</v>
      </c>
      <c r="J2134" s="1">
        <f>VALUE(4822)</f>
        <v>4822</v>
      </c>
      <c r="K2134" s="1">
        <f>VALUE(5636)</f>
        <v>5636</v>
      </c>
      <c r="L2134" s="1">
        <f>VALUE(6707)</f>
        <v>6707</v>
      </c>
      <c r="M2134" s="8">
        <f>VALUE(8015)</f>
        <v>8015</v>
      </c>
      <c r="N2134" t="s">
        <v>25</v>
      </c>
    </row>
    <row r="2135" spans="1:14" x14ac:dyDescent="0.25">
      <c r="A2135" t="s">
        <v>14</v>
      </c>
      <c r="B2135" t="s">
        <v>40</v>
      </c>
      <c r="C2135" t="s">
        <v>36</v>
      </c>
      <c r="D2135" t="s">
        <v>28</v>
      </c>
      <c r="E2135" t="s">
        <v>21</v>
      </c>
      <c r="F2135" t="s">
        <v>19</v>
      </c>
      <c r="G2135" s="2">
        <f>VALUE(329.5103426411)</f>
        <v>329.51034264110001</v>
      </c>
      <c r="H2135" s="3">
        <f>VALUE(272.1699271427)</f>
        <v>272.16992714269998</v>
      </c>
      <c r="I2135" s="4">
        <f>VALUE(3922)</f>
        <v>3922</v>
      </c>
      <c r="J2135" s="1">
        <f>VALUE(4687)</f>
        <v>4687</v>
      </c>
      <c r="K2135" s="1">
        <f>VALUE(5277)</f>
        <v>5277</v>
      </c>
      <c r="L2135" s="1">
        <f>VALUE(6247)</f>
        <v>6247</v>
      </c>
      <c r="M2135" s="1">
        <f>VALUE(6988)</f>
        <v>6988</v>
      </c>
      <c r="N2135" t="s">
        <v>25</v>
      </c>
    </row>
    <row r="2136" spans="1:14" x14ac:dyDescent="0.25">
      <c r="A2136" t="s">
        <v>14</v>
      </c>
      <c r="B2136" t="s">
        <v>40</v>
      </c>
      <c r="C2136" t="s">
        <v>36</v>
      </c>
      <c r="D2136" t="s">
        <v>28</v>
      </c>
      <c r="E2136" t="s">
        <v>21</v>
      </c>
      <c r="F2136" t="s">
        <v>20</v>
      </c>
      <c r="G2136" s="2">
        <f>VALUE(602.8983802593)</f>
        <v>602.89838025929998</v>
      </c>
      <c r="H2136" s="3">
        <f>VALUE(515.3438556617)</f>
        <v>515.34385566169999</v>
      </c>
      <c r="I2136" s="1">
        <f>VALUE(4017)</f>
        <v>4017</v>
      </c>
      <c r="J2136" s="1">
        <f>VALUE(4591)</f>
        <v>4591</v>
      </c>
      <c r="K2136" s="1">
        <f>VALUE(5482)</f>
        <v>5482</v>
      </c>
      <c r="L2136" s="1">
        <f>VALUE(6333)</f>
        <v>6333</v>
      </c>
      <c r="M2136" s="1">
        <f>VALUE(6864)</f>
        <v>6864</v>
      </c>
      <c r="N2136" t="s">
        <v>25</v>
      </c>
    </row>
    <row r="2137" spans="1:14" x14ac:dyDescent="0.25">
      <c r="A2137" t="s">
        <v>14</v>
      </c>
      <c r="B2137" t="s">
        <v>40</v>
      </c>
      <c r="C2137" t="s">
        <v>36</v>
      </c>
      <c r="D2137" t="s">
        <v>28</v>
      </c>
      <c r="E2137" t="s">
        <v>22</v>
      </c>
      <c r="F2137" t="s">
        <v>15</v>
      </c>
      <c r="G2137" s="1">
        <f>VALUE(2695.5997008218)</f>
        <v>2695.5997008218001</v>
      </c>
      <c r="H2137" s="1">
        <f>VALUE(2389.7783644168)</f>
        <v>2389.7783644167998</v>
      </c>
      <c r="I2137" s="1">
        <f>VALUE(3430)</f>
        <v>3430</v>
      </c>
      <c r="J2137" s="1">
        <f>VALUE(3996)</f>
        <v>3996</v>
      </c>
      <c r="K2137" s="1">
        <f>VALUE(4620)</f>
        <v>4620</v>
      </c>
      <c r="L2137" s="1">
        <f>VALUE(5308)</f>
        <v>5308</v>
      </c>
      <c r="M2137" s="1">
        <f>VALUE(5975)</f>
        <v>5975</v>
      </c>
      <c r="N2137" t="s">
        <v>16</v>
      </c>
    </row>
    <row r="2138" spans="1:14" x14ac:dyDescent="0.25">
      <c r="A2138" t="s">
        <v>14</v>
      </c>
      <c r="B2138" t="s">
        <v>40</v>
      </c>
      <c r="C2138" t="s">
        <v>36</v>
      </c>
      <c r="D2138" t="s">
        <v>28</v>
      </c>
      <c r="E2138" t="s">
        <v>22</v>
      </c>
      <c r="F2138" t="s">
        <v>17</v>
      </c>
      <c r="G2138" s="1" t="str">
        <f t="shared" ref="G2138:M2138" si="436">"X"</f>
        <v>X</v>
      </c>
      <c r="H2138" s="1" t="str">
        <f t="shared" si="436"/>
        <v>X</v>
      </c>
      <c r="I2138" s="1" t="str">
        <f t="shared" si="436"/>
        <v>X</v>
      </c>
      <c r="J2138" s="1" t="str">
        <f t="shared" si="436"/>
        <v>X</v>
      </c>
      <c r="K2138" s="1" t="str">
        <f t="shared" si="436"/>
        <v>X</v>
      </c>
      <c r="L2138" s="1" t="str">
        <f t="shared" si="436"/>
        <v>X</v>
      </c>
      <c r="M2138" s="1" t="str">
        <f t="shared" si="436"/>
        <v>X</v>
      </c>
      <c r="N2138" t="s">
        <v>27</v>
      </c>
    </row>
    <row r="2139" spans="1:14" x14ac:dyDescent="0.25">
      <c r="A2139" t="s">
        <v>14</v>
      </c>
      <c r="B2139" t="s">
        <v>40</v>
      </c>
      <c r="C2139" t="s">
        <v>36</v>
      </c>
      <c r="D2139" t="s">
        <v>28</v>
      </c>
      <c r="E2139" t="s">
        <v>22</v>
      </c>
      <c r="F2139" t="s">
        <v>18</v>
      </c>
      <c r="G2139" s="2">
        <f>VALUE(369.4296136478)</f>
        <v>369.42961364780001</v>
      </c>
      <c r="H2139" s="3">
        <f>VALUE(336.9809720391)</f>
        <v>336.98097203909998</v>
      </c>
      <c r="I2139" s="4">
        <f>VALUE(3155)</f>
        <v>3155</v>
      </c>
      <c r="J2139" s="5">
        <f>VALUE(4283)</f>
        <v>4283</v>
      </c>
      <c r="K2139" s="1">
        <f>VALUE(4642)</f>
        <v>4642</v>
      </c>
      <c r="L2139" s="1">
        <f>VALUE(5209)</f>
        <v>5209</v>
      </c>
      <c r="M2139" s="8">
        <f>VALUE(6520)</f>
        <v>6520</v>
      </c>
      <c r="N2139" t="s">
        <v>25</v>
      </c>
    </row>
    <row r="2140" spans="1:14" x14ac:dyDescent="0.25">
      <c r="A2140" t="s">
        <v>14</v>
      </c>
      <c r="B2140" t="s">
        <v>40</v>
      </c>
      <c r="C2140" t="s">
        <v>36</v>
      </c>
      <c r="D2140" t="s">
        <v>28</v>
      </c>
      <c r="E2140" t="s">
        <v>22</v>
      </c>
      <c r="F2140" t="s">
        <v>19</v>
      </c>
      <c r="G2140" s="2">
        <f>VALUE(419.5195831231)</f>
        <v>419.51958312310001</v>
      </c>
      <c r="H2140" s="3">
        <f>VALUE(365.9235512444)</f>
        <v>365.92355124440002</v>
      </c>
      <c r="I2140" s="1">
        <f>VALUE(3628)</f>
        <v>3628</v>
      </c>
      <c r="J2140" s="1">
        <f>VALUE(4333)</f>
        <v>4333</v>
      </c>
      <c r="K2140" s="1">
        <f>VALUE(4816)</f>
        <v>4816</v>
      </c>
      <c r="L2140" s="1">
        <f>VALUE(5370)</f>
        <v>5370</v>
      </c>
      <c r="M2140" s="1">
        <f>VALUE(6144)</f>
        <v>6144</v>
      </c>
      <c r="N2140" t="s">
        <v>25</v>
      </c>
    </row>
    <row r="2141" spans="1:14" x14ac:dyDescent="0.25">
      <c r="A2141" t="s">
        <v>14</v>
      </c>
      <c r="B2141" t="s">
        <v>40</v>
      </c>
      <c r="C2141" t="s">
        <v>36</v>
      </c>
      <c r="D2141" t="s">
        <v>28</v>
      </c>
      <c r="E2141" t="s">
        <v>22</v>
      </c>
      <c r="F2141" t="s">
        <v>20</v>
      </c>
      <c r="G2141" s="1">
        <f>VALUE(1738.721658892)</f>
        <v>1738.7216588920001</v>
      </c>
      <c r="H2141" s="1">
        <f>VALUE(1536.1691435176)</f>
        <v>1536.1691435176001</v>
      </c>
      <c r="I2141" s="1">
        <f>VALUE(3400)</f>
        <v>3400</v>
      </c>
      <c r="J2141" s="1">
        <f>VALUE(3922)</f>
        <v>3922</v>
      </c>
      <c r="K2141" s="1">
        <f>VALUE(4578)</f>
        <v>4578</v>
      </c>
      <c r="L2141" s="1">
        <f>VALUE(5230)</f>
        <v>5230</v>
      </c>
      <c r="M2141" s="1">
        <f>VALUE(5801)</f>
        <v>5801</v>
      </c>
      <c r="N2141" t="s">
        <v>16</v>
      </c>
    </row>
    <row r="2142" spans="1:14" x14ac:dyDescent="0.25">
      <c r="A2142" t="s">
        <v>14</v>
      </c>
      <c r="B2142" t="s">
        <v>40</v>
      </c>
      <c r="C2142" t="s">
        <v>36</v>
      </c>
      <c r="D2142" t="s">
        <v>28</v>
      </c>
      <c r="E2142" t="s">
        <v>23</v>
      </c>
      <c r="F2142" t="s">
        <v>15</v>
      </c>
      <c r="G2142" s="2">
        <f>VALUE(619.3344779819)</f>
        <v>619.33447798190002</v>
      </c>
      <c r="H2142" s="3">
        <f>VALUE(489.8509182088)</f>
        <v>489.85091820880001</v>
      </c>
      <c r="I2142" s="4">
        <f>VALUE(3014)</f>
        <v>3014</v>
      </c>
      <c r="J2142" s="1">
        <f>VALUE(3310)</f>
        <v>3310</v>
      </c>
      <c r="K2142" s="1">
        <f>VALUE(3938)</f>
        <v>3938</v>
      </c>
      <c r="L2142" s="1">
        <f>VALUE(4612)</f>
        <v>4612</v>
      </c>
      <c r="M2142" s="1">
        <f>VALUE(5851)</f>
        <v>5851</v>
      </c>
      <c r="N2142" t="s">
        <v>25</v>
      </c>
    </row>
    <row r="2143" spans="1:14" x14ac:dyDescent="0.25">
      <c r="A2143" t="s">
        <v>14</v>
      </c>
      <c r="B2143" t="s">
        <v>40</v>
      </c>
      <c r="C2143" t="s">
        <v>36</v>
      </c>
      <c r="D2143" t="s">
        <v>28</v>
      </c>
      <c r="E2143" t="s">
        <v>23</v>
      </c>
      <c r="F2143" t="s">
        <v>17</v>
      </c>
      <c r="G2143" s="1" t="str">
        <f t="shared" ref="G2143:M2145" si="437">"X"</f>
        <v>X</v>
      </c>
      <c r="H2143" s="1" t="str">
        <f t="shared" si="437"/>
        <v>X</v>
      </c>
      <c r="I2143" s="1" t="str">
        <f t="shared" si="437"/>
        <v>X</v>
      </c>
      <c r="J2143" s="1" t="str">
        <f t="shared" si="437"/>
        <v>X</v>
      </c>
      <c r="K2143" s="1" t="str">
        <f t="shared" si="437"/>
        <v>X</v>
      </c>
      <c r="L2143" s="1" t="str">
        <f t="shared" si="437"/>
        <v>X</v>
      </c>
      <c r="M2143" s="1" t="str">
        <f t="shared" si="437"/>
        <v>X</v>
      </c>
      <c r="N2143" t="s">
        <v>27</v>
      </c>
    </row>
    <row r="2144" spans="1:14" x14ac:dyDescent="0.25">
      <c r="A2144" t="s">
        <v>14</v>
      </c>
      <c r="B2144" t="s">
        <v>40</v>
      </c>
      <c r="C2144" t="s">
        <v>36</v>
      </c>
      <c r="D2144" t="s">
        <v>28</v>
      </c>
      <c r="E2144" t="s">
        <v>23</v>
      </c>
      <c r="F2144" t="s">
        <v>18</v>
      </c>
      <c r="G2144" s="1" t="str">
        <f t="shared" si="437"/>
        <v>X</v>
      </c>
      <c r="H2144" s="1" t="str">
        <f t="shared" si="437"/>
        <v>X</v>
      </c>
      <c r="I2144" s="1" t="str">
        <f t="shared" si="437"/>
        <v>X</v>
      </c>
      <c r="J2144" s="1" t="str">
        <f t="shared" si="437"/>
        <v>X</v>
      </c>
      <c r="K2144" s="1" t="str">
        <f t="shared" si="437"/>
        <v>X</v>
      </c>
      <c r="L2144" s="1" t="str">
        <f t="shared" si="437"/>
        <v>X</v>
      </c>
      <c r="M2144" s="1" t="str">
        <f t="shared" si="437"/>
        <v>X</v>
      </c>
      <c r="N2144" t="s">
        <v>27</v>
      </c>
    </row>
    <row r="2145" spans="1:14" x14ac:dyDescent="0.25">
      <c r="A2145" t="s">
        <v>14</v>
      </c>
      <c r="B2145" t="s">
        <v>40</v>
      </c>
      <c r="C2145" t="s">
        <v>36</v>
      </c>
      <c r="D2145" t="s">
        <v>28</v>
      </c>
      <c r="E2145" t="s">
        <v>23</v>
      </c>
      <c r="F2145" t="s">
        <v>19</v>
      </c>
      <c r="G2145" s="1" t="str">
        <f t="shared" si="437"/>
        <v>X</v>
      </c>
      <c r="H2145" s="1" t="str">
        <f t="shared" si="437"/>
        <v>X</v>
      </c>
      <c r="I2145" s="1" t="str">
        <f t="shared" si="437"/>
        <v>X</v>
      </c>
      <c r="J2145" s="1" t="str">
        <f t="shared" si="437"/>
        <v>X</v>
      </c>
      <c r="K2145" s="1" t="str">
        <f t="shared" si="437"/>
        <v>X</v>
      </c>
      <c r="L2145" s="1" t="str">
        <f t="shared" si="437"/>
        <v>X</v>
      </c>
      <c r="M2145" s="1" t="str">
        <f t="shared" si="437"/>
        <v>X</v>
      </c>
      <c r="N2145" t="s">
        <v>27</v>
      </c>
    </row>
    <row r="2146" spans="1:14" x14ac:dyDescent="0.25">
      <c r="A2146" t="s">
        <v>14</v>
      </c>
      <c r="B2146" t="s">
        <v>40</v>
      </c>
      <c r="C2146" t="s">
        <v>36</v>
      </c>
      <c r="D2146" t="s">
        <v>28</v>
      </c>
      <c r="E2146" t="s">
        <v>23</v>
      </c>
      <c r="F2146" t="s">
        <v>20</v>
      </c>
      <c r="G2146" s="2">
        <f>VALUE(510.2917168832)</f>
        <v>510.29171688320002</v>
      </c>
      <c r="H2146" s="3">
        <f>VALUE(391.714689429)</f>
        <v>391.71468942899998</v>
      </c>
      <c r="I2146" s="4">
        <f>VALUE(2824)</f>
        <v>2824</v>
      </c>
      <c r="J2146" s="1">
        <f>VALUE(3264)</f>
        <v>3264</v>
      </c>
      <c r="K2146" s="1">
        <f>VALUE(3889)</f>
        <v>3889</v>
      </c>
      <c r="L2146" s="1">
        <f>VALUE(4451)</f>
        <v>4451</v>
      </c>
      <c r="M2146" s="1">
        <f>VALUE(5506)</f>
        <v>5506</v>
      </c>
      <c r="N2146" t="s">
        <v>25</v>
      </c>
    </row>
    <row r="2147" spans="1:14" x14ac:dyDescent="0.25">
      <c r="A2147" t="s">
        <v>14</v>
      </c>
      <c r="B2147" t="s">
        <v>40</v>
      </c>
      <c r="C2147" t="s">
        <v>36</v>
      </c>
      <c r="D2147" t="s">
        <v>28</v>
      </c>
      <c r="E2147" t="s">
        <v>26</v>
      </c>
      <c r="F2147" t="s">
        <v>15</v>
      </c>
      <c r="G2147" s="1" t="str">
        <f t="shared" ref="G2147:M2147" si="438">"X"</f>
        <v>X</v>
      </c>
      <c r="H2147" s="1" t="str">
        <f t="shared" si="438"/>
        <v>X</v>
      </c>
      <c r="I2147" s="1" t="str">
        <f t="shared" si="438"/>
        <v>X</v>
      </c>
      <c r="J2147" s="1" t="str">
        <f t="shared" si="438"/>
        <v>X</v>
      </c>
      <c r="K2147" s="1" t="str">
        <f t="shared" si="438"/>
        <v>X</v>
      </c>
      <c r="L2147" s="1" t="str">
        <f t="shared" si="438"/>
        <v>X</v>
      </c>
      <c r="M2147" s="1" t="str">
        <f t="shared" si="438"/>
        <v>X</v>
      </c>
      <c r="N2147" t="s">
        <v>27</v>
      </c>
    </row>
    <row r="2148" spans="1:14" x14ac:dyDescent="0.25">
      <c r="A2148" t="s">
        <v>14</v>
      </c>
      <c r="B2148" t="s">
        <v>40</v>
      </c>
      <c r="C2148" t="s">
        <v>36</v>
      </c>
      <c r="D2148" t="s">
        <v>28</v>
      </c>
      <c r="E2148" t="s">
        <v>26</v>
      </c>
      <c r="F2148" t="s">
        <v>17</v>
      </c>
      <c r="G2148" s="1" t="str">
        <f t="shared" ref="G2148:M2148" si="439">"..."</f>
        <v>...</v>
      </c>
      <c r="H2148" s="1" t="str">
        <f t="shared" si="439"/>
        <v>...</v>
      </c>
      <c r="I2148" s="1" t="str">
        <f t="shared" si="439"/>
        <v>...</v>
      </c>
      <c r="J2148" s="1" t="str">
        <f t="shared" si="439"/>
        <v>...</v>
      </c>
      <c r="K2148" s="1" t="str">
        <f t="shared" si="439"/>
        <v>...</v>
      </c>
      <c r="L2148" s="1" t="str">
        <f t="shared" si="439"/>
        <v>...</v>
      </c>
      <c r="M2148" s="1" t="str">
        <f t="shared" si="439"/>
        <v>...</v>
      </c>
      <c r="N2148" t="s">
        <v>30</v>
      </c>
    </row>
    <row r="2149" spans="1:14" x14ac:dyDescent="0.25">
      <c r="A2149" t="s">
        <v>14</v>
      </c>
      <c r="B2149" t="s">
        <v>40</v>
      </c>
      <c r="C2149" t="s">
        <v>36</v>
      </c>
      <c r="D2149" t="s">
        <v>28</v>
      </c>
      <c r="E2149" t="s">
        <v>26</v>
      </c>
      <c r="F2149" t="s">
        <v>18</v>
      </c>
      <c r="G2149" s="1" t="str">
        <f t="shared" ref="G2149:M2149" si="440">"X"</f>
        <v>X</v>
      </c>
      <c r="H2149" s="1" t="str">
        <f t="shared" si="440"/>
        <v>X</v>
      </c>
      <c r="I2149" s="1" t="str">
        <f t="shared" si="440"/>
        <v>X</v>
      </c>
      <c r="J2149" s="1" t="str">
        <f t="shared" si="440"/>
        <v>X</v>
      </c>
      <c r="K2149" s="1" t="str">
        <f t="shared" si="440"/>
        <v>X</v>
      </c>
      <c r="L2149" s="1" t="str">
        <f t="shared" si="440"/>
        <v>X</v>
      </c>
      <c r="M2149" s="1" t="str">
        <f t="shared" si="440"/>
        <v>X</v>
      </c>
      <c r="N2149" t="s">
        <v>27</v>
      </c>
    </row>
    <row r="2150" spans="1:14" x14ac:dyDescent="0.25">
      <c r="A2150" t="s">
        <v>14</v>
      </c>
      <c r="B2150" t="s">
        <v>40</v>
      </c>
      <c r="C2150" t="s">
        <v>36</v>
      </c>
      <c r="D2150" t="s">
        <v>28</v>
      </c>
      <c r="E2150" t="s">
        <v>26</v>
      </c>
      <c r="F2150" t="s">
        <v>19</v>
      </c>
      <c r="G2150" s="1" t="str">
        <f t="shared" ref="G2150:M2150" si="441">"..."</f>
        <v>...</v>
      </c>
      <c r="H2150" s="1" t="str">
        <f t="shared" si="441"/>
        <v>...</v>
      </c>
      <c r="I2150" s="1" t="str">
        <f t="shared" si="441"/>
        <v>...</v>
      </c>
      <c r="J2150" s="1" t="str">
        <f t="shared" si="441"/>
        <v>...</v>
      </c>
      <c r="K2150" s="1" t="str">
        <f t="shared" si="441"/>
        <v>...</v>
      </c>
      <c r="L2150" s="1" t="str">
        <f t="shared" si="441"/>
        <v>...</v>
      </c>
      <c r="M2150" s="1" t="str">
        <f t="shared" si="441"/>
        <v>...</v>
      </c>
      <c r="N2150" t="s">
        <v>30</v>
      </c>
    </row>
    <row r="2151" spans="1:14" x14ac:dyDescent="0.25">
      <c r="A2151" t="s">
        <v>14</v>
      </c>
      <c r="B2151" t="s">
        <v>40</v>
      </c>
      <c r="C2151" t="s">
        <v>36</v>
      </c>
      <c r="D2151" t="s">
        <v>28</v>
      </c>
      <c r="E2151" t="s">
        <v>26</v>
      </c>
      <c r="F2151" t="s">
        <v>20</v>
      </c>
      <c r="G2151" s="1" t="str">
        <f t="shared" ref="G2151:M2151" si="442">"X"</f>
        <v>X</v>
      </c>
      <c r="H2151" s="1" t="str">
        <f t="shared" si="442"/>
        <v>X</v>
      </c>
      <c r="I2151" s="1" t="str">
        <f t="shared" si="442"/>
        <v>X</v>
      </c>
      <c r="J2151" s="1" t="str">
        <f t="shared" si="442"/>
        <v>X</v>
      </c>
      <c r="K2151" s="1" t="str">
        <f t="shared" si="442"/>
        <v>X</v>
      </c>
      <c r="L2151" s="1" t="str">
        <f t="shared" si="442"/>
        <v>X</v>
      </c>
      <c r="M2151" s="1" t="str">
        <f t="shared" si="442"/>
        <v>X</v>
      </c>
      <c r="N2151" t="s">
        <v>27</v>
      </c>
    </row>
    <row r="2152" spans="1:14" x14ac:dyDescent="0.25">
      <c r="A2152" t="s">
        <v>14</v>
      </c>
      <c r="B2152" t="s">
        <v>40</v>
      </c>
      <c r="C2152" t="s">
        <v>36</v>
      </c>
      <c r="D2152" t="s">
        <v>29</v>
      </c>
      <c r="E2152" t="s">
        <v>15</v>
      </c>
      <c r="F2152" t="s">
        <v>15</v>
      </c>
      <c r="G2152" s="2">
        <f>VALUE(1360.7132956168)</f>
        <v>1360.7132956168</v>
      </c>
      <c r="H2152" s="3">
        <f>VALUE(1114.0199217763)</f>
        <v>1114.0199217763</v>
      </c>
      <c r="I2152" s="1">
        <f>VALUE(3121)</f>
        <v>3121</v>
      </c>
      <c r="J2152" s="1">
        <f>VALUE(3488)</f>
        <v>3488</v>
      </c>
      <c r="K2152" s="1">
        <f>VALUE(4355)</f>
        <v>4355</v>
      </c>
      <c r="L2152" s="1">
        <f>VALUE(5143)</f>
        <v>5143</v>
      </c>
      <c r="M2152" s="1">
        <f>VALUE(6300)</f>
        <v>6300</v>
      </c>
      <c r="N2152" t="s">
        <v>25</v>
      </c>
    </row>
    <row r="2153" spans="1:14" x14ac:dyDescent="0.25">
      <c r="A2153" t="s">
        <v>14</v>
      </c>
      <c r="B2153" t="s">
        <v>40</v>
      </c>
      <c r="C2153" t="s">
        <v>36</v>
      </c>
      <c r="D2153" t="s">
        <v>29</v>
      </c>
      <c r="E2153" t="s">
        <v>15</v>
      </c>
      <c r="F2153" t="s">
        <v>17</v>
      </c>
      <c r="G2153" s="1" t="str">
        <f t="shared" ref="G2153:M2155" si="443">"X"</f>
        <v>X</v>
      </c>
      <c r="H2153" s="1" t="str">
        <f t="shared" si="443"/>
        <v>X</v>
      </c>
      <c r="I2153" s="1" t="str">
        <f t="shared" si="443"/>
        <v>X</v>
      </c>
      <c r="J2153" s="1" t="str">
        <f t="shared" si="443"/>
        <v>X</v>
      </c>
      <c r="K2153" s="1" t="str">
        <f t="shared" si="443"/>
        <v>X</v>
      </c>
      <c r="L2153" s="1" t="str">
        <f t="shared" si="443"/>
        <v>X</v>
      </c>
      <c r="M2153" s="1" t="str">
        <f t="shared" si="443"/>
        <v>X</v>
      </c>
      <c r="N2153" t="s">
        <v>27</v>
      </c>
    </row>
    <row r="2154" spans="1:14" x14ac:dyDescent="0.25">
      <c r="A2154" t="s">
        <v>14</v>
      </c>
      <c r="B2154" t="s">
        <v>40</v>
      </c>
      <c r="C2154" t="s">
        <v>36</v>
      </c>
      <c r="D2154" t="s">
        <v>29</v>
      </c>
      <c r="E2154" t="s">
        <v>15</v>
      </c>
      <c r="F2154" t="s">
        <v>18</v>
      </c>
      <c r="G2154" s="1" t="str">
        <f t="shared" si="443"/>
        <v>X</v>
      </c>
      <c r="H2154" s="1" t="str">
        <f t="shared" si="443"/>
        <v>X</v>
      </c>
      <c r="I2154" s="1" t="str">
        <f t="shared" si="443"/>
        <v>X</v>
      </c>
      <c r="J2154" s="1" t="str">
        <f t="shared" si="443"/>
        <v>X</v>
      </c>
      <c r="K2154" s="1" t="str">
        <f t="shared" si="443"/>
        <v>X</v>
      </c>
      <c r="L2154" s="1" t="str">
        <f t="shared" si="443"/>
        <v>X</v>
      </c>
      <c r="M2154" s="1" t="str">
        <f t="shared" si="443"/>
        <v>X</v>
      </c>
      <c r="N2154" t="s">
        <v>27</v>
      </c>
    </row>
    <row r="2155" spans="1:14" x14ac:dyDescent="0.25">
      <c r="A2155" t="s">
        <v>14</v>
      </c>
      <c r="B2155" t="s">
        <v>40</v>
      </c>
      <c r="C2155" t="s">
        <v>36</v>
      </c>
      <c r="D2155" t="s">
        <v>29</v>
      </c>
      <c r="E2155" t="s">
        <v>15</v>
      </c>
      <c r="F2155" t="s">
        <v>19</v>
      </c>
      <c r="G2155" s="1" t="str">
        <f t="shared" si="443"/>
        <v>X</v>
      </c>
      <c r="H2155" s="1" t="str">
        <f t="shared" si="443"/>
        <v>X</v>
      </c>
      <c r="I2155" s="1" t="str">
        <f t="shared" si="443"/>
        <v>X</v>
      </c>
      <c r="J2155" s="1" t="str">
        <f t="shared" si="443"/>
        <v>X</v>
      </c>
      <c r="K2155" s="1" t="str">
        <f t="shared" si="443"/>
        <v>X</v>
      </c>
      <c r="L2155" s="1" t="str">
        <f t="shared" si="443"/>
        <v>X</v>
      </c>
      <c r="M2155" s="1" t="str">
        <f t="shared" si="443"/>
        <v>X</v>
      </c>
      <c r="N2155" t="s">
        <v>27</v>
      </c>
    </row>
    <row r="2156" spans="1:14" x14ac:dyDescent="0.25">
      <c r="A2156" t="s">
        <v>14</v>
      </c>
      <c r="B2156" t="s">
        <v>40</v>
      </c>
      <c r="C2156" t="s">
        <v>36</v>
      </c>
      <c r="D2156" t="s">
        <v>29</v>
      </c>
      <c r="E2156" t="s">
        <v>15</v>
      </c>
      <c r="F2156" t="s">
        <v>20</v>
      </c>
      <c r="G2156" s="2">
        <f>VALUE(928.1852062841)</f>
        <v>928.18520628409999</v>
      </c>
      <c r="H2156" s="3">
        <f>VALUE(736.3353338879)</f>
        <v>736.33533388789999</v>
      </c>
      <c r="I2156" s="1">
        <f>VALUE(3081)</f>
        <v>3081</v>
      </c>
      <c r="J2156" s="1">
        <f>VALUE(3412)</f>
        <v>3412</v>
      </c>
      <c r="K2156" s="1">
        <f>VALUE(4155)</f>
        <v>4155</v>
      </c>
      <c r="L2156" s="1">
        <f>VALUE(4845)</f>
        <v>4845</v>
      </c>
      <c r="M2156" s="1">
        <f>VALUE(5796)</f>
        <v>5796</v>
      </c>
      <c r="N2156" t="s">
        <v>25</v>
      </c>
    </row>
    <row r="2157" spans="1:14" x14ac:dyDescent="0.25">
      <c r="A2157" t="s">
        <v>14</v>
      </c>
      <c r="B2157" t="s">
        <v>40</v>
      </c>
      <c r="C2157" t="s">
        <v>36</v>
      </c>
      <c r="D2157" t="s">
        <v>29</v>
      </c>
      <c r="E2157" t="s">
        <v>21</v>
      </c>
      <c r="F2157" t="s">
        <v>15</v>
      </c>
      <c r="G2157" s="2">
        <f>VALUE(211.7902246142)</f>
        <v>211.79022461420001</v>
      </c>
      <c r="H2157" s="3">
        <f>VALUE(179.8033009156)</f>
        <v>179.8033009156</v>
      </c>
      <c r="I2157" s="4">
        <f>VALUE(3121)</f>
        <v>3121</v>
      </c>
      <c r="J2157" s="5">
        <f>VALUE(4708)</f>
        <v>4708</v>
      </c>
      <c r="K2157" s="6">
        <f>VALUE(5804)</f>
        <v>5804</v>
      </c>
      <c r="L2157" s="1">
        <f>VALUE(6897)</f>
        <v>6897</v>
      </c>
      <c r="M2157" s="1">
        <f>VALUE(7545)</f>
        <v>7545</v>
      </c>
      <c r="N2157" t="s">
        <v>25</v>
      </c>
    </row>
    <row r="2158" spans="1:14" x14ac:dyDescent="0.25">
      <c r="A2158" t="s">
        <v>14</v>
      </c>
      <c r="B2158" t="s">
        <v>40</v>
      </c>
      <c r="C2158" t="s">
        <v>36</v>
      </c>
      <c r="D2158" t="s">
        <v>29</v>
      </c>
      <c r="E2158" t="s">
        <v>21</v>
      </c>
      <c r="F2158" t="s">
        <v>17</v>
      </c>
      <c r="G2158" s="1" t="str">
        <f t="shared" ref="G2158:M2161" si="444">"X"</f>
        <v>X</v>
      </c>
      <c r="H2158" s="1" t="str">
        <f t="shared" si="444"/>
        <v>X</v>
      </c>
      <c r="I2158" s="1" t="str">
        <f t="shared" si="444"/>
        <v>X</v>
      </c>
      <c r="J2158" s="1" t="str">
        <f t="shared" si="444"/>
        <v>X</v>
      </c>
      <c r="K2158" s="1" t="str">
        <f t="shared" si="444"/>
        <v>X</v>
      </c>
      <c r="L2158" s="1" t="str">
        <f t="shared" si="444"/>
        <v>X</v>
      </c>
      <c r="M2158" s="1" t="str">
        <f t="shared" si="444"/>
        <v>X</v>
      </c>
      <c r="N2158" t="s">
        <v>27</v>
      </c>
    </row>
    <row r="2159" spans="1:14" x14ac:dyDescent="0.25">
      <c r="A2159" t="s">
        <v>14</v>
      </c>
      <c r="B2159" t="s">
        <v>40</v>
      </c>
      <c r="C2159" t="s">
        <v>36</v>
      </c>
      <c r="D2159" t="s">
        <v>29</v>
      </c>
      <c r="E2159" t="s">
        <v>21</v>
      </c>
      <c r="F2159" t="s">
        <v>18</v>
      </c>
      <c r="G2159" s="1" t="str">
        <f t="shared" si="444"/>
        <v>X</v>
      </c>
      <c r="H2159" s="1" t="str">
        <f t="shared" si="444"/>
        <v>X</v>
      </c>
      <c r="I2159" s="1" t="str">
        <f t="shared" si="444"/>
        <v>X</v>
      </c>
      <c r="J2159" s="1" t="str">
        <f t="shared" si="444"/>
        <v>X</v>
      </c>
      <c r="K2159" s="1" t="str">
        <f t="shared" si="444"/>
        <v>X</v>
      </c>
      <c r="L2159" s="1" t="str">
        <f t="shared" si="444"/>
        <v>X</v>
      </c>
      <c r="M2159" s="1" t="str">
        <f t="shared" si="444"/>
        <v>X</v>
      </c>
      <c r="N2159" t="s">
        <v>27</v>
      </c>
    </row>
    <row r="2160" spans="1:14" x14ac:dyDescent="0.25">
      <c r="A2160" t="s">
        <v>14</v>
      </c>
      <c r="B2160" t="s">
        <v>40</v>
      </c>
      <c r="C2160" t="s">
        <v>36</v>
      </c>
      <c r="D2160" t="s">
        <v>29</v>
      </c>
      <c r="E2160" t="s">
        <v>21</v>
      </c>
      <c r="F2160" t="s">
        <v>19</v>
      </c>
      <c r="G2160" s="1" t="str">
        <f t="shared" si="444"/>
        <v>X</v>
      </c>
      <c r="H2160" s="1" t="str">
        <f t="shared" si="444"/>
        <v>X</v>
      </c>
      <c r="I2160" s="1" t="str">
        <f t="shared" si="444"/>
        <v>X</v>
      </c>
      <c r="J2160" s="1" t="str">
        <f t="shared" si="444"/>
        <v>X</v>
      </c>
      <c r="K2160" s="1" t="str">
        <f t="shared" si="444"/>
        <v>X</v>
      </c>
      <c r="L2160" s="1" t="str">
        <f t="shared" si="444"/>
        <v>X</v>
      </c>
      <c r="M2160" s="1" t="str">
        <f t="shared" si="444"/>
        <v>X</v>
      </c>
      <c r="N2160" t="s">
        <v>27</v>
      </c>
    </row>
    <row r="2161" spans="1:14" x14ac:dyDescent="0.25">
      <c r="A2161" t="s">
        <v>14</v>
      </c>
      <c r="B2161" t="s">
        <v>40</v>
      </c>
      <c r="C2161" t="s">
        <v>36</v>
      </c>
      <c r="D2161" t="s">
        <v>29</v>
      </c>
      <c r="E2161" t="s">
        <v>21</v>
      </c>
      <c r="F2161" t="s">
        <v>20</v>
      </c>
      <c r="G2161" s="1" t="str">
        <f t="shared" si="444"/>
        <v>X</v>
      </c>
      <c r="H2161" s="1" t="str">
        <f t="shared" si="444"/>
        <v>X</v>
      </c>
      <c r="I2161" s="1" t="str">
        <f t="shared" si="444"/>
        <v>X</v>
      </c>
      <c r="J2161" s="1" t="str">
        <f t="shared" si="444"/>
        <v>X</v>
      </c>
      <c r="K2161" s="1" t="str">
        <f t="shared" si="444"/>
        <v>X</v>
      </c>
      <c r="L2161" s="1" t="str">
        <f t="shared" si="444"/>
        <v>X</v>
      </c>
      <c r="M2161" s="1" t="str">
        <f t="shared" si="444"/>
        <v>X</v>
      </c>
      <c r="N2161" t="s">
        <v>27</v>
      </c>
    </row>
    <row r="2162" spans="1:14" x14ac:dyDescent="0.25">
      <c r="A2162" t="s">
        <v>14</v>
      </c>
      <c r="B2162" t="s">
        <v>40</v>
      </c>
      <c r="C2162" t="s">
        <v>36</v>
      </c>
      <c r="D2162" t="s">
        <v>29</v>
      </c>
      <c r="E2162" t="s">
        <v>22</v>
      </c>
      <c r="F2162" t="s">
        <v>15</v>
      </c>
      <c r="G2162" s="2">
        <f>VALUE(631.6175913891)</f>
        <v>631.61759138909997</v>
      </c>
      <c r="H2162" s="3">
        <f>VALUE(538.6932842014)</f>
        <v>538.69328420140005</v>
      </c>
      <c r="I2162" s="1">
        <f>VALUE(3500)</f>
        <v>3500</v>
      </c>
      <c r="J2162" s="1">
        <f>VALUE(3923)</f>
        <v>3923</v>
      </c>
      <c r="K2162" s="1">
        <f>VALUE(4536)</f>
        <v>4536</v>
      </c>
      <c r="L2162" s="1">
        <f>VALUE(5100)</f>
        <v>5100</v>
      </c>
      <c r="M2162" s="1">
        <f>VALUE(5772)</f>
        <v>5772</v>
      </c>
      <c r="N2162" t="s">
        <v>25</v>
      </c>
    </row>
    <row r="2163" spans="1:14" x14ac:dyDescent="0.25">
      <c r="A2163" t="s">
        <v>14</v>
      </c>
      <c r="B2163" t="s">
        <v>40</v>
      </c>
      <c r="C2163" t="s">
        <v>36</v>
      </c>
      <c r="D2163" t="s">
        <v>29</v>
      </c>
      <c r="E2163" t="s">
        <v>22</v>
      </c>
      <c r="F2163" t="s">
        <v>17</v>
      </c>
      <c r="G2163" s="1" t="str">
        <f t="shared" ref="G2163:M2165" si="445">"X"</f>
        <v>X</v>
      </c>
      <c r="H2163" s="1" t="str">
        <f t="shared" si="445"/>
        <v>X</v>
      </c>
      <c r="I2163" s="1" t="str">
        <f t="shared" si="445"/>
        <v>X</v>
      </c>
      <c r="J2163" s="1" t="str">
        <f t="shared" si="445"/>
        <v>X</v>
      </c>
      <c r="K2163" s="1" t="str">
        <f t="shared" si="445"/>
        <v>X</v>
      </c>
      <c r="L2163" s="1" t="str">
        <f t="shared" si="445"/>
        <v>X</v>
      </c>
      <c r="M2163" s="1" t="str">
        <f t="shared" si="445"/>
        <v>X</v>
      </c>
      <c r="N2163" t="s">
        <v>27</v>
      </c>
    </row>
    <row r="2164" spans="1:14" x14ac:dyDescent="0.25">
      <c r="A2164" t="s">
        <v>14</v>
      </c>
      <c r="B2164" t="s">
        <v>40</v>
      </c>
      <c r="C2164" t="s">
        <v>36</v>
      </c>
      <c r="D2164" t="s">
        <v>29</v>
      </c>
      <c r="E2164" t="s">
        <v>22</v>
      </c>
      <c r="F2164" t="s">
        <v>18</v>
      </c>
      <c r="G2164" s="1" t="str">
        <f t="shared" si="445"/>
        <v>X</v>
      </c>
      <c r="H2164" s="1" t="str">
        <f t="shared" si="445"/>
        <v>X</v>
      </c>
      <c r="I2164" s="1" t="str">
        <f t="shared" si="445"/>
        <v>X</v>
      </c>
      <c r="J2164" s="1" t="str">
        <f t="shared" si="445"/>
        <v>X</v>
      </c>
      <c r="K2164" s="1" t="str">
        <f t="shared" si="445"/>
        <v>X</v>
      </c>
      <c r="L2164" s="1" t="str">
        <f t="shared" si="445"/>
        <v>X</v>
      </c>
      <c r="M2164" s="1" t="str">
        <f t="shared" si="445"/>
        <v>X</v>
      </c>
      <c r="N2164" t="s">
        <v>27</v>
      </c>
    </row>
    <row r="2165" spans="1:14" x14ac:dyDescent="0.25">
      <c r="A2165" t="s">
        <v>14</v>
      </c>
      <c r="B2165" t="s">
        <v>40</v>
      </c>
      <c r="C2165" t="s">
        <v>36</v>
      </c>
      <c r="D2165" t="s">
        <v>29</v>
      </c>
      <c r="E2165" t="s">
        <v>22</v>
      </c>
      <c r="F2165" t="s">
        <v>19</v>
      </c>
      <c r="G2165" s="1" t="str">
        <f t="shared" si="445"/>
        <v>X</v>
      </c>
      <c r="H2165" s="1" t="str">
        <f t="shared" si="445"/>
        <v>X</v>
      </c>
      <c r="I2165" s="1" t="str">
        <f t="shared" si="445"/>
        <v>X</v>
      </c>
      <c r="J2165" s="1" t="str">
        <f t="shared" si="445"/>
        <v>X</v>
      </c>
      <c r="K2165" s="1" t="str">
        <f t="shared" si="445"/>
        <v>X</v>
      </c>
      <c r="L2165" s="1" t="str">
        <f t="shared" si="445"/>
        <v>X</v>
      </c>
      <c r="M2165" s="1" t="str">
        <f t="shared" si="445"/>
        <v>X</v>
      </c>
      <c r="N2165" t="s">
        <v>27</v>
      </c>
    </row>
    <row r="2166" spans="1:14" x14ac:dyDescent="0.25">
      <c r="A2166" t="s">
        <v>14</v>
      </c>
      <c r="B2166" t="s">
        <v>40</v>
      </c>
      <c r="C2166" t="s">
        <v>36</v>
      </c>
      <c r="D2166" t="s">
        <v>29</v>
      </c>
      <c r="E2166" t="s">
        <v>22</v>
      </c>
      <c r="F2166" t="s">
        <v>20</v>
      </c>
      <c r="G2166" s="2">
        <f>VALUE(417.5960461696)</f>
        <v>417.59604616960002</v>
      </c>
      <c r="H2166" s="3">
        <f>VALUE(356.153518551)</f>
        <v>356.15351855099999</v>
      </c>
      <c r="I2166" s="1">
        <f>VALUE(3398)</f>
        <v>3398</v>
      </c>
      <c r="J2166" s="1">
        <f>VALUE(3950)</f>
        <v>3950</v>
      </c>
      <c r="K2166" s="1">
        <f>VALUE(4478)</f>
        <v>4478</v>
      </c>
      <c r="L2166" s="1">
        <f>VALUE(4871)</f>
        <v>4871</v>
      </c>
      <c r="M2166" s="1">
        <f>VALUE(5543)</f>
        <v>5543</v>
      </c>
      <c r="N2166" t="s">
        <v>25</v>
      </c>
    </row>
    <row r="2167" spans="1:14" x14ac:dyDescent="0.25">
      <c r="A2167" t="s">
        <v>14</v>
      </c>
      <c r="B2167" t="s">
        <v>40</v>
      </c>
      <c r="C2167" t="s">
        <v>36</v>
      </c>
      <c r="D2167" t="s">
        <v>29</v>
      </c>
      <c r="E2167" t="s">
        <v>23</v>
      </c>
      <c r="F2167" t="s">
        <v>15</v>
      </c>
      <c r="G2167" s="2">
        <f>VALUE(486.8406936418)</f>
        <v>486.84069364179999</v>
      </c>
      <c r="H2167" s="3">
        <f>VALUE(370.056389198)</f>
        <v>370.05638919799998</v>
      </c>
      <c r="I2167" s="1">
        <f>VALUE(3065)</f>
        <v>3065</v>
      </c>
      <c r="J2167" s="1">
        <f>VALUE(3230)</f>
        <v>3230</v>
      </c>
      <c r="K2167" s="1">
        <f>VALUE(3469)</f>
        <v>3469</v>
      </c>
      <c r="L2167" s="1">
        <f>VALUE(4080)</f>
        <v>4080</v>
      </c>
      <c r="M2167" s="1">
        <f>VALUE(4861)</f>
        <v>4861</v>
      </c>
      <c r="N2167" t="s">
        <v>25</v>
      </c>
    </row>
    <row r="2168" spans="1:14" x14ac:dyDescent="0.25">
      <c r="A2168" t="s">
        <v>14</v>
      </c>
      <c r="B2168" t="s">
        <v>40</v>
      </c>
      <c r="C2168" t="s">
        <v>36</v>
      </c>
      <c r="D2168" t="s">
        <v>29</v>
      </c>
      <c r="E2168" t="s">
        <v>23</v>
      </c>
      <c r="F2168" t="s">
        <v>17</v>
      </c>
      <c r="G2168" s="1" t="str">
        <f t="shared" ref="G2168:M2170" si="446">"X"</f>
        <v>X</v>
      </c>
      <c r="H2168" s="1" t="str">
        <f t="shared" si="446"/>
        <v>X</v>
      </c>
      <c r="I2168" s="1" t="str">
        <f t="shared" si="446"/>
        <v>X</v>
      </c>
      <c r="J2168" s="1" t="str">
        <f t="shared" si="446"/>
        <v>X</v>
      </c>
      <c r="K2168" s="1" t="str">
        <f t="shared" si="446"/>
        <v>X</v>
      </c>
      <c r="L2168" s="1" t="str">
        <f t="shared" si="446"/>
        <v>X</v>
      </c>
      <c r="M2168" s="1" t="str">
        <f t="shared" si="446"/>
        <v>X</v>
      </c>
      <c r="N2168" t="s">
        <v>27</v>
      </c>
    </row>
    <row r="2169" spans="1:14" x14ac:dyDescent="0.25">
      <c r="A2169" t="s">
        <v>14</v>
      </c>
      <c r="B2169" t="s">
        <v>40</v>
      </c>
      <c r="C2169" t="s">
        <v>36</v>
      </c>
      <c r="D2169" t="s">
        <v>29</v>
      </c>
      <c r="E2169" t="s">
        <v>23</v>
      </c>
      <c r="F2169" t="s">
        <v>18</v>
      </c>
      <c r="G2169" s="1" t="str">
        <f t="shared" si="446"/>
        <v>X</v>
      </c>
      <c r="H2169" s="1" t="str">
        <f t="shared" si="446"/>
        <v>X</v>
      </c>
      <c r="I2169" s="1" t="str">
        <f t="shared" si="446"/>
        <v>X</v>
      </c>
      <c r="J2169" s="1" t="str">
        <f t="shared" si="446"/>
        <v>X</v>
      </c>
      <c r="K2169" s="1" t="str">
        <f t="shared" si="446"/>
        <v>X</v>
      </c>
      <c r="L2169" s="1" t="str">
        <f t="shared" si="446"/>
        <v>X</v>
      </c>
      <c r="M2169" s="1" t="str">
        <f t="shared" si="446"/>
        <v>X</v>
      </c>
      <c r="N2169" t="s">
        <v>27</v>
      </c>
    </row>
    <row r="2170" spans="1:14" x14ac:dyDescent="0.25">
      <c r="A2170" t="s">
        <v>14</v>
      </c>
      <c r="B2170" t="s">
        <v>40</v>
      </c>
      <c r="C2170" t="s">
        <v>36</v>
      </c>
      <c r="D2170" t="s">
        <v>29</v>
      </c>
      <c r="E2170" t="s">
        <v>23</v>
      </c>
      <c r="F2170" t="s">
        <v>19</v>
      </c>
      <c r="G2170" s="1" t="str">
        <f t="shared" si="446"/>
        <v>X</v>
      </c>
      <c r="H2170" s="1" t="str">
        <f t="shared" si="446"/>
        <v>X</v>
      </c>
      <c r="I2170" s="1" t="str">
        <f t="shared" si="446"/>
        <v>X</v>
      </c>
      <c r="J2170" s="1" t="str">
        <f t="shared" si="446"/>
        <v>X</v>
      </c>
      <c r="K2170" s="1" t="str">
        <f t="shared" si="446"/>
        <v>X</v>
      </c>
      <c r="L2170" s="1" t="str">
        <f t="shared" si="446"/>
        <v>X</v>
      </c>
      <c r="M2170" s="1" t="str">
        <f t="shared" si="446"/>
        <v>X</v>
      </c>
      <c r="N2170" t="s">
        <v>27</v>
      </c>
    </row>
    <row r="2171" spans="1:14" x14ac:dyDescent="0.25">
      <c r="A2171" t="s">
        <v>14</v>
      </c>
      <c r="B2171" t="s">
        <v>40</v>
      </c>
      <c r="C2171" t="s">
        <v>36</v>
      </c>
      <c r="D2171" t="s">
        <v>29</v>
      </c>
      <c r="E2171" t="s">
        <v>23</v>
      </c>
      <c r="F2171" t="s">
        <v>20</v>
      </c>
      <c r="G2171" s="2">
        <f>VALUE(419.6859765271)</f>
        <v>419.68597652710002</v>
      </c>
      <c r="H2171" s="3">
        <f>VALUE(304.0043938302)</f>
        <v>304.0043938302</v>
      </c>
      <c r="I2171" s="1">
        <f>VALUE(2972)</f>
        <v>2972</v>
      </c>
      <c r="J2171" s="1">
        <f>VALUE(3164)</f>
        <v>3164</v>
      </c>
      <c r="K2171" s="1">
        <f>VALUE(3420)</f>
        <v>3420</v>
      </c>
      <c r="L2171" s="1">
        <f>VALUE(4029)</f>
        <v>4029</v>
      </c>
      <c r="M2171" s="1">
        <f>VALUE(4635)</f>
        <v>4635</v>
      </c>
      <c r="N2171" t="s">
        <v>25</v>
      </c>
    </row>
    <row r="2172" spans="1:14" x14ac:dyDescent="0.25">
      <c r="A2172" t="s">
        <v>14</v>
      </c>
      <c r="B2172" t="s">
        <v>40</v>
      </c>
      <c r="C2172" t="s">
        <v>36</v>
      </c>
      <c r="D2172" t="s">
        <v>29</v>
      </c>
      <c r="E2172" t="s">
        <v>26</v>
      </c>
      <c r="F2172" t="s">
        <v>15</v>
      </c>
      <c r="G2172" s="1" t="str">
        <f t="shared" ref="G2172:M2174" si="447">"X"</f>
        <v>X</v>
      </c>
      <c r="H2172" s="1" t="str">
        <f t="shared" si="447"/>
        <v>X</v>
      </c>
      <c r="I2172" s="1" t="str">
        <f t="shared" si="447"/>
        <v>X</v>
      </c>
      <c r="J2172" s="1" t="str">
        <f t="shared" si="447"/>
        <v>X</v>
      </c>
      <c r="K2172" s="1" t="str">
        <f t="shared" si="447"/>
        <v>X</v>
      </c>
      <c r="L2172" s="1" t="str">
        <f t="shared" si="447"/>
        <v>X</v>
      </c>
      <c r="M2172" s="1" t="str">
        <f t="shared" si="447"/>
        <v>X</v>
      </c>
      <c r="N2172" t="s">
        <v>27</v>
      </c>
    </row>
    <row r="2173" spans="1:14" x14ac:dyDescent="0.25">
      <c r="A2173" t="s">
        <v>14</v>
      </c>
      <c r="B2173" t="s">
        <v>40</v>
      </c>
      <c r="C2173" t="s">
        <v>36</v>
      </c>
      <c r="D2173" t="s">
        <v>29</v>
      </c>
      <c r="E2173" t="s">
        <v>26</v>
      </c>
      <c r="F2173" t="s">
        <v>17</v>
      </c>
      <c r="G2173" s="1" t="str">
        <f t="shared" si="447"/>
        <v>X</v>
      </c>
      <c r="H2173" s="1" t="str">
        <f t="shared" si="447"/>
        <v>X</v>
      </c>
      <c r="I2173" s="1" t="str">
        <f t="shared" si="447"/>
        <v>X</v>
      </c>
      <c r="J2173" s="1" t="str">
        <f t="shared" si="447"/>
        <v>X</v>
      </c>
      <c r="K2173" s="1" t="str">
        <f t="shared" si="447"/>
        <v>X</v>
      </c>
      <c r="L2173" s="1" t="str">
        <f t="shared" si="447"/>
        <v>X</v>
      </c>
      <c r="M2173" s="1" t="str">
        <f t="shared" si="447"/>
        <v>X</v>
      </c>
      <c r="N2173" t="s">
        <v>27</v>
      </c>
    </row>
    <row r="2174" spans="1:14" x14ac:dyDescent="0.25">
      <c r="A2174" t="s">
        <v>14</v>
      </c>
      <c r="B2174" t="s">
        <v>40</v>
      </c>
      <c r="C2174" t="s">
        <v>36</v>
      </c>
      <c r="D2174" t="s">
        <v>29</v>
      </c>
      <c r="E2174" t="s">
        <v>26</v>
      </c>
      <c r="F2174" t="s">
        <v>18</v>
      </c>
      <c r="G2174" s="1" t="str">
        <f t="shared" si="447"/>
        <v>X</v>
      </c>
      <c r="H2174" s="1" t="str">
        <f t="shared" si="447"/>
        <v>X</v>
      </c>
      <c r="I2174" s="1" t="str">
        <f t="shared" si="447"/>
        <v>X</v>
      </c>
      <c r="J2174" s="1" t="str">
        <f t="shared" si="447"/>
        <v>X</v>
      </c>
      <c r="K2174" s="1" t="str">
        <f t="shared" si="447"/>
        <v>X</v>
      </c>
      <c r="L2174" s="1" t="str">
        <f t="shared" si="447"/>
        <v>X</v>
      </c>
      <c r="M2174" s="1" t="str">
        <f t="shared" si="447"/>
        <v>X</v>
      </c>
      <c r="N2174" t="s">
        <v>27</v>
      </c>
    </row>
    <row r="2175" spans="1:14" x14ac:dyDescent="0.25">
      <c r="A2175" t="s">
        <v>14</v>
      </c>
      <c r="B2175" t="s">
        <v>40</v>
      </c>
      <c r="C2175" t="s">
        <v>36</v>
      </c>
      <c r="D2175" t="s">
        <v>29</v>
      </c>
      <c r="E2175" t="s">
        <v>26</v>
      </c>
      <c r="F2175" t="s">
        <v>19</v>
      </c>
      <c r="G2175" s="1" t="str">
        <f t="shared" ref="G2175:M2175" si="448">"..."</f>
        <v>...</v>
      </c>
      <c r="H2175" s="1" t="str">
        <f t="shared" si="448"/>
        <v>...</v>
      </c>
      <c r="I2175" s="1" t="str">
        <f t="shared" si="448"/>
        <v>...</v>
      </c>
      <c r="J2175" s="1" t="str">
        <f t="shared" si="448"/>
        <v>...</v>
      </c>
      <c r="K2175" s="1" t="str">
        <f t="shared" si="448"/>
        <v>...</v>
      </c>
      <c r="L2175" s="1" t="str">
        <f t="shared" si="448"/>
        <v>...</v>
      </c>
      <c r="M2175" s="1" t="str">
        <f t="shared" si="448"/>
        <v>...</v>
      </c>
      <c r="N2175" t="s">
        <v>30</v>
      </c>
    </row>
    <row r="2176" spans="1:14" x14ac:dyDescent="0.25">
      <c r="A2176" t="s">
        <v>14</v>
      </c>
      <c r="B2176" t="s">
        <v>40</v>
      </c>
      <c r="C2176" t="s">
        <v>36</v>
      </c>
      <c r="D2176" t="s">
        <v>29</v>
      </c>
      <c r="E2176" t="s">
        <v>26</v>
      </c>
      <c r="F2176" t="s">
        <v>20</v>
      </c>
      <c r="G2176" s="1" t="str">
        <f t="shared" ref="G2176:M2176" si="449">"X"</f>
        <v>X</v>
      </c>
      <c r="H2176" s="1" t="str">
        <f t="shared" si="449"/>
        <v>X</v>
      </c>
      <c r="I2176" s="1" t="str">
        <f t="shared" si="449"/>
        <v>X</v>
      </c>
      <c r="J2176" s="1" t="str">
        <f t="shared" si="449"/>
        <v>X</v>
      </c>
      <c r="K2176" s="1" t="str">
        <f t="shared" si="449"/>
        <v>X</v>
      </c>
      <c r="L2176" s="1" t="str">
        <f t="shared" si="449"/>
        <v>X</v>
      </c>
      <c r="M2176" s="1" t="str">
        <f t="shared" si="449"/>
        <v>X</v>
      </c>
      <c r="N2176" t="s">
        <v>27</v>
      </c>
    </row>
    <row r="2177" spans="1:14" x14ac:dyDescent="0.25">
      <c r="A2177" t="s">
        <v>14</v>
      </c>
      <c r="B2177" t="s">
        <v>40</v>
      </c>
      <c r="C2177" t="s">
        <v>36</v>
      </c>
      <c r="D2177" t="s">
        <v>31</v>
      </c>
      <c r="E2177" t="s">
        <v>15</v>
      </c>
      <c r="F2177" t="s">
        <v>15</v>
      </c>
      <c r="G2177" s="2">
        <f>VALUE(1319.3153740924)</f>
        <v>1319.3153740923999</v>
      </c>
      <c r="H2177" s="3">
        <f>VALUE(1127.8533653572)</f>
        <v>1127.8533653571999</v>
      </c>
      <c r="I2177" s="1">
        <f>VALUE(3000)</f>
        <v>3000</v>
      </c>
      <c r="J2177" s="1">
        <f>VALUE(3365)</f>
        <v>3365</v>
      </c>
      <c r="K2177" s="6">
        <f>VALUE(4024)</f>
        <v>4024</v>
      </c>
      <c r="L2177" s="1">
        <f>VALUE(5368)</f>
        <v>5368</v>
      </c>
      <c r="M2177" s="1">
        <f>VALUE(6509)</f>
        <v>6509</v>
      </c>
      <c r="N2177" t="s">
        <v>25</v>
      </c>
    </row>
    <row r="2178" spans="1:14" x14ac:dyDescent="0.25">
      <c r="A2178" t="s">
        <v>14</v>
      </c>
      <c r="B2178" t="s">
        <v>40</v>
      </c>
      <c r="C2178" t="s">
        <v>36</v>
      </c>
      <c r="D2178" t="s">
        <v>31</v>
      </c>
      <c r="E2178" t="s">
        <v>15</v>
      </c>
      <c r="F2178" t="s">
        <v>17</v>
      </c>
      <c r="G2178" s="1" t="str">
        <f t="shared" ref="G2178:M2178" si="450">"X"</f>
        <v>X</v>
      </c>
      <c r="H2178" s="1" t="str">
        <f t="shared" si="450"/>
        <v>X</v>
      </c>
      <c r="I2178" s="1" t="str">
        <f t="shared" si="450"/>
        <v>X</v>
      </c>
      <c r="J2178" s="1" t="str">
        <f t="shared" si="450"/>
        <v>X</v>
      </c>
      <c r="K2178" s="1" t="str">
        <f t="shared" si="450"/>
        <v>X</v>
      </c>
      <c r="L2178" s="1" t="str">
        <f t="shared" si="450"/>
        <v>X</v>
      </c>
      <c r="M2178" s="1" t="str">
        <f t="shared" si="450"/>
        <v>X</v>
      </c>
      <c r="N2178" t="s">
        <v>27</v>
      </c>
    </row>
    <row r="2179" spans="1:14" x14ac:dyDescent="0.25">
      <c r="A2179" t="s">
        <v>14</v>
      </c>
      <c r="B2179" t="s">
        <v>40</v>
      </c>
      <c r="C2179" t="s">
        <v>36</v>
      </c>
      <c r="D2179" t="s">
        <v>31</v>
      </c>
      <c r="E2179" t="s">
        <v>15</v>
      </c>
      <c r="F2179" t="s">
        <v>18</v>
      </c>
      <c r="G2179" s="2">
        <f>VALUE(168.1292012006)</f>
        <v>168.12920120059999</v>
      </c>
      <c r="H2179" s="3">
        <f>VALUE(148.7579177875)</f>
        <v>148.75791778749999</v>
      </c>
      <c r="I2179" s="1">
        <f>VALUE(3261)</f>
        <v>3261</v>
      </c>
      <c r="J2179" s="5">
        <f>VALUE(3951)</f>
        <v>3951</v>
      </c>
      <c r="K2179" s="6">
        <f>VALUE(5333)</f>
        <v>5333</v>
      </c>
      <c r="L2179" s="1">
        <f>VALUE(6509)</f>
        <v>6509</v>
      </c>
      <c r="M2179" s="8">
        <f>VALUE(8667)</f>
        <v>8667</v>
      </c>
      <c r="N2179" t="s">
        <v>25</v>
      </c>
    </row>
    <row r="2180" spans="1:14" x14ac:dyDescent="0.25">
      <c r="A2180" t="s">
        <v>14</v>
      </c>
      <c r="B2180" t="s">
        <v>40</v>
      </c>
      <c r="C2180" t="s">
        <v>36</v>
      </c>
      <c r="D2180" t="s">
        <v>31</v>
      </c>
      <c r="E2180" t="s">
        <v>15</v>
      </c>
      <c r="F2180" t="s">
        <v>19</v>
      </c>
      <c r="G2180" s="1" t="str">
        <f t="shared" ref="G2180:M2180" si="451">"X"</f>
        <v>X</v>
      </c>
      <c r="H2180" s="1" t="str">
        <f t="shared" si="451"/>
        <v>X</v>
      </c>
      <c r="I2180" s="1" t="str">
        <f t="shared" si="451"/>
        <v>X</v>
      </c>
      <c r="J2180" s="1" t="str">
        <f t="shared" si="451"/>
        <v>X</v>
      </c>
      <c r="K2180" s="1" t="str">
        <f t="shared" si="451"/>
        <v>X</v>
      </c>
      <c r="L2180" s="1" t="str">
        <f t="shared" si="451"/>
        <v>X</v>
      </c>
      <c r="M2180" s="1" t="str">
        <f t="shared" si="451"/>
        <v>X</v>
      </c>
      <c r="N2180" t="s">
        <v>27</v>
      </c>
    </row>
    <row r="2181" spans="1:14" x14ac:dyDescent="0.25">
      <c r="A2181" t="s">
        <v>14</v>
      </c>
      <c r="B2181" t="s">
        <v>40</v>
      </c>
      <c r="C2181" t="s">
        <v>36</v>
      </c>
      <c r="D2181" t="s">
        <v>31</v>
      </c>
      <c r="E2181" t="s">
        <v>15</v>
      </c>
      <c r="F2181" t="s">
        <v>20</v>
      </c>
      <c r="G2181" s="2">
        <f>VALUE(886.0052987435)</f>
        <v>886.00529874350002</v>
      </c>
      <c r="H2181" s="3">
        <f>VALUE(750.1377745841)</f>
        <v>750.13777458410004</v>
      </c>
      <c r="I2181" s="4">
        <f>VALUE(3000)</f>
        <v>3000</v>
      </c>
      <c r="J2181" s="1">
        <f>VALUE(3238)</f>
        <v>3238</v>
      </c>
      <c r="K2181" s="1">
        <f>VALUE(3688)</f>
        <v>3688</v>
      </c>
      <c r="L2181" s="7">
        <f>VALUE(4800)</f>
        <v>4800</v>
      </c>
      <c r="M2181" s="1">
        <f>VALUE(6046)</f>
        <v>6046</v>
      </c>
      <c r="N2181" t="s">
        <v>25</v>
      </c>
    </row>
    <row r="2182" spans="1:14" x14ac:dyDescent="0.25">
      <c r="A2182" t="s">
        <v>14</v>
      </c>
      <c r="B2182" t="s">
        <v>40</v>
      </c>
      <c r="C2182" t="s">
        <v>36</v>
      </c>
      <c r="D2182" t="s">
        <v>31</v>
      </c>
      <c r="E2182" t="s">
        <v>21</v>
      </c>
      <c r="F2182" t="s">
        <v>15</v>
      </c>
      <c r="G2182" s="2">
        <f>VALUE(452.5062402106)</f>
        <v>452.50624021060003</v>
      </c>
      <c r="H2182" s="3">
        <f>VALUE(383.0623266321)</f>
        <v>383.0623266321</v>
      </c>
      <c r="I2182" s="4">
        <f>VALUE(4000)</f>
        <v>4000</v>
      </c>
      <c r="J2182" s="1">
        <f>VALUE(4588)</f>
        <v>4588</v>
      </c>
      <c r="K2182" s="1">
        <f>VALUE(5347)</f>
        <v>5347</v>
      </c>
      <c r="L2182" s="1">
        <f>VALUE(6350)</f>
        <v>6350</v>
      </c>
      <c r="M2182" s="1">
        <f>VALUE(7991)</f>
        <v>7991</v>
      </c>
      <c r="N2182" t="s">
        <v>25</v>
      </c>
    </row>
    <row r="2183" spans="1:14" x14ac:dyDescent="0.25">
      <c r="A2183" t="s">
        <v>14</v>
      </c>
      <c r="B2183" t="s">
        <v>40</v>
      </c>
      <c r="C2183" t="s">
        <v>36</v>
      </c>
      <c r="D2183" t="s">
        <v>31</v>
      </c>
      <c r="E2183" t="s">
        <v>21</v>
      </c>
      <c r="F2183" t="s">
        <v>17</v>
      </c>
      <c r="G2183" s="1" t="str">
        <f t="shared" ref="G2183:M2185" si="452">"X"</f>
        <v>X</v>
      </c>
      <c r="H2183" s="1" t="str">
        <f t="shared" si="452"/>
        <v>X</v>
      </c>
      <c r="I2183" s="1" t="str">
        <f t="shared" si="452"/>
        <v>X</v>
      </c>
      <c r="J2183" s="1" t="str">
        <f t="shared" si="452"/>
        <v>X</v>
      </c>
      <c r="K2183" s="1" t="str">
        <f t="shared" si="452"/>
        <v>X</v>
      </c>
      <c r="L2183" s="1" t="str">
        <f t="shared" si="452"/>
        <v>X</v>
      </c>
      <c r="M2183" s="1" t="str">
        <f t="shared" si="452"/>
        <v>X</v>
      </c>
      <c r="N2183" t="s">
        <v>27</v>
      </c>
    </row>
    <row r="2184" spans="1:14" x14ac:dyDescent="0.25">
      <c r="A2184" t="s">
        <v>14</v>
      </c>
      <c r="B2184" t="s">
        <v>40</v>
      </c>
      <c r="C2184" t="s">
        <v>36</v>
      </c>
      <c r="D2184" t="s">
        <v>31</v>
      </c>
      <c r="E2184" t="s">
        <v>21</v>
      </c>
      <c r="F2184" t="s">
        <v>18</v>
      </c>
      <c r="G2184" s="1" t="str">
        <f t="shared" si="452"/>
        <v>X</v>
      </c>
      <c r="H2184" s="1" t="str">
        <f t="shared" si="452"/>
        <v>X</v>
      </c>
      <c r="I2184" s="1" t="str">
        <f t="shared" si="452"/>
        <v>X</v>
      </c>
      <c r="J2184" s="1" t="str">
        <f t="shared" si="452"/>
        <v>X</v>
      </c>
      <c r="K2184" s="1" t="str">
        <f t="shared" si="452"/>
        <v>X</v>
      </c>
      <c r="L2184" s="1" t="str">
        <f t="shared" si="452"/>
        <v>X</v>
      </c>
      <c r="M2184" s="1" t="str">
        <f t="shared" si="452"/>
        <v>X</v>
      </c>
      <c r="N2184" t="s">
        <v>27</v>
      </c>
    </row>
    <row r="2185" spans="1:14" x14ac:dyDescent="0.25">
      <c r="A2185" t="s">
        <v>14</v>
      </c>
      <c r="B2185" t="s">
        <v>40</v>
      </c>
      <c r="C2185" t="s">
        <v>36</v>
      </c>
      <c r="D2185" t="s">
        <v>31</v>
      </c>
      <c r="E2185" t="s">
        <v>21</v>
      </c>
      <c r="F2185" t="s">
        <v>19</v>
      </c>
      <c r="G2185" s="1" t="str">
        <f t="shared" si="452"/>
        <v>X</v>
      </c>
      <c r="H2185" s="1" t="str">
        <f t="shared" si="452"/>
        <v>X</v>
      </c>
      <c r="I2185" s="1" t="str">
        <f t="shared" si="452"/>
        <v>X</v>
      </c>
      <c r="J2185" s="1" t="str">
        <f t="shared" si="452"/>
        <v>X</v>
      </c>
      <c r="K2185" s="1" t="str">
        <f t="shared" si="452"/>
        <v>X</v>
      </c>
      <c r="L2185" s="1" t="str">
        <f t="shared" si="452"/>
        <v>X</v>
      </c>
      <c r="M2185" s="1" t="str">
        <f t="shared" si="452"/>
        <v>X</v>
      </c>
      <c r="N2185" t="s">
        <v>27</v>
      </c>
    </row>
    <row r="2186" spans="1:14" x14ac:dyDescent="0.25">
      <c r="A2186" t="s">
        <v>14</v>
      </c>
      <c r="B2186" t="s">
        <v>40</v>
      </c>
      <c r="C2186" t="s">
        <v>36</v>
      </c>
      <c r="D2186" t="s">
        <v>31</v>
      </c>
      <c r="E2186" t="s">
        <v>21</v>
      </c>
      <c r="F2186" t="s">
        <v>20</v>
      </c>
      <c r="G2186" s="2">
        <f>VALUE(185.78677123)</f>
        <v>185.78677123</v>
      </c>
      <c r="H2186" s="3">
        <f>VALUE(170.3762845679)</f>
        <v>170.3762845679</v>
      </c>
      <c r="I2186" s="4">
        <f>VALUE(4175)</f>
        <v>4175</v>
      </c>
      <c r="J2186" s="1">
        <f>VALUE(4707)</f>
        <v>4707</v>
      </c>
      <c r="K2186" s="1">
        <f>VALUE(5338)</f>
        <v>5338</v>
      </c>
      <c r="L2186" s="1">
        <f>VALUE(6146)</f>
        <v>6146</v>
      </c>
      <c r="M2186" s="1">
        <f>VALUE(7072)</f>
        <v>7072</v>
      </c>
      <c r="N2186" t="s">
        <v>25</v>
      </c>
    </row>
    <row r="2187" spans="1:14" x14ac:dyDescent="0.25">
      <c r="A2187" t="s">
        <v>14</v>
      </c>
      <c r="B2187" t="s">
        <v>40</v>
      </c>
      <c r="C2187" t="s">
        <v>36</v>
      </c>
      <c r="D2187" t="s">
        <v>31</v>
      </c>
      <c r="E2187" t="s">
        <v>22</v>
      </c>
      <c r="F2187" t="s">
        <v>15</v>
      </c>
      <c r="G2187" s="2">
        <f>VALUE(254.4653711131)</f>
        <v>254.46537111309999</v>
      </c>
      <c r="H2187" s="3">
        <f>VALUE(230.9379981714)</f>
        <v>230.93799817140001</v>
      </c>
      <c r="I2187" s="1">
        <f>VALUE(3464)</f>
        <v>3464</v>
      </c>
      <c r="J2187" s="5">
        <f>VALUE(3643)</f>
        <v>3643</v>
      </c>
      <c r="K2187" s="1">
        <f>VALUE(4517)</f>
        <v>4517</v>
      </c>
      <c r="L2187" s="1">
        <f>VALUE(5356)</f>
        <v>5356</v>
      </c>
      <c r="M2187" s="8">
        <f>VALUE(5958)</f>
        <v>5958</v>
      </c>
      <c r="N2187" t="s">
        <v>25</v>
      </c>
    </row>
    <row r="2188" spans="1:14" x14ac:dyDescent="0.25">
      <c r="A2188" t="s">
        <v>14</v>
      </c>
      <c r="B2188" t="s">
        <v>40</v>
      </c>
      <c r="C2188" t="s">
        <v>36</v>
      </c>
      <c r="D2188" t="s">
        <v>31</v>
      </c>
      <c r="E2188" t="s">
        <v>22</v>
      </c>
      <c r="F2188" t="s">
        <v>17</v>
      </c>
      <c r="G2188" s="1" t="str">
        <f t="shared" ref="G2188:M2190" si="453">"X"</f>
        <v>X</v>
      </c>
      <c r="H2188" s="1" t="str">
        <f t="shared" si="453"/>
        <v>X</v>
      </c>
      <c r="I2188" s="1" t="str">
        <f t="shared" si="453"/>
        <v>X</v>
      </c>
      <c r="J2188" s="1" t="str">
        <f t="shared" si="453"/>
        <v>X</v>
      </c>
      <c r="K2188" s="1" t="str">
        <f t="shared" si="453"/>
        <v>X</v>
      </c>
      <c r="L2188" s="1" t="str">
        <f t="shared" si="453"/>
        <v>X</v>
      </c>
      <c r="M2188" s="1" t="str">
        <f t="shared" si="453"/>
        <v>X</v>
      </c>
      <c r="N2188" t="s">
        <v>27</v>
      </c>
    </row>
    <row r="2189" spans="1:14" x14ac:dyDescent="0.25">
      <c r="A2189" t="s">
        <v>14</v>
      </c>
      <c r="B2189" t="s">
        <v>40</v>
      </c>
      <c r="C2189" t="s">
        <v>36</v>
      </c>
      <c r="D2189" t="s">
        <v>31</v>
      </c>
      <c r="E2189" t="s">
        <v>22</v>
      </c>
      <c r="F2189" t="s">
        <v>18</v>
      </c>
      <c r="G2189" s="1" t="str">
        <f t="shared" si="453"/>
        <v>X</v>
      </c>
      <c r="H2189" s="1" t="str">
        <f t="shared" si="453"/>
        <v>X</v>
      </c>
      <c r="I2189" s="1" t="str">
        <f t="shared" si="453"/>
        <v>X</v>
      </c>
      <c r="J2189" s="1" t="str">
        <f t="shared" si="453"/>
        <v>X</v>
      </c>
      <c r="K2189" s="1" t="str">
        <f t="shared" si="453"/>
        <v>X</v>
      </c>
      <c r="L2189" s="1" t="str">
        <f t="shared" si="453"/>
        <v>X</v>
      </c>
      <c r="M2189" s="1" t="str">
        <f t="shared" si="453"/>
        <v>X</v>
      </c>
      <c r="N2189" t="s">
        <v>27</v>
      </c>
    </row>
    <row r="2190" spans="1:14" x14ac:dyDescent="0.25">
      <c r="A2190" t="s">
        <v>14</v>
      </c>
      <c r="B2190" t="s">
        <v>40</v>
      </c>
      <c r="C2190" t="s">
        <v>36</v>
      </c>
      <c r="D2190" t="s">
        <v>31</v>
      </c>
      <c r="E2190" t="s">
        <v>22</v>
      </c>
      <c r="F2190" t="s">
        <v>19</v>
      </c>
      <c r="G2190" s="1" t="str">
        <f t="shared" si="453"/>
        <v>X</v>
      </c>
      <c r="H2190" s="1" t="str">
        <f t="shared" si="453"/>
        <v>X</v>
      </c>
      <c r="I2190" s="1" t="str">
        <f t="shared" si="453"/>
        <v>X</v>
      </c>
      <c r="J2190" s="1" t="str">
        <f t="shared" si="453"/>
        <v>X</v>
      </c>
      <c r="K2190" s="1" t="str">
        <f t="shared" si="453"/>
        <v>X</v>
      </c>
      <c r="L2190" s="1" t="str">
        <f t="shared" si="453"/>
        <v>X</v>
      </c>
      <c r="M2190" s="1" t="str">
        <f t="shared" si="453"/>
        <v>X</v>
      </c>
      <c r="N2190" t="s">
        <v>27</v>
      </c>
    </row>
    <row r="2191" spans="1:14" x14ac:dyDescent="0.25">
      <c r="A2191" t="s">
        <v>14</v>
      </c>
      <c r="B2191" t="s">
        <v>40</v>
      </c>
      <c r="C2191" t="s">
        <v>36</v>
      </c>
      <c r="D2191" t="s">
        <v>31</v>
      </c>
      <c r="E2191" t="s">
        <v>22</v>
      </c>
      <c r="F2191" t="s">
        <v>20</v>
      </c>
      <c r="G2191" s="2">
        <f>VALUE(187.0336043424)</f>
        <v>187.0336043424</v>
      </c>
      <c r="H2191" s="3">
        <f>VALUE(165.8759507256)</f>
        <v>165.87595072560001</v>
      </c>
      <c r="I2191" s="1">
        <f>VALUE(3198)</f>
        <v>3198</v>
      </c>
      <c r="J2191" s="1">
        <f>VALUE(3555)</f>
        <v>3555</v>
      </c>
      <c r="K2191" s="6">
        <f>VALUE(4115)</f>
        <v>4115</v>
      </c>
      <c r="L2191" s="1">
        <f>VALUE(4950)</f>
        <v>4950</v>
      </c>
      <c r="M2191" s="8">
        <f>VALUE(5399)</f>
        <v>5399</v>
      </c>
      <c r="N2191" t="s">
        <v>25</v>
      </c>
    </row>
    <row r="2192" spans="1:14" x14ac:dyDescent="0.25">
      <c r="A2192" t="s">
        <v>14</v>
      </c>
      <c r="B2192" t="s">
        <v>40</v>
      </c>
      <c r="C2192" t="s">
        <v>36</v>
      </c>
      <c r="D2192" t="s">
        <v>31</v>
      </c>
      <c r="E2192" t="s">
        <v>23</v>
      </c>
      <c r="F2192" t="s">
        <v>15</v>
      </c>
      <c r="G2192" s="2">
        <f>VALUE(589.6609127773)</f>
        <v>589.66091277730004</v>
      </c>
      <c r="H2192" s="3">
        <f>VALUE(493.426577405)</f>
        <v>493.42657740499999</v>
      </c>
      <c r="I2192" s="4">
        <f>VALUE(2796)</f>
        <v>2796</v>
      </c>
      <c r="J2192" s="1">
        <f>VALUE(3073)</f>
        <v>3073</v>
      </c>
      <c r="K2192" s="1">
        <f>VALUE(3405)</f>
        <v>3405</v>
      </c>
      <c r="L2192" s="1">
        <f>VALUE(3688)</f>
        <v>3688</v>
      </c>
      <c r="M2192" s="1">
        <f>VALUE(4198)</f>
        <v>4198</v>
      </c>
      <c r="N2192" t="s">
        <v>25</v>
      </c>
    </row>
    <row r="2193" spans="1:14" x14ac:dyDescent="0.25">
      <c r="A2193" t="s">
        <v>14</v>
      </c>
      <c r="B2193" t="s">
        <v>40</v>
      </c>
      <c r="C2193" t="s">
        <v>36</v>
      </c>
      <c r="D2193" t="s">
        <v>31</v>
      </c>
      <c r="E2193" t="s">
        <v>23</v>
      </c>
      <c r="F2193" t="s">
        <v>17</v>
      </c>
      <c r="G2193" s="1" t="str">
        <f t="shared" ref="G2193:M2195" si="454">"X"</f>
        <v>X</v>
      </c>
      <c r="H2193" s="1" t="str">
        <f t="shared" si="454"/>
        <v>X</v>
      </c>
      <c r="I2193" s="1" t="str">
        <f t="shared" si="454"/>
        <v>X</v>
      </c>
      <c r="J2193" s="1" t="str">
        <f t="shared" si="454"/>
        <v>X</v>
      </c>
      <c r="K2193" s="1" t="str">
        <f t="shared" si="454"/>
        <v>X</v>
      </c>
      <c r="L2193" s="1" t="str">
        <f t="shared" si="454"/>
        <v>X</v>
      </c>
      <c r="M2193" s="1" t="str">
        <f t="shared" si="454"/>
        <v>X</v>
      </c>
      <c r="N2193" t="s">
        <v>27</v>
      </c>
    </row>
    <row r="2194" spans="1:14" x14ac:dyDescent="0.25">
      <c r="A2194" t="s">
        <v>14</v>
      </c>
      <c r="B2194" t="s">
        <v>40</v>
      </c>
      <c r="C2194" t="s">
        <v>36</v>
      </c>
      <c r="D2194" t="s">
        <v>31</v>
      </c>
      <c r="E2194" t="s">
        <v>23</v>
      </c>
      <c r="F2194" t="s">
        <v>18</v>
      </c>
      <c r="G2194" s="1" t="str">
        <f t="shared" si="454"/>
        <v>X</v>
      </c>
      <c r="H2194" s="1" t="str">
        <f t="shared" si="454"/>
        <v>X</v>
      </c>
      <c r="I2194" s="1" t="str">
        <f t="shared" si="454"/>
        <v>X</v>
      </c>
      <c r="J2194" s="1" t="str">
        <f t="shared" si="454"/>
        <v>X</v>
      </c>
      <c r="K2194" s="1" t="str">
        <f t="shared" si="454"/>
        <v>X</v>
      </c>
      <c r="L2194" s="1" t="str">
        <f t="shared" si="454"/>
        <v>X</v>
      </c>
      <c r="M2194" s="1" t="str">
        <f t="shared" si="454"/>
        <v>X</v>
      </c>
      <c r="N2194" t="s">
        <v>27</v>
      </c>
    </row>
    <row r="2195" spans="1:14" x14ac:dyDescent="0.25">
      <c r="A2195" t="s">
        <v>14</v>
      </c>
      <c r="B2195" t="s">
        <v>40</v>
      </c>
      <c r="C2195" t="s">
        <v>36</v>
      </c>
      <c r="D2195" t="s">
        <v>31</v>
      </c>
      <c r="E2195" t="s">
        <v>23</v>
      </c>
      <c r="F2195" t="s">
        <v>19</v>
      </c>
      <c r="G2195" s="1" t="str">
        <f t="shared" si="454"/>
        <v>X</v>
      </c>
      <c r="H2195" s="1" t="str">
        <f t="shared" si="454"/>
        <v>X</v>
      </c>
      <c r="I2195" s="1" t="str">
        <f t="shared" si="454"/>
        <v>X</v>
      </c>
      <c r="J2195" s="1" t="str">
        <f t="shared" si="454"/>
        <v>X</v>
      </c>
      <c r="K2195" s="1" t="str">
        <f t="shared" si="454"/>
        <v>X</v>
      </c>
      <c r="L2195" s="1" t="str">
        <f t="shared" si="454"/>
        <v>X</v>
      </c>
      <c r="M2195" s="1" t="str">
        <f t="shared" si="454"/>
        <v>X</v>
      </c>
      <c r="N2195" t="s">
        <v>27</v>
      </c>
    </row>
    <row r="2196" spans="1:14" x14ac:dyDescent="0.25">
      <c r="A2196" t="s">
        <v>14</v>
      </c>
      <c r="B2196" t="s">
        <v>40</v>
      </c>
      <c r="C2196" t="s">
        <v>36</v>
      </c>
      <c r="D2196" t="s">
        <v>31</v>
      </c>
      <c r="E2196" t="s">
        <v>23</v>
      </c>
      <c r="F2196" t="s">
        <v>20</v>
      </c>
      <c r="G2196" s="2">
        <f>VALUE(498.3712148079)</f>
        <v>498.3712148079</v>
      </c>
      <c r="H2196" s="3">
        <f>VALUE(401.7216748513)</f>
        <v>401.72167485130001</v>
      </c>
      <c r="I2196" s="1">
        <f>VALUE(2860)</f>
        <v>2860</v>
      </c>
      <c r="J2196" s="1">
        <f>VALUE(3073)</f>
        <v>3073</v>
      </c>
      <c r="K2196" s="1">
        <f>VALUE(3405)</f>
        <v>3405</v>
      </c>
      <c r="L2196" s="1">
        <f>VALUE(3688)</f>
        <v>3688</v>
      </c>
      <c r="M2196" s="1">
        <f>VALUE(4081)</f>
        <v>4081</v>
      </c>
      <c r="N2196" t="s">
        <v>25</v>
      </c>
    </row>
    <row r="2197" spans="1:14" x14ac:dyDescent="0.25">
      <c r="A2197" t="s">
        <v>14</v>
      </c>
      <c r="B2197" t="s">
        <v>40</v>
      </c>
      <c r="C2197" t="s">
        <v>36</v>
      </c>
      <c r="D2197" t="s">
        <v>31</v>
      </c>
      <c r="E2197" t="s">
        <v>26</v>
      </c>
      <c r="F2197" t="s">
        <v>15</v>
      </c>
      <c r="G2197" s="1" t="str">
        <f t="shared" ref="G2197:M2199" si="455">"X"</f>
        <v>X</v>
      </c>
      <c r="H2197" s="1" t="str">
        <f t="shared" si="455"/>
        <v>X</v>
      </c>
      <c r="I2197" s="1" t="str">
        <f t="shared" si="455"/>
        <v>X</v>
      </c>
      <c r="J2197" s="1" t="str">
        <f t="shared" si="455"/>
        <v>X</v>
      </c>
      <c r="K2197" s="1" t="str">
        <f t="shared" si="455"/>
        <v>X</v>
      </c>
      <c r="L2197" s="1" t="str">
        <f t="shared" si="455"/>
        <v>X</v>
      </c>
      <c r="M2197" s="1" t="str">
        <f t="shared" si="455"/>
        <v>X</v>
      </c>
      <c r="N2197" t="s">
        <v>27</v>
      </c>
    </row>
    <row r="2198" spans="1:14" x14ac:dyDescent="0.25">
      <c r="A2198" t="s">
        <v>14</v>
      </c>
      <c r="B2198" t="s">
        <v>40</v>
      </c>
      <c r="C2198" t="s">
        <v>36</v>
      </c>
      <c r="D2198" t="s">
        <v>31</v>
      </c>
      <c r="E2198" t="s">
        <v>26</v>
      </c>
      <c r="F2198" t="s">
        <v>17</v>
      </c>
      <c r="G2198" s="1" t="str">
        <f t="shared" si="455"/>
        <v>X</v>
      </c>
      <c r="H2198" s="1" t="str">
        <f t="shared" si="455"/>
        <v>X</v>
      </c>
      <c r="I2198" s="1" t="str">
        <f t="shared" si="455"/>
        <v>X</v>
      </c>
      <c r="J2198" s="1" t="str">
        <f t="shared" si="455"/>
        <v>X</v>
      </c>
      <c r="K2198" s="1" t="str">
        <f t="shared" si="455"/>
        <v>X</v>
      </c>
      <c r="L2198" s="1" t="str">
        <f t="shared" si="455"/>
        <v>X</v>
      </c>
      <c r="M2198" s="1" t="str">
        <f t="shared" si="455"/>
        <v>X</v>
      </c>
      <c r="N2198" t="s">
        <v>27</v>
      </c>
    </row>
    <row r="2199" spans="1:14" x14ac:dyDescent="0.25">
      <c r="A2199" t="s">
        <v>14</v>
      </c>
      <c r="B2199" t="s">
        <v>40</v>
      </c>
      <c r="C2199" t="s">
        <v>36</v>
      </c>
      <c r="D2199" t="s">
        <v>31</v>
      </c>
      <c r="E2199" t="s">
        <v>26</v>
      </c>
      <c r="F2199" t="s">
        <v>18</v>
      </c>
      <c r="G2199" s="1" t="str">
        <f t="shared" si="455"/>
        <v>X</v>
      </c>
      <c r="H2199" s="1" t="str">
        <f t="shared" si="455"/>
        <v>X</v>
      </c>
      <c r="I2199" s="1" t="str">
        <f t="shared" si="455"/>
        <v>X</v>
      </c>
      <c r="J2199" s="1" t="str">
        <f t="shared" si="455"/>
        <v>X</v>
      </c>
      <c r="K2199" s="1" t="str">
        <f t="shared" si="455"/>
        <v>X</v>
      </c>
      <c r="L2199" s="1" t="str">
        <f t="shared" si="455"/>
        <v>X</v>
      </c>
      <c r="M2199" s="1" t="str">
        <f t="shared" si="455"/>
        <v>X</v>
      </c>
      <c r="N2199" t="s">
        <v>27</v>
      </c>
    </row>
    <row r="2200" spans="1:14" x14ac:dyDescent="0.25">
      <c r="A2200" t="s">
        <v>14</v>
      </c>
      <c r="B2200" t="s">
        <v>40</v>
      </c>
      <c r="C2200" t="s">
        <v>36</v>
      </c>
      <c r="D2200" t="s">
        <v>31</v>
      </c>
      <c r="E2200" t="s">
        <v>26</v>
      </c>
      <c r="F2200" t="s">
        <v>19</v>
      </c>
      <c r="G2200" s="1" t="str">
        <f t="shared" ref="G2200:M2200" si="456">"..."</f>
        <v>...</v>
      </c>
      <c r="H2200" s="1" t="str">
        <f t="shared" si="456"/>
        <v>...</v>
      </c>
      <c r="I2200" s="1" t="str">
        <f t="shared" si="456"/>
        <v>...</v>
      </c>
      <c r="J2200" s="1" t="str">
        <f t="shared" si="456"/>
        <v>...</v>
      </c>
      <c r="K2200" s="1" t="str">
        <f t="shared" si="456"/>
        <v>...</v>
      </c>
      <c r="L2200" s="1" t="str">
        <f t="shared" si="456"/>
        <v>...</v>
      </c>
      <c r="M2200" s="1" t="str">
        <f t="shared" si="456"/>
        <v>...</v>
      </c>
      <c r="N2200" t="s">
        <v>30</v>
      </c>
    </row>
    <row r="2201" spans="1:14" x14ac:dyDescent="0.25">
      <c r="A2201" t="s">
        <v>14</v>
      </c>
      <c r="B2201" t="s">
        <v>40</v>
      </c>
      <c r="C2201" t="s">
        <v>36</v>
      </c>
      <c r="D2201" t="s">
        <v>31</v>
      </c>
      <c r="E2201" t="s">
        <v>26</v>
      </c>
      <c r="F2201" t="s">
        <v>20</v>
      </c>
      <c r="G2201" s="1" t="str">
        <f t="shared" ref="G2201:M2201" si="457">"X"</f>
        <v>X</v>
      </c>
      <c r="H2201" s="1" t="str">
        <f t="shared" si="457"/>
        <v>X</v>
      </c>
      <c r="I2201" s="1" t="str">
        <f t="shared" si="457"/>
        <v>X</v>
      </c>
      <c r="J2201" s="1" t="str">
        <f t="shared" si="457"/>
        <v>X</v>
      </c>
      <c r="K2201" s="1" t="str">
        <f t="shared" si="457"/>
        <v>X</v>
      </c>
      <c r="L2201" s="1" t="str">
        <f t="shared" si="457"/>
        <v>X</v>
      </c>
      <c r="M2201" s="1" t="str">
        <f t="shared" si="457"/>
        <v>X</v>
      </c>
      <c r="N2201" t="s">
        <v>27</v>
      </c>
    </row>
    <row r="2202" spans="1:14" x14ac:dyDescent="0.25">
      <c r="A2202" t="s">
        <v>14</v>
      </c>
      <c r="B2202" t="s">
        <v>40</v>
      </c>
      <c r="C2202" t="s">
        <v>36</v>
      </c>
      <c r="D2202" t="s">
        <v>32</v>
      </c>
      <c r="E2202" t="s">
        <v>15</v>
      </c>
      <c r="F2202" t="s">
        <v>15</v>
      </c>
      <c r="G2202" s="1">
        <f>VALUE(4354.1137962827)</f>
        <v>4354.1137962826997</v>
      </c>
      <c r="H2202" s="1">
        <f>VALUE(4007.9493278249)</f>
        <v>4007.9493278249001</v>
      </c>
      <c r="I2202" s="1">
        <f>VALUE(2480)</f>
        <v>2480</v>
      </c>
      <c r="J2202" s="1">
        <f>VALUE(2853)</f>
        <v>2853</v>
      </c>
      <c r="K2202" s="1">
        <f>VALUE(3467)</f>
        <v>3467</v>
      </c>
      <c r="L2202" s="1">
        <f>VALUE(4385)</f>
        <v>4385</v>
      </c>
      <c r="M2202" s="1">
        <f>VALUE(5464)</f>
        <v>5464</v>
      </c>
      <c r="N2202" t="s">
        <v>16</v>
      </c>
    </row>
    <row r="2203" spans="1:14" x14ac:dyDescent="0.25">
      <c r="A2203" t="s">
        <v>14</v>
      </c>
      <c r="B2203" t="s">
        <v>40</v>
      </c>
      <c r="C2203" t="s">
        <v>36</v>
      </c>
      <c r="D2203" t="s">
        <v>32</v>
      </c>
      <c r="E2203" t="s">
        <v>15</v>
      </c>
      <c r="F2203" t="s">
        <v>17</v>
      </c>
      <c r="G2203" s="1" t="str">
        <f t="shared" ref="G2203:M2203" si="458">"X"</f>
        <v>X</v>
      </c>
      <c r="H2203" s="1" t="str">
        <f t="shared" si="458"/>
        <v>X</v>
      </c>
      <c r="I2203" s="1" t="str">
        <f t="shared" si="458"/>
        <v>X</v>
      </c>
      <c r="J2203" s="1" t="str">
        <f t="shared" si="458"/>
        <v>X</v>
      </c>
      <c r="K2203" s="1" t="str">
        <f t="shared" si="458"/>
        <v>X</v>
      </c>
      <c r="L2203" s="1" t="str">
        <f t="shared" si="458"/>
        <v>X</v>
      </c>
      <c r="M2203" s="1" t="str">
        <f t="shared" si="458"/>
        <v>X</v>
      </c>
      <c r="N2203" t="s">
        <v>27</v>
      </c>
    </row>
    <row r="2204" spans="1:14" x14ac:dyDescent="0.25">
      <c r="A2204" t="s">
        <v>14</v>
      </c>
      <c r="B2204" t="s">
        <v>40</v>
      </c>
      <c r="C2204" t="s">
        <v>36</v>
      </c>
      <c r="D2204" t="s">
        <v>32</v>
      </c>
      <c r="E2204" t="s">
        <v>15</v>
      </c>
      <c r="F2204" t="s">
        <v>18</v>
      </c>
      <c r="G2204" s="2">
        <f>VALUE(352.6838225666)</f>
        <v>352.68382256659999</v>
      </c>
      <c r="H2204" s="3">
        <f>VALUE(325.4790715599)</f>
        <v>325.47907155989998</v>
      </c>
      <c r="I2204" s="1">
        <f>VALUE(3238)</f>
        <v>3238</v>
      </c>
      <c r="J2204" s="1">
        <f>VALUE(3601)</f>
        <v>3601</v>
      </c>
      <c r="K2204" s="1">
        <f>VALUE(4434)</f>
        <v>4434</v>
      </c>
      <c r="L2204" s="1">
        <f>VALUE(5742)</f>
        <v>5742</v>
      </c>
      <c r="M2204" s="1">
        <f>VALUE(6914)</f>
        <v>6914</v>
      </c>
      <c r="N2204" t="s">
        <v>25</v>
      </c>
    </row>
    <row r="2205" spans="1:14" x14ac:dyDescent="0.25">
      <c r="A2205" t="s">
        <v>14</v>
      </c>
      <c r="B2205" t="s">
        <v>40</v>
      </c>
      <c r="C2205" t="s">
        <v>36</v>
      </c>
      <c r="D2205" t="s">
        <v>32</v>
      </c>
      <c r="E2205" t="s">
        <v>15</v>
      </c>
      <c r="F2205" t="s">
        <v>19</v>
      </c>
      <c r="G2205" s="2">
        <f>VALUE(505.0274725206)</f>
        <v>505.02747252059999</v>
      </c>
      <c r="H2205" s="3">
        <f>VALUE(477.3387947076)</f>
        <v>477.33879470760002</v>
      </c>
      <c r="I2205" s="1">
        <f>VALUE(3160)</f>
        <v>3160</v>
      </c>
      <c r="J2205" s="1">
        <f>VALUE(3353)</f>
        <v>3353</v>
      </c>
      <c r="K2205" s="1">
        <f>VALUE(4167)</f>
        <v>4167</v>
      </c>
      <c r="L2205" s="1">
        <f>VALUE(5000)</f>
        <v>5000</v>
      </c>
      <c r="M2205" s="8">
        <f>VALUE(6554)</f>
        <v>6554</v>
      </c>
      <c r="N2205" t="s">
        <v>25</v>
      </c>
    </row>
    <row r="2206" spans="1:14" x14ac:dyDescent="0.25">
      <c r="A2206" t="s">
        <v>14</v>
      </c>
      <c r="B2206" t="s">
        <v>40</v>
      </c>
      <c r="C2206" t="s">
        <v>36</v>
      </c>
      <c r="D2206" t="s">
        <v>32</v>
      </c>
      <c r="E2206" t="s">
        <v>15</v>
      </c>
      <c r="F2206" t="s">
        <v>20</v>
      </c>
      <c r="G2206" s="1">
        <f>VALUE(3398.7156706734)</f>
        <v>3398.7156706733999</v>
      </c>
      <c r="H2206" s="1">
        <f>VALUE(3114.9762441899)</f>
        <v>3114.9762441899002</v>
      </c>
      <c r="I2206" s="1">
        <f>VALUE(2435)</f>
        <v>2435</v>
      </c>
      <c r="J2206" s="1">
        <f>VALUE(2721)</f>
        <v>2721</v>
      </c>
      <c r="K2206" s="1">
        <f>VALUE(3253)</f>
        <v>3253</v>
      </c>
      <c r="L2206" s="1">
        <f>VALUE(4008)</f>
        <v>4008</v>
      </c>
      <c r="M2206" s="1">
        <f>VALUE(4905)</f>
        <v>4905</v>
      </c>
      <c r="N2206" t="s">
        <v>16</v>
      </c>
    </row>
    <row r="2207" spans="1:14" x14ac:dyDescent="0.25">
      <c r="A2207" t="s">
        <v>14</v>
      </c>
      <c r="B2207" t="s">
        <v>40</v>
      </c>
      <c r="C2207" t="s">
        <v>36</v>
      </c>
      <c r="D2207" t="s">
        <v>32</v>
      </c>
      <c r="E2207" t="s">
        <v>21</v>
      </c>
      <c r="F2207" t="s">
        <v>15</v>
      </c>
      <c r="G2207" s="2">
        <f>VALUE(830.7380916156)</f>
        <v>830.73809161559996</v>
      </c>
      <c r="H2207" s="3">
        <f>VALUE(776.5733204639)</f>
        <v>776.57332046390002</v>
      </c>
      <c r="I2207" s="1">
        <f>VALUE(3273)</f>
        <v>3273</v>
      </c>
      <c r="J2207" s="1">
        <f>VALUE(3810)</f>
        <v>3810</v>
      </c>
      <c r="K2207" s="1">
        <f>VALUE(4550)</f>
        <v>4550</v>
      </c>
      <c r="L2207" s="1">
        <f>VALUE(5585)</f>
        <v>5585</v>
      </c>
      <c r="M2207" s="1">
        <f>VALUE(6674)</f>
        <v>6674</v>
      </c>
      <c r="N2207" t="s">
        <v>25</v>
      </c>
    </row>
    <row r="2208" spans="1:14" x14ac:dyDescent="0.25">
      <c r="A2208" t="s">
        <v>14</v>
      </c>
      <c r="B2208" t="s">
        <v>40</v>
      </c>
      <c r="C2208" t="s">
        <v>36</v>
      </c>
      <c r="D2208" t="s">
        <v>32</v>
      </c>
      <c r="E2208" t="s">
        <v>21</v>
      </c>
      <c r="F2208" t="s">
        <v>17</v>
      </c>
      <c r="G2208" s="1" t="str">
        <f t="shared" ref="G2208:M2208" si="459">"X"</f>
        <v>X</v>
      </c>
      <c r="H2208" s="1" t="str">
        <f t="shared" si="459"/>
        <v>X</v>
      </c>
      <c r="I2208" s="1" t="str">
        <f t="shared" si="459"/>
        <v>X</v>
      </c>
      <c r="J2208" s="1" t="str">
        <f t="shared" si="459"/>
        <v>X</v>
      </c>
      <c r="K2208" s="1" t="str">
        <f t="shared" si="459"/>
        <v>X</v>
      </c>
      <c r="L2208" s="1" t="str">
        <f t="shared" si="459"/>
        <v>X</v>
      </c>
      <c r="M2208" s="1" t="str">
        <f t="shared" si="459"/>
        <v>X</v>
      </c>
      <c r="N2208" t="s">
        <v>27</v>
      </c>
    </row>
    <row r="2209" spans="1:14" x14ac:dyDescent="0.25">
      <c r="A2209" t="s">
        <v>14</v>
      </c>
      <c r="B2209" t="s">
        <v>40</v>
      </c>
      <c r="C2209" t="s">
        <v>36</v>
      </c>
      <c r="D2209" t="s">
        <v>32</v>
      </c>
      <c r="E2209" t="s">
        <v>21</v>
      </c>
      <c r="F2209" t="s">
        <v>18</v>
      </c>
      <c r="G2209" s="2">
        <f>VALUE(150.5047688083)</f>
        <v>150.50476880830001</v>
      </c>
      <c r="H2209" s="3">
        <f>VALUE(139.9165230946)</f>
        <v>139.9165230946</v>
      </c>
      <c r="I2209" s="4">
        <f>VALUE(3467)</f>
        <v>3467</v>
      </c>
      <c r="J2209" s="5">
        <f>VALUE(4715)</f>
        <v>4715</v>
      </c>
      <c r="K2209" s="6">
        <f>VALUE(5200)</f>
        <v>5200</v>
      </c>
      <c r="L2209" s="7">
        <f>VALUE(6640)</f>
        <v>6640</v>
      </c>
      <c r="M2209" s="1">
        <f>VALUE(7529)</f>
        <v>7529</v>
      </c>
      <c r="N2209" t="s">
        <v>25</v>
      </c>
    </row>
    <row r="2210" spans="1:14" x14ac:dyDescent="0.25">
      <c r="A2210" t="s">
        <v>14</v>
      </c>
      <c r="B2210" t="s">
        <v>40</v>
      </c>
      <c r="C2210" t="s">
        <v>36</v>
      </c>
      <c r="D2210" t="s">
        <v>32</v>
      </c>
      <c r="E2210" t="s">
        <v>21</v>
      </c>
      <c r="F2210" t="s">
        <v>19</v>
      </c>
      <c r="G2210" s="2">
        <f>VALUE(197.4944255891)</f>
        <v>197.49442558909999</v>
      </c>
      <c r="H2210" s="3">
        <f>VALUE(180.7925793966)</f>
        <v>180.79257939659999</v>
      </c>
      <c r="I2210" s="1">
        <f>VALUE(3209)</f>
        <v>3209</v>
      </c>
      <c r="J2210" s="1">
        <f>VALUE(3335)</f>
        <v>3335</v>
      </c>
      <c r="K2210" s="1">
        <f>VALUE(4360)</f>
        <v>4360</v>
      </c>
      <c r="L2210" s="1">
        <f>VALUE(5034)</f>
        <v>5034</v>
      </c>
      <c r="M2210" s="1">
        <f>VALUE(6554)</f>
        <v>6554</v>
      </c>
      <c r="N2210" t="s">
        <v>25</v>
      </c>
    </row>
    <row r="2211" spans="1:14" x14ac:dyDescent="0.25">
      <c r="A2211" t="s">
        <v>14</v>
      </c>
      <c r="B2211" t="s">
        <v>40</v>
      </c>
      <c r="C2211" t="s">
        <v>36</v>
      </c>
      <c r="D2211" t="s">
        <v>32</v>
      </c>
      <c r="E2211" t="s">
        <v>21</v>
      </c>
      <c r="F2211" t="s">
        <v>20</v>
      </c>
      <c r="G2211" s="2">
        <f>VALUE(429.2570432409)</f>
        <v>429.25704324089997</v>
      </c>
      <c r="H2211" s="3">
        <f>VALUE(410.1559773115)</f>
        <v>410.15597731150001</v>
      </c>
      <c r="I2211" s="4">
        <f>VALUE(3326)</f>
        <v>3326</v>
      </c>
      <c r="J2211" s="1">
        <f>VALUE(3772)</f>
        <v>3772</v>
      </c>
      <c r="K2211" s="1">
        <f>VALUE(4355)</f>
        <v>4355</v>
      </c>
      <c r="L2211" s="1">
        <f>VALUE(5250)</f>
        <v>5250</v>
      </c>
      <c r="M2211" s="1">
        <f>VALUE(6234)</f>
        <v>6234</v>
      </c>
      <c r="N2211" t="s">
        <v>25</v>
      </c>
    </row>
    <row r="2212" spans="1:14" x14ac:dyDescent="0.25">
      <c r="A2212" t="s">
        <v>14</v>
      </c>
      <c r="B2212" t="s">
        <v>40</v>
      </c>
      <c r="C2212" t="s">
        <v>36</v>
      </c>
      <c r="D2212" t="s">
        <v>32</v>
      </c>
      <c r="E2212" t="s">
        <v>22</v>
      </c>
      <c r="F2212" t="s">
        <v>15</v>
      </c>
      <c r="G2212" s="1">
        <f>VALUE(854.0186307138)</f>
        <v>854.01863071380001</v>
      </c>
      <c r="H2212" s="1">
        <f>VALUE(802.3471979832)</f>
        <v>802.34719798319998</v>
      </c>
      <c r="I2212" s="4">
        <f>VALUE(2759)</f>
        <v>2759</v>
      </c>
      <c r="J2212" s="1">
        <f>VALUE(3295)</f>
        <v>3295</v>
      </c>
      <c r="K2212" s="1">
        <f>VALUE(4040)</f>
        <v>4040</v>
      </c>
      <c r="L2212" s="1">
        <f>VALUE(4917)</f>
        <v>4917</v>
      </c>
      <c r="M2212" s="1">
        <f>VALUE(6067)</f>
        <v>6067</v>
      </c>
      <c r="N2212" t="s">
        <v>25</v>
      </c>
    </row>
    <row r="2213" spans="1:14" x14ac:dyDescent="0.25">
      <c r="A2213" t="s">
        <v>14</v>
      </c>
      <c r="B2213" t="s">
        <v>40</v>
      </c>
      <c r="C2213" t="s">
        <v>36</v>
      </c>
      <c r="D2213" t="s">
        <v>32</v>
      </c>
      <c r="E2213" t="s">
        <v>22</v>
      </c>
      <c r="F2213" t="s">
        <v>17</v>
      </c>
      <c r="G2213" s="1" t="str">
        <f t="shared" ref="G2213:M2214" si="460">"X"</f>
        <v>X</v>
      </c>
      <c r="H2213" s="1" t="str">
        <f t="shared" si="460"/>
        <v>X</v>
      </c>
      <c r="I2213" s="1" t="str">
        <f t="shared" si="460"/>
        <v>X</v>
      </c>
      <c r="J2213" s="1" t="str">
        <f t="shared" si="460"/>
        <v>X</v>
      </c>
      <c r="K2213" s="1" t="str">
        <f t="shared" si="460"/>
        <v>X</v>
      </c>
      <c r="L2213" s="1" t="str">
        <f t="shared" si="460"/>
        <v>X</v>
      </c>
      <c r="M2213" s="1" t="str">
        <f t="shared" si="460"/>
        <v>X</v>
      </c>
      <c r="N2213" t="s">
        <v>27</v>
      </c>
    </row>
    <row r="2214" spans="1:14" x14ac:dyDescent="0.25">
      <c r="A2214" t="s">
        <v>14</v>
      </c>
      <c r="B2214" t="s">
        <v>40</v>
      </c>
      <c r="C2214" t="s">
        <v>36</v>
      </c>
      <c r="D2214" t="s">
        <v>32</v>
      </c>
      <c r="E2214" t="s">
        <v>22</v>
      </c>
      <c r="F2214" t="s">
        <v>18</v>
      </c>
      <c r="G2214" s="1" t="str">
        <f t="shared" si="460"/>
        <v>X</v>
      </c>
      <c r="H2214" s="1" t="str">
        <f t="shared" si="460"/>
        <v>X</v>
      </c>
      <c r="I2214" s="1" t="str">
        <f t="shared" si="460"/>
        <v>X</v>
      </c>
      <c r="J2214" s="1" t="str">
        <f t="shared" si="460"/>
        <v>X</v>
      </c>
      <c r="K2214" s="1" t="str">
        <f t="shared" si="460"/>
        <v>X</v>
      </c>
      <c r="L2214" s="1" t="str">
        <f t="shared" si="460"/>
        <v>X</v>
      </c>
      <c r="M2214" s="1" t="str">
        <f t="shared" si="460"/>
        <v>X</v>
      </c>
      <c r="N2214" t="s">
        <v>27</v>
      </c>
    </row>
    <row r="2215" spans="1:14" x14ac:dyDescent="0.25">
      <c r="A2215" t="s">
        <v>14</v>
      </c>
      <c r="B2215" t="s">
        <v>40</v>
      </c>
      <c r="C2215" t="s">
        <v>36</v>
      </c>
      <c r="D2215" t="s">
        <v>32</v>
      </c>
      <c r="E2215" t="s">
        <v>22</v>
      </c>
      <c r="F2215" t="s">
        <v>19</v>
      </c>
      <c r="G2215" s="2">
        <f>VALUE(125.7972774498)</f>
        <v>125.79727744980001</v>
      </c>
      <c r="H2215" s="3">
        <f>VALUE(120.0731600302)</f>
        <v>120.0731600302</v>
      </c>
      <c r="I2215" s="1">
        <f>VALUE(3095)</f>
        <v>3095</v>
      </c>
      <c r="J2215" s="1">
        <f>VALUE(3295)</f>
        <v>3295</v>
      </c>
      <c r="K2215" s="1">
        <f>VALUE(3987)</f>
        <v>3987</v>
      </c>
      <c r="L2215" s="1">
        <f>VALUE(4952)</f>
        <v>4952</v>
      </c>
      <c r="M2215" s="1">
        <f>VALUE(6226)</f>
        <v>6226</v>
      </c>
      <c r="N2215" t="s">
        <v>25</v>
      </c>
    </row>
    <row r="2216" spans="1:14" x14ac:dyDescent="0.25">
      <c r="A2216" t="s">
        <v>14</v>
      </c>
      <c r="B2216" t="s">
        <v>40</v>
      </c>
      <c r="C2216" t="s">
        <v>36</v>
      </c>
      <c r="D2216" t="s">
        <v>32</v>
      </c>
      <c r="E2216" t="s">
        <v>22</v>
      </c>
      <c r="F2216" t="s">
        <v>20</v>
      </c>
      <c r="G2216" s="2">
        <f>VALUE(577.9063928706)</f>
        <v>577.90639287060003</v>
      </c>
      <c r="H2216" s="3">
        <f>VALUE(542.58441229)</f>
        <v>542.58441229000005</v>
      </c>
      <c r="I2216" s="1">
        <f>VALUE(2581)</f>
        <v>2581</v>
      </c>
      <c r="J2216" s="1">
        <f>VALUE(3183)</f>
        <v>3183</v>
      </c>
      <c r="K2216" s="1">
        <f>VALUE(4008)</f>
        <v>4008</v>
      </c>
      <c r="L2216" s="1">
        <f>VALUE(4767)</f>
        <v>4767</v>
      </c>
      <c r="M2216" s="1">
        <f>VALUE(5668)</f>
        <v>5668</v>
      </c>
      <c r="N2216" t="s">
        <v>25</v>
      </c>
    </row>
    <row r="2217" spans="1:14" x14ac:dyDescent="0.25">
      <c r="A2217" t="s">
        <v>14</v>
      </c>
      <c r="B2217" t="s">
        <v>40</v>
      </c>
      <c r="C2217" t="s">
        <v>36</v>
      </c>
      <c r="D2217" t="s">
        <v>32</v>
      </c>
      <c r="E2217" t="s">
        <v>23</v>
      </c>
      <c r="F2217" t="s">
        <v>15</v>
      </c>
      <c r="G2217" s="1">
        <f>VALUE(2647.9304970793)</f>
        <v>2647.9304970793</v>
      </c>
      <c r="H2217" s="1">
        <f>VALUE(2408.0187794418)</f>
        <v>2408.0187794417998</v>
      </c>
      <c r="I2217" s="1">
        <f>VALUE(2430)</f>
        <v>2430</v>
      </c>
      <c r="J2217" s="1">
        <f>VALUE(2645)</f>
        <v>2645</v>
      </c>
      <c r="K2217" s="1">
        <f>VALUE(3124)</f>
        <v>3124</v>
      </c>
      <c r="L2217" s="1">
        <f>VALUE(3670)</f>
        <v>3670</v>
      </c>
      <c r="M2217" s="1">
        <f>VALUE(4382)</f>
        <v>4382</v>
      </c>
      <c r="N2217" t="s">
        <v>16</v>
      </c>
    </row>
    <row r="2218" spans="1:14" x14ac:dyDescent="0.25">
      <c r="A2218" t="s">
        <v>14</v>
      </c>
      <c r="B2218" t="s">
        <v>40</v>
      </c>
      <c r="C2218" t="s">
        <v>36</v>
      </c>
      <c r="D2218" t="s">
        <v>32</v>
      </c>
      <c r="E2218" t="s">
        <v>23</v>
      </c>
      <c r="F2218" t="s">
        <v>17</v>
      </c>
      <c r="G2218" s="1" t="str">
        <f t="shared" ref="G2218:M2219" si="461">"X"</f>
        <v>X</v>
      </c>
      <c r="H2218" s="1" t="str">
        <f t="shared" si="461"/>
        <v>X</v>
      </c>
      <c r="I2218" s="1" t="str">
        <f t="shared" si="461"/>
        <v>X</v>
      </c>
      <c r="J2218" s="1" t="str">
        <f t="shared" si="461"/>
        <v>X</v>
      </c>
      <c r="K2218" s="1" t="str">
        <f t="shared" si="461"/>
        <v>X</v>
      </c>
      <c r="L2218" s="1" t="str">
        <f t="shared" si="461"/>
        <v>X</v>
      </c>
      <c r="M2218" s="1" t="str">
        <f t="shared" si="461"/>
        <v>X</v>
      </c>
      <c r="N2218" t="s">
        <v>27</v>
      </c>
    </row>
    <row r="2219" spans="1:14" x14ac:dyDescent="0.25">
      <c r="A2219" t="s">
        <v>14</v>
      </c>
      <c r="B2219" t="s">
        <v>40</v>
      </c>
      <c r="C2219" t="s">
        <v>36</v>
      </c>
      <c r="D2219" t="s">
        <v>32</v>
      </c>
      <c r="E2219" t="s">
        <v>23</v>
      </c>
      <c r="F2219" t="s">
        <v>18</v>
      </c>
      <c r="G2219" s="1" t="str">
        <f t="shared" si="461"/>
        <v>X</v>
      </c>
      <c r="H2219" s="1" t="str">
        <f t="shared" si="461"/>
        <v>X</v>
      </c>
      <c r="I2219" s="1" t="str">
        <f t="shared" si="461"/>
        <v>X</v>
      </c>
      <c r="J2219" s="1" t="str">
        <f t="shared" si="461"/>
        <v>X</v>
      </c>
      <c r="K2219" s="1" t="str">
        <f t="shared" si="461"/>
        <v>X</v>
      </c>
      <c r="L2219" s="1" t="str">
        <f t="shared" si="461"/>
        <v>X</v>
      </c>
      <c r="M2219" s="1" t="str">
        <f t="shared" si="461"/>
        <v>X</v>
      </c>
      <c r="N2219" t="s">
        <v>27</v>
      </c>
    </row>
    <row r="2220" spans="1:14" x14ac:dyDescent="0.25">
      <c r="A2220" t="s">
        <v>14</v>
      </c>
      <c r="B2220" t="s">
        <v>40</v>
      </c>
      <c r="C2220" t="s">
        <v>36</v>
      </c>
      <c r="D2220" t="s">
        <v>32</v>
      </c>
      <c r="E2220" t="s">
        <v>23</v>
      </c>
      <c r="F2220" t="s">
        <v>19</v>
      </c>
      <c r="G2220" s="2">
        <f>VALUE(180.6807088842)</f>
        <v>180.68070888419999</v>
      </c>
      <c r="H2220" s="3">
        <f>VALUE(175.3652416534)</f>
        <v>175.36524165340001</v>
      </c>
      <c r="I2220" s="1">
        <f>VALUE(2977)</f>
        <v>2977</v>
      </c>
      <c r="J2220" s="1">
        <f>VALUE(3400)</f>
        <v>3400</v>
      </c>
      <c r="K2220" s="1">
        <f>VALUE(4151)</f>
        <v>4151</v>
      </c>
      <c r="L2220" s="7">
        <f>VALUE(4812)</f>
        <v>4812</v>
      </c>
      <c r="M2220" s="8">
        <f>VALUE(8455)</f>
        <v>8455</v>
      </c>
      <c r="N2220" t="s">
        <v>25</v>
      </c>
    </row>
    <row r="2221" spans="1:14" x14ac:dyDescent="0.25">
      <c r="A2221" t="s">
        <v>14</v>
      </c>
      <c r="B2221" t="s">
        <v>40</v>
      </c>
      <c r="C2221" t="s">
        <v>36</v>
      </c>
      <c r="D2221" t="s">
        <v>32</v>
      </c>
      <c r="E2221" t="s">
        <v>23</v>
      </c>
      <c r="F2221" t="s">
        <v>20</v>
      </c>
      <c r="G2221" s="1">
        <f>VALUE(2375.3747838205)</f>
        <v>2375.3747838204999</v>
      </c>
      <c r="H2221" s="1">
        <f>VALUE(2146.7570448206)</f>
        <v>2146.7570448206002</v>
      </c>
      <c r="I2221" s="1">
        <f>VALUE(2430)</f>
        <v>2430</v>
      </c>
      <c r="J2221" s="1">
        <f>VALUE(2605)</f>
        <v>2605</v>
      </c>
      <c r="K2221" s="1">
        <f>VALUE(2996)</f>
        <v>2996</v>
      </c>
      <c r="L2221" s="1">
        <f>VALUE(3536)</f>
        <v>3536</v>
      </c>
      <c r="M2221" s="1">
        <f>VALUE(4139)</f>
        <v>4139</v>
      </c>
      <c r="N2221" t="s">
        <v>16</v>
      </c>
    </row>
    <row r="2222" spans="1:14" x14ac:dyDescent="0.25">
      <c r="A2222" t="s">
        <v>14</v>
      </c>
      <c r="B2222" t="s">
        <v>40</v>
      </c>
      <c r="C2222" t="s">
        <v>36</v>
      </c>
      <c r="D2222" t="s">
        <v>32</v>
      </c>
      <c r="E2222" t="s">
        <v>26</v>
      </c>
      <c r="F2222" t="s">
        <v>15</v>
      </c>
      <c r="G2222" s="1" t="str">
        <f t="shared" ref="G2222:M2226" si="462">"X"</f>
        <v>X</v>
      </c>
      <c r="H2222" s="1" t="str">
        <f t="shared" si="462"/>
        <v>X</v>
      </c>
      <c r="I2222" s="1" t="str">
        <f t="shared" si="462"/>
        <v>X</v>
      </c>
      <c r="J2222" s="1" t="str">
        <f t="shared" si="462"/>
        <v>X</v>
      </c>
      <c r="K2222" s="1" t="str">
        <f t="shared" si="462"/>
        <v>X</v>
      </c>
      <c r="L2222" s="1" t="str">
        <f t="shared" si="462"/>
        <v>X</v>
      </c>
      <c r="M2222" s="1" t="str">
        <f t="shared" si="462"/>
        <v>X</v>
      </c>
      <c r="N2222" t="s">
        <v>27</v>
      </c>
    </row>
    <row r="2223" spans="1:14" x14ac:dyDescent="0.25">
      <c r="A2223" t="s">
        <v>14</v>
      </c>
      <c r="B2223" t="s">
        <v>40</v>
      </c>
      <c r="C2223" t="s">
        <v>36</v>
      </c>
      <c r="D2223" t="s">
        <v>32</v>
      </c>
      <c r="E2223" t="s">
        <v>26</v>
      </c>
      <c r="F2223" t="s">
        <v>17</v>
      </c>
      <c r="G2223" s="1" t="str">
        <f t="shared" si="462"/>
        <v>X</v>
      </c>
      <c r="H2223" s="1" t="str">
        <f t="shared" si="462"/>
        <v>X</v>
      </c>
      <c r="I2223" s="1" t="str">
        <f t="shared" si="462"/>
        <v>X</v>
      </c>
      <c r="J2223" s="1" t="str">
        <f t="shared" si="462"/>
        <v>X</v>
      </c>
      <c r="K2223" s="1" t="str">
        <f t="shared" si="462"/>
        <v>X</v>
      </c>
      <c r="L2223" s="1" t="str">
        <f t="shared" si="462"/>
        <v>X</v>
      </c>
      <c r="M2223" s="1" t="str">
        <f t="shared" si="462"/>
        <v>X</v>
      </c>
      <c r="N2223" t="s">
        <v>27</v>
      </c>
    </row>
    <row r="2224" spans="1:14" x14ac:dyDescent="0.25">
      <c r="A2224" t="s">
        <v>14</v>
      </c>
      <c r="B2224" t="s">
        <v>40</v>
      </c>
      <c r="C2224" t="s">
        <v>36</v>
      </c>
      <c r="D2224" t="s">
        <v>32</v>
      </c>
      <c r="E2224" t="s">
        <v>26</v>
      </c>
      <c r="F2224" t="s">
        <v>18</v>
      </c>
      <c r="G2224" s="1" t="str">
        <f t="shared" si="462"/>
        <v>X</v>
      </c>
      <c r="H2224" s="1" t="str">
        <f t="shared" si="462"/>
        <v>X</v>
      </c>
      <c r="I2224" s="1" t="str">
        <f t="shared" si="462"/>
        <v>X</v>
      </c>
      <c r="J2224" s="1" t="str">
        <f t="shared" si="462"/>
        <v>X</v>
      </c>
      <c r="K2224" s="1" t="str">
        <f t="shared" si="462"/>
        <v>X</v>
      </c>
      <c r="L2224" s="1" t="str">
        <f t="shared" si="462"/>
        <v>X</v>
      </c>
      <c r="M2224" s="1" t="str">
        <f t="shared" si="462"/>
        <v>X</v>
      </c>
      <c r="N2224" t="s">
        <v>27</v>
      </c>
    </row>
    <row r="2225" spans="1:14" x14ac:dyDescent="0.25">
      <c r="A2225" t="s">
        <v>14</v>
      </c>
      <c r="B2225" t="s">
        <v>40</v>
      </c>
      <c r="C2225" t="s">
        <v>36</v>
      </c>
      <c r="D2225" t="s">
        <v>32</v>
      </c>
      <c r="E2225" t="s">
        <v>26</v>
      </c>
      <c r="F2225" t="s">
        <v>19</v>
      </c>
      <c r="G2225" s="1" t="str">
        <f t="shared" si="462"/>
        <v>X</v>
      </c>
      <c r="H2225" s="1" t="str">
        <f t="shared" si="462"/>
        <v>X</v>
      </c>
      <c r="I2225" s="1" t="str">
        <f t="shared" si="462"/>
        <v>X</v>
      </c>
      <c r="J2225" s="1" t="str">
        <f t="shared" si="462"/>
        <v>X</v>
      </c>
      <c r="K2225" s="1" t="str">
        <f t="shared" si="462"/>
        <v>X</v>
      </c>
      <c r="L2225" s="1" t="str">
        <f t="shared" si="462"/>
        <v>X</v>
      </c>
      <c r="M2225" s="1" t="str">
        <f t="shared" si="462"/>
        <v>X</v>
      </c>
      <c r="N2225" t="s">
        <v>27</v>
      </c>
    </row>
    <row r="2226" spans="1:14" x14ac:dyDescent="0.25">
      <c r="A2226" t="s">
        <v>14</v>
      </c>
      <c r="B2226" t="s">
        <v>40</v>
      </c>
      <c r="C2226" t="s">
        <v>36</v>
      </c>
      <c r="D2226" t="s">
        <v>32</v>
      </c>
      <c r="E2226" t="s">
        <v>26</v>
      </c>
      <c r="F2226" t="s">
        <v>20</v>
      </c>
      <c r="G2226" s="1" t="str">
        <f t="shared" si="462"/>
        <v>X</v>
      </c>
      <c r="H2226" s="1" t="str">
        <f t="shared" si="462"/>
        <v>X</v>
      </c>
      <c r="I2226" s="1" t="str">
        <f t="shared" si="462"/>
        <v>X</v>
      </c>
      <c r="J2226" s="1" t="str">
        <f t="shared" si="462"/>
        <v>X</v>
      </c>
      <c r="K2226" s="1" t="str">
        <f t="shared" si="462"/>
        <v>X</v>
      </c>
      <c r="L2226" s="1" t="str">
        <f t="shared" si="462"/>
        <v>X</v>
      </c>
      <c r="M2226" s="1" t="str">
        <f t="shared" si="462"/>
        <v>X</v>
      </c>
      <c r="N2226" t="s">
        <v>27</v>
      </c>
    </row>
    <row r="2227" spans="1:14" x14ac:dyDescent="0.25">
      <c r="A2227" t="s">
        <v>14</v>
      </c>
      <c r="B2227" t="s">
        <v>40</v>
      </c>
      <c r="C2227" t="s">
        <v>36</v>
      </c>
      <c r="D2227" t="s">
        <v>33</v>
      </c>
      <c r="E2227" t="s">
        <v>15</v>
      </c>
      <c r="F2227" t="s">
        <v>15</v>
      </c>
      <c r="G2227" s="2">
        <f>VALUE(264.9676494942)</f>
        <v>264.96764949419997</v>
      </c>
      <c r="H2227" s="3">
        <f>VALUE(235.4271959241)</f>
        <v>235.4271959241</v>
      </c>
      <c r="I2227" s="4">
        <f>VALUE(2800)</f>
        <v>2800</v>
      </c>
      <c r="J2227" s="5">
        <f>VALUE(2881)</f>
        <v>2881</v>
      </c>
      <c r="K2227" s="6">
        <f>VALUE(3343)</f>
        <v>3343</v>
      </c>
      <c r="L2227" s="7">
        <f>VALUE(4363)</f>
        <v>4363</v>
      </c>
      <c r="M2227" s="8">
        <f>VALUE(6425)</f>
        <v>6425</v>
      </c>
      <c r="N2227" t="s">
        <v>24</v>
      </c>
    </row>
    <row r="2228" spans="1:14" x14ac:dyDescent="0.25">
      <c r="A2228" t="s">
        <v>14</v>
      </c>
      <c r="B2228" t="s">
        <v>40</v>
      </c>
      <c r="C2228" t="s">
        <v>36</v>
      </c>
      <c r="D2228" t="s">
        <v>33</v>
      </c>
      <c r="E2228" t="s">
        <v>15</v>
      </c>
      <c r="F2228" t="s">
        <v>17</v>
      </c>
      <c r="G2228" s="1" t="str">
        <f t="shared" ref="G2228:M2237" si="463">"X"</f>
        <v>X</v>
      </c>
      <c r="H2228" s="1" t="str">
        <f t="shared" si="463"/>
        <v>X</v>
      </c>
      <c r="I2228" s="1" t="str">
        <f t="shared" si="463"/>
        <v>X</v>
      </c>
      <c r="J2228" s="1" t="str">
        <f t="shared" si="463"/>
        <v>X</v>
      </c>
      <c r="K2228" s="1" t="str">
        <f t="shared" si="463"/>
        <v>X</v>
      </c>
      <c r="L2228" s="1" t="str">
        <f t="shared" si="463"/>
        <v>X</v>
      </c>
      <c r="M2228" s="1" t="str">
        <f t="shared" si="463"/>
        <v>X</v>
      </c>
      <c r="N2228" t="s">
        <v>27</v>
      </c>
    </row>
    <row r="2229" spans="1:14" x14ac:dyDescent="0.25">
      <c r="A2229" t="s">
        <v>14</v>
      </c>
      <c r="B2229" t="s">
        <v>40</v>
      </c>
      <c r="C2229" t="s">
        <v>36</v>
      </c>
      <c r="D2229" t="s">
        <v>33</v>
      </c>
      <c r="E2229" t="s">
        <v>15</v>
      </c>
      <c r="F2229" t="s">
        <v>18</v>
      </c>
      <c r="G2229" s="1" t="str">
        <f t="shared" si="463"/>
        <v>X</v>
      </c>
      <c r="H2229" s="1" t="str">
        <f t="shared" si="463"/>
        <v>X</v>
      </c>
      <c r="I2229" s="1" t="str">
        <f t="shared" si="463"/>
        <v>X</v>
      </c>
      <c r="J2229" s="1" t="str">
        <f t="shared" si="463"/>
        <v>X</v>
      </c>
      <c r="K2229" s="1" t="str">
        <f t="shared" si="463"/>
        <v>X</v>
      </c>
      <c r="L2229" s="1" t="str">
        <f t="shared" si="463"/>
        <v>X</v>
      </c>
      <c r="M2229" s="1" t="str">
        <f t="shared" si="463"/>
        <v>X</v>
      </c>
      <c r="N2229" t="s">
        <v>27</v>
      </c>
    </row>
    <row r="2230" spans="1:14" x14ac:dyDescent="0.25">
      <c r="A2230" t="s">
        <v>14</v>
      </c>
      <c r="B2230" t="s">
        <v>40</v>
      </c>
      <c r="C2230" t="s">
        <v>36</v>
      </c>
      <c r="D2230" t="s">
        <v>33</v>
      </c>
      <c r="E2230" t="s">
        <v>15</v>
      </c>
      <c r="F2230" t="s">
        <v>19</v>
      </c>
      <c r="G2230" s="1" t="str">
        <f t="shared" si="463"/>
        <v>X</v>
      </c>
      <c r="H2230" s="1" t="str">
        <f t="shared" si="463"/>
        <v>X</v>
      </c>
      <c r="I2230" s="1" t="str">
        <f t="shared" si="463"/>
        <v>X</v>
      </c>
      <c r="J2230" s="1" t="str">
        <f t="shared" si="463"/>
        <v>X</v>
      </c>
      <c r="K2230" s="1" t="str">
        <f t="shared" si="463"/>
        <v>X</v>
      </c>
      <c r="L2230" s="1" t="str">
        <f t="shared" si="463"/>
        <v>X</v>
      </c>
      <c r="M2230" s="1" t="str">
        <f t="shared" si="463"/>
        <v>X</v>
      </c>
      <c r="N2230" t="s">
        <v>27</v>
      </c>
    </row>
    <row r="2231" spans="1:14" x14ac:dyDescent="0.25">
      <c r="A2231" t="s">
        <v>14</v>
      </c>
      <c r="B2231" t="s">
        <v>40</v>
      </c>
      <c r="C2231" t="s">
        <v>36</v>
      </c>
      <c r="D2231" t="s">
        <v>33</v>
      </c>
      <c r="E2231" t="s">
        <v>15</v>
      </c>
      <c r="F2231" t="s">
        <v>20</v>
      </c>
      <c r="G2231" s="1" t="str">
        <f t="shared" si="463"/>
        <v>X</v>
      </c>
      <c r="H2231" s="1" t="str">
        <f t="shared" si="463"/>
        <v>X</v>
      </c>
      <c r="I2231" s="1" t="str">
        <f t="shared" si="463"/>
        <v>X</v>
      </c>
      <c r="J2231" s="1" t="str">
        <f t="shared" si="463"/>
        <v>X</v>
      </c>
      <c r="K2231" s="1" t="str">
        <f t="shared" si="463"/>
        <v>X</v>
      </c>
      <c r="L2231" s="1" t="str">
        <f t="shared" si="463"/>
        <v>X</v>
      </c>
      <c r="M2231" s="1" t="str">
        <f t="shared" si="463"/>
        <v>X</v>
      </c>
      <c r="N2231" t="s">
        <v>27</v>
      </c>
    </row>
    <row r="2232" spans="1:14" x14ac:dyDescent="0.25">
      <c r="A2232" t="s">
        <v>14</v>
      </c>
      <c r="B2232" t="s">
        <v>40</v>
      </c>
      <c r="C2232" t="s">
        <v>36</v>
      </c>
      <c r="D2232" t="s">
        <v>33</v>
      </c>
      <c r="E2232" t="s">
        <v>21</v>
      </c>
      <c r="F2232" t="s">
        <v>15</v>
      </c>
      <c r="G2232" s="1" t="str">
        <f t="shared" si="463"/>
        <v>X</v>
      </c>
      <c r="H2232" s="1" t="str">
        <f t="shared" si="463"/>
        <v>X</v>
      </c>
      <c r="I2232" s="1" t="str">
        <f t="shared" si="463"/>
        <v>X</v>
      </c>
      <c r="J2232" s="1" t="str">
        <f t="shared" si="463"/>
        <v>X</v>
      </c>
      <c r="K2232" s="1" t="str">
        <f t="shared" si="463"/>
        <v>X</v>
      </c>
      <c r="L2232" s="1" t="str">
        <f t="shared" si="463"/>
        <v>X</v>
      </c>
      <c r="M2232" s="1" t="str">
        <f t="shared" si="463"/>
        <v>X</v>
      </c>
      <c r="N2232" t="s">
        <v>27</v>
      </c>
    </row>
    <row r="2233" spans="1:14" x14ac:dyDescent="0.25">
      <c r="A2233" t="s">
        <v>14</v>
      </c>
      <c r="B2233" t="s">
        <v>40</v>
      </c>
      <c r="C2233" t="s">
        <v>36</v>
      </c>
      <c r="D2233" t="s">
        <v>33</v>
      </c>
      <c r="E2233" t="s">
        <v>21</v>
      </c>
      <c r="F2233" t="s">
        <v>17</v>
      </c>
      <c r="G2233" s="1" t="str">
        <f t="shared" si="463"/>
        <v>X</v>
      </c>
      <c r="H2233" s="1" t="str">
        <f t="shared" si="463"/>
        <v>X</v>
      </c>
      <c r="I2233" s="1" t="str">
        <f t="shared" si="463"/>
        <v>X</v>
      </c>
      <c r="J2233" s="1" t="str">
        <f t="shared" si="463"/>
        <v>X</v>
      </c>
      <c r="K2233" s="1" t="str">
        <f t="shared" si="463"/>
        <v>X</v>
      </c>
      <c r="L2233" s="1" t="str">
        <f t="shared" si="463"/>
        <v>X</v>
      </c>
      <c r="M2233" s="1" t="str">
        <f t="shared" si="463"/>
        <v>X</v>
      </c>
      <c r="N2233" t="s">
        <v>27</v>
      </c>
    </row>
    <row r="2234" spans="1:14" x14ac:dyDescent="0.25">
      <c r="A2234" t="s">
        <v>14</v>
      </c>
      <c r="B2234" t="s">
        <v>40</v>
      </c>
      <c r="C2234" t="s">
        <v>36</v>
      </c>
      <c r="D2234" t="s">
        <v>33</v>
      </c>
      <c r="E2234" t="s">
        <v>21</v>
      </c>
      <c r="F2234" t="s">
        <v>18</v>
      </c>
      <c r="G2234" s="1" t="str">
        <f t="shared" si="463"/>
        <v>X</v>
      </c>
      <c r="H2234" s="1" t="str">
        <f t="shared" si="463"/>
        <v>X</v>
      </c>
      <c r="I2234" s="1" t="str">
        <f t="shared" si="463"/>
        <v>X</v>
      </c>
      <c r="J2234" s="1" t="str">
        <f t="shared" si="463"/>
        <v>X</v>
      </c>
      <c r="K2234" s="1" t="str">
        <f t="shared" si="463"/>
        <v>X</v>
      </c>
      <c r="L2234" s="1" t="str">
        <f t="shared" si="463"/>
        <v>X</v>
      </c>
      <c r="M2234" s="1" t="str">
        <f t="shared" si="463"/>
        <v>X</v>
      </c>
      <c r="N2234" t="s">
        <v>27</v>
      </c>
    </row>
    <row r="2235" spans="1:14" x14ac:dyDescent="0.25">
      <c r="A2235" t="s">
        <v>14</v>
      </c>
      <c r="B2235" t="s">
        <v>40</v>
      </c>
      <c r="C2235" t="s">
        <v>36</v>
      </c>
      <c r="D2235" t="s">
        <v>33</v>
      </c>
      <c r="E2235" t="s">
        <v>21</v>
      </c>
      <c r="F2235" t="s">
        <v>19</v>
      </c>
      <c r="G2235" s="1" t="str">
        <f t="shared" si="463"/>
        <v>X</v>
      </c>
      <c r="H2235" s="1" t="str">
        <f t="shared" si="463"/>
        <v>X</v>
      </c>
      <c r="I2235" s="1" t="str">
        <f t="shared" si="463"/>
        <v>X</v>
      </c>
      <c r="J2235" s="1" t="str">
        <f t="shared" si="463"/>
        <v>X</v>
      </c>
      <c r="K2235" s="1" t="str">
        <f t="shared" si="463"/>
        <v>X</v>
      </c>
      <c r="L2235" s="1" t="str">
        <f t="shared" si="463"/>
        <v>X</v>
      </c>
      <c r="M2235" s="1" t="str">
        <f t="shared" si="463"/>
        <v>X</v>
      </c>
      <c r="N2235" t="s">
        <v>27</v>
      </c>
    </row>
    <row r="2236" spans="1:14" x14ac:dyDescent="0.25">
      <c r="A2236" t="s">
        <v>14</v>
      </c>
      <c r="B2236" t="s">
        <v>40</v>
      </c>
      <c r="C2236" t="s">
        <v>36</v>
      </c>
      <c r="D2236" t="s">
        <v>33</v>
      </c>
      <c r="E2236" t="s">
        <v>21</v>
      </c>
      <c r="F2236" t="s">
        <v>20</v>
      </c>
      <c r="G2236" s="1" t="str">
        <f t="shared" si="463"/>
        <v>X</v>
      </c>
      <c r="H2236" s="1" t="str">
        <f t="shared" si="463"/>
        <v>X</v>
      </c>
      <c r="I2236" s="1" t="str">
        <f t="shared" si="463"/>
        <v>X</v>
      </c>
      <c r="J2236" s="1" t="str">
        <f t="shared" si="463"/>
        <v>X</v>
      </c>
      <c r="K2236" s="1" t="str">
        <f t="shared" si="463"/>
        <v>X</v>
      </c>
      <c r="L2236" s="1" t="str">
        <f t="shared" si="463"/>
        <v>X</v>
      </c>
      <c r="M2236" s="1" t="str">
        <f t="shared" si="463"/>
        <v>X</v>
      </c>
      <c r="N2236" t="s">
        <v>27</v>
      </c>
    </row>
    <row r="2237" spans="1:14" x14ac:dyDescent="0.25">
      <c r="A2237" t="s">
        <v>14</v>
      </c>
      <c r="B2237" t="s">
        <v>40</v>
      </c>
      <c r="C2237" t="s">
        <v>36</v>
      </c>
      <c r="D2237" t="s">
        <v>33</v>
      </c>
      <c r="E2237" t="s">
        <v>22</v>
      </c>
      <c r="F2237" t="s">
        <v>15</v>
      </c>
      <c r="G2237" s="1" t="str">
        <f t="shared" si="463"/>
        <v>X</v>
      </c>
      <c r="H2237" s="1" t="str">
        <f t="shared" si="463"/>
        <v>X</v>
      </c>
      <c r="I2237" s="1" t="str">
        <f t="shared" si="463"/>
        <v>X</v>
      </c>
      <c r="J2237" s="1" t="str">
        <f t="shared" si="463"/>
        <v>X</v>
      </c>
      <c r="K2237" s="1" t="str">
        <f t="shared" si="463"/>
        <v>X</v>
      </c>
      <c r="L2237" s="1" t="str">
        <f t="shared" si="463"/>
        <v>X</v>
      </c>
      <c r="M2237" s="1" t="str">
        <f t="shared" si="463"/>
        <v>X</v>
      </c>
      <c r="N2237" t="s">
        <v>27</v>
      </c>
    </row>
    <row r="2238" spans="1:14" x14ac:dyDescent="0.25">
      <c r="A2238" t="s">
        <v>14</v>
      </c>
      <c r="B2238" t="s">
        <v>40</v>
      </c>
      <c r="C2238" t="s">
        <v>36</v>
      </c>
      <c r="D2238" t="s">
        <v>33</v>
      </c>
      <c r="E2238" t="s">
        <v>22</v>
      </c>
      <c r="F2238" t="s">
        <v>17</v>
      </c>
      <c r="G2238" s="1" t="str">
        <f t="shared" ref="G2238:M2246" si="464">"X"</f>
        <v>X</v>
      </c>
      <c r="H2238" s="1" t="str">
        <f t="shared" si="464"/>
        <v>X</v>
      </c>
      <c r="I2238" s="1" t="str">
        <f t="shared" si="464"/>
        <v>X</v>
      </c>
      <c r="J2238" s="1" t="str">
        <f t="shared" si="464"/>
        <v>X</v>
      </c>
      <c r="K2238" s="1" t="str">
        <f t="shared" si="464"/>
        <v>X</v>
      </c>
      <c r="L2238" s="1" t="str">
        <f t="shared" si="464"/>
        <v>X</v>
      </c>
      <c r="M2238" s="1" t="str">
        <f t="shared" si="464"/>
        <v>X</v>
      </c>
      <c r="N2238" t="s">
        <v>27</v>
      </c>
    </row>
    <row r="2239" spans="1:14" x14ac:dyDescent="0.25">
      <c r="A2239" t="s">
        <v>14</v>
      </c>
      <c r="B2239" t="s">
        <v>40</v>
      </c>
      <c r="C2239" t="s">
        <v>36</v>
      </c>
      <c r="D2239" t="s">
        <v>33</v>
      </c>
      <c r="E2239" t="s">
        <v>22</v>
      </c>
      <c r="F2239" t="s">
        <v>18</v>
      </c>
      <c r="G2239" s="1" t="str">
        <f t="shared" si="464"/>
        <v>X</v>
      </c>
      <c r="H2239" s="1" t="str">
        <f t="shared" si="464"/>
        <v>X</v>
      </c>
      <c r="I2239" s="1" t="str">
        <f t="shared" si="464"/>
        <v>X</v>
      </c>
      <c r="J2239" s="1" t="str">
        <f t="shared" si="464"/>
        <v>X</v>
      </c>
      <c r="K2239" s="1" t="str">
        <f t="shared" si="464"/>
        <v>X</v>
      </c>
      <c r="L2239" s="1" t="str">
        <f t="shared" si="464"/>
        <v>X</v>
      </c>
      <c r="M2239" s="1" t="str">
        <f t="shared" si="464"/>
        <v>X</v>
      </c>
      <c r="N2239" t="s">
        <v>27</v>
      </c>
    </row>
    <row r="2240" spans="1:14" x14ac:dyDescent="0.25">
      <c r="A2240" t="s">
        <v>14</v>
      </c>
      <c r="B2240" t="s">
        <v>40</v>
      </c>
      <c r="C2240" t="s">
        <v>36</v>
      </c>
      <c r="D2240" t="s">
        <v>33</v>
      </c>
      <c r="E2240" t="s">
        <v>22</v>
      </c>
      <c r="F2240" t="s">
        <v>19</v>
      </c>
      <c r="G2240" s="1" t="str">
        <f t="shared" si="464"/>
        <v>X</v>
      </c>
      <c r="H2240" s="1" t="str">
        <f t="shared" si="464"/>
        <v>X</v>
      </c>
      <c r="I2240" s="1" t="str">
        <f t="shared" si="464"/>
        <v>X</v>
      </c>
      <c r="J2240" s="1" t="str">
        <f t="shared" si="464"/>
        <v>X</v>
      </c>
      <c r="K2240" s="1" t="str">
        <f t="shared" si="464"/>
        <v>X</v>
      </c>
      <c r="L2240" s="1" t="str">
        <f t="shared" si="464"/>
        <v>X</v>
      </c>
      <c r="M2240" s="1" t="str">
        <f t="shared" si="464"/>
        <v>X</v>
      </c>
      <c r="N2240" t="s">
        <v>27</v>
      </c>
    </row>
    <row r="2241" spans="1:14" x14ac:dyDescent="0.25">
      <c r="A2241" t="s">
        <v>14</v>
      </c>
      <c r="B2241" t="s">
        <v>40</v>
      </c>
      <c r="C2241" t="s">
        <v>36</v>
      </c>
      <c r="D2241" t="s">
        <v>33</v>
      </c>
      <c r="E2241" t="s">
        <v>22</v>
      </c>
      <c r="F2241" t="s">
        <v>20</v>
      </c>
      <c r="G2241" s="1" t="str">
        <f t="shared" si="464"/>
        <v>X</v>
      </c>
      <c r="H2241" s="1" t="str">
        <f t="shared" si="464"/>
        <v>X</v>
      </c>
      <c r="I2241" s="1" t="str">
        <f t="shared" si="464"/>
        <v>X</v>
      </c>
      <c r="J2241" s="1" t="str">
        <f t="shared" si="464"/>
        <v>X</v>
      </c>
      <c r="K2241" s="1" t="str">
        <f t="shared" si="464"/>
        <v>X</v>
      </c>
      <c r="L2241" s="1" t="str">
        <f t="shared" si="464"/>
        <v>X</v>
      </c>
      <c r="M2241" s="1" t="str">
        <f t="shared" si="464"/>
        <v>X</v>
      </c>
      <c r="N2241" t="s">
        <v>27</v>
      </c>
    </row>
    <row r="2242" spans="1:14" x14ac:dyDescent="0.25">
      <c r="A2242" t="s">
        <v>14</v>
      </c>
      <c r="B2242" t="s">
        <v>40</v>
      </c>
      <c r="C2242" t="s">
        <v>36</v>
      </c>
      <c r="D2242" t="s">
        <v>33</v>
      </c>
      <c r="E2242" t="s">
        <v>23</v>
      </c>
      <c r="F2242" t="s">
        <v>15</v>
      </c>
      <c r="G2242" s="1" t="str">
        <f t="shared" si="464"/>
        <v>X</v>
      </c>
      <c r="H2242" s="1" t="str">
        <f t="shared" si="464"/>
        <v>X</v>
      </c>
      <c r="I2242" s="1" t="str">
        <f t="shared" si="464"/>
        <v>X</v>
      </c>
      <c r="J2242" s="1" t="str">
        <f t="shared" si="464"/>
        <v>X</v>
      </c>
      <c r="K2242" s="1" t="str">
        <f t="shared" si="464"/>
        <v>X</v>
      </c>
      <c r="L2242" s="1" t="str">
        <f t="shared" si="464"/>
        <v>X</v>
      </c>
      <c r="M2242" s="1" t="str">
        <f t="shared" si="464"/>
        <v>X</v>
      </c>
      <c r="N2242" t="s">
        <v>27</v>
      </c>
    </row>
    <row r="2243" spans="1:14" x14ac:dyDescent="0.25">
      <c r="A2243" t="s">
        <v>14</v>
      </c>
      <c r="B2243" t="s">
        <v>40</v>
      </c>
      <c r="C2243" t="s">
        <v>36</v>
      </c>
      <c r="D2243" t="s">
        <v>33</v>
      </c>
      <c r="E2243" t="s">
        <v>23</v>
      </c>
      <c r="F2243" t="s">
        <v>17</v>
      </c>
      <c r="G2243" s="1" t="str">
        <f t="shared" si="464"/>
        <v>X</v>
      </c>
      <c r="H2243" s="1" t="str">
        <f t="shared" si="464"/>
        <v>X</v>
      </c>
      <c r="I2243" s="1" t="str">
        <f t="shared" si="464"/>
        <v>X</v>
      </c>
      <c r="J2243" s="1" t="str">
        <f t="shared" si="464"/>
        <v>X</v>
      </c>
      <c r="K2243" s="1" t="str">
        <f t="shared" si="464"/>
        <v>X</v>
      </c>
      <c r="L2243" s="1" t="str">
        <f t="shared" si="464"/>
        <v>X</v>
      </c>
      <c r="M2243" s="1" t="str">
        <f t="shared" si="464"/>
        <v>X</v>
      </c>
      <c r="N2243" t="s">
        <v>27</v>
      </c>
    </row>
    <row r="2244" spans="1:14" x14ac:dyDescent="0.25">
      <c r="A2244" t="s">
        <v>14</v>
      </c>
      <c r="B2244" t="s">
        <v>40</v>
      </c>
      <c r="C2244" t="s">
        <v>36</v>
      </c>
      <c r="D2244" t="s">
        <v>33</v>
      </c>
      <c r="E2244" t="s">
        <v>23</v>
      </c>
      <c r="F2244" t="s">
        <v>18</v>
      </c>
      <c r="G2244" s="1" t="str">
        <f t="shared" si="464"/>
        <v>X</v>
      </c>
      <c r="H2244" s="1" t="str">
        <f t="shared" si="464"/>
        <v>X</v>
      </c>
      <c r="I2244" s="1" t="str">
        <f t="shared" si="464"/>
        <v>X</v>
      </c>
      <c r="J2244" s="1" t="str">
        <f t="shared" si="464"/>
        <v>X</v>
      </c>
      <c r="K2244" s="1" t="str">
        <f t="shared" si="464"/>
        <v>X</v>
      </c>
      <c r="L2244" s="1" t="str">
        <f t="shared" si="464"/>
        <v>X</v>
      </c>
      <c r="M2244" s="1" t="str">
        <f t="shared" si="464"/>
        <v>X</v>
      </c>
      <c r="N2244" t="s">
        <v>27</v>
      </c>
    </row>
    <row r="2245" spans="1:14" x14ac:dyDescent="0.25">
      <c r="A2245" t="s">
        <v>14</v>
      </c>
      <c r="B2245" t="s">
        <v>40</v>
      </c>
      <c r="C2245" t="s">
        <v>36</v>
      </c>
      <c r="D2245" t="s">
        <v>33</v>
      </c>
      <c r="E2245" t="s">
        <v>23</v>
      </c>
      <c r="F2245" t="s">
        <v>19</v>
      </c>
      <c r="G2245" s="1" t="str">
        <f t="shared" si="464"/>
        <v>X</v>
      </c>
      <c r="H2245" s="1" t="str">
        <f t="shared" si="464"/>
        <v>X</v>
      </c>
      <c r="I2245" s="1" t="str">
        <f t="shared" si="464"/>
        <v>X</v>
      </c>
      <c r="J2245" s="1" t="str">
        <f t="shared" si="464"/>
        <v>X</v>
      </c>
      <c r="K2245" s="1" t="str">
        <f t="shared" si="464"/>
        <v>X</v>
      </c>
      <c r="L2245" s="1" t="str">
        <f t="shared" si="464"/>
        <v>X</v>
      </c>
      <c r="M2245" s="1" t="str">
        <f t="shared" si="464"/>
        <v>X</v>
      </c>
      <c r="N2245" t="s">
        <v>27</v>
      </c>
    </row>
    <row r="2246" spans="1:14" x14ac:dyDescent="0.25">
      <c r="A2246" t="s">
        <v>14</v>
      </c>
      <c r="B2246" t="s">
        <v>40</v>
      </c>
      <c r="C2246" t="s">
        <v>36</v>
      </c>
      <c r="D2246" t="s">
        <v>33</v>
      </c>
      <c r="E2246" t="s">
        <v>23</v>
      </c>
      <c r="F2246" t="s">
        <v>20</v>
      </c>
      <c r="G2246" s="1" t="str">
        <f t="shared" si="464"/>
        <v>X</v>
      </c>
      <c r="H2246" s="1" t="str">
        <f t="shared" si="464"/>
        <v>X</v>
      </c>
      <c r="I2246" s="1" t="str">
        <f t="shared" si="464"/>
        <v>X</v>
      </c>
      <c r="J2246" s="1" t="str">
        <f t="shared" si="464"/>
        <v>X</v>
      </c>
      <c r="K2246" s="1" t="str">
        <f t="shared" si="464"/>
        <v>X</v>
      </c>
      <c r="L2246" s="1" t="str">
        <f t="shared" si="464"/>
        <v>X</v>
      </c>
      <c r="M2246" s="1" t="str">
        <f t="shared" si="464"/>
        <v>X</v>
      </c>
      <c r="N2246" t="s">
        <v>27</v>
      </c>
    </row>
    <row r="2247" spans="1:14" x14ac:dyDescent="0.25">
      <c r="A2247" t="s">
        <v>14</v>
      </c>
      <c r="B2247" t="s">
        <v>40</v>
      </c>
      <c r="C2247" t="s">
        <v>36</v>
      </c>
      <c r="D2247" t="s">
        <v>33</v>
      </c>
      <c r="E2247" t="s">
        <v>26</v>
      </c>
      <c r="F2247" t="s">
        <v>15</v>
      </c>
      <c r="G2247" s="1" t="str">
        <f t="shared" ref="G2247:M2251" si="465">"..."</f>
        <v>...</v>
      </c>
      <c r="H2247" s="1" t="str">
        <f t="shared" si="465"/>
        <v>...</v>
      </c>
      <c r="I2247" s="1" t="str">
        <f t="shared" si="465"/>
        <v>...</v>
      </c>
      <c r="J2247" s="1" t="str">
        <f t="shared" si="465"/>
        <v>...</v>
      </c>
      <c r="K2247" s="1" t="str">
        <f t="shared" si="465"/>
        <v>...</v>
      </c>
      <c r="L2247" s="1" t="str">
        <f t="shared" si="465"/>
        <v>...</v>
      </c>
      <c r="M2247" s="1" t="str">
        <f t="shared" si="465"/>
        <v>...</v>
      </c>
      <c r="N2247" t="s">
        <v>30</v>
      </c>
    </row>
    <row r="2248" spans="1:14" x14ac:dyDescent="0.25">
      <c r="A2248" t="s">
        <v>14</v>
      </c>
      <c r="B2248" t="s">
        <v>40</v>
      </c>
      <c r="C2248" t="s">
        <v>36</v>
      </c>
      <c r="D2248" t="s">
        <v>33</v>
      </c>
      <c r="E2248" t="s">
        <v>26</v>
      </c>
      <c r="F2248" t="s">
        <v>17</v>
      </c>
      <c r="G2248" s="1" t="str">
        <f t="shared" si="465"/>
        <v>...</v>
      </c>
      <c r="H2248" s="1" t="str">
        <f t="shared" si="465"/>
        <v>...</v>
      </c>
      <c r="I2248" s="1" t="str">
        <f t="shared" si="465"/>
        <v>...</v>
      </c>
      <c r="J2248" s="1" t="str">
        <f t="shared" si="465"/>
        <v>...</v>
      </c>
      <c r="K2248" s="1" t="str">
        <f t="shared" si="465"/>
        <v>...</v>
      </c>
      <c r="L2248" s="1" t="str">
        <f t="shared" si="465"/>
        <v>...</v>
      </c>
      <c r="M2248" s="1" t="str">
        <f t="shared" si="465"/>
        <v>...</v>
      </c>
      <c r="N2248" t="s">
        <v>30</v>
      </c>
    </row>
    <row r="2249" spans="1:14" x14ac:dyDescent="0.25">
      <c r="A2249" t="s">
        <v>14</v>
      </c>
      <c r="B2249" t="s">
        <v>40</v>
      </c>
      <c r="C2249" t="s">
        <v>36</v>
      </c>
      <c r="D2249" t="s">
        <v>33</v>
      </c>
      <c r="E2249" t="s">
        <v>26</v>
      </c>
      <c r="F2249" t="s">
        <v>18</v>
      </c>
      <c r="G2249" s="1" t="str">
        <f t="shared" si="465"/>
        <v>...</v>
      </c>
      <c r="H2249" s="1" t="str">
        <f t="shared" si="465"/>
        <v>...</v>
      </c>
      <c r="I2249" s="1" t="str">
        <f t="shared" si="465"/>
        <v>...</v>
      </c>
      <c r="J2249" s="1" t="str">
        <f t="shared" si="465"/>
        <v>...</v>
      </c>
      <c r="K2249" s="1" t="str">
        <f t="shared" si="465"/>
        <v>...</v>
      </c>
      <c r="L2249" s="1" t="str">
        <f t="shared" si="465"/>
        <v>...</v>
      </c>
      <c r="M2249" s="1" t="str">
        <f t="shared" si="465"/>
        <v>...</v>
      </c>
      <c r="N2249" t="s">
        <v>30</v>
      </c>
    </row>
    <row r="2250" spans="1:14" x14ac:dyDescent="0.25">
      <c r="A2250" t="s">
        <v>14</v>
      </c>
      <c r="B2250" t="s">
        <v>40</v>
      </c>
      <c r="C2250" t="s">
        <v>36</v>
      </c>
      <c r="D2250" t="s">
        <v>33</v>
      </c>
      <c r="E2250" t="s">
        <v>26</v>
      </c>
      <c r="F2250" t="s">
        <v>19</v>
      </c>
      <c r="G2250" s="1" t="str">
        <f t="shared" si="465"/>
        <v>...</v>
      </c>
      <c r="H2250" s="1" t="str">
        <f t="shared" si="465"/>
        <v>...</v>
      </c>
      <c r="I2250" s="1" t="str">
        <f t="shared" si="465"/>
        <v>...</v>
      </c>
      <c r="J2250" s="1" t="str">
        <f t="shared" si="465"/>
        <v>...</v>
      </c>
      <c r="K2250" s="1" t="str">
        <f t="shared" si="465"/>
        <v>...</v>
      </c>
      <c r="L2250" s="1" t="str">
        <f t="shared" si="465"/>
        <v>...</v>
      </c>
      <c r="M2250" s="1" t="str">
        <f t="shared" si="465"/>
        <v>...</v>
      </c>
      <c r="N2250" t="s">
        <v>30</v>
      </c>
    </row>
    <row r="2251" spans="1:14" x14ac:dyDescent="0.25">
      <c r="A2251" t="s">
        <v>14</v>
      </c>
      <c r="B2251" t="s">
        <v>40</v>
      </c>
      <c r="C2251" t="s">
        <v>36</v>
      </c>
      <c r="D2251" t="s">
        <v>33</v>
      </c>
      <c r="E2251" t="s">
        <v>26</v>
      </c>
      <c r="F2251" t="s">
        <v>20</v>
      </c>
      <c r="G2251" s="1" t="str">
        <f t="shared" si="465"/>
        <v>...</v>
      </c>
      <c r="H2251" s="1" t="str">
        <f t="shared" si="465"/>
        <v>...</v>
      </c>
      <c r="I2251" s="1" t="str">
        <f t="shared" si="465"/>
        <v>...</v>
      </c>
      <c r="J2251" s="1" t="str">
        <f t="shared" si="465"/>
        <v>...</v>
      </c>
      <c r="K2251" s="1" t="str">
        <f t="shared" si="465"/>
        <v>...</v>
      </c>
      <c r="L2251" s="1" t="str">
        <f t="shared" si="465"/>
        <v>...</v>
      </c>
      <c r="M2251" s="1" t="str">
        <f t="shared" si="465"/>
        <v>...</v>
      </c>
      <c r="N2251" t="s">
        <v>30</v>
      </c>
    </row>
    <row r="2252" spans="1:14" x14ac:dyDescent="0.25">
      <c r="A2252" t="s">
        <v>14</v>
      </c>
      <c r="B2252" t="s">
        <v>40</v>
      </c>
      <c r="C2252" t="s">
        <v>36</v>
      </c>
      <c r="D2252" t="s">
        <v>34</v>
      </c>
      <c r="E2252" t="s">
        <v>15</v>
      </c>
      <c r="F2252" t="s">
        <v>15</v>
      </c>
      <c r="G2252" s="2">
        <f>VALUE(151.505936395)</f>
        <v>151.50593639499999</v>
      </c>
      <c r="H2252" s="3">
        <f>VALUE(133.9576191427)</f>
        <v>133.9576191427</v>
      </c>
      <c r="I2252" s="1">
        <f>VALUE(2430)</f>
        <v>2430</v>
      </c>
      <c r="J2252" s="5">
        <f>VALUE(3953)</f>
        <v>3953</v>
      </c>
      <c r="K2252" s="1">
        <f>VALUE(4831)</f>
        <v>4831</v>
      </c>
      <c r="L2252" s="1">
        <f>VALUE(5952)</f>
        <v>5952</v>
      </c>
      <c r="M2252" s="1">
        <f>VALUE(7350)</f>
        <v>7350</v>
      </c>
      <c r="N2252" t="s">
        <v>25</v>
      </c>
    </row>
    <row r="2253" spans="1:14" x14ac:dyDescent="0.25">
      <c r="A2253" t="s">
        <v>14</v>
      </c>
      <c r="B2253" t="s">
        <v>40</v>
      </c>
      <c r="C2253" t="s">
        <v>36</v>
      </c>
      <c r="D2253" t="s">
        <v>34</v>
      </c>
      <c r="E2253" t="s">
        <v>15</v>
      </c>
      <c r="F2253" t="s">
        <v>17</v>
      </c>
      <c r="G2253" s="1" t="str">
        <f t="shared" ref="G2253:M2255" si="466">"X"</f>
        <v>X</v>
      </c>
      <c r="H2253" s="1" t="str">
        <f t="shared" si="466"/>
        <v>X</v>
      </c>
      <c r="I2253" s="1" t="str">
        <f t="shared" si="466"/>
        <v>X</v>
      </c>
      <c r="J2253" s="1" t="str">
        <f t="shared" si="466"/>
        <v>X</v>
      </c>
      <c r="K2253" s="1" t="str">
        <f t="shared" si="466"/>
        <v>X</v>
      </c>
      <c r="L2253" s="1" t="str">
        <f t="shared" si="466"/>
        <v>X</v>
      </c>
      <c r="M2253" s="1" t="str">
        <f t="shared" si="466"/>
        <v>X</v>
      </c>
      <c r="N2253" t="s">
        <v>27</v>
      </c>
    </row>
    <row r="2254" spans="1:14" x14ac:dyDescent="0.25">
      <c r="A2254" t="s">
        <v>14</v>
      </c>
      <c r="B2254" t="s">
        <v>40</v>
      </c>
      <c r="C2254" t="s">
        <v>36</v>
      </c>
      <c r="D2254" t="s">
        <v>34</v>
      </c>
      <c r="E2254" t="s">
        <v>15</v>
      </c>
      <c r="F2254" t="s">
        <v>18</v>
      </c>
      <c r="G2254" s="1" t="str">
        <f t="shared" si="466"/>
        <v>X</v>
      </c>
      <c r="H2254" s="1" t="str">
        <f t="shared" si="466"/>
        <v>X</v>
      </c>
      <c r="I2254" s="1" t="str">
        <f t="shared" si="466"/>
        <v>X</v>
      </c>
      <c r="J2254" s="1" t="str">
        <f t="shared" si="466"/>
        <v>X</v>
      </c>
      <c r="K2254" s="1" t="str">
        <f t="shared" si="466"/>
        <v>X</v>
      </c>
      <c r="L2254" s="1" t="str">
        <f t="shared" si="466"/>
        <v>X</v>
      </c>
      <c r="M2254" s="1" t="str">
        <f t="shared" si="466"/>
        <v>X</v>
      </c>
      <c r="N2254" t="s">
        <v>27</v>
      </c>
    </row>
    <row r="2255" spans="1:14" x14ac:dyDescent="0.25">
      <c r="A2255" t="s">
        <v>14</v>
      </c>
      <c r="B2255" t="s">
        <v>40</v>
      </c>
      <c r="C2255" t="s">
        <v>36</v>
      </c>
      <c r="D2255" t="s">
        <v>34</v>
      </c>
      <c r="E2255" t="s">
        <v>15</v>
      </c>
      <c r="F2255" t="s">
        <v>19</v>
      </c>
      <c r="G2255" s="1" t="str">
        <f t="shared" si="466"/>
        <v>X</v>
      </c>
      <c r="H2255" s="1" t="str">
        <f t="shared" si="466"/>
        <v>X</v>
      </c>
      <c r="I2255" s="1" t="str">
        <f t="shared" si="466"/>
        <v>X</v>
      </c>
      <c r="J2255" s="1" t="str">
        <f t="shared" si="466"/>
        <v>X</v>
      </c>
      <c r="K2255" s="1" t="str">
        <f t="shared" si="466"/>
        <v>X</v>
      </c>
      <c r="L2255" s="1" t="str">
        <f t="shared" si="466"/>
        <v>X</v>
      </c>
      <c r="M2255" s="1" t="str">
        <f t="shared" si="466"/>
        <v>X</v>
      </c>
      <c r="N2255" t="s">
        <v>27</v>
      </c>
    </row>
    <row r="2256" spans="1:14" x14ac:dyDescent="0.25">
      <c r="A2256" t="s">
        <v>14</v>
      </c>
      <c r="B2256" t="s">
        <v>40</v>
      </c>
      <c r="C2256" t="s">
        <v>36</v>
      </c>
      <c r="D2256" t="s">
        <v>34</v>
      </c>
      <c r="E2256" t="s">
        <v>15</v>
      </c>
      <c r="F2256" t="s">
        <v>20</v>
      </c>
      <c r="G2256" s="2">
        <f>VALUE(129.5074938749)</f>
        <v>129.50749387490001</v>
      </c>
      <c r="H2256" s="3">
        <f>VALUE(116.8890659707)</f>
        <v>116.8890659707</v>
      </c>
      <c r="I2256" s="1">
        <f>VALUE(2400)</f>
        <v>2400</v>
      </c>
      <c r="J2256" s="5">
        <f>VALUE(3921)</f>
        <v>3921</v>
      </c>
      <c r="K2256" s="1">
        <f>VALUE(4643)</f>
        <v>4643</v>
      </c>
      <c r="L2256" s="1">
        <f>VALUE(5417)</f>
        <v>5417</v>
      </c>
      <c r="M2256" s="1">
        <f>VALUE(6397)</f>
        <v>6397</v>
      </c>
      <c r="N2256" t="s">
        <v>25</v>
      </c>
    </row>
    <row r="2257" spans="1:14" x14ac:dyDescent="0.25">
      <c r="A2257" t="s">
        <v>14</v>
      </c>
      <c r="B2257" t="s">
        <v>40</v>
      </c>
      <c r="C2257" t="s">
        <v>36</v>
      </c>
      <c r="D2257" t="s">
        <v>34</v>
      </c>
      <c r="E2257" t="s">
        <v>21</v>
      </c>
      <c r="F2257" t="s">
        <v>15</v>
      </c>
      <c r="G2257" s="1" t="str">
        <f t="shared" ref="G2257:M2262" si="467">"X"</f>
        <v>X</v>
      </c>
      <c r="H2257" s="1" t="str">
        <f t="shared" si="467"/>
        <v>X</v>
      </c>
      <c r="I2257" s="1" t="str">
        <f t="shared" si="467"/>
        <v>X</v>
      </c>
      <c r="J2257" s="1" t="str">
        <f t="shared" si="467"/>
        <v>X</v>
      </c>
      <c r="K2257" s="1" t="str">
        <f t="shared" si="467"/>
        <v>X</v>
      </c>
      <c r="L2257" s="1" t="str">
        <f t="shared" si="467"/>
        <v>X</v>
      </c>
      <c r="M2257" s="1" t="str">
        <f t="shared" si="467"/>
        <v>X</v>
      </c>
      <c r="N2257" t="s">
        <v>27</v>
      </c>
    </row>
    <row r="2258" spans="1:14" x14ac:dyDescent="0.25">
      <c r="A2258" t="s">
        <v>14</v>
      </c>
      <c r="B2258" t="s">
        <v>40</v>
      </c>
      <c r="C2258" t="s">
        <v>36</v>
      </c>
      <c r="D2258" t="s">
        <v>34</v>
      </c>
      <c r="E2258" t="s">
        <v>21</v>
      </c>
      <c r="F2258" t="s">
        <v>17</v>
      </c>
      <c r="G2258" s="1" t="str">
        <f t="shared" si="467"/>
        <v>X</v>
      </c>
      <c r="H2258" s="1" t="str">
        <f t="shared" si="467"/>
        <v>X</v>
      </c>
      <c r="I2258" s="1" t="str">
        <f t="shared" si="467"/>
        <v>X</v>
      </c>
      <c r="J2258" s="1" t="str">
        <f t="shared" si="467"/>
        <v>X</v>
      </c>
      <c r="K2258" s="1" t="str">
        <f t="shared" si="467"/>
        <v>X</v>
      </c>
      <c r="L2258" s="1" t="str">
        <f t="shared" si="467"/>
        <v>X</v>
      </c>
      <c r="M2258" s="1" t="str">
        <f t="shared" si="467"/>
        <v>X</v>
      </c>
      <c r="N2258" t="s">
        <v>27</v>
      </c>
    </row>
    <row r="2259" spans="1:14" x14ac:dyDescent="0.25">
      <c r="A2259" t="s">
        <v>14</v>
      </c>
      <c r="B2259" t="s">
        <v>40</v>
      </c>
      <c r="C2259" t="s">
        <v>36</v>
      </c>
      <c r="D2259" t="s">
        <v>34</v>
      </c>
      <c r="E2259" t="s">
        <v>21</v>
      </c>
      <c r="F2259" t="s">
        <v>18</v>
      </c>
      <c r="G2259" s="1" t="str">
        <f t="shared" si="467"/>
        <v>X</v>
      </c>
      <c r="H2259" s="1" t="str">
        <f t="shared" si="467"/>
        <v>X</v>
      </c>
      <c r="I2259" s="1" t="str">
        <f t="shared" si="467"/>
        <v>X</v>
      </c>
      <c r="J2259" s="1" t="str">
        <f t="shared" si="467"/>
        <v>X</v>
      </c>
      <c r="K2259" s="1" t="str">
        <f t="shared" si="467"/>
        <v>X</v>
      </c>
      <c r="L2259" s="1" t="str">
        <f t="shared" si="467"/>
        <v>X</v>
      </c>
      <c r="M2259" s="1" t="str">
        <f t="shared" si="467"/>
        <v>X</v>
      </c>
      <c r="N2259" t="s">
        <v>27</v>
      </c>
    </row>
    <row r="2260" spans="1:14" x14ac:dyDescent="0.25">
      <c r="A2260" t="s">
        <v>14</v>
      </c>
      <c r="B2260" t="s">
        <v>40</v>
      </c>
      <c r="C2260" t="s">
        <v>36</v>
      </c>
      <c r="D2260" t="s">
        <v>34</v>
      </c>
      <c r="E2260" t="s">
        <v>21</v>
      </c>
      <c r="F2260" t="s">
        <v>19</v>
      </c>
      <c r="G2260" s="1" t="str">
        <f t="shared" si="467"/>
        <v>X</v>
      </c>
      <c r="H2260" s="1" t="str">
        <f t="shared" si="467"/>
        <v>X</v>
      </c>
      <c r="I2260" s="1" t="str">
        <f t="shared" si="467"/>
        <v>X</v>
      </c>
      <c r="J2260" s="1" t="str">
        <f t="shared" si="467"/>
        <v>X</v>
      </c>
      <c r="K2260" s="1" t="str">
        <f t="shared" si="467"/>
        <v>X</v>
      </c>
      <c r="L2260" s="1" t="str">
        <f t="shared" si="467"/>
        <v>X</v>
      </c>
      <c r="M2260" s="1" t="str">
        <f t="shared" si="467"/>
        <v>X</v>
      </c>
      <c r="N2260" t="s">
        <v>27</v>
      </c>
    </row>
    <row r="2261" spans="1:14" x14ac:dyDescent="0.25">
      <c r="A2261" t="s">
        <v>14</v>
      </c>
      <c r="B2261" t="s">
        <v>40</v>
      </c>
      <c r="C2261" t="s">
        <v>36</v>
      </c>
      <c r="D2261" t="s">
        <v>34</v>
      </c>
      <c r="E2261" t="s">
        <v>21</v>
      </c>
      <c r="F2261" t="s">
        <v>20</v>
      </c>
      <c r="G2261" s="1" t="str">
        <f t="shared" si="467"/>
        <v>X</v>
      </c>
      <c r="H2261" s="1" t="str">
        <f t="shared" si="467"/>
        <v>X</v>
      </c>
      <c r="I2261" s="1" t="str">
        <f t="shared" si="467"/>
        <v>X</v>
      </c>
      <c r="J2261" s="1" t="str">
        <f t="shared" si="467"/>
        <v>X</v>
      </c>
      <c r="K2261" s="1" t="str">
        <f t="shared" si="467"/>
        <v>X</v>
      </c>
      <c r="L2261" s="1" t="str">
        <f t="shared" si="467"/>
        <v>X</v>
      </c>
      <c r="M2261" s="1" t="str">
        <f t="shared" si="467"/>
        <v>X</v>
      </c>
      <c r="N2261" t="s">
        <v>27</v>
      </c>
    </row>
    <row r="2262" spans="1:14" x14ac:dyDescent="0.25">
      <c r="A2262" t="s">
        <v>14</v>
      </c>
      <c r="B2262" t="s">
        <v>40</v>
      </c>
      <c r="C2262" t="s">
        <v>36</v>
      </c>
      <c r="D2262" t="s">
        <v>34</v>
      </c>
      <c r="E2262" t="s">
        <v>22</v>
      </c>
      <c r="F2262" t="s">
        <v>15</v>
      </c>
      <c r="G2262" s="1" t="str">
        <f t="shared" si="467"/>
        <v>X</v>
      </c>
      <c r="H2262" s="1" t="str">
        <f t="shared" si="467"/>
        <v>X</v>
      </c>
      <c r="I2262" s="1" t="str">
        <f t="shared" si="467"/>
        <v>X</v>
      </c>
      <c r="J2262" s="1" t="str">
        <f t="shared" si="467"/>
        <v>X</v>
      </c>
      <c r="K2262" s="1" t="str">
        <f t="shared" si="467"/>
        <v>X</v>
      </c>
      <c r="L2262" s="1" t="str">
        <f t="shared" si="467"/>
        <v>X</v>
      </c>
      <c r="M2262" s="1" t="str">
        <f t="shared" si="467"/>
        <v>X</v>
      </c>
      <c r="N2262" t="s">
        <v>27</v>
      </c>
    </row>
    <row r="2263" spans="1:14" x14ac:dyDescent="0.25">
      <c r="A2263" t="s">
        <v>14</v>
      </c>
      <c r="B2263" t="s">
        <v>40</v>
      </c>
      <c r="C2263" t="s">
        <v>36</v>
      </c>
      <c r="D2263" t="s">
        <v>34</v>
      </c>
      <c r="E2263" t="s">
        <v>22</v>
      </c>
      <c r="F2263" t="s">
        <v>17</v>
      </c>
      <c r="G2263" s="1" t="str">
        <f t="shared" ref="G2263:M2263" si="468">"..."</f>
        <v>...</v>
      </c>
      <c r="H2263" s="1" t="str">
        <f t="shared" si="468"/>
        <v>...</v>
      </c>
      <c r="I2263" s="1" t="str">
        <f t="shared" si="468"/>
        <v>...</v>
      </c>
      <c r="J2263" s="1" t="str">
        <f t="shared" si="468"/>
        <v>...</v>
      </c>
      <c r="K2263" s="1" t="str">
        <f t="shared" si="468"/>
        <v>...</v>
      </c>
      <c r="L2263" s="1" t="str">
        <f t="shared" si="468"/>
        <v>...</v>
      </c>
      <c r="M2263" s="1" t="str">
        <f t="shared" si="468"/>
        <v>...</v>
      </c>
      <c r="N2263" t="s">
        <v>30</v>
      </c>
    </row>
    <row r="2264" spans="1:14" x14ac:dyDescent="0.25">
      <c r="A2264" t="s">
        <v>14</v>
      </c>
      <c r="B2264" t="s">
        <v>40</v>
      </c>
      <c r="C2264" t="s">
        <v>36</v>
      </c>
      <c r="D2264" t="s">
        <v>34</v>
      </c>
      <c r="E2264" t="s">
        <v>22</v>
      </c>
      <c r="F2264" t="s">
        <v>18</v>
      </c>
      <c r="G2264" s="1" t="str">
        <f t="shared" ref="G2264:M2264" si="469">"X"</f>
        <v>X</v>
      </c>
      <c r="H2264" s="1" t="str">
        <f t="shared" si="469"/>
        <v>X</v>
      </c>
      <c r="I2264" s="1" t="str">
        <f t="shared" si="469"/>
        <v>X</v>
      </c>
      <c r="J2264" s="1" t="str">
        <f t="shared" si="469"/>
        <v>X</v>
      </c>
      <c r="K2264" s="1" t="str">
        <f t="shared" si="469"/>
        <v>X</v>
      </c>
      <c r="L2264" s="1" t="str">
        <f t="shared" si="469"/>
        <v>X</v>
      </c>
      <c r="M2264" s="1" t="str">
        <f t="shared" si="469"/>
        <v>X</v>
      </c>
      <c r="N2264" t="s">
        <v>27</v>
      </c>
    </row>
    <row r="2265" spans="1:14" x14ac:dyDescent="0.25">
      <c r="A2265" t="s">
        <v>14</v>
      </c>
      <c r="B2265" t="s">
        <v>40</v>
      </c>
      <c r="C2265" t="s">
        <v>36</v>
      </c>
      <c r="D2265" t="s">
        <v>34</v>
      </c>
      <c r="E2265" t="s">
        <v>22</v>
      </c>
      <c r="F2265" t="s">
        <v>19</v>
      </c>
      <c r="G2265" s="1" t="str">
        <f t="shared" ref="G2265:M2265" si="470">"..."</f>
        <v>...</v>
      </c>
      <c r="H2265" s="1" t="str">
        <f t="shared" si="470"/>
        <v>...</v>
      </c>
      <c r="I2265" s="1" t="str">
        <f t="shared" si="470"/>
        <v>...</v>
      </c>
      <c r="J2265" s="1" t="str">
        <f t="shared" si="470"/>
        <v>...</v>
      </c>
      <c r="K2265" s="1" t="str">
        <f t="shared" si="470"/>
        <v>...</v>
      </c>
      <c r="L2265" s="1" t="str">
        <f t="shared" si="470"/>
        <v>...</v>
      </c>
      <c r="M2265" s="1" t="str">
        <f t="shared" si="470"/>
        <v>...</v>
      </c>
      <c r="N2265" t="s">
        <v>30</v>
      </c>
    </row>
    <row r="2266" spans="1:14" x14ac:dyDescent="0.25">
      <c r="A2266" t="s">
        <v>14</v>
      </c>
      <c r="B2266" t="s">
        <v>40</v>
      </c>
      <c r="C2266" t="s">
        <v>36</v>
      </c>
      <c r="D2266" t="s">
        <v>34</v>
      </c>
      <c r="E2266" t="s">
        <v>22</v>
      </c>
      <c r="F2266" t="s">
        <v>20</v>
      </c>
      <c r="G2266" s="1" t="str">
        <f t="shared" ref="G2266:M2267" si="471">"X"</f>
        <v>X</v>
      </c>
      <c r="H2266" s="1" t="str">
        <f t="shared" si="471"/>
        <v>X</v>
      </c>
      <c r="I2266" s="1" t="str">
        <f t="shared" si="471"/>
        <v>X</v>
      </c>
      <c r="J2266" s="1" t="str">
        <f t="shared" si="471"/>
        <v>X</v>
      </c>
      <c r="K2266" s="1" t="str">
        <f t="shared" si="471"/>
        <v>X</v>
      </c>
      <c r="L2266" s="1" t="str">
        <f t="shared" si="471"/>
        <v>X</v>
      </c>
      <c r="M2266" s="1" t="str">
        <f t="shared" si="471"/>
        <v>X</v>
      </c>
      <c r="N2266" t="s">
        <v>27</v>
      </c>
    </row>
    <row r="2267" spans="1:14" x14ac:dyDescent="0.25">
      <c r="A2267" t="s">
        <v>14</v>
      </c>
      <c r="B2267" t="s">
        <v>40</v>
      </c>
      <c r="C2267" t="s">
        <v>36</v>
      </c>
      <c r="D2267" t="s">
        <v>34</v>
      </c>
      <c r="E2267" t="s">
        <v>23</v>
      </c>
      <c r="F2267" t="s">
        <v>15</v>
      </c>
      <c r="G2267" s="1" t="str">
        <f t="shared" si="471"/>
        <v>X</v>
      </c>
      <c r="H2267" s="1" t="str">
        <f t="shared" si="471"/>
        <v>X</v>
      </c>
      <c r="I2267" s="1" t="str">
        <f t="shared" si="471"/>
        <v>X</v>
      </c>
      <c r="J2267" s="1" t="str">
        <f t="shared" si="471"/>
        <v>X</v>
      </c>
      <c r="K2267" s="1" t="str">
        <f t="shared" si="471"/>
        <v>X</v>
      </c>
      <c r="L2267" s="1" t="str">
        <f t="shared" si="471"/>
        <v>X</v>
      </c>
      <c r="M2267" s="1" t="str">
        <f t="shared" si="471"/>
        <v>X</v>
      </c>
      <c r="N2267" t="s">
        <v>27</v>
      </c>
    </row>
    <row r="2268" spans="1:14" x14ac:dyDescent="0.25">
      <c r="A2268" t="s">
        <v>14</v>
      </c>
      <c r="B2268" t="s">
        <v>40</v>
      </c>
      <c r="C2268" t="s">
        <v>36</v>
      </c>
      <c r="D2268" t="s">
        <v>34</v>
      </c>
      <c r="E2268" t="s">
        <v>23</v>
      </c>
      <c r="F2268" t="s">
        <v>17</v>
      </c>
      <c r="G2268" s="1" t="str">
        <f t="shared" ref="G2268:M2268" si="472">"..."</f>
        <v>...</v>
      </c>
      <c r="H2268" s="1" t="str">
        <f t="shared" si="472"/>
        <v>...</v>
      </c>
      <c r="I2268" s="1" t="str">
        <f t="shared" si="472"/>
        <v>...</v>
      </c>
      <c r="J2268" s="1" t="str">
        <f t="shared" si="472"/>
        <v>...</v>
      </c>
      <c r="K2268" s="1" t="str">
        <f t="shared" si="472"/>
        <v>...</v>
      </c>
      <c r="L2268" s="1" t="str">
        <f t="shared" si="472"/>
        <v>...</v>
      </c>
      <c r="M2268" s="1" t="str">
        <f t="shared" si="472"/>
        <v>...</v>
      </c>
      <c r="N2268" t="s">
        <v>30</v>
      </c>
    </row>
    <row r="2269" spans="1:14" x14ac:dyDescent="0.25">
      <c r="A2269" t="s">
        <v>14</v>
      </c>
      <c r="B2269" t="s">
        <v>40</v>
      </c>
      <c r="C2269" t="s">
        <v>36</v>
      </c>
      <c r="D2269" t="s">
        <v>34</v>
      </c>
      <c r="E2269" t="s">
        <v>23</v>
      </c>
      <c r="F2269" t="s">
        <v>18</v>
      </c>
      <c r="G2269" s="1" t="str">
        <f t="shared" ref="G2269:M2269" si="473">"X"</f>
        <v>X</v>
      </c>
      <c r="H2269" s="1" t="str">
        <f t="shared" si="473"/>
        <v>X</v>
      </c>
      <c r="I2269" s="1" t="str">
        <f t="shared" si="473"/>
        <v>X</v>
      </c>
      <c r="J2269" s="1" t="str">
        <f t="shared" si="473"/>
        <v>X</v>
      </c>
      <c r="K2269" s="1" t="str">
        <f t="shared" si="473"/>
        <v>X</v>
      </c>
      <c r="L2269" s="1" t="str">
        <f t="shared" si="473"/>
        <v>X</v>
      </c>
      <c r="M2269" s="1" t="str">
        <f t="shared" si="473"/>
        <v>X</v>
      </c>
      <c r="N2269" t="s">
        <v>27</v>
      </c>
    </row>
    <row r="2270" spans="1:14" x14ac:dyDescent="0.25">
      <c r="A2270" t="s">
        <v>14</v>
      </c>
      <c r="B2270" t="s">
        <v>40</v>
      </c>
      <c r="C2270" t="s">
        <v>36</v>
      </c>
      <c r="D2270" t="s">
        <v>34</v>
      </c>
      <c r="E2270" t="s">
        <v>23</v>
      </c>
      <c r="F2270" t="s">
        <v>19</v>
      </c>
      <c r="G2270" s="1" t="str">
        <f t="shared" ref="G2270:M2270" si="474">"..."</f>
        <v>...</v>
      </c>
      <c r="H2270" s="1" t="str">
        <f t="shared" si="474"/>
        <v>...</v>
      </c>
      <c r="I2270" s="1" t="str">
        <f t="shared" si="474"/>
        <v>...</v>
      </c>
      <c r="J2270" s="1" t="str">
        <f t="shared" si="474"/>
        <v>...</v>
      </c>
      <c r="K2270" s="1" t="str">
        <f t="shared" si="474"/>
        <v>...</v>
      </c>
      <c r="L2270" s="1" t="str">
        <f t="shared" si="474"/>
        <v>...</v>
      </c>
      <c r="M2270" s="1" t="str">
        <f t="shared" si="474"/>
        <v>...</v>
      </c>
      <c r="N2270" t="s">
        <v>30</v>
      </c>
    </row>
    <row r="2271" spans="1:14" x14ac:dyDescent="0.25">
      <c r="A2271" t="s">
        <v>14</v>
      </c>
      <c r="B2271" t="s">
        <v>40</v>
      </c>
      <c r="C2271" t="s">
        <v>36</v>
      </c>
      <c r="D2271" t="s">
        <v>34</v>
      </c>
      <c r="E2271" t="s">
        <v>23</v>
      </c>
      <c r="F2271" t="s">
        <v>20</v>
      </c>
      <c r="G2271" s="1" t="str">
        <f t="shared" ref="G2271:M2272" si="475">"X"</f>
        <v>X</v>
      </c>
      <c r="H2271" s="1" t="str">
        <f t="shared" si="475"/>
        <v>X</v>
      </c>
      <c r="I2271" s="1" t="str">
        <f t="shared" si="475"/>
        <v>X</v>
      </c>
      <c r="J2271" s="1" t="str">
        <f t="shared" si="475"/>
        <v>X</v>
      </c>
      <c r="K2271" s="1" t="str">
        <f t="shared" si="475"/>
        <v>X</v>
      </c>
      <c r="L2271" s="1" t="str">
        <f t="shared" si="475"/>
        <v>X</v>
      </c>
      <c r="M2271" s="1" t="str">
        <f t="shared" si="475"/>
        <v>X</v>
      </c>
      <c r="N2271" t="s">
        <v>27</v>
      </c>
    </row>
    <row r="2272" spans="1:14" x14ac:dyDescent="0.25">
      <c r="A2272" t="s">
        <v>14</v>
      </c>
      <c r="B2272" t="s">
        <v>40</v>
      </c>
      <c r="C2272" t="s">
        <v>36</v>
      </c>
      <c r="D2272" t="s">
        <v>34</v>
      </c>
      <c r="E2272" t="s">
        <v>26</v>
      </c>
      <c r="F2272" t="s">
        <v>15</v>
      </c>
      <c r="G2272" s="1" t="str">
        <f t="shared" si="475"/>
        <v>X</v>
      </c>
      <c r="H2272" s="1" t="str">
        <f t="shared" si="475"/>
        <v>X</v>
      </c>
      <c r="I2272" s="1" t="str">
        <f t="shared" si="475"/>
        <v>X</v>
      </c>
      <c r="J2272" s="1" t="str">
        <f t="shared" si="475"/>
        <v>X</v>
      </c>
      <c r="K2272" s="1" t="str">
        <f t="shared" si="475"/>
        <v>X</v>
      </c>
      <c r="L2272" s="1" t="str">
        <f t="shared" si="475"/>
        <v>X</v>
      </c>
      <c r="M2272" s="1" t="str">
        <f t="shared" si="475"/>
        <v>X</v>
      </c>
      <c r="N2272" t="s">
        <v>27</v>
      </c>
    </row>
    <row r="2273" spans="1:14" x14ac:dyDescent="0.25">
      <c r="A2273" t="s">
        <v>14</v>
      </c>
      <c r="B2273" t="s">
        <v>40</v>
      </c>
      <c r="C2273" t="s">
        <v>36</v>
      </c>
      <c r="D2273" t="s">
        <v>34</v>
      </c>
      <c r="E2273" t="s">
        <v>26</v>
      </c>
      <c r="F2273" t="s">
        <v>17</v>
      </c>
      <c r="G2273" s="1" t="str">
        <f t="shared" ref="G2273:M2275" si="476">"..."</f>
        <v>...</v>
      </c>
      <c r="H2273" s="1" t="str">
        <f t="shared" si="476"/>
        <v>...</v>
      </c>
      <c r="I2273" s="1" t="str">
        <f t="shared" si="476"/>
        <v>...</v>
      </c>
      <c r="J2273" s="1" t="str">
        <f t="shared" si="476"/>
        <v>...</v>
      </c>
      <c r="K2273" s="1" t="str">
        <f t="shared" si="476"/>
        <v>...</v>
      </c>
      <c r="L2273" s="1" t="str">
        <f t="shared" si="476"/>
        <v>...</v>
      </c>
      <c r="M2273" s="1" t="str">
        <f t="shared" si="476"/>
        <v>...</v>
      </c>
      <c r="N2273" t="s">
        <v>30</v>
      </c>
    </row>
    <row r="2274" spans="1:14" x14ac:dyDescent="0.25">
      <c r="A2274" t="s">
        <v>14</v>
      </c>
      <c r="B2274" t="s">
        <v>40</v>
      </c>
      <c r="C2274" t="s">
        <v>36</v>
      </c>
      <c r="D2274" t="s">
        <v>34</v>
      </c>
      <c r="E2274" t="s">
        <v>26</v>
      </c>
      <c r="F2274" t="s">
        <v>18</v>
      </c>
      <c r="G2274" s="1" t="str">
        <f t="shared" si="476"/>
        <v>...</v>
      </c>
      <c r="H2274" s="1" t="str">
        <f t="shared" si="476"/>
        <v>...</v>
      </c>
      <c r="I2274" s="1" t="str">
        <f t="shared" si="476"/>
        <v>...</v>
      </c>
      <c r="J2274" s="1" t="str">
        <f t="shared" si="476"/>
        <v>...</v>
      </c>
      <c r="K2274" s="1" t="str">
        <f t="shared" si="476"/>
        <v>...</v>
      </c>
      <c r="L2274" s="1" t="str">
        <f t="shared" si="476"/>
        <v>...</v>
      </c>
      <c r="M2274" s="1" t="str">
        <f t="shared" si="476"/>
        <v>...</v>
      </c>
      <c r="N2274" t="s">
        <v>30</v>
      </c>
    </row>
    <row r="2275" spans="1:14" x14ac:dyDescent="0.25">
      <c r="A2275" t="s">
        <v>14</v>
      </c>
      <c r="B2275" t="s">
        <v>40</v>
      </c>
      <c r="C2275" t="s">
        <v>36</v>
      </c>
      <c r="D2275" t="s">
        <v>34</v>
      </c>
      <c r="E2275" t="s">
        <v>26</v>
      </c>
      <c r="F2275" t="s">
        <v>19</v>
      </c>
      <c r="G2275" s="1" t="str">
        <f t="shared" si="476"/>
        <v>...</v>
      </c>
      <c r="H2275" s="1" t="str">
        <f t="shared" si="476"/>
        <v>...</v>
      </c>
      <c r="I2275" s="1" t="str">
        <f t="shared" si="476"/>
        <v>...</v>
      </c>
      <c r="J2275" s="1" t="str">
        <f t="shared" si="476"/>
        <v>...</v>
      </c>
      <c r="K2275" s="1" t="str">
        <f t="shared" si="476"/>
        <v>...</v>
      </c>
      <c r="L2275" s="1" t="str">
        <f t="shared" si="476"/>
        <v>...</v>
      </c>
      <c r="M2275" s="1" t="str">
        <f t="shared" si="476"/>
        <v>...</v>
      </c>
      <c r="N2275" t="s">
        <v>30</v>
      </c>
    </row>
    <row r="2276" spans="1:14" x14ac:dyDescent="0.25">
      <c r="A2276" t="s">
        <v>14</v>
      </c>
      <c r="B2276" t="s">
        <v>40</v>
      </c>
      <c r="C2276" t="s">
        <v>36</v>
      </c>
      <c r="D2276" t="s">
        <v>34</v>
      </c>
      <c r="E2276" t="s">
        <v>26</v>
      </c>
      <c r="F2276" t="s">
        <v>20</v>
      </c>
      <c r="G2276" s="1" t="str">
        <f t="shared" ref="G2276:M2276" si="477">"X"</f>
        <v>X</v>
      </c>
      <c r="H2276" s="1" t="str">
        <f t="shared" si="477"/>
        <v>X</v>
      </c>
      <c r="I2276" s="1" t="str">
        <f t="shared" si="477"/>
        <v>X</v>
      </c>
      <c r="J2276" s="1" t="str">
        <f t="shared" si="477"/>
        <v>X</v>
      </c>
      <c r="K2276" s="1" t="str">
        <f t="shared" si="477"/>
        <v>X</v>
      </c>
      <c r="L2276" s="1" t="str">
        <f t="shared" si="477"/>
        <v>X</v>
      </c>
      <c r="M2276" s="1" t="str">
        <f t="shared" si="477"/>
        <v>X</v>
      </c>
      <c r="N2276" t="s">
        <v>27</v>
      </c>
    </row>
    <row r="2277" spans="1:14" x14ac:dyDescent="0.25">
      <c r="A2277" t="s">
        <v>14</v>
      </c>
      <c r="B2277" t="s">
        <v>40</v>
      </c>
      <c r="C2277" t="s">
        <v>37</v>
      </c>
      <c r="D2277" t="s">
        <v>15</v>
      </c>
      <c r="E2277" t="s">
        <v>15</v>
      </c>
      <c r="F2277" t="s">
        <v>15</v>
      </c>
      <c r="G2277" s="1">
        <f>VALUE(21449.8126370253)</f>
        <v>21449.812637025301</v>
      </c>
      <c r="H2277" s="1">
        <f>VALUE(17146.8318409315)</f>
        <v>17146.8318409315</v>
      </c>
      <c r="I2277" s="1">
        <f>VALUE(2877)</f>
        <v>2877</v>
      </c>
      <c r="J2277" s="1">
        <f>VALUE(3464)</f>
        <v>3464</v>
      </c>
      <c r="K2277" s="1">
        <f>VALUE(4388)</f>
        <v>4388</v>
      </c>
      <c r="L2277" s="1">
        <f>VALUE(5852)</f>
        <v>5852</v>
      </c>
      <c r="M2277" s="1">
        <f>VALUE(7526)</f>
        <v>7526</v>
      </c>
      <c r="N2277" t="s">
        <v>16</v>
      </c>
    </row>
    <row r="2278" spans="1:14" x14ac:dyDescent="0.25">
      <c r="A2278" t="s">
        <v>14</v>
      </c>
      <c r="B2278" t="s">
        <v>40</v>
      </c>
      <c r="C2278" t="s">
        <v>37</v>
      </c>
      <c r="D2278" t="s">
        <v>15</v>
      </c>
      <c r="E2278" t="s">
        <v>15</v>
      </c>
      <c r="F2278" t="s">
        <v>17</v>
      </c>
      <c r="G2278" s="1">
        <f>VALUE(2301.2918815611)</f>
        <v>2301.2918815611001</v>
      </c>
      <c r="H2278" s="1">
        <f>VALUE(1960.3230732748)</f>
        <v>1960.3230732748</v>
      </c>
      <c r="I2278" s="4">
        <f>VALUE(3810)</f>
        <v>3810</v>
      </c>
      <c r="J2278" s="5">
        <f>VALUE(4664)</f>
        <v>4664</v>
      </c>
      <c r="K2278" s="1">
        <f>VALUE(6500)</f>
        <v>6500</v>
      </c>
      <c r="L2278" s="1">
        <f>VALUE(9033)</f>
        <v>9033</v>
      </c>
      <c r="M2278" s="1">
        <f>VALUE(12750)</f>
        <v>12750</v>
      </c>
      <c r="N2278" t="s">
        <v>25</v>
      </c>
    </row>
    <row r="2279" spans="1:14" x14ac:dyDescent="0.25">
      <c r="A2279" t="s">
        <v>14</v>
      </c>
      <c r="B2279" t="s">
        <v>40</v>
      </c>
      <c r="C2279" t="s">
        <v>37</v>
      </c>
      <c r="D2279" t="s">
        <v>15</v>
      </c>
      <c r="E2279" t="s">
        <v>15</v>
      </c>
      <c r="F2279" t="s">
        <v>18</v>
      </c>
      <c r="G2279" s="1">
        <f>VALUE(2543.3922233548)</f>
        <v>2543.3922233548001</v>
      </c>
      <c r="H2279" s="1">
        <f>VALUE(2126.048479362)</f>
        <v>2126.0484793619999</v>
      </c>
      <c r="I2279" s="1">
        <f>VALUE(3575)</f>
        <v>3575</v>
      </c>
      <c r="J2279" s="1">
        <f>VALUE(4291)</f>
        <v>4291</v>
      </c>
      <c r="K2279" s="1">
        <f>VALUE(5338)</f>
        <v>5338</v>
      </c>
      <c r="L2279" s="1">
        <f>VALUE(7042)</f>
        <v>7042</v>
      </c>
      <c r="M2279" s="1">
        <f>VALUE(8296)</f>
        <v>8296</v>
      </c>
      <c r="N2279" t="s">
        <v>16</v>
      </c>
    </row>
    <row r="2280" spans="1:14" x14ac:dyDescent="0.25">
      <c r="A2280" t="s">
        <v>14</v>
      </c>
      <c r="B2280" t="s">
        <v>40</v>
      </c>
      <c r="C2280" t="s">
        <v>37</v>
      </c>
      <c r="D2280" t="s">
        <v>15</v>
      </c>
      <c r="E2280" t="s">
        <v>15</v>
      </c>
      <c r="F2280" t="s">
        <v>19</v>
      </c>
      <c r="G2280" s="1">
        <f>VALUE(2417.6034304353)</f>
        <v>2417.6034304353002</v>
      </c>
      <c r="H2280" s="1">
        <f>VALUE(1954.3715120398)</f>
        <v>1954.3715120398001</v>
      </c>
      <c r="I2280" s="1">
        <f>VALUE(3454)</f>
        <v>3454</v>
      </c>
      <c r="J2280" s="1">
        <f>VALUE(4200)</f>
        <v>4200</v>
      </c>
      <c r="K2280" s="1">
        <f>VALUE(5243)</f>
        <v>5243</v>
      </c>
      <c r="L2280" s="1">
        <f>VALUE(6500)</f>
        <v>6500</v>
      </c>
      <c r="M2280" s="1">
        <f>VALUE(7583)</f>
        <v>7583</v>
      </c>
      <c r="N2280" t="s">
        <v>16</v>
      </c>
    </row>
    <row r="2281" spans="1:14" x14ac:dyDescent="0.25">
      <c r="A2281" t="s">
        <v>14</v>
      </c>
      <c r="B2281" t="s">
        <v>40</v>
      </c>
      <c r="C2281" t="s">
        <v>37</v>
      </c>
      <c r="D2281" t="s">
        <v>15</v>
      </c>
      <c r="E2281" t="s">
        <v>15</v>
      </c>
      <c r="F2281" t="s">
        <v>20</v>
      </c>
      <c r="G2281" s="1">
        <f>VALUE(14182.2952471901)</f>
        <v>14182.295247190101</v>
      </c>
      <c r="H2281" s="1">
        <f>VALUE(11103.6835504108)</f>
        <v>11103.6835504108</v>
      </c>
      <c r="I2281" s="1">
        <f>VALUE(2729)</f>
        <v>2729</v>
      </c>
      <c r="J2281" s="1">
        <f>VALUE(3220)</f>
        <v>3220</v>
      </c>
      <c r="K2281" s="1">
        <f>VALUE(3932)</f>
        <v>3932</v>
      </c>
      <c r="L2281" s="1">
        <f>VALUE(4996)</f>
        <v>4996</v>
      </c>
      <c r="M2281" s="1">
        <f>VALUE(6175)</f>
        <v>6175</v>
      </c>
      <c r="N2281" t="s">
        <v>16</v>
      </c>
    </row>
    <row r="2282" spans="1:14" x14ac:dyDescent="0.25">
      <c r="A2282" t="s">
        <v>14</v>
      </c>
      <c r="B2282" t="s">
        <v>40</v>
      </c>
      <c r="C2282" t="s">
        <v>37</v>
      </c>
      <c r="D2282" t="s">
        <v>15</v>
      </c>
      <c r="E2282" t="s">
        <v>21</v>
      </c>
      <c r="F2282" t="s">
        <v>15</v>
      </c>
      <c r="G2282" s="1">
        <f>VALUE(3815.2441616086)</f>
        <v>3815.2441616085998</v>
      </c>
      <c r="H2282" s="1">
        <f>VALUE(3064.1074401718)</f>
        <v>3064.1074401718001</v>
      </c>
      <c r="I2282" s="1">
        <f>VALUE(4167)</f>
        <v>4167</v>
      </c>
      <c r="J2282" s="1">
        <f>VALUE(5254)</f>
        <v>5254</v>
      </c>
      <c r="K2282" s="1">
        <f>VALUE(6614)</f>
        <v>6614</v>
      </c>
      <c r="L2282" s="1">
        <f>VALUE(8070)</f>
        <v>8070</v>
      </c>
      <c r="M2282" s="1">
        <f>VALUE(10476)</f>
        <v>10476</v>
      </c>
      <c r="N2282" t="s">
        <v>16</v>
      </c>
    </row>
    <row r="2283" spans="1:14" x14ac:dyDescent="0.25">
      <c r="A2283" t="s">
        <v>14</v>
      </c>
      <c r="B2283" t="s">
        <v>40</v>
      </c>
      <c r="C2283" t="s">
        <v>37</v>
      </c>
      <c r="D2283" t="s">
        <v>15</v>
      </c>
      <c r="E2283" t="s">
        <v>21</v>
      </c>
      <c r="F2283" t="s">
        <v>17</v>
      </c>
      <c r="G2283" s="2">
        <f>VALUE(1230.9490102311)</f>
        <v>1230.9490102310999</v>
      </c>
      <c r="H2283" s="3">
        <f>VALUE(1033.5981561635)</f>
        <v>1033.5981561635001</v>
      </c>
      <c r="I2283" s="4">
        <f>VALUE(4167)</f>
        <v>4167</v>
      </c>
      <c r="J2283" s="1">
        <f>VALUE(5800)</f>
        <v>5800</v>
      </c>
      <c r="K2283" s="1">
        <f>VALUE(7863)</f>
        <v>7863</v>
      </c>
      <c r="L2283" s="1">
        <f>VALUE(10416)</f>
        <v>10416</v>
      </c>
      <c r="M2283" s="1">
        <f>VALUE(13491)</f>
        <v>13491</v>
      </c>
      <c r="N2283" t="s">
        <v>25</v>
      </c>
    </row>
    <row r="2284" spans="1:14" x14ac:dyDescent="0.25">
      <c r="A2284" t="s">
        <v>14</v>
      </c>
      <c r="B2284" t="s">
        <v>40</v>
      </c>
      <c r="C2284" t="s">
        <v>37</v>
      </c>
      <c r="D2284" t="s">
        <v>15</v>
      </c>
      <c r="E2284" t="s">
        <v>21</v>
      </c>
      <c r="F2284" t="s">
        <v>18</v>
      </c>
      <c r="G2284" s="2">
        <f>VALUE(824.5694068723)</f>
        <v>824.56940687229996</v>
      </c>
      <c r="H2284" s="3">
        <f>VALUE(671.2841775713)</f>
        <v>671.28417757130001</v>
      </c>
      <c r="I2284" s="1">
        <f>VALUE(4166)</f>
        <v>4166</v>
      </c>
      <c r="J2284" s="1">
        <f>VALUE(5254)</f>
        <v>5254</v>
      </c>
      <c r="K2284" s="1">
        <f>VALUE(6548)</f>
        <v>6548</v>
      </c>
      <c r="L2284" s="1">
        <f>VALUE(7854)</f>
        <v>7854</v>
      </c>
      <c r="M2284" s="8">
        <f>VALUE(8975)</f>
        <v>8975</v>
      </c>
      <c r="N2284" t="s">
        <v>25</v>
      </c>
    </row>
    <row r="2285" spans="1:14" x14ac:dyDescent="0.25">
      <c r="A2285" t="s">
        <v>14</v>
      </c>
      <c r="B2285" t="s">
        <v>40</v>
      </c>
      <c r="C2285" t="s">
        <v>37</v>
      </c>
      <c r="D2285" t="s">
        <v>15</v>
      </c>
      <c r="E2285" t="s">
        <v>21</v>
      </c>
      <c r="F2285" t="s">
        <v>19</v>
      </c>
      <c r="G2285" s="2">
        <f>VALUE(565.9002524506)</f>
        <v>565.90025245059996</v>
      </c>
      <c r="H2285" s="3">
        <f>VALUE(407.2128932689)</f>
        <v>407.21289326890002</v>
      </c>
      <c r="I2285" s="1">
        <f>VALUE(4730)</f>
        <v>4730</v>
      </c>
      <c r="J2285" s="1">
        <f>VALUE(5399)</f>
        <v>5399</v>
      </c>
      <c r="K2285" s="6">
        <f>VALUE(6667)</f>
        <v>6667</v>
      </c>
      <c r="L2285" s="1">
        <f>VALUE(7700)</f>
        <v>7700</v>
      </c>
      <c r="M2285" s="1">
        <f>VALUE(8527)</f>
        <v>8527</v>
      </c>
      <c r="N2285" t="s">
        <v>25</v>
      </c>
    </row>
    <row r="2286" spans="1:14" x14ac:dyDescent="0.25">
      <c r="A2286" t="s">
        <v>14</v>
      </c>
      <c r="B2286" t="s">
        <v>40</v>
      </c>
      <c r="C2286" t="s">
        <v>37</v>
      </c>
      <c r="D2286" t="s">
        <v>15</v>
      </c>
      <c r="E2286" t="s">
        <v>21</v>
      </c>
      <c r="F2286" t="s">
        <v>20</v>
      </c>
      <c r="G2286" s="1">
        <f>VALUE(1193.8254920546)</f>
        <v>1193.8254920546001</v>
      </c>
      <c r="H2286" s="1">
        <f>VALUE(952.0122131681)</f>
        <v>952.01221316809995</v>
      </c>
      <c r="I2286" s="1">
        <f>VALUE(4116)</f>
        <v>4116</v>
      </c>
      <c r="J2286" s="1">
        <f>VALUE(4902)</f>
        <v>4902</v>
      </c>
      <c r="K2286" s="1">
        <f>VALUE(5984)</f>
        <v>5984</v>
      </c>
      <c r="L2286" s="1">
        <f>VALUE(7060)</f>
        <v>7060</v>
      </c>
      <c r="M2286" s="1">
        <f>VALUE(8017)</f>
        <v>8017</v>
      </c>
      <c r="N2286" t="s">
        <v>16</v>
      </c>
    </row>
    <row r="2287" spans="1:14" x14ac:dyDescent="0.25">
      <c r="A2287" t="s">
        <v>14</v>
      </c>
      <c r="B2287" t="s">
        <v>40</v>
      </c>
      <c r="C2287" t="s">
        <v>37</v>
      </c>
      <c r="D2287" t="s">
        <v>15</v>
      </c>
      <c r="E2287" t="s">
        <v>22</v>
      </c>
      <c r="F2287" t="s">
        <v>15</v>
      </c>
      <c r="G2287" s="1">
        <f>VALUE(8160.6325079246)</f>
        <v>8160.6325079245998</v>
      </c>
      <c r="H2287" s="1">
        <f>VALUE(6346.3740947065)</f>
        <v>6346.3740947064998</v>
      </c>
      <c r="I2287" s="1">
        <f>VALUE(3297)</f>
        <v>3297</v>
      </c>
      <c r="J2287" s="1">
        <f>VALUE(4024)</f>
        <v>4024</v>
      </c>
      <c r="K2287" s="1">
        <f>VALUE(4948)</f>
        <v>4948</v>
      </c>
      <c r="L2287" s="1">
        <f>VALUE(6037)</f>
        <v>6037</v>
      </c>
      <c r="M2287" s="1">
        <f>VALUE(7209)</f>
        <v>7209</v>
      </c>
      <c r="N2287" t="s">
        <v>16</v>
      </c>
    </row>
    <row r="2288" spans="1:14" x14ac:dyDescent="0.25">
      <c r="A2288" t="s">
        <v>14</v>
      </c>
      <c r="B2288" t="s">
        <v>40</v>
      </c>
      <c r="C2288" t="s">
        <v>37</v>
      </c>
      <c r="D2288" t="s">
        <v>15</v>
      </c>
      <c r="E2288" t="s">
        <v>22</v>
      </c>
      <c r="F2288" t="s">
        <v>17</v>
      </c>
      <c r="G2288" s="2">
        <f>VALUE(762.0583607151)</f>
        <v>762.05836071509998</v>
      </c>
      <c r="H2288" s="3">
        <f>VALUE(627.2988741485)</f>
        <v>627.29887414849998</v>
      </c>
      <c r="I2288" s="4">
        <f>VALUE(3250)</f>
        <v>3250</v>
      </c>
      <c r="J2288" s="5">
        <f>VALUE(4131)</f>
        <v>4131</v>
      </c>
      <c r="K2288" s="1">
        <f>VALUE(5632)</f>
        <v>5632</v>
      </c>
      <c r="L2288" s="1">
        <f>VALUE(7119)</f>
        <v>7119</v>
      </c>
      <c r="M2288" s="1">
        <f>VALUE(8953)</f>
        <v>8953</v>
      </c>
      <c r="N2288" t="s">
        <v>25</v>
      </c>
    </row>
    <row r="2289" spans="1:14" x14ac:dyDescent="0.25">
      <c r="A2289" t="s">
        <v>14</v>
      </c>
      <c r="B2289" t="s">
        <v>40</v>
      </c>
      <c r="C2289" t="s">
        <v>37</v>
      </c>
      <c r="D2289" t="s">
        <v>15</v>
      </c>
      <c r="E2289" t="s">
        <v>22</v>
      </c>
      <c r="F2289" t="s">
        <v>18</v>
      </c>
      <c r="G2289" s="2">
        <f>VALUE(1339.9443143095)</f>
        <v>1339.9443143095</v>
      </c>
      <c r="H2289" s="3">
        <f>VALUE(1098.5630599444)</f>
        <v>1098.5630599444</v>
      </c>
      <c r="I2289" s="4">
        <f>VALUE(3575)</f>
        <v>3575</v>
      </c>
      <c r="J2289" s="5">
        <f>VALUE(4282)</f>
        <v>4282</v>
      </c>
      <c r="K2289" s="1">
        <f>VALUE(5105)</f>
        <v>5105</v>
      </c>
      <c r="L2289" s="1">
        <f>VALUE(6623)</f>
        <v>6623</v>
      </c>
      <c r="M2289" s="1">
        <f>VALUE(7634)</f>
        <v>7634</v>
      </c>
      <c r="N2289" t="s">
        <v>25</v>
      </c>
    </row>
    <row r="2290" spans="1:14" x14ac:dyDescent="0.25">
      <c r="A2290" t="s">
        <v>14</v>
      </c>
      <c r="B2290" t="s">
        <v>40</v>
      </c>
      <c r="C2290" t="s">
        <v>37</v>
      </c>
      <c r="D2290" t="s">
        <v>15</v>
      </c>
      <c r="E2290" t="s">
        <v>22</v>
      </c>
      <c r="F2290" t="s">
        <v>19</v>
      </c>
      <c r="G2290" s="2">
        <f>VALUE(1336.4254437347)</f>
        <v>1336.4254437346999</v>
      </c>
      <c r="H2290" s="3">
        <f>VALUE(1087.0776694367)</f>
        <v>1087.0776694367</v>
      </c>
      <c r="I2290" s="4">
        <f>VALUE(3525)</f>
        <v>3525</v>
      </c>
      <c r="J2290" s="1">
        <f>VALUE(4360)</f>
        <v>4360</v>
      </c>
      <c r="K2290" s="1">
        <f>VALUE(5262)</f>
        <v>5262</v>
      </c>
      <c r="L2290" s="1">
        <f>VALUE(6381)</f>
        <v>6381</v>
      </c>
      <c r="M2290" s="1">
        <f>VALUE(7379)</f>
        <v>7379</v>
      </c>
      <c r="N2290" t="s">
        <v>25</v>
      </c>
    </row>
    <row r="2291" spans="1:14" x14ac:dyDescent="0.25">
      <c r="A2291" t="s">
        <v>14</v>
      </c>
      <c r="B2291" t="s">
        <v>40</v>
      </c>
      <c r="C2291" t="s">
        <v>37</v>
      </c>
      <c r="D2291" t="s">
        <v>15</v>
      </c>
      <c r="E2291" t="s">
        <v>22</v>
      </c>
      <c r="F2291" t="s">
        <v>20</v>
      </c>
      <c r="G2291" s="1">
        <f>VALUE(4722.2043891653)</f>
        <v>4722.2043891653002</v>
      </c>
      <c r="H2291" s="1">
        <f>VALUE(3533.4344911769)</f>
        <v>3533.4344911768999</v>
      </c>
      <c r="I2291" s="1">
        <f>VALUE(3159)</f>
        <v>3159</v>
      </c>
      <c r="J2291" s="1">
        <f>VALUE(3883)</f>
        <v>3883</v>
      </c>
      <c r="K2291" s="1">
        <f>VALUE(4746)</f>
        <v>4746</v>
      </c>
      <c r="L2291" s="1">
        <f>VALUE(5547)</f>
        <v>5547</v>
      </c>
      <c r="M2291" s="1">
        <f>VALUE(6502)</f>
        <v>6502</v>
      </c>
      <c r="N2291" t="s">
        <v>16</v>
      </c>
    </row>
    <row r="2292" spans="1:14" x14ac:dyDescent="0.25">
      <c r="A2292" t="s">
        <v>14</v>
      </c>
      <c r="B2292" t="s">
        <v>40</v>
      </c>
      <c r="C2292" t="s">
        <v>37</v>
      </c>
      <c r="D2292" t="s">
        <v>15</v>
      </c>
      <c r="E2292" t="s">
        <v>23</v>
      </c>
      <c r="F2292" t="s">
        <v>15</v>
      </c>
      <c r="G2292" s="1">
        <f>VALUE(9179.3849985314)</f>
        <v>9179.3849985313991</v>
      </c>
      <c r="H2292" s="1">
        <f>VALUE(7467.0409380956)</f>
        <v>7467.0409380955998</v>
      </c>
      <c r="I2292" s="1">
        <f>VALUE(2671)</f>
        <v>2671</v>
      </c>
      <c r="J2292" s="1">
        <f>VALUE(3082)</f>
        <v>3082</v>
      </c>
      <c r="K2292" s="1">
        <f>VALUE(3572)</f>
        <v>3572</v>
      </c>
      <c r="L2292" s="1">
        <f>VALUE(4229)</f>
        <v>4229</v>
      </c>
      <c r="M2292" s="1">
        <f>VALUE(5088)</f>
        <v>5088</v>
      </c>
      <c r="N2292" t="s">
        <v>16</v>
      </c>
    </row>
    <row r="2293" spans="1:14" x14ac:dyDescent="0.25">
      <c r="A2293" t="s">
        <v>14</v>
      </c>
      <c r="B2293" t="s">
        <v>40</v>
      </c>
      <c r="C2293" t="s">
        <v>37</v>
      </c>
      <c r="D2293" t="s">
        <v>15</v>
      </c>
      <c r="E2293" t="s">
        <v>23</v>
      </c>
      <c r="F2293" t="s">
        <v>17</v>
      </c>
      <c r="G2293" s="2">
        <f>VALUE(262.2107429792)</f>
        <v>262.21074297920001</v>
      </c>
      <c r="H2293" s="3">
        <f>VALUE(252.5036190153)</f>
        <v>252.50361901529999</v>
      </c>
      <c r="I2293" s="4">
        <f>VALUE(3396)</f>
        <v>3396</v>
      </c>
      <c r="J2293" s="5">
        <f>VALUE(3810)</f>
        <v>3810</v>
      </c>
      <c r="K2293" s="6">
        <f>VALUE(4293)</f>
        <v>4293</v>
      </c>
      <c r="L2293" s="7">
        <f>VALUE(5852)</f>
        <v>5852</v>
      </c>
      <c r="M2293" s="8">
        <f>VALUE(10246)</f>
        <v>10246</v>
      </c>
      <c r="N2293" t="s">
        <v>24</v>
      </c>
    </row>
    <row r="2294" spans="1:14" x14ac:dyDescent="0.25">
      <c r="A2294" t="s">
        <v>14</v>
      </c>
      <c r="B2294" t="s">
        <v>40</v>
      </c>
      <c r="C2294" t="s">
        <v>37</v>
      </c>
      <c r="D2294" t="s">
        <v>15</v>
      </c>
      <c r="E2294" t="s">
        <v>23</v>
      </c>
      <c r="F2294" t="s">
        <v>18</v>
      </c>
      <c r="G2294" s="2">
        <f>VALUE(335.4209336475)</f>
        <v>335.42093364750002</v>
      </c>
      <c r="H2294" s="3">
        <f>VALUE(313.1443379532)</f>
        <v>313.14433795320002</v>
      </c>
      <c r="I2294" s="4">
        <f>VALUE(3391)</f>
        <v>3391</v>
      </c>
      <c r="J2294" s="1">
        <f>VALUE(3612)</f>
        <v>3612</v>
      </c>
      <c r="K2294" s="1">
        <f>VALUE(4007)</f>
        <v>4007</v>
      </c>
      <c r="L2294" s="7">
        <f>VALUE(5108)</f>
        <v>5108</v>
      </c>
      <c r="M2294" s="8">
        <f>VALUE(6313)</f>
        <v>6313</v>
      </c>
      <c r="N2294" t="s">
        <v>25</v>
      </c>
    </row>
    <row r="2295" spans="1:14" x14ac:dyDescent="0.25">
      <c r="A2295" t="s">
        <v>14</v>
      </c>
      <c r="B2295" t="s">
        <v>40</v>
      </c>
      <c r="C2295" t="s">
        <v>37</v>
      </c>
      <c r="D2295" t="s">
        <v>15</v>
      </c>
      <c r="E2295" t="s">
        <v>23</v>
      </c>
      <c r="F2295" t="s">
        <v>19</v>
      </c>
      <c r="G2295" s="2">
        <f>VALUE(510.9663669151)</f>
        <v>510.96636691510002</v>
      </c>
      <c r="H2295" s="3">
        <f>VALUE(455.9606767528)</f>
        <v>455.9606767528</v>
      </c>
      <c r="I2295" s="1">
        <f>VALUE(3100)</f>
        <v>3100</v>
      </c>
      <c r="J2295" s="1">
        <f>VALUE(3613)</f>
        <v>3613</v>
      </c>
      <c r="K2295" s="1">
        <f>VALUE(4004)</f>
        <v>4004</v>
      </c>
      <c r="L2295" s="1">
        <f>VALUE(5019)</f>
        <v>5019</v>
      </c>
      <c r="M2295" s="8">
        <f>VALUE(6016)</f>
        <v>6016</v>
      </c>
      <c r="N2295" t="s">
        <v>25</v>
      </c>
    </row>
    <row r="2296" spans="1:14" x14ac:dyDescent="0.25">
      <c r="A2296" t="s">
        <v>14</v>
      </c>
      <c r="B2296" t="s">
        <v>40</v>
      </c>
      <c r="C2296" t="s">
        <v>37</v>
      </c>
      <c r="D2296" t="s">
        <v>15</v>
      </c>
      <c r="E2296" t="s">
        <v>23</v>
      </c>
      <c r="F2296" t="s">
        <v>20</v>
      </c>
      <c r="G2296" s="1">
        <f>VALUE(8069.7870000398)</f>
        <v>8069.7870000397998</v>
      </c>
      <c r="H2296" s="1">
        <f>VALUE(6445.174565986)</f>
        <v>6445.1745659859998</v>
      </c>
      <c r="I2296" s="1">
        <f>VALUE(2632)</f>
        <v>2632</v>
      </c>
      <c r="J2296" s="1">
        <f>VALUE(3003)</f>
        <v>3003</v>
      </c>
      <c r="K2296" s="1">
        <f>VALUE(3468)</f>
        <v>3468</v>
      </c>
      <c r="L2296" s="1">
        <f>VALUE(4119)</f>
        <v>4119</v>
      </c>
      <c r="M2296" s="1">
        <f>VALUE(4885)</f>
        <v>4885</v>
      </c>
      <c r="N2296" t="s">
        <v>16</v>
      </c>
    </row>
    <row r="2297" spans="1:14" x14ac:dyDescent="0.25">
      <c r="A2297" t="s">
        <v>14</v>
      </c>
      <c r="B2297" t="s">
        <v>40</v>
      </c>
      <c r="C2297" t="s">
        <v>37</v>
      </c>
      <c r="D2297" t="s">
        <v>15</v>
      </c>
      <c r="E2297" t="s">
        <v>26</v>
      </c>
      <c r="F2297" t="s">
        <v>15</v>
      </c>
      <c r="G2297" s="2">
        <f>VALUE(294.5509689607)</f>
        <v>294.5509689607</v>
      </c>
      <c r="H2297" s="3">
        <f>VALUE(269.3093679576)</f>
        <v>269.30936795759999</v>
      </c>
      <c r="I2297" s="1">
        <f>VALUE(3121)</f>
        <v>3121</v>
      </c>
      <c r="J2297" s="1">
        <f>VALUE(3443)</f>
        <v>3443</v>
      </c>
      <c r="K2297" s="1">
        <f>VALUE(6190)</f>
        <v>6190</v>
      </c>
      <c r="L2297" s="1">
        <f>VALUE(9150)</f>
        <v>9150</v>
      </c>
      <c r="M2297" s="1">
        <f>VALUE(14396)</f>
        <v>14396</v>
      </c>
      <c r="N2297" t="s">
        <v>25</v>
      </c>
    </row>
    <row r="2298" spans="1:14" x14ac:dyDescent="0.25">
      <c r="A2298" t="s">
        <v>14</v>
      </c>
      <c r="B2298" t="s">
        <v>40</v>
      </c>
      <c r="C2298" t="s">
        <v>37</v>
      </c>
      <c r="D2298" t="s">
        <v>15</v>
      </c>
      <c r="E2298" t="s">
        <v>26</v>
      </c>
      <c r="F2298" t="s">
        <v>17</v>
      </c>
      <c r="G2298" s="1" t="str">
        <f t="shared" ref="G2298:M2300" si="478">"X"</f>
        <v>X</v>
      </c>
      <c r="H2298" s="1" t="str">
        <f t="shared" si="478"/>
        <v>X</v>
      </c>
      <c r="I2298" s="1" t="str">
        <f t="shared" si="478"/>
        <v>X</v>
      </c>
      <c r="J2298" s="1" t="str">
        <f t="shared" si="478"/>
        <v>X</v>
      </c>
      <c r="K2298" s="1" t="str">
        <f t="shared" si="478"/>
        <v>X</v>
      </c>
      <c r="L2298" s="1" t="str">
        <f t="shared" si="478"/>
        <v>X</v>
      </c>
      <c r="M2298" s="1" t="str">
        <f t="shared" si="478"/>
        <v>X</v>
      </c>
      <c r="N2298" t="s">
        <v>27</v>
      </c>
    </row>
    <row r="2299" spans="1:14" x14ac:dyDescent="0.25">
      <c r="A2299" t="s">
        <v>14</v>
      </c>
      <c r="B2299" t="s">
        <v>40</v>
      </c>
      <c r="C2299" t="s">
        <v>37</v>
      </c>
      <c r="D2299" t="s">
        <v>15</v>
      </c>
      <c r="E2299" t="s">
        <v>26</v>
      </c>
      <c r="F2299" t="s">
        <v>18</v>
      </c>
      <c r="G2299" s="1" t="str">
        <f t="shared" si="478"/>
        <v>X</v>
      </c>
      <c r="H2299" s="1" t="str">
        <f t="shared" si="478"/>
        <v>X</v>
      </c>
      <c r="I2299" s="1" t="str">
        <f t="shared" si="478"/>
        <v>X</v>
      </c>
      <c r="J2299" s="1" t="str">
        <f t="shared" si="478"/>
        <v>X</v>
      </c>
      <c r="K2299" s="1" t="str">
        <f t="shared" si="478"/>
        <v>X</v>
      </c>
      <c r="L2299" s="1" t="str">
        <f t="shared" si="478"/>
        <v>X</v>
      </c>
      <c r="M2299" s="1" t="str">
        <f t="shared" si="478"/>
        <v>X</v>
      </c>
      <c r="N2299" t="s">
        <v>27</v>
      </c>
    </row>
    <row r="2300" spans="1:14" x14ac:dyDescent="0.25">
      <c r="A2300" t="s">
        <v>14</v>
      </c>
      <c r="B2300" t="s">
        <v>40</v>
      </c>
      <c r="C2300" t="s">
        <v>37</v>
      </c>
      <c r="D2300" t="s">
        <v>15</v>
      </c>
      <c r="E2300" t="s">
        <v>26</v>
      </c>
      <c r="F2300" t="s">
        <v>19</v>
      </c>
      <c r="G2300" s="1" t="str">
        <f t="shared" si="478"/>
        <v>X</v>
      </c>
      <c r="H2300" s="1" t="str">
        <f t="shared" si="478"/>
        <v>X</v>
      </c>
      <c r="I2300" s="1" t="str">
        <f t="shared" si="478"/>
        <v>X</v>
      </c>
      <c r="J2300" s="1" t="str">
        <f t="shared" si="478"/>
        <v>X</v>
      </c>
      <c r="K2300" s="1" t="str">
        <f t="shared" si="478"/>
        <v>X</v>
      </c>
      <c r="L2300" s="1" t="str">
        <f t="shared" si="478"/>
        <v>X</v>
      </c>
      <c r="M2300" s="1" t="str">
        <f t="shared" si="478"/>
        <v>X</v>
      </c>
      <c r="N2300" t="s">
        <v>27</v>
      </c>
    </row>
    <row r="2301" spans="1:14" x14ac:dyDescent="0.25">
      <c r="A2301" t="s">
        <v>14</v>
      </c>
      <c r="B2301" t="s">
        <v>40</v>
      </c>
      <c r="C2301" t="s">
        <v>37</v>
      </c>
      <c r="D2301" t="s">
        <v>15</v>
      </c>
      <c r="E2301" t="s">
        <v>26</v>
      </c>
      <c r="F2301" t="s">
        <v>20</v>
      </c>
      <c r="G2301" s="2">
        <f>VALUE(196.4783659304)</f>
        <v>196.4783659304</v>
      </c>
      <c r="H2301" s="3">
        <f>VALUE(173.0622800798)</f>
        <v>173.06228007979999</v>
      </c>
      <c r="I2301" s="1">
        <f>VALUE(2948)</f>
        <v>2948</v>
      </c>
      <c r="J2301" s="1">
        <f>VALUE(3164)</f>
        <v>3164</v>
      </c>
      <c r="K2301" s="6">
        <f>VALUE(4167)</f>
        <v>4167</v>
      </c>
      <c r="L2301" s="1">
        <f>VALUE(6270)</f>
        <v>6270</v>
      </c>
      <c r="M2301" s="1">
        <f>VALUE(7301)</f>
        <v>7301</v>
      </c>
      <c r="N2301" t="s">
        <v>25</v>
      </c>
    </row>
    <row r="2302" spans="1:14" x14ac:dyDescent="0.25">
      <c r="A2302" t="s">
        <v>14</v>
      </c>
      <c r="B2302" t="s">
        <v>40</v>
      </c>
      <c r="C2302" t="s">
        <v>37</v>
      </c>
      <c r="D2302" t="s">
        <v>28</v>
      </c>
      <c r="E2302" t="s">
        <v>15</v>
      </c>
      <c r="F2302" t="s">
        <v>15</v>
      </c>
      <c r="G2302" s="1">
        <f>VALUE(9674.3906637961)</f>
        <v>9674.3906637961009</v>
      </c>
      <c r="H2302" s="1">
        <f>VALUE(7239.4869785152)</f>
        <v>7239.4869785151996</v>
      </c>
      <c r="I2302" s="1">
        <f>VALUE(3428)</f>
        <v>3428</v>
      </c>
      <c r="J2302" s="1">
        <f>VALUE(4080)</f>
        <v>4080</v>
      </c>
      <c r="K2302" s="1">
        <f>VALUE(5132)</f>
        <v>5132</v>
      </c>
      <c r="L2302" s="1">
        <f>VALUE(6491)</f>
        <v>6491</v>
      </c>
      <c r="M2302" s="1">
        <f>VALUE(7963)</f>
        <v>7963</v>
      </c>
      <c r="N2302" t="s">
        <v>16</v>
      </c>
    </row>
    <row r="2303" spans="1:14" x14ac:dyDescent="0.25">
      <c r="A2303" t="s">
        <v>14</v>
      </c>
      <c r="B2303" t="s">
        <v>40</v>
      </c>
      <c r="C2303" t="s">
        <v>37</v>
      </c>
      <c r="D2303" t="s">
        <v>28</v>
      </c>
      <c r="E2303" t="s">
        <v>15</v>
      </c>
      <c r="F2303" t="s">
        <v>17</v>
      </c>
      <c r="G2303" s="2">
        <f>VALUE(1428.7751120154)</f>
        <v>1428.7751120154001</v>
      </c>
      <c r="H2303" s="3">
        <f>VALUE(1186.0520967613)</f>
        <v>1186.0520967612999</v>
      </c>
      <c r="I2303" s="4">
        <f>VALUE(3678)</f>
        <v>3678</v>
      </c>
      <c r="J2303" s="5">
        <f>VALUE(4286)</f>
        <v>4286</v>
      </c>
      <c r="K2303" s="1">
        <f>VALUE(6283)</f>
        <v>6283</v>
      </c>
      <c r="L2303" s="1">
        <f>VALUE(8750)</f>
        <v>8750</v>
      </c>
      <c r="M2303" s="8">
        <f>VALUE(11823)</f>
        <v>11823</v>
      </c>
      <c r="N2303" t="s">
        <v>25</v>
      </c>
    </row>
    <row r="2304" spans="1:14" x14ac:dyDescent="0.25">
      <c r="A2304" t="s">
        <v>14</v>
      </c>
      <c r="B2304" t="s">
        <v>40</v>
      </c>
      <c r="C2304" t="s">
        <v>37</v>
      </c>
      <c r="D2304" t="s">
        <v>28</v>
      </c>
      <c r="E2304" t="s">
        <v>15</v>
      </c>
      <c r="F2304" t="s">
        <v>18</v>
      </c>
      <c r="G2304" s="2">
        <f>VALUE(1457.3674261985)</f>
        <v>1457.3674261985</v>
      </c>
      <c r="H2304" s="1">
        <f>VALUE(1142.2885717367)</f>
        <v>1142.2885717367001</v>
      </c>
      <c r="I2304" s="1">
        <f>VALUE(3781)</f>
        <v>3781</v>
      </c>
      <c r="J2304" s="1">
        <f>VALUE(4550)</f>
        <v>4550</v>
      </c>
      <c r="K2304" s="1">
        <f>VALUE(5633)</f>
        <v>5633</v>
      </c>
      <c r="L2304" s="1">
        <f>VALUE(7137)</f>
        <v>7137</v>
      </c>
      <c r="M2304" s="1">
        <f>VALUE(8330)</f>
        <v>8330</v>
      </c>
      <c r="N2304" t="s">
        <v>25</v>
      </c>
    </row>
    <row r="2305" spans="1:14" x14ac:dyDescent="0.25">
      <c r="A2305" t="s">
        <v>14</v>
      </c>
      <c r="B2305" t="s">
        <v>40</v>
      </c>
      <c r="C2305" t="s">
        <v>37</v>
      </c>
      <c r="D2305" t="s">
        <v>28</v>
      </c>
      <c r="E2305" t="s">
        <v>15</v>
      </c>
      <c r="F2305" t="s">
        <v>19</v>
      </c>
      <c r="G2305" s="1">
        <f>VALUE(1367.7742366452)</f>
        <v>1367.7742366452001</v>
      </c>
      <c r="H2305" s="3">
        <f>VALUE(1042.5887618816)</f>
        <v>1042.5887618816</v>
      </c>
      <c r="I2305" s="1">
        <f>VALUE(4000)</f>
        <v>4000</v>
      </c>
      <c r="J2305" s="1">
        <f>VALUE(4746)</f>
        <v>4746</v>
      </c>
      <c r="K2305" s="1">
        <f>VALUE(5688)</f>
        <v>5688</v>
      </c>
      <c r="L2305" s="1">
        <f>VALUE(6808)</f>
        <v>6808</v>
      </c>
      <c r="M2305" s="1">
        <f>VALUE(7756)</f>
        <v>7756</v>
      </c>
      <c r="N2305" t="s">
        <v>25</v>
      </c>
    </row>
    <row r="2306" spans="1:14" x14ac:dyDescent="0.25">
      <c r="A2306" t="s">
        <v>14</v>
      </c>
      <c r="B2306" t="s">
        <v>40</v>
      </c>
      <c r="C2306" t="s">
        <v>37</v>
      </c>
      <c r="D2306" t="s">
        <v>28</v>
      </c>
      <c r="E2306" t="s">
        <v>15</v>
      </c>
      <c r="F2306" t="s">
        <v>20</v>
      </c>
      <c r="G2306" s="1">
        <f>VALUE(5416.2439894028)</f>
        <v>5416.2439894028003</v>
      </c>
      <c r="H2306" s="1">
        <f>VALUE(3866.4100606798)</f>
        <v>3866.4100606798002</v>
      </c>
      <c r="I2306" s="1">
        <f>VALUE(3250)</f>
        <v>3250</v>
      </c>
      <c r="J2306" s="1">
        <f>VALUE(3836)</f>
        <v>3836</v>
      </c>
      <c r="K2306" s="1">
        <f>VALUE(4693)</f>
        <v>4693</v>
      </c>
      <c r="L2306" s="1">
        <f>VALUE(5726)</f>
        <v>5726</v>
      </c>
      <c r="M2306" s="1">
        <f>VALUE(6798)</f>
        <v>6798</v>
      </c>
      <c r="N2306" t="s">
        <v>16</v>
      </c>
    </row>
    <row r="2307" spans="1:14" x14ac:dyDescent="0.25">
      <c r="A2307" t="s">
        <v>14</v>
      </c>
      <c r="B2307" t="s">
        <v>40</v>
      </c>
      <c r="C2307" t="s">
        <v>37</v>
      </c>
      <c r="D2307" t="s">
        <v>28</v>
      </c>
      <c r="E2307" t="s">
        <v>21</v>
      </c>
      <c r="F2307" t="s">
        <v>15</v>
      </c>
      <c r="G2307" s="1">
        <f>VALUE(2108.8710910101)</f>
        <v>2108.8710910100999</v>
      </c>
      <c r="H2307" s="1">
        <f>VALUE(1598.8720967237)</f>
        <v>1598.8720967237</v>
      </c>
      <c r="I2307" s="4">
        <f>VALUE(4200)</f>
        <v>4200</v>
      </c>
      <c r="J2307" s="1">
        <f>VALUE(5476)</f>
        <v>5476</v>
      </c>
      <c r="K2307" s="1">
        <f>VALUE(6750)</f>
        <v>6750</v>
      </c>
      <c r="L2307" s="1">
        <f>VALUE(8070)</f>
        <v>8070</v>
      </c>
      <c r="M2307" s="1">
        <f>VALUE(10575)</f>
        <v>10575</v>
      </c>
      <c r="N2307" t="s">
        <v>25</v>
      </c>
    </row>
    <row r="2308" spans="1:14" x14ac:dyDescent="0.25">
      <c r="A2308" t="s">
        <v>14</v>
      </c>
      <c r="B2308" t="s">
        <v>40</v>
      </c>
      <c r="C2308" t="s">
        <v>37</v>
      </c>
      <c r="D2308" t="s">
        <v>28</v>
      </c>
      <c r="E2308" t="s">
        <v>21</v>
      </c>
      <c r="F2308" t="s">
        <v>17</v>
      </c>
      <c r="G2308" s="2">
        <f>VALUE(735.3687917779)</f>
        <v>735.36879177790001</v>
      </c>
      <c r="H2308" s="3">
        <f>VALUE(596.7366795525)</f>
        <v>596.73667955250005</v>
      </c>
      <c r="I2308" s="4">
        <f>VALUE(4063)</f>
        <v>4063</v>
      </c>
      <c r="J2308" s="5">
        <f>VALUE(5947)</f>
        <v>5947</v>
      </c>
      <c r="K2308" s="1">
        <f>VALUE(7604)</f>
        <v>7604</v>
      </c>
      <c r="L2308" s="1">
        <f>VALUE(10476)</f>
        <v>10476</v>
      </c>
      <c r="M2308" s="8">
        <f>VALUE(12833)</f>
        <v>12833</v>
      </c>
      <c r="N2308" t="s">
        <v>25</v>
      </c>
    </row>
    <row r="2309" spans="1:14" x14ac:dyDescent="0.25">
      <c r="A2309" t="s">
        <v>14</v>
      </c>
      <c r="B2309" t="s">
        <v>40</v>
      </c>
      <c r="C2309" t="s">
        <v>37</v>
      </c>
      <c r="D2309" t="s">
        <v>28</v>
      </c>
      <c r="E2309" t="s">
        <v>21</v>
      </c>
      <c r="F2309" t="s">
        <v>18</v>
      </c>
      <c r="G2309" s="2">
        <f>VALUE(422.1982217998)</f>
        <v>422.19822179980002</v>
      </c>
      <c r="H2309" s="3">
        <f>VALUE(330.9395272969)</f>
        <v>330.9395272969</v>
      </c>
      <c r="I2309" s="4">
        <f>VALUE(4359)</f>
        <v>4359</v>
      </c>
      <c r="J2309" s="5">
        <f>VALUE(5406)</f>
        <v>5406</v>
      </c>
      <c r="K2309" s="1">
        <f>VALUE(6626)</f>
        <v>6626</v>
      </c>
      <c r="L2309" s="1">
        <f>VALUE(7735)</f>
        <v>7735</v>
      </c>
      <c r="M2309" s="1">
        <f>VALUE(8973)</f>
        <v>8973</v>
      </c>
      <c r="N2309" t="s">
        <v>25</v>
      </c>
    </row>
    <row r="2310" spans="1:14" x14ac:dyDescent="0.25">
      <c r="A2310" t="s">
        <v>14</v>
      </c>
      <c r="B2310" t="s">
        <v>40</v>
      </c>
      <c r="C2310" t="s">
        <v>37</v>
      </c>
      <c r="D2310" t="s">
        <v>28</v>
      </c>
      <c r="E2310" t="s">
        <v>21</v>
      </c>
      <c r="F2310" t="s">
        <v>19</v>
      </c>
      <c r="G2310" s="2">
        <f>VALUE(336.453365768)</f>
        <v>336.45336576800003</v>
      </c>
      <c r="H2310" s="3">
        <f>VALUE(220.6697464196)</f>
        <v>220.66974641959999</v>
      </c>
      <c r="I2310" s="4">
        <f>VALUE(4563)</f>
        <v>4563</v>
      </c>
      <c r="J2310" s="1">
        <f>VALUE(5580)</f>
        <v>5580</v>
      </c>
      <c r="K2310" s="6">
        <f>VALUE(6667)</f>
        <v>6667</v>
      </c>
      <c r="L2310" s="1">
        <f>VALUE(7700)</f>
        <v>7700</v>
      </c>
      <c r="M2310" s="1">
        <f>VALUE(7983)</f>
        <v>7983</v>
      </c>
      <c r="N2310" t="s">
        <v>25</v>
      </c>
    </row>
    <row r="2311" spans="1:14" x14ac:dyDescent="0.25">
      <c r="A2311" t="s">
        <v>14</v>
      </c>
      <c r="B2311" t="s">
        <v>40</v>
      </c>
      <c r="C2311" t="s">
        <v>37</v>
      </c>
      <c r="D2311" t="s">
        <v>28</v>
      </c>
      <c r="E2311" t="s">
        <v>21</v>
      </c>
      <c r="F2311" t="s">
        <v>20</v>
      </c>
      <c r="G2311" s="2">
        <f>VALUE(614.8507116644)</f>
        <v>614.85071166440002</v>
      </c>
      <c r="H2311" s="3">
        <f>VALUE(450.5261434547)</f>
        <v>450.52614345469999</v>
      </c>
      <c r="I2311" s="1">
        <f>VALUE(4346)</f>
        <v>4346</v>
      </c>
      <c r="J2311" s="1">
        <f>VALUE(5208)</f>
        <v>5208</v>
      </c>
      <c r="K2311" s="1">
        <f>VALUE(6175)</f>
        <v>6175</v>
      </c>
      <c r="L2311" s="1">
        <f>VALUE(7563)</f>
        <v>7563</v>
      </c>
      <c r="M2311" s="1">
        <f>VALUE(8358)</f>
        <v>8358</v>
      </c>
      <c r="N2311" t="s">
        <v>25</v>
      </c>
    </row>
    <row r="2312" spans="1:14" x14ac:dyDescent="0.25">
      <c r="A2312" t="s">
        <v>14</v>
      </c>
      <c r="B2312" t="s">
        <v>40</v>
      </c>
      <c r="C2312" t="s">
        <v>37</v>
      </c>
      <c r="D2312" t="s">
        <v>28</v>
      </c>
      <c r="E2312" t="s">
        <v>22</v>
      </c>
      <c r="F2312" t="s">
        <v>15</v>
      </c>
      <c r="G2312" s="1">
        <f>VALUE(5367.7432662297)</f>
        <v>5367.7432662296997</v>
      </c>
      <c r="H2312" s="1">
        <f>VALUE(3947.8104187574)</f>
        <v>3947.8104187573999</v>
      </c>
      <c r="I2312" s="1">
        <f>VALUE(3569)</f>
        <v>3569</v>
      </c>
      <c r="J2312" s="1">
        <f>VALUE(4222)</f>
        <v>4222</v>
      </c>
      <c r="K2312" s="1">
        <f>VALUE(5055)</f>
        <v>5055</v>
      </c>
      <c r="L2312" s="1">
        <f>VALUE(6151)</f>
        <v>6151</v>
      </c>
      <c r="M2312" s="1">
        <f>VALUE(7258)</f>
        <v>7258</v>
      </c>
      <c r="N2312" t="s">
        <v>16</v>
      </c>
    </row>
    <row r="2313" spans="1:14" x14ac:dyDescent="0.25">
      <c r="A2313" t="s">
        <v>14</v>
      </c>
      <c r="B2313" t="s">
        <v>40</v>
      </c>
      <c r="C2313" t="s">
        <v>37</v>
      </c>
      <c r="D2313" t="s">
        <v>28</v>
      </c>
      <c r="E2313" t="s">
        <v>22</v>
      </c>
      <c r="F2313" t="s">
        <v>17</v>
      </c>
      <c r="G2313" s="2">
        <f>VALUE(559.0331169285)</f>
        <v>559.03311692850002</v>
      </c>
      <c r="H2313" s="3">
        <f>VALUE(454.7472911604)</f>
        <v>454.74729116039998</v>
      </c>
      <c r="I2313" s="4">
        <f>VALUE(3250)</f>
        <v>3250</v>
      </c>
      <c r="J2313" s="5">
        <f>VALUE(4034)</f>
        <v>4034</v>
      </c>
      <c r="K2313" s="6">
        <f>VALUE(5158)</f>
        <v>5158</v>
      </c>
      <c r="L2313" s="1">
        <f>VALUE(7119)</f>
        <v>7119</v>
      </c>
      <c r="M2313" s="1">
        <f>VALUE(8864)</f>
        <v>8864</v>
      </c>
      <c r="N2313" t="s">
        <v>25</v>
      </c>
    </row>
    <row r="2314" spans="1:14" x14ac:dyDescent="0.25">
      <c r="A2314" t="s">
        <v>14</v>
      </c>
      <c r="B2314" t="s">
        <v>40</v>
      </c>
      <c r="C2314" t="s">
        <v>37</v>
      </c>
      <c r="D2314" t="s">
        <v>28</v>
      </c>
      <c r="E2314" t="s">
        <v>22</v>
      </c>
      <c r="F2314" t="s">
        <v>18</v>
      </c>
      <c r="G2314" s="2">
        <f>VALUE(903.9321403309)</f>
        <v>903.93214033089998</v>
      </c>
      <c r="H2314" s="3">
        <f>VALUE(693.3525751924)</f>
        <v>693.35257519239997</v>
      </c>
      <c r="I2314" s="1">
        <f>VALUE(3667)</f>
        <v>3667</v>
      </c>
      <c r="J2314" s="1">
        <f>VALUE(4333)</f>
        <v>4333</v>
      </c>
      <c r="K2314" s="1">
        <f>VALUE(5159)</f>
        <v>5159</v>
      </c>
      <c r="L2314" s="1">
        <f>VALUE(6576)</f>
        <v>6576</v>
      </c>
      <c r="M2314" s="1">
        <f>VALUE(7583)</f>
        <v>7583</v>
      </c>
      <c r="N2314" t="s">
        <v>25</v>
      </c>
    </row>
    <row r="2315" spans="1:14" x14ac:dyDescent="0.25">
      <c r="A2315" t="s">
        <v>14</v>
      </c>
      <c r="B2315" t="s">
        <v>40</v>
      </c>
      <c r="C2315" t="s">
        <v>37</v>
      </c>
      <c r="D2315" t="s">
        <v>28</v>
      </c>
      <c r="E2315" t="s">
        <v>22</v>
      </c>
      <c r="F2315" t="s">
        <v>19</v>
      </c>
      <c r="G2315" s="2">
        <f>VALUE(886.7676412661)</f>
        <v>886.76764126609999</v>
      </c>
      <c r="H2315" s="3">
        <f>VALUE(697.9984598689)</f>
        <v>697.9984598689</v>
      </c>
      <c r="I2315" s="4">
        <f>VALUE(4085)</f>
        <v>4085</v>
      </c>
      <c r="J2315" s="1">
        <f>VALUE(4706)</f>
        <v>4706</v>
      </c>
      <c r="K2315" s="1">
        <f>VALUE(5544)</f>
        <v>5544</v>
      </c>
      <c r="L2315" s="1">
        <f>VALUE(6500)</f>
        <v>6500</v>
      </c>
      <c r="M2315" s="1">
        <f>VALUE(7379)</f>
        <v>7379</v>
      </c>
      <c r="N2315" t="s">
        <v>25</v>
      </c>
    </row>
    <row r="2316" spans="1:14" x14ac:dyDescent="0.25">
      <c r="A2316" t="s">
        <v>14</v>
      </c>
      <c r="B2316" t="s">
        <v>40</v>
      </c>
      <c r="C2316" t="s">
        <v>37</v>
      </c>
      <c r="D2316" t="s">
        <v>28</v>
      </c>
      <c r="E2316" t="s">
        <v>22</v>
      </c>
      <c r="F2316" t="s">
        <v>20</v>
      </c>
      <c r="G2316" s="1">
        <f>VALUE(3018.0103677042)</f>
        <v>3018.0103677041998</v>
      </c>
      <c r="H2316" s="1">
        <f>VALUE(2101.7120925357)</f>
        <v>2101.7120925356999</v>
      </c>
      <c r="I2316" s="1">
        <f>VALUE(3456)</f>
        <v>3456</v>
      </c>
      <c r="J2316" s="1">
        <f>VALUE(4068)</f>
        <v>4068</v>
      </c>
      <c r="K2316" s="1">
        <f>VALUE(4875)</f>
        <v>4875</v>
      </c>
      <c r="L2316" s="1">
        <f>VALUE(5744)</f>
        <v>5744</v>
      </c>
      <c r="M2316" s="1">
        <f>VALUE(6600)</f>
        <v>6600</v>
      </c>
      <c r="N2316" t="s">
        <v>16</v>
      </c>
    </row>
    <row r="2317" spans="1:14" x14ac:dyDescent="0.25">
      <c r="A2317" t="s">
        <v>14</v>
      </c>
      <c r="B2317" t="s">
        <v>40</v>
      </c>
      <c r="C2317" t="s">
        <v>37</v>
      </c>
      <c r="D2317" t="s">
        <v>28</v>
      </c>
      <c r="E2317" t="s">
        <v>23</v>
      </c>
      <c r="F2317" t="s">
        <v>15</v>
      </c>
      <c r="G2317" s="1">
        <f>VALUE(2044.0860269959)</f>
        <v>2044.0860269959001</v>
      </c>
      <c r="H2317" s="1">
        <f>VALUE(1549.2344510587)</f>
        <v>1549.2344510587</v>
      </c>
      <c r="I2317" s="1">
        <f>VALUE(3023)</f>
        <v>3023</v>
      </c>
      <c r="J2317" s="1">
        <f>VALUE(3487)</f>
        <v>3487</v>
      </c>
      <c r="K2317" s="1">
        <f>VALUE(4017)</f>
        <v>4017</v>
      </c>
      <c r="L2317" s="1">
        <f>VALUE(4846)</f>
        <v>4846</v>
      </c>
      <c r="M2317" s="1">
        <f>VALUE(5774)</f>
        <v>5774</v>
      </c>
      <c r="N2317" t="s">
        <v>16</v>
      </c>
    </row>
    <row r="2318" spans="1:14" x14ac:dyDescent="0.25">
      <c r="A2318" t="s">
        <v>14</v>
      </c>
      <c r="B2318" t="s">
        <v>40</v>
      </c>
      <c r="C2318" t="s">
        <v>37</v>
      </c>
      <c r="D2318" t="s">
        <v>28</v>
      </c>
      <c r="E2318" t="s">
        <v>23</v>
      </c>
      <c r="F2318" t="s">
        <v>17</v>
      </c>
      <c r="G2318" s="1" t="str">
        <f t="shared" ref="G2318:M2319" si="479">"X"</f>
        <v>X</v>
      </c>
      <c r="H2318" s="1" t="str">
        <f t="shared" si="479"/>
        <v>X</v>
      </c>
      <c r="I2318" s="1" t="str">
        <f t="shared" si="479"/>
        <v>X</v>
      </c>
      <c r="J2318" s="1" t="str">
        <f t="shared" si="479"/>
        <v>X</v>
      </c>
      <c r="K2318" s="1" t="str">
        <f t="shared" si="479"/>
        <v>X</v>
      </c>
      <c r="L2318" s="1" t="str">
        <f t="shared" si="479"/>
        <v>X</v>
      </c>
      <c r="M2318" s="1" t="str">
        <f t="shared" si="479"/>
        <v>X</v>
      </c>
      <c r="N2318" t="s">
        <v>27</v>
      </c>
    </row>
    <row r="2319" spans="1:14" x14ac:dyDescent="0.25">
      <c r="A2319" t="s">
        <v>14</v>
      </c>
      <c r="B2319" t="s">
        <v>40</v>
      </c>
      <c r="C2319" t="s">
        <v>37</v>
      </c>
      <c r="D2319" t="s">
        <v>28</v>
      </c>
      <c r="E2319" t="s">
        <v>23</v>
      </c>
      <c r="F2319" t="s">
        <v>18</v>
      </c>
      <c r="G2319" s="1" t="str">
        <f t="shared" si="479"/>
        <v>X</v>
      </c>
      <c r="H2319" s="1" t="str">
        <f t="shared" si="479"/>
        <v>X</v>
      </c>
      <c r="I2319" s="1" t="str">
        <f t="shared" si="479"/>
        <v>X</v>
      </c>
      <c r="J2319" s="1" t="str">
        <f t="shared" si="479"/>
        <v>X</v>
      </c>
      <c r="K2319" s="1" t="str">
        <f t="shared" si="479"/>
        <v>X</v>
      </c>
      <c r="L2319" s="1" t="str">
        <f t="shared" si="479"/>
        <v>X</v>
      </c>
      <c r="M2319" s="1" t="str">
        <f t="shared" si="479"/>
        <v>X</v>
      </c>
      <c r="N2319" t="s">
        <v>27</v>
      </c>
    </row>
    <row r="2320" spans="1:14" x14ac:dyDescent="0.25">
      <c r="A2320" t="s">
        <v>14</v>
      </c>
      <c r="B2320" t="s">
        <v>40</v>
      </c>
      <c r="C2320" t="s">
        <v>37</v>
      </c>
      <c r="D2320" t="s">
        <v>28</v>
      </c>
      <c r="E2320" t="s">
        <v>23</v>
      </c>
      <c r="F2320" t="s">
        <v>19</v>
      </c>
      <c r="G2320" s="2">
        <f>VALUE(140.2418622762)</f>
        <v>140.24186227620001</v>
      </c>
      <c r="H2320" s="3">
        <f>VALUE(119.8002830117)</f>
        <v>119.8002830117</v>
      </c>
      <c r="I2320" s="1">
        <f>VALUE(3644)</f>
        <v>3644</v>
      </c>
      <c r="J2320" s="1">
        <f>VALUE(4055)</f>
        <v>4055</v>
      </c>
      <c r="K2320" s="6">
        <f>VALUE(5443)</f>
        <v>5443</v>
      </c>
      <c r="L2320" s="1">
        <f>VALUE(5927)</f>
        <v>5927</v>
      </c>
      <c r="M2320" s="1">
        <f>VALUE(7029)</f>
        <v>7029</v>
      </c>
      <c r="N2320" t="s">
        <v>25</v>
      </c>
    </row>
    <row r="2321" spans="1:14" x14ac:dyDescent="0.25">
      <c r="A2321" t="s">
        <v>14</v>
      </c>
      <c r="B2321" t="s">
        <v>40</v>
      </c>
      <c r="C2321" t="s">
        <v>37</v>
      </c>
      <c r="D2321" t="s">
        <v>28</v>
      </c>
      <c r="E2321" t="s">
        <v>23</v>
      </c>
      <c r="F2321" t="s">
        <v>20</v>
      </c>
      <c r="G2321" s="1">
        <f>VALUE(1700.8133080556)</f>
        <v>1700.8133080555999</v>
      </c>
      <c r="H2321" s="1">
        <f>VALUE(1239.1203139222)</f>
        <v>1239.1203139222</v>
      </c>
      <c r="I2321" s="1">
        <f>VALUE(2968)</f>
        <v>2968</v>
      </c>
      <c r="J2321" s="1">
        <f>VALUE(3447)</f>
        <v>3447</v>
      </c>
      <c r="K2321" s="1">
        <f>VALUE(3937)</f>
        <v>3937</v>
      </c>
      <c r="L2321" s="1">
        <f>VALUE(4628)</f>
        <v>4628</v>
      </c>
      <c r="M2321" s="1">
        <f>VALUE(5374)</f>
        <v>5374</v>
      </c>
      <c r="N2321" t="s">
        <v>16</v>
      </c>
    </row>
    <row r="2322" spans="1:14" x14ac:dyDescent="0.25">
      <c r="A2322" t="s">
        <v>14</v>
      </c>
      <c r="B2322" t="s">
        <v>40</v>
      </c>
      <c r="C2322" t="s">
        <v>37</v>
      </c>
      <c r="D2322" t="s">
        <v>28</v>
      </c>
      <c r="E2322" t="s">
        <v>26</v>
      </c>
      <c r="F2322" t="s">
        <v>15</v>
      </c>
      <c r="G2322" s="2">
        <f>VALUE(153.6902795604)</f>
        <v>153.6902795604</v>
      </c>
      <c r="H2322" s="3">
        <f>VALUE(143.5700119754)</f>
        <v>143.57001197540001</v>
      </c>
      <c r="I2322" s="4">
        <f>VALUE(4167)</f>
        <v>4167</v>
      </c>
      <c r="J2322" s="1">
        <f>VALUE(6111)</f>
        <v>6111</v>
      </c>
      <c r="K2322" s="1">
        <f>VALUE(6983)</f>
        <v>6983</v>
      </c>
      <c r="L2322" s="1">
        <f>VALUE(10827)</f>
        <v>10827</v>
      </c>
      <c r="M2322" s="1">
        <f>VALUE(14517)</f>
        <v>14517</v>
      </c>
      <c r="N2322" t="s">
        <v>25</v>
      </c>
    </row>
    <row r="2323" spans="1:14" x14ac:dyDescent="0.25">
      <c r="A2323" t="s">
        <v>14</v>
      </c>
      <c r="B2323" t="s">
        <v>40</v>
      </c>
      <c r="C2323" t="s">
        <v>37</v>
      </c>
      <c r="D2323" t="s">
        <v>28</v>
      </c>
      <c r="E2323" t="s">
        <v>26</v>
      </c>
      <c r="F2323" t="s">
        <v>17</v>
      </c>
      <c r="G2323" s="1" t="str">
        <f t="shared" ref="G2323:M2326" si="480">"X"</f>
        <v>X</v>
      </c>
      <c r="H2323" s="1" t="str">
        <f t="shared" si="480"/>
        <v>X</v>
      </c>
      <c r="I2323" s="1" t="str">
        <f t="shared" si="480"/>
        <v>X</v>
      </c>
      <c r="J2323" s="1" t="str">
        <f t="shared" si="480"/>
        <v>X</v>
      </c>
      <c r="K2323" s="1" t="str">
        <f t="shared" si="480"/>
        <v>X</v>
      </c>
      <c r="L2323" s="1" t="str">
        <f t="shared" si="480"/>
        <v>X</v>
      </c>
      <c r="M2323" s="1" t="str">
        <f t="shared" si="480"/>
        <v>X</v>
      </c>
      <c r="N2323" t="s">
        <v>27</v>
      </c>
    </row>
    <row r="2324" spans="1:14" x14ac:dyDescent="0.25">
      <c r="A2324" t="s">
        <v>14</v>
      </c>
      <c r="B2324" t="s">
        <v>40</v>
      </c>
      <c r="C2324" t="s">
        <v>37</v>
      </c>
      <c r="D2324" t="s">
        <v>28</v>
      </c>
      <c r="E2324" t="s">
        <v>26</v>
      </c>
      <c r="F2324" t="s">
        <v>18</v>
      </c>
      <c r="G2324" s="1" t="str">
        <f t="shared" si="480"/>
        <v>X</v>
      </c>
      <c r="H2324" s="1" t="str">
        <f t="shared" si="480"/>
        <v>X</v>
      </c>
      <c r="I2324" s="1" t="str">
        <f t="shared" si="480"/>
        <v>X</v>
      </c>
      <c r="J2324" s="1" t="str">
        <f t="shared" si="480"/>
        <v>X</v>
      </c>
      <c r="K2324" s="1" t="str">
        <f t="shared" si="480"/>
        <v>X</v>
      </c>
      <c r="L2324" s="1" t="str">
        <f t="shared" si="480"/>
        <v>X</v>
      </c>
      <c r="M2324" s="1" t="str">
        <f t="shared" si="480"/>
        <v>X</v>
      </c>
      <c r="N2324" t="s">
        <v>27</v>
      </c>
    </row>
    <row r="2325" spans="1:14" x14ac:dyDescent="0.25">
      <c r="A2325" t="s">
        <v>14</v>
      </c>
      <c r="B2325" t="s">
        <v>40</v>
      </c>
      <c r="C2325" t="s">
        <v>37</v>
      </c>
      <c r="D2325" t="s">
        <v>28</v>
      </c>
      <c r="E2325" t="s">
        <v>26</v>
      </c>
      <c r="F2325" t="s">
        <v>19</v>
      </c>
      <c r="G2325" s="1" t="str">
        <f t="shared" si="480"/>
        <v>X</v>
      </c>
      <c r="H2325" s="1" t="str">
        <f t="shared" si="480"/>
        <v>X</v>
      </c>
      <c r="I2325" s="1" t="str">
        <f t="shared" si="480"/>
        <v>X</v>
      </c>
      <c r="J2325" s="1" t="str">
        <f t="shared" si="480"/>
        <v>X</v>
      </c>
      <c r="K2325" s="1" t="str">
        <f t="shared" si="480"/>
        <v>X</v>
      </c>
      <c r="L2325" s="1" t="str">
        <f t="shared" si="480"/>
        <v>X</v>
      </c>
      <c r="M2325" s="1" t="str">
        <f t="shared" si="480"/>
        <v>X</v>
      </c>
      <c r="N2325" t="s">
        <v>27</v>
      </c>
    </row>
    <row r="2326" spans="1:14" x14ac:dyDescent="0.25">
      <c r="A2326" t="s">
        <v>14</v>
      </c>
      <c r="B2326" t="s">
        <v>40</v>
      </c>
      <c r="C2326" t="s">
        <v>37</v>
      </c>
      <c r="D2326" t="s">
        <v>28</v>
      </c>
      <c r="E2326" t="s">
        <v>26</v>
      </c>
      <c r="F2326" t="s">
        <v>20</v>
      </c>
      <c r="G2326" s="1" t="str">
        <f t="shared" si="480"/>
        <v>X</v>
      </c>
      <c r="H2326" s="1" t="str">
        <f t="shared" si="480"/>
        <v>X</v>
      </c>
      <c r="I2326" s="1" t="str">
        <f t="shared" si="480"/>
        <v>X</v>
      </c>
      <c r="J2326" s="1" t="str">
        <f t="shared" si="480"/>
        <v>X</v>
      </c>
      <c r="K2326" s="1" t="str">
        <f t="shared" si="480"/>
        <v>X</v>
      </c>
      <c r="L2326" s="1" t="str">
        <f t="shared" si="480"/>
        <v>X</v>
      </c>
      <c r="M2326" s="1" t="str">
        <f t="shared" si="480"/>
        <v>X</v>
      </c>
      <c r="N2326" t="s">
        <v>27</v>
      </c>
    </row>
    <row r="2327" spans="1:14" x14ac:dyDescent="0.25">
      <c r="A2327" t="s">
        <v>14</v>
      </c>
      <c r="B2327" t="s">
        <v>40</v>
      </c>
      <c r="C2327" t="s">
        <v>37</v>
      </c>
      <c r="D2327" t="s">
        <v>29</v>
      </c>
      <c r="E2327" t="s">
        <v>15</v>
      </c>
      <c r="F2327" t="s">
        <v>15</v>
      </c>
      <c r="G2327" s="1">
        <f>VALUE(3550.0210317883)</f>
        <v>3550.0210317883002</v>
      </c>
      <c r="H2327" s="1">
        <f>VALUE(2861.7794253991)</f>
        <v>2861.7794253991001</v>
      </c>
      <c r="I2327" s="1">
        <f>VALUE(3110)</f>
        <v>3110</v>
      </c>
      <c r="J2327" s="1">
        <f>VALUE(3443)</f>
        <v>3443</v>
      </c>
      <c r="K2327" s="1">
        <f>VALUE(4024)</f>
        <v>4024</v>
      </c>
      <c r="L2327" s="1">
        <f>VALUE(5188)</f>
        <v>5188</v>
      </c>
      <c r="M2327" s="1">
        <f>VALUE(7050)</f>
        <v>7050</v>
      </c>
      <c r="N2327" t="s">
        <v>16</v>
      </c>
    </row>
    <row r="2328" spans="1:14" x14ac:dyDescent="0.25">
      <c r="A2328" t="s">
        <v>14</v>
      </c>
      <c r="B2328" t="s">
        <v>40</v>
      </c>
      <c r="C2328" t="s">
        <v>37</v>
      </c>
      <c r="D2328" t="s">
        <v>29</v>
      </c>
      <c r="E2328" t="s">
        <v>15</v>
      </c>
      <c r="F2328" t="s">
        <v>17</v>
      </c>
      <c r="G2328" s="2">
        <f>VALUE(294.267768758)</f>
        <v>294.26776875799999</v>
      </c>
      <c r="H2328" s="3">
        <f>VALUE(263.9343164303)</f>
        <v>263.93431643029999</v>
      </c>
      <c r="I2328" s="4">
        <f>VALUE(3810)</f>
        <v>3810</v>
      </c>
      <c r="J2328" s="5">
        <f>VALUE(4746)</f>
        <v>4746</v>
      </c>
      <c r="K2328" s="6">
        <f>VALUE(6024)</f>
        <v>6024</v>
      </c>
      <c r="L2328" s="7">
        <f>VALUE(9425)</f>
        <v>9425</v>
      </c>
      <c r="M2328" s="8">
        <f>VALUE(13129)</f>
        <v>13129</v>
      </c>
      <c r="N2328" t="s">
        <v>24</v>
      </c>
    </row>
    <row r="2329" spans="1:14" x14ac:dyDescent="0.25">
      <c r="A2329" t="s">
        <v>14</v>
      </c>
      <c r="B2329" t="s">
        <v>40</v>
      </c>
      <c r="C2329" t="s">
        <v>37</v>
      </c>
      <c r="D2329" t="s">
        <v>29</v>
      </c>
      <c r="E2329" t="s">
        <v>15</v>
      </c>
      <c r="F2329" t="s">
        <v>18</v>
      </c>
      <c r="G2329" s="2">
        <f>VALUE(437.8268695774)</f>
        <v>437.82686957739998</v>
      </c>
      <c r="H2329" s="3">
        <f>VALUE(415.9951298961)</f>
        <v>415.99512989610002</v>
      </c>
      <c r="I2329" s="4">
        <f>VALUE(3561)</f>
        <v>3561</v>
      </c>
      <c r="J2329" s="5">
        <f>VALUE(3611)</f>
        <v>3611</v>
      </c>
      <c r="K2329" s="6">
        <f>VALUE(4690)</f>
        <v>4690</v>
      </c>
      <c r="L2329" s="7">
        <f>VALUE(6931)</f>
        <v>6931</v>
      </c>
      <c r="M2329" s="8">
        <f>VALUE(8512)</f>
        <v>8512</v>
      </c>
      <c r="N2329" t="s">
        <v>24</v>
      </c>
    </row>
    <row r="2330" spans="1:14" x14ac:dyDescent="0.25">
      <c r="A2330" t="s">
        <v>14</v>
      </c>
      <c r="B2330" t="s">
        <v>40</v>
      </c>
      <c r="C2330" t="s">
        <v>37</v>
      </c>
      <c r="D2330" t="s">
        <v>29</v>
      </c>
      <c r="E2330" t="s">
        <v>15</v>
      </c>
      <c r="F2330" t="s">
        <v>19</v>
      </c>
      <c r="G2330" s="2">
        <f>VALUE(353.0030322691)</f>
        <v>353.0030322691</v>
      </c>
      <c r="H2330" s="3">
        <f>VALUE(306.6110410515)</f>
        <v>306.61104105150002</v>
      </c>
      <c r="I2330" s="4">
        <f>VALUE(3207)</f>
        <v>3207</v>
      </c>
      <c r="J2330" s="5">
        <f>VALUE(3755)</f>
        <v>3755</v>
      </c>
      <c r="K2330" s="6">
        <f>VALUE(4442)</f>
        <v>4442</v>
      </c>
      <c r="L2330" s="7">
        <f>VALUE(5777)</f>
        <v>5777</v>
      </c>
      <c r="M2330" s="1">
        <f>VALUE(7410)</f>
        <v>7410</v>
      </c>
      <c r="N2330" t="s">
        <v>25</v>
      </c>
    </row>
    <row r="2331" spans="1:14" x14ac:dyDescent="0.25">
      <c r="A2331" t="s">
        <v>14</v>
      </c>
      <c r="B2331" t="s">
        <v>40</v>
      </c>
      <c r="C2331" t="s">
        <v>37</v>
      </c>
      <c r="D2331" t="s">
        <v>29</v>
      </c>
      <c r="E2331" t="s">
        <v>15</v>
      </c>
      <c r="F2331" t="s">
        <v>20</v>
      </c>
      <c r="G2331" s="1">
        <f>VALUE(2464.9233611838)</f>
        <v>2464.9233611837999</v>
      </c>
      <c r="H2331" s="1">
        <f>VALUE(1875.2389380212)</f>
        <v>1875.2389380212001</v>
      </c>
      <c r="I2331" s="1">
        <f>VALUE(3000)</f>
        <v>3000</v>
      </c>
      <c r="J2331" s="1">
        <f>VALUE(3253)</f>
        <v>3253</v>
      </c>
      <c r="K2331" s="1">
        <f>VALUE(3766)</f>
        <v>3766</v>
      </c>
      <c r="L2331" s="1">
        <f>VALUE(4662)</f>
        <v>4662</v>
      </c>
      <c r="M2331" s="1">
        <f>VALUE(5673)</f>
        <v>5673</v>
      </c>
      <c r="N2331" t="s">
        <v>16</v>
      </c>
    </row>
    <row r="2332" spans="1:14" x14ac:dyDescent="0.25">
      <c r="A2332" t="s">
        <v>14</v>
      </c>
      <c r="B2332" t="s">
        <v>40</v>
      </c>
      <c r="C2332" t="s">
        <v>37</v>
      </c>
      <c r="D2332" t="s">
        <v>29</v>
      </c>
      <c r="E2332" t="s">
        <v>21</v>
      </c>
      <c r="F2332" t="s">
        <v>15</v>
      </c>
      <c r="G2332" s="2">
        <f>VALUE(456.6375126682)</f>
        <v>456.63751266819997</v>
      </c>
      <c r="H2332" s="3">
        <f>VALUE(387.9851326405)</f>
        <v>387.98513264050001</v>
      </c>
      <c r="I2332" s="4">
        <f>VALUE(4779)</f>
        <v>4779</v>
      </c>
      <c r="J2332" s="1">
        <f>VALUE(5674)</f>
        <v>5674</v>
      </c>
      <c r="K2332" s="1">
        <f>VALUE(7042)</f>
        <v>7042</v>
      </c>
      <c r="L2332" s="1">
        <f>VALUE(9033)</f>
        <v>9033</v>
      </c>
      <c r="M2332" s="8">
        <f>VALUE(11887)</f>
        <v>11887</v>
      </c>
      <c r="N2332" t="s">
        <v>25</v>
      </c>
    </row>
    <row r="2333" spans="1:14" x14ac:dyDescent="0.25">
      <c r="A2333" t="s">
        <v>14</v>
      </c>
      <c r="B2333" t="s">
        <v>40</v>
      </c>
      <c r="C2333" t="s">
        <v>37</v>
      </c>
      <c r="D2333" t="s">
        <v>29</v>
      </c>
      <c r="E2333" t="s">
        <v>21</v>
      </c>
      <c r="F2333" t="s">
        <v>17</v>
      </c>
      <c r="G2333" s="1" t="str">
        <f t="shared" ref="G2333:M2336" si="481">"X"</f>
        <v>X</v>
      </c>
      <c r="H2333" s="1" t="str">
        <f t="shared" si="481"/>
        <v>X</v>
      </c>
      <c r="I2333" s="1" t="str">
        <f t="shared" si="481"/>
        <v>X</v>
      </c>
      <c r="J2333" s="1" t="str">
        <f t="shared" si="481"/>
        <v>X</v>
      </c>
      <c r="K2333" s="1" t="str">
        <f t="shared" si="481"/>
        <v>X</v>
      </c>
      <c r="L2333" s="1" t="str">
        <f t="shared" si="481"/>
        <v>X</v>
      </c>
      <c r="M2333" s="1" t="str">
        <f t="shared" si="481"/>
        <v>X</v>
      </c>
      <c r="N2333" t="s">
        <v>27</v>
      </c>
    </row>
    <row r="2334" spans="1:14" x14ac:dyDescent="0.25">
      <c r="A2334" t="s">
        <v>14</v>
      </c>
      <c r="B2334" t="s">
        <v>40</v>
      </c>
      <c r="C2334" t="s">
        <v>37</v>
      </c>
      <c r="D2334" t="s">
        <v>29</v>
      </c>
      <c r="E2334" t="s">
        <v>21</v>
      </c>
      <c r="F2334" t="s">
        <v>18</v>
      </c>
      <c r="G2334" s="1" t="str">
        <f t="shared" si="481"/>
        <v>X</v>
      </c>
      <c r="H2334" s="1" t="str">
        <f t="shared" si="481"/>
        <v>X</v>
      </c>
      <c r="I2334" s="1" t="str">
        <f t="shared" si="481"/>
        <v>X</v>
      </c>
      <c r="J2334" s="1" t="str">
        <f t="shared" si="481"/>
        <v>X</v>
      </c>
      <c r="K2334" s="1" t="str">
        <f t="shared" si="481"/>
        <v>X</v>
      </c>
      <c r="L2334" s="1" t="str">
        <f t="shared" si="481"/>
        <v>X</v>
      </c>
      <c r="M2334" s="1" t="str">
        <f t="shared" si="481"/>
        <v>X</v>
      </c>
      <c r="N2334" t="s">
        <v>27</v>
      </c>
    </row>
    <row r="2335" spans="1:14" x14ac:dyDescent="0.25">
      <c r="A2335" t="s">
        <v>14</v>
      </c>
      <c r="B2335" t="s">
        <v>40</v>
      </c>
      <c r="C2335" t="s">
        <v>37</v>
      </c>
      <c r="D2335" t="s">
        <v>29</v>
      </c>
      <c r="E2335" t="s">
        <v>21</v>
      </c>
      <c r="F2335" t="s">
        <v>19</v>
      </c>
      <c r="G2335" s="1" t="str">
        <f t="shared" si="481"/>
        <v>X</v>
      </c>
      <c r="H2335" s="1" t="str">
        <f t="shared" si="481"/>
        <v>X</v>
      </c>
      <c r="I2335" s="1" t="str">
        <f t="shared" si="481"/>
        <v>X</v>
      </c>
      <c r="J2335" s="1" t="str">
        <f t="shared" si="481"/>
        <v>X</v>
      </c>
      <c r="K2335" s="1" t="str">
        <f t="shared" si="481"/>
        <v>X</v>
      </c>
      <c r="L2335" s="1" t="str">
        <f t="shared" si="481"/>
        <v>X</v>
      </c>
      <c r="M2335" s="1" t="str">
        <f t="shared" si="481"/>
        <v>X</v>
      </c>
      <c r="N2335" t="s">
        <v>27</v>
      </c>
    </row>
    <row r="2336" spans="1:14" x14ac:dyDescent="0.25">
      <c r="A2336" t="s">
        <v>14</v>
      </c>
      <c r="B2336" t="s">
        <v>40</v>
      </c>
      <c r="C2336" t="s">
        <v>37</v>
      </c>
      <c r="D2336" t="s">
        <v>29</v>
      </c>
      <c r="E2336" t="s">
        <v>21</v>
      </c>
      <c r="F2336" t="s">
        <v>20</v>
      </c>
      <c r="G2336" s="1" t="str">
        <f t="shared" si="481"/>
        <v>X</v>
      </c>
      <c r="H2336" s="1" t="str">
        <f t="shared" si="481"/>
        <v>X</v>
      </c>
      <c r="I2336" s="1" t="str">
        <f t="shared" si="481"/>
        <v>X</v>
      </c>
      <c r="J2336" s="1" t="str">
        <f t="shared" si="481"/>
        <v>X</v>
      </c>
      <c r="K2336" s="1" t="str">
        <f t="shared" si="481"/>
        <v>X</v>
      </c>
      <c r="L2336" s="1" t="str">
        <f t="shared" si="481"/>
        <v>X</v>
      </c>
      <c r="M2336" s="1" t="str">
        <f t="shared" si="481"/>
        <v>X</v>
      </c>
      <c r="N2336" t="s">
        <v>27</v>
      </c>
    </row>
    <row r="2337" spans="1:14" x14ac:dyDescent="0.25">
      <c r="A2337" t="s">
        <v>14</v>
      </c>
      <c r="B2337" t="s">
        <v>40</v>
      </c>
      <c r="C2337" t="s">
        <v>37</v>
      </c>
      <c r="D2337" t="s">
        <v>29</v>
      </c>
      <c r="E2337" t="s">
        <v>22</v>
      </c>
      <c r="F2337" t="s">
        <v>15</v>
      </c>
      <c r="G2337" s="2">
        <f>VALUE(1070.286915507)</f>
        <v>1070.286915507</v>
      </c>
      <c r="H2337" s="3">
        <f>VALUE(892.5228191953)</f>
        <v>892.52281919530003</v>
      </c>
      <c r="I2337" s="1">
        <f>VALUE(3253)</f>
        <v>3253</v>
      </c>
      <c r="J2337" s="5">
        <f>VALUE(3576)</f>
        <v>3576</v>
      </c>
      <c r="K2337" s="1">
        <f>VALUE(4666)</f>
        <v>4666</v>
      </c>
      <c r="L2337" s="1">
        <f>VALUE(5497)</f>
        <v>5497</v>
      </c>
      <c r="M2337" s="1">
        <f>VALUE(6885)</f>
        <v>6885</v>
      </c>
      <c r="N2337" t="s">
        <v>25</v>
      </c>
    </row>
    <row r="2338" spans="1:14" x14ac:dyDescent="0.25">
      <c r="A2338" t="s">
        <v>14</v>
      </c>
      <c r="B2338" t="s">
        <v>40</v>
      </c>
      <c r="C2338" t="s">
        <v>37</v>
      </c>
      <c r="D2338" t="s">
        <v>29</v>
      </c>
      <c r="E2338" t="s">
        <v>22</v>
      </c>
      <c r="F2338" t="s">
        <v>17</v>
      </c>
      <c r="G2338" s="1" t="str">
        <f t="shared" ref="G2338:M2338" si="482">"X"</f>
        <v>X</v>
      </c>
      <c r="H2338" s="1" t="str">
        <f t="shared" si="482"/>
        <v>X</v>
      </c>
      <c r="I2338" s="1" t="str">
        <f t="shared" si="482"/>
        <v>X</v>
      </c>
      <c r="J2338" s="1" t="str">
        <f t="shared" si="482"/>
        <v>X</v>
      </c>
      <c r="K2338" s="1" t="str">
        <f t="shared" si="482"/>
        <v>X</v>
      </c>
      <c r="L2338" s="1" t="str">
        <f t="shared" si="482"/>
        <v>X</v>
      </c>
      <c r="M2338" s="1" t="str">
        <f t="shared" si="482"/>
        <v>X</v>
      </c>
      <c r="N2338" t="s">
        <v>27</v>
      </c>
    </row>
    <row r="2339" spans="1:14" x14ac:dyDescent="0.25">
      <c r="A2339" t="s">
        <v>14</v>
      </c>
      <c r="B2339" t="s">
        <v>40</v>
      </c>
      <c r="C2339" t="s">
        <v>37</v>
      </c>
      <c r="D2339" t="s">
        <v>29</v>
      </c>
      <c r="E2339" t="s">
        <v>22</v>
      </c>
      <c r="F2339" t="s">
        <v>18</v>
      </c>
      <c r="G2339" s="2">
        <f>VALUE(231.8643606547)</f>
        <v>231.86436065469999</v>
      </c>
      <c r="H2339" s="3">
        <f>VALUE(217.1369716647)</f>
        <v>217.13697166470001</v>
      </c>
      <c r="I2339" s="4">
        <f>VALUE(3575)</f>
        <v>3575</v>
      </c>
      <c r="J2339" s="1">
        <f>VALUE(3575)</f>
        <v>3575</v>
      </c>
      <c r="K2339" s="1">
        <f>VALUE(4703)</f>
        <v>4703</v>
      </c>
      <c r="L2339" s="7">
        <f>VALUE(6395)</f>
        <v>6395</v>
      </c>
      <c r="M2339" s="1">
        <f>VALUE(7227)</f>
        <v>7227</v>
      </c>
      <c r="N2339" t="s">
        <v>25</v>
      </c>
    </row>
    <row r="2340" spans="1:14" x14ac:dyDescent="0.25">
      <c r="A2340" t="s">
        <v>14</v>
      </c>
      <c r="B2340" t="s">
        <v>40</v>
      </c>
      <c r="C2340" t="s">
        <v>37</v>
      </c>
      <c r="D2340" t="s">
        <v>29</v>
      </c>
      <c r="E2340" t="s">
        <v>22</v>
      </c>
      <c r="F2340" t="s">
        <v>19</v>
      </c>
      <c r="G2340" s="1" t="str">
        <f t="shared" ref="G2340:M2340" si="483">"X"</f>
        <v>X</v>
      </c>
      <c r="H2340" s="1" t="str">
        <f t="shared" si="483"/>
        <v>X</v>
      </c>
      <c r="I2340" s="1" t="str">
        <f t="shared" si="483"/>
        <v>X</v>
      </c>
      <c r="J2340" s="1" t="str">
        <f t="shared" si="483"/>
        <v>X</v>
      </c>
      <c r="K2340" s="1" t="str">
        <f t="shared" si="483"/>
        <v>X</v>
      </c>
      <c r="L2340" s="1" t="str">
        <f t="shared" si="483"/>
        <v>X</v>
      </c>
      <c r="M2340" s="1" t="str">
        <f t="shared" si="483"/>
        <v>X</v>
      </c>
      <c r="N2340" t="s">
        <v>27</v>
      </c>
    </row>
    <row r="2341" spans="1:14" x14ac:dyDescent="0.25">
      <c r="A2341" t="s">
        <v>14</v>
      </c>
      <c r="B2341" t="s">
        <v>40</v>
      </c>
      <c r="C2341" t="s">
        <v>37</v>
      </c>
      <c r="D2341" t="s">
        <v>29</v>
      </c>
      <c r="E2341" t="s">
        <v>22</v>
      </c>
      <c r="F2341" t="s">
        <v>20</v>
      </c>
      <c r="G2341" s="2">
        <f>VALUE(607.8511849867)</f>
        <v>607.85118498669999</v>
      </c>
      <c r="H2341" s="3">
        <f>VALUE(485.2685691559)</f>
        <v>485.26856915590002</v>
      </c>
      <c r="I2341" s="1">
        <f>VALUE(3159)</f>
        <v>3159</v>
      </c>
      <c r="J2341" s="5">
        <f>VALUE(3576)</f>
        <v>3576</v>
      </c>
      <c r="K2341" s="1">
        <f>VALUE(4487)</f>
        <v>4487</v>
      </c>
      <c r="L2341" s="1">
        <f>VALUE(5308)</f>
        <v>5308</v>
      </c>
      <c r="M2341" s="1">
        <f>VALUE(6283)</f>
        <v>6283</v>
      </c>
      <c r="N2341" t="s">
        <v>25</v>
      </c>
    </row>
    <row r="2342" spans="1:14" x14ac:dyDescent="0.25">
      <c r="A2342" t="s">
        <v>14</v>
      </c>
      <c r="B2342" t="s">
        <v>40</v>
      </c>
      <c r="C2342" t="s">
        <v>37</v>
      </c>
      <c r="D2342" t="s">
        <v>29</v>
      </c>
      <c r="E2342" t="s">
        <v>23</v>
      </c>
      <c r="F2342" t="s">
        <v>15</v>
      </c>
      <c r="G2342" s="2">
        <f>VALUE(1993.902952144)</f>
        <v>1993.902952144</v>
      </c>
      <c r="H2342" s="3">
        <f>VALUE(1555.5954618653)</f>
        <v>1555.5954618653</v>
      </c>
      <c r="I2342" s="1">
        <f>VALUE(2922)</f>
        <v>2922</v>
      </c>
      <c r="J2342" s="1">
        <f>VALUE(3250)</f>
        <v>3250</v>
      </c>
      <c r="K2342" s="1">
        <f>VALUE(3639)</f>
        <v>3639</v>
      </c>
      <c r="L2342" s="1">
        <f>VALUE(4119)</f>
        <v>4119</v>
      </c>
      <c r="M2342" s="1">
        <f>VALUE(4787)</f>
        <v>4787</v>
      </c>
      <c r="N2342" t="s">
        <v>25</v>
      </c>
    </row>
    <row r="2343" spans="1:14" x14ac:dyDescent="0.25">
      <c r="A2343" t="s">
        <v>14</v>
      </c>
      <c r="B2343" t="s">
        <v>40</v>
      </c>
      <c r="C2343" t="s">
        <v>37</v>
      </c>
      <c r="D2343" t="s">
        <v>29</v>
      </c>
      <c r="E2343" t="s">
        <v>23</v>
      </c>
      <c r="F2343" t="s">
        <v>17</v>
      </c>
      <c r="G2343" s="1" t="str">
        <f t="shared" ref="G2343:M2345" si="484">"X"</f>
        <v>X</v>
      </c>
      <c r="H2343" s="1" t="str">
        <f t="shared" si="484"/>
        <v>X</v>
      </c>
      <c r="I2343" s="1" t="str">
        <f t="shared" si="484"/>
        <v>X</v>
      </c>
      <c r="J2343" s="1" t="str">
        <f t="shared" si="484"/>
        <v>X</v>
      </c>
      <c r="K2343" s="1" t="str">
        <f t="shared" si="484"/>
        <v>X</v>
      </c>
      <c r="L2343" s="1" t="str">
        <f t="shared" si="484"/>
        <v>X</v>
      </c>
      <c r="M2343" s="1" t="str">
        <f t="shared" si="484"/>
        <v>X</v>
      </c>
      <c r="N2343" t="s">
        <v>27</v>
      </c>
    </row>
    <row r="2344" spans="1:14" x14ac:dyDescent="0.25">
      <c r="A2344" t="s">
        <v>14</v>
      </c>
      <c r="B2344" t="s">
        <v>40</v>
      </c>
      <c r="C2344" t="s">
        <v>37</v>
      </c>
      <c r="D2344" t="s">
        <v>29</v>
      </c>
      <c r="E2344" t="s">
        <v>23</v>
      </c>
      <c r="F2344" t="s">
        <v>18</v>
      </c>
      <c r="G2344" s="1" t="str">
        <f t="shared" si="484"/>
        <v>X</v>
      </c>
      <c r="H2344" s="1" t="str">
        <f t="shared" si="484"/>
        <v>X</v>
      </c>
      <c r="I2344" s="1" t="str">
        <f t="shared" si="484"/>
        <v>X</v>
      </c>
      <c r="J2344" s="1" t="str">
        <f t="shared" si="484"/>
        <v>X</v>
      </c>
      <c r="K2344" s="1" t="str">
        <f t="shared" si="484"/>
        <v>X</v>
      </c>
      <c r="L2344" s="1" t="str">
        <f t="shared" si="484"/>
        <v>X</v>
      </c>
      <c r="M2344" s="1" t="str">
        <f t="shared" si="484"/>
        <v>X</v>
      </c>
      <c r="N2344" t="s">
        <v>27</v>
      </c>
    </row>
    <row r="2345" spans="1:14" x14ac:dyDescent="0.25">
      <c r="A2345" t="s">
        <v>14</v>
      </c>
      <c r="B2345" t="s">
        <v>40</v>
      </c>
      <c r="C2345" t="s">
        <v>37</v>
      </c>
      <c r="D2345" t="s">
        <v>29</v>
      </c>
      <c r="E2345" t="s">
        <v>23</v>
      </c>
      <c r="F2345" t="s">
        <v>19</v>
      </c>
      <c r="G2345" s="1" t="str">
        <f t="shared" si="484"/>
        <v>X</v>
      </c>
      <c r="H2345" s="1" t="str">
        <f t="shared" si="484"/>
        <v>X</v>
      </c>
      <c r="I2345" s="1" t="str">
        <f t="shared" si="484"/>
        <v>X</v>
      </c>
      <c r="J2345" s="1" t="str">
        <f t="shared" si="484"/>
        <v>X</v>
      </c>
      <c r="K2345" s="1" t="str">
        <f t="shared" si="484"/>
        <v>X</v>
      </c>
      <c r="L2345" s="1" t="str">
        <f t="shared" si="484"/>
        <v>X</v>
      </c>
      <c r="M2345" s="1" t="str">
        <f t="shared" si="484"/>
        <v>X</v>
      </c>
      <c r="N2345" t="s">
        <v>27</v>
      </c>
    </row>
    <row r="2346" spans="1:14" x14ac:dyDescent="0.25">
      <c r="A2346" t="s">
        <v>14</v>
      </c>
      <c r="B2346" t="s">
        <v>40</v>
      </c>
      <c r="C2346" t="s">
        <v>37</v>
      </c>
      <c r="D2346" t="s">
        <v>29</v>
      </c>
      <c r="E2346" t="s">
        <v>23</v>
      </c>
      <c r="F2346" t="s">
        <v>20</v>
      </c>
      <c r="G2346" s="2">
        <f>VALUE(1712.59737615)</f>
        <v>1712.5973761499999</v>
      </c>
      <c r="H2346" s="3">
        <f>VALUE(1282.3345157937)</f>
        <v>1282.3345157936999</v>
      </c>
      <c r="I2346" s="1">
        <f>VALUE(2845)</f>
        <v>2845</v>
      </c>
      <c r="J2346" s="1">
        <f>VALUE(3187)</f>
        <v>3187</v>
      </c>
      <c r="K2346" s="1">
        <f>VALUE(3550)</f>
        <v>3550</v>
      </c>
      <c r="L2346" s="1">
        <f>VALUE(4069)</f>
        <v>4069</v>
      </c>
      <c r="M2346" s="1">
        <f>VALUE(4746)</f>
        <v>4746</v>
      </c>
      <c r="N2346" t="s">
        <v>25</v>
      </c>
    </row>
    <row r="2347" spans="1:14" x14ac:dyDescent="0.25">
      <c r="A2347" t="s">
        <v>14</v>
      </c>
      <c r="B2347" t="s">
        <v>40</v>
      </c>
      <c r="C2347" t="s">
        <v>37</v>
      </c>
      <c r="D2347" t="s">
        <v>29</v>
      </c>
      <c r="E2347" t="s">
        <v>26</v>
      </c>
      <c r="F2347" t="s">
        <v>15</v>
      </c>
      <c r="G2347" s="1" t="str">
        <f t="shared" ref="G2347:M2349" si="485">"X"</f>
        <v>X</v>
      </c>
      <c r="H2347" s="1" t="str">
        <f t="shared" si="485"/>
        <v>X</v>
      </c>
      <c r="I2347" s="1" t="str">
        <f t="shared" si="485"/>
        <v>X</v>
      </c>
      <c r="J2347" s="1" t="str">
        <f t="shared" si="485"/>
        <v>X</v>
      </c>
      <c r="K2347" s="1" t="str">
        <f t="shared" si="485"/>
        <v>X</v>
      </c>
      <c r="L2347" s="1" t="str">
        <f t="shared" si="485"/>
        <v>X</v>
      </c>
      <c r="M2347" s="1" t="str">
        <f t="shared" si="485"/>
        <v>X</v>
      </c>
      <c r="N2347" t="s">
        <v>27</v>
      </c>
    </row>
    <row r="2348" spans="1:14" x14ac:dyDescent="0.25">
      <c r="A2348" t="s">
        <v>14</v>
      </c>
      <c r="B2348" t="s">
        <v>40</v>
      </c>
      <c r="C2348" t="s">
        <v>37</v>
      </c>
      <c r="D2348" t="s">
        <v>29</v>
      </c>
      <c r="E2348" t="s">
        <v>26</v>
      </c>
      <c r="F2348" t="s">
        <v>17</v>
      </c>
      <c r="G2348" s="1" t="str">
        <f t="shared" si="485"/>
        <v>X</v>
      </c>
      <c r="H2348" s="1" t="str">
        <f t="shared" si="485"/>
        <v>X</v>
      </c>
      <c r="I2348" s="1" t="str">
        <f t="shared" si="485"/>
        <v>X</v>
      </c>
      <c r="J2348" s="1" t="str">
        <f t="shared" si="485"/>
        <v>X</v>
      </c>
      <c r="K2348" s="1" t="str">
        <f t="shared" si="485"/>
        <v>X</v>
      </c>
      <c r="L2348" s="1" t="str">
        <f t="shared" si="485"/>
        <v>X</v>
      </c>
      <c r="M2348" s="1" t="str">
        <f t="shared" si="485"/>
        <v>X</v>
      </c>
      <c r="N2348" t="s">
        <v>27</v>
      </c>
    </row>
    <row r="2349" spans="1:14" x14ac:dyDescent="0.25">
      <c r="A2349" t="s">
        <v>14</v>
      </c>
      <c r="B2349" t="s">
        <v>40</v>
      </c>
      <c r="C2349" t="s">
        <v>37</v>
      </c>
      <c r="D2349" t="s">
        <v>29</v>
      </c>
      <c r="E2349" t="s">
        <v>26</v>
      </c>
      <c r="F2349" t="s">
        <v>18</v>
      </c>
      <c r="G2349" s="1" t="str">
        <f t="shared" si="485"/>
        <v>X</v>
      </c>
      <c r="H2349" s="1" t="str">
        <f t="shared" si="485"/>
        <v>X</v>
      </c>
      <c r="I2349" s="1" t="str">
        <f t="shared" si="485"/>
        <v>X</v>
      </c>
      <c r="J2349" s="1" t="str">
        <f t="shared" si="485"/>
        <v>X</v>
      </c>
      <c r="K2349" s="1" t="str">
        <f t="shared" si="485"/>
        <v>X</v>
      </c>
      <c r="L2349" s="1" t="str">
        <f t="shared" si="485"/>
        <v>X</v>
      </c>
      <c r="M2349" s="1" t="str">
        <f t="shared" si="485"/>
        <v>X</v>
      </c>
      <c r="N2349" t="s">
        <v>27</v>
      </c>
    </row>
    <row r="2350" spans="1:14" x14ac:dyDescent="0.25">
      <c r="A2350" t="s">
        <v>14</v>
      </c>
      <c r="B2350" t="s">
        <v>40</v>
      </c>
      <c r="C2350" t="s">
        <v>37</v>
      </c>
      <c r="D2350" t="s">
        <v>29</v>
      </c>
      <c r="E2350" t="s">
        <v>26</v>
      </c>
      <c r="F2350" t="s">
        <v>19</v>
      </c>
      <c r="G2350" s="1" t="str">
        <f t="shared" ref="G2350:M2350" si="486">"..."</f>
        <v>...</v>
      </c>
      <c r="H2350" s="1" t="str">
        <f t="shared" si="486"/>
        <v>...</v>
      </c>
      <c r="I2350" s="1" t="str">
        <f t="shared" si="486"/>
        <v>...</v>
      </c>
      <c r="J2350" s="1" t="str">
        <f t="shared" si="486"/>
        <v>...</v>
      </c>
      <c r="K2350" s="1" t="str">
        <f t="shared" si="486"/>
        <v>...</v>
      </c>
      <c r="L2350" s="1" t="str">
        <f t="shared" si="486"/>
        <v>...</v>
      </c>
      <c r="M2350" s="1" t="str">
        <f t="shared" si="486"/>
        <v>...</v>
      </c>
      <c r="N2350" t="s">
        <v>30</v>
      </c>
    </row>
    <row r="2351" spans="1:14" x14ac:dyDescent="0.25">
      <c r="A2351" t="s">
        <v>14</v>
      </c>
      <c r="B2351" t="s">
        <v>40</v>
      </c>
      <c r="C2351" t="s">
        <v>37</v>
      </c>
      <c r="D2351" t="s">
        <v>29</v>
      </c>
      <c r="E2351" t="s">
        <v>26</v>
      </c>
      <c r="F2351" t="s">
        <v>20</v>
      </c>
      <c r="G2351" s="1" t="str">
        <f t="shared" ref="G2351:M2351" si="487">"X"</f>
        <v>X</v>
      </c>
      <c r="H2351" s="1" t="str">
        <f t="shared" si="487"/>
        <v>X</v>
      </c>
      <c r="I2351" s="1" t="str">
        <f t="shared" si="487"/>
        <v>X</v>
      </c>
      <c r="J2351" s="1" t="str">
        <f t="shared" si="487"/>
        <v>X</v>
      </c>
      <c r="K2351" s="1" t="str">
        <f t="shared" si="487"/>
        <v>X</v>
      </c>
      <c r="L2351" s="1" t="str">
        <f t="shared" si="487"/>
        <v>X</v>
      </c>
      <c r="M2351" s="1" t="str">
        <f t="shared" si="487"/>
        <v>X</v>
      </c>
      <c r="N2351" t="s">
        <v>27</v>
      </c>
    </row>
    <row r="2352" spans="1:14" x14ac:dyDescent="0.25">
      <c r="A2352" t="s">
        <v>14</v>
      </c>
      <c r="B2352" t="s">
        <v>40</v>
      </c>
      <c r="C2352" t="s">
        <v>37</v>
      </c>
      <c r="D2352" t="s">
        <v>31</v>
      </c>
      <c r="E2352" t="s">
        <v>15</v>
      </c>
      <c r="F2352" t="s">
        <v>15</v>
      </c>
      <c r="G2352" s="2">
        <f>VALUE(1014.2911606019)</f>
        <v>1014.2911606018999</v>
      </c>
      <c r="H2352" s="3">
        <f>VALUE(858.6027865124)</f>
        <v>858.60278651240003</v>
      </c>
      <c r="I2352" s="1">
        <f>VALUE(3004)</f>
        <v>3004</v>
      </c>
      <c r="J2352" s="1">
        <f>VALUE(3339)</f>
        <v>3339</v>
      </c>
      <c r="K2352" s="6">
        <f>VALUE(4021)</f>
        <v>4021</v>
      </c>
      <c r="L2352" s="7">
        <f>VALUE(5984)</f>
        <v>5984</v>
      </c>
      <c r="M2352" s="8">
        <f>VALUE(8702)</f>
        <v>8702</v>
      </c>
      <c r="N2352" t="s">
        <v>25</v>
      </c>
    </row>
    <row r="2353" spans="1:14" x14ac:dyDescent="0.25">
      <c r="A2353" t="s">
        <v>14</v>
      </c>
      <c r="B2353" t="s">
        <v>40</v>
      </c>
      <c r="C2353" t="s">
        <v>37</v>
      </c>
      <c r="D2353" t="s">
        <v>31</v>
      </c>
      <c r="E2353" t="s">
        <v>15</v>
      </c>
      <c r="F2353" t="s">
        <v>17</v>
      </c>
      <c r="G2353" s="1" t="str">
        <f t="shared" ref="G2353:M2355" si="488">"X"</f>
        <v>X</v>
      </c>
      <c r="H2353" s="1" t="str">
        <f t="shared" si="488"/>
        <v>X</v>
      </c>
      <c r="I2353" s="1" t="str">
        <f t="shared" si="488"/>
        <v>X</v>
      </c>
      <c r="J2353" s="1" t="str">
        <f t="shared" si="488"/>
        <v>X</v>
      </c>
      <c r="K2353" s="1" t="str">
        <f t="shared" si="488"/>
        <v>X</v>
      </c>
      <c r="L2353" s="1" t="str">
        <f t="shared" si="488"/>
        <v>X</v>
      </c>
      <c r="M2353" s="1" t="str">
        <f t="shared" si="488"/>
        <v>X</v>
      </c>
      <c r="N2353" t="s">
        <v>27</v>
      </c>
    </row>
    <row r="2354" spans="1:14" x14ac:dyDescent="0.25">
      <c r="A2354" t="s">
        <v>14</v>
      </c>
      <c r="B2354" t="s">
        <v>40</v>
      </c>
      <c r="C2354" t="s">
        <v>37</v>
      </c>
      <c r="D2354" t="s">
        <v>31</v>
      </c>
      <c r="E2354" t="s">
        <v>15</v>
      </c>
      <c r="F2354" t="s">
        <v>18</v>
      </c>
      <c r="G2354" s="1" t="str">
        <f t="shared" si="488"/>
        <v>X</v>
      </c>
      <c r="H2354" s="1" t="str">
        <f t="shared" si="488"/>
        <v>X</v>
      </c>
      <c r="I2354" s="1" t="str">
        <f t="shared" si="488"/>
        <v>X</v>
      </c>
      <c r="J2354" s="1" t="str">
        <f t="shared" si="488"/>
        <v>X</v>
      </c>
      <c r="K2354" s="1" t="str">
        <f t="shared" si="488"/>
        <v>X</v>
      </c>
      <c r="L2354" s="1" t="str">
        <f t="shared" si="488"/>
        <v>X</v>
      </c>
      <c r="M2354" s="1" t="str">
        <f t="shared" si="488"/>
        <v>X</v>
      </c>
      <c r="N2354" t="s">
        <v>27</v>
      </c>
    </row>
    <row r="2355" spans="1:14" x14ac:dyDescent="0.25">
      <c r="A2355" t="s">
        <v>14</v>
      </c>
      <c r="B2355" t="s">
        <v>40</v>
      </c>
      <c r="C2355" t="s">
        <v>37</v>
      </c>
      <c r="D2355" t="s">
        <v>31</v>
      </c>
      <c r="E2355" t="s">
        <v>15</v>
      </c>
      <c r="F2355" t="s">
        <v>19</v>
      </c>
      <c r="G2355" s="1" t="str">
        <f t="shared" si="488"/>
        <v>X</v>
      </c>
      <c r="H2355" s="1" t="str">
        <f t="shared" si="488"/>
        <v>X</v>
      </c>
      <c r="I2355" s="1" t="str">
        <f t="shared" si="488"/>
        <v>X</v>
      </c>
      <c r="J2355" s="1" t="str">
        <f t="shared" si="488"/>
        <v>X</v>
      </c>
      <c r="K2355" s="1" t="str">
        <f t="shared" si="488"/>
        <v>X</v>
      </c>
      <c r="L2355" s="1" t="str">
        <f t="shared" si="488"/>
        <v>X</v>
      </c>
      <c r="M2355" s="1" t="str">
        <f t="shared" si="488"/>
        <v>X</v>
      </c>
      <c r="N2355" t="s">
        <v>27</v>
      </c>
    </row>
    <row r="2356" spans="1:14" x14ac:dyDescent="0.25">
      <c r="A2356" t="s">
        <v>14</v>
      </c>
      <c r="B2356" t="s">
        <v>40</v>
      </c>
      <c r="C2356" t="s">
        <v>37</v>
      </c>
      <c r="D2356" t="s">
        <v>31</v>
      </c>
      <c r="E2356" t="s">
        <v>15</v>
      </c>
      <c r="F2356" t="s">
        <v>20</v>
      </c>
      <c r="G2356" s="2">
        <f>VALUE(649.6720443567)</f>
        <v>649.67204435669998</v>
      </c>
      <c r="H2356" s="3">
        <f>VALUE(536.762140373)</f>
        <v>536.76214037299997</v>
      </c>
      <c r="I2356" s="4">
        <f>VALUE(2798)</f>
        <v>2798</v>
      </c>
      <c r="J2356" s="1">
        <f>VALUE(3205)</f>
        <v>3205</v>
      </c>
      <c r="K2356" s="1">
        <f>VALUE(3611)</f>
        <v>3611</v>
      </c>
      <c r="L2356" s="7">
        <f>VALUE(4550)</f>
        <v>4550</v>
      </c>
      <c r="M2356" s="8">
        <f>VALUE(6173)</f>
        <v>6173</v>
      </c>
      <c r="N2356" t="s">
        <v>25</v>
      </c>
    </row>
    <row r="2357" spans="1:14" x14ac:dyDescent="0.25">
      <c r="A2357" t="s">
        <v>14</v>
      </c>
      <c r="B2357" t="s">
        <v>40</v>
      </c>
      <c r="C2357" t="s">
        <v>37</v>
      </c>
      <c r="D2357" t="s">
        <v>31</v>
      </c>
      <c r="E2357" t="s">
        <v>21</v>
      </c>
      <c r="F2357" t="s">
        <v>15</v>
      </c>
      <c r="G2357" s="2">
        <f>VALUE(234.9451106539)</f>
        <v>234.9451106539</v>
      </c>
      <c r="H2357" s="3">
        <f>VALUE(207.7816672353)</f>
        <v>207.78166723530001</v>
      </c>
      <c r="I2357" s="1">
        <f>VALUE(4500)</f>
        <v>4500</v>
      </c>
      <c r="J2357" s="1">
        <f>VALUE(5000)</f>
        <v>5000</v>
      </c>
      <c r="K2357" s="6">
        <f>VALUE(6739)</f>
        <v>6739</v>
      </c>
      <c r="L2357" s="1">
        <f>VALUE(8260)</f>
        <v>8260</v>
      </c>
      <c r="M2357" s="8">
        <f>VALUE(10721)</f>
        <v>10721</v>
      </c>
      <c r="N2357" t="s">
        <v>25</v>
      </c>
    </row>
    <row r="2358" spans="1:14" x14ac:dyDescent="0.25">
      <c r="A2358" t="s">
        <v>14</v>
      </c>
      <c r="B2358" t="s">
        <v>40</v>
      </c>
      <c r="C2358" t="s">
        <v>37</v>
      </c>
      <c r="D2358" t="s">
        <v>31</v>
      </c>
      <c r="E2358" t="s">
        <v>21</v>
      </c>
      <c r="F2358" t="s">
        <v>17</v>
      </c>
      <c r="G2358" s="1" t="str">
        <f t="shared" ref="G2358:M2361" si="489">"X"</f>
        <v>X</v>
      </c>
      <c r="H2358" s="1" t="str">
        <f t="shared" si="489"/>
        <v>X</v>
      </c>
      <c r="I2358" s="1" t="str">
        <f t="shared" si="489"/>
        <v>X</v>
      </c>
      <c r="J2358" s="1" t="str">
        <f t="shared" si="489"/>
        <v>X</v>
      </c>
      <c r="K2358" s="1" t="str">
        <f t="shared" si="489"/>
        <v>X</v>
      </c>
      <c r="L2358" s="1" t="str">
        <f t="shared" si="489"/>
        <v>X</v>
      </c>
      <c r="M2358" s="1" t="str">
        <f t="shared" si="489"/>
        <v>X</v>
      </c>
      <c r="N2358" t="s">
        <v>27</v>
      </c>
    </row>
    <row r="2359" spans="1:14" x14ac:dyDescent="0.25">
      <c r="A2359" t="s">
        <v>14</v>
      </c>
      <c r="B2359" t="s">
        <v>40</v>
      </c>
      <c r="C2359" t="s">
        <v>37</v>
      </c>
      <c r="D2359" t="s">
        <v>31</v>
      </c>
      <c r="E2359" t="s">
        <v>21</v>
      </c>
      <c r="F2359" t="s">
        <v>18</v>
      </c>
      <c r="G2359" s="1" t="str">
        <f t="shared" si="489"/>
        <v>X</v>
      </c>
      <c r="H2359" s="1" t="str">
        <f t="shared" si="489"/>
        <v>X</v>
      </c>
      <c r="I2359" s="1" t="str">
        <f t="shared" si="489"/>
        <v>X</v>
      </c>
      <c r="J2359" s="1" t="str">
        <f t="shared" si="489"/>
        <v>X</v>
      </c>
      <c r="K2359" s="1" t="str">
        <f t="shared" si="489"/>
        <v>X</v>
      </c>
      <c r="L2359" s="1" t="str">
        <f t="shared" si="489"/>
        <v>X</v>
      </c>
      <c r="M2359" s="1" t="str">
        <f t="shared" si="489"/>
        <v>X</v>
      </c>
      <c r="N2359" t="s">
        <v>27</v>
      </c>
    </row>
    <row r="2360" spans="1:14" x14ac:dyDescent="0.25">
      <c r="A2360" t="s">
        <v>14</v>
      </c>
      <c r="B2360" t="s">
        <v>40</v>
      </c>
      <c r="C2360" t="s">
        <v>37</v>
      </c>
      <c r="D2360" t="s">
        <v>31</v>
      </c>
      <c r="E2360" t="s">
        <v>21</v>
      </c>
      <c r="F2360" t="s">
        <v>19</v>
      </c>
      <c r="G2360" s="1" t="str">
        <f t="shared" si="489"/>
        <v>X</v>
      </c>
      <c r="H2360" s="1" t="str">
        <f t="shared" si="489"/>
        <v>X</v>
      </c>
      <c r="I2360" s="1" t="str">
        <f t="shared" si="489"/>
        <v>X</v>
      </c>
      <c r="J2360" s="1" t="str">
        <f t="shared" si="489"/>
        <v>X</v>
      </c>
      <c r="K2360" s="1" t="str">
        <f t="shared" si="489"/>
        <v>X</v>
      </c>
      <c r="L2360" s="1" t="str">
        <f t="shared" si="489"/>
        <v>X</v>
      </c>
      <c r="M2360" s="1" t="str">
        <f t="shared" si="489"/>
        <v>X</v>
      </c>
      <c r="N2360" t="s">
        <v>27</v>
      </c>
    </row>
    <row r="2361" spans="1:14" x14ac:dyDescent="0.25">
      <c r="A2361" t="s">
        <v>14</v>
      </c>
      <c r="B2361" t="s">
        <v>40</v>
      </c>
      <c r="C2361" t="s">
        <v>37</v>
      </c>
      <c r="D2361" t="s">
        <v>31</v>
      </c>
      <c r="E2361" t="s">
        <v>21</v>
      </c>
      <c r="F2361" t="s">
        <v>20</v>
      </c>
      <c r="G2361" s="1" t="str">
        <f t="shared" si="489"/>
        <v>X</v>
      </c>
      <c r="H2361" s="1" t="str">
        <f t="shared" si="489"/>
        <v>X</v>
      </c>
      <c r="I2361" s="1" t="str">
        <f t="shared" si="489"/>
        <v>X</v>
      </c>
      <c r="J2361" s="1" t="str">
        <f t="shared" si="489"/>
        <v>X</v>
      </c>
      <c r="K2361" s="1" t="str">
        <f t="shared" si="489"/>
        <v>X</v>
      </c>
      <c r="L2361" s="1" t="str">
        <f t="shared" si="489"/>
        <v>X</v>
      </c>
      <c r="M2361" s="1" t="str">
        <f t="shared" si="489"/>
        <v>X</v>
      </c>
      <c r="N2361" t="s">
        <v>27</v>
      </c>
    </row>
    <row r="2362" spans="1:14" x14ac:dyDescent="0.25">
      <c r="A2362" t="s">
        <v>14</v>
      </c>
      <c r="B2362" t="s">
        <v>40</v>
      </c>
      <c r="C2362" t="s">
        <v>37</v>
      </c>
      <c r="D2362" t="s">
        <v>31</v>
      </c>
      <c r="E2362" t="s">
        <v>22</v>
      </c>
      <c r="F2362" t="s">
        <v>15</v>
      </c>
      <c r="G2362" s="2">
        <f>VALUE(205.7677594434)</f>
        <v>205.7677594434</v>
      </c>
      <c r="H2362" s="3">
        <f>VALUE(175.6959645073)</f>
        <v>175.6959645073</v>
      </c>
      <c r="I2362" s="4">
        <f>VALUE(2950)</f>
        <v>2950</v>
      </c>
      <c r="J2362" s="5">
        <f>VALUE(3435)</f>
        <v>3435</v>
      </c>
      <c r="K2362" s="6">
        <f>VALUE(5126)</f>
        <v>5126</v>
      </c>
      <c r="L2362" s="7">
        <f>VALUE(5833)</f>
        <v>5833</v>
      </c>
      <c r="M2362" s="8">
        <f>VALUE(7421)</f>
        <v>7421</v>
      </c>
      <c r="N2362" t="s">
        <v>24</v>
      </c>
    </row>
    <row r="2363" spans="1:14" x14ac:dyDescent="0.25">
      <c r="A2363" t="s">
        <v>14</v>
      </c>
      <c r="B2363" t="s">
        <v>40</v>
      </c>
      <c r="C2363" t="s">
        <v>37</v>
      </c>
      <c r="D2363" t="s">
        <v>31</v>
      </c>
      <c r="E2363" t="s">
        <v>22</v>
      </c>
      <c r="F2363" t="s">
        <v>17</v>
      </c>
      <c r="G2363" s="1" t="str">
        <f t="shared" ref="G2363:M2366" si="490">"X"</f>
        <v>X</v>
      </c>
      <c r="H2363" s="1" t="str">
        <f t="shared" si="490"/>
        <v>X</v>
      </c>
      <c r="I2363" s="1" t="str">
        <f t="shared" si="490"/>
        <v>X</v>
      </c>
      <c r="J2363" s="1" t="str">
        <f t="shared" si="490"/>
        <v>X</v>
      </c>
      <c r="K2363" s="1" t="str">
        <f t="shared" si="490"/>
        <v>X</v>
      </c>
      <c r="L2363" s="1" t="str">
        <f t="shared" si="490"/>
        <v>X</v>
      </c>
      <c r="M2363" s="1" t="str">
        <f t="shared" si="490"/>
        <v>X</v>
      </c>
      <c r="N2363" t="s">
        <v>27</v>
      </c>
    </row>
    <row r="2364" spans="1:14" x14ac:dyDescent="0.25">
      <c r="A2364" t="s">
        <v>14</v>
      </c>
      <c r="B2364" t="s">
        <v>40</v>
      </c>
      <c r="C2364" t="s">
        <v>37</v>
      </c>
      <c r="D2364" t="s">
        <v>31</v>
      </c>
      <c r="E2364" t="s">
        <v>22</v>
      </c>
      <c r="F2364" t="s">
        <v>18</v>
      </c>
      <c r="G2364" s="1" t="str">
        <f t="shared" si="490"/>
        <v>X</v>
      </c>
      <c r="H2364" s="1" t="str">
        <f t="shared" si="490"/>
        <v>X</v>
      </c>
      <c r="I2364" s="1" t="str">
        <f t="shared" si="490"/>
        <v>X</v>
      </c>
      <c r="J2364" s="1" t="str">
        <f t="shared" si="490"/>
        <v>X</v>
      </c>
      <c r="K2364" s="1" t="str">
        <f t="shared" si="490"/>
        <v>X</v>
      </c>
      <c r="L2364" s="1" t="str">
        <f t="shared" si="490"/>
        <v>X</v>
      </c>
      <c r="M2364" s="1" t="str">
        <f t="shared" si="490"/>
        <v>X</v>
      </c>
      <c r="N2364" t="s">
        <v>27</v>
      </c>
    </row>
    <row r="2365" spans="1:14" x14ac:dyDescent="0.25">
      <c r="A2365" t="s">
        <v>14</v>
      </c>
      <c r="B2365" t="s">
        <v>40</v>
      </c>
      <c r="C2365" t="s">
        <v>37</v>
      </c>
      <c r="D2365" t="s">
        <v>31</v>
      </c>
      <c r="E2365" t="s">
        <v>22</v>
      </c>
      <c r="F2365" t="s">
        <v>19</v>
      </c>
      <c r="G2365" s="1" t="str">
        <f t="shared" si="490"/>
        <v>X</v>
      </c>
      <c r="H2365" s="1" t="str">
        <f t="shared" si="490"/>
        <v>X</v>
      </c>
      <c r="I2365" s="1" t="str">
        <f t="shared" si="490"/>
        <v>X</v>
      </c>
      <c r="J2365" s="1" t="str">
        <f t="shared" si="490"/>
        <v>X</v>
      </c>
      <c r="K2365" s="1" t="str">
        <f t="shared" si="490"/>
        <v>X</v>
      </c>
      <c r="L2365" s="1" t="str">
        <f t="shared" si="490"/>
        <v>X</v>
      </c>
      <c r="M2365" s="1" t="str">
        <f t="shared" si="490"/>
        <v>X</v>
      </c>
      <c r="N2365" t="s">
        <v>27</v>
      </c>
    </row>
    <row r="2366" spans="1:14" x14ac:dyDescent="0.25">
      <c r="A2366" t="s">
        <v>14</v>
      </c>
      <c r="B2366" t="s">
        <v>40</v>
      </c>
      <c r="C2366" t="s">
        <v>37</v>
      </c>
      <c r="D2366" t="s">
        <v>31</v>
      </c>
      <c r="E2366" t="s">
        <v>22</v>
      </c>
      <c r="F2366" t="s">
        <v>20</v>
      </c>
      <c r="G2366" s="1" t="str">
        <f t="shared" si="490"/>
        <v>X</v>
      </c>
      <c r="H2366" s="1" t="str">
        <f t="shared" si="490"/>
        <v>X</v>
      </c>
      <c r="I2366" s="1" t="str">
        <f t="shared" si="490"/>
        <v>X</v>
      </c>
      <c r="J2366" s="1" t="str">
        <f t="shared" si="490"/>
        <v>X</v>
      </c>
      <c r="K2366" s="1" t="str">
        <f t="shared" si="490"/>
        <v>X</v>
      </c>
      <c r="L2366" s="1" t="str">
        <f t="shared" si="490"/>
        <v>X</v>
      </c>
      <c r="M2366" s="1" t="str">
        <f t="shared" si="490"/>
        <v>X</v>
      </c>
      <c r="N2366" t="s">
        <v>27</v>
      </c>
    </row>
    <row r="2367" spans="1:14" x14ac:dyDescent="0.25">
      <c r="A2367" t="s">
        <v>14</v>
      </c>
      <c r="B2367" t="s">
        <v>40</v>
      </c>
      <c r="C2367" t="s">
        <v>37</v>
      </c>
      <c r="D2367" t="s">
        <v>31</v>
      </c>
      <c r="E2367" t="s">
        <v>23</v>
      </c>
      <c r="F2367" t="s">
        <v>15</v>
      </c>
      <c r="G2367" s="2">
        <f>VALUE(553.6646736858)</f>
        <v>553.66467368580004</v>
      </c>
      <c r="H2367" s="3">
        <f>VALUE(457.1163013895)</f>
        <v>457.11630138949999</v>
      </c>
      <c r="I2367" s="4">
        <f>VALUE(2790)</f>
        <v>2790</v>
      </c>
      <c r="J2367" s="1">
        <f>VALUE(3209)</f>
        <v>3209</v>
      </c>
      <c r="K2367" s="1">
        <f>VALUE(3557)</f>
        <v>3557</v>
      </c>
      <c r="L2367" s="7">
        <f>VALUE(3985)</f>
        <v>3985</v>
      </c>
      <c r="M2367" s="8">
        <f>VALUE(5238)</f>
        <v>5238</v>
      </c>
      <c r="N2367" t="s">
        <v>25</v>
      </c>
    </row>
    <row r="2368" spans="1:14" x14ac:dyDescent="0.25">
      <c r="A2368" t="s">
        <v>14</v>
      </c>
      <c r="B2368" t="s">
        <v>40</v>
      </c>
      <c r="C2368" t="s">
        <v>37</v>
      </c>
      <c r="D2368" t="s">
        <v>31</v>
      </c>
      <c r="E2368" t="s">
        <v>23</v>
      </c>
      <c r="F2368" t="s">
        <v>17</v>
      </c>
      <c r="G2368" s="1" t="str">
        <f t="shared" ref="G2368:M2370" si="491">"X"</f>
        <v>X</v>
      </c>
      <c r="H2368" s="1" t="str">
        <f t="shared" si="491"/>
        <v>X</v>
      </c>
      <c r="I2368" s="1" t="str">
        <f t="shared" si="491"/>
        <v>X</v>
      </c>
      <c r="J2368" s="1" t="str">
        <f t="shared" si="491"/>
        <v>X</v>
      </c>
      <c r="K2368" s="1" t="str">
        <f t="shared" si="491"/>
        <v>X</v>
      </c>
      <c r="L2368" s="1" t="str">
        <f t="shared" si="491"/>
        <v>X</v>
      </c>
      <c r="M2368" s="1" t="str">
        <f t="shared" si="491"/>
        <v>X</v>
      </c>
      <c r="N2368" t="s">
        <v>27</v>
      </c>
    </row>
    <row r="2369" spans="1:14" x14ac:dyDescent="0.25">
      <c r="A2369" t="s">
        <v>14</v>
      </c>
      <c r="B2369" t="s">
        <v>40</v>
      </c>
      <c r="C2369" t="s">
        <v>37</v>
      </c>
      <c r="D2369" t="s">
        <v>31</v>
      </c>
      <c r="E2369" t="s">
        <v>23</v>
      </c>
      <c r="F2369" t="s">
        <v>18</v>
      </c>
      <c r="G2369" s="1" t="str">
        <f t="shared" si="491"/>
        <v>X</v>
      </c>
      <c r="H2369" s="1" t="str">
        <f t="shared" si="491"/>
        <v>X</v>
      </c>
      <c r="I2369" s="1" t="str">
        <f t="shared" si="491"/>
        <v>X</v>
      </c>
      <c r="J2369" s="1" t="str">
        <f t="shared" si="491"/>
        <v>X</v>
      </c>
      <c r="K2369" s="1" t="str">
        <f t="shared" si="491"/>
        <v>X</v>
      </c>
      <c r="L2369" s="1" t="str">
        <f t="shared" si="491"/>
        <v>X</v>
      </c>
      <c r="M2369" s="1" t="str">
        <f t="shared" si="491"/>
        <v>X</v>
      </c>
      <c r="N2369" t="s">
        <v>27</v>
      </c>
    </row>
    <row r="2370" spans="1:14" x14ac:dyDescent="0.25">
      <c r="A2370" t="s">
        <v>14</v>
      </c>
      <c r="B2370" t="s">
        <v>40</v>
      </c>
      <c r="C2370" t="s">
        <v>37</v>
      </c>
      <c r="D2370" t="s">
        <v>31</v>
      </c>
      <c r="E2370" t="s">
        <v>23</v>
      </c>
      <c r="F2370" t="s">
        <v>19</v>
      </c>
      <c r="G2370" s="1" t="str">
        <f t="shared" si="491"/>
        <v>X</v>
      </c>
      <c r="H2370" s="1" t="str">
        <f t="shared" si="491"/>
        <v>X</v>
      </c>
      <c r="I2370" s="1" t="str">
        <f t="shared" si="491"/>
        <v>X</v>
      </c>
      <c r="J2370" s="1" t="str">
        <f t="shared" si="491"/>
        <v>X</v>
      </c>
      <c r="K2370" s="1" t="str">
        <f t="shared" si="491"/>
        <v>X</v>
      </c>
      <c r="L2370" s="1" t="str">
        <f t="shared" si="491"/>
        <v>X</v>
      </c>
      <c r="M2370" s="1" t="str">
        <f t="shared" si="491"/>
        <v>X</v>
      </c>
      <c r="N2370" t="s">
        <v>27</v>
      </c>
    </row>
    <row r="2371" spans="1:14" x14ac:dyDescent="0.25">
      <c r="A2371" t="s">
        <v>14</v>
      </c>
      <c r="B2371" t="s">
        <v>40</v>
      </c>
      <c r="C2371" t="s">
        <v>37</v>
      </c>
      <c r="D2371" t="s">
        <v>31</v>
      </c>
      <c r="E2371" t="s">
        <v>23</v>
      </c>
      <c r="F2371" t="s">
        <v>20</v>
      </c>
      <c r="G2371" s="2">
        <f>VALUE(452.4640581519)</f>
        <v>452.46405815190002</v>
      </c>
      <c r="H2371" s="3">
        <f>VALUE(359.9460800221)</f>
        <v>359.94608002209998</v>
      </c>
      <c r="I2371" s="1">
        <f>VALUE(2786)</f>
        <v>2786</v>
      </c>
      <c r="J2371" s="1">
        <f>VALUE(3183)</f>
        <v>3183</v>
      </c>
      <c r="K2371" s="1">
        <f>VALUE(3389)</f>
        <v>3389</v>
      </c>
      <c r="L2371" s="1">
        <f>VALUE(3832)</f>
        <v>3832</v>
      </c>
      <c r="M2371" s="1">
        <f>VALUE(4440)</f>
        <v>4440</v>
      </c>
      <c r="N2371" t="s">
        <v>25</v>
      </c>
    </row>
    <row r="2372" spans="1:14" x14ac:dyDescent="0.25">
      <c r="A2372" t="s">
        <v>14</v>
      </c>
      <c r="B2372" t="s">
        <v>40</v>
      </c>
      <c r="C2372" t="s">
        <v>37</v>
      </c>
      <c r="D2372" t="s">
        <v>31</v>
      </c>
      <c r="E2372" t="s">
        <v>26</v>
      </c>
      <c r="F2372" t="s">
        <v>15</v>
      </c>
      <c r="G2372" s="1" t="str">
        <f t="shared" ref="G2372:M2374" si="492">"X"</f>
        <v>X</v>
      </c>
      <c r="H2372" s="1" t="str">
        <f t="shared" si="492"/>
        <v>X</v>
      </c>
      <c r="I2372" s="1" t="str">
        <f t="shared" si="492"/>
        <v>X</v>
      </c>
      <c r="J2372" s="1" t="str">
        <f t="shared" si="492"/>
        <v>X</v>
      </c>
      <c r="K2372" s="1" t="str">
        <f t="shared" si="492"/>
        <v>X</v>
      </c>
      <c r="L2372" s="1" t="str">
        <f t="shared" si="492"/>
        <v>X</v>
      </c>
      <c r="M2372" s="1" t="str">
        <f t="shared" si="492"/>
        <v>X</v>
      </c>
      <c r="N2372" t="s">
        <v>27</v>
      </c>
    </row>
    <row r="2373" spans="1:14" x14ac:dyDescent="0.25">
      <c r="A2373" t="s">
        <v>14</v>
      </c>
      <c r="B2373" t="s">
        <v>40</v>
      </c>
      <c r="C2373" t="s">
        <v>37</v>
      </c>
      <c r="D2373" t="s">
        <v>31</v>
      </c>
      <c r="E2373" t="s">
        <v>26</v>
      </c>
      <c r="F2373" t="s">
        <v>17</v>
      </c>
      <c r="G2373" s="1" t="str">
        <f t="shared" si="492"/>
        <v>X</v>
      </c>
      <c r="H2373" s="1" t="str">
        <f t="shared" si="492"/>
        <v>X</v>
      </c>
      <c r="I2373" s="1" t="str">
        <f t="shared" si="492"/>
        <v>X</v>
      </c>
      <c r="J2373" s="1" t="str">
        <f t="shared" si="492"/>
        <v>X</v>
      </c>
      <c r="K2373" s="1" t="str">
        <f t="shared" si="492"/>
        <v>X</v>
      </c>
      <c r="L2373" s="1" t="str">
        <f t="shared" si="492"/>
        <v>X</v>
      </c>
      <c r="M2373" s="1" t="str">
        <f t="shared" si="492"/>
        <v>X</v>
      </c>
      <c r="N2373" t="s">
        <v>27</v>
      </c>
    </row>
    <row r="2374" spans="1:14" x14ac:dyDescent="0.25">
      <c r="A2374" t="s">
        <v>14</v>
      </c>
      <c r="B2374" t="s">
        <v>40</v>
      </c>
      <c r="C2374" t="s">
        <v>37</v>
      </c>
      <c r="D2374" t="s">
        <v>31</v>
      </c>
      <c r="E2374" t="s">
        <v>26</v>
      </c>
      <c r="F2374" t="s">
        <v>18</v>
      </c>
      <c r="G2374" s="1" t="str">
        <f t="shared" si="492"/>
        <v>X</v>
      </c>
      <c r="H2374" s="1" t="str">
        <f t="shared" si="492"/>
        <v>X</v>
      </c>
      <c r="I2374" s="1" t="str">
        <f t="shared" si="492"/>
        <v>X</v>
      </c>
      <c r="J2374" s="1" t="str">
        <f t="shared" si="492"/>
        <v>X</v>
      </c>
      <c r="K2374" s="1" t="str">
        <f t="shared" si="492"/>
        <v>X</v>
      </c>
      <c r="L2374" s="1" t="str">
        <f t="shared" si="492"/>
        <v>X</v>
      </c>
      <c r="M2374" s="1" t="str">
        <f t="shared" si="492"/>
        <v>X</v>
      </c>
      <c r="N2374" t="s">
        <v>27</v>
      </c>
    </row>
    <row r="2375" spans="1:14" x14ac:dyDescent="0.25">
      <c r="A2375" t="s">
        <v>14</v>
      </c>
      <c r="B2375" t="s">
        <v>40</v>
      </c>
      <c r="C2375" t="s">
        <v>37</v>
      </c>
      <c r="D2375" t="s">
        <v>31</v>
      </c>
      <c r="E2375" t="s">
        <v>26</v>
      </c>
      <c r="F2375" t="s">
        <v>19</v>
      </c>
      <c r="G2375" s="1" t="str">
        <f t="shared" ref="G2375:M2375" si="493">"..."</f>
        <v>...</v>
      </c>
      <c r="H2375" s="1" t="str">
        <f t="shared" si="493"/>
        <v>...</v>
      </c>
      <c r="I2375" s="1" t="str">
        <f t="shared" si="493"/>
        <v>...</v>
      </c>
      <c r="J2375" s="1" t="str">
        <f t="shared" si="493"/>
        <v>...</v>
      </c>
      <c r="K2375" s="1" t="str">
        <f t="shared" si="493"/>
        <v>...</v>
      </c>
      <c r="L2375" s="1" t="str">
        <f t="shared" si="493"/>
        <v>...</v>
      </c>
      <c r="M2375" s="1" t="str">
        <f t="shared" si="493"/>
        <v>...</v>
      </c>
      <c r="N2375" t="s">
        <v>30</v>
      </c>
    </row>
    <row r="2376" spans="1:14" x14ac:dyDescent="0.25">
      <c r="A2376" t="s">
        <v>14</v>
      </c>
      <c r="B2376" t="s">
        <v>40</v>
      </c>
      <c r="C2376" t="s">
        <v>37</v>
      </c>
      <c r="D2376" t="s">
        <v>31</v>
      </c>
      <c r="E2376" t="s">
        <v>26</v>
      </c>
      <c r="F2376" t="s">
        <v>20</v>
      </c>
      <c r="G2376" s="1" t="str">
        <f t="shared" ref="G2376:M2376" si="494">"X"</f>
        <v>X</v>
      </c>
      <c r="H2376" s="1" t="str">
        <f t="shared" si="494"/>
        <v>X</v>
      </c>
      <c r="I2376" s="1" t="str">
        <f t="shared" si="494"/>
        <v>X</v>
      </c>
      <c r="J2376" s="1" t="str">
        <f t="shared" si="494"/>
        <v>X</v>
      </c>
      <c r="K2376" s="1" t="str">
        <f t="shared" si="494"/>
        <v>X</v>
      </c>
      <c r="L2376" s="1" t="str">
        <f t="shared" si="494"/>
        <v>X</v>
      </c>
      <c r="M2376" s="1" t="str">
        <f t="shared" si="494"/>
        <v>X</v>
      </c>
      <c r="N2376" t="s">
        <v>27</v>
      </c>
    </row>
    <row r="2377" spans="1:14" x14ac:dyDescent="0.25">
      <c r="A2377" t="s">
        <v>14</v>
      </c>
      <c r="B2377" t="s">
        <v>40</v>
      </c>
      <c r="C2377" t="s">
        <v>37</v>
      </c>
      <c r="D2377" t="s">
        <v>32</v>
      </c>
      <c r="E2377" t="s">
        <v>15</v>
      </c>
      <c r="F2377" t="s">
        <v>15</v>
      </c>
      <c r="G2377" s="1">
        <f>VALUE(6794.8383673805)</f>
        <v>6794.8383673805001</v>
      </c>
      <c r="H2377" s="1">
        <f>VALUE(5857.0687150573)</f>
        <v>5857.0687150573003</v>
      </c>
      <c r="I2377" s="1">
        <f>VALUE(2596)</f>
        <v>2596</v>
      </c>
      <c r="J2377" s="1">
        <f>VALUE(3005)</f>
        <v>3005</v>
      </c>
      <c r="K2377" s="1">
        <f>VALUE(3700)</f>
        <v>3700</v>
      </c>
      <c r="L2377" s="1">
        <f>VALUE(4875)</f>
        <v>4875</v>
      </c>
      <c r="M2377" s="1">
        <f>VALUE(6524)</f>
        <v>6524</v>
      </c>
      <c r="N2377" t="s">
        <v>16</v>
      </c>
    </row>
    <row r="2378" spans="1:14" x14ac:dyDescent="0.25">
      <c r="A2378" t="s">
        <v>14</v>
      </c>
      <c r="B2378" t="s">
        <v>40</v>
      </c>
      <c r="C2378" t="s">
        <v>37</v>
      </c>
      <c r="D2378" t="s">
        <v>32</v>
      </c>
      <c r="E2378" t="s">
        <v>15</v>
      </c>
      <c r="F2378" t="s">
        <v>17</v>
      </c>
      <c r="G2378" s="2">
        <f>VALUE(415.6986197996)</f>
        <v>415.69861979960001</v>
      </c>
      <c r="H2378" s="3">
        <f>VALUE(360.0861975642)</f>
        <v>360.08619756420001</v>
      </c>
      <c r="I2378" s="1">
        <f>VALUE(4333)</f>
        <v>4333</v>
      </c>
      <c r="J2378" s="5">
        <f>VALUE(5691)</f>
        <v>5691</v>
      </c>
      <c r="K2378" s="1">
        <f>VALUE(7068)</f>
        <v>7068</v>
      </c>
      <c r="L2378" s="7">
        <f>VALUE(9002)</f>
        <v>9002</v>
      </c>
      <c r="M2378" s="8">
        <f>VALUE(11087)</f>
        <v>11087</v>
      </c>
      <c r="N2378" t="s">
        <v>25</v>
      </c>
    </row>
    <row r="2379" spans="1:14" x14ac:dyDescent="0.25">
      <c r="A2379" t="s">
        <v>14</v>
      </c>
      <c r="B2379" t="s">
        <v>40</v>
      </c>
      <c r="C2379" t="s">
        <v>37</v>
      </c>
      <c r="D2379" t="s">
        <v>32</v>
      </c>
      <c r="E2379" t="s">
        <v>15</v>
      </c>
      <c r="F2379" t="s">
        <v>18</v>
      </c>
      <c r="G2379" s="2">
        <f>VALUE(466.3178165887)</f>
        <v>466.3178165887</v>
      </c>
      <c r="H2379" s="3">
        <f>VALUE(418.0520423196)</f>
        <v>418.05204231959999</v>
      </c>
      <c r="I2379" s="1">
        <f>VALUE(3527)</f>
        <v>3527</v>
      </c>
      <c r="J2379" s="1">
        <f>VALUE(4028)</f>
        <v>4028</v>
      </c>
      <c r="K2379" s="1">
        <f>VALUE(5124)</f>
        <v>5124</v>
      </c>
      <c r="L2379" s="1">
        <f>VALUE(6683)</f>
        <v>6683</v>
      </c>
      <c r="M2379" s="1">
        <f>VALUE(8000)</f>
        <v>8000</v>
      </c>
      <c r="N2379" t="s">
        <v>25</v>
      </c>
    </row>
    <row r="2380" spans="1:14" x14ac:dyDescent="0.25">
      <c r="A2380" t="s">
        <v>14</v>
      </c>
      <c r="B2380" t="s">
        <v>40</v>
      </c>
      <c r="C2380" t="s">
        <v>37</v>
      </c>
      <c r="D2380" t="s">
        <v>32</v>
      </c>
      <c r="E2380" t="s">
        <v>15</v>
      </c>
      <c r="F2380" t="s">
        <v>19</v>
      </c>
      <c r="G2380" s="2">
        <f>VALUE(540.7818835119)</f>
        <v>540.78188351189999</v>
      </c>
      <c r="H2380" s="3">
        <f>VALUE(479.0993077476)</f>
        <v>479.09930774759999</v>
      </c>
      <c r="I2380" s="1">
        <f>VALUE(3154)</f>
        <v>3154</v>
      </c>
      <c r="J2380" s="1">
        <f>VALUE(3612)</f>
        <v>3612</v>
      </c>
      <c r="K2380" s="1">
        <f>VALUE(4384)</f>
        <v>4384</v>
      </c>
      <c r="L2380" s="1">
        <f>VALUE(6050)</f>
        <v>6050</v>
      </c>
      <c r="M2380" s="1">
        <f>VALUE(7399)</f>
        <v>7399</v>
      </c>
      <c r="N2380" t="s">
        <v>25</v>
      </c>
    </row>
    <row r="2381" spans="1:14" x14ac:dyDescent="0.25">
      <c r="A2381" t="s">
        <v>14</v>
      </c>
      <c r="B2381" t="s">
        <v>40</v>
      </c>
      <c r="C2381" t="s">
        <v>37</v>
      </c>
      <c r="D2381" t="s">
        <v>32</v>
      </c>
      <c r="E2381" t="s">
        <v>15</v>
      </c>
      <c r="F2381" t="s">
        <v>20</v>
      </c>
      <c r="G2381" s="1">
        <f>VALUE(5372.0400474803)</f>
        <v>5372.0400474803</v>
      </c>
      <c r="H2381" s="1">
        <f>VALUE(4599.8311674259)</f>
        <v>4599.8311674259003</v>
      </c>
      <c r="I2381" s="1">
        <f>VALUE(2545)</f>
        <v>2545</v>
      </c>
      <c r="J2381" s="1">
        <f>VALUE(2873)</f>
        <v>2873</v>
      </c>
      <c r="K2381" s="1">
        <f>VALUE(3436)</f>
        <v>3436</v>
      </c>
      <c r="L2381" s="1">
        <f>VALUE(4333)</f>
        <v>4333</v>
      </c>
      <c r="M2381" s="1">
        <f>VALUE(5375)</f>
        <v>5375</v>
      </c>
      <c r="N2381" t="s">
        <v>16</v>
      </c>
    </row>
    <row r="2382" spans="1:14" x14ac:dyDescent="0.25">
      <c r="A2382" t="s">
        <v>14</v>
      </c>
      <c r="B2382" t="s">
        <v>40</v>
      </c>
      <c r="C2382" t="s">
        <v>37</v>
      </c>
      <c r="D2382" t="s">
        <v>32</v>
      </c>
      <c r="E2382" t="s">
        <v>21</v>
      </c>
      <c r="F2382" t="s">
        <v>15</v>
      </c>
      <c r="G2382" s="2">
        <f>VALUE(893.0742976069)</f>
        <v>893.07429760690002</v>
      </c>
      <c r="H2382" s="3">
        <f>VALUE(778.7431116012)</f>
        <v>778.74311160119998</v>
      </c>
      <c r="I2382" s="1">
        <f>VALUE(4024)</f>
        <v>4024</v>
      </c>
      <c r="J2382" s="1">
        <f>VALUE(4762)</f>
        <v>4762</v>
      </c>
      <c r="K2382" s="1">
        <f>VALUE(5960)</f>
        <v>5960</v>
      </c>
      <c r="L2382" s="1">
        <f>VALUE(7626)</f>
        <v>7626</v>
      </c>
      <c r="M2382" s="8">
        <f>VALUE(9475)</f>
        <v>9475</v>
      </c>
      <c r="N2382" t="s">
        <v>25</v>
      </c>
    </row>
    <row r="2383" spans="1:14" x14ac:dyDescent="0.25">
      <c r="A2383" t="s">
        <v>14</v>
      </c>
      <c r="B2383" t="s">
        <v>40</v>
      </c>
      <c r="C2383" t="s">
        <v>37</v>
      </c>
      <c r="D2383" t="s">
        <v>32</v>
      </c>
      <c r="E2383" t="s">
        <v>21</v>
      </c>
      <c r="F2383" t="s">
        <v>17</v>
      </c>
      <c r="G2383" s="2">
        <f>VALUE(274.4058904499)</f>
        <v>274.40589044990003</v>
      </c>
      <c r="H2383" s="3">
        <f>VALUE(236.9717717083)</f>
        <v>236.9717717083</v>
      </c>
      <c r="I2383" s="4">
        <f>VALUE(4341)</f>
        <v>4341</v>
      </c>
      <c r="J2383" s="1">
        <f>VALUE(5691)</f>
        <v>5691</v>
      </c>
      <c r="K2383" s="6">
        <f>VALUE(7576)</f>
        <v>7576</v>
      </c>
      <c r="L2383" s="1">
        <f>VALUE(9635)</f>
        <v>9635</v>
      </c>
      <c r="M2383" s="8">
        <f>VALUE(12339)</f>
        <v>12339</v>
      </c>
      <c r="N2383" t="s">
        <v>25</v>
      </c>
    </row>
    <row r="2384" spans="1:14" x14ac:dyDescent="0.25">
      <c r="A2384" t="s">
        <v>14</v>
      </c>
      <c r="B2384" t="s">
        <v>40</v>
      </c>
      <c r="C2384" t="s">
        <v>37</v>
      </c>
      <c r="D2384" t="s">
        <v>32</v>
      </c>
      <c r="E2384" t="s">
        <v>21</v>
      </c>
      <c r="F2384" t="s">
        <v>18</v>
      </c>
      <c r="G2384" s="2">
        <f>VALUE(201.2196917098)</f>
        <v>201.2196917098</v>
      </c>
      <c r="H2384" s="3">
        <f>VALUE(175.7233774834)</f>
        <v>175.72337748339999</v>
      </c>
      <c r="I2384" s="1">
        <f>VALUE(3943)</f>
        <v>3943</v>
      </c>
      <c r="J2384" s="5">
        <f>VALUE(4875)</f>
        <v>4875</v>
      </c>
      <c r="K2384" s="1">
        <f>VALUE(5887)</f>
        <v>5887</v>
      </c>
      <c r="L2384" s="1">
        <f>VALUE(7394)</f>
        <v>7394</v>
      </c>
      <c r="M2384" s="1">
        <f>VALUE(8236)</f>
        <v>8236</v>
      </c>
      <c r="N2384" t="s">
        <v>25</v>
      </c>
    </row>
    <row r="2385" spans="1:14" x14ac:dyDescent="0.25">
      <c r="A2385" t="s">
        <v>14</v>
      </c>
      <c r="B2385" t="s">
        <v>40</v>
      </c>
      <c r="C2385" t="s">
        <v>37</v>
      </c>
      <c r="D2385" t="s">
        <v>32</v>
      </c>
      <c r="E2385" t="s">
        <v>21</v>
      </c>
      <c r="F2385" t="s">
        <v>19</v>
      </c>
      <c r="G2385" s="1" t="str">
        <f t="shared" ref="G2385:M2385" si="495">"X"</f>
        <v>X</v>
      </c>
      <c r="H2385" s="1" t="str">
        <f t="shared" si="495"/>
        <v>X</v>
      </c>
      <c r="I2385" s="1" t="str">
        <f t="shared" si="495"/>
        <v>X</v>
      </c>
      <c r="J2385" s="1" t="str">
        <f t="shared" si="495"/>
        <v>X</v>
      </c>
      <c r="K2385" s="1" t="str">
        <f t="shared" si="495"/>
        <v>X</v>
      </c>
      <c r="L2385" s="1" t="str">
        <f t="shared" si="495"/>
        <v>X</v>
      </c>
      <c r="M2385" s="1" t="str">
        <f t="shared" si="495"/>
        <v>X</v>
      </c>
      <c r="N2385" t="s">
        <v>27</v>
      </c>
    </row>
    <row r="2386" spans="1:14" x14ac:dyDescent="0.25">
      <c r="A2386" t="s">
        <v>14</v>
      </c>
      <c r="B2386" t="s">
        <v>40</v>
      </c>
      <c r="C2386" t="s">
        <v>37</v>
      </c>
      <c r="D2386" t="s">
        <v>32</v>
      </c>
      <c r="E2386" t="s">
        <v>21</v>
      </c>
      <c r="F2386" t="s">
        <v>20</v>
      </c>
      <c r="G2386" s="2">
        <f>VALUE(328.7388665363)</f>
        <v>328.73886653630001</v>
      </c>
      <c r="H2386" s="3">
        <f>VALUE(292.5819728921)</f>
        <v>292.5819728921</v>
      </c>
      <c r="I2386" s="4">
        <f>VALUE(3714)</f>
        <v>3714</v>
      </c>
      <c r="J2386" s="1">
        <f>VALUE(4338)</f>
        <v>4338</v>
      </c>
      <c r="K2386" s="1">
        <f>VALUE(5204)</f>
        <v>5204</v>
      </c>
      <c r="L2386" s="1">
        <f>VALUE(6609)</f>
        <v>6609</v>
      </c>
      <c r="M2386" s="1">
        <f>VALUE(7362)</f>
        <v>7362</v>
      </c>
      <c r="N2386" t="s">
        <v>25</v>
      </c>
    </row>
    <row r="2387" spans="1:14" x14ac:dyDescent="0.25">
      <c r="A2387" t="s">
        <v>14</v>
      </c>
      <c r="B2387" t="s">
        <v>40</v>
      </c>
      <c r="C2387" t="s">
        <v>37</v>
      </c>
      <c r="D2387" t="s">
        <v>32</v>
      </c>
      <c r="E2387" t="s">
        <v>22</v>
      </c>
      <c r="F2387" t="s">
        <v>15</v>
      </c>
      <c r="G2387" s="1">
        <f>VALUE(1375.7716811575)</f>
        <v>1375.7716811575001</v>
      </c>
      <c r="H2387" s="1">
        <f>VALUE(1209.7709038631)</f>
        <v>1209.7709038631001</v>
      </c>
      <c r="I2387" s="4">
        <f>VALUE(2545)</f>
        <v>2545</v>
      </c>
      <c r="J2387" s="5">
        <f>VALUE(3665)</f>
        <v>3665</v>
      </c>
      <c r="K2387" s="1">
        <f>VALUE(4589)</f>
        <v>4589</v>
      </c>
      <c r="L2387" s="1">
        <f>VALUE(5765)</f>
        <v>5765</v>
      </c>
      <c r="M2387" s="1">
        <f>VALUE(7267)</f>
        <v>7267</v>
      </c>
      <c r="N2387" t="s">
        <v>25</v>
      </c>
    </row>
    <row r="2388" spans="1:14" x14ac:dyDescent="0.25">
      <c r="A2388" t="s">
        <v>14</v>
      </c>
      <c r="B2388" t="s">
        <v>40</v>
      </c>
      <c r="C2388" t="s">
        <v>37</v>
      </c>
      <c r="D2388" t="s">
        <v>32</v>
      </c>
      <c r="E2388" t="s">
        <v>22</v>
      </c>
      <c r="F2388" t="s">
        <v>17</v>
      </c>
      <c r="G2388" s="1" t="str">
        <f t="shared" ref="G2388:M2388" si="496">"X"</f>
        <v>X</v>
      </c>
      <c r="H2388" s="1" t="str">
        <f t="shared" si="496"/>
        <v>X</v>
      </c>
      <c r="I2388" s="1" t="str">
        <f t="shared" si="496"/>
        <v>X</v>
      </c>
      <c r="J2388" s="1" t="str">
        <f t="shared" si="496"/>
        <v>X</v>
      </c>
      <c r="K2388" s="1" t="str">
        <f t="shared" si="496"/>
        <v>X</v>
      </c>
      <c r="L2388" s="1" t="str">
        <f t="shared" si="496"/>
        <v>X</v>
      </c>
      <c r="M2388" s="1" t="str">
        <f t="shared" si="496"/>
        <v>X</v>
      </c>
      <c r="N2388" t="s">
        <v>27</v>
      </c>
    </row>
    <row r="2389" spans="1:14" x14ac:dyDescent="0.25">
      <c r="A2389" t="s">
        <v>14</v>
      </c>
      <c r="B2389" t="s">
        <v>40</v>
      </c>
      <c r="C2389" t="s">
        <v>37</v>
      </c>
      <c r="D2389" t="s">
        <v>32</v>
      </c>
      <c r="E2389" t="s">
        <v>22</v>
      </c>
      <c r="F2389" t="s">
        <v>18</v>
      </c>
      <c r="G2389" s="2">
        <f>VALUE(163.6275027563)</f>
        <v>163.6275027563</v>
      </c>
      <c r="H2389" s="3">
        <f>VALUE(153.691077951)</f>
        <v>153.69107795100001</v>
      </c>
      <c r="I2389" s="1">
        <f>VALUE(3627)</f>
        <v>3627</v>
      </c>
      <c r="J2389" s="1">
        <f>VALUE(4000)</f>
        <v>4000</v>
      </c>
      <c r="K2389" s="1">
        <f>VALUE(5124)</f>
        <v>5124</v>
      </c>
      <c r="L2389" s="1">
        <f>VALUE(6653)</f>
        <v>6653</v>
      </c>
      <c r="M2389" s="1">
        <f>VALUE(7733)</f>
        <v>7733</v>
      </c>
      <c r="N2389" t="s">
        <v>25</v>
      </c>
    </row>
    <row r="2390" spans="1:14" x14ac:dyDescent="0.25">
      <c r="A2390" t="s">
        <v>14</v>
      </c>
      <c r="B2390" t="s">
        <v>40</v>
      </c>
      <c r="C2390" t="s">
        <v>37</v>
      </c>
      <c r="D2390" t="s">
        <v>32</v>
      </c>
      <c r="E2390" t="s">
        <v>22</v>
      </c>
      <c r="F2390" t="s">
        <v>19</v>
      </c>
      <c r="G2390" s="2">
        <f>VALUE(222.7842463742)</f>
        <v>222.78424637419999</v>
      </c>
      <c r="H2390" s="3">
        <f>VALUE(198.8323357865)</f>
        <v>198.83233578650001</v>
      </c>
      <c r="I2390" s="1">
        <f>VALUE(3365)</f>
        <v>3365</v>
      </c>
      <c r="J2390" s="5">
        <f>VALUE(4100)</f>
        <v>4100</v>
      </c>
      <c r="K2390" s="1">
        <f>VALUE(4975)</f>
        <v>4975</v>
      </c>
      <c r="L2390" s="1">
        <f>VALUE(6524)</f>
        <v>6524</v>
      </c>
      <c r="M2390" s="1">
        <f>VALUE(7674)</f>
        <v>7674</v>
      </c>
      <c r="N2390" t="s">
        <v>25</v>
      </c>
    </row>
    <row r="2391" spans="1:14" x14ac:dyDescent="0.25">
      <c r="A2391" t="s">
        <v>14</v>
      </c>
      <c r="B2391" t="s">
        <v>40</v>
      </c>
      <c r="C2391" t="s">
        <v>37</v>
      </c>
      <c r="D2391" t="s">
        <v>32</v>
      </c>
      <c r="E2391" t="s">
        <v>22</v>
      </c>
      <c r="F2391" t="s">
        <v>20</v>
      </c>
      <c r="G2391" s="1">
        <f>VALUE(898.9220482332)</f>
        <v>898.92204823320003</v>
      </c>
      <c r="H2391" s="1">
        <f>VALUE(778.3713459913)</f>
        <v>778.37134599130002</v>
      </c>
      <c r="I2391" s="1">
        <f>VALUE(2395)</f>
        <v>2395</v>
      </c>
      <c r="J2391" s="1">
        <f>VALUE(3313)</f>
        <v>3313</v>
      </c>
      <c r="K2391" s="1">
        <f>VALUE(4199)</f>
        <v>4199</v>
      </c>
      <c r="L2391" s="1">
        <f>VALUE(5363)</f>
        <v>5363</v>
      </c>
      <c r="M2391" s="1">
        <f>VALUE(6091)</f>
        <v>6091</v>
      </c>
      <c r="N2391" t="s">
        <v>16</v>
      </c>
    </row>
    <row r="2392" spans="1:14" x14ac:dyDescent="0.25">
      <c r="A2392" t="s">
        <v>14</v>
      </c>
      <c r="B2392" t="s">
        <v>40</v>
      </c>
      <c r="C2392" t="s">
        <v>37</v>
      </c>
      <c r="D2392" t="s">
        <v>32</v>
      </c>
      <c r="E2392" t="s">
        <v>23</v>
      </c>
      <c r="F2392" t="s">
        <v>15</v>
      </c>
      <c r="G2392" s="1">
        <f>VALUE(4436.7170947134)</f>
        <v>4436.7170947134</v>
      </c>
      <c r="H2392" s="1">
        <f>VALUE(3787.9648037444)</f>
        <v>3787.9648037443999</v>
      </c>
      <c r="I2392" s="1">
        <f>VALUE(2562)</f>
        <v>2562</v>
      </c>
      <c r="J2392" s="1">
        <f>VALUE(2847)</f>
        <v>2847</v>
      </c>
      <c r="K2392" s="1">
        <f>VALUE(3319)</f>
        <v>3319</v>
      </c>
      <c r="L2392" s="1">
        <f>VALUE(4007)</f>
        <v>4007</v>
      </c>
      <c r="M2392" s="1">
        <f>VALUE(4803)</f>
        <v>4803</v>
      </c>
      <c r="N2392" t="s">
        <v>16</v>
      </c>
    </row>
    <row r="2393" spans="1:14" x14ac:dyDescent="0.25">
      <c r="A2393" t="s">
        <v>14</v>
      </c>
      <c r="B2393" t="s">
        <v>40</v>
      </c>
      <c r="C2393" t="s">
        <v>37</v>
      </c>
      <c r="D2393" t="s">
        <v>32</v>
      </c>
      <c r="E2393" t="s">
        <v>23</v>
      </c>
      <c r="F2393" t="s">
        <v>17</v>
      </c>
      <c r="G2393" s="1" t="str">
        <f t="shared" ref="G2393:M2394" si="497">"X"</f>
        <v>X</v>
      </c>
      <c r="H2393" s="1" t="str">
        <f t="shared" si="497"/>
        <v>X</v>
      </c>
      <c r="I2393" s="1" t="str">
        <f t="shared" si="497"/>
        <v>X</v>
      </c>
      <c r="J2393" s="1" t="str">
        <f t="shared" si="497"/>
        <v>X</v>
      </c>
      <c r="K2393" s="1" t="str">
        <f t="shared" si="497"/>
        <v>X</v>
      </c>
      <c r="L2393" s="1" t="str">
        <f t="shared" si="497"/>
        <v>X</v>
      </c>
      <c r="M2393" s="1" t="str">
        <f t="shared" si="497"/>
        <v>X</v>
      </c>
      <c r="N2393" t="s">
        <v>27</v>
      </c>
    </row>
    <row r="2394" spans="1:14" x14ac:dyDescent="0.25">
      <c r="A2394" t="s">
        <v>14</v>
      </c>
      <c r="B2394" t="s">
        <v>40</v>
      </c>
      <c r="C2394" t="s">
        <v>37</v>
      </c>
      <c r="D2394" t="s">
        <v>32</v>
      </c>
      <c r="E2394" t="s">
        <v>23</v>
      </c>
      <c r="F2394" t="s">
        <v>18</v>
      </c>
      <c r="G2394" s="1" t="str">
        <f t="shared" si="497"/>
        <v>X</v>
      </c>
      <c r="H2394" s="1" t="str">
        <f t="shared" si="497"/>
        <v>X</v>
      </c>
      <c r="I2394" s="1" t="str">
        <f t="shared" si="497"/>
        <v>X</v>
      </c>
      <c r="J2394" s="1" t="str">
        <f t="shared" si="497"/>
        <v>X</v>
      </c>
      <c r="K2394" s="1" t="str">
        <f t="shared" si="497"/>
        <v>X</v>
      </c>
      <c r="L2394" s="1" t="str">
        <f t="shared" si="497"/>
        <v>X</v>
      </c>
      <c r="M2394" s="1" t="str">
        <f t="shared" si="497"/>
        <v>X</v>
      </c>
      <c r="N2394" t="s">
        <v>27</v>
      </c>
    </row>
    <row r="2395" spans="1:14" x14ac:dyDescent="0.25">
      <c r="A2395" t="s">
        <v>14</v>
      </c>
      <c r="B2395" t="s">
        <v>40</v>
      </c>
      <c r="C2395" t="s">
        <v>37</v>
      </c>
      <c r="D2395" t="s">
        <v>32</v>
      </c>
      <c r="E2395" t="s">
        <v>23</v>
      </c>
      <c r="F2395" t="s">
        <v>19</v>
      </c>
      <c r="G2395" s="2">
        <f>VALUE(229.2877882268)</f>
        <v>229.28778822679999</v>
      </c>
      <c r="H2395" s="3">
        <f>VALUE(206.8009824437)</f>
        <v>206.80098244370001</v>
      </c>
      <c r="I2395" s="1">
        <f>VALUE(3000)</f>
        <v>3000</v>
      </c>
      <c r="J2395" s="1">
        <f>VALUE(3347)</f>
        <v>3347</v>
      </c>
      <c r="K2395" s="1">
        <f>VALUE(3810)</f>
        <v>3810</v>
      </c>
      <c r="L2395" s="1">
        <f>VALUE(4229)</f>
        <v>4229</v>
      </c>
      <c r="M2395" s="1">
        <f>VALUE(5695)</f>
        <v>5695</v>
      </c>
      <c r="N2395" t="s">
        <v>25</v>
      </c>
    </row>
    <row r="2396" spans="1:14" x14ac:dyDescent="0.25">
      <c r="A2396" t="s">
        <v>14</v>
      </c>
      <c r="B2396" t="s">
        <v>40</v>
      </c>
      <c r="C2396" t="s">
        <v>37</v>
      </c>
      <c r="D2396" t="s">
        <v>32</v>
      </c>
      <c r="E2396" t="s">
        <v>23</v>
      </c>
      <c r="F2396" t="s">
        <v>20</v>
      </c>
      <c r="G2396" s="1">
        <f>VALUE(4058.0715428512)</f>
        <v>4058.0715428511999</v>
      </c>
      <c r="H2396" s="1">
        <f>VALUE(3451.3212329172)</f>
        <v>3451.3212329172002</v>
      </c>
      <c r="I2396" s="1">
        <f>VALUE(2549)</f>
        <v>2549</v>
      </c>
      <c r="J2396" s="1">
        <f>VALUE(2811)</f>
        <v>2811</v>
      </c>
      <c r="K2396" s="1">
        <f>VALUE(3266)</f>
        <v>3266</v>
      </c>
      <c r="L2396" s="1">
        <f>VALUE(3958)</f>
        <v>3958</v>
      </c>
      <c r="M2396" s="1">
        <f>VALUE(4666)</f>
        <v>4666</v>
      </c>
      <c r="N2396" t="s">
        <v>16</v>
      </c>
    </row>
    <row r="2397" spans="1:14" x14ac:dyDescent="0.25">
      <c r="A2397" t="s">
        <v>14</v>
      </c>
      <c r="B2397" t="s">
        <v>40</v>
      </c>
      <c r="C2397" t="s">
        <v>37</v>
      </c>
      <c r="D2397" t="s">
        <v>32</v>
      </c>
      <c r="E2397" t="s">
        <v>26</v>
      </c>
      <c r="F2397" t="s">
        <v>15</v>
      </c>
      <c r="G2397" s="1" t="str">
        <f t="shared" ref="G2397:M2399" si="498">"X"</f>
        <v>X</v>
      </c>
      <c r="H2397" s="1" t="str">
        <f t="shared" si="498"/>
        <v>X</v>
      </c>
      <c r="I2397" s="1" t="str">
        <f t="shared" si="498"/>
        <v>X</v>
      </c>
      <c r="J2397" s="1" t="str">
        <f t="shared" si="498"/>
        <v>X</v>
      </c>
      <c r="K2397" s="1" t="str">
        <f t="shared" si="498"/>
        <v>X</v>
      </c>
      <c r="L2397" s="1" t="str">
        <f t="shared" si="498"/>
        <v>X</v>
      </c>
      <c r="M2397" s="1" t="str">
        <f t="shared" si="498"/>
        <v>X</v>
      </c>
      <c r="N2397" t="s">
        <v>27</v>
      </c>
    </row>
    <row r="2398" spans="1:14" x14ac:dyDescent="0.25">
      <c r="A2398" t="s">
        <v>14</v>
      </c>
      <c r="B2398" t="s">
        <v>40</v>
      </c>
      <c r="C2398" t="s">
        <v>37</v>
      </c>
      <c r="D2398" t="s">
        <v>32</v>
      </c>
      <c r="E2398" t="s">
        <v>26</v>
      </c>
      <c r="F2398" t="s">
        <v>17</v>
      </c>
      <c r="G2398" s="1" t="str">
        <f t="shared" si="498"/>
        <v>X</v>
      </c>
      <c r="H2398" s="1" t="str">
        <f t="shared" si="498"/>
        <v>X</v>
      </c>
      <c r="I2398" s="1" t="str">
        <f t="shared" si="498"/>
        <v>X</v>
      </c>
      <c r="J2398" s="1" t="str">
        <f t="shared" si="498"/>
        <v>X</v>
      </c>
      <c r="K2398" s="1" t="str">
        <f t="shared" si="498"/>
        <v>X</v>
      </c>
      <c r="L2398" s="1" t="str">
        <f t="shared" si="498"/>
        <v>X</v>
      </c>
      <c r="M2398" s="1" t="str">
        <f t="shared" si="498"/>
        <v>X</v>
      </c>
      <c r="N2398" t="s">
        <v>27</v>
      </c>
    </row>
    <row r="2399" spans="1:14" x14ac:dyDescent="0.25">
      <c r="A2399" t="s">
        <v>14</v>
      </c>
      <c r="B2399" t="s">
        <v>40</v>
      </c>
      <c r="C2399" t="s">
        <v>37</v>
      </c>
      <c r="D2399" t="s">
        <v>32</v>
      </c>
      <c r="E2399" t="s">
        <v>26</v>
      </c>
      <c r="F2399" t="s">
        <v>18</v>
      </c>
      <c r="G2399" s="1" t="str">
        <f t="shared" si="498"/>
        <v>X</v>
      </c>
      <c r="H2399" s="1" t="str">
        <f t="shared" si="498"/>
        <v>X</v>
      </c>
      <c r="I2399" s="1" t="str">
        <f t="shared" si="498"/>
        <v>X</v>
      </c>
      <c r="J2399" s="1" t="str">
        <f t="shared" si="498"/>
        <v>X</v>
      </c>
      <c r="K2399" s="1" t="str">
        <f t="shared" si="498"/>
        <v>X</v>
      </c>
      <c r="L2399" s="1" t="str">
        <f t="shared" si="498"/>
        <v>X</v>
      </c>
      <c r="M2399" s="1" t="str">
        <f t="shared" si="498"/>
        <v>X</v>
      </c>
      <c r="N2399" t="s">
        <v>27</v>
      </c>
    </row>
    <row r="2400" spans="1:14" x14ac:dyDescent="0.25">
      <c r="A2400" t="s">
        <v>14</v>
      </c>
      <c r="B2400" t="s">
        <v>40</v>
      </c>
      <c r="C2400" t="s">
        <v>37</v>
      </c>
      <c r="D2400" t="s">
        <v>32</v>
      </c>
      <c r="E2400" t="s">
        <v>26</v>
      </c>
      <c r="F2400" t="s">
        <v>19</v>
      </c>
      <c r="G2400" s="1" t="str">
        <f t="shared" ref="G2400:M2400" si="499">"..."</f>
        <v>...</v>
      </c>
      <c r="H2400" s="1" t="str">
        <f t="shared" si="499"/>
        <v>...</v>
      </c>
      <c r="I2400" s="1" t="str">
        <f t="shared" si="499"/>
        <v>...</v>
      </c>
      <c r="J2400" s="1" t="str">
        <f t="shared" si="499"/>
        <v>...</v>
      </c>
      <c r="K2400" s="1" t="str">
        <f t="shared" si="499"/>
        <v>...</v>
      </c>
      <c r="L2400" s="1" t="str">
        <f t="shared" si="499"/>
        <v>...</v>
      </c>
      <c r="M2400" s="1" t="str">
        <f t="shared" si="499"/>
        <v>...</v>
      </c>
      <c r="N2400" t="s">
        <v>30</v>
      </c>
    </row>
    <row r="2401" spans="1:14" x14ac:dyDescent="0.25">
      <c r="A2401" t="s">
        <v>14</v>
      </c>
      <c r="B2401" t="s">
        <v>40</v>
      </c>
      <c r="C2401" t="s">
        <v>37</v>
      </c>
      <c r="D2401" t="s">
        <v>32</v>
      </c>
      <c r="E2401" t="s">
        <v>26</v>
      </c>
      <c r="F2401" t="s">
        <v>20</v>
      </c>
      <c r="G2401" s="1" t="str">
        <f t="shared" ref="G2401:M2401" si="500">"X"</f>
        <v>X</v>
      </c>
      <c r="H2401" s="1" t="str">
        <f t="shared" si="500"/>
        <v>X</v>
      </c>
      <c r="I2401" s="1" t="str">
        <f t="shared" si="500"/>
        <v>X</v>
      </c>
      <c r="J2401" s="1" t="str">
        <f t="shared" si="500"/>
        <v>X</v>
      </c>
      <c r="K2401" s="1" t="str">
        <f t="shared" si="500"/>
        <v>X</v>
      </c>
      <c r="L2401" s="1" t="str">
        <f t="shared" si="500"/>
        <v>X</v>
      </c>
      <c r="M2401" s="1" t="str">
        <f t="shared" si="500"/>
        <v>X</v>
      </c>
      <c r="N2401" t="s">
        <v>27</v>
      </c>
    </row>
    <row r="2402" spans="1:14" x14ac:dyDescent="0.25">
      <c r="A2402" t="s">
        <v>14</v>
      </c>
      <c r="B2402" t="s">
        <v>40</v>
      </c>
      <c r="C2402" t="s">
        <v>37</v>
      </c>
      <c r="D2402" t="s">
        <v>33</v>
      </c>
      <c r="E2402" t="s">
        <v>15</v>
      </c>
      <c r="F2402" t="s">
        <v>15</v>
      </c>
      <c r="G2402" s="2">
        <f>VALUE(186.3814998513)</f>
        <v>186.38149985129999</v>
      </c>
      <c r="H2402" s="3">
        <f>VALUE(147.8034818517)</f>
        <v>147.80348185170001</v>
      </c>
      <c r="I2402" s="1">
        <f>VALUE(3135)</f>
        <v>3135</v>
      </c>
      <c r="J2402" s="1">
        <f>VALUE(3545)</f>
        <v>3545</v>
      </c>
      <c r="K2402" s="6">
        <f>VALUE(4318)</f>
        <v>4318</v>
      </c>
      <c r="L2402" s="7">
        <f>VALUE(5952)</f>
        <v>5952</v>
      </c>
      <c r="M2402" s="8">
        <f>VALUE(7535)</f>
        <v>7535</v>
      </c>
      <c r="N2402" t="s">
        <v>25</v>
      </c>
    </row>
    <row r="2403" spans="1:14" x14ac:dyDescent="0.25">
      <c r="A2403" t="s">
        <v>14</v>
      </c>
      <c r="B2403" t="s">
        <v>40</v>
      </c>
      <c r="C2403" t="s">
        <v>37</v>
      </c>
      <c r="D2403" t="s">
        <v>33</v>
      </c>
      <c r="E2403" t="s">
        <v>15</v>
      </c>
      <c r="F2403" t="s">
        <v>17</v>
      </c>
      <c r="G2403" s="1" t="str">
        <f t="shared" ref="G2403:M2412" si="501">"X"</f>
        <v>X</v>
      </c>
      <c r="H2403" s="1" t="str">
        <f t="shared" si="501"/>
        <v>X</v>
      </c>
      <c r="I2403" s="1" t="str">
        <f t="shared" si="501"/>
        <v>X</v>
      </c>
      <c r="J2403" s="1" t="str">
        <f t="shared" si="501"/>
        <v>X</v>
      </c>
      <c r="K2403" s="1" t="str">
        <f t="shared" si="501"/>
        <v>X</v>
      </c>
      <c r="L2403" s="1" t="str">
        <f t="shared" si="501"/>
        <v>X</v>
      </c>
      <c r="M2403" s="1" t="str">
        <f t="shared" si="501"/>
        <v>X</v>
      </c>
      <c r="N2403" t="s">
        <v>27</v>
      </c>
    </row>
    <row r="2404" spans="1:14" x14ac:dyDescent="0.25">
      <c r="A2404" t="s">
        <v>14</v>
      </c>
      <c r="B2404" t="s">
        <v>40</v>
      </c>
      <c r="C2404" t="s">
        <v>37</v>
      </c>
      <c r="D2404" t="s">
        <v>33</v>
      </c>
      <c r="E2404" t="s">
        <v>15</v>
      </c>
      <c r="F2404" t="s">
        <v>18</v>
      </c>
      <c r="G2404" s="1" t="str">
        <f t="shared" si="501"/>
        <v>X</v>
      </c>
      <c r="H2404" s="1" t="str">
        <f t="shared" si="501"/>
        <v>X</v>
      </c>
      <c r="I2404" s="1" t="str">
        <f t="shared" si="501"/>
        <v>X</v>
      </c>
      <c r="J2404" s="1" t="str">
        <f t="shared" si="501"/>
        <v>X</v>
      </c>
      <c r="K2404" s="1" t="str">
        <f t="shared" si="501"/>
        <v>X</v>
      </c>
      <c r="L2404" s="1" t="str">
        <f t="shared" si="501"/>
        <v>X</v>
      </c>
      <c r="M2404" s="1" t="str">
        <f t="shared" si="501"/>
        <v>X</v>
      </c>
      <c r="N2404" t="s">
        <v>27</v>
      </c>
    </row>
    <row r="2405" spans="1:14" x14ac:dyDescent="0.25">
      <c r="A2405" t="s">
        <v>14</v>
      </c>
      <c r="B2405" t="s">
        <v>40</v>
      </c>
      <c r="C2405" t="s">
        <v>37</v>
      </c>
      <c r="D2405" t="s">
        <v>33</v>
      </c>
      <c r="E2405" t="s">
        <v>15</v>
      </c>
      <c r="F2405" t="s">
        <v>19</v>
      </c>
      <c r="G2405" s="1" t="str">
        <f t="shared" si="501"/>
        <v>X</v>
      </c>
      <c r="H2405" s="1" t="str">
        <f t="shared" si="501"/>
        <v>X</v>
      </c>
      <c r="I2405" s="1" t="str">
        <f t="shared" si="501"/>
        <v>X</v>
      </c>
      <c r="J2405" s="1" t="str">
        <f t="shared" si="501"/>
        <v>X</v>
      </c>
      <c r="K2405" s="1" t="str">
        <f t="shared" si="501"/>
        <v>X</v>
      </c>
      <c r="L2405" s="1" t="str">
        <f t="shared" si="501"/>
        <v>X</v>
      </c>
      <c r="M2405" s="1" t="str">
        <f t="shared" si="501"/>
        <v>X</v>
      </c>
      <c r="N2405" t="s">
        <v>27</v>
      </c>
    </row>
    <row r="2406" spans="1:14" x14ac:dyDescent="0.25">
      <c r="A2406" t="s">
        <v>14</v>
      </c>
      <c r="B2406" t="s">
        <v>40</v>
      </c>
      <c r="C2406" t="s">
        <v>37</v>
      </c>
      <c r="D2406" t="s">
        <v>33</v>
      </c>
      <c r="E2406" t="s">
        <v>15</v>
      </c>
      <c r="F2406" t="s">
        <v>20</v>
      </c>
      <c r="G2406" s="1" t="str">
        <f t="shared" si="501"/>
        <v>X</v>
      </c>
      <c r="H2406" s="1" t="str">
        <f t="shared" si="501"/>
        <v>X</v>
      </c>
      <c r="I2406" s="1" t="str">
        <f t="shared" si="501"/>
        <v>X</v>
      </c>
      <c r="J2406" s="1" t="str">
        <f t="shared" si="501"/>
        <v>X</v>
      </c>
      <c r="K2406" s="1" t="str">
        <f t="shared" si="501"/>
        <v>X</v>
      </c>
      <c r="L2406" s="1" t="str">
        <f t="shared" si="501"/>
        <v>X</v>
      </c>
      <c r="M2406" s="1" t="str">
        <f t="shared" si="501"/>
        <v>X</v>
      </c>
      <c r="N2406" t="s">
        <v>27</v>
      </c>
    </row>
    <row r="2407" spans="1:14" x14ac:dyDescent="0.25">
      <c r="A2407" t="s">
        <v>14</v>
      </c>
      <c r="B2407" t="s">
        <v>40</v>
      </c>
      <c r="C2407" t="s">
        <v>37</v>
      </c>
      <c r="D2407" t="s">
        <v>33</v>
      </c>
      <c r="E2407" t="s">
        <v>21</v>
      </c>
      <c r="F2407" t="s">
        <v>15</v>
      </c>
      <c r="G2407" s="1" t="str">
        <f t="shared" si="501"/>
        <v>X</v>
      </c>
      <c r="H2407" s="1" t="str">
        <f t="shared" si="501"/>
        <v>X</v>
      </c>
      <c r="I2407" s="1" t="str">
        <f t="shared" si="501"/>
        <v>X</v>
      </c>
      <c r="J2407" s="1" t="str">
        <f t="shared" si="501"/>
        <v>X</v>
      </c>
      <c r="K2407" s="1" t="str">
        <f t="shared" si="501"/>
        <v>X</v>
      </c>
      <c r="L2407" s="1" t="str">
        <f t="shared" si="501"/>
        <v>X</v>
      </c>
      <c r="M2407" s="1" t="str">
        <f t="shared" si="501"/>
        <v>X</v>
      </c>
      <c r="N2407" t="s">
        <v>27</v>
      </c>
    </row>
    <row r="2408" spans="1:14" x14ac:dyDescent="0.25">
      <c r="A2408" t="s">
        <v>14</v>
      </c>
      <c r="B2408" t="s">
        <v>40</v>
      </c>
      <c r="C2408" t="s">
        <v>37</v>
      </c>
      <c r="D2408" t="s">
        <v>33</v>
      </c>
      <c r="E2408" t="s">
        <v>21</v>
      </c>
      <c r="F2408" t="s">
        <v>17</v>
      </c>
      <c r="G2408" s="1" t="str">
        <f t="shared" si="501"/>
        <v>X</v>
      </c>
      <c r="H2408" s="1" t="str">
        <f t="shared" si="501"/>
        <v>X</v>
      </c>
      <c r="I2408" s="1" t="str">
        <f t="shared" si="501"/>
        <v>X</v>
      </c>
      <c r="J2408" s="1" t="str">
        <f t="shared" si="501"/>
        <v>X</v>
      </c>
      <c r="K2408" s="1" t="str">
        <f t="shared" si="501"/>
        <v>X</v>
      </c>
      <c r="L2408" s="1" t="str">
        <f t="shared" si="501"/>
        <v>X</v>
      </c>
      <c r="M2408" s="1" t="str">
        <f t="shared" si="501"/>
        <v>X</v>
      </c>
      <c r="N2408" t="s">
        <v>27</v>
      </c>
    </row>
    <row r="2409" spans="1:14" x14ac:dyDescent="0.25">
      <c r="A2409" t="s">
        <v>14</v>
      </c>
      <c r="B2409" t="s">
        <v>40</v>
      </c>
      <c r="C2409" t="s">
        <v>37</v>
      </c>
      <c r="D2409" t="s">
        <v>33</v>
      </c>
      <c r="E2409" t="s">
        <v>21</v>
      </c>
      <c r="F2409" t="s">
        <v>18</v>
      </c>
      <c r="G2409" s="1" t="str">
        <f t="shared" si="501"/>
        <v>X</v>
      </c>
      <c r="H2409" s="1" t="str">
        <f t="shared" si="501"/>
        <v>X</v>
      </c>
      <c r="I2409" s="1" t="str">
        <f t="shared" si="501"/>
        <v>X</v>
      </c>
      <c r="J2409" s="1" t="str">
        <f t="shared" si="501"/>
        <v>X</v>
      </c>
      <c r="K2409" s="1" t="str">
        <f t="shared" si="501"/>
        <v>X</v>
      </c>
      <c r="L2409" s="1" t="str">
        <f t="shared" si="501"/>
        <v>X</v>
      </c>
      <c r="M2409" s="1" t="str">
        <f t="shared" si="501"/>
        <v>X</v>
      </c>
      <c r="N2409" t="s">
        <v>27</v>
      </c>
    </row>
    <row r="2410" spans="1:14" x14ac:dyDescent="0.25">
      <c r="A2410" t="s">
        <v>14</v>
      </c>
      <c r="B2410" t="s">
        <v>40</v>
      </c>
      <c r="C2410" t="s">
        <v>37</v>
      </c>
      <c r="D2410" t="s">
        <v>33</v>
      </c>
      <c r="E2410" t="s">
        <v>21</v>
      </c>
      <c r="F2410" t="s">
        <v>19</v>
      </c>
      <c r="G2410" s="1" t="str">
        <f t="shared" si="501"/>
        <v>X</v>
      </c>
      <c r="H2410" s="1" t="str">
        <f t="shared" si="501"/>
        <v>X</v>
      </c>
      <c r="I2410" s="1" t="str">
        <f t="shared" si="501"/>
        <v>X</v>
      </c>
      <c r="J2410" s="1" t="str">
        <f t="shared" si="501"/>
        <v>X</v>
      </c>
      <c r="K2410" s="1" t="str">
        <f t="shared" si="501"/>
        <v>X</v>
      </c>
      <c r="L2410" s="1" t="str">
        <f t="shared" si="501"/>
        <v>X</v>
      </c>
      <c r="M2410" s="1" t="str">
        <f t="shared" si="501"/>
        <v>X</v>
      </c>
      <c r="N2410" t="s">
        <v>27</v>
      </c>
    </row>
    <row r="2411" spans="1:14" x14ac:dyDescent="0.25">
      <c r="A2411" t="s">
        <v>14</v>
      </c>
      <c r="B2411" t="s">
        <v>40</v>
      </c>
      <c r="C2411" t="s">
        <v>37</v>
      </c>
      <c r="D2411" t="s">
        <v>33</v>
      </c>
      <c r="E2411" t="s">
        <v>21</v>
      </c>
      <c r="F2411" t="s">
        <v>20</v>
      </c>
      <c r="G2411" s="1" t="str">
        <f t="shared" si="501"/>
        <v>X</v>
      </c>
      <c r="H2411" s="1" t="str">
        <f t="shared" si="501"/>
        <v>X</v>
      </c>
      <c r="I2411" s="1" t="str">
        <f t="shared" si="501"/>
        <v>X</v>
      </c>
      <c r="J2411" s="1" t="str">
        <f t="shared" si="501"/>
        <v>X</v>
      </c>
      <c r="K2411" s="1" t="str">
        <f t="shared" si="501"/>
        <v>X</v>
      </c>
      <c r="L2411" s="1" t="str">
        <f t="shared" si="501"/>
        <v>X</v>
      </c>
      <c r="M2411" s="1" t="str">
        <f t="shared" si="501"/>
        <v>X</v>
      </c>
      <c r="N2411" t="s">
        <v>27</v>
      </c>
    </row>
    <row r="2412" spans="1:14" x14ac:dyDescent="0.25">
      <c r="A2412" t="s">
        <v>14</v>
      </c>
      <c r="B2412" t="s">
        <v>40</v>
      </c>
      <c r="C2412" t="s">
        <v>37</v>
      </c>
      <c r="D2412" t="s">
        <v>33</v>
      </c>
      <c r="E2412" t="s">
        <v>22</v>
      </c>
      <c r="F2412" t="s">
        <v>15</v>
      </c>
      <c r="G2412" s="1" t="str">
        <f t="shared" si="501"/>
        <v>X</v>
      </c>
      <c r="H2412" s="1" t="str">
        <f t="shared" si="501"/>
        <v>X</v>
      </c>
      <c r="I2412" s="1" t="str">
        <f t="shared" si="501"/>
        <v>X</v>
      </c>
      <c r="J2412" s="1" t="str">
        <f t="shared" si="501"/>
        <v>X</v>
      </c>
      <c r="K2412" s="1" t="str">
        <f t="shared" si="501"/>
        <v>X</v>
      </c>
      <c r="L2412" s="1" t="str">
        <f t="shared" si="501"/>
        <v>X</v>
      </c>
      <c r="M2412" s="1" t="str">
        <f t="shared" si="501"/>
        <v>X</v>
      </c>
      <c r="N2412" t="s">
        <v>27</v>
      </c>
    </row>
    <row r="2413" spans="1:14" x14ac:dyDescent="0.25">
      <c r="A2413" t="s">
        <v>14</v>
      </c>
      <c r="B2413" t="s">
        <v>40</v>
      </c>
      <c r="C2413" t="s">
        <v>37</v>
      </c>
      <c r="D2413" t="s">
        <v>33</v>
      </c>
      <c r="E2413" t="s">
        <v>22</v>
      </c>
      <c r="F2413" t="s">
        <v>17</v>
      </c>
      <c r="G2413" s="1" t="str">
        <f t="shared" ref="G2413:M2413" si="502">"..."</f>
        <v>...</v>
      </c>
      <c r="H2413" s="1" t="str">
        <f t="shared" si="502"/>
        <v>...</v>
      </c>
      <c r="I2413" s="1" t="str">
        <f t="shared" si="502"/>
        <v>...</v>
      </c>
      <c r="J2413" s="1" t="str">
        <f t="shared" si="502"/>
        <v>...</v>
      </c>
      <c r="K2413" s="1" t="str">
        <f t="shared" si="502"/>
        <v>...</v>
      </c>
      <c r="L2413" s="1" t="str">
        <f t="shared" si="502"/>
        <v>...</v>
      </c>
      <c r="M2413" s="1" t="str">
        <f t="shared" si="502"/>
        <v>...</v>
      </c>
      <c r="N2413" t="s">
        <v>30</v>
      </c>
    </row>
    <row r="2414" spans="1:14" x14ac:dyDescent="0.25">
      <c r="A2414" t="s">
        <v>14</v>
      </c>
      <c r="B2414" t="s">
        <v>40</v>
      </c>
      <c r="C2414" t="s">
        <v>37</v>
      </c>
      <c r="D2414" t="s">
        <v>33</v>
      </c>
      <c r="E2414" t="s">
        <v>22</v>
      </c>
      <c r="F2414" t="s">
        <v>18</v>
      </c>
      <c r="G2414" s="1" t="str">
        <f t="shared" ref="G2414:M2417" si="503">"X"</f>
        <v>X</v>
      </c>
      <c r="H2414" s="1" t="str">
        <f t="shared" si="503"/>
        <v>X</v>
      </c>
      <c r="I2414" s="1" t="str">
        <f t="shared" si="503"/>
        <v>X</v>
      </c>
      <c r="J2414" s="1" t="str">
        <f t="shared" si="503"/>
        <v>X</v>
      </c>
      <c r="K2414" s="1" t="str">
        <f t="shared" si="503"/>
        <v>X</v>
      </c>
      <c r="L2414" s="1" t="str">
        <f t="shared" si="503"/>
        <v>X</v>
      </c>
      <c r="M2414" s="1" t="str">
        <f t="shared" si="503"/>
        <v>X</v>
      </c>
      <c r="N2414" t="s">
        <v>27</v>
      </c>
    </row>
    <row r="2415" spans="1:14" x14ac:dyDescent="0.25">
      <c r="A2415" t="s">
        <v>14</v>
      </c>
      <c r="B2415" t="s">
        <v>40</v>
      </c>
      <c r="C2415" t="s">
        <v>37</v>
      </c>
      <c r="D2415" t="s">
        <v>33</v>
      </c>
      <c r="E2415" t="s">
        <v>22</v>
      </c>
      <c r="F2415" t="s">
        <v>19</v>
      </c>
      <c r="G2415" s="1" t="str">
        <f t="shared" si="503"/>
        <v>X</v>
      </c>
      <c r="H2415" s="1" t="str">
        <f t="shared" si="503"/>
        <v>X</v>
      </c>
      <c r="I2415" s="1" t="str">
        <f t="shared" si="503"/>
        <v>X</v>
      </c>
      <c r="J2415" s="1" t="str">
        <f t="shared" si="503"/>
        <v>X</v>
      </c>
      <c r="K2415" s="1" t="str">
        <f t="shared" si="503"/>
        <v>X</v>
      </c>
      <c r="L2415" s="1" t="str">
        <f t="shared" si="503"/>
        <v>X</v>
      </c>
      <c r="M2415" s="1" t="str">
        <f t="shared" si="503"/>
        <v>X</v>
      </c>
      <c r="N2415" t="s">
        <v>27</v>
      </c>
    </row>
    <row r="2416" spans="1:14" x14ac:dyDescent="0.25">
      <c r="A2416" t="s">
        <v>14</v>
      </c>
      <c r="B2416" t="s">
        <v>40</v>
      </c>
      <c r="C2416" t="s">
        <v>37</v>
      </c>
      <c r="D2416" t="s">
        <v>33</v>
      </c>
      <c r="E2416" t="s">
        <v>22</v>
      </c>
      <c r="F2416" t="s">
        <v>20</v>
      </c>
      <c r="G2416" s="1" t="str">
        <f t="shared" si="503"/>
        <v>X</v>
      </c>
      <c r="H2416" s="1" t="str">
        <f t="shared" si="503"/>
        <v>X</v>
      </c>
      <c r="I2416" s="1" t="str">
        <f t="shared" si="503"/>
        <v>X</v>
      </c>
      <c r="J2416" s="1" t="str">
        <f t="shared" si="503"/>
        <v>X</v>
      </c>
      <c r="K2416" s="1" t="str">
        <f t="shared" si="503"/>
        <v>X</v>
      </c>
      <c r="L2416" s="1" t="str">
        <f t="shared" si="503"/>
        <v>X</v>
      </c>
      <c r="M2416" s="1" t="str">
        <f t="shared" si="503"/>
        <v>X</v>
      </c>
      <c r="N2416" t="s">
        <v>27</v>
      </c>
    </row>
    <row r="2417" spans="1:14" x14ac:dyDescent="0.25">
      <c r="A2417" t="s">
        <v>14</v>
      </c>
      <c r="B2417" t="s">
        <v>40</v>
      </c>
      <c r="C2417" t="s">
        <v>37</v>
      </c>
      <c r="D2417" t="s">
        <v>33</v>
      </c>
      <c r="E2417" t="s">
        <v>23</v>
      </c>
      <c r="F2417" t="s">
        <v>15</v>
      </c>
      <c r="G2417" s="1" t="str">
        <f t="shared" si="503"/>
        <v>X</v>
      </c>
      <c r="H2417" s="1" t="str">
        <f t="shared" si="503"/>
        <v>X</v>
      </c>
      <c r="I2417" s="1" t="str">
        <f t="shared" si="503"/>
        <v>X</v>
      </c>
      <c r="J2417" s="1" t="str">
        <f t="shared" si="503"/>
        <v>X</v>
      </c>
      <c r="K2417" s="1" t="str">
        <f t="shared" si="503"/>
        <v>X</v>
      </c>
      <c r="L2417" s="1" t="str">
        <f t="shared" si="503"/>
        <v>X</v>
      </c>
      <c r="M2417" s="1" t="str">
        <f t="shared" si="503"/>
        <v>X</v>
      </c>
      <c r="N2417" t="s">
        <v>27</v>
      </c>
    </row>
    <row r="2418" spans="1:14" x14ac:dyDescent="0.25">
      <c r="A2418" t="s">
        <v>14</v>
      </c>
      <c r="B2418" t="s">
        <v>40</v>
      </c>
      <c r="C2418" t="s">
        <v>37</v>
      </c>
      <c r="D2418" t="s">
        <v>33</v>
      </c>
      <c r="E2418" t="s">
        <v>23</v>
      </c>
      <c r="F2418" t="s">
        <v>17</v>
      </c>
      <c r="G2418" s="1" t="str">
        <f t="shared" ref="G2418:M2418" si="504">"..."</f>
        <v>...</v>
      </c>
      <c r="H2418" s="1" t="str">
        <f t="shared" si="504"/>
        <v>...</v>
      </c>
      <c r="I2418" s="1" t="str">
        <f t="shared" si="504"/>
        <v>...</v>
      </c>
      <c r="J2418" s="1" t="str">
        <f t="shared" si="504"/>
        <v>...</v>
      </c>
      <c r="K2418" s="1" t="str">
        <f t="shared" si="504"/>
        <v>...</v>
      </c>
      <c r="L2418" s="1" t="str">
        <f t="shared" si="504"/>
        <v>...</v>
      </c>
      <c r="M2418" s="1" t="str">
        <f t="shared" si="504"/>
        <v>...</v>
      </c>
      <c r="N2418" t="s">
        <v>30</v>
      </c>
    </row>
    <row r="2419" spans="1:14" x14ac:dyDescent="0.25">
      <c r="A2419" t="s">
        <v>14</v>
      </c>
      <c r="B2419" t="s">
        <v>40</v>
      </c>
      <c r="C2419" t="s">
        <v>37</v>
      </c>
      <c r="D2419" t="s">
        <v>33</v>
      </c>
      <c r="E2419" t="s">
        <v>23</v>
      </c>
      <c r="F2419" t="s">
        <v>18</v>
      </c>
      <c r="G2419" s="1" t="str">
        <f t="shared" ref="G2419:M2419" si="505">"X"</f>
        <v>X</v>
      </c>
      <c r="H2419" s="1" t="str">
        <f t="shared" si="505"/>
        <v>X</v>
      </c>
      <c r="I2419" s="1" t="str">
        <f t="shared" si="505"/>
        <v>X</v>
      </c>
      <c r="J2419" s="1" t="str">
        <f t="shared" si="505"/>
        <v>X</v>
      </c>
      <c r="K2419" s="1" t="str">
        <f t="shared" si="505"/>
        <v>X</v>
      </c>
      <c r="L2419" s="1" t="str">
        <f t="shared" si="505"/>
        <v>X</v>
      </c>
      <c r="M2419" s="1" t="str">
        <f t="shared" si="505"/>
        <v>X</v>
      </c>
      <c r="N2419" t="s">
        <v>27</v>
      </c>
    </row>
    <row r="2420" spans="1:14" x14ac:dyDescent="0.25">
      <c r="A2420" t="s">
        <v>14</v>
      </c>
      <c r="B2420" t="s">
        <v>40</v>
      </c>
      <c r="C2420" t="s">
        <v>37</v>
      </c>
      <c r="D2420" t="s">
        <v>33</v>
      </c>
      <c r="E2420" t="s">
        <v>23</v>
      </c>
      <c r="F2420" t="s">
        <v>19</v>
      </c>
      <c r="G2420" s="1" t="str">
        <f t="shared" ref="G2420:M2420" si="506">"..."</f>
        <v>...</v>
      </c>
      <c r="H2420" s="1" t="str">
        <f t="shared" si="506"/>
        <v>...</v>
      </c>
      <c r="I2420" s="1" t="str">
        <f t="shared" si="506"/>
        <v>...</v>
      </c>
      <c r="J2420" s="1" t="str">
        <f t="shared" si="506"/>
        <v>...</v>
      </c>
      <c r="K2420" s="1" t="str">
        <f t="shared" si="506"/>
        <v>...</v>
      </c>
      <c r="L2420" s="1" t="str">
        <f t="shared" si="506"/>
        <v>...</v>
      </c>
      <c r="M2420" s="1" t="str">
        <f t="shared" si="506"/>
        <v>...</v>
      </c>
      <c r="N2420" t="s">
        <v>30</v>
      </c>
    </row>
    <row r="2421" spans="1:14" x14ac:dyDescent="0.25">
      <c r="A2421" t="s">
        <v>14</v>
      </c>
      <c r="B2421" t="s">
        <v>40</v>
      </c>
      <c r="C2421" t="s">
        <v>37</v>
      </c>
      <c r="D2421" t="s">
        <v>33</v>
      </c>
      <c r="E2421" t="s">
        <v>23</v>
      </c>
      <c r="F2421" t="s">
        <v>20</v>
      </c>
      <c r="G2421" s="1" t="str">
        <f t="shared" ref="G2421:M2421" si="507">"X"</f>
        <v>X</v>
      </c>
      <c r="H2421" s="1" t="str">
        <f t="shared" si="507"/>
        <v>X</v>
      </c>
      <c r="I2421" s="1" t="str">
        <f t="shared" si="507"/>
        <v>X</v>
      </c>
      <c r="J2421" s="1" t="str">
        <f t="shared" si="507"/>
        <v>X</v>
      </c>
      <c r="K2421" s="1" t="str">
        <f t="shared" si="507"/>
        <v>X</v>
      </c>
      <c r="L2421" s="1" t="str">
        <f t="shared" si="507"/>
        <v>X</v>
      </c>
      <c r="M2421" s="1" t="str">
        <f t="shared" si="507"/>
        <v>X</v>
      </c>
      <c r="N2421" t="s">
        <v>27</v>
      </c>
    </row>
    <row r="2422" spans="1:14" x14ac:dyDescent="0.25">
      <c r="A2422" t="s">
        <v>14</v>
      </c>
      <c r="B2422" t="s">
        <v>40</v>
      </c>
      <c r="C2422" t="s">
        <v>37</v>
      </c>
      <c r="D2422" t="s">
        <v>33</v>
      </c>
      <c r="E2422" t="s">
        <v>26</v>
      </c>
      <c r="F2422" t="s">
        <v>15</v>
      </c>
      <c r="G2422" s="1" t="str">
        <f t="shared" ref="G2422:M2426" si="508">"..."</f>
        <v>...</v>
      </c>
      <c r="H2422" s="1" t="str">
        <f t="shared" si="508"/>
        <v>...</v>
      </c>
      <c r="I2422" s="1" t="str">
        <f t="shared" si="508"/>
        <v>...</v>
      </c>
      <c r="J2422" s="1" t="str">
        <f t="shared" si="508"/>
        <v>...</v>
      </c>
      <c r="K2422" s="1" t="str">
        <f t="shared" si="508"/>
        <v>...</v>
      </c>
      <c r="L2422" s="1" t="str">
        <f t="shared" si="508"/>
        <v>...</v>
      </c>
      <c r="M2422" s="1" t="str">
        <f t="shared" si="508"/>
        <v>...</v>
      </c>
      <c r="N2422" t="s">
        <v>30</v>
      </c>
    </row>
    <row r="2423" spans="1:14" x14ac:dyDescent="0.25">
      <c r="A2423" t="s">
        <v>14</v>
      </c>
      <c r="B2423" t="s">
        <v>40</v>
      </c>
      <c r="C2423" t="s">
        <v>37</v>
      </c>
      <c r="D2423" t="s">
        <v>33</v>
      </c>
      <c r="E2423" t="s">
        <v>26</v>
      </c>
      <c r="F2423" t="s">
        <v>17</v>
      </c>
      <c r="G2423" s="1" t="str">
        <f t="shared" si="508"/>
        <v>...</v>
      </c>
      <c r="H2423" s="1" t="str">
        <f t="shared" si="508"/>
        <v>...</v>
      </c>
      <c r="I2423" s="1" t="str">
        <f t="shared" si="508"/>
        <v>...</v>
      </c>
      <c r="J2423" s="1" t="str">
        <f t="shared" si="508"/>
        <v>...</v>
      </c>
      <c r="K2423" s="1" t="str">
        <f t="shared" si="508"/>
        <v>...</v>
      </c>
      <c r="L2423" s="1" t="str">
        <f t="shared" si="508"/>
        <v>...</v>
      </c>
      <c r="M2423" s="1" t="str">
        <f t="shared" si="508"/>
        <v>...</v>
      </c>
      <c r="N2423" t="s">
        <v>30</v>
      </c>
    </row>
    <row r="2424" spans="1:14" x14ac:dyDescent="0.25">
      <c r="A2424" t="s">
        <v>14</v>
      </c>
      <c r="B2424" t="s">
        <v>40</v>
      </c>
      <c r="C2424" t="s">
        <v>37</v>
      </c>
      <c r="D2424" t="s">
        <v>33</v>
      </c>
      <c r="E2424" t="s">
        <v>26</v>
      </c>
      <c r="F2424" t="s">
        <v>18</v>
      </c>
      <c r="G2424" s="1" t="str">
        <f t="shared" si="508"/>
        <v>...</v>
      </c>
      <c r="H2424" s="1" t="str">
        <f t="shared" si="508"/>
        <v>...</v>
      </c>
      <c r="I2424" s="1" t="str">
        <f t="shared" si="508"/>
        <v>...</v>
      </c>
      <c r="J2424" s="1" t="str">
        <f t="shared" si="508"/>
        <v>...</v>
      </c>
      <c r="K2424" s="1" t="str">
        <f t="shared" si="508"/>
        <v>...</v>
      </c>
      <c r="L2424" s="1" t="str">
        <f t="shared" si="508"/>
        <v>...</v>
      </c>
      <c r="M2424" s="1" t="str">
        <f t="shared" si="508"/>
        <v>...</v>
      </c>
      <c r="N2424" t="s">
        <v>30</v>
      </c>
    </row>
    <row r="2425" spans="1:14" x14ac:dyDescent="0.25">
      <c r="A2425" t="s">
        <v>14</v>
      </c>
      <c r="B2425" t="s">
        <v>40</v>
      </c>
      <c r="C2425" t="s">
        <v>37</v>
      </c>
      <c r="D2425" t="s">
        <v>33</v>
      </c>
      <c r="E2425" t="s">
        <v>26</v>
      </c>
      <c r="F2425" t="s">
        <v>19</v>
      </c>
      <c r="G2425" s="1" t="str">
        <f t="shared" si="508"/>
        <v>...</v>
      </c>
      <c r="H2425" s="1" t="str">
        <f t="shared" si="508"/>
        <v>...</v>
      </c>
      <c r="I2425" s="1" t="str">
        <f t="shared" si="508"/>
        <v>...</v>
      </c>
      <c r="J2425" s="1" t="str">
        <f t="shared" si="508"/>
        <v>...</v>
      </c>
      <c r="K2425" s="1" t="str">
        <f t="shared" si="508"/>
        <v>...</v>
      </c>
      <c r="L2425" s="1" t="str">
        <f t="shared" si="508"/>
        <v>...</v>
      </c>
      <c r="M2425" s="1" t="str">
        <f t="shared" si="508"/>
        <v>...</v>
      </c>
      <c r="N2425" t="s">
        <v>30</v>
      </c>
    </row>
    <row r="2426" spans="1:14" x14ac:dyDescent="0.25">
      <c r="A2426" t="s">
        <v>14</v>
      </c>
      <c r="B2426" t="s">
        <v>40</v>
      </c>
      <c r="C2426" t="s">
        <v>37</v>
      </c>
      <c r="D2426" t="s">
        <v>33</v>
      </c>
      <c r="E2426" t="s">
        <v>26</v>
      </c>
      <c r="F2426" t="s">
        <v>20</v>
      </c>
      <c r="G2426" s="1" t="str">
        <f t="shared" si="508"/>
        <v>...</v>
      </c>
      <c r="H2426" s="1" t="str">
        <f t="shared" si="508"/>
        <v>...</v>
      </c>
      <c r="I2426" s="1" t="str">
        <f t="shared" si="508"/>
        <v>...</v>
      </c>
      <c r="J2426" s="1" t="str">
        <f t="shared" si="508"/>
        <v>...</v>
      </c>
      <c r="K2426" s="1" t="str">
        <f t="shared" si="508"/>
        <v>...</v>
      </c>
      <c r="L2426" s="1" t="str">
        <f t="shared" si="508"/>
        <v>...</v>
      </c>
      <c r="M2426" s="1" t="str">
        <f t="shared" si="508"/>
        <v>...</v>
      </c>
      <c r="N2426" t="s">
        <v>30</v>
      </c>
    </row>
    <row r="2427" spans="1:14" x14ac:dyDescent="0.25">
      <c r="A2427" t="s">
        <v>14</v>
      </c>
      <c r="B2427" t="s">
        <v>40</v>
      </c>
      <c r="C2427" t="s">
        <v>37</v>
      </c>
      <c r="D2427" t="s">
        <v>34</v>
      </c>
      <c r="E2427" t="s">
        <v>15</v>
      </c>
      <c r="F2427" t="s">
        <v>15</v>
      </c>
      <c r="G2427" s="2">
        <f>VALUE(223.731558611)</f>
        <v>223.731558611</v>
      </c>
      <c r="H2427" s="3">
        <f>VALUE(179.694273307)</f>
        <v>179.694273307</v>
      </c>
      <c r="I2427" s="4">
        <f>VALUE(3810)</f>
        <v>3810</v>
      </c>
      <c r="J2427" s="1">
        <f>VALUE(4825)</f>
        <v>4825</v>
      </c>
      <c r="K2427" s="1">
        <f>VALUE(5674)</f>
        <v>5674</v>
      </c>
      <c r="L2427" s="1">
        <f>VALUE(6810)</f>
        <v>6810</v>
      </c>
      <c r="M2427" s="1">
        <f>VALUE(8214)</f>
        <v>8214</v>
      </c>
      <c r="N2427" t="s">
        <v>25</v>
      </c>
    </row>
    <row r="2428" spans="1:14" x14ac:dyDescent="0.25">
      <c r="A2428" t="s">
        <v>14</v>
      </c>
      <c r="B2428" t="s">
        <v>40</v>
      </c>
      <c r="C2428" t="s">
        <v>37</v>
      </c>
      <c r="D2428" t="s">
        <v>34</v>
      </c>
      <c r="E2428" t="s">
        <v>15</v>
      </c>
      <c r="F2428" t="s">
        <v>17</v>
      </c>
      <c r="G2428" s="1" t="str">
        <f t="shared" ref="G2428:M2430" si="509">"X"</f>
        <v>X</v>
      </c>
      <c r="H2428" s="1" t="str">
        <f t="shared" si="509"/>
        <v>X</v>
      </c>
      <c r="I2428" s="1" t="str">
        <f t="shared" si="509"/>
        <v>X</v>
      </c>
      <c r="J2428" s="1" t="str">
        <f t="shared" si="509"/>
        <v>X</v>
      </c>
      <c r="K2428" s="1" t="str">
        <f t="shared" si="509"/>
        <v>X</v>
      </c>
      <c r="L2428" s="1" t="str">
        <f t="shared" si="509"/>
        <v>X</v>
      </c>
      <c r="M2428" s="1" t="str">
        <f t="shared" si="509"/>
        <v>X</v>
      </c>
      <c r="N2428" t="s">
        <v>27</v>
      </c>
    </row>
    <row r="2429" spans="1:14" x14ac:dyDescent="0.25">
      <c r="A2429" t="s">
        <v>14</v>
      </c>
      <c r="B2429" t="s">
        <v>40</v>
      </c>
      <c r="C2429" t="s">
        <v>37</v>
      </c>
      <c r="D2429" t="s">
        <v>34</v>
      </c>
      <c r="E2429" t="s">
        <v>15</v>
      </c>
      <c r="F2429" t="s">
        <v>18</v>
      </c>
      <c r="G2429" s="1" t="str">
        <f t="shared" si="509"/>
        <v>X</v>
      </c>
      <c r="H2429" s="1" t="str">
        <f t="shared" si="509"/>
        <v>X</v>
      </c>
      <c r="I2429" s="1" t="str">
        <f t="shared" si="509"/>
        <v>X</v>
      </c>
      <c r="J2429" s="1" t="str">
        <f t="shared" si="509"/>
        <v>X</v>
      </c>
      <c r="K2429" s="1" t="str">
        <f t="shared" si="509"/>
        <v>X</v>
      </c>
      <c r="L2429" s="1" t="str">
        <f t="shared" si="509"/>
        <v>X</v>
      </c>
      <c r="M2429" s="1" t="str">
        <f t="shared" si="509"/>
        <v>X</v>
      </c>
      <c r="N2429" t="s">
        <v>27</v>
      </c>
    </row>
    <row r="2430" spans="1:14" x14ac:dyDescent="0.25">
      <c r="A2430" t="s">
        <v>14</v>
      </c>
      <c r="B2430" t="s">
        <v>40</v>
      </c>
      <c r="C2430" t="s">
        <v>37</v>
      </c>
      <c r="D2430" t="s">
        <v>34</v>
      </c>
      <c r="E2430" t="s">
        <v>15</v>
      </c>
      <c r="F2430" t="s">
        <v>19</v>
      </c>
      <c r="G2430" s="1" t="str">
        <f t="shared" si="509"/>
        <v>X</v>
      </c>
      <c r="H2430" s="1" t="str">
        <f t="shared" si="509"/>
        <v>X</v>
      </c>
      <c r="I2430" s="1" t="str">
        <f t="shared" si="509"/>
        <v>X</v>
      </c>
      <c r="J2430" s="1" t="str">
        <f t="shared" si="509"/>
        <v>X</v>
      </c>
      <c r="K2430" s="1" t="str">
        <f t="shared" si="509"/>
        <v>X</v>
      </c>
      <c r="L2430" s="1" t="str">
        <f t="shared" si="509"/>
        <v>X</v>
      </c>
      <c r="M2430" s="1" t="str">
        <f t="shared" si="509"/>
        <v>X</v>
      </c>
      <c r="N2430" t="s">
        <v>27</v>
      </c>
    </row>
    <row r="2431" spans="1:14" x14ac:dyDescent="0.25">
      <c r="A2431" t="s">
        <v>14</v>
      </c>
      <c r="B2431" t="s">
        <v>40</v>
      </c>
      <c r="C2431" t="s">
        <v>37</v>
      </c>
      <c r="D2431" t="s">
        <v>34</v>
      </c>
      <c r="E2431" t="s">
        <v>15</v>
      </c>
      <c r="F2431" t="s">
        <v>20</v>
      </c>
      <c r="G2431" s="2">
        <f>VALUE(174.8573203643)</f>
        <v>174.85732036429999</v>
      </c>
      <c r="H2431" s="3">
        <f>VALUE(135.2262409986)</f>
        <v>135.22624099859999</v>
      </c>
      <c r="I2431" s="4">
        <f>VALUE(3471)</f>
        <v>3471</v>
      </c>
      <c r="J2431" s="1">
        <f>VALUE(4683)</f>
        <v>4683</v>
      </c>
      <c r="K2431" s="1">
        <f>VALUE(5158)</f>
        <v>5158</v>
      </c>
      <c r="L2431" s="1">
        <f>VALUE(6349)</f>
        <v>6349</v>
      </c>
      <c r="M2431" s="1">
        <f>VALUE(7690)</f>
        <v>7690</v>
      </c>
      <c r="N2431" t="s">
        <v>25</v>
      </c>
    </row>
    <row r="2432" spans="1:14" x14ac:dyDescent="0.25">
      <c r="A2432" t="s">
        <v>14</v>
      </c>
      <c r="B2432" t="s">
        <v>40</v>
      </c>
      <c r="C2432" t="s">
        <v>37</v>
      </c>
      <c r="D2432" t="s">
        <v>34</v>
      </c>
      <c r="E2432" t="s">
        <v>21</v>
      </c>
      <c r="F2432" t="s">
        <v>15</v>
      </c>
      <c r="G2432" s="1" t="str">
        <f t="shared" ref="G2432:M2434" si="510">"X"</f>
        <v>X</v>
      </c>
      <c r="H2432" s="1" t="str">
        <f t="shared" si="510"/>
        <v>X</v>
      </c>
      <c r="I2432" s="1" t="str">
        <f t="shared" si="510"/>
        <v>X</v>
      </c>
      <c r="J2432" s="1" t="str">
        <f t="shared" si="510"/>
        <v>X</v>
      </c>
      <c r="K2432" s="1" t="str">
        <f t="shared" si="510"/>
        <v>X</v>
      </c>
      <c r="L2432" s="1" t="str">
        <f t="shared" si="510"/>
        <v>X</v>
      </c>
      <c r="M2432" s="1" t="str">
        <f t="shared" si="510"/>
        <v>X</v>
      </c>
      <c r="N2432" t="s">
        <v>27</v>
      </c>
    </row>
    <row r="2433" spans="1:14" x14ac:dyDescent="0.25">
      <c r="A2433" t="s">
        <v>14</v>
      </c>
      <c r="B2433" t="s">
        <v>40</v>
      </c>
      <c r="C2433" t="s">
        <v>37</v>
      </c>
      <c r="D2433" t="s">
        <v>34</v>
      </c>
      <c r="E2433" t="s">
        <v>21</v>
      </c>
      <c r="F2433" t="s">
        <v>17</v>
      </c>
      <c r="G2433" s="1" t="str">
        <f t="shared" si="510"/>
        <v>X</v>
      </c>
      <c r="H2433" s="1" t="str">
        <f t="shared" si="510"/>
        <v>X</v>
      </c>
      <c r="I2433" s="1" t="str">
        <f t="shared" si="510"/>
        <v>X</v>
      </c>
      <c r="J2433" s="1" t="str">
        <f t="shared" si="510"/>
        <v>X</v>
      </c>
      <c r="K2433" s="1" t="str">
        <f t="shared" si="510"/>
        <v>X</v>
      </c>
      <c r="L2433" s="1" t="str">
        <f t="shared" si="510"/>
        <v>X</v>
      </c>
      <c r="M2433" s="1" t="str">
        <f t="shared" si="510"/>
        <v>X</v>
      </c>
      <c r="N2433" t="s">
        <v>27</v>
      </c>
    </row>
    <row r="2434" spans="1:14" x14ac:dyDescent="0.25">
      <c r="A2434" t="s">
        <v>14</v>
      </c>
      <c r="B2434" t="s">
        <v>40</v>
      </c>
      <c r="C2434" t="s">
        <v>37</v>
      </c>
      <c r="D2434" t="s">
        <v>34</v>
      </c>
      <c r="E2434" t="s">
        <v>21</v>
      </c>
      <c r="F2434" t="s">
        <v>18</v>
      </c>
      <c r="G2434" s="1" t="str">
        <f t="shared" si="510"/>
        <v>X</v>
      </c>
      <c r="H2434" s="1" t="str">
        <f t="shared" si="510"/>
        <v>X</v>
      </c>
      <c r="I2434" s="1" t="str">
        <f t="shared" si="510"/>
        <v>X</v>
      </c>
      <c r="J2434" s="1" t="str">
        <f t="shared" si="510"/>
        <v>X</v>
      </c>
      <c r="K2434" s="1" t="str">
        <f t="shared" si="510"/>
        <v>X</v>
      </c>
      <c r="L2434" s="1" t="str">
        <f t="shared" si="510"/>
        <v>X</v>
      </c>
      <c r="M2434" s="1" t="str">
        <f t="shared" si="510"/>
        <v>X</v>
      </c>
      <c r="N2434" t="s">
        <v>27</v>
      </c>
    </row>
    <row r="2435" spans="1:14" x14ac:dyDescent="0.25">
      <c r="A2435" t="s">
        <v>14</v>
      </c>
      <c r="B2435" t="s">
        <v>40</v>
      </c>
      <c r="C2435" t="s">
        <v>37</v>
      </c>
      <c r="D2435" t="s">
        <v>34</v>
      </c>
      <c r="E2435" t="s">
        <v>21</v>
      </c>
      <c r="F2435" t="s">
        <v>19</v>
      </c>
      <c r="G2435" s="1" t="str">
        <f t="shared" ref="G2435:M2435" si="511">"..."</f>
        <v>...</v>
      </c>
      <c r="H2435" s="1" t="str">
        <f t="shared" si="511"/>
        <v>...</v>
      </c>
      <c r="I2435" s="1" t="str">
        <f t="shared" si="511"/>
        <v>...</v>
      </c>
      <c r="J2435" s="1" t="str">
        <f t="shared" si="511"/>
        <v>...</v>
      </c>
      <c r="K2435" s="1" t="str">
        <f t="shared" si="511"/>
        <v>...</v>
      </c>
      <c r="L2435" s="1" t="str">
        <f t="shared" si="511"/>
        <v>...</v>
      </c>
      <c r="M2435" s="1" t="str">
        <f t="shared" si="511"/>
        <v>...</v>
      </c>
      <c r="N2435" t="s">
        <v>30</v>
      </c>
    </row>
    <row r="2436" spans="1:14" x14ac:dyDescent="0.25">
      <c r="A2436" t="s">
        <v>14</v>
      </c>
      <c r="B2436" t="s">
        <v>40</v>
      </c>
      <c r="C2436" t="s">
        <v>37</v>
      </c>
      <c r="D2436" t="s">
        <v>34</v>
      </c>
      <c r="E2436" t="s">
        <v>21</v>
      </c>
      <c r="F2436" t="s">
        <v>20</v>
      </c>
      <c r="G2436" s="1" t="str">
        <f t="shared" ref="G2436:M2436" si="512">"X"</f>
        <v>X</v>
      </c>
      <c r="H2436" s="1" t="str">
        <f t="shared" si="512"/>
        <v>X</v>
      </c>
      <c r="I2436" s="1" t="str">
        <f t="shared" si="512"/>
        <v>X</v>
      </c>
      <c r="J2436" s="1" t="str">
        <f t="shared" si="512"/>
        <v>X</v>
      </c>
      <c r="K2436" s="1" t="str">
        <f t="shared" si="512"/>
        <v>X</v>
      </c>
      <c r="L2436" s="1" t="str">
        <f t="shared" si="512"/>
        <v>X</v>
      </c>
      <c r="M2436" s="1" t="str">
        <f t="shared" si="512"/>
        <v>X</v>
      </c>
      <c r="N2436" t="s">
        <v>27</v>
      </c>
    </row>
    <row r="2437" spans="1:14" x14ac:dyDescent="0.25">
      <c r="A2437" t="s">
        <v>14</v>
      </c>
      <c r="B2437" t="s">
        <v>40</v>
      </c>
      <c r="C2437" t="s">
        <v>37</v>
      </c>
      <c r="D2437" t="s">
        <v>34</v>
      </c>
      <c r="E2437" t="s">
        <v>22</v>
      </c>
      <c r="F2437" t="s">
        <v>15</v>
      </c>
      <c r="G2437" s="2">
        <f>VALUE(105.6395068011)</f>
        <v>105.6395068011</v>
      </c>
      <c r="H2437" s="3">
        <f>VALUE(91.755687829)</f>
        <v>91.755687828999996</v>
      </c>
      <c r="I2437" s="1">
        <f>VALUE(3810)</f>
        <v>3810</v>
      </c>
      <c r="J2437" s="1">
        <f>VALUE(4989)</f>
        <v>4989</v>
      </c>
      <c r="K2437" s="1">
        <f>VALUE(5849)</f>
        <v>5849</v>
      </c>
      <c r="L2437" s="1">
        <f>VALUE(6825)</f>
        <v>6825</v>
      </c>
      <c r="M2437" s="1">
        <f>VALUE(8254)</f>
        <v>8254</v>
      </c>
      <c r="N2437" t="s">
        <v>25</v>
      </c>
    </row>
    <row r="2438" spans="1:14" x14ac:dyDescent="0.25">
      <c r="A2438" t="s">
        <v>14</v>
      </c>
      <c r="B2438" t="s">
        <v>40</v>
      </c>
      <c r="C2438" t="s">
        <v>37</v>
      </c>
      <c r="D2438" t="s">
        <v>34</v>
      </c>
      <c r="E2438" t="s">
        <v>22</v>
      </c>
      <c r="F2438" t="s">
        <v>17</v>
      </c>
      <c r="G2438" s="1" t="str">
        <f t="shared" ref="G2438:M2442" si="513">"X"</f>
        <v>X</v>
      </c>
      <c r="H2438" s="1" t="str">
        <f t="shared" si="513"/>
        <v>X</v>
      </c>
      <c r="I2438" s="1" t="str">
        <f t="shared" si="513"/>
        <v>X</v>
      </c>
      <c r="J2438" s="1" t="str">
        <f t="shared" si="513"/>
        <v>X</v>
      </c>
      <c r="K2438" s="1" t="str">
        <f t="shared" si="513"/>
        <v>X</v>
      </c>
      <c r="L2438" s="1" t="str">
        <f t="shared" si="513"/>
        <v>X</v>
      </c>
      <c r="M2438" s="1" t="str">
        <f t="shared" si="513"/>
        <v>X</v>
      </c>
      <c r="N2438" t="s">
        <v>27</v>
      </c>
    </row>
    <row r="2439" spans="1:14" x14ac:dyDescent="0.25">
      <c r="A2439" t="s">
        <v>14</v>
      </c>
      <c r="B2439" t="s">
        <v>40</v>
      </c>
      <c r="C2439" t="s">
        <v>37</v>
      </c>
      <c r="D2439" t="s">
        <v>34</v>
      </c>
      <c r="E2439" t="s">
        <v>22</v>
      </c>
      <c r="F2439" t="s">
        <v>18</v>
      </c>
      <c r="G2439" s="1" t="str">
        <f t="shared" si="513"/>
        <v>X</v>
      </c>
      <c r="H2439" s="1" t="str">
        <f t="shared" si="513"/>
        <v>X</v>
      </c>
      <c r="I2439" s="1" t="str">
        <f t="shared" si="513"/>
        <v>X</v>
      </c>
      <c r="J2439" s="1" t="str">
        <f t="shared" si="513"/>
        <v>X</v>
      </c>
      <c r="K2439" s="1" t="str">
        <f t="shared" si="513"/>
        <v>X</v>
      </c>
      <c r="L2439" s="1" t="str">
        <f t="shared" si="513"/>
        <v>X</v>
      </c>
      <c r="M2439" s="1" t="str">
        <f t="shared" si="513"/>
        <v>X</v>
      </c>
      <c r="N2439" t="s">
        <v>27</v>
      </c>
    </row>
    <row r="2440" spans="1:14" x14ac:dyDescent="0.25">
      <c r="A2440" t="s">
        <v>14</v>
      </c>
      <c r="B2440" t="s">
        <v>40</v>
      </c>
      <c r="C2440" t="s">
        <v>37</v>
      </c>
      <c r="D2440" t="s">
        <v>34</v>
      </c>
      <c r="E2440" t="s">
        <v>22</v>
      </c>
      <c r="F2440" t="s">
        <v>19</v>
      </c>
      <c r="G2440" s="1" t="str">
        <f t="shared" si="513"/>
        <v>X</v>
      </c>
      <c r="H2440" s="1" t="str">
        <f t="shared" si="513"/>
        <v>X</v>
      </c>
      <c r="I2440" s="1" t="str">
        <f t="shared" si="513"/>
        <v>X</v>
      </c>
      <c r="J2440" s="1" t="str">
        <f t="shared" si="513"/>
        <v>X</v>
      </c>
      <c r="K2440" s="1" t="str">
        <f t="shared" si="513"/>
        <v>X</v>
      </c>
      <c r="L2440" s="1" t="str">
        <f t="shared" si="513"/>
        <v>X</v>
      </c>
      <c r="M2440" s="1" t="str">
        <f t="shared" si="513"/>
        <v>X</v>
      </c>
      <c r="N2440" t="s">
        <v>27</v>
      </c>
    </row>
    <row r="2441" spans="1:14" x14ac:dyDescent="0.25">
      <c r="A2441" t="s">
        <v>14</v>
      </c>
      <c r="B2441" t="s">
        <v>40</v>
      </c>
      <c r="C2441" t="s">
        <v>37</v>
      </c>
      <c r="D2441" t="s">
        <v>34</v>
      </c>
      <c r="E2441" t="s">
        <v>22</v>
      </c>
      <c r="F2441" t="s">
        <v>20</v>
      </c>
      <c r="G2441" s="1" t="str">
        <f t="shared" si="513"/>
        <v>X</v>
      </c>
      <c r="H2441" s="1" t="str">
        <f t="shared" si="513"/>
        <v>X</v>
      </c>
      <c r="I2441" s="1" t="str">
        <f t="shared" si="513"/>
        <v>X</v>
      </c>
      <c r="J2441" s="1" t="str">
        <f t="shared" si="513"/>
        <v>X</v>
      </c>
      <c r="K2441" s="1" t="str">
        <f t="shared" si="513"/>
        <v>X</v>
      </c>
      <c r="L2441" s="1" t="str">
        <f t="shared" si="513"/>
        <v>X</v>
      </c>
      <c r="M2441" s="1" t="str">
        <f t="shared" si="513"/>
        <v>X</v>
      </c>
      <c r="N2441" t="s">
        <v>27</v>
      </c>
    </row>
    <row r="2442" spans="1:14" x14ac:dyDescent="0.25">
      <c r="A2442" t="s">
        <v>14</v>
      </c>
      <c r="B2442" t="s">
        <v>40</v>
      </c>
      <c r="C2442" t="s">
        <v>37</v>
      </c>
      <c r="D2442" t="s">
        <v>34</v>
      </c>
      <c r="E2442" t="s">
        <v>23</v>
      </c>
      <c r="F2442" t="s">
        <v>15</v>
      </c>
      <c r="G2442" s="1" t="str">
        <f t="shared" si="513"/>
        <v>X</v>
      </c>
      <c r="H2442" s="1" t="str">
        <f t="shared" si="513"/>
        <v>X</v>
      </c>
      <c r="I2442" s="1" t="str">
        <f t="shared" si="513"/>
        <v>X</v>
      </c>
      <c r="J2442" s="1" t="str">
        <f t="shared" si="513"/>
        <v>X</v>
      </c>
      <c r="K2442" s="1" t="str">
        <f t="shared" si="513"/>
        <v>X</v>
      </c>
      <c r="L2442" s="1" t="str">
        <f t="shared" si="513"/>
        <v>X</v>
      </c>
      <c r="M2442" s="1" t="str">
        <f t="shared" si="513"/>
        <v>X</v>
      </c>
      <c r="N2442" t="s">
        <v>27</v>
      </c>
    </row>
    <row r="2443" spans="1:14" x14ac:dyDescent="0.25">
      <c r="A2443" t="s">
        <v>14</v>
      </c>
      <c r="B2443" t="s">
        <v>40</v>
      </c>
      <c r="C2443" t="s">
        <v>37</v>
      </c>
      <c r="D2443" t="s">
        <v>34</v>
      </c>
      <c r="E2443" t="s">
        <v>23</v>
      </c>
      <c r="F2443" t="s">
        <v>17</v>
      </c>
      <c r="G2443" s="1" t="str">
        <f t="shared" ref="G2443:M2443" si="514">"..."</f>
        <v>...</v>
      </c>
      <c r="H2443" s="1" t="str">
        <f t="shared" si="514"/>
        <v>...</v>
      </c>
      <c r="I2443" s="1" t="str">
        <f t="shared" si="514"/>
        <v>...</v>
      </c>
      <c r="J2443" s="1" t="str">
        <f t="shared" si="514"/>
        <v>...</v>
      </c>
      <c r="K2443" s="1" t="str">
        <f t="shared" si="514"/>
        <v>...</v>
      </c>
      <c r="L2443" s="1" t="str">
        <f t="shared" si="514"/>
        <v>...</v>
      </c>
      <c r="M2443" s="1" t="str">
        <f t="shared" si="514"/>
        <v>...</v>
      </c>
      <c r="N2443" t="s">
        <v>30</v>
      </c>
    </row>
    <row r="2444" spans="1:14" x14ac:dyDescent="0.25">
      <c r="A2444" t="s">
        <v>14</v>
      </c>
      <c r="B2444" t="s">
        <v>40</v>
      </c>
      <c r="C2444" t="s">
        <v>37</v>
      </c>
      <c r="D2444" t="s">
        <v>34</v>
      </c>
      <c r="E2444" t="s">
        <v>23</v>
      </c>
      <c r="F2444" t="s">
        <v>18</v>
      </c>
      <c r="G2444" s="1" t="str">
        <f t="shared" ref="G2444:M2444" si="515">"X"</f>
        <v>X</v>
      </c>
      <c r="H2444" s="1" t="str">
        <f t="shared" si="515"/>
        <v>X</v>
      </c>
      <c r="I2444" s="1" t="str">
        <f t="shared" si="515"/>
        <v>X</v>
      </c>
      <c r="J2444" s="1" t="str">
        <f t="shared" si="515"/>
        <v>X</v>
      </c>
      <c r="K2444" s="1" t="str">
        <f t="shared" si="515"/>
        <v>X</v>
      </c>
      <c r="L2444" s="1" t="str">
        <f t="shared" si="515"/>
        <v>X</v>
      </c>
      <c r="M2444" s="1" t="str">
        <f t="shared" si="515"/>
        <v>X</v>
      </c>
      <c r="N2444" t="s">
        <v>27</v>
      </c>
    </row>
    <row r="2445" spans="1:14" x14ac:dyDescent="0.25">
      <c r="A2445" t="s">
        <v>14</v>
      </c>
      <c r="B2445" t="s">
        <v>40</v>
      </c>
      <c r="C2445" t="s">
        <v>37</v>
      </c>
      <c r="D2445" t="s">
        <v>34</v>
      </c>
      <c r="E2445" t="s">
        <v>23</v>
      </c>
      <c r="F2445" t="s">
        <v>19</v>
      </c>
      <c r="G2445" s="1" t="str">
        <f t="shared" ref="G2445:M2445" si="516">"..."</f>
        <v>...</v>
      </c>
      <c r="H2445" s="1" t="str">
        <f t="shared" si="516"/>
        <v>...</v>
      </c>
      <c r="I2445" s="1" t="str">
        <f t="shared" si="516"/>
        <v>...</v>
      </c>
      <c r="J2445" s="1" t="str">
        <f t="shared" si="516"/>
        <v>...</v>
      </c>
      <c r="K2445" s="1" t="str">
        <f t="shared" si="516"/>
        <v>...</v>
      </c>
      <c r="L2445" s="1" t="str">
        <f t="shared" si="516"/>
        <v>...</v>
      </c>
      <c r="M2445" s="1" t="str">
        <f t="shared" si="516"/>
        <v>...</v>
      </c>
      <c r="N2445" t="s">
        <v>30</v>
      </c>
    </row>
    <row r="2446" spans="1:14" x14ac:dyDescent="0.25">
      <c r="A2446" t="s">
        <v>14</v>
      </c>
      <c r="B2446" t="s">
        <v>40</v>
      </c>
      <c r="C2446" t="s">
        <v>37</v>
      </c>
      <c r="D2446" t="s">
        <v>34</v>
      </c>
      <c r="E2446" t="s">
        <v>23</v>
      </c>
      <c r="F2446" t="s">
        <v>20</v>
      </c>
      <c r="G2446" s="1" t="str">
        <f t="shared" ref="G2446:M2447" si="517">"X"</f>
        <v>X</v>
      </c>
      <c r="H2446" s="1" t="str">
        <f t="shared" si="517"/>
        <v>X</v>
      </c>
      <c r="I2446" s="1" t="str">
        <f t="shared" si="517"/>
        <v>X</v>
      </c>
      <c r="J2446" s="1" t="str">
        <f t="shared" si="517"/>
        <v>X</v>
      </c>
      <c r="K2446" s="1" t="str">
        <f t="shared" si="517"/>
        <v>X</v>
      </c>
      <c r="L2446" s="1" t="str">
        <f t="shared" si="517"/>
        <v>X</v>
      </c>
      <c r="M2446" s="1" t="str">
        <f t="shared" si="517"/>
        <v>X</v>
      </c>
      <c r="N2446" t="s">
        <v>27</v>
      </c>
    </row>
    <row r="2447" spans="1:14" x14ac:dyDescent="0.25">
      <c r="A2447" t="s">
        <v>14</v>
      </c>
      <c r="B2447" t="s">
        <v>40</v>
      </c>
      <c r="C2447" t="s">
        <v>37</v>
      </c>
      <c r="D2447" t="s">
        <v>34</v>
      </c>
      <c r="E2447" t="s">
        <v>26</v>
      </c>
      <c r="F2447" t="s">
        <v>15</v>
      </c>
      <c r="G2447" s="1" t="str">
        <f t="shared" si="517"/>
        <v>X</v>
      </c>
      <c r="H2447" s="1" t="str">
        <f t="shared" si="517"/>
        <v>X</v>
      </c>
      <c r="I2447" s="1" t="str">
        <f t="shared" si="517"/>
        <v>X</v>
      </c>
      <c r="J2447" s="1" t="str">
        <f t="shared" si="517"/>
        <v>X</v>
      </c>
      <c r="K2447" s="1" t="str">
        <f t="shared" si="517"/>
        <v>X</v>
      </c>
      <c r="L2447" s="1" t="str">
        <f t="shared" si="517"/>
        <v>X</v>
      </c>
      <c r="M2447" s="1" t="str">
        <f t="shared" si="517"/>
        <v>X</v>
      </c>
      <c r="N2447" t="s">
        <v>27</v>
      </c>
    </row>
    <row r="2448" spans="1:14" x14ac:dyDescent="0.25">
      <c r="A2448" t="s">
        <v>14</v>
      </c>
      <c r="B2448" t="s">
        <v>40</v>
      </c>
      <c r="C2448" t="s">
        <v>37</v>
      </c>
      <c r="D2448" t="s">
        <v>34</v>
      </c>
      <c r="E2448" t="s">
        <v>26</v>
      </c>
      <c r="F2448" t="s">
        <v>17</v>
      </c>
      <c r="G2448" s="1" t="str">
        <f t="shared" ref="G2448:M2450" si="518">"..."</f>
        <v>...</v>
      </c>
      <c r="H2448" s="1" t="str">
        <f t="shared" si="518"/>
        <v>...</v>
      </c>
      <c r="I2448" s="1" t="str">
        <f t="shared" si="518"/>
        <v>...</v>
      </c>
      <c r="J2448" s="1" t="str">
        <f t="shared" si="518"/>
        <v>...</v>
      </c>
      <c r="K2448" s="1" t="str">
        <f t="shared" si="518"/>
        <v>...</v>
      </c>
      <c r="L2448" s="1" t="str">
        <f t="shared" si="518"/>
        <v>...</v>
      </c>
      <c r="M2448" s="1" t="str">
        <f t="shared" si="518"/>
        <v>...</v>
      </c>
      <c r="N2448" t="s">
        <v>30</v>
      </c>
    </row>
    <row r="2449" spans="1:14" x14ac:dyDescent="0.25">
      <c r="A2449" t="s">
        <v>14</v>
      </c>
      <c r="B2449" t="s">
        <v>40</v>
      </c>
      <c r="C2449" t="s">
        <v>37</v>
      </c>
      <c r="D2449" t="s">
        <v>34</v>
      </c>
      <c r="E2449" t="s">
        <v>26</v>
      </c>
      <c r="F2449" t="s">
        <v>18</v>
      </c>
      <c r="G2449" s="1" t="str">
        <f t="shared" si="518"/>
        <v>...</v>
      </c>
      <c r="H2449" s="1" t="str">
        <f t="shared" si="518"/>
        <v>...</v>
      </c>
      <c r="I2449" s="1" t="str">
        <f t="shared" si="518"/>
        <v>...</v>
      </c>
      <c r="J2449" s="1" t="str">
        <f t="shared" si="518"/>
        <v>...</v>
      </c>
      <c r="K2449" s="1" t="str">
        <f t="shared" si="518"/>
        <v>...</v>
      </c>
      <c r="L2449" s="1" t="str">
        <f t="shared" si="518"/>
        <v>...</v>
      </c>
      <c r="M2449" s="1" t="str">
        <f t="shared" si="518"/>
        <v>...</v>
      </c>
      <c r="N2449" t="s">
        <v>30</v>
      </c>
    </row>
    <row r="2450" spans="1:14" x14ac:dyDescent="0.25">
      <c r="A2450" t="s">
        <v>14</v>
      </c>
      <c r="B2450" t="s">
        <v>40</v>
      </c>
      <c r="C2450" t="s">
        <v>37</v>
      </c>
      <c r="D2450" t="s">
        <v>34</v>
      </c>
      <c r="E2450" t="s">
        <v>26</v>
      </c>
      <c r="F2450" t="s">
        <v>19</v>
      </c>
      <c r="G2450" s="1" t="str">
        <f t="shared" si="518"/>
        <v>...</v>
      </c>
      <c r="H2450" s="1" t="str">
        <f t="shared" si="518"/>
        <v>...</v>
      </c>
      <c r="I2450" s="1" t="str">
        <f t="shared" si="518"/>
        <v>...</v>
      </c>
      <c r="J2450" s="1" t="str">
        <f t="shared" si="518"/>
        <v>...</v>
      </c>
      <c r="K2450" s="1" t="str">
        <f t="shared" si="518"/>
        <v>...</v>
      </c>
      <c r="L2450" s="1" t="str">
        <f t="shared" si="518"/>
        <v>...</v>
      </c>
      <c r="M2450" s="1" t="str">
        <f t="shared" si="518"/>
        <v>...</v>
      </c>
      <c r="N2450" t="s">
        <v>30</v>
      </c>
    </row>
    <row r="2451" spans="1:14" x14ac:dyDescent="0.25">
      <c r="A2451" t="s">
        <v>14</v>
      </c>
      <c r="B2451" t="s">
        <v>40</v>
      </c>
      <c r="C2451" t="s">
        <v>37</v>
      </c>
      <c r="D2451" t="s">
        <v>34</v>
      </c>
      <c r="E2451" t="s">
        <v>26</v>
      </c>
      <c r="F2451" t="s">
        <v>20</v>
      </c>
      <c r="G2451" s="1" t="str">
        <f t="shared" ref="G2451:M2451" si="519">"X"</f>
        <v>X</v>
      </c>
      <c r="H2451" s="1" t="str">
        <f t="shared" si="519"/>
        <v>X</v>
      </c>
      <c r="I2451" s="1" t="str">
        <f t="shared" si="519"/>
        <v>X</v>
      </c>
      <c r="J2451" s="1" t="str">
        <f t="shared" si="519"/>
        <v>X</v>
      </c>
      <c r="K2451" s="1" t="str">
        <f t="shared" si="519"/>
        <v>X</v>
      </c>
      <c r="L2451" s="1" t="str">
        <f t="shared" si="519"/>
        <v>X</v>
      </c>
      <c r="M2451" s="1" t="str">
        <f t="shared" si="519"/>
        <v>X</v>
      </c>
      <c r="N2451" t="s">
        <v>27</v>
      </c>
    </row>
    <row r="2452" spans="1:14" x14ac:dyDescent="0.25">
      <c r="A2452" t="s">
        <v>14</v>
      </c>
      <c r="B2452" t="s">
        <v>40</v>
      </c>
      <c r="C2452" t="s">
        <v>38</v>
      </c>
      <c r="D2452" t="s">
        <v>15</v>
      </c>
      <c r="E2452" t="s">
        <v>15</v>
      </c>
      <c r="F2452" t="s">
        <v>15</v>
      </c>
      <c r="G2452" s="1">
        <f>VALUE(9965.432284262)</f>
        <v>9965.4322842620004</v>
      </c>
      <c r="H2452" s="1">
        <f>VALUE(7558.1908495869)</f>
        <v>7558.1908495869002</v>
      </c>
      <c r="I2452" s="1">
        <f>VALUE(2912)</f>
        <v>2912</v>
      </c>
      <c r="J2452" s="1">
        <f>VALUE(3560)</f>
        <v>3560</v>
      </c>
      <c r="K2452" s="1">
        <f>VALUE(4543)</f>
        <v>4543</v>
      </c>
      <c r="L2452" s="1">
        <f>VALUE(5881)</f>
        <v>5881</v>
      </c>
      <c r="M2452" s="1">
        <f>VALUE(7635)</f>
        <v>7635</v>
      </c>
      <c r="N2452" t="s">
        <v>16</v>
      </c>
    </row>
    <row r="2453" spans="1:14" x14ac:dyDescent="0.25">
      <c r="A2453" t="s">
        <v>14</v>
      </c>
      <c r="B2453" t="s">
        <v>40</v>
      </c>
      <c r="C2453" t="s">
        <v>38</v>
      </c>
      <c r="D2453" t="s">
        <v>15</v>
      </c>
      <c r="E2453" t="s">
        <v>15</v>
      </c>
      <c r="F2453" t="s">
        <v>17</v>
      </c>
      <c r="G2453" s="2">
        <f>VALUE(1199.8571442492)</f>
        <v>1199.8571442492</v>
      </c>
      <c r="H2453" s="3">
        <f>VALUE(1002.3121020984)</f>
        <v>1002.3121020984</v>
      </c>
      <c r="I2453" s="4">
        <f>VALUE(3158)</f>
        <v>3158</v>
      </c>
      <c r="J2453" s="1">
        <f>VALUE(4400)</f>
        <v>4400</v>
      </c>
      <c r="K2453" s="1">
        <f>VALUE(6303)</f>
        <v>6303</v>
      </c>
      <c r="L2453" s="1">
        <f>VALUE(8141)</f>
        <v>8141</v>
      </c>
      <c r="M2453" s="8">
        <f>VALUE(10833)</f>
        <v>10833</v>
      </c>
      <c r="N2453" t="s">
        <v>25</v>
      </c>
    </row>
    <row r="2454" spans="1:14" x14ac:dyDescent="0.25">
      <c r="A2454" t="s">
        <v>14</v>
      </c>
      <c r="B2454" t="s">
        <v>40</v>
      </c>
      <c r="C2454" t="s">
        <v>38</v>
      </c>
      <c r="D2454" t="s">
        <v>15</v>
      </c>
      <c r="E2454" t="s">
        <v>15</v>
      </c>
      <c r="F2454" t="s">
        <v>18</v>
      </c>
      <c r="G2454" s="2">
        <f>VALUE(1108.266521871)</f>
        <v>1108.2665218709999</v>
      </c>
      <c r="H2454" s="3">
        <f>VALUE(905.1216693084)</f>
        <v>905.12166930839999</v>
      </c>
      <c r="I2454" s="1">
        <f>VALUE(3536)</f>
        <v>3536</v>
      </c>
      <c r="J2454" s="5">
        <f>VALUE(4017)</f>
        <v>4017</v>
      </c>
      <c r="K2454" s="1">
        <f>VALUE(5338)</f>
        <v>5338</v>
      </c>
      <c r="L2454" s="1">
        <f>VALUE(7042)</f>
        <v>7042</v>
      </c>
      <c r="M2454" s="1">
        <f>VALUE(8347)</f>
        <v>8347</v>
      </c>
      <c r="N2454" t="s">
        <v>25</v>
      </c>
    </row>
    <row r="2455" spans="1:14" x14ac:dyDescent="0.25">
      <c r="A2455" t="s">
        <v>14</v>
      </c>
      <c r="B2455" t="s">
        <v>40</v>
      </c>
      <c r="C2455" t="s">
        <v>38</v>
      </c>
      <c r="D2455" t="s">
        <v>15</v>
      </c>
      <c r="E2455" t="s">
        <v>15</v>
      </c>
      <c r="F2455" t="s">
        <v>19</v>
      </c>
      <c r="G2455" s="2">
        <f>VALUE(1099.3725719601)</f>
        <v>1099.3725719601</v>
      </c>
      <c r="H2455" s="3">
        <f>VALUE(880.2542324127)</f>
        <v>880.25423241270005</v>
      </c>
      <c r="I2455" s="4">
        <f>VALUE(3143)</f>
        <v>3143</v>
      </c>
      <c r="J2455" s="5">
        <f>VALUE(4224)</f>
        <v>4224</v>
      </c>
      <c r="K2455" s="1">
        <f>VALUE(5098)</f>
        <v>5098</v>
      </c>
      <c r="L2455" s="1">
        <f>VALUE(6500)</f>
        <v>6500</v>
      </c>
      <c r="M2455" s="1">
        <f>VALUE(7869)</f>
        <v>7869</v>
      </c>
      <c r="N2455" t="s">
        <v>25</v>
      </c>
    </row>
    <row r="2456" spans="1:14" x14ac:dyDescent="0.25">
      <c r="A2456" t="s">
        <v>14</v>
      </c>
      <c r="B2456" t="s">
        <v>40</v>
      </c>
      <c r="C2456" t="s">
        <v>38</v>
      </c>
      <c r="D2456" t="s">
        <v>15</v>
      </c>
      <c r="E2456" t="s">
        <v>15</v>
      </c>
      <c r="F2456" t="s">
        <v>20</v>
      </c>
      <c r="G2456" s="1">
        <f>VALUE(6547.8200666749)</f>
        <v>6547.8200666748999</v>
      </c>
      <c r="H2456" s="1">
        <f>VALUE(4766.9802525953)</f>
        <v>4766.9802525953</v>
      </c>
      <c r="I2456" s="1">
        <f>VALUE(2800)</f>
        <v>2800</v>
      </c>
      <c r="J2456" s="1">
        <f>VALUE(3401)</f>
        <v>3401</v>
      </c>
      <c r="K2456" s="1">
        <f>VALUE(4029)</f>
        <v>4029</v>
      </c>
      <c r="L2456" s="1">
        <f>VALUE(5146)</f>
        <v>5146</v>
      </c>
      <c r="M2456" s="1">
        <f>VALUE(6354)</f>
        <v>6354</v>
      </c>
      <c r="N2456" t="s">
        <v>16</v>
      </c>
    </row>
    <row r="2457" spans="1:14" x14ac:dyDescent="0.25">
      <c r="A2457" t="s">
        <v>14</v>
      </c>
      <c r="B2457" t="s">
        <v>40</v>
      </c>
      <c r="C2457" t="s">
        <v>38</v>
      </c>
      <c r="D2457" t="s">
        <v>15</v>
      </c>
      <c r="E2457" t="s">
        <v>21</v>
      </c>
      <c r="F2457" t="s">
        <v>15</v>
      </c>
      <c r="G2457" s="2">
        <f>VALUE(1292.6155362911)</f>
        <v>1292.6155362910999</v>
      </c>
      <c r="H2457" s="3">
        <f>VALUE(939.2466447736)</f>
        <v>939.2466447736</v>
      </c>
      <c r="I2457" s="1">
        <f>VALUE(4333)</f>
        <v>4333</v>
      </c>
      <c r="J2457" s="1">
        <f>VALUE(5188)</f>
        <v>5188</v>
      </c>
      <c r="K2457" s="1">
        <f>VALUE(6825)</f>
        <v>6825</v>
      </c>
      <c r="L2457" s="1">
        <f>VALUE(8333)</f>
        <v>8333</v>
      </c>
      <c r="M2457" s="8">
        <f>VALUE(10288)</f>
        <v>10288</v>
      </c>
      <c r="N2457" t="s">
        <v>25</v>
      </c>
    </row>
    <row r="2458" spans="1:14" x14ac:dyDescent="0.25">
      <c r="A2458" t="s">
        <v>14</v>
      </c>
      <c r="B2458" t="s">
        <v>40</v>
      </c>
      <c r="C2458" t="s">
        <v>38</v>
      </c>
      <c r="D2458" t="s">
        <v>15</v>
      </c>
      <c r="E2458" t="s">
        <v>21</v>
      </c>
      <c r="F2458" t="s">
        <v>17</v>
      </c>
      <c r="G2458" s="2">
        <f>VALUE(514.5398399342)</f>
        <v>514.53983993420002</v>
      </c>
      <c r="H2458" s="3">
        <f>VALUE(407.7640551115)</f>
        <v>407.7640551115</v>
      </c>
      <c r="I2458" s="4">
        <f>VALUE(4333)</f>
        <v>4333</v>
      </c>
      <c r="J2458" s="1">
        <f>VALUE(5000)</f>
        <v>5000</v>
      </c>
      <c r="K2458" s="1">
        <f>VALUE(6821)</f>
        <v>6821</v>
      </c>
      <c r="L2458" s="7">
        <f>VALUE(9412)</f>
        <v>9412</v>
      </c>
      <c r="M2458" s="8">
        <f>VALUE(12325)</f>
        <v>12325</v>
      </c>
      <c r="N2458" t="s">
        <v>25</v>
      </c>
    </row>
    <row r="2459" spans="1:14" x14ac:dyDescent="0.25">
      <c r="A2459" t="s">
        <v>14</v>
      </c>
      <c r="B2459" t="s">
        <v>40</v>
      </c>
      <c r="C2459" t="s">
        <v>38</v>
      </c>
      <c r="D2459" t="s">
        <v>15</v>
      </c>
      <c r="E2459" t="s">
        <v>21</v>
      </c>
      <c r="F2459" t="s">
        <v>18</v>
      </c>
      <c r="G2459" s="2">
        <f>VALUE(272.4760966864)</f>
        <v>272.47609668640001</v>
      </c>
      <c r="H2459" s="3">
        <f>VALUE(200.1942124181)</f>
        <v>200.19421241809999</v>
      </c>
      <c r="I2459" s="4">
        <f>VALUE(4762)</f>
        <v>4762</v>
      </c>
      <c r="J2459" s="1">
        <f>VALUE(5882)</f>
        <v>5882</v>
      </c>
      <c r="K2459" s="1">
        <f>VALUE(7394)</f>
        <v>7394</v>
      </c>
      <c r="L2459" s="1">
        <f>VALUE(8411)</f>
        <v>8411</v>
      </c>
      <c r="M2459" s="8">
        <f>VALUE(10637)</f>
        <v>10637</v>
      </c>
      <c r="N2459" t="s">
        <v>25</v>
      </c>
    </row>
    <row r="2460" spans="1:14" x14ac:dyDescent="0.25">
      <c r="A2460" t="s">
        <v>14</v>
      </c>
      <c r="B2460" t="s">
        <v>40</v>
      </c>
      <c r="C2460" t="s">
        <v>38</v>
      </c>
      <c r="D2460" t="s">
        <v>15</v>
      </c>
      <c r="E2460" t="s">
        <v>21</v>
      </c>
      <c r="F2460" t="s">
        <v>19</v>
      </c>
      <c r="G2460" s="2">
        <f>VALUE(203.6868449111)</f>
        <v>203.6868449111</v>
      </c>
      <c r="H2460" s="3">
        <f>VALUE(119.8780928869)</f>
        <v>119.87809288690001</v>
      </c>
      <c r="I2460" s="4">
        <f>VALUE(4000)</f>
        <v>4000</v>
      </c>
      <c r="J2460" s="5">
        <f>VALUE(5092)</f>
        <v>5092</v>
      </c>
      <c r="K2460" s="1">
        <f>VALUE(6783)</f>
        <v>6783</v>
      </c>
      <c r="L2460" s="7">
        <f>VALUE(8092)</f>
        <v>8092</v>
      </c>
      <c r="M2460" s="1">
        <f>VALUE(9208)</f>
        <v>9208</v>
      </c>
      <c r="N2460" t="s">
        <v>25</v>
      </c>
    </row>
    <row r="2461" spans="1:14" x14ac:dyDescent="0.25">
      <c r="A2461" t="s">
        <v>14</v>
      </c>
      <c r="B2461" t="s">
        <v>40</v>
      </c>
      <c r="C2461" t="s">
        <v>38</v>
      </c>
      <c r="D2461" t="s">
        <v>15</v>
      </c>
      <c r="E2461" t="s">
        <v>21</v>
      </c>
      <c r="F2461" t="s">
        <v>20</v>
      </c>
      <c r="G2461" s="2">
        <f>VALUE(301.9127547594)</f>
        <v>301.9127547594</v>
      </c>
      <c r="H2461" s="3">
        <f>VALUE(211.4102843571)</f>
        <v>211.41028435710001</v>
      </c>
      <c r="I2461" s="4">
        <f>VALUE(3910)</f>
        <v>3910</v>
      </c>
      <c r="J2461" s="1">
        <f>VALUE(5148)</f>
        <v>5148</v>
      </c>
      <c r="K2461" s="1">
        <f>VALUE(6229)</f>
        <v>6229</v>
      </c>
      <c r="L2461" s="1">
        <f>VALUE(7511)</f>
        <v>7511</v>
      </c>
      <c r="M2461" s="1">
        <f>VALUE(8398)</f>
        <v>8398</v>
      </c>
      <c r="N2461" t="s">
        <v>25</v>
      </c>
    </row>
    <row r="2462" spans="1:14" x14ac:dyDescent="0.25">
      <c r="A2462" t="s">
        <v>14</v>
      </c>
      <c r="B2462" t="s">
        <v>40</v>
      </c>
      <c r="C2462" t="s">
        <v>38</v>
      </c>
      <c r="D2462" t="s">
        <v>15</v>
      </c>
      <c r="E2462" t="s">
        <v>22</v>
      </c>
      <c r="F2462" t="s">
        <v>15</v>
      </c>
      <c r="G2462" s="1">
        <f>VALUE(4093.8987031474)</f>
        <v>4093.8987031473998</v>
      </c>
      <c r="H2462" s="1">
        <f>VALUE(3129.7713601654)</f>
        <v>3129.7713601654</v>
      </c>
      <c r="I2462" s="4">
        <f>VALUE(3125)</f>
        <v>3125</v>
      </c>
      <c r="J2462" s="1">
        <f>VALUE(3960)</f>
        <v>3960</v>
      </c>
      <c r="K2462" s="1">
        <f>VALUE(5054)</f>
        <v>5054</v>
      </c>
      <c r="L2462" s="1">
        <f>VALUE(6283)</f>
        <v>6283</v>
      </c>
      <c r="M2462" s="1">
        <f>VALUE(7600)</f>
        <v>7600</v>
      </c>
      <c r="N2462" t="s">
        <v>25</v>
      </c>
    </row>
    <row r="2463" spans="1:14" x14ac:dyDescent="0.25">
      <c r="A2463" t="s">
        <v>14</v>
      </c>
      <c r="B2463" t="s">
        <v>40</v>
      </c>
      <c r="C2463" t="s">
        <v>38</v>
      </c>
      <c r="D2463" t="s">
        <v>15</v>
      </c>
      <c r="E2463" t="s">
        <v>22</v>
      </c>
      <c r="F2463" t="s">
        <v>17</v>
      </c>
      <c r="G2463" s="2">
        <f>VALUE(591.8676023037)</f>
        <v>591.86760230369998</v>
      </c>
      <c r="H2463" s="3">
        <f>VALUE(514.9397640839)</f>
        <v>514.93976408389995</v>
      </c>
      <c r="I2463" s="4">
        <f>VALUE(2688)</f>
        <v>2688</v>
      </c>
      <c r="J2463" s="5">
        <f>VALUE(4000)</f>
        <v>4000</v>
      </c>
      <c r="K2463" s="6">
        <f>VALUE(5872)</f>
        <v>5872</v>
      </c>
      <c r="L2463" s="1">
        <f>VALUE(7618)</f>
        <v>7618</v>
      </c>
      <c r="M2463" s="1">
        <f>VALUE(9603)</f>
        <v>9603</v>
      </c>
      <c r="N2463" t="s">
        <v>25</v>
      </c>
    </row>
    <row r="2464" spans="1:14" x14ac:dyDescent="0.25">
      <c r="A2464" t="s">
        <v>14</v>
      </c>
      <c r="B2464" t="s">
        <v>40</v>
      </c>
      <c r="C2464" t="s">
        <v>38</v>
      </c>
      <c r="D2464" t="s">
        <v>15</v>
      </c>
      <c r="E2464" t="s">
        <v>22</v>
      </c>
      <c r="F2464" t="s">
        <v>18</v>
      </c>
      <c r="G2464" s="2">
        <f>VALUE(600.2286668919)</f>
        <v>600.22866689190005</v>
      </c>
      <c r="H2464" s="3">
        <f>VALUE(482.5121539155)</f>
        <v>482.51215391549999</v>
      </c>
      <c r="I2464" s="4">
        <f>VALUE(3575)</f>
        <v>3575</v>
      </c>
      <c r="J2464" s="5">
        <f>VALUE(4000)</f>
        <v>4000</v>
      </c>
      <c r="K2464" s="1">
        <f>VALUE(5231)</f>
        <v>5231</v>
      </c>
      <c r="L2464" s="1">
        <f>VALUE(6500)</f>
        <v>6500</v>
      </c>
      <c r="M2464" s="1">
        <f>VALUE(7738)</f>
        <v>7738</v>
      </c>
      <c r="N2464" t="s">
        <v>25</v>
      </c>
    </row>
    <row r="2465" spans="1:14" x14ac:dyDescent="0.25">
      <c r="A2465" t="s">
        <v>14</v>
      </c>
      <c r="B2465" t="s">
        <v>40</v>
      </c>
      <c r="C2465" t="s">
        <v>38</v>
      </c>
      <c r="D2465" t="s">
        <v>15</v>
      </c>
      <c r="E2465" t="s">
        <v>22</v>
      </c>
      <c r="F2465" t="s">
        <v>19</v>
      </c>
      <c r="G2465" s="2">
        <f>VALUE(584.1745244788)</f>
        <v>584.17452447879998</v>
      </c>
      <c r="H2465" s="3">
        <f>VALUE(488.1664076295)</f>
        <v>488.16640762949999</v>
      </c>
      <c r="I2465" s="4">
        <f>VALUE(3600)</f>
        <v>3600</v>
      </c>
      <c r="J2465" s="1">
        <f>VALUE(4521)</f>
        <v>4521</v>
      </c>
      <c r="K2465" s="1">
        <f>VALUE(5179)</f>
        <v>5179</v>
      </c>
      <c r="L2465" s="1">
        <f>VALUE(6500)</f>
        <v>6500</v>
      </c>
      <c r="M2465" s="1">
        <f>VALUE(7393)</f>
        <v>7393</v>
      </c>
      <c r="N2465" t="s">
        <v>25</v>
      </c>
    </row>
    <row r="2466" spans="1:14" x14ac:dyDescent="0.25">
      <c r="A2466" t="s">
        <v>14</v>
      </c>
      <c r="B2466" t="s">
        <v>40</v>
      </c>
      <c r="C2466" t="s">
        <v>38</v>
      </c>
      <c r="D2466" t="s">
        <v>15</v>
      </c>
      <c r="E2466" t="s">
        <v>22</v>
      </c>
      <c r="F2466" t="s">
        <v>20</v>
      </c>
      <c r="G2466" s="1">
        <f>VALUE(2317.627909473)</f>
        <v>2317.6279094729998</v>
      </c>
      <c r="H2466" s="1">
        <f>VALUE(1644.1530345365)</f>
        <v>1644.1530345364999</v>
      </c>
      <c r="I2466" s="1">
        <f>VALUE(2865)</f>
        <v>2865</v>
      </c>
      <c r="J2466" s="1">
        <f>VALUE(3878)</f>
        <v>3878</v>
      </c>
      <c r="K2466" s="1">
        <f>VALUE(4830)</f>
        <v>4830</v>
      </c>
      <c r="L2466" s="1">
        <f>VALUE(5810)</f>
        <v>5810</v>
      </c>
      <c r="M2466" s="1">
        <f>VALUE(6848)</f>
        <v>6848</v>
      </c>
      <c r="N2466" t="s">
        <v>16</v>
      </c>
    </row>
    <row r="2467" spans="1:14" x14ac:dyDescent="0.25">
      <c r="A2467" t="s">
        <v>14</v>
      </c>
      <c r="B2467" t="s">
        <v>40</v>
      </c>
      <c r="C2467" t="s">
        <v>38</v>
      </c>
      <c r="D2467" t="s">
        <v>15</v>
      </c>
      <c r="E2467" t="s">
        <v>23</v>
      </c>
      <c r="F2467" t="s">
        <v>15</v>
      </c>
      <c r="G2467" s="1">
        <f>VALUE(4419.5723496906)</f>
        <v>4419.5723496906003</v>
      </c>
      <c r="H2467" s="1">
        <f>VALUE(3342.0421672408)</f>
        <v>3342.0421672408002</v>
      </c>
      <c r="I2467" s="1">
        <f>VALUE(2798)</f>
        <v>2798</v>
      </c>
      <c r="J2467" s="1">
        <f>VALUE(3220)</f>
        <v>3220</v>
      </c>
      <c r="K2467" s="1">
        <f>VALUE(3783)</f>
        <v>3783</v>
      </c>
      <c r="L2467" s="1">
        <f>VALUE(4627)</f>
        <v>4627</v>
      </c>
      <c r="M2467" s="1">
        <f>VALUE(5444)</f>
        <v>5444</v>
      </c>
      <c r="N2467" t="s">
        <v>16</v>
      </c>
    </row>
    <row r="2468" spans="1:14" x14ac:dyDescent="0.25">
      <c r="A2468" t="s">
        <v>14</v>
      </c>
      <c r="B2468" t="s">
        <v>40</v>
      </c>
      <c r="C2468" t="s">
        <v>38</v>
      </c>
      <c r="D2468" t="s">
        <v>15</v>
      </c>
      <c r="E2468" t="s">
        <v>23</v>
      </c>
      <c r="F2468" t="s">
        <v>17</v>
      </c>
      <c r="G2468" s="1" t="str">
        <f t="shared" ref="G2468:M2468" si="520">"X"</f>
        <v>X</v>
      </c>
      <c r="H2468" s="1" t="str">
        <f t="shared" si="520"/>
        <v>X</v>
      </c>
      <c r="I2468" s="1" t="str">
        <f t="shared" si="520"/>
        <v>X</v>
      </c>
      <c r="J2468" s="1" t="str">
        <f t="shared" si="520"/>
        <v>X</v>
      </c>
      <c r="K2468" s="1" t="str">
        <f t="shared" si="520"/>
        <v>X</v>
      </c>
      <c r="L2468" s="1" t="str">
        <f t="shared" si="520"/>
        <v>X</v>
      </c>
      <c r="M2468" s="1" t="str">
        <f t="shared" si="520"/>
        <v>X</v>
      </c>
      <c r="N2468" t="s">
        <v>27</v>
      </c>
    </row>
    <row r="2469" spans="1:14" x14ac:dyDescent="0.25">
      <c r="A2469" t="s">
        <v>14</v>
      </c>
      <c r="B2469" t="s">
        <v>40</v>
      </c>
      <c r="C2469" t="s">
        <v>38</v>
      </c>
      <c r="D2469" t="s">
        <v>15</v>
      </c>
      <c r="E2469" t="s">
        <v>23</v>
      </c>
      <c r="F2469" t="s">
        <v>18</v>
      </c>
      <c r="G2469" s="2">
        <f>VALUE(215.7116146518)</f>
        <v>215.71161465180001</v>
      </c>
      <c r="H2469" s="3">
        <f>VALUE(201.4609911642)</f>
        <v>201.46099116420001</v>
      </c>
      <c r="I2469" s="4">
        <f>VALUE(3344)</f>
        <v>3344</v>
      </c>
      <c r="J2469" s="5">
        <f>VALUE(3455)</f>
        <v>3455</v>
      </c>
      <c r="K2469" s="6">
        <f>VALUE(4017)</f>
        <v>4017</v>
      </c>
      <c r="L2469" s="1">
        <f>VALUE(5226)</f>
        <v>5226</v>
      </c>
      <c r="M2469" s="1">
        <f>VALUE(6118)</f>
        <v>6118</v>
      </c>
      <c r="N2469" t="s">
        <v>25</v>
      </c>
    </row>
    <row r="2470" spans="1:14" x14ac:dyDescent="0.25">
      <c r="A2470" t="s">
        <v>14</v>
      </c>
      <c r="B2470" t="s">
        <v>40</v>
      </c>
      <c r="C2470" t="s">
        <v>38</v>
      </c>
      <c r="D2470" t="s">
        <v>15</v>
      </c>
      <c r="E2470" t="s">
        <v>23</v>
      </c>
      <c r="F2470" t="s">
        <v>19</v>
      </c>
      <c r="G2470" s="2">
        <f>VALUE(299.7176394942)</f>
        <v>299.7176394942</v>
      </c>
      <c r="H2470" s="3">
        <f>VALUE(260.2100203667)</f>
        <v>260.21002036670001</v>
      </c>
      <c r="I2470" s="1">
        <f>VALUE(3080)</f>
        <v>3080</v>
      </c>
      <c r="J2470" s="1">
        <f>VALUE(3319)</f>
        <v>3319</v>
      </c>
      <c r="K2470" s="1">
        <f>VALUE(4548)</f>
        <v>4548</v>
      </c>
      <c r="L2470" s="1">
        <f>VALUE(5505)</f>
        <v>5505</v>
      </c>
      <c r="M2470" s="8">
        <f>VALUE(7460)</f>
        <v>7460</v>
      </c>
      <c r="N2470" t="s">
        <v>25</v>
      </c>
    </row>
    <row r="2471" spans="1:14" x14ac:dyDescent="0.25">
      <c r="A2471" t="s">
        <v>14</v>
      </c>
      <c r="B2471" t="s">
        <v>40</v>
      </c>
      <c r="C2471" t="s">
        <v>38</v>
      </c>
      <c r="D2471" t="s">
        <v>15</v>
      </c>
      <c r="E2471" t="s">
        <v>23</v>
      </c>
      <c r="F2471" t="s">
        <v>20</v>
      </c>
      <c r="G2471" s="1">
        <f>VALUE(3821.8193889362)</f>
        <v>3821.8193889362001</v>
      </c>
      <c r="H2471" s="1">
        <f>VALUE(2812.1139318921)</f>
        <v>2812.1139318921</v>
      </c>
      <c r="I2471" s="1">
        <f>VALUE(2773)</f>
        <v>2773</v>
      </c>
      <c r="J2471" s="1">
        <f>VALUE(3172)</f>
        <v>3172</v>
      </c>
      <c r="K2471" s="1">
        <f>VALUE(3717)</f>
        <v>3717</v>
      </c>
      <c r="L2471" s="1">
        <f>VALUE(4468)</f>
        <v>4468</v>
      </c>
      <c r="M2471" s="1">
        <f>VALUE(5159)</f>
        <v>5159</v>
      </c>
      <c r="N2471" t="s">
        <v>16</v>
      </c>
    </row>
    <row r="2472" spans="1:14" x14ac:dyDescent="0.25">
      <c r="A2472" t="s">
        <v>14</v>
      </c>
      <c r="B2472" t="s">
        <v>40</v>
      </c>
      <c r="C2472" t="s">
        <v>38</v>
      </c>
      <c r="D2472" t="s">
        <v>15</v>
      </c>
      <c r="E2472" t="s">
        <v>26</v>
      </c>
      <c r="F2472" t="s">
        <v>15</v>
      </c>
      <c r="G2472" s="2">
        <f>VALUE(159.3456951329)</f>
        <v>159.3456951329</v>
      </c>
      <c r="H2472" s="3">
        <f>VALUE(147.1306774071)</f>
        <v>147.13067740709999</v>
      </c>
      <c r="I2472" s="1">
        <f>VALUE(3044)</f>
        <v>3044</v>
      </c>
      <c r="J2472" s="1">
        <f>VALUE(3921)</f>
        <v>3921</v>
      </c>
      <c r="K2472" s="1">
        <f>VALUE(6386)</f>
        <v>6386</v>
      </c>
      <c r="L2472" s="1">
        <f>VALUE(7222)</f>
        <v>7222</v>
      </c>
      <c r="M2472" s="1">
        <f>VALUE(9365)</f>
        <v>9365</v>
      </c>
      <c r="N2472" t="s">
        <v>25</v>
      </c>
    </row>
    <row r="2473" spans="1:14" x14ac:dyDescent="0.25">
      <c r="A2473" t="s">
        <v>14</v>
      </c>
      <c r="B2473" t="s">
        <v>40</v>
      </c>
      <c r="C2473" t="s">
        <v>38</v>
      </c>
      <c r="D2473" t="s">
        <v>15</v>
      </c>
      <c r="E2473" t="s">
        <v>26</v>
      </c>
      <c r="F2473" t="s">
        <v>17</v>
      </c>
      <c r="G2473" s="1" t="str">
        <f t="shared" ref="G2473:M2475" si="521">"X"</f>
        <v>X</v>
      </c>
      <c r="H2473" s="1" t="str">
        <f t="shared" si="521"/>
        <v>X</v>
      </c>
      <c r="I2473" s="1" t="str">
        <f t="shared" si="521"/>
        <v>X</v>
      </c>
      <c r="J2473" s="1" t="str">
        <f t="shared" si="521"/>
        <v>X</v>
      </c>
      <c r="K2473" s="1" t="str">
        <f t="shared" si="521"/>
        <v>X</v>
      </c>
      <c r="L2473" s="1" t="str">
        <f t="shared" si="521"/>
        <v>X</v>
      </c>
      <c r="M2473" s="1" t="str">
        <f t="shared" si="521"/>
        <v>X</v>
      </c>
      <c r="N2473" t="s">
        <v>27</v>
      </c>
    </row>
    <row r="2474" spans="1:14" x14ac:dyDescent="0.25">
      <c r="A2474" t="s">
        <v>14</v>
      </c>
      <c r="B2474" t="s">
        <v>40</v>
      </c>
      <c r="C2474" t="s">
        <v>38</v>
      </c>
      <c r="D2474" t="s">
        <v>15</v>
      </c>
      <c r="E2474" t="s">
        <v>26</v>
      </c>
      <c r="F2474" t="s">
        <v>18</v>
      </c>
      <c r="G2474" s="1" t="str">
        <f t="shared" si="521"/>
        <v>X</v>
      </c>
      <c r="H2474" s="1" t="str">
        <f t="shared" si="521"/>
        <v>X</v>
      </c>
      <c r="I2474" s="1" t="str">
        <f t="shared" si="521"/>
        <v>X</v>
      </c>
      <c r="J2474" s="1" t="str">
        <f t="shared" si="521"/>
        <v>X</v>
      </c>
      <c r="K2474" s="1" t="str">
        <f t="shared" si="521"/>
        <v>X</v>
      </c>
      <c r="L2474" s="1" t="str">
        <f t="shared" si="521"/>
        <v>X</v>
      </c>
      <c r="M2474" s="1" t="str">
        <f t="shared" si="521"/>
        <v>X</v>
      </c>
      <c r="N2474" t="s">
        <v>27</v>
      </c>
    </row>
    <row r="2475" spans="1:14" x14ac:dyDescent="0.25">
      <c r="A2475" t="s">
        <v>14</v>
      </c>
      <c r="B2475" t="s">
        <v>40</v>
      </c>
      <c r="C2475" t="s">
        <v>38</v>
      </c>
      <c r="D2475" t="s">
        <v>15</v>
      </c>
      <c r="E2475" t="s">
        <v>26</v>
      </c>
      <c r="F2475" t="s">
        <v>19</v>
      </c>
      <c r="G2475" s="1" t="str">
        <f t="shared" si="521"/>
        <v>X</v>
      </c>
      <c r="H2475" s="1" t="str">
        <f t="shared" si="521"/>
        <v>X</v>
      </c>
      <c r="I2475" s="1" t="str">
        <f t="shared" si="521"/>
        <v>X</v>
      </c>
      <c r="J2475" s="1" t="str">
        <f t="shared" si="521"/>
        <v>X</v>
      </c>
      <c r="K2475" s="1" t="str">
        <f t="shared" si="521"/>
        <v>X</v>
      </c>
      <c r="L2475" s="1" t="str">
        <f t="shared" si="521"/>
        <v>X</v>
      </c>
      <c r="M2475" s="1" t="str">
        <f t="shared" si="521"/>
        <v>X</v>
      </c>
      <c r="N2475" t="s">
        <v>27</v>
      </c>
    </row>
    <row r="2476" spans="1:14" x14ac:dyDescent="0.25">
      <c r="A2476" t="s">
        <v>14</v>
      </c>
      <c r="B2476" t="s">
        <v>40</v>
      </c>
      <c r="C2476" t="s">
        <v>38</v>
      </c>
      <c r="D2476" t="s">
        <v>15</v>
      </c>
      <c r="E2476" t="s">
        <v>26</v>
      </c>
      <c r="F2476" t="s">
        <v>20</v>
      </c>
      <c r="G2476" s="2">
        <f>VALUE(106.4600135063)</f>
        <v>106.4600135063</v>
      </c>
      <c r="H2476" s="3">
        <f>VALUE(99.3030018096)</f>
        <v>99.303001809600005</v>
      </c>
      <c r="I2476" s="1">
        <f>VALUE(3044)</f>
        <v>3044</v>
      </c>
      <c r="J2476" s="1">
        <f>VALUE(3813)</f>
        <v>3813</v>
      </c>
      <c r="K2476" s="1">
        <f>VALUE(5714)</f>
        <v>5714</v>
      </c>
      <c r="L2476" s="1">
        <f>VALUE(6745)</f>
        <v>6745</v>
      </c>
      <c r="M2476" s="1">
        <f>VALUE(7301)</f>
        <v>7301</v>
      </c>
      <c r="N2476" t="s">
        <v>25</v>
      </c>
    </row>
    <row r="2477" spans="1:14" x14ac:dyDescent="0.25">
      <c r="A2477" t="s">
        <v>14</v>
      </c>
      <c r="B2477" t="s">
        <v>40</v>
      </c>
      <c r="C2477" t="s">
        <v>38</v>
      </c>
      <c r="D2477" t="s">
        <v>28</v>
      </c>
      <c r="E2477" t="s">
        <v>15</v>
      </c>
      <c r="F2477" t="s">
        <v>15</v>
      </c>
      <c r="G2477" s="1">
        <f>VALUE(5759.2460354324)</f>
        <v>5759.2460354324003</v>
      </c>
      <c r="H2477" s="1">
        <f>VALUE(4173.7088552207)</f>
        <v>4173.7088552206997</v>
      </c>
      <c r="I2477" s="1">
        <f>VALUE(3220)</f>
        <v>3220</v>
      </c>
      <c r="J2477" s="1">
        <f>VALUE(3944)</f>
        <v>3944</v>
      </c>
      <c r="K2477" s="1">
        <f>VALUE(4973)</f>
        <v>4973</v>
      </c>
      <c r="L2477" s="1">
        <f>VALUE(6380)</f>
        <v>6380</v>
      </c>
      <c r="M2477" s="1">
        <f>VALUE(7975)</f>
        <v>7975</v>
      </c>
      <c r="N2477" t="s">
        <v>16</v>
      </c>
    </row>
    <row r="2478" spans="1:14" x14ac:dyDescent="0.25">
      <c r="A2478" t="s">
        <v>14</v>
      </c>
      <c r="B2478" t="s">
        <v>40</v>
      </c>
      <c r="C2478" t="s">
        <v>38</v>
      </c>
      <c r="D2478" t="s">
        <v>28</v>
      </c>
      <c r="E2478" t="s">
        <v>15</v>
      </c>
      <c r="F2478" t="s">
        <v>17</v>
      </c>
      <c r="G2478" s="2">
        <f>VALUE(978.8250046364)</f>
        <v>978.82500463639997</v>
      </c>
      <c r="H2478" s="3">
        <f>VALUE(814.2465966739)</f>
        <v>814.24659667389994</v>
      </c>
      <c r="I2478" s="4">
        <f>VALUE(2846)</f>
        <v>2846</v>
      </c>
      <c r="J2478" s="5">
        <f>VALUE(4233)</f>
        <v>4233</v>
      </c>
      <c r="K2478" s="1">
        <f>VALUE(5969)</f>
        <v>5969</v>
      </c>
      <c r="L2478" s="1">
        <f>VALUE(7945)</f>
        <v>7945</v>
      </c>
      <c r="M2478" s="8">
        <f>VALUE(10300)</f>
        <v>10300</v>
      </c>
      <c r="N2478" t="s">
        <v>25</v>
      </c>
    </row>
    <row r="2479" spans="1:14" x14ac:dyDescent="0.25">
      <c r="A2479" t="s">
        <v>14</v>
      </c>
      <c r="B2479" t="s">
        <v>40</v>
      </c>
      <c r="C2479" t="s">
        <v>38</v>
      </c>
      <c r="D2479" t="s">
        <v>28</v>
      </c>
      <c r="E2479" t="s">
        <v>15</v>
      </c>
      <c r="F2479" t="s">
        <v>18</v>
      </c>
      <c r="G2479" s="2">
        <f>VALUE(751.2863869668)</f>
        <v>751.28638696680002</v>
      </c>
      <c r="H2479" s="3">
        <f>VALUE(587.3788722709)</f>
        <v>587.37887227090005</v>
      </c>
      <c r="I2479" s="4">
        <f>VALUE(3766)</f>
        <v>3766</v>
      </c>
      <c r="J2479" s="5">
        <f>VALUE(4594)</f>
        <v>4594</v>
      </c>
      <c r="K2479" s="1">
        <f>VALUE(5590)</f>
        <v>5590</v>
      </c>
      <c r="L2479" s="1">
        <f>VALUE(7193)</f>
        <v>7193</v>
      </c>
      <c r="M2479" s="1">
        <f>VALUE(8411)</f>
        <v>8411</v>
      </c>
      <c r="N2479" t="s">
        <v>25</v>
      </c>
    </row>
    <row r="2480" spans="1:14" x14ac:dyDescent="0.25">
      <c r="A2480" t="s">
        <v>14</v>
      </c>
      <c r="B2480" t="s">
        <v>40</v>
      </c>
      <c r="C2480" t="s">
        <v>38</v>
      </c>
      <c r="D2480" t="s">
        <v>28</v>
      </c>
      <c r="E2480" t="s">
        <v>15</v>
      </c>
      <c r="F2480" t="s">
        <v>19</v>
      </c>
      <c r="G2480" s="2">
        <f>VALUE(702.1833242645)</f>
        <v>702.18332426450002</v>
      </c>
      <c r="H2480" s="3">
        <f>VALUE(539.4176602709)</f>
        <v>539.4176602709</v>
      </c>
      <c r="I2480" s="4">
        <f>VALUE(3610)</f>
        <v>3610</v>
      </c>
      <c r="J2480" s="1">
        <f>VALUE(4502)</f>
        <v>4502</v>
      </c>
      <c r="K2480" s="1">
        <f>VALUE(5193)</f>
        <v>5193</v>
      </c>
      <c r="L2480" s="1">
        <f>VALUE(6838)</f>
        <v>6838</v>
      </c>
      <c r="M2480" s="8">
        <f>VALUE(7975)</f>
        <v>7975</v>
      </c>
      <c r="N2480" t="s">
        <v>25</v>
      </c>
    </row>
    <row r="2481" spans="1:14" x14ac:dyDescent="0.25">
      <c r="A2481" t="s">
        <v>14</v>
      </c>
      <c r="B2481" t="s">
        <v>40</v>
      </c>
      <c r="C2481" t="s">
        <v>38</v>
      </c>
      <c r="D2481" t="s">
        <v>28</v>
      </c>
      <c r="E2481" t="s">
        <v>15</v>
      </c>
      <c r="F2481" t="s">
        <v>20</v>
      </c>
      <c r="G2481" s="1">
        <f>VALUE(3321.0652395921)</f>
        <v>3321.0652395921002</v>
      </c>
      <c r="H2481" s="1">
        <f>VALUE(2231.973911752)</f>
        <v>2231.9739117519998</v>
      </c>
      <c r="I2481" s="4">
        <f>VALUE(3184)</f>
        <v>3184</v>
      </c>
      <c r="J2481" s="1">
        <f>VALUE(3771)</f>
        <v>3771</v>
      </c>
      <c r="K2481" s="1">
        <f>VALUE(4575)</f>
        <v>4575</v>
      </c>
      <c r="L2481" s="1">
        <f>VALUE(5745)</f>
        <v>5745</v>
      </c>
      <c r="M2481" s="1">
        <f>VALUE(6833)</f>
        <v>6833</v>
      </c>
      <c r="N2481" t="s">
        <v>25</v>
      </c>
    </row>
    <row r="2482" spans="1:14" x14ac:dyDescent="0.25">
      <c r="A2482" t="s">
        <v>14</v>
      </c>
      <c r="B2482" t="s">
        <v>40</v>
      </c>
      <c r="C2482" t="s">
        <v>38</v>
      </c>
      <c r="D2482" t="s">
        <v>28</v>
      </c>
      <c r="E2482" t="s">
        <v>21</v>
      </c>
      <c r="F2482" t="s">
        <v>15</v>
      </c>
      <c r="G2482" s="2">
        <f>VALUE(941.835384625)</f>
        <v>941.83538462499996</v>
      </c>
      <c r="H2482" s="3">
        <f>VALUE(669.1686714836)</f>
        <v>669.16867148359995</v>
      </c>
      <c r="I2482" s="1">
        <f>VALUE(4107)</f>
        <v>4107</v>
      </c>
      <c r="J2482" s="1">
        <f>VALUE(5058)</f>
        <v>5058</v>
      </c>
      <c r="K2482" s="6">
        <f>VALUE(6402)</f>
        <v>6402</v>
      </c>
      <c r="L2482" s="1">
        <f>VALUE(8206)</f>
        <v>8206</v>
      </c>
      <c r="M2482" s="8">
        <f>VALUE(10094)</f>
        <v>10094</v>
      </c>
      <c r="N2482" t="s">
        <v>25</v>
      </c>
    </row>
    <row r="2483" spans="1:14" x14ac:dyDescent="0.25">
      <c r="A2483" t="s">
        <v>14</v>
      </c>
      <c r="B2483" t="s">
        <v>40</v>
      </c>
      <c r="C2483" t="s">
        <v>38</v>
      </c>
      <c r="D2483" t="s">
        <v>28</v>
      </c>
      <c r="E2483" t="s">
        <v>21</v>
      </c>
      <c r="F2483" t="s">
        <v>17</v>
      </c>
      <c r="G2483" s="2">
        <f>VALUE(387.4636334927)</f>
        <v>387.46363349270001</v>
      </c>
      <c r="H2483" s="3">
        <f>VALUE(299.1150512472)</f>
        <v>299.11505124719997</v>
      </c>
      <c r="I2483" s="4">
        <f>VALUE(4114)</f>
        <v>4114</v>
      </c>
      <c r="J2483" s="5">
        <f>VALUE(4706)</f>
        <v>4706</v>
      </c>
      <c r="K2483" s="6">
        <f>VALUE(6341)</f>
        <v>6341</v>
      </c>
      <c r="L2483" s="7">
        <f>VALUE(8860)</f>
        <v>8860</v>
      </c>
      <c r="M2483" s="8">
        <f>VALUE(12316)</f>
        <v>12316</v>
      </c>
      <c r="N2483" t="s">
        <v>24</v>
      </c>
    </row>
    <row r="2484" spans="1:14" x14ac:dyDescent="0.25">
      <c r="A2484" t="s">
        <v>14</v>
      </c>
      <c r="B2484" t="s">
        <v>40</v>
      </c>
      <c r="C2484" t="s">
        <v>38</v>
      </c>
      <c r="D2484" t="s">
        <v>28</v>
      </c>
      <c r="E2484" t="s">
        <v>21</v>
      </c>
      <c r="F2484" t="s">
        <v>18</v>
      </c>
      <c r="G2484" s="2">
        <f>VALUE(175.2267281953)</f>
        <v>175.22672819530001</v>
      </c>
      <c r="H2484" s="3">
        <f>VALUE(125.0157359458)</f>
        <v>125.0157359458</v>
      </c>
      <c r="I2484" s="4">
        <f>VALUE(5058)</f>
        <v>5058</v>
      </c>
      <c r="J2484" s="5">
        <f>VALUE(5958)</f>
        <v>5958</v>
      </c>
      <c r="K2484" s="1">
        <f>VALUE(7619)</f>
        <v>7619</v>
      </c>
      <c r="L2484" s="1">
        <f>VALUE(8411)</f>
        <v>8411</v>
      </c>
      <c r="M2484" s="8">
        <f>VALUE(10637)</f>
        <v>10637</v>
      </c>
      <c r="N2484" t="s">
        <v>25</v>
      </c>
    </row>
    <row r="2485" spans="1:14" x14ac:dyDescent="0.25">
      <c r="A2485" t="s">
        <v>14</v>
      </c>
      <c r="B2485" t="s">
        <v>40</v>
      </c>
      <c r="C2485" t="s">
        <v>38</v>
      </c>
      <c r="D2485" t="s">
        <v>28</v>
      </c>
      <c r="E2485" t="s">
        <v>21</v>
      </c>
      <c r="F2485" t="s">
        <v>19</v>
      </c>
      <c r="G2485" s="2">
        <f>VALUE(142.7604309709)</f>
        <v>142.76043097089999</v>
      </c>
      <c r="H2485" s="3">
        <f>VALUE(85.5646374978)</f>
        <v>85.564637497800007</v>
      </c>
      <c r="I2485" s="4">
        <f>VALUE(3911)</f>
        <v>3911</v>
      </c>
      <c r="J2485" s="5">
        <f>VALUE(4514)</f>
        <v>4514</v>
      </c>
      <c r="K2485" s="6">
        <f>VALUE(6414)</f>
        <v>6414</v>
      </c>
      <c r="L2485" s="7">
        <f>VALUE(8047)</f>
        <v>8047</v>
      </c>
      <c r="M2485" s="1">
        <f>VALUE(9208)</f>
        <v>9208</v>
      </c>
      <c r="N2485" t="s">
        <v>25</v>
      </c>
    </row>
    <row r="2486" spans="1:14" x14ac:dyDescent="0.25">
      <c r="A2486" t="s">
        <v>14</v>
      </c>
      <c r="B2486" t="s">
        <v>40</v>
      </c>
      <c r="C2486" t="s">
        <v>38</v>
      </c>
      <c r="D2486" t="s">
        <v>28</v>
      </c>
      <c r="E2486" t="s">
        <v>21</v>
      </c>
      <c r="F2486" t="s">
        <v>20</v>
      </c>
      <c r="G2486" s="2">
        <f>VALUE(236.3845919661)</f>
        <v>236.3845919661</v>
      </c>
      <c r="H2486" s="3">
        <f>VALUE(159.4732467928)</f>
        <v>159.47324679280001</v>
      </c>
      <c r="I2486" s="4">
        <f>VALUE(3500)</f>
        <v>3500</v>
      </c>
      <c r="J2486" s="5">
        <f>VALUE(5276)</f>
        <v>5276</v>
      </c>
      <c r="K2486" s="1">
        <f>VALUE(6215)</f>
        <v>6215</v>
      </c>
      <c r="L2486" s="1">
        <f>VALUE(7423)</f>
        <v>7423</v>
      </c>
      <c r="M2486" s="1">
        <f>VALUE(8398)</f>
        <v>8398</v>
      </c>
      <c r="N2486" t="s">
        <v>25</v>
      </c>
    </row>
    <row r="2487" spans="1:14" x14ac:dyDescent="0.25">
      <c r="A2487" t="s">
        <v>14</v>
      </c>
      <c r="B2487" t="s">
        <v>40</v>
      </c>
      <c r="C2487" t="s">
        <v>38</v>
      </c>
      <c r="D2487" t="s">
        <v>28</v>
      </c>
      <c r="E2487" t="s">
        <v>22</v>
      </c>
      <c r="F2487" t="s">
        <v>15</v>
      </c>
      <c r="G2487" s="1">
        <f>VALUE(3159.2524510572)</f>
        <v>3159.2524510571998</v>
      </c>
      <c r="H2487" s="1">
        <f>VALUE(2320.6963187734)</f>
        <v>2320.6963187734</v>
      </c>
      <c r="I2487" s="4">
        <f>VALUE(3302)</f>
        <v>3302</v>
      </c>
      <c r="J2487" s="1">
        <f>VALUE(4100)</f>
        <v>4100</v>
      </c>
      <c r="K2487" s="1">
        <f>VALUE(5146)</f>
        <v>5146</v>
      </c>
      <c r="L2487" s="1">
        <f>VALUE(6413)</f>
        <v>6413</v>
      </c>
      <c r="M2487" s="1">
        <f>VALUE(7704)</f>
        <v>7704</v>
      </c>
      <c r="N2487" t="s">
        <v>25</v>
      </c>
    </row>
    <row r="2488" spans="1:14" x14ac:dyDescent="0.25">
      <c r="A2488" t="s">
        <v>14</v>
      </c>
      <c r="B2488" t="s">
        <v>40</v>
      </c>
      <c r="C2488" t="s">
        <v>38</v>
      </c>
      <c r="D2488" t="s">
        <v>28</v>
      </c>
      <c r="E2488" t="s">
        <v>22</v>
      </c>
      <c r="F2488" t="s">
        <v>17</v>
      </c>
      <c r="G2488" s="2">
        <f>VALUE(529.8533347292)</f>
        <v>529.85333472920001</v>
      </c>
      <c r="H2488" s="3">
        <f>VALUE(458.7340388073)</f>
        <v>458.73403880730001</v>
      </c>
      <c r="I2488" s="4">
        <f>VALUE(2688)</f>
        <v>2688</v>
      </c>
      <c r="J2488" s="5">
        <f>VALUE(4000)</f>
        <v>4000</v>
      </c>
      <c r="K2488" s="6">
        <f>VALUE(5872)</f>
        <v>5872</v>
      </c>
      <c r="L2488" s="1">
        <f>VALUE(7618)</f>
        <v>7618</v>
      </c>
      <c r="M2488" s="1">
        <f>VALUE(9603)</f>
        <v>9603</v>
      </c>
      <c r="N2488" t="s">
        <v>25</v>
      </c>
    </row>
    <row r="2489" spans="1:14" x14ac:dyDescent="0.25">
      <c r="A2489" t="s">
        <v>14</v>
      </c>
      <c r="B2489" t="s">
        <v>40</v>
      </c>
      <c r="C2489" t="s">
        <v>38</v>
      </c>
      <c r="D2489" t="s">
        <v>28</v>
      </c>
      <c r="E2489" t="s">
        <v>22</v>
      </c>
      <c r="F2489" t="s">
        <v>18</v>
      </c>
      <c r="G2489" s="2">
        <f>VALUE(450.4468895471)</f>
        <v>450.4468895471</v>
      </c>
      <c r="H2489" s="3">
        <f>VALUE(343.5582315036)</f>
        <v>343.55823150359998</v>
      </c>
      <c r="I2489" s="4">
        <f>VALUE(3829)</f>
        <v>3829</v>
      </c>
      <c r="J2489" s="5">
        <f>VALUE(4326)</f>
        <v>4326</v>
      </c>
      <c r="K2489" s="1">
        <f>VALUE(5438)</f>
        <v>5438</v>
      </c>
      <c r="L2489" s="1">
        <f>VALUE(6488)</f>
        <v>6488</v>
      </c>
      <c r="M2489" s="1">
        <f>VALUE(7676)</f>
        <v>7676</v>
      </c>
      <c r="N2489" t="s">
        <v>25</v>
      </c>
    </row>
    <row r="2490" spans="1:14" x14ac:dyDescent="0.25">
      <c r="A2490" t="s">
        <v>14</v>
      </c>
      <c r="B2490" t="s">
        <v>40</v>
      </c>
      <c r="C2490" t="s">
        <v>38</v>
      </c>
      <c r="D2490" t="s">
        <v>28</v>
      </c>
      <c r="E2490" t="s">
        <v>22</v>
      </c>
      <c r="F2490" t="s">
        <v>19</v>
      </c>
      <c r="G2490" s="2">
        <f>VALUE(438.5292559126)</f>
        <v>438.52925591259998</v>
      </c>
      <c r="H2490" s="3">
        <f>VALUE(355.001554146)</f>
        <v>355.00155414599999</v>
      </c>
      <c r="I2490" s="4">
        <f>VALUE(3786)</f>
        <v>3786</v>
      </c>
      <c r="J2490" s="1">
        <f>VALUE(4552)</f>
        <v>4552</v>
      </c>
      <c r="K2490" s="1">
        <f>VALUE(5170)</f>
        <v>5170</v>
      </c>
      <c r="L2490" s="1">
        <f>VALUE(6727)</f>
        <v>6727</v>
      </c>
      <c r="M2490" s="1">
        <f>VALUE(7452)</f>
        <v>7452</v>
      </c>
      <c r="N2490" t="s">
        <v>25</v>
      </c>
    </row>
    <row r="2491" spans="1:14" x14ac:dyDescent="0.25">
      <c r="A2491" t="s">
        <v>14</v>
      </c>
      <c r="B2491" t="s">
        <v>40</v>
      </c>
      <c r="C2491" t="s">
        <v>38</v>
      </c>
      <c r="D2491" t="s">
        <v>28</v>
      </c>
      <c r="E2491" t="s">
        <v>22</v>
      </c>
      <c r="F2491" t="s">
        <v>20</v>
      </c>
      <c r="G2491" s="1">
        <f>VALUE(1740.4229708683)</f>
        <v>1740.4229708682999</v>
      </c>
      <c r="H2491" s="1">
        <f>VALUE(1163.4024943165)</f>
        <v>1163.4024943165</v>
      </c>
      <c r="I2491" s="1">
        <f>VALUE(3406)</f>
        <v>3406</v>
      </c>
      <c r="J2491" s="1">
        <f>VALUE(4003)</f>
        <v>4003</v>
      </c>
      <c r="K2491" s="1">
        <f>VALUE(4970)</f>
        <v>4970</v>
      </c>
      <c r="L2491" s="1">
        <f>VALUE(6067)</f>
        <v>6067</v>
      </c>
      <c r="M2491" s="1">
        <f>VALUE(7002)</f>
        <v>7002</v>
      </c>
      <c r="N2491" t="s">
        <v>16</v>
      </c>
    </row>
    <row r="2492" spans="1:14" x14ac:dyDescent="0.25">
      <c r="A2492" t="s">
        <v>14</v>
      </c>
      <c r="B2492" t="s">
        <v>40</v>
      </c>
      <c r="C2492" t="s">
        <v>38</v>
      </c>
      <c r="D2492" t="s">
        <v>28</v>
      </c>
      <c r="E2492" t="s">
        <v>23</v>
      </c>
      <c r="F2492" t="s">
        <v>15</v>
      </c>
      <c r="G2492" s="2">
        <f>VALUE(1574.9837183614)</f>
        <v>1574.9837183614</v>
      </c>
      <c r="H2492" s="3">
        <f>VALUE(1107.7206427979)</f>
        <v>1107.7206427978999</v>
      </c>
      <c r="I2492" s="1">
        <f>VALUE(3019)</f>
        <v>3019</v>
      </c>
      <c r="J2492" s="1">
        <f>VALUE(3549)</f>
        <v>3549</v>
      </c>
      <c r="K2492" s="1">
        <f>VALUE(4017)</f>
        <v>4017</v>
      </c>
      <c r="L2492" s="1">
        <f>VALUE(4868)</f>
        <v>4868</v>
      </c>
      <c r="M2492" s="1">
        <f>VALUE(5870)</f>
        <v>5870</v>
      </c>
      <c r="N2492" t="s">
        <v>25</v>
      </c>
    </row>
    <row r="2493" spans="1:14" x14ac:dyDescent="0.25">
      <c r="A2493" t="s">
        <v>14</v>
      </c>
      <c r="B2493" t="s">
        <v>40</v>
      </c>
      <c r="C2493" t="s">
        <v>38</v>
      </c>
      <c r="D2493" t="s">
        <v>28</v>
      </c>
      <c r="E2493" t="s">
        <v>23</v>
      </c>
      <c r="F2493" t="s">
        <v>17</v>
      </c>
      <c r="G2493" s="1" t="str">
        <f t="shared" ref="G2493:M2494" si="522">"X"</f>
        <v>X</v>
      </c>
      <c r="H2493" s="1" t="str">
        <f t="shared" si="522"/>
        <v>X</v>
      </c>
      <c r="I2493" s="1" t="str">
        <f t="shared" si="522"/>
        <v>X</v>
      </c>
      <c r="J2493" s="1" t="str">
        <f t="shared" si="522"/>
        <v>X</v>
      </c>
      <c r="K2493" s="1" t="str">
        <f t="shared" si="522"/>
        <v>X</v>
      </c>
      <c r="L2493" s="1" t="str">
        <f t="shared" si="522"/>
        <v>X</v>
      </c>
      <c r="M2493" s="1" t="str">
        <f t="shared" si="522"/>
        <v>X</v>
      </c>
      <c r="N2493" t="s">
        <v>27</v>
      </c>
    </row>
    <row r="2494" spans="1:14" x14ac:dyDescent="0.25">
      <c r="A2494" t="s">
        <v>14</v>
      </c>
      <c r="B2494" t="s">
        <v>40</v>
      </c>
      <c r="C2494" t="s">
        <v>38</v>
      </c>
      <c r="D2494" t="s">
        <v>28</v>
      </c>
      <c r="E2494" t="s">
        <v>23</v>
      </c>
      <c r="F2494" t="s">
        <v>18</v>
      </c>
      <c r="G2494" s="1" t="str">
        <f t="shared" si="522"/>
        <v>X</v>
      </c>
      <c r="H2494" s="1" t="str">
        <f t="shared" si="522"/>
        <v>X</v>
      </c>
      <c r="I2494" s="1" t="str">
        <f t="shared" si="522"/>
        <v>X</v>
      </c>
      <c r="J2494" s="1" t="str">
        <f t="shared" si="522"/>
        <v>X</v>
      </c>
      <c r="K2494" s="1" t="str">
        <f t="shared" si="522"/>
        <v>X</v>
      </c>
      <c r="L2494" s="1" t="str">
        <f t="shared" si="522"/>
        <v>X</v>
      </c>
      <c r="M2494" s="1" t="str">
        <f t="shared" si="522"/>
        <v>X</v>
      </c>
      <c r="N2494" t="s">
        <v>27</v>
      </c>
    </row>
    <row r="2495" spans="1:14" x14ac:dyDescent="0.25">
      <c r="A2495" t="s">
        <v>14</v>
      </c>
      <c r="B2495" t="s">
        <v>40</v>
      </c>
      <c r="C2495" t="s">
        <v>38</v>
      </c>
      <c r="D2495" t="s">
        <v>28</v>
      </c>
      <c r="E2495" t="s">
        <v>23</v>
      </c>
      <c r="F2495" t="s">
        <v>19</v>
      </c>
      <c r="G2495" s="2">
        <f>VALUE(116.5822700461)</f>
        <v>116.58227004610001</v>
      </c>
      <c r="H2495" s="3">
        <f>VALUE(94.3995290188)</f>
        <v>94.399529018799996</v>
      </c>
      <c r="I2495" s="1">
        <f>VALUE(3080)</f>
        <v>3080</v>
      </c>
      <c r="J2495" s="1">
        <f>VALUE(4080)</f>
        <v>4080</v>
      </c>
      <c r="K2495" s="1">
        <f>VALUE(4627)</f>
        <v>4627</v>
      </c>
      <c r="L2495" s="1">
        <f>VALUE(6244)</f>
        <v>6244</v>
      </c>
      <c r="M2495" s="8">
        <f>VALUE(7867)</f>
        <v>7867</v>
      </c>
      <c r="N2495" t="s">
        <v>25</v>
      </c>
    </row>
    <row r="2496" spans="1:14" x14ac:dyDescent="0.25">
      <c r="A2496" t="s">
        <v>14</v>
      </c>
      <c r="B2496" t="s">
        <v>40</v>
      </c>
      <c r="C2496" t="s">
        <v>38</v>
      </c>
      <c r="D2496" t="s">
        <v>28</v>
      </c>
      <c r="E2496" t="s">
        <v>23</v>
      </c>
      <c r="F2496" t="s">
        <v>20</v>
      </c>
      <c r="G2496" s="2">
        <f>VALUE(1295.354506863)</f>
        <v>1295.3545068630001</v>
      </c>
      <c r="H2496" s="3">
        <f>VALUE(863.259493656)</f>
        <v>863.25949365600002</v>
      </c>
      <c r="I2496" s="4">
        <f>VALUE(2869)</f>
        <v>2869</v>
      </c>
      <c r="J2496" s="1">
        <f>VALUE(3520)</f>
        <v>3520</v>
      </c>
      <c r="K2496" s="1">
        <f>VALUE(3972)</f>
        <v>3972</v>
      </c>
      <c r="L2496" s="1">
        <f>VALUE(4643)</f>
        <v>4643</v>
      </c>
      <c r="M2496" s="1">
        <f>VALUE(5412)</f>
        <v>5412</v>
      </c>
      <c r="N2496" t="s">
        <v>25</v>
      </c>
    </row>
    <row r="2497" spans="1:14" x14ac:dyDescent="0.25">
      <c r="A2497" t="s">
        <v>14</v>
      </c>
      <c r="B2497" t="s">
        <v>40</v>
      </c>
      <c r="C2497" t="s">
        <v>38</v>
      </c>
      <c r="D2497" t="s">
        <v>28</v>
      </c>
      <c r="E2497" t="s">
        <v>26</v>
      </c>
      <c r="F2497" t="s">
        <v>15</v>
      </c>
      <c r="G2497" s="1" t="str">
        <f t="shared" ref="G2497:M2501" si="523">"X"</f>
        <v>X</v>
      </c>
      <c r="H2497" s="1" t="str">
        <f t="shared" si="523"/>
        <v>X</v>
      </c>
      <c r="I2497" s="1" t="str">
        <f t="shared" si="523"/>
        <v>X</v>
      </c>
      <c r="J2497" s="1" t="str">
        <f t="shared" si="523"/>
        <v>X</v>
      </c>
      <c r="K2497" s="1" t="str">
        <f t="shared" si="523"/>
        <v>X</v>
      </c>
      <c r="L2497" s="1" t="str">
        <f t="shared" si="523"/>
        <v>X</v>
      </c>
      <c r="M2497" s="1" t="str">
        <f t="shared" si="523"/>
        <v>X</v>
      </c>
      <c r="N2497" t="s">
        <v>27</v>
      </c>
    </row>
    <row r="2498" spans="1:14" x14ac:dyDescent="0.25">
      <c r="A2498" t="s">
        <v>14</v>
      </c>
      <c r="B2498" t="s">
        <v>40</v>
      </c>
      <c r="C2498" t="s">
        <v>38</v>
      </c>
      <c r="D2498" t="s">
        <v>28</v>
      </c>
      <c r="E2498" t="s">
        <v>26</v>
      </c>
      <c r="F2498" t="s">
        <v>17</v>
      </c>
      <c r="G2498" s="1" t="str">
        <f t="shared" si="523"/>
        <v>X</v>
      </c>
      <c r="H2498" s="1" t="str">
        <f t="shared" si="523"/>
        <v>X</v>
      </c>
      <c r="I2498" s="1" t="str">
        <f t="shared" si="523"/>
        <v>X</v>
      </c>
      <c r="J2498" s="1" t="str">
        <f t="shared" si="523"/>
        <v>X</v>
      </c>
      <c r="K2498" s="1" t="str">
        <f t="shared" si="523"/>
        <v>X</v>
      </c>
      <c r="L2498" s="1" t="str">
        <f t="shared" si="523"/>
        <v>X</v>
      </c>
      <c r="M2498" s="1" t="str">
        <f t="shared" si="523"/>
        <v>X</v>
      </c>
      <c r="N2498" t="s">
        <v>27</v>
      </c>
    </row>
    <row r="2499" spans="1:14" x14ac:dyDescent="0.25">
      <c r="A2499" t="s">
        <v>14</v>
      </c>
      <c r="B2499" t="s">
        <v>40</v>
      </c>
      <c r="C2499" t="s">
        <v>38</v>
      </c>
      <c r="D2499" t="s">
        <v>28</v>
      </c>
      <c r="E2499" t="s">
        <v>26</v>
      </c>
      <c r="F2499" t="s">
        <v>18</v>
      </c>
      <c r="G2499" s="1" t="str">
        <f t="shared" si="523"/>
        <v>X</v>
      </c>
      <c r="H2499" s="1" t="str">
        <f t="shared" si="523"/>
        <v>X</v>
      </c>
      <c r="I2499" s="1" t="str">
        <f t="shared" si="523"/>
        <v>X</v>
      </c>
      <c r="J2499" s="1" t="str">
        <f t="shared" si="523"/>
        <v>X</v>
      </c>
      <c r="K2499" s="1" t="str">
        <f t="shared" si="523"/>
        <v>X</v>
      </c>
      <c r="L2499" s="1" t="str">
        <f t="shared" si="523"/>
        <v>X</v>
      </c>
      <c r="M2499" s="1" t="str">
        <f t="shared" si="523"/>
        <v>X</v>
      </c>
      <c r="N2499" t="s">
        <v>27</v>
      </c>
    </row>
    <row r="2500" spans="1:14" x14ac:dyDescent="0.25">
      <c r="A2500" t="s">
        <v>14</v>
      </c>
      <c r="B2500" t="s">
        <v>40</v>
      </c>
      <c r="C2500" t="s">
        <v>38</v>
      </c>
      <c r="D2500" t="s">
        <v>28</v>
      </c>
      <c r="E2500" t="s">
        <v>26</v>
      </c>
      <c r="F2500" t="s">
        <v>19</v>
      </c>
      <c r="G2500" s="1" t="str">
        <f t="shared" si="523"/>
        <v>X</v>
      </c>
      <c r="H2500" s="1" t="str">
        <f t="shared" si="523"/>
        <v>X</v>
      </c>
      <c r="I2500" s="1" t="str">
        <f t="shared" si="523"/>
        <v>X</v>
      </c>
      <c r="J2500" s="1" t="str">
        <f t="shared" si="523"/>
        <v>X</v>
      </c>
      <c r="K2500" s="1" t="str">
        <f t="shared" si="523"/>
        <v>X</v>
      </c>
      <c r="L2500" s="1" t="str">
        <f t="shared" si="523"/>
        <v>X</v>
      </c>
      <c r="M2500" s="1" t="str">
        <f t="shared" si="523"/>
        <v>X</v>
      </c>
      <c r="N2500" t="s">
        <v>27</v>
      </c>
    </row>
    <row r="2501" spans="1:14" x14ac:dyDescent="0.25">
      <c r="A2501" t="s">
        <v>14</v>
      </c>
      <c r="B2501" t="s">
        <v>40</v>
      </c>
      <c r="C2501" t="s">
        <v>38</v>
      </c>
      <c r="D2501" t="s">
        <v>28</v>
      </c>
      <c r="E2501" t="s">
        <v>26</v>
      </c>
      <c r="F2501" t="s">
        <v>20</v>
      </c>
      <c r="G2501" s="1" t="str">
        <f t="shared" si="523"/>
        <v>X</v>
      </c>
      <c r="H2501" s="1" t="str">
        <f t="shared" si="523"/>
        <v>X</v>
      </c>
      <c r="I2501" s="1" t="str">
        <f t="shared" si="523"/>
        <v>X</v>
      </c>
      <c r="J2501" s="1" t="str">
        <f t="shared" si="523"/>
        <v>X</v>
      </c>
      <c r="K2501" s="1" t="str">
        <f t="shared" si="523"/>
        <v>X</v>
      </c>
      <c r="L2501" s="1" t="str">
        <f t="shared" si="523"/>
        <v>X</v>
      </c>
      <c r="M2501" s="1" t="str">
        <f t="shared" si="523"/>
        <v>X</v>
      </c>
      <c r="N2501" t="s">
        <v>27</v>
      </c>
    </row>
    <row r="2502" spans="1:14" x14ac:dyDescent="0.25">
      <c r="A2502" t="s">
        <v>14</v>
      </c>
      <c r="B2502" t="s">
        <v>40</v>
      </c>
      <c r="C2502" t="s">
        <v>38</v>
      </c>
      <c r="D2502" t="s">
        <v>29</v>
      </c>
      <c r="E2502" t="s">
        <v>15</v>
      </c>
      <c r="F2502" t="s">
        <v>15</v>
      </c>
      <c r="G2502" s="1">
        <f>VALUE(1589.2777212935)</f>
        <v>1589.2777212935</v>
      </c>
      <c r="H2502" s="1">
        <f>VALUE(1204.1424620242)</f>
        <v>1204.1424620242001</v>
      </c>
      <c r="I2502" s="1">
        <f>VALUE(3131)</f>
        <v>3131</v>
      </c>
      <c r="J2502" s="1">
        <f>VALUE(3498)</f>
        <v>3498</v>
      </c>
      <c r="K2502" s="1">
        <f>VALUE(4008)</f>
        <v>4008</v>
      </c>
      <c r="L2502" s="1">
        <f>VALUE(5353)</f>
        <v>5353</v>
      </c>
      <c r="M2502" s="1">
        <f>VALUE(7240)</f>
        <v>7240</v>
      </c>
      <c r="N2502" t="s">
        <v>16</v>
      </c>
    </row>
    <row r="2503" spans="1:14" x14ac:dyDescent="0.25">
      <c r="A2503" t="s">
        <v>14</v>
      </c>
      <c r="B2503" t="s">
        <v>40</v>
      </c>
      <c r="C2503" t="s">
        <v>38</v>
      </c>
      <c r="D2503" t="s">
        <v>29</v>
      </c>
      <c r="E2503" t="s">
        <v>15</v>
      </c>
      <c r="F2503" t="s">
        <v>17</v>
      </c>
      <c r="G2503" s="1" t="str">
        <f t="shared" ref="G2503:M2504" si="524">"X"</f>
        <v>X</v>
      </c>
      <c r="H2503" s="1" t="str">
        <f t="shared" si="524"/>
        <v>X</v>
      </c>
      <c r="I2503" s="1" t="str">
        <f t="shared" si="524"/>
        <v>X</v>
      </c>
      <c r="J2503" s="1" t="str">
        <f t="shared" si="524"/>
        <v>X</v>
      </c>
      <c r="K2503" s="1" t="str">
        <f t="shared" si="524"/>
        <v>X</v>
      </c>
      <c r="L2503" s="1" t="str">
        <f t="shared" si="524"/>
        <v>X</v>
      </c>
      <c r="M2503" s="1" t="str">
        <f t="shared" si="524"/>
        <v>X</v>
      </c>
      <c r="N2503" t="s">
        <v>27</v>
      </c>
    </row>
    <row r="2504" spans="1:14" x14ac:dyDescent="0.25">
      <c r="A2504" t="s">
        <v>14</v>
      </c>
      <c r="B2504" t="s">
        <v>40</v>
      </c>
      <c r="C2504" t="s">
        <v>38</v>
      </c>
      <c r="D2504" t="s">
        <v>29</v>
      </c>
      <c r="E2504" t="s">
        <v>15</v>
      </c>
      <c r="F2504" t="s">
        <v>18</v>
      </c>
      <c r="G2504" s="1" t="str">
        <f t="shared" si="524"/>
        <v>X</v>
      </c>
      <c r="H2504" s="1" t="str">
        <f t="shared" si="524"/>
        <v>X</v>
      </c>
      <c r="I2504" s="1" t="str">
        <f t="shared" si="524"/>
        <v>X</v>
      </c>
      <c r="J2504" s="1" t="str">
        <f t="shared" si="524"/>
        <v>X</v>
      </c>
      <c r="K2504" s="1" t="str">
        <f t="shared" si="524"/>
        <v>X</v>
      </c>
      <c r="L2504" s="1" t="str">
        <f t="shared" si="524"/>
        <v>X</v>
      </c>
      <c r="M2504" s="1" t="str">
        <f t="shared" si="524"/>
        <v>X</v>
      </c>
      <c r="N2504" t="s">
        <v>27</v>
      </c>
    </row>
    <row r="2505" spans="1:14" x14ac:dyDescent="0.25">
      <c r="A2505" t="s">
        <v>14</v>
      </c>
      <c r="B2505" t="s">
        <v>40</v>
      </c>
      <c r="C2505" t="s">
        <v>38</v>
      </c>
      <c r="D2505" t="s">
        <v>29</v>
      </c>
      <c r="E2505" t="s">
        <v>15</v>
      </c>
      <c r="F2505" t="s">
        <v>19</v>
      </c>
      <c r="G2505" s="2">
        <f>VALUE(131.5023122352)</f>
        <v>131.50231223520001</v>
      </c>
      <c r="H2505" s="3">
        <f>VALUE(108.0952750203)</f>
        <v>108.09527502029999</v>
      </c>
      <c r="I2505" s="1">
        <f>VALUE(3412)</f>
        <v>3412</v>
      </c>
      <c r="J2505" s="5">
        <f>VALUE(3938)</f>
        <v>3938</v>
      </c>
      <c r="K2505" s="1">
        <f>VALUE(5528)</f>
        <v>5528</v>
      </c>
      <c r="L2505" s="7">
        <f>VALUE(7380)</f>
        <v>7380</v>
      </c>
      <c r="M2505" s="8">
        <f>VALUE(9083)</f>
        <v>9083</v>
      </c>
      <c r="N2505" t="s">
        <v>25</v>
      </c>
    </row>
    <row r="2506" spans="1:14" x14ac:dyDescent="0.25">
      <c r="A2506" t="s">
        <v>14</v>
      </c>
      <c r="B2506" t="s">
        <v>40</v>
      </c>
      <c r="C2506" t="s">
        <v>38</v>
      </c>
      <c r="D2506" t="s">
        <v>29</v>
      </c>
      <c r="E2506" t="s">
        <v>15</v>
      </c>
      <c r="F2506" t="s">
        <v>20</v>
      </c>
      <c r="G2506" s="2">
        <f>VALUE(1226.8011804954)</f>
        <v>1226.8011804954001</v>
      </c>
      <c r="H2506" s="3">
        <f>VALUE(885.3114969464)</f>
        <v>885.31149694639998</v>
      </c>
      <c r="I2506" s="1">
        <f>VALUE(3076)</f>
        <v>3076</v>
      </c>
      <c r="J2506" s="1">
        <f>VALUE(3458)</f>
        <v>3458</v>
      </c>
      <c r="K2506" s="1">
        <f>VALUE(3910)</f>
        <v>3910</v>
      </c>
      <c r="L2506" s="1">
        <f>VALUE(4845)</f>
        <v>4845</v>
      </c>
      <c r="M2506" s="1">
        <f>VALUE(5645)</f>
        <v>5645</v>
      </c>
      <c r="N2506" t="s">
        <v>25</v>
      </c>
    </row>
    <row r="2507" spans="1:14" x14ac:dyDescent="0.25">
      <c r="A2507" t="s">
        <v>14</v>
      </c>
      <c r="B2507" t="s">
        <v>40</v>
      </c>
      <c r="C2507" t="s">
        <v>38</v>
      </c>
      <c r="D2507" t="s">
        <v>29</v>
      </c>
      <c r="E2507" t="s">
        <v>21</v>
      </c>
      <c r="F2507" t="s">
        <v>15</v>
      </c>
      <c r="G2507" s="1" t="str">
        <f t="shared" ref="G2507:M2511" si="525">"X"</f>
        <v>X</v>
      </c>
      <c r="H2507" s="1" t="str">
        <f t="shared" si="525"/>
        <v>X</v>
      </c>
      <c r="I2507" s="1" t="str">
        <f t="shared" si="525"/>
        <v>X</v>
      </c>
      <c r="J2507" s="1" t="str">
        <f t="shared" si="525"/>
        <v>X</v>
      </c>
      <c r="K2507" s="1" t="str">
        <f t="shared" si="525"/>
        <v>X</v>
      </c>
      <c r="L2507" s="1" t="str">
        <f t="shared" si="525"/>
        <v>X</v>
      </c>
      <c r="M2507" s="1" t="str">
        <f t="shared" si="525"/>
        <v>X</v>
      </c>
      <c r="N2507" t="s">
        <v>27</v>
      </c>
    </row>
    <row r="2508" spans="1:14" x14ac:dyDescent="0.25">
      <c r="A2508" t="s">
        <v>14</v>
      </c>
      <c r="B2508" t="s">
        <v>40</v>
      </c>
      <c r="C2508" t="s">
        <v>38</v>
      </c>
      <c r="D2508" t="s">
        <v>29</v>
      </c>
      <c r="E2508" t="s">
        <v>21</v>
      </c>
      <c r="F2508" t="s">
        <v>17</v>
      </c>
      <c r="G2508" s="1" t="str">
        <f t="shared" si="525"/>
        <v>X</v>
      </c>
      <c r="H2508" s="1" t="str">
        <f t="shared" si="525"/>
        <v>X</v>
      </c>
      <c r="I2508" s="1" t="str">
        <f t="shared" si="525"/>
        <v>X</v>
      </c>
      <c r="J2508" s="1" t="str">
        <f t="shared" si="525"/>
        <v>X</v>
      </c>
      <c r="K2508" s="1" t="str">
        <f t="shared" si="525"/>
        <v>X</v>
      </c>
      <c r="L2508" s="1" t="str">
        <f t="shared" si="525"/>
        <v>X</v>
      </c>
      <c r="M2508" s="1" t="str">
        <f t="shared" si="525"/>
        <v>X</v>
      </c>
      <c r="N2508" t="s">
        <v>27</v>
      </c>
    </row>
    <row r="2509" spans="1:14" x14ac:dyDescent="0.25">
      <c r="A2509" t="s">
        <v>14</v>
      </c>
      <c r="B2509" t="s">
        <v>40</v>
      </c>
      <c r="C2509" t="s">
        <v>38</v>
      </c>
      <c r="D2509" t="s">
        <v>29</v>
      </c>
      <c r="E2509" t="s">
        <v>21</v>
      </c>
      <c r="F2509" t="s">
        <v>18</v>
      </c>
      <c r="G2509" s="1" t="str">
        <f t="shared" si="525"/>
        <v>X</v>
      </c>
      <c r="H2509" s="1" t="str">
        <f t="shared" si="525"/>
        <v>X</v>
      </c>
      <c r="I2509" s="1" t="str">
        <f t="shared" si="525"/>
        <v>X</v>
      </c>
      <c r="J2509" s="1" t="str">
        <f t="shared" si="525"/>
        <v>X</v>
      </c>
      <c r="K2509" s="1" t="str">
        <f t="shared" si="525"/>
        <v>X</v>
      </c>
      <c r="L2509" s="1" t="str">
        <f t="shared" si="525"/>
        <v>X</v>
      </c>
      <c r="M2509" s="1" t="str">
        <f t="shared" si="525"/>
        <v>X</v>
      </c>
      <c r="N2509" t="s">
        <v>27</v>
      </c>
    </row>
    <row r="2510" spans="1:14" x14ac:dyDescent="0.25">
      <c r="A2510" t="s">
        <v>14</v>
      </c>
      <c r="B2510" t="s">
        <v>40</v>
      </c>
      <c r="C2510" t="s">
        <v>38</v>
      </c>
      <c r="D2510" t="s">
        <v>29</v>
      </c>
      <c r="E2510" t="s">
        <v>21</v>
      </c>
      <c r="F2510" t="s">
        <v>19</v>
      </c>
      <c r="G2510" s="1" t="str">
        <f t="shared" si="525"/>
        <v>X</v>
      </c>
      <c r="H2510" s="1" t="str">
        <f t="shared" si="525"/>
        <v>X</v>
      </c>
      <c r="I2510" s="1" t="str">
        <f t="shared" si="525"/>
        <v>X</v>
      </c>
      <c r="J2510" s="1" t="str">
        <f t="shared" si="525"/>
        <v>X</v>
      </c>
      <c r="K2510" s="1" t="str">
        <f t="shared" si="525"/>
        <v>X</v>
      </c>
      <c r="L2510" s="1" t="str">
        <f t="shared" si="525"/>
        <v>X</v>
      </c>
      <c r="M2510" s="1" t="str">
        <f t="shared" si="525"/>
        <v>X</v>
      </c>
      <c r="N2510" t="s">
        <v>27</v>
      </c>
    </row>
    <row r="2511" spans="1:14" x14ac:dyDescent="0.25">
      <c r="A2511" t="s">
        <v>14</v>
      </c>
      <c r="B2511" t="s">
        <v>40</v>
      </c>
      <c r="C2511" t="s">
        <v>38</v>
      </c>
      <c r="D2511" t="s">
        <v>29</v>
      </c>
      <c r="E2511" t="s">
        <v>21</v>
      </c>
      <c r="F2511" t="s">
        <v>20</v>
      </c>
      <c r="G2511" s="1" t="str">
        <f t="shared" si="525"/>
        <v>X</v>
      </c>
      <c r="H2511" s="1" t="str">
        <f t="shared" si="525"/>
        <v>X</v>
      </c>
      <c r="I2511" s="1" t="str">
        <f t="shared" si="525"/>
        <v>X</v>
      </c>
      <c r="J2511" s="1" t="str">
        <f t="shared" si="525"/>
        <v>X</v>
      </c>
      <c r="K2511" s="1" t="str">
        <f t="shared" si="525"/>
        <v>X</v>
      </c>
      <c r="L2511" s="1" t="str">
        <f t="shared" si="525"/>
        <v>X</v>
      </c>
      <c r="M2511" s="1" t="str">
        <f t="shared" si="525"/>
        <v>X</v>
      </c>
      <c r="N2511" t="s">
        <v>27</v>
      </c>
    </row>
    <row r="2512" spans="1:14" x14ac:dyDescent="0.25">
      <c r="A2512" t="s">
        <v>14</v>
      </c>
      <c r="B2512" t="s">
        <v>40</v>
      </c>
      <c r="C2512" t="s">
        <v>38</v>
      </c>
      <c r="D2512" t="s">
        <v>29</v>
      </c>
      <c r="E2512" t="s">
        <v>22</v>
      </c>
      <c r="F2512" t="s">
        <v>15</v>
      </c>
      <c r="G2512" s="2">
        <f>VALUE(368.8903246065)</f>
        <v>368.89032460649997</v>
      </c>
      <c r="H2512" s="3">
        <f>VALUE(294.0006908434)</f>
        <v>294.00069084339998</v>
      </c>
      <c r="I2512" s="1">
        <f>VALUE(3482)</f>
        <v>3482</v>
      </c>
      <c r="J2512" s="1">
        <f>VALUE(3714)</f>
        <v>3714</v>
      </c>
      <c r="K2512" s="6">
        <f>VALUE(4723)</f>
        <v>4723</v>
      </c>
      <c r="L2512" s="1">
        <f>VALUE(5762)</f>
        <v>5762</v>
      </c>
      <c r="M2512" s="1">
        <f>VALUE(7380)</f>
        <v>7380</v>
      </c>
      <c r="N2512" t="s">
        <v>25</v>
      </c>
    </row>
    <row r="2513" spans="1:14" x14ac:dyDescent="0.25">
      <c r="A2513" t="s">
        <v>14</v>
      </c>
      <c r="B2513" t="s">
        <v>40</v>
      </c>
      <c r="C2513" t="s">
        <v>38</v>
      </c>
      <c r="D2513" t="s">
        <v>29</v>
      </c>
      <c r="E2513" t="s">
        <v>22</v>
      </c>
      <c r="F2513" t="s">
        <v>17</v>
      </c>
      <c r="G2513" s="1" t="str">
        <f t="shared" ref="G2513:M2515" si="526">"X"</f>
        <v>X</v>
      </c>
      <c r="H2513" s="1" t="str">
        <f t="shared" si="526"/>
        <v>X</v>
      </c>
      <c r="I2513" s="1" t="str">
        <f t="shared" si="526"/>
        <v>X</v>
      </c>
      <c r="J2513" s="1" t="str">
        <f t="shared" si="526"/>
        <v>X</v>
      </c>
      <c r="K2513" s="1" t="str">
        <f t="shared" si="526"/>
        <v>X</v>
      </c>
      <c r="L2513" s="1" t="str">
        <f t="shared" si="526"/>
        <v>X</v>
      </c>
      <c r="M2513" s="1" t="str">
        <f t="shared" si="526"/>
        <v>X</v>
      </c>
      <c r="N2513" t="s">
        <v>27</v>
      </c>
    </row>
    <row r="2514" spans="1:14" x14ac:dyDescent="0.25">
      <c r="A2514" t="s">
        <v>14</v>
      </c>
      <c r="B2514" t="s">
        <v>40</v>
      </c>
      <c r="C2514" t="s">
        <v>38</v>
      </c>
      <c r="D2514" t="s">
        <v>29</v>
      </c>
      <c r="E2514" t="s">
        <v>22</v>
      </c>
      <c r="F2514" t="s">
        <v>18</v>
      </c>
      <c r="G2514" s="1" t="str">
        <f t="shared" si="526"/>
        <v>X</v>
      </c>
      <c r="H2514" s="1" t="str">
        <f t="shared" si="526"/>
        <v>X</v>
      </c>
      <c r="I2514" s="1" t="str">
        <f t="shared" si="526"/>
        <v>X</v>
      </c>
      <c r="J2514" s="1" t="str">
        <f t="shared" si="526"/>
        <v>X</v>
      </c>
      <c r="K2514" s="1" t="str">
        <f t="shared" si="526"/>
        <v>X</v>
      </c>
      <c r="L2514" s="1" t="str">
        <f t="shared" si="526"/>
        <v>X</v>
      </c>
      <c r="M2514" s="1" t="str">
        <f t="shared" si="526"/>
        <v>X</v>
      </c>
      <c r="N2514" t="s">
        <v>27</v>
      </c>
    </row>
    <row r="2515" spans="1:14" x14ac:dyDescent="0.25">
      <c r="A2515" t="s">
        <v>14</v>
      </c>
      <c r="B2515" t="s">
        <v>40</v>
      </c>
      <c r="C2515" t="s">
        <v>38</v>
      </c>
      <c r="D2515" t="s">
        <v>29</v>
      </c>
      <c r="E2515" t="s">
        <v>22</v>
      </c>
      <c r="F2515" t="s">
        <v>19</v>
      </c>
      <c r="G2515" s="1" t="str">
        <f t="shared" si="526"/>
        <v>X</v>
      </c>
      <c r="H2515" s="1" t="str">
        <f t="shared" si="526"/>
        <v>X</v>
      </c>
      <c r="I2515" s="1" t="str">
        <f t="shared" si="526"/>
        <v>X</v>
      </c>
      <c r="J2515" s="1" t="str">
        <f t="shared" si="526"/>
        <v>X</v>
      </c>
      <c r="K2515" s="1" t="str">
        <f t="shared" si="526"/>
        <v>X</v>
      </c>
      <c r="L2515" s="1" t="str">
        <f t="shared" si="526"/>
        <v>X</v>
      </c>
      <c r="M2515" s="1" t="str">
        <f t="shared" si="526"/>
        <v>X</v>
      </c>
      <c r="N2515" t="s">
        <v>27</v>
      </c>
    </row>
    <row r="2516" spans="1:14" x14ac:dyDescent="0.25">
      <c r="A2516" t="s">
        <v>14</v>
      </c>
      <c r="B2516" t="s">
        <v>40</v>
      </c>
      <c r="C2516" t="s">
        <v>38</v>
      </c>
      <c r="D2516" t="s">
        <v>29</v>
      </c>
      <c r="E2516" t="s">
        <v>22</v>
      </c>
      <c r="F2516" t="s">
        <v>20</v>
      </c>
      <c r="G2516" s="2">
        <f>VALUE(231.5257670838)</f>
        <v>231.52576708379999</v>
      </c>
      <c r="H2516" s="3">
        <f>VALUE(170.6774271302)</f>
        <v>170.67742713019999</v>
      </c>
      <c r="I2516" s="4">
        <f>VALUE(3388)</f>
        <v>3388</v>
      </c>
      <c r="J2516" s="1">
        <f>VALUE(3759)</f>
        <v>3759</v>
      </c>
      <c r="K2516" s="6">
        <f>VALUE(4333)</f>
        <v>4333</v>
      </c>
      <c r="L2516" s="1">
        <f>VALUE(5447)</f>
        <v>5447</v>
      </c>
      <c r="M2516" s="8">
        <f>VALUE(6340)</f>
        <v>6340</v>
      </c>
      <c r="N2516" t="s">
        <v>25</v>
      </c>
    </row>
    <row r="2517" spans="1:14" x14ac:dyDescent="0.25">
      <c r="A2517" t="s">
        <v>14</v>
      </c>
      <c r="B2517" t="s">
        <v>40</v>
      </c>
      <c r="C2517" t="s">
        <v>38</v>
      </c>
      <c r="D2517" t="s">
        <v>29</v>
      </c>
      <c r="E2517" t="s">
        <v>23</v>
      </c>
      <c r="F2517" t="s">
        <v>15</v>
      </c>
      <c r="G2517" s="2">
        <f>VALUE(1071.6405297856)</f>
        <v>1071.6405297855999</v>
      </c>
      <c r="H2517" s="3">
        <f>VALUE(786.2755749577)</f>
        <v>786.27557495769997</v>
      </c>
      <c r="I2517" s="1">
        <f>VALUE(3076)</f>
        <v>3076</v>
      </c>
      <c r="J2517" s="1">
        <f>VALUE(3453)</f>
        <v>3453</v>
      </c>
      <c r="K2517" s="1">
        <f>VALUE(3823)</f>
        <v>3823</v>
      </c>
      <c r="L2517" s="1">
        <f>VALUE(4730)</f>
        <v>4730</v>
      </c>
      <c r="M2517" s="1">
        <f>VALUE(5528)</f>
        <v>5528</v>
      </c>
      <c r="N2517" t="s">
        <v>25</v>
      </c>
    </row>
    <row r="2518" spans="1:14" x14ac:dyDescent="0.25">
      <c r="A2518" t="s">
        <v>14</v>
      </c>
      <c r="B2518" t="s">
        <v>40</v>
      </c>
      <c r="C2518" t="s">
        <v>38</v>
      </c>
      <c r="D2518" t="s">
        <v>29</v>
      </c>
      <c r="E2518" t="s">
        <v>23</v>
      </c>
      <c r="F2518" t="s">
        <v>17</v>
      </c>
      <c r="G2518" s="1" t="str">
        <f t="shared" ref="G2518:M2520" si="527">"X"</f>
        <v>X</v>
      </c>
      <c r="H2518" s="1" t="str">
        <f t="shared" si="527"/>
        <v>X</v>
      </c>
      <c r="I2518" s="1" t="str">
        <f t="shared" si="527"/>
        <v>X</v>
      </c>
      <c r="J2518" s="1" t="str">
        <f t="shared" si="527"/>
        <v>X</v>
      </c>
      <c r="K2518" s="1" t="str">
        <f t="shared" si="527"/>
        <v>X</v>
      </c>
      <c r="L2518" s="1" t="str">
        <f t="shared" si="527"/>
        <v>X</v>
      </c>
      <c r="M2518" s="1" t="str">
        <f t="shared" si="527"/>
        <v>X</v>
      </c>
      <c r="N2518" t="s">
        <v>27</v>
      </c>
    </row>
    <row r="2519" spans="1:14" x14ac:dyDescent="0.25">
      <c r="A2519" t="s">
        <v>14</v>
      </c>
      <c r="B2519" t="s">
        <v>40</v>
      </c>
      <c r="C2519" t="s">
        <v>38</v>
      </c>
      <c r="D2519" t="s">
        <v>29</v>
      </c>
      <c r="E2519" t="s">
        <v>23</v>
      </c>
      <c r="F2519" t="s">
        <v>18</v>
      </c>
      <c r="G2519" s="1" t="str">
        <f t="shared" si="527"/>
        <v>X</v>
      </c>
      <c r="H2519" s="1" t="str">
        <f t="shared" si="527"/>
        <v>X</v>
      </c>
      <c r="I2519" s="1" t="str">
        <f t="shared" si="527"/>
        <v>X</v>
      </c>
      <c r="J2519" s="1" t="str">
        <f t="shared" si="527"/>
        <v>X</v>
      </c>
      <c r="K2519" s="1" t="str">
        <f t="shared" si="527"/>
        <v>X</v>
      </c>
      <c r="L2519" s="1" t="str">
        <f t="shared" si="527"/>
        <v>X</v>
      </c>
      <c r="M2519" s="1" t="str">
        <f t="shared" si="527"/>
        <v>X</v>
      </c>
      <c r="N2519" t="s">
        <v>27</v>
      </c>
    </row>
    <row r="2520" spans="1:14" x14ac:dyDescent="0.25">
      <c r="A2520" t="s">
        <v>14</v>
      </c>
      <c r="B2520" t="s">
        <v>40</v>
      </c>
      <c r="C2520" t="s">
        <v>38</v>
      </c>
      <c r="D2520" t="s">
        <v>29</v>
      </c>
      <c r="E2520" t="s">
        <v>23</v>
      </c>
      <c r="F2520" t="s">
        <v>19</v>
      </c>
      <c r="G2520" s="1" t="str">
        <f t="shared" si="527"/>
        <v>X</v>
      </c>
      <c r="H2520" s="1" t="str">
        <f t="shared" si="527"/>
        <v>X</v>
      </c>
      <c r="I2520" s="1" t="str">
        <f t="shared" si="527"/>
        <v>X</v>
      </c>
      <c r="J2520" s="1" t="str">
        <f t="shared" si="527"/>
        <v>X</v>
      </c>
      <c r="K2520" s="1" t="str">
        <f t="shared" si="527"/>
        <v>X</v>
      </c>
      <c r="L2520" s="1" t="str">
        <f t="shared" si="527"/>
        <v>X</v>
      </c>
      <c r="M2520" s="1" t="str">
        <f t="shared" si="527"/>
        <v>X</v>
      </c>
      <c r="N2520" t="s">
        <v>27</v>
      </c>
    </row>
    <row r="2521" spans="1:14" x14ac:dyDescent="0.25">
      <c r="A2521" t="s">
        <v>14</v>
      </c>
      <c r="B2521" t="s">
        <v>40</v>
      </c>
      <c r="C2521" t="s">
        <v>38</v>
      </c>
      <c r="D2521" t="s">
        <v>29</v>
      </c>
      <c r="E2521" t="s">
        <v>23</v>
      </c>
      <c r="F2521" t="s">
        <v>20</v>
      </c>
      <c r="G2521" s="2">
        <f>VALUE(956.4413450191)</f>
        <v>956.44134501910003</v>
      </c>
      <c r="H2521" s="3">
        <f>VALUE(685.4635671723)</f>
        <v>685.46356717230003</v>
      </c>
      <c r="I2521" s="1">
        <f>VALUE(3016)</f>
        <v>3016</v>
      </c>
      <c r="J2521" s="1">
        <f>VALUE(3429)</f>
        <v>3429</v>
      </c>
      <c r="K2521" s="1">
        <f>VALUE(3794)</f>
        <v>3794</v>
      </c>
      <c r="L2521" s="1">
        <f>VALUE(4655)</f>
        <v>4655</v>
      </c>
      <c r="M2521" s="1">
        <f>VALUE(5359)</f>
        <v>5359</v>
      </c>
      <c r="N2521" t="s">
        <v>25</v>
      </c>
    </row>
    <row r="2522" spans="1:14" x14ac:dyDescent="0.25">
      <c r="A2522" t="s">
        <v>14</v>
      </c>
      <c r="B2522" t="s">
        <v>40</v>
      </c>
      <c r="C2522" t="s">
        <v>38</v>
      </c>
      <c r="D2522" t="s">
        <v>29</v>
      </c>
      <c r="E2522" t="s">
        <v>26</v>
      </c>
      <c r="F2522" t="s">
        <v>15</v>
      </c>
      <c r="G2522" s="1" t="str">
        <f t="shared" ref="G2522:M2524" si="528">"X"</f>
        <v>X</v>
      </c>
      <c r="H2522" s="1" t="str">
        <f t="shared" si="528"/>
        <v>X</v>
      </c>
      <c r="I2522" s="1" t="str">
        <f t="shared" si="528"/>
        <v>X</v>
      </c>
      <c r="J2522" s="1" t="str">
        <f t="shared" si="528"/>
        <v>X</v>
      </c>
      <c r="K2522" s="1" t="str">
        <f t="shared" si="528"/>
        <v>X</v>
      </c>
      <c r="L2522" s="1" t="str">
        <f t="shared" si="528"/>
        <v>X</v>
      </c>
      <c r="M2522" s="1" t="str">
        <f t="shared" si="528"/>
        <v>X</v>
      </c>
      <c r="N2522" t="s">
        <v>27</v>
      </c>
    </row>
    <row r="2523" spans="1:14" x14ac:dyDescent="0.25">
      <c r="A2523" t="s">
        <v>14</v>
      </c>
      <c r="B2523" t="s">
        <v>40</v>
      </c>
      <c r="C2523" t="s">
        <v>38</v>
      </c>
      <c r="D2523" t="s">
        <v>29</v>
      </c>
      <c r="E2523" t="s">
        <v>26</v>
      </c>
      <c r="F2523" t="s">
        <v>17</v>
      </c>
      <c r="G2523" s="1" t="str">
        <f t="shared" si="528"/>
        <v>X</v>
      </c>
      <c r="H2523" s="1" t="str">
        <f t="shared" si="528"/>
        <v>X</v>
      </c>
      <c r="I2523" s="1" t="str">
        <f t="shared" si="528"/>
        <v>X</v>
      </c>
      <c r="J2523" s="1" t="str">
        <f t="shared" si="528"/>
        <v>X</v>
      </c>
      <c r="K2523" s="1" t="str">
        <f t="shared" si="528"/>
        <v>X</v>
      </c>
      <c r="L2523" s="1" t="str">
        <f t="shared" si="528"/>
        <v>X</v>
      </c>
      <c r="M2523" s="1" t="str">
        <f t="shared" si="528"/>
        <v>X</v>
      </c>
      <c r="N2523" t="s">
        <v>27</v>
      </c>
    </row>
    <row r="2524" spans="1:14" x14ac:dyDescent="0.25">
      <c r="A2524" t="s">
        <v>14</v>
      </c>
      <c r="B2524" t="s">
        <v>40</v>
      </c>
      <c r="C2524" t="s">
        <v>38</v>
      </c>
      <c r="D2524" t="s">
        <v>29</v>
      </c>
      <c r="E2524" t="s">
        <v>26</v>
      </c>
      <c r="F2524" t="s">
        <v>18</v>
      </c>
      <c r="G2524" s="1" t="str">
        <f t="shared" si="528"/>
        <v>X</v>
      </c>
      <c r="H2524" s="1" t="str">
        <f t="shared" si="528"/>
        <v>X</v>
      </c>
      <c r="I2524" s="1" t="str">
        <f t="shared" si="528"/>
        <v>X</v>
      </c>
      <c r="J2524" s="1" t="str">
        <f t="shared" si="528"/>
        <v>X</v>
      </c>
      <c r="K2524" s="1" t="str">
        <f t="shared" si="528"/>
        <v>X</v>
      </c>
      <c r="L2524" s="1" t="str">
        <f t="shared" si="528"/>
        <v>X</v>
      </c>
      <c r="M2524" s="1" t="str">
        <f t="shared" si="528"/>
        <v>X</v>
      </c>
      <c r="N2524" t="s">
        <v>27</v>
      </c>
    </row>
    <row r="2525" spans="1:14" x14ac:dyDescent="0.25">
      <c r="A2525" t="s">
        <v>14</v>
      </c>
      <c r="B2525" t="s">
        <v>40</v>
      </c>
      <c r="C2525" t="s">
        <v>38</v>
      </c>
      <c r="D2525" t="s">
        <v>29</v>
      </c>
      <c r="E2525" t="s">
        <v>26</v>
      </c>
      <c r="F2525" t="s">
        <v>19</v>
      </c>
      <c r="G2525" s="1" t="str">
        <f t="shared" ref="G2525:M2525" si="529">"..."</f>
        <v>...</v>
      </c>
      <c r="H2525" s="1" t="str">
        <f t="shared" si="529"/>
        <v>...</v>
      </c>
      <c r="I2525" s="1" t="str">
        <f t="shared" si="529"/>
        <v>...</v>
      </c>
      <c r="J2525" s="1" t="str">
        <f t="shared" si="529"/>
        <v>...</v>
      </c>
      <c r="K2525" s="1" t="str">
        <f t="shared" si="529"/>
        <v>...</v>
      </c>
      <c r="L2525" s="1" t="str">
        <f t="shared" si="529"/>
        <v>...</v>
      </c>
      <c r="M2525" s="1" t="str">
        <f t="shared" si="529"/>
        <v>...</v>
      </c>
      <c r="N2525" t="s">
        <v>30</v>
      </c>
    </row>
    <row r="2526" spans="1:14" x14ac:dyDescent="0.25">
      <c r="A2526" t="s">
        <v>14</v>
      </c>
      <c r="B2526" t="s">
        <v>40</v>
      </c>
      <c r="C2526" t="s">
        <v>38</v>
      </c>
      <c r="D2526" t="s">
        <v>29</v>
      </c>
      <c r="E2526" t="s">
        <v>26</v>
      </c>
      <c r="F2526" t="s">
        <v>20</v>
      </c>
      <c r="G2526" s="1" t="str">
        <f t="shared" ref="G2526:M2534" si="530">"X"</f>
        <v>X</v>
      </c>
      <c r="H2526" s="1" t="str">
        <f t="shared" si="530"/>
        <v>X</v>
      </c>
      <c r="I2526" s="1" t="str">
        <f t="shared" si="530"/>
        <v>X</v>
      </c>
      <c r="J2526" s="1" t="str">
        <f t="shared" si="530"/>
        <v>X</v>
      </c>
      <c r="K2526" s="1" t="str">
        <f t="shared" si="530"/>
        <v>X</v>
      </c>
      <c r="L2526" s="1" t="str">
        <f t="shared" si="530"/>
        <v>X</v>
      </c>
      <c r="M2526" s="1" t="str">
        <f t="shared" si="530"/>
        <v>X</v>
      </c>
      <c r="N2526" t="s">
        <v>27</v>
      </c>
    </row>
    <row r="2527" spans="1:14" x14ac:dyDescent="0.25">
      <c r="A2527" t="s">
        <v>14</v>
      </c>
      <c r="B2527" t="s">
        <v>40</v>
      </c>
      <c r="C2527" t="s">
        <v>38</v>
      </c>
      <c r="D2527" t="s">
        <v>31</v>
      </c>
      <c r="E2527" t="s">
        <v>15</v>
      </c>
      <c r="F2527" t="s">
        <v>15</v>
      </c>
      <c r="G2527" s="1" t="str">
        <f t="shared" si="530"/>
        <v>X</v>
      </c>
      <c r="H2527" s="1" t="str">
        <f t="shared" si="530"/>
        <v>X</v>
      </c>
      <c r="I2527" s="1" t="str">
        <f t="shared" si="530"/>
        <v>X</v>
      </c>
      <c r="J2527" s="1" t="str">
        <f t="shared" si="530"/>
        <v>X</v>
      </c>
      <c r="K2527" s="1" t="str">
        <f t="shared" si="530"/>
        <v>X</v>
      </c>
      <c r="L2527" s="1" t="str">
        <f t="shared" si="530"/>
        <v>X</v>
      </c>
      <c r="M2527" s="1" t="str">
        <f t="shared" si="530"/>
        <v>X</v>
      </c>
      <c r="N2527" t="s">
        <v>27</v>
      </c>
    </row>
    <row r="2528" spans="1:14" x14ac:dyDescent="0.25">
      <c r="A2528" t="s">
        <v>14</v>
      </c>
      <c r="B2528" t="s">
        <v>40</v>
      </c>
      <c r="C2528" t="s">
        <v>38</v>
      </c>
      <c r="D2528" t="s">
        <v>31</v>
      </c>
      <c r="E2528" t="s">
        <v>15</v>
      </c>
      <c r="F2528" t="s">
        <v>17</v>
      </c>
      <c r="G2528" s="1" t="str">
        <f t="shared" si="530"/>
        <v>X</v>
      </c>
      <c r="H2528" s="1" t="str">
        <f t="shared" si="530"/>
        <v>X</v>
      </c>
      <c r="I2528" s="1" t="str">
        <f t="shared" si="530"/>
        <v>X</v>
      </c>
      <c r="J2528" s="1" t="str">
        <f t="shared" si="530"/>
        <v>X</v>
      </c>
      <c r="K2528" s="1" t="str">
        <f t="shared" si="530"/>
        <v>X</v>
      </c>
      <c r="L2528" s="1" t="str">
        <f t="shared" si="530"/>
        <v>X</v>
      </c>
      <c r="M2528" s="1" t="str">
        <f t="shared" si="530"/>
        <v>X</v>
      </c>
      <c r="N2528" t="s">
        <v>27</v>
      </c>
    </row>
    <row r="2529" spans="1:14" x14ac:dyDescent="0.25">
      <c r="A2529" t="s">
        <v>14</v>
      </c>
      <c r="B2529" t="s">
        <v>40</v>
      </c>
      <c r="C2529" t="s">
        <v>38</v>
      </c>
      <c r="D2529" t="s">
        <v>31</v>
      </c>
      <c r="E2529" t="s">
        <v>15</v>
      </c>
      <c r="F2529" t="s">
        <v>18</v>
      </c>
      <c r="G2529" s="1" t="str">
        <f t="shared" si="530"/>
        <v>X</v>
      </c>
      <c r="H2529" s="1" t="str">
        <f t="shared" si="530"/>
        <v>X</v>
      </c>
      <c r="I2529" s="1" t="str">
        <f t="shared" si="530"/>
        <v>X</v>
      </c>
      <c r="J2529" s="1" t="str">
        <f t="shared" si="530"/>
        <v>X</v>
      </c>
      <c r="K2529" s="1" t="str">
        <f t="shared" si="530"/>
        <v>X</v>
      </c>
      <c r="L2529" s="1" t="str">
        <f t="shared" si="530"/>
        <v>X</v>
      </c>
      <c r="M2529" s="1" t="str">
        <f t="shared" si="530"/>
        <v>X</v>
      </c>
      <c r="N2529" t="s">
        <v>27</v>
      </c>
    </row>
    <row r="2530" spans="1:14" x14ac:dyDescent="0.25">
      <c r="A2530" t="s">
        <v>14</v>
      </c>
      <c r="B2530" t="s">
        <v>40</v>
      </c>
      <c r="C2530" t="s">
        <v>38</v>
      </c>
      <c r="D2530" t="s">
        <v>31</v>
      </c>
      <c r="E2530" t="s">
        <v>15</v>
      </c>
      <c r="F2530" t="s">
        <v>19</v>
      </c>
      <c r="G2530" s="1" t="str">
        <f t="shared" si="530"/>
        <v>X</v>
      </c>
      <c r="H2530" s="1" t="str">
        <f t="shared" si="530"/>
        <v>X</v>
      </c>
      <c r="I2530" s="1" t="str">
        <f t="shared" si="530"/>
        <v>X</v>
      </c>
      <c r="J2530" s="1" t="str">
        <f t="shared" si="530"/>
        <v>X</v>
      </c>
      <c r="K2530" s="1" t="str">
        <f t="shared" si="530"/>
        <v>X</v>
      </c>
      <c r="L2530" s="1" t="str">
        <f t="shared" si="530"/>
        <v>X</v>
      </c>
      <c r="M2530" s="1" t="str">
        <f t="shared" si="530"/>
        <v>X</v>
      </c>
      <c r="N2530" t="s">
        <v>27</v>
      </c>
    </row>
    <row r="2531" spans="1:14" x14ac:dyDescent="0.25">
      <c r="A2531" t="s">
        <v>14</v>
      </c>
      <c r="B2531" t="s">
        <v>40</v>
      </c>
      <c r="C2531" t="s">
        <v>38</v>
      </c>
      <c r="D2531" t="s">
        <v>31</v>
      </c>
      <c r="E2531" t="s">
        <v>15</v>
      </c>
      <c r="F2531" t="s">
        <v>20</v>
      </c>
      <c r="G2531" s="1" t="str">
        <f t="shared" si="530"/>
        <v>X</v>
      </c>
      <c r="H2531" s="1" t="str">
        <f t="shared" si="530"/>
        <v>X</v>
      </c>
      <c r="I2531" s="1" t="str">
        <f t="shared" si="530"/>
        <v>X</v>
      </c>
      <c r="J2531" s="1" t="str">
        <f t="shared" si="530"/>
        <v>X</v>
      </c>
      <c r="K2531" s="1" t="str">
        <f t="shared" si="530"/>
        <v>X</v>
      </c>
      <c r="L2531" s="1" t="str">
        <f t="shared" si="530"/>
        <v>X</v>
      </c>
      <c r="M2531" s="1" t="str">
        <f t="shared" si="530"/>
        <v>X</v>
      </c>
      <c r="N2531" t="s">
        <v>27</v>
      </c>
    </row>
    <row r="2532" spans="1:14" x14ac:dyDescent="0.25">
      <c r="A2532" t="s">
        <v>14</v>
      </c>
      <c r="B2532" t="s">
        <v>40</v>
      </c>
      <c r="C2532" t="s">
        <v>38</v>
      </c>
      <c r="D2532" t="s">
        <v>31</v>
      </c>
      <c r="E2532" t="s">
        <v>21</v>
      </c>
      <c r="F2532" t="s">
        <v>15</v>
      </c>
      <c r="G2532" s="1" t="str">
        <f t="shared" si="530"/>
        <v>X</v>
      </c>
      <c r="H2532" s="1" t="str">
        <f t="shared" si="530"/>
        <v>X</v>
      </c>
      <c r="I2532" s="1" t="str">
        <f t="shared" si="530"/>
        <v>X</v>
      </c>
      <c r="J2532" s="1" t="str">
        <f t="shared" si="530"/>
        <v>X</v>
      </c>
      <c r="K2532" s="1" t="str">
        <f t="shared" si="530"/>
        <v>X</v>
      </c>
      <c r="L2532" s="1" t="str">
        <f t="shared" si="530"/>
        <v>X</v>
      </c>
      <c r="M2532" s="1" t="str">
        <f t="shared" si="530"/>
        <v>X</v>
      </c>
      <c r="N2532" t="s">
        <v>27</v>
      </c>
    </row>
    <row r="2533" spans="1:14" x14ac:dyDescent="0.25">
      <c r="A2533" t="s">
        <v>14</v>
      </c>
      <c r="B2533" t="s">
        <v>40</v>
      </c>
      <c r="C2533" t="s">
        <v>38</v>
      </c>
      <c r="D2533" t="s">
        <v>31</v>
      </c>
      <c r="E2533" t="s">
        <v>21</v>
      </c>
      <c r="F2533" t="s">
        <v>17</v>
      </c>
      <c r="G2533" s="1" t="str">
        <f t="shared" si="530"/>
        <v>X</v>
      </c>
      <c r="H2533" s="1" t="str">
        <f t="shared" si="530"/>
        <v>X</v>
      </c>
      <c r="I2533" s="1" t="str">
        <f t="shared" si="530"/>
        <v>X</v>
      </c>
      <c r="J2533" s="1" t="str">
        <f t="shared" si="530"/>
        <v>X</v>
      </c>
      <c r="K2533" s="1" t="str">
        <f t="shared" si="530"/>
        <v>X</v>
      </c>
      <c r="L2533" s="1" t="str">
        <f t="shared" si="530"/>
        <v>X</v>
      </c>
      <c r="M2533" s="1" t="str">
        <f t="shared" si="530"/>
        <v>X</v>
      </c>
      <c r="N2533" t="s">
        <v>27</v>
      </c>
    </row>
    <row r="2534" spans="1:14" x14ac:dyDescent="0.25">
      <c r="A2534" t="s">
        <v>14</v>
      </c>
      <c r="B2534" t="s">
        <v>40</v>
      </c>
      <c r="C2534" t="s">
        <v>38</v>
      </c>
      <c r="D2534" t="s">
        <v>31</v>
      </c>
      <c r="E2534" t="s">
        <v>21</v>
      </c>
      <c r="F2534" t="s">
        <v>18</v>
      </c>
      <c r="G2534" s="1" t="str">
        <f t="shared" si="530"/>
        <v>X</v>
      </c>
      <c r="H2534" s="1" t="str">
        <f t="shared" si="530"/>
        <v>X</v>
      </c>
      <c r="I2534" s="1" t="str">
        <f t="shared" si="530"/>
        <v>X</v>
      </c>
      <c r="J2534" s="1" t="str">
        <f t="shared" si="530"/>
        <v>X</v>
      </c>
      <c r="K2534" s="1" t="str">
        <f t="shared" si="530"/>
        <v>X</v>
      </c>
      <c r="L2534" s="1" t="str">
        <f t="shared" si="530"/>
        <v>X</v>
      </c>
      <c r="M2534" s="1" t="str">
        <f t="shared" si="530"/>
        <v>X</v>
      </c>
      <c r="N2534" t="s">
        <v>27</v>
      </c>
    </row>
    <row r="2535" spans="1:14" x14ac:dyDescent="0.25">
      <c r="A2535" t="s">
        <v>14</v>
      </c>
      <c r="B2535" t="s">
        <v>40</v>
      </c>
      <c r="C2535" t="s">
        <v>38</v>
      </c>
      <c r="D2535" t="s">
        <v>31</v>
      </c>
      <c r="E2535" t="s">
        <v>21</v>
      </c>
      <c r="F2535" t="s">
        <v>19</v>
      </c>
      <c r="G2535" s="1" t="str">
        <f t="shared" ref="G2535:M2535" si="531">"..."</f>
        <v>...</v>
      </c>
      <c r="H2535" s="1" t="str">
        <f t="shared" si="531"/>
        <v>...</v>
      </c>
      <c r="I2535" s="1" t="str">
        <f t="shared" si="531"/>
        <v>...</v>
      </c>
      <c r="J2535" s="1" t="str">
        <f t="shared" si="531"/>
        <v>...</v>
      </c>
      <c r="K2535" s="1" t="str">
        <f t="shared" si="531"/>
        <v>...</v>
      </c>
      <c r="L2535" s="1" t="str">
        <f t="shared" si="531"/>
        <v>...</v>
      </c>
      <c r="M2535" s="1" t="str">
        <f t="shared" si="531"/>
        <v>...</v>
      </c>
      <c r="N2535" t="s">
        <v>30</v>
      </c>
    </row>
    <row r="2536" spans="1:14" x14ac:dyDescent="0.25">
      <c r="A2536" t="s">
        <v>14</v>
      </c>
      <c r="B2536" t="s">
        <v>40</v>
      </c>
      <c r="C2536" t="s">
        <v>38</v>
      </c>
      <c r="D2536" t="s">
        <v>31</v>
      </c>
      <c r="E2536" t="s">
        <v>21</v>
      </c>
      <c r="F2536" t="s">
        <v>20</v>
      </c>
      <c r="G2536" s="1" t="str">
        <f t="shared" ref="G2536:M2542" si="532">"X"</f>
        <v>X</v>
      </c>
      <c r="H2536" s="1" t="str">
        <f t="shared" si="532"/>
        <v>X</v>
      </c>
      <c r="I2536" s="1" t="str">
        <f t="shared" si="532"/>
        <v>X</v>
      </c>
      <c r="J2536" s="1" t="str">
        <f t="shared" si="532"/>
        <v>X</v>
      </c>
      <c r="K2536" s="1" t="str">
        <f t="shared" si="532"/>
        <v>X</v>
      </c>
      <c r="L2536" s="1" t="str">
        <f t="shared" si="532"/>
        <v>X</v>
      </c>
      <c r="M2536" s="1" t="str">
        <f t="shared" si="532"/>
        <v>X</v>
      </c>
      <c r="N2536" t="s">
        <v>27</v>
      </c>
    </row>
    <row r="2537" spans="1:14" x14ac:dyDescent="0.25">
      <c r="A2537" t="s">
        <v>14</v>
      </c>
      <c r="B2537" t="s">
        <v>40</v>
      </c>
      <c r="C2537" t="s">
        <v>38</v>
      </c>
      <c r="D2537" t="s">
        <v>31</v>
      </c>
      <c r="E2537" t="s">
        <v>22</v>
      </c>
      <c r="F2537" t="s">
        <v>15</v>
      </c>
      <c r="G2537" s="1" t="str">
        <f t="shared" si="532"/>
        <v>X</v>
      </c>
      <c r="H2537" s="1" t="str">
        <f t="shared" si="532"/>
        <v>X</v>
      </c>
      <c r="I2537" s="1" t="str">
        <f t="shared" si="532"/>
        <v>X</v>
      </c>
      <c r="J2537" s="1" t="str">
        <f t="shared" si="532"/>
        <v>X</v>
      </c>
      <c r="K2537" s="1" t="str">
        <f t="shared" si="532"/>
        <v>X</v>
      </c>
      <c r="L2537" s="1" t="str">
        <f t="shared" si="532"/>
        <v>X</v>
      </c>
      <c r="M2537" s="1" t="str">
        <f t="shared" si="532"/>
        <v>X</v>
      </c>
      <c r="N2537" t="s">
        <v>27</v>
      </c>
    </row>
    <row r="2538" spans="1:14" x14ac:dyDescent="0.25">
      <c r="A2538" t="s">
        <v>14</v>
      </c>
      <c r="B2538" t="s">
        <v>40</v>
      </c>
      <c r="C2538" t="s">
        <v>38</v>
      </c>
      <c r="D2538" t="s">
        <v>31</v>
      </c>
      <c r="E2538" t="s">
        <v>22</v>
      </c>
      <c r="F2538" t="s">
        <v>17</v>
      </c>
      <c r="G2538" s="1" t="str">
        <f t="shared" si="532"/>
        <v>X</v>
      </c>
      <c r="H2538" s="1" t="str">
        <f t="shared" si="532"/>
        <v>X</v>
      </c>
      <c r="I2538" s="1" t="str">
        <f t="shared" si="532"/>
        <v>X</v>
      </c>
      <c r="J2538" s="1" t="str">
        <f t="shared" si="532"/>
        <v>X</v>
      </c>
      <c r="K2538" s="1" t="str">
        <f t="shared" si="532"/>
        <v>X</v>
      </c>
      <c r="L2538" s="1" t="str">
        <f t="shared" si="532"/>
        <v>X</v>
      </c>
      <c r="M2538" s="1" t="str">
        <f t="shared" si="532"/>
        <v>X</v>
      </c>
      <c r="N2538" t="s">
        <v>27</v>
      </c>
    </row>
    <row r="2539" spans="1:14" x14ac:dyDescent="0.25">
      <c r="A2539" t="s">
        <v>14</v>
      </c>
      <c r="B2539" t="s">
        <v>40</v>
      </c>
      <c r="C2539" t="s">
        <v>38</v>
      </c>
      <c r="D2539" t="s">
        <v>31</v>
      </c>
      <c r="E2539" t="s">
        <v>22</v>
      </c>
      <c r="F2539" t="s">
        <v>18</v>
      </c>
      <c r="G2539" s="1" t="str">
        <f t="shared" si="532"/>
        <v>X</v>
      </c>
      <c r="H2539" s="1" t="str">
        <f t="shared" si="532"/>
        <v>X</v>
      </c>
      <c r="I2539" s="1" t="str">
        <f t="shared" si="532"/>
        <v>X</v>
      </c>
      <c r="J2539" s="1" t="str">
        <f t="shared" si="532"/>
        <v>X</v>
      </c>
      <c r="K2539" s="1" t="str">
        <f t="shared" si="532"/>
        <v>X</v>
      </c>
      <c r="L2539" s="1" t="str">
        <f t="shared" si="532"/>
        <v>X</v>
      </c>
      <c r="M2539" s="1" t="str">
        <f t="shared" si="532"/>
        <v>X</v>
      </c>
      <c r="N2539" t="s">
        <v>27</v>
      </c>
    </row>
    <row r="2540" spans="1:14" x14ac:dyDescent="0.25">
      <c r="A2540" t="s">
        <v>14</v>
      </c>
      <c r="B2540" t="s">
        <v>40</v>
      </c>
      <c r="C2540" t="s">
        <v>38</v>
      </c>
      <c r="D2540" t="s">
        <v>31</v>
      </c>
      <c r="E2540" t="s">
        <v>22</v>
      </c>
      <c r="F2540" t="s">
        <v>19</v>
      </c>
      <c r="G2540" s="1" t="str">
        <f t="shared" si="532"/>
        <v>X</v>
      </c>
      <c r="H2540" s="1" t="str">
        <f t="shared" si="532"/>
        <v>X</v>
      </c>
      <c r="I2540" s="1" t="str">
        <f t="shared" si="532"/>
        <v>X</v>
      </c>
      <c r="J2540" s="1" t="str">
        <f t="shared" si="532"/>
        <v>X</v>
      </c>
      <c r="K2540" s="1" t="str">
        <f t="shared" si="532"/>
        <v>X</v>
      </c>
      <c r="L2540" s="1" t="str">
        <f t="shared" si="532"/>
        <v>X</v>
      </c>
      <c r="M2540" s="1" t="str">
        <f t="shared" si="532"/>
        <v>X</v>
      </c>
      <c r="N2540" t="s">
        <v>27</v>
      </c>
    </row>
    <row r="2541" spans="1:14" x14ac:dyDescent="0.25">
      <c r="A2541" t="s">
        <v>14</v>
      </c>
      <c r="B2541" t="s">
        <v>40</v>
      </c>
      <c r="C2541" t="s">
        <v>38</v>
      </c>
      <c r="D2541" t="s">
        <v>31</v>
      </c>
      <c r="E2541" t="s">
        <v>22</v>
      </c>
      <c r="F2541" t="s">
        <v>20</v>
      </c>
      <c r="G2541" s="1" t="str">
        <f t="shared" si="532"/>
        <v>X</v>
      </c>
      <c r="H2541" s="1" t="str">
        <f t="shared" si="532"/>
        <v>X</v>
      </c>
      <c r="I2541" s="1" t="str">
        <f t="shared" si="532"/>
        <v>X</v>
      </c>
      <c r="J2541" s="1" t="str">
        <f t="shared" si="532"/>
        <v>X</v>
      </c>
      <c r="K2541" s="1" t="str">
        <f t="shared" si="532"/>
        <v>X</v>
      </c>
      <c r="L2541" s="1" t="str">
        <f t="shared" si="532"/>
        <v>X</v>
      </c>
      <c r="M2541" s="1" t="str">
        <f t="shared" si="532"/>
        <v>X</v>
      </c>
      <c r="N2541" t="s">
        <v>27</v>
      </c>
    </row>
    <row r="2542" spans="1:14" x14ac:dyDescent="0.25">
      <c r="A2542" t="s">
        <v>14</v>
      </c>
      <c r="B2542" t="s">
        <v>40</v>
      </c>
      <c r="C2542" t="s">
        <v>38</v>
      </c>
      <c r="D2542" t="s">
        <v>31</v>
      </c>
      <c r="E2542" t="s">
        <v>23</v>
      </c>
      <c r="F2542" t="s">
        <v>15</v>
      </c>
      <c r="G2542" s="1" t="str">
        <f t="shared" si="532"/>
        <v>X</v>
      </c>
      <c r="H2542" s="1" t="str">
        <f t="shared" si="532"/>
        <v>X</v>
      </c>
      <c r="I2542" s="1" t="str">
        <f t="shared" si="532"/>
        <v>X</v>
      </c>
      <c r="J2542" s="1" t="str">
        <f t="shared" si="532"/>
        <v>X</v>
      </c>
      <c r="K2542" s="1" t="str">
        <f t="shared" si="532"/>
        <v>X</v>
      </c>
      <c r="L2542" s="1" t="str">
        <f t="shared" si="532"/>
        <v>X</v>
      </c>
      <c r="M2542" s="1" t="str">
        <f t="shared" si="532"/>
        <v>X</v>
      </c>
      <c r="N2542" t="s">
        <v>27</v>
      </c>
    </row>
    <row r="2543" spans="1:14" x14ac:dyDescent="0.25">
      <c r="A2543" t="s">
        <v>14</v>
      </c>
      <c r="B2543" t="s">
        <v>40</v>
      </c>
      <c r="C2543" t="s">
        <v>38</v>
      </c>
      <c r="D2543" t="s">
        <v>31</v>
      </c>
      <c r="E2543" t="s">
        <v>23</v>
      </c>
      <c r="F2543" t="s">
        <v>17</v>
      </c>
      <c r="G2543" s="1" t="str">
        <f t="shared" ref="G2543:M2543" si="533">"..."</f>
        <v>...</v>
      </c>
      <c r="H2543" s="1" t="str">
        <f t="shared" si="533"/>
        <v>...</v>
      </c>
      <c r="I2543" s="1" t="str">
        <f t="shared" si="533"/>
        <v>...</v>
      </c>
      <c r="J2543" s="1" t="str">
        <f t="shared" si="533"/>
        <v>...</v>
      </c>
      <c r="K2543" s="1" t="str">
        <f t="shared" si="533"/>
        <v>...</v>
      </c>
      <c r="L2543" s="1" t="str">
        <f t="shared" si="533"/>
        <v>...</v>
      </c>
      <c r="M2543" s="1" t="str">
        <f t="shared" si="533"/>
        <v>...</v>
      </c>
      <c r="N2543" t="s">
        <v>30</v>
      </c>
    </row>
    <row r="2544" spans="1:14" x14ac:dyDescent="0.25">
      <c r="A2544" t="s">
        <v>14</v>
      </c>
      <c r="B2544" t="s">
        <v>40</v>
      </c>
      <c r="C2544" t="s">
        <v>38</v>
      </c>
      <c r="D2544" t="s">
        <v>31</v>
      </c>
      <c r="E2544" t="s">
        <v>23</v>
      </c>
      <c r="F2544" t="s">
        <v>18</v>
      </c>
      <c r="G2544" s="1" t="str">
        <f t="shared" ref="G2544:M2548" si="534">"X"</f>
        <v>X</v>
      </c>
      <c r="H2544" s="1" t="str">
        <f t="shared" si="534"/>
        <v>X</v>
      </c>
      <c r="I2544" s="1" t="str">
        <f t="shared" si="534"/>
        <v>X</v>
      </c>
      <c r="J2544" s="1" t="str">
        <f t="shared" si="534"/>
        <v>X</v>
      </c>
      <c r="K2544" s="1" t="str">
        <f t="shared" si="534"/>
        <v>X</v>
      </c>
      <c r="L2544" s="1" t="str">
        <f t="shared" si="534"/>
        <v>X</v>
      </c>
      <c r="M2544" s="1" t="str">
        <f t="shared" si="534"/>
        <v>X</v>
      </c>
      <c r="N2544" t="s">
        <v>27</v>
      </c>
    </row>
    <row r="2545" spans="1:14" x14ac:dyDescent="0.25">
      <c r="A2545" t="s">
        <v>14</v>
      </c>
      <c r="B2545" t="s">
        <v>40</v>
      </c>
      <c r="C2545" t="s">
        <v>38</v>
      </c>
      <c r="D2545" t="s">
        <v>31</v>
      </c>
      <c r="E2545" t="s">
        <v>23</v>
      </c>
      <c r="F2545" t="s">
        <v>19</v>
      </c>
      <c r="G2545" s="1" t="str">
        <f t="shared" si="534"/>
        <v>X</v>
      </c>
      <c r="H2545" s="1" t="str">
        <f t="shared" si="534"/>
        <v>X</v>
      </c>
      <c r="I2545" s="1" t="str">
        <f t="shared" si="534"/>
        <v>X</v>
      </c>
      <c r="J2545" s="1" t="str">
        <f t="shared" si="534"/>
        <v>X</v>
      </c>
      <c r="K2545" s="1" t="str">
        <f t="shared" si="534"/>
        <v>X</v>
      </c>
      <c r="L2545" s="1" t="str">
        <f t="shared" si="534"/>
        <v>X</v>
      </c>
      <c r="M2545" s="1" t="str">
        <f t="shared" si="534"/>
        <v>X</v>
      </c>
      <c r="N2545" t="s">
        <v>27</v>
      </c>
    </row>
    <row r="2546" spans="1:14" x14ac:dyDescent="0.25">
      <c r="A2546" t="s">
        <v>14</v>
      </c>
      <c r="B2546" t="s">
        <v>40</v>
      </c>
      <c r="C2546" t="s">
        <v>38</v>
      </c>
      <c r="D2546" t="s">
        <v>31</v>
      </c>
      <c r="E2546" t="s">
        <v>23</v>
      </c>
      <c r="F2546" t="s">
        <v>20</v>
      </c>
      <c r="G2546" s="1" t="str">
        <f t="shared" si="534"/>
        <v>X</v>
      </c>
      <c r="H2546" s="1" t="str">
        <f t="shared" si="534"/>
        <v>X</v>
      </c>
      <c r="I2546" s="1" t="str">
        <f t="shared" si="534"/>
        <v>X</v>
      </c>
      <c r="J2546" s="1" t="str">
        <f t="shared" si="534"/>
        <v>X</v>
      </c>
      <c r="K2546" s="1" t="str">
        <f t="shared" si="534"/>
        <v>X</v>
      </c>
      <c r="L2546" s="1" t="str">
        <f t="shared" si="534"/>
        <v>X</v>
      </c>
      <c r="M2546" s="1" t="str">
        <f t="shared" si="534"/>
        <v>X</v>
      </c>
      <c r="N2546" t="s">
        <v>27</v>
      </c>
    </row>
    <row r="2547" spans="1:14" x14ac:dyDescent="0.25">
      <c r="A2547" t="s">
        <v>14</v>
      </c>
      <c r="B2547" t="s">
        <v>40</v>
      </c>
      <c r="C2547" t="s">
        <v>38</v>
      </c>
      <c r="D2547" t="s">
        <v>31</v>
      </c>
      <c r="E2547" t="s">
        <v>26</v>
      </c>
      <c r="F2547" t="s">
        <v>15</v>
      </c>
      <c r="G2547" s="1" t="str">
        <f t="shared" si="534"/>
        <v>X</v>
      </c>
      <c r="H2547" s="1" t="str">
        <f t="shared" si="534"/>
        <v>X</v>
      </c>
      <c r="I2547" s="1" t="str">
        <f t="shared" si="534"/>
        <v>X</v>
      </c>
      <c r="J2547" s="1" t="str">
        <f t="shared" si="534"/>
        <v>X</v>
      </c>
      <c r="K2547" s="1" t="str">
        <f t="shared" si="534"/>
        <v>X</v>
      </c>
      <c r="L2547" s="1" t="str">
        <f t="shared" si="534"/>
        <v>X</v>
      </c>
      <c r="M2547" s="1" t="str">
        <f t="shared" si="534"/>
        <v>X</v>
      </c>
      <c r="N2547" t="s">
        <v>27</v>
      </c>
    </row>
    <row r="2548" spans="1:14" x14ac:dyDescent="0.25">
      <c r="A2548" t="s">
        <v>14</v>
      </c>
      <c r="B2548" t="s">
        <v>40</v>
      </c>
      <c r="C2548" t="s">
        <v>38</v>
      </c>
      <c r="D2548" t="s">
        <v>31</v>
      </c>
      <c r="E2548" t="s">
        <v>26</v>
      </c>
      <c r="F2548" t="s">
        <v>17</v>
      </c>
      <c r="G2548" s="1" t="str">
        <f t="shared" si="534"/>
        <v>X</v>
      </c>
      <c r="H2548" s="1" t="str">
        <f t="shared" si="534"/>
        <v>X</v>
      </c>
      <c r="I2548" s="1" t="str">
        <f t="shared" si="534"/>
        <v>X</v>
      </c>
      <c r="J2548" s="1" t="str">
        <f t="shared" si="534"/>
        <v>X</v>
      </c>
      <c r="K2548" s="1" t="str">
        <f t="shared" si="534"/>
        <v>X</v>
      </c>
      <c r="L2548" s="1" t="str">
        <f t="shared" si="534"/>
        <v>X</v>
      </c>
      <c r="M2548" s="1" t="str">
        <f t="shared" si="534"/>
        <v>X</v>
      </c>
      <c r="N2548" t="s">
        <v>27</v>
      </c>
    </row>
    <row r="2549" spans="1:14" x14ac:dyDescent="0.25">
      <c r="A2549" t="s">
        <v>14</v>
      </c>
      <c r="B2549" t="s">
        <v>40</v>
      </c>
      <c r="C2549" t="s">
        <v>38</v>
      </c>
      <c r="D2549" t="s">
        <v>31</v>
      </c>
      <c r="E2549" t="s">
        <v>26</v>
      </c>
      <c r="F2549" t="s">
        <v>18</v>
      </c>
      <c r="G2549" s="1" t="str">
        <f t="shared" ref="G2549:M2550" si="535">"..."</f>
        <v>...</v>
      </c>
      <c r="H2549" s="1" t="str">
        <f t="shared" si="535"/>
        <v>...</v>
      </c>
      <c r="I2549" s="1" t="str">
        <f t="shared" si="535"/>
        <v>...</v>
      </c>
      <c r="J2549" s="1" t="str">
        <f t="shared" si="535"/>
        <v>...</v>
      </c>
      <c r="K2549" s="1" t="str">
        <f t="shared" si="535"/>
        <v>...</v>
      </c>
      <c r="L2549" s="1" t="str">
        <f t="shared" si="535"/>
        <v>...</v>
      </c>
      <c r="M2549" s="1" t="str">
        <f t="shared" si="535"/>
        <v>...</v>
      </c>
      <c r="N2549" t="s">
        <v>30</v>
      </c>
    </row>
    <row r="2550" spans="1:14" x14ac:dyDescent="0.25">
      <c r="A2550" t="s">
        <v>14</v>
      </c>
      <c r="B2550" t="s">
        <v>40</v>
      </c>
      <c r="C2550" t="s">
        <v>38</v>
      </c>
      <c r="D2550" t="s">
        <v>31</v>
      </c>
      <c r="E2550" t="s">
        <v>26</v>
      </c>
      <c r="F2550" t="s">
        <v>19</v>
      </c>
      <c r="G2550" s="1" t="str">
        <f t="shared" si="535"/>
        <v>...</v>
      </c>
      <c r="H2550" s="1" t="str">
        <f t="shared" si="535"/>
        <v>...</v>
      </c>
      <c r="I2550" s="1" t="str">
        <f t="shared" si="535"/>
        <v>...</v>
      </c>
      <c r="J2550" s="1" t="str">
        <f t="shared" si="535"/>
        <v>...</v>
      </c>
      <c r="K2550" s="1" t="str">
        <f t="shared" si="535"/>
        <v>...</v>
      </c>
      <c r="L2550" s="1" t="str">
        <f t="shared" si="535"/>
        <v>...</v>
      </c>
      <c r="M2550" s="1" t="str">
        <f t="shared" si="535"/>
        <v>...</v>
      </c>
      <c r="N2550" t="s">
        <v>30</v>
      </c>
    </row>
    <row r="2551" spans="1:14" x14ac:dyDescent="0.25">
      <c r="A2551" t="s">
        <v>14</v>
      </c>
      <c r="B2551" t="s">
        <v>40</v>
      </c>
      <c r="C2551" t="s">
        <v>38</v>
      </c>
      <c r="D2551" t="s">
        <v>31</v>
      </c>
      <c r="E2551" t="s">
        <v>26</v>
      </c>
      <c r="F2551" t="s">
        <v>20</v>
      </c>
      <c r="G2551" s="1" t="str">
        <f t="shared" ref="G2551:M2551" si="536">"X"</f>
        <v>X</v>
      </c>
      <c r="H2551" s="1" t="str">
        <f t="shared" si="536"/>
        <v>X</v>
      </c>
      <c r="I2551" s="1" t="str">
        <f t="shared" si="536"/>
        <v>X</v>
      </c>
      <c r="J2551" s="1" t="str">
        <f t="shared" si="536"/>
        <v>X</v>
      </c>
      <c r="K2551" s="1" t="str">
        <f t="shared" si="536"/>
        <v>X</v>
      </c>
      <c r="L2551" s="1" t="str">
        <f t="shared" si="536"/>
        <v>X</v>
      </c>
      <c r="M2551" s="1" t="str">
        <f t="shared" si="536"/>
        <v>X</v>
      </c>
      <c r="N2551" t="s">
        <v>27</v>
      </c>
    </row>
    <row r="2552" spans="1:14" x14ac:dyDescent="0.25">
      <c r="A2552" t="s">
        <v>14</v>
      </c>
      <c r="B2552" t="s">
        <v>40</v>
      </c>
      <c r="C2552" t="s">
        <v>38</v>
      </c>
      <c r="D2552" t="s">
        <v>32</v>
      </c>
      <c r="E2552" t="s">
        <v>15</v>
      </c>
      <c r="F2552" t="s">
        <v>15</v>
      </c>
      <c r="G2552" s="1">
        <f>VALUE(2291.0578257889)</f>
        <v>2291.0578257889001</v>
      </c>
      <c r="H2552" s="1">
        <f>VALUE(1908.8894332394)</f>
        <v>1908.8894332394</v>
      </c>
      <c r="I2552" s="1">
        <f>VALUE(2575)</f>
        <v>2575</v>
      </c>
      <c r="J2552" s="1">
        <f>VALUE(3028)</f>
        <v>3028</v>
      </c>
      <c r="K2552" s="1">
        <f>VALUE(3841)</f>
        <v>3841</v>
      </c>
      <c r="L2552" s="1">
        <f>VALUE(4989)</f>
        <v>4989</v>
      </c>
      <c r="M2552" s="1">
        <f>VALUE(6431)</f>
        <v>6431</v>
      </c>
      <c r="N2552" t="s">
        <v>16</v>
      </c>
    </row>
    <row r="2553" spans="1:14" x14ac:dyDescent="0.25">
      <c r="A2553" t="s">
        <v>14</v>
      </c>
      <c r="B2553" t="s">
        <v>40</v>
      </c>
      <c r="C2553" t="s">
        <v>38</v>
      </c>
      <c r="D2553" t="s">
        <v>32</v>
      </c>
      <c r="E2553" t="s">
        <v>15</v>
      </c>
      <c r="F2553" t="s">
        <v>17</v>
      </c>
      <c r="G2553" s="1" t="str">
        <f t="shared" ref="G2553:M2553" si="537">"X"</f>
        <v>X</v>
      </c>
      <c r="H2553" s="1" t="str">
        <f t="shared" si="537"/>
        <v>X</v>
      </c>
      <c r="I2553" s="1" t="str">
        <f t="shared" si="537"/>
        <v>X</v>
      </c>
      <c r="J2553" s="1" t="str">
        <f t="shared" si="537"/>
        <v>X</v>
      </c>
      <c r="K2553" s="1" t="str">
        <f t="shared" si="537"/>
        <v>X</v>
      </c>
      <c r="L2553" s="1" t="str">
        <f t="shared" si="537"/>
        <v>X</v>
      </c>
      <c r="M2553" s="1" t="str">
        <f t="shared" si="537"/>
        <v>X</v>
      </c>
      <c r="N2553" t="s">
        <v>27</v>
      </c>
    </row>
    <row r="2554" spans="1:14" x14ac:dyDescent="0.25">
      <c r="A2554" t="s">
        <v>14</v>
      </c>
      <c r="B2554" t="s">
        <v>40</v>
      </c>
      <c r="C2554" t="s">
        <v>38</v>
      </c>
      <c r="D2554" t="s">
        <v>32</v>
      </c>
      <c r="E2554" t="s">
        <v>15</v>
      </c>
      <c r="F2554" t="s">
        <v>18</v>
      </c>
      <c r="G2554" s="2">
        <f>VALUE(172.6275399733)</f>
        <v>172.6275399733</v>
      </c>
      <c r="H2554" s="3">
        <f>VALUE(146.4753396515)</f>
        <v>146.47533965150001</v>
      </c>
      <c r="I2554" s="1">
        <f>VALUE(3600)</f>
        <v>3600</v>
      </c>
      <c r="J2554" s="1">
        <f>VALUE(4244)</f>
        <v>4244</v>
      </c>
      <c r="K2554" s="6">
        <f>VALUE(5047)</f>
        <v>5047</v>
      </c>
      <c r="L2554" s="1">
        <f>VALUE(7015)</f>
        <v>7015</v>
      </c>
      <c r="M2554" s="1">
        <f>VALUE(8355)</f>
        <v>8355</v>
      </c>
      <c r="N2554" t="s">
        <v>25</v>
      </c>
    </row>
    <row r="2555" spans="1:14" x14ac:dyDescent="0.25">
      <c r="A2555" t="s">
        <v>14</v>
      </c>
      <c r="B2555" t="s">
        <v>40</v>
      </c>
      <c r="C2555" t="s">
        <v>38</v>
      </c>
      <c r="D2555" t="s">
        <v>32</v>
      </c>
      <c r="E2555" t="s">
        <v>15</v>
      </c>
      <c r="F2555" t="s">
        <v>19</v>
      </c>
      <c r="G2555" s="2">
        <f>VALUE(216.390837489)</f>
        <v>216.39083748900001</v>
      </c>
      <c r="H2555" s="3">
        <f>VALUE(197.7059364058)</f>
        <v>197.7059364058</v>
      </c>
      <c r="I2555" s="4">
        <f>VALUE(2806)</f>
        <v>2806</v>
      </c>
      <c r="J2555" s="1">
        <f>VALUE(3372)</f>
        <v>3372</v>
      </c>
      <c r="K2555" s="6">
        <f>VALUE(4870)</f>
        <v>4870</v>
      </c>
      <c r="L2555" s="7">
        <f>VALUE(5798)</f>
        <v>5798</v>
      </c>
      <c r="M2555" s="1">
        <f>VALUE(6500)</f>
        <v>6500</v>
      </c>
      <c r="N2555" t="s">
        <v>25</v>
      </c>
    </row>
    <row r="2556" spans="1:14" x14ac:dyDescent="0.25">
      <c r="A2556" t="s">
        <v>14</v>
      </c>
      <c r="B2556" t="s">
        <v>40</v>
      </c>
      <c r="C2556" t="s">
        <v>38</v>
      </c>
      <c r="D2556" t="s">
        <v>32</v>
      </c>
      <c r="E2556" t="s">
        <v>15</v>
      </c>
      <c r="F2556" t="s">
        <v>20</v>
      </c>
      <c r="G2556" s="1">
        <f>VALUE(1799.2988146078)</f>
        <v>1799.2988146078001</v>
      </c>
      <c r="H2556" s="1">
        <f>VALUE(1483.3331646382)</f>
        <v>1483.3331646382001</v>
      </c>
      <c r="I2556" s="1">
        <f>VALUE(2520)</f>
        <v>2520</v>
      </c>
      <c r="J2556" s="1">
        <f>VALUE(2902)</f>
        <v>2902</v>
      </c>
      <c r="K2556" s="1">
        <f>VALUE(3553)</f>
        <v>3553</v>
      </c>
      <c r="L2556" s="1">
        <f>VALUE(4489)</f>
        <v>4489</v>
      </c>
      <c r="M2556" s="1">
        <f>VALUE(5308)</f>
        <v>5308</v>
      </c>
      <c r="N2556" t="s">
        <v>16</v>
      </c>
    </row>
    <row r="2557" spans="1:14" x14ac:dyDescent="0.25">
      <c r="A2557" t="s">
        <v>14</v>
      </c>
      <c r="B2557" t="s">
        <v>40</v>
      </c>
      <c r="C2557" t="s">
        <v>38</v>
      </c>
      <c r="D2557" t="s">
        <v>32</v>
      </c>
      <c r="E2557" t="s">
        <v>21</v>
      </c>
      <c r="F2557" t="s">
        <v>15</v>
      </c>
      <c r="G2557" s="2">
        <f>VALUE(153.433226312)</f>
        <v>153.43322631199999</v>
      </c>
      <c r="H2557" s="3">
        <f>VALUE(112.4061052762)</f>
        <v>112.40610527619999</v>
      </c>
      <c r="I2557" s="1">
        <f>VALUE(4500)</f>
        <v>4500</v>
      </c>
      <c r="J2557" s="1">
        <f>VALUE(5259)</f>
        <v>5259</v>
      </c>
      <c r="K2557" s="1">
        <f>VALUE(6989)</f>
        <v>6989</v>
      </c>
      <c r="L2557" s="1">
        <f>VALUE(8148)</f>
        <v>8148</v>
      </c>
      <c r="M2557" s="8">
        <f>VALUE(9351)</f>
        <v>9351</v>
      </c>
      <c r="N2557" t="s">
        <v>25</v>
      </c>
    </row>
    <row r="2558" spans="1:14" x14ac:dyDescent="0.25">
      <c r="A2558" t="s">
        <v>14</v>
      </c>
      <c r="B2558" t="s">
        <v>40</v>
      </c>
      <c r="C2558" t="s">
        <v>38</v>
      </c>
      <c r="D2558" t="s">
        <v>32</v>
      </c>
      <c r="E2558" t="s">
        <v>21</v>
      </c>
      <c r="F2558" t="s">
        <v>17</v>
      </c>
      <c r="G2558" s="1" t="str">
        <f t="shared" ref="G2558:M2561" si="538">"X"</f>
        <v>X</v>
      </c>
      <c r="H2558" s="1" t="str">
        <f t="shared" si="538"/>
        <v>X</v>
      </c>
      <c r="I2558" s="1" t="str">
        <f t="shared" si="538"/>
        <v>X</v>
      </c>
      <c r="J2558" s="1" t="str">
        <f t="shared" si="538"/>
        <v>X</v>
      </c>
      <c r="K2558" s="1" t="str">
        <f t="shared" si="538"/>
        <v>X</v>
      </c>
      <c r="L2558" s="1" t="str">
        <f t="shared" si="538"/>
        <v>X</v>
      </c>
      <c r="M2558" s="1" t="str">
        <f t="shared" si="538"/>
        <v>X</v>
      </c>
      <c r="N2558" t="s">
        <v>27</v>
      </c>
    </row>
    <row r="2559" spans="1:14" x14ac:dyDescent="0.25">
      <c r="A2559" t="s">
        <v>14</v>
      </c>
      <c r="B2559" t="s">
        <v>40</v>
      </c>
      <c r="C2559" t="s">
        <v>38</v>
      </c>
      <c r="D2559" t="s">
        <v>32</v>
      </c>
      <c r="E2559" t="s">
        <v>21</v>
      </c>
      <c r="F2559" t="s">
        <v>18</v>
      </c>
      <c r="G2559" s="1" t="str">
        <f t="shared" si="538"/>
        <v>X</v>
      </c>
      <c r="H2559" s="1" t="str">
        <f t="shared" si="538"/>
        <v>X</v>
      </c>
      <c r="I2559" s="1" t="str">
        <f t="shared" si="538"/>
        <v>X</v>
      </c>
      <c r="J2559" s="1" t="str">
        <f t="shared" si="538"/>
        <v>X</v>
      </c>
      <c r="K2559" s="1" t="str">
        <f t="shared" si="538"/>
        <v>X</v>
      </c>
      <c r="L2559" s="1" t="str">
        <f t="shared" si="538"/>
        <v>X</v>
      </c>
      <c r="M2559" s="1" t="str">
        <f t="shared" si="538"/>
        <v>X</v>
      </c>
      <c r="N2559" t="s">
        <v>27</v>
      </c>
    </row>
    <row r="2560" spans="1:14" x14ac:dyDescent="0.25">
      <c r="A2560" t="s">
        <v>14</v>
      </c>
      <c r="B2560" t="s">
        <v>40</v>
      </c>
      <c r="C2560" t="s">
        <v>38</v>
      </c>
      <c r="D2560" t="s">
        <v>32</v>
      </c>
      <c r="E2560" t="s">
        <v>21</v>
      </c>
      <c r="F2560" t="s">
        <v>19</v>
      </c>
      <c r="G2560" s="1" t="str">
        <f t="shared" si="538"/>
        <v>X</v>
      </c>
      <c r="H2560" s="1" t="str">
        <f t="shared" si="538"/>
        <v>X</v>
      </c>
      <c r="I2560" s="1" t="str">
        <f t="shared" si="538"/>
        <v>X</v>
      </c>
      <c r="J2560" s="1" t="str">
        <f t="shared" si="538"/>
        <v>X</v>
      </c>
      <c r="K2560" s="1" t="str">
        <f t="shared" si="538"/>
        <v>X</v>
      </c>
      <c r="L2560" s="1" t="str">
        <f t="shared" si="538"/>
        <v>X</v>
      </c>
      <c r="M2560" s="1" t="str">
        <f t="shared" si="538"/>
        <v>X</v>
      </c>
      <c r="N2560" t="s">
        <v>27</v>
      </c>
    </row>
    <row r="2561" spans="1:14" x14ac:dyDescent="0.25">
      <c r="A2561" t="s">
        <v>14</v>
      </c>
      <c r="B2561" t="s">
        <v>40</v>
      </c>
      <c r="C2561" t="s">
        <v>38</v>
      </c>
      <c r="D2561" t="s">
        <v>32</v>
      </c>
      <c r="E2561" t="s">
        <v>21</v>
      </c>
      <c r="F2561" t="s">
        <v>20</v>
      </c>
      <c r="G2561" s="1" t="str">
        <f t="shared" si="538"/>
        <v>X</v>
      </c>
      <c r="H2561" s="1" t="str">
        <f t="shared" si="538"/>
        <v>X</v>
      </c>
      <c r="I2561" s="1" t="str">
        <f t="shared" si="538"/>
        <v>X</v>
      </c>
      <c r="J2561" s="1" t="str">
        <f t="shared" si="538"/>
        <v>X</v>
      </c>
      <c r="K2561" s="1" t="str">
        <f t="shared" si="538"/>
        <v>X</v>
      </c>
      <c r="L2561" s="1" t="str">
        <f t="shared" si="538"/>
        <v>X</v>
      </c>
      <c r="M2561" s="1" t="str">
        <f t="shared" si="538"/>
        <v>X</v>
      </c>
      <c r="N2561" t="s">
        <v>27</v>
      </c>
    </row>
    <row r="2562" spans="1:14" x14ac:dyDescent="0.25">
      <c r="A2562" t="s">
        <v>14</v>
      </c>
      <c r="B2562" t="s">
        <v>40</v>
      </c>
      <c r="C2562" t="s">
        <v>38</v>
      </c>
      <c r="D2562" t="s">
        <v>32</v>
      </c>
      <c r="E2562" t="s">
        <v>22</v>
      </c>
      <c r="F2562" t="s">
        <v>15</v>
      </c>
      <c r="G2562" s="2">
        <f>VALUE(470.3035733025)</f>
        <v>470.30357330250001</v>
      </c>
      <c r="H2562" s="3">
        <f>VALUE(425.9869449937)</f>
        <v>425.98694499369998</v>
      </c>
      <c r="I2562" s="1">
        <f>VALUE(2437)</f>
        <v>2437</v>
      </c>
      <c r="J2562" s="5">
        <f>VALUE(3128)</f>
        <v>3128</v>
      </c>
      <c r="K2562" s="1">
        <f>VALUE(4812)</f>
        <v>4812</v>
      </c>
      <c r="L2562" s="1">
        <f>VALUE(5768)</f>
        <v>5768</v>
      </c>
      <c r="M2562" s="1">
        <f>VALUE(7110)</f>
        <v>7110</v>
      </c>
      <c r="N2562" t="s">
        <v>25</v>
      </c>
    </row>
    <row r="2563" spans="1:14" x14ac:dyDescent="0.25">
      <c r="A2563" t="s">
        <v>14</v>
      </c>
      <c r="B2563" t="s">
        <v>40</v>
      </c>
      <c r="C2563" t="s">
        <v>38</v>
      </c>
      <c r="D2563" t="s">
        <v>32</v>
      </c>
      <c r="E2563" t="s">
        <v>22</v>
      </c>
      <c r="F2563" t="s">
        <v>17</v>
      </c>
      <c r="G2563" s="1" t="str">
        <f t="shared" ref="G2563:M2565" si="539">"X"</f>
        <v>X</v>
      </c>
      <c r="H2563" s="1" t="str">
        <f t="shared" si="539"/>
        <v>X</v>
      </c>
      <c r="I2563" s="1" t="str">
        <f t="shared" si="539"/>
        <v>X</v>
      </c>
      <c r="J2563" s="1" t="str">
        <f t="shared" si="539"/>
        <v>X</v>
      </c>
      <c r="K2563" s="1" t="str">
        <f t="shared" si="539"/>
        <v>X</v>
      </c>
      <c r="L2563" s="1" t="str">
        <f t="shared" si="539"/>
        <v>X</v>
      </c>
      <c r="M2563" s="1" t="str">
        <f t="shared" si="539"/>
        <v>X</v>
      </c>
      <c r="N2563" t="s">
        <v>27</v>
      </c>
    </row>
    <row r="2564" spans="1:14" x14ac:dyDescent="0.25">
      <c r="A2564" t="s">
        <v>14</v>
      </c>
      <c r="B2564" t="s">
        <v>40</v>
      </c>
      <c r="C2564" t="s">
        <v>38</v>
      </c>
      <c r="D2564" t="s">
        <v>32</v>
      </c>
      <c r="E2564" t="s">
        <v>22</v>
      </c>
      <c r="F2564" t="s">
        <v>18</v>
      </c>
      <c r="G2564" s="1" t="str">
        <f t="shared" si="539"/>
        <v>X</v>
      </c>
      <c r="H2564" s="1" t="str">
        <f t="shared" si="539"/>
        <v>X</v>
      </c>
      <c r="I2564" s="1" t="str">
        <f t="shared" si="539"/>
        <v>X</v>
      </c>
      <c r="J2564" s="1" t="str">
        <f t="shared" si="539"/>
        <v>X</v>
      </c>
      <c r="K2564" s="1" t="str">
        <f t="shared" si="539"/>
        <v>X</v>
      </c>
      <c r="L2564" s="1" t="str">
        <f t="shared" si="539"/>
        <v>X</v>
      </c>
      <c r="M2564" s="1" t="str">
        <f t="shared" si="539"/>
        <v>X</v>
      </c>
      <c r="N2564" t="s">
        <v>27</v>
      </c>
    </row>
    <row r="2565" spans="1:14" x14ac:dyDescent="0.25">
      <c r="A2565" t="s">
        <v>14</v>
      </c>
      <c r="B2565" t="s">
        <v>40</v>
      </c>
      <c r="C2565" t="s">
        <v>38</v>
      </c>
      <c r="D2565" t="s">
        <v>32</v>
      </c>
      <c r="E2565" t="s">
        <v>22</v>
      </c>
      <c r="F2565" t="s">
        <v>19</v>
      </c>
      <c r="G2565" s="1" t="str">
        <f t="shared" si="539"/>
        <v>X</v>
      </c>
      <c r="H2565" s="1" t="str">
        <f t="shared" si="539"/>
        <v>X</v>
      </c>
      <c r="I2565" s="1" t="str">
        <f t="shared" si="539"/>
        <v>X</v>
      </c>
      <c r="J2565" s="1" t="str">
        <f t="shared" si="539"/>
        <v>X</v>
      </c>
      <c r="K2565" s="1" t="str">
        <f t="shared" si="539"/>
        <v>X</v>
      </c>
      <c r="L2565" s="1" t="str">
        <f t="shared" si="539"/>
        <v>X</v>
      </c>
      <c r="M2565" s="1" t="str">
        <f t="shared" si="539"/>
        <v>X</v>
      </c>
      <c r="N2565" t="s">
        <v>27</v>
      </c>
    </row>
    <row r="2566" spans="1:14" x14ac:dyDescent="0.25">
      <c r="A2566" t="s">
        <v>14</v>
      </c>
      <c r="B2566" t="s">
        <v>40</v>
      </c>
      <c r="C2566" t="s">
        <v>38</v>
      </c>
      <c r="D2566" t="s">
        <v>32</v>
      </c>
      <c r="E2566" t="s">
        <v>22</v>
      </c>
      <c r="F2566" t="s">
        <v>20</v>
      </c>
      <c r="G2566" s="2">
        <f>VALUE(295.0257984487)</f>
        <v>295.02579844870002</v>
      </c>
      <c r="H2566" s="3">
        <f>VALUE(265.9328348278)</f>
        <v>265.93283482779998</v>
      </c>
      <c r="I2566" s="1">
        <f>VALUE(2371)</f>
        <v>2371</v>
      </c>
      <c r="J2566" s="1">
        <f>VALUE(2529)</f>
        <v>2529</v>
      </c>
      <c r="K2566" s="6">
        <f>VALUE(4227)</f>
        <v>4227</v>
      </c>
      <c r="L2566" s="1">
        <f>VALUE(5246)</f>
        <v>5246</v>
      </c>
      <c r="M2566" s="8">
        <f>VALUE(6419)</f>
        <v>6419</v>
      </c>
      <c r="N2566" t="s">
        <v>25</v>
      </c>
    </row>
    <row r="2567" spans="1:14" x14ac:dyDescent="0.25">
      <c r="A2567" t="s">
        <v>14</v>
      </c>
      <c r="B2567" t="s">
        <v>40</v>
      </c>
      <c r="C2567" t="s">
        <v>38</v>
      </c>
      <c r="D2567" t="s">
        <v>32</v>
      </c>
      <c r="E2567" t="s">
        <v>23</v>
      </c>
      <c r="F2567" t="s">
        <v>15</v>
      </c>
      <c r="G2567" s="1">
        <f>VALUE(1615.2538628257)</f>
        <v>1615.2538628257</v>
      </c>
      <c r="H2567" s="1">
        <f>VALUE(1322.4399945578)</f>
        <v>1322.4399945578</v>
      </c>
      <c r="I2567" s="1">
        <f>VALUE(2600)</f>
        <v>2600</v>
      </c>
      <c r="J2567" s="1">
        <f>VALUE(2931)</f>
        <v>2931</v>
      </c>
      <c r="K2567" s="1">
        <f>VALUE(3535)</f>
        <v>3535</v>
      </c>
      <c r="L2567" s="1">
        <f>VALUE(4321)</f>
        <v>4321</v>
      </c>
      <c r="M2567" s="1">
        <f>VALUE(5054)</f>
        <v>5054</v>
      </c>
      <c r="N2567" t="s">
        <v>16</v>
      </c>
    </row>
    <row r="2568" spans="1:14" x14ac:dyDescent="0.25">
      <c r="A2568" t="s">
        <v>14</v>
      </c>
      <c r="B2568" t="s">
        <v>40</v>
      </c>
      <c r="C2568" t="s">
        <v>38</v>
      </c>
      <c r="D2568" t="s">
        <v>32</v>
      </c>
      <c r="E2568" t="s">
        <v>23</v>
      </c>
      <c r="F2568" t="s">
        <v>17</v>
      </c>
      <c r="G2568" s="1" t="str">
        <f t="shared" ref="G2568:M2570" si="540">"X"</f>
        <v>X</v>
      </c>
      <c r="H2568" s="1" t="str">
        <f t="shared" si="540"/>
        <v>X</v>
      </c>
      <c r="I2568" s="1" t="str">
        <f t="shared" si="540"/>
        <v>X</v>
      </c>
      <c r="J2568" s="1" t="str">
        <f t="shared" si="540"/>
        <v>X</v>
      </c>
      <c r="K2568" s="1" t="str">
        <f t="shared" si="540"/>
        <v>X</v>
      </c>
      <c r="L2568" s="1" t="str">
        <f t="shared" si="540"/>
        <v>X</v>
      </c>
      <c r="M2568" s="1" t="str">
        <f t="shared" si="540"/>
        <v>X</v>
      </c>
      <c r="N2568" t="s">
        <v>27</v>
      </c>
    </row>
    <row r="2569" spans="1:14" x14ac:dyDescent="0.25">
      <c r="A2569" t="s">
        <v>14</v>
      </c>
      <c r="B2569" t="s">
        <v>40</v>
      </c>
      <c r="C2569" t="s">
        <v>38</v>
      </c>
      <c r="D2569" t="s">
        <v>32</v>
      </c>
      <c r="E2569" t="s">
        <v>23</v>
      </c>
      <c r="F2569" t="s">
        <v>18</v>
      </c>
      <c r="G2569" s="1" t="str">
        <f t="shared" si="540"/>
        <v>X</v>
      </c>
      <c r="H2569" s="1" t="str">
        <f t="shared" si="540"/>
        <v>X</v>
      </c>
      <c r="I2569" s="1" t="str">
        <f t="shared" si="540"/>
        <v>X</v>
      </c>
      <c r="J2569" s="1" t="str">
        <f t="shared" si="540"/>
        <v>X</v>
      </c>
      <c r="K2569" s="1" t="str">
        <f t="shared" si="540"/>
        <v>X</v>
      </c>
      <c r="L2569" s="1" t="str">
        <f t="shared" si="540"/>
        <v>X</v>
      </c>
      <c r="M2569" s="1" t="str">
        <f t="shared" si="540"/>
        <v>X</v>
      </c>
      <c r="N2569" t="s">
        <v>27</v>
      </c>
    </row>
    <row r="2570" spans="1:14" x14ac:dyDescent="0.25">
      <c r="A2570" t="s">
        <v>14</v>
      </c>
      <c r="B2570" t="s">
        <v>40</v>
      </c>
      <c r="C2570" t="s">
        <v>38</v>
      </c>
      <c r="D2570" t="s">
        <v>32</v>
      </c>
      <c r="E2570" t="s">
        <v>23</v>
      </c>
      <c r="F2570" t="s">
        <v>19</v>
      </c>
      <c r="G2570" s="1" t="str">
        <f t="shared" si="540"/>
        <v>X</v>
      </c>
      <c r="H2570" s="1" t="str">
        <f t="shared" si="540"/>
        <v>X</v>
      </c>
      <c r="I2570" s="1" t="str">
        <f t="shared" si="540"/>
        <v>X</v>
      </c>
      <c r="J2570" s="1" t="str">
        <f t="shared" si="540"/>
        <v>X</v>
      </c>
      <c r="K2570" s="1" t="str">
        <f t="shared" si="540"/>
        <v>X</v>
      </c>
      <c r="L2570" s="1" t="str">
        <f t="shared" si="540"/>
        <v>X</v>
      </c>
      <c r="M2570" s="1" t="str">
        <f t="shared" si="540"/>
        <v>X</v>
      </c>
      <c r="N2570" t="s">
        <v>27</v>
      </c>
    </row>
    <row r="2571" spans="1:14" x14ac:dyDescent="0.25">
      <c r="A2571" t="s">
        <v>14</v>
      </c>
      <c r="B2571" t="s">
        <v>40</v>
      </c>
      <c r="C2571" t="s">
        <v>38</v>
      </c>
      <c r="D2571" t="s">
        <v>32</v>
      </c>
      <c r="E2571" t="s">
        <v>23</v>
      </c>
      <c r="F2571" t="s">
        <v>20</v>
      </c>
      <c r="G2571" s="1">
        <f>VALUE(1434.4608477181)</f>
        <v>1434.4608477181</v>
      </c>
      <c r="H2571" s="1">
        <f>VALUE(1152.6374545674)</f>
        <v>1152.6374545674</v>
      </c>
      <c r="I2571" s="1">
        <f>VALUE(2579)</f>
        <v>2579</v>
      </c>
      <c r="J2571" s="1">
        <f>VALUE(2911)</f>
        <v>2911</v>
      </c>
      <c r="K2571" s="1">
        <f>VALUE(3491)</f>
        <v>3491</v>
      </c>
      <c r="L2571" s="1">
        <f>VALUE(4203)</f>
        <v>4203</v>
      </c>
      <c r="M2571" s="1">
        <f>VALUE(4989)</f>
        <v>4989</v>
      </c>
      <c r="N2571" t="s">
        <v>16</v>
      </c>
    </row>
    <row r="2572" spans="1:14" x14ac:dyDescent="0.25">
      <c r="A2572" t="s">
        <v>14</v>
      </c>
      <c r="B2572" t="s">
        <v>40</v>
      </c>
      <c r="C2572" t="s">
        <v>38</v>
      </c>
      <c r="D2572" t="s">
        <v>32</v>
      </c>
      <c r="E2572" t="s">
        <v>26</v>
      </c>
      <c r="F2572" t="s">
        <v>15</v>
      </c>
      <c r="G2572" s="1" t="str">
        <f t="shared" ref="G2572:M2585" si="541">"X"</f>
        <v>X</v>
      </c>
      <c r="H2572" s="1" t="str">
        <f t="shared" si="541"/>
        <v>X</v>
      </c>
      <c r="I2572" s="1" t="str">
        <f t="shared" si="541"/>
        <v>X</v>
      </c>
      <c r="J2572" s="1" t="str">
        <f t="shared" si="541"/>
        <v>X</v>
      </c>
      <c r="K2572" s="1" t="str">
        <f t="shared" si="541"/>
        <v>X</v>
      </c>
      <c r="L2572" s="1" t="str">
        <f t="shared" si="541"/>
        <v>X</v>
      </c>
      <c r="M2572" s="1" t="str">
        <f t="shared" si="541"/>
        <v>X</v>
      </c>
      <c r="N2572" t="s">
        <v>27</v>
      </c>
    </row>
    <row r="2573" spans="1:14" x14ac:dyDescent="0.25">
      <c r="A2573" t="s">
        <v>14</v>
      </c>
      <c r="B2573" t="s">
        <v>40</v>
      </c>
      <c r="C2573" t="s">
        <v>38</v>
      </c>
      <c r="D2573" t="s">
        <v>32</v>
      </c>
      <c r="E2573" t="s">
        <v>26</v>
      </c>
      <c r="F2573" t="s">
        <v>17</v>
      </c>
      <c r="G2573" s="1" t="str">
        <f t="shared" si="541"/>
        <v>X</v>
      </c>
      <c r="H2573" s="1" t="str">
        <f t="shared" si="541"/>
        <v>X</v>
      </c>
      <c r="I2573" s="1" t="str">
        <f t="shared" si="541"/>
        <v>X</v>
      </c>
      <c r="J2573" s="1" t="str">
        <f t="shared" si="541"/>
        <v>X</v>
      </c>
      <c r="K2573" s="1" t="str">
        <f t="shared" si="541"/>
        <v>X</v>
      </c>
      <c r="L2573" s="1" t="str">
        <f t="shared" si="541"/>
        <v>X</v>
      </c>
      <c r="M2573" s="1" t="str">
        <f t="shared" si="541"/>
        <v>X</v>
      </c>
      <c r="N2573" t="s">
        <v>27</v>
      </c>
    </row>
    <row r="2574" spans="1:14" x14ac:dyDescent="0.25">
      <c r="A2574" t="s">
        <v>14</v>
      </c>
      <c r="B2574" t="s">
        <v>40</v>
      </c>
      <c r="C2574" t="s">
        <v>38</v>
      </c>
      <c r="D2574" t="s">
        <v>32</v>
      </c>
      <c r="E2574" t="s">
        <v>26</v>
      </c>
      <c r="F2574" t="s">
        <v>18</v>
      </c>
      <c r="G2574" s="1" t="str">
        <f t="shared" si="541"/>
        <v>X</v>
      </c>
      <c r="H2574" s="1" t="str">
        <f t="shared" si="541"/>
        <v>X</v>
      </c>
      <c r="I2574" s="1" t="str">
        <f t="shared" si="541"/>
        <v>X</v>
      </c>
      <c r="J2574" s="1" t="str">
        <f t="shared" si="541"/>
        <v>X</v>
      </c>
      <c r="K2574" s="1" t="str">
        <f t="shared" si="541"/>
        <v>X</v>
      </c>
      <c r="L2574" s="1" t="str">
        <f t="shared" si="541"/>
        <v>X</v>
      </c>
      <c r="M2574" s="1" t="str">
        <f t="shared" si="541"/>
        <v>X</v>
      </c>
      <c r="N2574" t="s">
        <v>27</v>
      </c>
    </row>
    <row r="2575" spans="1:14" x14ac:dyDescent="0.25">
      <c r="A2575" t="s">
        <v>14</v>
      </c>
      <c r="B2575" t="s">
        <v>40</v>
      </c>
      <c r="C2575" t="s">
        <v>38</v>
      </c>
      <c r="D2575" t="s">
        <v>32</v>
      </c>
      <c r="E2575" t="s">
        <v>26</v>
      </c>
      <c r="F2575" t="s">
        <v>19</v>
      </c>
      <c r="G2575" s="1" t="str">
        <f t="shared" si="541"/>
        <v>X</v>
      </c>
      <c r="H2575" s="1" t="str">
        <f t="shared" si="541"/>
        <v>X</v>
      </c>
      <c r="I2575" s="1" t="str">
        <f t="shared" si="541"/>
        <v>X</v>
      </c>
      <c r="J2575" s="1" t="str">
        <f t="shared" si="541"/>
        <v>X</v>
      </c>
      <c r="K2575" s="1" t="str">
        <f t="shared" si="541"/>
        <v>X</v>
      </c>
      <c r="L2575" s="1" t="str">
        <f t="shared" si="541"/>
        <v>X</v>
      </c>
      <c r="M2575" s="1" t="str">
        <f t="shared" si="541"/>
        <v>X</v>
      </c>
      <c r="N2575" t="s">
        <v>27</v>
      </c>
    </row>
    <row r="2576" spans="1:14" x14ac:dyDescent="0.25">
      <c r="A2576" t="s">
        <v>14</v>
      </c>
      <c r="B2576" t="s">
        <v>40</v>
      </c>
      <c r="C2576" t="s">
        <v>38</v>
      </c>
      <c r="D2576" t="s">
        <v>32</v>
      </c>
      <c r="E2576" t="s">
        <v>26</v>
      </c>
      <c r="F2576" t="s">
        <v>20</v>
      </c>
      <c r="G2576" s="1" t="str">
        <f t="shared" si="541"/>
        <v>X</v>
      </c>
      <c r="H2576" s="1" t="str">
        <f t="shared" si="541"/>
        <v>X</v>
      </c>
      <c r="I2576" s="1" t="str">
        <f t="shared" si="541"/>
        <v>X</v>
      </c>
      <c r="J2576" s="1" t="str">
        <f t="shared" si="541"/>
        <v>X</v>
      </c>
      <c r="K2576" s="1" t="str">
        <f t="shared" si="541"/>
        <v>X</v>
      </c>
      <c r="L2576" s="1" t="str">
        <f t="shared" si="541"/>
        <v>X</v>
      </c>
      <c r="M2576" s="1" t="str">
        <f t="shared" si="541"/>
        <v>X</v>
      </c>
      <c r="N2576" t="s">
        <v>27</v>
      </c>
    </row>
    <row r="2577" spans="1:14" x14ac:dyDescent="0.25">
      <c r="A2577" t="s">
        <v>14</v>
      </c>
      <c r="B2577" t="s">
        <v>40</v>
      </c>
      <c r="C2577" t="s">
        <v>38</v>
      </c>
      <c r="D2577" t="s">
        <v>33</v>
      </c>
      <c r="E2577" t="s">
        <v>15</v>
      </c>
      <c r="F2577" t="s">
        <v>15</v>
      </c>
      <c r="G2577" s="1" t="str">
        <f t="shared" si="541"/>
        <v>X</v>
      </c>
      <c r="H2577" s="1" t="str">
        <f t="shared" si="541"/>
        <v>X</v>
      </c>
      <c r="I2577" s="1" t="str">
        <f t="shared" si="541"/>
        <v>X</v>
      </c>
      <c r="J2577" s="1" t="str">
        <f t="shared" si="541"/>
        <v>X</v>
      </c>
      <c r="K2577" s="1" t="str">
        <f t="shared" si="541"/>
        <v>X</v>
      </c>
      <c r="L2577" s="1" t="str">
        <f t="shared" si="541"/>
        <v>X</v>
      </c>
      <c r="M2577" s="1" t="str">
        <f t="shared" si="541"/>
        <v>X</v>
      </c>
      <c r="N2577" t="s">
        <v>27</v>
      </c>
    </row>
    <row r="2578" spans="1:14" x14ac:dyDescent="0.25">
      <c r="A2578" t="s">
        <v>14</v>
      </c>
      <c r="B2578" t="s">
        <v>40</v>
      </c>
      <c r="C2578" t="s">
        <v>38</v>
      </c>
      <c r="D2578" t="s">
        <v>33</v>
      </c>
      <c r="E2578" t="s">
        <v>15</v>
      </c>
      <c r="F2578" t="s">
        <v>17</v>
      </c>
      <c r="G2578" s="1" t="str">
        <f t="shared" si="541"/>
        <v>X</v>
      </c>
      <c r="H2578" s="1" t="str">
        <f t="shared" si="541"/>
        <v>X</v>
      </c>
      <c r="I2578" s="1" t="str">
        <f t="shared" si="541"/>
        <v>X</v>
      </c>
      <c r="J2578" s="1" t="str">
        <f t="shared" si="541"/>
        <v>X</v>
      </c>
      <c r="K2578" s="1" t="str">
        <f t="shared" si="541"/>
        <v>X</v>
      </c>
      <c r="L2578" s="1" t="str">
        <f t="shared" si="541"/>
        <v>X</v>
      </c>
      <c r="M2578" s="1" t="str">
        <f t="shared" si="541"/>
        <v>X</v>
      </c>
      <c r="N2578" t="s">
        <v>27</v>
      </c>
    </row>
    <row r="2579" spans="1:14" x14ac:dyDescent="0.25">
      <c r="A2579" t="s">
        <v>14</v>
      </c>
      <c r="B2579" t="s">
        <v>40</v>
      </c>
      <c r="C2579" t="s">
        <v>38</v>
      </c>
      <c r="D2579" t="s">
        <v>33</v>
      </c>
      <c r="E2579" t="s">
        <v>15</v>
      </c>
      <c r="F2579" t="s">
        <v>18</v>
      </c>
      <c r="G2579" s="1" t="str">
        <f t="shared" si="541"/>
        <v>X</v>
      </c>
      <c r="H2579" s="1" t="str">
        <f t="shared" si="541"/>
        <v>X</v>
      </c>
      <c r="I2579" s="1" t="str">
        <f t="shared" si="541"/>
        <v>X</v>
      </c>
      <c r="J2579" s="1" t="str">
        <f t="shared" si="541"/>
        <v>X</v>
      </c>
      <c r="K2579" s="1" t="str">
        <f t="shared" si="541"/>
        <v>X</v>
      </c>
      <c r="L2579" s="1" t="str">
        <f t="shared" si="541"/>
        <v>X</v>
      </c>
      <c r="M2579" s="1" t="str">
        <f t="shared" si="541"/>
        <v>X</v>
      </c>
      <c r="N2579" t="s">
        <v>27</v>
      </c>
    </row>
    <row r="2580" spans="1:14" x14ac:dyDescent="0.25">
      <c r="A2580" t="s">
        <v>14</v>
      </c>
      <c r="B2580" t="s">
        <v>40</v>
      </c>
      <c r="C2580" t="s">
        <v>38</v>
      </c>
      <c r="D2580" t="s">
        <v>33</v>
      </c>
      <c r="E2580" t="s">
        <v>15</v>
      </c>
      <c r="F2580" t="s">
        <v>19</v>
      </c>
      <c r="G2580" s="1" t="str">
        <f t="shared" si="541"/>
        <v>X</v>
      </c>
      <c r="H2580" s="1" t="str">
        <f t="shared" si="541"/>
        <v>X</v>
      </c>
      <c r="I2580" s="1" t="str">
        <f t="shared" si="541"/>
        <v>X</v>
      </c>
      <c r="J2580" s="1" t="str">
        <f t="shared" si="541"/>
        <v>X</v>
      </c>
      <c r="K2580" s="1" t="str">
        <f t="shared" si="541"/>
        <v>X</v>
      </c>
      <c r="L2580" s="1" t="str">
        <f t="shared" si="541"/>
        <v>X</v>
      </c>
      <c r="M2580" s="1" t="str">
        <f t="shared" si="541"/>
        <v>X</v>
      </c>
      <c r="N2580" t="s">
        <v>27</v>
      </c>
    </row>
    <row r="2581" spans="1:14" x14ac:dyDescent="0.25">
      <c r="A2581" t="s">
        <v>14</v>
      </c>
      <c r="B2581" t="s">
        <v>40</v>
      </c>
      <c r="C2581" t="s">
        <v>38</v>
      </c>
      <c r="D2581" t="s">
        <v>33</v>
      </c>
      <c r="E2581" t="s">
        <v>15</v>
      </c>
      <c r="F2581" t="s">
        <v>20</v>
      </c>
      <c r="G2581" s="1" t="str">
        <f t="shared" si="541"/>
        <v>X</v>
      </c>
      <c r="H2581" s="1" t="str">
        <f t="shared" si="541"/>
        <v>X</v>
      </c>
      <c r="I2581" s="1" t="str">
        <f t="shared" si="541"/>
        <v>X</v>
      </c>
      <c r="J2581" s="1" t="str">
        <f t="shared" si="541"/>
        <v>X</v>
      </c>
      <c r="K2581" s="1" t="str">
        <f t="shared" si="541"/>
        <v>X</v>
      </c>
      <c r="L2581" s="1" t="str">
        <f t="shared" si="541"/>
        <v>X</v>
      </c>
      <c r="M2581" s="1" t="str">
        <f t="shared" si="541"/>
        <v>X</v>
      </c>
      <c r="N2581" t="s">
        <v>27</v>
      </c>
    </row>
    <row r="2582" spans="1:14" x14ac:dyDescent="0.25">
      <c r="A2582" t="s">
        <v>14</v>
      </c>
      <c r="B2582" t="s">
        <v>40</v>
      </c>
      <c r="C2582" t="s">
        <v>38</v>
      </c>
      <c r="D2582" t="s">
        <v>33</v>
      </c>
      <c r="E2582" t="s">
        <v>21</v>
      </c>
      <c r="F2582" t="s">
        <v>15</v>
      </c>
      <c r="G2582" s="1" t="str">
        <f t="shared" si="541"/>
        <v>X</v>
      </c>
      <c r="H2582" s="1" t="str">
        <f t="shared" si="541"/>
        <v>X</v>
      </c>
      <c r="I2582" s="1" t="str">
        <f t="shared" si="541"/>
        <v>X</v>
      </c>
      <c r="J2582" s="1" t="str">
        <f t="shared" si="541"/>
        <v>X</v>
      </c>
      <c r="K2582" s="1" t="str">
        <f t="shared" si="541"/>
        <v>X</v>
      </c>
      <c r="L2582" s="1" t="str">
        <f t="shared" si="541"/>
        <v>X</v>
      </c>
      <c r="M2582" s="1" t="str">
        <f t="shared" si="541"/>
        <v>X</v>
      </c>
      <c r="N2582" t="s">
        <v>27</v>
      </c>
    </row>
    <row r="2583" spans="1:14" x14ac:dyDescent="0.25">
      <c r="A2583" t="s">
        <v>14</v>
      </c>
      <c r="B2583" t="s">
        <v>40</v>
      </c>
      <c r="C2583" t="s">
        <v>38</v>
      </c>
      <c r="D2583" t="s">
        <v>33</v>
      </c>
      <c r="E2583" t="s">
        <v>21</v>
      </c>
      <c r="F2583" t="s">
        <v>17</v>
      </c>
      <c r="G2583" s="1" t="str">
        <f t="shared" si="541"/>
        <v>X</v>
      </c>
      <c r="H2583" s="1" t="str">
        <f t="shared" si="541"/>
        <v>X</v>
      </c>
      <c r="I2583" s="1" t="str">
        <f t="shared" si="541"/>
        <v>X</v>
      </c>
      <c r="J2583" s="1" t="str">
        <f t="shared" si="541"/>
        <v>X</v>
      </c>
      <c r="K2583" s="1" t="str">
        <f t="shared" si="541"/>
        <v>X</v>
      </c>
      <c r="L2583" s="1" t="str">
        <f t="shared" si="541"/>
        <v>X</v>
      </c>
      <c r="M2583" s="1" t="str">
        <f t="shared" si="541"/>
        <v>X</v>
      </c>
      <c r="N2583" t="s">
        <v>27</v>
      </c>
    </row>
    <row r="2584" spans="1:14" x14ac:dyDescent="0.25">
      <c r="A2584" t="s">
        <v>14</v>
      </c>
      <c r="B2584" t="s">
        <v>40</v>
      </c>
      <c r="C2584" t="s">
        <v>38</v>
      </c>
      <c r="D2584" t="s">
        <v>33</v>
      </c>
      <c r="E2584" t="s">
        <v>21</v>
      </c>
      <c r="F2584" t="s">
        <v>18</v>
      </c>
      <c r="G2584" s="1" t="str">
        <f t="shared" si="541"/>
        <v>X</v>
      </c>
      <c r="H2584" s="1" t="str">
        <f t="shared" si="541"/>
        <v>X</v>
      </c>
      <c r="I2584" s="1" t="str">
        <f t="shared" si="541"/>
        <v>X</v>
      </c>
      <c r="J2584" s="1" t="str">
        <f t="shared" si="541"/>
        <v>X</v>
      </c>
      <c r="K2584" s="1" t="str">
        <f t="shared" si="541"/>
        <v>X</v>
      </c>
      <c r="L2584" s="1" t="str">
        <f t="shared" si="541"/>
        <v>X</v>
      </c>
      <c r="M2584" s="1" t="str">
        <f t="shared" si="541"/>
        <v>X</v>
      </c>
      <c r="N2584" t="s">
        <v>27</v>
      </c>
    </row>
    <row r="2585" spans="1:14" x14ac:dyDescent="0.25">
      <c r="A2585" t="s">
        <v>14</v>
      </c>
      <c r="B2585" t="s">
        <v>40</v>
      </c>
      <c r="C2585" t="s">
        <v>38</v>
      </c>
      <c r="D2585" t="s">
        <v>33</v>
      </c>
      <c r="E2585" t="s">
        <v>21</v>
      </c>
      <c r="F2585" t="s">
        <v>19</v>
      </c>
      <c r="G2585" s="1" t="str">
        <f t="shared" si="541"/>
        <v>X</v>
      </c>
      <c r="H2585" s="1" t="str">
        <f t="shared" si="541"/>
        <v>X</v>
      </c>
      <c r="I2585" s="1" t="str">
        <f t="shared" si="541"/>
        <v>X</v>
      </c>
      <c r="J2585" s="1" t="str">
        <f t="shared" si="541"/>
        <v>X</v>
      </c>
      <c r="K2585" s="1" t="str">
        <f t="shared" si="541"/>
        <v>X</v>
      </c>
      <c r="L2585" s="1" t="str">
        <f t="shared" si="541"/>
        <v>X</v>
      </c>
      <c r="M2585" s="1" t="str">
        <f t="shared" si="541"/>
        <v>X</v>
      </c>
      <c r="N2585" t="s">
        <v>27</v>
      </c>
    </row>
    <row r="2586" spans="1:14" x14ac:dyDescent="0.25">
      <c r="A2586" t="s">
        <v>14</v>
      </c>
      <c r="B2586" t="s">
        <v>40</v>
      </c>
      <c r="C2586" t="s">
        <v>38</v>
      </c>
      <c r="D2586" t="s">
        <v>33</v>
      </c>
      <c r="E2586" t="s">
        <v>21</v>
      </c>
      <c r="F2586" t="s">
        <v>20</v>
      </c>
      <c r="G2586" s="1" t="str">
        <f t="shared" ref="G2586:M2586" si="542">"..."</f>
        <v>...</v>
      </c>
      <c r="H2586" s="1" t="str">
        <f t="shared" si="542"/>
        <v>...</v>
      </c>
      <c r="I2586" s="1" t="str">
        <f t="shared" si="542"/>
        <v>...</v>
      </c>
      <c r="J2586" s="1" t="str">
        <f t="shared" si="542"/>
        <v>...</v>
      </c>
      <c r="K2586" s="1" t="str">
        <f t="shared" si="542"/>
        <v>...</v>
      </c>
      <c r="L2586" s="1" t="str">
        <f t="shared" si="542"/>
        <v>...</v>
      </c>
      <c r="M2586" s="1" t="str">
        <f t="shared" si="542"/>
        <v>...</v>
      </c>
      <c r="N2586" t="s">
        <v>30</v>
      </c>
    </row>
    <row r="2587" spans="1:14" x14ac:dyDescent="0.25">
      <c r="A2587" t="s">
        <v>14</v>
      </c>
      <c r="B2587" t="s">
        <v>40</v>
      </c>
      <c r="C2587" t="s">
        <v>38</v>
      </c>
      <c r="D2587" t="s">
        <v>33</v>
      </c>
      <c r="E2587" t="s">
        <v>22</v>
      </c>
      <c r="F2587" t="s">
        <v>15</v>
      </c>
      <c r="G2587" s="1" t="str">
        <f t="shared" ref="G2587:M2588" si="543">"X"</f>
        <v>X</v>
      </c>
      <c r="H2587" s="1" t="str">
        <f t="shared" si="543"/>
        <v>X</v>
      </c>
      <c r="I2587" s="1" t="str">
        <f t="shared" si="543"/>
        <v>X</v>
      </c>
      <c r="J2587" s="1" t="str">
        <f t="shared" si="543"/>
        <v>X</v>
      </c>
      <c r="K2587" s="1" t="str">
        <f t="shared" si="543"/>
        <v>X</v>
      </c>
      <c r="L2587" s="1" t="str">
        <f t="shared" si="543"/>
        <v>X</v>
      </c>
      <c r="M2587" s="1" t="str">
        <f t="shared" si="543"/>
        <v>X</v>
      </c>
      <c r="N2587" t="s">
        <v>27</v>
      </c>
    </row>
    <row r="2588" spans="1:14" x14ac:dyDescent="0.25">
      <c r="A2588" t="s">
        <v>14</v>
      </c>
      <c r="B2588" t="s">
        <v>40</v>
      </c>
      <c r="C2588" t="s">
        <v>38</v>
      </c>
      <c r="D2588" t="s">
        <v>33</v>
      </c>
      <c r="E2588" t="s">
        <v>22</v>
      </c>
      <c r="F2588" t="s">
        <v>17</v>
      </c>
      <c r="G2588" s="1" t="str">
        <f t="shared" si="543"/>
        <v>X</v>
      </c>
      <c r="H2588" s="1" t="str">
        <f t="shared" si="543"/>
        <v>X</v>
      </c>
      <c r="I2588" s="1" t="str">
        <f t="shared" si="543"/>
        <v>X</v>
      </c>
      <c r="J2588" s="1" t="str">
        <f t="shared" si="543"/>
        <v>X</v>
      </c>
      <c r="K2588" s="1" t="str">
        <f t="shared" si="543"/>
        <v>X</v>
      </c>
      <c r="L2588" s="1" t="str">
        <f t="shared" si="543"/>
        <v>X</v>
      </c>
      <c r="M2588" s="1" t="str">
        <f t="shared" si="543"/>
        <v>X</v>
      </c>
      <c r="N2588" t="s">
        <v>27</v>
      </c>
    </row>
    <row r="2589" spans="1:14" x14ac:dyDescent="0.25">
      <c r="A2589" t="s">
        <v>14</v>
      </c>
      <c r="B2589" t="s">
        <v>40</v>
      </c>
      <c r="C2589" t="s">
        <v>38</v>
      </c>
      <c r="D2589" t="s">
        <v>33</v>
      </c>
      <c r="E2589" t="s">
        <v>22</v>
      </c>
      <c r="F2589" t="s">
        <v>18</v>
      </c>
      <c r="G2589" s="1" t="str">
        <f t="shared" ref="G2589:M2590" si="544">"..."</f>
        <v>...</v>
      </c>
      <c r="H2589" s="1" t="str">
        <f t="shared" si="544"/>
        <v>...</v>
      </c>
      <c r="I2589" s="1" t="str">
        <f t="shared" si="544"/>
        <v>...</v>
      </c>
      <c r="J2589" s="1" t="str">
        <f t="shared" si="544"/>
        <v>...</v>
      </c>
      <c r="K2589" s="1" t="str">
        <f t="shared" si="544"/>
        <v>...</v>
      </c>
      <c r="L2589" s="1" t="str">
        <f t="shared" si="544"/>
        <v>...</v>
      </c>
      <c r="M2589" s="1" t="str">
        <f t="shared" si="544"/>
        <v>...</v>
      </c>
      <c r="N2589" t="s">
        <v>30</v>
      </c>
    </row>
    <row r="2590" spans="1:14" x14ac:dyDescent="0.25">
      <c r="A2590" t="s">
        <v>14</v>
      </c>
      <c r="B2590" t="s">
        <v>40</v>
      </c>
      <c r="C2590" t="s">
        <v>38</v>
      </c>
      <c r="D2590" t="s">
        <v>33</v>
      </c>
      <c r="E2590" t="s">
        <v>22</v>
      </c>
      <c r="F2590" t="s">
        <v>19</v>
      </c>
      <c r="G2590" s="1" t="str">
        <f t="shared" si="544"/>
        <v>...</v>
      </c>
      <c r="H2590" s="1" t="str">
        <f t="shared" si="544"/>
        <v>...</v>
      </c>
      <c r="I2590" s="1" t="str">
        <f t="shared" si="544"/>
        <v>...</v>
      </c>
      <c r="J2590" s="1" t="str">
        <f t="shared" si="544"/>
        <v>...</v>
      </c>
      <c r="K2590" s="1" t="str">
        <f t="shared" si="544"/>
        <v>...</v>
      </c>
      <c r="L2590" s="1" t="str">
        <f t="shared" si="544"/>
        <v>...</v>
      </c>
      <c r="M2590" s="1" t="str">
        <f t="shared" si="544"/>
        <v>...</v>
      </c>
      <c r="N2590" t="s">
        <v>30</v>
      </c>
    </row>
    <row r="2591" spans="1:14" x14ac:dyDescent="0.25">
      <c r="A2591" t="s">
        <v>14</v>
      </c>
      <c r="B2591" t="s">
        <v>40</v>
      </c>
      <c r="C2591" t="s">
        <v>38</v>
      </c>
      <c r="D2591" t="s">
        <v>33</v>
      </c>
      <c r="E2591" t="s">
        <v>22</v>
      </c>
      <c r="F2591" t="s">
        <v>20</v>
      </c>
      <c r="G2591" s="1" t="str">
        <f t="shared" ref="G2591:M2593" si="545">"X"</f>
        <v>X</v>
      </c>
      <c r="H2591" s="1" t="str">
        <f t="shared" si="545"/>
        <v>X</v>
      </c>
      <c r="I2591" s="1" t="str">
        <f t="shared" si="545"/>
        <v>X</v>
      </c>
      <c r="J2591" s="1" t="str">
        <f t="shared" si="545"/>
        <v>X</v>
      </c>
      <c r="K2591" s="1" t="str">
        <f t="shared" si="545"/>
        <v>X</v>
      </c>
      <c r="L2591" s="1" t="str">
        <f t="shared" si="545"/>
        <v>X</v>
      </c>
      <c r="M2591" s="1" t="str">
        <f t="shared" si="545"/>
        <v>X</v>
      </c>
      <c r="N2591" t="s">
        <v>27</v>
      </c>
    </row>
    <row r="2592" spans="1:14" x14ac:dyDescent="0.25">
      <c r="A2592" t="s">
        <v>14</v>
      </c>
      <c r="B2592" t="s">
        <v>40</v>
      </c>
      <c r="C2592" t="s">
        <v>38</v>
      </c>
      <c r="D2592" t="s">
        <v>33</v>
      </c>
      <c r="E2592" t="s">
        <v>23</v>
      </c>
      <c r="F2592" t="s">
        <v>15</v>
      </c>
      <c r="G2592" s="1" t="str">
        <f t="shared" si="545"/>
        <v>X</v>
      </c>
      <c r="H2592" s="1" t="str">
        <f t="shared" si="545"/>
        <v>X</v>
      </c>
      <c r="I2592" s="1" t="str">
        <f t="shared" si="545"/>
        <v>X</v>
      </c>
      <c r="J2592" s="1" t="str">
        <f t="shared" si="545"/>
        <v>X</v>
      </c>
      <c r="K2592" s="1" t="str">
        <f t="shared" si="545"/>
        <v>X</v>
      </c>
      <c r="L2592" s="1" t="str">
        <f t="shared" si="545"/>
        <v>X</v>
      </c>
      <c r="M2592" s="1" t="str">
        <f t="shared" si="545"/>
        <v>X</v>
      </c>
      <c r="N2592" t="s">
        <v>27</v>
      </c>
    </row>
    <row r="2593" spans="1:14" x14ac:dyDescent="0.25">
      <c r="A2593" t="s">
        <v>14</v>
      </c>
      <c r="B2593" t="s">
        <v>40</v>
      </c>
      <c r="C2593" t="s">
        <v>38</v>
      </c>
      <c r="D2593" t="s">
        <v>33</v>
      </c>
      <c r="E2593" t="s">
        <v>23</v>
      </c>
      <c r="F2593" t="s">
        <v>17</v>
      </c>
      <c r="G2593" s="1" t="str">
        <f t="shared" si="545"/>
        <v>X</v>
      </c>
      <c r="H2593" s="1" t="str">
        <f t="shared" si="545"/>
        <v>X</v>
      </c>
      <c r="I2593" s="1" t="str">
        <f t="shared" si="545"/>
        <v>X</v>
      </c>
      <c r="J2593" s="1" t="str">
        <f t="shared" si="545"/>
        <v>X</v>
      </c>
      <c r="K2593" s="1" t="str">
        <f t="shared" si="545"/>
        <v>X</v>
      </c>
      <c r="L2593" s="1" t="str">
        <f t="shared" si="545"/>
        <v>X</v>
      </c>
      <c r="M2593" s="1" t="str">
        <f t="shared" si="545"/>
        <v>X</v>
      </c>
      <c r="N2593" t="s">
        <v>27</v>
      </c>
    </row>
    <row r="2594" spans="1:14" x14ac:dyDescent="0.25">
      <c r="A2594" t="s">
        <v>14</v>
      </c>
      <c r="B2594" t="s">
        <v>40</v>
      </c>
      <c r="C2594" t="s">
        <v>38</v>
      </c>
      <c r="D2594" t="s">
        <v>33</v>
      </c>
      <c r="E2594" t="s">
        <v>23</v>
      </c>
      <c r="F2594" t="s">
        <v>18</v>
      </c>
      <c r="G2594" s="1" t="str">
        <f t="shared" ref="G2594:M2594" si="546">"..."</f>
        <v>...</v>
      </c>
      <c r="H2594" s="1" t="str">
        <f t="shared" si="546"/>
        <v>...</v>
      </c>
      <c r="I2594" s="1" t="str">
        <f t="shared" si="546"/>
        <v>...</v>
      </c>
      <c r="J2594" s="1" t="str">
        <f t="shared" si="546"/>
        <v>...</v>
      </c>
      <c r="K2594" s="1" t="str">
        <f t="shared" si="546"/>
        <v>...</v>
      </c>
      <c r="L2594" s="1" t="str">
        <f t="shared" si="546"/>
        <v>...</v>
      </c>
      <c r="M2594" s="1" t="str">
        <f t="shared" si="546"/>
        <v>...</v>
      </c>
      <c r="N2594" t="s">
        <v>30</v>
      </c>
    </row>
    <row r="2595" spans="1:14" x14ac:dyDescent="0.25">
      <c r="A2595" t="s">
        <v>14</v>
      </c>
      <c r="B2595" t="s">
        <v>40</v>
      </c>
      <c r="C2595" t="s">
        <v>38</v>
      </c>
      <c r="D2595" t="s">
        <v>33</v>
      </c>
      <c r="E2595" t="s">
        <v>23</v>
      </c>
      <c r="F2595" t="s">
        <v>19</v>
      </c>
      <c r="G2595" s="1" t="str">
        <f t="shared" ref="G2595:M2596" si="547">"X"</f>
        <v>X</v>
      </c>
      <c r="H2595" s="1" t="str">
        <f t="shared" si="547"/>
        <v>X</v>
      </c>
      <c r="I2595" s="1" t="str">
        <f t="shared" si="547"/>
        <v>X</v>
      </c>
      <c r="J2595" s="1" t="str">
        <f t="shared" si="547"/>
        <v>X</v>
      </c>
      <c r="K2595" s="1" t="str">
        <f t="shared" si="547"/>
        <v>X</v>
      </c>
      <c r="L2595" s="1" t="str">
        <f t="shared" si="547"/>
        <v>X</v>
      </c>
      <c r="M2595" s="1" t="str">
        <f t="shared" si="547"/>
        <v>X</v>
      </c>
      <c r="N2595" t="s">
        <v>27</v>
      </c>
    </row>
    <row r="2596" spans="1:14" x14ac:dyDescent="0.25">
      <c r="A2596" t="s">
        <v>14</v>
      </c>
      <c r="B2596" t="s">
        <v>40</v>
      </c>
      <c r="C2596" t="s">
        <v>38</v>
      </c>
      <c r="D2596" t="s">
        <v>33</v>
      </c>
      <c r="E2596" t="s">
        <v>23</v>
      </c>
      <c r="F2596" t="s">
        <v>20</v>
      </c>
      <c r="G2596" s="1" t="str">
        <f t="shared" si="547"/>
        <v>X</v>
      </c>
      <c r="H2596" s="1" t="str">
        <f t="shared" si="547"/>
        <v>X</v>
      </c>
      <c r="I2596" s="1" t="str">
        <f t="shared" si="547"/>
        <v>X</v>
      </c>
      <c r="J2596" s="1" t="str">
        <f t="shared" si="547"/>
        <v>X</v>
      </c>
      <c r="K2596" s="1" t="str">
        <f t="shared" si="547"/>
        <v>X</v>
      </c>
      <c r="L2596" s="1" t="str">
        <f t="shared" si="547"/>
        <v>X</v>
      </c>
      <c r="M2596" s="1" t="str">
        <f t="shared" si="547"/>
        <v>X</v>
      </c>
      <c r="N2596" t="s">
        <v>27</v>
      </c>
    </row>
    <row r="2597" spans="1:14" x14ac:dyDescent="0.25">
      <c r="A2597" t="s">
        <v>14</v>
      </c>
      <c r="B2597" t="s">
        <v>40</v>
      </c>
      <c r="C2597" t="s">
        <v>38</v>
      </c>
      <c r="D2597" t="s">
        <v>33</v>
      </c>
      <c r="E2597" t="s">
        <v>26</v>
      </c>
      <c r="F2597" t="s">
        <v>15</v>
      </c>
      <c r="G2597" s="1" t="str">
        <f t="shared" ref="G2597:M2601" si="548">"..."</f>
        <v>...</v>
      </c>
      <c r="H2597" s="1" t="str">
        <f t="shared" si="548"/>
        <v>...</v>
      </c>
      <c r="I2597" s="1" t="str">
        <f t="shared" si="548"/>
        <v>...</v>
      </c>
      <c r="J2597" s="1" t="str">
        <f t="shared" si="548"/>
        <v>...</v>
      </c>
      <c r="K2597" s="1" t="str">
        <f t="shared" si="548"/>
        <v>...</v>
      </c>
      <c r="L2597" s="1" t="str">
        <f t="shared" si="548"/>
        <v>...</v>
      </c>
      <c r="M2597" s="1" t="str">
        <f t="shared" si="548"/>
        <v>...</v>
      </c>
      <c r="N2597" t="s">
        <v>30</v>
      </c>
    </row>
    <row r="2598" spans="1:14" x14ac:dyDescent="0.25">
      <c r="A2598" t="s">
        <v>14</v>
      </c>
      <c r="B2598" t="s">
        <v>40</v>
      </c>
      <c r="C2598" t="s">
        <v>38</v>
      </c>
      <c r="D2598" t="s">
        <v>33</v>
      </c>
      <c r="E2598" t="s">
        <v>26</v>
      </c>
      <c r="F2598" t="s">
        <v>17</v>
      </c>
      <c r="G2598" s="1" t="str">
        <f t="shared" si="548"/>
        <v>...</v>
      </c>
      <c r="H2598" s="1" t="str">
        <f t="shared" si="548"/>
        <v>...</v>
      </c>
      <c r="I2598" s="1" t="str">
        <f t="shared" si="548"/>
        <v>...</v>
      </c>
      <c r="J2598" s="1" t="str">
        <f t="shared" si="548"/>
        <v>...</v>
      </c>
      <c r="K2598" s="1" t="str">
        <f t="shared" si="548"/>
        <v>...</v>
      </c>
      <c r="L2598" s="1" t="str">
        <f t="shared" si="548"/>
        <v>...</v>
      </c>
      <c r="M2598" s="1" t="str">
        <f t="shared" si="548"/>
        <v>...</v>
      </c>
      <c r="N2598" t="s">
        <v>30</v>
      </c>
    </row>
    <row r="2599" spans="1:14" x14ac:dyDescent="0.25">
      <c r="A2599" t="s">
        <v>14</v>
      </c>
      <c r="B2599" t="s">
        <v>40</v>
      </c>
      <c r="C2599" t="s">
        <v>38</v>
      </c>
      <c r="D2599" t="s">
        <v>33</v>
      </c>
      <c r="E2599" t="s">
        <v>26</v>
      </c>
      <c r="F2599" t="s">
        <v>18</v>
      </c>
      <c r="G2599" s="1" t="str">
        <f t="shared" si="548"/>
        <v>...</v>
      </c>
      <c r="H2599" s="1" t="str">
        <f t="shared" si="548"/>
        <v>...</v>
      </c>
      <c r="I2599" s="1" t="str">
        <f t="shared" si="548"/>
        <v>...</v>
      </c>
      <c r="J2599" s="1" t="str">
        <f t="shared" si="548"/>
        <v>...</v>
      </c>
      <c r="K2599" s="1" t="str">
        <f t="shared" si="548"/>
        <v>...</v>
      </c>
      <c r="L2599" s="1" t="str">
        <f t="shared" si="548"/>
        <v>...</v>
      </c>
      <c r="M2599" s="1" t="str">
        <f t="shared" si="548"/>
        <v>...</v>
      </c>
      <c r="N2599" t="s">
        <v>30</v>
      </c>
    </row>
    <row r="2600" spans="1:14" x14ac:dyDescent="0.25">
      <c r="A2600" t="s">
        <v>14</v>
      </c>
      <c r="B2600" t="s">
        <v>40</v>
      </c>
      <c r="C2600" t="s">
        <v>38</v>
      </c>
      <c r="D2600" t="s">
        <v>33</v>
      </c>
      <c r="E2600" t="s">
        <v>26</v>
      </c>
      <c r="F2600" t="s">
        <v>19</v>
      </c>
      <c r="G2600" s="1" t="str">
        <f t="shared" si="548"/>
        <v>...</v>
      </c>
      <c r="H2600" s="1" t="str">
        <f t="shared" si="548"/>
        <v>...</v>
      </c>
      <c r="I2600" s="1" t="str">
        <f t="shared" si="548"/>
        <v>...</v>
      </c>
      <c r="J2600" s="1" t="str">
        <f t="shared" si="548"/>
        <v>...</v>
      </c>
      <c r="K2600" s="1" t="str">
        <f t="shared" si="548"/>
        <v>...</v>
      </c>
      <c r="L2600" s="1" t="str">
        <f t="shared" si="548"/>
        <v>...</v>
      </c>
      <c r="M2600" s="1" t="str">
        <f t="shared" si="548"/>
        <v>...</v>
      </c>
      <c r="N2600" t="s">
        <v>30</v>
      </c>
    </row>
    <row r="2601" spans="1:14" x14ac:dyDescent="0.25">
      <c r="A2601" t="s">
        <v>14</v>
      </c>
      <c r="B2601" t="s">
        <v>40</v>
      </c>
      <c r="C2601" t="s">
        <v>38</v>
      </c>
      <c r="D2601" t="s">
        <v>33</v>
      </c>
      <c r="E2601" t="s">
        <v>26</v>
      </c>
      <c r="F2601" t="s">
        <v>20</v>
      </c>
      <c r="G2601" s="1" t="str">
        <f t="shared" si="548"/>
        <v>...</v>
      </c>
      <c r="H2601" s="1" t="str">
        <f t="shared" si="548"/>
        <v>...</v>
      </c>
      <c r="I2601" s="1" t="str">
        <f t="shared" si="548"/>
        <v>...</v>
      </c>
      <c r="J2601" s="1" t="str">
        <f t="shared" si="548"/>
        <v>...</v>
      </c>
      <c r="K2601" s="1" t="str">
        <f t="shared" si="548"/>
        <v>...</v>
      </c>
      <c r="L2601" s="1" t="str">
        <f t="shared" si="548"/>
        <v>...</v>
      </c>
      <c r="M2601" s="1" t="str">
        <f t="shared" si="548"/>
        <v>...</v>
      </c>
      <c r="N2601" t="s">
        <v>30</v>
      </c>
    </row>
    <row r="2602" spans="1:14" x14ac:dyDescent="0.25">
      <c r="A2602" t="s">
        <v>14</v>
      </c>
      <c r="B2602" t="s">
        <v>40</v>
      </c>
      <c r="C2602" t="s">
        <v>38</v>
      </c>
      <c r="D2602" t="s">
        <v>34</v>
      </c>
      <c r="E2602" t="s">
        <v>15</v>
      </c>
      <c r="F2602" t="s">
        <v>15</v>
      </c>
      <c r="G2602" s="1" t="str">
        <f t="shared" ref="G2602:M2604" si="549">"X"</f>
        <v>X</v>
      </c>
      <c r="H2602" s="1" t="str">
        <f t="shared" si="549"/>
        <v>X</v>
      </c>
      <c r="I2602" s="1" t="str">
        <f t="shared" si="549"/>
        <v>X</v>
      </c>
      <c r="J2602" s="1" t="str">
        <f t="shared" si="549"/>
        <v>X</v>
      </c>
      <c r="K2602" s="1" t="str">
        <f t="shared" si="549"/>
        <v>X</v>
      </c>
      <c r="L2602" s="1" t="str">
        <f t="shared" si="549"/>
        <v>X</v>
      </c>
      <c r="M2602" s="1" t="str">
        <f t="shared" si="549"/>
        <v>X</v>
      </c>
      <c r="N2602" t="s">
        <v>27</v>
      </c>
    </row>
    <row r="2603" spans="1:14" x14ac:dyDescent="0.25">
      <c r="A2603" t="s">
        <v>14</v>
      </c>
      <c r="B2603" t="s">
        <v>40</v>
      </c>
      <c r="C2603" t="s">
        <v>38</v>
      </c>
      <c r="D2603" t="s">
        <v>34</v>
      </c>
      <c r="E2603" t="s">
        <v>15</v>
      </c>
      <c r="F2603" t="s">
        <v>17</v>
      </c>
      <c r="G2603" s="1" t="str">
        <f t="shared" si="549"/>
        <v>X</v>
      </c>
      <c r="H2603" s="1" t="str">
        <f t="shared" si="549"/>
        <v>X</v>
      </c>
      <c r="I2603" s="1" t="str">
        <f t="shared" si="549"/>
        <v>X</v>
      </c>
      <c r="J2603" s="1" t="str">
        <f t="shared" si="549"/>
        <v>X</v>
      </c>
      <c r="K2603" s="1" t="str">
        <f t="shared" si="549"/>
        <v>X</v>
      </c>
      <c r="L2603" s="1" t="str">
        <f t="shared" si="549"/>
        <v>X</v>
      </c>
      <c r="M2603" s="1" t="str">
        <f t="shared" si="549"/>
        <v>X</v>
      </c>
      <c r="N2603" t="s">
        <v>27</v>
      </c>
    </row>
    <row r="2604" spans="1:14" x14ac:dyDescent="0.25">
      <c r="A2604" t="s">
        <v>14</v>
      </c>
      <c r="B2604" t="s">
        <v>40</v>
      </c>
      <c r="C2604" t="s">
        <v>38</v>
      </c>
      <c r="D2604" t="s">
        <v>34</v>
      </c>
      <c r="E2604" t="s">
        <v>15</v>
      </c>
      <c r="F2604" t="s">
        <v>18</v>
      </c>
      <c r="G2604" s="1" t="str">
        <f t="shared" si="549"/>
        <v>X</v>
      </c>
      <c r="H2604" s="1" t="str">
        <f t="shared" si="549"/>
        <v>X</v>
      </c>
      <c r="I2604" s="1" t="str">
        <f t="shared" si="549"/>
        <v>X</v>
      </c>
      <c r="J2604" s="1" t="str">
        <f t="shared" si="549"/>
        <v>X</v>
      </c>
      <c r="K2604" s="1" t="str">
        <f t="shared" si="549"/>
        <v>X</v>
      </c>
      <c r="L2604" s="1" t="str">
        <f t="shared" si="549"/>
        <v>X</v>
      </c>
      <c r="M2604" s="1" t="str">
        <f t="shared" si="549"/>
        <v>X</v>
      </c>
      <c r="N2604" t="s">
        <v>27</v>
      </c>
    </row>
    <row r="2605" spans="1:14" x14ac:dyDescent="0.25">
      <c r="A2605" t="s">
        <v>14</v>
      </c>
      <c r="B2605" t="s">
        <v>40</v>
      </c>
      <c r="C2605" t="s">
        <v>38</v>
      </c>
      <c r="D2605" t="s">
        <v>34</v>
      </c>
      <c r="E2605" t="s">
        <v>15</v>
      </c>
      <c r="F2605" t="s">
        <v>19</v>
      </c>
      <c r="G2605" s="1" t="str">
        <f t="shared" ref="G2605:M2605" si="550">"..."</f>
        <v>...</v>
      </c>
      <c r="H2605" s="1" t="str">
        <f t="shared" si="550"/>
        <v>...</v>
      </c>
      <c r="I2605" s="1" t="str">
        <f t="shared" si="550"/>
        <v>...</v>
      </c>
      <c r="J2605" s="1" t="str">
        <f t="shared" si="550"/>
        <v>...</v>
      </c>
      <c r="K2605" s="1" t="str">
        <f t="shared" si="550"/>
        <v>...</v>
      </c>
      <c r="L2605" s="1" t="str">
        <f t="shared" si="550"/>
        <v>...</v>
      </c>
      <c r="M2605" s="1" t="str">
        <f t="shared" si="550"/>
        <v>...</v>
      </c>
      <c r="N2605" t="s">
        <v>30</v>
      </c>
    </row>
    <row r="2606" spans="1:14" x14ac:dyDescent="0.25">
      <c r="A2606" t="s">
        <v>14</v>
      </c>
      <c r="B2606" t="s">
        <v>40</v>
      </c>
      <c r="C2606" t="s">
        <v>38</v>
      </c>
      <c r="D2606" t="s">
        <v>34</v>
      </c>
      <c r="E2606" t="s">
        <v>15</v>
      </c>
      <c r="F2606" t="s">
        <v>20</v>
      </c>
      <c r="G2606" s="1" t="str">
        <f t="shared" ref="G2606:M2609" si="551">"X"</f>
        <v>X</v>
      </c>
      <c r="H2606" s="1" t="str">
        <f t="shared" si="551"/>
        <v>X</v>
      </c>
      <c r="I2606" s="1" t="str">
        <f t="shared" si="551"/>
        <v>X</v>
      </c>
      <c r="J2606" s="1" t="str">
        <f t="shared" si="551"/>
        <v>X</v>
      </c>
      <c r="K2606" s="1" t="str">
        <f t="shared" si="551"/>
        <v>X</v>
      </c>
      <c r="L2606" s="1" t="str">
        <f t="shared" si="551"/>
        <v>X</v>
      </c>
      <c r="M2606" s="1" t="str">
        <f t="shared" si="551"/>
        <v>X</v>
      </c>
      <c r="N2606" t="s">
        <v>27</v>
      </c>
    </row>
    <row r="2607" spans="1:14" x14ac:dyDescent="0.25">
      <c r="A2607" t="s">
        <v>14</v>
      </c>
      <c r="B2607" t="s">
        <v>40</v>
      </c>
      <c r="C2607" t="s">
        <v>38</v>
      </c>
      <c r="D2607" t="s">
        <v>34</v>
      </c>
      <c r="E2607" t="s">
        <v>21</v>
      </c>
      <c r="F2607" t="s">
        <v>15</v>
      </c>
      <c r="G2607" s="1" t="str">
        <f t="shared" si="551"/>
        <v>X</v>
      </c>
      <c r="H2607" s="1" t="str">
        <f t="shared" si="551"/>
        <v>X</v>
      </c>
      <c r="I2607" s="1" t="str">
        <f t="shared" si="551"/>
        <v>X</v>
      </c>
      <c r="J2607" s="1" t="str">
        <f t="shared" si="551"/>
        <v>X</v>
      </c>
      <c r="K2607" s="1" t="str">
        <f t="shared" si="551"/>
        <v>X</v>
      </c>
      <c r="L2607" s="1" t="str">
        <f t="shared" si="551"/>
        <v>X</v>
      </c>
      <c r="M2607" s="1" t="str">
        <f t="shared" si="551"/>
        <v>X</v>
      </c>
      <c r="N2607" t="s">
        <v>27</v>
      </c>
    </row>
    <row r="2608" spans="1:14" x14ac:dyDescent="0.25">
      <c r="A2608" t="s">
        <v>14</v>
      </c>
      <c r="B2608" t="s">
        <v>40</v>
      </c>
      <c r="C2608" t="s">
        <v>38</v>
      </c>
      <c r="D2608" t="s">
        <v>34</v>
      </c>
      <c r="E2608" t="s">
        <v>21</v>
      </c>
      <c r="F2608" t="s">
        <v>17</v>
      </c>
      <c r="G2608" s="1" t="str">
        <f t="shared" si="551"/>
        <v>X</v>
      </c>
      <c r="H2608" s="1" t="str">
        <f t="shared" si="551"/>
        <v>X</v>
      </c>
      <c r="I2608" s="1" t="str">
        <f t="shared" si="551"/>
        <v>X</v>
      </c>
      <c r="J2608" s="1" t="str">
        <f t="shared" si="551"/>
        <v>X</v>
      </c>
      <c r="K2608" s="1" t="str">
        <f t="shared" si="551"/>
        <v>X</v>
      </c>
      <c r="L2608" s="1" t="str">
        <f t="shared" si="551"/>
        <v>X</v>
      </c>
      <c r="M2608" s="1" t="str">
        <f t="shared" si="551"/>
        <v>X</v>
      </c>
      <c r="N2608" t="s">
        <v>27</v>
      </c>
    </row>
    <row r="2609" spans="1:14" x14ac:dyDescent="0.25">
      <c r="A2609" t="s">
        <v>14</v>
      </c>
      <c r="B2609" t="s">
        <v>40</v>
      </c>
      <c r="C2609" t="s">
        <v>38</v>
      </c>
      <c r="D2609" t="s">
        <v>34</v>
      </c>
      <c r="E2609" t="s">
        <v>21</v>
      </c>
      <c r="F2609" t="s">
        <v>18</v>
      </c>
      <c r="G2609" s="1" t="str">
        <f t="shared" si="551"/>
        <v>X</v>
      </c>
      <c r="H2609" s="1" t="str">
        <f t="shared" si="551"/>
        <v>X</v>
      </c>
      <c r="I2609" s="1" t="str">
        <f t="shared" si="551"/>
        <v>X</v>
      </c>
      <c r="J2609" s="1" t="str">
        <f t="shared" si="551"/>
        <v>X</v>
      </c>
      <c r="K2609" s="1" t="str">
        <f t="shared" si="551"/>
        <v>X</v>
      </c>
      <c r="L2609" s="1" t="str">
        <f t="shared" si="551"/>
        <v>X</v>
      </c>
      <c r="M2609" s="1" t="str">
        <f t="shared" si="551"/>
        <v>X</v>
      </c>
      <c r="N2609" t="s">
        <v>27</v>
      </c>
    </row>
    <row r="2610" spans="1:14" x14ac:dyDescent="0.25">
      <c r="A2610" t="s">
        <v>14</v>
      </c>
      <c r="B2610" t="s">
        <v>40</v>
      </c>
      <c r="C2610" t="s">
        <v>38</v>
      </c>
      <c r="D2610" t="s">
        <v>34</v>
      </c>
      <c r="E2610" t="s">
        <v>21</v>
      </c>
      <c r="F2610" t="s">
        <v>19</v>
      </c>
      <c r="G2610" s="1" t="str">
        <f t="shared" ref="G2610:M2610" si="552">"..."</f>
        <v>...</v>
      </c>
      <c r="H2610" s="1" t="str">
        <f t="shared" si="552"/>
        <v>...</v>
      </c>
      <c r="I2610" s="1" t="str">
        <f t="shared" si="552"/>
        <v>...</v>
      </c>
      <c r="J2610" s="1" t="str">
        <f t="shared" si="552"/>
        <v>...</v>
      </c>
      <c r="K2610" s="1" t="str">
        <f t="shared" si="552"/>
        <v>...</v>
      </c>
      <c r="L2610" s="1" t="str">
        <f t="shared" si="552"/>
        <v>...</v>
      </c>
      <c r="M2610" s="1" t="str">
        <f t="shared" si="552"/>
        <v>...</v>
      </c>
      <c r="N2610" t="s">
        <v>30</v>
      </c>
    </row>
    <row r="2611" spans="1:14" x14ac:dyDescent="0.25">
      <c r="A2611" t="s">
        <v>14</v>
      </c>
      <c r="B2611" t="s">
        <v>40</v>
      </c>
      <c r="C2611" t="s">
        <v>38</v>
      </c>
      <c r="D2611" t="s">
        <v>34</v>
      </c>
      <c r="E2611" t="s">
        <v>21</v>
      </c>
      <c r="F2611" t="s">
        <v>20</v>
      </c>
      <c r="G2611" s="1" t="str">
        <f t="shared" ref="G2611:M2614" si="553">"X"</f>
        <v>X</v>
      </c>
      <c r="H2611" s="1" t="str">
        <f t="shared" si="553"/>
        <v>X</v>
      </c>
      <c r="I2611" s="1" t="str">
        <f t="shared" si="553"/>
        <v>X</v>
      </c>
      <c r="J2611" s="1" t="str">
        <f t="shared" si="553"/>
        <v>X</v>
      </c>
      <c r="K2611" s="1" t="str">
        <f t="shared" si="553"/>
        <v>X</v>
      </c>
      <c r="L2611" s="1" t="str">
        <f t="shared" si="553"/>
        <v>X</v>
      </c>
      <c r="M2611" s="1" t="str">
        <f t="shared" si="553"/>
        <v>X</v>
      </c>
      <c r="N2611" t="s">
        <v>27</v>
      </c>
    </row>
    <row r="2612" spans="1:14" x14ac:dyDescent="0.25">
      <c r="A2612" t="s">
        <v>14</v>
      </c>
      <c r="B2612" t="s">
        <v>40</v>
      </c>
      <c r="C2612" t="s">
        <v>38</v>
      </c>
      <c r="D2612" t="s">
        <v>34</v>
      </c>
      <c r="E2612" t="s">
        <v>22</v>
      </c>
      <c r="F2612" t="s">
        <v>15</v>
      </c>
      <c r="G2612" s="1" t="str">
        <f t="shared" si="553"/>
        <v>X</v>
      </c>
      <c r="H2612" s="1" t="str">
        <f t="shared" si="553"/>
        <v>X</v>
      </c>
      <c r="I2612" s="1" t="str">
        <f t="shared" si="553"/>
        <v>X</v>
      </c>
      <c r="J2612" s="1" t="str">
        <f t="shared" si="553"/>
        <v>X</v>
      </c>
      <c r="K2612" s="1" t="str">
        <f t="shared" si="553"/>
        <v>X</v>
      </c>
      <c r="L2612" s="1" t="str">
        <f t="shared" si="553"/>
        <v>X</v>
      </c>
      <c r="M2612" s="1" t="str">
        <f t="shared" si="553"/>
        <v>X</v>
      </c>
      <c r="N2612" t="s">
        <v>27</v>
      </c>
    </row>
    <row r="2613" spans="1:14" x14ac:dyDescent="0.25">
      <c r="A2613" t="s">
        <v>14</v>
      </c>
      <c r="B2613" t="s">
        <v>40</v>
      </c>
      <c r="C2613" t="s">
        <v>38</v>
      </c>
      <c r="D2613" t="s">
        <v>34</v>
      </c>
      <c r="E2613" t="s">
        <v>22</v>
      </c>
      <c r="F2613" t="s">
        <v>17</v>
      </c>
      <c r="G2613" s="1" t="str">
        <f t="shared" si="553"/>
        <v>X</v>
      </c>
      <c r="H2613" s="1" t="str">
        <f t="shared" si="553"/>
        <v>X</v>
      </c>
      <c r="I2613" s="1" t="str">
        <f t="shared" si="553"/>
        <v>X</v>
      </c>
      <c r="J2613" s="1" t="str">
        <f t="shared" si="553"/>
        <v>X</v>
      </c>
      <c r="K2613" s="1" t="str">
        <f t="shared" si="553"/>
        <v>X</v>
      </c>
      <c r="L2613" s="1" t="str">
        <f t="shared" si="553"/>
        <v>X</v>
      </c>
      <c r="M2613" s="1" t="str">
        <f t="shared" si="553"/>
        <v>X</v>
      </c>
      <c r="N2613" t="s">
        <v>27</v>
      </c>
    </row>
    <row r="2614" spans="1:14" x14ac:dyDescent="0.25">
      <c r="A2614" t="s">
        <v>14</v>
      </c>
      <c r="B2614" t="s">
        <v>40</v>
      </c>
      <c r="C2614" t="s">
        <v>38</v>
      </c>
      <c r="D2614" t="s">
        <v>34</v>
      </c>
      <c r="E2614" t="s">
        <v>22</v>
      </c>
      <c r="F2614" t="s">
        <v>18</v>
      </c>
      <c r="G2614" s="1" t="str">
        <f t="shared" si="553"/>
        <v>X</v>
      </c>
      <c r="H2614" s="1" t="str">
        <f t="shared" si="553"/>
        <v>X</v>
      </c>
      <c r="I2614" s="1" t="str">
        <f t="shared" si="553"/>
        <v>X</v>
      </c>
      <c r="J2614" s="1" t="str">
        <f t="shared" si="553"/>
        <v>X</v>
      </c>
      <c r="K2614" s="1" t="str">
        <f t="shared" si="553"/>
        <v>X</v>
      </c>
      <c r="L2614" s="1" t="str">
        <f t="shared" si="553"/>
        <v>X</v>
      </c>
      <c r="M2614" s="1" t="str">
        <f t="shared" si="553"/>
        <v>X</v>
      </c>
      <c r="N2614" t="s">
        <v>27</v>
      </c>
    </row>
    <row r="2615" spans="1:14" x14ac:dyDescent="0.25">
      <c r="A2615" t="s">
        <v>14</v>
      </c>
      <c r="B2615" t="s">
        <v>40</v>
      </c>
      <c r="C2615" t="s">
        <v>38</v>
      </c>
      <c r="D2615" t="s">
        <v>34</v>
      </c>
      <c r="E2615" t="s">
        <v>22</v>
      </c>
      <c r="F2615" t="s">
        <v>19</v>
      </c>
      <c r="G2615" s="1" t="str">
        <f t="shared" ref="G2615:M2615" si="554">"..."</f>
        <v>...</v>
      </c>
      <c r="H2615" s="1" t="str">
        <f t="shared" si="554"/>
        <v>...</v>
      </c>
      <c r="I2615" s="1" t="str">
        <f t="shared" si="554"/>
        <v>...</v>
      </c>
      <c r="J2615" s="1" t="str">
        <f t="shared" si="554"/>
        <v>...</v>
      </c>
      <c r="K2615" s="1" t="str">
        <f t="shared" si="554"/>
        <v>...</v>
      </c>
      <c r="L2615" s="1" t="str">
        <f t="shared" si="554"/>
        <v>...</v>
      </c>
      <c r="M2615" s="1" t="str">
        <f t="shared" si="554"/>
        <v>...</v>
      </c>
      <c r="N2615" t="s">
        <v>30</v>
      </c>
    </row>
    <row r="2616" spans="1:14" x14ac:dyDescent="0.25">
      <c r="A2616" t="s">
        <v>14</v>
      </c>
      <c r="B2616" t="s">
        <v>40</v>
      </c>
      <c r="C2616" t="s">
        <v>38</v>
      </c>
      <c r="D2616" t="s">
        <v>34</v>
      </c>
      <c r="E2616" t="s">
        <v>22</v>
      </c>
      <c r="F2616" t="s">
        <v>20</v>
      </c>
      <c r="G2616" s="1" t="str">
        <f t="shared" ref="G2616:M2617" si="555">"X"</f>
        <v>X</v>
      </c>
      <c r="H2616" s="1" t="str">
        <f t="shared" si="555"/>
        <v>X</v>
      </c>
      <c r="I2616" s="1" t="str">
        <f t="shared" si="555"/>
        <v>X</v>
      </c>
      <c r="J2616" s="1" t="str">
        <f t="shared" si="555"/>
        <v>X</v>
      </c>
      <c r="K2616" s="1" t="str">
        <f t="shared" si="555"/>
        <v>X</v>
      </c>
      <c r="L2616" s="1" t="str">
        <f t="shared" si="555"/>
        <v>X</v>
      </c>
      <c r="M2616" s="1" t="str">
        <f t="shared" si="555"/>
        <v>X</v>
      </c>
      <c r="N2616" t="s">
        <v>27</v>
      </c>
    </row>
    <row r="2617" spans="1:14" x14ac:dyDescent="0.25">
      <c r="A2617" t="s">
        <v>14</v>
      </c>
      <c r="B2617" t="s">
        <v>40</v>
      </c>
      <c r="C2617" t="s">
        <v>38</v>
      </c>
      <c r="D2617" t="s">
        <v>34</v>
      </c>
      <c r="E2617" t="s">
        <v>23</v>
      </c>
      <c r="F2617" t="s">
        <v>15</v>
      </c>
      <c r="G2617" s="1" t="str">
        <f t="shared" si="555"/>
        <v>X</v>
      </c>
      <c r="H2617" s="1" t="str">
        <f t="shared" si="555"/>
        <v>X</v>
      </c>
      <c r="I2617" s="1" t="str">
        <f t="shared" si="555"/>
        <v>X</v>
      </c>
      <c r="J2617" s="1" t="str">
        <f t="shared" si="555"/>
        <v>X</v>
      </c>
      <c r="K2617" s="1" t="str">
        <f t="shared" si="555"/>
        <v>X</v>
      </c>
      <c r="L2617" s="1" t="str">
        <f t="shared" si="555"/>
        <v>X</v>
      </c>
      <c r="M2617" s="1" t="str">
        <f t="shared" si="555"/>
        <v>X</v>
      </c>
      <c r="N2617" t="s">
        <v>27</v>
      </c>
    </row>
    <row r="2618" spans="1:14" x14ac:dyDescent="0.25">
      <c r="A2618" t="s">
        <v>14</v>
      </c>
      <c r="B2618" t="s">
        <v>40</v>
      </c>
      <c r="C2618" t="s">
        <v>38</v>
      </c>
      <c r="D2618" t="s">
        <v>34</v>
      </c>
      <c r="E2618" t="s">
        <v>23</v>
      </c>
      <c r="F2618" t="s">
        <v>17</v>
      </c>
      <c r="G2618" s="1" t="str">
        <f t="shared" ref="G2618:M2620" si="556">"..."</f>
        <v>...</v>
      </c>
      <c r="H2618" s="1" t="str">
        <f t="shared" si="556"/>
        <v>...</v>
      </c>
      <c r="I2618" s="1" t="str">
        <f t="shared" si="556"/>
        <v>...</v>
      </c>
      <c r="J2618" s="1" t="str">
        <f t="shared" si="556"/>
        <v>...</v>
      </c>
      <c r="K2618" s="1" t="str">
        <f t="shared" si="556"/>
        <v>...</v>
      </c>
      <c r="L2618" s="1" t="str">
        <f t="shared" si="556"/>
        <v>...</v>
      </c>
      <c r="M2618" s="1" t="str">
        <f t="shared" si="556"/>
        <v>...</v>
      </c>
      <c r="N2618" t="s">
        <v>30</v>
      </c>
    </row>
    <row r="2619" spans="1:14" x14ac:dyDescent="0.25">
      <c r="A2619" t="s">
        <v>14</v>
      </c>
      <c r="B2619" t="s">
        <v>40</v>
      </c>
      <c r="C2619" t="s">
        <v>38</v>
      </c>
      <c r="D2619" t="s">
        <v>34</v>
      </c>
      <c r="E2619" t="s">
        <v>23</v>
      </c>
      <c r="F2619" t="s">
        <v>18</v>
      </c>
      <c r="G2619" s="1" t="str">
        <f t="shared" si="556"/>
        <v>...</v>
      </c>
      <c r="H2619" s="1" t="str">
        <f t="shared" si="556"/>
        <v>...</v>
      </c>
      <c r="I2619" s="1" t="str">
        <f t="shared" si="556"/>
        <v>...</v>
      </c>
      <c r="J2619" s="1" t="str">
        <f t="shared" si="556"/>
        <v>...</v>
      </c>
      <c r="K2619" s="1" t="str">
        <f t="shared" si="556"/>
        <v>...</v>
      </c>
      <c r="L2619" s="1" t="str">
        <f t="shared" si="556"/>
        <v>...</v>
      </c>
      <c r="M2619" s="1" t="str">
        <f t="shared" si="556"/>
        <v>...</v>
      </c>
      <c r="N2619" t="s">
        <v>30</v>
      </c>
    </row>
    <row r="2620" spans="1:14" x14ac:dyDescent="0.25">
      <c r="A2620" t="s">
        <v>14</v>
      </c>
      <c r="B2620" t="s">
        <v>40</v>
      </c>
      <c r="C2620" t="s">
        <v>38</v>
      </c>
      <c r="D2620" t="s">
        <v>34</v>
      </c>
      <c r="E2620" t="s">
        <v>23</v>
      </c>
      <c r="F2620" t="s">
        <v>19</v>
      </c>
      <c r="G2620" s="1" t="str">
        <f t="shared" si="556"/>
        <v>...</v>
      </c>
      <c r="H2620" s="1" t="str">
        <f t="shared" si="556"/>
        <v>...</v>
      </c>
      <c r="I2620" s="1" t="str">
        <f t="shared" si="556"/>
        <v>...</v>
      </c>
      <c r="J2620" s="1" t="str">
        <f t="shared" si="556"/>
        <v>...</v>
      </c>
      <c r="K2620" s="1" t="str">
        <f t="shared" si="556"/>
        <v>...</v>
      </c>
      <c r="L2620" s="1" t="str">
        <f t="shared" si="556"/>
        <v>...</v>
      </c>
      <c r="M2620" s="1" t="str">
        <f t="shared" si="556"/>
        <v>...</v>
      </c>
      <c r="N2620" t="s">
        <v>30</v>
      </c>
    </row>
    <row r="2621" spans="1:14" x14ac:dyDescent="0.25">
      <c r="A2621" t="s">
        <v>14</v>
      </c>
      <c r="B2621" t="s">
        <v>40</v>
      </c>
      <c r="C2621" t="s">
        <v>38</v>
      </c>
      <c r="D2621" t="s">
        <v>34</v>
      </c>
      <c r="E2621" t="s">
        <v>23</v>
      </c>
      <c r="F2621" t="s">
        <v>20</v>
      </c>
      <c r="G2621" s="1" t="str">
        <f t="shared" ref="G2621:M2622" si="557">"X"</f>
        <v>X</v>
      </c>
      <c r="H2621" s="1" t="str">
        <f t="shared" si="557"/>
        <v>X</v>
      </c>
      <c r="I2621" s="1" t="str">
        <f t="shared" si="557"/>
        <v>X</v>
      </c>
      <c r="J2621" s="1" t="str">
        <f t="shared" si="557"/>
        <v>X</v>
      </c>
      <c r="K2621" s="1" t="str">
        <f t="shared" si="557"/>
        <v>X</v>
      </c>
      <c r="L2621" s="1" t="str">
        <f t="shared" si="557"/>
        <v>X</v>
      </c>
      <c r="M2621" s="1" t="str">
        <f t="shared" si="557"/>
        <v>X</v>
      </c>
      <c r="N2621" t="s">
        <v>27</v>
      </c>
    </row>
    <row r="2622" spans="1:14" x14ac:dyDescent="0.25">
      <c r="A2622" t="s">
        <v>14</v>
      </c>
      <c r="B2622" t="s">
        <v>40</v>
      </c>
      <c r="C2622" t="s">
        <v>38</v>
      </c>
      <c r="D2622" t="s">
        <v>34</v>
      </c>
      <c r="E2622" t="s">
        <v>26</v>
      </c>
      <c r="F2622" t="s">
        <v>15</v>
      </c>
      <c r="G2622" s="1" t="str">
        <f t="shared" si="557"/>
        <v>X</v>
      </c>
      <c r="H2622" s="1" t="str">
        <f t="shared" si="557"/>
        <v>X</v>
      </c>
      <c r="I2622" s="1" t="str">
        <f t="shared" si="557"/>
        <v>X</v>
      </c>
      <c r="J2622" s="1" t="str">
        <f t="shared" si="557"/>
        <v>X</v>
      </c>
      <c r="K2622" s="1" t="str">
        <f t="shared" si="557"/>
        <v>X</v>
      </c>
      <c r="L2622" s="1" t="str">
        <f t="shared" si="557"/>
        <v>X</v>
      </c>
      <c r="M2622" s="1" t="str">
        <f t="shared" si="557"/>
        <v>X</v>
      </c>
      <c r="N2622" t="s">
        <v>27</v>
      </c>
    </row>
    <row r="2623" spans="1:14" x14ac:dyDescent="0.25">
      <c r="A2623" t="s">
        <v>14</v>
      </c>
      <c r="B2623" t="s">
        <v>40</v>
      </c>
      <c r="C2623" t="s">
        <v>38</v>
      </c>
      <c r="D2623" t="s">
        <v>34</v>
      </c>
      <c r="E2623" t="s">
        <v>26</v>
      </c>
      <c r="F2623" t="s">
        <v>17</v>
      </c>
      <c r="G2623" s="1" t="str">
        <f t="shared" ref="G2623:M2625" si="558">"..."</f>
        <v>...</v>
      </c>
      <c r="H2623" s="1" t="str">
        <f t="shared" si="558"/>
        <v>...</v>
      </c>
      <c r="I2623" s="1" t="str">
        <f t="shared" si="558"/>
        <v>...</v>
      </c>
      <c r="J2623" s="1" t="str">
        <f t="shared" si="558"/>
        <v>...</v>
      </c>
      <c r="K2623" s="1" t="str">
        <f t="shared" si="558"/>
        <v>...</v>
      </c>
      <c r="L2623" s="1" t="str">
        <f t="shared" si="558"/>
        <v>...</v>
      </c>
      <c r="M2623" s="1" t="str">
        <f t="shared" si="558"/>
        <v>...</v>
      </c>
      <c r="N2623" t="s">
        <v>30</v>
      </c>
    </row>
    <row r="2624" spans="1:14" x14ac:dyDescent="0.25">
      <c r="A2624" t="s">
        <v>14</v>
      </c>
      <c r="B2624" t="s">
        <v>40</v>
      </c>
      <c r="C2624" t="s">
        <v>38</v>
      </c>
      <c r="D2624" t="s">
        <v>34</v>
      </c>
      <c r="E2624" t="s">
        <v>26</v>
      </c>
      <c r="F2624" t="s">
        <v>18</v>
      </c>
      <c r="G2624" s="1" t="str">
        <f t="shared" si="558"/>
        <v>...</v>
      </c>
      <c r="H2624" s="1" t="str">
        <f t="shared" si="558"/>
        <v>...</v>
      </c>
      <c r="I2624" s="1" t="str">
        <f t="shared" si="558"/>
        <v>...</v>
      </c>
      <c r="J2624" s="1" t="str">
        <f t="shared" si="558"/>
        <v>...</v>
      </c>
      <c r="K2624" s="1" t="str">
        <f t="shared" si="558"/>
        <v>...</v>
      </c>
      <c r="L2624" s="1" t="str">
        <f t="shared" si="558"/>
        <v>...</v>
      </c>
      <c r="M2624" s="1" t="str">
        <f t="shared" si="558"/>
        <v>...</v>
      </c>
      <c r="N2624" t="s">
        <v>30</v>
      </c>
    </row>
    <row r="2625" spans="1:14" x14ac:dyDescent="0.25">
      <c r="A2625" t="s">
        <v>14</v>
      </c>
      <c r="B2625" t="s">
        <v>40</v>
      </c>
      <c r="C2625" t="s">
        <v>38</v>
      </c>
      <c r="D2625" t="s">
        <v>34</v>
      </c>
      <c r="E2625" t="s">
        <v>26</v>
      </c>
      <c r="F2625" t="s">
        <v>19</v>
      </c>
      <c r="G2625" s="1" t="str">
        <f t="shared" si="558"/>
        <v>...</v>
      </c>
      <c r="H2625" s="1" t="str">
        <f t="shared" si="558"/>
        <v>...</v>
      </c>
      <c r="I2625" s="1" t="str">
        <f t="shared" si="558"/>
        <v>...</v>
      </c>
      <c r="J2625" s="1" t="str">
        <f t="shared" si="558"/>
        <v>...</v>
      </c>
      <c r="K2625" s="1" t="str">
        <f t="shared" si="558"/>
        <v>...</v>
      </c>
      <c r="L2625" s="1" t="str">
        <f t="shared" si="558"/>
        <v>...</v>
      </c>
      <c r="M2625" s="1" t="str">
        <f t="shared" si="558"/>
        <v>...</v>
      </c>
      <c r="N2625" t="s">
        <v>30</v>
      </c>
    </row>
    <row r="2626" spans="1:14" x14ac:dyDescent="0.25">
      <c r="A2626" t="s">
        <v>14</v>
      </c>
      <c r="B2626" t="s">
        <v>40</v>
      </c>
      <c r="C2626" t="s">
        <v>38</v>
      </c>
      <c r="D2626" t="s">
        <v>34</v>
      </c>
      <c r="E2626" t="s">
        <v>26</v>
      </c>
      <c r="F2626" t="s">
        <v>20</v>
      </c>
      <c r="G2626" s="1" t="str">
        <f t="shared" ref="G2626:M2626" si="559">"X"</f>
        <v>X</v>
      </c>
      <c r="H2626" s="1" t="str">
        <f t="shared" si="559"/>
        <v>X</v>
      </c>
      <c r="I2626" s="1" t="str">
        <f t="shared" si="559"/>
        <v>X</v>
      </c>
      <c r="J2626" s="1" t="str">
        <f t="shared" si="559"/>
        <v>X</v>
      </c>
      <c r="K2626" s="1" t="str">
        <f t="shared" si="559"/>
        <v>X</v>
      </c>
      <c r="L2626" s="1" t="str">
        <f t="shared" si="559"/>
        <v>X</v>
      </c>
      <c r="M2626" s="1" t="str">
        <f t="shared" si="559"/>
        <v>X</v>
      </c>
      <c r="N2626" t="s">
        <v>27</v>
      </c>
    </row>
    <row r="2627" spans="1:14" x14ac:dyDescent="0.25">
      <c r="A2627" t="s">
        <v>41</v>
      </c>
      <c r="B2627" t="s">
        <v>15</v>
      </c>
      <c r="C2627" t="s">
        <v>15</v>
      </c>
      <c r="D2627" t="s">
        <v>15</v>
      </c>
      <c r="E2627" t="s">
        <v>15</v>
      </c>
      <c r="F2627" t="s">
        <v>15</v>
      </c>
      <c r="G2627" s="1">
        <f>VALUE(113664.684351651)</f>
        <v>113664.684351651</v>
      </c>
      <c r="H2627" s="1">
        <f>VALUE(102882.314250464)</f>
        <v>102882.314250464</v>
      </c>
      <c r="I2627" s="1">
        <f>VALUE(3199)</f>
        <v>3199</v>
      </c>
      <c r="J2627" s="1">
        <f>VALUE(3932)</f>
        <v>3932</v>
      </c>
      <c r="K2627" s="1">
        <f>VALUE(5015)</f>
        <v>5015</v>
      </c>
      <c r="L2627" s="1">
        <f>VALUE(6356)</f>
        <v>6356</v>
      </c>
      <c r="M2627" s="1">
        <f>VALUE(8574)</f>
        <v>8574</v>
      </c>
      <c r="N2627" t="s">
        <v>16</v>
      </c>
    </row>
    <row r="2628" spans="1:14" x14ac:dyDescent="0.25">
      <c r="A2628" t="s">
        <v>41</v>
      </c>
      <c r="B2628" t="s">
        <v>15</v>
      </c>
      <c r="C2628" t="s">
        <v>15</v>
      </c>
      <c r="D2628" t="s">
        <v>15</v>
      </c>
      <c r="E2628" t="s">
        <v>15</v>
      </c>
      <c r="F2628" t="s">
        <v>17</v>
      </c>
      <c r="G2628" s="1">
        <f>VALUE(17228.5241859628)</f>
        <v>17228.5241859628</v>
      </c>
      <c r="H2628" s="1">
        <f>VALUE(16539.5794758591)</f>
        <v>16539.5794758591</v>
      </c>
      <c r="I2628" s="1">
        <f>VALUE(4147)</f>
        <v>4147</v>
      </c>
      <c r="J2628" s="1">
        <f>VALUE(5491)</f>
        <v>5491</v>
      </c>
      <c r="K2628" s="1">
        <f>VALUE(7583)</f>
        <v>7583</v>
      </c>
      <c r="L2628" s="1">
        <f>VALUE(11112)</f>
        <v>11112</v>
      </c>
      <c r="M2628" s="1">
        <f>VALUE(16863)</f>
        <v>16863</v>
      </c>
      <c r="N2628" t="s">
        <v>16</v>
      </c>
    </row>
    <row r="2629" spans="1:14" x14ac:dyDescent="0.25">
      <c r="A2629" t="s">
        <v>41</v>
      </c>
      <c r="B2629" t="s">
        <v>15</v>
      </c>
      <c r="C2629" t="s">
        <v>15</v>
      </c>
      <c r="D2629" t="s">
        <v>15</v>
      </c>
      <c r="E2629" t="s">
        <v>15</v>
      </c>
      <c r="F2629" t="s">
        <v>18</v>
      </c>
      <c r="G2629" s="1">
        <f>VALUE(13842.8175155589)</f>
        <v>13842.8175155589</v>
      </c>
      <c r="H2629" s="1">
        <f>VALUE(12396.8426955818)</f>
        <v>12396.842695581799</v>
      </c>
      <c r="I2629" s="1">
        <f>VALUE(3686)</f>
        <v>3686</v>
      </c>
      <c r="J2629" s="1">
        <f>VALUE(4720)</f>
        <v>4720</v>
      </c>
      <c r="K2629" s="1">
        <f>VALUE(5742)</f>
        <v>5742</v>
      </c>
      <c r="L2629" s="1">
        <f>VALUE(7367)</f>
        <v>7367</v>
      </c>
      <c r="M2629" s="1">
        <f>VALUE(9386)</f>
        <v>9386</v>
      </c>
      <c r="N2629" t="s">
        <v>16</v>
      </c>
    </row>
    <row r="2630" spans="1:14" x14ac:dyDescent="0.25">
      <c r="A2630" t="s">
        <v>41</v>
      </c>
      <c r="B2630" t="s">
        <v>15</v>
      </c>
      <c r="C2630" t="s">
        <v>15</v>
      </c>
      <c r="D2630" t="s">
        <v>15</v>
      </c>
      <c r="E2630" t="s">
        <v>15</v>
      </c>
      <c r="F2630" t="s">
        <v>19</v>
      </c>
      <c r="G2630" s="1">
        <f>VALUE(15406.53863136)</f>
        <v>15406.538631359999</v>
      </c>
      <c r="H2630" s="1">
        <f>VALUE(13800.7273987811)</f>
        <v>13800.7273987811</v>
      </c>
      <c r="I2630" s="1">
        <f>VALUE(3568)</f>
        <v>3568</v>
      </c>
      <c r="J2630" s="1">
        <f>VALUE(4250)</f>
        <v>4250</v>
      </c>
      <c r="K2630" s="1">
        <f>VALUE(5186)</f>
        <v>5186</v>
      </c>
      <c r="L2630" s="1">
        <f>VALUE(6303)</f>
        <v>6303</v>
      </c>
      <c r="M2630" s="1">
        <f>VALUE(7552)</f>
        <v>7552</v>
      </c>
      <c r="N2630" t="s">
        <v>16</v>
      </c>
    </row>
    <row r="2631" spans="1:14" x14ac:dyDescent="0.25">
      <c r="A2631" t="s">
        <v>41</v>
      </c>
      <c r="B2631" t="s">
        <v>15</v>
      </c>
      <c r="C2631" t="s">
        <v>15</v>
      </c>
      <c r="D2631" t="s">
        <v>15</v>
      </c>
      <c r="E2631" t="s">
        <v>15</v>
      </c>
      <c r="F2631" t="s">
        <v>20</v>
      </c>
      <c r="G2631" s="1">
        <f>VALUE(67049.2525347837)</f>
        <v>67049.252534783707</v>
      </c>
      <c r="H2631" s="1">
        <f>VALUE(60018.2883689393)</f>
        <v>60018.288368939298</v>
      </c>
      <c r="I2631" s="1">
        <f>VALUE(2965)</f>
        <v>2965</v>
      </c>
      <c r="J2631" s="1">
        <f>VALUE(3608)</f>
        <v>3608</v>
      </c>
      <c r="K2631" s="1">
        <f>VALUE(4515)</f>
        <v>4515</v>
      </c>
      <c r="L2631" s="1">
        <f>VALUE(5547)</f>
        <v>5547</v>
      </c>
      <c r="M2631" s="1">
        <f>VALUE(6530)</f>
        <v>6530</v>
      </c>
      <c r="N2631" t="s">
        <v>16</v>
      </c>
    </row>
    <row r="2632" spans="1:14" x14ac:dyDescent="0.25">
      <c r="A2632" t="s">
        <v>41</v>
      </c>
      <c r="B2632" t="s">
        <v>15</v>
      </c>
      <c r="C2632" t="s">
        <v>15</v>
      </c>
      <c r="D2632" t="s">
        <v>15</v>
      </c>
      <c r="E2632" t="s">
        <v>21</v>
      </c>
      <c r="F2632" t="s">
        <v>15</v>
      </c>
      <c r="G2632" s="1">
        <f>VALUE(26696.4922931424)</f>
        <v>26696.492293142401</v>
      </c>
      <c r="H2632" s="1">
        <f>VALUE(23813.0111494334)</f>
        <v>23813.011149433401</v>
      </c>
      <c r="I2632" s="1">
        <f>VALUE(3868)</f>
        <v>3868</v>
      </c>
      <c r="J2632" s="1">
        <f>VALUE(4933)</f>
        <v>4933</v>
      </c>
      <c r="K2632" s="1">
        <f>VALUE(6515)</f>
        <v>6515</v>
      </c>
      <c r="L2632" s="1">
        <f>VALUE(8966)</f>
        <v>8966</v>
      </c>
      <c r="M2632" s="1">
        <f>VALUE(13000)</f>
        <v>13000</v>
      </c>
      <c r="N2632" t="s">
        <v>16</v>
      </c>
    </row>
    <row r="2633" spans="1:14" x14ac:dyDescent="0.25">
      <c r="A2633" t="s">
        <v>41</v>
      </c>
      <c r="B2633" t="s">
        <v>15</v>
      </c>
      <c r="C2633" t="s">
        <v>15</v>
      </c>
      <c r="D2633" t="s">
        <v>15</v>
      </c>
      <c r="E2633" t="s">
        <v>21</v>
      </c>
      <c r="F2633" t="s">
        <v>17</v>
      </c>
      <c r="G2633" s="1">
        <f>VALUE(10025.5972521038)</f>
        <v>10025.5972521038</v>
      </c>
      <c r="H2633" s="1">
        <f>VALUE(9516.323100514)</f>
        <v>9516.3231005140005</v>
      </c>
      <c r="I2633" s="1">
        <f>VALUE(4588)</f>
        <v>4588</v>
      </c>
      <c r="J2633" s="1">
        <f>VALUE(6130)</f>
        <v>6130</v>
      </c>
      <c r="K2633" s="1">
        <f>VALUE(8556)</f>
        <v>8556</v>
      </c>
      <c r="L2633" s="1">
        <f>VALUE(12251)</f>
        <v>12251</v>
      </c>
      <c r="M2633" s="1">
        <f>VALUE(18750)</f>
        <v>18750</v>
      </c>
      <c r="N2633" t="s">
        <v>16</v>
      </c>
    </row>
    <row r="2634" spans="1:14" x14ac:dyDescent="0.25">
      <c r="A2634" t="s">
        <v>41</v>
      </c>
      <c r="B2634" t="s">
        <v>15</v>
      </c>
      <c r="C2634" t="s">
        <v>15</v>
      </c>
      <c r="D2634" t="s">
        <v>15</v>
      </c>
      <c r="E2634" t="s">
        <v>21</v>
      </c>
      <c r="F2634" t="s">
        <v>18</v>
      </c>
      <c r="G2634" s="1">
        <f>VALUE(5289.8469362195)</f>
        <v>5289.8469362195001</v>
      </c>
      <c r="H2634" s="1">
        <f>VALUE(4533.6550347094)</f>
        <v>4533.6550347093998</v>
      </c>
      <c r="I2634" s="4">
        <f>VALUE(3666)</f>
        <v>3666</v>
      </c>
      <c r="J2634" s="1">
        <f>VALUE(5056)</f>
        <v>5056</v>
      </c>
      <c r="K2634" s="1">
        <f>VALUE(6484)</f>
        <v>6484</v>
      </c>
      <c r="L2634" s="1">
        <f>VALUE(8400)</f>
        <v>8400</v>
      </c>
      <c r="M2634" s="1">
        <f>VALUE(10579)</f>
        <v>10579</v>
      </c>
      <c r="N2634" t="s">
        <v>25</v>
      </c>
    </row>
    <row r="2635" spans="1:14" x14ac:dyDescent="0.25">
      <c r="A2635" t="s">
        <v>41</v>
      </c>
      <c r="B2635" t="s">
        <v>15</v>
      </c>
      <c r="C2635" t="s">
        <v>15</v>
      </c>
      <c r="D2635" t="s">
        <v>15</v>
      </c>
      <c r="E2635" t="s">
        <v>21</v>
      </c>
      <c r="F2635" t="s">
        <v>19</v>
      </c>
      <c r="G2635" s="1">
        <f>VALUE(4507.2822622878)</f>
        <v>4507.2822622878002</v>
      </c>
      <c r="H2635" s="1">
        <f>VALUE(3678.5930542963)</f>
        <v>3678.5930542963001</v>
      </c>
      <c r="I2635" s="1">
        <f>VALUE(3962)</f>
        <v>3962</v>
      </c>
      <c r="J2635" s="1">
        <f>VALUE(4727)</f>
        <v>4727</v>
      </c>
      <c r="K2635" s="1">
        <f>VALUE(5663)</f>
        <v>5663</v>
      </c>
      <c r="L2635" s="1">
        <f>VALUE(7187)</f>
        <v>7187</v>
      </c>
      <c r="M2635" s="1">
        <f>VALUE(8512)</f>
        <v>8512</v>
      </c>
      <c r="N2635" t="s">
        <v>16</v>
      </c>
    </row>
    <row r="2636" spans="1:14" x14ac:dyDescent="0.25">
      <c r="A2636" t="s">
        <v>41</v>
      </c>
      <c r="B2636" t="s">
        <v>15</v>
      </c>
      <c r="C2636" t="s">
        <v>15</v>
      </c>
      <c r="D2636" t="s">
        <v>15</v>
      </c>
      <c r="E2636" t="s">
        <v>21</v>
      </c>
      <c r="F2636" t="s">
        <v>20</v>
      </c>
      <c r="G2636" s="1">
        <f>VALUE(6869.023998346)</f>
        <v>6869.0239983459996</v>
      </c>
      <c r="H2636" s="1">
        <f>VALUE(6080.8843173394)</f>
        <v>6080.8843173393998</v>
      </c>
      <c r="I2636" s="1">
        <f>VALUE(3452)</f>
        <v>3452</v>
      </c>
      <c r="J2636" s="1">
        <f>VALUE(4226)</f>
        <v>4226</v>
      </c>
      <c r="K2636" s="1">
        <f>VALUE(5317)</f>
        <v>5317</v>
      </c>
      <c r="L2636" s="1">
        <f>VALUE(6723)</f>
        <v>6723</v>
      </c>
      <c r="M2636" s="1">
        <f>VALUE(8246)</f>
        <v>8246</v>
      </c>
      <c r="N2636" t="s">
        <v>16</v>
      </c>
    </row>
    <row r="2637" spans="1:14" x14ac:dyDescent="0.25">
      <c r="A2637" t="s">
        <v>41</v>
      </c>
      <c r="B2637" t="s">
        <v>15</v>
      </c>
      <c r="C2637" t="s">
        <v>15</v>
      </c>
      <c r="D2637" t="s">
        <v>15</v>
      </c>
      <c r="E2637" t="s">
        <v>22</v>
      </c>
      <c r="F2637" t="s">
        <v>15</v>
      </c>
      <c r="G2637" s="1">
        <f>VALUE(43010.1568558551)</f>
        <v>43010.156855855101</v>
      </c>
      <c r="H2637" s="1">
        <f>VALUE(39223.2977236641)</f>
        <v>39223.297723664102</v>
      </c>
      <c r="I2637" s="1">
        <f>VALUE(3536)</f>
        <v>3536</v>
      </c>
      <c r="J2637" s="1">
        <f>VALUE(4269)</f>
        <v>4269</v>
      </c>
      <c r="K2637" s="1">
        <f>VALUE(5200)</f>
        <v>5200</v>
      </c>
      <c r="L2637" s="1">
        <f>VALUE(6283)</f>
        <v>6283</v>
      </c>
      <c r="M2637" s="1">
        <f>VALUE(7622)</f>
        <v>7622</v>
      </c>
      <c r="N2637" t="s">
        <v>16</v>
      </c>
    </row>
    <row r="2638" spans="1:14" x14ac:dyDescent="0.25">
      <c r="A2638" t="s">
        <v>41</v>
      </c>
      <c r="B2638" t="s">
        <v>15</v>
      </c>
      <c r="C2638" t="s">
        <v>15</v>
      </c>
      <c r="D2638" t="s">
        <v>15</v>
      </c>
      <c r="E2638" t="s">
        <v>22</v>
      </c>
      <c r="F2638" t="s">
        <v>17</v>
      </c>
      <c r="G2638" s="1">
        <f>VALUE(5473.3809074596)</f>
        <v>5473.3809074596002</v>
      </c>
      <c r="H2638" s="1">
        <f>VALUE(5323.4227217615)</f>
        <v>5323.4227217614998</v>
      </c>
      <c r="I2638" s="1">
        <f>VALUE(3939)</f>
        <v>3939</v>
      </c>
      <c r="J2638" s="1">
        <f>VALUE(5000)</f>
        <v>5000</v>
      </c>
      <c r="K2638" s="1">
        <f>VALUE(6489)</f>
        <v>6489</v>
      </c>
      <c r="L2638" s="1">
        <f>VALUE(8429)</f>
        <v>8429</v>
      </c>
      <c r="M2638" s="1">
        <f>VALUE(11556)</f>
        <v>11556</v>
      </c>
      <c r="N2638" t="s">
        <v>16</v>
      </c>
    </row>
    <row r="2639" spans="1:14" x14ac:dyDescent="0.25">
      <c r="A2639" t="s">
        <v>41</v>
      </c>
      <c r="B2639" t="s">
        <v>15</v>
      </c>
      <c r="C2639" t="s">
        <v>15</v>
      </c>
      <c r="D2639" t="s">
        <v>15</v>
      </c>
      <c r="E2639" t="s">
        <v>22</v>
      </c>
      <c r="F2639" t="s">
        <v>18</v>
      </c>
      <c r="G2639" s="1">
        <f>VALUE(5600.2643594906)</f>
        <v>5600.2643594906003</v>
      </c>
      <c r="H2639" s="1">
        <f>VALUE(5060.2692602426)</f>
        <v>5060.2692602425996</v>
      </c>
      <c r="I2639" s="1">
        <f>VALUE(3900)</f>
        <v>3900</v>
      </c>
      <c r="J2639" s="1">
        <f>VALUE(4660)</f>
        <v>4660</v>
      </c>
      <c r="K2639" s="1">
        <f>VALUE(5587)</f>
        <v>5587</v>
      </c>
      <c r="L2639" s="1">
        <f>VALUE(6857)</f>
        <v>6857</v>
      </c>
      <c r="M2639" s="1">
        <f>VALUE(8133)</f>
        <v>8133</v>
      </c>
      <c r="N2639" t="s">
        <v>16</v>
      </c>
    </row>
    <row r="2640" spans="1:14" x14ac:dyDescent="0.25">
      <c r="A2640" t="s">
        <v>41</v>
      </c>
      <c r="B2640" t="s">
        <v>15</v>
      </c>
      <c r="C2640" t="s">
        <v>15</v>
      </c>
      <c r="D2640" t="s">
        <v>15</v>
      </c>
      <c r="E2640" t="s">
        <v>22</v>
      </c>
      <c r="F2640" t="s">
        <v>19</v>
      </c>
      <c r="G2640" s="1">
        <f>VALUE(7122.1470550256)</f>
        <v>7122.1470550255999</v>
      </c>
      <c r="H2640" s="1">
        <f>VALUE(6571.7570220276)</f>
        <v>6571.7570220276002</v>
      </c>
      <c r="I2640" s="1">
        <f>VALUE(3690)</f>
        <v>3690</v>
      </c>
      <c r="J2640" s="1">
        <f>VALUE(4333)</f>
        <v>4333</v>
      </c>
      <c r="K2640" s="1">
        <f>VALUE(5201)</f>
        <v>5201</v>
      </c>
      <c r="L2640" s="1">
        <f>VALUE(6210)</f>
        <v>6210</v>
      </c>
      <c r="M2640" s="1">
        <f>VALUE(7280)</f>
        <v>7280</v>
      </c>
      <c r="N2640" t="s">
        <v>16</v>
      </c>
    </row>
    <row r="2641" spans="1:14" x14ac:dyDescent="0.25">
      <c r="A2641" t="s">
        <v>41</v>
      </c>
      <c r="B2641" t="s">
        <v>15</v>
      </c>
      <c r="C2641" t="s">
        <v>15</v>
      </c>
      <c r="D2641" t="s">
        <v>15</v>
      </c>
      <c r="E2641" t="s">
        <v>22</v>
      </c>
      <c r="F2641" t="s">
        <v>20</v>
      </c>
      <c r="G2641" s="1">
        <f>VALUE(24814.3645338793)</f>
        <v>24814.364533879299</v>
      </c>
      <c r="H2641" s="1">
        <f>VALUE(22267.8487196324)</f>
        <v>22267.848719632399</v>
      </c>
      <c r="I2641" s="1">
        <f>VALUE(3426)</f>
        <v>3426</v>
      </c>
      <c r="J2641" s="1">
        <f>VALUE(4083)</f>
        <v>4083</v>
      </c>
      <c r="K2641" s="1">
        <f>VALUE(4943)</f>
        <v>4943</v>
      </c>
      <c r="L2641" s="1">
        <f>VALUE(5830)</f>
        <v>5830</v>
      </c>
      <c r="M2641" s="1">
        <f>VALUE(6794)</f>
        <v>6794</v>
      </c>
      <c r="N2641" t="s">
        <v>16</v>
      </c>
    </row>
    <row r="2642" spans="1:14" x14ac:dyDescent="0.25">
      <c r="A2642" t="s">
        <v>41</v>
      </c>
      <c r="B2642" t="s">
        <v>15</v>
      </c>
      <c r="C2642" t="s">
        <v>15</v>
      </c>
      <c r="D2642" t="s">
        <v>15</v>
      </c>
      <c r="E2642" t="s">
        <v>23</v>
      </c>
      <c r="F2642" t="s">
        <v>15</v>
      </c>
      <c r="G2642" s="1">
        <f>VALUE(42544.222085696)</f>
        <v>42544.222085695998</v>
      </c>
      <c r="H2642" s="1">
        <f>VALUE(38418.4168188242)</f>
        <v>38418.416818824197</v>
      </c>
      <c r="I2642" s="1">
        <f>VALUE(2859)</f>
        <v>2859</v>
      </c>
      <c r="J2642" s="1">
        <f>VALUE(3405)</f>
        <v>3405</v>
      </c>
      <c r="K2642" s="1">
        <f>VALUE(4181)</f>
        <v>4181</v>
      </c>
      <c r="L2642" s="1">
        <f>VALUE(5190)</f>
        <v>5190</v>
      </c>
      <c r="M2642" s="1">
        <f>VALUE(6071)</f>
        <v>6071</v>
      </c>
      <c r="N2642" t="s">
        <v>16</v>
      </c>
    </row>
    <row r="2643" spans="1:14" x14ac:dyDescent="0.25">
      <c r="A2643" t="s">
        <v>41</v>
      </c>
      <c r="B2643" t="s">
        <v>15</v>
      </c>
      <c r="C2643" t="s">
        <v>15</v>
      </c>
      <c r="D2643" t="s">
        <v>15</v>
      </c>
      <c r="E2643" t="s">
        <v>23</v>
      </c>
      <c r="F2643" t="s">
        <v>17</v>
      </c>
      <c r="G2643" s="2">
        <f>VALUE(1294.5465567194)</f>
        <v>1294.5465567194001</v>
      </c>
      <c r="H2643" s="3">
        <f>VALUE(1247.4994751541)</f>
        <v>1247.4994751541001</v>
      </c>
      <c r="I2643" s="4">
        <f>VALUE(3400)</f>
        <v>3400</v>
      </c>
      <c r="J2643" s="5">
        <f>VALUE(4138)</f>
        <v>4138</v>
      </c>
      <c r="K2643" s="6">
        <f>VALUE(5542)</f>
        <v>5542</v>
      </c>
      <c r="L2643" s="7">
        <f>VALUE(8125)</f>
        <v>8125</v>
      </c>
      <c r="M2643" s="8">
        <f>VALUE(11416)</f>
        <v>11416</v>
      </c>
      <c r="N2643" t="s">
        <v>24</v>
      </c>
    </row>
    <row r="2644" spans="1:14" x14ac:dyDescent="0.25">
      <c r="A2644" t="s">
        <v>41</v>
      </c>
      <c r="B2644" t="s">
        <v>15</v>
      </c>
      <c r="C2644" t="s">
        <v>15</v>
      </c>
      <c r="D2644" t="s">
        <v>15</v>
      </c>
      <c r="E2644" t="s">
        <v>23</v>
      </c>
      <c r="F2644" t="s">
        <v>18</v>
      </c>
      <c r="G2644" s="1">
        <f>VALUE(2590.6289056736)</f>
        <v>2590.6289056736</v>
      </c>
      <c r="H2644" s="3">
        <f>VALUE(2431.9331260354)</f>
        <v>2431.9331260354002</v>
      </c>
      <c r="I2644" s="1">
        <f>VALUE(3415)</f>
        <v>3415</v>
      </c>
      <c r="J2644" s="5">
        <f>VALUE(4180)</f>
        <v>4180</v>
      </c>
      <c r="K2644" s="1">
        <f>VALUE(5009)</f>
        <v>5009</v>
      </c>
      <c r="L2644" s="1">
        <f>VALUE(5766)</f>
        <v>5766</v>
      </c>
      <c r="M2644" s="8">
        <f>VALUE(6780)</f>
        <v>6780</v>
      </c>
      <c r="N2644" t="s">
        <v>25</v>
      </c>
    </row>
    <row r="2645" spans="1:14" x14ac:dyDescent="0.25">
      <c r="A2645" t="s">
        <v>41</v>
      </c>
      <c r="B2645" t="s">
        <v>15</v>
      </c>
      <c r="C2645" t="s">
        <v>15</v>
      </c>
      <c r="D2645" t="s">
        <v>15</v>
      </c>
      <c r="E2645" t="s">
        <v>23</v>
      </c>
      <c r="F2645" t="s">
        <v>19</v>
      </c>
      <c r="G2645" s="1">
        <f>VALUE(3775.6482825978)</f>
        <v>3775.6482825978001</v>
      </c>
      <c r="H2645" s="1">
        <f>VALUE(3549.4568726445)</f>
        <v>3549.4568726445</v>
      </c>
      <c r="I2645" s="1">
        <f>VALUE(3302)</f>
        <v>3302</v>
      </c>
      <c r="J2645" s="1">
        <f>VALUE(3842)</f>
        <v>3842</v>
      </c>
      <c r="K2645" s="1">
        <f>VALUE(4584)</f>
        <v>4584</v>
      </c>
      <c r="L2645" s="1">
        <f>VALUE(5690)</f>
        <v>5690</v>
      </c>
      <c r="M2645" s="1">
        <f>VALUE(6634)</f>
        <v>6634</v>
      </c>
      <c r="N2645" t="s">
        <v>16</v>
      </c>
    </row>
    <row r="2646" spans="1:14" x14ac:dyDescent="0.25">
      <c r="A2646" t="s">
        <v>41</v>
      </c>
      <c r="B2646" t="s">
        <v>15</v>
      </c>
      <c r="C2646" t="s">
        <v>15</v>
      </c>
      <c r="D2646" t="s">
        <v>15</v>
      </c>
      <c r="E2646" t="s">
        <v>23</v>
      </c>
      <c r="F2646" t="s">
        <v>20</v>
      </c>
      <c r="G2646" s="1">
        <f>VALUE(34875.5766593446)</f>
        <v>34875.576659344602</v>
      </c>
      <c r="H2646" s="1">
        <f>VALUE(31181.9592772232)</f>
        <v>31181.959277223199</v>
      </c>
      <c r="I2646" s="1">
        <f>VALUE(2805)</f>
        <v>2805</v>
      </c>
      <c r="J2646" s="1">
        <f>VALUE(3309)</f>
        <v>3309</v>
      </c>
      <c r="K2646" s="1">
        <f>VALUE(4030)</f>
        <v>4030</v>
      </c>
      <c r="L2646" s="1">
        <f>VALUE(5025)</f>
        <v>5025</v>
      </c>
      <c r="M2646" s="1">
        <f>VALUE(5850)</f>
        <v>5850</v>
      </c>
      <c r="N2646" t="s">
        <v>16</v>
      </c>
    </row>
    <row r="2647" spans="1:14" x14ac:dyDescent="0.25">
      <c r="A2647" t="s">
        <v>41</v>
      </c>
      <c r="B2647" t="s">
        <v>15</v>
      </c>
      <c r="C2647" t="s">
        <v>15</v>
      </c>
      <c r="D2647" t="s">
        <v>15</v>
      </c>
      <c r="E2647" t="s">
        <v>26</v>
      </c>
      <c r="F2647" t="s">
        <v>15</v>
      </c>
      <c r="G2647" s="1">
        <f>VALUE(1413.813116957)</f>
        <v>1413.8131169569999</v>
      </c>
      <c r="H2647" s="1">
        <f>VALUE(1427.5885585421)</f>
        <v>1427.5885585420999</v>
      </c>
      <c r="I2647" s="1">
        <f>VALUE(4524)</f>
        <v>4524</v>
      </c>
      <c r="J2647" s="1">
        <f>VALUE(5919)</f>
        <v>5919</v>
      </c>
      <c r="K2647" s="1">
        <f>VALUE(8150)</f>
        <v>8150</v>
      </c>
      <c r="L2647" s="1">
        <f>VALUE(13571)</f>
        <v>13571</v>
      </c>
      <c r="M2647" s="1">
        <f>VALUE(22302)</f>
        <v>22302</v>
      </c>
      <c r="N2647" t="s">
        <v>16</v>
      </c>
    </row>
    <row r="2648" spans="1:14" x14ac:dyDescent="0.25">
      <c r="A2648" t="s">
        <v>41</v>
      </c>
      <c r="B2648" t="s">
        <v>15</v>
      </c>
      <c r="C2648" t="s">
        <v>15</v>
      </c>
      <c r="D2648" t="s">
        <v>15</v>
      </c>
      <c r="E2648" t="s">
        <v>26</v>
      </c>
      <c r="F2648" t="s">
        <v>17</v>
      </c>
      <c r="G2648" s="1">
        <f>VALUE(434.99946968)</f>
        <v>434.99946968</v>
      </c>
      <c r="H2648" s="1">
        <f>VALUE(452.3341784295)</f>
        <v>452.33417842950001</v>
      </c>
      <c r="I2648" s="1">
        <f>VALUE(11193)</f>
        <v>11193</v>
      </c>
      <c r="J2648" s="1">
        <f>VALUE(13078)</f>
        <v>13078</v>
      </c>
      <c r="K2648" s="1">
        <f>VALUE(16732)</f>
        <v>16732</v>
      </c>
      <c r="L2648" s="1">
        <f>VALUE(24445)</f>
        <v>24445</v>
      </c>
      <c r="M2648" s="8">
        <f>VALUE(42170)</f>
        <v>42170</v>
      </c>
      <c r="N2648" t="s">
        <v>25</v>
      </c>
    </row>
    <row r="2649" spans="1:14" x14ac:dyDescent="0.25">
      <c r="A2649" t="s">
        <v>41</v>
      </c>
      <c r="B2649" t="s">
        <v>15</v>
      </c>
      <c r="C2649" t="s">
        <v>15</v>
      </c>
      <c r="D2649" t="s">
        <v>15</v>
      </c>
      <c r="E2649" t="s">
        <v>26</v>
      </c>
      <c r="F2649" t="s">
        <v>18</v>
      </c>
      <c r="G2649" s="1" t="str">
        <f t="shared" ref="G2649:M2650" si="560">"X"</f>
        <v>X</v>
      </c>
      <c r="H2649" s="1" t="str">
        <f t="shared" si="560"/>
        <v>X</v>
      </c>
      <c r="I2649" s="1" t="str">
        <f t="shared" si="560"/>
        <v>X</v>
      </c>
      <c r="J2649" s="1" t="str">
        <f t="shared" si="560"/>
        <v>X</v>
      </c>
      <c r="K2649" s="1" t="str">
        <f t="shared" si="560"/>
        <v>X</v>
      </c>
      <c r="L2649" s="1" t="str">
        <f t="shared" si="560"/>
        <v>X</v>
      </c>
      <c r="M2649" s="1" t="str">
        <f t="shared" si="560"/>
        <v>X</v>
      </c>
      <c r="N2649" t="s">
        <v>27</v>
      </c>
    </row>
    <row r="2650" spans="1:14" x14ac:dyDescent="0.25">
      <c r="A2650" t="s">
        <v>41</v>
      </c>
      <c r="B2650" t="s">
        <v>15</v>
      </c>
      <c r="C2650" t="s">
        <v>15</v>
      </c>
      <c r="D2650" t="s">
        <v>15</v>
      </c>
      <c r="E2650" t="s">
        <v>26</v>
      </c>
      <c r="F2650" t="s">
        <v>19</v>
      </c>
      <c r="G2650" s="1" t="str">
        <f t="shared" si="560"/>
        <v>X</v>
      </c>
      <c r="H2650" s="1" t="str">
        <f t="shared" si="560"/>
        <v>X</v>
      </c>
      <c r="I2650" s="1" t="str">
        <f t="shared" si="560"/>
        <v>X</v>
      </c>
      <c r="J2650" s="1" t="str">
        <f t="shared" si="560"/>
        <v>X</v>
      </c>
      <c r="K2650" s="1" t="str">
        <f t="shared" si="560"/>
        <v>X</v>
      </c>
      <c r="L2650" s="1" t="str">
        <f t="shared" si="560"/>
        <v>X</v>
      </c>
      <c r="M2650" s="1" t="str">
        <f t="shared" si="560"/>
        <v>X</v>
      </c>
      <c r="N2650" t="s">
        <v>27</v>
      </c>
    </row>
    <row r="2651" spans="1:14" x14ac:dyDescent="0.25">
      <c r="A2651" t="s">
        <v>41</v>
      </c>
      <c r="B2651" t="s">
        <v>15</v>
      </c>
      <c r="C2651" t="s">
        <v>15</v>
      </c>
      <c r="D2651" t="s">
        <v>15</v>
      </c>
      <c r="E2651" t="s">
        <v>26</v>
      </c>
      <c r="F2651" t="s">
        <v>20</v>
      </c>
      <c r="G2651" s="1">
        <f>VALUE(490.2873432138)</f>
        <v>490.2873432138</v>
      </c>
      <c r="H2651" s="1">
        <f>VALUE(487.5960547443)</f>
        <v>487.59605474429998</v>
      </c>
      <c r="I2651" s="1">
        <f>VALUE(4127)</f>
        <v>4127</v>
      </c>
      <c r="J2651" s="1">
        <f>VALUE(5000)</f>
        <v>5000</v>
      </c>
      <c r="K2651" s="1">
        <f>VALUE(5952)</f>
        <v>5952</v>
      </c>
      <c r="L2651" s="1">
        <f>VALUE(6694)</f>
        <v>6694</v>
      </c>
      <c r="M2651" s="1">
        <f>VALUE(7619)</f>
        <v>7619</v>
      </c>
      <c r="N2651" t="s">
        <v>16</v>
      </c>
    </row>
    <row r="2652" spans="1:14" x14ac:dyDescent="0.25">
      <c r="A2652" t="s">
        <v>41</v>
      </c>
      <c r="B2652" t="s">
        <v>15</v>
      </c>
      <c r="C2652" t="s">
        <v>15</v>
      </c>
      <c r="D2652" t="s">
        <v>28</v>
      </c>
      <c r="E2652" t="s">
        <v>15</v>
      </c>
      <c r="F2652" t="s">
        <v>15</v>
      </c>
      <c r="G2652" s="1">
        <f>VALUE(47295.7301564761)</f>
        <v>47295.7301564761</v>
      </c>
      <c r="H2652" s="1">
        <f>VALUE(40916.4892761597)</f>
        <v>40916.4892761597</v>
      </c>
      <c r="I2652" s="1">
        <f>VALUE(3652)</f>
        <v>3652</v>
      </c>
      <c r="J2652" s="1">
        <f>VALUE(4439)</f>
        <v>4439</v>
      </c>
      <c r="K2652" s="1">
        <f>VALUE(5537)</f>
        <v>5537</v>
      </c>
      <c r="L2652" s="1">
        <f>VALUE(7153)</f>
        <v>7153</v>
      </c>
      <c r="M2652" s="1">
        <f>VALUE(10000)</f>
        <v>10000</v>
      </c>
      <c r="N2652" t="s">
        <v>16</v>
      </c>
    </row>
    <row r="2653" spans="1:14" x14ac:dyDescent="0.25">
      <c r="A2653" t="s">
        <v>41</v>
      </c>
      <c r="B2653" t="s">
        <v>15</v>
      </c>
      <c r="C2653" t="s">
        <v>15</v>
      </c>
      <c r="D2653" t="s">
        <v>28</v>
      </c>
      <c r="E2653" t="s">
        <v>15</v>
      </c>
      <c r="F2653" t="s">
        <v>17</v>
      </c>
      <c r="G2653" s="1">
        <f>VALUE(10419.1718371335)</f>
        <v>10419.171837133499</v>
      </c>
      <c r="H2653" s="1">
        <f>VALUE(9921.0644512083)</f>
        <v>9921.0644512082999</v>
      </c>
      <c r="I2653" s="1">
        <f>VALUE(4148)</f>
        <v>4148</v>
      </c>
      <c r="J2653" s="1">
        <f>VALUE(5536)</f>
        <v>5536</v>
      </c>
      <c r="K2653" s="1">
        <f>VALUE(7583)</f>
        <v>7583</v>
      </c>
      <c r="L2653" s="1">
        <f>VALUE(11112)</f>
        <v>11112</v>
      </c>
      <c r="M2653" s="1">
        <f>VALUE(16056)</f>
        <v>16056</v>
      </c>
      <c r="N2653" t="s">
        <v>16</v>
      </c>
    </row>
    <row r="2654" spans="1:14" x14ac:dyDescent="0.25">
      <c r="A2654" t="s">
        <v>41</v>
      </c>
      <c r="B2654" t="s">
        <v>15</v>
      </c>
      <c r="C2654" t="s">
        <v>15</v>
      </c>
      <c r="D2654" t="s">
        <v>28</v>
      </c>
      <c r="E2654" t="s">
        <v>15</v>
      </c>
      <c r="F2654" t="s">
        <v>18</v>
      </c>
      <c r="G2654" s="1">
        <f>VALUE(6962.365508993)</f>
        <v>6962.3655089929998</v>
      </c>
      <c r="H2654" s="1">
        <f>VALUE(5899.6881203273)</f>
        <v>5899.6881203272997</v>
      </c>
      <c r="I2654" s="1">
        <f>VALUE(4008)</f>
        <v>4008</v>
      </c>
      <c r="J2654" s="1">
        <f>VALUE(4925)</f>
        <v>4925</v>
      </c>
      <c r="K2654" s="1">
        <f>VALUE(6110)</f>
        <v>6110</v>
      </c>
      <c r="L2654" s="1">
        <f>VALUE(7758)</f>
        <v>7758</v>
      </c>
      <c r="M2654" s="1">
        <f>VALUE(9667)</f>
        <v>9667</v>
      </c>
      <c r="N2654" t="s">
        <v>16</v>
      </c>
    </row>
    <row r="2655" spans="1:14" x14ac:dyDescent="0.25">
      <c r="A2655" t="s">
        <v>41</v>
      </c>
      <c r="B2655" t="s">
        <v>15</v>
      </c>
      <c r="C2655" t="s">
        <v>15</v>
      </c>
      <c r="D2655" t="s">
        <v>28</v>
      </c>
      <c r="E2655" t="s">
        <v>15</v>
      </c>
      <c r="F2655" t="s">
        <v>19</v>
      </c>
      <c r="G2655" s="1">
        <f>VALUE(6708.6759197961)</f>
        <v>6708.6759197961001</v>
      </c>
      <c r="H2655" s="1">
        <f>VALUE(5769.2466893896)</f>
        <v>5769.2466893895999</v>
      </c>
      <c r="I2655" s="1">
        <f>VALUE(3818)</f>
        <v>3818</v>
      </c>
      <c r="J2655" s="1">
        <f>VALUE(4460)</f>
        <v>4460</v>
      </c>
      <c r="K2655" s="1">
        <f>VALUE(5368)</f>
        <v>5368</v>
      </c>
      <c r="L2655" s="1">
        <f>VALUE(6562)</f>
        <v>6562</v>
      </c>
      <c r="M2655" s="1">
        <f>VALUE(7791)</f>
        <v>7791</v>
      </c>
      <c r="N2655" t="s">
        <v>16</v>
      </c>
    </row>
    <row r="2656" spans="1:14" x14ac:dyDescent="0.25">
      <c r="A2656" t="s">
        <v>41</v>
      </c>
      <c r="B2656" t="s">
        <v>15</v>
      </c>
      <c r="C2656" t="s">
        <v>15</v>
      </c>
      <c r="D2656" t="s">
        <v>28</v>
      </c>
      <c r="E2656" t="s">
        <v>15</v>
      </c>
      <c r="F2656" t="s">
        <v>20</v>
      </c>
      <c r="G2656" s="1">
        <f>VALUE(23181.0513175236)</f>
        <v>23181.051317523699</v>
      </c>
      <c r="H2656" s="1">
        <f>VALUE(19302.9884456275)</f>
        <v>19302.988445627499</v>
      </c>
      <c r="I2656" s="1">
        <f>VALUE(3467)</f>
        <v>3467</v>
      </c>
      <c r="J2656" s="1">
        <f>VALUE(4100)</f>
        <v>4100</v>
      </c>
      <c r="K2656" s="1">
        <f>VALUE(4998)</f>
        <v>4998</v>
      </c>
      <c r="L2656" s="1">
        <f>VALUE(5961)</f>
        <v>5961</v>
      </c>
      <c r="M2656" s="1">
        <f>VALUE(7109)</f>
        <v>7109</v>
      </c>
      <c r="N2656" t="s">
        <v>16</v>
      </c>
    </row>
    <row r="2657" spans="1:14" x14ac:dyDescent="0.25">
      <c r="A2657" t="s">
        <v>41</v>
      </c>
      <c r="B2657" t="s">
        <v>15</v>
      </c>
      <c r="C2657" t="s">
        <v>15</v>
      </c>
      <c r="D2657" t="s">
        <v>28</v>
      </c>
      <c r="E2657" t="s">
        <v>21</v>
      </c>
      <c r="F2657" t="s">
        <v>15</v>
      </c>
      <c r="G2657" s="1">
        <f>VALUE(13641.5028428344)</f>
        <v>13641.502842834399</v>
      </c>
      <c r="H2657" s="1">
        <f>VALUE(11930.3794251634)</f>
        <v>11930.379425163401</v>
      </c>
      <c r="I2657" s="1">
        <f>VALUE(4127)</f>
        <v>4127</v>
      </c>
      <c r="J2657" s="1">
        <f>VALUE(5238)</f>
        <v>5238</v>
      </c>
      <c r="K2657" s="1">
        <f>VALUE(6898)</f>
        <v>6898</v>
      </c>
      <c r="L2657" s="1">
        <f>VALUE(9500)</f>
        <v>9500</v>
      </c>
      <c r="M2657" s="1">
        <f>VALUE(13260)</f>
        <v>13260</v>
      </c>
      <c r="N2657" t="s">
        <v>16</v>
      </c>
    </row>
    <row r="2658" spans="1:14" x14ac:dyDescent="0.25">
      <c r="A2658" t="s">
        <v>41</v>
      </c>
      <c r="B2658" t="s">
        <v>15</v>
      </c>
      <c r="C2658" t="s">
        <v>15</v>
      </c>
      <c r="D2658" t="s">
        <v>28</v>
      </c>
      <c r="E2658" t="s">
        <v>21</v>
      </c>
      <c r="F2658" t="s">
        <v>17</v>
      </c>
      <c r="G2658" s="1">
        <f>VALUE(6038.1184050344)</f>
        <v>6038.1184050344</v>
      </c>
      <c r="H2658" s="1">
        <f>VALUE(5699.2102460394)</f>
        <v>5699.2102460393999</v>
      </c>
      <c r="I2658" s="1">
        <f>VALUE(4551)</f>
        <v>4551</v>
      </c>
      <c r="J2658" s="1">
        <f>VALUE(6157)</f>
        <v>6157</v>
      </c>
      <c r="K2658" s="1">
        <f>VALUE(8500)</f>
        <v>8500</v>
      </c>
      <c r="L2658" s="1">
        <f>VALUE(11819)</f>
        <v>11819</v>
      </c>
      <c r="M2658" s="1">
        <f>VALUE(16358)</f>
        <v>16358</v>
      </c>
      <c r="N2658" t="s">
        <v>16</v>
      </c>
    </row>
    <row r="2659" spans="1:14" x14ac:dyDescent="0.25">
      <c r="A2659" t="s">
        <v>41</v>
      </c>
      <c r="B2659" t="s">
        <v>15</v>
      </c>
      <c r="C2659" t="s">
        <v>15</v>
      </c>
      <c r="D2659" t="s">
        <v>28</v>
      </c>
      <c r="E2659" t="s">
        <v>21</v>
      </c>
      <c r="F2659" t="s">
        <v>18</v>
      </c>
      <c r="G2659" s="1">
        <f>VALUE(2658.5243928224)</f>
        <v>2658.5243928223999</v>
      </c>
      <c r="H2659" s="1">
        <f>VALUE(2161.512937354)</f>
        <v>2161.5129373539999</v>
      </c>
      <c r="I2659" s="4">
        <f>VALUE(4008)</f>
        <v>4008</v>
      </c>
      <c r="J2659" s="1">
        <f>VALUE(5311)</f>
        <v>5311</v>
      </c>
      <c r="K2659" s="1">
        <f>VALUE(6695)</f>
        <v>6695</v>
      </c>
      <c r="L2659" s="1">
        <f>VALUE(8464)</f>
        <v>8464</v>
      </c>
      <c r="M2659" s="1">
        <f>VALUE(10510)</f>
        <v>10510</v>
      </c>
      <c r="N2659" t="s">
        <v>25</v>
      </c>
    </row>
    <row r="2660" spans="1:14" x14ac:dyDescent="0.25">
      <c r="A2660" t="s">
        <v>41</v>
      </c>
      <c r="B2660" t="s">
        <v>15</v>
      </c>
      <c r="C2660" t="s">
        <v>15</v>
      </c>
      <c r="D2660" t="s">
        <v>28</v>
      </c>
      <c r="E2660" t="s">
        <v>21</v>
      </c>
      <c r="F2660" t="s">
        <v>19</v>
      </c>
      <c r="G2660" s="1">
        <f>VALUE(2013.8861573764)</f>
        <v>2013.8861573764</v>
      </c>
      <c r="H2660" s="1">
        <f>VALUE(1613.123749621)</f>
        <v>1613.1237496209999</v>
      </c>
      <c r="I2660" s="1">
        <f>VALUE(4041)</f>
        <v>4041</v>
      </c>
      <c r="J2660" s="1">
        <f>VALUE(4843)</f>
        <v>4843</v>
      </c>
      <c r="K2660" s="1">
        <f>VALUE(5952)</f>
        <v>5952</v>
      </c>
      <c r="L2660" s="1">
        <f>VALUE(7367)</f>
        <v>7367</v>
      </c>
      <c r="M2660" s="1">
        <f>VALUE(8653)</f>
        <v>8653</v>
      </c>
      <c r="N2660" t="s">
        <v>16</v>
      </c>
    </row>
    <row r="2661" spans="1:14" x14ac:dyDescent="0.25">
      <c r="A2661" t="s">
        <v>41</v>
      </c>
      <c r="B2661" t="s">
        <v>15</v>
      </c>
      <c r="C2661" t="s">
        <v>15</v>
      </c>
      <c r="D2661" t="s">
        <v>28</v>
      </c>
      <c r="E2661" t="s">
        <v>21</v>
      </c>
      <c r="F2661" t="s">
        <v>20</v>
      </c>
      <c r="G2661" s="1">
        <f>VALUE(2926.2320434159)</f>
        <v>2926.2320434159001</v>
      </c>
      <c r="H2661" s="1">
        <f>VALUE(2452.9768495747)</f>
        <v>2452.9768495746998</v>
      </c>
      <c r="I2661" s="1">
        <f>VALUE(3738)</f>
        <v>3738</v>
      </c>
      <c r="J2661" s="1">
        <f>VALUE(4567)</f>
        <v>4567</v>
      </c>
      <c r="K2661" s="1">
        <f>VALUE(5640)</f>
        <v>5640</v>
      </c>
      <c r="L2661" s="1">
        <f>VALUE(6961)</f>
        <v>6961</v>
      </c>
      <c r="M2661" s="1">
        <f>VALUE(8450)</f>
        <v>8450</v>
      </c>
      <c r="N2661" t="s">
        <v>16</v>
      </c>
    </row>
    <row r="2662" spans="1:14" x14ac:dyDescent="0.25">
      <c r="A2662" t="s">
        <v>41</v>
      </c>
      <c r="B2662" t="s">
        <v>15</v>
      </c>
      <c r="C2662" t="s">
        <v>15</v>
      </c>
      <c r="D2662" t="s">
        <v>28</v>
      </c>
      <c r="E2662" t="s">
        <v>22</v>
      </c>
      <c r="F2662" t="s">
        <v>15</v>
      </c>
      <c r="G2662" s="1">
        <f>VALUE(24959.0205939358)</f>
        <v>24959.020593935798</v>
      </c>
      <c r="H2662" s="1">
        <f>VALUE(21986.9955036003)</f>
        <v>21986.995503600301</v>
      </c>
      <c r="I2662" s="1">
        <f>VALUE(3685)</f>
        <v>3685</v>
      </c>
      <c r="J2662" s="1">
        <f>VALUE(4396)</f>
        <v>4396</v>
      </c>
      <c r="K2662" s="1">
        <f>VALUE(5363)</f>
        <v>5363</v>
      </c>
      <c r="L2662" s="1">
        <f>VALUE(6490)</f>
        <v>6490</v>
      </c>
      <c r="M2662" s="1">
        <f>VALUE(7936)</f>
        <v>7936</v>
      </c>
      <c r="N2662" t="s">
        <v>16</v>
      </c>
    </row>
    <row r="2663" spans="1:14" x14ac:dyDescent="0.25">
      <c r="A2663" t="s">
        <v>41</v>
      </c>
      <c r="B2663" t="s">
        <v>15</v>
      </c>
      <c r="C2663" t="s">
        <v>15</v>
      </c>
      <c r="D2663" t="s">
        <v>28</v>
      </c>
      <c r="E2663" t="s">
        <v>22</v>
      </c>
      <c r="F2663" t="s">
        <v>17</v>
      </c>
      <c r="G2663" s="1">
        <f>VALUE(3699.020746613)</f>
        <v>3699.020746613</v>
      </c>
      <c r="H2663" s="1">
        <f>VALUE(3567.4356850227)</f>
        <v>3567.4356850227</v>
      </c>
      <c r="I2663" s="4">
        <f>VALUE(3611)</f>
        <v>3611</v>
      </c>
      <c r="J2663" s="1">
        <f>VALUE(4914)</f>
        <v>4914</v>
      </c>
      <c r="K2663" s="1">
        <f>VALUE(6489)</f>
        <v>6489</v>
      </c>
      <c r="L2663" s="1">
        <f>VALUE(8504)</f>
        <v>8504</v>
      </c>
      <c r="M2663" s="1">
        <f>VALUE(11594)</f>
        <v>11594</v>
      </c>
      <c r="N2663" t="s">
        <v>25</v>
      </c>
    </row>
    <row r="2664" spans="1:14" x14ac:dyDescent="0.25">
      <c r="A2664" t="s">
        <v>41</v>
      </c>
      <c r="B2664" t="s">
        <v>15</v>
      </c>
      <c r="C2664" t="s">
        <v>15</v>
      </c>
      <c r="D2664" t="s">
        <v>28</v>
      </c>
      <c r="E2664" t="s">
        <v>22</v>
      </c>
      <c r="F2664" t="s">
        <v>18</v>
      </c>
      <c r="G2664" s="1">
        <f>VALUE(3481.7773243658)</f>
        <v>3481.7773243657998</v>
      </c>
      <c r="H2664" s="1">
        <f>VALUE(3023.4982459671)</f>
        <v>3023.4982459671</v>
      </c>
      <c r="I2664" s="1">
        <f>VALUE(4072)</f>
        <v>4072</v>
      </c>
      <c r="J2664" s="1">
        <f>VALUE(4792)</f>
        <v>4792</v>
      </c>
      <c r="K2664" s="1">
        <f>VALUE(5721)</f>
        <v>5721</v>
      </c>
      <c r="L2664" s="1">
        <f>VALUE(6933)</f>
        <v>6933</v>
      </c>
      <c r="M2664" s="1">
        <f>VALUE(8338)</f>
        <v>8338</v>
      </c>
      <c r="N2664" t="s">
        <v>16</v>
      </c>
    </row>
    <row r="2665" spans="1:14" x14ac:dyDescent="0.25">
      <c r="A2665" t="s">
        <v>41</v>
      </c>
      <c r="B2665" t="s">
        <v>15</v>
      </c>
      <c r="C2665" t="s">
        <v>15</v>
      </c>
      <c r="D2665" t="s">
        <v>28</v>
      </c>
      <c r="E2665" t="s">
        <v>22</v>
      </c>
      <c r="F2665" t="s">
        <v>19</v>
      </c>
      <c r="G2665" s="1">
        <f>VALUE(4004.4638738778)</f>
        <v>4004.4638738777999</v>
      </c>
      <c r="H2665" s="1">
        <f>VALUE(3569.2583801484)</f>
        <v>3569.2583801484002</v>
      </c>
      <c r="I2665" s="1">
        <f>VALUE(3817)</f>
        <v>3817</v>
      </c>
      <c r="J2665" s="1">
        <f>VALUE(4394)</f>
        <v>4394</v>
      </c>
      <c r="K2665" s="1">
        <f>VALUE(5262)</f>
        <v>5262</v>
      </c>
      <c r="L2665" s="1">
        <f>VALUE(6303)</f>
        <v>6303</v>
      </c>
      <c r="M2665" s="1">
        <f>VALUE(7380)</f>
        <v>7380</v>
      </c>
      <c r="N2665" t="s">
        <v>16</v>
      </c>
    </row>
    <row r="2666" spans="1:14" x14ac:dyDescent="0.25">
      <c r="A2666" t="s">
        <v>41</v>
      </c>
      <c r="B2666" t="s">
        <v>15</v>
      </c>
      <c r="C2666" t="s">
        <v>15</v>
      </c>
      <c r="D2666" t="s">
        <v>28</v>
      </c>
      <c r="E2666" t="s">
        <v>22</v>
      </c>
      <c r="F2666" t="s">
        <v>20</v>
      </c>
      <c r="G2666" s="1">
        <f>VALUE(13773.7586490792)</f>
        <v>13773.7586490792</v>
      </c>
      <c r="H2666" s="1">
        <f>VALUE(11826.8031924621)</f>
        <v>11826.803192462099</v>
      </c>
      <c r="I2666" s="1">
        <f>VALUE(3571)</f>
        <v>3571</v>
      </c>
      <c r="J2666" s="1">
        <f>VALUE(4235)</f>
        <v>4235</v>
      </c>
      <c r="K2666" s="1">
        <f>VALUE(5140)</f>
        <v>5140</v>
      </c>
      <c r="L2666" s="1">
        <f>VALUE(6031)</f>
        <v>6031</v>
      </c>
      <c r="M2666" s="1">
        <f>VALUE(7057)</f>
        <v>7057</v>
      </c>
      <c r="N2666" t="s">
        <v>16</v>
      </c>
    </row>
    <row r="2667" spans="1:14" x14ac:dyDescent="0.25">
      <c r="A2667" t="s">
        <v>41</v>
      </c>
      <c r="B2667" t="s">
        <v>15</v>
      </c>
      <c r="C2667" t="s">
        <v>15</v>
      </c>
      <c r="D2667" t="s">
        <v>28</v>
      </c>
      <c r="E2667" t="s">
        <v>23</v>
      </c>
      <c r="F2667" t="s">
        <v>15</v>
      </c>
      <c r="G2667" s="1">
        <f>VALUE(7744.0238274105)</f>
        <v>7744.0238274105004</v>
      </c>
      <c r="H2667" s="1">
        <f>VALUE(6033.9004013959)</f>
        <v>6033.9004013959002</v>
      </c>
      <c r="I2667" s="1">
        <f>VALUE(3199)</f>
        <v>3199</v>
      </c>
      <c r="J2667" s="1">
        <f>VALUE(3816)</f>
        <v>3816</v>
      </c>
      <c r="K2667" s="1">
        <f>VALUE(4510)</f>
        <v>4510</v>
      </c>
      <c r="L2667" s="1">
        <f>VALUE(5366)</f>
        <v>5366</v>
      </c>
      <c r="M2667" s="1">
        <f>VALUE(6604)</f>
        <v>6604</v>
      </c>
      <c r="N2667" t="s">
        <v>16</v>
      </c>
    </row>
    <row r="2668" spans="1:14" x14ac:dyDescent="0.25">
      <c r="A2668" t="s">
        <v>41</v>
      </c>
      <c r="B2668" t="s">
        <v>15</v>
      </c>
      <c r="C2668" t="s">
        <v>15</v>
      </c>
      <c r="D2668" t="s">
        <v>28</v>
      </c>
      <c r="E2668" t="s">
        <v>23</v>
      </c>
      <c r="F2668" t="s">
        <v>17</v>
      </c>
      <c r="G2668" s="2">
        <f>VALUE(375.3281870419)</f>
        <v>375.32818704189998</v>
      </c>
      <c r="H2668" s="3">
        <f>VALUE(336.2689214219)</f>
        <v>336.26892142190002</v>
      </c>
      <c r="I2668" s="4">
        <f>VALUE(3400)</f>
        <v>3400</v>
      </c>
      <c r="J2668" s="5">
        <f>VALUE(3976)</f>
        <v>3976</v>
      </c>
      <c r="K2668" s="6">
        <f>VALUE(5280)</f>
        <v>5280</v>
      </c>
      <c r="L2668" s="7">
        <f>VALUE(9220)</f>
        <v>9220</v>
      </c>
      <c r="M2668" s="8">
        <f>VALUE(17836)</f>
        <v>17836</v>
      </c>
      <c r="N2668" t="s">
        <v>24</v>
      </c>
    </row>
    <row r="2669" spans="1:14" x14ac:dyDescent="0.25">
      <c r="A2669" t="s">
        <v>41</v>
      </c>
      <c r="B2669" t="s">
        <v>15</v>
      </c>
      <c r="C2669" t="s">
        <v>15</v>
      </c>
      <c r="D2669" t="s">
        <v>28</v>
      </c>
      <c r="E2669" t="s">
        <v>23</v>
      </c>
      <c r="F2669" t="s">
        <v>18</v>
      </c>
      <c r="G2669" s="2">
        <f>VALUE(551.7987275731)</f>
        <v>551.7987275731</v>
      </c>
      <c r="H2669" s="3">
        <f>VALUE(438.1002169226)</f>
        <v>438.1002169226</v>
      </c>
      <c r="I2669" s="4">
        <f>VALUE(3200)</f>
        <v>3200</v>
      </c>
      <c r="J2669" s="5">
        <f>VALUE(4127)</f>
        <v>4127</v>
      </c>
      <c r="K2669" s="1">
        <f>VALUE(5076)</f>
        <v>5076</v>
      </c>
      <c r="L2669" s="7">
        <f>VALUE(6499)</f>
        <v>6499</v>
      </c>
      <c r="M2669" s="1">
        <f>VALUE(9820)</f>
        <v>9820</v>
      </c>
      <c r="N2669" t="s">
        <v>25</v>
      </c>
    </row>
    <row r="2670" spans="1:14" x14ac:dyDescent="0.25">
      <c r="A2670" t="s">
        <v>41</v>
      </c>
      <c r="B2670" t="s">
        <v>15</v>
      </c>
      <c r="C2670" t="s">
        <v>15</v>
      </c>
      <c r="D2670" t="s">
        <v>28</v>
      </c>
      <c r="E2670" t="s">
        <v>23</v>
      </c>
      <c r="F2670" t="s">
        <v>19</v>
      </c>
      <c r="G2670" s="2">
        <f>VALUE(688.8648570931)</f>
        <v>688.8648570931</v>
      </c>
      <c r="H2670" s="3">
        <f>VALUE(585.9441098075)</f>
        <v>585.94410980750001</v>
      </c>
      <c r="I2670" s="1">
        <f>VALUE(3467)</f>
        <v>3467</v>
      </c>
      <c r="J2670" s="1">
        <f>VALUE(4086)</f>
        <v>4086</v>
      </c>
      <c r="K2670" s="1">
        <f>VALUE(4901)</f>
        <v>4901</v>
      </c>
      <c r="L2670" s="1">
        <f>VALUE(5982)</f>
        <v>5982</v>
      </c>
      <c r="M2670" s="1">
        <f>VALUE(6920)</f>
        <v>6920</v>
      </c>
      <c r="N2670" t="s">
        <v>25</v>
      </c>
    </row>
    <row r="2671" spans="1:14" x14ac:dyDescent="0.25">
      <c r="A2671" t="s">
        <v>41</v>
      </c>
      <c r="B2671" t="s">
        <v>15</v>
      </c>
      <c r="C2671" t="s">
        <v>15</v>
      </c>
      <c r="D2671" t="s">
        <v>28</v>
      </c>
      <c r="E2671" t="s">
        <v>23</v>
      </c>
      <c r="F2671" t="s">
        <v>20</v>
      </c>
      <c r="G2671" s="1">
        <f>VALUE(6128.0320557024)</f>
        <v>6128.0320557023997</v>
      </c>
      <c r="H2671" s="1">
        <f>VALUE(4673.5871532439)</f>
        <v>4673.5871532438996</v>
      </c>
      <c r="I2671" s="1">
        <f>VALUE(3148)</f>
        <v>3148</v>
      </c>
      <c r="J2671" s="1">
        <f>VALUE(3765)</f>
        <v>3765</v>
      </c>
      <c r="K2671" s="1">
        <f>VALUE(4371)</f>
        <v>4371</v>
      </c>
      <c r="L2671" s="1">
        <f>VALUE(5094)</f>
        <v>5094</v>
      </c>
      <c r="M2671" s="1">
        <f>VALUE(6046)</f>
        <v>6046</v>
      </c>
      <c r="N2671" t="s">
        <v>16</v>
      </c>
    </row>
    <row r="2672" spans="1:14" x14ac:dyDescent="0.25">
      <c r="A2672" t="s">
        <v>41</v>
      </c>
      <c r="B2672" t="s">
        <v>15</v>
      </c>
      <c r="C2672" t="s">
        <v>15</v>
      </c>
      <c r="D2672" t="s">
        <v>28</v>
      </c>
      <c r="E2672" t="s">
        <v>26</v>
      </c>
      <c r="F2672" t="s">
        <v>15</v>
      </c>
      <c r="G2672" s="1">
        <f>VALUE(951.1828922954)</f>
        <v>951.18289229540005</v>
      </c>
      <c r="H2672" s="1">
        <f>VALUE(965.2139460001)</f>
        <v>965.21394600010001</v>
      </c>
      <c r="I2672" s="1">
        <f>VALUE(5159)</f>
        <v>5159</v>
      </c>
      <c r="J2672" s="1">
        <f>VALUE(6270)</f>
        <v>6270</v>
      </c>
      <c r="K2672" s="1">
        <f>VALUE(8639)</f>
        <v>8639</v>
      </c>
      <c r="L2672" s="1">
        <f>VALUE(14083)</f>
        <v>14083</v>
      </c>
      <c r="M2672" s="1">
        <f>VALUE(23174)</f>
        <v>23174</v>
      </c>
      <c r="N2672" t="s">
        <v>16</v>
      </c>
    </row>
    <row r="2673" spans="1:14" x14ac:dyDescent="0.25">
      <c r="A2673" t="s">
        <v>41</v>
      </c>
      <c r="B2673" t="s">
        <v>15</v>
      </c>
      <c r="C2673" t="s">
        <v>15</v>
      </c>
      <c r="D2673" t="s">
        <v>28</v>
      </c>
      <c r="E2673" t="s">
        <v>26</v>
      </c>
      <c r="F2673" t="s">
        <v>17</v>
      </c>
      <c r="G2673" s="1">
        <f>VALUE(306.7044984442)</f>
        <v>306.7044984442</v>
      </c>
      <c r="H2673" s="1">
        <f>VALUE(318.1495987243)</f>
        <v>318.14959872430001</v>
      </c>
      <c r="I2673" s="1">
        <f>VALUE(11270)</f>
        <v>11270</v>
      </c>
      <c r="J2673" s="1">
        <f>VALUE(13095)</f>
        <v>13095</v>
      </c>
      <c r="K2673" s="1">
        <f>VALUE(17143)</f>
        <v>17143</v>
      </c>
      <c r="L2673" s="1">
        <f>VALUE(25093)</f>
        <v>25093</v>
      </c>
      <c r="M2673" s="1">
        <f>VALUE(43571)</f>
        <v>43571</v>
      </c>
      <c r="N2673" t="s">
        <v>16</v>
      </c>
    </row>
    <row r="2674" spans="1:14" x14ac:dyDescent="0.25">
      <c r="A2674" t="s">
        <v>41</v>
      </c>
      <c r="B2674" t="s">
        <v>15</v>
      </c>
      <c r="C2674" t="s">
        <v>15</v>
      </c>
      <c r="D2674" t="s">
        <v>28</v>
      </c>
      <c r="E2674" t="s">
        <v>26</v>
      </c>
      <c r="F2674" t="s">
        <v>18</v>
      </c>
      <c r="G2674" s="1" t="str">
        <f t="shared" ref="G2674:M2676" si="561">"X"</f>
        <v>X</v>
      </c>
      <c r="H2674" s="1" t="str">
        <f t="shared" si="561"/>
        <v>X</v>
      </c>
      <c r="I2674" s="1" t="str">
        <f t="shared" si="561"/>
        <v>X</v>
      </c>
      <c r="J2674" s="1" t="str">
        <f t="shared" si="561"/>
        <v>X</v>
      </c>
      <c r="K2674" s="1" t="str">
        <f t="shared" si="561"/>
        <v>X</v>
      </c>
      <c r="L2674" s="1" t="str">
        <f t="shared" si="561"/>
        <v>X</v>
      </c>
      <c r="M2674" s="1" t="str">
        <f t="shared" si="561"/>
        <v>X</v>
      </c>
      <c r="N2674" t="s">
        <v>27</v>
      </c>
    </row>
    <row r="2675" spans="1:14" x14ac:dyDescent="0.25">
      <c r="A2675" t="s">
        <v>41</v>
      </c>
      <c r="B2675" t="s">
        <v>15</v>
      </c>
      <c r="C2675" t="s">
        <v>15</v>
      </c>
      <c r="D2675" t="s">
        <v>28</v>
      </c>
      <c r="E2675" t="s">
        <v>26</v>
      </c>
      <c r="F2675" t="s">
        <v>19</v>
      </c>
      <c r="G2675" s="1" t="str">
        <f t="shared" si="561"/>
        <v>X</v>
      </c>
      <c r="H2675" s="1" t="str">
        <f t="shared" si="561"/>
        <v>X</v>
      </c>
      <c r="I2675" s="1" t="str">
        <f t="shared" si="561"/>
        <v>X</v>
      </c>
      <c r="J2675" s="1" t="str">
        <f t="shared" si="561"/>
        <v>X</v>
      </c>
      <c r="K2675" s="1" t="str">
        <f t="shared" si="561"/>
        <v>X</v>
      </c>
      <c r="L2675" s="1" t="str">
        <f t="shared" si="561"/>
        <v>X</v>
      </c>
      <c r="M2675" s="1" t="str">
        <f t="shared" si="561"/>
        <v>X</v>
      </c>
      <c r="N2675" t="s">
        <v>27</v>
      </c>
    </row>
    <row r="2676" spans="1:14" x14ac:dyDescent="0.25">
      <c r="A2676" t="s">
        <v>41</v>
      </c>
      <c r="B2676" t="s">
        <v>15</v>
      </c>
      <c r="C2676" t="s">
        <v>15</v>
      </c>
      <c r="D2676" t="s">
        <v>28</v>
      </c>
      <c r="E2676" t="s">
        <v>26</v>
      </c>
      <c r="F2676" t="s">
        <v>20</v>
      </c>
      <c r="G2676" s="1" t="str">
        <f t="shared" si="561"/>
        <v>X</v>
      </c>
      <c r="H2676" s="1" t="str">
        <f t="shared" si="561"/>
        <v>X</v>
      </c>
      <c r="I2676" s="1" t="str">
        <f t="shared" si="561"/>
        <v>X</v>
      </c>
      <c r="J2676" s="1" t="str">
        <f t="shared" si="561"/>
        <v>X</v>
      </c>
      <c r="K2676" s="1" t="str">
        <f t="shared" si="561"/>
        <v>X</v>
      </c>
      <c r="L2676" s="1" t="str">
        <f t="shared" si="561"/>
        <v>X</v>
      </c>
      <c r="M2676" s="1" t="str">
        <f t="shared" si="561"/>
        <v>X</v>
      </c>
      <c r="N2676" t="s">
        <v>27</v>
      </c>
    </row>
    <row r="2677" spans="1:14" x14ac:dyDescent="0.25">
      <c r="A2677" t="s">
        <v>41</v>
      </c>
      <c r="B2677" t="s">
        <v>15</v>
      </c>
      <c r="C2677" t="s">
        <v>15</v>
      </c>
      <c r="D2677" t="s">
        <v>29</v>
      </c>
      <c r="E2677" t="s">
        <v>15</v>
      </c>
      <c r="F2677" t="s">
        <v>15</v>
      </c>
      <c r="G2677" s="1">
        <f>VALUE(16141.1861669627)</f>
        <v>16141.1861669627</v>
      </c>
      <c r="H2677" s="1">
        <f>VALUE(14791.0786225824)</f>
        <v>14791.078622582399</v>
      </c>
      <c r="I2677" s="1">
        <f>VALUE(3402)</f>
        <v>3402</v>
      </c>
      <c r="J2677" s="1">
        <f>VALUE(4017)</f>
        <v>4017</v>
      </c>
      <c r="K2677" s="1">
        <f>VALUE(5035)</f>
        <v>5035</v>
      </c>
      <c r="L2677" s="1">
        <f>VALUE(6289)</f>
        <v>6289</v>
      </c>
      <c r="M2677" s="1">
        <f>VALUE(8603)</f>
        <v>8603</v>
      </c>
      <c r="N2677" t="s">
        <v>16</v>
      </c>
    </row>
    <row r="2678" spans="1:14" x14ac:dyDescent="0.25">
      <c r="A2678" t="s">
        <v>41</v>
      </c>
      <c r="B2678" t="s">
        <v>15</v>
      </c>
      <c r="C2678" t="s">
        <v>15</v>
      </c>
      <c r="D2678" t="s">
        <v>29</v>
      </c>
      <c r="E2678" t="s">
        <v>15</v>
      </c>
      <c r="F2678" t="s">
        <v>17</v>
      </c>
      <c r="G2678" s="2">
        <f>VALUE(2243.3952897958)</f>
        <v>2243.3952897958002</v>
      </c>
      <c r="H2678" s="3">
        <f>VALUE(2203.3172775623)</f>
        <v>2203.3172775623002</v>
      </c>
      <c r="I2678" s="1">
        <f>VALUE(4048)</f>
        <v>4048</v>
      </c>
      <c r="J2678" s="5">
        <f>VALUE(5341)</f>
        <v>5341</v>
      </c>
      <c r="K2678" s="6">
        <f>VALUE(8016)</f>
        <v>8016</v>
      </c>
      <c r="L2678" s="7">
        <f>VALUE(11813)</f>
        <v>11813</v>
      </c>
      <c r="M2678" s="8">
        <f>VALUE(19576)</f>
        <v>19576</v>
      </c>
      <c r="N2678" t="s">
        <v>25</v>
      </c>
    </row>
    <row r="2679" spans="1:14" x14ac:dyDescent="0.25">
      <c r="A2679" t="s">
        <v>41</v>
      </c>
      <c r="B2679" t="s">
        <v>15</v>
      </c>
      <c r="C2679" t="s">
        <v>15</v>
      </c>
      <c r="D2679" t="s">
        <v>29</v>
      </c>
      <c r="E2679" t="s">
        <v>15</v>
      </c>
      <c r="F2679" t="s">
        <v>18</v>
      </c>
      <c r="G2679" s="2">
        <f>VALUE(1730.5619143052)</f>
        <v>1730.5619143051999</v>
      </c>
      <c r="H2679" s="3">
        <f>VALUE(1642.0175627717)</f>
        <v>1642.0175627717001</v>
      </c>
      <c r="I2679" s="4">
        <f>VALUE(3610)</f>
        <v>3610</v>
      </c>
      <c r="J2679" s="1">
        <f>VALUE(4669)</f>
        <v>4669</v>
      </c>
      <c r="K2679" s="1">
        <f>VALUE(5881)</f>
        <v>5881</v>
      </c>
      <c r="L2679" s="1">
        <f>VALUE(7800)</f>
        <v>7800</v>
      </c>
      <c r="M2679" s="1">
        <f>VALUE(10139)</f>
        <v>10139</v>
      </c>
      <c r="N2679" t="s">
        <v>25</v>
      </c>
    </row>
    <row r="2680" spans="1:14" x14ac:dyDescent="0.25">
      <c r="A2680" t="s">
        <v>41</v>
      </c>
      <c r="B2680" t="s">
        <v>15</v>
      </c>
      <c r="C2680" t="s">
        <v>15</v>
      </c>
      <c r="D2680" t="s">
        <v>29</v>
      </c>
      <c r="E2680" t="s">
        <v>15</v>
      </c>
      <c r="F2680" t="s">
        <v>19</v>
      </c>
      <c r="G2680" s="1">
        <f>VALUE(2066.0040030067)</f>
        <v>2066.0040030066998</v>
      </c>
      <c r="H2680" s="1">
        <f>VALUE(1915.8286810965)</f>
        <v>1915.8286810965001</v>
      </c>
      <c r="I2680" s="1">
        <f>VALUE(3508)</f>
        <v>3508</v>
      </c>
      <c r="J2680" s="1">
        <f>VALUE(4254)</f>
        <v>4254</v>
      </c>
      <c r="K2680" s="1">
        <f>VALUE(5183)</f>
        <v>5183</v>
      </c>
      <c r="L2680" s="1">
        <f>VALUE(6322)</f>
        <v>6322</v>
      </c>
      <c r="M2680" s="1">
        <f>VALUE(7504)</f>
        <v>7504</v>
      </c>
      <c r="N2680" t="s">
        <v>16</v>
      </c>
    </row>
    <row r="2681" spans="1:14" x14ac:dyDescent="0.25">
      <c r="A2681" t="s">
        <v>41</v>
      </c>
      <c r="B2681" t="s">
        <v>15</v>
      </c>
      <c r="C2681" t="s">
        <v>15</v>
      </c>
      <c r="D2681" t="s">
        <v>29</v>
      </c>
      <c r="E2681" t="s">
        <v>15</v>
      </c>
      <c r="F2681" t="s">
        <v>20</v>
      </c>
      <c r="G2681" s="1">
        <f>VALUE(10047.702791042)</f>
        <v>10047.702791042</v>
      </c>
      <c r="H2681" s="1">
        <f>VALUE(8984.7725057016)</f>
        <v>8984.7725057015996</v>
      </c>
      <c r="I2681" s="1">
        <f>VALUE(3296)</f>
        <v>3296</v>
      </c>
      <c r="J2681" s="1">
        <f>VALUE(3813)</f>
        <v>3813</v>
      </c>
      <c r="K2681" s="1">
        <f>VALUE(4658)</f>
        <v>4658</v>
      </c>
      <c r="L2681" s="1">
        <f>VALUE(5581)</f>
        <v>5581</v>
      </c>
      <c r="M2681" s="1">
        <f>VALUE(6461)</f>
        <v>6461</v>
      </c>
      <c r="N2681" t="s">
        <v>16</v>
      </c>
    </row>
    <row r="2682" spans="1:14" x14ac:dyDescent="0.25">
      <c r="A2682" t="s">
        <v>41</v>
      </c>
      <c r="B2682" t="s">
        <v>15</v>
      </c>
      <c r="C2682" t="s">
        <v>15</v>
      </c>
      <c r="D2682" t="s">
        <v>29</v>
      </c>
      <c r="E2682" t="s">
        <v>21</v>
      </c>
      <c r="F2682" t="s">
        <v>15</v>
      </c>
      <c r="G2682" s="1">
        <f>VALUE(2662.8275246569)</f>
        <v>2662.8275246569001</v>
      </c>
      <c r="H2682" s="1">
        <f>VALUE(2432.5363793676)</f>
        <v>2432.5363793676001</v>
      </c>
      <c r="I2682" s="1">
        <f>VALUE(4311)</f>
        <v>4311</v>
      </c>
      <c r="J2682" s="1">
        <f>VALUE(5674)</f>
        <v>5674</v>
      </c>
      <c r="K2682" s="1">
        <f>VALUE(7830)</f>
        <v>7830</v>
      </c>
      <c r="L2682" s="1">
        <f>VALUE(10714)</f>
        <v>10714</v>
      </c>
      <c r="M2682" s="1">
        <f>VALUE(16755)</f>
        <v>16755</v>
      </c>
      <c r="N2682" t="s">
        <v>16</v>
      </c>
    </row>
    <row r="2683" spans="1:14" x14ac:dyDescent="0.25">
      <c r="A2683" t="s">
        <v>41</v>
      </c>
      <c r="B2683" t="s">
        <v>15</v>
      </c>
      <c r="C2683" t="s">
        <v>15</v>
      </c>
      <c r="D2683" t="s">
        <v>29</v>
      </c>
      <c r="E2683" t="s">
        <v>21</v>
      </c>
      <c r="F2683" t="s">
        <v>17</v>
      </c>
      <c r="G2683" s="2">
        <f>VALUE(1159.5497670995)</f>
        <v>1159.5497670995001</v>
      </c>
      <c r="H2683" s="3">
        <f>VALUE(1118.5299713019)</f>
        <v>1118.5299713019001</v>
      </c>
      <c r="I2683" s="4">
        <f>VALUE(4762)</f>
        <v>4762</v>
      </c>
      <c r="J2683" s="5">
        <f>VALUE(6991)</f>
        <v>6991</v>
      </c>
      <c r="K2683" s="1">
        <f>VALUE(10079)</f>
        <v>10079</v>
      </c>
      <c r="L2683" s="7">
        <f>VALUE(15618)</f>
        <v>15618</v>
      </c>
      <c r="M2683" s="8">
        <f>VALUE(22500)</f>
        <v>22500</v>
      </c>
      <c r="N2683" t="s">
        <v>25</v>
      </c>
    </row>
    <row r="2684" spans="1:14" x14ac:dyDescent="0.25">
      <c r="A2684" t="s">
        <v>41</v>
      </c>
      <c r="B2684" t="s">
        <v>15</v>
      </c>
      <c r="C2684" t="s">
        <v>15</v>
      </c>
      <c r="D2684" t="s">
        <v>29</v>
      </c>
      <c r="E2684" t="s">
        <v>21</v>
      </c>
      <c r="F2684" t="s">
        <v>18</v>
      </c>
      <c r="G2684" s="2">
        <f>VALUE(547.1526277242)</f>
        <v>547.15262772419999</v>
      </c>
      <c r="H2684" s="3">
        <f>VALUE(498.019953501)</f>
        <v>498.01995350099997</v>
      </c>
      <c r="I2684" s="1">
        <f>VALUE(4612)</f>
        <v>4612</v>
      </c>
      <c r="J2684" s="5">
        <f>VALUE(5881)</f>
        <v>5881</v>
      </c>
      <c r="K2684" s="1">
        <f>VALUE(7940)</f>
        <v>7940</v>
      </c>
      <c r="L2684" s="1">
        <f>VALUE(9999)</f>
        <v>9999</v>
      </c>
      <c r="M2684" s="1">
        <f>VALUE(11924)</f>
        <v>11924</v>
      </c>
      <c r="N2684" t="s">
        <v>25</v>
      </c>
    </row>
    <row r="2685" spans="1:14" x14ac:dyDescent="0.25">
      <c r="A2685" t="s">
        <v>41</v>
      </c>
      <c r="B2685" t="s">
        <v>15</v>
      </c>
      <c r="C2685" t="s">
        <v>15</v>
      </c>
      <c r="D2685" t="s">
        <v>29</v>
      </c>
      <c r="E2685" t="s">
        <v>21</v>
      </c>
      <c r="F2685" t="s">
        <v>19</v>
      </c>
      <c r="G2685" s="2">
        <f>VALUE(362.0208470167)</f>
        <v>362.02084701669997</v>
      </c>
      <c r="H2685" s="3">
        <f>VALUE(275.9248680284)</f>
        <v>275.9248680284</v>
      </c>
      <c r="I2685" s="1">
        <f>VALUE(4294)</f>
        <v>4294</v>
      </c>
      <c r="J2685" s="1">
        <f>VALUE(5122)</f>
        <v>5122</v>
      </c>
      <c r="K2685" s="1">
        <f>VALUE(6500)</f>
        <v>6500</v>
      </c>
      <c r="L2685" s="7">
        <f>VALUE(8167)</f>
        <v>8167</v>
      </c>
      <c r="M2685" s="8">
        <f>VALUE(10009)</f>
        <v>10009</v>
      </c>
      <c r="N2685" t="s">
        <v>25</v>
      </c>
    </row>
    <row r="2686" spans="1:14" x14ac:dyDescent="0.25">
      <c r="A2686" t="s">
        <v>41</v>
      </c>
      <c r="B2686" t="s">
        <v>15</v>
      </c>
      <c r="C2686" t="s">
        <v>15</v>
      </c>
      <c r="D2686" t="s">
        <v>29</v>
      </c>
      <c r="E2686" t="s">
        <v>21</v>
      </c>
      <c r="F2686" t="s">
        <v>20</v>
      </c>
      <c r="G2686" s="2">
        <f>VALUE(594.1042828165)</f>
        <v>594.10428281650002</v>
      </c>
      <c r="H2686" s="3">
        <f>VALUE(540.0615865363)</f>
        <v>540.06158653629996</v>
      </c>
      <c r="I2686" s="1">
        <f>VALUE(3972)</f>
        <v>3972</v>
      </c>
      <c r="J2686" s="1">
        <f>VALUE(4875)</f>
        <v>4875</v>
      </c>
      <c r="K2686" s="1">
        <f>VALUE(6222)</f>
        <v>6222</v>
      </c>
      <c r="L2686" s="1">
        <f>VALUE(7425)</f>
        <v>7425</v>
      </c>
      <c r="M2686" s="1">
        <f>VALUE(8834)</f>
        <v>8834</v>
      </c>
      <c r="N2686" t="s">
        <v>25</v>
      </c>
    </row>
    <row r="2687" spans="1:14" x14ac:dyDescent="0.25">
      <c r="A2687" t="s">
        <v>41</v>
      </c>
      <c r="B2687" t="s">
        <v>15</v>
      </c>
      <c r="C2687" t="s">
        <v>15</v>
      </c>
      <c r="D2687" t="s">
        <v>29</v>
      </c>
      <c r="E2687" t="s">
        <v>22</v>
      </c>
      <c r="F2687" t="s">
        <v>15</v>
      </c>
      <c r="G2687" s="1">
        <f>VALUE(5135.5332385724)</f>
        <v>5135.5332385723996</v>
      </c>
      <c r="H2687" s="1">
        <f>VALUE(4880.2295116786)</f>
        <v>4880.2295116785999</v>
      </c>
      <c r="I2687" s="1">
        <f>VALUE(3574)</f>
        <v>3574</v>
      </c>
      <c r="J2687" s="1">
        <f>VALUE(4313)</f>
        <v>4313</v>
      </c>
      <c r="K2687" s="1">
        <f>VALUE(5178)</f>
        <v>5178</v>
      </c>
      <c r="L2687" s="1">
        <f>VALUE(6183)</f>
        <v>6183</v>
      </c>
      <c r="M2687" s="1">
        <f>VALUE(7610)</f>
        <v>7610</v>
      </c>
      <c r="N2687" t="s">
        <v>16</v>
      </c>
    </row>
    <row r="2688" spans="1:14" x14ac:dyDescent="0.25">
      <c r="A2688" t="s">
        <v>41</v>
      </c>
      <c r="B2688" t="s">
        <v>15</v>
      </c>
      <c r="C2688" t="s">
        <v>15</v>
      </c>
      <c r="D2688" t="s">
        <v>29</v>
      </c>
      <c r="E2688" t="s">
        <v>22</v>
      </c>
      <c r="F2688" t="s">
        <v>17</v>
      </c>
      <c r="G2688" s="2">
        <f>VALUE(649.5385250861)</f>
        <v>649.53852508609998</v>
      </c>
      <c r="H2688" s="3">
        <f>VALUE(637.8225915867)</f>
        <v>637.82259158670001</v>
      </c>
      <c r="I2688" s="4">
        <f>VALUE(4230)</f>
        <v>4230</v>
      </c>
      <c r="J2688" s="5">
        <f>VALUE(4894)</f>
        <v>4894</v>
      </c>
      <c r="K2688" s="6">
        <f>VALUE(6740)</f>
        <v>6740</v>
      </c>
      <c r="L2688" s="1">
        <f>VALUE(8211)</f>
        <v>8211</v>
      </c>
      <c r="M2688" s="8">
        <f>VALUE(10737)</f>
        <v>10737</v>
      </c>
      <c r="N2688" t="s">
        <v>25</v>
      </c>
    </row>
    <row r="2689" spans="1:14" x14ac:dyDescent="0.25">
      <c r="A2689" t="s">
        <v>41</v>
      </c>
      <c r="B2689" t="s">
        <v>15</v>
      </c>
      <c r="C2689" t="s">
        <v>15</v>
      </c>
      <c r="D2689" t="s">
        <v>29</v>
      </c>
      <c r="E2689" t="s">
        <v>22</v>
      </c>
      <c r="F2689" t="s">
        <v>18</v>
      </c>
      <c r="G2689" s="2">
        <f>VALUE(662.2188223906)</f>
        <v>662.21882239060005</v>
      </c>
      <c r="H2689" s="3">
        <f>VALUE(624.3657501777)</f>
        <v>624.36575017769997</v>
      </c>
      <c r="I2689" s="4">
        <f>VALUE(3429)</f>
        <v>3429</v>
      </c>
      <c r="J2689" s="5">
        <f>VALUE(4571)</f>
        <v>4571</v>
      </c>
      <c r="K2689" s="1">
        <f>VALUE(5429)</f>
        <v>5429</v>
      </c>
      <c r="L2689" s="1">
        <f>VALUE(7033)</f>
        <v>7033</v>
      </c>
      <c r="M2689" s="1">
        <f>VALUE(8071)</f>
        <v>8071</v>
      </c>
      <c r="N2689" t="s">
        <v>25</v>
      </c>
    </row>
    <row r="2690" spans="1:14" x14ac:dyDescent="0.25">
      <c r="A2690" t="s">
        <v>41</v>
      </c>
      <c r="B2690" t="s">
        <v>15</v>
      </c>
      <c r="C2690" t="s">
        <v>15</v>
      </c>
      <c r="D2690" t="s">
        <v>29</v>
      </c>
      <c r="E2690" t="s">
        <v>22</v>
      </c>
      <c r="F2690" t="s">
        <v>19</v>
      </c>
      <c r="G2690" s="2">
        <f>VALUE(955.4616900543)</f>
        <v>955.46169005429999</v>
      </c>
      <c r="H2690" s="3">
        <f>VALUE(918.0274642077)</f>
        <v>918.02746420769995</v>
      </c>
      <c r="I2690" s="1">
        <f>VALUE(3661)</f>
        <v>3661</v>
      </c>
      <c r="J2690" s="1">
        <f>VALUE(4384)</f>
        <v>4384</v>
      </c>
      <c r="K2690" s="1">
        <f>VALUE(5271)</f>
        <v>5271</v>
      </c>
      <c r="L2690" s="1">
        <f>VALUE(6150)</f>
        <v>6150</v>
      </c>
      <c r="M2690" s="1">
        <f>VALUE(7314)</f>
        <v>7314</v>
      </c>
      <c r="N2690" t="s">
        <v>25</v>
      </c>
    </row>
    <row r="2691" spans="1:14" x14ac:dyDescent="0.25">
      <c r="A2691" t="s">
        <v>41</v>
      </c>
      <c r="B2691" t="s">
        <v>15</v>
      </c>
      <c r="C2691" t="s">
        <v>15</v>
      </c>
      <c r="D2691" t="s">
        <v>29</v>
      </c>
      <c r="E2691" t="s">
        <v>22</v>
      </c>
      <c r="F2691" t="s">
        <v>20</v>
      </c>
      <c r="G2691" s="1">
        <f>VALUE(2868.3142010414)</f>
        <v>2868.3142010413999</v>
      </c>
      <c r="H2691" s="1">
        <f>VALUE(2700.0137057065)</f>
        <v>2700.0137057064999</v>
      </c>
      <c r="I2691" s="1">
        <f>VALUE(3508)</f>
        <v>3508</v>
      </c>
      <c r="J2691" s="1">
        <f>VALUE(4134)</f>
        <v>4134</v>
      </c>
      <c r="K2691" s="1">
        <f>VALUE(4925)</f>
        <v>4925</v>
      </c>
      <c r="L2691" s="1">
        <f>VALUE(5720)</f>
        <v>5720</v>
      </c>
      <c r="M2691" s="1">
        <f>VALUE(6682)</f>
        <v>6682</v>
      </c>
      <c r="N2691" t="s">
        <v>16</v>
      </c>
    </row>
    <row r="2692" spans="1:14" x14ac:dyDescent="0.25">
      <c r="A2692" t="s">
        <v>41</v>
      </c>
      <c r="B2692" t="s">
        <v>15</v>
      </c>
      <c r="C2692" t="s">
        <v>15</v>
      </c>
      <c r="D2692" t="s">
        <v>29</v>
      </c>
      <c r="E2692" t="s">
        <v>23</v>
      </c>
      <c r="F2692" t="s">
        <v>15</v>
      </c>
      <c r="G2692" s="1">
        <f>VALUE(8129.0726971498)</f>
        <v>8129.0726971497998</v>
      </c>
      <c r="H2692" s="1">
        <f>VALUE(7269.4054567053)</f>
        <v>7269.4054567052999</v>
      </c>
      <c r="I2692" s="1">
        <f>VALUE(3287)</f>
        <v>3287</v>
      </c>
      <c r="J2692" s="1">
        <f>VALUE(3684)</f>
        <v>3684</v>
      </c>
      <c r="K2692" s="1">
        <f>VALUE(4480)</f>
        <v>4480</v>
      </c>
      <c r="L2692" s="1">
        <f>VALUE(5485)</f>
        <v>5485</v>
      </c>
      <c r="M2692" s="1">
        <f>VALUE(6397)</f>
        <v>6397</v>
      </c>
      <c r="N2692" t="s">
        <v>16</v>
      </c>
    </row>
    <row r="2693" spans="1:14" x14ac:dyDescent="0.25">
      <c r="A2693" t="s">
        <v>41</v>
      </c>
      <c r="B2693" t="s">
        <v>15</v>
      </c>
      <c r="C2693" t="s">
        <v>15</v>
      </c>
      <c r="D2693" t="s">
        <v>29</v>
      </c>
      <c r="E2693" t="s">
        <v>23</v>
      </c>
      <c r="F2693" t="s">
        <v>17</v>
      </c>
      <c r="G2693" s="2">
        <f>VALUE(374.4047082094)</f>
        <v>374.40470820939998</v>
      </c>
      <c r="H2693" s="3">
        <f>VALUE(384.3741274087)</f>
        <v>384.37412740870002</v>
      </c>
      <c r="I2693" s="4">
        <f>VALUE(3727)</f>
        <v>3727</v>
      </c>
      <c r="J2693" s="5">
        <f>VALUE(4138)</f>
        <v>4138</v>
      </c>
      <c r="K2693" s="6">
        <f>VALUE(5437)</f>
        <v>5437</v>
      </c>
      <c r="L2693" s="7">
        <f>VALUE(8125)</f>
        <v>8125</v>
      </c>
      <c r="M2693" s="8">
        <f>VALUE(10992)</f>
        <v>10992</v>
      </c>
      <c r="N2693" t="s">
        <v>24</v>
      </c>
    </row>
    <row r="2694" spans="1:14" x14ac:dyDescent="0.25">
      <c r="A2694" t="s">
        <v>41</v>
      </c>
      <c r="B2694" t="s">
        <v>15</v>
      </c>
      <c r="C2694" t="s">
        <v>15</v>
      </c>
      <c r="D2694" t="s">
        <v>29</v>
      </c>
      <c r="E2694" t="s">
        <v>23</v>
      </c>
      <c r="F2694" t="s">
        <v>18</v>
      </c>
      <c r="G2694" s="2">
        <f>VALUE(481.9753464037)</f>
        <v>481.97534640369997</v>
      </c>
      <c r="H2694" s="3">
        <f>VALUE(479.3764352306)</f>
        <v>479.37643523060001</v>
      </c>
      <c r="I2694" s="4">
        <f>VALUE(3320)</f>
        <v>3320</v>
      </c>
      <c r="J2694" s="5">
        <f>VALUE(4127)</f>
        <v>4127</v>
      </c>
      <c r="K2694" s="1">
        <f>VALUE(5119)</f>
        <v>5119</v>
      </c>
      <c r="L2694" s="1">
        <f>VALUE(6007)</f>
        <v>6007</v>
      </c>
      <c r="M2694" s="8">
        <f>VALUE(7111)</f>
        <v>7111</v>
      </c>
      <c r="N2694" t="s">
        <v>25</v>
      </c>
    </row>
    <row r="2695" spans="1:14" x14ac:dyDescent="0.25">
      <c r="A2695" t="s">
        <v>41</v>
      </c>
      <c r="B2695" t="s">
        <v>15</v>
      </c>
      <c r="C2695" t="s">
        <v>15</v>
      </c>
      <c r="D2695" t="s">
        <v>29</v>
      </c>
      <c r="E2695" t="s">
        <v>23</v>
      </c>
      <c r="F2695" t="s">
        <v>19</v>
      </c>
      <c r="G2695" s="2">
        <f>VALUE(748.5214659357)</f>
        <v>748.52146593570001</v>
      </c>
      <c r="H2695" s="3">
        <f>VALUE(721.8763488604)</f>
        <v>721.87634886039996</v>
      </c>
      <c r="I2695" s="1">
        <f>VALUE(3402)</f>
        <v>3402</v>
      </c>
      <c r="J2695" s="5">
        <f>VALUE(3789)</f>
        <v>3789</v>
      </c>
      <c r="K2695" s="1">
        <f>VALUE(4798)</f>
        <v>4798</v>
      </c>
      <c r="L2695" s="1">
        <f>VALUE(5736)</f>
        <v>5736</v>
      </c>
      <c r="M2695" s="1">
        <f>VALUE(6933)</f>
        <v>6933</v>
      </c>
      <c r="N2695" t="s">
        <v>25</v>
      </c>
    </row>
    <row r="2696" spans="1:14" x14ac:dyDescent="0.25">
      <c r="A2696" t="s">
        <v>41</v>
      </c>
      <c r="B2696" t="s">
        <v>15</v>
      </c>
      <c r="C2696" t="s">
        <v>15</v>
      </c>
      <c r="D2696" t="s">
        <v>29</v>
      </c>
      <c r="E2696" t="s">
        <v>23</v>
      </c>
      <c r="F2696" t="s">
        <v>20</v>
      </c>
      <c r="G2696" s="1">
        <f>VALUE(6524.171176601)</f>
        <v>6524.1711766010003</v>
      </c>
      <c r="H2696" s="1">
        <f>VALUE(5683.7785452056)</f>
        <v>5683.7785452055996</v>
      </c>
      <c r="I2696" s="1">
        <f>VALUE(3258)</f>
        <v>3258</v>
      </c>
      <c r="J2696" s="1">
        <f>VALUE(3593)</f>
        <v>3593</v>
      </c>
      <c r="K2696" s="1">
        <f>VALUE(4333)</f>
        <v>4333</v>
      </c>
      <c r="L2696" s="1">
        <f>VALUE(5294)</f>
        <v>5294</v>
      </c>
      <c r="M2696" s="1">
        <f>VALUE(6034)</f>
        <v>6034</v>
      </c>
      <c r="N2696" t="s">
        <v>16</v>
      </c>
    </row>
    <row r="2697" spans="1:14" x14ac:dyDescent="0.25">
      <c r="A2697" t="s">
        <v>41</v>
      </c>
      <c r="B2697" t="s">
        <v>15</v>
      </c>
      <c r="C2697" t="s">
        <v>15</v>
      </c>
      <c r="D2697" t="s">
        <v>29</v>
      </c>
      <c r="E2697" t="s">
        <v>26</v>
      </c>
      <c r="F2697" t="s">
        <v>15</v>
      </c>
      <c r="G2697" s="2">
        <f>VALUE(213.7527065836)</f>
        <v>213.7527065836</v>
      </c>
      <c r="H2697" s="3">
        <f>VALUE(208.9072748309)</f>
        <v>208.90727483090001</v>
      </c>
      <c r="I2697" s="4">
        <f>VALUE(4524)</f>
        <v>4524</v>
      </c>
      <c r="J2697" s="1">
        <f>VALUE(5476)</f>
        <v>5476</v>
      </c>
      <c r="K2697" s="1">
        <f>VALUE(7539)</f>
        <v>7539</v>
      </c>
      <c r="L2697" s="1">
        <f>VALUE(13650)</f>
        <v>13650</v>
      </c>
      <c r="M2697" s="1">
        <f>VALUE(20556)</f>
        <v>20556</v>
      </c>
      <c r="N2697" t="s">
        <v>25</v>
      </c>
    </row>
    <row r="2698" spans="1:14" x14ac:dyDescent="0.25">
      <c r="A2698" t="s">
        <v>41</v>
      </c>
      <c r="B2698" t="s">
        <v>15</v>
      </c>
      <c r="C2698" t="s">
        <v>15</v>
      </c>
      <c r="D2698" t="s">
        <v>29</v>
      </c>
      <c r="E2698" t="s">
        <v>26</v>
      </c>
      <c r="F2698" t="s">
        <v>17</v>
      </c>
      <c r="G2698" s="1" t="str">
        <f t="shared" ref="G2698:M2699" si="562">"X"</f>
        <v>X</v>
      </c>
      <c r="H2698" s="1" t="str">
        <f t="shared" si="562"/>
        <v>X</v>
      </c>
      <c r="I2698" s="1" t="str">
        <f t="shared" si="562"/>
        <v>X</v>
      </c>
      <c r="J2698" s="1" t="str">
        <f t="shared" si="562"/>
        <v>X</v>
      </c>
      <c r="K2698" s="1" t="str">
        <f t="shared" si="562"/>
        <v>X</v>
      </c>
      <c r="L2698" s="1" t="str">
        <f t="shared" si="562"/>
        <v>X</v>
      </c>
      <c r="M2698" s="1" t="str">
        <f t="shared" si="562"/>
        <v>X</v>
      </c>
      <c r="N2698" t="s">
        <v>27</v>
      </c>
    </row>
    <row r="2699" spans="1:14" x14ac:dyDescent="0.25">
      <c r="A2699" t="s">
        <v>41</v>
      </c>
      <c r="B2699" t="s">
        <v>15</v>
      </c>
      <c r="C2699" t="s">
        <v>15</v>
      </c>
      <c r="D2699" t="s">
        <v>29</v>
      </c>
      <c r="E2699" t="s">
        <v>26</v>
      </c>
      <c r="F2699" t="s">
        <v>18</v>
      </c>
      <c r="G2699" s="1" t="str">
        <f t="shared" si="562"/>
        <v>X</v>
      </c>
      <c r="H2699" s="1" t="str">
        <f t="shared" si="562"/>
        <v>X</v>
      </c>
      <c r="I2699" s="1" t="str">
        <f t="shared" si="562"/>
        <v>X</v>
      </c>
      <c r="J2699" s="1" t="str">
        <f t="shared" si="562"/>
        <v>X</v>
      </c>
      <c r="K2699" s="1" t="str">
        <f t="shared" si="562"/>
        <v>X</v>
      </c>
      <c r="L2699" s="1" t="str">
        <f t="shared" si="562"/>
        <v>X</v>
      </c>
      <c r="M2699" s="1" t="str">
        <f t="shared" si="562"/>
        <v>X</v>
      </c>
      <c r="N2699" t="s">
        <v>27</v>
      </c>
    </row>
    <row r="2700" spans="1:14" x14ac:dyDescent="0.25">
      <c r="A2700" t="s">
        <v>41</v>
      </c>
      <c r="B2700" t="s">
        <v>15</v>
      </c>
      <c r="C2700" t="s">
        <v>15</v>
      </c>
      <c r="D2700" t="s">
        <v>29</v>
      </c>
      <c r="E2700" t="s">
        <v>26</v>
      </c>
      <c r="F2700" t="s">
        <v>19</v>
      </c>
      <c r="G2700" s="1" t="str">
        <f t="shared" ref="G2700:M2700" si="563">"..."</f>
        <v>...</v>
      </c>
      <c r="H2700" s="1" t="str">
        <f t="shared" si="563"/>
        <v>...</v>
      </c>
      <c r="I2700" s="1" t="str">
        <f t="shared" si="563"/>
        <v>...</v>
      </c>
      <c r="J2700" s="1" t="str">
        <f t="shared" si="563"/>
        <v>...</v>
      </c>
      <c r="K2700" s="1" t="str">
        <f t="shared" si="563"/>
        <v>...</v>
      </c>
      <c r="L2700" s="1" t="str">
        <f t="shared" si="563"/>
        <v>...</v>
      </c>
      <c r="M2700" s="1" t="str">
        <f t="shared" si="563"/>
        <v>...</v>
      </c>
      <c r="N2700" t="s">
        <v>30</v>
      </c>
    </row>
    <row r="2701" spans="1:14" x14ac:dyDescent="0.25">
      <c r="A2701" t="s">
        <v>41</v>
      </c>
      <c r="B2701" t="s">
        <v>15</v>
      </c>
      <c r="C2701" t="s">
        <v>15</v>
      </c>
      <c r="D2701" t="s">
        <v>29</v>
      </c>
      <c r="E2701" t="s">
        <v>26</v>
      </c>
      <c r="F2701" t="s">
        <v>20</v>
      </c>
      <c r="G2701" s="1" t="str">
        <f t="shared" ref="G2701:M2701" si="564">"X"</f>
        <v>X</v>
      </c>
      <c r="H2701" s="1" t="str">
        <f t="shared" si="564"/>
        <v>X</v>
      </c>
      <c r="I2701" s="1" t="str">
        <f t="shared" si="564"/>
        <v>X</v>
      </c>
      <c r="J2701" s="1" t="str">
        <f t="shared" si="564"/>
        <v>X</v>
      </c>
      <c r="K2701" s="1" t="str">
        <f t="shared" si="564"/>
        <v>X</v>
      </c>
      <c r="L2701" s="1" t="str">
        <f t="shared" si="564"/>
        <v>X</v>
      </c>
      <c r="M2701" s="1" t="str">
        <f t="shared" si="564"/>
        <v>X</v>
      </c>
      <c r="N2701" t="s">
        <v>27</v>
      </c>
    </row>
    <row r="2702" spans="1:14" x14ac:dyDescent="0.25">
      <c r="A2702" t="s">
        <v>41</v>
      </c>
      <c r="B2702" t="s">
        <v>15</v>
      </c>
      <c r="C2702" t="s">
        <v>15</v>
      </c>
      <c r="D2702" t="s">
        <v>31</v>
      </c>
      <c r="E2702" t="s">
        <v>15</v>
      </c>
      <c r="F2702" t="s">
        <v>15</v>
      </c>
      <c r="G2702" s="1">
        <f>VALUE(7129.8329476003)</f>
        <v>7129.8329476003</v>
      </c>
      <c r="H2702" s="1">
        <f>VALUE(6495.478420396)</f>
        <v>6495.4784203959998</v>
      </c>
      <c r="I2702" s="1">
        <f>VALUE(3240)</f>
        <v>3240</v>
      </c>
      <c r="J2702" s="1">
        <f>VALUE(3825)</f>
        <v>3825</v>
      </c>
      <c r="K2702" s="1">
        <f>VALUE(4856)</f>
        <v>4856</v>
      </c>
      <c r="L2702" s="1">
        <f>VALUE(6535)</f>
        <v>6535</v>
      </c>
      <c r="M2702" s="8">
        <f>VALUE(10500)</f>
        <v>10500</v>
      </c>
      <c r="N2702" t="s">
        <v>25</v>
      </c>
    </row>
    <row r="2703" spans="1:14" x14ac:dyDescent="0.25">
      <c r="A2703" t="s">
        <v>41</v>
      </c>
      <c r="B2703" t="s">
        <v>15</v>
      </c>
      <c r="C2703" t="s">
        <v>15</v>
      </c>
      <c r="D2703" t="s">
        <v>31</v>
      </c>
      <c r="E2703" t="s">
        <v>15</v>
      </c>
      <c r="F2703" t="s">
        <v>17</v>
      </c>
      <c r="G2703" s="2">
        <f>VALUE(1110.4192212303)</f>
        <v>1110.4192212303001</v>
      </c>
      <c r="H2703" s="3">
        <f>VALUE(1087.5575907001)</f>
        <v>1087.5575907001</v>
      </c>
      <c r="I2703" s="4">
        <f>VALUE(5000)</f>
        <v>5000</v>
      </c>
      <c r="J2703" s="5">
        <f>VALUE(6009)</f>
        <v>6009</v>
      </c>
      <c r="K2703" s="6">
        <f>VALUE(10317)</f>
        <v>10317</v>
      </c>
      <c r="L2703" s="7">
        <f>VALUE(16350)</f>
        <v>16350</v>
      </c>
      <c r="M2703" s="8">
        <f>VALUE(38095)</f>
        <v>38095</v>
      </c>
      <c r="N2703" t="s">
        <v>24</v>
      </c>
    </row>
    <row r="2704" spans="1:14" x14ac:dyDescent="0.25">
      <c r="A2704" t="s">
        <v>41</v>
      </c>
      <c r="B2704" t="s">
        <v>15</v>
      </c>
      <c r="C2704" t="s">
        <v>15</v>
      </c>
      <c r="D2704" t="s">
        <v>31</v>
      </c>
      <c r="E2704" t="s">
        <v>15</v>
      </c>
      <c r="F2704" t="s">
        <v>18</v>
      </c>
      <c r="G2704" s="2">
        <f>VALUE(1028.1864953339)</f>
        <v>1028.1864953339</v>
      </c>
      <c r="H2704" s="3">
        <f>VALUE(973.338089008)</f>
        <v>973.338089008</v>
      </c>
      <c r="I2704" s="4">
        <f>VALUE(3608)</f>
        <v>3608</v>
      </c>
      <c r="J2704" s="5">
        <f>VALUE(4535)</f>
        <v>4535</v>
      </c>
      <c r="K2704" s="6">
        <f>VALUE(5429)</f>
        <v>5429</v>
      </c>
      <c r="L2704" s="7">
        <f>VALUE(7258)</f>
        <v>7258</v>
      </c>
      <c r="M2704" s="1">
        <f>VALUE(9914)</f>
        <v>9914</v>
      </c>
      <c r="N2704" t="s">
        <v>25</v>
      </c>
    </row>
    <row r="2705" spans="1:14" x14ac:dyDescent="0.25">
      <c r="A2705" t="s">
        <v>41</v>
      </c>
      <c r="B2705" t="s">
        <v>15</v>
      </c>
      <c r="C2705" t="s">
        <v>15</v>
      </c>
      <c r="D2705" t="s">
        <v>31</v>
      </c>
      <c r="E2705" t="s">
        <v>15</v>
      </c>
      <c r="F2705" t="s">
        <v>19</v>
      </c>
      <c r="G2705" s="2">
        <f>VALUE(897.3618964215)</f>
        <v>897.36189642149998</v>
      </c>
      <c r="H2705" s="3">
        <f>VALUE(769.0546321896)</f>
        <v>769.05463218960006</v>
      </c>
      <c r="I2705" s="4">
        <f>VALUE(3402)</f>
        <v>3402</v>
      </c>
      <c r="J2705" s="5">
        <f>VALUE(4200)</f>
        <v>4200</v>
      </c>
      <c r="K2705" s="1">
        <f>VALUE(5238)</f>
        <v>5238</v>
      </c>
      <c r="L2705" s="1">
        <f>VALUE(6283)</f>
        <v>6283</v>
      </c>
      <c r="M2705" s="8">
        <f>VALUE(7522)</f>
        <v>7522</v>
      </c>
      <c r="N2705" t="s">
        <v>25</v>
      </c>
    </row>
    <row r="2706" spans="1:14" x14ac:dyDescent="0.25">
      <c r="A2706" t="s">
        <v>41</v>
      </c>
      <c r="B2706" t="s">
        <v>15</v>
      </c>
      <c r="C2706" t="s">
        <v>15</v>
      </c>
      <c r="D2706" t="s">
        <v>31</v>
      </c>
      <c r="E2706" t="s">
        <v>15</v>
      </c>
      <c r="F2706" t="s">
        <v>20</v>
      </c>
      <c r="G2706" s="1">
        <f>VALUE(4080.2106598649)</f>
        <v>4080.2106598649002</v>
      </c>
      <c r="H2706" s="1">
        <f>VALUE(3652.081818856)</f>
        <v>3652.0818188560002</v>
      </c>
      <c r="I2706" s="1">
        <f>VALUE(3136)</f>
        <v>3136</v>
      </c>
      <c r="J2706" s="1">
        <f>VALUE(3547)</f>
        <v>3547</v>
      </c>
      <c r="K2706" s="1">
        <f>VALUE(4278)</f>
        <v>4278</v>
      </c>
      <c r="L2706" s="1">
        <f>VALUE(5274)</f>
        <v>5274</v>
      </c>
      <c r="M2706" s="1">
        <f>VALUE(6508)</f>
        <v>6508</v>
      </c>
      <c r="N2706" t="s">
        <v>16</v>
      </c>
    </row>
    <row r="2707" spans="1:14" x14ac:dyDescent="0.25">
      <c r="A2707" t="s">
        <v>41</v>
      </c>
      <c r="B2707" t="s">
        <v>15</v>
      </c>
      <c r="C2707" t="s">
        <v>15</v>
      </c>
      <c r="D2707" t="s">
        <v>31</v>
      </c>
      <c r="E2707" t="s">
        <v>21</v>
      </c>
      <c r="F2707" t="s">
        <v>15</v>
      </c>
      <c r="G2707" s="1">
        <f>VALUE(2621.7344031488)</f>
        <v>2621.7344031488001</v>
      </c>
      <c r="H2707" s="1">
        <f>VALUE(2363.4135648481)</f>
        <v>2363.4135648481001</v>
      </c>
      <c r="I2707" s="4">
        <f>VALUE(4089)</f>
        <v>4089</v>
      </c>
      <c r="J2707" s="1">
        <f>VALUE(5155)</f>
        <v>5155</v>
      </c>
      <c r="K2707" s="6">
        <f>VALUE(6561)</f>
        <v>6561</v>
      </c>
      <c r="L2707" s="7">
        <f>VALUE(9615)</f>
        <v>9615</v>
      </c>
      <c r="M2707" s="8">
        <f>VALUE(16850)</f>
        <v>16850</v>
      </c>
      <c r="N2707" t="s">
        <v>25</v>
      </c>
    </row>
    <row r="2708" spans="1:14" x14ac:dyDescent="0.25">
      <c r="A2708" t="s">
        <v>41</v>
      </c>
      <c r="B2708" t="s">
        <v>15</v>
      </c>
      <c r="C2708" t="s">
        <v>15</v>
      </c>
      <c r="D2708" t="s">
        <v>31</v>
      </c>
      <c r="E2708" t="s">
        <v>21</v>
      </c>
      <c r="F2708" t="s">
        <v>17</v>
      </c>
      <c r="G2708" s="2">
        <f>VALUE(834.4818786347)</f>
        <v>834.48187863470002</v>
      </c>
      <c r="H2708" s="3">
        <f>VALUE(811.3382238118)</f>
        <v>811.33822381180005</v>
      </c>
      <c r="I2708" s="4">
        <f>VALUE(5148)</f>
        <v>5148</v>
      </c>
      <c r="J2708" s="5">
        <f>VALUE(6702)</f>
        <v>6702</v>
      </c>
      <c r="K2708" s="6">
        <f>VALUE(10317)</f>
        <v>10317</v>
      </c>
      <c r="L2708" s="7">
        <f>VALUE(18142)</f>
        <v>18142</v>
      </c>
      <c r="M2708" s="8">
        <f>VALUE(42619)</f>
        <v>42619</v>
      </c>
      <c r="N2708" t="s">
        <v>24</v>
      </c>
    </row>
    <row r="2709" spans="1:14" x14ac:dyDescent="0.25">
      <c r="A2709" t="s">
        <v>41</v>
      </c>
      <c r="B2709" t="s">
        <v>15</v>
      </c>
      <c r="C2709" t="s">
        <v>15</v>
      </c>
      <c r="D2709" t="s">
        <v>31</v>
      </c>
      <c r="E2709" t="s">
        <v>21</v>
      </c>
      <c r="F2709" t="s">
        <v>18</v>
      </c>
      <c r="G2709" s="2">
        <f>VALUE(439.3802102216)</f>
        <v>439.38021022160001</v>
      </c>
      <c r="H2709" s="3">
        <f>VALUE(407.6154433265)</f>
        <v>407.61544332649999</v>
      </c>
      <c r="I2709" s="4">
        <f>VALUE(3851)</f>
        <v>3851</v>
      </c>
      <c r="J2709" s="1">
        <f>VALUE(5530)</f>
        <v>5530</v>
      </c>
      <c r="K2709" s="1">
        <f>VALUE(6746)</f>
        <v>6746</v>
      </c>
      <c r="L2709" s="1">
        <f>VALUE(8810)</f>
        <v>8810</v>
      </c>
      <c r="M2709" s="1">
        <f>VALUE(11111)</f>
        <v>11111</v>
      </c>
      <c r="N2709" t="s">
        <v>25</v>
      </c>
    </row>
    <row r="2710" spans="1:14" x14ac:dyDescent="0.25">
      <c r="A2710" t="s">
        <v>41</v>
      </c>
      <c r="B2710" t="s">
        <v>15</v>
      </c>
      <c r="C2710" t="s">
        <v>15</v>
      </c>
      <c r="D2710" t="s">
        <v>31</v>
      </c>
      <c r="E2710" t="s">
        <v>21</v>
      </c>
      <c r="F2710" t="s">
        <v>19</v>
      </c>
      <c r="G2710" s="2">
        <f>VALUE(557.7250549627)</f>
        <v>557.72505496270003</v>
      </c>
      <c r="H2710" s="3">
        <f>VALUE(444.1171842233)</f>
        <v>444.1171842233</v>
      </c>
      <c r="I2710" s="4">
        <f>VALUE(4282)</f>
        <v>4282</v>
      </c>
      <c r="J2710" s="1">
        <f>VALUE(5206)</f>
        <v>5206</v>
      </c>
      <c r="K2710" s="1">
        <f>VALUE(5641)</f>
        <v>5641</v>
      </c>
      <c r="L2710" s="1">
        <f>VALUE(7128)</f>
        <v>7128</v>
      </c>
      <c r="M2710" s="8">
        <f>VALUE(8666)</f>
        <v>8666</v>
      </c>
      <c r="N2710" t="s">
        <v>25</v>
      </c>
    </row>
    <row r="2711" spans="1:14" x14ac:dyDescent="0.25">
      <c r="A2711" t="s">
        <v>41</v>
      </c>
      <c r="B2711" t="s">
        <v>15</v>
      </c>
      <c r="C2711" t="s">
        <v>15</v>
      </c>
      <c r="D2711" t="s">
        <v>31</v>
      </c>
      <c r="E2711" t="s">
        <v>21</v>
      </c>
      <c r="F2711" t="s">
        <v>20</v>
      </c>
      <c r="G2711" s="2">
        <f>VALUE(790.1472593298)</f>
        <v>790.14725932980002</v>
      </c>
      <c r="H2711" s="3">
        <f>VALUE(700.3427134865)</f>
        <v>700.34271348649997</v>
      </c>
      <c r="I2711" s="4">
        <f>VALUE(3535)</f>
        <v>3535</v>
      </c>
      <c r="J2711" s="5">
        <f>VALUE(4470)</f>
        <v>4470</v>
      </c>
      <c r="K2711" s="6">
        <f>VALUE(5372)</f>
        <v>5372</v>
      </c>
      <c r="L2711" s="1">
        <f>VALUE(6918)</f>
        <v>6918</v>
      </c>
      <c r="M2711" s="8">
        <f>VALUE(8329)</f>
        <v>8329</v>
      </c>
      <c r="N2711" t="s">
        <v>25</v>
      </c>
    </row>
    <row r="2712" spans="1:14" x14ac:dyDescent="0.25">
      <c r="A2712" t="s">
        <v>41</v>
      </c>
      <c r="B2712" t="s">
        <v>15</v>
      </c>
      <c r="C2712" t="s">
        <v>15</v>
      </c>
      <c r="D2712" t="s">
        <v>31</v>
      </c>
      <c r="E2712" t="s">
        <v>22</v>
      </c>
      <c r="F2712" t="s">
        <v>15</v>
      </c>
      <c r="G2712" s="2">
        <f>VALUE(1406.5099729885)</f>
        <v>1406.5099729885001</v>
      </c>
      <c r="H2712" s="3">
        <f>VALUE(1328.7952828232)</f>
        <v>1328.7952828232001</v>
      </c>
      <c r="I2712" s="1">
        <f>VALUE(3547)</f>
        <v>3547</v>
      </c>
      <c r="J2712" s="1">
        <f>VALUE(4127)</f>
        <v>4127</v>
      </c>
      <c r="K2712" s="1">
        <f>VALUE(4782)</f>
        <v>4782</v>
      </c>
      <c r="L2712" s="1">
        <f>VALUE(5999)</f>
        <v>5999</v>
      </c>
      <c r="M2712" s="8">
        <f>VALUE(7333)</f>
        <v>7333</v>
      </c>
      <c r="N2712" t="s">
        <v>25</v>
      </c>
    </row>
    <row r="2713" spans="1:14" x14ac:dyDescent="0.25">
      <c r="A2713" t="s">
        <v>41</v>
      </c>
      <c r="B2713" t="s">
        <v>15</v>
      </c>
      <c r="C2713" t="s">
        <v>15</v>
      </c>
      <c r="D2713" t="s">
        <v>31</v>
      </c>
      <c r="E2713" t="s">
        <v>22</v>
      </c>
      <c r="F2713" t="s">
        <v>17</v>
      </c>
      <c r="G2713" s="1" t="str">
        <f t="shared" ref="G2713:M2714" si="565">"X"</f>
        <v>X</v>
      </c>
      <c r="H2713" s="1" t="str">
        <f t="shared" si="565"/>
        <v>X</v>
      </c>
      <c r="I2713" s="1" t="str">
        <f t="shared" si="565"/>
        <v>X</v>
      </c>
      <c r="J2713" s="1" t="str">
        <f t="shared" si="565"/>
        <v>X</v>
      </c>
      <c r="K2713" s="1" t="str">
        <f t="shared" si="565"/>
        <v>X</v>
      </c>
      <c r="L2713" s="1" t="str">
        <f t="shared" si="565"/>
        <v>X</v>
      </c>
      <c r="M2713" s="1" t="str">
        <f t="shared" si="565"/>
        <v>X</v>
      </c>
      <c r="N2713" t="s">
        <v>27</v>
      </c>
    </row>
    <row r="2714" spans="1:14" x14ac:dyDescent="0.25">
      <c r="A2714" t="s">
        <v>41</v>
      </c>
      <c r="B2714" t="s">
        <v>15</v>
      </c>
      <c r="C2714" t="s">
        <v>15</v>
      </c>
      <c r="D2714" t="s">
        <v>31</v>
      </c>
      <c r="E2714" t="s">
        <v>22</v>
      </c>
      <c r="F2714" t="s">
        <v>18</v>
      </c>
      <c r="G2714" s="1" t="str">
        <f t="shared" si="565"/>
        <v>X</v>
      </c>
      <c r="H2714" s="1" t="str">
        <f t="shared" si="565"/>
        <v>X</v>
      </c>
      <c r="I2714" s="1" t="str">
        <f t="shared" si="565"/>
        <v>X</v>
      </c>
      <c r="J2714" s="1" t="str">
        <f t="shared" si="565"/>
        <v>X</v>
      </c>
      <c r="K2714" s="1" t="str">
        <f t="shared" si="565"/>
        <v>X</v>
      </c>
      <c r="L2714" s="1" t="str">
        <f t="shared" si="565"/>
        <v>X</v>
      </c>
      <c r="M2714" s="1" t="str">
        <f t="shared" si="565"/>
        <v>X</v>
      </c>
      <c r="N2714" t="s">
        <v>27</v>
      </c>
    </row>
    <row r="2715" spans="1:14" x14ac:dyDescent="0.25">
      <c r="A2715" t="s">
        <v>41</v>
      </c>
      <c r="B2715" t="s">
        <v>15</v>
      </c>
      <c r="C2715" t="s">
        <v>15</v>
      </c>
      <c r="D2715" t="s">
        <v>31</v>
      </c>
      <c r="E2715" t="s">
        <v>22</v>
      </c>
      <c r="F2715" t="s">
        <v>19</v>
      </c>
      <c r="G2715" s="2">
        <f>VALUE(142.1720303179)</f>
        <v>142.17203031790001</v>
      </c>
      <c r="H2715" s="3">
        <f>VALUE(135.2466411712)</f>
        <v>135.2466411712</v>
      </c>
      <c r="I2715" s="1">
        <f>VALUE(3328)</f>
        <v>3328</v>
      </c>
      <c r="J2715" s="1">
        <f>VALUE(3984)</f>
        <v>3984</v>
      </c>
      <c r="K2715" s="1">
        <f>VALUE(4534)</f>
        <v>4534</v>
      </c>
      <c r="L2715" s="7">
        <f>VALUE(5787)</f>
        <v>5787</v>
      </c>
      <c r="M2715" s="1">
        <f>VALUE(6870)</f>
        <v>6870</v>
      </c>
      <c r="N2715" t="s">
        <v>25</v>
      </c>
    </row>
    <row r="2716" spans="1:14" x14ac:dyDescent="0.25">
      <c r="A2716" t="s">
        <v>41</v>
      </c>
      <c r="B2716" t="s">
        <v>15</v>
      </c>
      <c r="C2716" t="s">
        <v>15</v>
      </c>
      <c r="D2716" t="s">
        <v>31</v>
      </c>
      <c r="E2716" t="s">
        <v>22</v>
      </c>
      <c r="F2716" t="s">
        <v>20</v>
      </c>
      <c r="G2716" s="2">
        <f>VALUE(959.6642610767)</f>
        <v>959.66426107669997</v>
      </c>
      <c r="H2716" s="3">
        <f>VALUE(888.6406547479)</f>
        <v>888.64065474790004</v>
      </c>
      <c r="I2716" s="4">
        <f>VALUE(3494)</f>
        <v>3494</v>
      </c>
      <c r="J2716" s="1">
        <f>VALUE(3976)</f>
        <v>3976</v>
      </c>
      <c r="K2716" s="1">
        <f>VALUE(4500)</f>
        <v>4500</v>
      </c>
      <c r="L2716" s="1">
        <f>VALUE(5666)</f>
        <v>5666</v>
      </c>
      <c r="M2716" s="1">
        <f>VALUE(6498)</f>
        <v>6498</v>
      </c>
      <c r="N2716" t="s">
        <v>25</v>
      </c>
    </row>
    <row r="2717" spans="1:14" x14ac:dyDescent="0.25">
      <c r="A2717" t="s">
        <v>41</v>
      </c>
      <c r="B2717" t="s">
        <v>15</v>
      </c>
      <c r="C2717" t="s">
        <v>15</v>
      </c>
      <c r="D2717" t="s">
        <v>31</v>
      </c>
      <c r="E2717" t="s">
        <v>23</v>
      </c>
      <c r="F2717" t="s">
        <v>15</v>
      </c>
      <c r="G2717" s="1">
        <f>VALUE(2951.3089323738)</f>
        <v>2951.3089323738</v>
      </c>
      <c r="H2717" s="1">
        <f>VALUE(2648.9988918103)</f>
        <v>2648.9988918102999</v>
      </c>
      <c r="I2717" s="1">
        <f>VALUE(2952)</f>
        <v>2952</v>
      </c>
      <c r="J2717" s="1">
        <f>VALUE(3371)</f>
        <v>3371</v>
      </c>
      <c r="K2717" s="1">
        <f>VALUE(3900)</f>
        <v>3900</v>
      </c>
      <c r="L2717" s="1">
        <f>VALUE(4732)</f>
        <v>4732</v>
      </c>
      <c r="M2717" s="1">
        <f>VALUE(5454)</f>
        <v>5454</v>
      </c>
      <c r="N2717" t="s">
        <v>16</v>
      </c>
    </row>
    <row r="2718" spans="1:14" x14ac:dyDescent="0.25">
      <c r="A2718" t="s">
        <v>41</v>
      </c>
      <c r="B2718" t="s">
        <v>15</v>
      </c>
      <c r="C2718" t="s">
        <v>15</v>
      </c>
      <c r="D2718" t="s">
        <v>31</v>
      </c>
      <c r="E2718" t="s">
        <v>23</v>
      </c>
      <c r="F2718" t="s">
        <v>17</v>
      </c>
      <c r="G2718" s="1" t="str">
        <f t="shared" ref="G2718:M2718" si="566">"X"</f>
        <v>X</v>
      </c>
      <c r="H2718" s="1" t="str">
        <f t="shared" si="566"/>
        <v>X</v>
      </c>
      <c r="I2718" s="1" t="str">
        <f t="shared" si="566"/>
        <v>X</v>
      </c>
      <c r="J2718" s="1" t="str">
        <f t="shared" si="566"/>
        <v>X</v>
      </c>
      <c r="K2718" s="1" t="str">
        <f t="shared" si="566"/>
        <v>X</v>
      </c>
      <c r="L2718" s="1" t="str">
        <f t="shared" si="566"/>
        <v>X</v>
      </c>
      <c r="M2718" s="1" t="str">
        <f t="shared" si="566"/>
        <v>X</v>
      </c>
      <c r="N2718" t="s">
        <v>27</v>
      </c>
    </row>
    <row r="2719" spans="1:14" x14ac:dyDescent="0.25">
      <c r="A2719" t="s">
        <v>41</v>
      </c>
      <c r="B2719" t="s">
        <v>15</v>
      </c>
      <c r="C2719" t="s">
        <v>15</v>
      </c>
      <c r="D2719" t="s">
        <v>31</v>
      </c>
      <c r="E2719" t="s">
        <v>23</v>
      </c>
      <c r="F2719" t="s">
        <v>18</v>
      </c>
      <c r="G2719" s="2">
        <f>VALUE(415.4224889605)</f>
        <v>415.4224889605</v>
      </c>
      <c r="H2719" s="3">
        <f>VALUE(393.6460529149)</f>
        <v>393.6460529149</v>
      </c>
      <c r="I2719" s="4">
        <f>VALUE(3198)</f>
        <v>3198</v>
      </c>
      <c r="J2719" s="5">
        <f>VALUE(3686)</f>
        <v>3686</v>
      </c>
      <c r="K2719" s="6">
        <f>VALUE(4732)</f>
        <v>4732</v>
      </c>
      <c r="L2719" s="7">
        <f>VALUE(4967)</f>
        <v>4967</v>
      </c>
      <c r="M2719" s="8">
        <f>VALUE(5767)</f>
        <v>5767</v>
      </c>
      <c r="N2719" t="s">
        <v>24</v>
      </c>
    </row>
    <row r="2720" spans="1:14" x14ac:dyDescent="0.25">
      <c r="A2720" t="s">
        <v>41</v>
      </c>
      <c r="B2720" t="s">
        <v>15</v>
      </c>
      <c r="C2720" t="s">
        <v>15</v>
      </c>
      <c r="D2720" t="s">
        <v>31</v>
      </c>
      <c r="E2720" t="s">
        <v>23</v>
      </c>
      <c r="F2720" t="s">
        <v>19</v>
      </c>
      <c r="G2720" s="2">
        <f>VALUE(197.4648111409)</f>
        <v>197.4648111409</v>
      </c>
      <c r="H2720" s="3">
        <f>VALUE(189.6908067951)</f>
        <v>189.6908067951</v>
      </c>
      <c r="I2720" s="4">
        <f>VALUE(3048)</f>
        <v>3048</v>
      </c>
      <c r="J2720" s="5">
        <f>VALUE(3402)</f>
        <v>3402</v>
      </c>
      <c r="K2720" s="6">
        <f>VALUE(4190)</f>
        <v>4190</v>
      </c>
      <c r="L2720" s="7">
        <f>VALUE(4412)</f>
        <v>4412</v>
      </c>
      <c r="M2720" s="1">
        <f>VALUE(5557)</f>
        <v>5557</v>
      </c>
      <c r="N2720" t="s">
        <v>25</v>
      </c>
    </row>
    <row r="2721" spans="1:14" x14ac:dyDescent="0.25">
      <c r="A2721" t="s">
        <v>41</v>
      </c>
      <c r="B2721" t="s">
        <v>15</v>
      </c>
      <c r="C2721" t="s">
        <v>15</v>
      </c>
      <c r="D2721" t="s">
        <v>31</v>
      </c>
      <c r="E2721" t="s">
        <v>23</v>
      </c>
      <c r="F2721" t="s">
        <v>20</v>
      </c>
      <c r="G2721" s="1">
        <f>VALUE(2290.0992355545)</f>
        <v>2290.0992355545</v>
      </c>
      <c r="H2721" s="1">
        <f>VALUE(2022.0544591591)</f>
        <v>2022.0544591590999</v>
      </c>
      <c r="I2721" s="1">
        <f>VALUE(2943)</f>
        <v>2943</v>
      </c>
      <c r="J2721" s="1">
        <f>VALUE(3310)</f>
        <v>3310</v>
      </c>
      <c r="K2721" s="1">
        <f>VALUE(3817)</f>
        <v>3817</v>
      </c>
      <c r="L2721" s="1">
        <f>VALUE(4691)</f>
        <v>4691</v>
      </c>
      <c r="M2721" s="1">
        <f>VALUE(5310)</f>
        <v>5310</v>
      </c>
      <c r="N2721" t="s">
        <v>16</v>
      </c>
    </row>
    <row r="2722" spans="1:14" x14ac:dyDescent="0.25">
      <c r="A2722" t="s">
        <v>41</v>
      </c>
      <c r="B2722" t="s">
        <v>15</v>
      </c>
      <c r="C2722" t="s">
        <v>15</v>
      </c>
      <c r="D2722" t="s">
        <v>31</v>
      </c>
      <c r="E2722" t="s">
        <v>26</v>
      </c>
      <c r="F2722" t="s">
        <v>15</v>
      </c>
      <c r="G2722" s="2">
        <f>VALUE(150.2796390892)</f>
        <v>150.2796390892</v>
      </c>
      <c r="H2722" s="3">
        <f>VALUE(154.2706809144)</f>
        <v>154.2706809144</v>
      </c>
      <c r="I2722" s="1">
        <f>VALUE(3900)</f>
        <v>3900</v>
      </c>
      <c r="J2722" s="1">
        <f>VALUE(6349)</f>
        <v>6349</v>
      </c>
      <c r="K2722" s="6">
        <f>VALUE(9524)</f>
        <v>9524</v>
      </c>
      <c r="L2722" s="1">
        <f>VALUE(13969)</f>
        <v>13969</v>
      </c>
      <c r="M2722" s="8">
        <f>VALUE(28359)</f>
        <v>28359</v>
      </c>
      <c r="N2722" t="s">
        <v>25</v>
      </c>
    </row>
    <row r="2723" spans="1:14" x14ac:dyDescent="0.25">
      <c r="A2723" t="s">
        <v>41</v>
      </c>
      <c r="B2723" t="s">
        <v>15</v>
      </c>
      <c r="C2723" t="s">
        <v>15</v>
      </c>
      <c r="D2723" t="s">
        <v>31</v>
      </c>
      <c r="E2723" t="s">
        <v>26</v>
      </c>
      <c r="F2723" t="s">
        <v>17</v>
      </c>
      <c r="G2723" s="1" t="str">
        <f t="shared" ref="G2723:M2724" si="567">"X"</f>
        <v>X</v>
      </c>
      <c r="H2723" s="1" t="str">
        <f t="shared" si="567"/>
        <v>X</v>
      </c>
      <c r="I2723" s="1" t="str">
        <f t="shared" si="567"/>
        <v>X</v>
      </c>
      <c r="J2723" s="1" t="str">
        <f t="shared" si="567"/>
        <v>X</v>
      </c>
      <c r="K2723" s="1" t="str">
        <f t="shared" si="567"/>
        <v>X</v>
      </c>
      <c r="L2723" s="1" t="str">
        <f t="shared" si="567"/>
        <v>X</v>
      </c>
      <c r="M2723" s="1" t="str">
        <f t="shared" si="567"/>
        <v>X</v>
      </c>
      <c r="N2723" t="s">
        <v>27</v>
      </c>
    </row>
    <row r="2724" spans="1:14" x14ac:dyDescent="0.25">
      <c r="A2724" t="s">
        <v>41</v>
      </c>
      <c r="B2724" t="s">
        <v>15</v>
      </c>
      <c r="C2724" t="s">
        <v>15</v>
      </c>
      <c r="D2724" t="s">
        <v>31</v>
      </c>
      <c r="E2724" t="s">
        <v>26</v>
      </c>
      <c r="F2724" t="s">
        <v>18</v>
      </c>
      <c r="G2724" s="1" t="str">
        <f t="shared" si="567"/>
        <v>X</v>
      </c>
      <c r="H2724" s="1" t="str">
        <f t="shared" si="567"/>
        <v>X</v>
      </c>
      <c r="I2724" s="1" t="str">
        <f t="shared" si="567"/>
        <v>X</v>
      </c>
      <c r="J2724" s="1" t="str">
        <f t="shared" si="567"/>
        <v>X</v>
      </c>
      <c r="K2724" s="1" t="str">
        <f t="shared" si="567"/>
        <v>X</v>
      </c>
      <c r="L2724" s="1" t="str">
        <f t="shared" si="567"/>
        <v>X</v>
      </c>
      <c r="M2724" s="1" t="str">
        <f t="shared" si="567"/>
        <v>X</v>
      </c>
      <c r="N2724" t="s">
        <v>27</v>
      </c>
    </row>
    <row r="2725" spans="1:14" x14ac:dyDescent="0.25">
      <c r="A2725" t="s">
        <v>41</v>
      </c>
      <c r="B2725" t="s">
        <v>15</v>
      </c>
      <c r="C2725" t="s">
        <v>15</v>
      </c>
      <c r="D2725" t="s">
        <v>31</v>
      </c>
      <c r="E2725" t="s">
        <v>26</v>
      </c>
      <c r="F2725" t="s">
        <v>19</v>
      </c>
      <c r="G2725" s="1" t="str">
        <f t="shared" ref="G2725:M2725" si="568">"..."</f>
        <v>...</v>
      </c>
      <c r="H2725" s="1" t="str">
        <f t="shared" si="568"/>
        <v>...</v>
      </c>
      <c r="I2725" s="1" t="str">
        <f t="shared" si="568"/>
        <v>...</v>
      </c>
      <c r="J2725" s="1" t="str">
        <f t="shared" si="568"/>
        <v>...</v>
      </c>
      <c r="K2725" s="1" t="str">
        <f t="shared" si="568"/>
        <v>...</v>
      </c>
      <c r="L2725" s="1" t="str">
        <f t="shared" si="568"/>
        <v>...</v>
      </c>
      <c r="M2725" s="1" t="str">
        <f t="shared" si="568"/>
        <v>...</v>
      </c>
      <c r="N2725" t="s">
        <v>30</v>
      </c>
    </row>
    <row r="2726" spans="1:14" x14ac:dyDescent="0.25">
      <c r="A2726" t="s">
        <v>41</v>
      </c>
      <c r="B2726" t="s">
        <v>15</v>
      </c>
      <c r="C2726" t="s">
        <v>15</v>
      </c>
      <c r="D2726" t="s">
        <v>31</v>
      </c>
      <c r="E2726" t="s">
        <v>26</v>
      </c>
      <c r="F2726" t="s">
        <v>20</v>
      </c>
      <c r="G2726" s="1" t="str">
        <f t="shared" ref="G2726:M2726" si="569">"X"</f>
        <v>X</v>
      </c>
      <c r="H2726" s="1" t="str">
        <f t="shared" si="569"/>
        <v>X</v>
      </c>
      <c r="I2726" s="1" t="str">
        <f t="shared" si="569"/>
        <v>X</v>
      </c>
      <c r="J2726" s="1" t="str">
        <f t="shared" si="569"/>
        <v>X</v>
      </c>
      <c r="K2726" s="1" t="str">
        <f t="shared" si="569"/>
        <v>X</v>
      </c>
      <c r="L2726" s="1" t="str">
        <f t="shared" si="569"/>
        <v>X</v>
      </c>
      <c r="M2726" s="1" t="str">
        <f t="shared" si="569"/>
        <v>X</v>
      </c>
      <c r="N2726" t="s">
        <v>27</v>
      </c>
    </row>
    <row r="2727" spans="1:14" x14ac:dyDescent="0.25">
      <c r="A2727" t="s">
        <v>41</v>
      </c>
      <c r="B2727" t="s">
        <v>15</v>
      </c>
      <c r="C2727" t="s">
        <v>15</v>
      </c>
      <c r="D2727" t="s">
        <v>32</v>
      </c>
      <c r="E2727" t="s">
        <v>15</v>
      </c>
      <c r="F2727" t="s">
        <v>15</v>
      </c>
      <c r="G2727" s="1">
        <f>VALUE(40264.0988797359)</f>
        <v>40264.098879735902</v>
      </c>
      <c r="H2727" s="1">
        <f>VALUE(38224.6233398438)</f>
        <v>38224.623339843798</v>
      </c>
      <c r="I2727" s="1">
        <f>VALUE(2836)</f>
        <v>2836</v>
      </c>
      <c r="J2727" s="1">
        <f>VALUE(3508)</f>
        <v>3508</v>
      </c>
      <c r="K2727" s="1">
        <f>VALUE(4485)</f>
        <v>4485</v>
      </c>
      <c r="L2727" s="1">
        <f>VALUE(5631)</f>
        <v>5631</v>
      </c>
      <c r="M2727" s="1">
        <f>VALUE(6850)</f>
        <v>6850</v>
      </c>
      <c r="N2727" t="s">
        <v>16</v>
      </c>
    </row>
    <row r="2728" spans="1:14" x14ac:dyDescent="0.25">
      <c r="A2728" t="s">
        <v>41</v>
      </c>
      <c r="B2728" t="s">
        <v>15</v>
      </c>
      <c r="C2728" t="s">
        <v>15</v>
      </c>
      <c r="D2728" t="s">
        <v>32</v>
      </c>
      <c r="E2728" t="s">
        <v>15</v>
      </c>
      <c r="F2728" t="s">
        <v>17</v>
      </c>
      <c r="G2728" s="1">
        <f>VALUE(2917.5245589866)</f>
        <v>2917.5245589865999</v>
      </c>
      <c r="H2728" s="1">
        <f>VALUE(2818.3155440986)</f>
        <v>2818.3155440986002</v>
      </c>
      <c r="I2728" s="1">
        <f>VALUE(4137)</f>
        <v>4137</v>
      </c>
      <c r="J2728" s="1">
        <f>VALUE(5240)</f>
        <v>5240</v>
      </c>
      <c r="K2728" s="1">
        <f>VALUE(6590)</f>
        <v>6590</v>
      </c>
      <c r="L2728" s="1">
        <f>VALUE(8729)</f>
        <v>8729</v>
      </c>
      <c r="M2728" s="8">
        <f>VALUE(13109)</f>
        <v>13109</v>
      </c>
      <c r="N2728" t="s">
        <v>25</v>
      </c>
    </row>
    <row r="2729" spans="1:14" x14ac:dyDescent="0.25">
      <c r="A2729" t="s">
        <v>41</v>
      </c>
      <c r="B2729" t="s">
        <v>15</v>
      </c>
      <c r="C2729" t="s">
        <v>15</v>
      </c>
      <c r="D2729" t="s">
        <v>32</v>
      </c>
      <c r="E2729" t="s">
        <v>15</v>
      </c>
      <c r="F2729" t="s">
        <v>18</v>
      </c>
      <c r="G2729" s="1">
        <f>VALUE(3785.4504636796)</f>
        <v>3785.4504636796</v>
      </c>
      <c r="H2729" s="1">
        <f>VALUE(3614.1725622183)</f>
        <v>3614.1725622182998</v>
      </c>
      <c r="I2729" s="4">
        <f>VALUE(3500)</f>
        <v>3500</v>
      </c>
      <c r="J2729" s="1">
        <f>VALUE(4333)</f>
        <v>4333</v>
      </c>
      <c r="K2729" s="1">
        <f>VALUE(5417)</f>
        <v>5417</v>
      </c>
      <c r="L2729" s="1">
        <f>VALUE(6511)</f>
        <v>6511</v>
      </c>
      <c r="M2729" s="1">
        <f>VALUE(8043)</f>
        <v>8043</v>
      </c>
      <c r="N2729" t="s">
        <v>25</v>
      </c>
    </row>
    <row r="2730" spans="1:14" x14ac:dyDescent="0.25">
      <c r="A2730" t="s">
        <v>41</v>
      </c>
      <c r="B2730" t="s">
        <v>15</v>
      </c>
      <c r="C2730" t="s">
        <v>15</v>
      </c>
      <c r="D2730" t="s">
        <v>32</v>
      </c>
      <c r="E2730" t="s">
        <v>15</v>
      </c>
      <c r="F2730" t="s">
        <v>19</v>
      </c>
      <c r="G2730" s="1">
        <f>VALUE(5429.3984493843)</f>
        <v>5429.3984493843</v>
      </c>
      <c r="H2730" s="1">
        <f>VALUE(5147.8141371749)</f>
        <v>5147.8141371748998</v>
      </c>
      <c r="I2730" s="1">
        <f>VALUE(3392)</f>
        <v>3392</v>
      </c>
      <c r="J2730" s="1">
        <f>VALUE(4072)</f>
        <v>4072</v>
      </c>
      <c r="K2730" s="1">
        <f>VALUE(4884)</f>
        <v>4884</v>
      </c>
      <c r="L2730" s="1">
        <f>VALUE(6062)</f>
        <v>6062</v>
      </c>
      <c r="M2730" s="1">
        <f>VALUE(7243)</f>
        <v>7243</v>
      </c>
      <c r="N2730" t="s">
        <v>16</v>
      </c>
    </row>
    <row r="2731" spans="1:14" x14ac:dyDescent="0.25">
      <c r="A2731" t="s">
        <v>41</v>
      </c>
      <c r="B2731" t="s">
        <v>15</v>
      </c>
      <c r="C2731" t="s">
        <v>15</v>
      </c>
      <c r="D2731" t="s">
        <v>32</v>
      </c>
      <c r="E2731" t="s">
        <v>15</v>
      </c>
      <c r="F2731" t="s">
        <v>20</v>
      </c>
      <c r="G2731" s="1">
        <f>VALUE(28100.4384146168)</f>
        <v>28100.438414616801</v>
      </c>
      <c r="H2731" s="1">
        <f>VALUE(26610.3555747491)</f>
        <v>26610.355574749101</v>
      </c>
      <c r="I2731" s="1">
        <f>VALUE(2749)</f>
        <v>2749</v>
      </c>
      <c r="J2731" s="1">
        <f>VALUE(3275)</f>
        <v>3275</v>
      </c>
      <c r="K2731" s="1">
        <f>VALUE(4128)</f>
        <v>4128</v>
      </c>
      <c r="L2731" s="1">
        <f>VALUE(5195)</f>
        <v>5195</v>
      </c>
      <c r="M2731" s="1">
        <f>VALUE(6061)</f>
        <v>6061</v>
      </c>
      <c r="N2731" t="s">
        <v>16</v>
      </c>
    </row>
    <row r="2732" spans="1:14" x14ac:dyDescent="0.25">
      <c r="A2732" t="s">
        <v>41</v>
      </c>
      <c r="B2732" t="s">
        <v>15</v>
      </c>
      <c r="C2732" t="s">
        <v>15</v>
      </c>
      <c r="D2732" t="s">
        <v>32</v>
      </c>
      <c r="E2732" t="s">
        <v>21</v>
      </c>
      <c r="F2732" t="s">
        <v>15</v>
      </c>
      <c r="G2732" s="1">
        <f>VALUE(6847.379518209)</f>
        <v>6847.3795182089998</v>
      </c>
      <c r="H2732" s="1">
        <f>VALUE(6377.5573976847)</f>
        <v>6377.5573976846999</v>
      </c>
      <c r="I2732" s="1">
        <f>VALUE(3328)</f>
        <v>3328</v>
      </c>
      <c r="J2732" s="1">
        <f>VALUE(4246)</f>
        <v>4246</v>
      </c>
      <c r="K2732" s="1">
        <f>VALUE(5506)</f>
        <v>5506</v>
      </c>
      <c r="L2732" s="1">
        <f>VALUE(7382)</f>
        <v>7382</v>
      </c>
      <c r="M2732" s="1">
        <f>VALUE(9600)</f>
        <v>9600</v>
      </c>
      <c r="N2732" t="s">
        <v>16</v>
      </c>
    </row>
    <row r="2733" spans="1:14" x14ac:dyDescent="0.25">
      <c r="A2733" t="s">
        <v>41</v>
      </c>
      <c r="B2733" t="s">
        <v>15</v>
      </c>
      <c r="C2733" t="s">
        <v>15</v>
      </c>
      <c r="D2733" t="s">
        <v>32</v>
      </c>
      <c r="E2733" t="s">
        <v>21</v>
      </c>
      <c r="F2733" t="s">
        <v>17</v>
      </c>
      <c r="G2733" s="1">
        <f>VALUE(1641.1666875893)</f>
        <v>1641.1666875893</v>
      </c>
      <c r="H2733" s="1">
        <f>VALUE(1565.7112700688)</f>
        <v>1565.7112700688001</v>
      </c>
      <c r="I2733" s="4">
        <f>VALUE(4668)</f>
        <v>4668</v>
      </c>
      <c r="J2733" s="1">
        <f>VALUE(5742)</f>
        <v>5742</v>
      </c>
      <c r="K2733" s="1">
        <f>VALUE(7613)</f>
        <v>7613</v>
      </c>
      <c r="L2733" s="7">
        <f>VALUE(9800)</f>
        <v>9800</v>
      </c>
      <c r="M2733" s="1">
        <f>VALUE(15249)</f>
        <v>15249</v>
      </c>
      <c r="N2733" t="s">
        <v>25</v>
      </c>
    </row>
    <row r="2734" spans="1:14" x14ac:dyDescent="0.25">
      <c r="A2734" t="s">
        <v>41</v>
      </c>
      <c r="B2734" t="s">
        <v>15</v>
      </c>
      <c r="C2734" t="s">
        <v>15</v>
      </c>
      <c r="D2734" t="s">
        <v>32</v>
      </c>
      <c r="E2734" t="s">
        <v>21</v>
      </c>
      <c r="F2734" t="s">
        <v>18</v>
      </c>
      <c r="G2734" s="1">
        <f>VALUE(1447.5387829708)</f>
        <v>1447.5387829708</v>
      </c>
      <c r="H2734" s="1">
        <f>VALUE(1332.2903385934)</f>
        <v>1332.2903385934001</v>
      </c>
      <c r="I2734" s="4">
        <f>VALUE(3048)</f>
        <v>3048</v>
      </c>
      <c r="J2734" s="5">
        <f>VALUE(4329)</f>
        <v>4329</v>
      </c>
      <c r="K2734" s="1">
        <f>VALUE(5617)</f>
        <v>5617</v>
      </c>
      <c r="L2734" s="1">
        <f>VALUE(7143)</f>
        <v>7143</v>
      </c>
      <c r="M2734" s="1">
        <f>VALUE(9183)</f>
        <v>9183</v>
      </c>
      <c r="N2734" t="s">
        <v>25</v>
      </c>
    </row>
    <row r="2735" spans="1:14" x14ac:dyDescent="0.25">
      <c r="A2735" t="s">
        <v>41</v>
      </c>
      <c r="B2735" t="s">
        <v>15</v>
      </c>
      <c r="C2735" t="s">
        <v>15</v>
      </c>
      <c r="D2735" t="s">
        <v>32</v>
      </c>
      <c r="E2735" t="s">
        <v>21</v>
      </c>
      <c r="F2735" t="s">
        <v>19</v>
      </c>
      <c r="G2735" s="2">
        <f>VALUE(1369.8818905608)</f>
        <v>1369.8818905608</v>
      </c>
      <c r="H2735" s="1">
        <f>VALUE(1235.6761711471)</f>
        <v>1235.6761711470999</v>
      </c>
      <c r="I2735" s="1">
        <f>VALUE(3633)</f>
        <v>3633</v>
      </c>
      <c r="J2735" s="1">
        <f>VALUE(4250)</f>
        <v>4250</v>
      </c>
      <c r="K2735" s="1">
        <f>VALUE(5283)</f>
        <v>5283</v>
      </c>
      <c r="L2735" s="1">
        <f>VALUE(6607)</f>
        <v>6607</v>
      </c>
      <c r="M2735" s="1">
        <f>VALUE(7948)</f>
        <v>7948</v>
      </c>
      <c r="N2735" t="s">
        <v>25</v>
      </c>
    </row>
    <row r="2736" spans="1:14" x14ac:dyDescent="0.25">
      <c r="A2736" t="s">
        <v>41</v>
      </c>
      <c r="B2736" t="s">
        <v>15</v>
      </c>
      <c r="C2736" t="s">
        <v>15</v>
      </c>
      <c r="D2736" t="s">
        <v>32</v>
      </c>
      <c r="E2736" t="s">
        <v>21</v>
      </c>
      <c r="F2736" t="s">
        <v>20</v>
      </c>
      <c r="G2736" s="1">
        <f>VALUE(2388.7921570881)</f>
        <v>2388.7921570880999</v>
      </c>
      <c r="H2736" s="1">
        <f>VALUE(2243.8796178754)</f>
        <v>2243.8796178754001</v>
      </c>
      <c r="I2736" s="4">
        <f>VALUE(3084)</f>
        <v>3084</v>
      </c>
      <c r="J2736" s="1">
        <f>VALUE(3817)</f>
        <v>3817</v>
      </c>
      <c r="K2736" s="1">
        <f>VALUE(4690)</f>
        <v>4690</v>
      </c>
      <c r="L2736" s="1">
        <f>VALUE(6043)</f>
        <v>6043</v>
      </c>
      <c r="M2736" s="1">
        <f>VALUE(7528)</f>
        <v>7528</v>
      </c>
      <c r="N2736" t="s">
        <v>25</v>
      </c>
    </row>
    <row r="2737" spans="1:14" x14ac:dyDescent="0.25">
      <c r="A2737" t="s">
        <v>41</v>
      </c>
      <c r="B2737" t="s">
        <v>15</v>
      </c>
      <c r="C2737" t="s">
        <v>15</v>
      </c>
      <c r="D2737" t="s">
        <v>32</v>
      </c>
      <c r="E2737" t="s">
        <v>22</v>
      </c>
      <c r="F2737" t="s">
        <v>15</v>
      </c>
      <c r="G2737" s="1">
        <f>VALUE(10621.4770513099)</f>
        <v>10621.477051309899</v>
      </c>
      <c r="H2737" s="1">
        <f>VALUE(10220.6139711328)</f>
        <v>10220.6139711328</v>
      </c>
      <c r="I2737" s="1">
        <f>VALUE(3238)</f>
        <v>3238</v>
      </c>
      <c r="J2737" s="1">
        <f>VALUE(4002)</f>
        <v>4002</v>
      </c>
      <c r="K2737" s="1">
        <f>VALUE(4929)</f>
        <v>4929</v>
      </c>
      <c r="L2737" s="1">
        <f>VALUE(5948)</f>
        <v>5948</v>
      </c>
      <c r="M2737" s="1">
        <f>VALUE(7042)</f>
        <v>7042</v>
      </c>
      <c r="N2737" t="s">
        <v>16</v>
      </c>
    </row>
    <row r="2738" spans="1:14" x14ac:dyDescent="0.25">
      <c r="A2738" t="s">
        <v>41</v>
      </c>
      <c r="B2738" t="s">
        <v>15</v>
      </c>
      <c r="C2738" t="s">
        <v>15</v>
      </c>
      <c r="D2738" t="s">
        <v>32</v>
      </c>
      <c r="E2738" t="s">
        <v>22</v>
      </c>
      <c r="F2738" t="s">
        <v>17</v>
      </c>
      <c r="G2738" s="2">
        <f>VALUE(802.3931788823)</f>
        <v>802.39317888230005</v>
      </c>
      <c r="H2738" s="3">
        <f>VALUE(789.4796218268)</f>
        <v>789.47962182679998</v>
      </c>
      <c r="I2738" s="1">
        <f>VALUE(4147)</f>
        <v>4147</v>
      </c>
      <c r="J2738" s="1">
        <f>VALUE(5090)</f>
        <v>5090</v>
      </c>
      <c r="K2738" s="1">
        <f>VALUE(6180)</f>
        <v>6180</v>
      </c>
      <c r="L2738" s="1">
        <f>VALUE(7792)</f>
        <v>7792</v>
      </c>
      <c r="M2738" s="1">
        <f>VALUE(10026)</f>
        <v>10026</v>
      </c>
      <c r="N2738" t="s">
        <v>25</v>
      </c>
    </row>
    <row r="2739" spans="1:14" x14ac:dyDescent="0.25">
      <c r="A2739" t="s">
        <v>41</v>
      </c>
      <c r="B2739" t="s">
        <v>15</v>
      </c>
      <c r="C2739" t="s">
        <v>15</v>
      </c>
      <c r="D2739" t="s">
        <v>32</v>
      </c>
      <c r="E2739" t="s">
        <v>22</v>
      </c>
      <c r="F2739" t="s">
        <v>18</v>
      </c>
      <c r="G2739" s="2">
        <f>VALUE(1250.2405383487)</f>
        <v>1250.2405383487001</v>
      </c>
      <c r="H2739" s="3">
        <f>VALUE(1216.0184151693)</f>
        <v>1216.0184151692999</v>
      </c>
      <c r="I2739" s="4">
        <f>VALUE(3760)</f>
        <v>3760</v>
      </c>
      <c r="J2739" s="1">
        <f>VALUE(4549)</f>
        <v>4549</v>
      </c>
      <c r="K2739" s="1">
        <f>VALUE(5567)</f>
        <v>5567</v>
      </c>
      <c r="L2739" s="1">
        <f>VALUE(6587)</f>
        <v>6587</v>
      </c>
      <c r="M2739" s="1">
        <f>VALUE(7735)</f>
        <v>7735</v>
      </c>
      <c r="N2739" t="s">
        <v>25</v>
      </c>
    </row>
    <row r="2740" spans="1:14" x14ac:dyDescent="0.25">
      <c r="A2740" t="s">
        <v>41</v>
      </c>
      <c r="B2740" t="s">
        <v>15</v>
      </c>
      <c r="C2740" t="s">
        <v>15</v>
      </c>
      <c r="D2740" t="s">
        <v>32</v>
      </c>
      <c r="E2740" t="s">
        <v>22</v>
      </c>
      <c r="F2740" t="s">
        <v>19</v>
      </c>
      <c r="G2740" s="1">
        <f>VALUE(1964.5842999022)</f>
        <v>1964.5842999022</v>
      </c>
      <c r="H2740" s="1">
        <f>VALUE(1900.7618778608)</f>
        <v>1900.7618778608</v>
      </c>
      <c r="I2740" s="1">
        <f>VALUE(3543)</f>
        <v>3543</v>
      </c>
      <c r="J2740" s="1">
        <f>VALUE(4282)</f>
        <v>4282</v>
      </c>
      <c r="K2740" s="1">
        <f>VALUE(5070)</f>
        <v>5070</v>
      </c>
      <c r="L2740" s="1">
        <f>VALUE(6183)</f>
        <v>6183</v>
      </c>
      <c r="M2740" s="1">
        <f>VALUE(7243)</f>
        <v>7243</v>
      </c>
      <c r="N2740" t="s">
        <v>16</v>
      </c>
    </row>
    <row r="2741" spans="1:14" x14ac:dyDescent="0.25">
      <c r="A2741" t="s">
        <v>41</v>
      </c>
      <c r="B2741" t="s">
        <v>15</v>
      </c>
      <c r="C2741" t="s">
        <v>15</v>
      </c>
      <c r="D2741" t="s">
        <v>32</v>
      </c>
      <c r="E2741" t="s">
        <v>22</v>
      </c>
      <c r="F2741" t="s">
        <v>20</v>
      </c>
      <c r="G2741" s="1">
        <f>VALUE(6604.2590341767)</f>
        <v>6604.2590341767</v>
      </c>
      <c r="H2741" s="1">
        <f>VALUE(6314.3540562759)</f>
        <v>6314.3540562758999</v>
      </c>
      <c r="I2741" s="1">
        <f>VALUE(3095)</f>
        <v>3095</v>
      </c>
      <c r="J2741" s="1">
        <f>VALUE(3797)</f>
        <v>3797</v>
      </c>
      <c r="K2741" s="1">
        <f>VALUE(4672)</f>
        <v>4672</v>
      </c>
      <c r="L2741" s="1">
        <f>VALUE(5588)</f>
        <v>5588</v>
      </c>
      <c r="M2741" s="1">
        <f>VALUE(6372)</f>
        <v>6372</v>
      </c>
      <c r="N2741" t="s">
        <v>16</v>
      </c>
    </row>
    <row r="2742" spans="1:14" x14ac:dyDescent="0.25">
      <c r="A2742" t="s">
        <v>41</v>
      </c>
      <c r="B2742" t="s">
        <v>15</v>
      </c>
      <c r="C2742" t="s">
        <v>15</v>
      </c>
      <c r="D2742" t="s">
        <v>32</v>
      </c>
      <c r="E2742" t="s">
        <v>23</v>
      </c>
      <c r="F2742" t="s">
        <v>15</v>
      </c>
      <c r="G2742" s="1">
        <f>VALUE(22717.1106313474)</f>
        <v>22717.110631347401</v>
      </c>
      <c r="H2742" s="1">
        <f>VALUE(21543.9051647102)</f>
        <v>21543.905164710199</v>
      </c>
      <c r="I2742" s="1">
        <f>VALUE(2727)</f>
        <v>2727</v>
      </c>
      <c r="J2742" s="1">
        <f>VALUE(3208)</f>
        <v>3208</v>
      </c>
      <c r="K2742" s="1">
        <f>VALUE(4041)</f>
        <v>4041</v>
      </c>
      <c r="L2742" s="1">
        <f>VALUE(5098)</f>
        <v>5098</v>
      </c>
      <c r="M2742" s="1">
        <f>VALUE(5958)</f>
        <v>5958</v>
      </c>
      <c r="N2742" t="s">
        <v>16</v>
      </c>
    </row>
    <row r="2743" spans="1:14" x14ac:dyDescent="0.25">
      <c r="A2743" t="s">
        <v>41</v>
      </c>
      <c r="B2743" t="s">
        <v>15</v>
      </c>
      <c r="C2743" t="s">
        <v>15</v>
      </c>
      <c r="D2743" t="s">
        <v>32</v>
      </c>
      <c r="E2743" t="s">
        <v>23</v>
      </c>
      <c r="F2743" t="s">
        <v>17</v>
      </c>
      <c r="G2743" s="2">
        <f>VALUE(463.9102534468)</f>
        <v>463.91025344680003</v>
      </c>
      <c r="H2743" s="3">
        <f>VALUE(452.498759136)</f>
        <v>452.49875913599999</v>
      </c>
      <c r="I2743" s="4">
        <f>VALUE(3018)</f>
        <v>3018</v>
      </c>
      <c r="J2743" s="5">
        <f>VALUE(4132)</f>
        <v>4132</v>
      </c>
      <c r="K2743" s="6">
        <f>VALUE(5542)</f>
        <v>5542</v>
      </c>
      <c r="L2743" s="7">
        <f>VALUE(6905)</f>
        <v>6905</v>
      </c>
      <c r="M2743" s="8">
        <f>VALUE(8980)</f>
        <v>8980</v>
      </c>
      <c r="N2743" t="s">
        <v>24</v>
      </c>
    </row>
    <row r="2744" spans="1:14" x14ac:dyDescent="0.25">
      <c r="A2744" t="s">
        <v>41</v>
      </c>
      <c r="B2744" t="s">
        <v>15</v>
      </c>
      <c r="C2744" t="s">
        <v>15</v>
      </c>
      <c r="D2744" t="s">
        <v>32</v>
      </c>
      <c r="E2744" t="s">
        <v>23</v>
      </c>
      <c r="F2744" t="s">
        <v>18</v>
      </c>
      <c r="G2744" s="2">
        <f>VALUE(1075.9828907697)</f>
        <v>1075.9828907696999</v>
      </c>
      <c r="H2744" s="3">
        <f>VALUE(1053.591144286)</f>
        <v>1053.5911442859999</v>
      </c>
      <c r="I2744" s="4">
        <f>VALUE(3559)</f>
        <v>3559</v>
      </c>
      <c r="J2744" s="1">
        <f>VALUE(4302)</f>
        <v>4302</v>
      </c>
      <c r="K2744" s="1">
        <f>VALUE(5200)</f>
        <v>5200</v>
      </c>
      <c r="L2744" s="1">
        <f>VALUE(5821)</f>
        <v>5821</v>
      </c>
      <c r="M2744" s="1">
        <f>VALUE(6549)</f>
        <v>6549</v>
      </c>
      <c r="N2744" t="s">
        <v>25</v>
      </c>
    </row>
    <row r="2745" spans="1:14" x14ac:dyDescent="0.25">
      <c r="A2745" t="s">
        <v>41</v>
      </c>
      <c r="B2745" t="s">
        <v>15</v>
      </c>
      <c r="C2745" t="s">
        <v>15</v>
      </c>
      <c r="D2745" t="s">
        <v>32</v>
      </c>
      <c r="E2745" t="s">
        <v>23</v>
      </c>
      <c r="F2745" t="s">
        <v>19</v>
      </c>
      <c r="G2745" s="1">
        <f>VALUE(2094.9322589213)</f>
        <v>2094.9322589213002</v>
      </c>
      <c r="H2745" s="1">
        <f>VALUE(2011.376088167)</f>
        <v>2011.376088167</v>
      </c>
      <c r="I2745" s="1">
        <f>VALUE(3268)</f>
        <v>3268</v>
      </c>
      <c r="J2745" s="1">
        <f>VALUE(3860)</f>
        <v>3860</v>
      </c>
      <c r="K2745" s="1">
        <f>VALUE(4542)</f>
        <v>4542</v>
      </c>
      <c r="L2745" s="1">
        <f>VALUE(5628)</f>
        <v>5628</v>
      </c>
      <c r="M2745" s="1">
        <f>VALUE(6458)</f>
        <v>6458</v>
      </c>
      <c r="N2745" t="s">
        <v>16</v>
      </c>
    </row>
    <row r="2746" spans="1:14" x14ac:dyDescent="0.25">
      <c r="A2746" t="s">
        <v>41</v>
      </c>
      <c r="B2746" t="s">
        <v>15</v>
      </c>
      <c r="C2746" t="s">
        <v>15</v>
      </c>
      <c r="D2746" t="s">
        <v>32</v>
      </c>
      <c r="E2746" t="s">
        <v>23</v>
      </c>
      <c r="F2746" t="s">
        <v>20</v>
      </c>
      <c r="G2746" s="1">
        <f>VALUE(19074.463546849)</f>
        <v>19074.463546849001</v>
      </c>
      <c r="H2746" s="1">
        <f>VALUE(18018.8711053542)</f>
        <v>18018.871105354199</v>
      </c>
      <c r="I2746" s="1">
        <f>VALUE(2693)</f>
        <v>2693</v>
      </c>
      <c r="J2746" s="1">
        <f>VALUE(3096)</f>
        <v>3096</v>
      </c>
      <c r="K2746" s="1">
        <f>VALUE(3886)</f>
        <v>3886</v>
      </c>
      <c r="L2746" s="1">
        <f>VALUE(4931)</f>
        <v>4931</v>
      </c>
      <c r="M2746" s="1">
        <f>VALUE(5769)</f>
        <v>5769</v>
      </c>
      <c r="N2746" t="s">
        <v>16</v>
      </c>
    </row>
    <row r="2747" spans="1:14" x14ac:dyDescent="0.25">
      <c r="A2747" t="s">
        <v>41</v>
      </c>
      <c r="B2747" t="s">
        <v>15</v>
      </c>
      <c r="C2747" t="s">
        <v>15</v>
      </c>
      <c r="D2747" t="s">
        <v>32</v>
      </c>
      <c r="E2747" t="s">
        <v>26</v>
      </c>
      <c r="F2747" t="s">
        <v>15</v>
      </c>
      <c r="G2747" s="1" t="str">
        <f t="shared" ref="G2747:M2749" si="570">"X"</f>
        <v>X</v>
      </c>
      <c r="H2747" s="1" t="str">
        <f t="shared" si="570"/>
        <v>X</v>
      </c>
      <c r="I2747" s="1" t="str">
        <f t="shared" si="570"/>
        <v>X</v>
      </c>
      <c r="J2747" s="1" t="str">
        <f t="shared" si="570"/>
        <v>X</v>
      </c>
      <c r="K2747" s="1" t="str">
        <f t="shared" si="570"/>
        <v>X</v>
      </c>
      <c r="L2747" s="1" t="str">
        <f t="shared" si="570"/>
        <v>X</v>
      </c>
      <c r="M2747" s="1" t="str">
        <f t="shared" si="570"/>
        <v>X</v>
      </c>
      <c r="N2747" t="s">
        <v>27</v>
      </c>
    </row>
    <row r="2748" spans="1:14" x14ac:dyDescent="0.25">
      <c r="A2748" t="s">
        <v>41</v>
      </c>
      <c r="B2748" t="s">
        <v>15</v>
      </c>
      <c r="C2748" t="s">
        <v>15</v>
      </c>
      <c r="D2748" t="s">
        <v>32</v>
      </c>
      <c r="E2748" t="s">
        <v>26</v>
      </c>
      <c r="F2748" t="s">
        <v>17</v>
      </c>
      <c r="G2748" s="1" t="str">
        <f t="shared" si="570"/>
        <v>X</v>
      </c>
      <c r="H2748" s="1" t="str">
        <f t="shared" si="570"/>
        <v>X</v>
      </c>
      <c r="I2748" s="1" t="str">
        <f t="shared" si="570"/>
        <v>X</v>
      </c>
      <c r="J2748" s="1" t="str">
        <f t="shared" si="570"/>
        <v>X</v>
      </c>
      <c r="K2748" s="1" t="str">
        <f t="shared" si="570"/>
        <v>X</v>
      </c>
      <c r="L2748" s="1" t="str">
        <f t="shared" si="570"/>
        <v>X</v>
      </c>
      <c r="M2748" s="1" t="str">
        <f t="shared" si="570"/>
        <v>X</v>
      </c>
      <c r="N2748" t="s">
        <v>27</v>
      </c>
    </row>
    <row r="2749" spans="1:14" x14ac:dyDescent="0.25">
      <c r="A2749" t="s">
        <v>41</v>
      </c>
      <c r="B2749" t="s">
        <v>15</v>
      </c>
      <c r="C2749" t="s">
        <v>15</v>
      </c>
      <c r="D2749" t="s">
        <v>32</v>
      </c>
      <c r="E2749" t="s">
        <v>26</v>
      </c>
      <c r="F2749" t="s">
        <v>18</v>
      </c>
      <c r="G2749" s="1" t="str">
        <f t="shared" si="570"/>
        <v>X</v>
      </c>
      <c r="H2749" s="1" t="str">
        <f t="shared" si="570"/>
        <v>X</v>
      </c>
      <c r="I2749" s="1" t="str">
        <f t="shared" si="570"/>
        <v>X</v>
      </c>
      <c r="J2749" s="1" t="str">
        <f t="shared" si="570"/>
        <v>X</v>
      </c>
      <c r="K2749" s="1" t="str">
        <f t="shared" si="570"/>
        <v>X</v>
      </c>
      <c r="L2749" s="1" t="str">
        <f t="shared" si="570"/>
        <v>X</v>
      </c>
      <c r="M2749" s="1" t="str">
        <f t="shared" si="570"/>
        <v>X</v>
      </c>
      <c r="N2749" t="s">
        <v>27</v>
      </c>
    </row>
    <row r="2750" spans="1:14" x14ac:dyDescent="0.25">
      <c r="A2750" t="s">
        <v>41</v>
      </c>
      <c r="B2750" t="s">
        <v>15</v>
      </c>
      <c r="C2750" t="s">
        <v>15</v>
      </c>
      <c r="D2750" t="s">
        <v>32</v>
      </c>
      <c r="E2750" t="s">
        <v>26</v>
      </c>
      <c r="F2750" t="s">
        <v>19</v>
      </c>
      <c r="G2750" s="1" t="str">
        <f t="shared" ref="G2750:M2750" si="571">"..."</f>
        <v>...</v>
      </c>
      <c r="H2750" s="1" t="str">
        <f t="shared" si="571"/>
        <v>...</v>
      </c>
      <c r="I2750" s="1" t="str">
        <f t="shared" si="571"/>
        <v>...</v>
      </c>
      <c r="J2750" s="1" t="str">
        <f t="shared" si="571"/>
        <v>...</v>
      </c>
      <c r="K2750" s="1" t="str">
        <f t="shared" si="571"/>
        <v>...</v>
      </c>
      <c r="L2750" s="1" t="str">
        <f t="shared" si="571"/>
        <v>...</v>
      </c>
      <c r="M2750" s="1" t="str">
        <f t="shared" si="571"/>
        <v>...</v>
      </c>
      <c r="N2750" t="s">
        <v>30</v>
      </c>
    </row>
    <row r="2751" spans="1:14" x14ac:dyDescent="0.25">
      <c r="A2751" t="s">
        <v>41</v>
      </c>
      <c r="B2751" t="s">
        <v>15</v>
      </c>
      <c r="C2751" t="s">
        <v>15</v>
      </c>
      <c r="D2751" t="s">
        <v>32</v>
      </c>
      <c r="E2751" t="s">
        <v>26</v>
      </c>
      <c r="F2751" t="s">
        <v>20</v>
      </c>
      <c r="G2751" s="1" t="str">
        <f t="shared" ref="G2751:M2751" si="572">"X"</f>
        <v>X</v>
      </c>
      <c r="H2751" s="1" t="str">
        <f t="shared" si="572"/>
        <v>X</v>
      </c>
      <c r="I2751" s="1" t="str">
        <f t="shared" si="572"/>
        <v>X</v>
      </c>
      <c r="J2751" s="1" t="str">
        <f t="shared" si="572"/>
        <v>X</v>
      </c>
      <c r="K2751" s="1" t="str">
        <f t="shared" si="572"/>
        <v>X</v>
      </c>
      <c r="L2751" s="1" t="str">
        <f t="shared" si="572"/>
        <v>X</v>
      </c>
      <c r="M2751" s="1" t="str">
        <f t="shared" si="572"/>
        <v>X</v>
      </c>
      <c r="N2751" t="s">
        <v>27</v>
      </c>
    </row>
    <row r="2752" spans="1:14" x14ac:dyDescent="0.25">
      <c r="A2752" t="s">
        <v>41</v>
      </c>
      <c r="B2752" t="s">
        <v>15</v>
      </c>
      <c r="C2752" t="s">
        <v>15</v>
      </c>
      <c r="D2752" t="s">
        <v>33</v>
      </c>
      <c r="E2752" t="s">
        <v>15</v>
      </c>
      <c r="F2752" t="s">
        <v>15</v>
      </c>
      <c r="G2752" s="2">
        <f>VALUE(1429.2422046288)</f>
        <v>1429.2422046288</v>
      </c>
      <c r="H2752" s="3">
        <f>VALUE(1184.8188354817)</f>
        <v>1184.8188354817</v>
      </c>
      <c r="I2752" s="1">
        <f>VALUE(3053)</f>
        <v>3053</v>
      </c>
      <c r="J2752" s="1">
        <f>VALUE(3322)</f>
        <v>3322</v>
      </c>
      <c r="K2752" s="6">
        <f>VALUE(4315)</f>
        <v>4315</v>
      </c>
      <c r="L2752" s="7">
        <f>VALUE(6283)</f>
        <v>6283</v>
      </c>
      <c r="M2752" s="8">
        <f>VALUE(9150)</f>
        <v>9150</v>
      </c>
      <c r="N2752" t="s">
        <v>25</v>
      </c>
    </row>
    <row r="2753" spans="1:14" x14ac:dyDescent="0.25">
      <c r="A2753" t="s">
        <v>41</v>
      </c>
      <c r="B2753" t="s">
        <v>15</v>
      </c>
      <c r="C2753" t="s">
        <v>15</v>
      </c>
      <c r="D2753" t="s">
        <v>33</v>
      </c>
      <c r="E2753" t="s">
        <v>15</v>
      </c>
      <c r="F2753" t="s">
        <v>17</v>
      </c>
      <c r="G2753" s="2">
        <f>VALUE(219.2220473305)</f>
        <v>219.2220473305</v>
      </c>
      <c r="H2753" s="3">
        <f>VALUE(181.2214426936)</f>
        <v>181.22144269360001</v>
      </c>
      <c r="I2753" s="4">
        <f>VALUE(3238)</f>
        <v>3238</v>
      </c>
      <c r="J2753" s="5">
        <f>VALUE(5417)</f>
        <v>5417</v>
      </c>
      <c r="K2753" s="6">
        <f>VALUE(7583)</f>
        <v>7583</v>
      </c>
      <c r="L2753" s="7">
        <f>VALUE(11202)</f>
        <v>11202</v>
      </c>
      <c r="M2753" s="8">
        <f>VALUE(25143)</f>
        <v>25143</v>
      </c>
      <c r="N2753" t="s">
        <v>24</v>
      </c>
    </row>
    <row r="2754" spans="1:14" x14ac:dyDescent="0.25">
      <c r="A2754" t="s">
        <v>41</v>
      </c>
      <c r="B2754" t="s">
        <v>15</v>
      </c>
      <c r="C2754" t="s">
        <v>15</v>
      </c>
      <c r="D2754" t="s">
        <v>33</v>
      </c>
      <c r="E2754" t="s">
        <v>15</v>
      </c>
      <c r="F2754" t="s">
        <v>18</v>
      </c>
      <c r="G2754" s="2">
        <f>VALUE(277.5767776955)</f>
        <v>277.57677769550003</v>
      </c>
      <c r="H2754" s="3">
        <f>VALUE(227.4472208113)</f>
        <v>227.44722081130001</v>
      </c>
      <c r="I2754" s="1">
        <f>VALUE(4045)</f>
        <v>4045</v>
      </c>
      <c r="J2754" s="5">
        <f>VALUE(4315)</f>
        <v>4315</v>
      </c>
      <c r="K2754" s="1">
        <f>VALUE(5487)</f>
        <v>5487</v>
      </c>
      <c r="L2754" s="1">
        <f>VALUE(7286)</f>
        <v>7286</v>
      </c>
      <c r="M2754" s="1">
        <f>VALUE(10714)</f>
        <v>10714</v>
      </c>
      <c r="N2754" t="s">
        <v>25</v>
      </c>
    </row>
    <row r="2755" spans="1:14" x14ac:dyDescent="0.25">
      <c r="A2755" t="s">
        <v>41</v>
      </c>
      <c r="B2755" t="s">
        <v>15</v>
      </c>
      <c r="C2755" t="s">
        <v>15</v>
      </c>
      <c r="D2755" t="s">
        <v>33</v>
      </c>
      <c r="E2755" t="s">
        <v>15</v>
      </c>
      <c r="F2755" t="s">
        <v>19</v>
      </c>
      <c r="G2755" s="1" t="str">
        <f t="shared" ref="G2755:M2755" si="573">"X"</f>
        <v>X</v>
      </c>
      <c r="H2755" s="1" t="str">
        <f t="shared" si="573"/>
        <v>X</v>
      </c>
      <c r="I2755" s="1" t="str">
        <f t="shared" si="573"/>
        <v>X</v>
      </c>
      <c r="J2755" s="1" t="str">
        <f t="shared" si="573"/>
        <v>X</v>
      </c>
      <c r="K2755" s="1" t="str">
        <f t="shared" si="573"/>
        <v>X</v>
      </c>
      <c r="L2755" s="1" t="str">
        <f t="shared" si="573"/>
        <v>X</v>
      </c>
      <c r="M2755" s="1" t="str">
        <f t="shared" si="573"/>
        <v>X</v>
      </c>
      <c r="N2755" t="s">
        <v>27</v>
      </c>
    </row>
    <row r="2756" spans="1:14" x14ac:dyDescent="0.25">
      <c r="A2756" t="s">
        <v>41</v>
      </c>
      <c r="B2756" t="s">
        <v>15</v>
      </c>
      <c r="C2756" t="s">
        <v>15</v>
      </c>
      <c r="D2756" t="s">
        <v>33</v>
      </c>
      <c r="E2756" t="s">
        <v>15</v>
      </c>
      <c r="F2756" t="s">
        <v>20</v>
      </c>
      <c r="G2756" s="2">
        <f>VALUE(665.2705540663)</f>
        <v>665.27055406629995</v>
      </c>
      <c r="H2756" s="3">
        <f>VALUE(613.8367143642)</f>
        <v>613.83671436420002</v>
      </c>
      <c r="I2756" s="4">
        <f>VALUE(2985)</f>
        <v>2985</v>
      </c>
      <c r="J2756" s="1">
        <f>VALUE(3196)</f>
        <v>3196</v>
      </c>
      <c r="K2756" s="6">
        <f>VALUE(3467)</f>
        <v>3467</v>
      </c>
      <c r="L2756" s="7">
        <f>VALUE(4512)</f>
        <v>4512</v>
      </c>
      <c r="M2756" s="8">
        <f>VALUE(5856)</f>
        <v>5856</v>
      </c>
      <c r="N2756" t="s">
        <v>25</v>
      </c>
    </row>
    <row r="2757" spans="1:14" x14ac:dyDescent="0.25">
      <c r="A2757" t="s">
        <v>41</v>
      </c>
      <c r="B2757" t="s">
        <v>15</v>
      </c>
      <c r="C2757" t="s">
        <v>15</v>
      </c>
      <c r="D2757" t="s">
        <v>33</v>
      </c>
      <c r="E2757" t="s">
        <v>21</v>
      </c>
      <c r="F2757" t="s">
        <v>15</v>
      </c>
      <c r="G2757" s="2">
        <f>VALUE(616.2517765038)</f>
        <v>616.25177650379999</v>
      </c>
      <c r="H2757" s="3">
        <f>VALUE(418.2166582223)</f>
        <v>418.2166582223</v>
      </c>
      <c r="I2757" s="4">
        <f>VALUE(3771)</f>
        <v>3771</v>
      </c>
      <c r="J2757" s="5">
        <f>VALUE(4899)</f>
        <v>4899</v>
      </c>
      <c r="K2757" s="1">
        <f>VALUE(6609)</f>
        <v>6609</v>
      </c>
      <c r="L2757" s="7">
        <f>VALUE(9000)</f>
        <v>9000</v>
      </c>
      <c r="M2757" s="8">
        <f>VALUE(12256)</f>
        <v>12256</v>
      </c>
      <c r="N2757" t="s">
        <v>25</v>
      </c>
    </row>
    <row r="2758" spans="1:14" x14ac:dyDescent="0.25">
      <c r="A2758" t="s">
        <v>41</v>
      </c>
      <c r="B2758" t="s">
        <v>15</v>
      </c>
      <c r="C2758" t="s">
        <v>15</v>
      </c>
      <c r="D2758" t="s">
        <v>33</v>
      </c>
      <c r="E2758" t="s">
        <v>21</v>
      </c>
      <c r="F2758" t="s">
        <v>17</v>
      </c>
      <c r="G2758" s="1" t="str">
        <f t="shared" ref="G2758:M2761" si="574">"X"</f>
        <v>X</v>
      </c>
      <c r="H2758" s="1" t="str">
        <f t="shared" si="574"/>
        <v>X</v>
      </c>
      <c r="I2758" s="1" t="str">
        <f t="shared" si="574"/>
        <v>X</v>
      </c>
      <c r="J2758" s="1" t="str">
        <f t="shared" si="574"/>
        <v>X</v>
      </c>
      <c r="K2758" s="1" t="str">
        <f t="shared" si="574"/>
        <v>X</v>
      </c>
      <c r="L2758" s="1" t="str">
        <f t="shared" si="574"/>
        <v>X</v>
      </c>
      <c r="M2758" s="1" t="str">
        <f t="shared" si="574"/>
        <v>X</v>
      </c>
      <c r="N2758" t="s">
        <v>27</v>
      </c>
    </row>
    <row r="2759" spans="1:14" x14ac:dyDescent="0.25">
      <c r="A2759" t="s">
        <v>41</v>
      </c>
      <c r="B2759" t="s">
        <v>15</v>
      </c>
      <c r="C2759" t="s">
        <v>15</v>
      </c>
      <c r="D2759" t="s">
        <v>33</v>
      </c>
      <c r="E2759" t="s">
        <v>21</v>
      </c>
      <c r="F2759" t="s">
        <v>18</v>
      </c>
      <c r="G2759" s="1" t="str">
        <f t="shared" si="574"/>
        <v>X</v>
      </c>
      <c r="H2759" s="1" t="str">
        <f t="shared" si="574"/>
        <v>X</v>
      </c>
      <c r="I2759" s="1" t="str">
        <f t="shared" si="574"/>
        <v>X</v>
      </c>
      <c r="J2759" s="1" t="str">
        <f t="shared" si="574"/>
        <v>X</v>
      </c>
      <c r="K2759" s="1" t="str">
        <f t="shared" si="574"/>
        <v>X</v>
      </c>
      <c r="L2759" s="1" t="str">
        <f t="shared" si="574"/>
        <v>X</v>
      </c>
      <c r="M2759" s="1" t="str">
        <f t="shared" si="574"/>
        <v>X</v>
      </c>
      <c r="N2759" t="s">
        <v>27</v>
      </c>
    </row>
    <row r="2760" spans="1:14" x14ac:dyDescent="0.25">
      <c r="A2760" t="s">
        <v>41</v>
      </c>
      <c r="B2760" t="s">
        <v>15</v>
      </c>
      <c r="C2760" t="s">
        <v>15</v>
      </c>
      <c r="D2760" t="s">
        <v>33</v>
      </c>
      <c r="E2760" t="s">
        <v>21</v>
      </c>
      <c r="F2760" t="s">
        <v>19</v>
      </c>
      <c r="G2760" s="1" t="str">
        <f t="shared" si="574"/>
        <v>X</v>
      </c>
      <c r="H2760" s="1" t="str">
        <f t="shared" si="574"/>
        <v>X</v>
      </c>
      <c r="I2760" s="1" t="str">
        <f t="shared" si="574"/>
        <v>X</v>
      </c>
      <c r="J2760" s="1" t="str">
        <f t="shared" si="574"/>
        <v>X</v>
      </c>
      <c r="K2760" s="1" t="str">
        <f t="shared" si="574"/>
        <v>X</v>
      </c>
      <c r="L2760" s="1" t="str">
        <f t="shared" si="574"/>
        <v>X</v>
      </c>
      <c r="M2760" s="1" t="str">
        <f t="shared" si="574"/>
        <v>X</v>
      </c>
      <c r="N2760" t="s">
        <v>27</v>
      </c>
    </row>
    <row r="2761" spans="1:14" x14ac:dyDescent="0.25">
      <c r="A2761" t="s">
        <v>41</v>
      </c>
      <c r="B2761" t="s">
        <v>15</v>
      </c>
      <c r="C2761" t="s">
        <v>15</v>
      </c>
      <c r="D2761" t="s">
        <v>33</v>
      </c>
      <c r="E2761" t="s">
        <v>21</v>
      </c>
      <c r="F2761" t="s">
        <v>20</v>
      </c>
      <c r="G2761" s="1" t="str">
        <f t="shared" si="574"/>
        <v>X</v>
      </c>
      <c r="H2761" s="1" t="str">
        <f t="shared" si="574"/>
        <v>X</v>
      </c>
      <c r="I2761" s="1" t="str">
        <f t="shared" si="574"/>
        <v>X</v>
      </c>
      <c r="J2761" s="1" t="str">
        <f t="shared" si="574"/>
        <v>X</v>
      </c>
      <c r="K2761" s="1" t="str">
        <f t="shared" si="574"/>
        <v>X</v>
      </c>
      <c r="L2761" s="1" t="str">
        <f t="shared" si="574"/>
        <v>X</v>
      </c>
      <c r="M2761" s="1" t="str">
        <f t="shared" si="574"/>
        <v>X</v>
      </c>
      <c r="N2761" t="s">
        <v>27</v>
      </c>
    </row>
    <row r="2762" spans="1:14" x14ac:dyDescent="0.25">
      <c r="A2762" t="s">
        <v>41</v>
      </c>
      <c r="B2762" t="s">
        <v>15</v>
      </c>
      <c r="C2762" t="s">
        <v>15</v>
      </c>
      <c r="D2762" t="s">
        <v>33</v>
      </c>
      <c r="E2762" t="s">
        <v>22</v>
      </c>
      <c r="F2762" t="s">
        <v>15</v>
      </c>
      <c r="G2762" s="2">
        <f>VALUE(214.1073593344)</f>
        <v>214.1073593344</v>
      </c>
      <c r="H2762" s="3">
        <f>VALUE(205.0958790145)</f>
        <v>205.09587901450001</v>
      </c>
      <c r="I2762" s="4">
        <f>VALUE(2184)</f>
        <v>2184</v>
      </c>
      <c r="J2762" s="5">
        <f>VALUE(3446)</f>
        <v>3446</v>
      </c>
      <c r="K2762" s="6">
        <f>VALUE(4167)</f>
        <v>4167</v>
      </c>
      <c r="L2762" s="7">
        <f>VALUE(4710)</f>
        <v>4710</v>
      </c>
      <c r="M2762" s="8">
        <f>VALUE(6478)</f>
        <v>6478</v>
      </c>
      <c r="N2762" t="s">
        <v>24</v>
      </c>
    </row>
    <row r="2763" spans="1:14" x14ac:dyDescent="0.25">
      <c r="A2763" t="s">
        <v>41</v>
      </c>
      <c r="B2763" t="s">
        <v>15</v>
      </c>
      <c r="C2763" t="s">
        <v>15</v>
      </c>
      <c r="D2763" t="s">
        <v>33</v>
      </c>
      <c r="E2763" t="s">
        <v>22</v>
      </c>
      <c r="F2763" t="s">
        <v>17</v>
      </c>
      <c r="G2763" s="1" t="str">
        <f t="shared" ref="G2763:M2766" si="575">"X"</f>
        <v>X</v>
      </c>
      <c r="H2763" s="1" t="str">
        <f t="shared" si="575"/>
        <v>X</v>
      </c>
      <c r="I2763" s="1" t="str">
        <f t="shared" si="575"/>
        <v>X</v>
      </c>
      <c r="J2763" s="1" t="str">
        <f t="shared" si="575"/>
        <v>X</v>
      </c>
      <c r="K2763" s="1" t="str">
        <f t="shared" si="575"/>
        <v>X</v>
      </c>
      <c r="L2763" s="1" t="str">
        <f t="shared" si="575"/>
        <v>X</v>
      </c>
      <c r="M2763" s="1" t="str">
        <f t="shared" si="575"/>
        <v>X</v>
      </c>
      <c r="N2763" t="s">
        <v>27</v>
      </c>
    </row>
    <row r="2764" spans="1:14" x14ac:dyDescent="0.25">
      <c r="A2764" t="s">
        <v>41</v>
      </c>
      <c r="B2764" t="s">
        <v>15</v>
      </c>
      <c r="C2764" t="s">
        <v>15</v>
      </c>
      <c r="D2764" t="s">
        <v>33</v>
      </c>
      <c r="E2764" t="s">
        <v>22</v>
      </c>
      <c r="F2764" t="s">
        <v>18</v>
      </c>
      <c r="G2764" s="1" t="str">
        <f t="shared" si="575"/>
        <v>X</v>
      </c>
      <c r="H2764" s="1" t="str">
        <f t="shared" si="575"/>
        <v>X</v>
      </c>
      <c r="I2764" s="1" t="str">
        <f t="shared" si="575"/>
        <v>X</v>
      </c>
      <c r="J2764" s="1" t="str">
        <f t="shared" si="575"/>
        <v>X</v>
      </c>
      <c r="K2764" s="1" t="str">
        <f t="shared" si="575"/>
        <v>X</v>
      </c>
      <c r="L2764" s="1" t="str">
        <f t="shared" si="575"/>
        <v>X</v>
      </c>
      <c r="M2764" s="1" t="str">
        <f t="shared" si="575"/>
        <v>X</v>
      </c>
      <c r="N2764" t="s">
        <v>27</v>
      </c>
    </row>
    <row r="2765" spans="1:14" x14ac:dyDescent="0.25">
      <c r="A2765" t="s">
        <v>41</v>
      </c>
      <c r="B2765" t="s">
        <v>15</v>
      </c>
      <c r="C2765" t="s">
        <v>15</v>
      </c>
      <c r="D2765" t="s">
        <v>33</v>
      </c>
      <c r="E2765" t="s">
        <v>22</v>
      </c>
      <c r="F2765" t="s">
        <v>19</v>
      </c>
      <c r="G2765" s="1" t="str">
        <f t="shared" si="575"/>
        <v>X</v>
      </c>
      <c r="H2765" s="1" t="str">
        <f t="shared" si="575"/>
        <v>X</v>
      </c>
      <c r="I2765" s="1" t="str">
        <f t="shared" si="575"/>
        <v>X</v>
      </c>
      <c r="J2765" s="1" t="str">
        <f t="shared" si="575"/>
        <v>X</v>
      </c>
      <c r="K2765" s="1" t="str">
        <f t="shared" si="575"/>
        <v>X</v>
      </c>
      <c r="L2765" s="1" t="str">
        <f t="shared" si="575"/>
        <v>X</v>
      </c>
      <c r="M2765" s="1" t="str">
        <f t="shared" si="575"/>
        <v>X</v>
      </c>
      <c r="N2765" t="s">
        <v>27</v>
      </c>
    </row>
    <row r="2766" spans="1:14" x14ac:dyDescent="0.25">
      <c r="A2766" t="s">
        <v>41</v>
      </c>
      <c r="B2766" t="s">
        <v>15</v>
      </c>
      <c r="C2766" t="s">
        <v>15</v>
      </c>
      <c r="D2766" t="s">
        <v>33</v>
      </c>
      <c r="E2766" t="s">
        <v>22</v>
      </c>
      <c r="F2766" t="s">
        <v>20</v>
      </c>
      <c r="G2766" s="1" t="str">
        <f t="shared" si="575"/>
        <v>X</v>
      </c>
      <c r="H2766" s="1" t="str">
        <f t="shared" si="575"/>
        <v>X</v>
      </c>
      <c r="I2766" s="1" t="str">
        <f t="shared" si="575"/>
        <v>X</v>
      </c>
      <c r="J2766" s="1" t="str">
        <f t="shared" si="575"/>
        <v>X</v>
      </c>
      <c r="K2766" s="1" t="str">
        <f t="shared" si="575"/>
        <v>X</v>
      </c>
      <c r="L2766" s="1" t="str">
        <f t="shared" si="575"/>
        <v>X</v>
      </c>
      <c r="M2766" s="1" t="str">
        <f t="shared" si="575"/>
        <v>X</v>
      </c>
      <c r="N2766" t="s">
        <v>27</v>
      </c>
    </row>
    <row r="2767" spans="1:14" x14ac:dyDescent="0.25">
      <c r="A2767" t="s">
        <v>41</v>
      </c>
      <c r="B2767" t="s">
        <v>15</v>
      </c>
      <c r="C2767" t="s">
        <v>15</v>
      </c>
      <c r="D2767" t="s">
        <v>33</v>
      </c>
      <c r="E2767" t="s">
        <v>23</v>
      </c>
      <c r="F2767" t="s">
        <v>15</v>
      </c>
      <c r="G2767" s="2">
        <f>VALUE(584.2609944666)</f>
        <v>584.26099446659998</v>
      </c>
      <c r="H2767" s="3">
        <f>VALUE(550.6859632449)</f>
        <v>550.68596324489999</v>
      </c>
      <c r="I2767" s="4">
        <f>VALUE(3053)</f>
        <v>3053</v>
      </c>
      <c r="J2767" s="1">
        <f>VALUE(3233)</f>
        <v>3233</v>
      </c>
      <c r="K2767" s="6">
        <f>VALUE(3490)</f>
        <v>3490</v>
      </c>
      <c r="L2767" s="7">
        <f>VALUE(4666)</f>
        <v>4666</v>
      </c>
      <c r="M2767" s="8">
        <f>VALUE(5672)</f>
        <v>5672</v>
      </c>
      <c r="N2767" t="s">
        <v>25</v>
      </c>
    </row>
    <row r="2768" spans="1:14" x14ac:dyDescent="0.25">
      <c r="A2768" t="s">
        <v>41</v>
      </c>
      <c r="B2768" t="s">
        <v>15</v>
      </c>
      <c r="C2768" t="s">
        <v>15</v>
      </c>
      <c r="D2768" t="s">
        <v>33</v>
      </c>
      <c r="E2768" t="s">
        <v>23</v>
      </c>
      <c r="F2768" t="s">
        <v>17</v>
      </c>
      <c r="G2768" s="1" t="str">
        <f t="shared" ref="G2768:M2770" si="576">"X"</f>
        <v>X</v>
      </c>
      <c r="H2768" s="1" t="str">
        <f t="shared" si="576"/>
        <v>X</v>
      </c>
      <c r="I2768" s="1" t="str">
        <f t="shared" si="576"/>
        <v>X</v>
      </c>
      <c r="J2768" s="1" t="str">
        <f t="shared" si="576"/>
        <v>X</v>
      </c>
      <c r="K2768" s="1" t="str">
        <f t="shared" si="576"/>
        <v>X</v>
      </c>
      <c r="L2768" s="1" t="str">
        <f t="shared" si="576"/>
        <v>X</v>
      </c>
      <c r="M2768" s="1" t="str">
        <f t="shared" si="576"/>
        <v>X</v>
      </c>
      <c r="N2768" t="s">
        <v>27</v>
      </c>
    </row>
    <row r="2769" spans="1:14" x14ac:dyDescent="0.25">
      <c r="A2769" t="s">
        <v>41</v>
      </c>
      <c r="B2769" t="s">
        <v>15</v>
      </c>
      <c r="C2769" t="s">
        <v>15</v>
      </c>
      <c r="D2769" t="s">
        <v>33</v>
      </c>
      <c r="E2769" t="s">
        <v>23</v>
      </c>
      <c r="F2769" t="s">
        <v>18</v>
      </c>
      <c r="G2769" s="1" t="str">
        <f t="shared" si="576"/>
        <v>X</v>
      </c>
      <c r="H2769" s="1" t="str">
        <f t="shared" si="576"/>
        <v>X</v>
      </c>
      <c r="I2769" s="1" t="str">
        <f t="shared" si="576"/>
        <v>X</v>
      </c>
      <c r="J2769" s="1" t="str">
        <f t="shared" si="576"/>
        <v>X</v>
      </c>
      <c r="K2769" s="1" t="str">
        <f t="shared" si="576"/>
        <v>X</v>
      </c>
      <c r="L2769" s="1" t="str">
        <f t="shared" si="576"/>
        <v>X</v>
      </c>
      <c r="M2769" s="1" t="str">
        <f t="shared" si="576"/>
        <v>X</v>
      </c>
      <c r="N2769" t="s">
        <v>27</v>
      </c>
    </row>
    <row r="2770" spans="1:14" x14ac:dyDescent="0.25">
      <c r="A2770" t="s">
        <v>41</v>
      </c>
      <c r="B2770" t="s">
        <v>15</v>
      </c>
      <c r="C2770" t="s">
        <v>15</v>
      </c>
      <c r="D2770" t="s">
        <v>33</v>
      </c>
      <c r="E2770" t="s">
        <v>23</v>
      </c>
      <c r="F2770" t="s">
        <v>19</v>
      </c>
      <c r="G2770" s="1" t="str">
        <f t="shared" si="576"/>
        <v>X</v>
      </c>
      <c r="H2770" s="1" t="str">
        <f t="shared" si="576"/>
        <v>X</v>
      </c>
      <c r="I2770" s="1" t="str">
        <f t="shared" si="576"/>
        <v>X</v>
      </c>
      <c r="J2770" s="1" t="str">
        <f t="shared" si="576"/>
        <v>X</v>
      </c>
      <c r="K2770" s="1" t="str">
        <f t="shared" si="576"/>
        <v>X</v>
      </c>
      <c r="L2770" s="1" t="str">
        <f t="shared" si="576"/>
        <v>X</v>
      </c>
      <c r="M2770" s="1" t="str">
        <f t="shared" si="576"/>
        <v>X</v>
      </c>
      <c r="N2770" t="s">
        <v>27</v>
      </c>
    </row>
    <row r="2771" spans="1:14" x14ac:dyDescent="0.25">
      <c r="A2771" t="s">
        <v>41</v>
      </c>
      <c r="B2771" t="s">
        <v>15</v>
      </c>
      <c r="C2771" t="s">
        <v>15</v>
      </c>
      <c r="D2771" t="s">
        <v>33</v>
      </c>
      <c r="E2771" t="s">
        <v>23</v>
      </c>
      <c r="F2771" t="s">
        <v>20</v>
      </c>
      <c r="G2771" s="2">
        <f>VALUE(490.0451282033)</f>
        <v>490.04512820330001</v>
      </c>
      <c r="H2771" s="3">
        <f>VALUE(456.2566989158)</f>
        <v>456.25669891579997</v>
      </c>
      <c r="I2771" s="4">
        <f>VALUE(3053)</f>
        <v>3053</v>
      </c>
      <c r="J2771" s="1">
        <f>VALUE(3196)</f>
        <v>3196</v>
      </c>
      <c r="K2771" s="6">
        <f>VALUE(3370)</f>
        <v>3370</v>
      </c>
      <c r="L2771" s="7">
        <f>VALUE(4030)</f>
        <v>4030</v>
      </c>
      <c r="M2771" s="8">
        <f>VALUE(5566)</f>
        <v>5566</v>
      </c>
      <c r="N2771" t="s">
        <v>25</v>
      </c>
    </row>
    <row r="2772" spans="1:14" x14ac:dyDescent="0.25">
      <c r="A2772" t="s">
        <v>41</v>
      </c>
      <c r="B2772" t="s">
        <v>15</v>
      </c>
      <c r="C2772" t="s">
        <v>15</v>
      </c>
      <c r="D2772" t="s">
        <v>33</v>
      </c>
      <c r="E2772" t="s">
        <v>26</v>
      </c>
      <c r="F2772" t="s">
        <v>15</v>
      </c>
      <c r="G2772" s="1" t="str">
        <f t="shared" ref="G2772:M2772" si="577">"X"</f>
        <v>X</v>
      </c>
      <c r="H2772" s="1" t="str">
        <f t="shared" si="577"/>
        <v>X</v>
      </c>
      <c r="I2772" s="1" t="str">
        <f t="shared" si="577"/>
        <v>X</v>
      </c>
      <c r="J2772" s="1" t="str">
        <f t="shared" si="577"/>
        <v>X</v>
      </c>
      <c r="K2772" s="1" t="str">
        <f t="shared" si="577"/>
        <v>X</v>
      </c>
      <c r="L2772" s="1" t="str">
        <f t="shared" si="577"/>
        <v>X</v>
      </c>
      <c r="M2772" s="1" t="str">
        <f t="shared" si="577"/>
        <v>X</v>
      </c>
      <c r="N2772" t="s">
        <v>27</v>
      </c>
    </row>
    <row r="2773" spans="1:14" x14ac:dyDescent="0.25">
      <c r="A2773" t="s">
        <v>41</v>
      </c>
      <c r="B2773" t="s">
        <v>15</v>
      </c>
      <c r="C2773" t="s">
        <v>15</v>
      </c>
      <c r="D2773" t="s">
        <v>33</v>
      </c>
      <c r="E2773" t="s">
        <v>26</v>
      </c>
      <c r="F2773" t="s">
        <v>17</v>
      </c>
      <c r="G2773" s="1" t="str">
        <f t="shared" ref="G2773:M2776" si="578">"..."</f>
        <v>...</v>
      </c>
      <c r="H2773" s="1" t="str">
        <f t="shared" si="578"/>
        <v>...</v>
      </c>
      <c r="I2773" s="1" t="str">
        <f t="shared" si="578"/>
        <v>...</v>
      </c>
      <c r="J2773" s="1" t="str">
        <f t="shared" si="578"/>
        <v>...</v>
      </c>
      <c r="K2773" s="1" t="str">
        <f t="shared" si="578"/>
        <v>...</v>
      </c>
      <c r="L2773" s="1" t="str">
        <f t="shared" si="578"/>
        <v>...</v>
      </c>
      <c r="M2773" s="1" t="str">
        <f t="shared" si="578"/>
        <v>...</v>
      </c>
      <c r="N2773" t="s">
        <v>30</v>
      </c>
    </row>
    <row r="2774" spans="1:14" x14ac:dyDescent="0.25">
      <c r="A2774" t="s">
        <v>41</v>
      </c>
      <c r="B2774" t="s">
        <v>15</v>
      </c>
      <c r="C2774" t="s">
        <v>15</v>
      </c>
      <c r="D2774" t="s">
        <v>33</v>
      </c>
      <c r="E2774" t="s">
        <v>26</v>
      </c>
      <c r="F2774" t="s">
        <v>18</v>
      </c>
      <c r="G2774" s="1" t="str">
        <f t="shared" si="578"/>
        <v>...</v>
      </c>
      <c r="H2774" s="1" t="str">
        <f t="shared" si="578"/>
        <v>...</v>
      </c>
      <c r="I2774" s="1" t="str">
        <f t="shared" si="578"/>
        <v>...</v>
      </c>
      <c r="J2774" s="1" t="str">
        <f t="shared" si="578"/>
        <v>...</v>
      </c>
      <c r="K2774" s="1" t="str">
        <f t="shared" si="578"/>
        <v>...</v>
      </c>
      <c r="L2774" s="1" t="str">
        <f t="shared" si="578"/>
        <v>...</v>
      </c>
      <c r="M2774" s="1" t="str">
        <f t="shared" si="578"/>
        <v>...</v>
      </c>
      <c r="N2774" t="s">
        <v>30</v>
      </c>
    </row>
    <row r="2775" spans="1:14" x14ac:dyDescent="0.25">
      <c r="A2775" t="s">
        <v>41</v>
      </c>
      <c r="B2775" t="s">
        <v>15</v>
      </c>
      <c r="C2775" t="s">
        <v>15</v>
      </c>
      <c r="D2775" t="s">
        <v>33</v>
      </c>
      <c r="E2775" t="s">
        <v>26</v>
      </c>
      <c r="F2775" t="s">
        <v>19</v>
      </c>
      <c r="G2775" s="1" t="str">
        <f t="shared" si="578"/>
        <v>...</v>
      </c>
      <c r="H2775" s="1" t="str">
        <f t="shared" si="578"/>
        <v>...</v>
      </c>
      <c r="I2775" s="1" t="str">
        <f t="shared" si="578"/>
        <v>...</v>
      </c>
      <c r="J2775" s="1" t="str">
        <f t="shared" si="578"/>
        <v>...</v>
      </c>
      <c r="K2775" s="1" t="str">
        <f t="shared" si="578"/>
        <v>...</v>
      </c>
      <c r="L2775" s="1" t="str">
        <f t="shared" si="578"/>
        <v>...</v>
      </c>
      <c r="M2775" s="1" t="str">
        <f t="shared" si="578"/>
        <v>...</v>
      </c>
      <c r="N2775" t="s">
        <v>30</v>
      </c>
    </row>
    <row r="2776" spans="1:14" x14ac:dyDescent="0.25">
      <c r="A2776" t="s">
        <v>41</v>
      </c>
      <c r="B2776" t="s">
        <v>15</v>
      </c>
      <c r="C2776" t="s">
        <v>15</v>
      </c>
      <c r="D2776" t="s">
        <v>33</v>
      </c>
      <c r="E2776" t="s">
        <v>26</v>
      </c>
      <c r="F2776" t="s">
        <v>20</v>
      </c>
      <c r="G2776" s="1" t="str">
        <f t="shared" si="578"/>
        <v>...</v>
      </c>
      <c r="H2776" s="1" t="str">
        <f t="shared" si="578"/>
        <v>...</v>
      </c>
      <c r="I2776" s="1" t="str">
        <f t="shared" si="578"/>
        <v>...</v>
      </c>
      <c r="J2776" s="1" t="str">
        <f t="shared" si="578"/>
        <v>...</v>
      </c>
      <c r="K2776" s="1" t="str">
        <f t="shared" si="578"/>
        <v>...</v>
      </c>
      <c r="L2776" s="1" t="str">
        <f t="shared" si="578"/>
        <v>...</v>
      </c>
      <c r="M2776" s="1" t="str">
        <f t="shared" si="578"/>
        <v>...</v>
      </c>
      <c r="N2776" t="s">
        <v>30</v>
      </c>
    </row>
    <row r="2777" spans="1:14" x14ac:dyDescent="0.25">
      <c r="A2777" t="s">
        <v>41</v>
      </c>
      <c r="B2777" t="s">
        <v>15</v>
      </c>
      <c r="C2777" t="s">
        <v>15</v>
      </c>
      <c r="D2777" t="s">
        <v>34</v>
      </c>
      <c r="E2777" t="s">
        <v>15</v>
      </c>
      <c r="F2777" t="s">
        <v>15</v>
      </c>
      <c r="G2777" s="1">
        <f>VALUE(1403.0389833415)</f>
        <v>1403.0389833414999</v>
      </c>
      <c r="H2777" s="1">
        <f>VALUE(1268.1735547885)</f>
        <v>1268.1735547885</v>
      </c>
      <c r="I2777" s="1">
        <f>VALUE(3267)</f>
        <v>3267</v>
      </c>
      <c r="J2777" s="5">
        <f>VALUE(4060)</f>
        <v>4060</v>
      </c>
      <c r="K2777" s="6">
        <f>VALUE(5298)</f>
        <v>5298</v>
      </c>
      <c r="L2777" s="7">
        <f>VALUE(7461)</f>
        <v>7461</v>
      </c>
      <c r="M2777" s="1">
        <f>VALUE(11870)</f>
        <v>11870</v>
      </c>
      <c r="N2777" t="s">
        <v>25</v>
      </c>
    </row>
    <row r="2778" spans="1:14" x14ac:dyDescent="0.25">
      <c r="A2778" t="s">
        <v>41</v>
      </c>
      <c r="B2778" t="s">
        <v>15</v>
      </c>
      <c r="C2778" t="s">
        <v>15</v>
      </c>
      <c r="D2778" t="s">
        <v>34</v>
      </c>
      <c r="E2778" t="s">
        <v>15</v>
      </c>
      <c r="F2778" t="s">
        <v>17</v>
      </c>
      <c r="G2778" s="2">
        <f>VALUE(318.7912314861)</f>
        <v>318.7912314861</v>
      </c>
      <c r="H2778" s="3">
        <f>VALUE(328.1031695962)</f>
        <v>328.10316959620002</v>
      </c>
      <c r="I2778" s="4">
        <f>VALUE(4063)</f>
        <v>4063</v>
      </c>
      <c r="J2778" s="5">
        <f>VALUE(6866)</f>
        <v>6866</v>
      </c>
      <c r="K2778" s="6">
        <f>VALUE(10175)</f>
        <v>10175</v>
      </c>
      <c r="L2778" s="1">
        <f>VALUE(13734)</f>
        <v>13734</v>
      </c>
      <c r="M2778" s="1">
        <f>VALUE(18979)</f>
        <v>18979</v>
      </c>
      <c r="N2778" t="s">
        <v>25</v>
      </c>
    </row>
    <row r="2779" spans="1:14" x14ac:dyDescent="0.25">
      <c r="A2779" t="s">
        <v>41</v>
      </c>
      <c r="B2779" t="s">
        <v>15</v>
      </c>
      <c r="C2779" t="s">
        <v>15</v>
      </c>
      <c r="D2779" t="s">
        <v>34</v>
      </c>
      <c r="E2779" t="s">
        <v>15</v>
      </c>
      <c r="F2779" t="s">
        <v>18</v>
      </c>
      <c r="G2779" s="1" t="str">
        <f t="shared" ref="G2779:M2780" si="579">"X"</f>
        <v>X</v>
      </c>
      <c r="H2779" s="1" t="str">
        <f t="shared" si="579"/>
        <v>X</v>
      </c>
      <c r="I2779" s="1" t="str">
        <f t="shared" si="579"/>
        <v>X</v>
      </c>
      <c r="J2779" s="1" t="str">
        <f t="shared" si="579"/>
        <v>X</v>
      </c>
      <c r="K2779" s="1" t="str">
        <f t="shared" si="579"/>
        <v>X</v>
      </c>
      <c r="L2779" s="1" t="str">
        <f t="shared" si="579"/>
        <v>X</v>
      </c>
      <c r="M2779" s="1" t="str">
        <f t="shared" si="579"/>
        <v>X</v>
      </c>
      <c r="N2779" t="s">
        <v>27</v>
      </c>
    </row>
    <row r="2780" spans="1:14" x14ac:dyDescent="0.25">
      <c r="A2780" t="s">
        <v>41</v>
      </c>
      <c r="B2780" t="s">
        <v>15</v>
      </c>
      <c r="C2780" t="s">
        <v>15</v>
      </c>
      <c r="D2780" t="s">
        <v>34</v>
      </c>
      <c r="E2780" t="s">
        <v>15</v>
      </c>
      <c r="F2780" t="s">
        <v>19</v>
      </c>
      <c r="G2780" s="1" t="str">
        <f t="shared" si="579"/>
        <v>X</v>
      </c>
      <c r="H2780" s="1" t="str">
        <f t="shared" si="579"/>
        <v>X</v>
      </c>
      <c r="I2780" s="1" t="str">
        <f t="shared" si="579"/>
        <v>X</v>
      </c>
      <c r="J2780" s="1" t="str">
        <f t="shared" si="579"/>
        <v>X</v>
      </c>
      <c r="K2780" s="1" t="str">
        <f t="shared" si="579"/>
        <v>X</v>
      </c>
      <c r="L2780" s="1" t="str">
        <f t="shared" si="579"/>
        <v>X</v>
      </c>
      <c r="M2780" s="1" t="str">
        <f t="shared" si="579"/>
        <v>X</v>
      </c>
      <c r="N2780" t="s">
        <v>27</v>
      </c>
    </row>
    <row r="2781" spans="1:14" x14ac:dyDescent="0.25">
      <c r="A2781" t="s">
        <v>41</v>
      </c>
      <c r="B2781" t="s">
        <v>15</v>
      </c>
      <c r="C2781" t="s">
        <v>15</v>
      </c>
      <c r="D2781" t="s">
        <v>34</v>
      </c>
      <c r="E2781" t="s">
        <v>15</v>
      </c>
      <c r="F2781" t="s">
        <v>20</v>
      </c>
      <c r="G2781" s="1">
        <f>VALUE(973.0237847648)</f>
        <v>973.02378476479998</v>
      </c>
      <c r="H2781" s="1">
        <f>VALUE(852.6011084292)</f>
        <v>852.60110842920005</v>
      </c>
      <c r="I2781" s="4">
        <f>VALUE(3240)</f>
        <v>3240</v>
      </c>
      <c r="J2781" s="5">
        <f>VALUE(3677)</f>
        <v>3677</v>
      </c>
      <c r="K2781" s="1">
        <f>VALUE(4929)</f>
        <v>4929</v>
      </c>
      <c r="L2781" s="1">
        <f>VALUE(6099)</f>
        <v>6099</v>
      </c>
      <c r="M2781" s="1">
        <f>VALUE(7302)</f>
        <v>7302</v>
      </c>
      <c r="N2781" t="s">
        <v>25</v>
      </c>
    </row>
    <row r="2782" spans="1:14" x14ac:dyDescent="0.25">
      <c r="A2782" t="s">
        <v>41</v>
      </c>
      <c r="B2782" t="s">
        <v>15</v>
      </c>
      <c r="C2782" t="s">
        <v>15</v>
      </c>
      <c r="D2782" t="s">
        <v>34</v>
      </c>
      <c r="E2782" t="s">
        <v>21</v>
      </c>
      <c r="F2782" t="s">
        <v>15</v>
      </c>
      <c r="G2782" s="2">
        <f>VALUE(306.7962277895)</f>
        <v>306.79622778949999</v>
      </c>
      <c r="H2782" s="3">
        <f>VALUE(290.9077241473)</f>
        <v>290.90772414729997</v>
      </c>
      <c r="I2782" s="1">
        <f>VALUE(3868)</f>
        <v>3868</v>
      </c>
      <c r="J2782" s="1">
        <f>VALUE(5890)</f>
        <v>5890</v>
      </c>
      <c r="K2782" s="1">
        <f>VALUE(7975)</f>
        <v>7975</v>
      </c>
      <c r="L2782" s="1">
        <f>VALUE(11429)</f>
        <v>11429</v>
      </c>
      <c r="M2782" s="1">
        <f>VALUE(16541)</f>
        <v>16541</v>
      </c>
      <c r="N2782" t="s">
        <v>25</v>
      </c>
    </row>
    <row r="2783" spans="1:14" x14ac:dyDescent="0.25">
      <c r="A2783" t="s">
        <v>41</v>
      </c>
      <c r="B2783" t="s">
        <v>15</v>
      </c>
      <c r="C2783" t="s">
        <v>15</v>
      </c>
      <c r="D2783" t="s">
        <v>34</v>
      </c>
      <c r="E2783" t="s">
        <v>21</v>
      </c>
      <c r="F2783" t="s">
        <v>17</v>
      </c>
      <c r="G2783" s="2">
        <f>VALUE(157.7563409252)</f>
        <v>157.75634092519999</v>
      </c>
      <c r="H2783" s="3">
        <f>VALUE(162.1891798081)</f>
        <v>162.18917980809999</v>
      </c>
      <c r="I2783" s="1">
        <f>VALUE(3868)</f>
        <v>3868</v>
      </c>
      <c r="J2783" s="1">
        <f>VALUE(8030)</f>
        <v>8030</v>
      </c>
      <c r="K2783" s="1">
        <f>VALUE(10971)</f>
        <v>10971</v>
      </c>
      <c r="L2783" s="1">
        <f>VALUE(13889)</f>
        <v>13889</v>
      </c>
      <c r="M2783" s="1">
        <f>VALUE(19963)</f>
        <v>19963</v>
      </c>
      <c r="N2783" t="s">
        <v>25</v>
      </c>
    </row>
    <row r="2784" spans="1:14" x14ac:dyDescent="0.25">
      <c r="A2784" t="s">
        <v>41</v>
      </c>
      <c r="B2784" t="s">
        <v>15</v>
      </c>
      <c r="C2784" t="s">
        <v>15</v>
      </c>
      <c r="D2784" t="s">
        <v>34</v>
      </c>
      <c r="E2784" t="s">
        <v>21</v>
      </c>
      <c r="F2784" t="s">
        <v>18</v>
      </c>
      <c r="G2784" s="1" t="str">
        <f t="shared" ref="G2784:M2785" si="580">"X"</f>
        <v>X</v>
      </c>
      <c r="H2784" s="1" t="str">
        <f t="shared" si="580"/>
        <v>X</v>
      </c>
      <c r="I2784" s="1" t="str">
        <f t="shared" si="580"/>
        <v>X</v>
      </c>
      <c r="J2784" s="1" t="str">
        <f t="shared" si="580"/>
        <v>X</v>
      </c>
      <c r="K2784" s="1" t="str">
        <f t="shared" si="580"/>
        <v>X</v>
      </c>
      <c r="L2784" s="1" t="str">
        <f t="shared" si="580"/>
        <v>X</v>
      </c>
      <c r="M2784" s="1" t="str">
        <f t="shared" si="580"/>
        <v>X</v>
      </c>
      <c r="N2784" t="s">
        <v>27</v>
      </c>
    </row>
    <row r="2785" spans="1:14" x14ac:dyDescent="0.25">
      <c r="A2785" t="s">
        <v>41</v>
      </c>
      <c r="B2785" t="s">
        <v>15</v>
      </c>
      <c r="C2785" t="s">
        <v>15</v>
      </c>
      <c r="D2785" t="s">
        <v>34</v>
      </c>
      <c r="E2785" t="s">
        <v>21</v>
      </c>
      <c r="F2785" t="s">
        <v>19</v>
      </c>
      <c r="G2785" s="1" t="str">
        <f t="shared" si="580"/>
        <v>X</v>
      </c>
      <c r="H2785" s="1" t="str">
        <f t="shared" si="580"/>
        <v>X</v>
      </c>
      <c r="I2785" s="1" t="str">
        <f t="shared" si="580"/>
        <v>X</v>
      </c>
      <c r="J2785" s="1" t="str">
        <f t="shared" si="580"/>
        <v>X</v>
      </c>
      <c r="K2785" s="1" t="str">
        <f t="shared" si="580"/>
        <v>X</v>
      </c>
      <c r="L2785" s="1" t="str">
        <f t="shared" si="580"/>
        <v>X</v>
      </c>
      <c r="M2785" s="1" t="str">
        <f t="shared" si="580"/>
        <v>X</v>
      </c>
      <c r="N2785" t="s">
        <v>27</v>
      </c>
    </row>
    <row r="2786" spans="1:14" x14ac:dyDescent="0.25">
      <c r="A2786" t="s">
        <v>41</v>
      </c>
      <c r="B2786" t="s">
        <v>15</v>
      </c>
      <c r="C2786" t="s">
        <v>15</v>
      </c>
      <c r="D2786" t="s">
        <v>34</v>
      </c>
      <c r="E2786" t="s">
        <v>21</v>
      </c>
      <c r="F2786" t="s">
        <v>20</v>
      </c>
      <c r="G2786" s="2">
        <f>VALUE(110.3637698055)</f>
        <v>110.3637698055</v>
      </c>
      <c r="H2786" s="3">
        <f>VALUE(100.0537741031)</f>
        <v>100.0537741031</v>
      </c>
      <c r="I2786" s="1">
        <f>VALUE(4643)</f>
        <v>4643</v>
      </c>
      <c r="J2786" s="1">
        <f>VALUE(5574)</f>
        <v>5574</v>
      </c>
      <c r="K2786" s="1">
        <f>VALUE(6424)</f>
        <v>6424</v>
      </c>
      <c r="L2786" s="1">
        <f>VALUE(7619)</f>
        <v>7619</v>
      </c>
      <c r="M2786" s="1">
        <f>VALUE(8683)</f>
        <v>8683</v>
      </c>
      <c r="N2786" t="s">
        <v>25</v>
      </c>
    </row>
    <row r="2787" spans="1:14" x14ac:dyDescent="0.25">
      <c r="A2787" t="s">
        <v>41</v>
      </c>
      <c r="B2787" t="s">
        <v>15</v>
      </c>
      <c r="C2787" t="s">
        <v>15</v>
      </c>
      <c r="D2787" t="s">
        <v>34</v>
      </c>
      <c r="E2787" t="s">
        <v>22</v>
      </c>
      <c r="F2787" t="s">
        <v>15</v>
      </c>
      <c r="G2787" s="2">
        <f>VALUE(673.5086397141)</f>
        <v>673.50863971410001</v>
      </c>
      <c r="H2787" s="3">
        <f>VALUE(601.5675754147)</f>
        <v>601.56757541469995</v>
      </c>
      <c r="I2787" s="1">
        <f>VALUE(3508)</f>
        <v>3508</v>
      </c>
      <c r="J2787" s="1">
        <f>VALUE(4332)</f>
        <v>4332</v>
      </c>
      <c r="K2787" s="1">
        <f>VALUE(5337)</f>
        <v>5337</v>
      </c>
      <c r="L2787" s="1">
        <f>VALUE(7167)</f>
        <v>7167</v>
      </c>
      <c r="M2787" s="1">
        <f>VALUE(10714)</f>
        <v>10714</v>
      </c>
      <c r="N2787" t="s">
        <v>25</v>
      </c>
    </row>
    <row r="2788" spans="1:14" x14ac:dyDescent="0.25">
      <c r="A2788" t="s">
        <v>41</v>
      </c>
      <c r="B2788" t="s">
        <v>15</v>
      </c>
      <c r="C2788" t="s">
        <v>15</v>
      </c>
      <c r="D2788" t="s">
        <v>34</v>
      </c>
      <c r="E2788" t="s">
        <v>22</v>
      </c>
      <c r="F2788" t="s">
        <v>17</v>
      </c>
      <c r="G2788" s="1" t="str">
        <f t="shared" ref="G2788:M2790" si="581">"X"</f>
        <v>X</v>
      </c>
      <c r="H2788" s="1" t="str">
        <f t="shared" si="581"/>
        <v>X</v>
      </c>
      <c r="I2788" s="1" t="str">
        <f t="shared" si="581"/>
        <v>X</v>
      </c>
      <c r="J2788" s="1" t="str">
        <f t="shared" si="581"/>
        <v>X</v>
      </c>
      <c r="K2788" s="1" t="str">
        <f t="shared" si="581"/>
        <v>X</v>
      </c>
      <c r="L2788" s="1" t="str">
        <f t="shared" si="581"/>
        <v>X</v>
      </c>
      <c r="M2788" s="1" t="str">
        <f t="shared" si="581"/>
        <v>X</v>
      </c>
      <c r="N2788" t="s">
        <v>27</v>
      </c>
    </row>
    <row r="2789" spans="1:14" x14ac:dyDescent="0.25">
      <c r="A2789" t="s">
        <v>41</v>
      </c>
      <c r="B2789" t="s">
        <v>15</v>
      </c>
      <c r="C2789" t="s">
        <v>15</v>
      </c>
      <c r="D2789" t="s">
        <v>34</v>
      </c>
      <c r="E2789" t="s">
        <v>22</v>
      </c>
      <c r="F2789" t="s">
        <v>18</v>
      </c>
      <c r="G2789" s="1" t="str">
        <f t="shared" si="581"/>
        <v>X</v>
      </c>
      <c r="H2789" s="1" t="str">
        <f t="shared" si="581"/>
        <v>X</v>
      </c>
      <c r="I2789" s="1" t="str">
        <f t="shared" si="581"/>
        <v>X</v>
      </c>
      <c r="J2789" s="1" t="str">
        <f t="shared" si="581"/>
        <v>X</v>
      </c>
      <c r="K2789" s="1" t="str">
        <f t="shared" si="581"/>
        <v>X</v>
      </c>
      <c r="L2789" s="1" t="str">
        <f t="shared" si="581"/>
        <v>X</v>
      </c>
      <c r="M2789" s="1" t="str">
        <f t="shared" si="581"/>
        <v>X</v>
      </c>
      <c r="N2789" t="s">
        <v>27</v>
      </c>
    </row>
    <row r="2790" spans="1:14" x14ac:dyDescent="0.25">
      <c r="A2790" t="s">
        <v>41</v>
      </c>
      <c r="B2790" t="s">
        <v>15</v>
      </c>
      <c r="C2790" t="s">
        <v>15</v>
      </c>
      <c r="D2790" t="s">
        <v>34</v>
      </c>
      <c r="E2790" t="s">
        <v>22</v>
      </c>
      <c r="F2790" t="s">
        <v>19</v>
      </c>
      <c r="G2790" s="1" t="str">
        <f t="shared" si="581"/>
        <v>X</v>
      </c>
      <c r="H2790" s="1" t="str">
        <f t="shared" si="581"/>
        <v>X</v>
      </c>
      <c r="I2790" s="1" t="str">
        <f t="shared" si="581"/>
        <v>X</v>
      </c>
      <c r="J2790" s="1" t="str">
        <f t="shared" si="581"/>
        <v>X</v>
      </c>
      <c r="K2790" s="1" t="str">
        <f t="shared" si="581"/>
        <v>X</v>
      </c>
      <c r="L2790" s="1" t="str">
        <f t="shared" si="581"/>
        <v>X</v>
      </c>
      <c r="M2790" s="1" t="str">
        <f t="shared" si="581"/>
        <v>X</v>
      </c>
      <c r="N2790" t="s">
        <v>27</v>
      </c>
    </row>
    <row r="2791" spans="1:14" x14ac:dyDescent="0.25">
      <c r="A2791" t="s">
        <v>41</v>
      </c>
      <c r="B2791" t="s">
        <v>15</v>
      </c>
      <c r="C2791" t="s">
        <v>15</v>
      </c>
      <c r="D2791" t="s">
        <v>34</v>
      </c>
      <c r="E2791" t="s">
        <v>22</v>
      </c>
      <c r="F2791" t="s">
        <v>20</v>
      </c>
      <c r="G2791" s="2">
        <f>VALUE(492.5274485325)</f>
        <v>492.52744853249999</v>
      </c>
      <c r="H2791" s="3">
        <f>VALUE(424.026870755)</f>
        <v>424.026870755</v>
      </c>
      <c r="I2791" s="1">
        <f>VALUE(3508)</f>
        <v>3508</v>
      </c>
      <c r="J2791" s="1">
        <f>VALUE(4296)</f>
        <v>4296</v>
      </c>
      <c r="K2791" s="1">
        <f>VALUE(5165)</f>
        <v>5165</v>
      </c>
      <c r="L2791" s="1">
        <f>VALUE(6131)</f>
        <v>6131</v>
      </c>
      <c r="M2791" s="1">
        <f>VALUE(7222)</f>
        <v>7222</v>
      </c>
      <c r="N2791" t="s">
        <v>25</v>
      </c>
    </row>
    <row r="2792" spans="1:14" x14ac:dyDescent="0.25">
      <c r="A2792" t="s">
        <v>41</v>
      </c>
      <c r="B2792" t="s">
        <v>15</v>
      </c>
      <c r="C2792" t="s">
        <v>15</v>
      </c>
      <c r="D2792" t="s">
        <v>34</v>
      </c>
      <c r="E2792" t="s">
        <v>23</v>
      </c>
      <c r="F2792" t="s">
        <v>15</v>
      </c>
      <c r="G2792" s="2">
        <f>VALUE(416.8899900427)</f>
        <v>416.88999004269999</v>
      </c>
      <c r="H2792" s="3">
        <f>VALUE(369.8687397459)</f>
        <v>369.86873974589997</v>
      </c>
      <c r="I2792" s="1">
        <f>VALUE(2811)</f>
        <v>2811</v>
      </c>
      <c r="J2792" s="1">
        <f>VALUE(3255)</f>
        <v>3255</v>
      </c>
      <c r="K2792" s="6">
        <f>VALUE(4028)</f>
        <v>4028</v>
      </c>
      <c r="L2792" s="1">
        <f>VALUE(5238)</f>
        <v>5238</v>
      </c>
      <c r="M2792" s="1">
        <f>VALUE(6870)</f>
        <v>6870</v>
      </c>
      <c r="N2792" t="s">
        <v>25</v>
      </c>
    </row>
    <row r="2793" spans="1:14" x14ac:dyDescent="0.25">
      <c r="A2793" t="s">
        <v>41</v>
      </c>
      <c r="B2793" t="s">
        <v>15</v>
      </c>
      <c r="C2793" t="s">
        <v>15</v>
      </c>
      <c r="D2793" t="s">
        <v>34</v>
      </c>
      <c r="E2793" t="s">
        <v>23</v>
      </c>
      <c r="F2793" t="s">
        <v>17</v>
      </c>
      <c r="G2793" s="1" t="str">
        <f t="shared" ref="G2793:M2795" si="582">"X"</f>
        <v>X</v>
      </c>
      <c r="H2793" s="1" t="str">
        <f t="shared" si="582"/>
        <v>X</v>
      </c>
      <c r="I2793" s="1" t="str">
        <f t="shared" si="582"/>
        <v>X</v>
      </c>
      <c r="J2793" s="1" t="str">
        <f t="shared" si="582"/>
        <v>X</v>
      </c>
      <c r="K2793" s="1" t="str">
        <f t="shared" si="582"/>
        <v>X</v>
      </c>
      <c r="L2793" s="1" t="str">
        <f t="shared" si="582"/>
        <v>X</v>
      </c>
      <c r="M2793" s="1" t="str">
        <f t="shared" si="582"/>
        <v>X</v>
      </c>
      <c r="N2793" t="s">
        <v>27</v>
      </c>
    </row>
    <row r="2794" spans="1:14" x14ac:dyDescent="0.25">
      <c r="A2794" t="s">
        <v>41</v>
      </c>
      <c r="B2794" t="s">
        <v>15</v>
      </c>
      <c r="C2794" t="s">
        <v>15</v>
      </c>
      <c r="D2794" t="s">
        <v>34</v>
      </c>
      <c r="E2794" t="s">
        <v>23</v>
      </c>
      <c r="F2794" t="s">
        <v>18</v>
      </c>
      <c r="G2794" s="1" t="str">
        <f t="shared" si="582"/>
        <v>X</v>
      </c>
      <c r="H2794" s="1" t="str">
        <f t="shared" si="582"/>
        <v>X</v>
      </c>
      <c r="I2794" s="1" t="str">
        <f t="shared" si="582"/>
        <v>X</v>
      </c>
      <c r="J2794" s="1" t="str">
        <f t="shared" si="582"/>
        <v>X</v>
      </c>
      <c r="K2794" s="1" t="str">
        <f t="shared" si="582"/>
        <v>X</v>
      </c>
      <c r="L2794" s="1" t="str">
        <f t="shared" si="582"/>
        <v>X</v>
      </c>
      <c r="M2794" s="1" t="str">
        <f t="shared" si="582"/>
        <v>X</v>
      </c>
      <c r="N2794" t="s">
        <v>27</v>
      </c>
    </row>
    <row r="2795" spans="1:14" x14ac:dyDescent="0.25">
      <c r="A2795" t="s">
        <v>41</v>
      </c>
      <c r="B2795" t="s">
        <v>15</v>
      </c>
      <c r="C2795" t="s">
        <v>15</v>
      </c>
      <c r="D2795" t="s">
        <v>34</v>
      </c>
      <c r="E2795" t="s">
        <v>23</v>
      </c>
      <c r="F2795" t="s">
        <v>19</v>
      </c>
      <c r="G2795" s="1" t="str">
        <f t="shared" si="582"/>
        <v>X</v>
      </c>
      <c r="H2795" s="1" t="str">
        <f t="shared" si="582"/>
        <v>X</v>
      </c>
      <c r="I2795" s="1" t="str">
        <f t="shared" si="582"/>
        <v>X</v>
      </c>
      <c r="J2795" s="1" t="str">
        <f t="shared" si="582"/>
        <v>X</v>
      </c>
      <c r="K2795" s="1" t="str">
        <f t="shared" si="582"/>
        <v>X</v>
      </c>
      <c r="L2795" s="1" t="str">
        <f t="shared" si="582"/>
        <v>X</v>
      </c>
      <c r="M2795" s="1" t="str">
        <f t="shared" si="582"/>
        <v>X</v>
      </c>
      <c r="N2795" t="s">
        <v>27</v>
      </c>
    </row>
    <row r="2796" spans="1:14" x14ac:dyDescent="0.25">
      <c r="A2796" t="s">
        <v>41</v>
      </c>
      <c r="B2796" t="s">
        <v>15</v>
      </c>
      <c r="C2796" t="s">
        <v>15</v>
      </c>
      <c r="D2796" t="s">
        <v>34</v>
      </c>
      <c r="E2796" t="s">
        <v>23</v>
      </c>
      <c r="F2796" t="s">
        <v>20</v>
      </c>
      <c r="G2796" s="2">
        <f>VALUE(367.2105035292)</f>
        <v>367.21050352920003</v>
      </c>
      <c r="H2796" s="3">
        <f>VALUE(325.7591141329)</f>
        <v>325.75911413289998</v>
      </c>
      <c r="I2796" s="1">
        <f>VALUE(2811)</f>
        <v>2811</v>
      </c>
      <c r="J2796" s="1">
        <f>VALUE(3240)</f>
        <v>3240</v>
      </c>
      <c r="K2796" s="6">
        <f>VALUE(3798)</f>
        <v>3798</v>
      </c>
      <c r="L2796" s="1">
        <f>VALUE(5108)</f>
        <v>5108</v>
      </c>
      <c r="M2796" s="1">
        <f>VALUE(6341)</f>
        <v>6341</v>
      </c>
      <c r="N2796" t="s">
        <v>25</v>
      </c>
    </row>
    <row r="2797" spans="1:14" x14ac:dyDescent="0.25">
      <c r="A2797" t="s">
        <v>41</v>
      </c>
      <c r="B2797" t="s">
        <v>15</v>
      </c>
      <c r="C2797" t="s">
        <v>15</v>
      </c>
      <c r="D2797" t="s">
        <v>34</v>
      </c>
      <c r="E2797" t="s">
        <v>26</v>
      </c>
      <c r="F2797" t="s">
        <v>15</v>
      </c>
      <c r="G2797" s="1" t="str">
        <f t="shared" ref="G2797:M2799" si="583">"X"</f>
        <v>X</v>
      </c>
      <c r="H2797" s="1" t="str">
        <f t="shared" si="583"/>
        <v>X</v>
      </c>
      <c r="I2797" s="1" t="str">
        <f t="shared" si="583"/>
        <v>X</v>
      </c>
      <c r="J2797" s="1" t="str">
        <f t="shared" si="583"/>
        <v>X</v>
      </c>
      <c r="K2797" s="1" t="str">
        <f t="shared" si="583"/>
        <v>X</v>
      </c>
      <c r="L2797" s="1" t="str">
        <f t="shared" si="583"/>
        <v>X</v>
      </c>
      <c r="M2797" s="1" t="str">
        <f t="shared" si="583"/>
        <v>X</v>
      </c>
      <c r="N2797" t="s">
        <v>27</v>
      </c>
    </row>
    <row r="2798" spans="1:14" x14ac:dyDescent="0.25">
      <c r="A2798" t="s">
        <v>41</v>
      </c>
      <c r="B2798" t="s">
        <v>15</v>
      </c>
      <c r="C2798" t="s">
        <v>15</v>
      </c>
      <c r="D2798" t="s">
        <v>34</v>
      </c>
      <c r="E2798" t="s">
        <v>26</v>
      </c>
      <c r="F2798" t="s">
        <v>17</v>
      </c>
      <c r="G2798" s="1" t="str">
        <f t="shared" si="583"/>
        <v>X</v>
      </c>
      <c r="H2798" s="1" t="str">
        <f t="shared" si="583"/>
        <v>X</v>
      </c>
      <c r="I2798" s="1" t="str">
        <f t="shared" si="583"/>
        <v>X</v>
      </c>
      <c r="J2798" s="1" t="str">
        <f t="shared" si="583"/>
        <v>X</v>
      </c>
      <c r="K2798" s="1" t="str">
        <f t="shared" si="583"/>
        <v>X</v>
      </c>
      <c r="L2798" s="1" t="str">
        <f t="shared" si="583"/>
        <v>X</v>
      </c>
      <c r="M2798" s="1" t="str">
        <f t="shared" si="583"/>
        <v>X</v>
      </c>
      <c r="N2798" t="s">
        <v>27</v>
      </c>
    </row>
    <row r="2799" spans="1:14" x14ac:dyDescent="0.25">
      <c r="A2799" t="s">
        <v>41</v>
      </c>
      <c r="B2799" t="s">
        <v>15</v>
      </c>
      <c r="C2799" t="s">
        <v>15</v>
      </c>
      <c r="D2799" t="s">
        <v>34</v>
      </c>
      <c r="E2799" t="s">
        <v>26</v>
      </c>
      <c r="F2799" t="s">
        <v>18</v>
      </c>
      <c r="G2799" s="1" t="str">
        <f t="shared" si="583"/>
        <v>X</v>
      </c>
      <c r="H2799" s="1" t="str">
        <f t="shared" si="583"/>
        <v>X</v>
      </c>
      <c r="I2799" s="1" t="str">
        <f t="shared" si="583"/>
        <v>X</v>
      </c>
      <c r="J2799" s="1" t="str">
        <f t="shared" si="583"/>
        <v>X</v>
      </c>
      <c r="K2799" s="1" t="str">
        <f t="shared" si="583"/>
        <v>X</v>
      </c>
      <c r="L2799" s="1" t="str">
        <f t="shared" si="583"/>
        <v>X</v>
      </c>
      <c r="M2799" s="1" t="str">
        <f t="shared" si="583"/>
        <v>X</v>
      </c>
      <c r="N2799" t="s">
        <v>27</v>
      </c>
    </row>
    <row r="2800" spans="1:14" x14ac:dyDescent="0.25">
      <c r="A2800" t="s">
        <v>41</v>
      </c>
      <c r="B2800" t="s">
        <v>15</v>
      </c>
      <c r="C2800" t="s">
        <v>15</v>
      </c>
      <c r="D2800" t="s">
        <v>34</v>
      </c>
      <c r="E2800" t="s">
        <v>26</v>
      </c>
      <c r="F2800" t="s">
        <v>19</v>
      </c>
      <c r="G2800" s="1" t="str">
        <f t="shared" ref="G2800:M2800" si="584">"..."</f>
        <v>...</v>
      </c>
      <c r="H2800" s="1" t="str">
        <f t="shared" si="584"/>
        <v>...</v>
      </c>
      <c r="I2800" s="1" t="str">
        <f t="shared" si="584"/>
        <v>...</v>
      </c>
      <c r="J2800" s="1" t="str">
        <f t="shared" si="584"/>
        <v>...</v>
      </c>
      <c r="K2800" s="1" t="str">
        <f t="shared" si="584"/>
        <v>...</v>
      </c>
      <c r="L2800" s="1" t="str">
        <f t="shared" si="584"/>
        <v>...</v>
      </c>
      <c r="M2800" s="1" t="str">
        <f t="shared" si="584"/>
        <v>...</v>
      </c>
      <c r="N2800" t="s">
        <v>30</v>
      </c>
    </row>
    <row r="2801" spans="1:14" x14ac:dyDescent="0.25">
      <c r="A2801" t="s">
        <v>41</v>
      </c>
      <c r="B2801" t="s">
        <v>15</v>
      </c>
      <c r="C2801" t="s">
        <v>15</v>
      </c>
      <c r="D2801" t="s">
        <v>34</v>
      </c>
      <c r="E2801" t="s">
        <v>26</v>
      </c>
      <c r="F2801" t="s">
        <v>20</v>
      </c>
      <c r="G2801" s="1" t="str">
        <f t="shared" ref="G2801:M2801" si="585">"X"</f>
        <v>X</v>
      </c>
      <c r="H2801" s="1" t="str">
        <f t="shared" si="585"/>
        <v>X</v>
      </c>
      <c r="I2801" s="1" t="str">
        <f t="shared" si="585"/>
        <v>X</v>
      </c>
      <c r="J2801" s="1" t="str">
        <f t="shared" si="585"/>
        <v>X</v>
      </c>
      <c r="K2801" s="1" t="str">
        <f t="shared" si="585"/>
        <v>X</v>
      </c>
      <c r="L2801" s="1" t="str">
        <f t="shared" si="585"/>
        <v>X</v>
      </c>
      <c r="M2801" s="1" t="str">
        <f t="shared" si="585"/>
        <v>X</v>
      </c>
      <c r="N2801" t="s">
        <v>27</v>
      </c>
    </row>
    <row r="2802" spans="1:14" x14ac:dyDescent="0.25">
      <c r="A2802" t="s">
        <v>41</v>
      </c>
      <c r="B2802" t="s">
        <v>15</v>
      </c>
      <c r="C2802" t="s">
        <v>35</v>
      </c>
      <c r="D2802" t="s">
        <v>15</v>
      </c>
      <c r="E2802" t="s">
        <v>15</v>
      </c>
      <c r="F2802" t="s">
        <v>15</v>
      </c>
      <c r="G2802" s="1">
        <f>VALUE(6646.2570440002)</f>
        <v>6646.2570440002</v>
      </c>
      <c r="H2802" s="1">
        <f>VALUE(6099.3081961257)</f>
        <v>6099.3081961257003</v>
      </c>
      <c r="I2802" s="1">
        <f>VALUE(2725)</f>
        <v>2725</v>
      </c>
      <c r="J2802" s="1">
        <f>VALUE(3163)</f>
        <v>3163</v>
      </c>
      <c r="K2802" s="1">
        <f>VALUE(3758)</f>
        <v>3758</v>
      </c>
      <c r="L2802" s="1">
        <f>VALUE(4350)</f>
        <v>4350</v>
      </c>
      <c r="M2802" s="1">
        <f>VALUE(5000)</f>
        <v>5000</v>
      </c>
      <c r="N2802" t="s">
        <v>16</v>
      </c>
    </row>
    <row r="2803" spans="1:14" x14ac:dyDescent="0.25">
      <c r="A2803" t="s">
        <v>41</v>
      </c>
      <c r="B2803" t="s">
        <v>15</v>
      </c>
      <c r="C2803" t="s">
        <v>35</v>
      </c>
      <c r="D2803" t="s">
        <v>15</v>
      </c>
      <c r="E2803" t="s">
        <v>15</v>
      </c>
      <c r="F2803" t="s">
        <v>17</v>
      </c>
      <c r="G2803" s="1" t="str">
        <f t="shared" ref="G2803:M2803" si="586">"X"</f>
        <v>X</v>
      </c>
      <c r="H2803" s="1" t="str">
        <f t="shared" si="586"/>
        <v>X</v>
      </c>
      <c r="I2803" s="1" t="str">
        <f t="shared" si="586"/>
        <v>X</v>
      </c>
      <c r="J2803" s="1" t="str">
        <f t="shared" si="586"/>
        <v>X</v>
      </c>
      <c r="K2803" s="1" t="str">
        <f t="shared" si="586"/>
        <v>X</v>
      </c>
      <c r="L2803" s="1" t="str">
        <f t="shared" si="586"/>
        <v>X</v>
      </c>
      <c r="M2803" s="1" t="str">
        <f t="shared" si="586"/>
        <v>X</v>
      </c>
      <c r="N2803" t="s">
        <v>27</v>
      </c>
    </row>
    <row r="2804" spans="1:14" x14ac:dyDescent="0.25">
      <c r="A2804" t="s">
        <v>41</v>
      </c>
      <c r="B2804" t="s">
        <v>15</v>
      </c>
      <c r="C2804" t="s">
        <v>35</v>
      </c>
      <c r="D2804" t="s">
        <v>15</v>
      </c>
      <c r="E2804" t="s">
        <v>15</v>
      </c>
      <c r="F2804" t="s">
        <v>18</v>
      </c>
      <c r="G2804" s="2">
        <f>VALUE(397.5088804988)</f>
        <v>397.50888049880001</v>
      </c>
      <c r="H2804" s="3">
        <f>VALUE(378.1919757974)</f>
        <v>378.1919757974</v>
      </c>
      <c r="I2804" s="4">
        <f>VALUE(2844)</f>
        <v>2844</v>
      </c>
      <c r="J2804" s="1">
        <f>VALUE(3309)</f>
        <v>3309</v>
      </c>
      <c r="K2804" s="1">
        <f>VALUE(3908)</f>
        <v>3908</v>
      </c>
      <c r="L2804" s="1">
        <f>VALUE(4642)</f>
        <v>4642</v>
      </c>
      <c r="M2804" s="1">
        <f>VALUE(5175)</f>
        <v>5175</v>
      </c>
      <c r="N2804" t="s">
        <v>25</v>
      </c>
    </row>
    <row r="2805" spans="1:14" x14ac:dyDescent="0.25">
      <c r="A2805" t="s">
        <v>41</v>
      </c>
      <c r="B2805" t="s">
        <v>15</v>
      </c>
      <c r="C2805" t="s">
        <v>35</v>
      </c>
      <c r="D2805" t="s">
        <v>15</v>
      </c>
      <c r="E2805" t="s">
        <v>15</v>
      </c>
      <c r="F2805" t="s">
        <v>19</v>
      </c>
      <c r="G2805" s="2">
        <f>VALUE(698.8934865123)</f>
        <v>698.8934865123</v>
      </c>
      <c r="H2805" s="3">
        <f>VALUE(666.8924856644)</f>
        <v>666.89248566440006</v>
      </c>
      <c r="I2805" s="1">
        <f>VALUE(3055)</f>
        <v>3055</v>
      </c>
      <c r="J2805" s="1">
        <f>VALUE(3458)</f>
        <v>3458</v>
      </c>
      <c r="K2805" s="1">
        <f>VALUE(3948)</f>
        <v>3948</v>
      </c>
      <c r="L2805" s="1">
        <f>VALUE(4545)</f>
        <v>4545</v>
      </c>
      <c r="M2805" s="1">
        <f>VALUE(5025)</f>
        <v>5025</v>
      </c>
      <c r="N2805" t="s">
        <v>25</v>
      </c>
    </row>
    <row r="2806" spans="1:14" x14ac:dyDescent="0.25">
      <c r="A2806" t="s">
        <v>41</v>
      </c>
      <c r="B2806" t="s">
        <v>15</v>
      </c>
      <c r="C2806" t="s">
        <v>35</v>
      </c>
      <c r="D2806" t="s">
        <v>15</v>
      </c>
      <c r="E2806" t="s">
        <v>15</v>
      </c>
      <c r="F2806" t="s">
        <v>20</v>
      </c>
      <c r="G2806" s="1">
        <f>VALUE(5290.2655146828)</f>
        <v>5290.2655146828001</v>
      </c>
      <c r="H2806" s="1">
        <f>VALUE(4806.7354645607)</f>
        <v>4806.7354645607002</v>
      </c>
      <c r="I2806" s="1">
        <f>VALUE(2705)</f>
        <v>2705</v>
      </c>
      <c r="J2806" s="1">
        <f>VALUE(3109)</f>
        <v>3109</v>
      </c>
      <c r="K2806" s="1">
        <f>VALUE(3671)</f>
        <v>3671</v>
      </c>
      <c r="L2806" s="1">
        <f>VALUE(4269)</f>
        <v>4269</v>
      </c>
      <c r="M2806" s="1">
        <f>VALUE(4933)</f>
        <v>4933</v>
      </c>
      <c r="N2806" t="s">
        <v>16</v>
      </c>
    </row>
    <row r="2807" spans="1:14" x14ac:dyDescent="0.25">
      <c r="A2807" t="s">
        <v>41</v>
      </c>
      <c r="B2807" t="s">
        <v>15</v>
      </c>
      <c r="C2807" t="s">
        <v>35</v>
      </c>
      <c r="D2807" t="s">
        <v>15</v>
      </c>
      <c r="E2807" t="s">
        <v>21</v>
      </c>
      <c r="F2807" t="s">
        <v>15</v>
      </c>
      <c r="G2807" s="2">
        <f>VALUE(796.1591765565)</f>
        <v>796.15917655650003</v>
      </c>
      <c r="H2807" s="3">
        <f>VALUE(726.7165900826)</f>
        <v>726.71659008259996</v>
      </c>
      <c r="I2807" s="4">
        <f>VALUE(2791)</f>
        <v>2791</v>
      </c>
      <c r="J2807" s="1">
        <f>VALUE(3273)</f>
        <v>3273</v>
      </c>
      <c r="K2807" s="1">
        <f>VALUE(3859)</f>
        <v>3859</v>
      </c>
      <c r="L2807" s="1">
        <f>VALUE(4489)</f>
        <v>4489</v>
      </c>
      <c r="M2807" s="1">
        <f>VALUE(5238)</f>
        <v>5238</v>
      </c>
      <c r="N2807" t="s">
        <v>25</v>
      </c>
    </row>
    <row r="2808" spans="1:14" x14ac:dyDescent="0.25">
      <c r="A2808" t="s">
        <v>41</v>
      </c>
      <c r="B2808" t="s">
        <v>15</v>
      </c>
      <c r="C2808" t="s">
        <v>35</v>
      </c>
      <c r="D2808" t="s">
        <v>15</v>
      </c>
      <c r="E2808" t="s">
        <v>21</v>
      </c>
      <c r="F2808" t="s">
        <v>17</v>
      </c>
      <c r="G2808" s="1" t="str">
        <f t="shared" ref="G2808:M2810" si="587">"X"</f>
        <v>X</v>
      </c>
      <c r="H2808" s="1" t="str">
        <f t="shared" si="587"/>
        <v>X</v>
      </c>
      <c r="I2808" s="1" t="str">
        <f t="shared" si="587"/>
        <v>X</v>
      </c>
      <c r="J2808" s="1" t="str">
        <f t="shared" si="587"/>
        <v>X</v>
      </c>
      <c r="K2808" s="1" t="str">
        <f t="shared" si="587"/>
        <v>X</v>
      </c>
      <c r="L2808" s="1" t="str">
        <f t="shared" si="587"/>
        <v>X</v>
      </c>
      <c r="M2808" s="1" t="str">
        <f t="shared" si="587"/>
        <v>X</v>
      </c>
      <c r="N2808" t="s">
        <v>27</v>
      </c>
    </row>
    <row r="2809" spans="1:14" x14ac:dyDescent="0.25">
      <c r="A2809" t="s">
        <v>41</v>
      </c>
      <c r="B2809" t="s">
        <v>15</v>
      </c>
      <c r="C2809" t="s">
        <v>35</v>
      </c>
      <c r="D2809" t="s">
        <v>15</v>
      </c>
      <c r="E2809" t="s">
        <v>21</v>
      </c>
      <c r="F2809" t="s">
        <v>18</v>
      </c>
      <c r="G2809" s="1" t="str">
        <f t="shared" si="587"/>
        <v>X</v>
      </c>
      <c r="H2809" s="1" t="str">
        <f t="shared" si="587"/>
        <v>X</v>
      </c>
      <c r="I2809" s="1" t="str">
        <f t="shared" si="587"/>
        <v>X</v>
      </c>
      <c r="J2809" s="1" t="str">
        <f t="shared" si="587"/>
        <v>X</v>
      </c>
      <c r="K2809" s="1" t="str">
        <f t="shared" si="587"/>
        <v>X</v>
      </c>
      <c r="L2809" s="1" t="str">
        <f t="shared" si="587"/>
        <v>X</v>
      </c>
      <c r="M2809" s="1" t="str">
        <f t="shared" si="587"/>
        <v>X</v>
      </c>
      <c r="N2809" t="s">
        <v>27</v>
      </c>
    </row>
    <row r="2810" spans="1:14" x14ac:dyDescent="0.25">
      <c r="A2810" t="s">
        <v>41</v>
      </c>
      <c r="B2810" t="s">
        <v>15</v>
      </c>
      <c r="C2810" t="s">
        <v>35</v>
      </c>
      <c r="D2810" t="s">
        <v>15</v>
      </c>
      <c r="E2810" t="s">
        <v>21</v>
      </c>
      <c r="F2810" t="s">
        <v>19</v>
      </c>
      <c r="G2810" s="1" t="str">
        <f t="shared" si="587"/>
        <v>X</v>
      </c>
      <c r="H2810" s="1" t="str">
        <f t="shared" si="587"/>
        <v>X</v>
      </c>
      <c r="I2810" s="1" t="str">
        <f t="shared" si="587"/>
        <v>X</v>
      </c>
      <c r="J2810" s="1" t="str">
        <f t="shared" si="587"/>
        <v>X</v>
      </c>
      <c r="K2810" s="1" t="str">
        <f t="shared" si="587"/>
        <v>X</v>
      </c>
      <c r="L2810" s="1" t="str">
        <f t="shared" si="587"/>
        <v>X</v>
      </c>
      <c r="M2810" s="1" t="str">
        <f t="shared" si="587"/>
        <v>X</v>
      </c>
      <c r="N2810" t="s">
        <v>27</v>
      </c>
    </row>
    <row r="2811" spans="1:14" x14ac:dyDescent="0.25">
      <c r="A2811" t="s">
        <v>41</v>
      </c>
      <c r="B2811" t="s">
        <v>15</v>
      </c>
      <c r="C2811" t="s">
        <v>35</v>
      </c>
      <c r="D2811" t="s">
        <v>15</v>
      </c>
      <c r="E2811" t="s">
        <v>21</v>
      </c>
      <c r="F2811" t="s">
        <v>20</v>
      </c>
      <c r="G2811" s="2">
        <f>VALUE(449.6952851373)</f>
        <v>449.6952851373</v>
      </c>
      <c r="H2811" s="3">
        <f>VALUE(411.0078981371)</f>
        <v>411.00789813710003</v>
      </c>
      <c r="I2811" s="4">
        <f>VALUE(2371)</f>
        <v>2371</v>
      </c>
      <c r="J2811" s="5">
        <f>VALUE(3250)</f>
        <v>3250</v>
      </c>
      <c r="K2811" s="1">
        <f>VALUE(3691)</f>
        <v>3691</v>
      </c>
      <c r="L2811" s="1">
        <f>VALUE(4275)</f>
        <v>4275</v>
      </c>
      <c r="M2811" s="1">
        <f>VALUE(4842)</f>
        <v>4842</v>
      </c>
      <c r="N2811" t="s">
        <v>25</v>
      </c>
    </row>
    <row r="2812" spans="1:14" x14ac:dyDescent="0.25">
      <c r="A2812" t="s">
        <v>41</v>
      </c>
      <c r="B2812" t="s">
        <v>15</v>
      </c>
      <c r="C2812" t="s">
        <v>35</v>
      </c>
      <c r="D2812" t="s">
        <v>15</v>
      </c>
      <c r="E2812" t="s">
        <v>22</v>
      </c>
      <c r="F2812" t="s">
        <v>15</v>
      </c>
      <c r="G2812" s="1">
        <f>VALUE(3475.7957193328)</f>
        <v>3475.7957193328002</v>
      </c>
      <c r="H2812" s="1">
        <f>VALUE(3283.5216671487)</f>
        <v>3283.5216671487001</v>
      </c>
      <c r="I2812" s="1">
        <f>VALUE(2917)</f>
        <v>2917</v>
      </c>
      <c r="J2812" s="1">
        <f>VALUE(3458)</f>
        <v>3458</v>
      </c>
      <c r="K2812" s="1">
        <f>VALUE(3957)</f>
        <v>3957</v>
      </c>
      <c r="L2812" s="1">
        <f>VALUE(4536)</f>
        <v>4536</v>
      </c>
      <c r="M2812" s="1">
        <f>VALUE(5160)</f>
        <v>5160</v>
      </c>
      <c r="N2812" t="s">
        <v>16</v>
      </c>
    </row>
    <row r="2813" spans="1:14" x14ac:dyDescent="0.25">
      <c r="A2813" t="s">
        <v>41</v>
      </c>
      <c r="B2813" t="s">
        <v>15</v>
      </c>
      <c r="C2813" t="s">
        <v>35</v>
      </c>
      <c r="D2813" t="s">
        <v>15</v>
      </c>
      <c r="E2813" t="s">
        <v>22</v>
      </c>
      <c r="F2813" t="s">
        <v>17</v>
      </c>
      <c r="G2813" s="1" t="str">
        <f t="shared" ref="G2813:M2813" si="588">"X"</f>
        <v>X</v>
      </c>
      <c r="H2813" s="1" t="str">
        <f t="shared" si="588"/>
        <v>X</v>
      </c>
      <c r="I2813" s="1" t="str">
        <f t="shared" si="588"/>
        <v>X</v>
      </c>
      <c r="J2813" s="1" t="str">
        <f t="shared" si="588"/>
        <v>X</v>
      </c>
      <c r="K2813" s="1" t="str">
        <f t="shared" si="588"/>
        <v>X</v>
      </c>
      <c r="L2813" s="1" t="str">
        <f t="shared" si="588"/>
        <v>X</v>
      </c>
      <c r="M2813" s="1" t="str">
        <f t="shared" si="588"/>
        <v>X</v>
      </c>
      <c r="N2813" t="s">
        <v>27</v>
      </c>
    </row>
    <row r="2814" spans="1:14" x14ac:dyDescent="0.25">
      <c r="A2814" t="s">
        <v>41</v>
      </c>
      <c r="B2814" t="s">
        <v>15</v>
      </c>
      <c r="C2814" t="s">
        <v>35</v>
      </c>
      <c r="D2814" t="s">
        <v>15</v>
      </c>
      <c r="E2814" t="s">
        <v>22</v>
      </c>
      <c r="F2814" t="s">
        <v>18</v>
      </c>
      <c r="G2814" s="2">
        <f>VALUE(212.7277202845)</f>
        <v>212.72772028450001</v>
      </c>
      <c r="H2814" s="3">
        <f>VALUE(207.9650933153)</f>
        <v>207.96509331530001</v>
      </c>
      <c r="I2814" s="4">
        <f>VALUE(2914)</f>
        <v>2914</v>
      </c>
      <c r="J2814" s="1">
        <f>VALUE(3667)</f>
        <v>3667</v>
      </c>
      <c r="K2814" s="1">
        <f>VALUE(4127)</f>
        <v>4127</v>
      </c>
      <c r="L2814" s="1">
        <f>VALUE(4524)</f>
        <v>4524</v>
      </c>
      <c r="M2814" s="1">
        <f>VALUE(4901)</f>
        <v>4901</v>
      </c>
      <c r="N2814" t="s">
        <v>25</v>
      </c>
    </row>
    <row r="2815" spans="1:14" x14ac:dyDescent="0.25">
      <c r="A2815" t="s">
        <v>41</v>
      </c>
      <c r="B2815" t="s">
        <v>15</v>
      </c>
      <c r="C2815" t="s">
        <v>35</v>
      </c>
      <c r="D2815" t="s">
        <v>15</v>
      </c>
      <c r="E2815" t="s">
        <v>22</v>
      </c>
      <c r="F2815" t="s">
        <v>19</v>
      </c>
      <c r="G2815" s="2">
        <f>VALUE(489.9949493845)</f>
        <v>489.99494938449999</v>
      </c>
      <c r="H2815" s="3">
        <f>VALUE(478.3973937485)</f>
        <v>478.39739374850001</v>
      </c>
      <c r="I2815" s="1">
        <f>VALUE(3111)</f>
        <v>3111</v>
      </c>
      <c r="J2815" s="1">
        <f>VALUE(3500)</f>
        <v>3500</v>
      </c>
      <c r="K2815" s="1">
        <f>VALUE(3948)</f>
        <v>3948</v>
      </c>
      <c r="L2815" s="1">
        <f>VALUE(4660)</f>
        <v>4660</v>
      </c>
      <c r="M2815" s="1">
        <f>VALUE(5025)</f>
        <v>5025</v>
      </c>
      <c r="N2815" t="s">
        <v>25</v>
      </c>
    </row>
    <row r="2816" spans="1:14" x14ac:dyDescent="0.25">
      <c r="A2816" t="s">
        <v>41</v>
      </c>
      <c r="B2816" t="s">
        <v>15</v>
      </c>
      <c r="C2816" t="s">
        <v>35</v>
      </c>
      <c r="D2816" t="s">
        <v>15</v>
      </c>
      <c r="E2816" t="s">
        <v>22</v>
      </c>
      <c r="F2816" t="s">
        <v>20</v>
      </c>
      <c r="G2816" s="1">
        <f>VALUE(2633.1198361971)</f>
        <v>2633.1198361971001</v>
      </c>
      <c r="H2816" s="1">
        <f>VALUE(2460.6156346834)</f>
        <v>2460.6156346834</v>
      </c>
      <c r="I2816" s="1">
        <f>VALUE(2844)</f>
        <v>2844</v>
      </c>
      <c r="J2816" s="1">
        <f>VALUE(3389)</f>
        <v>3389</v>
      </c>
      <c r="K2816" s="1">
        <f>VALUE(3950)</f>
        <v>3950</v>
      </c>
      <c r="L2816" s="1">
        <f>VALUE(4493)</f>
        <v>4493</v>
      </c>
      <c r="M2816" s="1">
        <f>VALUE(5190)</f>
        <v>5190</v>
      </c>
      <c r="N2816" t="s">
        <v>16</v>
      </c>
    </row>
    <row r="2817" spans="1:14" x14ac:dyDescent="0.25">
      <c r="A2817" t="s">
        <v>41</v>
      </c>
      <c r="B2817" t="s">
        <v>15</v>
      </c>
      <c r="C2817" t="s">
        <v>35</v>
      </c>
      <c r="D2817" t="s">
        <v>15</v>
      </c>
      <c r="E2817" t="s">
        <v>23</v>
      </c>
      <c r="F2817" t="s">
        <v>15</v>
      </c>
      <c r="G2817" s="1">
        <f>VALUE(2291.3307009327)</f>
        <v>2291.3307009327</v>
      </c>
      <c r="H2817" s="1">
        <f>VALUE(2003.3662007858)</f>
        <v>2003.3662007857999</v>
      </c>
      <c r="I2817" s="1">
        <f>VALUE(2556)</f>
        <v>2556</v>
      </c>
      <c r="J2817" s="1">
        <f>VALUE(2867)</f>
        <v>2867</v>
      </c>
      <c r="K2817" s="1">
        <f>VALUE(3288)</f>
        <v>3288</v>
      </c>
      <c r="L2817" s="1">
        <f>VALUE(3865)</f>
        <v>3865</v>
      </c>
      <c r="M2817" s="1">
        <f>VALUE(4601)</f>
        <v>4601</v>
      </c>
      <c r="N2817" t="s">
        <v>16</v>
      </c>
    </row>
    <row r="2818" spans="1:14" x14ac:dyDescent="0.25">
      <c r="A2818" t="s">
        <v>41</v>
      </c>
      <c r="B2818" t="s">
        <v>15</v>
      </c>
      <c r="C2818" t="s">
        <v>35</v>
      </c>
      <c r="D2818" t="s">
        <v>15</v>
      </c>
      <c r="E2818" t="s">
        <v>23</v>
      </c>
      <c r="F2818" t="s">
        <v>17</v>
      </c>
      <c r="G2818" s="1" t="str">
        <f t="shared" ref="G2818:M2820" si="589">"X"</f>
        <v>X</v>
      </c>
      <c r="H2818" s="1" t="str">
        <f t="shared" si="589"/>
        <v>X</v>
      </c>
      <c r="I2818" s="1" t="str">
        <f t="shared" si="589"/>
        <v>X</v>
      </c>
      <c r="J2818" s="1" t="str">
        <f t="shared" si="589"/>
        <v>X</v>
      </c>
      <c r="K2818" s="1" t="str">
        <f t="shared" si="589"/>
        <v>X</v>
      </c>
      <c r="L2818" s="1" t="str">
        <f t="shared" si="589"/>
        <v>X</v>
      </c>
      <c r="M2818" s="1" t="str">
        <f t="shared" si="589"/>
        <v>X</v>
      </c>
      <c r="N2818" t="s">
        <v>27</v>
      </c>
    </row>
    <row r="2819" spans="1:14" x14ac:dyDescent="0.25">
      <c r="A2819" t="s">
        <v>41</v>
      </c>
      <c r="B2819" t="s">
        <v>15</v>
      </c>
      <c r="C2819" t="s">
        <v>35</v>
      </c>
      <c r="D2819" t="s">
        <v>15</v>
      </c>
      <c r="E2819" t="s">
        <v>23</v>
      </c>
      <c r="F2819" t="s">
        <v>18</v>
      </c>
      <c r="G2819" s="1" t="str">
        <f t="shared" si="589"/>
        <v>X</v>
      </c>
      <c r="H2819" s="1" t="str">
        <f t="shared" si="589"/>
        <v>X</v>
      </c>
      <c r="I2819" s="1" t="str">
        <f t="shared" si="589"/>
        <v>X</v>
      </c>
      <c r="J2819" s="1" t="str">
        <f t="shared" si="589"/>
        <v>X</v>
      </c>
      <c r="K2819" s="1" t="str">
        <f t="shared" si="589"/>
        <v>X</v>
      </c>
      <c r="L2819" s="1" t="str">
        <f t="shared" si="589"/>
        <v>X</v>
      </c>
      <c r="M2819" s="1" t="str">
        <f t="shared" si="589"/>
        <v>X</v>
      </c>
      <c r="N2819" t="s">
        <v>27</v>
      </c>
    </row>
    <row r="2820" spans="1:14" x14ac:dyDescent="0.25">
      <c r="A2820" t="s">
        <v>41</v>
      </c>
      <c r="B2820" t="s">
        <v>15</v>
      </c>
      <c r="C2820" t="s">
        <v>35</v>
      </c>
      <c r="D2820" t="s">
        <v>15</v>
      </c>
      <c r="E2820" t="s">
        <v>23</v>
      </c>
      <c r="F2820" t="s">
        <v>19</v>
      </c>
      <c r="G2820" s="1" t="str">
        <f t="shared" si="589"/>
        <v>X</v>
      </c>
      <c r="H2820" s="1" t="str">
        <f t="shared" si="589"/>
        <v>X</v>
      </c>
      <c r="I2820" s="1" t="str">
        <f t="shared" si="589"/>
        <v>X</v>
      </c>
      <c r="J2820" s="1" t="str">
        <f t="shared" si="589"/>
        <v>X</v>
      </c>
      <c r="K2820" s="1" t="str">
        <f t="shared" si="589"/>
        <v>X</v>
      </c>
      <c r="L2820" s="1" t="str">
        <f t="shared" si="589"/>
        <v>X</v>
      </c>
      <c r="M2820" s="1" t="str">
        <f t="shared" si="589"/>
        <v>X</v>
      </c>
      <c r="N2820" t="s">
        <v>27</v>
      </c>
    </row>
    <row r="2821" spans="1:14" x14ac:dyDescent="0.25">
      <c r="A2821" t="s">
        <v>41</v>
      </c>
      <c r="B2821" t="s">
        <v>15</v>
      </c>
      <c r="C2821" t="s">
        <v>35</v>
      </c>
      <c r="D2821" t="s">
        <v>15</v>
      </c>
      <c r="E2821" t="s">
        <v>23</v>
      </c>
      <c r="F2821" t="s">
        <v>20</v>
      </c>
      <c r="G2821" s="1">
        <f>VALUE(2131.8192190366)</f>
        <v>2131.8192190365999</v>
      </c>
      <c r="H2821" s="1">
        <f>VALUE(1856.7368996544)</f>
        <v>1856.7368996544001</v>
      </c>
      <c r="I2821" s="1">
        <f>VALUE(2556)</f>
        <v>2556</v>
      </c>
      <c r="J2821" s="1">
        <f>VALUE(2867)</f>
        <v>2867</v>
      </c>
      <c r="K2821" s="1">
        <f>VALUE(3263)</f>
        <v>3263</v>
      </c>
      <c r="L2821" s="1">
        <f>VALUE(3830)</f>
        <v>3830</v>
      </c>
      <c r="M2821" s="1">
        <f>VALUE(4539)</f>
        <v>4539</v>
      </c>
      <c r="N2821" t="s">
        <v>16</v>
      </c>
    </row>
    <row r="2822" spans="1:14" x14ac:dyDescent="0.25">
      <c r="A2822" t="s">
        <v>41</v>
      </c>
      <c r="B2822" t="s">
        <v>15</v>
      </c>
      <c r="C2822" t="s">
        <v>35</v>
      </c>
      <c r="D2822" t="s">
        <v>15</v>
      </c>
      <c r="E2822" t="s">
        <v>26</v>
      </c>
      <c r="F2822" t="s">
        <v>15</v>
      </c>
      <c r="G2822" s="1" t="str">
        <f t="shared" ref="G2822:M2822" si="590">"X"</f>
        <v>X</v>
      </c>
      <c r="H2822" s="1" t="str">
        <f t="shared" si="590"/>
        <v>X</v>
      </c>
      <c r="I2822" s="1" t="str">
        <f t="shared" si="590"/>
        <v>X</v>
      </c>
      <c r="J2822" s="1" t="str">
        <f t="shared" si="590"/>
        <v>X</v>
      </c>
      <c r="K2822" s="1" t="str">
        <f t="shared" si="590"/>
        <v>X</v>
      </c>
      <c r="L2822" s="1" t="str">
        <f t="shared" si="590"/>
        <v>X</v>
      </c>
      <c r="M2822" s="1" t="str">
        <f t="shared" si="590"/>
        <v>X</v>
      </c>
      <c r="N2822" t="s">
        <v>27</v>
      </c>
    </row>
    <row r="2823" spans="1:14" x14ac:dyDescent="0.25">
      <c r="A2823" t="s">
        <v>41</v>
      </c>
      <c r="B2823" t="s">
        <v>15</v>
      </c>
      <c r="C2823" t="s">
        <v>35</v>
      </c>
      <c r="D2823" t="s">
        <v>15</v>
      </c>
      <c r="E2823" t="s">
        <v>26</v>
      </c>
      <c r="F2823" t="s">
        <v>17</v>
      </c>
      <c r="G2823" s="1" t="str">
        <f t="shared" ref="G2823:M2823" si="591">"..."</f>
        <v>...</v>
      </c>
      <c r="H2823" s="1" t="str">
        <f t="shared" si="591"/>
        <v>...</v>
      </c>
      <c r="I2823" s="1" t="str">
        <f t="shared" si="591"/>
        <v>...</v>
      </c>
      <c r="J2823" s="1" t="str">
        <f t="shared" si="591"/>
        <v>...</v>
      </c>
      <c r="K2823" s="1" t="str">
        <f t="shared" si="591"/>
        <v>...</v>
      </c>
      <c r="L2823" s="1" t="str">
        <f t="shared" si="591"/>
        <v>...</v>
      </c>
      <c r="M2823" s="1" t="str">
        <f t="shared" si="591"/>
        <v>...</v>
      </c>
      <c r="N2823" t="s">
        <v>30</v>
      </c>
    </row>
    <row r="2824" spans="1:14" x14ac:dyDescent="0.25">
      <c r="A2824" t="s">
        <v>41</v>
      </c>
      <c r="B2824" t="s">
        <v>15</v>
      </c>
      <c r="C2824" t="s">
        <v>35</v>
      </c>
      <c r="D2824" t="s">
        <v>15</v>
      </c>
      <c r="E2824" t="s">
        <v>26</v>
      </c>
      <c r="F2824" t="s">
        <v>18</v>
      </c>
      <c r="G2824" s="1" t="str">
        <f t="shared" ref="G2824:M2824" si="592">"X"</f>
        <v>X</v>
      </c>
      <c r="H2824" s="1" t="str">
        <f t="shared" si="592"/>
        <v>X</v>
      </c>
      <c r="I2824" s="1" t="str">
        <f t="shared" si="592"/>
        <v>X</v>
      </c>
      <c r="J2824" s="1" t="str">
        <f t="shared" si="592"/>
        <v>X</v>
      </c>
      <c r="K2824" s="1" t="str">
        <f t="shared" si="592"/>
        <v>X</v>
      </c>
      <c r="L2824" s="1" t="str">
        <f t="shared" si="592"/>
        <v>X</v>
      </c>
      <c r="M2824" s="1" t="str">
        <f t="shared" si="592"/>
        <v>X</v>
      </c>
      <c r="N2824" t="s">
        <v>27</v>
      </c>
    </row>
    <row r="2825" spans="1:14" x14ac:dyDescent="0.25">
      <c r="A2825" t="s">
        <v>41</v>
      </c>
      <c r="B2825" t="s">
        <v>15</v>
      </c>
      <c r="C2825" t="s">
        <v>35</v>
      </c>
      <c r="D2825" t="s">
        <v>15</v>
      </c>
      <c r="E2825" t="s">
        <v>26</v>
      </c>
      <c r="F2825" t="s">
        <v>19</v>
      </c>
      <c r="G2825" s="1" t="str">
        <f t="shared" ref="G2825:M2825" si="593">"..."</f>
        <v>...</v>
      </c>
      <c r="H2825" s="1" t="str">
        <f t="shared" si="593"/>
        <v>...</v>
      </c>
      <c r="I2825" s="1" t="str">
        <f t="shared" si="593"/>
        <v>...</v>
      </c>
      <c r="J2825" s="1" t="str">
        <f t="shared" si="593"/>
        <v>...</v>
      </c>
      <c r="K2825" s="1" t="str">
        <f t="shared" si="593"/>
        <v>...</v>
      </c>
      <c r="L2825" s="1" t="str">
        <f t="shared" si="593"/>
        <v>...</v>
      </c>
      <c r="M2825" s="1" t="str">
        <f t="shared" si="593"/>
        <v>...</v>
      </c>
      <c r="N2825" t="s">
        <v>30</v>
      </c>
    </row>
    <row r="2826" spans="1:14" x14ac:dyDescent="0.25">
      <c r="A2826" t="s">
        <v>41</v>
      </c>
      <c r="B2826" t="s">
        <v>15</v>
      </c>
      <c r="C2826" t="s">
        <v>35</v>
      </c>
      <c r="D2826" t="s">
        <v>15</v>
      </c>
      <c r="E2826" t="s">
        <v>26</v>
      </c>
      <c r="F2826" t="s">
        <v>20</v>
      </c>
      <c r="G2826" s="1" t="str">
        <f t="shared" ref="G2826:M2826" si="594">"X"</f>
        <v>X</v>
      </c>
      <c r="H2826" s="1" t="str">
        <f t="shared" si="594"/>
        <v>X</v>
      </c>
      <c r="I2826" s="1" t="str">
        <f t="shared" si="594"/>
        <v>X</v>
      </c>
      <c r="J2826" s="1" t="str">
        <f t="shared" si="594"/>
        <v>X</v>
      </c>
      <c r="K2826" s="1" t="str">
        <f t="shared" si="594"/>
        <v>X</v>
      </c>
      <c r="L2826" s="1" t="str">
        <f t="shared" si="594"/>
        <v>X</v>
      </c>
      <c r="M2826" s="1" t="str">
        <f t="shared" si="594"/>
        <v>X</v>
      </c>
      <c r="N2826" t="s">
        <v>27</v>
      </c>
    </row>
    <row r="2827" spans="1:14" x14ac:dyDescent="0.25">
      <c r="A2827" t="s">
        <v>41</v>
      </c>
      <c r="B2827" t="s">
        <v>15</v>
      </c>
      <c r="C2827" t="s">
        <v>35</v>
      </c>
      <c r="D2827" t="s">
        <v>28</v>
      </c>
      <c r="E2827" t="s">
        <v>15</v>
      </c>
      <c r="F2827" t="s">
        <v>15</v>
      </c>
      <c r="G2827" s="1">
        <f>VALUE(3249.6358090986)</f>
        <v>3249.6358090986</v>
      </c>
      <c r="H2827" s="1">
        <f>VALUE(2938.0759019602)</f>
        <v>2938.0759019602001</v>
      </c>
      <c r="I2827" s="1">
        <f>VALUE(2914)</f>
        <v>2914</v>
      </c>
      <c r="J2827" s="1">
        <f>VALUE(3432)</f>
        <v>3432</v>
      </c>
      <c r="K2827" s="1">
        <f>VALUE(3931)</f>
        <v>3931</v>
      </c>
      <c r="L2827" s="1">
        <f>VALUE(4493)</f>
        <v>4493</v>
      </c>
      <c r="M2827" s="1">
        <f>VALUE(5143)</f>
        <v>5143</v>
      </c>
      <c r="N2827" t="s">
        <v>16</v>
      </c>
    </row>
    <row r="2828" spans="1:14" x14ac:dyDescent="0.25">
      <c r="A2828" t="s">
        <v>41</v>
      </c>
      <c r="B2828" t="s">
        <v>15</v>
      </c>
      <c r="C2828" t="s">
        <v>35</v>
      </c>
      <c r="D2828" t="s">
        <v>28</v>
      </c>
      <c r="E2828" t="s">
        <v>15</v>
      </c>
      <c r="F2828" t="s">
        <v>17</v>
      </c>
      <c r="G2828" s="1" t="str">
        <f t="shared" ref="G2828:M2828" si="595">"X"</f>
        <v>X</v>
      </c>
      <c r="H2828" s="1" t="str">
        <f t="shared" si="595"/>
        <v>X</v>
      </c>
      <c r="I2828" s="1" t="str">
        <f t="shared" si="595"/>
        <v>X</v>
      </c>
      <c r="J2828" s="1" t="str">
        <f t="shared" si="595"/>
        <v>X</v>
      </c>
      <c r="K2828" s="1" t="str">
        <f t="shared" si="595"/>
        <v>X</v>
      </c>
      <c r="L2828" s="1" t="str">
        <f t="shared" si="595"/>
        <v>X</v>
      </c>
      <c r="M2828" s="1" t="str">
        <f t="shared" si="595"/>
        <v>X</v>
      </c>
      <c r="N2828" t="s">
        <v>27</v>
      </c>
    </row>
    <row r="2829" spans="1:14" x14ac:dyDescent="0.25">
      <c r="A2829" t="s">
        <v>41</v>
      </c>
      <c r="B2829" t="s">
        <v>15</v>
      </c>
      <c r="C2829" t="s">
        <v>35</v>
      </c>
      <c r="D2829" t="s">
        <v>28</v>
      </c>
      <c r="E2829" t="s">
        <v>15</v>
      </c>
      <c r="F2829" t="s">
        <v>18</v>
      </c>
      <c r="G2829" s="2">
        <f>VALUE(253.2868152143)</f>
        <v>253.28681521429999</v>
      </c>
      <c r="H2829" s="3">
        <f>VALUE(235.4608492709)</f>
        <v>235.46084927090001</v>
      </c>
      <c r="I2829" s="1">
        <f>VALUE(3151)</f>
        <v>3151</v>
      </c>
      <c r="J2829" s="1">
        <f>VALUE(3482)</f>
        <v>3482</v>
      </c>
      <c r="K2829" s="1">
        <f>VALUE(3707)</f>
        <v>3707</v>
      </c>
      <c r="L2829" s="1">
        <f>VALUE(4333)</f>
        <v>4333</v>
      </c>
      <c r="M2829" s="1">
        <f>VALUE(5179)</f>
        <v>5179</v>
      </c>
      <c r="N2829" t="s">
        <v>25</v>
      </c>
    </row>
    <row r="2830" spans="1:14" x14ac:dyDescent="0.25">
      <c r="A2830" t="s">
        <v>41</v>
      </c>
      <c r="B2830" t="s">
        <v>15</v>
      </c>
      <c r="C2830" t="s">
        <v>35</v>
      </c>
      <c r="D2830" t="s">
        <v>28</v>
      </c>
      <c r="E2830" t="s">
        <v>15</v>
      </c>
      <c r="F2830" t="s">
        <v>19</v>
      </c>
      <c r="G2830" s="2">
        <f>VALUE(459.5697061751)</f>
        <v>459.56970617510001</v>
      </c>
      <c r="H2830" s="3">
        <f>VALUE(440.3530846224)</f>
        <v>440.35308462239999</v>
      </c>
      <c r="I2830" s="4">
        <f>VALUE(3250)</f>
        <v>3250</v>
      </c>
      <c r="J2830" s="1">
        <f>VALUE(3549)</f>
        <v>3549</v>
      </c>
      <c r="K2830" s="1">
        <f>VALUE(3948)</f>
        <v>3948</v>
      </c>
      <c r="L2830" s="1">
        <f>VALUE(4660)</f>
        <v>4660</v>
      </c>
      <c r="M2830" s="1">
        <f>VALUE(5025)</f>
        <v>5025</v>
      </c>
      <c r="N2830" t="s">
        <v>25</v>
      </c>
    </row>
    <row r="2831" spans="1:14" x14ac:dyDescent="0.25">
      <c r="A2831" t="s">
        <v>41</v>
      </c>
      <c r="B2831" t="s">
        <v>15</v>
      </c>
      <c r="C2831" t="s">
        <v>35</v>
      </c>
      <c r="D2831" t="s">
        <v>28</v>
      </c>
      <c r="E2831" t="s">
        <v>15</v>
      </c>
      <c r="F2831" t="s">
        <v>20</v>
      </c>
      <c r="G2831" s="1">
        <f>VALUE(2360.4024503373)</f>
        <v>2360.4024503372998</v>
      </c>
      <c r="H2831" s="1">
        <f>VALUE(2097.8407136636)</f>
        <v>2097.8407136636001</v>
      </c>
      <c r="I2831" s="1">
        <f>VALUE(2844)</f>
        <v>2844</v>
      </c>
      <c r="J2831" s="1">
        <f>VALUE(3365)</f>
        <v>3365</v>
      </c>
      <c r="K2831" s="1">
        <f>VALUE(3931)</f>
        <v>3931</v>
      </c>
      <c r="L2831" s="1">
        <f>VALUE(4405)</f>
        <v>4405</v>
      </c>
      <c r="M2831" s="1">
        <f>VALUE(5105)</f>
        <v>5105</v>
      </c>
      <c r="N2831" t="s">
        <v>16</v>
      </c>
    </row>
    <row r="2832" spans="1:14" x14ac:dyDescent="0.25">
      <c r="A2832" t="s">
        <v>41</v>
      </c>
      <c r="B2832" t="s">
        <v>15</v>
      </c>
      <c r="C2832" t="s">
        <v>35</v>
      </c>
      <c r="D2832" t="s">
        <v>28</v>
      </c>
      <c r="E2832" t="s">
        <v>21</v>
      </c>
      <c r="F2832" t="s">
        <v>15</v>
      </c>
      <c r="G2832" s="2">
        <f>VALUE(436.9316842447)</f>
        <v>436.93168424470002</v>
      </c>
      <c r="H2832" s="3">
        <f>VALUE(401.3015122267)</f>
        <v>401.30151222670003</v>
      </c>
      <c r="I2832" s="4">
        <f>VALUE(2941)</f>
        <v>2941</v>
      </c>
      <c r="J2832" s="1">
        <f>VALUE(3397)</f>
        <v>3397</v>
      </c>
      <c r="K2832" s="1">
        <f>VALUE(3902)</f>
        <v>3902</v>
      </c>
      <c r="L2832" s="1">
        <f>VALUE(4492)</f>
        <v>4492</v>
      </c>
      <c r="M2832" s="1">
        <f>VALUE(5283)</f>
        <v>5283</v>
      </c>
      <c r="N2832" t="s">
        <v>25</v>
      </c>
    </row>
    <row r="2833" spans="1:14" x14ac:dyDescent="0.25">
      <c r="A2833" t="s">
        <v>41</v>
      </c>
      <c r="B2833" t="s">
        <v>15</v>
      </c>
      <c r="C2833" t="s">
        <v>35</v>
      </c>
      <c r="D2833" t="s">
        <v>28</v>
      </c>
      <c r="E2833" t="s">
        <v>21</v>
      </c>
      <c r="F2833" t="s">
        <v>17</v>
      </c>
      <c r="G2833" s="1" t="str">
        <f t="shared" ref="G2833:M2835" si="596">"X"</f>
        <v>X</v>
      </c>
      <c r="H2833" s="1" t="str">
        <f t="shared" si="596"/>
        <v>X</v>
      </c>
      <c r="I2833" s="1" t="str">
        <f t="shared" si="596"/>
        <v>X</v>
      </c>
      <c r="J2833" s="1" t="str">
        <f t="shared" si="596"/>
        <v>X</v>
      </c>
      <c r="K2833" s="1" t="str">
        <f t="shared" si="596"/>
        <v>X</v>
      </c>
      <c r="L2833" s="1" t="str">
        <f t="shared" si="596"/>
        <v>X</v>
      </c>
      <c r="M2833" s="1" t="str">
        <f t="shared" si="596"/>
        <v>X</v>
      </c>
      <c r="N2833" t="s">
        <v>27</v>
      </c>
    </row>
    <row r="2834" spans="1:14" x14ac:dyDescent="0.25">
      <c r="A2834" t="s">
        <v>41</v>
      </c>
      <c r="B2834" t="s">
        <v>15</v>
      </c>
      <c r="C2834" t="s">
        <v>35</v>
      </c>
      <c r="D2834" t="s">
        <v>28</v>
      </c>
      <c r="E2834" t="s">
        <v>21</v>
      </c>
      <c r="F2834" t="s">
        <v>18</v>
      </c>
      <c r="G2834" s="1" t="str">
        <f t="shared" si="596"/>
        <v>X</v>
      </c>
      <c r="H2834" s="1" t="str">
        <f t="shared" si="596"/>
        <v>X</v>
      </c>
      <c r="I2834" s="1" t="str">
        <f t="shared" si="596"/>
        <v>X</v>
      </c>
      <c r="J2834" s="1" t="str">
        <f t="shared" si="596"/>
        <v>X</v>
      </c>
      <c r="K2834" s="1" t="str">
        <f t="shared" si="596"/>
        <v>X</v>
      </c>
      <c r="L2834" s="1" t="str">
        <f t="shared" si="596"/>
        <v>X</v>
      </c>
      <c r="M2834" s="1" t="str">
        <f t="shared" si="596"/>
        <v>X</v>
      </c>
      <c r="N2834" t="s">
        <v>27</v>
      </c>
    </row>
    <row r="2835" spans="1:14" x14ac:dyDescent="0.25">
      <c r="A2835" t="s">
        <v>41</v>
      </c>
      <c r="B2835" t="s">
        <v>15</v>
      </c>
      <c r="C2835" t="s">
        <v>35</v>
      </c>
      <c r="D2835" t="s">
        <v>28</v>
      </c>
      <c r="E2835" t="s">
        <v>21</v>
      </c>
      <c r="F2835" t="s">
        <v>19</v>
      </c>
      <c r="G2835" s="1" t="str">
        <f t="shared" si="596"/>
        <v>X</v>
      </c>
      <c r="H2835" s="1" t="str">
        <f t="shared" si="596"/>
        <v>X</v>
      </c>
      <c r="I2835" s="1" t="str">
        <f t="shared" si="596"/>
        <v>X</v>
      </c>
      <c r="J2835" s="1" t="str">
        <f t="shared" si="596"/>
        <v>X</v>
      </c>
      <c r="K2835" s="1" t="str">
        <f t="shared" si="596"/>
        <v>X</v>
      </c>
      <c r="L2835" s="1" t="str">
        <f t="shared" si="596"/>
        <v>X</v>
      </c>
      <c r="M2835" s="1" t="str">
        <f t="shared" si="596"/>
        <v>X</v>
      </c>
      <c r="N2835" t="s">
        <v>27</v>
      </c>
    </row>
    <row r="2836" spans="1:14" x14ac:dyDescent="0.25">
      <c r="A2836" t="s">
        <v>41</v>
      </c>
      <c r="B2836" t="s">
        <v>15</v>
      </c>
      <c r="C2836" t="s">
        <v>35</v>
      </c>
      <c r="D2836" t="s">
        <v>28</v>
      </c>
      <c r="E2836" t="s">
        <v>21</v>
      </c>
      <c r="F2836" t="s">
        <v>20</v>
      </c>
      <c r="G2836" s="2">
        <f>VALUE(215.7798596833)</f>
        <v>215.7798596833</v>
      </c>
      <c r="H2836" s="3">
        <f>VALUE(205.8769532571)</f>
        <v>205.87695325710001</v>
      </c>
      <c r="I2836" s="4">
        <f>VALUE(2941)</f>
        <v>2941</v>
      </c>
      <c r="J2836" s="1">
        <f>VALUE(3540)</f>
        <v>3540</v>
      </c>
      <c r="K2836" s="1">
        <f>VALUE(3902)</f>
        <v>3902</v>
      </c>
      <c r="L2836" s="1">
        <f>VALUE(4378)</f>
        <v>4378</v>
      </c>
      <c r="M2836" s="1">
        <f>VALUE(4842)</f>
        <v>4842</v>
      </c>
      <c r="N2836" t="s">
        <v>25</v>
      </c>
    </row>
    <row r="2837" spans="1:14" x14ac:dyDescent="0.25">
      <c r="A2837" t="s">
        <v>41</v>
      </c>
      <c r="B2837" t="s">
        <v>15</v>
      </c>
      <c r="C2837" t="s">
        <v>35</v>
      </c>
      <c r="D2837" t="s">
        <v>28</v>
      </c>
      <c r="E2837" t="s">
        <v>22</v>
      </c>
      <c r="F2837" t="s">
        <v>15</v>
      </c>
      <c r="G2837" s="1">
        <f>VALUE(2240.6920861791)</f>
        <v>2240.6920861791</v>
      </c>
      <c r="H2837" s="1">
        <f>VALUE(2126.0481121399)</f>
        <v>2126.0481121398998</v>
      </c>
      <c r="I2837" s="1">
        <f>VALUE(3011)</f>
        <v>3011</v>
      </c>
      <c r="J2837" s="1">
        <f>VALUE(3476)</f>
        <v>3476</v>
      </c>
      <c r="K2837" s="1">
        <f>VALUE(3948)</f>
        <v>3948</v>
      </c>
      <c r="L2837" s="1">
        <f>VALUE(4493)</f>
        <v>4493</v>
      </c>
      <c r="M2837" s="1">
        <f>VALUE(5160)</f>
        <v>5160</v>
      </c>
      <c r="N2837" t="s">
        <v>16</v>
      </c>
    </row>
    <row r="2838" spans="1:14" x14ac:dyDescent="0.25">
      <c r="A2838" t="s">
        <v>41</v>
      </c>
      <c r="B2838" t="s">
        <v>15</v>
      </c>
      <c r="C2838" t="s">
        <v>35</v>
      </c>
      <c r="D2838" t="s">
        <v>28</v>
      </c>
      <c r="E2838" t="s">
        <v>22</v>
      </c>
      <c r="F2838" t="s">
        <v>17</v>
      </c>
      <c r="G2838" s="1" t="str">
        <f t="shared" ref="G2838:M2839" si="597">"X"</f>
        <v>X</v>
      </c>
      <c r="H2838" s="1" t="str">
        <f t="shared" si="597"/>
        <v>X</v>
      </c>
      <c r="I2838" s="1" t="str">
        <f t="shared" si="597"/>
        <v>X</v>
      </c>
      <c r="J2838" s="1" t="str">
        <f t="shared" si="597"/>
        <v>X</v>
      </c>
      <c r="K2838" s="1" t="str">
        <f t="shared" si="597"/>
        <v>X</v>
      </c>
      <c r="L2838" s="1" t="str">
        <f t="shared" si="597"/>
        <v>X</v>
      </c>
      <c r="M2838" s="1" t="str">
        <f t="shared" si="597"/>
        <v>X</v>
      </c>
      <c r="N2838" t="s">
        <v>27</v>
      </c>
    </row>
    <row r="2839" spans="1:14" x14ac:dyDescent="0.25">
      <c r="A2839" t="s">
        <v>41</v>
      </c>
      <c r="B2839" t="s">
        <v>15</v>
      </c>
      <c r="C2839" t="s">
        <v>35</v>
      </c>
      <c r="D2839" t="s">
        <v>28</v>
      </c>
      <c r="E2839" t="s">
        <v>22</v>
      </c>
      <c r="F2839" t="s">
        <v>18</v>
      </c>
      <c r="G2839" s="1" t="str">
        <f t="shared" si="597"/>
        <v>X</v>
      </c>
      <c r="H2839" s="1" t="str">
        <f t="shared" si="597"/>
        <v>X</v>
      </c>
      <c r="I2839" s="1" t="str">
        <f t="shared" si="597"/>
        <v>X</v>
      </c>
      <c r="J2839" s="1" t="str">
        <f t="shared" si="597"/>
        <v>X</v>
      </c>
      <c r="K2839" s="1" t="str">
        <f t="shared" si="597"/>
        <v>X</v>
      </c>
      <c r="L2839" s="1" t="str">
        <f t="shared" si="597"/>
        <v>X</v>
      </c>
      <c r="M2839" s="1" t="str">
        <f t="shared" si="597"/>
        <v>X</v>
      </c>
      <c r="N2839" t="s">
        <v>27</v>
      </c>
    </row>
    <row r="2840" spans="1:14" x14ac:dyDescent="0.25">
      <c r="A2840" t="s">
        <v>41</v>
      </c>
      <c r="B2840" t="s">
        <v>15</v>
      </c>
      <c r="C2840" t="s">
        <v>35</v>
      </c>
      <c r="D2840" t="s">
        <v>28</v>
      </c>
      <c r="E2840" t="s">
        <v>22</v>
      </c>
      <c r="F2840" t="s">
        <v>19</v>
      </c>
      <c r="G2840" s="2">
        <f>VALUE(362.9048688369)</f>
        <v>362.90486883689999</v>
      </c>
      <c r="H2840" s="3">
        <f>VALUE(356.5097377056)</f>
        <v>356.5097377056</v>
      </c>
      <c r="I2840" s="4">
        <f>VALUE(3250)</f>
        <v>3250</v>
      </c>
      <c r="J2840" s="1">
        <f>VALUE(3679)</f>
        <v>3679</v>
      </c>
      <c r="K2840" s="1">
        <f>VALUE(3948)</f>
        <v>3948</v>
      </c>
      <c r="L2840" s="1">
        <f>VALUE(4663)</f>
        <v>4663</v>
      </c>
      <c r="M2840" s="1">
        <f>VALUE(5025)</f>
        <v>5025</v>
      </c>
      <c r="N2840" t="s">
        <v>25</v>
      </c>
    </row>
    <row r="2841" spans="1:14" x14ac:dyDescent="0.25">
      <c r="A2841" t="s">
        <v>41</v>
      </c>
      <c r="B2841" t="s">
        <v>15</v>
      </c>
      <c r="C2841" t="s">
        <v>35</v>
      </c>
      <c r="D2841" t="s">
        <v>28</v>
      </c>
      <c r="E2841" t="s">
        <v>22</v>
      </c>
      <c r="F2841" t="s">
        <v>20</v>
      </c>
      <c r="G2841" s="2">
        <f>VALUE(1615.9733925837)</f>
        <v>1615.9733925836999</v>
      </c>
      <c r="H2841" s="3">
        <f>VALUE(1513.2148806472)</f>
        <v>1513.2148806472001</v>
      </c>
      <c r="I2841" s="1">
        <f>VALUE(2886)</f>
        <v>2886</v>
      </c>
      <c r="J2841" s="1">
        <f>VALUE(3432)</f>
        <v>3432</v>
      </c>
      <c r="K2841" s="1">
        <f>VALUE(3945)</f>
        <v>3945</v>
      </c>
      <c r="L2841" s="1">
        <f>VALUE(4403)</f>
        <v>4403</v>
      </c>
      <c r="M2841" s="1">
        <f>VALUE(5184)</f>
        <v>5184</v>
      </c>
      <c r="N2841" t="s">
        <v>25</v>
      </c>
    </row>
    <row r="2842" spans="1:14" x14ac:dyDescent="0.25">
      <c r="A2842" t="s">
        <v>41</v>
      </c>
      <c r="B2842" t="s">
        <v>15</v>
      </c>
      <c r="C2842" t="s">
        <v>35</v>
      </c>
      <c r="D2842" t="s">
        <v>28</v>
      </c>
      <c r="E2842" t="s">
        <v>23</v>
      </c>
      <c r="F2842" t="s">
        <v>15</v>
      </c>
      <c r="G2842" s="2">
        <f>VALUE(502.0359583244)</f>
        <v>502.03595832439999</v>
      </c>
      <c r="H2842" s="3">
        <f>VALUE(338.2072000233)</f>
        <v>338.2072000233</v>
      </c>
      <c r="I2842" s="4">
        <f>VALUE(2844)</f>
        <v>2844</v>
      </c>
      <c r="J2842" s="1">
        <f>VALUE(3162)</f>
        <v>3162</v>
      </c>
      <c r="K2842" s="1">
        <f>VALUE(3742)</f>
        <v>3742</v>
      </c>
      <c r="L2842" s="1">
        <f>VALUE(4320)</f>
        <v>4320</v>
      </c>
      <c r="M2842" s="1">
        <f>VALUE(4824)</f>
        <v>4824</v>
      </c>
      <c r="N2842" t="s">
        <v>25</v>
      </c>
    </row>
    <row r="2843" spans="1:14" x14ac:dyDescent="0.25">
      <c r="A2843" t="s">
        <v>41</v>
      </c>
      <c r="B2843" t="s">
        <v>15</v>
      </c>
      <c r="C2843" t="s">
        <v>35</v>
      </c>
      <c r="D2843" t="s">
        <v>28</v>
      </c>
      <c r="E2843" t="s">
        <v>23</v>
      </c>
      <c r="F2843" t="s">
        <v>17</v>
      </c>
      <c r="G2843" s="1" t="str">
        <f t="shared" ref="G2843:M2845" si="598">"X"</f>
        <v>X</v>
      </c>
      <c r="H2843" s="1" t="str">
        <f t="shared" si="598"/>
        <v>X</v>
      </c>
      <c r="I2843" s="1" t="str">
        <f t="shared" si="598"/>
        <v>X</v>
      </c>
      <c r="J2843" s="1" t="str">
        <f t="shared" si="598"/>
        <v>X</v>
      </c>
      <c r="K2843" s="1" t="str">
        <f t="shared" si="598"/>
        <v>X</v>
      </c>
      <c r="L2843" s="1" t="str">
        <f t="shared" si="598"/>
        <v>X</v>
      </c>
      <c r="M2843" s="1" t="str">
        <f t="shared" si="598"/>
        <v>X</v>
      </c>
      <c r="N2843" t="s">
        <v>27</v>
      </c>
    </row>
    <row r="2844" spans="1:14" x14ac:dyDescent="0.25">
      <c r="A2844" t="s">
        <v>41</v>
      </c>
      <c r="B2844" t="s">
        <v>15</v>
      </c>
      <c r="C2844" t="s">
        <v>35</v>
      </c>
      <c r="D2844" t="s">
        <v>28</v>
      </c>
      <c r="E2844" t="s">
        <v>23</v>
      </c>
      <c r="F2844" t="s">
        <v>18</v>
      </c>
      <c r="G2844" s="1" t="str">
        <f t="shared" si="598"/>
        <v>X</v>
      </c>
      <c r="H2844" s="1" t="str">
        <f t="shared" si="598"/>
        <v>X</v>
      </c>
      <c r="I2844" s="1" t="str">
        <f t="shared" si="598"/>
        <v>X</v>
      </c>
      <c r="J2844" s="1" t="str">
        <f t="shared" si="598"/>
        <v>X</v>
      </c>
      <c r="K2844" s="1" t="str">
        <f t="shared" si="598"/>
        <v>X</v>
      </c>
      <c r="L2844" s="1" t="str">
        <f t="shared" si="598"/>
        <v>X</v>
      </c>
      <c r="M2844" s="1" t="str">
        <f t="shared" si="598"/>
        <v>X</v>
      </c>
      <c r="N2844" t="s">
        <v>27</v>
      </c>
    </row>
    <row r="2845" spans="1:14" x14ac:dyDescent="0.25">
      <c r="A2845" t="s">
        <v>41</v>
      </c>
      <c r="B2845" t="s">
        <v>15</v>
      </c>
      <c r="C2845" t="s">
        <v>35</v>
      </c>
      <c r="D2845" t="s">
        <v>28</v>
      </c>
      <c r="E2845" t="s">
        <v>23</v>
      </c>
      <c r="F2845" t="s">
        <v>19</v>
      </c>
      <c r="G2845" s="1" t="str">
        <f t="shared" si="598"/>
        <v>X</v>
      </c>
      <c r="H2845" s="1" t="str">
        <f t="shared" si="598"/>
        <v>X</v>
      </c>
      <c r="I2845" s="1" t="str">
        <f t="shared" si="598"/>
        <v>X</v>
      </c>
      <c r="J2845" s="1" t="str">
        <f t="shared" si="598"/>
        <v>X</v>
      </c>
      <c r="K2845" s="1" t="str">
        <f t="shared" si="598"/>
        <v>X</v>
      </c>
      <c r="L2845" s="1" t="str">
        <f t="shared" si="598"/>
        <v>X</v>
      </c>
      <c r="M2845" s="1" t="str">
        <f t="shared" si="598"/>
        <v>X</v>
      </c>
      <c r="N2845" t="s">
        <v>27</v>
      </c>
    </row>
    <row r="2846" spans="1:14" x14ac:dyDescent="0.25">
      <c r="A2846" t="s">
        <v>41</v>
      </c>
      <c r="B2846" t="s">
        <v>15</v>
      </c>
      <c r="C2846" t="s">
        <v>35</v>
      </c>
      <c r="D2846" t="s">
        <v>28</v>
      </c>
      <c r="E2846" t="s">
        <v>23</v>
      </c>
      <c r="F2846" t="s">
        <v>20</v>
      </c>
      <c r="G2846" s="2">
        <f>VALUE(464.5781129338)</f>
        <v>464.57811293380001</v>
      </c>
      <c r="H2846" s="3">
        <f>VALUE(312.1232305593)</f>
        <v>312.1232305593</v>
      </c>
      <c r="I2846" s="4">
        <f>VALUE(2844)</f>
        <v>2844</v>
      </c>
      <c r="J2846" s="1">
        <f>VALUE(3142)</f>
        <v>3142</v>
      </c>
      <c r="K2846" s="1">
        <f>VALUE(3776)</f>
        <v>3776</v>
      </c>
      <c r="L2846" s="1">
        <f>VALUE(4324)</f>
        <v>4324</v>
      </c>
      <c r="M2846" s="1">
        <f>VALUE(4838)</f>
        <v>4838</v>
      </c>
      <c r="N2846" t="s">
        <v>25</v>
      </c>
    </row>
    <row r="2847" spans="1:14" x14ac:dyDescent="0.25">
      <c r="A2847" t="s">
        <v>41</v>
      </c>
      <c r="B2847" t="s">
        <v>15</v>
      </c>
      <c r="C2847" t="s">
        <v>35</v>
      </c>
      <c r="D2847" t="s">
        <v>28</v>
      </c>
      <c r="E2847" t="s">
        <v>26</v>
      </c>
      <c r="F2847" t="s">
        <v>15</v>
      </c>
      <c r="G2847" s="1" t="str">
        <f t="shared" ref="G2847:M2847" si="599">"X"</f>
        <v>X</v>
      </c>
      <c r="H2847" s="1" t="str">
        <f t="shared" si="599"/>
        <v>X</v>
      </c>
      <c r="I2847" s="1" t="str">
        <f t="shared" si="599"/>
        <v>X</v>
      </c>
      <c r="J2847" s="1" t="str">
        <f t="shared" si="599"/>
        <v>X</v>
      </c>
      <c r="K2847" s="1" t="str">
        <f t="shared" si="599"/>
        <v>X</v>
      </c>
      <c r="L2847" s="1" t="str">
        <f t="shared" si="599"/>
        <v>X</v>
      </c>
      <c r="M2847" s="1" t="str">
        <f t="shared" si="599"/>
        <v>X</v>
      </c>
      <c r="N2847" t="s">
        <v>27</v>
      </c>
    </row>
    <row r="2848" spans="1:14" x14ac:dyDescent="0.25">
      <c r="A2848" t="s">
        <v>41</v>
      </c>
      <c r="B2848" t="s">
        <v>15</v>
      </c>
      <c r="C2848" t="s">
        <v>35</v>
      </c>
      <c r="D2848" t="s">
        <v>28</v>
      </c>
      <c r="E2848" t="s">
        <v>26</v>
      </c>
      <c r="F2848" t="s">
        <v>17</v>
      </c>
      <c r="G2848" s="1" t="str">
        <f t="shared" ref="G2848:M2848" si="600">"..."</f>
        <v>...</v>
      </c>
      <c r="H2848" s="1" t="str">
        <f t="shared" si="600"/>
        <v>...</v>
      </c>
      <c r="I2848" s="1" t="str">
        <f t="shared" si="600"/>
        <v>...</v>
      </c>
      <c r="J2848" s="1" t="str">
        <f t="shared" si="600"/>
        <v>...</v>
      </c>
      <c r="K2848" s="1" t="str">
        <f t="shared" si="600"/>
        <v>...</v>
      </c>
      <c r="L2848" s="1" t="str">
        <f t="shared" si="600"/>
        <v>...</v>
      </c>
      <c r="M2848" s="1" t="str">
        <f t="shared" si="600"/>
        <v>...</v>
      </c>
      <c r="N2848" t="s">
        <v>30</v>
      </c>
    </row>
    <row r="2849" spans="1:14" x14ac:dyDescent="0.25">
      <c r="A2849" t="s">
        <v>41</v>
      </c>
      <c r="B2849" t="s">
        <v>15</v>
      </c>
      <c r="C2849" t="s">
        <v>35</v>
      </c>
      <c r="D2849" t="s">
        <v>28</v>
      </c>
      <c r="E2849" t="s">
        <v>26</v>
      </c>
      <c r="F2849" t="s">
        <v>18</v>
      </c>
      <c r="G2849" s="1" t="str">
        <f t="shared" ref="G2849:M2849" si="601">"X"</f>
        <v>X</v>
      </c>
      <c r="H2849" s="1" t="str">
        <f t="shared" si="601"/>
        <v>X</v>
      </c>
      <c r="I2849" s="1" t="str">
        <f t="shared" si="601"/>
        <v>X</v>
      </c>
      <c r="J2849" s="1" t="str">
        <f t="shared" si="601"/>
        <v>X</v>
      </c>
      <c r="K2849" s="1" t="str">
        <f t="shared" si="601"/>
        <v>X</v>
      </c>
      <c r="L2849" s="1" t="str">
        <f t="shared" si="601"/>
        <v>X</v>
      </c>
      <c r="M2849" s="1" t="str">
        <f t="shared" si="601"/>
        <v>X</v>
      </c>
      <c r="N2849" t="s">
        <v>27</v>
      </c>
    </row>
    <row r="2850" spans="1:14" x14ac:dyDescent="0.25">
      <c r="A2850" t="s">
        <v>41</v>
      </c>
      <c r="B2850" t="s">
        <v>15</v>
      </c>
      <c r="C2850" t="s">
        <v>35</v>
      </c>
      <c r="D2850" t="s">
        <v>28</v>
      </c>
      <c r="E2850" t="s">
        <v>26</v>
      </c>
      <c r="F2850" t="s">
        <v>19</v>
      </c>
      <c r="G2850" s="1" t="str">
        <f t="shared" ref="G2850:M2850" si="602">"..."</f>
        <v>...</v>
      </c>
      <c r="H2850" s="1" t="str">
        <f t="shared" si="602"/>
        <v>...</v>
      </c>
      <c r="I2850" s="1" t="str">
        <f t="shared" si="602"/>
        <v>...</v>
      </c>
      <c r="J2850" s="1" t="str">
        <f t="shared" si="602"/>
        <v>...</v>
      </c>
      <c r="K2850" s="1" t="str">
        <f t="shared" si="602"/>
        <v>...</v>
      </c>
      <c r="L2850" s="1" t="str">
        <f t="shared" si="602"/>
        <v>...</v>
      </c>
      <c r="M2850" s="1" t="str">
        <f t="shared" si="602"/>
        <v>...</v>
      </c>
      <c r="N2850" t="s">
        <v>30</v>
      </c>
    </row>
    <row r="2851" spans="1:14" x14ac:dyDescent="0.25">
      <c r="A2851" t="s">
        <v>41</v>
      </c>
      <c r="B2851" t="s">
        <v>15</v>
      </c>
      <c r="C2851" t="s">
        <v>35</v>
      </c>
      <c r="D2851" t="s">
        <v>28</v>
      </c>
      <c r="E2851" t="s">
        <v>26</v>
      </c>
      <c r="F2851" t="s">
        <v>20</v>
      </c>
      <c r="G2851" s="1" t="str">
        <f t="shared" ref="G2851:M2851" si="603">"X"</f>
        <v>X</v>
      </c>
      <c r="H2851" s="1" t="str">
        <f t="shared" si="603"/>
        <v>X</v>
      </c>
      <c r="I2851" s="1" t="str">
        <f t="shared" si="603"/>
        <v>X</v>
      </c>
      <c r="J2851" s="1" t="str">
        <f t="shared" si="603"/>
        <v>X</v>
      </c>
      <c r="K2851" s="1" t="str">
        <f t="shared" si="603"/>
        <v>X</v>
      </c>
      <c r="L2851" s="1" t="str">
        <f t="shared" si="603"/>
        <v>X</v>
      </c>
      <c r="M2851" s="1" t="str">
        <f t="shared" si="603"/>
        <v>X</v>
      </c>
      <c r="N2851" t="s">
        <v>27</v>
      </c>
    </row>
    <row r="2852" spans="1:14" x14ac:dyDescent="0.25">
      <c r="A2852" t="s">
        <v>41</v>
      </c>
      <c r="B2852" t="s">
        <v>15</v>
      </c>
      <c r="C2852" t="s">
        <v>35</v>
      </c>
      <c r="D2852" t="s">
        <v>29</v>
      </c>
      <c r="E2852" t="s">
        <v>15</v>
      </c>
      <c r="F2852" t="s">
        <v>15</v>
      </c>
      <c r="G2852" s="2">
        <f>VALUE(712.1432269319)</f>
        <v>712.14322693190002</v>
      </c>
      <c r="H2852" s="3">
        <f>VALUE(646.8563106276)</f>
        <v>646.85631062760001</v>
      </c>
      <c r="I2852" s="4">
        <f>VALUE(3120)</f>
        <v>3120</v>
      </c>
      <c r="J2852" s="1">
        <f>VALUE(3348)</f>
        <v>3348</v>
      </c>
      <c r="K2852" s="1">
        <f>VALUE(3987)</f>
        <v>3987</v>
      </c>
      <c r="L2852" s="1">
        <f>VALUE(4532)</f>
        <v>4532</v>
      </c>
      <c r="M2852" s="1">
        <f>VALUE(5175)</f>
        <v>5175</v>
      </c>
      <c r="N2852" t="s">
        <v>25</v>
      </c>
    </row>
    <row r="2853" spans="1:14" x14ac:dyDescent="0.25">
      <c r="A2853" t="s">
        <v>41</v>
      </c>
      <c r="B2853" t="s">
        <v>15</v>
      </c>
      <c r="C2853" t="s">
        <v>35</v>
      </c>
      <c r="D2853" t="s">
        <v>29</v>
      </c>
      <c r="E2853" t="s">
        <v>15</v>
      </c>
      <c r="F2853" t="s">
        <v>17</v>
      </c>
      <c r="G2853" s="1" t="str">
        <f t="shared" ref="G2853:M2855" si="604">"X"</f>
        <v>X</v>
      </c>
      <c r="H2853" s="1" t="str">
        <f t="shared" si="604"/>
        <v>X</v>
      </c>
      <c r="I2853" s="1" t="str">
        <f t="shared" si="604"/>
        <v>X</v>
      </c>
      <c r="J2853" s="1" t="str">
        <f t="shared" si="604"/>
        <v>X</v>
      </c>
      <c r="K2853" s="1" t="str">
        <f t="shared" si="604"/>
        <v>X</v>
      </c>
      <c r="L2853" s="1" t="str">
        <f t="shared" si="604"/>
        <v>X</v>
      </c>
      <c r="M2853" s="1" t="str">
        <f t="shared" si="604"/>
        <v>X</v>
      </c>
      <c r="N2853" t="s">
        <v>27</v>
      </c>
    </row>
    <row r="2854" spans="1:14" x14ac:dyDescent="0.25">
      <c r="A2854" t="s">
        <v>41</v>
      </c>
      <c r="B2854" t="s">
        <v>15</v>
      </c>
      <c r="C2854" t="s">
        <v>35</v>
      </c>
      <c r="D2854" t="s">
        <v>29</v>
      </c>
      <c r="E2854" t="s">
        <v>15</v>
      </c>
      <c r="F2854" t="s">
        <v>18</v>
      </c>
      <c r="G2854" s="1" t="str">
        <f t="shared" si="604"/>
        <v>X</v>
      </c>
      <c r="H2854" s="1" t="str">
        <f t="shared" si="604"/>
        <v>X</v>
      </c>
      <c r="I2854" s="1" t="str">
        <f t="shared" si="604"/>
        <v>X</v>
      </c>
      <c r="J2854" s="1" t="str">
        <f t="shared" si="604"/>
        <v>X</v>
      </c>
      <c r="K2854" s="1" t="str">
        <f t="shared" si="604"/>
        <v>X</v>
      </c>
      <c r="L2854" s="1" t="str">
        <f t="shared" si="604"/>
        <v>X</v>
      </c>
      <c r="M2854" s="1" t="str">
        <f t="shared" si="604"/>
        <v>X</v>
      </c>
      <c r="N2854" t="s">
        <v>27</v>
      </c>
    </row>
    <row r="2855" spans="1:14" x14ac:dyDescent="0.25">
      <c r="A2855" t="s">
        <v>41</v>
      </c>
      <c r="B2855" t="s">
        <v>15</v>
      </c>
      <c r="C2855" t="s">
        <v>35</v>
      </c>
      <c r="D2855" t="s">
        <v>29</v>
      </c>
      <c r="E2855" t="s">
        <v>15</v>
      </c>
      <c r="F2855" t="s">
        <v>19</v>
      </c>
      <c r="G2855" s="1" t="str">
        <f t="shared" si="604"/>
        <v>X</v>
      </c>
      <c r="H2855" s="1" t="str">
        <f t="shared" si="604"/>
        <v>X</v>
      </c>
      <c r="I2855" s="1" t="str">
        <f t="shared" si="604"/>
        <v>X</v>
      </c>
      <c r="J2855" s="1" t="str">
        <f t="shared" si="604"/>
        <v>X</v>
      </c>
      <c r="K2855" s="1" t="str">
        <f t="shared" si="604"/>
        <v>X</v>
      </c>
      <c r="L2855" s="1" t="str">
        <f t="shared" si="604"/>
        <v>X</v>
      </c>
      <c r="M2855" s="1" t="str">
        <f t="shared" si="604"/>
        <v>X</v>
      </c>
      <c r="N2855" t="s">
        <v>27</v>
      </c>
    </row>
    <row r="2856" spans="1:14" x14ac:dyDescent="0.25">
      <c r="A2856" t="s">
        <v>41</v>
      </c>
      <c r="B2856" t="s">
        <v>15</v>
      </c>
      <c r="C2856" t="s">
        <v>35</v>
      </c>
      <c r="D2856" t="s">
        <v>29</v>
      </c>
      <c r="E2856" t="s">
        <v>15</v>
      </c>
      <c r="F2856" t="s">
        <v>20</v>
      </c>
      <c r="G2856" s="2">
        <f>VALUE(589.6201580122)</f>
        <v>589.62015801220002</v>
      </c>
      <c r="H2856" s="3">
        <f>VALUE(522.7249281011)</f>
        <v>522.72492810109998</v>
      </c>
      <c r="I2856" s="4">
        <f>VALUE(3120)</f>
        <v>3120</v>
      </c>
      <c r="J2856" s="1">
        <f>VALUE(3334)</f>
        <v>3334</v>
      </c>
      <c r="K2856" s="1">
        <f>VALUE(3987)</f>
        <v>3987</v>
      </c>
      <c r="L2856" s="1">
        <f>VALUE(4583)</f>
        <v>4583</v>
      </c>
      <c r="M2856" s="8">
        <f>VALUE(5175)</f>
        <v>5175</v>
      </c>
      <c r="N2856" t="s">
        <v>25</v>
      </c>
    </row>
    <row r="2857" spans="1:14" x14ac:dyDescent="0.25">
      <c r="A2857" t="s">
        <v>41</v>
      </c>
      <c r="B2857" t="s">
        <v>15</v>
      </c>
      <c r="C2857" t="s">
        <v>35</v>
      </c>
      <c r="D2857" t="s">
        <v>29</v>
      </c>
      <c r="E2857" t="s">
        <v>21</v>
      </c>
      <c r="F2857" t="s">
        <v>15</v>
      </c>
      <c r="G2857" s="1" t="str">
        <f t="shared" ref="G2857:M2861" si="605">"X"</f>
        <v>X</v>
      </c>
      <c r="H2857" s="1" t="str">
        <f t="shared" si="605"/>
        <v>X</v>
      </c>
      <c r="I2857" s="1" t="str">
        <f t="shared" si="605"/>
        <v>X</v>
      </c>
      <c r="J2857" s="1" t="str">
        <f t="shared" si="605"/>
        <v>X</v>
      </c>
      <c r="K2857" s="1" t="str">
        <f t="shared" si="605"/>
        <v>X</v>
      </c>
      <c r="L2857" s="1" t="str">
        <f t="shared" si="605"/>
        <v>X</v>
      </c>
      <c r="M2857" s="1" t="str">
        <f t="shared" si="605"/>
        <v>X</v>
      </c>
      <c r="N2857" t="s">
        <v>27</v>
      </c>
    </row>
    <row r="2858" spans="1:14" x14ac:dyDescent="0.25">
      <c r="A2858" t="s">
        <v>41</v>
      </c>
      <c r="B2858" t="s">
        <v>15</v>
      </c>
      <c r="C2858" t="s">
        <v>35</v>
      </c>
      <c r="D2858" t="s">
        <v>29</v>
      </c>
      <c r="E2858" t="s">
        <v>21</v>
      </c>
      <c r="F2858" t="s">
        <v>17</v>
      </c>
      <c r="G2858" s="1" t="str">
        <f t="shared" si="605"/>
        <v>X</v>
      </c>
      <c r="H2858" s="1" t="str">
        <f t="shared" si="605"/>
        <v>X</v>
      </c>
      <c r="I2858" s="1" t="str">
        <f t="shared" si="605"/>
        <v>X</v>
      </c>
      <c r="J2858" s="1" t="str">
        <f t="shared" si="605"/>
        <v>X</v>
      </c>
      <c r="K2858" s="1" t="str">
        <f t="shared" si="605"/>
        <v>X</v>
      </c>
      <c r="L2858" s="1" t="str">
        <f t="shared" si="605"/>
        <v>X</v>
      </c>
      <c r="M2858" s="1" t="str">
        <f t="shared" si="605"/>
        <v>X</v>
      </c>
      <c r="N2858" t="s">
        <v>27</v>
      </c>
    </row>
    <row r="2859" spans="1:14" x14ac:dyDescent="0.25">
      <c r="A2859" t="s">
        <v>41</v>
      </c>
      <c r="B2859" t="s">
        <v>15</v>
      </c>
      <c r="C2859" t="s">
        <v>35</v>
      </c>
      <c r="D2859" t="s">
        <v>29</v>
      </c>
      <c r="E2859" t="s">
        <v>21</v>
      </c>
      <c r="F2859" t="s">
        <v>18</v>
      </c>
      <c r="G2859" s="1" t="str">
        <f t="shared" si="605"/>
        <v>X</v>
      </c>
      <c r="H2859" s="1" t="str">
        <f t="shared" si="605"/>
        <v>X</v>
      </c>
      <c r="I2859" s="1" t="str">
        <f t="shared" si="605"/>
        <v>X</v>
      </c>
      <c r="J2859" s="1" t="str">
        <f t="shared" si="605"/>
        <v>X</v>
      </c>
      <c r="K2859" s="1" t="str">
        <f t="shared" si="605"/>
        <v>X</v>
      </c>
      <c r="L2859" s="1" t="str">
        <f t="shared" si="605"/>
        <v>X</v>
      </c>
      <c r="M2859" s="1" t="str">
        <f t="shared" si="605"/>
        <v>X</v>
      </c>
      <c r="N2859" t="s">
        <v>27</v>
      </c>
    </row>
    <row r="2860" spans="1:14" x14ac:dyDescent="0.25">
      <c r="A2860" t="s">
        <v>41</v>
      </c>
      <c r="B2860" t="s">
        <v>15</v>
      </c>
      <c r="C2860" t="s">
        <v>35</v>
      </c>
      <c r="D2860" t="s">
        <v>29</v>
      </c>
      <c r="E2860" t="s">
        <v>21</v>
      </c>
      <c r="F2860" t="s">
        <v>19</v>
      </c>
      <c r="G2860" s="1" t="str">
        <f t="shared" si="605"/>
        <v>X</v>
      </c>
      <c r="H2860" s="1" t="str">
        <f t="shared" si="605"/>
        <v>X</v>
      </c>
      <c r="I2860" s="1" t="str">
        <f t="shared" si="605"/>
        <v>X</v>
      </c>
      <c r="J2860" s="1" t="str">
        <f t="shared" si="605"/>
        <v>X</v>
      </c>
      <c r="K2860" s="1" t="str">
        <f t="shared" si="605"/>
        <v>X</v>
      </c>
      <c r="L2860" s="1" t="str">
        <f t="shared" si="605"/>
        <v>X</v>
      </c>
      <c r="M2860" s="1" t="str">
        <f t="shared" si="605"/>
        <v>X</v>
      </c>
      <c r="N2860" t="s">
        <v>27</v>
      </c>
    </row>
    <row r="2861" spans="1:14" x14ac:dyDescent="0.25">
      <c r="A2861" t="s">
        <v>41</v>
      </c>
      <c r="B2861" t="s">
        <v>15</v>
      </c>
      <c r="C2861" t="s">
        <v>35</v>
      </c>
      <c r="D2861" t="s">
        <v>29</v>
      </c>
      <c r="E2861" t="s">
        <v>21</v>
      </c>
      <c r="F2861" t="s">
        <v>20</v>
      </c>
      <c r="G2861" s="1" t="str">
        <f t="shared" si="605"/>
        <v>X</v>
      </c>
      <c r="H2861" s="1" t="str">
        <f t="shared" si="605"/>
        <v>X</v>
      </c>
      <c r="I2861" s="1" t="str">
        <f t="shared" si="605"/>
        <v>X</v>
      </c>
      <c r="J2861" s="1" t="str">
        <f t="shared" si="605"/>
        <v>X</v>
      </c>
      <c r="K2861" s="1" t="str">
        <f t="shared" si="605"/>
        <v>X</v>
      </c>
      <c r="L2861" s="1" t="str">
        <f t="shared" si="605"/>
        <v>X</v>
      </c>
      <c r="M2861" s="1" t="str">
        <f t="shared" si="605"/>
        <v>X</v>
      </c>
      <c r="N2861" t="s">
        <v>27</v>
      </c>
    </row>
    <row r="2862" spans="1:14" x14ac:dyDescent="0.25">
      <c r="A2862" t="s">
        <v>41</v>
      </c>
      <c r="B2862" t="s">
        <v>15</v>
      </c>
      <c r="C2862" t="s">
        <v>35</v>
      </c>
      <c r="D2862" t="s">
        <v>29</v>
      </c>
      <c r="E2862" t="s">
        <v>22</v>
      </c>
      <c r="F2862" t="s">
        <v>15</v>
      </c>
      <c r="G2862" s="2">
        <f>VALUE(412.9145458171)</f>
        <v>412.91454581710002</v>
      </c>
      <c r="H2862" s="3">
        <f>VALUE(386.1212489155)</f>
        <v>386.12124891550002</v>
      </c>
      <c r="I2862" s="4">
        <f>VALUE(3088)</f>
        <v>3088</v>
      </c>
      <c r="J2862" s="5">
        <f>VALUE(3661)</f>
        <v>3661</v>
      </c>
      <c r="K2862" s="1">
        <f>VALUE(4230)</f>
        <v>4230</v>
      </c>
      <c r="L2862" s="1">
        <f>VALUE(4610)</f>
        <v>4610</v>
      </c>
      <c r="M2862" s="1">
        <f>VALUE(4938)</f>
        <v>4938</v>
      </c>
      <c r="N2862" t="s">
        <v>25</v>
      </c>
    </row>
    <row r="2863" spans="1:14" x14ac:dyDescent="0.25">
      <c r="A2863" t="s">
        <v>41</v>
      </c>
      <c r="B2863" t="s">
        <v>15</v>
      </c>
      <c r="C2863" t="s">
        <v>35</v>
      </c>
      <c r="D2863" t="s">
        <v>29</v>
      </c>
      <c r="E2863" t="s">
        <v>22</v>
      </c>
      <c r="F2863" t="s">
        <v>17</v>
      </c>
      <c r="G2863" s="1" t="str">
        <f t="shared" ref="G2863:M2865" si="606">"X"</f>
        <v>X</v>
      </c>
      <c r="H2863" s="1" t="str">
        <f t="shared" si="606"/>
        <v>X</v>
      </c>
      <c r="I2863" s="1" t="str">
        <f t="shared" si="606"/>
        <v>X</v>
      </c>
      <c r="J2863" s="1" t="str">
        <f t="shared" si="606"/>
        <v>X</v>
      </c>
      <c r="K2863" s="1" t="str">
        <f t="shared" si="606"/>
        <v>X</v>
      </c>
      <c r="L2863" s="1" t="str">
        <f t="shared" si="606"/>
        <v>X</v>
      </c>
      <c r="M2863" s="1" t="str">
        <f t="shared" si="606"/>
        <v>X</v>
      </c>
      <c r="N2863" t="s">
        <v>27</v>
      </c>
    </row>
    <row r="2864" spans="1:14" x14ac:dyDescent="0.25">
      <c r="A2864" t="s">
        <v>41</v>
      </c>
      <c r="B2864" t="s">
        <v>15</v>
      </c>
      <c r="C2864" t="s">
        <v>35</v>
      </c>
      <c r="D2864" t="s">
        <v>29</v>
      </c>
      <c r="E2864" t="s">
        <v>22</v>
      </c>
      <c r="F2864" t="s">
        <v>18</v>
      </c>
      <c r="G2864" s="1" t="str">
        <f t="shared" si="606"/>
        <v>X</v>
      </c>
      <c r="H2864" s="1" t="str">
        <f t="shared" si="606"/>
        <v>X</v>
      </c>
      <c r="I2864" s="1" t="str">
        <f t="shared" si="606"/>
        <v>X</v>
      </c>
      <c r="J2864" s="1" t="str">
        <f t="shared" si="606"/>
        <v>X</v>
      </c>
      <c r="K2864" s="1" t="str">
        <f t="shared" si="606"/>
        <v>X</v>
      </c>
      <c r="L2864" s="1" t="str">
        <f t="shared" si="606"/>
        <v>X</v>
      </c>
      <c r="M2864" s="1" t="str">
        <f t="shared" si="606"/>
        <v>X</v>
      </c>
      <c r="N2864" t="s">
        <v>27</v>
      </c>
    </row>
    <row r="2865" spans="1:14" x14ac:dyDescent="0.25">
      <c r="A2865" t="s">
        <v>41</v>
      </c>
      <c r="B2865" t="s">
        <v>15</v>
      </c>
      <c r="C2865" t="s">
        <v>35</v>
      </c>
      <c r="D2865" t="s">
        <v>29</v>
      </c>
      <c r="E2865" t="s">
        <v>22</v>
      </c>
      <c r="F2865" t="s">
        <v>19</v>
      </c>
      <c r="G2865" s="1" t="str">
        <f t="shared" si="606"/>
        <v>X</v>
      </c>
      <c r="H2865" s="1" t="str">
        <f t="shared" si="606"/>
        <v>X</v>
      </c>
      <c r="I2865" s="1" t="str">
        <f t="shared" si="606"/>
        <v>X</v>
      </c>
      <c r="J2865" s="1" t="str">
        <f t="shared" si="606"/>
        <v>X</v>
      </c>
      <c r="K2865" s="1" t="str">
        <f t="shared" si="606"/>
        <v>X</v>
      </c>
      <c r="L2865" s="1" t="str">
        <f t="shared" si="606"/>
        <v>X</v>
      </c>
      <c r="M2865" s="1" t="str">
        <f t="shared" si="606"/>
        <v>X</v>
      </c>
      <c r="N2865" t="s">
        <v>27</v>
      </c>
    </row>
    <row r="2866" spans="1:14" x14ac:dyDescent="0.25">
      <c r="A2866" t="s">
        <v>41</v>
      </c>
      <c r="B2866" t="s">
        <v>15</v>
      </c>
      <c r="C2866" t="s">
        <v>35</v>
      </c>
      <c r="D2866" t="s">
        <v>29</v>
      </c>
      <c r="E2866" t="s">
        <v>22</v>
      </c>
      <c r="F2866" t="s">
        <v>20</v>
      </c>
      <c r="G2866" s="2">
        <f>VALUE(329.9667846808)</f>
        <v>329.9667846808</v>
      </c>
      <c r="H2866" s="3">
        <f>VALUE(302.8543298791)</f>
        <v>302.85432987910002</v>
      </c>
      <c r="I2866" s="4">
        <f>VALUE(3120)</f>
        <v>3120</v>
      </c>
      <c r="J2866" s="5">
        <f>VALUE(3640)</f>
        <v>3640</v>
      </c>
      <c r="K2866" s="1">
        <f>VALUE(4267)</f>
        <v>4267</v>
      </c>
      <c r="L2866" s="1">
        <f>VALUE(4653)</f>
        <v>4653</v>
      </c>
      <c r="M2866" s="1">
        <f>VALUE(5229)</f>
        <v>5229</v>
      </c>
      <c r="N2866" t="s">
        <v>25</v>
      </c>
    </row>
    <row r="2867" spans="1:14" x14ac:dyDescent="0.25">
      <c r="A2867" t="s">
        <v>41</v>
      </c>
      <c r="B2867" t="s">
        <v>15</v>
      </c>
      <c r="C2867" t="s">
        <v>35</v>
      </c>
      <c r="D2867" t="s">
        <v>29</v>
      </c>
      <c r="E2867" t="s">
        <v>23</v>
      </c>
      <c r="F2867" t="s">
        <v>15</v>
      </c>
      <c r="G2867" s="2">
        <f>VALUE(225.4159086727)</f>
        <v>225.4159086727</v>
      </c>
      <c r="H2867" s="3">
        <f>VALUE(187.1131044966)</f>
        <v>187.11310449659999</v>
      </c>
      <c r="I2867" s="4">
        <f>VALUE(3109)</f>
        <v>3109</v>
      </c>
      <c r="J2867" s="1">
        <f>VALUE(3261)</f>
        <v>3261</v>
      </c>
      <c r="K2867" s="6">
        <f>VALUE(3533)</f>
        <v>3533</v>
      </c>
      <c r="L2867" s="7">
        <f>VALUE(4150)</f>
        <v>4150</v>
      </c>
      <c r="M2867" s="8">
        <f>VALUE(5221)</f>
        <v>5221</v>
      </c>
      <c r="N2867" t="s">
        <v>25</v>
      </c>
    </row>
    <row r="2868" spans="1:14" x14ac:dyDescent="0.25">
      <c r="A2868" t="s">
        <v>41</v>
      </c>
      <c r="B2868" t="s">
        <v>15</v>
      </c>
      <c r="C2868" t="s">
        <v>35</v>
      </c>
      <c r="D2868" t="s">
        <v>29</v>
      </c>
      <c r="E2868" t="s">
        <v>23</v>
      </c>
      <c r="F2868" t="s">
        <v>17</v>
      </c>
      <c r="G2868" s="1" t="str">
        <f t="shared" ref="G2868:M2868" si="607">"..."</f>
        <v>...</v>
      </c>
      <c r="H2868" s="1" t="str">
        <f t="shared" si="607"/>
        <v>...</v>
      </c>
      <c r="I2868" s="1" t="str">
        <f t="shared" si="607"/>
        <v>...</v>
      </c>
      <c r="J2868" s="1" t="str">
        <f t="shared" si="607"/>
        <v>...</v>
      </c>
      <c r="K2868" s="1" t="str">
        <f t="shared" si="607"/>
        <v>...</v>
      </c>
      <c r="L2868" s="1" t="str">
        <f t="shared" si="607"/>
        <v>...</v>
      </c>
      <c r="M2868" s="1" t="str">
        <f t="shared" si="607"/>
        <v>...</v>
      </c>
      <c r="N2868" t="s">
        <v>30</v>
      </c>
    </row>
    <row r="2869" spans="1:14" x14ac:dyDescent="0.25">
      <c r="A2869" t="s">
        <v>41</v>
      </c>
      <c r="B2869" t="s">
        <v>15</v>
      </c>
      <c r="C2869" t="s">
        <v>35</v>
      </c>
      <c r="D2869" t="s">
        <v>29</v>
      </c>
      <c r="E2869" t="s">
        <v>23</v>
      </c>
      <c r="F2869" t="s">
        <v>18</v>
      </c>
      <c r="G2869" s="1" t="str">
        <f t="shared" ref="G2869:M2870" si="608">"X"</f>
        <v>X</v>
      </c>
      <c r="H2869" s="1" t="str">
        <f t="shared" si="608"/>
        <v>X</v>
      </c>
      <c r="I2869" s="1" t="str">
        <f t="shared" si="608"/>
        <v>X</v>
      </c>
      <c r="J2869" s="1" t="str">
        <f t="shared" si="608"/>
        <v>X</v>
      </c>
      <c r="K2869" s="1" t="str">
        <f t="shared" si="608"/>
        <v>X</v>
      </c>
      <c r="L2869" s="1" t="str">
        <f t="shared" si="608"/>
        <v>X</v>
      </c>
      <c r="M2869" s="1" t="str">
        <f t="shared" si="608"/>
        <v>X</v>
      </c>
      <c r="N2869" t="s">
        <v>27</v>
      </c>
    </row>
    <row r="2870" spans="1:14" x14ac:dyDescent="0.25">
      <c r="A2870" t="s">
        <v>41</v>
      </c>
      <c r="B2870" t="s">
        <v>15</v>
      </c>
      <c r="C2870" t="s">
        <v>35</v>
      </c>
      <c r="D2870" t="s">
        <v>29</v>
      </c>
      <c r="E2870" t="s">
        <v>23</v>
      </c>
      <c r="F2870" t="s">
        <v>19</v>
      </c>
      <c r="G2870" s="1" t="str">
        <f t="shared" si="608"/>
        <v>X</v>
      </c>
      <c r="H2870" s="1" t="str">
        <f t="shared" si="608"/>
        <v>X</v>
      </c>
      <c r="I2870" s="1" t="str">
        <f t="shared" si="608"/>
        <v>X</v>
      </c>
      <c r="J2870" s="1" t="str">
        <f t="shared" si="608"/>
        <v>X</v>
      </c>
      <c r="K2870" s="1" t="str">
        <f t="shared" si="608"/>
        <v>X</v>
      </c>
      <c r="L2870" s="1" t="str">
        <f t="shared" si="608"/>
        <v>X</v>
      </c>
      <c r="M2870" s="1" t="str">
        <f t="shared" si="608"/>
        <v>X</v>
      </c>
      <c r="N2870" t="s">
        <v>27</v>
      </c>
    </row>
    <row r="2871" spans="1:14" x14ac:dyDescent="0.25">
      <c r="A2871" t="s">
        <v>41</v>
      </c>
      <c r="B2871" t="s">
        <v>15</v>
      </c>
      <c r="C2871" t="s">
        <v>35</v>
      </c>
      <c r="D2871" t="s">
        <v>29</v>
      </c>
      <c r="E2871" t="s">
        <v>23</v>
      </c>
      <c r="F2871" t="s">
        <v>20</v>
      </c>
      <c r="G2871" s="2">
        <f>VALUE(217.7651138885)</f>
        <v>217.7651138885</v>
      </c>
      <c r="H2871" s="3">
        <f>VALUE(178.9899577461)</f>
        <v>178.9899577461</v>
      </c>
      <c r="I2871" s="4">
        <f>VALUE(3109)</f>
        <v>3109</v>
      </c>
      <c r="J2871" s="5">
        <f>VALUE(3261)</f>
        <v>3261</v>
      </c>
      <c r="K2871" s="6">
        <f>VALUE(3533)</f>
        <v>3533</v>
      </c>
      <c r="L2871" s="7">
        <f>VALUE(4279)</f>
        <v>4279</v>
      </c>
      <c r="M2871" s="8">
        <f>VALUE(5221)</f>
        <v>5221</v>
      </c>
      <c r="N2871" t="s">
        <v>24</v>
      </c>
    </row>
    <row r="2872" spans="1:14" x14ac:dyDescent="0.25">
      <c r="A2872" t="s">
        <v>41</v>
      </c>
      <c r="B2872" t="s">
        <v>15</v>
      </c>
      <c r="C2872" t="s">
        <v>35</v>
      </c>
      <c r="D2872" t="s">
        <v>29</v>
      </c>
      <c r="E2872" t="s">
        <v>26</v>
      </c>
      <c r="F2872" t="s">
        <v>15</v>
      </c>
      <c r="G2872" s="1" t="str">
        <f t="shared" ref="G2872:M2872" si="609">"X"</f>
        <v>X</v>
      </c>
      <c r="H2872" s="1" t="str">
        <f t="shared" si="609"/>
        <v>X</v>
      </c>
      <c r="I2872" s="1" t="str">
        <f t="shared" si="609"/>
        <v>X</v>
      </c>
      <c r="J2872" s="1" t="str">
        <f t="shared" si="609"/>
        <v>X</v>
      </c>
      <c r="K2872" s="1" t="str">
        <f t="shared" si="609"/>
        <v>X</v>
      </c>
      <c r="L2872" s="1" t="str">
        <f t="shared" si="609"/>
        <v>X</v>
      </c>
      <c r="M2872" s="1" t="str">
        <f t="shared" si="609"/>
        <v>X</v>
      </c>
      <c r="N2872" t="s">
        <v>27</v>
      </c>
    </row>
    <row r="2873" spans="1:14" x14ac:dyDescent="0.25">
      <c r="A2873" t="s">
        <v>41</v>
      </c>
      <c r="B2873" t="s">
        <v>15</v>
      </c>
      <c r="C2873" t="s">
        <v>35</v>
      </c>
      <c r="D2873" t="s">
        <v>29</v>
      </c>
      <c r="E2873" t="s">
        <v>26</v>
      </c>
      <c r="F2873" t="s">
        <v>17</v>
      </c>
      <c r="G2873" s="1" t="str">
        <f t="shared" ref="G2873:M2875" si="610">"..."</f>
        <v>...</v>
      </c>
      <c r="H2873" s="1" t="str">
        <f t="shared" si="610"/>
        <v>...</v>
      </c>
      <c r="I2873" s="1" t="str">
        <f t="shared" si="610"/>
        <v>...</v>
      </c>
      <c r="J2873" s="1" t="str">
        <f t="shared" si="610"/>
        <v>...</v>
      </c>
      <c r="K2873" s="1" t="str">
        <f t="shared" si="610"/>
        <v>...</v>
      </c>
      <c r="L2873" s="1" t="str">
        <f t="shared" si="610"/>
        <v>...</v>
      </c>
      <c r="M2873" s="1" t="str">
        <f t="shared" si="610"/>
        <v>...</v>
      </c>
      <c r="N2873" t="s">
        <v>30</v>
      </c>
    </row>
    <row r="2874" spans="1:14" x14ac:dyDescent="0.25">
      <c r="A2874" t="s">
        <v>41</v>
      </c>
      <c r="B2874" t="s">
        <v>15</v>
      </c>
      <c r="C2874" t="s">
        <v>35</v>
      </c>
      <c r="D2874" t="s">
        <v>29</v>
      </c>
      <c r="E2874" t="s">
        <v>26</v>
      </c>
      <c r="F2874" t="s">
        <v>18</v>
      </c>
      <c r="G2874" s="1" t="str">
        <f t="shared" si="610"/>
        <v>...</v>
      </c>
      <c r="H2874" s="1" t="str">
        <f t="shared" si="610"/>
        <v>...</v>
      </c>
      <c r="I2874" s="1" t="str">
        <f t="shared" si="610"/>
        <v>...</v>
      </c>
      <c r="J2874" s="1" t="str">
        <f t="shared" si="610"/>
        <v>...</v>
      </c>
      <c r="K2874" s="1" t="str">
        <f t="shared" si="610"/>
        <v>...</v>
      </c>
      <c r="L2874" s="1" t="str">
        <f t="shared" si="610"/>
        <v>...</v>
      </c>
      <c r="M2874" s="1" t="str">
        <f t="shared" si="610"/>
        <v>...</v>
      </c>
      <c r="N2874" t="s">
        <v>30</v>
      </c>
    </row>
    <row r="2875" spans="1:14" x14ac:dyDescent="0.25">
      <c r="A2875" t="s">
        <v>41</v>
      </c>
      <c r="B2875" t="s">
        <v>15</v>
      </c>
      <c r="C2875" t="s">
        <v>35</v>
      </c>
      <c r="D2875" t="s">
        <v>29</v>
      </c>
      <c r="E2875" t="s">
        <v>26</v>
      </c>
      <c r="F2875" t="s">
        <v>19</v>
      </c>
      <c r="G2875" s="1" t="str">
        <f t="shared" si="610"/>
        <v>...</v>
      </c>
      <c r="H2875" s="1" t="str">
        <f t="shared" si="610"/>
        <v>...</v>
      </c>
      <c r="I2875" s="1" t="str">
        <f t="shared" si="610"/>
        <v>...</v>
      </c>
      <c r="J2875" s="1" t="str">
        <f t="shared" si="610"/>
        <v>...</v>
      </c>
      <c r="K2875" s="1" t="str">
        <f t="shared" si="610"/>
        <v>...</v>
      </c>
      <c r="L2875" s="1" t="str">
        <f t="shared" si="610"/>
        <v>...</v>
      </c>
      <c r="M2875" s="1" t="str">
        <f t="shared" si="610"/>
        <v>...</v>
      </c>
      <c r="N2875" t="s">
        <v>30</v>
      </c>
    </row>
    <row r="2876" spans="1:14" x14ac:dyDescent="0.25">
      <c r="A2876" t="s">
        <v>41</v>
      </c>
      <c r="B2876" t="s">
        <v>15</v>
      </c>
      <c r="C2876" t="s">
        <v>35</v>
      </c>
      <c r="D2876" t="s">
        <v>29</v>
      </c>
      <c r="E2876" t="s">
        <v>26</v>
      </c>
      <c r="F2876" t="s">
        <v>20</v>
      </c>
      <c r="G2876" s="1" t="str">
        <f t="shared" ref="G2876:M2876" si="611">"X"</f>
        <v>X</v>
      </c>
      <c r="H2876" s="1" t="str">
        <f t="shared" si="611"/>
        <v>X</v>
      </c>
      <c r="I2876" s="1" t="str">
        <f t="shared" si="611"/>
        <v>X</v>
      </c>
      <c r="J2876" s="1" t="str">
        <f t="shared" si="611"/>
        <v>X</v>
      </c>
      <c r="K2876" s="1" t="str">
        <f t="shared" si="611"/>
        <v>X</v>
      </c>
      <c r="L2876" s="1" t="str">
        <f t="shared" si="611"/>
        <v>X</v>
      </c>
      <c r="M2876" s="1" t="str">
        <f t="shared" si="611"/>
        <v>X</v>
      </c>
      <c r="N2876" t="s">
        <v>27</v>
      </c>
    </row>
    <row r="2877" spans="1:14" x14ac:dyDescent="0.25">
      <c r="A2877" t="s">
        <v>41</v>
      </c>
      <c r="B2877" t="s">
        <v>15</v>
      </c>
      <c r="C2877" t="s">
        <v>35</v>
      </c>
      <c r="D2877" t="s">
        <v>31</v>
      </c>
      <c r="E2877" t="s">
        <v>15</v>
      </c>
      <c r="F2877" t="s">
        <v>15</v>
      </c>
      <c r="G2877" s="2">
        <f>VALUE(450.3188191758)</f>
        <v>450.3188191758</v>
      </c>
      <c r="H2877" s="3">
        <f>VALUE(402.6422087296)</f>
        <v>402.64220872959999</v>
      </c>
      <c r="I2877" s="4">
        <f>VALUE(2766)</f>
        <v>2766</v>
      </c>
      <c r="J2877" s="5">
        <f>VALUE(3167)</f>
        <v>3167</v>
      </c>
      <c r="K2877" s="6">
        <f>VALUE(3665)</f>
        <v>3665</v>
      </c>
      <c r="L2877" s="7">
        <f>VALUE(4690)</f>
        <v>4690</v>
      </c>
      <c r="M2877" s="1">
        <f>VALUE(5417)</f>
        <v>5417</v>
      </c>
      <c r="N2877" t="s">
        <v>25</v>
      </c>
    </row>
    <row r="2878" spans="1:14" x14ac:dyDescent="0.25">
      <c r="A2878" t="s">
        <v>41</v>
      </c>
      <c r="B2878" t="s">
        <v>15</v>
      </c>
      <c r="C2878" t="s">
        <v>35</v>
      </c>
      <c r="D2878" t="s">
        <v>31</v>
      </c>
      <c r="E2878" t="s">
        <v>15</v>
      </c>
      <c r="F2878" t="s">
        <v>17</v>
      </c>
      <c r="G2878" s="1" t="str">
        <f t="shared" ref="G2878:M2880" si="612">"X"</f>
        <v>X</v>
      </c>
      <c r="H2878" s="1" t="str">
        <f t="shared" si="612"/>
        <v>X</v>
      </c>
      <c r="I2878" s="1" t="str">
        <f t="shared" si="612"/>
        <v>X</v>
      </c>
      <c r="J2878" s="1" t="str">
        <f t="shared" si="612"/>
        <v>X</v>
      </c>
      <c r="K2878" s="1" t="str">
        <f t="shared" si="612"/>
        <v>X</v>
      </c>
      <c r="L2878" s="1" t="str">
        <f t="shared" si="612"/>
        <v>X</v>
      </c>
      <c r="M2878" s="1" t="str">
        <f t="shared" si="612"/>
        <v>X</v>
      </c>
      <c r="N2878" t="s">
        <v>27</v>
      </c>
    </row>
    <row r="2879" spans="1:14" x14ac:dyDescent="0.25">
      <c r="A2879" t="s">
        <v>41</v>
      </c>
      <c r="B2879" t="s">
        <v>15</v>
      </c>
      <c r="C2879" t="s">
        <v>35</v>
      </c>
      <c r="D2879" t="s">
        <v>31</v>
      </c>
      <c r="E2879" t="s">
        <v>15</v>
      </c>
      <c r="F2879" t="s">
        <v>18</v>
      </c>
      <c r="G2879" s="1" t="str">
        <f t="shared" si="612"/>
        <v>X</v>
      </c>
      <c r="H2879" s="1" t="str">
        <f t="shared" si="612"/>
        <v>X</v>
      </c>
      <c r="I2879" s="1" t="str">
        <f t="shared" si="612"/>
        <v>X</v>
      </c>
      <c r="J2879" s="1" t="str">
        <f t="shared" si="612"/>
        <v>X</v>
      </c>
      <c r="K2879" s="1" t="str">
        <f t="shared" si="612"/>
        <v>X</v>
      </c>
      <c r="L2879" s="1" t="str">
        <f t="shared" si="612"/>
        <v>X</v>
      </c>
      <c r="M2879" s="1" t="str">
        <f t="shared" si="612"/>
        <v>X</v>
      </c>
      <c r="N2879" t="s">
        <v>27</v>
      </c>
    </row>
    <row r="2880" spans="1:14" x14ac:dyDescent="0.25">
      <c r="A2880" t="s">
        <v>41</v>
      </c>
      <c r="B2880" t="s">
        <v>15</v>
      </c>
      <c r="C2880" t="s">
        <v>35</v>
      </c>
      <c r="D2880" t="s">
        <v>31</v>
      </c>
      <c r="E2880" t="s">
        <v>15</v>
      </c>
      <c r="F2880" t="s">
        <v>19</v>
      </c>
      <c r="G2880" s="1" t="str">
        <f t="shared" si="612"/>
        <v>X</v>
      </c>
      <c r="H2880" s="1" t="str">
        <f t="shared" si="612"/>
        <v>X</v>
      </c>
      <c r="I2880" s="1" t="str">
        <f t="shared" si="612"/>
        <v>X</v>
      </c>
      <c r="J2880" s="1" t="str">
        <f t="shared" si="612"/>
        <v>X</v>
      </c>
      <c r="K2880" s="1" t="str">
        <f t="shared" si="612"/>
        <v>X</v>
      </c>
      <c r="L2880" s="1" t="str">
        <f t="shared" si="612"/>
        <v>X</v>
      </c>
      <c r="M2880" s="1" t="str">
        <f t="shared" si="612"/>
        <v>X</v>
      </c>
      <c r="N2880" t="s">
        <v>27</v>
      </c>
    </row>
    <row r="2881" spans="1:14" x14ac:dyDescent="0.25">
      <c r="A2881" t="s">
        <v>41</v>
      </c>
      <c r="B2881" t="s">
        <v>15</v>
      </c>
      <c r="C2881" t="s">
        <v>35</v>
      </c>
      <c r="D2881" t="s">
        <v>31</v>
      </c>
      <c r="E2881" t="s">
        <v>15</v>
      </c>
      <c r="F2881" t="s">
        <v>20</v>
      </c>
      <c r="G2881" s="2">
        <f>VALUE(333.8617155989)</f>
        <v>333.86171559889999</v>
      </c>
      <c r="H2881" s="3">
        <f>VALUE(285.2468430763)</f>
        <v>285.24684307630002</v>
      </c>
      <c r="I2881" s="1">
        <f>VALUE(2766)</f>
        <v>2766</v>
      </c>
      <c r="J2881" s="5">
        <f>VALUE(3207)</f>
        <v>3207</v>
      </c>
      <c r="K2881" s="1">
        <f>VALUE(3547)</f>
        <v>3547</v>
      </c>
      <c r="L2881" s="1">
        <f>VALUE(4025)</f>
        <v>4025</v>
      </c>
      <c r="M2881" s="8">
        <f>VALUE(4965)</f>
        <v>4965</v>
      </c>
      <c r="N2881" t="s">
        <v>25</v>
      </c>
    </row>
    <row r="2882" spans="1:14" x14ac:dyDescent="0.25">
      <c r="A2882" t="s">
        <v>41</v>
      </c>
      <c r="B2882" t="s">
        <v>15</v>
      </c>
      <c r="C2882" t="s">
        <v>35</v>
      </c>
      <c r="D2882" t="s">
        <v>31</v>
      </c>
      <c r="E2882" t="s">
        <v>21</v>
      </c>
      <c r="F2882" t="s">
        <v>15</v>
      </c>
      <c r="G2882" s="1" t="str">
        <f t="shared" ref="G2882:M2891" si="613">"X"</f>
        <v>X</v>
      </c>
      <c r="H2882" s="1" t="str">
        <f t="shared" si="613"/>
        <v>X</v>
      </c>
      <c r="I2882" s="1" t="str">
        <f t="shared" si="613"/>
        <v>X</v>
      </c>
      <c r="J2882" s="1" t="str">
        <f t="shared" si="613"/>
        <v>X</v>
      </c>
      <c r="K2882" s="1" t="str">
        <f t="shared" si="613"/>
        <v>X</v>
      </c>
      <c r="L2882" s="1" t="str">
        <f t="shared" si="613"/>
        <v>X</v>
      </c>
      <c r="M2882" s="1" t="str">
        <f t="shared" si="613"/>
        <v>X</v>
      </c>
      <c r="N2882" t="s">
        <v>27</v>
      </c>
    </row>
    <row r="2883" spans="1:14" x14ac:dyDescent="0.25">
      <c r="A2883" t="s">
        <v>41</v>
      </c>
      <c r="B2883" t="s">
        <v>15</v>
      </c>
      <c r="C2883" t="s">
        <v>35</v>
      </c>
      <c r="D2883" t="s">
        <v>31</v>
      </c>
      <c r="E2883" t="s">
        <v>21</v>
      </c>
      <c r="F2883" t="s">
        <v>17</v>
      </c>
      <c r="G2883" s="1" t="str">
        <f t="shared" si="613"/>
        <v>X</v>
      </c>
      <c r="H2883" s="1" t="str">
        <f t="shared" si="613"/>
        <v>X</v>
      </c>
      <c r="I2883" s="1" t="str">
        <f t="shared" si="613"/>
        <v>X</v>
      </c>
      <c r="J2883" s="1" t="str">
        <f t="shared" si="613"/>
        <v>X</v>
      </c>
      <c r="K2883" s="1" t="str">
        <f t="shared" si="613"/>
        <v>X</v>
      </c>
      <c r="L2883" s="1" t="str">
        <f t="shared" si="613"/>
        <v>X</v>
      </c>
      <c r="M2883" s="1" t="str">
        <f t="shared" si="613"/>
        <v>X</v>
      </c>
      <c r="N2883" t="s">
        <v>27</v>
      </c>
    </row>
    <row r="2884" spans="1:14" x14ac:dyDescent="0.25">
      <c r="A2884" t="s">
        <v>41</v>
      </c>
      <c r="B2884" t="s">
        <v>15</v>
      </c>
      <c r="C2884" t="s">
        <v>35</v>
      </c>
      <c r="D2884" t="s">
        <v>31</v>
      </c>
      <c r="E2884" t="s">
        <v>21</v>
      </c>
      <c r="F2884" t="s">
        <v>18</v>
      </c>
      <c r="G2884" s="1" t="str">
        <f t="shared" si="613"/>
        <v>X</v>
      </c>
      <c r="H2884" s="1" t="str">
        <f t="shared" si="613"/>
        <v>X</v>
      </c>
      <c r="I2884" s="1" t="str">
        <f t="shared" si="613"/>
        <v>X</v>
      </c>
      <c r="J2884" s="1" t="str">
        <f t="shared" si="613"/>
        <v>X</v>
      </c>
      <c r="K2884" s="1" t="str">
        <f t="shared" si="613"/>
        <v>X</v>
      </c>
      <c r="L2884" s="1" t="str">
        <f t="shared" si="613"/>
        <v>X</v>
      </c>
      <c r="M2884" s="1" t="str">
        <f t="shared" si="613"/>
        <v>X</v>
      </c>
      <c r="N2884" t="s">
        <v>27</v>
      </c>
    </row>
    <row r="2885" spans="1:14" x14ac:dyDescent="0.25">
      <c r="A2885" t="s">
        <v>41</v>
      </c>
      <c r="B2885" t="s">
        <v>15</v>
      </c>
      <c r="C2885" t="s">
        <v>35</v>
      </c>
      <c r="D2885" t="s">
        <v>31</v>
      </c>
      <c r="E2885" t="s">
        <v>21</v>
      </c>
      <c r="F2885" t="s">
        <v>19</v>
      </c>
      <c r="G2885" s="1" t="str">
        <f t="shared" si="613"/>
        <v>X</v>
      </c>
      <c r="H2885" s="1" t="str">
        <f t="shared" si="613"/>
        <v>X</v>
      </c>
      <c r="I2885" s="1" t="str">
        <f t="shared" si="613"/>
        <v>X</v>
      </c>
      <c r="J2885" s="1" t="str">
        <f t="shared" si="613"/>
        <v>X</v>
      </c>
      <c r="K2885" s="1" t="str">
        <f t="shared" si="613"/>
        <v>X</v>
      </c>
      <c r="L2885" s="1" t="str">
        <f t="shared" si="613"/>
        <v>X</v>
      </c>
      <c r="M2885" s="1" t="str">
        <f t="shared" si="613"/>
        <v>X</v>
      </c>
      <c r="N2885" t="s">
        <v>27</v>
      </c>
    </row>
    <row r="2886" spans="1:14" x14ac:dyDescent="0.25">
      <c r="A2886" t="s">
        <v>41</v>
      </c>
      <c r="B2886" t="s">
        <v>15</v>
      </c>
      <c r="C2886" t="s">
        <v>35</v>
      </c>
      <c r="D2886" t="s">
        <v>31</v>
      </c>
      <c r="E2886" t="s">
        <v>21</v>
      </c>
      <c r="F2886" t="s">
        <v>20</v>
      </c>
      <c r="G2886" s="1" t="str">
        <f t="shared" si="613"/>
        <v>X</v>
      </c>
      <c r="H2886" s="1" t="str">
        <f t="shared" si="613"/>
        <v>X</v>
      </c>
      <c r="I2886" s="1" t="str">
        <f t="shared" si="613"/>
        <v>X</v>
      </c>
      <c r="J2886" s="1" t="str">
        <f t="shared" si="613"/>
        <v>X</v>
      </c>
      <c r="K2886" s="1" t="str">
        <f t="shared" si="613"/>
        <v>X</v>
      </c>
      <c r="L2886" s="1" t="str">
        <f t="shared" si="613"/>
        <v>X</v>
      </c>
      <c r="M2886" s="1" t="str">
        <f t="shared" si="613"/>
        <v>X</v>
      </c>
      <c r="N2886" t="s">
        <v>27</v>
      </c>
    </row>
    <row r="2887" spans="1:14" x14ac:dyDescent="0.25">
      <c r="A2887" t="s">
        <v>41</v>
      </c>
      <c r="B2887" t="s">
        <v>15</v>
      </c>
      <c r="C2887" t="s">
        <v>35</v>
      </c>
      <c r="D2887" t="s">
        <v>31</v>
      </c>
      <c r="E2887" t="s">
        <v>22</v>
      </c>
      <c r="F2887" t="s">
        <v>15</v>
      </c>
      <c r="G2887" s="1" t="str">
        <f t="shared" si="613"/>
        <v>X</v>
      </c>
      <c r="H2887" s="1" t="str">
        <f t="shared" si="613"/>
        <v>X</v>
      </c>
      <c r="I2887" s="1" t="str">
        <f t="shared" si="613"/>
        <v>X</v>
      </c>
      <c r="J2887" s="1" t="str">
        <f t="shared" si="613"/>
        <v>X</v>
      </c>
      <c r="K2887" s="1" t="str">
        <f t="shared" si="613"/>
        <v>X</v>
      </c>
      <c r="L2887" s="1" t="str">
        <f t="shared" si="613"/>
        <v>X</v>
      </c>
      <c r="M2887" s="1" t="str">
        <f t="shared" si="613"/>
        <v>X</v>
      </c>
      <c r="N2887" t="s">
        <v>27</v>
      </c>
    </row>
    <row r="2888" spans="1:14" x14ac:dyDescent="0.25">
      <c r="A2888" t="s">
        <v>41</v>
      </c>
      <c r="B2888" t="s">
        <v>15</v>
      </c>
      <c r="C2888" t="s">
        <v>35</v>
      </c>
      <c r="D2888" t="s">
        <v>31</v>
      </c>
      <c r="E2888" t="s">
        <v>22</v>
      </c>
      <c r="F2888" t="s">
        <v>17</v>
      </c>
      <c r="G2888" s="1" t="str">
        <f t="shared" si="613"/>
        <v>X</v>
      </c>
      <c r="H2888" s="1" t="str">
        <f t="shared" si="613"/>
        <v>X</v>
      </c>
      <c r="I2888" s="1" t="str">
        <f t="shared" si="613"/>
        <v>X</v>
      </c>
      <c r="J2888" s="1" t="str">
        <f t="shared" si="613"/>
        <v>X</v>
      </c>
      <c r="K2888" s="1" t="str">
        <f t="shared" si="613"/>
        <v>X</v>
      </c>
      <c r="L2888" s="1" t="str">
        <f t="shared" si="613"/>
        <v>X</v>
      </c>
      <c r="M2888" s="1" t="str">
        <f t="shared" si="613"/>
        <v>X</v>
      </c>
      <c r="N2888" t="s">
        <v>27</v>
      </c>
    </row>
    <row r="2889" spans="1:14" x14ac:dyDescent="0.25">
      <c r="A2889" t="s">
        <v>41</v>
      </c>
      <c r="B2889" t="s">
        <v>15</v>
      </c>
      <c r="C2889" t="s">
        <v>35</v>
      </c>
      <c r="D2889" t="s">
        <v>31</v>
      </c>
      <c r="E2889" t="s">
        <v>22</v>
      </c>
      <c r="F2889" t="s">
        <v>18</v>
      </c>
      <c r="G2889" s="1" t="str">
        <f t="shared" si="613"/>
        <v>X</v>
      </c>
      <c r="H2889" s="1" t="str">
        <f t="shared" si="613"/>
        <v>X</v>
      </c>
      <c r="I2889" s="1" t="str">
        <f t="shared" si="613"/>
        <v>X</v>
      </c>
      <c r="J2889" s="1" t="str">
        <f t="shared" si="613"/>
        <v>X</v>
      </c>
      <c r="K2889" s="1" t="str">
        <f t="shared" si="613"/>
        <v>X</v>
      </c>
      <c r="L2889" s="1" t="str">
        <f t="shared" si="613"/>
        <v>X</v>
      </c>
      <c r="M2889" s="1" t="str">
        <f t="shared" si="613"/>
        <v>X</v>
      </c>
      <c r="N2889" t="s">
        <v>27</v>
      </c>
    </row>
    <row r="2890" spans="1:14" x14ac:dyDescent="0.25">
      <c r="A2890" t="s">
        <v>41</v>
      </c>
      <c r="B2890" t="s">
        <v>15</v>
      </c>
      <c r="C2890" t="s">
        <v>35</v>
      </c>
      <c r="D2890" t="s">
        <v>31</v>
      </c>
      <c r="E2890" t="s">
        <v>22</v>
      </c>
      <c r="F2890" t="s">
        <v>19</v>
      </c>
      <c r="G2890" s="1" t="str">
        <f t="shared" si="613"/>
        <v>X</v>
      </c>
      <c r="H2890" s="1" t="str">
        <f t="shared" si="613"/>
        <v>X</v>
      </c>
      <c r="I2890" s="1" t="str">
        <f t="shared" si="613"/>
        <v>X</v>
      </c>
      <c r="J2890" s="1" t="str">
        <f t="shared" si="613"/>
        <v>X</v>
      </c>
      <c r="K2890" s="1" t="str">
        <f t="shared" si="613"/>
        <v>X</v>
      </c>
      <c r="L2890" s="1" t="str">
        <f t="shared" si="613"/>
        <v>X</v>
      </c>
      <c r="M2890" s="1" t="str">
        <f t="shared" si="613"/>
        <v>X</v>
      </c>
      <c r="N2890" t="s">
        <v>27</v>
      </c>
    </row>
    <row r="2891" spans="1:14" x14ac:dyDescent="0.25">
      <c r="A2891" t="s">
        <v>41</v>
      </c>
      <c r="B2891" t="s">
        <v>15</v>
      </c>
      <c r="C2891" t="s">
        <v>35</v>
      </c>
      <c r="D2891" t="s">
        <v>31</v>
      </c>
      <c r="E2891" t="s">
        <v>22</v>
      </c>
      <c r="F2891" t="s">
        <v>20</v>
      </c>
      <c r="G2891" s="1" t="str">
        <f t="shared" si="613"/>
        <v>X</v>
      </c>
      <c r="H2891" s="1" t="str">
        <f t="shared" si="613"/>
        <v>X</v>
      </c>
      <c r="I2891" s="1" t="str">
        <f t="shared" si="613"/>
        <v>X</v>
      </c>
      <c r="J2891" s="1" t="str">
        <f t="shared" si="613"/>
        <v>X</v>
      </c>
      <c r="K2891" s="1" t="str">
        <f t="shared" si="613"/>
        <v>X</v>
      </c>
      <c r="L2891" s="1" t="str">
        <f t="shared" si="613"/>
        <v>X</v>
      </c>
      <c r="M2891" s="1" t="str">
        <f t="shared" si="613"/>
        <v>X</v>
      </c>
      <c r="N2891" t="s">
        <v>27</v>
      </c>
    </row>
    <row r="2892" spans="1:14" x14ac:dyDescent="0.25">
      <c r="A2892" t="s">
        <v>41</v>
      </c>
      <c r="B2892" t="s">
        <v>15</v>
      </c>
      <c r="C2892" t="s">
        <v>35</v>
      </c>
      <c r="D2892" t="s">
        <v>31</v>
      </c>
      <c r="E2892" t="s">
        <v>23</v>
      </c>
      <c r="F2892" t="s">
        <v>15</v>
      </c>
      <c r="G2892" s="2">
        <f>VALUE(243.2570898311)</f>
        <v>243.25708983109999</v>
      </c>
      <c r="H2892" s="3">
        <f>VALUE(225.2820706158)</f>
        <v>225.2820706158</v>
      </c>
      <c r="I2892" s="4">
        <f>VALUE(2716)</f>
        <v>2716</v>
      </c>
      <c r="J2892" s="5">
        <f>VALUE(3048)</f>
        <v>3048</v>
      </c>
      <c r="K2892" s="6">
        <f>VALUE(3310)</f>
        <v>3310</v>
      </c>
      <c r="L2892" s="7">
        <f>VALUE(3865)</f>
        <v>3865</v>
      </c>
      <c r="M2892" s="1">
        <f>VALUE(4732)</f>
        <v>4732</v>
      </c>
      <c r="N2892" t="s">
        <v>25</v>
      </c>
    </row>
    <row r="2893" spans="1:14" x14ac:dyDescent="0.25">
      <c r="A2893" t="s">
        <v>41</v>
      </c>
      <c r="B2893" t="s">
        <v>15</v>
      </c>
      <c r="C2893" t="s">
        <v>35</v>
      </c>
      <c r="D2893" t="s">
        <v>31</v>
      </c>
      <c r="E2893" t="s">
        <v>23</v>
      </c>
      <c r="F2893" t="s">
        <v>17</v>
      </c>
      <c r="G2893" s="1" t="str">
        <f t="shared" ref="G2893:M2893" si="614">"..."</f>
        <v>...</v>
      </c>
      <c r="H2893" s="1" t="str">
        <f t="shared" si="614"/>
        <v>...</v>
      </c>
      <c r="I2893" s="1" t="str">
        <f t="shared" si="614"/>
        <v>...</v>
      </c>
      <c r="J2893" s="1" t="str">
        <f t="shared" si="614"/>
        <v>...</v>
      </c>
      <c r="K2893" s="1" t="str">
        <f t="shared" si="614"/>
        <v>...</v>
      </c>
      <c r="L2893" s="1" t="str">
        <f t="shared" si="614"/>
        <v>...</v>
      </c>
      <c r="M2893" s="1" t="str">
        <f t="shared" si="614"/>
        <v>...</v>
      </c>
      <c r="N2893" t="s">
        <v>30</v>
      </c>
    </row>
    <row r="2894" spans="1:14" x14ac:dyDescent="0.25">
      <c r="A2894" t="s">
        <v>41</v>
      </c>
      <c r="B2894" t="s">
        <v>15</v>
      </c>
      <c r="C2894" t="s">
        <v>35</v>
      </c>
      <c r="D2894" t="s">
        <v>31</v>
      </c>
      <c r="E2894" t="s">
        <v>23</v>
      </c>
      <c r="F2894" t="s">
        <v>18</v>
      </c>
      <c r="G2894" s="1" t="str">
        <f t="shared" ref="G2894:M2897" si="615">"X"</f>
        <v>X</v>
      </c>
      <c r="H2894" s="1" t="str">
        <f t="shared" si="615"/>
        <v>X</v>
      </c>
      <c r="I2894" s="1" t="str">
        <f t="shared" si="615"/>
        <v>X</v>
      </c>
      <c r="J2894" s="1" t="str">
        <f t="shared" si="615"/>
        <v>X</v>
      </c>
      <c r="K2894" s="1" t="str">
        <f t="shared" si="615"/>
        <v>X</v>
      </c>
      <c r="L2894" s="1" t="str">
        <f t="shared" si="615"/>
        <v>X</v>
      </c>
      <c r="M2894" s="1" t="str">
        <f t="shared" si="615"/>
        <v>X</v>
      </c>
      <c r="N2894" t="s">
        <v>27</v>
      </c>
    </row>
    <row r="2895" spans="1:14" x14ac:dyDescent="0.25">
      <c r="A2895" t="s">
        <v>41</v>
      </c>
      <c r="B2895" t="s">
        <v>15</v>
      </c>
      <c r="C2895" t="s">
        <v>35</v>
      </c>
      <c r="D2895" t="s">
        <v>31</v>
      </c>
      <c r="E2895" t="s">
        <v>23</v>
      </c>
      <c r="F2895" t="s">
        <v>19</v>
      </c>
      <c r="G2895" s="1" t="str">
        <f t="shared" si="615"/>
        <v>X</v>
      </c>
      <c r="H2895" s="1" t="str">
        <f t="shared" si="615"/>
        <v>X</v>
      </c>
      <c r="I2895" s="1" t="str">
        <f t="shared" si="615"/>
        <v>X</v>
      </c>
      <c r="J2895" s="1" t="str">
        <f t="shared" si="615"/>
        <v>X</v>
      </c>
      <c r="K2895" s="1" t="str">
        <f t="shared" si="615"/>
        <v>X</v>
      </c>
      <c r="L2895" s="1" t="str">
        <f t="shared" si="615"/>
        <v>X</v>
      </c>
      <c r="M2895" s="1" t="str">
        <f t="shared" si="615"/>
        <v>X</v>
      </c>
      <c r="N2895" t="s">
        <v>27</v>
      </c>
    </row>
    <row r="2896" spans="1:14" x14ac:dyDescent="0.25">
      <c r="A2896" t="s">
        <v>41</v>
      </c>
      <c r="B2896" t="s">
        <v>15</v>
      </c>
      <c r="C2896" t="s">
        <v>35</v>
      </c>
      <c r="D2896" t="s">
        <v>31</v>
      </c>
      <c r="E2896" t="s">
        <v>23</v>
      </c>
      <c r="F2896" t="s">
        <v>20</v>
      </c>
      <c r="G2896" s="1" t="str">
        <f t="shared" si="615"/>
        <v>X</v>
      </c>
      <c r="H2896" s="1" t="str">
        <f t="shared" si="615"/>
        <v>X</v>
      </c>
      <c r="I2896" s="1" t="str">
        <f t="shared" si="615"/>
        <v>X</v>
      </c>
      <c r="J2896" s="1" t="str">
        <f t="shared" si="615"/>
        <v>X</v>
      </c>
      <c r="K2896" s="1" t="str">
        <f t="shared" si="615"/>
        <v>X</v>
      </c>
      <c r="L2896" s="1" t="str">
        <f t="shared" si="615"/>
        <v>X</v>
      </c>
      <c r="M2896" s="1" t="str">
        <f t="shared" si="615"/>
        <v>X</v>
      </c>
      <c r="N2896" t="s">
        <v>27</v>
      </c>
    </row>
    <row r="2897" spans="1:14" x14ac:dyDescent="0.25">
      <c r="A2897" t="s">
        <v>41</v>
      </c>
      <c r="B2897" t="s">
        <v>15</v>
      </c>
      <c r="C2897" t="s">
        <v>35</v>
      </c>
      <c r="D2897" t="s">
        <v>31</v>
      </c>
      <c r="E2897" t="s">
        <v>26</v>
      </c>
      <c r="F2897" t="s">
        <v>15</v>
      </c>
      <c r="G2897" s="1" t="str">
        <f t="shared" si="615"/>
        <v>X</v>
      </c>
      <c r="H2897" s="1" t="str">
        <f t="shared" si="615"/>
        <v>X</v>
      </c>
      <c r="I2897" s="1" t="str">
        <f t="shared" si="615"/>
        <v>X</v>
      </c>
      <c r="J2897" s="1" t="str">
        <f t="shared" si="615"/>
        <v>X</v>
      </c>
      <c r="K2897" s="1" t="str">
        <f t="shared" si="615"/>
        <v>X</v>
      </c>
      <c r="L2897" s="1" t="str">
        <f t="shared" si="615"/>
        <v>X</v>
      </c>
      <c r="M2897" s="1" t="str">
        <f t="shared" si="615"/>
        <v>X</v>
      </c>
      <c r="N2897" t="s">
        <v>27</v>
      </c>
    </row>
    <row r="2898" spans="1:14" x14ac:dyDescent="0.25">
      <c r="A2898" t="s">
        <v>41</v>
      </c>
      <c r="B2898" t="s">
        <v>15</v>
      </c>
      <c r="C2898" t="s">
        <v>35</v>
      </c>
      <c r="D2898" t="s">
        <v>31</v>
      </c>
      <c r="E2898" t="s">
        <v>26</v>
      </c>
      <c r="F2898" t="s">
        <v>17</v>
      </c>
      <c r="G2898" s="1" t="str">
        <f t="shared" ref="G2898:M2900" si="616">"..."</f>
        <v>...</v>
      </c>
      <c r="H2898" s="1" t="str">
        <f t="shared" si="616"/>
        <v>...</v>
      </c>
      <c r="I2898" s="1" t="str">
        <f t="shared" si="616"/>
        <v>...</v>
      </c>
      <c r="J2898" s="1" t="str">
        <f t="shared" si="616"/>
        <v>...</v>
      </c>
      <c r="K2898" s="1" t="str">
        <f t="shared" si="616"/>
        <v>...</v>
      </c>
      <c r="L2898" s="1" t="str">
        <f t="shared" si="616"/>
        <v>...</v>
      </c>
      <c r="M2898" s="1" t="str">
        <f t="shared" si="616"/>
        <v>...</v>
      </c>
      <c r="N2898" t="s">
        <v>30</v>
      </c>
    </row>
    <row r="2899" spans="1:14" x14ac:dyDescent="0.25">
      <c r="A2899" t="s">
        <v>41</v>
      </c>
      <c r="B2899" t="s">
        <v>15</v>
      </c>
      <c r="C2899" t="s">
        <v>35</v>
      </c>
      <c r="D2899" t="s">
        <v>31</v>
      </c>
      <c r="E2899" t="s">
        <v>26</v>
      </c>
      <c r="F2899" t="s">
        <v>18</v>
      </c>
      <c r="G2899" s="1" t="str">
        <f t="shared" si="616"/>
        <v>...</v>
      </c>
      <c r="H2899" s="1" t="str">
        <f t="shared" si="616"/>
        <v>...</v>
      </c>
      <c r="I2899" s="1" t="str">
        <f t="shared" si="616"/>
        <v>...</v>
      </c>
      <c r="J2899" s="1" t="str">
        <f t="shared" si="616"/>
        <v>...</v>
      </c>
      <c r="K2899" s="1" t="str">
        <f t="shared" si="616"/>
        <v>...</v>
      </c>
      <c r="L2899" s="1" t="str">
        <f t="shared" si="616"/>
        <v>...</v>
      </c>
      <c r="M2899" s="1" t="str">
        <f t="shared" si="616"/>
        <v>...</v>
      </c>
      <c r="N2899" t="s">
        <v>30</v>
      </c>
    </row>
    <row r="2900" spans="1:14" x14ac:dyDescent="0.25">
      <c r="A2900" t="s">
        <v>41</v>
      </c>
      <c r="B2900" t="s">
        <v>15</v>
      </c>
      <c r="C2900" t="s">
        <v>35</v>
      </c>
      <c r="D2900" t="s">
        <v>31</v>
      </c>
      <c r="E2900" t="s">
        <v>26</v>
      </c>
      <c r="F2900" t="s">
        <v>19</v>
      </c>
      <c r="G2900" s="1" t="str">
        <f t="shared" si="616"/>
        <v>...</v>
      </c>
      <c r="H2900" s="1" t="str">
        <f t="shared" si="616"/>
        <v>...</v>
      </c>
      <c r="I2900" s="1" t="str">
        <f t="shared" si="616"/>
        <v>...</v>
      </c>
      <c r="J2900" s="1" t="str">
        <f t="shared" si="616"/>
        <v>...</v>
      </c>
      <c r="K2900" s="1" t="str">
        <f t="shared" si="616"/>
        <v>...</v>
      </c>
      <c r="L2900" s="1" t="str">
        <f t="shared" si="616"/>
        <v>...</v>
      </c>
      <c r="M2900" s="1" t="str">
        <f t="shared" si="616"/>
        <v>...</v>
      </c>
      <c r="N2900" t="s">
        <v>30</v>
      </c>
    </row>
    <row r="2901" spans="1:14" x14ac:dyDescent="0.25">
      <c r="A2901" t="s">
        <v>41</v>
      </c>
      <c r="B2901" t="s">
        <v>15</v>
      </c>
      <c r="C2901" t="s">
        <v>35</v>
      </c>
      <c r="D2901" t="s">
        <v>31</v>
      </c>
      <c r="E2901" t="s">
        <v>26</v>
      </c>
      <c r="F2901" t="s">
        <v>20</v>
      </c>
      <c r="G2901" s="1" t="str">
        <f t="shared" ref="G2901:M2901" si="617">"X"</f>
        <v>X</v>
      </c>
      <c r="H2901" s="1" t="str">
        <f t="shared" si="617"/>
        <v>X</v>
      </c>
      <c r="I2901" s="1" t="str">
        <f t="shared" si="617"/>
        <v>X</v>
      </c>
      <c r="J2901" s="1" t="str">
        <f t="shared" si="617"/>
        <v>X</v>
      </c>
      <c r="K2901" s="1" t="str">
        <f t="shared" si="617"/>
        <v>X</v>
      </c>
      <c r="L2901" s="1" t="str">
        <f t="shared" si="617"/>
        <v>X</v>
      </c>
      <c r="M2901" s="1" t="str">
        <f t="shared" si="617"/>
        <v>X</v>
      </c>
      <c r="N2901" t="s">
        <v>27</v>
      </c>
    </row>
    <row r="2902" spans="1:14" x14ac:dyDescent="0.25">
      <c r="A2902" t="s">
        <v>41</v>
      </c>
      <c r="B2902" t="s">
        <v>15</v>
      </c>
      <c r="C2902" t="s">
        <v>35</v>
      </c>
      <c r="D2902" t="s">
        <v>32</v>
      </c>
      <c r="E2902" t="s">
        <v>15</v>
      </c>
      <c r="F2902" t="s">
        <v>15</v>
      </c>
      <c r="G2902" s="1">
        <f>VALUE(2070.5548730515)</f>
        <v>2070.5548730515002</v>
      </c>
      <c r="H2902" s="1">
        <f>VALUE(1955.7814353549)</f>
        <v>1955.7814353548999</v>
      </c>
      <c r="I2902" s="1">
        <f>VALUE(2575)</f>
        <v>2575</v>
      </c>
      <c r="J2902" s="1">
        <f>VALUE(2867)</f>
        <v>2867</v>
      </c>
      <c r="K2902" s="1">
        <f>VALUE(3320)</f>
        <v>3320</v>
      </c>
      <c r="L2902" s="1">
        <f>VALUE(4012)</f>
        <v>4012</v>
      </c>
      <c r="M2902" s="1">
        <f>VALUE(4869)</f>
        <v>4869</v>
      </c>
      <c r="N2902" t="s">
        <v>16</v>
      </c>
    </row>
    <row r="2903" spans="1:14" x14ac:dyDescent="0.25">
      <c r="A2903" t="s">
        <v>41</v>
      </c>
      <c r="B2903" t="s">
        <v>15</v>
      </c>
      <c r="C2903" t="s">
        <v>35</v>
      </c>
      <c r="D2903" t="s">
        <v>32</v>
      </c>
      <c r="E2903" t="s">
        <v>15</v>
      </c>
      <c r="F2903" t="s">
        <v>17</v>
      </c>
      <c r="G2903" s="1" t="str">
        <f t="shared" ref="G2903:M2905" si="618">"X"</f>
        <v>X</v>
      </c>
      <c r="H2903" s="1" t="str">
        <f t="shared" si="618"/>
        <v>X</v>
      </c>
      <c r="I2903" s="1" t="str">
        <f t="shared" si="618"/>
        <v>X</v>
      </c>
      <c r="J2903" s="1" t="str">
        <f t="shared" si="618"/>
        <v>X</v>
      </c>
      <c r="K2903" s="1" t="str">
        <f t="shared" si="618"/>
        <v>X</v>
      </c>
      <c r="L2903" s="1" t="str">
        <f t="shared" si="618"/>
        <v>X</v>
      </c>
      <c r="M2903" s="1" t="str">
        <f t="shared" si="618"/>
        <v>X</v>
      </c>
      <c r="N2903" t="s">
        <v>27</v>
      </c>
    </row>
    <row r="2904" spans="1:14" x14ac:dyDescent="0.25">
      <c r="A2904" t="s">
        <v>41</v>
      </c>
      <c r="B2904" t="s">
        <v>15</v>
      </c>
      <c r="C2904" t="s">
        <v>35</v>
      </c>
      <c r="D2904" t="s">
        <v>32</v>
      </c>
      <c r="E2904" t="s">
        <v>15</v>
      </c>
      <c r="F2904" t="s">
        <v>18</v>
      </c>
      <c r="G2904" s="1" t="str">
        <f t="shared" si="618"/>
        <v>X</v>
      </c>
      <c r="H2904" s="1" t="str">
        <f t="shared" si="618"/>
        <v>X</v>
      </c>
      <c r="I2904" s="1" t="str">
        <f t="shared" si="618"/>
        <v>X</v>
      </c>
      <c r="J2904" s="1" t="str">
        <f t="shared" si="618"/>
        <v>X</v>
      </c>
      <c r="K2904" s="1" t="str">
        <f t="shared" si="618"/>
        <v>X</v>
      </c>
      <c r="L2904" s="1" t="str">
        <f t="shared" si="618"/>
        <v>X</v>
      </c>
      <c r="M2904" s="1" t="str">
        <f t="shared" si="618"/>
        <v>X</v>
      </c>
      <c r="N2904" t="s">
        <v>27</v>
      </c>
    </row>
    <row r="2905" spans="1:14" x14ac:dyDescent="0.25">
      <c r="A2905" t="s">
        <v>41</v>
      </c>
      <c r="B2905" t="s">
        <v>15</v>
      </c>
      <c r="C2905" t="s">
        <v>35</v>
      </c>
      <c r="D2905" t="s">
        <v>32</v>
      </c>
      <c r="E2905" t="s">
        <v>15</v>
      </c>
      <c r="F2905" t="s">
        <v>19</v>
      </c>
      <c r="G2905" s="1" t="str">
        <f t="shared" si="618"/>
        <v>X</v>
      </c>
      <c r="H2905" s="1" t="str">
        <f t="shared" si="618"/>
        <v>X</v>
      </c>
      <c r="I2905" s="1" t="str">
        <f t="shared" si="618"/>
        <v>X</v>
      </c>
      <c r="J2905" s="1" t="str">
        <f t="shared" si="618"/>
        <v>X</v>
      </c>
      <c r="K2905" s="1" t="str">
        <f t="shared" si="618"/>
        <v>X</v>
      </c>
      <c r="L2905" s="1" t="str">
        <f t="shared" si="618"/>
        <v>X</v>
      </c>
      <c r="M2905" s="1" t="str">
        <f t="shared" si="618"/>
        <v>X</v>
      </c>
      <c r="N2905" t="s">
        <v>27</v>
      </c>
    </row>
    <row r="2906" spans="1:14" x14ac:dyDescent="0.25">
      <c r="A2906" t="s">
        <v>41</v>
      </c>
      <c r="B2906" t="s">
        <v>15</v>
      </c>
      <c r="C2906" t="s">
        <v>35</v>
      </c>
      <c r="D2906" t="s">
        <v>32</v>
      </c>
      <c r="E2906" t="s">
        <v>15</v>
      </c>
      <c r="F2906" t="s">
        <v>20</v>
      </c>
      <c r="G2906" s="1">
        <f>VALUE(1852.1336786091)</f>
        <v>1852.1336786090999</v>
      </c>
      <c r="H2906" s="1">
        <f>VALUE(1750.8330172203)</f>
        <v>1750.8330172203</v>
      </c>
      <c r="I2906" s="1">
        <f>VALUE(2541)</f>
        <v>2541</v>
      </c>
      <c r="J2906" s="1">
        <f>VALUE(2819)</f>
        <v>2819</v>
      </c>
      <c r="K2906" s="1">
        <f>VALUE(3302)</f>
        <v>3302</v>
      </c>
      <c r="L2906" s="1">
        <f>VALUE(3930)</f>
        <v>3930</v>
      </c>
      <c r="M2906" s="1">
        <f>VALUE(4658)</f>
        <v>4658</v>
      </c>
      <c r="N2906" t="s">
        <v>16</v>
      </c>
    </row>
    <row r="2907" spans="1:14" x14ac:dyDescent="0.25">
      <c r="A2907" t="s">
        <v>41</v>
      </c>
      <c r="B2907" t="s">
        <v>15</v>
      </c>
      <c r="C2907" t="s">
        <v>35</v>
      </c>
      <c r="D2907" t="s">
        <v>32</v>
      </c>
      <c r="E2907" t="s">
        <v>21</v>
      </c>
      <c r="F2907" t="s">
        <v>15</v>
      </c>
      <c r="G2907" s="2">
        <f>VALUE(220.9192092999)</f>
        <v>220.91920929989999</v>
      </c>
      <c r="H2907" s="3">
        <f>VALUE(192.9744044891)</f>
        <v>192.97440448910001</v>
      </c>
      <c r="I2907" s="4">
        <f>VALUE(2332)</f>
        <v>2332</v>
      </c>
      <c r="J2907" s="5">
        <f>VALUE(3036)</f>
        <v>3036</v>
      </c>
      <c r="K2907" s="6">
        <f>VALUE(3503)</f>
        <v>3503</v>
      </c>
      <c r="L2907" s="1">
        <f>VALUE(4502)</f>
        <v>4502</v>
      </c>
      <c r="M2907" s="1">
        <f>VALUE(5302)</f>
        <v>5302</v>
      </c>
      <c r="N2907" t="s">
        <v>25</v>
      </c>
    </row>
    <row r="2908" spans="1:14" x14ac:dyDescent="0.25">
      <c r="A2908" t="s">
        <v>41</v>
      </c>
      <c r="B2908" t="s">
        <v>15</v>
      </c>
      <c r="C2908" t="s">
        <v>35</v>
      </c>
      <c r="D2908" t="s">
        <v>32</v>
      </c>
      <c r="E2908" t="s">
        <v>21</v>
      </c>
      <c r="F2908" t="s">
        <v>17</v>
      </c>
      <c r="G2908" s="1" t="str">
        <f t="shared" ref="G2908:M2910" si="619">"X"</f>
        <v>X</v>
      </c>
      <c r="H2908" s="1" t="str">
        <f t="shared" si="619"/>
        <v>X</v>
      </c>
      <c r="I2908" s="1" t="str">
        <f t="shared" si="619"/>
        <v>X</v>
      </c>
      <c r="J2908" s="1" t="str">
        <f t="shared" si="619"/>
        <v>X</v>
      </c>
      <c r="K2908" s="1" t="str">
        <f t="shared" si="619"/>
        <v>X</v>
      </c>
      <c r="L2908" s="1" t="str">
        <f t="shared" si="619"/>
        <v>X</v>
      </c>
      <c r="M2908" s="1" t="str">
        <f t="shared" si="619"/>
        <v>X</v>
      </c>
      <c r="N2908" t="s">
        <v>27</v>
      </c>
    </row>
    <row r="2909" spans="1:14" x14ac:dyDescent="0.25">
      <c r="A2909" t="s">
        <v>41</v>
      </c>
      <c r="B2909" t="s">
        <v>15</v>
      </c>
      <c r="C2909" t="s">
        <v>35</v>
      </c>
      <c r="D2909" t="s">
        <v>32</v>
      </c>
      <c r="E2909" t="s">
        <v>21</v>
      </c>
      <c r="F2909" t="s">
        <v>18</v>
      </c>
      <c r="G2909" s="1" t="str">
        <f t="shared" si="619"/>
        <v>X</v>
      </c>
      <c r="H2909" s="1" t="str">
        <f t="shared" si="619"/>
        <v>X</v>
      </c>
      <c r="I2909" s="1" t="str">
        <f t="shared" si="619"/>
        <v>X</v>
      </c>
      <c r="J2909" s="1" t="str">
        <f t="shared" si="619"/>
        <v>X</v>
      </c>
      <c r="K2909" s="1" t="str">
        <f t="shared" si="619"/>
        <v>X</v>
      </c>
      <c r="L2909" s="1" t="str">
        <f t="shared" si="619"/>
        <v>X</v>
      </c>
      <c r="M2909" s="1" t="str">
        <f t="shared" si="619"/>
        <v>X</v>
      </c>
      <c r="N2909" t="s">
        <v>27</v>
      </c>
    </row>
    <row r="2910" spans="1:14" x14ac:dyDescent="0.25">
      <c r="A2910" t="s">
        <v>41</v>
      </c>
      <c r="B2910" t="s">
        <v>15</v>
      </c>
      <c r="C2910" t="s">
        <v>35</v>
      </c>
      <c r="D2910" t="s">
        <v>32</v>
      </c>
      <c r="E2910" t="s">
        <v>21</v>
      </c>
      <c r="F2910" t="s">
        <v>19</v>
      </c>
      <c r="G2910" s="1" t="str">
        <f t="shared" si="619"/>
        <v>X</v>
      </c>
      <c r="H2910" s="1" t="str">
        <f t="shared" si="619"/>
        <v>X</v>
      </c>
      <c r="I2910" s="1" t="str">
        <f t="shared" si="619"/>
        <v>X</v>
      </c>
      <c r="J2910" s="1" t="str">
        <f t="shared" si="619"/>
        <v>X</v>
      </c>
      <c r="K2910" s="1" t="str">
        <f t="shared" si="619"/>
        <v>X</v>
      </c>
      <c r="L2910" s="1" t="str">
        <f t="shared" si="619"/>
        <v>X</v>
      </c>
      <c r="M2910" s="1" t="str">
        <f t="shared" si="619"/>
        <v>X</v>
      </c>
      <c r="N2910" t="s">
        <v>27</v>
      </c>
    </row>
    <row r="2911" spans="1:14" x14ac:dyDescent="0.25">
      <c r="A2911" t="s">
        <v>41</v>
      </c>
      <c r="B2911" t="s">
        <v>15</v>
      </c>
      <c r="C2911" t="s">
        <v>35</v>
      </c>
      <c r="D2911" t="s">
        <v>32</v>
      </c>
      <c r="E2911" t="s">
        <v>21</v>
      </c>
      <c r="F2911" t="s">
        <v>20</v>
      </c>
      <c r="G2911" s="2">
        <f>VALUE(167.4883657098)</f>
        <v>167.48836570980001</v>
      </c>
      <c r="H2911" s="3">
        <f>VALUE(143.6465782047)</f>
        <v>143.64657820470001</v>
      </c>
      <c r="I2911" s="4">
        <f>VALUE(2071)</f>
        <v>2071</v>
      </c>
      <c r="J2911" s="5">
        <f>VALUE(2999)</f>
        <v>2999</v>
      </c>
      <c r="K2911" s="1">
        <f>VALUE(3378)</f>
        <v>3378</v>
      </c>
      <c r="L2911" s="7">
        <f>VALUE(4246)</f>
        <v>4246</v>
      </c>
      <c r="M2911" s="1">
        <f>VALUE(4870)</f>
        <v>4870</v>
      </c>
      <c r="N2911" t="s">
        <v>25</v>
      </c>
    </row>
    <row r="2912" spans="1:14" x14ac:dyDescent="0.25">
      <c r="A2912" t="s">
        <v>41</v>
      </c>
      <c r="B2912" t="s">
        <v>15</v>
      </c>
      <c r="C2912" t="s">
        <v>35</v>
      </c>
      <c r="D2912" t="s">
        <v>32</v>
      </c>
      <c r="E2912" t="s">
        <v>22</v>
      </c>
      <c r="F2912" t="s">
        <v>15</v>
      </c>
      <c r="G2912" s="2">
        <f>VALUE(631.1224085737)</f>
        <v>631.1224085737</v>
      </c>
      <c r="H2912" s="3">
        <f>VALUE(613.0821582791)</f>
        <v>613.08215827909999</v>
      </c>
      <c r="I2912" s="1">
        <f>VALUE(2796)</f>
        <v>2796</v>
      </c>
      <c r="J2912" s="1">
        <f>VALUE(3113)</f>
        <v>3113</v>
      </c>
      <c r="K2912" s="1">
        <f>VALUE(3868)</f>
        <v>3868</v>
      </c>
      <c r="L2912" s="1">
        <f>VALUE(4545)</f>
        <v>4545</v>
      </c>
      <c r="M2912" s="8">
        <f>VALUE(5130)</f>
        <v>5130</v>
      </c>
      <c r="N2912" t="s">
        <v>25</v>
      </c>
    </row>
    <row r="2913" spans="1:14" x14ac:dyDescent="0.25">
      <c r="A2913" t="s">
        <v>41</v>
      </c>
      <c r="B2913" t="s">
        <v>15</v>
      </c>
      <c r="C2913" t="s">
        <v>35</v>
      </c>
      <c r="D2913" t="s">
        <v>32</v>
      </c>
      <c r="E2913" t="s">
        <v>22</v>
      </c>
      <c r="F2913" t="s">
        <v>17</v>
      </c>
      <c r="G2913" s="1" t="str">
        <f t="shared" ref="G2913:M2915" si="620">"X"</f>
        <v>X</v>
      </c>
      <c r="H2913" s="1" t="str">
        <f t="shared" si="620"/>
        <v>X</v>
      </c>
      <c r="I2913" s="1" t="str">
        <f t="shared" si="620"/>
        <v>X</v>
      </c>
      <c r="J2913" s="1" t="str">
        <f t="shared" si="620"/>
        <v>X</v>
      </c>
      <c r="K2913" s="1" t="str">
        <f t="shared" si="620"/>
        <v>X</v>
      </c>
      <c r="L2913" s="1" t="str">
        <f t="shared" si="620"/>
        <v>X</v>
      </c>
      <c r="M2913" s="1" t="str">
        <f t="shared" si="620"/>
        <v>X</v>
      </c>
      <c r="N2913" t="s">
        <v>27</v>
      </c>
    </row>
    <row r="2914" spans="1:14" x14ac:dyDescent="0.25">
      <c r="A2914" t="s">
        <v>41</v>
      </c>
      <c r="B2914" t="s">
        <v>15</v>
      </c>
      <c r="C2914" t="s">
        <v>35</v>
      </c>
      <c r="D2914" t="s">
        <v>32</v>
      </c>
      <c r="E2914" t="s">
        <v>22</v>
      </c>
      <c r="F2914" t="s">
        <v>18</v>
      </c>
      <c r="G2914" s="1" t="str">
        <f t="shared" si="620"/>
        <v>X</v>
      </c>
      <c r="H2914" s="1" t="str">
        <f t="shared" si="620"/>
        <v>X</v>
      </c>
      <c r="I2914" s="1" t="str">
        <f t="shared" si="620"/>
        <v>X</v>
      </c>
      <c r="J2914" s="1" t="str">
        <f t="shared" si="620"/>
        <v>X</v>
      </c>
      <c r="K2914" s="1" t="str">
        <f t="shared" si="620"/>
        <v>X</v>
      </c>
      <c r="L2914" s="1" t="str">
        <f t="shared" si="620"/>
        <v>X</v>
      </c>
      <c r="M2914" s="1" t="str">
        <f t="shared" si="620"/>
        <v>X</v>
      </c>
      <c r="N2914" t="s">
        <v>27</v>
      </c>
    </row>
    <row r="2915" spans="1:14" x14ac:dyDescent="0.25">
      <c r="A2915" t="s">
        <v>41</v>
      </c>
      <c r="B2915" t="s">
        <v>15</v>
      </c>
      <c r="C2915" t="s">
        <v>35</v>
      </c>
      <c r="D2915" t="s">
        <v>32</v>
      </c>
      <c r="E2915" t="s">
        <v>22</v>
      </c>
      <c r="F2915" t="s">
        <v>19</v>
      </c>
      <c r="G2915" s="1" t="str">
        <f t="shared" si="620"/>
        <v>X</v>
      </c>
      <c r="H2915" s="1" t="str">
        <f t="shared" si="620"/>
        <v>X</v>
      </c>
      <c r="I2915" s="1" t="str">
        <f t="shared" si="620"/>
        <v>X</v>
      </c>
      <c r="J2915" s="1" t="str">
        <f t="shared" si="620"/>
        <v>X</v>
      </c>
      <c r="K2915" s="1" t="str">
        <f t="shared" si="620"/>
        <v>X</v>
      </c>
      <c r="L2915" s="1" t="str">
        <f t="shared" si="620"/>
        <v>X</v>
      </c>
      <c r="M2915" s="1" t="str">
        <f t="shared" si="620"/>
        <v>X</v>
      </c>
      <c r="N2915" t="s">
        <v>27</v>
      </c>
    </row>
    <row r="2916" spans="1:14" x14ac:dyDescent="0.25">
      <c r="A2916" t="s">
        <v>41</v>
      </c>
      <c r="B2916" t="s">
        <v>15</v>
      </c>
      <c r="C2916" t="s">
        <v>35</v>
      </c>
      <c r="D2916" t="s">
        <v>32</v>
      </c>
      <c r="E2916" t="s">
        <v>22</v>
      </c>
      <c r="F2916" t="s">
        <v>20</v>
      </c>
      <c r="G2916" s="2">
        <f>VALUE(517.9530785115)</f>
        <v>517.95307851150005</v>
      </c>
      <c r="H2916" s="3">
        <f>VALUE(504.8933756393)</f>
        <v>504.89337563930002</v>
      </c>
      <c r="I2916" s="1">
        <f>VALUE(2770)</f>
        <v>2770</v>
      </c>
      <c r="J2916" s="5">
        <f>VALUE(3113)</f>
        <v>3113</v>
      </c>
      <c r="K2916" s="1">
        <f>VALUE(3791)</f>
        <v>3791</v>
      </c>
      <c r="L2916" s="7">
        <f>VALUE(4361)</f>
        <v>4361</v>
      </c>
      <c r="M2916" s="8">
        <f>VALUE(5195)</f>
        <v>5195</v>
      </c>
      <c r="N2916" t="s">
        <v>25</v>
      </c>
    </row>
    <row r="2917" spans="1:14" x14ac:dyDescent="0.25">
      <c r="A2917" t="s">
        <v>41</v>
      </c>
      <c r="B2917" t="s">
        <v>15</v>
      </c>
      <c r="C2917" t="s">
        <v>35</v>
      </c>
      <c r="D2917" t="s">
        <v>32</v>
      </c>
      <c r="E2917" t="s">
        <v>23</v>
      </c>
      <c r="F2917" t="s">
        <v>15</v>
      </c>
      <c r="G2917" s="2">
        <f>VALUE(1217.0779775254)</f>
        <v>1217.0779775254</v>
      </c>
      <c r="H2917" s="3">
        <f>VALUE(1148.2895949342)</f>
        <v>1148.2895949342001</v>
      </c>
      <c r="I2917" s="1">
        <f>VALUE(2529)</f>
        <v>2529</v>
      </c>
      <c r="J2917" s="1">
        <f>VALUE(2785)</f>
        <v>2785</v>
      </c>
      <c r="K2917" s="1">
        <f>VALUE(3119)</f>
        <v>3119</v>
      </c>
      <c r="L2917" s="1">
        <f>VALUE(3593)</f>
        <v>3593</v>
      </c>
      <c r="M2917" s="1">
        <f>VALUE(4282)</f>
        <v>4282</v>
      </c>
      <c r="N2917" t="s">
        <v>25</v>
      </c>
    </row>
    <row r="2918" spans="1:14" x14ac:dyDescent="0.25">
      <c r="A2918" t="s">
        <v>41</v>
      </c>
      <c r="B2918" t="s">
        <v>15</v>
      </c>
      <c r="C2918" t="s">
        <v>35</v>
      </c>
      <c r="D2918" t="s">
        <v>32</v>
      </c>
      <c r="E2918" t="s">
        <v>23</v>
      </c>
      <c r="F2918" t="s">
        <v>17</v>
      </c>
      <c r="G2918" s="1" t="str">
        <f t="shared" ref="G2918:M2920" si="621">"X"</f>
        <v>X</v>
      </c>
      <c r="H2918" s="1" t="str">
        <f t="shared" si="621"/>
        <v>X</v>
      </c>
      <c r="I2918" s="1" t="str">
        <f t="shared" si="621"/>
        <v>X</v>
      </c>
      <c r="J2918" s="1" t="str">
        <f t="shared" si="621"/>
        <v>X</v>
      </c>
      <c r="K2918" s="1" t="str">
        <f t="shared" si="621"/>
        <v>X</v>
      </c>
      <c r="L2918" s="1" t="str">
        <f t="shared" si="621"/>
        <v>X</v>
      </c>
      <c r="M2918" s="1" t="str">
        <f t="shared" si="621"/>
        <v>X</v>
      </c>
      <c r="N2918" t="s">
        <v>27</v>
      </c>
    </row>
    <row r="2919" spans="1:14" x14ac:dyDescent="0.25">
      <c r="A2919" t="s">
        <v>41</v>
      </c>
      <c r="B2919" t="s">
        <v>15</v>
      </c>
      <c r="C2919" t="s">
        <v>35</v>
      </c>
      <c r="D2919" t="s">
        <v>32</v>
      </c>
      <c r="E2919" t="s">
        <v>23</v>
      </c>
      <c r="F2919" t="s">
        <v>18</v>
      </c>
      <c r="G2919" s="1" t="str">
        <f t="shared" si="621"/>
        <v>X</v>
      </c>
      <c r="H2919" s="1" t="str">
        <f t="shared" si="621"/>
        <v>X</v>
      </c>
      <c r="I2919" s="1" t="str">
        <f t="shared" si="621"/>
        <v>X</v>
      </c>
      <c r="J2919" s="1" t="str">
        <f t="shared" si="621"/>
        <v>X</v>
      </c>
      <c r="K2919" s="1" t="str">
        <f t="shared" si="621"/>
        <v>X</v>
      </c>
      <c r="L2919" s="1" t="str">
        <f t="shared" si="621"/>
        <v>X</v>
      </c>
      <c r="M2919" s="1" t="str">
        <f t="shared" si="621"/>
        <v>X</v>
      </c>
      <c r="N2919" t="s">
        <v>27</v>
      </c>
    </row>
    <row r="2920" spans="1:14" x14ac:dyDescent="0.25">
      <c r="A2920" t="s">
        <v>41</v>
      </c>
      <c r="B2920" t="s">
        <v>15</v>
      </c>
      <c r="C2920" t="s">
        <v>35</v>
      </c>
      <c r="D2920" t="s">
        <v>32</v>
      </c>
      <c r="E2920" t="s">
        <v>23</v>
      </c>
      <c r="F2920" t="s">
        <v>19</v>
      </c>
      <c r="G2920" s="1" t="str">
        <f t="shared" si="621"/>
        <v>X</v>
      </c>
      <c r="H2920" s="1" t="str">
        <f t="shared" si="621"/>
        <v>X</v>
      </c>
      <c r="I2920" s="1" t="str">
        <f t="shared" si="621"/>
        <v>X</v>
      </c>
      <c r="J2920" s="1" t="str">
        <f t="shared" si="621"/>
        <v>X</v>
      </c>
      <c r="K2920" s="1" t="str">
        <f t="shared" si="621"/>
        <v>X</v>
      </c>
      <c r="L2920" s="1" t="str">
        <f t="shared" si="621"/>
        <v>X</v>
      </c>
      <c r="M2920" s="1" t="str">
        <f t="shared" si="621"/>
        <v>X</v>
      </c>
      <c r="N2920" t="s">
        <v>27</v>
      </c>
    </row>
    <row r="2921" spans="1:14" x14ac:dyDescent="0.25">
      <c r="A2921" t="s">
        <v>41</v>
      </c>
      <c r="B2921" t="s">
        <v>15</v>
      </c>
      <c r="C2921" t="s">
        <v>35</v>
      </c>
      <c r="D2921" t="s">
        <v>32</v>
      </c>
      <c r="E2921" t="s">
        <v>23</v>
      </c>
      <c r="F2921" t="s">
        <v>20</v>
      </c>
      <c r="G2921" s="2">
        <f>VALUE(1166.6922343878)</f>
        <v>1166.6922343878</v>
      </c>
      <c r="H2921" s="3">
        <f>VALUE(1102.2930633763)</f>
        <v>1102.2930633763001</v>
      </c>
      <c r="I2921" s="1">
        <f>VALUE(2524)</f>
        <v>2524</v>
      </c>
      <c r="J2921" s="1">
        <f>VALUE(2783)</f>
        <v>2783</v>
      </c>
      <c r="K2921" s="1">
        <f>VALUE(3088)</f>
        <v>3088</v>
      </c>
      <c r="L2921" s="1">
        <f>VALUE(3573)</f>
        <v>3573</v>
      </c>
      <c r="M2921" s="1">
        <f>VALUE(4282)</f>
        <v>4282</v>
      </c>
      <c r="N2921" t="s">
        <v>25</v>
      </c>
    </row>
    <row r="2922" spans="1:14" x14ac:dyDescent="0.25">
      <c r="A2922" t="s">
        <v>41</v>
      </c>
      <c r="B2922" t="s">
        <v>15</v>
      </c>
      <c r="C2922" t="s">
        <v>35</v>
      </c>
      <c r="D2922" t="s">
        <v>32</v>
      </c>
      <c r="E2922" t="s">
        <v>26</v>
      </c>
      <c r="F2922" t="s">
        <v>15</v>
      </c>
      <c r="G2922" s="1" t="str">
        <f t="shared" ref="G2922:M2922" si="622">"X"</f>
        <v>X</v>
      </c>
      <c r="H2922" s="1" t="str">
        <f t="shared" si="622"/>
        <v>X</v>
      </c>
      <c r="I2922" s="1" t="str">
        <f t="shared" si="622"/>
        <v>X</v>
      </c>
      <c r="J2922" s="1" t="str">
        <f t="shared" si="622"/>
        <v>X</v>
      </c>
      <c r="K2922" s="1" t="str">
        <f t="shared" si="622"/>
        <v>X</v>
      </c>
      <c r="L2922" s="1" t="str">
        <f t="shared" si="622"/>
        <v>X</v>
      </c>
      <c r="M2922" s="1" t="str">
        <f t="shared" si="622"/>
        <v>X</v>
      </c>
      <c r="N2922" t="s">
        <v>27</v>
      </c>
    </row>
    <row r="2923" spans="1:14" x14ac:dyDescent="0.25">
      <c r="A2923" t="s">
        <v>41</v>
      </c>
      <c r="B2923" t="s">
        <v>15</v>
      </c>
      <c r="C2923" t="s">
        <v>35</v>
      </c>
      <c r="D2923" t="s">
        <v>32</v>
      </c>
      <c r="E2923" t="s">
        <v>26</v>
      </c>
      <c r="F2923" t="s">
        <v>17</v>
      </c>
      <c r="G2923" s="1" t="str">
        <f t="shared" ref="G2923:M2926" si="623">"..."</f>
        <v>...</v>
      </c>
      <c r="H2923" s="1" t="str">
        <f t="shared" si="623"/>
        <v>...</v>
      </c>
      <c r="I2923" s="1" t="str">
        <f t="shared" si="623"/>
        <v>...</v>
      </c>
      <c r="J2923" s="1" t="str">
        <f t="shared" si="623"/>
        <v>...</v>
      </c>
      <c r="K2923" s="1" t="str">
        <f t="shared" si="623"/>
        <v>...</v>
      </c>
      <c r="L2923" s="1" t="str">
        <f t="shared" si="623"/>
        <v>...</v>
      </c>
      <c r="M2923" s="1" t="str">
        <f t="shared" si="623"/>
        <v>...</v>
      </c>
      <c r="N2923" t="s">
        <v>30</v>
      </c>
    </row>
    <row r="2924" spans="1:14" x14ac:dyDescent="0.25">
      <c r="A2924" t="s">
        <v>41</v>
      </c>
      <c r="B2924" t="s">
        <v>15</v>
      </c>
      <c r="C2924" t="s">
        <v>35</v>
      </c>
      <c r="D2924" t="s">
        <v>32</v>
      </c>
      <c r="E2924" t="s">
        <v>26</v>
      </c>
      <c r="F2924" t="s">
        <v>18</v>
      </c>
      <c r="G2924" s="1" t="str">
        <f t="shared" si="623"/>
        <v>...</v>
      </c>
      <c r="H2924" s="1" t="str">
        <f t="shared" si="623"/>
        <v>...</v>
      </c>
      <c r="I2924" s="1" t="str">
        <f t="shared" si="623"/>
        <v>...</v>
      </c>
      <c r="J2924" s="1" t="str">
        <f t="shared" si="623"/>
        <v>...</v>
      </c>
      <c r="K2924" s="1" t="str">
        <f t="shared" si="623"/>
        <v>...</v>
      </c>
      <c r="L2924" s="1" t="str">
        <f t="shared" si="623"/>
        <v>...</v>
      </c>
      <c r="M2924" s="1" t="str">
        <f t="shared" si="623"/>
        <v>...</v>
      </c>
      <c r="N2924" t="s">
        <v>30</v>
      </c>
    </row>
    <row r="2925" spans="1:14" x14ac:dyDescent="0.25">
      <c r="A2925" t="s">
        <v>41</v>
      </c>
      <c r="B2925" t="s">
        <v>15</v>
      </c>
      <c r="C2925" t="s">
        <v>35</v>
      </c>
      <c r="D2925" t="s">
        <v>32</v>
      </c>
      <c r="E2925" t="s">
        <v>26</v>
      </c>
      <c r="F2925" t="s">
        <v>19</v>
      </c>
      <c r="G2925" s="1" t="str">
        <f t="shared" si="623"/>
        <v>...</v>
      </c>
      <c r="H2925" s="1" t="str">
        <f t="shared" si="623"/>
        <v>...</v>
      </c>
      <c r="I2925" s="1" t="str">
        <f t="shared" si="623"/>
        <v>...</v>
      </c>
      <c r="J2925" s="1" t="str">
        <f t="shared" si="623"/>
        <v>...</v>
      </c>
      <c r="K2925" s="1" t="str">
        <f t="shared" si="623"/>
        <v>...</v>
      </c>
      <c r="L2925" s="1" t="str">
        <f t="shared" si="623"/>
        <v>...</v>
      </c>
      <c r="M2925" s="1" t="str">
        <f t="shared" si="623"/>
        <v>...</v>
      </c>
      <c r="N2925" t="s">
        <v>30</v>
      </c>
    </row>
    <row r="2926" spans="1:14" x14ac:dyDescent="0.25">
      <c r="A2926" t="s">
        <v>41</v>
      </c>
      <c r="B2926" t="s">
        <v>15</v>
      </c>
      <c r="C2926" t="s">
        <v>35</v>
      </c>
      <c r="D2926" t="s">
        <v>32</v>
      </c>
      <c r="E2926" t="s">
        <v>26</v>
      </c>
      <c r="F2926" t="s">
        <v>20</v>
      </c>
      <c r="G2926" s="1" t="str">
        <f t="shared" si="623"/>
        <v>...</v>
      </c>
      <c r="H2926" s="1" t="str">
        <f t="shared" si="623"/>
        <v>...</v>
      </c>
      <c r="I2926" s="1" t="str">
        <f t="shared" si="623"/>
        <v>...</v>
      </c>
      <c r="J2926" s="1" t="str">
        <f t="shared" si="623"/>
        <v>...</v>
      </c>
      <c r="K2926" s="1" t="str">
        <f t="shared" si="623"/>
        <v>...</v>
      </c>
      <c r="L2926" s="1" t="str">
        <f t="shared" si="623"/>
        <v>...</v>
      </c>
      <c r="M2926" s="1" t="str">
        <f t="shared" si="623"/>
        <v>...</v>
      </c>
      <c r="N2926" t="s">
        <v>30</v>
      </c>
    </row>
    <row r="2927" spans="1:14" x14ac:dyDescent="0.25">
      <c r="A2927" t="s">
        <v>41</v>
      </c>
      <c r="B2927" t="s">
        <v>15</v>
      </c>
      <c r="C2927" t="s">
        <v>35</v>
      </c>
      <c r="D2927" t="s">
        <v>33</v>
      </c>
      <c r="E2927" t="s">
        <v>15</v>
      </c>
      <c r="F2927" t="s">
        <v>15</v>
      </c>
      <c r="G2927" s="1" t="str">
        <f t="shared" ref="G2927:M2927" si="624">"X"</f>
        <v>X</v>
      </c>
      <c r="H2927" s="1" t="str">
        <f t="shared" si="624"/>
        <v>X</v>
      </c>
      <c r="I2927" s="1" t="str">
        <f t="shared" si="624"/>
        <v>X</v>
      </c>
      <c r="J2927" s="1" t="str">
        <f t="shared" si="624"/>
        <v>X</v>
      </c>
      <c r="K2927" s="1" t="str">
        <f t="shared" si="624"/>
        <v>X</v>
      </c>
      <c r="L2927" s="1" t="str">
        <f t="shared" si="624"/>
        <v>X</v>
      </c>
      <c r="M2927" s="1" t="str">
        <f t="shared" si="624"/>
        <v>X</v>
      </c>
      <c r="N2927" t="s">
        <v>27</v>
      </c>
    </row>
    <row r="2928" spans="1:14" x14ac:dyDescent="0.25">
      <c r="A2928" t="s">
        <v>41</v>
      </c>
      <c r="B2928" t="s">
        <v>15</v>
      </c>
      <c r="C2928" t="s">
        <v>35</v>
      </c>
      <c r="D2928" t="s">
        <v>33</v>
      </c>
      <c r="E2928" t="s">
        <v>15</v>
      </c>
      <c r="F2928" t="s">
        <v>17</v>
      </c>
      <c r="G2928" s="1" t="str">
        <f t="shared" ref="G2928:M2928" si="625">"..."</f>
        <v>...</v>
      </c>
      <c r="H2928" s="1" t="str">
        <f t="shared" si="625"/>
        <v>...</v>
      </c>
      <c r="I2928" s="1" t="str">
        <f t="shared" si="625"/>
        <v>...</v>
      </c>
      <c r="J2928" s="1" t="str">
        <f t="shared" si="625"/>
        <v>...</v>
      </c>
      <c r="K2928" s="1" t="str">
        <f t="shared" si="625"/>
        <v>...</v>
      </c>
      <c r="L2928" s="1" t="str">
        <f t="shared" si="625"/>
        <v>...</v>
      </c>
      <c r="M2928" s="1" t="str">
        <f t="shared" si="625"/>
        <v>...</v>
      </c>
      <c r="N2928" t="s">
        <v>30</v>
      </c>
    </row>
    <row r="2929" spans="1:14" x14ac:dyDescent="0.25">
      <c r="A2929" t="s">
        <v>41</v>
      </c>
      <c r="B2929" t="s">
        <v>15</v>
      </c>
      <c r="C2929" t="s">
        <v>35</v>
      </c>
      <c r="D2929" t="s">
        <v>33</v>
      </c>
      <c r="E2929" t="s">
        <v>15</v>
      </c>
      <c r="F2929" t="s">
        <v>18</v>
      </c>
      <c r="G2929" s="1" t="str">
        <f t="shared" ref="G2929:M2932" si="626">"X"</f>
        <v>X</v>
      </c>
      <c r="H2929" s="1" t="str">
        <f t="shared" si="626"/>
        <v>X</v>
      </c>
      <c r="I2929" s="1" t="str">
        <f t="shared" si="626"/>
        <v>X</v>
      </c>
      <c r="J2929" s="1" t="str">
        <f t="shared" si="626"/>
        <v>X</v>
      </c>
      <c r="K2929" s="1" t="str">
        <f t="shared" si="626"/>
        <v>X</v>
      </c>
      <c r="L2929" s="1" t="str">
        <f t="shared" si="626"/>
        <v>X</v>
      </c>
      <c r="M2929" s="1" t="str">
        <f t="shared" si="626"/>
        <v>X</v>
      </c>
      <c r="N2929" t="s">
        <v>27</v>
      </c>
    </row>
    <row r="2930" spans="1:14" x14ac:dyDescent="0.25">
      <c r="A2930" t="s">
        <v>41</v>
      </c>
      <c r="B2930" t="s">
        <v>15</v>
      </c>
      <c r="C2930" t="s">
        <v>35</v>
      </c>
      <c r="D2930" t="s">
        <v>33</v>
      </c>
      <c r="E2930" t="s">
        <v>15</v>
      </c>
      <c r="F2930" t="s">
        <v>19</v>
      </c>
      <c r="G2930" s="1" t="str">
        <f t="shared" si="626"/>
        <v>X</v>
      </c>
      <c r="H2930" s="1" t="str">
        <f t="shared" si="626"/>
        <v>X</v>
      </c>
      <c r="I2930" s="1" t="str">
        <f t="shared" si="626"/>
        <v>X</v>
      </c>
      <c r="J2930" s="1" t="str">
        <f t="shared" si="626"/>
        <v>X</v>
      </c>
      <c r="K2930" s="1" t="str">
        <f t="shared" si="626"/>
        <v>X</v>
      </c>
      <c r="L2930" s="1" t="str">
        <f t="shared" si="626"/>
        <v>X</v>
      </c>
      <c r="M2930" s="1" t="str">
        <f t="shared" si="626"/>
        <v>X</v>
      </c>
      <c r="N2930" t="s">
        <v>27</v>
      </c>
    </row>
    <row r="2931" spans="1:14" x14ac:dyDescent="0.25">
      <c r="A2931" t="s">
        <v>41</v>
      </c>
      <c r="B2931" t="s">
        <v>15</v>
      </c>
      <c r="C2931" t="s">
        <v>35</v>
      </c>
      <c r="D2931" t="s">
        <v>33</v>
      </c>
      <c r="E2931" t="s">
        <v>15</v>
      </c>
      <c r="F2931" t="s">
        <v>20</v>
      </c>
      <c r="G2931" s="1" t="str">
        <f t="shared" si="626"/>
        <v>X</v>
      </c>
      <c r="H2931" s="1" t="str">
        <f t="shared" si="626"/>
        <v>X</v>
      </c>
      <c r="I2931" s="1" t="str">
        <f t="shared" si="626"/>
        <v>X</v>
      </c>
      <c r="J2931" s="1" t="str">
        <f t="shared" si="626"/>
        <v>X</v>
      </c>
      <c r="K2931" s="1" t="str">
        <f t="shared" si="626"/>
        <v>X</v>
      </c>
      <c r="L2931" s="1" t="str">
        <f t="shared" si="626"/>
        <v>X</v>
      </c>
      <c r="M2931" s="1" t="str">
        <f t="shared" si="626"/>
        <v>X</v>
      </c>
      <c r="N2931" t="s">
        <v>27</v>
      </c>
    </row>
    <row r="2932" spans="1:14" x14ac:dyDescent="0.25">
      <c r="A2932" t="s">
        <v>41</v>
      </c>
      <c r="B2932" t="s">
        <v>15</v>
      </c>
      <c r="C2932" t="s">
        <v>35</v>
      </c>
      <c r="D2932" t="s">
        <v>33</v>
      </c>
      <c r="E2932" t="s">
        <v>21</v>
      </c>
      <c r="F2932" t="s">
        <v>15</v>
      </c>
      <c r="G2932" s="1" t="str">
        <f t="shared" si="626"/>
        <v>X</v>
      </c>
      <c r="H2932" s="1" t="str">
        <f t="shared" si="626"/>
        <v>X</v>
      </c>
      <c r="I2932" s="1" t="str">
        <f t="shared" si="626"/>
        <v>X</v>
      </c>
      <c r="J2932" s="1" t="str">
        <f t="shared" si="626"/>
        <v>X</v>
      </c>
      <c r="K2932" s="1" t="str">
        <f t="shared" si="626"/>
        <v>X</v>
      </c>
      <c r="L2932" s="1" t="str">
        <f t="shared" si="626"/>
        <v>X</v>
      </c>
      <c r="M2932" s="1" t="str">
        <f t="shared" si="626"/>
        <v>X</v>
      </c>
      <c r="N2932" t="s">
        <v>27</v>
      </c>
    </row>
    <row r="2933" spans="1:14" x14ac:dyDescent="0.25">
      <c r="A2933" t="s">
        <v>41</v>
      </c>
      <c r="B2933" t="s">
        <v>15</v>
      </c>
      <c r="C2933" t="s">
        <v>35</v>
      </c>
      <c r="D2933" t="s">
        <v>33</v>
      </c>
      <c r="E2933" t="s">
        <v>21</v>
      </c>
      <c r="F2933" t="s">
        <v>17</v>
      </c>
      <c r="G2933" s="1" t="str">
        <f t="shared" ref="G2933:M2935" si="627">"..."</f>
        <v>...</v>
      </c>
      <c r="H2933" s="1" t="str">
        <f t="shared" si="627"/>
        <v>...</v>
      </c>
      <c r="I2933" s="1" t="str">
        <f t="shared" si="627"/>
        <v>...</v>
      </c>
      <c r="J2933" s="1" t="str">
        <f t="shared" si="627"/>
        <v>...</v>
      </c>
      <c r="K2933" s="1" t="str">
        <f t="shared" si="627"/>
        <v>...</v>
      </c>
      <c r="L2933" s="1" t="str">
        <f t="shared" si="627"/>
        <v>...</v>
      </c>
      <c r="M2933" s="1" t="str">
        <f t="shared" si="627"/>
        <v>...</v>
      </c>
      <c r="N2933" t="s">
        <v>30</v>
      </c>
    </row>
    <row r="2934" spans="1:14" x14ac:dyDescent="0.25">
      <c r="A2934" t="s">
        <v>41</v>
      </c>
      <c r="B2934" t="s">
        <v>15</v>
      </c>
      <c r="C2934" t="s">
        <v>35</v>
      </c>
      <c r="D2934" t="s">
        <v>33</v>
      </c>
      <c r="E2934" t="s">
        <v>21</v>
      </c>
      <c r="F2934" t="s">
        <v>18</v>
      </c>
      <c r="G2934" s="1" t="str">
        <f t="shared" si="627"/>
        <v>...</v>
      </c>
      <c r="H2934" s="1" t="str">
        <f t="shared" si="627"/>
        <v>...</v>
      </c>
      <c r="I2934" s="1" t="str">
        <f t="shared" si="627"/>
        <v>...</v>
      </c>
      <c r="J2934" s="1" t="str">
        <f t="shared" si="627"/>
        <v>...</v>
      </c>
      <c r="K2934" s="1" t="str">
        <f t="shared" si="627"/>
        <v>...</v>
      </c>
      <c r="L2934" s="1" t="str">
        <f t="shared" si="627"/>
        <v>...</v>
      </c>
      <c r="M2934" s="1" t="str">
        <f t="shared" si="627"/>
        <v>...</v>
      </c>
      <c r="N2934" t="s">
        <v>30</v>
      </c>
    </row>
    <row r="2935" spans="1:14" x14ac:dyDescent="0.25">
      <c r="A2935" t="s">
        <v>41</v>
      </c>
      <c r="B2935" t="s">
        <v>15</v>
      </c>
      <c r="C2935" t="s">
        <v>35</v>
      </c>
      <c r="D2935" t="s">
        <v>33</v>
      </c>
      <c r="E2935" t="s">
        <v>21</v>
      </c>
      <c r="F2935" t="s">
        <v>19</v>
      </c>
      <c r="G2935" s="1" t="str">
        <f t="shared" si="627"/>
        <v>...</v>
      </c>
      <c r="H2935" s="1" t="str">
        <f t="shared" si="627"/>
        <v>...</v>
      </c>
      <c r="I2935" s="1" t="str">
        <f t="shared" si="627"/>
        <v>...</v>
      </c>
      <c r="J2935" s="1" t="str">
        <f t="shared" si="627"/>
        <v>...</v>
      </c>
      <c r="K2935" s="1" t="str">
        <f t="shared" si="627"/>
        <v>...</v>
      </c>
      <c r="L2935" s="1" t="str">
        <f t="shared" si="627"/>
        <v>...</v>
      </c>
      <c r="M2935" s="1" t="str">
        <f t="shared" si="627"/>
        <v>...</v>
      </c>
      <c r="N2935" t="s">
        <v>30</v>
      </c>
    </row>
    <row r="2936" spans="1:14" x14ac:dyDescent="0.25">
      <c r="A2936" t="s">
        <v>41</v>
      </c>
      <c r="B2936" t="s">
        <v>15</v>
      </c>
      <c r="C2936" t="s">
        <v>35</v>
      </c>
      <c r="D2936" t="s">
        <v>33</v>
      </c>
      <c r="E2936" t="s">
        <v>21</v>
      </c>
      <c r="F2936" t="s">
        <v>20</v>
      </c>
      <c r="G2936" s="1" t="str">
        <f t="shared" ref="G2936:M2937" si="628">"X"</f>
        <v>X</v>
      </c>
      <c r="H2936" s="1" t="str">
        <f t="shared" si="628"/>
        <v>X</v>
      </c>
      <c r="I2936" s="1" t="str">
        <f t="shared" si="628"/>
        <v>X</v>
      </c>
      <c r="J2936" s="1" t="str">
        <f t="shared" si="628"/>
        <v>X</v>
      </c>
      <c r="K2936" s="1" t="str">
        <f t="shared" si="628"/>
        <v>X</v>
      </c>
      <c r="L2936" s="1" t="str">
        <f t="shared" si="628"/>
        <v>X</v>
      </c>
      <c r="M2936" s="1" t="str">
        <f t="shared" si="628"/>
        <v>X</v>
      </c>
      <c r="N2936" t="s">
        <v>27</v>
      </c>
    </row>
    <row r="2937" spans="1:14" x14ac:dyDescent="0.25">
      <c r="A2937" t="s">
        <v>41</v>
      </c>
      <c r="B2937" t="s">
        <v>15</v>
      </c>
      <c r="C2937" t="s">
        <v>35</v>
      </c>
      <c r="D2937" t="s">
        <v>33</v>
      </c>
      <c r="E2937" t="s">
        <v>22</v>
      </c>
      <c r="F2937" t="s">
        <v>15</v>
      </c>
      <c r="G2937" s="1" t="str">
        <f t="shared" si="628"/>
        <v>X</v>
      </c>
      <c r="H2937" s="1" t="str">
        <f t="shared" si="628"/>
        <v>X</v>
      </c>
      <c r="I2937" s="1" t="str">
        <f t="shared" si="628"/>
        <v>X</v>
      </c>
      <c r="J2937" s="1" t="str">
        <f t="shared" si="628"/>
        <v>X</v>
      </c>
      <c r="K2937" s="1" t="str">
        <f t="shared" si="628"/>
        <v>X</v>
      </c>
      <c r="L2937" s="1" t="str">
        <f t="shared" si="628"/>
        <v>X</v>
      </c>
      <c r="M2937" s="1" t="str">
        <f t="shared" si="628"/>
        <v>X</v>
      </c>
      <c r="N2937" t="s">
        <v>27</v>
      </c>
    </row>
    <row r="2938" spans="1:14" x14ac:dyDescent="0.25">
      <c r="A2938" t="s">
        <v>41</v>
      </c>
      <c r="B2938" t="s">
        <v>15</v>
      </c>
      <c r="C2938" t="s">
        <v>35</v>
      </c>
      <c r="D2938" t="s">
        <v>33</v>
      </c>
      <c r="E2938" t="s">
        <v>22</v>
      </c>
      <c r="F2938" t="s">
        <v>17</v>
      </c>
      <c r="G2938" s="1" t="str">
        <f t="shared" ref="G2938:M2938" si="629">"..."</f>
        <v>...</v>
      </c>
      <c r="H2938" s="1" t="str">
        <f t="shared" si="629"/>
        <v>...</v>
      </c>
      <c r="I2938" s="1" t="str">
        <f t="shared" si="629"/>
        <v>...</v>
      </c>
      <c r="J2938" s="1" t="str">
        <f t="shared" si="629"/>
        <v>...</v>
      </c>
      <c r="K2938" s="1" t="str">
        <f t="shared" si="629"/>
        <v>...</v>
      </c>
      <c r="L2938" s="1" t="str">
        <f t="shared" si="629"/>
        <v>...</v>
      </c>
      <c r="M2938" s="1" t="str">
        <f t="shared" si="629"/>
        <v>...</v>
      </c>
      <c r="N2938" t="s">
        <v>30</v>
      </c>
    </row>
    <row r="2939" spans="1:14" x14ac:dyDescent="0.25">
      <c r="A2939" t="s">
        <v>41</v>
      </c>
      <c r="B2939" t="s">
        <v>15</v>
      </c>
      <c r="C2939" t="s">
        <v>35</v>
      </c>
      <c r="D2939" t="s">
        <v>33</v>
      </c>
      <c r="E2939" t="s">
        <v>22</v>
      </c>
      <c r="F2939" t="s">
        <v>18</v>
      </c>
      <c r="G2939" s="1" t="str">
        <f t="shared" ref="G2939:M2942" si="630">"X"</f>
        <v>X</v>
      </c>
      <c r="H2939" s="1" t="str">
        <f t="shared" si="630"/>
        <v>X</v>
      </c>
      <c r="I2939" s="1" t="str">
        <f t="shared" si="630"/>
        <v>X</v>
      </c>
      <c r="J2939" s="1" t="str">
        <f t="shared" si="630"/>
        <v>X</v>
      </c>
      <c r="K2939" s="1" t="str">
        <f t="shared" si="630"/>
        <v>X</v>
      </c>
      <c r="L2939" s="1" t="str">
        <f t="shared" si="630"/>
        <v>X</v>
      </c>
      <c r="M2939" s="1" t="str">
        <f t="shared" si="630"/>
        <v>X</v>
      </c>
      <c r="N2939" t="s">
        <v>27</v>
      </c>
    </row>
    <row r="2940" spans="1:14" x14ac:dyDescent="0.25">
      <c r="A2940" t="s">
        <v>41</v>
      </c>
      <c r="B2940" t="s">
        <v>15</v>
      </c>
      <c r="C2940" t="s">
        <v>35</v>
      </c>
      <c r="D2940" t="s">
        <v>33</v>
      </c>
      <c r="E2940" t="s">
        <v>22</v>
      </c>
      <c r="F2940" t="s">
        <v>19</v>
      </c>
      <c r="G2940" s="1" t="str">
        <f t="shared" si="630"/>
        <v>X</v>
      </c>
      <c r="H2940" s="1" t="str">
        <f t="shared" si="630"/>
        <v>X</v>
      </c>
      <c r="I2940" s="1" t="str">
        <f t="shared" si="630"/>
        <v>X</v>
      </c>
      <c r="J2940" s="1" t="str">
        <f t="shared" si="630"/>
        <v>X</v>
      </c>
      <c r="K2940" s="1" t="str">
        <f t="shared" si="630"/>
        <v>X</v>
      </c>
      <c r="L2940" s="1" t="str">
        <f t="shared" si="630"/>
        <v>X</v>
      </c>
      <c r="M2940" s="1" t="str">
        <f t="shared" si="630"/>
        <v>X</v>
      </c>
      <c r="N2940" t="s">
        <v>27</v>
      </c>
    </row>
    <row r="2941" spans="1:14" x14ac:dyDescent="0.25">
      <c r="A2941" t="s">
        <v>41</v>
      </c>
      <c r="B2941" t="s">
        <v>15</v>
      </c>
      <c r="C2941" t="s">
        <v>35</v>
      </c>
      <c r="D2941" t="s">
        <v>33</v>
      </c>
      <c r="E2941" t="s">
        <v>22</v>
      </c>
      <c r="F2941" t="s">
        <v>20</v>
      </c>
      <c r="G2941" s="1" t="str">
        <f t="shared" si="630"/>
        <v>X</v>
      </c>
      <c r="H2941" s="1" t="str">
        <f t="shared" si="630"/>
        <v>X</v>
      </c>
      <c r="I2941" s="1" t="str">
        <f t="shared" si="630"/>
        <v>X</v>
      </c>
      <c r="J2941" s="1" t="str">
        <f t="shared" si="630"/>
        <v>X</v>
      </c>
      <c r="K2941" s="1" t="str">
        <f t="shared" si="630"/>
        <v>X</v>
      </c>
      <c r="L2941" s="1" t="str">
        <f t="shared" si="630"/>
        <v>X</v>
      </c>
      <c r="M2941" s="1" t="str">
        <f t="shared" si="630"/>
        <v>X</v>
      </c>
      <c r="N2941" t="s">
        <v>27</v>
      </c>
    </row>
    <row r="2942" spans="1:14" x14ac:dyDescent="0.25">
      <c r="A2942" t="s">
        <v>41</v>
      </c>
      <c r="B2942" t="s">
        <v>15</v>
      </c>
      <c r="C2942" t="s">
        <v>35</v>
      </c>
      <c r="D2942" t="s">
        <v>33</v>
      </c>
      <c r="E2942" t="s">
        <v>23</v>
      </c>
      <c r="F2942" t="s">
        <v>15</v>
      </c>
      <c r="G2942" s="1" t="str">
        <f t="shared" si="630"/>
        <v>X</v>
      </c>
      <c r="H2942" s="1" t="str">
        <f t="shared" si="630"/>
        <v>X</v>
      </c>
      <c r="I2942" s="1" t="str">
        <f t="shared" si="630"/>
        <v>X</v>
      </c>
      <c r="J2942" s="1" t="str">
        <f t="shared" si="630"/>
        <v>X</v>
      </c>
      <c r="K2942" s="1" t="str">
        <f t="shared" si="630"/>
        <v>X</v>
      </c>
      <c r="L2942" s="1" t="str">
        <f t="shared" si="630"/>
        <v>X</v>
      </c>
      <c r="M2942" s="1" t="str">
        <f t="shared" si="630"/>
        <v>X</v>
      </c>
      <c r="N2942" t="s">
        <v>27</v>
      </c>
    </row>
    <row r="2943" spans="1:14" x14ac:dyDescent="0.25">
      <c r="A2943" t="s">
        <v>41</v>
      </c>
      <c r="B2943" t="s">
        <v>15</v>
      </c>
      <c r="C2943" t="s">
        <v>35</v>
      </c>
      <c r="D2943" t="s">
        <v>33</v>
      </c>
      <c r="E2943" t="s">
        <v>23</v>
      </c>
      <c r="F2943" t="s">
        <v>17</v>
      </c>
      <c r="G2943" s="1" t="str">
        <f t="shared" ref="G2943:M2943" si="631">"..."</f>
        <v>...</v>
      </c>
      <c r="H2943" s="1" t="str">
        <f t="shared" si="631"/>
        <v>...</v>
      </c>
      <c r="I2943" s="1" t="str">
        <f t="shared" si="631"/>
        <v>...</v>
      </c>
      <c r="J2943" s="1" t="str">
        <f t="shared" si="631"/>
        <v>...</v>
      </c>
      <c r="K2943" s="1" t="str">
        <f t="shared" si="631"/>
        <v>...</v>
      </c>
      <c r="L2943" s="1" t="str">
        <f t="shared" si="631"/>
        <v>...</v>
      </c>
      <c r="M2943" s="1" t="str">
        <f t="shared" si="631"/>
        <v>...</v>
      </c>
      <c r="N2943" t="s">
        <v>30</v>
      </c>
    </row>
    <row r="2944" spans="1:14" x14ac:dyDescent="0.25">
      <c r="A2944" t="s">
        <v>41</v>
      </c>
      <c r="B2944" t="s">
        <v>15</v>
      </c>
      <c r="C2944" t="s">
        <v>35</v>
      </c>
      <c r="D2944" t="s">
        <v>33</v>
      </c>
      <c r="E2944" t="s">
        <v>23</v>
      </c>
      <c r="F2944" t="s">
        <v>18</v>
      </c>
      <c r="G2944" s="1" t="str">
        <f t="shared" ref="G2944:M2946" si="632">"X"</f>
        <v>X</v>
      </c>
      <c r="H2944" s="1" t="str">
        <f t="shared" si="632"/>
        <v>X</v>
      </c>
      <c r="I2944" s="1" t="str">
        <f t="shared" si="632"/>
        <v>X</v>
      </c>
      <c r="J2944" s="1" t="str">
        <f t="shared" si="632"/>
        <v>X</v>
      </c>
      <c r="K2944" s="1" t="str">
        <f t="shared" si="632"/>
        <v>X</v>
      </c>
      <c r="L2944" s="1" t="str">
        <f t="shared" si="632"/>
        <v>X</v>
      </c>
      <c r="M2944" s="1" t="str">
        <f t="shared" si="632"/>
        <v>X</v>
      </c>
      <c r="N2944" t="s">
        <v>27</v>
      </c>
    </row>
    <row r="2945" spans="1:14" x14ac:dyDescent="0.25">
      <c r="A2945" t="s">
        <v>41</v>
      </c>
      <c r="B2945" t="s">
        <v>15</v>
      </c>
      <c r="C2945" t="s">
        <v>35</v>
      </c>
      <c r="D2945" t="s">
        <v>33</v>
      </c>
      <c r="E2945" t="s">
        <v>23</v>
      </c>
      <c r="F2945" t="s">
        <v>19</v>
      </c>
      <c r="G2945" s="1" t="str">
        <f t="shared" si="632"/>
        <v>X</v>
      </c>
      <c r="H2945" s="1" t="str">
        <f t="shared" si="632"/>
        <v>X</v>
      </c>
      <c r="I2945" s="1" t="str">
        <f t="shared" si="632"/>
        <v>X</v>
      </c>
      <c r="J2945" s="1" t="str">
        <f t="shared" si="632"/>
        <v>X</v>
      </c>
      <c r="K2945" s="1" t="str">
        <f t="shared" si="632"/>
        <v>X</v>
      </c>
      <c r="L2945" s="1" t="str">
        <f t="shared" si="632"/>
        <v>X</v>
      </c>
      <c r="M2945" s="1" t="str">
        <f t="shared" si="632"/>
        <v>X</v>
      </c>
      <c r="N2945" t="s">
        <v>27</v>
      </c>
    </row>
    <row r="2946" spans="1:14" x14ac:dyDescent="0.25">
      <c r="A2946" t="s">
        <v>41</v>
      </c>
      <c r="B2946" t="s">
        <v>15</v>
      </c>
      <c r="C2946" t="s">
        <v>35</v>
      </c>
      <c r="D2946" t="s">
        <v>33</v>
      </c>
      <c r="E2946" t="s">
        <v>23</v>
      </c>
      <c r="F2946" t="s">
        <v>20</v>
      </c>
      <c r="G2946" s="1" t="str">
        <f t="shared" si="632"/>
        <v>X</v>
      </c>
      <c r="H2946" s="1" t="str">
        <f t="shared" si="632"/>
        <v>X</v>
      </c>
      <c r="I2946" s="1" t="str">
        <f t="shared" si="632"/>
        <v>X</v>
      </c>
      <c r="J2946" s="1" t="str">
        <f t="shared" si="632"/>
        <v>X</v>
      </c>
      <c r="K2946" s="1" t="str">
        <f t="shared" si="632"/>
        <v>X</v>
      </c>
      <c r="L2946" s="1" t="str">
        <f t="shared" si="632"/>
        <v>X</v>
      </c>
      <c r="M2946" s="1" t="str">
        <f t="shared" si="632"/>
        <v>X</v>
      </c>
      <c r="N2946" t="s">
        <v>27</v>
      </c>
    </row>
    <row r="2947" spans="1:14" x14ac:dyDescent="0.25">
      <c r="A2947" t="s">
        <v>41</v>
      </c>
      <c r="B2947" t="s">
        <v>15</v>
      </c>
      <c r="C2947" t="s">
        <v>35</v>
      </c>
      <c r="D2947" t="s">
        <v>33</v>
      </c>
      <c r="E2947" t="s">
        <v>26</v>
      </c>
      <c r="F2947" t="s">
        <v>15</v>
      </c>
      <c r="G2947" s="1" t="str">
        <f t="shared" ref="G2947:M2951" si="633">"..."</f>
        <v>...</v>
      </c>
      <c r="H2947" s="1" t="str">
        <f t="shared" si="633"/>
        <v>...</v>
      </c>
      <c r="I2947" s="1" t="str">
        <f t="shared" si="633"/>
        <v>...</v>
      </c>
      <c r="J2947" s="1" t="str">
        <f t="shared" si="633"/>
        <v>...</v>
      </c>
      <c r="K2947" s="1" t="str">
        <f t="shared" si="633"/>
        <v>...</v>
      </c>
      <c r="L2947" s="1" t="str">
        <f t="shared" si="633"/>
        <v>...</v>
      </c>
      <c r="M2947" s="1" t="str">
        <f t="shared" si="633"/>
        <v>...</v>
      </c>
      <c r="N2947" t="s">
        <v>30</v>
      </c>
    </row>
    <row r="2948" spans="1:14" x14ac:dyDescent="0.25">
      <c r="A2948" t="s">
        <v>41</v>
      </c>
      <c r="B2948" t="s">
        <v>15</v>
      </c>
      <c r="C2948" t="s">
        <v>35</v>
      </c>
      <c r="D2948" t="s">
        <v>33</v>
      </c>
      <c r="E2948" t="s">
        <v>26</v>
      </c>
      <c r="F2948" t="s">
        <v>17</v>
      </c>
      <c r="G2948" s="1" t="str">
        <f t="shared" si="633"/>
        <v>...</v>
      </c>
      <c r="H2948" s="1" t="str">
        <f t="shared" si="633"/>
        <v>...</v>
      </c>
      <c r="I2948" s="1" t="str">
        <f t="shared" si="633"/>
        <v>...</v>
      </c>
      <c r="J2948" s="1" t="str">
        <f t="shared" si="633"/>
        <v>...</v>
      </c>
      <c r="K2948" s="1" t="str">
        <f t="shared" si="633"/>
        <v>...</v>
      </c>
      <c r="L2948" s="1" t="str">
        <f t="shared" si="633"/>
        <v>...</v>
      </c>
      <c r="M2948" s="1" t="str">
        <f t="shared" si="633"/>
        <v>...</v>
      </c>
      <c r="N2948" t="s">
        <v>30</v>
      </c>
    </row>
    <row r="2949" spans="1:14" x14ac:dyDescent="0.25">
      <c r="A2949" t="s">
        <v>41</v>
      </c>
      <c r="B2949" t="s">
        <v>15</v>
      </c>
      <c r="C2949" t="s">
        <v>35</v>
      </c>
      <c r="D2949" t="s">
        <v>33</v>
      </c>
      <c r="E2949" t="s">
        <v>26</v>
      </c>
      <c r="F2949" t="s">
        <v>18</v>
      </c>
      <c r="G2949" s="1" t="str">
        <f t="shared" si="633"/>
        <v>...</v>
      </c>
      <c r="H2949" s="1" t="str">
        <f t="shared" si="633"/>
        <v>...</v>
      </c>
      <c r="I2949" s="1" t="str">
        <f t="shared" si="633"/>
        <v>...</v>
      </c>
      <c r="J2949" s="1" t="str">
        <f t="shared" si="633"/>
        <v>...</v>
      </c>
      <c r="K2949" s="1" t="str">
        <f t="shared" si="633"/>
        <v>...</v>
      </c>
      <c r="L2949" s="1" t="str">
        <f t="shared" si="633"/>
        <v>...</v>
      </c>
      <c r="M2949" s="1" t="str">
        <f t="shared" si="633"/>
        <v>...</v>
      </c>
      <c r="N2949" t="s">
        <v>30</v>
      </c>
    </row>
    <row r="2950" spans="1:14" x14ac:dyDescent="0.25">
      <c r="A2950" t="s">
        <v>41</v>
      </c>
      <c r="B2950" t="s">
        <v>15</v>
      </c>
      <c r="C2950" t="s">
        <v>35</v>
      </c>
      <c r="D2950" t="s">
        <v>33</v>
      </c>
      <c r="E2950" t="s">
        <v>26</v>
      </c>
      <c r="F2950" t="s">
        <v>19</v>
      </c>
      <c r="G2950" s="1" t="str">
        <f t="shared" si="633"/>
        <v>...</v>
      </c>
      <c r="H2950" s="1" t="str">
        <f t="shared" si="633"/>
        <v>...</v>
      </c>
      <c r="I2950" s="1" t="str">
        <f t="shared" si="633"/>
        <v>...</v>
      </c>
      <c r="J2950" s="1" t="str">
        <f t="shared" si="633"/>
        <v>...</v>
      </c>
      <c r="K2950" s="1" t="str">
        <f t="shared" si="633"/>
        <v>...</v>
      </c>
      <c r="L2950" s="1" t="str">
        <f t="shared" si="633"/>
        <v>...</v>
      </c>
      <c r="M2950" s="1" t="str">
        <f t="shared" si="633"/>
        <v>...</v>
      </c>
      <c r="N2950" t="s">
        <v>30</v>
      </c>
    </row>
    <row r="2951" spans="1:14" x14ac:dyDescent="0.25">
      <c r="A2951" t="s">
        <v>41</v>
      </c>
      <c r="B2951" t="s">
        <v>15</v>
      </c>
      <c r="C2951" t="s">
        <v>35</v>
      </c>
      <c r="D2951" t="s">
        <v>33</v>
      </c>
      <c r="E2951" t="s">
        <v>26</v>
      </c>
      <c r="F2951" t="s">
        <v>20</v>
      </c>
      <c r="G2951" s="1" t="str">
        <f t="shared" si="633"/>
        <v>...</v>
      </c>
      <c r="H2951" s="1" t="str">
        <f t="shared" si="633"/>
        <v>...</v>
      </c>
      <c r="I2951" s="1" t="str">
        <f t="shared" si="633"/>
        <v>...</v>
      </c>
      <c r="J2951" s="1" t="str">
        <f t="shared" si="633"/>
        <v>...</v>
      </c>
      <c r="K2951" s="1" t="str">
        <f t="shared" si="633"/>
        <v>...</v>
      </c>
      <c r="L2951" s="1" t="str">
        <f t="shared" si="633"/>
        <v>...</v>
      </c>
      <c r="M2951" s="1" t="str">
        <f t="shared" si="633"/>
        <v>...</v>
      </c>
      <c r="N2951" t="s">
        <v>30</v>
      </c>
    </row>
    <row r="2952" spans="1:14" x14ac:dyDescent="0.25">
      <c r="A2952" t="s">
        <v>41</v>
      </c>
      <c r="B2952" t="s">
        <v>15</v>
      </c>
      <c r="C2952" t="s">
        <v>35</v>
      </c>
      <c r="D2952" t="s">
        <v>34</v>
      </c>
      <c r="E2952" t="s">
        <v>15</v>
      </c>
      <c r="F2952" t="s">
        <v>15</v>
      </c>
      <c r="G2952" s="1" t="str">
        <f t="shared" ref="G2952:M2952" si="634">"X"</f>
        <v>X</v>
      </c>
      <c r="H2952" s="1" t="str">
        <f t="shared" si="634"/>
        <v>X</v>
      </c>
      <c r="I2952" s="1" t="str">
        <f t="shared" si="634"/>
        <v>X</v>
      </c>
      <c r="J2952" s="1" t="str">
        <f t="shared" si="634"/>
        <v>X</v>
      </c>
      <c r="K2952" s="1" t="str">
        <f t="shared" si="634"/>
        <v>X</v>
      </c>
      <c r="L2952" s="1" t="str">
        <f t="shared" si="634"/>
        <v>X</v>
      </c>
      <c r="M2952" s="1" t="str">
        <f t="shared" si="634"/>
        <v>X</v>
      </c>
      <c r="N2952" t="s">
        <v>27</v>
      </c>
    </row>
    <row r="2953" spans="1:14" x14ac:dyDescent="0.25">
      <c r="A2953" t="s">
        <v>41</v>
      </c>
      <c r="B2953" t="s">
        <v>15</v>
      </c>
      <c r="C2953" t="s">
        <v>35</v>
      </c>
      <c r="D2953" t="s">
        <v>34</v>
      </c>
      <c r="E2953" t="s">
        <v>15</v>
      </c>
      <c r="F2953" t="s">
        <v>17</v>
      </c>
      <c r="G2953" s="1" t="str">
        <f t="shared" ref="G2953:M2954" si="635">"..."</f>
        <v>...</v>
      </c>
      <c r="H2953" s="1" t="str">
        <f t="shared" si="635"/>
        <v>...</v>
      </c>
      <c r="I2953" s="1" t="str">
        <f t="shared" si="635"/>
        <v>...</v>
      </c>
      <c r="J2953" s="1" t="str">
        <f t="shared" si="635"/>
        <v>...</v>
      </c>
      <c r="K2953" s="1" t="str">
        <f t="shared" si="635"/>
        <v>...</v>
      </c>
      <c r="L2953" s="1" t="str">
        <f t="shared" si="635"/>
        <v>...</v>
      </c>
      <c r="M2953" s="1" t="str">
        <f t="shared" si="635"/>
        <v>...</v>
      </c>
      <c r="N2953" t="s">
        <v>30</v>
      </c>
    </row>
    <row r="2954" spans="1:14" x14ac:dyDescent="0.25">
      <c r="A2954" t="s">
        <v>41</v>
      </c>
      <c r="B2954" t="s">
        <v>15</v>
      </c>
      <c r="C2954" t="s">
        <v>35</v>
      </c>
      <c r="D2954" t="s">
        <v>34</v>
      </c>
      <c r="E2954" t="s">
        <v>15</v>
      </c>
      <c r="F2954" t="s">
        <v>18</v>
      </c>
      <c r="G2954" s="1" t="str">
        <f t="shared" si="635"/>
        <v>...</v>
      </c>
      <c r="H2954" s="1" t="str">
        <f t="shared" si="635"/>
        <v>...</v>
      </c>
      <c r="I2954" s="1" t="str">
        <f t="shared" si="635"/>
        <v>...</v>
      </c>
      <c r="J2954" s="1" t="str">
        <f t="shared" si="635"/>
        <v>...</v>
      </c>
      <c r="K2954" s="1" t="str">
        <f t="shared" si="635"/>
        <v>...</v>
      </c>
      <c r="L2954" s="1" t="str">
        <f t="shared" si="635"/>
        <v>...</v>
      </c>
      <c r="M2954" s="1" t="str">
        <f t="shared" si="635"/>
        <v>...</v>
      </c>
      <c r="N2954" t="s">
        <v>30</v>
      </c>
    </row>
    <row r="2955" spans="1:14" x14ac:dyDescent="0.25">
      <c r="A2955" t="s">
        <v>41</v>
      </c>
      <c r="B2955" t="s">
        <v>15</v>
      </c>
      <c r="C2955" t="s">
        <v>35</v>
      </c>
      <c r="D2955" t="s">
        <v>34</v>
      </c>
      <c r="E2955" t="s">
        <v>15</v>
      </c>
      <c r="F2955" t="s">
        <v>19</v>
      </c>
      <c r="G2955" s="1" t="str">
        <f t="shared" ref="G2955:M2957" si="636">"X"</f>
        <v>X</v>
      </c>
      <c r="H2955" s="1" t="str">
        <f t="shared" si="636"/>
        <v>X</v>
      </c>
      <c r="I2955" s="1" t="str">
        <f t="shared" si="636"/>
        <v>X</v>
      </c>
      <c r="J2955" s="1" t="str">
        <f t="shared" si="636"/>
        <v>X</v>
      </c>
      <c r="K2955" s="1" t="str">
        <f t="shared" si="636"/>
        <v>X</v>
      </c>
      <c r="L2955" s="1" t="str">
        <f t="shared" si="636"/>
        <v>X</v>
      </c>
      <c r="M2955" s="1" t="str">
        <f t="shared" si="636"/>
        <v>X</v>
      </c>
      <c r="N2955" t="s">
        <v>27</v>
      </c>
    </row>
    <row r="2956" spans="1:14" x14ac:dyDescent="0.25">
      <c r="A2956" t="s">
        <v>41</v>
      </c>
      <c r="B2956" t="s">
        <v>15</v>
      </c>
      <c r="C2956" t="s">
        <v>35</v>
      </c>
      <c r="D2956" t="s">
        <v>34</v>
      </c>
      <c r="E2956" t="s">
        <v>15</v>
      </c>
      <c r="F2956" t="s">
        <v>20</v>
      </c>
      <c r="G2956" s="1" t="str">
        <f t="shared" si="636"/>
        <v>X</v>
      </c>
      <c r="H2956" s="1" t="str">
        <f t="shared" si="636"/>
        <v>X</v>
      </c>
      <c r="I2956" s="1" t="str">
        <f t="shared" si="636"/>
        <v>X</v>
      </c>
      <c r="J2956" s="1" t="str">
        <f t="shared" si="636"/>
        <v>X</v>
      </c>
      <c r="K2956" s="1" t="str">
        <f t="shared" si="636"/>
        <v>X</v>
      </c>
      <c r="L2956" s="1" t="str">
        <f t="shared" si="636"/>
        <v>X</v>
      </c>
      <c r="M2956" s="1" t="str">
        <f t="shared" si="636"/>
        <v>X</v>
      </c>
      <c r="N2956" t="s">
        <v>27</v>
      </c>
    </row>
    <row r="2957" spans="1:14" x14ac:dyDescent="0.25">
      <c r="A2957" t="s">
        <v>41</v>
      </c>
      <c r="B2957" t="s">
        <v>15</v>
      </c>
      <c r="C2957" t="s">
        <v>35</v>
      </c>
      <c r="D2957" t="s">
        <v>34</v>
      </c>
      <c r="E2957" t="s">
        <v>21</v>
      </c>
      <c r="F2957" t="s">
        <v>15</v>
      </c>
      <c r="G2957" s="1" t="str">
        <f t="shared" si="636"/>
        <v>X</v>
      </c>
      <c r="H2957" s="1" t="str">
        <f t="shared" si="636"/>
        <v>X</v>
      </c>
      <c r="I2957" s="1" t="str">
        <f t="shared" si="636"/>
        <v>X</v>
      </c>
      <c r="J2957" s="1" t="str">
        <f t="shared" si="636"/>
        <v>X</v>
      </c>
      <c r="K2957" s="1" t="str">
        <f t="shared" si="636"/>
        <v>X</v>
      </c>
      <c r="L2957" s="1" t="str">
        <f t="shared" si="636"/>
        <v>X</v>
      </c>
      <c r="M2957" s="1" t="str">
        <f t="shared" si="636"/>
        <v>X</v>
      </c>
      <c r="N2957" t="s">
        <v>27</v>
      </c>
    </row>
    <row r="2958" spans="1:14" x14ac:dyDescent="0.25">
      <c r="A2958" t="s">
        <v>41</v>
      </c>
      <c r="B2958" t="s">
        <v>15</v>
      </c>
      <c r="C2958" t="s">
        <v>35</v>
      </c>
      <c r="D2958" t="s">
        <v>34</v>
      </c>
      <c r="E2958" t="s">
        <v>21</v>
      </c>
      <c r="F2958" t="s">
        <v>17</v>
      </c>
      <c r="G2958" s="1" t="str">
        <f t="shared" ref="G2958:M2960" si="637">"..."</f>
        <v>...</v>
      </c>
      <c r="H2958" s="1" t="str">
        <f t="shared" si="637"/>
        <v>...</v>
      </c>
      <c r="I2958" s="1" t="str">
        <f t="shared" si="637"/>
        <v>...</v>
      </c>
      <c r="J2958" s="1" t="str">
        <f t="shared" si="637"/>
        <v>...</v>
      </c>
      <c r="K2958" s="1" t="str">
        <f t="shared" si="637"/>
        <v>...</v>
      </c>
      <c r="L2958" s="1" t="str">
        <f t="shared" si="637"/>
        <v>...</v>
      </c>
      <c r="M2958" s="1" t="str">
        <f t="shared" si="637"/>
        <v>...</v>
      </c>
      <c r="N2958" t="s">
        <v>30</v>
      </c>
    </row>
    <row r="2959" spans="1:14" x14ac:dyDescent="0.25">
      <c r="A2959" t="s">
        <v>41</v>
      </c>
      <c r="B2959" t="s">
        <v>15</v>
      </c>
      <c r="C2959" t="s">
        <v>35</v>
      </c>
      <c r="D2959" t="s">
        <v>34</v>
      </c>
      <c r="E2959" t="s">
        <v>21</v>
      </c>
      <c r="F2959" t="s">
        <v>18</v>
      </c>
      <c r="G2959" s="1" t="str">
        <f t="shared" si="637"/>
        <v>...</v>
      </c>
      <c r="H2959" s="1" t="str">
        <f t="shared" si="637"/>
        <v>...</v>
      </c>
      <c r="I2959" s="1" t="str">
        <f t="shared" si="637"/>
        <v>...</v>
      </c>
      <c r="J2959" s="1" t="str">
        <f t="shared" si="637"/>
        <v>...</v>
      </c>
      <c r="K2959" s="1" t="str">
        <f t="shared" si="637"/>
        <v>...</v>
      </c>
      <c r="L2959" s="1" t="str">
        <f t="shared" si="637"/>
        <v>...</v>
      </c>
      <c r="M2959" s="1" t="str">
        <f t="shared" si="637"/>
        <v>...</v>
      </c>
      <c r="N2959" t="s">
        <v>30</v>
      </c>
    </row>
    <row r="2960" spans="1:14" x14ac:dyDescent="0.25">
      <c r="A2960" t="s">
        <v>41</v>
      </c>
      <c r="B2960" t="s">
        <v>15</v>
      </c>
      <c r="C2960" t="s">
        <v>35</v>
      </c>
      <c r="D2960" t="s">
        <v>34</v>
      </c>
      <c r="E2960" t="s">
        <v>21</v>
      </c>
      <c r="F2960" t="s">
        <v>19</v>
      </c>
      <c r="G2960" s="1" t="str">
        <f t="shared" si="637"/>
        <v>...</v>
      </c>
      <c r="H2960" s="1" t="str">
        <f t="shared" si="637"/>
        <v>...</v>
      </c>
      <c r="I2960" s="1" t="str">
        <f t="shared" si="637"/>
        <v>...</v>
      </c>
      <c r="J2960" s="1" t="str">
        <f t="shared" si="637"/>
        <v>...</v>
      </c>
      <c r="K2960" s="1" t="str">
        <f t="shared" si="637"/>
        <v>...</v>
      </c>
      <c r="L2960" s="1" t="str">
        <f t="shared" si="637"/>
        <v>...</v>
      </c>
      <c r="M2960" s="1" t="str">
        <f t="shared" si="637"/>
        <v>...</v>
      </c>
      <c r="N2960" t="s">
        <v>30</v>
      </c>
    </row>
    <row r="2961" spans="1:14" x14ac:dyDescent="0.25">
      <c r="A2961" t="s">
        <v>41</v>
      </c>
      <c r="B2961" t="s">
        <v>15</v>
      </c>
      <c r="C2961" t="s">
        <v>35</v>
      </c>
      <c r="D2961" t="s">
        <v>34</v>
      </c>
      <c r="E2961" t="s">
        <v>21</v>
      </c>
      <c r="F2961" t="s">
        <v>20</v>
      </c>
      <c r="G2961" s="1" t="str">
        <f t="shared" ref="G2961:M2962" si="638">"X"</f>
        <v>X</v>
      </c>
      <c r="H2961" s="1" t="str">
        <f t="shared" si="638"/>
        <v>X</v>
      </c>
      <c r="I2961" s="1" t="str">
        <f t="shared" si="638"/>
        <v>X</v>
      </c>
      <c r="J2961" s="1" t="str">
        <f t="shared" si="638"/>
        <v>X</v>
      </c>
      <c r="K2961" s="1" t="str">
        <f t="shared" si="638"/>
        <v>X</v>
      </c>
      <c r="L2961" s="1" t="str">
        <f t="shared" si="638"/>
        <v>X</v>
      </c>
      <c r="M2961" s="1" t="str">
        <f t="shared" si="638"/>
        <v>X</v>
      </c>
      <c r="N2961" t="s">
        <v>27</v>
      </c>
    </row>
    <row r="2962" spans="1:14" x14ac:dyDescent="0.25">
      <c r="A2962" t="s">
        <v>41</v>
      </c>
      <c r="B2962" t="s">
        <v>15</v>
      </c>
      <c r="C2962" t="s">
        <v>35</v>
      </c>
      <c r="D2962" t="s">
        <v>34</v>
      </c>
      <c r="E2962" t="s">
        <v>22</v>
      </c>
      <c r="F2962" t="s">
        <v>15</v>
      </c>
      <c r="G2962" s="1" t="str">
        <f t="shared" si="638"/>
        <v>X</v>
      </c>
      <c r="H2962" s="1" t="str">
        <f t="shared" si="638"/>
        <v>X</v>
      </c>
      <c r="I2962" s="1" t="str">
        <f t="shared" si="638"/>
        <v>X</v>
      </c>
      <c r="J2962" s="1" t="str">
        <f t="shared" si="638"/>
        <v>X</v>
      </c>
      <c r="K2962" s="1" t="str">
        <f t="shared" si="638"/>
        <v>X</v>
      </c>
      <c r="L2962" s="1" t="str">
        <f t="shared" si="638"/>
        <v>X</v>
      </c>
      <c r="M2962" s="1" t="str">
        <f t="shared" si="638"/>
        <v>X</v>
      </c>
      <c r="N2962" t="s">
        <v>27</v>
      </c>
    </row>
    <row r="2963" spans="1:14" x14ac:dyDescent="0.25">
      <c r="A2963" t="s">
        <v>41</v>
      </c>
      <c r="B2963" t="s">
        <v>15</v>
      </c>
      <c r="C2963" t="s">
        <v>35</v>
      </c>
      <c r="D2963" t="s">
        <v>34</v>
      </c>
      <c r="E2963" t="s">
        <v>22</v>
      </c>
      <c r="F2963" t="s">
        <v>17</v>
      </c>
      <c r="G2963" s="1" t="str">
        <f t="shared" ref="G2963:M2964" si="639">"..."</f>
        <v>...</v>
      </c>
      <c r="H2963" s="1" t="str">
        <f t="shared" si="639"/>
        <v>...</v>
      </c>
      <c r="I2963" s="1" t="str">
        <f t="shared" si="639"/>
        <v>...</v>
      </c>
      <c r="J2963" s="1" t="str">
        <f t="shared" si="639"/>
        <v>...</v>
      </c>
      <c r="K2963" s="1" t="str">
        <f t="shared" si="639"/>
        <v>...</v>
      </c>
      <c r="L2963" s="1" t="str">
        <f t="shared" si="639"/>
        <v>...</v>
      </c>
      <c r="M2963" s="1" t="str">
        <f t="shared" si="639"/>
        <v>...</v>
      </c>
      <c r="N2963" t="s">
        <v>30</v>
      </c>
    </row>
    <row r="2964" spans="1:14" x14ac:dyDescent="0.25">
      <c r="A2964" t="s">
        <v>41</v>
      </c>
      <c r="B2964" t="s">
        <v>15</v>
      </c>
      <c r="C2964" t="s">
        <v>35</v>
      </c>
      <c r="D2964" t="s">
        <v>34</v>
      </c>
      <c r="E2964" t="s">
        <v>22</v>
      </c>
      <c r="F2964" t="s">
        <v>18</v>
      </c>
      <c r="G2964" s="1" t="str">
        <f t="shared" si="639"/>
        <v>...</v>
      </c>
      <c r="H2964" s="1" t="str">
        <f t="shared" si="639"/>
        <v>...</v>
      </c>
      <c r="I2964" s="1" t="str">
        <f t="shared" si="639"/>
        <v>...</v>
      </c>
      <c r="J2964" s="1" t="str">
        <f t="shared" si="639"/>
        <v>...</v>
      </c>
      <c r="K2964" s="1" t="str">
        <f t="shared" si="639"/>
        <v>...</v>
      </c>
      <c r="L2964" s="1" t="str">
        <f t="shared" si="639"/>
        <v>...</v>
      </c>
      <c r="M2964" s="1" t="str">
        <f t="shared" si="639"/>
        <v>...</v>
      </c>
      <c r="N2964" t="s">
        <v>30</v>
      </c>
    </row>
    <row r="2965" spans="1:14" x14ac:dyDescent="0.25">
      <c r="A2965" t="s">
        <v>41</v>
      </c>
      <c r="B2965" t="s">
        <v>15</v>
      </c>
      <c r="C2965" t="s">
        <v>35</v>
      </c>
      <c r="D2965" t="s">
        <v>34</v>
      </c>
      <c r="E2965" t="s">
        <v>22</v>
      </c>
      <c r="F2965" t="s">
        <v>19</v>
      </c>
      <c r="G2965" s="1" t="str">
        <f t="shared" ref="G2965:M2967" si="640">"X"</f>
        <v>X</v>
      </c>
      <c r="H2965" s="1" t="str">
        <f t="shared" si="640"/>
        <v>X</v>
      </c>
      <c r="I2965" s="1" t="str">
        <f t="shared" si="640"/>
        <v>X</v>
      </c>
      <c r="J2965" s="1" t="str">
        <f t="shared" si="640"/>
        <v>X</v>
      </c>
      <c r="K2965" s="1" t="str">
        <f t="shared" si="640"/>
        <v>X</v>
      </c>
      <c r="L2965" s="1" t="str">
        <f t="shared" si="640"/>
        <v>X</v>
      </c>
      <c r="M2965" s="1" t="str">
        <f t="shared" si="640"/>
        <v>X</v>
      </c>
      <c r="N2965" t="s">
        <v>27</v>
      </c>
    </row>
    <row r="2966" spans="1:14" x14ac:dyDescent="0.25">
      <c r="A2966" t="s">
        <v>41</v>
      </c>
      <c r="B2966" t="s">
        <v>15</v>
      </c>
      <c r="C2966" t="s">
        <v>35</v>
      </c>
      <c r="D2966" t="s">
        <v>34</v>
      </c>
      <c r="E2966" t="s">
        <v>22</v>
      </c>
      <c r="F2966" t="s">
        <v>20</v>
      </c>
      <c r="G2966" s="1" t="str">
        <f t="shared" si="640"/>
        <v>X</v>
      </c>
      <c r="H2966" s="1" t="str">
        <f t="shared" si="640"/>
        <v>X</v>
      </c>
      <c r="I2966" s="1" t="str">
        <f t="shared" si="640"/>
        <v>X</v>
      </c>
      <c r="J2966" s="1" t="str">
        <f t="shared" si="640"/>
        <v>X</v>
      </c>
      <c r="K2966" s="1" t="str">
        <f t="shared" si="640"/>
        <v>X</v>
      </c>
      <c r="L2966" s="1" t="str">
        <f t="shared" si="640"/>
        <v>X</v>
      </c>
      <c r="M2966" s="1" t="str">
        <f t="shared" si="640"/>
        <v>X</v>
      </c>
      <c r="N2966" t="s">
        <v>27</v>
      </c>
    </row>
    <row r="2967" spans="1:14" x14ac:dyDescent="0.25">
      <c r="A2967" t="s">
        <v>41</v>
      </c>
      <c r="B2967" t="s">
        <v>15</v>
      </c>
      <c r="C2967" t="s">
        <v>35</v>
      </c>
      <c r="D2967" t="s">
        <v>34</v>
      </c>
      <c r="E2967" t="s">
        <v>23</v>
      </c>
      <c r="F2967" t="s">
        <v>15</v>
      </c>
      <c r="G2967" s="1" t="str">
        <f t="shared" si="640"/>
        <v>X</v>
      </c>
      <c r="H2967" s="1" t="str">
        <f t="shared" si="640"/>
        <v>X</v>
      </c>
      <c r="I2967" s="1" t="str">
        <f t="shared" si="640"/>
        <v>X</v>
      </c>
      <c r="J2967" s="1" t="str">
        <f t="shared" si="640"/>
        <v>X</v>
      </c>
      <c r="K2967" s="1" t="str">
        <f t="shared" si="640"/>
        <v>X</v>
      </c>
      <c r="L2967" s="1" t="str">
        <f t="shared" si="640"/>
        <v>X</v>
      </c>
      <c r="M2967" s="1" t="str">
        <f t="shared" si="640"/>
        <v>X</v>
      </c>
      <c r="N2967" t="s">
        <v>27</v>
      </c>
    </row>
    <row r="2968" spans="1:14" x14ac:dyDescent="0.25">
      <c r="A2968" t="s">
        <v>41</v>
      </c>
      <c r="B2968" t="s">
        <v>15</v>
      </c>
      <c r="C2968" t="s">
        <v>35</v>
      </c>
      <c r="D2968" t="s">
        <v>34</v>
      </c>
      <c r="E2968" t="s">
        <v>23</v>
      </c>
      <c r="F2968" t="s">
        <v>17</v>
      </c>
      <c r="G2968" s="1" t="str">
        <f t="shared" ref="G2968:M2970" si="641">"..."</f>
        <v>...</v>
      </c>
      <c r="H2968" s="1" t="str">
        <f t="shared" si="641"/>
        <v>...</v>
      </c>
      <c r="I2968" s="1" t="str">
        <f t="shared" si="641"/>
        <v>...</v>
      </c>
      <c r="J2968" s="1" t="str">
        <f t="shared" si="641"/>
        <v>...</v>
      </c>
      <c r="K2968" s="1" t="str">
        <f t="shared" si="641"/>
        <v>...</v>
      </c>
      <c r="L2968" s="1" t="str">
        <f t="shared" si="641"/>
        <v>...</v>
      </c>
      <c r="M2968" s="1" t="str">
        <f t="shared" si="641"/>
        <v>...</v>
      </c>
      <c r="N2968" t="s">
        <v>30</v>
      </c>
    </row>
    <row r="2969" spans="1:14" x14ac:dyDescent="0.25">
      <c r="A2969" t="s">
        <v>41</v>
      </c>
      <c r="B2969" t="s">
        <v>15</v>
      </c>
      <c r="C2969" t="s">
        <v>35</v>
      </c>
      <c r="D2969" t="s">
        <v>34</v>
      </c>
      <c r="E2969" t="s">
        <v>23</v>
      </c>
      <c r="F2969" t="s">
        <v>18</v>
      </c>
      <c r="G2969" s="1" t="str">
        <f t="shared" si="641"/>
        <v>...</v>
      </c>
      <c r="H2969" s="1" t="str">
        <f t="shared" si="641"/>
        <v>...</v>
      </c>
      <c r="I2969" s="1" t="str">
        <f t="shared" si="641"/>
        <v>...</v>
      </c>
      <c r="J2969" s="1" t="str">
        <f t="shared" si="641"/>
        <v>...</v>
      </c>
      <c r="K2969" s="1" t="str">
        <f t="shared" si="641"/>
        <v>...</v>
      </c>
      <c r="L2969" s="1" t="str">
        <f t="shared" si="641"/>
        <v>...</v>
      </c>
      <c r="M2969" s="1" t="str">
        <f t="shared" si="641"/>
        <v>...</v>
      </c>
      <c r="N2969" t="s">
        <v>30</v>
      </c>
    </row>
    <row r="2970" spans="1:14" x14ac:dyDescent="0.25">
      <c r="A2970" t="s">
        <v>41</v>
      </c>
      <c r="B2970" t="s">
        <v>15</v>
      </c>
      <c r="C2970" t="s">
        <v>35</v>
      </c>
      <c r="D2970" t="s">
        <v>34</v>
      </c>
      <c r="E2970" t="s">
        <v>23</v>
      </c>
      <c r="F2970" t="s">
        <v>19</v>
      </c>
      <c r="G2970" s="1" t="str">
        <f t="shared" si="641"/>
        <v>...</v>
      </c>
      <c r="H2970" s="1" t="str">
        <f t="shared" si="641"/>
        <v>...</v>
      </c>
      <c r="I2970" s="1" t="str">
        <f t="shared" si="641"/>
        <v>...</v>
      </c>
      <c r="J2970" s="1" t="str">
        <f t="shared" si="641"/>
        <v>...</v>
      </c>
      <c r="K2970" s="1" t="str">
        <f t="shared" si="641"/>
        <v>...</v>
      </c>
      <c r="L2970" s="1" t="str">
        <f t="shared" si="641"/>
        <v>...</v>
      </c>
      <c r="M2970" s="1" t="str">
        <f t="shared" si="641"/>
        <v>...</v>
      </c>
      <c r="N2970" t="s">
        <v>30</v>
      </c>
    </row>
    <row r="2971" spans="1:14" x14ac:dyDescent="0.25">
      <c r="A2971" t="s">
        <v>41</v>
      </c>
      <c r="B2971" t="s">
        <v>15</v>
      </c>
      <c r="C2971" t="s">
        <v>35</v>
      </c>
      <c r="D2971" t="s">
        <v>34</v>
      </c>
      <c r="E2971" t="s">
        <v>23</v>
      </c>
      <c r="F2971" t="s">
        <v>20</v>
      </c>
      <c r="G2971" s="1" t="str">
        <f t="shared" ref="G2971:M2971" si="642">"X"</f>
        <v>X</v>
      </c>
      <c r="H2971" s="1" t="str">
        <f t="shared" si="642"/>
        <v>X</v>
      </c>
      <c r="I2971" s="1" t="str">
        <f t="shared" si="642"/>
        <v>X</v>
      </c>
      <c r="J2971" s="1" t="str">
        <f t="shared" si="642"/>
        <v>X</v>
      </c>
      <c r="K2971" s="1" t="str">
        <f t="shared" si="642"/>
        <v>X</v>
      </c>
      <c r="L2971" s="1" t="str">
        <f t="shared" si="642"/>
        <v>X</v>
      </c>
      <c r="M2971" s="1" t="str">
        <f t="shared" si="642"/>
        <v>X</v>
      </c>
      <c r="N2971" t="s">
        <v>27</v>
      </c>
    </row>
    <row r="2972" spans="1:14" x14ac:dyDescent="0.25">
      <c r="A2972" t="s">
        <v>41</v>
      </c>
      <c r="B2972" t="s">
        <v>15</v>
      </c>
      <c r="C2972" t="s">
        <v>35</v>
      </c>
      <c r="D2972" t="s">
        <v>34</v>
      </c>
      <c r="E2972" t="s">
        <v>26</v>
      </c>
      <c r="F2972" t="s">
        <v>15</v>
      </c>
      <c r="G2972" s="1" t="str">
        <f t="shared" ref="G2972:M2976" si="643">"..."</f>
        <v>...</v>
      </c>
      <c r="H2972" s="1" t="str">
        <f t="shared" si="643"/>
        <v>...</v>
      </c>
      <c r="I2972" s="1" t="str">
        <f t="shared" si="643"/>
        <v>...</v>
      </c>
      <c r="J2972" s="1" t="str">
        <f t="shared" si="643"/>
        <v>...</v>
      </c>
      <c r="K2972" s="1" t="str">
        <f t="shared" si="643"/>
        <v>...</v>
      </c>
      <c r="L2972" s="1" t="str">
        <f t="shared" si="643"/>
        <v>...</v>
      </c>
      <c r="M2972" s="1" t="str">
        <f t="shared" si="643"/>
        <v>...</v>
      </c>
      <c r="N2972" t="s">
        <v>30</v>
      </c>
    </row>
    <row r="2973" spans="1:14" x14ac:dyDescent="0.25">
      <c r="A2973" t="s">
        <v>41</v>
      </c>
      <c r="B2973" t="s">
        <v>15</v>
      </c>
      <c r="C2973" t="s">
        <v>35</v>
      </c>
      <c r="D2973" t="s">
        <v>34</v>
      </c>
      <c r="E2973" t="s">
        <v>26</v>
      </c>
      <c r="F2973" t="s">
        <v>17</v>
      </c>
      <c r="G2973" s="1" t="str">
        <f t="shared" si="643"/>
        <v>...</v>
      </c>
      <c r="H2973" s="1" t="str">
        <f t="shared" si="643"/>
        <v>...</v>
      </c>
      <c r="I2973" s="1" t="str">
        <f t="shared" si="643"/>
        <v>...</v>
      </c>
      <c r="J2973" s="1" t="str">
        <f t="shared" si="643"/>
        <v>...</v>
      </c>
      <c r="K2973" s="1" t="str">
        <f t="shared" si="643"/>
        <v>...</v>
      </c>
      <c r="L2973" s="1" t="str">
        <f t="shared" si="643"/>
        <v>...</v>
      </c>
      <c r="M2973" s="1" t="str">
        <f t="shared" si="643"/>
        <v>...</v>
      </c>
      <c r="N2973" t="s">
        <v>30</v>
      </c>
    </row>
    <row r="2974" spans="1:14" x14ac:dyDescent="0.25">
      <c r="A2974" t="s">
        <v>41</v>
      </c>
      <c r="B2974" t="s">
        <v>15</v>
      </c>
      <c r="C2974" t="s">
        <v>35</v>
      </c>
      <c r="D2974" t="s">
        <v>34</v>
      </c>
      <c r="E2974" t="s">
        <v>26</v>
      </c>
      <c r="F2974" t="s">
        <v>18</v>
      </c>
      <c r="G2974" s="1" t="str">
        <f t="shared" si="643"/>
        <v>...</v>
      </c>
      <c r="H2974" s="1" t="str">
        <f t="shared" si="643"/>
        <v>...</v>
      </c>
      <c r="I2974" s="1" t="str">
        <f t="shared" si="643"/>
        <v>...</v>
      </c>
      <c r="J2974" s="1" t="str">
        <f t="shared" si="643"/>
        <v>...</v>
      </c>
      <c r="K2974" s="1" t="str">
        <f t="shared" si="643"/>
        <v>...</v>
      </c>
      <c r="L2974" s="1" t="str">
        <f t="shared" si="643"/>
        <v>...</v>
      </c>
      <c r="M2974" s="1" t="str">
        <f t="shared" si="643"/>
        <v>...</v>
      </c>
      <c r="N2974" t="s">
        <v>30</v>
      </c>
    </row>
    <row r="2975" spans="1:14" x14ac:dyDescent="0.25">
      <c r="A2975" t="s">
        <v>41</v>
      </c>
      <c r="B2975" t="s">
        <v>15</v>
      </c>
      <c r="C2975" t="s">
        <v>35</v>
      </c>
      <c r="D2975" t="s">
        <v>34</v>
      </c>
      <c r="E2975" t="s">
        <v>26</v>
      </c>
      <c r="F2975" t="s">
        <v>19</v>
      </c>
      <c r="G2975" s="1" t="str">
        <f t="shared" si="643"/>
        <v>...</v>
      </c>
      <c r="H2975" s="1" t="str">
        <f t="shared" si="643"/>
        <v>...</v>
      </c>
      <c r="I2975" s="1" t="str">
        <f t="shared" si="643"/>
        <v>...</v>
      </c>
      <c r="J2975" s="1" t="str">
        <f t="shared" si="643"/>
        <v>...</v>
      </c>
      <c r="K2975" s="1" t="str">
        <f t="shared" si="643"/>
        <v>...</v>
      </c>
      <c r="L2975" s="1" t="str">
        <f t="shared" si="643"/>
        <v>...</v>
      </c>
      <c r="M2975" s="1" t="str">
        <f t="shared" si="643"/>
        <v>...</v>
      </c>
      <c r="N2975" t="s">
        <v>30</v>
      </c>
    </row>
    <row r="2976" spans="1:14" x14ac:dyDescent="0.25">
      <c r="A2976" t="s">
        <v>41</v>
      </c>
      <c r="B2976" t="s">
        <v>15</v>
      </c>
      <c r="C2976" t="s">
        <v>35</v>
      </c>
      <c r="D2976" t="s">
        <v>34</v>
      </c>
      <c r="E2976" t="s">
        <v>26</v>
      </c>
      <c r="F2976" t="s">
        <v>20</v>
      </c>
      <c r="G2976" s="1" t="str">
        <f t="shared" si="643"/>
        <v>...</v>
      </c>
      <c r="H2976" s="1" t="str">
        <f t="shared" si="643"/>
        <v>...</v>
      </c>
      <c r="I2976" s="1" t="str">
        <f t="shared" si="643"/>
        <v>...</v>
      </c>
      <c r="J2976" s="1" t="str">
        <f t="shared" si="643"/>
        <v>...</v>
      </c>
      <c r="K2976" s="1" t="str">
        <f t="shared" si="643"/>
        <v>...</v>
      </c>
      <c r="L2976" s="1" t="str">
        <f t="shared" si="643"/>
        <v>...</v>
      </c>
      <c r="M2976" s="1" t="str">
        <f t="shared" si="643"/>
        <v>...</v>
      </c>
      <c r="N2976" t="s">
        <v>30</v>
      </c>
    </row>
    <row r="2977" spans="1:14" x14ac:dyDescent="0.25">
      <c r="A2977" t="s">
        <v>41</v>
      </c>
      <c r="B2977" t="s">
        <v>15</v>
      </c>
      <c r="C2977" t="s">
        <v>36</v>
      </c>
      <c r="D2977" t="s">
        <v>15</v>
      </c>
      <c r="E2977" t="s">
        <v>15</v>
      </c>
      <c r="F2977" t="s">
        <v>15</v>
      </c>
      <c r="G2977" s="1">
        <f>VALUE(26854.6567859103)</f>
        <v>26854.656785910302</v>
      </c>
      <c r="H2977" s="1">
        <f>VALUE(25088.7620067814)</f>
        <v>25088.762006781399</v>
      </c>
      <c r="I2977" s="1">
        <f>VALUE(3121)</f>
        <v>3121</v>
      </c>
      <c r="J2977" s="1">
        <f>VALUE(3745)</f>
        <v>3745</v>
      </c>
      <c r="K2977" s="1">
        <f>VALUE(4655)</f>
        <v>4655</v>
      </c>
      <c r="L2977" s="1">
        <f>VALUE(5563)</f>
        <v>5563</v>
      </c>
      <c r="M2977" s="1">
        <f>VALUE(6692)</f>
        <v>6692</v>
      </c>
      <c r="N2977" t="s">
        <v>16</v>
      </c>
    </row>
    <row r="2978" spans="1:14" x14ac:dyDescent="0.25">
      <c r="A2978" t="s">
        <v>41</v>
      </c>
      <c r="B2978" t="s">
        <v>15</v>
      </c>
      <c r="C2978" t="s">
        <v>36</v>
      </c>
      <c r="D2978" t="s">
        <v>15</v>
      </c>
      <c r="E2978" t="s">
        <v>15</v>
      </c>
      <c r="F2978" t="s">
        <v>17</v>
      </c>
      <c r="G2978" s="1">
        <f>VALUE(2376.0374329069)</f>
        <v>2376.0374329069</v>
      </c>
      <c r="H2978" s="1">
        <f>VALUE(2306.760445189)</f>
        <v>2306.7604451890002</v>
      </c>
      <c r="I2978" s="4">
        <f>VALUE(3663)</f>
        <v>3663</v>
      </c>
      <c r="J2978" s="1">
        <f>VALUE(4618)</f>
        <v>4618</v>
      </c>
      <c r="K2978" s="1">
        <f>VALUE(5714)</f>
        <v>5714</v>
      </c>
      <c r="L2978" s="1">
        <f>VALUE(7878)</f>
        <v>7878</v>
      </c>
      <c r="M2978" s="8">
        <f>VALUE(10079)</f>
        <v>10079</v>
      </c>
      <c r="N2978" t="s">
        <v>25</v>
      </c>
    </row>
    <row r="2979" spans="1:14" x14ac:dyDescent="0.25">
      <c r="A2979" t="s">
        <v>41</v>
      </c>
      <c r="B2979" t="s">
        <v>15</v>
      </c>
      <c r="C2979" t="s">
        <v>36</v>
      </c>
      <c r="D2979" t="s">
        <v>15</v>
      </c>
      <c r="E2979" t="s">
        <v>15</v>
      </c>
      <c r="F2979" t="s">
        <v>18</v>
      </c>
      <c r="G2979" s="1">
        <f>VALUE(3577.0069491635)</f>
        <v>3577.0069491634999</v>
      </c>
      <c r="H2979" s="1">
        <f>VALUE(3340.6604926466)</f>
        <v>3340.6604926465998</v>
      </c>
      <c r="I2979" s="1">
        <f>VALUE(3540)</f>
        <v>3540</v>
      </c>
      <c r="J2979" s="1">
        <f>VALUE(4283)</f>
        <v>4283</v>
      </c>
      <c r="K2979" s="1">
        <f>VALUE(5103)</f>
        <v>5103</v>
      </c>
      <c r="L2979" s="1">
        <f>VALUE(6129)</f>
        <v>6129</v>
      </c>
      <c r="M2979" s="1">
        <f>VALUE(7583)</f>
        <v>7583</v>
      </c>
      <c r="N2979" t="s">
        <v>16</v>
      </c>
    </row>
    <row r="2980" spans="1:14" x14ac:dyDescent="0.25">
      <c r="A2980" t="s">
        <v>41</v>
      </c>
      <c r="B2980" t="s">
        <v>15</v>
      </c>
      <c r="C2980" t="s">
        <v>36</v>
      </c>
      <c r="D2980" t="s">
        <v>15</v>
      </c>
      <c r="E2980" t="s">
        <v>15</v>
      </c>
      <c r="F2980" t="s">
        <v>19</v>
      </c>
      <c r="G2980" s="1">
        <f>VALUE(4159.3231490558)</f>
        <v>4159.3231490558001</v>
      </c>
      <c r="H2980" s="1">
        <f>VALUE(3853.0520543224)</f>
        <v>3853.0520543224002</v>
      </c>
      <c r="I2980" s="1">
        <f>VALUE(3467)</f>
        <v>3467</v>
      </c>
      <c r="J2980" s="1">
        <f>VALUE(4042)</f>
        <v>4042</v>
      </c>
      <c r="K2980" s="1">
        <f>VALUE(4875)</f>
        <v>4875</v>
      </c>
      <c r="L2980" s="1">
        <f>VALUE(5643)</f>
        <v>5643</v>
      </c>
      <c r="M2980" s="1">
        <f>VALUE(6743)</f>
        <v>6743</v>
      </c>
      <c r="N2980" t="s">
        <v>16</v>
      </c>
    </row>
    <row r="2981" spans="1:14" x14ac:dyDescent="0.25">
      <c r="A2981" t="s">
        <v>41</v>
      </c>
      <c r="B2981" t="s">
        <v>15</v>
      </c>
      <c r="C2981" t="s">
        <v>36</v>
      </c>
      <c r="D2981" t="s">
        <v>15</v>
      </c>
      <c r="E2981" t="s">
        <v>15</v>
      </c>
      <c r="F2981" t="s">
        <v>20</v>
      </c>
      <c r="G2981" s="1">
        <f>VALUE(16721.3152738557)</f>
        <v>16721.3152738557</v>
      </c>
      <c r="H2981" s="1">
        <f>VALUE(15566.5384425371)</f>
        <v>15566.538442537099</v>
      </c>
      <c r="I2981" s="1">
        <f>VALUE(2939)</f>
        <v>2939</v>
      </c>
      <c r="J2981" s="1">
        <f>VALUE(3519)</f>
        <v>3519</v>
      </c>
      <c r="K2981" s="1">
        <f>VALUE(4334)</f>
        <v>4334</v>
      </c>
      <c r="L2981" s="1">
        <f>VALUE(5260)</f>
        <v>5260</v>
      </c>
      <c r="M2981" s="1">
        <f>VALUE(6055)</f>
        <v>6055</v>
      </c>
      <c r="N2981" t="s">
        <v>16</v>
      </c>
    </row>
    <row r="2982" spans="1:14" x14ac:dyDescent="0.25">
      <c r="A2982" t="s">
        <v>41</v>
      </c>
      <c r="B2982" t="s">
        <v>15</v>
      </c>
      <c r="C2982" t="s">
        <v>36</v>
      </c>
      <c r="D2982" t="s">
        <v>15</v>
      </c>
      <c r="E2982" t="s">
        <v>21</v>
      </c>
      <c r="F2982" t="s">
        <v>15</v>
      </c>
      <c r="G2982" s="1">
        <f>VALUE(7497.4952217991)</f>
        <v>7497.4952217991004</v>
      </c>
      <c r="H2982" s="1">
        <f>VALUE(6808.0799631492)</f>
        <v>6808.0799631492</v>
      </c>
      <c r="I2982" s="1">
        <f>VALUE(3623)</f>
        <v>3623</v>
      </c>
      <c r="J2982" s="1">
        <f>VALUE(4388)</f>
        <v>4388</v>
      </c>
      <c r="K2982" s="1">
        <f>VALUE(5365)</f>
        <v>5365</v>
      </c>
      <c r="L2982" s="1">
        <f>VALUE(6534)</f>
        <v>6534</v>
      </c>
      <c r="M2982" s="1">
        <f>VALUE(8186)</f>
        <v>8186</v>
      </c>
      <c r="N2982" t="s">
        <v>16</v>
      </c>
    </row>
    <row r="2983" spans="1:14" x14ac:dyDescent="0.25">
      <c r="A2983" t="s">
        <v>41</v>
      </c>
      <c r="B2983" t="s">
        <v>15</v>
      </c>
      <c r="C2983" t="s">
        <v>36</v>
      </c>
      <c r="D2983" t="s">
        <v>15</v>
      </c>
      <c r="E2983" t="s">
        <v>21</v>
      </c>
      <c r="F2983" t="s">
        <v>17</v>
      </c>
      <c r="G2983" s="2">
        <f>VALUE(1489.0365907787)</f>
        <v>1489.0365907787</v>
      </c>
      <c r="H2983" s="3">
        <f>VALUE(1438.5414041718)</f>
        <v>1438.5414041718</v>
      </c>
      <c r="I2983" s="4">
        <f>VALUE(3909)</f>
        <v>3909</v>
      </c>
      <c r="J2983" s="1">
        <f>VALUE(5058)</f>
        <v>5058</v>
      </c>
      <c r="K2983" s="1">
        <f>VALUE(6238)</f>
        <v>6238</v>
      </c>
      <c r="L2983" s="7">
        <f>VALUE(8342)</f>
        <v>8342</v>
      </c>
      <c r="M2983" s="8">
        <f>VALUE(10833)</f>
        <v>10833</v>
      </c>
      <c r="N2983" t="s">
        <v>25</v>
      </c>
    </row>
    <row r="2984" spans="1:14" x14ac:dyDescent="0.25">
      <c r="A2984" t="s">
        <v>41</v>
      </c>
      <c r="B2984" t="s">
        <v>15</v>
      </c>
      <c r="C2984" t="s">
        <v>36</v>
      </c>
      <c r="D2984" t="s">
        <v>15</v>
      </c>
      <c r="E2984" t="s">
        <v>21</v>
      </c>
      <c r="F2984" t="s">
        <v>18</v>
      </c>
      <c r="G2984" s="1">
        <f>VALUE(1471.7235298345)</f>
        <v>1471.7235298344999</v>
      </c>
      <c r="H2984" s="1">
        <f>VALUE(1306.3746158295)</f>
        <v>1306.3746158295</v>
      </c>
      <c r="I2984" s="1">
        <f>VALUE(3596)</f>
        <v>3596</v>
      </c>
      <c r="J2984" s="1">
        <f>VALUE(4333)</f>
        <v>4333</v>
      </c>
      <c r="K2984" s="1">
        <f>VALUE(5647)</f>
        <v>5647</v>
      </c>
      <c r="L2984" s="1">
        <f>VALUE(6625)</f>
        <v>6625</v>
      </c>
      <c r="M2984" s="1">
        <f>VALUE(8333)</f>
        <v>8333</v>
      </c>
      <c r="N2984" t="s">
        <v>16</v>
      </c>
    </row>
    <row r="2985" spans="1:14" x14ac:dyDescent="0.25">
      <c r="A2985" t="s">
        <v>41</v>
      </c>
      <c r="B2985" t="s">
        <v>15</v>
      </c>
      <c r="C2985" t="s">
        <v>36</v>
      </c>
      <c r="D2985" t="s">
        <v>15</v>
      </c>
      <c r="E2985" t="s">
        <v>21</v>
      </c>
      <c r="F2985" t="s">
        <v>19</v>
      </c>
      <c r="G2985" s="1">
        <f>VALUE(1806.1662378878)</f>
        <v>1806.1662378878</v>
      </c>
      <c r="H2985" s="1">
        <f>VALUE(1589.4217563269)</f>
        <v>1589.4217563269001</v>
      </c>
      <c r="I2985" s="1">
        <f>VALUE(3793)</f>
        <v>3793</v>
      </c>
      <c r="J2985" s="1">
        <f>VALUE(4439)</f>
        <v>4439</v>
      </c>
      <c r="K2985" s="1">
        <f>VALUE(5275)</f>
        <v>5275</v>
      </c>
      <c r="L2985" s="1">
        <f>VALUE(6174)</f>
        <v>6174</v>
      </c>
      <c r="M2985" s="1">
        <f>VALUE(7310)</f>
        <v>7310</v>
      </c>
      <c r="N2985" t="s">
        <v>16</v>
      </c>
    </row>
    <row r="2986" spans="1:14" x14ac:dyDescent="0.25">
      <c r="A2986" t="s">
        <v>41</v>
      </c>
      <c r="B2986" t="s">
        <v>15</v>
      </c>
      <c r="C2986" t="s">
        <v>36</v>
      </c>
      <c r="D2986" t="s">
        <v>15</v>
      </c>
      <c r="E2986" t="s">
        <v>21</v>
      </c>
      <c r="F2986" t="s">
        <v>20</v>
      </c>
      <c r="G2986" s="1">
        <f>VALUE(2729.2068252218)</f>
        <v>2729.2068252218</v>
      </c>
      <c r="H2986" s="1">
        <f>VALUE(2472.2950213649)</f>
        <v>2472.2950213649001</v>
      </c>
      <c r="I2986" s="1">
        <f>VALUE(3524)</f>
        <v>3524</v>
      </c>
      <c r="J2986" s="1">
        <f>VALUE(4208)</f>
        <v>4208</v>
      </c>
      <c r="K2986" s="1">
        <f>VALUE(5109)</f>
        <v>5109</v>
      </c>
      <c r="L2986" s="1">
        <f>VALUE(6035)</f>
        <v>6035</v>
      </c>
      <c r="M2986" s="1">
        <f>VALUE(6953)</f>
        <v>6953</v>
      </c>
      <c r="N2986" t="s">
        <v>16</v>
      </c>
    </row>
    <row r="2987" spans="1:14" x14ac:dyDescent="0.25">
      <c r="A2987" t="s">
        <v>41</v>
      </c>
      <c r="B2987" t="s">
        <v>15</v>
      </c>
      <c r="C2987" t="s">
        <v>36</v>
      </c>
      <c r="D2987" t="s">
        <v>15</v>
      </c>
      <c r="E2987" t="s">
        <v>22</v>
      </c>
      <c r="F2987" t="s">
        <v>15</v>
      </c>
      <c r="G2987" s="1">
        <f>VALUE(10401.0268910763)</f>
        <v>10401.026891076301</v>
      </c>
      <c r="H2987" s="1">
        <f>VALUE(9946.8644625119)</f>
        <v>9946.8644625118995</v>
      </c>
      <c r="I2987" s="1">
        <f>VALUE(3417)</f>
        <v>3417</v>
      </c>
      <c r="J2987" s="1">
        <f>VALUE(4043)</f>
        <v>4043</v>
      </c>
      <c r="K2987" s="1">
        <f>VALUE(4749)</f>
        <v>4749</v>
      </c>
      <c r="L2987" s="1">
        <f>VALUE(5497)</f>
        <v>5497</v>
      </c>
      <c r="M2987" s="1">
        <f>VALUE(6207)</f>
        <v>6207</v>
      </c>
      <c r="N2987" t="s">
        <v>16</v>
      </c>
    </row>
    <row r="2988" spans="1:14" x14ac:dyDescent="0.25">
      <c r="A2988" t="s">
        <v>41</v>
      </c>
      <c r="B2988" t="s">
        <v>15</v>
      </c>
      <c r="C2988" t="s">
        <v>36</v>
      </c>
      <c r="D2988" t="s">
        <v>15</v>
      </c>
      <c r="E2988" t="s">
        <v>22</v>
      </c>
      <c r="F2988" t="s">
        <v>17</v>
      </c>
      <c r="G2988" s="2">
        <f>VALUE(700.8312431964)</f>
        <v>700.83124319640001</v>
      </c>
      <c r="H2988" s="3">
        <f>VALUE(694.2340343033)</f>
        <v>694.23403430329995</v>
      </c>
      <c r="I2988" s="4">
        <f>VALUE(3597)</f>
        <v>3597</v>
      </c>
      <c r="J2988" s="1">
        <f>VALUE(4235)</f>
        <v>4235</v>
      </c>
      <c r="K2988" s="1">
        <f>VALUE(5090)</f>
        <v>5090</v>
      </c>
      <c r="L2988" s="1">
        <f>VALUE(5979)</f>
        <v>5979</v>
      </c>
      <c r="M2988" s="8">
        <f>VALUE(7137)</f>
        <v>7137</v>
      </c>
      <c r="N2988" t="s">
        <v>25</v>
      </c>
    </row>
    <row r="2989" spans="1:14" x14ac:dyDescent="0.25">
      <c r="A2989" t="s">
        <v>41</v>
      </c>
      <c r="B2989" t="s">
        <v>15</v>
      </c>
      <c r="C2989" t="s">
        <v>36</v>
      </c>
      <c r="D2989" t="s">
        <v>15</v>
      </c>
      <c r="E2989" t="s">
        <v>22</v>
      </c>
      <c r="F2989" t="s">
        <v>18</v>
      </c>
      <c r="G2989" s="2">
        <f>VALUE(1442.0164534182)</f>
        <v>1442.0164534181999</v>
      </c>
      <c r="H2989" s="3">
        <f>VALUE(1390.5431520887)</f>
        <v>1390.5431520887</v>
      </c>
      <c r="I2989" s="4">
        <f>VALUE(3429)</f>
        <v>3429</v>
      </c>
      <c r="J2989" s="1">
        <f>VALUE(4282)</f>
        <v>4282</v>
      </c>
      <c r="K2989" s="1">
        <f>VALUE(4959)</f>
        <v>4959</v>
      </c>
      <c r="L2989" s="1">
        <f>VALUE(5727)</f>
        <v>5727</v>
      </c>
      <c r="M2989" s="1">
        <f>VALUE(6540)</f>
        <v>6540</v>
      </c>
      <c r="N2989" t="s">
        <v>25</v>
      </c>
    </row>
    <row r="2990" spans="1:14" x14ac:dyDescent="0.25">
      <c r="A2990" t="s">
        <v>41</v>
      </c>
      <c r="B2990" t="s">
        <v>15</v>
      </c>
      <c r="C2990" t="s">
        <v>36</v>
      </c>
      <c r="D2990" t="s">
        <v>15</v>
      </c>
      <c r="E2990" t="s">
        <v>22</v>
      </c>
      <c r="F2990" t="s">
        <v>19</v>
      </c>
      <c r="G2990" s="1">
        <f>VALUE(1658.4021546576)</f>
        <v>1658.4021546576</v>
      </c>
      <c r="H2990" s="1">
        <f>VALUE(1624.6764437432)</f>
        <v>1624.6764437432</v>
      </c>
      <c r="I2990" s="1">
        <f>VALUE(3525)</f>
        <v>3525</v>
      </c>
      <c r="J2990" s="1">
        <f>VALUE(4049)</f>
        <v>4049</v>
      </c>
      <c r="K2990" s="1">
        <f>VALUE(4690)</f>
        <v>4690</v>
      </c>
      <c r="L2990" s="1">
        <f>VALUE(5409)</f>
        <v>5409</v>
      </c>
      <c r="M2990" s="1">
        <f>VALUE(6139)</f>
        <v>6139</v>
      </c>
      <c r="N2990" t="s">
        <v>16</v>
      </c>
    </row>
    <row r="2991" spans="1:14" x14ac:dyDescent="0.25">
      <c r="A2991" t="s">
        <v>41</v>
      </c>
      <c r="B2991" t="s">
        <v>15</v>
      </c>
      <c r="C2991" t="s">
        <v>36</v>
      </c>
      <c r="D2991" t="s">
        <v>15</v>
      </c>
      <c r="E2991" t="s">
        <v>22</v>
      </c>
      <c r="F2991" t="s">
        <v>20</v>
      </c>
      <c r="G2991" s="1">
        <f>VALUE(6599.7770398041)</f>
        <v>6599.7770398041002</v>
      </c>
      <c r="H2991" s="1">
        <f>VALUE(6237.4108323767)</f>
        <v>6237.4108323766995</v>
      </c>
      <c r="I2991" s="1">
        <f>VALUE(3294)</f>
        <v>3294</v>
      </c>
      <c r="J2991" s="1">
        <f>VALUE(3976)</f>
        <v>3976</v>
      </c>
      <c r="K2991" s="1">
        <f>VALUE(4671)</f>
        <v>4671</v>
      </c>
      <c r="L2991" s="1">
        <f>VALUE(5399)</f>
        <v>5399</v>
      </c>
      <c r="M2991" s="1">
        <f>VALUE(6067)</f>
        <v>6067</v>
      </c>
      <c r="N2991" t="s">
        <v>16</v>
      </c>
    </row>
    <row r="2992" spans="1:14" x14ac:dyDescent="0.25">
      <c r="A2992" t="s">
        <v>41</v>
      </c>
      <c r="B2992" t="s">
        <v>15</v>
      </c>
      <c r="C2992" t="s">
        <v>36</v>
      </c>
      <c r="D2992" t="s">
        <v>15</v>
      </c>
      <c r="E2992" t="s">
        <v>23</v>
      </c>
      <c r="F2992" t="s">
        <v>15</v>
      </c>
      <c r="G2992" s="1">
        <f>VALUE(8665.1046911751)</f>
        <v>8665.1046911751</v>
      </c>
      <c r="H2992" s="1">
        <f>VALUE(8034.0963588039)</f>
        <v>8034.0963588039003</v>
      </c>
      <c r="I2992" s="1">
        <f>VALUE(2800)</f>
        <v>2800</v>
      </c>
      <c r="J2992" s="1">
        <f>VALUE(3240)</f>
        <v>3240</v>
      </c>
      <c r="K2992" s="1">
        <f>VALUE(3830)</f>
        <v>3830</v>
      </c>
      <c r="L2992" s="1">
        <f>VALUE(4732)</f>
        <v>4732</v>
      </c>
      <c r="M2992" s="1">
        <f>VALUE(5487)</f>
        <v>5487</v>
      </c>
      <c r="N2992" t="s">
        <v>16</v>
      </c>
    </row>
    <row r="2993" spans="1:14" x14ac:dyDescent="0.25">
      <c r="A2993" t="s">
        <v>41</v>
      </c>
      <c r="B2993" t="s">
        <v>15</v>
      </c>
      <c r="C2993" t="s">
        <v>36</v>
      </c>
      <c r="D2993" t="s">
        <v>15</v>
      </c>
      <c r="E2993" t="s">
        <v>23</v>
      </c>
      <c r="F2993" t="s">
        <v>17</v>
      </c>
      <c r="G2993" s="1" t="str">
        <f t="shared" ref="G2993:M2993" si="644">"X"</f>
        <v>X</v>
      </c>
      <c r="H2993" s="1" t="str">
        <f t="shared" si="644"/>
        <v>X</v>
      </c>
      <c r="I2993" s="1" t="str">
        <f t="shared" si="644"/>
        <v>X</v>
      </c>
      <c r="J2993" s="1" t="str">
        <f t="shared" si="644"/>
        <v>X</v>
      </c>
      <c r="K2993" s="1" t="str">
        <f t="shared" si="644"/>
        <v>X</v>
      </c>
      <c r="L2993" s="1" t="str">
        <f t="shared" si="644"/>
        <v>X</v>
      </c>
      <c r="M2993" s="1" t="str">
        <f t="shared" si="644"/>
        <v>X</v>
      </c>
      <c r="N2993" t="s">
        <v>27</v>
      </c>
    </row>
    <row r="2994" spans="1:14" x14ac:dyDescent="0.25">
      <c r="A2994" t="s">
        <v>41</v>
      </c>
      <c r="B2994" t="s">
        <v>15</v>
      </c>
      <c r="C2994" t="s">
        <v>36</v>
      </c>
      <c r="D2994" t="s">
        <v>15</v>
      </c>
      <c r="E2994" t="s">
        <v>23</v>
      </c>
      <c r="F2994" t="s">
        <v>18</v>
      </c>
      <c r="G2994" s="2">
        <f>VALUE(559.7664643769)</f>
        <v>559.76646437689999</v>
      </c>
      <c r="H2994" s="3">
        <f>VALUE(535.9876479332)</f>
        <v>535.98764793320004</v>
      </c>
      <c r="I2994" s="4">
        <f>VALUE(3377)</f>
        <v>3377</v>
      </c>
      <c r="J2994" s="5">
        <f>VALUE(3830)</f>
        <v>3830</v>
      </c>
      <c r="K2994" s="6">
        <f>VALUE(4732)</f>
        <v>4732</v>
      </c>
      <c r="L2994" s="1">
        <f>VALUE(5266)</f>
        <v>5266</v>
      </c>
      <c r="M2994" s="8">
        <f>VALUE(5633)</f>
        <v>5633</v>
      </c>
      <c r="N2994" t="s">
        <v>25</v>
      </c>
    </row>
    <row r="2995" spans="1:14" x14ac:dyDescent="0.25">
      <c r="A2995" t="s">
        <v>41</v>
      </c>
      <c r="B2995" t="s">
        <v>15</v>
      </c>
      <c r="C2995" t="s">
        <v>36</v>
      </c>
      <c r="D2995" t="s">
        <v>15</v>
      </c>
      <c r="E2995" t="s">
        <v>23</v>
      </c>
      <c r="F2995" t="s">
        <v>19</v>
      </c>
      <c r="G2995" s="2">
        <f>VALUE(694.7547565104)</f>
        <v>694.75475651040006</v>
      </c>
      <c r="H2995" s="3">
        <f>VALUE(638.9538542523)</f>
        <v>638.95385425229995</v>
      </c>
      <c r="I2995" s="1">
        <f>VALUE(3207)</f>
        <v>3207</v>
      </c>
      <c r="J2995" s="1">
        <f>VALUE(3467)</f>
        <v>3467</v>
      </c>
      <c r="K2995" s="1">
        <f>VALUE(4045)</f>
        <v>4045</v>
      </c>
      <c r="L2995" s="7">
        <f>VALUE(5033)</f>
        <v>5033</v>
      </c>
      <c r="M2995" s="1">
        <f>VALUE(6175)</f>
        <v>6175</v>
      </c>
      <c r="N2995" t="s">
        <v>25</v>
      </c>
    </row>
    <row r="2996" spans="1:14" x14ac:dyDescent="0.25">
      <c r="A2996" t="s">
        <v>41</v>
      </c>
      <c r="B2996" t="s">
        <v>15</v>
      </c>
      <c r="C2996" t="s">
        <v>36</v>
      </c>
      <c r="D2996" t="s">
        <v>15</v>
      </c>
      <c r="E2996" t="s">
        <v>23</v>
      </c>
      <c r="F2996" t="s">
        <v>20</v>
      </c>
      <c r="G2996" s="1">
        <f>VALUE(7238.3020475556)</f>
        <v>7238.3020475556004</v>
      </c>
      <c r="H2996" s="1">
        <f>VALUE(6699.7524349136)</f>
        <v>6699.7524349136002</v>
      </c>
      <c r="I2996" s="1">
        <f>VALUE(2777)</f>
        <v>2777</v>
      </c>
      <c r="J2996" s="1">
        <f>VALUE(3200)</f>
        <v>3200</v>
      </c>
      <c r="K2996" s="1">
        <f>VALUE(3731)</f>
        <v>3731</v>
      </c>
      <c r="L2996" s="1">
        <f>VALUE(4604)</f>
        <v>4604</v>
      </c>
      <c r="M2996" s="1">
        <f>VALUE(5379)</f>
        <v>5379</v>
      </c>
      <c r="N2996" t="s">
        <v>16</v>
      </c>
    </row>
    <row r="2997" spans="1:14" x14ac:dyDescent="0.25">
      <c r="A2997" t="s">
        <v>41</v>
      </c>
      <c r="B2997" t="s">
        <v>15</v>
      </c>
      <c r="C2997" t="s">
        <v>36</v>
      </c>
      <c r="D2997" t="s">
        <v>15</v>
      </c>
      <c r="E2997" t="s">
        <v>26</v>
      </c>
      <c r="F2997" t="s">
        <v>15</v>
      </c>
      <c r="G2997" s="1">
        <f>VALUE(291.0299818598)</f>
        <v>291.02998185979999</v>
      </c>
      <c r="H2997" s="1">
        <f>VALUE(299.7212223164)</f>
        <v>299.72122231639997</v>
      </c>
      <c r="I2997" s="1">
        <f>VALUE(4603)</f>
        <v>4603</v>
      </c>
      <c r="J2997" s="1">
        <f>VALUE(5794)</f>
        <v>5794</v>
      </c>
      <c r="K2997" s="1">
        <f>VALUE(6862)</f>
        <v>6862</v>
      </c>
      <c r="L2997" s="1">
        <f>VALUE(8730)</f>
        <v>8730</v>
      </c>
      <c r="M2997" s="1">
        <f>VALUE(11683)</f>
        <v>11683</v>
      </c>
      <c r="N2997" t="s">
        <v>16</v>
      </c>
    </row>
    <row r="2998" spans="1:14" x14ac:dyDescent="0.25">
      <c r="A2998" t="s">
        <v>41</v>
      </c>
      <c r="B2998" t="s">
        <v>15</v>
      </c>
      <c r="C2998" t="s">
        <v>36</v>
      </c>
      <c r="D2998" t="s">
        <v>15</v>
      </c>
      <c r="E2998" t="s">
        <v>26</v>
      </c>
      <c r="F2998" t="s">
        <v>17</v>
      </c>
      <c r="G2998" s="1" t="str">
        <f t="shared" ref="G2998:M2999" si="645">"X"</f>
        <v>X</v>
      </c>
      <c r="H2998" s="1" t="str">
        <f t="shared" si="645"/>
        <v>X</v>
      </c>
      <c r="I2998" s="1" t="str">
        <f t="shared" si="645"/>
        <v>X</v>
      </c>
      <c r="J2998" s="1" t="str">
        <f t="shared" si="645"/>
        <v>X</v>
      </c>
      <c r="K2998" s="1" t="str">
        <f t="shared" si="645"/>
        <v>X</v>
      </c>
      <c r="L2998" s="1" t="str">
        <f t="shared" si="645"/>
        <v>X</v>
      </c>
      <c r="M2998" s="1" t="str">
        <f t="shared" si="645"/>
        <v>X</v>
      </c>
      <c r="N2998" t="s">
        <v>27</v>
      </c>
    </row>
    <row r="2999" spans="1:14" x14ac:dyDescent="0.25">
      <c r="A2999" t="s">
        <v>41</v>
      </c>
      <c r="B2999" t="s">
        <v>15</v>
      </c>
      <c r="C2999" t="s">
        <v>36</v>
      </c>
      <c r="D2999" t="s">
        <v>15</v>
      </c>
      <c r="E2999" t="s">
        <v>26</v>
      </c>
      <c r="F2999" t="s">
        <v>18</v>
      </c>
      <c r="G2999" s="1" t="str">
        <f t="shared" si="645"/>
        <v>X</v>
      </c>
      <c r="H2999" s="1" t="str">
        <f t="shared" si="645"/>
        <v>X</v>
      </c>
      <c r="I2999" s="1" t="str">
        <f t="shared" si="645"/>
        <v>X</v>
      </c>
      <c r="J2999" s="1" t="str">
        <f t="shared" si="645"/>
        <v>X</v>
      </c>
      <c r="K2999" s="1" t="str">
        <f t="shared" si="645"/>
        <v>X</v>
      </c>
      <c r="L2999" s="1" t="str">
        <f t="shared" si="645"/>
        <v>X</v>
      </c>
      <c r="M2999" s="1" t="str">
        <f t="shared" si="645"/>
        <v>X</v>
      </c>
      <c r="N2999" t="s">
        <v>27</v>
      </c>
    </row>
    <row r="3000" spans="1:14" x14ac:dyDescent="0.25">
      <c r="A3000" t="s">
        <v>41</v>
      </c>
      <c r="B3000" t="s">
        <v>15</v>
      </c>
      <c r="C3000" t="s">
        <v>36</v>
      </c>
      <c r="D3000" t="s">
        <v>15</v>
      </c>
      <c r="E3000" t="s">
        <v>26</v>
      </c>
      <c r="F3000" t="s">
        <v>19</v>
      </c>
      <c r="G3000" s="1" t="str">
        <f t="shared" ref="G3000:M3000" si="646">"..."</f>
        <v>...</v>
      </c>
      <c r="H3000" s="1" t="str">
        <f t="shared" si="646"/>
        <v>...</v>
      </c>
      <c r="I3000" s="1" t="str">
        <f t="shared" si="646"/>
        <v>...</v>
      </c>
      <c r="J3000" s="1" t="str">
        <f t="shared" si="646"/>
        <v>...</v>
      </c>
      <c r="K3000" s="1" t="str">
        <f t="shared" si="646"/>
        <v>...</v>
      </c>
      <c r="L3000" s="1" t="str">
        <f t="shared" si="646"/>
        <v>...</v>
      </c>
      <c r="M3000" s="1" t="str">
        <f t="shared" si="646"/>
        <v>...</v>
      </c>
      <c r="N3000" t="s">
        <v>30</v>
      </c>
    </row>
    <row r="3001" spans="1:14" x14ac:dyDescent="0.25">
      <c r="A3001" t="s">
        <v>41</v>
      </c>
      <c r="B3001" t="s">
        <v>15</v>
      </c>
      <c r="C3001" t="s">
        <v>36</v>
      </c>
      <c r="D3001" t="s">
        <v>15</v>
      </c>
      <c r="E3001" t="s">
        <v>26</v>
      </c>
      <c r="F3001" t="s">
        <v>20</v>
      </c>
      <c r="G3001" s="2">
        <f>VALUE(154.0293612742)</f>
        <v>154.0293612742</v>
      </c>
      <c r="H3001" s="3">
        <f>VALUE(157.0801538819)</f>
        <v>157.0801538819</v>
      </c>
      <c r="I3001" s="1">
        <f>VALUE(4603)</f>
        <v>4603</v>
      </c>
      <c r="J3001" s="1">
        <f>VALUE(5269)</f>
        <v>5269</v>
      </c>
      <c r="K3001" s="1">
        <f>VALUE(6031)</f>
        <v>6031</v>
      </c>
      <c r="L3001" s="1">
        <f>VALUE(6862)</f>
        <v>6862</v>
      </c>
      <c r="M3001" s="1">
        <f>VALUE(7937)</f>
        <v>7937</v>
      </c>
      <c r="N3001" t="s">
        <v>25</v>
      </c>
    </row>
    <row r="3002" spans="1:14" x14ac:dyDescent="0.25">
      <c r="A3002" t="s">
        <v>41</v>
      </c>
      <c r="B3002" t="s">
        <v>15</v>
      </c>
      <c r="C3002" t="s">
        <v>36</v>
      </c>
      <c r="D3002" t="s">
        <v>28</v>
      </c>
      <c r="E3002" t="s">
        <v>15</v>
      </c>
      <c r="F3002" t="s">
        <v>15</v>
      </c>
      <c r="G3002" s="1">
        <f>VALUE(10124.551989311)</f>
        <v>10124.551989310999</v>
      </c>
      <c r="H3002" s="1">
        <f>VALUE(9388.795521924)</f>
        <v>9388.7955219239993</v>
      </c>
      <c r="I3002" s="1">
        <f>VALUE(3686)</f>
        <v>3686</v>
      </c>
      <c r="J3002" s="1">
        <f>VALUE(4333)</f>
        <v>4333</v>
      </c>
      <c r="K3002" s="1">
        <f>VALUE(5071)</f>
        <v>5071</v>
      </c>
      <c r="L3002" s="1">
        <f>VALUE(5964)</f>
        <v>5964</v>
      </c>
      <c r="M3002" s="1">
        <f>VALUE(7211)</f>
        <v>7211</v>
      </c>
      <c r="N3002" t="s">
        <v>16</v>
      </c>
    </row>
    <row r="3003" spans="1:14" x14ac:dyDescent="0.25">
      <c r="A3003" t="s">
        <v>41</v>
      </c>
      <c r="B3003" t="s">
        <v>15</v>
      </c>
      <c r="C3003" t="s">
        <v>36</v>
      </c>
      <c r="D3003" t="s">
        <v>28</v>
      </c>
      <c r="E3003" t="s">
        <v>15</v>
      </c>
      <c r="F3003" t="s">
        <v>17</v>
      </c>
      <c r="G3003" s="2">
        <f>VALUE(1391.9060351395)</f>
        <v>1391.9060351395001</v>
      </c>
      <c r="H3003" s="3">
        <f>VALUE(1388.977650634)</f>
        <v>1388.9776506339999</v>
      </c>
      <c r="I3003" s="4">
        <f>VALUE(3736)</f>
        <v>3736</v>
      </c>
      <c r="J3003" s="1">
        <f>VALUE(4658)</f>
        <v>4658</v>
      </c>
      <c r="K3003" s="1">
        <f>VALUE(5674)</f>
        <v>5674</v>
      </c>
      <c r="L3003" s="1">
        <f>VALUE(7350)</f>
        <v>7350</v>
      </c>
      <c r="M3003" s="8">
        <f>VALUE(9732)</f>
        <v>9732</v>
      </c>
      <c r="N3003" t="s">
        <v>25</v>
      </c>
    </row>
    <row r="3004" spans="1:14" x14ac:dyDescent="0.25">
      <c r="A3004" t="s">
        <v>41</v>
      </c>
      <c r="B3004" t="s">
        <v>15</v>
      </c>
      <c r="C3004" t="s">
        <v>36</v>
      </c>
      <c r="D3004" t="s">
        <v>28</v>
      </c>
      <c r="E3004" t="s">
        <v>15</v>
      </c>
      <c r="F3004" t="s">
        <v>18</v>
      </c>
      <c r="G3004" s="2">
        <f>VALUE(1628.4332324098)</f>
        <v>1628.4332324098</v>
      </c>
      <c r="H3004" s="3">
        <f>VALUE(1473.227773338)</f>
        <v>1473.2277733379999</v>
      </c>
      <c r="I3004" s="1">
        <f>VALUE(3870)</f>
        <v>3870</v>
      </c>
      <c r="J3004" s="1">
        <f>VALUE(4549)</f>
        <v>4549</v>
      </c>
      <c r="K3004" s="1">
        <f>VALUE(5311)</f>
        <v>5311</v>
      </c>
      <c r="L3004" s="1">
        <f>VALUE(6460)</f>
        <v>6460</v>
      </c>
      <c r="M3004" s="1">
        <f>VALUE(7857)</f>
        <v>7857</v>
      </c>
      <c r="N3004" t="s">
        <v>25</v>
      </c>
    </row>
    <row r="3005" spans="1:14" x14ac:dyDescent="0.25">
      <c r="A3005" t="s">
        <v>41</v>
      </c>
      <c r="B3005" t="s">
        <v>15</v>
      </c>
      <c r="C3005" t="s">
        <v>36</v>
      </c>
      <c r="D3005" t="s">
        <v>28</v>
      </c>
      <c r="E3005" t="s">
        <v>15</v>
      </c>
      <c r="F3005" t="s">
        <v>19</v>
      </c>
      <c r="G3005" s="1">
        <f>VALUE(1690.7172676109)</f>
        <v>1690.7172676109001</v>
      </c>
      <c r="H3005" s="1">
        <f>VALUE(1569.7304505401)</f>
        <v>1569.7304505401</v>
      </c>
      <c r="I3005" s="1">
        <f>VALUE(3885)</f>
        <v>3885</v>
      </c>
      <c r="J3005" s="1">
        <f>VALUE(4333)</f>
        <v>4333</v>
      </c>
      <c r="K3005" s="1">
        <f>VALUE(5073)</f>
        <v>5073</v>
      </c>
      <c r="L3005" s="1">
        <f>VALUE(5828)</f>
        <v>5828</v>
      </c>
      <c r="M3005" s="1">
        <f>VALUE(6829)</f>
        <v>6829</v>
      </c>
      <c r="N3005" t="s">
        <v>16</v>
      </c>
    </row>
    <row r="3006" spans="1:14" x14ac:dyDescent="0.25">
      <c r="A3006" t="s">
        <v>41</v>
      </c>
      <c r="B3006" t="s">
        <v>15</v>
      </c>
      <c r="C3006" t="s">
        <v>36</v>
      </c>
      <c r="D3006" t="s">
        <v>28</v>
      </c>
      <c r="E3006" t="s">
        <v>15</v>
      </c>
      <c r="F3006" t="s">
        <v>20</v>
      </c>
      <c r="G3006" s="1">
        <f>VALUE(5409.8203491581)</f>
        <v>5409.8203491580998</v>
      </c>
      <c r="H3006" s="1">
        <f>VALUE(4953.0994150394)</f>
        <v>4953.0994150393999</v>
      </c>
      <c r="I3006" s="1">
        <f>VALUE(3579)</f>
        <v>3579</v>
      </c>
      <c r="J3006" s="1">
        <f>VALUE(4200)</f>
        <v>4200</v>
      </c>
      <c r="K3006" s="1">
        <f>VALUE(4889)</f>
        <v>4889</v>
      </c>
      <c r="L3006" s="1">
        <f>VALUE(5688)</f>
        <v>5688</v>
      </c>
      <c r="M3006" s="1">
        <f>VALUE(6502)</f>
        <v>6502</v>
      </c>
      <c r="N3006" t="s">
        <v>16</v>
      </c>
    </row>
    <row r="3007" spans="1:14" x14ac:dyDescent="0.25">
      <c r="A3007" t="s">
        <v>41</v>
      </c>
      <c r="B3007" t="s">
        <v>15</v>
      </c>
      <c r="C3007" t="s">
        <v>36</v>
      </c>
      <c r="D3007" t="s">
        <v>28</v>
      </c>
      <c r="E3007" t="s">
        <v>21</v>
      </c>
      <c r="F3007" t="s">
        <v>15</v>
      </c>
      <c r="G3007" s="1">
        <f>VALUE(3374.2251641121)</f>
        <v>3374.2251641121002</v>
      </c>
      <c r="H3007" s="1">
        <f>VALUE(3078.6527940627)</f>
        <v>3078.6527940627002</v>
      </c>
      <c r="I3007" s="1">
        <f>VALUE(4018)</f>
        <v>4018</v>
      </c>
      <c r="J3007" s="1">
        <f>VALUE(4746)</f>
        <v>4746</v>
      </c>
      <c r="K3007" s="1">
        <f>VALUE(5584)</f>
        <v>5584</v>
      </c>
      <c r="L3007" s="1">
        <f>VALUE(6703)</f>
        <v>6703</v>
      </c>
      <c r="M3007" s="1">
        <f>VALUE(8254)</f>
        <v>8254</v>
      </c>
      <c r="N3007" t="s">
        <v>16</v>
      </c>
    </row>
    <row r="3008" spans="1:14" x14ac:dyDescent="0.25">
      <c r="A3008" t="s">
        <v>41</v>
      </c>
      <c r="B3008" t="s">
        <v>15</v>
      </c>
      <c r="C3008" t="s">
        <v>36</v>
      </c>
      <c r="D3008" t="s">
        <v>28</v>
      </c>
      <c r="E3008" t="s">
        <v>21</v>
      </c>
      <c r="F3008" t="s">
        <v>17</v>
      </c>
      <c r="G3008" s="2">
        <f>VALUE(829.4566280212)</f>
        <v>829.4566280212</v>
      </c>
      <c r="H3008" s="3">
        <f>VALUE(825.284231047)</f>
        <v>825.28423104700005</v>
      </c>
      <c r="I3008" s="4">
        <f>VALUE(4200)</f>
        <v>4200</v>
      </c>
      <c r="J3008" s="1">
        <f>VALUE(4983)</f>
        <v>4983</v>
      </c>
      <c r="K3008" s="1">
        <f>VALUE(6032)</f>
        <v>6032</v>
      </c>
      <c r="L3008" s="1">
        <f>VALUE(8181)</f>
        <v>8181</v>
      </c>
      <c r="M3008" s="1">
        <f>VALUE(10079)</f>
        <v>10079</v>
      </c>
      <c r="N3008" t="s">
        <v>25</v>
      </c>
    </row>
    <row r="3009" spans="1:14" x14ac:dyDescent="0.25">
      <c r="A3009" t="s">
        <v>41</v>
      </c>
      <c r="B3009" t="s">
        <v>15</v>
      </c>
      <c r="C3009" t="s">
        <v>36</v>
      </c>
      <c r="D3009" t="s">
        <v>28</v>
      </c>
      <c r="E3009" t="s">
        <v>21</v>
      </c>
      <c r="F3009" t="s">
        <v>18</v>
      </c>
      <c r="G3009" s="2">
        <f>VALUE(683.499061865)</f>
        <v>683.49906186500004</v>
      </c>
      <c r="H3009" s="3">
        <f>VALUE(584.4259838537)</f>
        <v>584.42598385370002</v>
      </c>
      <c r="I3009" s="4">
        <f>VALUE(3981)</f>
        <v>3981</v>
      </c>
      <c r="J3009" s="5">
        <f>VALUE(4850)</f>
        <v>4850</v>
      </c>
      <c r="K3009" s="1">
        <f>VALUE(5817)</f>
        <v>5817</v>
      </c>
      <c r="L3009" s="1">
        <f>VALUE(6788)</f>
        <v>6788</v>
      </c>
      <c r="M3009" s="1">
        <f>VALUE(8220)</f>
        <v>8220</v>
      </c>
      <c r="N3009" t="s">
        <v>25</v>
      </c>
    </row>
    <row r="3010" spans="1:14" x14ac:dyDescent="0.25">
      <c r="A3010" t="s">
        <v>41</v>
      </c>
      <c r="B3010" t="s">
        <v>15</v>
      </c>
      <c r="C3010" t="s">
        <v>36</v>
      </c>
      <c r="D3010" t="s">
        <v>28</v>
      </c>
      <c r="E3010" t="s">
        <v>21</v>
      </c>
      <c r="F3010" t="s">
        <v>19</v>
      </c>
      <c r="G3010" s="2">
        <f>VALUE(724.8081646683)</f>
        <v>724.80816466830004</v>
      </c>
      <c r="H3010" s="3">
        <f>VALUE(651.3758180066)</f>
        <v>651.37581800659996</v>
      </c>
      <c r="I3010" s="1">
        <f>VALUE(4018)</f>
        <v>4018</v>
      </c>
      <c r="J3010" s="1">
        <f>VALUE(4722)</f>
        <v>4722</v>
      </c>
      <c r="K3010" s="1">
        <f>VALUE(5343)</f>
        <v>5343</v>
      </c>
      <c r="L3010" s="1">
        <f>VALUE(6295)</f>
        <v>6295</v>
      </c>
      <c r="M3010" s="1">
        <f>VALUE(7360)</f>
        <v>7360</v>
      </c>
      <c r="N3010" t="s">
        <v>25</v>
      </c>
    </row>
    <row r="3011" spans="1:14" x14ac:dyDescent="0.25">
      <c r="A3011" t="s">
        <v>41</v>
      </c>
      <c r="B3011" t="s">
        <v>15</v>
      </c>
      <c r="C3011" t="s">
        <v>36</v>
      </c>
      <c r="D3011" t="s">
        <v>28</v>
      </c>
      <c r="E3011" t="s">
        <v>21</v>
      </c>
      <c r="F3011" t="s">
        <v>20</v>
      </c>
      <c r="G3011" s="2">
        <f>VALUE(1135.0992714813)</f>
        <v>1135.0992714813001</v>
      </c>
      <c r="H3011" s="3">
        <f>VALUE(1016.1195956993)</f>
        <v>1016.1195956993</v>
      </c>
      <c r="I3011" s="1">
        <f>VALUE(4078)</f>
        <v>4078</v>
      </c>
      <c r="J3011" s="1">
        <f>VALUE(4600)</f>
        <v>4600</v>
      </c>
      <c r="K3011" s="1">
        <f>VALUE(5319)</f>
        <v>5319</v>
      </c>
      <c r="L3011" s="1">
        <f>VALUE(6219)</f>
        <v>6219</v>
      </c>
      <c r="M3011" s="1">
        <f>VALUE(7045)</f>
        <v>7045</v>
      </c>
      <c r="N3011" t="s">
        <v>25</v>
      </c>
    </row>
    <row r="3012" spans="1:14" x14ac:dyDescent="0.25">
      <c r="A3012" t="s">
        <v>41</v>
      </c>
      <c r="B3012" t="s">
        <v>15</v>
      </c>
      <c r="C3012" t="s">
        <v>36</v>
      </c>
      <c r="D3012" t="s">
        <v>28</v>
      </c>
      <c r="E3012" t="s">
        <v>22</v>
      </c>
      <c r="F3012" t="s">
        <v>15</v>
      </c>
      <c r="G3012" s="1">
        <f>VALUE(5611.2460430751)</f>
        <v>5611.2460430750998</v>
      </c>
      <c r="H3012" s="1">
        <f>VALUE(5304.6496665059)</f>
        <v>5304.6496665059003</v>
      </c>
      <c r="I3012" s="1">
        <f>VALUE(3666)</f>
        <v>3666</v>
      </c>
      <c r="J3012" s="1">
        <f>VALUE(4235)</f>
        <v>4235</v>
      </c>
      <c r="K3012" s="1">
        <f>VALUE(4893)</f>
        <v>4893</v>
      </c>
      <c r="L3012" s="1">
        <f>VALUE(5634)</f>
        <v>5634</v>
      </c>
      <c r="M3012" s="1">
        <f>VALUE(6433)</f>
        <v>6433</v>
      </c>
      <c r="N3012" t="s">
        <v>16</v>
      </c>
    </row>
    <row r="3013" spans="1:14" x14ac:dyDescent="0.25">
      <c r="A3013" t="s">
        <v>41</v>
      </c>
      <c r="B3013" t="s">
        <v>15</v>
      </c>
      <c r="C3013" t="s">
        <v>36</v>
      </c>
      <c r="D3013" t="s">
        <v>28</v>
      </c>
      <c r="E3013" t="s">
        <v>22</v>
      </c>
      <c r="F3013" t="s">
        <v>17</v>
      </c>
      <c r="G3013" s="2">
        <f>VALUE(510.1908324845)</f>
        <v>510.19083248449999</v>
      </c>
      <c r="H3013" s="3">
        <f>VALUE(509.4107658832)</f>
        <v>509.41076588319999</v>
      </c>
      <c r="I3013" s="4">
        <f>VALUE(3500)</f>
        <v>3500</v>
      </c>
      <c r="J3013" s="5">
        <f>VALUE(4235)</f>
        <v>4235</v>
      </c>
      <c r="K3013" s="6">
        <f>VALUE(5096)</f>
        <v>5096</v>
      </c>
      <c r="L3013" s="1">
        <f>VALUE(6045)</f>
        <v>6045</v>
      </c>
      <c r="M3013" s="8">
        <f>VALUE(7137)</f>
        <v>7137</v>
      </c>
      <c r="N3013" t="s">
        <v>25</v>
      </c>
    </row>
    <row r="3014" spans="1:14" x14ac:dyDescent="0.25">
      <c r="A3014" t="s">
        <v>41</v>
      </c>
      <c r="B3014" t="s">
        <v>15</v>
      </c>
      <c r="C3014" t="s">
        <v>36</v>
      </c>
      <c r="D3014" t="s">
        <v>28</v>
      </c>
      <c r="E3014" t="s">
        <v>22</v>
      </c>
      <c r="F3014" t="s">
        <v>18</v>
      </c>
      <c r="G3014" s="2">
        <f>VALUE(793.7264051801)</f>
        <v>793.72640518009996</v>
      </c>
      <c r="H3014" s="3">
        <f>VALUE(751.8208686726)</f>
        <v>751.8208686726</v>
      </c>
      <c r="I3014" s="4">
        <f>VALUE(3780)</f>
        <v>3780</v>
      </c>
      <c r="J3014" s="1">
        <f>VALUE(4439)</f>
        <v>4439</v>
      </c>
      <c r="K3014" s="1">
        <f>VALUE(5000)</f>
        <v>5000</v>
      </c>
      <c r="L3014" s="1">
        <f>VALUE(5958)</f>
        <v>5958</v>
      </c>
      <c r="M3014" s="1">
        <f>VALUE(6773)</f>
        <v>6773</v>
      </c>
      <c r="N3014" t="s">
        <v>25</v>
      </c>
    </row>
    <row r="3015" spans="1:14" x14ac:dyDescent="0.25">
      <c r="A3015" t="s">
        <v>41</v>
      </c>
      <c r="B3015" t="s">
        <v>15</v>
      </c>
      <c r="C3015" t="s">
        <v>36</v>
      </c>
      <c r="D3015" t="s">
        <v>28</v>
      </c>
      <c r="E3015" t="s">
        <v>22</v>
      </c>
      <c r="F3015" t="s">
        <v>19</v>
      </c>
      <c r="G3015" s="2">
        <f>VALUE(883.2741844912)</f>
        <v>883.2741844912</v>
      </c>
      <c r="H3015" s="3">
        <f>VALUE(858.4441364386)</f>
        <v>858.44413643860003</v>
      </c>
      <c r="I3015" s="1">
        <f>VALUE(3852)</f>
        <v>3852</v>
      </c>
      <c r="J3015" s="1">
        <f>VALUE(4333)</f>
        <v>4333</v>
      </c>
      <c r="K3015" s="1">
        <f>VALUE(4981)</f>
        <v>4981</v>
      </c>
      <c r="L3015" s="1">
        <f>VALUE(5475)</f>
        <v>5475</v>
      </c>
      <c r="M3015" s="1">
        <f>VALUE(6214)</f>
        <v>6214</v>
      </c>
      <c r="N3015" t="s">
        <v>25</v>
      </c>
    </row>
    <row r="3016" spans="1:14" x14ac:dyDescent="0.25">
      <c r="A3016" t="s">
        <v>41</v>
      </c>
      <c r="B3016" t="s">
        <v>15</v>
      </c>
      <c r="C3016" t="s">
        <v>36</v>
      </c>
      <c r="D3016" t="s">
        <v>28</v>
      </c>
      <c r="E3016" t="s">
        <v>22</v>
      </c>
      <c r="F3016" t="s">
        <v>20</v>
      </c>
      <c r="G3016" s="1">
        <f>VALUE(3424.0546209193)</f>
        <v>3424.0546209192999</v>
      </c>
      <c r="H3016" s="1">
        <f>VALUE(3184.9738955115)</f>
        <v>3184.9738955114999</v>
      </c>
      <c r="I3016" s="1">
        <f>VALUE(3579)</f>
        <v>3579</v>
      </c>
      <c r="J3016" s="1">
        <f>VALUE(4199)</f>
        <v>4199</v>
      </c>
      <c r="K3016" s="1">
        <f>VALUE(4837)</f>
        <v>4837</v>
      </c>
      <c r="L3016" s="1">
        <f>VALUE(5535)</f>
        <v>5535</v>
      </c>
      <c r="M3016" s="1">
        <f>VALUE(6231)</f>
        <v>6231</v>
      </c>
      <c r="N3016" t="s">
        <v>16</v>
      </c>
    </row>
    <row r="3017" spans="1:14" x14ac:dyDescent="0.25">
      <c r="A3017" t="s">
        <v>41</v>
      </c>
      <c r="B3017" t="s">
        <v>15</v>
      </c>
      <c r="C3017" t="s">
        <v>36</v>
      </c>
      <c r="D3017" t="s">
        <v>28</v>
      </c>
      <c r="E3017" t="s">
        <v>23</v>
      </c>
      <c r="F3017" t="s">
        <v>15</v>
      </c>
      <c r="G3017" s="2">
        <f>VALUE(951.2167212098)</f>
        <v>951.21672120979997</v>
      </c>
      <c r="H3017" s="3">
        <f>VALUE(812.566526476)</f>
        <v>812.56652647600004</v>
      </c>
      <c r="I3017" s="1">
        <f>VALUE(3302)</f>
        <v>3302</v>
      </c>
      <c r="J3017" s="1">
        <f>VALUE(3724)</f>
        <v>3724</v>
      </c>
      <c r="K3017" s="1">
        <f>VALUE(4371)</f>
        <v>4371</v>
      </c>
      <c r="L3017" s="1">
        <f>VALUE(5159)</f>
        <v>5159</v>
      </c>
      <c r="M3017" s="1">
        <f>VALUE(6216)</f>
        <v>6216</v>
      </c>
      <c r="N3017" t="s">
        <v>25</v>
      </c>
    </row>
    <row r="3018" spans="1:14" x14ac:dyDescent="0.25">
      <c r="A3018" t="s">
        <v>41</v>
      </c>
      <c r="B3018" t="s">
        <v>15</v>
      </c>
      <c r="C3018" t="s">
        <v>36</v>
      </c>
      <c r="D3018" t="s">
        <v>28</v>
      </c>
      <c r="E3018" t="s">
        <v>23</v>
      </c>
      <c r="F3018" t="s">
        <v>17</v>
      </c>
      <c r="G3018" s="1" t="str">
        <f t="shared" ref="G3018:M3020" si="647">"X"</f>
        <v>X</v>
      </c>
      <c r="H3018" s="1" t="str">
        <f t="shared" si="647"/>
        <v>X</v>
      </c>
      <c r="I3018" s="1" t="str">
        <f t="shared" si="647"/>
        <v>X</v>
      </c>
      <c r="J3018" s="1" t="str">
        <f t="shared" si="647"/>
        <v>X</v>
      </c>
      <c r="K3018" s="1" t="str">
        <f t="shared" si="647"/>
        <v>X</v>
      </c>
      <c r="L3018" s="1" t="str">
        <f t="shared" si="647"/>
        <v>X</v>
      </c>
      <c r="M3018" s="1" t="str">
        <f t="shared" si="647"/>
        <v>X</v>
      </c>
      <c r="N3018" t="s">
        <v>27</v>
      </c>
    </row>
    <row r="3019" spans="1:14" x14ac:dyDescent="0.25">
      <c r="A3019" t="s">
        <v>41</v>
      </c>
      <c r="B3019" t="s">
        <v>15</v>
      </c>
      <c r="C3019" t="s">
        <v>36</v>
      </c>
      <c r="D3019" t="s">
        <v>28</v>
      </c>
      <c r="E3019" t="s">
        <v>23</v>
      </c>
      <c r="F3019" t="s">
        <v>18</v>
      </c>
      <c r="G3019" s="1" t="str">
        <f t="shared" si="647"/>
        <v>X</v>
      </c>
      <c r="H3019" s="1" t="str">
        <f t="shared" si="647"/>
        <v>X</v>
      </c>
      <c r="I3019" s="1" t="str">
        <f t="shared" si="647"/>
        <v>X</v>
      </c>
      <c r="J3019" s="1" t="str">
        <f t="shared" si="647"/>
        <v>X</v>
      </c>
      <c r="K3019" s="1" t="str">
        <f t="shared" si="647"/>
        <v>X</v>
      </c>
      <c r="L3019" s="1" t="str">
        <f t="shared" si="647"/>
        <v>X</v>
      </c>
      <c r="M3019" s="1" t="str">
        <f t="shared" si="647"/>
        <v>X</v>
      </c>
      <c r="N3019" t="s">
        <v>27</v>
      </c>
    </row>
    <row r="3020" spans="1:14" x14ac:dyDescent="0.25">
      <c r="A3020" t="s">
        <v>41</v>
      </c>
      <c r="B3020" t="s">
        <v>15</v>
      </c>
      <c r="C3020" t="s">
        <v>36</v>
      </c>
      <c r="D3020" t="s">
        <v>28</v>
      </c>
      <c r="E3020" t="s">
        <v>23</v>
      </c>
      <c r="F3020" t="s">
        <v>19</v>
      </c>
      <c r="G3020" s="1" t="str">
        <f t="shared" si="647"/>
        <v>X</v>
      </c>
      <c r="H3020" s="1" t="str">
        <f t="shared" si="647"/>
        <v>X</v>
      </c>
      <c r="I3020" s="1" t="str">
        <f t="shared" si="647"/>
        <v>X</v>
      </c>
      <c r="J3020" s="1" t="str">
        <f t="shared" si="647"/>
        <v>X</v>
      </c>
      <c r="K3020" s="1" t="str">
        <f t="shared" si="647"/>
        <v>X</v>
      </c>
      <c r="L3020" s="1" t="str">
        <f t="shared" si="647"/>
        <v>X</v>
      </c>
      <c r="M3020" s="1" t="str">
        <f t="shared" si="647"/>
        <v>X</v>
      </c>
      <c r="N3020" t="s">
        <v>27</v>
      </c>
    </row>
    <row r="3021" spans="1:14" x14ac:dyDescent="0.25">
      <c r="A3021" t="s">
        <v>41</v>
      </c>
      <c r="B3021" t="s">
        <v>15</v>
      </c>
      <c r="C3021" t="s">
        <v>36</v>
      </c>
      <c r="D3021" t="s">
        <v>28</v>
      </c>
      <c r="E3021" t="s">
        <v>23</v>
      </c>
      <c r="F3021" t="s">
        <v>20</v>
      </c>
      <c r="G3021" s="2">
        <f>VALUE(744.0111609951)</f>
        <v>744.0111609951</v>
      </c>
      <c r="H3021" s="3">
        <f>VALUE(643.9261224062)</f>
        <v>643.92612240619997</v>
      </c>
      <c r="I3021" s="1">
        <f>VALUE(3218)</f>
        <v>3218</v>
      </c>
      <c r="J3021" s="1">
        <f>VALUE(3751)</f>
        <v>3751</v>
      </c>
      <c r="K3021" s="1">
        <f>VALUE(4312)</f>
        <v>4312</v>
      </c>
      <c r="L3021" s="1">
        <f>VALUE(5052)</f>
        <v>5052</v>
      </c>
      <c r="M3021" s="1">
        <f>VALUE(5881)</f>
        <v>5881</v>
      </c>
      <c r="N3021" t="s">
        <v>25</v>
      </c>
    </row>
    <row r="3022" spans="1:14" x14ac:dyDescent="0.25">
      <c r="A3022" t="s">
        <v>41</v>
      </c>
      <c r="B3022" t="s">
        <v>15</v>
      </c>
      <c r="C3022" t="s">
        <v>36</v>
      </c>
      <c r="D3022" t="s">
        <v>28</v>
      </c>
      <c r="E3022" t="s">
        <v>26</v>
      </c>
      <c r="F3022" t="s">
        <v>15</v>
      </c>
      <c r="G3022" s="1" t="str">
        <f t="shared" ref="G3022:M3024" si="648">"X"</f>
        <v>X</v>
      </c>
      <c r="H3022" s="1" t="str">
        <f t="shared" si="648"/>
        <v>X</v>
      </c>
      <c r="I3022" s="1" t="str">
        <f t="shared" si="648"/>
        <v>X</v>
      </c>
      <c r="J3022" s="1" t="str">
        <f t="shared" si="648"/>
        <v>X</v>
      </c>
      <c r="K3022" s="1" t="str">
        <f t="shared" si="648"/>
        <v>X</v>
      </c>
      <c r="L3022" s="1" t="str">
        <f t="shared" si="648"/>
        <v>X</v>
      </c>
      <c r="M3022" s="1" t="str">
        <f t="shared" si="648"/>
        <v>X</v>
      </c>
      <c r="N3022" t="s">
        <v>27</v>
      </c>
    </row>
    <row r="3023" spans="1:14" x14ac:dyDescent="0.25">
      <c r="A3023" t="s">
        <v>41</v>
      </c>
      <c r="B3023" t="s">
        <v>15</v>
      </c>
      <c r="C3023" t="s">
        <v>36</v>
      </c>
      <c r="D3023" t="s">
        <v>28</v>
      </c>
      <c r="E3023" t="s">
        <v>26</v>
      </c>
      <c r="F3023" t="s">
        <v>17</v>
      </c>
      <c r="G3023" s="1" t="str">
        <f t="shared" si="648"/>
        <v>X</v>
      </c>
      <c r="H3023" s="1" t="str">
        <f t="shared" si="648"/>
        <v>X</v>
      </c>
      <c r="I3023" s="1" t="str">
        <f t="shared" si="648"/>
        <v>X</v>
      </c>
      <c r="J3023" s="1" t="str">
        <f t="shared" si="648"/>
        <v>X</v>
      </c>
      <c r="K3023" s="1" t="str">
        <f t="shared" si="648"/>
        <v>X</v>
      </c>
      <c r="L3023" s="1" t="str">
        <f t="shared" si="648"/>
        <v>X</v>
      </c>
      <c r="M3023" s="1" t="str">
        <f t="shared" si="648"/>
        <v>X</v>
      </c>
      <c r="N3023" t="s">
        <v>27</v>
      </c>
    </row>
    <row r="3024" spans="1:14" x14ac:dyDescent="0.25">
      <c r="A3024" t="s">
        <v>41</v>
      </c>
      <c r="B3024" t="s">
        <v>15</v>
      </c>
      <c r="C3024" t="s">
        <v>36</v>
      </c>
      <c r="D3024" t="s">
        <v>28</v>
      </c>
      <c r="E3024" t="s">
        <v>26</v>
      </c>
      <c r="F3024" t="s">
        <v>18</v>
      </c>
      <c r="G3024" s="1" t="str">
        <f t="shared" si="648"/>
        <v>X</v>
      </c>
      <c r="H3024" s="1" t="str">
        <f t="shared" si="648"/>
        <v>X</v>
      </c>
      <c r="I3024" s="1" t="str">
        <f t="shared" si="648"/>
        <v>X</v>
      </c>
      <c r="J3024" s="1" t="str">
        <f t="shared" si="648"/>
        <v>X</v>
      </c>
      <c r="K3024" s="1" t="str">
        <f t="shared" si="648"/>
        <v>X</v>
      </c>
      <c r="L3024" s="1" t="str">
        <f t="shared" si="648"/>
        <v>X</v>
      </c>
      <c r="M3024" s="1" t="str">
        <f t="shared" si="648"/>
        <v>X</v>
      </c>
      <c r="N3024" t="s">
        <v>27</v>
      </c>
    </row>
    <row r="3025" spans="1:14" x14ac:dyDescent="0.25">
      <c r="A3025" t="s">
        <v>41</v>
      </c>
      <c r="B3025" t="s">
        <v>15</v>
      </c>
      <c r="C3025" t="s">
        <v>36</v>
      </c>
      <c r="D3025" t="s">
        <v>28</v>
      </c>
      <c r="E3025" t="s">
        <v>26</v>
      </c>
      <c r="F3025" t="s">
        <v>19</v>
      </c>
      <c r="G3025" s="1" t="str">
        <f t="shared" ref="G3025:M3025" si="649">"..."</f>
        <v>...</v>
      </c>
      <c r="H3025" s="1" t="str">
        <f t="shared" si="649"/>
        <v>...</v>
      </c>
      <c r="I3025" s="1" t="str">
        <f t="shared" si="649"/>
        <v>...</v>
      </c>
      <c r="J3025" s="1" t="str">
        <f t="shared" si="649"/>
        <v>...</v>
      </c>
      <c r="K3025" s="1" t="str">
        <f t="shared" si="649"/>
        <v>...</v>
      </c>
      <c r="L3025" s="1" t="str">
        <f t="shared" si="649"/>
        <v>...</v>
      </c>
      <c r="M3025" s="1" t="str">
        <f t="shared" si="649"/>
        <v>...</v>
      </c>
      <c r="N3025" t="s">
        <v>30</v>
      </c>
    </row>
    <row r="3026" spans="1:14" x14ac:dyDescent="0.25">
      <c r="A3026" t="s">
        <v>41</v>
      </c>
      <c r="B3026" t="s">
        <v>15</v>
      </c>
      <c r="C3026" t="s">
        <v>36</v>
      </c>
      <c r="D3026" t="s">
        <v>28</v>
      </c>
      <c r="E3026" t="s">
        <v>26</v>
      </c>
      <c r="F3026" t="s">
        <v>20</v>
      </c>
      <c r="G3026" s="1" t="str">
        <f t="shared" ref="G3026:M3026" si="650">"X"</f>
        <v>X</v>
      </c>
      <c r="H3026" s="1" t="str">
        <f t="shared" si="650"/>
        <v>X</v>
      </c>
      <c r="I3026" s="1" t="str">
        <f t="shared" si="650"/>
        <v>X</v>
      </c>
      <c r="J3026" s="1" t="str">
        <f t="shared" si="650"/>
        <v>X</v>
      </c>
      <c r="K3026" s="1" t="str">
        <f t="shared" si="650"/>
        <v>X</v>
      </c>
      <c r="L3026" s="1" t="str">
        <f t="shared" si="650"/>
        <v>X</v>
      </c>
      <c r="M3026" s="1" t="str">
        <f t="shared" si="650"/>
        <v>X</v>
      </c>
      <c r="N3026" t="s">
        <v>27</v>
      </c>
    </row>
    <row r="3027" spans="1:14" x14ac:dyDescent="0.25">
      <c r="A3027" t="s">
        <v>41</v>
      </c>
      <c r="B3027" t="s">
        <v>15</v>
      </c>
      <c r="C3027" t="s">
        <v>36</v>
      </c>
      <c r="D3027" t="s">
        <v>29</v>
      </c>
      <c r="E3027" t="s">
        <v>15</v>
      </c>
      <c r="F3027" t="s">
        <v>15</v>
      </c>
      <c r="G3027" s="1">
        <f>VALUE(2742.8388973071)</f>
        <v>2742.8388973071001</v>
      </c>
      <c r="H3027" s="1">
        <f>VALUE(2583.4376001696)</f>
        <v>2583.4376001696</v>
      </c>
      <c r="I3027" s="1">
        <f>VALUE(3280)</f>
        <v>3280</v>
      </c>
      <c r="J3027" s="1">
        <f>VALUE(3881)</f>
        <v>3881</v>
      </c>
      <c r="K3027" s="1">
        <f>VALUE(4732)</f>
        <v>4732</v>
      </c>
      <c r="L3027" s="1">
        <f>VALUE(5552)</f>
        <v>5552</v>
      </c>
      <c r="M3027" s="8">
        <f>VALUE(6825)</f>
        <v>6825</v>
      </c>
      <c r="N3027" t="s">
        <v>25</v>
      </c>
    </row>
    <row r="3028" spans="1:14" x14ac:dyDescent="0.25">
      <c r="A3028" t="s">
        <v>41</v>
      </c>
      <c r="B3028" t="s">
        <v>15</v>
      </c>
      <c r="C3028" t="s">
        <v>36</v>
      </c>
      <c r="D3028" t="s">
        <v>29</v>
      </c>
      <c r="E3028" t="s">
        <v>15</v>
      </c>
      <c r="F3028" t="s">
        <v>17</v>
      </c>
      <c r="G3028" s="2">
        <f>VALUE(212.2736781745)</f>
        <v>212.27367817449999</v>
      </c>
      <c r="H3028" s="3">
        <f>VALUE(200.3604755402)</f>
        <v>200.36047554020001</v>
      </c>
      <c r="I3028" s="4">
        <f>VALUE(4005)</f>
        <v>4005</v>
      </c>
      <c r="J3028" s="1">
        <f>VALUE(5221)</f>
        <v>5221</v>
      </c>
      <c r="K3028" s="6">
        <f>VALUE(8016)</f>
        <v>8016</v>
      </c>
      <c r="L3028" s="7">
        <f>VALUE(9783)</f>
        <v>9783</v>
      </c>
      <c r="M3028" s="8">
        <f>VALUE(16969)</f>
        <v>16969</v>
      </c>
      <c r="N3028" t="s">
        <v>25</v>
      </c>
    </row>
    <row r="3029" spans="1:14" x14ac:dyDescent="0.25">
      <c r="A3029" t="s">
        <v>41</v>
      </c>
      <c r="B3029" t="s">
        <v>15</v>
      </c>
      <c r="C3029" t="s">
        <v>36</v>
      </c>
      <c r="D3029" t="s">
        <v>29</v>
      </c>
      <c r="E3029" t="s">
        <v>15</v>
      </c>
      <c r="F3029" t="s">
        <v>18</v>
      </c>
      <c r="G3029" s="2">
        <f>VALUE(373.8566727324)</f>
        <v>373.8566727324</v>
      </c>
      <c r="H3029" s="3">
        <f>VALUE(364.8536670204)</f>
        <v>364.8536670204</v>
      </c>
      <c r="I3029" s="1">
        <f>VALUE(3356)</f>
        <v>3356</v>
      </c>
      <c r="J3029" s="5">
        <f>VALUE(4311)</f>
        <v>4311</v>
      </c>
      <c r="K3029" s="1">
        <f>VALUE(4924)</f>
        <v>4924</v>
      </c>
      <c r="L3029" s="1">
        <f>VALUE(5674)</f>
        <v>5674</v>
      </c>
      <c r="M3029" s="1">
        <f>VALUE(7698)</f>
        <v>7698</v>
      </c>
      <c r="N3029" t="s">
        <v>25</v>
      </c>
    </row>
    <row r="3030" spans="1:14" x14ac:dyDescent="0.25">
      <c r="A3030" t="s">
        <v>41</v>
      </c>
      <c r="B3030" t="s">
        <v>15</v>
      </c>
      <c r="C3030" t="s">
        <v>36</v>
      </c>
      <c r="D3030" t="s">
        <v>29</v>
      </c>
      <c r="E3030" t="s">
        <v>15</v>
      </c>
      <c r="F3030" t="s">
        <v>19</v>
      </c>
      <c r="G3030" s="2">
        <f>VALUE(410.9805831968)</f>
        <v>410.98058319680001</v>
      </c>
      <c r="H3030" s="3">
        <f>VALUE(411.5717151308)</f>
        <v>411.57171513079999</v>
      </c>
      <c r="I3030" s="4">
        <f>VALUE(3405)</f>
        <v>3405</v>
      </c>
      <c r="J3030" s="5">
        <f>VALUE(3569)</f>
        <v>3569</v>
      </c>
      <c r="K3030" s="6">
        <f>VALUE(4333)</f>
        <v>4333</v>
      </c>
      <c r="L3030" s="1">
        <f>VALUE(5433)</f>
        <v>5433</v>
      </c>
      <c r="M3030" s="8">
        <f>VALUE(6497)</f>
        <v>6497</v>
      </c>
      <c r="N3030" t="s">
        <v>25</v>
      </c>
    </row>
    <row r="3031" spans="1:14" x14ac:dyDescent="0.25">
      <c r="A3031" t="s">
        <v>41</v>
      </c>
      <c r="B3031" t="s">
        <v>15</v>
      </c>
      <c r="C3031" t="s">
        <v>36</v>
      </c>
      <c r="D3031" t="s">
        <v>29</v>
      </c>
      <c r="E3031" t="s">
        <v>15</v>
      </c>
      <c r="F3031" t="s">
        <v>20</v>
      </c>
      <c r="G3031" s="1">
        <f>VALUE(1745.7279632034)</f>
        <v>1745.7279632033999</v>
      </c>
      <c r="H3031" s="3">
        <f>VALUE(1606.6517424782)</f>
        <v>1606.6517424782</v>
      </c>
      <c r="I3031" s="1">
        <f>VALUE(3222)</f>
        <v>3222</v>
      </c>
      <c r="J3031" s="1">
        <f>VALUE(3782)</f>
        <v>3782</v>
      </c>
      <c r="K3031" s="1">
        <f>VALUE(4635)</f>
        <v>4635</v>
      </c>
      <c r="L3031" s="1">
        <f>VALUE(5328)</f>
        <v>5328</v>
      </c>
      <c r="M3031" s="1">
        <f>VALUE(5921)</f>
        <v>5921</v>
      </c>
      <c r="N3031" t="s">
        <v>25</v>
      </c>
    </row>
    <row r="3032" spans="1:14" x14ac:dyDescent="0.25">
      <c r="A3032" t="s">
        <v>41</v>
      </c>
      <c r="B3032" t="s">
        <v>15</v>
      </c>
      <c r="C3032" t="s">
        <v>36</v>
      </c>
      <c r="D3032" t="s">
        <v>29</v>
      </c>
      <c r="E3032" t="s">
        <v>21</v>
      </c>
      <c r="F3032" t="s">
        <v>15</v>
      </c>
      <c r="G3032" s="2">
        <f>VALUE(397.9533758279)</f>
        <v>397.9533758279</v>
      </c>
      <c r="H3032" s="3">
        <f>VALUE(374.2124442086)</f>
        <v>374.2124442086</v>
      </c>
      <c r="I3032" s="4">
        <f>VALUE(3947)</f>
        <v>3947</v>
      </c>
      <c r="J3032" s="5">
        <f>VALUE(4992)</f>
        <v>4992</v>
      </c>
      <c r="K3032" s="6">
        <f>VALUE(6457)</f>
        <v>6457</v>
      </c>
      <c r="L3032" s="1">
        <f>VALUE(8333)</f>
        <v>8333</v>
      </c>
      <c r="M3032" s="8">
        <f>VALUE(10693)</f>
        <v>10693</v>
      </c>
      <c r="N3032" t="s">
        <v>25</v>
      </c>
    </row>
    <row r="3033" spans="1:14" x14ac:dyDescent="0.25">
      <c r="A3033" t="s">
        <v>41</v>
      </c>
      <c r="B3033" t="s">
        <v>15</v>
      </c>
      <c r="C3033" t="s">
        <v>36</v>
      </c>
      <c r="D3033" t="s">
        <v>29</v>
      </c>
      <c r="E3033" t="s">
        <v>21</v>
      </c>
      <c r="F3033" t="s">
        <v>17</v>
      </c>
      <c r="G3033" s="1" t="str">
        <f t="shared" ref="G3033:M3035" si="651">"X"</f>
        <v>X</v>
      </c>
      <c r="H3033" s="1" t="str">
        <f t="shared" si="651"/>
        <v>X</v>
      </c>
      <c r="I3033" s="1" t="str">
        <f t="shared" si="651"/>
        <v>X</v>
      </c>
      <c r="J3033" s="1" t="str">
        <f t="shared" si="651"/>
        <v>X</v>
      </c>
      <c r="K3033" s="1" t="str">
        <f t="shared" si="651"/>
        <v>X</v>
      </c>
      <c r="L3033" s="1" t="str">
        <f t="shared" si="651"/>
        <v>X</v>
      </c>
      <c r="M3033" s="1" t="str">
        <f t="shared" si="651"/>
        <v>X</v>
      </c>
      <c r="N3033" t="s">
        <v>27</v>
      </c>
    </row>
    <row r="3034" spans="1:14" x14ac:dyDescent="0.25">
      <c r="A3034" t="s">
        <v>41</v>
      </c>
      <c r="B3034" t="s">
        <v>15</v>
      </c>
      <c r="C3034" t="s">
        <v>36</v>
      </c>
      <c r="D3034" t="s">
        <v>29</v>
      </c>
      <c r="E3034" t="s">
        <v>21</v>
      </c>
      <c r="F3034" t="s">
        <v>18</v>
      </c>
      <c r="G3034" s="1" t="str">
        <f t="shared" si="651"/>
        <v>X</v>
      </c>
      <c r="H3034" s="1" t="str">
        <f t="shared" si="651"/>
        <v>X</v>
      </c>
      <c r="I3034" s="1" t="str">
        <f t="shared" si="651"/>
        <v>X</v>
      </c>
      <c r="J3034" s="1" t="str">
        <f t="shared" si="651"/>
        <v>X</v>
      </c>
      <c r="K3034" s="1" t="str">
        <f t="shared" si="651"/>
        <v>X</v>
      </c>
      <c r="L3034" s="1" t="str">
        <f t="shared" si="651"/>
        <v>X</v>
      </c>
      <c r="M3034" s="1" t="str">
        <f t="shared" si="651"/>
        <v>X</v>
      </c>
      <c r="N3034" t="s">
        <v>27</v>
      </c>
    </row>
    <row r="3035" spans="1:14" x14ac:dyDescent="0.25">
      <c r="A3035" t="s">
        <v>41</v>
      </c>
      <c r="B3035" t="s">
        <v>15</v>
      </c>
      <c r="C3035" t="s">
        <v>36</v>
      </c>
      <c r="D3035" t="s">
        <v>29</v>
      </c>
      <c r="E3035" t="s">
        <v>21</v>
      </c>
      <c r="F3035" t="s">
        <v>19</v>
      </c>
      <c r="G3035" s="1" t="str">
        <f t="shared" si="651"/>
        <v>X</v>
      </c>
      <c r="H3035" s="1" t="str">
        <f t="shared" si="651"/>
        <v>X</v>
      </c>
      <c r="I3035" s="1" t="str">
        <f t="shared" si="651"/>
        <v>X</v>
      </c>
      <c r="J3035" s="1" t="str">
        <f t="shared" si="651"/>
        <v>X</v>
      </c>
      <c r="K3035" s="1" t="str">
        <f t="shared" si="651"/>
        <v>X</v>
      </c>
      <c r="L3035" s="1" t="str">
        <f t="shared" si="651"/>
        <v>X</v>
      </c>
      <c r="M3035" s="1" t="str">
        <f t="shared" si="651"/>
        <v>X</v>
      </c>
      <c r="N3035" t="s">
        <v>27</v>
      </c>
    </row>
    <row r="3036" spans="1:14" x14ac:dyDescent="0.25">
      <c r="A3036" t="s">
        <v>41</v>
      </c>
      <c r="B3036" t="s">
        <v>15</v>
      </c>
      <c r="C3036" t="s">
        <v>36</v>
      </c>
      <c r="D3036" t="s">
        <v>29</v>
      </c>
      <c r="E3036" t="s">
        <v>21</v>
      </c>
      <c r="F3036" t="s">
        <v>20</v>
      </c>
      <c r="G3036" s="2">
        <f>VALUE(133.5829637339)</f>
        <v>133.58296373389999</v>
      </c>
      <c r="H3036" s="3">
        <f>VALUE(122.3809689408)</f>
        <v>122.3809689408</v>
      </c>
      <c r="I3036" s="4">
        <f>VALUE(3930)</f>
        <v>3930</v>
      </c>
      <c r="J3036" s="1">
        <f>VALUE(4635)</f>
        <v>4635</v>
      </c>
      <c r="K3036" s="1">
        <f>VALUE(5503)</f>
        <v>5503</v>
      </c>
      <c r="L3036" s="1">
        <f>VALUE(6371)</f>
        <v>6371</v>
      </c>
      <c r="M3036" s="1">
        <f>VALUE(7614)</f>
        <v>7614</v>
      </c>
      <c r="N3036" t="s">
        <v>25</v>
      </c>
    </row>
    <row r="3037" spans="1:14" x14ac:dyDescent="0.25">
      <c r="A3037" t="s">
        <v>41</v>
      </c>
      <c r="B3037" t="s">
        <v>15</v>
      </c>
      <c r="C3037" t="s">
        <v>36</v>
      </c>
      <c r="D3037" t="s">
        <v>29</v>
      </c>
      <c r="E3037" t="s">
        <v>22</v>
      </c>
      <c r="F3037" t="s">
        <v>15</v>
      </c>
      <c r="G3037" s="2">
        <f>VALUE(1238.9486908042)</f>
        <v>1238.9486908041999</v>
      </c>
      <c r="H3037" s="3">
        <f>VALUE(1203.8011430657)</f>
        <v>1203.8011430657</v>
      </c>
      <c r="I3037" s="4">
        <f>VALUE(3508)</f>
        <v>3508</v>
      </c>
      <c r="J3037" s="1">
        <f>VALUE(4032)</f>
        <v>4032</v>
      </c>
      <c r="K3037" s="1">
        <f>VALUE(4815)</f>
        <v>4815</v>
      </c>
      <c r="L3037" s="1">
        <f>VALUE(5404)</f>
        <v>5404</v>
      </c>
      <c r="M3037" s="1">
        <f>VALUE(6049)</f>
        <v>6049</v>
      </c>
      <c r="N3037" t="s">
        <v>25</v>
      </c>
    </row>
    <row r="3038" spans="1:14" x14ac:dyDescent="0.25">
      <c r="A3038" t="s">
        <v>41</v>
      </c>
      <c r="B3038" t="s">
        <v>15</v>
      </c>
      <c r="C3038" t="s">
        <v>36</v>
      </c>
      <c r="D3038" t="s">
        <v>29</v>
      </c>
      <c r="E3038" t="s">
        <v>22</v>
      </c>
      <c r="F3038" t="s">
        <v>17</v>
      </c>
      <c r="G3038" s="1" t="str">
        <f t="shared" ref="G3038:M3039" si="652">"X"</f>
        <v>X</v>
      </c>
      <c r="H3038" s="1" t="str">
        <f t="shared" si="652"/>
        <v>X</v>
      </c>
      <c r="I3038" s="1" t="str">
        <f t="shared" si="652"/>
        <v>X</v>
      </c>
      <c r="J3038" s="1" t="str">
        <f t="shared" si="652"/>
        <v>X</v>
      </c>
      <c r="K3038" s="1" t="str">
        <f t="shared" si="652"/>
        <v>X</v>
      </c>
      <c r="L3038" s="1" t="str">
        <f t="shared" si="652"/>
        <v>X</v>
      </c>
      <c r="M3038" s="1" t="str">
        <f t="shared" si="652"/>
        <v>X</v>
      </c>
      <c r="N3038" t="s">
        <v>27</v>
      </c>
    </row>
    <row r="3039" spans="1:14" x14ac:dyDescent="0.25">
      <c r="A3039" t="s">
        <v>41</v>
      </c>
      <c r="B3039" t="s">
        <v>15</v>
      </c>
      <c r="C3039" t="s">
        <v>36</v>
      </c>
      <c r="D3039" t="s">
        <v>29</v>
      </c>
      <c r="E3039" t="s">
        <v>22</v>
      </c>
      <c r="F3039" t="s">
        <v>18</v>
      </c>
      <c r="G3039" s="1" t="str">
        <f t="shared" si="652"/>
        <v>X</v>
      </c>
      <c r="H3039" s="1" t="str">
        <f t="shared" si="652"/>
        <v>X</v>
      </c>
      <c r="I3039" s="1" t="str">
        <f t="shared" si="652"/>
        <v>X</v>
      </c>
      <c r="J3039" s="1" t="str">
        <f t="shared" si="652"/>
        <v>X</v>
      </c>
      <c r="K3039" s="1" t="str">
        <f t="shared" si="652"/>
        <v>X</v>
      </c>
      <c r="L3039" s="1" t="str">
        <f t="shared" si="652"/>
        <v>X</v>
      </c>
      <c r="M3039" s="1" t="str">
        <f t="shared" si="652"/>
        <v>X</v>
      </c>
      <c r="N3039" t="s">
        <v>27</v>
      </c>
    </row>
    <row r="3040" spans="1:14" x14ac:dyDescent="0.25">
      <c r="A3040" t="s">
        <v>41</v>
      </c>
      <c r="B3040" t="s">
        <v>15</v>
      </c>
      <c r="C3040" t="s">
        <v>36</v>
      </c>
      <c r="D3040" t="s">
        <v>29</v>
      </c>
      <c r="E3040" t="s">
        <v>22</v>
      </c>
      <c r="F3040" t="s">
        <v>19</v>
      </c>
      <c r="G3040" s="2">
        <f>VALUE(255.9765052672)</f>
        <v>255.9765052672</v>
      </c>
      <c r="H3040" s="3">
        <f>VALUE(259.2229409286)</f>
        <v>259.2229409286</v>
      </c>
      <c r="I3040" s="1">
        <f>VALUE(3508)</f>
        <v>3508</v>
      </c>
      <c r="J3040" s="5">
        <f>VALUE(3661)</f>
        <v>3661</v>
      </c>
      <c r="K3040" s="6">
        <f>VALUE(4333)</f>
        <v>4333</v>
      </c>
      <c r="L3040" s="1">
        <f>VALUE(5264)</f>
        <v>5264</v>
      </c>
      <c r="M3040" s="1">
        <f>VALUE(5775)</f>
        <v>5775</v>
      </c>
      <c r="N3040" t="s">
        <v>25</v>
      </c>
    </row>
    <row r="3041" spans="1:14" x14ac:dyDescent="0.25">
      <c r="A3041" t="s">
        <v>41</v>
      </c>
      <c r="B3041" t="s">
        <v>15</v>
      </c>
      <c r="C3041" t="s">
        <v>36</v>
      </c>
      <c r="D3041" t="s">
        <v>29</v>
      </c>
      <c r="E3041" t="s">
        <v>22</v>
      </c>
      <c r="F3041" t="s">
        <v>20</v>
      </c>
      <c r="G3041" s="2">
        <f>VALUE(763.2392365575)</f>
        <v>763.23923655750002</v>
      </c>
      <c r="H3041" s="3">
        <f>VALUE(734.8827147701)</f>
        <v>734.88271477010005</v>
      </c>
      <c r="I3041" s="4">
        <f>VALUE(3310)</f>
        <v>3310</v>
      </c>
      <c r="J3041" s="1">
        <f>VALUE(4081)</f>
        <v>4081</v>
      </c>
      <c r="K3041" s="1">
        <f>VALUE(4866)</f>
        <v>4866</v>
      </c>
      <c r="L3041" s="1">
        <f>VALUE(5364)</f>
        <v>5364</v>
      </c>
      <c r="M3041" s="1">
        <f>VALUE(5866)</f>
        <v>5866</v>
      </c>
      <c r="N3041" t="s">
        <v>25</v>
      </c>
    </row>
    <row r="3042" spans="1:14" x14ac:dyDescent="0.25">
      <c r="A3042" t="s">
        <v>41</v>
      </c>
      <c r="B3042" t="s">
        <v>15</v>
      </c>
      <c r="C3042" t="s">
        <v>36</v>
      </c>
      <c r="D3042" t="s">
        <v>29</v>
      </c>
      <c r="E3042" t="s">
        <v>23</v>
      </c>
      <c r="F3042" t="s">
        <v>15</v>
      </c>
      <c r="G3042" s="2">
        <f>VALUE(1081.3320273763)</f>
        <v>1081.3320273762999</v>
      </c>
      <c r="H3042" s="3">
        <f>VALUE(980.2026026407)</f>
        <v>980.20260264069998</v>
      </c>
      <c r="I3042" s="1">
        <f>VALUE(3201)</f>
        <v>3201</v>
      </c>
      <c r="J3042" s="1">
        <f>VALUE(3402)</f>
        <v>3402</v>
      </c>
      <c r="K3042" s="1">
        <f>VALUE(4282)</f>
        <v>4282</v>
      </c>
      <c r="L3042" s="1">
        <f>VALUE(5080)</f>
        <v>5080</v>
      </c>
      <c r="M3042" s="1">
        <f>VALUE(5699)</f>
        <v>5699</v>
      </c>
      <c r="N3042" t="s">
        <v>25</v>
      </c>
    </row>
    <row r="3043" spans="1:14" x14ac:dyDescent="0.25">
      <c r="A3043" t="s">
        <v>41</v>
      </c>
      <c r="B3043" t="s">
        <v>15</v>
      </c>
      <c r="C3043" t="s">
        <v>36</v>
      </c>
      <c r="D3043" t="s">
        <v>29</v>
      </c>
      <c r="E3043" t="s">
        <v>23</v>
      </c>
      <c r="F3043" t="s">
        <v>17</v>
      </c>
      <c r="G3043" s="1" t="str">
        <f t="shared" ref="G3043:M3045" si="653">"X"</f>
        <v>X</v>
      </c>
      <c r="H3043" s="1" t="str">
        <f t="shared" si="653"/>
        <v>X</v>
      </c>
      <c r="I3043" s="1" t="str">
        <f t="shared" si="653"/>
        <v>X</v>
      </c>
      <c r="J3043" s="1" t="str">
        <f t="shared" si="653"/>
        <v>X</v>
      </c>
      <c r="K3043" s="1" t="str">
        <f t="shared" si="653"/>
        <v>X</v>
      </c>
      <c r="L3043" s="1" t="str">
        <f t="shared" si="653"/>
        <v>X</v>
      </c>
      <c r="M3043" s="1" t="str">
        <f t="shared" si="653"/>
        <v>X</v>
      </c>
      <c r="N3043" t="s">
        <v>27</v>
      </c>
    </row>
    <row r="3044" spans="1:14" x14ac:dyDescent="0.25">
      <c r="A3044" t="s">
        <v>41</v>
      </c>
      <c r="B3044" t="s">
        <v>15</v>
      </c>
      <c r="C3044" t="s">
        <v>36</v>
      </c>
      <c r="D3044" t="s">
        <v>29</v>
      </c>
      <c r="E3044" t="s">
        <v>23</v>
      </c>
      <c r="F3044" t="s">
        <v>18</v>
      </c>
      <c r="G3044" s="1" t="str">
        <f t="shared" si="653"/>
        <v>X</v>
      </c>
      <c r="H3044" s="1" t="str">
        <f t="shared" si="653"/>
        <v>X</v>
      </c>
      <c r="I3044" s="1" t="str">
        <f t="shared" si="653"/>
        <v>X</v>
      </c>
      <c r="J3044" s="1" t="str">
        <f t="shared" si="653"/>
        <v>X</v>
      </c>
      <c r="K3044" s="1" t="str">
        <f t="shared" si="653"/>
        <v>X</v>
      </c>
      <c r="L3044" s="1" t="str">
        <f t="shared" si="653"/>
        <v>X</v>
      </c>
      <c r="M3044" s="1" t="str">
        <f t="shared" si="653"/>
        <v>X</v>
      </c>
      <c r="N3044" t="s">
        <v>27</v>
      </c>
    </row>
    <row r="3045" spans="1:14" x14ac:dyDescent="0.25">
      <c r="A3045" t="s">
        <v>41</v>
      </c>
      <c r="B3045" t="s">
        <v>15</v>
      </c>
      <c r="C3045" t="s">
        <v>36</v>
      </c>
      <c r="D3045" t="s">
        <v>29</v>
      </c>
      <c r="E3045" t="s">
        <v>23</v>
      </c>
      <c r="F3045" t="s">
        <v>19</v>
      </c>
      <c r="G3045" s="1" t="str">
        <f t="shared" si="653"/>
        <v>X</v>
      </c>
      <c r="H3045" s="1" t="str">
        <f t="shared" si="653"/>
        <v>X</v>
      </c>
      <c r="I3045" s="1" t="str">
        <f t="shared" si="653"/>
        <v>X</v>
      </c>
      <c r="J3045" s="1" t="str">
        <f t="shared" si="653"/>
        <v>X</v>
      </c>
      <c r="K3045" s="1" t="str">
        <f t="shared" si="653"/>
        <v>X</v>
      </c>
      <c r="L3045" s="1" t="str">
        <f t="shared" si="653"/>
        <v>X</v>
      </c>
      <c r="M3045" s="1" t="str">
        <f t="shared" si="653"/>
        <v>X</v>
      </c>
      <c r="N3045" t="s">
        <v>27</v>
      </c>
    </row>
    <row r="3046" spans="1:14" x14ac:dyDescent="0.25">
      <c r="A3046" t="s">
        <v>41</v>
      </c>
      <c r="B3046" t="s">
        <v>15</v>
      </c>
      <c r="C3046" t="s">
        <v>36</v>
      </c>
      <c r="D3046" t="s">
        <v>29</v>
      </c>
      <c r="E3046" t="s">
        <v>23</v>
      </c>
      <c r="F3046" t="s">
        <v>20</v>
      </c>
      <c r="G3046" s="2">
        <f>VALUE(840.1395742192)</f>
        <v>840.13957421919997</v>
      </c>
      <c r="H3046" s="3">
        <f>VALUE(740.1835606401)</f>
        <v>740.18356064010004</v>
      </c>
      <c r="I3046" s="1">
        <f>VALUE(3221)</f>
        <v>3221</v>
      </c>
      <c r="J3046" s="1">
        <f>VALUE(3371)</f>
        <v>3371</v>
      </c>
      <c r="K3046" s="1">
        <f>VALUE(4254)</f>
        <v>4254</v>
      </c>
      <c r="L3046" s="1">
        <f>VALUE(4947)</f>
        <v>4947</v>
      </c>
      <c r="M3046" s="1">
        <f>VALUE(5677)</f>
        <v>5677</v>
      </c>
      <c r="N3046" t="s">
        <v>25</v>
      </c>
    </row>
    <row r="3047" spans="1:14" x14ac:dyDescent="0.25">
      <c r="A3047" t="s">
        <v>41</v>
      </c>
      <c r="B3047" t="s">
        <v>15</v>
      </c>
      <c r="C3047" t="s">
        <v>36</v>
      </c>
      <c r="D3047" t="s">
        <v>29</v>
      </c>
      <c r="E3047" t="s">
        <v>26</v>
      </c>
      <c r="F3047" t="s">
        <v>15</v>
      </c>
      <c r="G3047" s="1" t="str">
        <f t="shared" ref="G3047:M3049" si="654">"X"</f>
        <v>X</v>
      </c>
      <c r="H3047" s="1" t="str">
        <f t="shared" si="654"/>
        <v>X</v>
      </c>
      <c r="I3047" s="1" t="str">
        <f t="shared" si="654"/>
        <v>X</v>
      </c>
      <c r="J3047" s="1" t="str">
        <f t="shared" si="654"/>
        <v>X</v>
      </c>
      <c r="K3047" s="1" t="str">
        <f t="shared" si="654"/>
        <v>X</v>
      </c>
      <c r="L3047" s="1" t="str">
        <f t="shared" si="654"/>
        <v>X</v>
      </c>
      <c r="M3047" s="1" t="str">
        <f t="shared" si="654"/>
        <v>X</v>
      </c>
      <c r="N3047" t="s">
        <v>27</v>
      </c>
    </row>
    <row r="3048" spans="1:14" x14ac:dyDescent="0.25">
      <c r="A3048" t="s">
        <v>41</v>
      </c>
      <c r="B3048" t="s">
        <v>15</v>
      </c>
      <c r="C3048" t="s">
        <v>36</v>
      </c>
      <c r="D3048" t="s">
        <v>29</v>
      </c>
      <c r="E3048" t="s">
        <v>26</v>
      </c>
      <c r="F3048" t="s">
        <v>17</v>
      </c>
      <c r="G3048" s="1" t="str">
        <f t="shared" si="654"/>
        <v>X</v>
      </c>
      <c r="H3048" s="1" t="str">
        <f t="shared" si="654"/>
        <v>X</v>
      </c>
      <c r="I3048" s="1" t="str">
        <f t="shared" si="654"/>
        <v>X</v>
      </c>
      <c r="J3048" s="1" t="str">
        <f t="shared" si="654"/>
        <v>X</v>
      </c>
      <c r="K3048" s="1" t="str">
        <f t="shared" si="654"/>
        <v>X</v>
      </c>
      <c r="L3048" s="1" t="str">
        <f t="shared" si="654"/>
        <v>X</v>
      </c>
      <c r="M3048" s="1" t="str">
        <f t="shared" si="654"/>
        <v>X</v>
      </c>
      <c r="N3048" t="s">
        <v>27</v>
      </c>
    </row>
    <row r="3049" spans="1:14" x14ac:dyDescent="0.25">
      <c r="A3049" t="s">
        <v>41</v>
      </c>
      <c r="B3049" t="s">
        <v>15</v>
      </c>
      <c r="C3049" t="s">
        <v>36</v>
      </c>
      <c r="D3049" t="s">
        <v>29</v>
      </c>
      <c r="E3049" t="s">
        <v>26</v>
      </c>
      <c r="F3049" t="s">
        <v>18</v>
      </c>
      <c r="G3049" s="1" t="str">
        <f t="shared" si="654"/>
        <v>X</v>
      </c>
      <c r="H3049" s="1" t="str">
        <f t="shared" si="654"/>
        <v>X</v>
      </c>
      <c r="I3049" s="1" t="str">
        <f t="shared" si="654"/>
        <v>X</v>
      </c>
      <c r="J3049" s="1" t="str">
        <f t="shared" si="654"/>
        <v>X</v>
      </c>
      <c r="K3049" s="1" t="str">
        <f t="shared" si="654"/>
        <v>X</v>
      </c>
      <c r="L3049" s="1" t="str">
        <f t="shared" si="654"/>
        <v>X</v>
      </c>
      <c r="M3049" s="1" t="str">
        <f t="shared" si="654"/>
        <v>X</v>
      </c>
      <c r="N3049" t="s">
        <v>27</v>
      </c>
    </row>
    <row r="3050" spans="1:14" x14ac:dyDescent="0.25">
      <c r="A3050" t="s">
        <v>41</v>
      </c>
      <c r="B3050" t="s">
        <v>15</v>
      </c>
      <c r="C3050" t="s">
        <v>36</v>
      </c>
      <c r="D3050" t="s">
        <v>29</v>
      </c>
      <c r="E3050" t="s">
        <v>26</v>
      </c>
      <c r="F3050" t="s">
        <v>19</v>
      </c>
      <c r="G3050" s="1" t="str">
        <f t="shared" ref="G3050:M3050" si="655">"..."</f>
        <v>...</v>
      </c>
      <c r="H3050" s="1" t="str">
        <f t="shared" si="655"/>
        <v>...</v>
      </c>
      <c r="I3050" s="1" t="str">
        <f t="shared" si="655"/>
        <v>...</v>
      </c>
      <c r="J3050" s="1" t="str">
        <f t="shared" si="655"/>
        <v>...</v>
      </c>
      <c r="K3050" s="1" t="str">
        <f t="shared" si="655"/>
        <v>...</v>
      </c>
      <c r="L3050" s="1" t="str">
        <f t="shared" si="655"/>
        <v>...</v>
      </c>
      <c r="M3050" s="1" t="str">
        <f t="shared" si="655"/>
        <v>...</v>
      </c>
      <c r="N3050" t="s">
        <v>30</v>
      </c>
    </row>
    <row r="3051" spans="1:14" x14ac:dyDescent="0.25">
      <c r="A3051" t="s">
        <v>41</v>
      </c>
      <c r="B3051" t="s">
        <v>15</v>
      </c>
      <c r="C3051" t="s">
        <v>36</v>
      </c>
      <c r="D3051" t="s">
        <v>29</v>
      </c>
      <c r="E3051" t="s">
        <v>26</v>
      </c>
      <c r="F3051" t="s">
        <v>20</v>
      </c>
      <c r="G3051" s="1" t="str">
        <f t="shared" ref="G3051:M3051" si="656">"X"</f>
        <v>X</v>
      </c>
      <c r="H3051" s="1" t="str">
        <f t="shared" si="656"/>
        <v>X</v>
      </c>
      <c r="I3051" s="1" t="str">
        <f t="shared" si="656"/>
        <v>X</v>
      </c>
      <c r="J3051" s="1" t="str">
        <f t="shared" si="656"/>
        <v>X</v>
      </c>
      <c r="K3051" s="1" t="str">
        <f t="shared" si="656"/>
        <v>X</v>
      </c>
      <c r="L3051" s="1" t="str">
        <f t="shared" si="656"/>
        <v>X</v>
      </c>
      <c r="M3051" s="1" t="str">
        <f t="shared" si="656"/>
        <v>X</v>
      </c>
      <c r="N3051" t="s">
        <v>27</v>
      </c>
    </row>
    <row r="3052" spans="1:14" x14ac:dyDescent="0.25">
      <c r="A3052" t="s">
        <v>41</v>
      </c>
      <c r="B3052" t="s">
        <v>15</v>
      </c>
      <c r="C3052" t="s">
        <v>36</v>
      </c>
      <c r="D3052" t="s">
        <v>31</v>
      </c>
      <c r="E3052" t="s">
        <v>15</v>
      </c>
      <c r="F3052" t="s">
        <v>15</v>
      </c>
      <c r="G3052" s="1">
        <f>VALUE(2967.6401571453)</f>
        <v>2967.6401571452998</v>
      </c>
      <c r="H3052" s="1">
        <f>VALUE(2633.8911974246)</f>
        <v>2633.8911974245998</v>
      </c>
      <c r="I3052" s="1">
        <f>VALUE(3250)</f>
        <v>3250</v>
      </c>
      <c r="J3052" s="1">
        <f>VALUE(3772)</f>
        <v>3772</v>
      </c>
      <c r="K3052" s="1">
        <f>VALUE(4732)</f>
        <v>4732</v>
      </c>
      <c r="L3052" s="1">
        <f>VALUE(5877)</f>
        <v>5877</v>
      </c>
      <c r="M3052" s="8">
        <f>VALUE(7507)</f>
        <v>7507</v>
      </c>
      <c r="N3052" t="s">
        <v>25</v>
      </c>
    </row>
    <row r="3053" spans="1:14" x14ac:dyDescent="0.25">
      <c r="A3053" t="s">
        <v>41</v>
      </c>
      <c r="B3053" t="s">
        <v>15</v>
      </c>
      <c r="C3053" t="s">
        <v>36</v>
      </c>
      <c r="D3053" t="s">
        <v>31</v>
      </c>
      <c r="E3053" t="s">
        <v>15</v>
      </c>
      <c r="F3053" t="s">
        <v>17</v>
      </c>
      <c r="G3053" s="2">
        <f>VALUE(269.67728362)</f>
        <v>269.67728362000003</v>
      </c>
      <c r="H3053" s="3">
        <f>VALUE(237.1301751902)</f>
        <v>237.13017519019999</v>
      </c>
      <c r="I3053" s="4">
        <f>VALUE(4602)</f>
        <v>4602</v>
      </c>
      <c r="J3053" s="1">
        <f>VALUE(5778)</f>
        <v>5778</v>
      </c>
      <c r="K3053" s="6">
        <f>VALUE(6798)</f>
        <v>6798</v>
      </c>
      <c r="L3053" s="7">
        <f>VALUE(10621)</f>
        <v>10621</v>
      </c>
      <c r="M3053" s="8">
        <f>VALUE(15420)</f>
        <v>15420</v>
      </c>
      <c r="N3053" t="s">
        <v>25</v>
      </c>
    </row>
    <row r="3054" spans="1:14" x14ac:dyDescent="0.25">
      <c r="A3054" t="s">
        <v>41</v>
      </c>
      <c r="B3054" t="s">
        <v>15</v>
      </c>
      <c r="C3054" t="s">
        <v>36</v>
      </c>
      <c r="D3054" t="s">
        <v>31</v>
      </c>
      <c r="E3054" t="s">
        <v>15</v>
      </c>
      <c r="F3054" t="s">
        <v>18</v>
      </c>
      <c r="G3054" s="2">
        <f>VALUE(471.588099822)</f>
        <v>471.588099822</v>
      </c>
      <c r="H3054" s="3">
        <f>VALUE(451.9471270658)</f>
        <v>451.94712706579998</v>
      </c>
      <c r="I3054" s="4">
        <f>VALUE(3587)</f>
        <v>3587</v>
      </c>
      <c r="J3054" s="5">
        <f>VALUE(4078)</f>
        <v>4078</v>
      </c>
      <c r="K3054" s="1">
        <f>VALUE(5116)</f>
        <v>5116</v>
      </c>
      <c r="L3054" s="7">
        <f>VALUE(6270)</f>
        <v>6270</v>
      </c>
      <c r="M3054" s="1">
        <f>VALUE(8574)</f>
        <v>8574</v>
      </c>
      <c r="N3054" t="s">
        <v>25</v>
      </c>
    </row>
    <row r="3055" spans="1:14" x14ac:dyDescent="0.25">
      <c r="A3055" t="s">
        <v>41</v>
      </c>
      <c r="B3055" t="s">
        <v>15</v>
      </c>
      <c r="C3055" t="s">
        <v>36</v>
      </c>
      <c r="D3055" t="s">
        <v>31</v>
      </c>
      <c r="E3055" t="s">
        <v>15</v>
      </c>
      <c r="F3055" t="s">
        <v>19</v>
      </c>
      <c r="G3055" s="2">
        <f>VALUE(525.936435558)</f>
        <v>525.93643555799997</v>
      </c>
      <c r="H3055" s="3">
        <f>VALUE(420.8038380935)</f>
        <v>420.80383809350002</v>
      </c>
      <c r="I3055" s="4">
        <f>VALUE(3490)</f>
        <v>3490</v>
      </c>
      <c r="J3055" s="1">
        <f>VALUE(4412)</f>
        <v>4412</v>
      </c>
      <c r="K3055" s="1">
        <f>VALUE(5238)</f>
        <v>5238</v>
      </c>
      <c r="L3055" s="1">
        <f>VALUE(6162)</f>
        <v>6162</v>
      </c>
      <c r="M3055" s="1">
        <f>VALUE(7302)</f>
        <v>7302</v>
      </c>
      <c r="N3055" t="s">
        <v>25</v>
      </c>
    </row>
    <row r="3056" spans="1:14" x14ac:dyDescent="0.25">
      <c r="A3056" t="s">
        <v>41</v>
      </c>
      <c r="B3056" t="s">
        <v>15</v>
      </c>
      <c r="C3056" t="s">
        <v>36</v>
      </c>
      <c r="D3056" t="s">
        <v>31</v>
      </c>
      <c r="E3056" t="s">
        <v>15</v>
      </c>
      <c r="F3056" t="s">
        <v>20</v>
      </c>
      <c r="G3056" s="1">
        <f>VALUE(1688.2189410481)</f>
        <v>1688.2189410481001</v>
      </c>
      <c r="H3056" s="1">
        <f>VALUE(1511.2814062591)</f>
        <v>1511.2814062591001</v>
      </c>
      <c r="I3056" s="1">
        <f>VALUE(3200)</f>
        <v>3200</v>
      </c>
      <c r="J3056" s="1">
        <f>VALUE(3524)</f>
        <v>3524</v>
      </c>
      <c r="K3056" s="1">
        <f>VALUE(4279)</f>
        <v>4279</v>
      </c>
      <c r="L3056" s="1">
        <f>VALUE(5275)</f>
        <v>5275</v>
      </c>
      <c r="M3056" s="1">
        <f>VALUE(6429)</f>
        <v>6429</v>
      </c>
      <c r="N3056" t="s">
        <v>16</v>
      </c>
    </row>
    <row r="3057" spans="1:14" x14ac:dyDescent="0.25">
      <c r="A3057" t="s">
        <v>41</v>
      </c>
      <c r="B3057" t="s">
        <v>15</v>
      </c>
      <c r="C3057" t="s">
        <v>36</v>
      </c>
      <c r="D3057" t="s">
        <v>31</v>
      </c>
      <c r="E3057" t="s">
        <v>21</v>
      </c>
      <c r="F3057" t="s">
        <v>15</v>
      </c>
      <c r="G3057" s="2">
        <f>VALUE(1234.7802691825)</f>
        <v>1234.7802691825</v>
      </c>
      <c r="H3057" s="3">
        <f>VALUE(1038.30800111)</f>
        <v>1038.3080011100001</v>
      </c>
      <c r="I3057" s="4">
        <f>VALUE(3969)</f>
        <v>3969</v>
      </c>
      <c r="J3057" s="1">
        <f>VALUE(4984)</f>
        <v>4984</v>
      </c>
      <c r="K3057" s="1">
        <f>VALUE(5810)</f>
        <v>5810</v>
      </c>
      <c r="L3057" s="1">
        <f>VALUE(7186)</f>
        <v>7186</v>
      </c>
      <c r="M3057" s="8">
        <f>VALUE(9524)</f>
        <v>9524</v>
      </c>
      <c r="N3057" t="s">
        <v>25</v>
      </c>
    </row>
    <row r="3058" spans="1:14" x14ac:dyDescent="0.25">
      <c r="A3058" t="s">
        <v>41</v>
      </c>
      <c r="B3058" t="s">
        <v>15</v>
      </c>
      <c r="C3058" t="s">
        <v>36</v>
      </c>
      <c r="D3058" t="s">
        <v>31</v>
      </c>
      <c r="E3058" t="s">
        <v>21</v>
      </c>
      <c r="F3058" t="s">
        <v>17</v>
      </c>
      <c r="G3058" s="1" t="str">
        <f t="shared" ref="G3058:M3058" si="657">"X"</f>
        <v>X</v>
      </c>
      <c r="H3058" s="1" t="str">
        <f t="shared" si="657"/>
        <v>X</v>
      </c>
      <c r="I3058" s="1" t="str">
        <f t="shared" si="657"/>
        <v>X</v>
      </c>
      <c r="J3058" s="1" t="str">
        <f t="shared" si="657"/>
        <v>X</v>
      </c>
      <c r="K3058" s="1" t="str">
        <f t="shared" si="657"/>
        <v>X</v>
      </c>
      <c r="L3058" s="1" t="str">
        <f t="shared" si="657"/>
        <v>X</v>
      </c>
      <c r="M3058" s="1" t="str">
        <f t="shared" si="657"/>
        <v>X</v>
      </c>
      <c r="N3058" t="s">
        <v>27</v>
      </c>
    </row>
    <row r="3059" spans="1:14" x14ac:dyDescent="0.25">
      <c r="A3059" t="s">
        <v>41</v>
      </c>
      <c r="B3059" t="s">
        <v>15</v>
      </c>
      <c r="C3059" t="s">
        <v>36</v>
      </c>
      <c r="D3059" t="s">
        <v>31</v>
      </c>
      <c r="E3059" t="s">
        <v>21</v>
      </c>
      <c r="F3059" t="s">
        <v>18</v>
      </c>
      <c r="G3059" s="2">
        <f>VALUE(179.8960678266)</f>
        <v>179.89606782659999</v>
      </c>
      <c r="H3059" s="3">
        <f>VALUE(168.1758219603)</f>
        <v>168.1758219603</v>
      </c>
      <c r="I3059" s="1">
        <f>VALUE(3587)</f>
        <v>3587</v>
      </c>
      <c r="J3059" s="5">
        <f>VALUE(4908)</f>
        <v>4908</v>
      </c>
      <c r="K3059" s="1">
        <f>VALUE(6268)</f>
        <v>6268</v>
      </c>
      <c r="L3059" s="7">
        <f>VALUE(8510)</f>
        <v>8510</v>
      </c>
      <c r="M3059" s="8">
        <f>VALUE(9175)</f>
        <v>9175</v>
      </c>
      <c r="N3059" t="s">
        <v>25</v>
      </c>
    </row>
    <row r="3060" spans="1:14" x14ac:dyDescent="0.25">
      <c r="A3060" t="s">
        <v>41</v>
      </c>
      <c r="B3060" t="s">
        <v>15</v>
      </c>
      <c r="C3060" t="s">
        <v>36</v>
      </c>
      <c r="D3060" t="s">
        <v>31</v>
      </c>
      <c r="E3060" t="s">
        <v>21</v>
      </c>
      <c r="F3060" t="s">
        <v>19</v>
      </c>
      <c r="G3060" s="2">
        <f>VALUE(396.2013342322)</f>
        <v>396.2013342322</v>
      </c>
      <c r="H3060" s="3">
        <f>VALUE(298.6699895667)</f>
        <v>298.6699895667</v>
      </c>
      <c r="I3060" s="4">
        <f>VALUE(4323)</f>
        <v>4323</v>
      </c>
      <c r="J3060" s="1">
        <f>VALUE(5206)</f>
        <v>5206</v>
      </c>
      <c r="K3060" s="1">
        <f>VALUE(5275)</f>
        <v>5275</v>
      </c>
      <c r="L3060" s="1">
        <f>VALUE(6743)</f>
        <v>6743</v>
      </c>
      <c r="M3060" s="1">
        <f>VALUE(7511)</f>
        <v>7511</v>
      </c>
      <c r="N3060" t="s">
        <v>25</v>
      </c>
    </row>
    <row r="3061" spans="1:14" x14ac:dyDescent="0.25">
      <c r="A3061" t="s">
        <v>41</v>
      </c>
      <c r="B3061" t="s">
        <v>15</v>
      </c>
      <c r="C3061" t="s">
        <v>36</v>
      </c>
      <c r="D3061" t="s">
        <v>31</v>
      </c>
      <c r="E3061" t="s">
        <v>21</v>
      </c>
      <c r="F3061" t="s">
        <v>20</v>
      </c>
      <c r="G3061" s="2">
        <f>VALUE(432.2456955652)</f>
        <v>432.24569556519998</v>
      </c>
      <c r="H3061" s="3">
        <f>VALUE(371.8691092357)</f>
        <v>371.86910923570002</v>
      </c>
      <c r="I3061" s="4">
        <f>VALUE(3535)</f>
        <v>3535</v>
      </c>
      <c r="J3061" s="1">
        <f>VALUE(4560)</f>
        <v>4560</v>
      </c>
      <c r="K3061" s="1">
        <f>VALUE(5275)</f>
        <v>5275</v>
      </c>
      <c r="L3061" s="1">
        <f>VALUE(6500)</f>
        <v>6500</v>
      </c>
      <c r="M3061" s="1">
        <f>VALUE(7195)</f>
        <v>7195</v>
      </c>
      <c r="N3061" t="s">
        <v>25</v>
      </c>
    </row>
    <row r="3062" spans="1:14" x14ac:dyDescent="0.25">
      <c r="A3062" t="s">
        <v>41</v>
      </c>
      <c r="B3062" t="s">
        <v>15</v>
      </c>
      <c r="C3062" t="s">
        <v>36</v>
      </c>
      <c r="D3062" t="s">
        <v>31</v>
      </c>
      <c r="E3062" t="s">
        <v>22</v>
      </c>
      <c r="F3062" t="s">
        <v>15</v>
      </c>
      <c r="G3062" s="2">
        <f>VALUE(548.9578761994)</f>
        <v>548.95787619939995</v>
      </c>
      <c r="H3062" s="3">
        <f>VALUE(522.239808763)</f>
        <v>522.23980876300004</v>
      </c>
      <c r="I3062" s="1">
        <f>VALUE(3678)</f>
        <v>3678</v>
      </c>
      <c r="J3062" s="1">
        <f>VALUE(4127)</f>
        <v>4127</v>
      </c>
      <c r="K3062" s="1">
        <f>VALUE(4602)</f>
        <v>4602</v>
      </c>
      <c r="L3062" s="1">
        <f>VALUE(5564)</f>
        <v>5564</v>
      </c>
      <c r="M3062" s="1">
        <f>VALUE(6187)</f>
        <v>6187</v>
      </c>
      <c r="N3062" t="s">
        <v>25</v>
      </c>
    </row>
    <row r="3063" spans="1:14" x14ac:dyDescent="0.25">
      <c r="A3063" t="s">
        <v>41</v>
      </c>
      <c r="B3063" t="s">
        <v>15</v>
      </c>
      <c r="C3063" t="s">
        <v>36</v>
      </c>
      <c r="D3063" t="s">
        <v>31</v>
      </c>
      <c r="E3063" t="s">
        <v>22</v>
      </c>
      <c r="F3063" t="s">
        <v>17</v>
      </c>
      <c r="G3063" s="1" t="str">
        <f t="shared" ref="G3063:M3065" si="658">"X"</f>
        <v>X</v>
      </c>
      <c r="H3063" s="1" t="str">
        <f t="shared" si="658"/>
        <v>X</v>
      </c>
      <c r="I3063" s="1" t="str">
        <f t="shared" si="658"/>
        <v>X</v>
      </c>
      <c r="J3063" s="1" t="str">
        <f t="shared" si="658"/>
        <v>X</v>
      </c>
      <c r="K3063" s="1" t="str">
        <f t="shared" si="658"/>
        <v>X</v>
      </c>
      <c r="L3063" s="1" t="str">
        <f t="shared" si="658"/>
        <v>X</v>
      </c>
      <c r="M3063" s="1" t="str">
        <f t="shared" si="658"/>
        <v>X</v>
      </c>
      <c r="N3063" t="s">
        <v>27</v>
      </c>
    </row>
    <row r="3064" spans="1:14" x14ac:dyDescent="0.25">
      <c r="A3064" t="s">
        <v>41</v>
      </c>
      <c r="B3064" t="s">
        <v>15</v>
      </c>
      <c r="C3064" t="s">
        <v>36</v>
      </c>
      <c r="D3064" t="s">
        <v>31</v>
      </c>
      <c r="E3064" t="s">
        <v>22</v>
      </c>
      <c r="F3064" t="s">
        <v>18</v>
      </c>
      <c r="G3064" s="1" t="str">
        <f t="shared" si="658"/>
        <v>X</v>
      </c>
      <c r="H3064" s="1" t="str">
        <f t="shared" si="658"/>
        <v>X</v>
      </c>
      <c r="I3064" s="1" t="str">
        <f t="shared" si="658"/>
        <v>X</v>
      </c>
      <c r="J3064" s="1" t="str">
        <f t="shared" si="658"/>
        <v>X</v>
      </c>
      <c r="K3064" s="1" t="str">
        <f t="shared" si="658"/>
        <v>X</v>
      </c>
      <c r="L3064" s="1" t="str">
        <f t="shared" si="658"/>
        <v>X</v>
      </c>
      <c r="M3064" s="1" t="str">
        <f t="shared" si="658"/>
        <v>X</v>
      </c>
      <c r="N3064" t="s">
        <v>27</v>
      </c>
    </row>
    <row r="3065" spans="1:14" x14ac:dyDescent="0.25">
      <c r="A3065" t="s">
        <v>41</v>
      </c>
      <c r="B3065" t="s">
        <v>15</v>
      </c>
      <c r="C3065" t="s">
        <v>36</v>
      </c>
      <c r="D3065" t="s">
        <v>31</v>
      </c>
      <c r="E3065" t="s">
        <v>22</v>
      </c>
      <c r="F3065" t="s">
        <v>19</v>
      </c>
      <c r="G3065" s="1" t="str">
        <f t="shared" si="658"/>
        <v>X</v>
      </c>
      <c r="H3065" s="1" t="str">
        <f t="shared" si="658"/>
        <v>X</v>
      </c>
      <c r="I3065" s="1" t="str">
        <f t="shared" si="658"/>
        <v>X</v>
      </c>
      <c r="J3065" s="1" t="str">
        <f t="shared" si="658"/>
        <v>X</v>
      </c>
      <c r="K3065" s="1" t="str">
        <f t="shared" si="658"/>
        <v>X</v>
      </c>
      <c r="L3065" s="1" t="str">
        <f t="shared" si="658"/>
        <v>X</v>
      </c>
      <c r="M3065" s="1" t="str">
        <f t="shared" si="658"/>
        <v>X</v>
      </c>
      <c r="N3065" t="s">
        <v>27</v>
      </c>
    </row>
    <row r="3066" spans="1:14" x14ac:dyDescent="0.25">
      <c r="A3066" t="s">
        <v>41</v>
      </c>
      <c r="B3066" t="s">
        <v>15</v>
      </c>
      <c r="C3066" t="s">
        <v>36</v>
      </c>
      <c r="D3066" t="s">
        <v>31</v>
      </c>
      <c r="E3066" t="s">
        <v>22</v>
      </c>
      <c r="F3066" t="s">
        <v>20</v>
      </c>
      <c r="G3066" s="2">
        <f>VALUE(383.2679063462)</f>
        <v>383.26790634619999</v>
      </c>
      <c r="H3066" s="3">
        <f>VALUE(355.7459367586)</f>
        <v>355.74593675860001</v>
      </c>
      <c r="I3066" s="1">
        <f>VALUE(3569)</f>
        <v>3569</v>
      </c>
      <c r="J3066" s="1">
        <f>VALUE(4039)</f>
        <v>4039</v>
      </c>
      <c r="K3066" s="1">
        <f>VALUE(4464)</f>
        <v>4464</v>
      </c>
      <c r="L3066" s="1">
        <f>VALUE(5417)</f>
        <v>5417</v>
      </c>
      <c r="M3066" s="1">
        <f>VALUE(6163)</f>
        <v>6163</v>
      </c>
      <c r="N3066" t="s">
        <v>25</v>
      </c>
    </row>
    <row r="3067" spans="1:14" x14ac:dyDescent="0.25">
      <c r="A3067" t="s">
        <v>41</v>
      </c>
      <c r="B3067" t="s">
        <v>15</v>
      </c>
      <c r="C3067" t="s">
        <v>36</v>
      </c>
      <c r="D3067" t="s">
        <v>31</v>
      </c>
      <c r="E3067" t="s">
        <v>23</v>
      </c>
      <c r="F3067" t="s">
        <v>15</v>
      </c>
      <c r="G3067" s="2">
        <f>VALUE(1122.2062810279)</f>
        <v>1122.2062810279001</v>
      </c>
      <c r="H3067" s="3">
        <f>VALUE(1008.6363851218)</f>
        <v>1008.6363851218</v>
      </c>
      <c r="I3067" s="1">
        <f>VALUE(3091)</f>
        <v>3091</v>
      </c>
      <c r="J3067" s="1">
        <f>VALUE(3317)</f>
        <v>3317</v>
      </c>
      <c r="K3067" s="1">
        <f>VALUE(3748)</f>
        <v>3748</v>
      </c>
      <c r="L3067" s="1">
        <f>VALUE(4703)</f>
        <v>4703</v>
      </c>
      <c r="M3067" s="1">
        <f>VALUE(5211)</f>
        <v>5211</v>
      </c>
      <c r="N3067" t="s">
        <v>25</v>
      </c>
    </row>
    <row r="3068" spans="1:14" x14ac:dyDescent="0.25">
      <c r="A3068" t="s">
        <v>41</v>
      </c>
      <c r="B3068" t="s">
        <v>15</v>
      </c>
      <c r="C3068" t="s">
        <v>36</v>
      </c>
      <c r="D3068" t="s">
        <v>31</v>
      </c>
      <c r="E3068" t="s">
        <v>23</v>
      </c>
      <c r="F3068" t="s">
        <v>17</v>
      </c>
      <c r="G3068" s="1" t="str">
        <f t="shared" ref="G3068:M3070" si="659">"X"</f>
        <v>X</v>
      </c>
      <c r="H3068" s="1" t="str">
        <f t="shared" si="659"/>
        <v>X</v>
      </c>
      <c r="I3068" s="1" t="str">
        <f t="shared" si="659"/>
        <v>X</v>
      </c>
      <c r="J3068" s="1" t="str">
        <f t="shared" si="659"/>
        <v>X</v>
      </c>
      <c r="K3068" s="1" t="str">
        <f t="shared" si="659"/>
        <v>X</v>
      </c>
      <c r="L3068" s="1" t="str">
        <f t="shared" si="659"/>
        <v>X</v>
      </c>
      <c r="M3068" s="1" t="str">
        <f t="shared" si="659"/>
        <v>X</v>
      </c>
      <c r="N3068" t="s">
        <v>27</v>
      </c>
    </row>
    <row r="3069" spans="1:14" x14ac:dyDescent="0.25">
      <c r="A3069" t="s">
        <v>41</v>
      </c>
      <c r="B3069" t="s">
        <v>15</v>
      </c>
      <c r="C3069" t="s">
        <v>36</v>
      </c>
      <c r="D3069" t="s">
        <v>31</v>
      </c>
      <c r="E3069" t="s">
        <v>23</v>
      </c>
      <c r="F3069" t="s">
        <v>18</v>
      </c>
      <c r="G3069" s="1" t="str">
        <f t="shared" si="659"/>
        <v>X</v>
      </c>
      <c r="H3069" s="1" t="str">
        <f t="shared" si="659"/>
        <v>X</v>
      </c>
      <c r="I3069" s="1" t="str">
        <f t="shared" si="659"/>
        <v>X</v>
      </c>
      <c r="J3069" s="1" t="str">
        <f t="shared" si="659"/>
        <v>X</v>
      </c>
      <c r="K3069" s="1" t="str">
        <f t="shared" si="659"/>
        <v>X</v>
      </c>
      <c r="L3069" s="1" t="str">
        <f t="shared" si="659"/>
        <v>X</v>
      </c>
      <c r="M3069" s="1" t="str">
        <f t="shared" si="659"/>
        <v>X</v>
      </c>
      <c r="N3069" t="s">
        <v>27</v>
      </c>
    </row>
    <row r="3070" spans="1:14" x14ac:dyDescent="0.25">
      <c r="A3070" t="s">
        <v>41</v>
      </c>
      <c r="B3070" t="s">
        <v>15</v>
      </c>
      <c r="C3070" t="s">
        <v>36</v>
      </c>
      <c r="D3070" t="s">
        <v>31</v>
      </c>
      <c r="E3070" t="s">
        <v>23</v>
      </c>
      <c r="F3070" t="s">
        <v>19</v>
      </c>
      <c r="G3070" s="1" t="str">
        <f t="shared" si="659"/>
        <v>X</v>
      </c>
      <c r="H3070" s="1" t="str">
        <f t="shared" si="659"/>
        <v>X</v>
      </c>
      <c r="I3070" s="1" t="str">
        <f t="shared" si="659"/>
        <v>X</v>
      </c>
      <c r="J3070" s="1" t="str">
        <f t="shared" si="659"/>
        <v>X</v>
      </c>
      <c r="K3070" s="1" t="str">
        <f t="shared" si="659"/>
        <v>X</v>
      </c>
      <c r="L3070" s="1" t="str">
        <f t="shared" si="659"/>
        <v>X</v>
      </c>
      <c r="M3070" s="1" t="str">
        <f t="shared" si="659"/>
        <v>X</v>
      </c>
      <c r="N3070" t="s">
        <v>27</v>
      </c>
    </row>
    <row r="3071" spans="1:14" x14ac:dyDescent="0.25">
      <c r="A3071" t="s">
        <v>41</v>
      </c>
      <c r="B3071" t="s">
        <v>15</v>
      </c>
      <c r="C3071" t="s">
        <v>36</v>
      </c>
      <c r="D3071" t="s">
        <v>31</v>
      </c>
      <c r="E3071" t="s">
        <v>23</v>
      </c>
      <c r="F3071" t="s">
        <v>20</v>
      </c>
      <c r="G3071" s="2">
        <f>VALUE(846.6055086792)</f>
        <v>846.60550867920006</v>
      </c>
      <c r="H3071" s="3">
        <f>VALUE(756.2333369902)</f>
        <v>756.23333699019997</v>
      </c>
      <c r="I3071" s="1">
        <f>VALUE(2962)</f>
        <v>2962</v>
      </c>
      <c r="J3071" s="1">
        <f>VALUE(3306)</f>
        <v>3306</v>
      </c>
      <c r="K3071" s="1">
        <f>VALUE(3692)</f>
        <v>3692</v>
      </c>
      <c r="L3071" s="1">
        <f>VALUE(4563)</f>
        <v>4563</v>
      </c>
      <c r="M3071" s="1">
        <f>VALUE(5211)</f>
        <v>5211</v>
      </c>
      <c r="N3071" t="s">
        <v>25</v>
      </c>
    </row>
    <row r="3072" spans="1:14" x14ac:dyDescent="0.25">
      <c r="A3072" t="s">
        <v>41</v>
      </c>
      <c r="B3072" t="s">
        <v>15</v>
      </c>
      <c r="C3072" t="s">
        <v>36</v>
      </c>
      <c r="D3072" t="s">
        <v>31</v>
      </c>
      <c r="E3072" t="s">
        <v>26</v>
      </c>
      <c r="F3072" t="s">
        <v>15</v>
      </c>
      <c r="G3072" s="1" t="str">
        <f t="shared" ref="G3072:M3074" si="660">"X"</f>
        <v>X</v>
      </c>
      <c r="H3072" s="1" t="str">
        <f t="shared" si="660"/>
        <v>X</v>
      </c>
      <c r="I3072" s="1" t="str">
        <f t="shared" si="660"/>
        <v>X</v>
      </c>
      <c r="J3072" s="1" t="str">
        <f t="shared" si="660"/>
        <v>X</v>
      </c>
      <c r="K3072" s="1" t="str">
        <f t="shared" si="660"/>
        <v>X</v>
      </c>
      <c r="L3072" s="1" t="str">
        <f t="shared" si="660"/>
        <v>X</v>
      </c>
      <c r="M3072" s="1" t="str">
        <f t="shared" si="660"/>
        <v>X</v>
      </c>
      <c r="N3072" t="s">
        <v>27</v>
      </c>
    </row>
    <row r="3073" spans="1:14" x14ac:dyDescent="0.25">
      <c r="A3073" t="s">
        <v>41</v>
      </c>
      <c r="B3073" t="s">
        <v>15</v>
      </c>
      <c r="C3073" t="s">
        <v>36</v>
      </c>
      <c r="D3073" t="s">
        <v>31</v>
      </c>
      <c r="E3073" t="s">
        <v>26</v>
      </c>
      <c r="F3073" t="s">
        <v>17</v>
      </c>
      <c r="G3073" s="1" t="str">
        <f t="shared" si="660"/>
        <v>X</v>
      </c>
      <c r="H3073" s="1" t="str">
        <f t="shared" si="660"/>
        <v>X</v>
      </c>
      <c r="I3073" s="1" t="str">
        <f t="shared" si="660"/>
        <v>X</v>
      </c>
      <c r="J3073" s="1" t="str">
        <f t="shared" si="660"/>
        <v>X</v>
      </c>
      <c r="K3073" s="1" t="str">
        <f t="shared" si="660"/>
        <v>X</v>
      </c>
      <c r="L3073" s="1" t="str">
        <f t="shared" si="660"/>
        <v>X</v>
      </c>
      <c r="M3073" s="1" t="str">
        <f t="shared" si="660"/>
        <v>X</v>
      </c>
      <c r="N3073" t="s">
        <v>27</v>
      </c>
    </row>
    <row r="3074" spans="1:14" x14ac:dyDescent="0.25">
      <c r="A3074" t="s">
        <v>41</v>
      </c>
      <c r="B3074" t="s">
        <v>15</v>
      </c>
      <c r="C3074" t="s">
        <v>36</v>
      </c>
      <c r="D3074" t="s">
        <v>31</v>
      </c>
      <c r="E3074" t="s">
        <v>26</v>
      </c>
      <c r="F3074" t="s">
        <v>18</v>
      </c>
      <c r="G3074" s="1" t="str">
        <f t="shared" si="660"/>
        <v>X</v>
      </c>
      <c r="H3074" s="1" t="str">
        <f t="shared" si="660"/>
        <v>X</v>
      </c>
      <c r="I3074" s="1" t="str">
        <f t="shared" si="660"/>
        <v>X</v>
      </c>
      <c r="J3074" s="1" t="str">
        <f t="shared" si="660"/>
        <v>X</v>
      </c>
      <c r="K3074" s="1" t="str">
        <f t="shared" si="660"/>
        <v>X</v>
      </c>
      <c r="L3074" s="1" t="str">
        <f t="shared" si="660"/>
        <v>X</v>
      </c>
      <c r="M3074" s="1" t="str">
        <f t="shared" si="660"/>
        <v>X</v>
      </c>
      <c r="N3074" t="s">
        <v>27</v>
      </c>
    </row>
    <row r="3075" spans="1:14" x14ac:dyDescent="0.25">
      <c r="A3075" t="s">
        <v>41</v>
      </c>
      <c r="B3075" t="s">
        <v>15</v>
      </c>
      <c r="C3075" t="s">
        <v>36</v>
      </c>
      <c r="D3075" t="s">
        <v>31</v>
      </c>
      <c r="E3075" t="s">
        <v>26</v>
      </c>
      <c r="F3075" t="s">
        <v>19</v>
      </c>
      <c r="G3075" s="1" t="str">
        <f t="shared" ref="G3075:M3075" si="661">"..."</f>
        <v>...</v>
      </c>
      <c r="H3075" s="1" t="str">
        <f t="shared" si="661"/>
        <v>...</v>
      </c>
      <c r="I3075" s="1" t="str">
        <f t="shared" si="661"/>
        <v>...</v>
      </c>
      <c r="J3075" s="1" t="str">
        <f t="shared" si="661"/>
        <v>...</v>
      </c>
      <c r="K3075" s="1" t="str">
        <f t="shared" si="661"/>
        <v>...</v>
      </c>
      <c r="L3075" s="1" t="str">
        <f t="shared" si="661"/>
        <v>...</v>
      </c>
      <c r="M3075" s="1" t="str">
        <f t="shared" si="661"/>
        <v>...</v>
      </c>
      <c r="N3075" t="s">
        <v>30</v>
      </c>
    </row>
    <row r="3076" spans="1:14" x14ac:dyDescent="0.25">
      <c r="A3076" t="s">
        <v>41</v>
      </c>
      <c r="B3076" t="s">
        <v>15</v>
      </c>
      <c r="C3076" t="s">
        <v>36</v>
      </c>
      <c r="D3076" t="s">
        <v>31</v>
      </c>
      <c r="E3076" t="s">
        <v>26</v>
      </c>
      <c r="F3076" t="s">
        <v>20</v>
      </c>
      <c r="G3076" s="1" t="str">
        <f t="shared" ref="G3076:M3076" si="662">"X"</f>
        <v>X</v>
      </c>
      <c r="H3076" s="1" t="str">
        <f t="shared" si="662"/>
        <v>X</v>
      </c>
      <c r="I3076" s="1" t="str">
        <f t="shared" si="662"/>
        <v>X</v>
      </c>
      <c r="J3076" s="1" t="str">
        <f t="shared" si="662"/>
        <v>X</v>
      </c>
      <c r="K3076" s="1" t="str">
        <f t="shared" si="662"/>
        <v>X</v>
      </c>
      <c r="L3076" s="1" t="str">
        <f t="shared" si="662"/>
        <v>X</v>
      </c>
      <c r="M3076" s="1" t="str">
        <f t="shared" si="662"/>
        <v>X</v>
      </c>
      <c r="N3076" t="s">
        <v>27</v>
      </c>
    </row>
    <row r="3077" spans="1:14" x14ac:dyDescent="0.25">
      <c r="A3077" t="s">
        <v>41</v>
      </c>
      <c r="B3077" t="s">
        <v>15</v>
      </c>
      <c r="C3077" t="s">
        <v>36</v>
      </c>
      <c r="D3077" t="s">
        <v>32</v>
      </c>
      <c r="E3077" t="s">
        <v>15</v>
      </c>
      <c r="F3077" t="s">
        <v>15</v>
      </c>
      <c r="G3077" s="1">
        <f>VALUE(10203.6434577952)</f>
        <v>10203.6434577952</v>
      </c>
      <c r="H3077" s="1">
        <f>VALUE(9732.9886295921)</f>
        <v>9732.9886295921006</v>
      </c>
      <c r="I3077" s="1">
        <f>VALUE(2800)</f>
        <v>2800</v>
      </c>
      <c r="J3077" s="1">
        <f>VALUE(3334)</f>
        <v>3334</v>
      </c>
      <c r="K3077" s="1">
        <f>VALUE(4108)</f>
        <v>4108</v>
      </c>
      <c r="L3077" s="1">
        <f>VALUE(5033)</f>
        <v>5033</v>
      </c>
      <c r="M3077" s="1">
        <f>VALUE(5932)</f>
        <v>5932</v>
      </c>
      <c r="N3077" t="s">
        <v>16</v>
      </c>
    </row>
    <row r="3078" spans="1:14" x14ac:dyDescent="0.25">
      <c r="A3078" t="s">
        <v>41</v>
      </c>
      <c r="B3078" t="s">
        <v>15</v>
      </c>
      <c r="C3078" t="s">
        <v>36</v>
      </c>
      <c r="D3078" t="s">
        <v>32</v>
      </c>
      <c r="E3078" t="s">
        <v>15</v>
      </c>
      <c r="F3078" t="s">
        <v>17</v>
      </c>
      <c r="G3078" s="2">
        <f>VALUE(445.8583300599)</f>
        <v>445.85833005990003</v>
      </c>
      <c r="H3078" s="3">
        <f>VALUE(424.8771731537)</f>
        <v>424.87717315370003</v>
      </c>
      <c r="I3078" s="4">
        <f>VALUE(3371)</f>
        <v>3371</v>
      </c>
      <c r="J3078" s="1">
        <f>VALUE(4279)</f>
        <v>4279</v>
      </c>
      <c r="K3078" s="1">
        <f>VALUE(5090)</f>
        <v>5090</v>
      </c>
      <c r="L3078" s="7">
        <f>VALUE(6336)</f>
        <v>6336</v>
      </c>
      <c r="M3078" s="8">
        <f>VALUE(8040)</f>
        <v>8040</v>
      </c>
      <c r="N3078" t="s">
        <v>25</v>
      </c>
    </row>
    <row r="3079" spans="1:14" x14ac:dyDescent="0.25">
      <c r="A3079" t="s">
        <v>41</v>
      </c>
      <c r="B3079" t="s">
        <v>15</v>
      </c>
      <c r="C3079" t="s">
        <v>36</v>
      </c>
      <c r="D3079" t="s">
        <v>32</v>
      </c>
      <c r="E3079" t="s">
        <v>15</v>
      </c>
      <c r="F3079" t="s">
        <v>18</v>
      </c>
      <c r="G3079" s="2">
        <f>VALUE(995.5950932454)</f>
        <v>995.59509324539999</v>
      </c>
      <c r="H3079" s="3">
        <f>VALUE(946.8620863272)</f>
        <v>946.86208632720002</v>
      </c>
      <c r="I3079" s="4">
        <f>VALUE(3066)</f>
        <v>3066</v>
      </c>
      <c r="J3079" s="1">
        <f>VALUE(4031)</f>
        <v>4031</v>
      </c>
      <c r="K3079" s="1">
        <f>VALUE(4959)</f>
        <v>4959</v>
      </c>
      <c r="L3079" s="1">
        <f>VALUE(5745)</f>
        <v>5745</v>
      </c>
      <c r="M3079" s="1">
        <f>VALUE(6550)</f>
        <v>6550</v>
      </c>
      <c r="N3079" t="s">
        <v>25</v>
      </c>
    </row>
    <row r="3080" spans="1:14" x14ac:dyDescent="0.25">
      <c r="A3080" t="s">
        <v>41</v>
      </c>
      <c r="B3080" t="s">
        <v>15</v>
      </c>
      <c r="C3080" t="s">
        <v>36</v>
      </c>
      <c r="D3080" t="s">
        <v>32</v>
      </c>
      <c r="E3080" t="s">
        <v>15</v>
      </c>
      <c r="F3080" t="s">
        <v>19</v>
      </c>
      <c r="G3080" s="2">
        <f>VALUE(1428.1139350169)</f>
        <v>1428.1139350169001</v>
      </c>
      <c r="H3080" s="1">
        <f>VALUE(1373.2615727399)</f>
        <v>1373.2615727399</v>
      </c>
      <c r="I3080" s="1">
        <f>VALUE(3202)</f>
        <v>3202</v>
      </c>
      <c r="J3080" s="1">
        <f>VALUE(3785)</f>
        <v>3785</v>
      </c>
      <c r="K3080" s="1">
        <f>VALUE(4496)</f>
        <v>4496</v>
      </c>
      <c r="L3080" s="1">
        <f>VALUE(5409)</f>
        <v>5409</v>
      </c>
      <c r="M3080" s="1">
        <f>VALUE(6389)</f>
        <v>6389</v>
      </c>
      <c r="N3080" t="s">
        <v>25</v>
      </c>
    </row>
    <row r="3081" spans="1:14" x14ac:dyDescent="0.25">
      <c r="A3081" t="s">
        <v>41</v>
      </c>
      <c r="B3081" t="s">
        <v>15</v>
      </c>
      <c r="C3081" t="s">
        <v>36</v>
      </c>
      <c r="D3081" t="s">
        <v>32</v>
      </c>
      <c r="E3081" t="s">
        <v>15</v>
      </c>
      <c r="F3081" t="s">
        <v>20</v>
      </c>
      <c r="G3081" s="1">
        <f>VALUE(7328.9966206345)</f>
        <v>7328.9966206344998</v>
      </c>
      <c r="H3081" s="1">
        <f>VALUE(6982.7261084735)</f>
        <v>6982.7261084735001</v>
      </c>
      <c r="I3081" s="1">
        <f>VALUE(2762)</f>
        <v>2762</v>
      </c>
      <c r="J3081" s="1">
        <f>VALUE(3199)</f>
        <v>3199</v>
      </c>
      <c r="K3081" s="1">
        <f>VALUE(3887)</f>
        <v>3887</v>
      </c>
      <c r="L3081" s="1">
        <f>VALUE(4784)</f>
        <v>4784</v>
      </c>
      <c r="M3081" s="1">
        <f>VALUE(5548)</f>
        <v>5548</v>
      </c>
      <c r="N3081" t="s">
        <v>16</v>
      </c>
    </row>
    <row r="3082" spans="1:14" x14ac:dyDescent="0.25">
      <c r="A3082" t="s">
        <v>41</v>
      </c>
      <c r="B3082" t="s">
        <v>15</v>
      </c>
      <c r="C3082" t="s">
        <v>36</v>
      </c>
      <c r="D3082" t="s">
        <v>32</v>
      </c>
      <c r="E3082" t="s">
        <v>21</v>
      </c>
      <c r="F3082" t="s">
        <v>15</v>
      </c>
      <c r="G3082" s="1">
        <f>VALUE(2235.5158869092)</f>
        <v>2235.5158869092002</v>
      </c>
      <c r="H3082" s="1">
        <f>VALUE(2105.6357896479)</f>
        <v>2105.6357896478999</v>
      </c>
      <c r="I3082" s="1">
        <f>VALUE(3207)</f>
        <v>3207</v>
      </c>
      <c r="J3082" s="1">
        <f>VALUE(3922)</f>
        <v>3922</v>
      </c>
      <c r="K3082" s="1">
        <f>VALUE(4767)</f>
        <v>4767</v>
      </c>
      <c r="L3082" s="1">
        <f>VALUE(5761)</f>
        <v>5761</v>
      </c>
      <c r="M3082" s="1">
        <f>VALUE(6811)</f>
        <v>6811</v>
      </c>
      <c r="N3082" t="s">
        <v>16</v>
      </c>
    </row>
    <row r="3083" spans="1:14" x14ac:dyDescent="0.25">
      <c r="A3083" t="s">
        <v>41</v>
      </c>
      <c r="B3083" t="s">
        <v>15</v>
      </c>
      <c r="C3083" t="s">
        <v>36</v>
      </c>
      <c r="D3083" t="s">
        <v>32</v>
      </c>
      <c r="E3083" t="s">
        <v>21</v>
      </c>
      <c r="F3083" t="s">
        <v>17</v>
      </c>
      <c r="G3083" s="2">
        <f>VALUE(264.1474868261)</f>
        <v>264.14748682610002</v>
      </c>
      <c r="H3083" s="3">
        <f>VALUE(249.8383686477)</f>
        <v>249.83836864770001</v>
      </c>
      <c r="I3083" s="4">
        <f>VALUE(3803)</f>
        <v>3803</v>
      </c>
      <c r="J3083" s="5">
        <f>VALUE(4730)</f>
        <v>4730</v>
      </c>
      <c r="K3083" s="1">
        <f>VALUE(5628)</f>
        <v>5628</v>
      </c>
      <c r="L3083" s="7">
        <f>VALUE(7154)</f>
        <v>7154</v>
      </c>
      <c r="M3083" s="8">
        <f>VALUE(9409)</f>
        <v>9409</v>
      </c>
      <c r="N3083" t="s">
        <v>25</v>
      </c>
    </row>
    <row r="3084" spans="1:14" x14ac:dyDescent="0.25">
      <c r="A3084" t="s">
        <v>41</v>
      </c>
      <c r="B3084" t="s">
        <v>15</v>
      </c>
      <c r="C3084" t="s">
        <v>36</v>
      </c>
      <c r="D3084" t="s">
        <v>32</v>
      </c>
      <c r="E3084" t="s">
        <v>21</v>
      </c>
      <c r="F3084" t="s">
        <v>18</v>
      </c>
      <c r="G3084" s="2">
        <f>VALUE(475.6246284905)</f>
        <v>475.62462849050002</v>
      </c>
      <c r="H3084" s="3">
        <f>VALUE(431.8829194663)</f>
        <v>431.8829194663</v>
      </c>
      <c r="I3084" s="1">
        <f>VALUE(3082)</f>
        <v>3082</v>
      </c>
      <c r="J3084" s="1">
        <f>VALUE(4079)</f>
        <v>4079</v>
      </c>
      <c r="K3084" s="1">
        <f>VALUE(5079)</f>
        <v>5079</v>
      </c>
      <c r="L3084" s="1">
        <f>VALUE(6067)</f>
        <v>6067</v>
      </c>
      <c r="M3084" s="1">
        <f>VALUE(7077)</f>
        <v>7077</v>
      </c>
      <c r="N3084" t="s">
        <v>25</v>
      </c>
    </row>
    <row r="3085" spans="1:14" x14ac:dyDescent="0.25">
      <c r="A3085" t="s">
        <v>41</v>
      </c>
      <c r="B3085" t="s">
        <v>15</v>
      </c>
      <c r="C3085" t="s">
        <v>36</v>
      </c>
      <c r="D3085" t="s">
        <v>32</v>
      </c>
      <c r="E3085" t="s">
        <v>21</v>
      </c>
      <c r="F3085" t="s">
        <v>19</v>
      </c>
      <c r="G3085" s="2">
        <f>VALUE(554.0017504065)</f>
        <v>554.00175040650004</v>
      </c>
      <c r="H3085" s="3">
        <f>VALUE(535.0515450189)</f>
        <v>535.05154501890001</v>
      </c>
      <c r="I3085" s="1">
        <f>VALUE(3136)</f>
        <v>3136</v>
      </c>
      <c r="J3085" s="1">
        <f>VALUE(3921)</f>
        <v>3921</v>
      </c>
      <c r="K3085" s="1">
        <f>VALUE(4762)</f>
        <v>4762</v>
      </c>
      <c r="L3085" s="1">
        <f>VALUE(5647)</f>
        <v>5647</v>
      </c>
      <c r="M3085" s="1">
        <f>VALUE(6753)</f>
        <v>6753</v>
      </c>
      <c r="N3085" t="s">
        <v>25</v>
      </c>
    </row>
    <row r="3086" spans="1:14" x14ac:dyDescent="0.25">
      <c r="A3086" t="s">
        <v>41</v>
      </c>
      <c r="B3086" t="s">
        <v>15</v>
      </c>
      <c r="C3086" t="s">
        <v>36</v>
      </c>
      <c r="D3086" t="s">
        <v>32</v>
      </c>
      <c r="E3086" t="s">
        <v>21</v>
      </c>
      <c r="F3086" t="s">
        <v>20</v>
      </c>
      <c r="G3086" s="2">
        <f>VALUE(941.7420211861)</f>
        <v>941.74202118610003</v>
      </c>
      <c r="H3086" s="3">
        <f>VALUE(888.862956515)</f>
        <v>888.86295651499995</v>
      </c>
      <c r="I3086" s="4">
        <f>VALUE(3200)</f>
        <v>3200</v>
      </c>
      <c r="J3086" s="1">
        <f>VALUE(3709)</f>
        <v>3709</v>
      </c>
      <c r="K3086" s="1">
        <f>VALUE(4333)</f>
        <v>4333</v>
      </c>
      <c r="L3086" s="1">
        <f>VALUE(5306)</f>
        <v>5306</v>
      </c>
      <c r="M3086" s="1">
        <f>VALUE(6333)</f>
        <v>6333</v>
      </c>
      <c r="N3086" t="s">
        <v>25</v>
      </c>
    </row>
    <row r="3087" spans="1:14" x14ac:dyDescent="0.25">
      <c r="A3087" t="s">
        <v>41</v>
      </c>
      <c r="B3087" t="s">
        <v>15</v>
      </c>
      <c r="C3087" t="s">
        <v>36</v>
      </c>
      <c r="D3087" t="s">
        <v>32</v>
      </c>
      <c r="E3087" t="s">
        <v>22</v>
      </c>
      <c r="F3087" t="s">
        <v>15</v>
      </c>
      <c r="G3087" s="1">
        <f>VALUE(2758.8212635817)</f>
        <v>2758.8212635816999</v>
      </c>
      <c r="H3087" s="1">
        <f>VALUE(2682.2822136959)</f>
        <v>2682.2822136958998</v>
      </c>
      <c r="I3087" s="1">
        <f>VALUE(3023)</f>
        <v>3023</v>
      </c>
      <c r="J3087" s="1">
        <f>VALUE(3638)</f>
        <v>3638</v>
      </c>
      <c r="K3087" s="1">
        <f>VALUE(4445)</f>
        <v>4445</v>
      </c>
      <c r="L3087" s="1">
        <f>VALUE(5179)</f>
        <v>5179</v>
      </c>
      <c r="M3087" s="1">
        <f>VALUE(5977)</f>
        <v>5977</v>
      </c>
      <c r="N3087" t="s">
        <v>16</v>
      </c>
    </row>
    <row r="3088" spans="1:14" x14ac:dyDescent="0.25">
      <c r="A3088" t="s">
        <v>41</v>
      </c>
      <c r="B3088" t="s">
        <v>15</v>
      </c>
      <c r="C3088" t="s">
        <v>36</v>
      </c>
      <c r="D3088" t="s">
        <v>32</v>
      </c>
      <c r="E3088" t="s">
        <v>22</v>
      </c>
      <c r="F3088" t="s">
        <v>17</v>
      </c>
      <c r="G3088" s="1" t="str">
        <f t="shared" ref="G3088:M3088" si="663">"X"</f>
        <v>X</v>
      </c>
      <c r="H3088" s="1" t="str">
        <f t="shared" si="663"/>
        <v>X</v>
      </c>
      <c r="I3088" s="1" t="str">
        <f t="shared" si="663"/>
        <v>X</v>
      </c>
      <c r="J3088" s="1" t="str">
        <f t="shared" si="663"/>
        <v>X</v>
      </c>
      <c r="K3088" s="1" t="str">
        <f t="shared" si="663"/>
        <v>X</v>
      </c>
      <c r="L3088" s="1" t="str">
        <f t="shared" si="663"/>
        <v>X</v>
      </c>
      <c r="M3088" s="1" t="str">
        <f t="shared" si="663"/>
        <v>X</v>
      </c>
      <c r="N3088" t="s">
        <v>27</v>
      </c>
    </row>
    <row r="3089" spans="1:14" x14ac:dyDescent="0.25">
      <c r="A3089" t="s">
        <v>41</v>
      </c>
      <c r="B3089" t="s">
        <v>15</v>
      </c>
      <c r="C3089" t="s">
        <v>36</v>
      </c>
      <c r="D3089" t="s">
        <v>32</v>
      </c>
      <c r="E3089" t="s">
        <v>22</v>
      </c>
      <c r="F3089" t="s">
        <v>18</v>
      </c>
      <c r="G3089" s="2">
        <f>VALUE(362.578768435)</f>
        <v>362.57876843499997</v>
      </c>
      <c r="H3089" s="3">
        <f>VALUE(354.551815206)</f>
        <v>354.55181520600001</v>
      </c>
      <c r="I3089" s="4">
        <f>VALUE(2733)</f>
        <v>2733</v>
      </c>
      <c r="J3089" s="5">
        <f>VALUE(3906)</f>
        <v>3906</v>
      </c>
      <c r="K3089" s="6">
        <f>VALUE(4959)</f>
        <v>4959</v>
      </c>
      <c r="L3089" s="1">
        <f>VALUE(5579)</f>
        <v>5579</v>
      </c>
      <c r="M3089" s="1">
        <f>VALUE(6246)</f>
        <v>6246</v>
      </c>
      <c r="N3089" t="s">
        <v>25</v>
      </c>
    </row>
    <row r="3090" spans="1:14" x14ac:dyDescent="0.25">
      <c r="A3090" t="s">
        <v>41</v>
      </c>
      <c r="B3090" t="s">
        <v>15</v>
      </c>
      <c r="C3090" t="s">
        <v>36</v>
      </c>
      <c r="D3090" t="s">
        <v>32</v>
      </c>
      <c r="E3090" t="s">
        <v>22</v>
      </c>
      <c r="F3090" t="s">
        <v>19</v>
      </c>
      <c r="G3090" s="2">
        <f>VALUE(450.0322924357)</f>
        <v>450.03229243570001</v>
      </c>
      <c r="H3090" s="3">
        <f>VALUE(440.3814169031)</f>
        <v>440.38141690309999</v>
      </c>
      <c r="I3090" s="1">
        <f>VALUE(3202)</f>
        <v>3202</v>
      </c>
      <c r="J3090" s="5">
        <f>VALUE(3605)</f>
        <v>3605</v>
      </c>
      <c r="K3090" s="1">
        <f>VALUE(4496)</f>
        <v>4496</v>
      </c>
      <c r="L3090" s="1">
        <f>VALUE(5409)</f>
        <v>5409</v>
      </c>
      <c r="M3090" s="8">
        <f>VALUE(5988)</f>
        <v>5988</v>
      </c>
      <c r="N3090" t="s">
        <v>25</v>
      </c>
    </row>
    <row r="3091" spans="1:14" x14ac:dyDescent="0.25">
      <c r="A3091" t="s">
        <v>41</v>
      </c>
      <c r="B3091" t="s">
        <v>15</v>
      </c>
      <c r="C3091" t="s">
        <v>36</v>
      </c>
      <c r="D3091" t="s">
        <v>32</v>
      </c>
      <c r="E3091" t="s">
        <v>22</v>
      </c>
      <c r="F3091" t="s">
        <v>20</v>
      </c>
      <c r="G3091" s="1">
        <f>VALUE(1856.6948198766)</f>
        <v>1856.6948198765999</v>
      </c>
      <c r="H3091" s="1">
        <f>VALUE(1797.477521292)</f>
        <v>1797.4775212919999</v>
      </c>
      <c r="I3091" s="1">
        <f>VALUE(2945)</f>
        <v>2945</v>
      </c>
      <c r="J3091" s="1">
        <f>VALUE(3599)</f>
        <v>3599</v>
      </c>
      <c r="K3091" s="1">
        <f>VALUE(4300)</f>
        <v>4300</v>
      </c>
      <c r="L3091" s="1">
        <f>VALUE(5068)</f>
        <v>5068</v>
      </c>
      <c r="M3091" s="1">
        <f>VALUE(5792)</f>
        <v>5792</v>
      </c>
      <c r="N3091" t="s">
        <v>16</v>
      </c>
    </row>
    <row r="3092" spans="1:14" x14ac:dyDescent="0.25">
      <c r="A3092" t="s">
        <v>41</v>
      </c>
      <c r="B3092" t="s">
        <v>15</v>
      </c>
      <c r="C3092" t="s">
        <v>36</v>
      </c>
      <c r="D3092" t="s">
        <v>32</v>
      </c>
      <c r="E3092" t="s">
        <v>23</v>
      </c>
      <c r="F3092" t="s">
        <v>15</v>
      </c>
      <c r="G3092" s="1">
        <f>VALUE(5193.9019518415)</f>
        <v>5193.9019518414998</v>
      </c>
      <c r="H3092" s="1">
        <f>VALUE(4929.4316179127)</f>
        <v>4929.4316179126999</v>
      </c>
      <c r="I3092" s="1">
        <f>VALUE(2708)</f>
        <v>2708</v>
      </c>
      <c r="J3092" s="1">
        <f>VALUE(3065)</f>
        <v>3065</v>
      </c>
      <c r="K3092" s="1">
        <f>VALUE(3713)</f>
        <v>3713</v>
      </c>
      <c r="L3092" s="1">
        <f>VALUE(4550)</f>
        <v>4550</v>
      </c>
      <c r="M3092" s="1">
        <f>VALUE(5363)</f>
        <v>5363</v>
      </c>
      <c r="N3092" t="s">
        <v>16</v>
      </c>
    </row>
    <row r="3093" spans="1:14" x14ac:dyDescent="0.25">
      <c r="A3093" t="s">
        <v>41</v>
      </c>
      <c r="B3093" t="s">
        <v>15</v>
      </c>
      <c r="C3093" t="s">
        <v>36</v>
      </c>
      <c r="D3093" t="s">
        <v>32</v>
      </c>
      <c r="E3093" t="s">
        <v>23</v>
      </c>
      <c r="F3093" t="s">
        <v>17</v>
      </c>
      <c r="G3093" s="1" t="str">
        <f t="shared" ref="G3093:M3094" si="664">"X"</f>
        <v>X</v>
      </c>
      <c r="H3093" s="1" t="str">
        <f t="shared" si="664"/>
        <v>X</v>
      </c>
      <c r="I3093" s="1" t="str">
        <f t="shared" si="664"/>
        <v>X</v>
      </c>
      <c r="J3093" s="1" t="str">
        <f t="shared" si="664"/>
        <v>X</v>
      </c>
      <c r="K3093" s="1" t="str">
        <f t="shared" si="664"/>
        <v>X</v>
      </c>
      <c r="L3093" s="1" t="str">
        <f t="shared" si="664"/>
        <v>X</v>
      </c>
      <c r="M3093" s="1" t="str">
        <f t="shared" si="664"/>
        <v>X</v>
      </c>
      <c r="N3093" t="s">
        <v>27</v>
      </c>
    </row>
    <row r="3094" spans="1:14" x14ac:dyDescent="0.25">
      <c r="A3094" t="s">
        <v>41</v>
      </c>
      <c r="B3094" t="s">
        <v>15</v>
      </c>
      <c r="C3094" t="s">
        <v>36</v>
      </c>
      <c r="D3094" t="s">
        <v>32</v>
      </c>
      <c r="E3094" t="s">
        <v>23</v>
      </c>
      <c r="F3094" t="s">
        <v>18</v>
      </c>
      <c r="G3094" s="1" t="str">
        <f t="shared" si="664"/>
        <v>X</v>
      </c>
      <c r="H3094" s="1" t="str">
        <f t="shared" si="664"/>
        <v>X</v>
      </c>
      <c r="I3094" s="1" t="str">
        <f t="shared" si="664"/>
        <v>X</v>
      </c>
      <c r="J3094" s="1" t="str">
        <f t="shared" si="664"/>
        <v>X</v>
      </c>
      <c r="K3094" s="1" t="str">
        <f t="shared" si="664"/>
        <v>X</v>
      </c>
      <c r="L3094" s="1" t="str">
        <f t="shared" si="664"/>
        <v>X</v>
      </c>
      <c r="M3094" s="1" t="str">
        <f t="shared" si="664"/>
        <v>X</v>
      </c>
      <c r="N3094" t="s">
        <v>27</v>
      </c>
    </row>
    <row r="3095" spans="1:14" x14ac:dyDescent="0.25">
      <c r="A3095" t="s">
        <v>41</v>
      </c>
      <c r="B3095" t="s">
        <v>15</v>
      </c>
      <c r="C3095" t="s">
        <v>36</v>
      </c>
      <c r="D3095" t="s">
        <v>32</v>
      </c>
      <c r="E3095" t="s">
        <v>23</v>
      </c>
      <c r="F3095" t="s">
        <v>19</v>
      </c>
      <c r="G3095" s="2">
        <f>VALUE(424.0798921747)</f>
        <v>424.07989217469998</v>
      </c>
      <c r="H3095" s="3">
        <f>VALUE(397.8286108179)</f>
        <v>397.82861081790003</v>
      </c>
      <c r="I3095" s="4">
        <f>VALUE(3207)</f>
        <v>3207</v>
      </c>
      <c r="J3095" s="1">
        <f>VALUE(3745)</f>
        <v>3745</v>
      </c>
      <c r="K3095" s="1">
        <f>VALUE(4122)</f>
        <v>4122</v>
      </c>
      <c r="L3095" s="7">
        <f>VALUE(5033)</f>
        <v>5033</v>
      </c>
      <c r="M3095" s="1">
        <f>VALUE(6114)</f>
        <v>6114</v>
      </c>
      <c r="N3095" t="s">
        <v>25</v>
      </c>
    </row>
    <row r="3096" spans="1:14" x14ac:dyDescent="0.25">
      <c r="A3096" t="s">
        <v>41</v>
      </c>
      <c r="B3096" t="s">
        <v>15</v>
      </c>
      <c r="C3096" t="s">
        <v>36</v>
      </c>
      <c r="D3096" t="s">
        <v>32</v>
      </c>
      <c r="E3096" t="s">
        <v>23</v>
      </c>
      <c r="F3096" t="s">
        <v>20</v>
      </c>
      <c r="G3096" s="1">
        <f>VALUE(4519.5127646591)</f>
        <v>4519.5127646591</v>
      </c>
      <c r="H3096" s="1">
        <f>VALUE(4285.2500660258)</f>
        <v>4285.2500660258002</v>
      </c>
      <c r="I3096" s="1">
        <f>VALUE(2687)</f>
        <v>2687</v>
      </c>
      <c r="J3096" s="1">
        <f>VALUE(2992)</f>
        <v>2992</v>
      </c>
      <c r="K3096" s="1">
        <f>VALUE(3600)</f>
        <v>3600</v>
      </c>
      <c r="L3096" s="1">
        <f>VALUE(4415)</f>
        <v>4415</v>
      </c>
      <c r="M3096" s="1">
        <f>VALUE(5279)</f>
        <v>5279</v>
      </c>
      <c r="N3096" t="s">
        <v>16</v>
      </c>
    </row>
    <row r="3097" spans="1:14" x14ac:dyDescent="0.25">
      <c r="A3097" t="s">
        <v>41</v>
      </c>
      <c r="B3097" t="s">
        <v>15</v>
      </c>
      <c r="C3097" t="s">
        <v>36</v>
      </c>
      <c r="D3097" t="s">
        <v>32</v>
      </c>
      <c r="E3097" t="s">
        <v>26</v>
      </c>
      <c r="F3097" t="s">
        <v>15</v>
      </c>
      <c r="G3097" s="1" t="str">
        <f t="shared" ref="G3097:M3099" si="665">"X"</f>
        <v>X</v>
      </c>
      <c r="H3097" s="1" t="str">
        <f t="shared" si="665"/>
        <v>X</v>
      </c>
      <c r="I3097" s="1" t="str">
        <f t="shared" si="665"/>
        <v>X</v>
      </c>
      <c r="J3097" s="1" t="str">
        <f t="shared" si="665"/>
        <v>X</v>
      </c>
      <c r="K3097" s="1" t="str">
        <f t="shared" si="665"/>
        <v>X</v>
      </c>
      <c r="L3097" s="1" t="str">
        <f t="shared" si="665"/>
        <v>X</v>
      </c>
      <c r="M3097" s="1" t="str">
        <f t="shared" si="665"/>
        <v>X</v>
      </c>
      <c r="N3097" t="s">
        <v>27</v>
      </c>
    </row>
    <row r="3098" spans="1:14" x14ac:dyDescent="0.25">
      <c r="A3098" t="s">
        <v>41</v>
      </c>
      <c r="B3098" t="s">
        <v>15</v>
      </c>
      <c r="C3098" t="s">
        <v>36</v>
      </c>
      <c r="D3098" t="s">
        <v>32</v>
      </c>
      <c r="E3098" t="s">
        <v>26</v>
      </c>
      <c r="F3098" t="s">
        <v>17</v>
      </c>
      <c r="G3098" s="1" t="str">
        <f t="shared" si="665"/>
        <v>X</v>
      </c>
      <c r="H3098" s="1" t="str">
        <f t="shared" si="665"/>
        <v>X</v>
      </c>
      <c r="I3098" s="1" t="str">
        <f t="shared" si="665"/>
        <v>X</v>
      </c>
      <c r="J3098" s="1" t="str">
        <f t="shared" si="665"/>
        <v>X</v>
      </c>
      <c r="K3098" s="1" t="str">
        <f t="shared" si="665"/>
        <v>X</v>
      </c>
      <c r="L3098" s="1" t="str">
        <f t="shared" si="665"/>
        <v>X</v>
      </c>
      <c r="M3098" s="1" t="str">
        <f t="shared" si="665"/>
        <v>X</v>
      </c>
      <c r="N3098" t="s">
        <v>27</v>
      </c>
    </row>
    <row r="3099" spans="1:14" x14ac:dyDescent="0.25">
      <c r="A3099" t="s">
        <v>41</v>
      </c>
      <c r="B3099" t="s">
        <v>15</v>
      </c>
      <c r="C3099" t="s">
        <v>36</v>
      </c>
      <c r="D3099" t="s">
        <v>32</v>
      </c>
      <c r="E3099" t="s">
        <v>26</v>
      </c>
      <c r="F3099" t="s">
        <v>18</v>
      </c>
      <c r="G3099" s="1" t="str">
        <f t="shared" si="665"/>
        <v>X</v>
      </c>
      <c r="H3099" s="1" t="str">
        <f t="shared" si="665"/>
        <v>X</v>
      </c>
      <c r="I3099" s="1" t="str">
        <f t="shared" si="665"/>
        <v>X</v>
      </c>
      <c r="J3099" s="1" t="str">
        <f t="shared" si="665"/>
        <v>X</v>
      </c>
      <c r="K3099" s="1" t="str">
        <f t="shared" si="665"/>
        <v>X</v>
      </c>
      <c r="L3099" s="1" t="str">
        <f t="shared" si="665"/>
        <v>X</v>
      </c>
      <c r="M3099" s="1" t="str">
        <f t="shared" si="665"/>
        <v>X</v>
      </c>
      <c r="N3099" t="s">
        <v>27</v>
      </c>
    </row>
    <row r="3100" spans="1:14" x14ac:dyDescent="0.25">
      <c r="A3100" t="s">
        <v>41</v>
      </c>
      <c r="B3100" t="s">
        <v>15</v>
      </c>
      <c r="C3100" t="s">
        <v>36</v>
      </c>
      <c r="D3100" t="s">
        <v>32</v>
      </c>
      <c r="E3100" t="s">
        <v>26</v>
      </c>
      <c r="F3100" t="s">
        <v>19</v>
      </c>
      <c r="G3100" s="1" t="str">
        <f t="shared" ref="G3100:M3100" si="666">"..."</f>
        <v>...</v>
      </c>
      <c r="H3100" s="1" t="str">
        <f t="shared" si="666"/>
        <v>...</v>
      </c>
      <c r="I3100" s="1" t="str">
        <f t="shared" si="666"/>
        <v>...</v>
      </c>
      <c r="J3100" s="1" t="str">
        <f t="shared" si="666"/>
        <v>...</v>
      </c>
      <c r="K3100" s="1" t="str">
        <f t="shared" si="666"/>
        <v>...</v>
      </c>
      <c r="L3100" s="1" t="str">
        <f t="shared" si="666"/>
        <v>...</v>
      </c>
      <c r="M3100" s="1" t="str">
        <f t="shared" si="666"/>
        <v>...</v>
      </c>
      <c r="N3100" t="s">
        <v>30</v>
      </c>
    </row>
    <row r="3101" spans="1:14" x14ac:dyDescent="0.25">
      <c r="A3101" t="s">
        <v>41</v>
      </c>
      <c r="B3101" t="s">
        <v>15</v>
      </c>
      <c r="C3101" t="s">
        <v>36</v>
      </c>
      <c r="D3101" t="s">
        <v>32</v>
      </c>
      <c r="E3101" t="s">
        <v>26</v>
      </c>
      <c r="F3101" t="s">
        <v>20</v>
      </c>
      <c r="G3101" s="1" t="str">
        <f t="shared" ref="G3101:M3101" si="667">"X"</f>
        <v>X</v>
      </c>
      <c r="H3101" s="1" t="str">
        <f t="shared" si="667"/>
        <v>X</v>
      </c>
      <c r="I3101" s="1" t="str">
        <f t="shared" si="667"/>
        <v>X</v>
      </c>
      <c r="J3101" s="1" t="str">
        <f t="shared" si="667"/>
        <v>X</v>
      </c>
      <c r="K3101" s="1" t="str">
        <f t="shared" si="667"/>
        <v>X</v>
      </c>
      <c r="L3101" s="1" t="str">
        <f t="shared" si="667"/>
        <v>X</v>
      </c>
      <c r="M3101" s="1" t="str">
        <f t="shared" si="667"/>
        <v>X</v>
      </c>
      <c r="N3101" t="s">
        <v>27</v>
      </c>
    </row>
    <row r="3102" spans="1:14" x14ac:dyDescent="0.25">
      <c r="A3102" t="s">
        <v>41</v>
      </c>
      <c r="B3102" t="s">
        <v>15</v>
      </c>
      <c r="C3102" t="s">
        <v>36</v>
      </c>
      <c r="D3102" t="s">
        <v>33</v>
      </c>
      <c r="E3102" t="s">
        <v>15</v>
      </c>
      <c r="F3102" t="s">
        <v>15</v>
      </c>
      <c r="G3102" s="2">
        <f>VALUE(443.3076131881)</f>
        <v>443.30761318809999</v>
      </c>
      <c r="H3102" s="3">
        <f>VALUE(406.8041074978)</f>
        <v>406.80410749779998</v>
      </c>
      <c r="I3102" s="4">
        <f>VALUE(3069)</f>
        <v>3069</v>
      </c>
      <c r="J3102" s="5">
        <f>VALUE(3332)</f>
        <v>3332</v>
      </c>
      <c r="K3102" s="6">
        <f>VALUE(4000)</f>
        <v>4000</v>
      </c>
      <c r="L3102" s="7">
        <f>VALUE(5414)</f>
        <v>5414</v>
      </c>
      <c r="M3102" s="8">
        <f>VALUE(6304)</f>
        <v>6304</v>
      </c>
      <c r="N3102" t="s">
        <v>24</v>
      </c>
    </row>
    <row r="3103" spans="1:14" x14ac:dyDescent="0.25">
      <c r="A3103" t="s">
        <v>41</v>
      </c>
      <c r="B3103" t="s">
        <v>15</v>
      </c>
      <c r="C3103" t="s">
        <v>36</v>
      </c>
      <c r="D3103" t="s">
        <v>33</v>
      </c>
      <c r="E3103" t="s">
        <v>15</v>
      </c>
      <c r="F3103" t="s">
        <v>17</v>
      </c>
      <c r="G3103" s="1" t="str">
        <f t="shared" ref="G3103:M3105" si="668">"X"</f>
        <v>X</v>
      </c>
      <c r="H3103" s="1" t="str">
        <f t="shared" si="668"/>
        <v>X</v>
      </c>
      <c r="I3103" s="1" t="str">
        <f t="shared" si="668"/>
        <v>X</v>
      </c>
      <c r="J3103" s="1" t="str">
        <f t="shared" si="668"/>
        <v>X</v>
      </c>
      <c r="K3103" s="1" t="str">
        <f t="shared" si="668"/>
        <v>X</v>
      </c>
      <c r="L3103" s="1" t="str">
        <f t="shared" si="668"/>
        <v>X</v>
      </c>
      <c r="M3103" s="1" t="str">
        <f t="shared" si="668"/>
        <v>X</v>
      </c>
      <c r="N3103" t="s">
        <v>27</v>
      </c>
    </row>
    <row r="3104" spans="1:14" x14ac:dyDescent="0.25">
      <c r="A3104" t="s">
        <v>41</v>
      </c>
      <c r="B3104" t="s">
        <v>15</v>
      </c>
      <c r="C3104" t="s">
        <v>36</v>
      </c>
      <c r="D3104" t="s">
        <v>33</v>
      </c>
      <c r="E3104" t="s">
        <v>15</v>
      </c>
      <c r="F3104" t="s">
        <v>18</v>
      </c>
      <c r="G3104" s="1" t="str">
        <f t="shared" si="668"/>
        <v>X</v>
      </c>
      <c r="H3104" s="1" t="str">
        <f t="shared" si="668"/>
        <v>X</v>
      </c>
      <c r="I3104" s="1" t="str">
        <f t="shared" si="668"/>
        <v>X</v>
      </c>
      <c r="J3104" s="1" t="str">
        <f t="shared" si="668"/>
        <v>X</v>
      </c>
      <c r="K3104" s="1" t="str">
        <f t="shared" si="668"/>
        <v>X</v>
      </c>
      <c r="L3104" s="1" t="str">
        <f t="shared" si="668"/>
        <v>X</v>
      </c>
      <c r="M3104" s="1" t="str">
        <f t="shared" si="668"/>
        <v>X</v>
      </c>
      <c r="N3104" t="s">
        <v>27</v>
      </c>
    </row>
    <row r="3105" spans="1:14" x14ac:dyDescent="0.25">
      <c r="A3105" t="s">
        <v>41</v>
      </c>
      <c r="B3105" t="s">
        <v>15</v>
      </c>
      <c r="C3105" t="s">
        <v>36</v>
      </c>
      <c r="D3105" t="s">
        <v>33</v>
      </c>
      <c r="E3105" t="s">
        <v>15</v>
      </c>
      <c r="F3105" t="s">
        <v>19</v>
      </c>
      <c r="G3105" s="1" t="str">
        <f t="shared" si="668"/>
        <v>X</v>
      </c>
      <c r="H3105" s="1" t="str">
        <f t="shared" si="668"/>
        <v>X</v>
      </c>
      <c r="I3105" s="1" t="str">
        <f t="shared" si="668"/>
        <v>X</v>
      </c>
      <c r="J3105" s="1" t="str">
        <f t="shared" si="668"/>
        <v>X</v>
      </c>
      <c r="K3105" s="1" t="str">
        <f t="shared" si="668"/>
        <v>X</v>
      </c>
      <c r="L3105" s="1" t="str">
        <f t="shared" si="668"/>
        <v>X</v>
      </c>
      <c r="M3105" s="1" t="str">
        <f t="shared" si="668"/>
        <v>X</v>
      </c>
      <c r="N3105" t="s">
        <v>27</v>
      </c>
    </row>
    <row r="3106" spans="1:14" x14ac:dyDescent="0.25">
      <c r="A3106" t="s">
        <v>41</v>
      </c>
      <c r="B3106" t="s">
        <v>15</v>
      </c>
      <c r="C3106" t="s">
        <v>36</v>
      </c>
      <c r="D3106" t="s">
        <v>33</v>
      </c>
      <c r="E3106" t="s">
        <v>15</v>
      </c>
      <c r="F3106" t="s">
        <v>20</v>
      </c>
      <c r="G3106" s="2">
        <f>VALUE(235.5130089987)</f>
        <v>235.5130089987</v>
      </c>
      <c r="H3106" s="3">
        <f>VALUE(224.7164103364)</f>
        <v>224.7164103364</v>
      </c>
      <c r="I3106" s="4">
        <f>VALUE(2709)</f>
        <v>2709</v>
      </c>
      <c r="J3106" s="5">
        <f>VALUE(3261)</f>
        <v>3261</v>
      </c>
      <c r="K3106" s="6">
        <f>VALUE(3452)</f>
        <v>3452</v>
      </c>
      <c r="L3106" s="7">
        <f>VALUE(4894)</f>
        <v>4894</v>
      </c>
      <c r="M3106" s="8">
        <f>VALUE(5699)</f>
        <v>5699</v>
      </c>
      <c r="N3106" t="s">
        <v>24</v>
      </c>
    </row>
    <row r="3107" spans="1:14" x14ac:dyDescent="0.25">
      <c r="A3107" t="s">
        <v>41</v>
      </c>
      <c r="B3107" t="s">
        <v>15</v>
      </c>
      <c r="C3107" t="s">
        <v>36</v>
      </c>
      <c r="D3107" t="s">
        <v>33</v>
      </c>
      <c r="E3107" t="s">
        <v>21</v>
      </c>
      <c r="F3107" t="s">
        <v>15</v>
      </c>
      <c r="G3107" s="1" t="str">
        <f t="shared" ref="G3107:M3112" si="669">"X"</f>
        <v>X</v>
      </c>
      <c r="H3107" s="1" t="str">
        <f t="shared" si="669"/>
        <v>X</v>
      </c>
      <c r="I3107" s="1" t="str">
        <f t="shared" si="669"/>
        <v>X</v>
      </c>
      <c r="J3107" s="1" t="str">
        <f t="shared" si="669"/>
        <v>X</v>
      </c>
      <c r="K3107" s="1" t="str">
        <f t="shared" si="669"/>
        <v>X</v>
      </c>
      <c r="L3107" s="1" t="str">
        <f t="shared" si="669"/>
        <v>X</v>
      </c>
      <c r="M3107" s="1" t="str">
        <f t="shared" si="669"/>
        <v>X</v>
      </c>
      <c r="N3107" t="s">
        <v>27</v>
      </c>
    </row>
    <row r="3108" spans="1:14" x14ac:dyDescent="0.25">
      <c r="A3108" t="s">
        <v>41</v>
      </c>
      <c r="B3108" t="s">
        <v>15</v>
      </c>
      <c r="C3108" t="s">
        <v>36</v>
      </c>
      <c r="D3108" t="s">
        <v>33</v>
      </c>
      <c r="E3108" t="s">
        <v>21</v>
      </c>
      <c r="F3108" t="s">
        <v>17</v>
      </c>
      <c r="G3108" s="1" t="str">
        <f t="shared" si="669"/>
        <v>X</v>
      </c>
      <c r="H3108" s="1" t="str">
        <f t="shared" si="669"/>
        <v>X</v>
      </c>
      <c r="I3108" s="1" t="str">
        <f t="shared" si="669"/>
        <v>X</v>
      </c>
      <c r="J3108" s="1" t="str">
        <f t="shared" si="669"/>
        <v>X</v>
      </c>
      <c r="K3108" s="1" t="str">
        <f t="shared" si="669"/>
        <v>X</v>
      </c>
      <c r="L3108" s="1" t="str">
        <f t="shared" si="669"/>
        <v>X</v>
      </c>
      <c r="M3108" s="1" t="str">
        <f t="shared" si="669"/>
        <v>X</v>
      </c>
      <c r="N3108" t="s">
        <v>27</v>
      </c>
    </row>
    <row r="3109" spans="1:14" x14ac:dyDescent="0.25">
      <c r="A3109" t="s">
        <v>41</v>
      </c>
      <c r="B3109" t="s">
        <v>15</v>
      </c>
      <c r="C3109" t="s">
        <v>36</v>
      </c>
      <c r="D3109" t="s">
        <v>33</v>
      </c>
      <c r="E3109" t="s">
        <v>21</v>
      </c>
      <c r="F3109" t="s">
        <v>18</v>
      </c>
      <c r="G3109" s="1" t="str">
        <f t="shared" si="669"/>
        <v>X</v>
      </c>
      <c r="H3109" s="1" t="str">
        <f t="shared" si="669"/>
        <v>X</v>
      </c>
      <c r="I3109" s="1" t="str">
        <f t="shared" si="669"/>
        <v>X</v>
      </c>
      <c r="J3109" s="1" t="str">
        <f t="shared" si="669"/>
        <v>X</v>
      </c>
      <c r="K3109" s="1" t="str">
        <f t="shared" si="669"/>
        <v>X</v>
      </c>
      <c r="L3109" s="1" t="str">
        <f t="shared" si="669"/>
        <v>X</v>
      </c>
      <c r="M3109" s="1" t="str">
        <f t="shared" si="669"/>
        <v>X</v>
      </c>
      <c r="N3109" t="s">
        <v>27</v>
      </c>
    </row>
    <row r="3110" spans="1:14" x14ac:dyDescent="0.25">
      <c r="A3110" t="s">
        <v>41</v>
      </c>
      <c r="B3110" t="s">
        <v>15</v>
      </c>
      <c r="C3110" t="s">
        <v>36</v>
      </c>
      <c r="D3110" t="s">
        <v>33</v>
      </c>
      <c r="E3110" t="s">
        <v>21</v>
      </c>
      <c r="F3110" t="s">
        <v>19</v>
      </c>
      <c r="G3110" s="1" t="str">
        <f t="shared" si="669"/>
        <v>X</v>
      </c>
      <c r="H3110" s="1" t="str">
        <f t="shared" si="669"/>
        <v>X</v>
      </c>
      <c r="I3110" s="1" t="str">
        <f t="shared" si="669"/>
        <v>X</v>
      </c>
      <c r="J3110" s="1" t="str">
        <f t="shared" si="669"/>
        <v>X</v>
      </c>
      <c r="K3110" s="1" t="str">
        <f t="shared" si="669"/>
        <v>X</v>
      </c>
      <c r="L3110" s="1" t="str">
        <f t="shared" si="669"/>
        <v>X</v>
      </c>
      <c r="M3110" s="1" t="str">
        <f t="shared" si="669"/>
        <v>X</v>
      </c>
      <c r="N3110" t="s">
        <v>27</v>
      </c>
    </row>
    <row r="3111" spans="1:14" x14ac:dyDescent="0.25">
      <c r="A3111" t="s">
        <v>41</v>
      </c>
      <c r="B3111" t="s">
        <v>15</v>
      </c>
      <c r="C3111" t="s">
        <v>36</v>
      </c>
      <c r="D3111" t="s">
        <v>33</v>
      </c>
      <c r="E3111" t="s">
        <v>21</v>
      </c>
      <c r="F3111" t="s">
        <v>20</v>
      </c>
      <c r="G3111" s="1" t="str">
        <f t="shared" si="669"/>
        <v>X</v>
      </c>
      <c r="H3111" s="1" t="str">
        <f t="shared" si="669"/>
        <v>X</v>
      </c>
      <c r="I3111" s="1" t="str">
        <f t="shared" si="669"/>
        <v>X</v>
      </c>
      <c r="J3111" s="1" t="str">
        <f t="shared" si="669"/>
        <v>X</v>
      </c>
      <c r="K3111" s="1" t="str">
        <f t="shared" si="669"/>
        <v>X</v>
      </c>
      <c r="L3111" s="1" t="str">
        <f t="shared" si="669"/>
        <v>X</v>
      </c>
      <c r="M3111" s="1" t="str">
        <f t="shared" si="669"/>
        <v>X</v>
      </c>
      <c r="N3111" t="s">
        <v>27</v>
      </c>
    </row>
    <row r="3112" spans="1:14" x14ac:dyDescent="0.25">
      <c r="A3112" t="s">
        <v>41</v>
      </c>
      <c r="B3112" t="s">
        <v>15</v>
      </c>
      <c r="C3112" t="s">
        <v>36</v>
      </c>
      <c r="D3112" t="s">
        <v>33</v>
      </c>
      <c r="E3112" t="s">
        <v>22</v>
      </c>
      <c r="F3112" t="s">
        <v>15</v>
      </c>
      <c r="G3112" s="1" t="str">
        <f t="shared" si="669"/>
        <v>X</v>
      </c>
      <c r="H3112" s="1" t="str">
        <f t="shared" si="669"/>
        <v>X</v>
      </c>
      <c r="I3112" s="1" t="str">
        <f t="shared" si="669"/>
        <v>X</v>
      </c>
      <c r="J3112" s="1" t="str">
        <f t="shared" si="669"/>
        <v>X</v>
      </c>
      <c r="K3112" s="1" t="str">
        <f t="shared" si="669"/>
        <v>X</v>
      </c>
      <c r="L3112" s="1" t="str">
        <f t="shared" si="669"/>
        <v>X</v>
      </c>
      <c r="M3112" s="1" t="str">
        <f t="shared" si="669"/>
        <v>X</v>
      </c>
      <c r="N3112" t="s">
        <v>27</v>
      </c>
    </row>
    <row r="3113" spans="1:14" x14ac:dyDescent="0.25">
      <c r="A3113" t="s">
        <v>41</v>
      </c>
      <c r="B3113" t="s">
        <v>15</v>
      </c>
      <c r="C3113" t="s">
        <v>36</v>
      </c>
      <c r="D3113" t="s">
        <v>33</v>
      </c>
      <c r="E3113" t="s">
        <v>22</v>
      </c>
      <c r="F3113" t="s">
        <v>17</v>
      </c>
      <c r="G3113" s="1" t="str">
        <f t="shared" ref="G3113:M3113" si="670">"..."</f>
        <v>...</v>
      </c>
      <c r="H3113" s="1" t="str">
        <f t="shared" si="670"/>
        <v>...</v>
      </c>
      <c r="I3113" s="1" t="str">
        <f t="shared" si="670"/>
        <v>...</v>
      </c>
      <c r="J3113" s="1" t="str">
        <f t="shared" si="670"/>
        <v>...</v>
      </c>
      <c r="K3113" s="1" t="str">
        <f t="shared" si="670"/>
        <v>...</v>
      </c>
      <c r="L3113" s="1" t="str">
        <f t="shared" si="670"/>
        <v>...</v>
      </c>
      <c r="M3113" s="1" t="str">
        <f t="shared" si="670"/>
        <v>...</v>
      </c>
      <c r="N3113" t="s">
        <v>30</v>
      </c>
    </row>
    <row r="3114" spans="1:14" x14ac:dyDescent="0.25">
      <c r="A3114" t="s">
        <v>41</v>
      </c>
      <c r="B3114" t="s">
        <v>15</v>
      </c>
      <c r="C3114" t="s">
        <v>36</v>
      </c>
      <c r="D3114" t="s">
        <v>33</v>
      </c>
      <c r="E3114" t="s">
        <v>22</v>
      </c>
      <c r="F3114" t="s">
        <v>18</v>
      </c>
      <c r="G3114" s="1" t="str">
        <f t="shared" ref="G3114:M3117" si="671">"X"</f>
        <v>X</v>
      </c>
      <c r="H3114" s="1" t="str">
        <f t="shared" si="671"/>
        <v>X</v>
      </c>
      <c r="I3114" s="1" t="str">
        <f t="shared" si="671"/>
        <v>X</v>
      </c>
      <c r="J3114" s="1" t="str">
        <f t="shared" si="671"/>
        <v>X</v>
      </c>
      <c r="K3114" s="1" t="str">
        <f t="shared" si="671"/>
        <v>X</v>
      </c>
      <c r="L3114" s="1" t="str">
        <f t="shared" si="671"/>
        <v>X</v>
      </c>
      <c r="M3114" s="1" t="str">
        <f t="shared" si="671"/>
        <v>X</v>
      </c>
      <c r="N3114" t="s">
        <v>27</v>
      </c>
    </row>
    <row r="3115" spans="1:14" x14ac:dyDescent="0.25">
      <c r="A3115" t="s">
        <v>41</v>
      </c>
      <c r="B3115" t="s">
        <v>15</v>
      </c>
      <c r="C3115" t="s">
        <v>36</v>
      </c>
      <c r="D3115" t="s">
        <v>33</v>
      </c>
      <c r="E3115" t="s">
        <v>22</v>
      </c>
      <c r="F3115" t="s">
        <v>19</v>
      </c>
      <c r="G3115" s="1" t="str">
        <f t="shared" si="671"/>
        <v>X</v>
      </c>
      <c r="H3115" s="1" t="str">
        <f t="shared" si="671"/>
        <v>X</v>
      </c>
      <c r="I3115" s="1" t="str">
        <f t="shared" si="671"/>
        <v>X</v>
      </c>
      <c r="J3115" s="1" t="str">
        <f t="shared" si="671"/>
        <v>X</v>
      </c>
      <c r="K3115" s="1" t="str">
        <f t="shared" si="671"/>
        <v>X</v>
      </c>
      <c r="L3115" s="1" t="str">
        <f t="shared" si="671"/>
        <v>X</v>
      </c>
      <c r="M3115" s="1" t="str">
        <f t="shared" si="671"/>
        <v>X</v>
      </c>
      <c r="N3115" t="s">
        <v>27</v>
      </c>
    </row>
    <row r="3116" spans="1:14" x14ac:dyDescent="0.25">
      <c r="A3116" t="s">
        <v>41</v>
      </c>
      <c r="B3116" t="s">
        <v>15</v>
      </c>
      <c r="C3116" t="s">
        <v>36</v>
      </c>
      <c r="D3116" t="s">
        <v>33</v>
      </c>
      <c r="E3116" t="s">
        <v>22</v>
      </c>
      <c r="F3116" t="s">
        <v>20</v>
      </c>
      <c r="G3116" s="1" t="str">
        <f t="shared" si="671"/>
        <v>X</v>
      </c>
      <c r="H3116" s="1" t="str">
        <f t="shared" si="671"/>
        <v>X</v>
      </c>
      <c r="I3116" s="1" t="str">
        <f t="shared" si="671"/>
        <v>X</v>
      </c>
      <c r="J3116" s="1" t="str">
        <f t="shared" si="671"/>
        <v>X</v>
      </c>
      <c r="K3116" s="1" t="str">
        <f t="shared" si="671"/>
        <v>X</v>
      </c>
      <c r="L3116" s="1" t="str">
        <f t="shared" si="671"/>
        <v>X</v>
      </c>
      <c r="M3116" s="1" t="str">
        <f t="shared" si="671"/>
        <v>X</v>
      </c>
      <c r="N3116" t="s">
        <v>27</v>
      </c>
    </row>
    <row r="3117" spans="1:14" x14ac:dyDescent="0.25">
      <c r="A3117" t="s">
        <v>41</v>
      </c>
      <c r="B3117" t="s">
        <v>15</v>
      </c>
      <c r="C3117" t="s">
        <v>36</v>
      </c>
      <c r="D3117" t="s">
        <v>33</v>
      </c>
      <c r="E3117" t="s">
        <v>23</v>
      </c>
      <c r="F3117" t="s">
        <v>15</v>
      </c>
      <c r="G3117" s="1" t="str">
        <f t="shared" si="671"/>
        <v>X</v>
      </c>
      <c r="H3117" s="1" t="str">
        <f t="shared" si="671"/>
        <v>X</v>
      </c>
      <c r="I3117" s="1" t="str">
        <f t="shared" si="671"/>
        <v>X</v>
      </c>
      <c r="J3117" s="1" t="str">
        <f t="shared" si="671"/>
        <v>X</v>
      </c>
      <c r="K3117" s="1" t="str">
        <f t="shared" si="671"/>
        <v>X</v>
      </c>
      <c r="L3117" s="1" t="str">
        <f t="shared" si="671"/>
        <v>X</v>
      </c>
      <c r="M3117" s="1" t="str">
        <f t="shared" si="671"/>
        <v>X</v>
      </c>
      <c r="N3117" t="s">
        <v>27</v>
      </c>
    </row>
    <row r="3118" spans="1:14" x14ac:dyDescent="0.25">
      <c r="A3118" t="s">
        <v>41</v>
      </c>
      <c r="B3118" t="s">
        <v>15</v>
      </c>
      <c r="C3118" t="s">
        <v>36</v>
      </c>
      <c r="D3118" t="s">
        <v>33</v>
      </c>
      <c r="E3118" t="s">
        <v>23</v>
      </c>
      <c r="F3118" t="s">
        <v>17</v>
      </c>
      <c r="G3118" s="1" t="str">
        <f t="shared" ref="G3118:M3118" si="672">"..."</f>
        <v>...</v>
      </c>
      <c r="H3118" s="1" t="str">
        <f t="shared" si="672"/>
        <v>...</v>
      </c>
      <c r="I3118" s="1" t="str">
        <f t="shared" si="672"/>
        <v>...</v>
      </c>
      <c r="J3118" s="1" t="str">
        <f t="shared" si="672"/>
        <v>...</v>
      </c>
      <c r="K3118" s="1" t="str">
        <f t="shared" si="672"/>
        <v>...</v>
      </c>
      <c r="L3118" s="1" t="str">
        <f t="shared" si="672"/>
        <v>...</v>
      </c>
      <c r="M3118" s="1" t="str">
        <f t="shared" si="672"/>
        <v>...</v>
      </c>
      <c r="N3118" t="s">
        <v>30</v>
      </c>
    </row>
    <row r="3119" spans="1:14" x14ac:dyDescent="0.25">
      <c r="A3119" t="s">
        <v>41</v>
      </c>
      <c r="B3119" t="s">
        <v>15</v>
      </c>
      <c r="C3119" t="s">
        <v>36</v>
      </c>
      <c r="D3119" t="s">
        <v>33</v>
      </c>
      <c r="E3119" t="s">
        <v>23</v>
      </c>
      <c r="F3119" t="s">
        <v>18</v>
      </c>
      <c r="G3119" s="1" t="str">
        <f t="shared" ref="G3119:M3121" si="673">"X"</f>
        <v>X</v>
      </c>
      <c r="H3119" s="1" t="str">
        <f t="shared" si="673"/>
        <v>X</v>
      </c>
      <c r="I3119" s="1" t="str">
        <f t="shared" si="673"/>
        <v>X</v>
      </c>
      <c r="J3119" s="1" t="str">
        <f t="shared" si="673"/>
        <v>X</v>
      </c>
      <c r="K3119" s="1" t="str">
        <f t="shared" si="673"/>
        <v>X</v>
      </c>
      <c r="L3119" s="1" t="str">
        <f t="shared" si="673"/>
        <v>X</v>
      </c>
      <c r="M3119" s="1" t="str">
        <f t="shared" si="673"/>
        <v>X</v>
      </c>
      <c r="N3119" t="s">
        <v>27</v>
      </c>
    </row>
    <row r="3120" spans="1:14" x14ac:dyDescent="0.25">
      <c r="A3120" t="s">
        <v>41</v>
      </c>
      <c r="B3120" t="s">
        <v>15</v>
      </c>
      <c r="C3120" t="s">
        <v>36</v>
      </c>
      <c r="D3120" t="s">
        <v>33</v>
      </c>
      <c r="E3120" t="s">
        <v>23</v>
      </c>
      <c r="F3120" t="s">
        <v>19</v>
      </c>
      <c r="G3120" s="1" t="str">
        <f t="shared" si="673"/>
        <v>X</v>
      </c>
      <c r="H3120" s="1" t="str">
        <f t="shared" si="673"/>
        <v>X</v>
      </c>
      <c r="I3120" s="1" t="str">
        <f t="shared" si="673"/>
        <v>X</v>
      </c>
      <c r="J3120" s="1" t="str">
        <f t="shared" si="673"/>
        <v>X</v>
      </c>
      <c r="K3120" s="1" t="str">
        <f t="shared" si="673"/>
        <v>X</v>
      </c>
      <c r="L3120" s="1" t="str">
        <f t="shared" si="673"/>
        <v>X</v>
      </c>
      <c r="M3120" s="1" t="str">
        <f t="shared" si="673"/>
        <v>X</v>
      </c>
      <c r="N3120" t="s">
        <v>27</v>
      </c>
    </row>
    <row r="3121" spans="1:14" x14ac:dyDescent="0.25">
      <c r="A3121" t="s">
        <v>41</v>
      </c>
      <c r="B3121" t="s">
        <v>15</v>
      </c>
      <c r="C3121" t="s">
        <v>36</v>
      </c>
      <c r="D3121" t="s">
        <v>33</v>
      </c>
      <c r="E3121" t="s">
        <v>23</v>
      </c>
      <c r="F3121" t="s">
        <v>20</v>
      </c>
      <c r="G3121" s="1" t="str">
        <f t="shared" si="673"/>
        <v>X</v>
      </c>
      <c r="H3121" s="1" t="str">
        <f t="shared" si="673"/>
        <v>X</v>
      </c>
      <c r="I3121" s="1" t="str">
        <f t="shared" si="673"/>
        <v>X</v>
      </c>
      <c r="J3121" s="1" t="str">
        <f t="shared" si="673"/>
        <v>X</v>
      </c>
      <c r="K3121" s="1" t="str">
        <f t="shared" si="673"/>
        <v>X</v>
      </c>
      <c r="L3121" s="1" t="str">
        <f t="shared" si="673"/>
        <v>X</v>
      </c>
      <c r="M3121" s="1" t="str">
        <f t="shared" si="673"/>
        <v>X</v>
      </c>
      <c r="N3121" t="s">
        <v>27</v>
      </c>
    </row>
    <row r="3122" spans="1:14" x14ac:dyDescent="0.25">
      <c r="A3122" t="s">
        <v>41</v>
      </c>
      <c r="B3122" t="s">
        <v>15</v>
      </c>
      <c r="C3122" t="s">
        <v>36</v>
      </c>
      <c r="D3122" t="s">
        <v>33</v>
      </c>
      <c r="E3122" t="s">
        <v>26</v>
      </c>
      <c r="F3122" t="s">
        <v>15</v>
      </c>
      <c r="G3122" s="1" t="str">
        <f t="shared" ref="G3122:M3126" si="674">"..."</f>
        <v>...</v>
      </c>
      <c r="H3122" s="1" t="str">
        <f t="shared" si="674"/>
        <v>...</v>
      </c>
      <c r="I3122" s="1" t="str">
        <f t="shared" si="674"/>
        <v>...</v>
      </c>
      <c r="J3122" s="1" t="str">
        <f t="shared" si="674"/>
        <v>...</v>
      </c>
      <c r="K3122" s="1" t="str">
        <f t="shared" si="674"/>
        <v>...</v>
      </c>
      <c r="L3122" s="1" t="str">
        <f t="shared" si="674"/>
        <v>...</v>
      </c>
      <c r="M3122" s="1" t="str">
        <f t="shared" si="674"/>
        <v>...</v>
      </c>
      <c r="N3122" t="s">
        <v>30</v>
      </c>
    </row>
    <row r="3123" spans="1:14" x14ac:dyDescent="0.25">
      <c r="A3123" t="s">
        <v>41</v>
      </c>
      <c r="B3123" t="s">
        <v>15</v>
      </c>
      <c r="C3123" t="s">
        <v>36</v>
      </c>
      <c r="D3123" t="s">
        <v>33</v>
      </c>
      <c r="E3123" t="s">
        <v>26</v>
      </c>
      <c r="F3123" t="s">
        <v>17</v>
      </c>
      <c r="G3123" s="1" t="str">
        <f t="shared" si="674"/>
        <v>...</v>
      </c>
      <c r="H3123" s="1" t="str">
        <f t="shared" si="674"/>
        <v>...</v>
      </c>
      <c r="I3123" s="1" t="str">
        <f t="shared" si="674"/>
        <v>...</v>
      </c>
      <c r="J3123" s="1" t="str">
        <f t="shared" si="674"/>
        <v>...</v>
      </c>
      <c r="K3123" s="1" t="str">
        <f t="shared" si="674"/>
        <v>...</v>
      </c>
      <c r="L3123" s="1" t="str">
        <f t="shared" si="674"/>
        <v>...</v>
      </c>
      <c r="M3123" s="1" t="str">
        <f t="shared" si="674"/>
        <v>...</v>
      </c>
      <c r="N3123" t="s">
        <v>30</v>
      </c>
    </row>
    <row r="3124" spans="1:14" x14ac:dyDescent="0.25">
      <c r="A3124" t="s">
        <v>41</v>
      </c>
      <c r="B3124" t="s">
        <v>15</v>
      </c>
      <c r="C3124" t="s">
        <v>36</v>
      </c>
      <c r="D3124" t="s">
        <v>33</v>
      </c>
      <c r="E3124" t="s">
        <v>26</v>
      </c>
      <c r="F3124" t="s">
        <v>18</v>
      </c>
      <c r="G3124" s="1" t="str">
        <f t="shared" si="674"/>
        <v>...</v>
      </c>
      <c r="H3124" s="1" t="str">
        <f t="shared" si="674"/>
        <v>...</v>
      </c>
      <c r="I3124" s="1" t="str">
        <f t="shared" si="674"/>
        <v>...</v>
      </c>
      <c r="J3124" s="1" t="str">
        <f t="shared" si="674"/>
        <v>...</v>
      </c>
      <c r="K3124" s="1" t="str">
        <f t="shared" si="674"/>
        <v>...</v>
      </c>
      <c r="L3124" s="1" t="str">
        <f t="shared" si="674"/>
        <v>...</v>
      </c>
      <c r="M3124" s="1" t="str">
        <f t="shared" si="674"/>
        <v>...</v>
      </c>
      <c r="N3124" t="s">
        <v>30</v>
      </c>
    </row>
    <row r="3125" spans="1:14" x14ac:dyDescent="0.25">
      <c r="A3125" t="s">
        <v>41</v>
      </c>
      <c r="B3125" t="s">
        <v>15</v>
      </c>
      <c r="C3125" t="s">
        <v>36</v>
      </c>
      <c r="D3125" t="s">
        <v>33</v>
      </c>
      <c r="E3125" t="s">
        <v>26</v>
      </c>
      <c r="F3125" t="s">
        <v>19</v>
      </c>
      <c r="G3125" s="1" t="str">
        <f t="shared" si="674"/>
        <v>...</v>
      </c>
      <c r="H3125" s="1" t="str">
        <f t="shared" si="674"/>
        <v>...</v>
      </c>
      <c r="I3125" s="1" t="str">
        <f t="shared" si="674"/>
        <v>...</v>
      </c>
      <c r="J3125" s="1" t="str">
        <f t="shared" si="674"/>
        <v>...</v>
      </c>
      <c r="K3125" s="1" t="str">
        <f t="shared" si="674"/>
        <v>...</v>
      </c>
      <c r="L3125" s="1" t="str">
        <f t="shared" si="674"/>
        <v>...</v>
      </c>
      <c r="M3125" s="1" t="str">
        <f t="shared" si="674"/>
        <v>...</v>
      </c>
      <c r="N3125" t="s">
        <v>30</v>
      </c>
    </row>
    <row r="3126" spans="1:14" x14ac:dyDescent="0.25">
      <c r="A3126" t="s">
        <v>41</v>
      </c>
      <c r="B3126" t="s">
        <v>15</v>
      </c>
      <c r="C3126" t="s">
        <v>36</v>
      </c>
      <c r="D3126" t="s">
        <v>33</v>
      </c>
      <c r="E3126" t="s">
        <v>26</v>
      </c>
      <c r="F3126" t="s">
        <v>20</v>
      </c>
      <c r="G3126" s="1" t="str">
        <f t="shared" si="674"/>
        <v>...</v>
      </c>
      <c r="H3126" s="1" t="str">
        <f t="shared" si="674"/>
        <v>...</v>
      </c>
      <c r="I3126" s="1" t="str">
        <f t="shared" si="674"/>
        <v>...</v>
      </c>
      <c r="J3126" s="1" t="str">
        <f t="shared" si="674"/>
        <v>...</v>
      </c>
      <c r="K3126" s="1" t="str">
        <f t="shared" si="674"/>
        <v>...</v>
      </c>
      <c r="L3126" s="1" t="str">
        <f t="shared" si="674"/>
        <v>...</v>
      </c>
      <c r="M3126" s="1" t="str">
        <f t="shared" si="674"/>
        <v>...</v>
      </c>
      <c r="N3126" t="s">
        <v>30</v>
      </c>
    </row>
    <row r="3127" spans="1:14" x14ac:dyDescent="0.25">
      <c r="A3127" t="s">
        <v>41</v>
      </c>
      <c r="B3127" t="s">
        <v>15</v>
      </c>
      <c r="C3127" t="s">
        <v>36</v>
      </c>
      <c r="D3127" t="s">
        <v>34</v>
      </c>
      <c r="E3127" t="s">
        <v>15</v>
      </c>
      <c r="F3127" t="s">
        <v>15</v>
      </c>
      <c r="G3127" s="2">
        <f>VALUE(372.6746711636)</f>
        <v>372.67467116360001</v>
      </c>
      <c r="H3127" s="3">
        <f>VALUE(342.8449501733)</f>
        <v>342.84495017329999</v>
      </c>
      <c r="I3127" s="4">
        <f>VALUE(3119)</f>
        <v>3119</v>
      </c>
      <c r="J3127" s="5">
        <f>VALUE(3373)</f>
        <v>3373</v>
      </c>
      <c r="K3127" s="6">
        <f>VALUE(4480)</f>
        <v>4480</v>
      </c>
      <c r="L3127" s="7">
        <f>VALUE(5659)</f>
        <v>5659</v>
      </c>
      <c r="M3127" s="1">
        <f>VALUE(6786)</f>
        <v>6786</v>
      </c>
      <c r="N3127" t="s">
        <v>25</v>
      </c>
    </row>
    <row r="3128" spans="1:14" x14ac:dyDescent="0.25">
      <c r="A3128" t="s">
        <v>41</v>
      </c>
      <c r="B3128" t="s">
        <v>15</v>
      </c>
      <c r="C3128" t="s">
        <v>36</v>
      </c>
      <c r="D3128" t="s">
        <v>34</v>
      </c>
      <c r="E3128" t="s">
        <v>15</v>
      </c>
      <c r="F3128" t="s">
        <v>17</v>
      </c>
      <c r="G3128" s="1" t="str">
        <f t="shared" ref="G3128:M3130" si="675">"X"</f>
        <v>X</v>
      </c>
      <c r="H3128" s="1" t="str">
        <f t="shared" si="675"/>
        <v>X</v>
      </c>
      <c r="I3128" s="1" t="str">
        <f t="shared" si="675"/>
        <v>X</v>
      </c>
      <c r="J3128" s="1" t="str">
        <f t="shared" si="675"/>
        <v>X</v>
      </c>
      <c r="K3128" s="1" t="str">
        <f t="shared" si="675"/>
        <v>X</v>
      </c>
      <c r="L3128" s="1" t="str">
        <f t="shared" si="675"/>
        <v>X</v>
      </c>
      <c r="M3128" s="1" t="str">
        <f t="shared" si="675"/>
        <v>X</v>
      </c>
      <c r="N3128" t="s">
        <v>27</v>
      </c>
    </row>
    <row r="3129" spans="1:14" x14ac:dyDescent="0.25">
      <c r="A3129" t="s">
        <v>41</v>
      </c>
      <c r="B3129" t="s">
        <v>15</v>
      </c>
      <c r="C3129" t="s">
        <v>36</v>
      </c>
      <c r="D3129" t="s">
        <v>34</v>
      </c>
      <c r="E3129" t="s">
        <v>15</v>
      </c>
      <c r="F3129" t="s">
        <v>18</v>
      </c>
      <c r="G3129" s="1" t="str">
        <f t="shared" si="675"/>
        <v>X</v>
      </c>
      <c r="H3129" s="1" t="str">
        <f t="shared" si="675"/>
        <v>X</v>
      </c>
      <c r="I3129" s="1" t="str">
        <f t="shared" si="675"/>
        <v>X</v>
      </c>
      <c r="J3129" s="1" t="str">
        <f t="shared" si="675"/>
        <v>X</v>
      </c>
      <c r="K3129" s="1" t="str">
        <f t="shared" si="675"/>
        <v>X</v>
      </c>
      <c r="L3129" s="1" t="str">
        <f t="shared" si="675"/>
        <v>X</v>
      </c>
      <c r="M3129" s="1" t="str">
        <f t="shared" si="675"/>
        <v>X</v>
      </c>
      <c r="N3129" t="s">
        <v>27</v>
      </c>
    </row>
    <row r="3130" spans="1:14" x14ac:dyDescent="0.25">
      <c r="A3130" t="s">
        <v>41</v>
      </c>
      <c r="B3130" t="s">
        <v>15</v>
      </c>
      <c r="C3130" t="s">
        <v>36</v>
      </c>
      <c r="D3130" t="s">
        <v>34</v>
      </c>
      <c r="E3130" t="s">
        <v>15</v>
      </c>
      <c r="F3130" t="s">
        <v>19</v>
      </c>
      <c r="G3130" s="1" t="str">
        <f t="shared" si="675"/>
        <v>X</v>
      </c>
      <c r="H3130" s="1" t="str">
        <f t="shared" si="675"/>
        <v>X</v>
      </c>
      <c r="I3130" s="1" t="str">
        <f t="shared" si="675"/>
        <v>X</v>
      </c>
      <c r="J3130" s="1" t="str">
        <f t="shared" si="675"/>
        <v>X</v>
      </c>
      <c r="K3130" s="1" t="str">
        <f t="shared" si="675"/>
        <v>X</v>
      </c>
      <c r="L3130" s="1" t="str">
        <f t="shared" si="675"/>
        <v>X</v>
      </c>
      <c r="M3130" s="1" t="str">
        <f t="shared" si="675"/>
        <v>X</v>
      </c>
      <c r="N3130" t="s">
        <v>27</v>
      </c>
    </row>
    <row r="3131" spans="1:14" x14ac:dyDescent="0.25">
      <c r="A3131" t="s">
        <v>41</v>
      </c>
      <c r="B3131" t="s">
        <v>15</v>
      </c>
      <c r="C3131" t="s">
        <v>36</v>
      </c>
      <c r="D3131" t="s">
        <v>34</v>
      </c>
      <c r="E3131" t="s">
        <v>15</v>
      </c>
      <c r="F3131" t="s">
        <v>20</v>
      </c>
      <c r="G3131" s="2">
        <f>VALUE(313.0383908129)</f>
        <v>313.03839081289999</v>
      </c>
      <c r="H3131" s="3">
        <f>VALUE(288.0633599505)</f>
        <v>288.0633599505</v>
      </c>
      <c r="I3131" s="4">
        <f>VALUE(3240)</f>
        <v>3240</v>
      </c>
      <c r="J3131" s="5">
        <f>VALUE(3373)</f>
        <v>3373</v>
      </c>
      <c r="K3131" s="6">
        <f>VALUE(4429)</f>
        <v>4429</v>
      </c>
      <c r="L3131" s="7">
        <f>VALUE(5335)</f>
        <v>5335</v>
      </c>
      <c r="M3131" s="1">
        <f>VALUE(6571)</f>
        <v>6571</v>
      </c>
      <c r="N3131" t="s">
        <v>25</v>
      </c>
    </row>
    <row r="3132" spans="1:14" x14ac:dyDescent="0.25">
      <c r="A3132" t="s">
        <v>41</v>
      </c>
      <c r="B3132" t="s">
        <v>15</v>
      </c>
      <c r="C3132" t="s">
        <v>36</v>
      </c>
      <c r="D3132" t="s">
        <v>34</v>
      </c>
      <c r="E3132" t="s">
        <v>21</v>
      </c>
      <c r="F3132" t="s">
        <v>15</v>
      </c>
      <c r="G3132" s="2">
        <f>VALUE(74.8861113683)</f>
        <v>74.886111368300007</v>
      </c>
      <c r="H3132" s="3">
        <f>VALUE(67.3728492973)</f>
        <v>67.372849297299993</v>
      </c>
      <c r="I3132" s="1">
        <f>VALUE(4738)</f>
        <v>4738</v>
      </c>
      <c r="J3132" s="1">
        <f>VALUE(5525)</f>
        <v>5525</v>
      </c>
      <c r="K3132" s="1">
        <f>VALUE(6350)</f>
        <v>6350</v>
      </c>
      <c r="L3132" s="1">
        <f>VALUE(6571)</f>
        <v>6571</v>
      </c>
      <c r="M3132" s="1">
        <f>VALUE(8262)</f>
        <v>8262</v>
      </c>
      <c r="N3132" t="s">
        <v>25</v>
      </c>
    </row>
    <row r="3133" spans="1:14" x14ac:dyDescent="0.25">
      <c r="A3133" t="s">
        <v>41</v>
      </c>
      <c r="B3133" t="s">
        <v>15</v>
      </c>
      <c r="C3133" t="s">
        <v>36</v>
      </c>
      <c r="D3133" t="s">
        <v>34</v>
      </c>
      <c r="E3133" t="s">
        <v>21</v>
      </c>
      <c r="F3133" t="s">
        <v>17</v>
      </c>
      <c r="G3133" s="1" t="str">
        <f t="shared" ref="G3133:M3136" si="676">"X"</f>
        <v>X</v>
      </c>
      <c r="H3133" s="1" t="str">
        <f t="shared" si="676"/>
        <v>X</v>
      </c>
      <c r="I3133" s="1" t="str">
        <f t="shared" si="676"/>
        <v>X</v>
      </c>
      <c r="J3133" s="1" t="str">
        <f t="shared" si="676"/>
        <v>X</v>
      </c>
      <c r="K3133" s="1" t="str">
        <f t="shared" si="676"/>
        <v>X</v>
      </c>
      <c r="L3133" s="1" t="str">
        <f t="shared" si="676"/>
        <v>X</v>
      </c>
      <c r="M3133" s="1" t="str">
        <f t="shared" si="676"/>
        <v>X</v>
      </c>
      <c r="N3133" t="s">
        <v>27</v>
      </c>
    </row>
    <row r="3134" spans="1:14" x14ac:dyDescent="0.25">
      <c r="A3134" t="s">
        <v>41</v>
      </c>
      <c r="B3134" t="s">
        <v>15</v>
      </c>
      <c r="C3134" t="s">
        <v>36</v>
      </c>
      <c r="D3134" t="s">
        <v>34</v>
      </c>
      <c r="E3134" t="s">
        <v>21</v>
      </c>
      <c r="F3134" t="s">
        <v>18</v>
      </c>
      <c r="G3134" s="1" t="str">
        <f t="shared" si="676"/>
        <v>X</v>
      </c>
      <c r="H3134" s="1" t="str">
        <f t="shared" si="676"/>
        <v>X</v>
      </c>
      <c r="I3134" s="1" t="str">
        <f t="shared" si="676"/>
        <v>X</v>
      </c>
      <c r="J3134" s="1" t="str">
        <f t="shared" si="676"/>
        <v>X</v>
      </c>
      <c r="K3134" s="1" t="str">
        <f t="shared" si="676"/>
        <v>X</v>
      </c>
      <c r="L3134" s="1" t="str">
        <f t="shared" si="676"/>
        <v>X</v>
      </c>
      <c r="M3134" s="1" t="str">
        <f t="shared" si="676"/>
        <v>X</v>
      </c>
      <c r="N3134" t="s">
        <v>27</v>
      </c>
    </row>
    <row r="3135" spans="1:14" x14ac:dyDescent="0.25">
      <c r="A3135" t="s">
        <v>41</v>
      </c>
      <c r="B3135" t="s">
        <v>15</v>
      </c>
      <c r="C3135" t="s">
        <v>36</v>
      </c>
      <c r="D3135" t="s">
        <v>34</v>
      </c>
      <c r="E3135" t="s">
        <v>21</v>
      </c>
      <c r="F3135" t="s">
        <v>19</v>
      </c>
      <c r="G3135" s="1" t="str">
        <f t="shared" si="676"/>
        <v>X</v>
      </c>
      <c r="H3135" s="1" t="str">
        <f t="shared" si="676"/>
        <v>X</v>
      </c>
      <c r="I3135" s="1" t="str">
        <f t="shared" si="676"/>
        <v>X</v>
      </c>
      <c r="J3135" s="1" t="str">
        <f t="shared" si="676"/>
        <v>X</v>
      </c>
      <c r="K3135" s="1" t="str">
        <f t="shared" si="676"/>
        <v>X</v>
      </c>
      <c r="L3135" s="1" t="str">
        <f t="shared" si="676"/>
        <v>X</v>
      </c>
      <c r="M3135" s="1" t="str">
        <f t="shared" si="676"/>
        <v>X</v>
      </c>
      <c r="N3135" t="s">
        <v>27</v>
      </c>
    </row>
    <row r="3136" spans="1:14" x14ac:dyDescent="0.25">
      <c r="A3136" t="s">
        <v>41</v>
      </c>
      <c r="B3136" t="s">
        <v>15</v>
      </c>
      <c r="C3136" t="s">
        <v>36</v>
      </c>
      <c r="D3136" t="s">
        <v>34</v>
      </c>
      <c r="E3136" t="s">
        <v>21</v>
      </c>
      <c r="F3136" t="s">
        <v>20</v>
      </c>
      <c r="G3136" s="1" t="str">
        <f t="shared" si="676"/>
        <v>X</v>
      </c>
      <c r="H3136" s="1" t="str">
        <f t="shared" si="676"/>
        <v>X</v>
      </c>
      <c r="I3136" s="1" t="str">
        <f t="shared" si="676"/>
        <v>X</v>
      </c>
      <c r="J3136" s="1" t="str">
        <f t="shared" si="676"/>
        <v>X</v>
      </c>
      <c r="K3136" s="1" t="str">
        <f t="shared" si="676"/>
        <v>X</v>
      </c>
      <c r="L3136" s="1" t="str">
        <f t="shared" si="676"/>
        <v>X</v>
      </c>
      <c r="M3136" s="1" t="str">
        <f t="shared" si="676"/>
        <v>X</v>
      </c>
      <c r="N3136" t="s">
        <v>27</v>
      </c>
    </row>
    <row r="3137" spans="1:14" x14ac:dyDescent="0.25">
      <c r="A3137" t="s">
        <v>41</v>
      </c>
      <c r="B3137" t="s">
        <v>15</v>
      </c>
      <c r="C3137" t="s">
        <v>36</v>
      </c>
      <c r="D3137" t="s">
        <v>34</v>
      </c>
      <c r="E3137" t="s">
        <v>22</v>
      </c>
      <c r="F3137" t="s">
        <v>15</v>
      </c>
      <c r="G3137" s="2">
        <f>VALUE(156.9469577329)</f>
        <v>156.94695773289999</v>
      </c>
      <c r="H3137" s="3">
        <f>VALUE(146.3956718896)</f>
        <v>146.39567188960001</v>
      </c>
      <c r="I3137" s="4">
        <f>VALUE(1667)</f>
        <v>1667</v>
      </c>
      <c r="J3137" s="1">
        <f>VALUE(3412)</f>
        <v>3412</v>
      </c>
      <c r="K3137" s="1">
        <f>VALUE(4466)</f>
        <v>4466</v>
      </c>
      <c r="L3137" s="1">
        <f>VALUE(5352)</f>
        <v>5352</v>
      </c>
      <c r="M3137" s="1">
        <f>VALUE(6786)</f>
        <v>6786</v>
      </c>
      <c r="N3137" t="s">
        <v>25</v>
      </c>
    </row>
    <row r="3138" spans="1:14" x14ac:dyDescent="0.25">
      <c r="A3138" t="s">
        <v>41</v>
      </c>
      <c r="B3138" t="s">
        <v>15</v>
      </c>
      <c r="C3138" t="s">
        <v>36</v>
      </c>
      <c r="D3138" t="s">
        <v>34</v>
      </c>
      <c r="E3138" t="s">
        <v>22</v>
      </c>
      <c r="F3138" t="s">
        <v>17</v>
      </c>
      <c r="G3138" s="1" t="str">
        <f t="shared" ref="G3138:M3140" si="677">"X"</f>
        <v>X</v>
      </c>
      <c r="H3138" s="1" t="str">
        <f t="shared" si="677"/>
        <v>X</v>
      </c>
      <c r="I3138" s="1" t="str">
        <f t="shared" si="677"/>
        <v>X</v>
      </c>
      <c r="J3138" s="1" t="str">
        <f t="shared" si="677"/>
        <v>X</v>
      </c>
      <c r="K3138" s="1" t="str">
        <f t="shared" si="677"/>
        <v>X</v>
      </c>
      <c r="L3138" s="1" t="str">
        <f t="shared" si="677"/>
        <v>X</v>
      </c>
      <c r="M3138" s="1" t="str">
        <f t="shared" si="677"/>
        <v>X</v>
      </c>
      <c r="N3138" t="s">
        <v>27</v>
      </c>
    </row>
    <row r="3139" spans="1:14" x14ac:dyDescent="0.25">
      <c r="A3139" t="s">
        <v>41</v>
      </c>
      <c r="B3139" t="s">
        <v>15</v>
      </c>
      <c r="C3139" t="s">
        <v>36</v>
      </c>
      <c r="D3139" t="s">
        <v>34</v>
      </c>
      <c r="E3139" t="s">
        <v>22</v>
      </c>
      <c r="F3139" t="s">
        <v>18</v>
      </c>
      <c r="G3139" s="1" t="str">
        <f t="shared" si="677"/>
        <v>X</v>
      </c>
      <c r="H3139" s="1" t="str">
        <f t="shared" si="677"/>
        <v>X</v>
      </c>
      <c r="I3139" s="1" t="str">
        <f t="shared" si="677"/>
        <v>X</v>
      </c>
      <c r="J3139" s="1" t="str">
        <f t="shared" si="677"/>
        <v>X</v>
      </c>
      <c r="K3139" s="1" t="str">
        <f t="shared" si="677"/>
        <v>X</v>
      </c>
      <c r="L3139" s="1" t="str">
        <f t="shared" si="677"/>
        <v>X</v>
      </c>
      <c r="M3139" s="1" t="str">
        <f t="shared" si="677"/>
        <v>X</v>
      </c>
      <c r="N3139" t="s">
        <v>27</v>
      </c>
    </row>
    <row r="3140" spans="1:14" x14ac:dyDescent="0.25">
      <c r="A3140" t="s">
        <v>41</v>
      </c>
      <c r="B3140" t="s">
        <v>15</v>
      </c>
      <c r="C3140" t="s">
        <v>36</v>
      </c>
      <c r="D3140" t="s">
        <v>34</v>
      </c>
      <c r="E3140" t="s">
        <v>22</v>
      </c>
      <c r="F3140" t="s">
        <v>19</v>
      </c>
      <c r="G3140" s="1" t="str">
        <f t="shared" si="677"/>
        <v>X</v>
      </c>
      <c r="H3140" s="1" t="str">
        <f t="shared" si="677"/>
        <v>X</v>
      </c>
      <c r="I3140" s="1" t="str">
        <f t="shared" si="677"/>
        <v>X</v>
      </c>
      <c r="J3140" s="1" t="str">
        <f t="shared" si="677"/>
        <v>X</v>
      </c>
      <c r="K3140" s="1" t="str">
        <f t="shared" si="677"/>
        <v>X</v>
      </c>
      <c r="L3140" s="1" t="str">
        <f t="shared" si="677"/>
        <v>X</v>
      </c>
      <c r="M3140" s="1" t="str">
        <f t="shared" si="677"/>
        <v>X</v>
      </c>
      <c r="N3140" t="s">
        <v>27</v>
      </c>
    </row>
    <row r="3141" spans="1:14" x14ac:dyDescent="0.25">
      <c r="A3141" t="s">
        <v>41</v>
      </c>
      <c r="B3141" t="s">
        <v>15</v>
      </c>
      <c r="C3141" t="s">
        <v>36</v>
      </c>
      <c r="D3141" t="s">
        <v>34</v>
      </c>
      <c r="E3141" t="s">
        <v>22</v>
      </c>
      <c r="F3141" t="s">
        <v>20</v>
      </c>
      <c r="G3141" s="2">
        <f>VALUE(125.5963644331)</f>
        <v>125.59636443310001</v>
      </c>
      <c r="H3141" s="3">
        <f>VALUE(117.035209699)</f>
        <v>117.03520969900001</v>
      </c>
      <c r="I3141" s="1">
        <f>VALUE(3373)</f>
        <v>3373</v>
      </c>
      <c r="J3141" s="1">
        <f>VALUE(3412)</f>
        <v>3412</v>
      </c>
      <c r="K3141" s="1">
        <f>VALUE(4540)</f>
        <v>4540</v>
      </c>
      <c r="L3141" s="1">
        <f>VALUE(5352)</f>
        <v>5352</v>
      </c>
      <c r="M3141" s="1">
        <f>VALUE(6707)</f>
        <v>6707</v>
      </c>
      <c r="N3141" t="s">
        <v>25</v>
      </c>
    </row>
    <row r="3142" spans="1:14" x14ac:dyDescent="0.25">
      <c r="A3142" t="s">
        <v>41</v>
      </c>
      <c r="B3142" t="s">
        <v>15</v>
      </c>
      <c r="C3142" t="s">
        <v>36</v>
      </c>
      <c r="D3142" t="s">
        <v>34</v>
      </c>
      <c r="E3142" t="s">
        <v>23</v>
      </c>
      <c r="F3142" t="s">
        <v>15</v>
      </c>
      <c r="G3142" s="2">
        <f>VALUE(139.3805706136)</f>
        <v>139.38057061360001</v>
      </c>
      <c r="H3142" s="3">
        <f>VALUE(127.8491625694)</f>
        <v>127.84916256939999</v>
      </c>
      <c r="I3142" s="1">
        <f>VALUE(2857)</f>
        <v>2857</v>
      </c>
      <c r="J3142" s="5">
        <f>VALUE(3240)</f>
        <v>3240</v>
      </c>
      <c r="K3142" s="6">
        <f>VALUE(3508)</f>
        <v>3508</v>
      </c>
      <c r="L3142" s="7">
        <f>VALUE(4542)</f>
        <v>4542</v>
      </c>
      <c r="M3142" s="1">
        <f>VALUE(5052)</f>
        <v>5052</v>
      </c>
      <c r="N3142" t="s">
        <v>25</v>
      </c>
    </row>
    <row r="3143" spans="1:14" x14ac:dyDescent="0.25">
      <c r="A3143" t="s">
        <v>41</v>
      </c>
      <c r="B3143" t="s">
        <v>15</v>
      </c>
      <c r="C3143" t="s">
        <v>36</v>
      </c>
      <c r="D3143" t="s">
        <v>34</v>
      </c>
      <c r="E3143" t="s">
        <v>23</v>
      </c>
      <c r="F3143" t="s">
        <v>17</v>
      </c>
      <c r="G3143" s="1" t="str">
        <f t="shared" ref="G3143:M3144" si="678">"X"</f>
        <v>X</v>
      </c>
      <c r="H3143" s="1" t="str">
        <f t="shared" si="678"/>
        <v>X</v>
      </c>
      <c r="I3143" s="1" t="str">
        <f t="shared" si="678"/>
        <v>X</v>
      </c>
      <c r="J3143" s="1" t="str">
        <f t="shared" si="678"/>
        <v>X</v>
      </c>
      <c r="K3143" s="1" t="str">
        <f t="shared" si="678"/>
        <v>X</v>
      </c>
      <c r="L3143" s="1" t="str">
        <f t="shared" si="678"/>
        <v>X</v>
      </c>
      <c r="M3143" s="1" t="str">
        <f t="shared" si="678"/>
        <v>X</v>
      </c>
      <c r="N3143" t="s">
        <v>27</v>
      </c>
    </row>
    <row r="3144" spans="1:14" x14ac:dyDescent="0.25">
      <c r="A3144" t="s">
        <v>41</v>
      </c>
      <c r="B3144" t="s">
        <v>15</v>
      </c>
      <c r="C3144" t="s">
        <v>36</v>
      </c>
      <c r="D3144" t="s">
        <v>34</v>
      </c>
      <c r="E3144" t="s">
        <v>23</v>
      </c>
      <c r="F3144" t="s">
        <v>18</v>
      </c>
      <c r="G3144" s="1" t="str">
        <f t="shared" si="678"/>
        <v>X</v>
      </c>
      <c r="H3144" s="1" t="str">
        <f t="shared" si="678"/>
        <v>X</v>
      </c>
      <c r="I3144" s="1" t="str">
        <f t="shared" si="678"/>
        <v>X</v>
      </c>
      <c r="J3144" s="1" t="str">
        <f t="shared" si="678"/>
        <v>X</v>
      </c>
      <c r="K3144" s="1" t="str">
        <f t="shared" si="678"/>
        <v>X</v>
      </c>
      <c r="L3144" s="1" t="str">
        <f t="shared" si="678"/>
        <v>X</v>
      </c>
      <c r="M3144" s="1" t="str">
        <f t="shared" si="678"/>
        <v>X</v>
      </c>
      <c r="N3144" t="s">
        <v>27</v>
      </c>
    </row>
    <row r="3145" spans="1:14" x14ac:dyDescent="0.25">
      <c r="A3145" t="s">
        <v>41</v>
      </c>
      <c r="B3145" t="s">
        <v>15</v>
      </c>
      <c r="C3145" t="s">
        <v>36</v>
      </c>
      <c r="D3145" t="s">
        <v>34</v>
      </c>
      <c r="E3145" t="s">
        <v>23</v>
      </c>
      <c r="F3145" t="s">
        <v>19</v>
      </c>
      <c r="G3145" s="1" t="str">
        <f t="shared" ref="G3145:M3145" si="679">"..."</f>
        <v>...</v>
      </c>
      <c r="H3145" s="1" t="str">
        <f t="shared" si="679"/>
        <v>...</v>
      </c>
      <c r="I3145" s="1" t="str">
        <f t="shared" si="679"/>
        <v>...</v>
      </c>
      <c r="J3145" s="1" t="str">
        <f t="shared" si="679"/>
        <v>...</v>
      </c>
      <c r="K3145" s="1" t="str">
        <f t="shared" si="679"/>
        <v>...</v>
      </c>
      <c r="L3145" s="1" t="str">
        <f t="shared" si="679"/>
        <v>...</v>
      </c>
      <c r="M3145" s="1" t="str">
        <f t="shared" si="679"/>
        <v>...</v>
      </c>
      <c r="N3145" t="s">
        <v>30</v>
      </c>
    </row>
    <row r="3146" spans="1:14" x14ac:dyDescent="0.25">
      <c r="A3146" t="s">
        <v>41</v>
      </c>
      <c r="B3146" t="s">
        <v>15</v>
      </c>
      <c r="C3146" t="s">
        <v>36</v>
      </c>
      <c r="D3146" t="s">
        <v>34</v>
      </c>
      <c r="E3146" t="s">
        <v>23</v>
      </c>
      <c r="F3146" t="s">
        <v>20</v>
      </c>
      <c r="G3146" s="2">
        <f>VALUE(134.6590051202)</f>
        <v>134.65900512019999</v>
      </c>
      <c r="H3146" s="3">
        <f>VALUE(123.8345092658)</f>
        <v>123.83450926579999</v>
      </c>
      <c r="I3146" s="4">
        <f>VALUE(2844)</f>
        <v>2844</v>
      </c>
      <c r="J3146" s="5">
        <f>VALUE(3240)</f>
        <v>3240</v>
      </c>
      <c r="K3146" s="6">
        <f>VALUE(3455)</f>
        <v>3455</v>
      </c>
      <c r="L3146" s="7">
        <f>VALUE(4489)</f>
        <v>4489</v>
      </c>
      <c r="M3146" s="1">
        <f>VALUE(5039)</f>
        <v>5039</v>
      </c>
      <c r="N3146" t="s">
        <v>25</v>
      </c>
    </row>
    <row r="3147" spans="1:14" x14ac:dyDescent="0.25">
      <c r="A3147" t="s">
        <v>41</v>
      </c>
      <c r="B3147" t="s">
        <v>15</v>
      </c>
      <c r="C3147" t="s">
        <v>36</v>
      </c>
      <c r="D3147" t="s">
        <v>34</v>
      </c>
      <c r="E3147" t="s">
        <v>26</v>
      </c>
      <c r="F3147" t="s">
        <v>15</v>
      </c>
      <c r="G3147" s="1" t="str">
        <f t="shared" ref="G3147:M3147" si="680">"X"</f>
        <v>X</v>
      </c>
      <c r="H3147" s="1" t="str">
        <f t="shared" si="680"/>
        <v>X</v>
      </c>
      <c r="I3147" s="1" t="str">
        <f t="shared" si="680"/>
        <v>X</v>
      </c>
      <c r="J3147" s="1" t="str">
        <f t="shared" si="680"/>
        <v>X</v>
      </c>
      <c r="K3147" s="1" t="str">
        <f t="shared" si="680"/>
        <v>X</v>
      </c>
      <c r="L3147" s="1" t="str">
        <f t="shared" si="680"/>
        <v>X</v>
      </c>
      <c r="M3147" s="1" t="str">
        <f t="shared" si="680"/>
        <v>X</v>
      </c>
      <c r="N3147" t="s">
        <v>27</v>
      </c>
    </row>
    <row r="3148" spans="1:14" x14ac:dyDescent="0.25">
      <c r="A3148" t="s">
        <v>41</v>
      </c>
      <c r="B3148" t="s">
        <v>15</v>
      </c>
      <c r="C3148" t="s">
        <v>36</v>
      </c>
      <c r="D3148" t="s">
        <v>34</v>
      </c>
      <c r="E3148" t="s">
        <v>26</v>
      </c>
      <c r="F3148" t="s">
        <v>17</v>
      </c>
      <c r="G3148" s="1" t="str">
        <f t="shared" ref="G3148:M3150" si="681">"..."</f>
        <v>...</v>
      </c>
      <c r="H3148" s="1" t="str">
        <f t="shared" si="681"/>
        <v>...</v>
      </c>
      <c r="I3148" s="1" t="str">
        <f t="shared" si="681"/>
        <v>...</v>
      </c>
      <c r="J3148" s="1" t="str">
        <f t="shared" si="681"/>
        <v>...</v>
      </c>
      <c r="K3148" s="1" t="str">
        <f t="shared" si="681"/>
        <v>...</v>
      </c>
      <c r="L3148" s="1" t="str">
        <f t="shared" si="681"/>
        <v>...</v>
      </c>
      <c r="M3148" s="1" t="str">
        <f t="shared" si="681"/>
        <v>...</v>
      </c>
      <c r="N3148" t="s">
        <v>30</v>
      </c>
    </row>
    <row r="3149" spans="1:14" x14ac:dyDescent="0.25">
      <c r="A3149" t="s">
        <v>41</v>
      </c>
      <c r="B3149" t="s">
        <v>15</v>
      </c>
      <c r="C3149" t="s">
        <v>36</v>
      </c>
      <c r="D3149" t="s">
        <v>34</v>
      </c>
      <c r="E3149" t="s">
        <v>26</v>
      </c>
      <c r="F3149" t="s">
        <v>18</v>
      </c>
      <c r="G3149" s="1" t="str">
        <f t="shared" si="681"/>
        <v>...</v>
      </c>
      <c r="H3149" s="1" t="str">
        <f t="shared" si="681"/>
        <v>...</v>
      </c>
      <c r="I3149" s="1" t="str">
        <f t="shared" si="681"/>
        <v>...</v>
      </c>
      <c r="J3149" s="1" t="str">
        <f t="shared" si="681"/>
        <v>...</v>
      </c>
      <c r="K3149" s="1" t="str">
        <f t="shared" si="681"/>
        <v>...</v>
      </c>
      <c r="L3149" s="1" t="str">
        <f t="shared" si="681"/>
        <v>...</v>
      </c>
      <c r="M3149" s="1" t="str">
        <f t="shared" si="681"/>
        <v>...</v>
      </c>
      <c r="N3149" t="s">
        <v>30</v>
      </c>
    </row>
    <row r="3150" spans="1:14" x14ac:dyDescent="0.25">
      <c r="A3150" t="s">
        <v>41</v>
      </c>
      <c r="B3150" t="s">
        <v>15</v>
      </c>
      <c r="C3150" t="s">
        <v>36</v>
      </c>
      <c r="D3150" t="s">
        <v>34</v>
      </c>
      <c r="E3150" t="s">
        <v>26</v>
      </c>
      <c r="F3150" t="s">
        <v>19</v>
      </c>
      <c r="G3150" s="1" t="str">
        <f t="shared" si="681"/>
        <v>...</v>
      </c>
      <c r="H3150" s="1" t="str">
        <f t="shared" si="681"/>
        <v>...</v>
      </c>
      <c r="I3150" s="1" t="str">
        <f t="shared" si="681"/>
        <v>...</v>
      </c>
      <c r="J3150" s="1" t="str">
        <f t="shared" si="681"/>
        <v>...</v>
      </c>
      <c r="K3150" s="1" t="str">
        <f t="shared" si="681"/>
        <v>...</v>
      </c>
      <c r="L3150" s="1" t="str">
        <f t="shared" si="681"/>
        <v>...</v>
      </c>
      <c r="M3150" s="1" t="str">
        <f t="shared" si="681"/>
        <v>...</v>
      </c>
      <c r="N3150" t="s">
        <v>30</v>
      </c>
    </row>
    <row r="3151" spans="1:14" x14ac:dyDescent="0.25">
      <c r="A3151" t="s">
        <v>41</v>
      </c>
      <c r="B3151" t="s">
        <v>15</v>
      </c>
      <c r="C3151" t="s">
        <v>36</v>
      </c>
      <c r="D3151" t="s">
        <v>34</v>
      </c>
      <c r="E3151" t="s">
        <v>26</v>
      </c>
      <c r="F3151" t="s">
        <v>20</v>
      </c>
      <c r="G3151" s="1" t="str">
        <f t="shared" ref="G3151:M3151" si="682">"X"</f>
        <v>X</v>
      </c>
      <c r="H3151" s="1" t="str">
        <f t="shared" si="682"/>
        <v>X</v>
      </c>
      <c r="I3151" s="1" t="str">
        <f t="shared" si="682"/>
        <v>X</v>
      </c>
      <c r="J3151" s="1" t="str">
        <f t="shared" si="682"/>
        <v>X</v>
      </c>
      <c r="K3151" s="1" t="str">
        <f t="shared" si="682"/>
        <v>X</v>
      </c>
      <c r="L3151" s="1" t="str">
        <f t="shared" si="682"/>
        <v>X</v>
      </c>
      <c r="M3151" s="1" t="str">
        <f t="shared" si="682"/>
        <v>X</v>
      </c>
      <c r="N3151" t="s">
        <v>27</v>
      </c>
    </row>
    <row r="3152" spans="1:14" x14ac:dyDescent="0.25">
      <c r="A3152" t="s">
        <v>41</v>
      </c>
      <c r="B3152" t="s">
        <v>15</v>
      </c>
      <c r="C3152" t="s">
        <v>37</v>
      </c>
      <c r="D3152" t="s">
        <v>15</v>
      </c>
      <c r="E3152" t="s">
        <v>15</v>
      </c>
      <c r="F3152" t="s">
        <v>15</v>
      </c>
      <c r="G3152" s="1">
        <f>VALUE(52895.7858964977)</f>
        <v>52895.785896497699</v>
      </c>
      <c r="H3152" s="1">
        <f>VALUE(47876.9791223254)</f>
        <v>47876.9791223254</v>
      </c>
      <c r="I3152" s="1">
        <f>VALUE(3308)</f>
        <v>3308</v>
      </c>
      <c r="J3152" s="1">
        <f>VALUE(4127)</f>
        <v>4127</v>
      </c>
      <c r="K3152" s="1">
        <f>VALUE(5295)</f>
        <v>5295</v>
      </c>
      <c r="L3152" s="1">
        <f>VALUE(6760)</f>
        <v>6760</v>
      </c>
      <c r="M3152" s="1">
        <f>VALUE(9196)</f>
        <v>9196</v>
      </c>
      <c r="N3152" t="s">
        <v>16</v>
      </c>
    </row>
    <row r="3153" spans="1:14" x14ac:dyDescent="0.25">
      <c r="A3153" t="s">
        <v>41</v>
      </c>
      <c r="B3153" t="s">
        <v>15</v>
      </c>
      <c r="C3153" t="s">
        <v>37</v>
      </c>
      <c r="D3153" t="s">
        <v>15</v>
      </c>
      <c r="E3153" t="s">
        <v>15</v>
      </c>
      <c r="F3153" t="s">
        <v>17</v>
      </c>
      <c r="G3153" s="1">
        <f>VALUE(8817.1316884991)</f>
        <v>8817.1316884990993</v>
      </c>
      <c r="H3153" s="1">
        <f>VALUE(8503.22910541)</f>
        <v>8503.2291054100006</v>
      </c>
      <c r="I3153" s="1">
        <f>VALUE(4445)</f>
        <v>4445</v>
      </c>
      <c r="J3153" s="1">
        <f>VALUE(5829)</f>
        <v>5829</v>
      </c>
      <c r="K3153" s="1">
        <f>VALUE(8004)</f>
        <v>8004</v>
      </c>
      <c r="L3153" s="1">
        <f>VALUE(11342)</f>
        <v>11342</v>
      </c>
      <c r="M3153" s="8">
        <f>VALUE(16863)</f>
        <v>16863</v>
      </c>
      <c r="N3153" t="s">
        <v>25</v>
      </c>
    </row>
    <row r="3154" spans="1:14" x14ac:dyDescent="0.25">
      <c r="A3154" t="s">
        <v>41</v>
      </c>
      <c r="B3154" t="s">
        <v>15</v>
      </c>
      <c r="C3154" t="s">
        <v>37</v>
      </c>
      <c r="D3154" t="s">
        <v>15</v>
      </c>
      <c r="E3154" t="s">
        <v>15</v>
      </c>
      <c r="F3154" t="s">
        <v>18</v>
      </c>
      <c r="G3154" s="1">
        <f>VALUE(6796.5909792533)</f>
        <v>6796.5909792533002</v>
      </c>
      <c r="H3154" s="1">
        <f>VALUE(6083.4161736954)</f>
        <v>6083.4161736954002</v>
      </c>
      <c r="I3154" s="1">
        <f>VALUE(4124)</f>
        <v>4124</v>
      </c>
      <c r="J3154" s="1">
        <f>VALUE(4991)</f>
        <v>4991</v>
      </c>
      <c r="K3154" s="1">
        <f>VALUE(6115)</f>
        <v>6115</v>
      </c>
      <c r="L3154" s="1">
        <f>VALUE(7762)</f>
        <v>7762</v>
      </c>
      <c r="M3154" s="1">
        <f>VALUE(9820)</f>
        <v>9820</v>
      </c>
      <c r="N3154" t="s">
        <v>16</v>
      </c>
    </row>
    <row r="3155" spans="1:14" x14ac:dyDescent="0.25">
      <c r="A3155" t="s">
        <v>41</v>
      </c>
      <c r="B3155" t="s">
        <v>15</v>
      </c>
      <c r="C3155" t="s">
        <v>37</v>
      </c>
      <c r="D3155" t="s">
        <v>15</v>
      </c>
      <c r="E3155" t="s">
        <v>15</v>
      </c>
      <c r="F3155" t="s">
        <v>19</v>
      </c>
      <c r="G3155" s="1">
        <f>VALUE(7057.9991702288)</f>
        <v>7057.9991702287998</v>
      </c>
      <c r="H3155" s="1">
        <f>VALUE(6292.4036849356)</f>
        <v>6292.4036849355998</v>
      </c>
      <c r="I3155" s="1">
        <f>VALUE(3785)</f>
        <v>3785</v>
      </c>
      <c r="J3155" s="1">
        <f>VALUE(4473)</f>
        <v>4473</v>
      </c>
      <c r="K3155" s="1">
        <f>VALUE(5482)</f>
        <v>5482</v>
      </c>
      <c r="L3155" s="1">
        <f>VALUE(6591)</f>
        <v>6591</v>
      </c>
      <c r="M3155" s="1">
        <f>VALUE(7856)</f>
        <v>7856</v>
      </c>
      <c r="N3155" t="s">
        <v>16</v>
      </c>
    </row>
    <row r="3156" spans="1:14" x14ac:dyDescent="0.25">
      <c r="A3156" t="s">
        <v>41</v>
      </c>
      <c r="B3156" t="s">
        <v>15</v>
      </c>
      <c r="C3156" t="s">
        <v>37</v>
      </c>
      <c r="D3156" t="s">
        <v>15</v>
      </c>
      <c r="E3156" t="s">
        <v>15</v>
      </c>
      <c r="F3156" t="s">
        <v>20</v>
      </c>
      <c r="G3156" s="1">
        <f>VALUE(30144.6033610742)</f>
        <v>30144.603361074202</v>
      </c>
      <c r="H3156" s="1">
        <f>VALUE(26919.9692636997)</f>
        <v>26919.969263699699</v>
      </c>
      <c r="I3156" s="1">
        <f>VALUE(3059)</f>
        <v>3059</v>
      </c>
      <c r="J3156" s="1">
        <f>VALUE(3737)</f>
        <v>3737</v>
      </c>
      <c r="K3156" s="1">
        <f>VALUE(4685)</f>
        <v>4685</v>
      </c>
      <c r="L3156" s="1">
        <f>VALUE(5718)</f>
        <v>5718</v>
      </c>
      <c r="M3156" s="1">
        <f>VALUE(6852)</f>
        <v>6852</v>
      </c>
      <c r="N3156" t="s">
        <v>16</v>
      </c>
    </row>
    <row r="3157" spans="1:14" x14ac:dyDescent="0.25">
      <c r="A3157" t="s">
        <v>41</v>
      </c>
      <c r="B3157" t="s">
        <v>15</v>
      </c>
      <c r="C3157" t="s">
        <v>37</v>
      </c>
      <c r="D3157" t="s">
        <v>15</v>
      </c>
      <c r="E3157" t="s">
        <v>21</v>
      </c>
      <c r="F3157" t="s">
        <v>15</v>
      </c>
      <c r="G3157" s="1">
        <f>VALUE(12929.2121330095)</f>
        <v>12929.2121330095</v>
      </c>
      <c r="H3157" s="1">
        <f>VALUE(11530.0776417287)</f>
        <v>11530.0776417287</v>
      </c>
      <c r="I3157" s="1">
        <f>VALUE(4194)</f>
        <v>4194</v>
      </c>
      <c r="J3157" s="1">
        <f>VALUE(5459)</f>
        <v>5459</v>
      </c>
      <c r="K3157" s="1">
        <f>VALUE(7262)</f>
        <v>7262</v>
      </c>
      <c r="L3157" s="1">
        <f>VALUE(9764)</f>
        <v>9764</v>
      </c>
      <c r="M3157" s="1">
        <f>VALUE(13545)</f>
        <v>13545</v>
      </c>
      <c r="N3157" t="s">
        <v>16</v>
      </c>
    </row>
    <row r="3158" spans="1:14" x14ac:dyDescent="0.25">
      <c r="A3158" t="s">
        <v>41</v>
      </c>
      <c r="B3158" t="s">
        <v>15</v>
      </c>
      <c r="C3158" t="s">
        <v>37</v>
      </c>
      <c r="D3158" t="s">
        <v>15</v>
      </c>
      <c r="E3158" t="s">
        <v>21</v>
      </c>
      <c r="F3158" t="s">
        <v>17</v>
      </c>
      <c r="G3158" s="1">
        <f>VALUE(5298.7120547158)</f>
        <v>5298.7120547158002</v>
      </c>
      <c r="H3158" s="1">
        <f>VALUE(5042.728481314)</f>
        <v>5042.7284813140004</v>
      </c>
      <c r="I3158" s="1">
        <f>VALUE(4857)</f>
        <v>4857</v>
      </c>
      <c r="J3158" s="1">
        <f>VALUE(6517)</f>
        <v>6517</v>
      </c>
      <c r="K3158" s="1">
        <f>VALUE(8855)</f>
        <v>8855</v>
      </c>
      <c r="L3158" s="1">
        <f>VALUE(12610)</f>
        <v>12610</v>
      </c>
      <c r="M3158" s="8">
        <f>VALUE(18817)</f>
        <v>18817</v>
      </c>
      <c r="N3158" t="s">
        <v>25</v>
      </c>
    </row>
    <row r="3159" spans="1:14" x14ac:dyDescent="0.25">
      <c r="A3159" t="s">
        <v>41</v>
      </c>
      <c r="B3159" t="s">
        <v>15</v>
      </c>
      <c r="C3159" t="s">
        <v>37</v>
      </c>
      <c r="D3159" t="s">
        <v>15</v>
      </c>
      <c r="E3159" t="s">
        <v>21</v>
      </c>
      <c r="F3159" t="s">
        <v>18</v>
      </c>
      <c r="G3159" s="1">
        <f>VALUE(2794.263927252)</f>
        <v>2794.263927252</v>
      </c>
      <c r="H3159" s="1">
        <f>VALUE(2391.9343561053)</f>
        <v>2391.9343561053001</v>
      </c>
      <c r="I3159" s="4">
        <f>VALUE(4263)</f>
        <v>4263</v>
      </c>
      <c r="J3159" s="1">
        <f>VALUE(5417)</f>
        <v>5417</v>
      </c>
      <c r="K3159" s="1">
        <f>VALUE(6966)</f>
        <v>6966</v>
      </c>
      <c r="L3159" s="1">
        <f>VALUE(8843)</f>
        <v>8843</v>
      </c>
      <c r="M3159" s="1">
        <f>VALUE(11111)</f>
        <v>11111</v>
      </c>
      <c r="N3159" t="s">
        <v>25</v>
      </c>
    </row>
    <row r="3160" spans="1:14" x14ac:dyDescent="0.25">
      <c r="A3160" t="s">
        <v>41</v>
      </c>
      <c r="B3160" t="s">
        <v>15</v>
      </c>
      <c r="C3160" t="s">
        <v>37</v>
      </c>
      <c r="D3160" t="s">
        <v>15</v>
      </c>
      <c r="E3160" t="s">
        <v>21</v>
      </c>
      <c r="F3160" t="s">
        <v>19</v>
      </c>
      <c r="G3160" s="1">
        <f>VALUE(1960.5203543956)</f>
        <v>1960.5203543956</v>
      </c>
      <c r="H3160" s="1">
        <f>VALUE(1551.4251016162)</f>
        <v>1551.4251016162</v>
      </c>
      <c r="I3160" s="1">
        <f>VALUE(4232)</f>
        <v>4232</v>
      </c>
      <c r="J3160" s="1">
        <f>VALUE(5107)</f>
        <v>5107</v>
      </c>
      <c r="K3160" s="1">
        <f>VALUE(6267)</f>
        <v>6267</v>
      </c>
      <c r="L3160" s="1">
        <f>VALUE(7749)</f>
        <v>7749</v>
      </c>
      <c r="M3160" s="1">
        <f>VALUE(9304)</f>
        <v>9304</v>
      </c>
      <c r="N3160" t="s">
        <v>16</v>
      </c>
    </row>
    <row r="3161" spans="1:14" x14ac:dyDescent="0.25">
      <c r="A3161" t="s">
        <v>41</v>
      </c>
      <c r="B3161" t="s">
        <v>15</v>
      </c>
      <c r="C3161" t="s">
        <v>37</v>
      </c>
      <c r="D3161" t="s">
        <v>15</v>
      </c>
      <c r="E3161" t="s">
        <v>21</v>
      </c>
      <c r="F3161" t="s">
        <v>20</v>
      </c>
      <c r="G3161" s="1">
        <f>VALUE(2874.5495045944)</f>
        <v>2874.5495045943999</v>
      </c>
      <c r="H3161" s="1">
        <f>VALUE(2543.0177926501)</f>
        <v>2543.0177926501001</v>
      </c>
      <c r="I3161" s="4">
        <f>VALUE(3683)</f>
        <v>3683</v>
      </c>
      <c r="J3161" s="1">
        <f>VALUE(4540)</f>
        <v>4540</v>
      </c>
      <c r="K3161" s="1">
        <f>VALUE(5995)</f>
        <v>5995</v>
      </c>
      <c r="L3161" s="1">
        <f>VALUE(7464)</f>
        <v>7464</v>
      </c>
      <c r="M3161" s="1">
        <f>VALUE(8999)</f>
        <v>8999</v>
      </c>
      <c r="N3161" t="s">
        <v>25</v>
      </c>
    </row>
    <row r="3162" spans="1:14" x14ac:dyDescent="0.25">
      <c r="A3162" t="s">
        <v>41</v>
      </c>
      <c r="B3162" t="s">
        <v>15</v>
      </c>
      <c r="C3162" t="s">
        <v>37</v>
      </c>
      <c r="D3162" t="s">
        <v>15</v>
      </c>
      <c r="E3162" t="s">
        <v>22</v>
      </c>
      <c r="F3162" t="s">
        <v>15</v>
      </c>
      <c r="G3162" s="1">
        <f>VALUE(19101.8075103029)</f>
        <v>19101.8075103029</v>
      </c>
      <c r="H3162" s="1">
        <f>VALUE(17273.9378454288)</f>
        <v>17273.937845428802</v>
      </c>
      <c r="I3162" s="1">
        <f>VALUE(3821)</f>
        <v>3821</v>
      </c>
      <c r="J3162" s="1">
        <f>VALUE(4590)</f>
        <v>4590</v>
      </c>
      <c r="K3162" s="1">
        <f>VALUE(5558)</f>
        <v>5558</v>
      </c>
      <c r="L3162" s="1">
        <f>VALUE(6633)</f>
        <v>6633</v>
      </c>
      <c r="M3162" s="1">
        <f>VALUE(7895)</f>
        <v>7895</v>
      </c>
      <c r="N3162" t="s">
        <v>16</v>
      </c>
    </row>
    <row r="3163" spans="1:14" x14ac:dyDescent="0.25">
      <c r="A3163" t="s">
        <v>41</v>
      </c>
      <c r="B3163" t="s">
        <v>15</v>
      </c>
      <c r="C3163" t="s">
        <v>37</v>
      </c>
      <c r="D3163" t="s">
        <v>15</v>
      </c>
      <c r="E3163" t="s">
        <v>22</v>
      </c>
      <c r="F3163" t="s">
        <v>17</v>
      </c>
      <c r="G3163" s="1">
        <f>VALUE(2692.9215984696)</f>
        <v>2692.9215984696002</v>
      </c>
      <c r="H3163" s="1">
        <f>VALUE(2642.1157072273)</f>
        <v>2642.1157072272999</v>
      </c>
      <c r="I3163" s="4">
        <f>VALUE(4143)</f>
        <v>4143</v>
      </c>
      <c r="J3163" s="1">
        <f>VALUE(5359)</f>
        <v>5359</v>
      </c>
      <c r="K3163" s="1">
        <f>VALUE(6678)</f>
        <v>6678</v>
      </c>
      <c r="L3163" s="1">
        <f>VALUE(8562)</f>
        <v>8562</v>
      </c>
      <c r="M3163" s="1">
        <f>VALUE(11350)</f>
        <v>11350</v>
      </c>
      <c r="N3163" t="s">
        <v>25</v>
      </c>
    </row>
    <row r="3164" spans="1:14" x14ac:dyDescent="0.25">
      <c r="A3164" t="s">
        <v>41</v>
      </c>
      <c r="B3164" t="s">
        <v>15</v>
      </c>
      <c r="C3164" t="s">
        <v>37</v>
      </c>
      <c r="D3164" t="s">
        <v>15</v>
      </c>
      <c r="E3164" t="s">
        <v>22</v>
      </c>
      <c r="F3164" t="s">
        <v>18</v>
      </c>
      <c r="G3164" s="1">
        <f>VALUE(2542.8136853839)</f>
        <v>2542.8136853839001</v>
      </c>
      <c r="H3164" s="1">
        <f>VALUE(2294.45979872)</f>
        <v>2294.45979872</v>
      </c>
      <c r="I3164" s="1">
        <f>VALUE(4300)</f>
        <v>4300</v>
      </c>
      <c r="J3164" s="1">
        <f>VALUE(5055)</f>
        <v>5055</v>
      </c>
      <c r="K3164" s="1">
        <f>VALUE(5946)</f>
        <v>5946</v>
      </c>
      <c r="L3164" s="1">
        <f>VALUE(7143)</f>
        <v>7143</v>
      </c>
      <c r="M3164" s="1">
        <f>VALUE(8270)</f>
        <v>8270</v>
      </c>
      <c r="N3164" t="s">
        <v>16</v>
      </c>
    </row>
    <row r="3165" spans="1:14" x14ac:dyDescent="0.25">
      <c r="A3165" t="s">
        <v>41</v>
      </c>
      <c r="B3165" t="s">
        <v>15</v>
      </c>
      <c r="C3165" t="s">
        <v>37</v>
      </c>
      <c r="D3165" t="s">
        <v>15</v>
      </c>
      <c r="E3165" t="s">
        <v>22</v>
      </c>
      <c r="F3165" t="s">
        <v>19</v>
      </c>
      <c r="G3165" s="1">
        <f>VALUE(3317.3628303568)</f>
        <v>3317.3628303567998</v>
      </c>
      <c r="H3165" s="1">
        <f>VALUE(3025.0743137294)</f>
        <v>3025.0743137293998</v>
      </c>
      <c r="I3165" s="1">
        <f>VALUE(3912)</f>
        <v>3912</v>
      </c>
      <c r="J3165" s="1">
        <f>VALUE(4592)</f>
        <v>4592</v>
      </c>
      <c r="K3165" s="1">
        <f>VALUE(5556)</f>
        <v>5556</v>
      </c>
      <c r="L3165" s="1">
        <f>VALUE(6505)</f>
        <v>6505</v>
      </c>
      <c r="M3165" s="1">
        <f>VALUE(7557)</f>
        <v>7557</v>
      </c>
      <c r="N3165" t="s">
        <v>16</v>
      </c>
    </row>
    <row r="3166" spans="1:14" x14ac:dyDescent="0.25">
      <c r="A3166" t="s">
        <v>41</v>
      </c>
      <c r="B3166" t="s">
        <v>15</v>
      </c>
      <c r="C3166" t="s">
        <v>37</v>
      </c>
      <c r="D3166" t="s">
        <v>15</v>
      </c>
      <c r="E3166" t="s">
        <v>22</v>
      </c>
      <c r="F3166" t="s">
        <v>20</v>
      </c>
      <c r="G3166" s="1">
        <f>VALUE(10548.7093960926)</f>
        <v>10548.709396092599</v>
      </c>
      <c r="H3166" s="1">
        <f>VALUE(9312.2880257521)</f>
        <v>9312.2880257520992</v>
      </c>
      <c r="I3166" s="1">
        <f>VALUE(3628)</f>
        <v>3628</v>
      </c>
      <c r="J3166" s="1">
        <f>VALUE(4394)</f>
        <v>4394</v>
      </c>
      <c r="K3166" s="1">
        <f>VALUE(5262)</f>
        <v>5262</v>
      </c>
      <c r="L3166" s="1">
        <f>VALUE(6134)</f>
        <v>6134</v>
      </c>
      <c r="M3166" s="1">
        <f>VALUE(7092)</f>
        <v>7092</v>
      </c>
      <c r="N3166" t="s">
        <v>16</v>
      </c>
    </row>
    <row r="3167" spans="1:14" x14ac:dyDescent="0.25">
      <c r="A3167" t="s">
        <v>41</v>
      </c>
      <c r="B3167" t="s">
        <v>15</v>
      </c>
      <c r="C3167" t="s">
        <v>37</v>
      </c>
      <c r="D3167" t="s">
        <v>15</v>
      </c>
      <c r="E3167" t="s">
        <v>23</v>
      </c>
      <c r="F3167" t="s">
        <v>15</v>
      </c>
      <c r="G3167" s="1">
        <f>VALUE(20174.411846383)</f>
        <v>20174.411846382998</v>
      </c>
      <c r="H3167" s="1">
        <f>VALUE(18379.9876438589)</f>
        <v>18379.987643858902</v>
      </c>
      <c r="I3167" s="1">
        <f>VALUE(2913)</f>
        <v>2913</v>
      </c>
      <c r="J3167" s="1">
        <f>VALUE(3490)</f>
        <v>3490</v>
      </c>
      <c r="K3167" s="1">
        <f>VALUE(4282)</f>
        <v>4282</v>
      </c>
      <c r="L3167" s="1">
        <f>VALUE(5280)</f>
        <v>5280</v>
      </c>
      <c r="M3167" s="1">
        <f>VALUE(6183)</f>
        <v>6183</v>
      </c>
      <c r="N3167" t="s">
        <v>16</v>
      </c>
    </row>
    <row r="3168" spans="1:14" x14ac:dyDescent="0.25">
      <c r="A3168" t="s">
        <v>41</v>
      </c>
      <c r="B3168" t="s">
        <v>15</v>
      </c>
      <c r="C3168" t="s">
        <v>37</v>
      </c>
      <c r="D3168" t="s">
        <v>15</v>
      </c>
      <c r="E3168" t="s">
        <v>23</v>
      </c>
      <c r="F3168" t="s">
        <v>17</v>
      </c>
      <c r="G3168" s="2">
        <f>VALUE(535.8901013814)</f>
        <v>535.89010138139997</v>
      </c>
      <c r="H3168" s="3">
        <f>VALUE(517.0506934918)</f>
        <v>517.05069349179996</v>
      </c>
      <c r="I3168" s="4">
        <f>VALUE(3578)</f>
        <v>3578</v>
      </c>
      <c r="J3168" s="5">
        <f>VALUE(4155)</f>
        <v>4155</v>
      </c>
      <c r="K3168" s="6">
        <f>VALUE(5482)</f>
        <v>5482</v>
      </c>
      <c r="L3168" s="7">
        <f>VALUE(7648)</f>
        <v>7648</v>
      </c>
      <c r="M3168" s="8">
        <f>VALUE(11292)</f>
        <v>11292</v>
      </c>
      <c r="N3168" t="s">
        <v>24</v>
      </c>
    </row>
    <row r="3169" spans="1:14" x14ac:dyDescent="0.25">
      <c r="A3169" t="s">
        <v>41</v>
      </c>
      <c r="B3169" t="s">
        <v>15</v>
      </c>
      <c r="C3169" t="s">
        <v>37</v>
      </c>
      <c r="D3169" t="s">
        <v>15</v>
      </c>
      <c r="E3169" t="s">
        <v>23</v>
      </c>
      <c r="F3169" t="s">
        <v>18</v>
      </c>
      <c r="G3169" s="2">
        <f>VALUE(1272.5270949673)</f>
        <v>1272.5270949672999</v>
      </c>
      <c r="H3169" s="3">
        <f>VALUE(1208.3482559013)</f>
        <v>1208.3482559013</v>
      </c>
      <c r="I3169" s="4">
        <f>VALUE(3467)</f>
        <v>3467</v>
      </c>
      <c r="J3169" s="1">
        <f>VALUE(4445)</f>
        <v>4445</v>
      </c>
      <c r="K3169" s="1">
        <f>VALUE(5103)</f>
        <v>5103</v>
      </c>
      <c r="L3169" s="1">
        <f>VALUE(5958)</f>
        <v>5958</v>
      </c>
      <c r="M3169" s="8">
        <f>VALUE(7093)</f>
        <v>7093</v>
      </c>
      <c r="N3169" t="s">
        <v>25</v>
      </c>
    </row>
    <row r="3170" spans="1:14" x14ac:dyDescent="0.25">
      <c r="A3170" t="s">
        <v>41</v>
      </c>
      <c r="B3170" t="s">
        <v>15</v>
      </c>
      <c r="C3170" t="s">
        <v>37</v>
      </c>
      <c r="D3170" t="s">
        <v>15</v>
      </c>
      <c r="E3170" t="s">
        <v>23</v>
      </c>
      <c r="F3170" t="s">
        <v>19</v>
      </c>
      <c r="G3170" s="1">
        <f>VALUE(1778.6549540276)</f>
        <v>1778.6549540276001</v>
      </c>
      <c r="H3170" s="1">
        <f>VALUE(1714.9838197773)</f>
        <v>1714.9838197772999</v>
      </c>
      <c r="I3170" s="1">
        <f>VALUE(3295)</f>
        <v>3295</v>
      </c>
      <c r="J3170" s="1">
        <f>VALUE(3945)</f>
        <v>3945</v>
      </c>
      <c r="K3170" s="1">
        <f>VALUE(4691)</f>
        <v>4691</v>
      </c>
      <c r="L3170" s="1">
        <f>VALUE(5730)</f>
        <v>5730</v>
      </c>
      <c r="M3170" s="1">
        <f>VALUE(6584)</f>
        <v>6584</v>
      </c>
      <c r="N3170" t="s">
        <v>16</v>
      </c>
    </row>
    <row r="3171" spans="1:14" x14ac:dyDescent="0.25">
      <c r="A3171" t="s">
        <v>41</v>
      </c>
      <c r="B3171" t="s">
        <v>15</v>
      </c>
      <c r="C3171" t="s">
        <v>37</v>
      </c>
      <c r="D3171" t="s">
        <v>15</v>
      </c>
      <c r="E3171" t="s">
        <v>23</v>
      </c>
      <c r="F3171" t="s">
        <v>20</v>
      </c>
      <c r="G3171" s="1">
        <f>VALUE(16583.1622158321)</f>
        <v>16583.162215832101</v>
      </c>
      <c r="H3171" s="1">
        <f>VALUE(14935.8632181668)</f>
        <v>14935.8632181668</v>
      </c>
      <c r="I3171" s="1">
        <f>VALUE(2855)</f>
        <v>2855</v>
      </c>
      <c r="J3171" s="1">
        <f>VALUE(3429)</f>
        <v>3429</v>
      </c>
      <c r="K3171" s="1">
        <f>VALUE(4116)</f>
        <v>4116</v>
      </c>
      <c r="L3171" s="1">
        <f>VALUE(5117)</f>
        <v>5117</v>
      </c>
      <c r="M3171" s="1">
        <f>VALUE(5943)</f>
        <v>5943</v>
      </c>
      <c r="N3171" t="s">
        <v>16</v>
      </c>
    </row>
    <row r="3172" spans="1:14" x14ac:dyDescent="0.25">
      <c r="A3172" t="s">
        <v>41</v>
      </c>
      <c r="B3172" t="s">
        <v>15</v>
      </c>
      <c r="C3172" t="s">
        <v>37</v>
      </c>
      <c r="D3172" t="s">
        <v>15</v>
      </c>
      <c r="E3172" t="s">
        <v>26</v>
      </c>
      <c r="F3172" t="s">
        <v>15</v>
      </c>
      <c r="G3172" s="1">
        <f>VALUE(690.3544068023)</f>
        <v>690.35440680229999</v>
      </c>
      <c r="H3172" s="1">
        <f>VALUE(692.975991309)</f>
        <v>692.97599130900005</v>
      </c>
      <c r="I3172" s="1">
        <f>VALUE(5183)</f>
        <v>5183</v>
      </c>
      <c r="J3172" s="1">
        <f>VALUE(6826)</f>
        <v>6826</v>
      </c>
      <c r="K3172" s="1">
        <f>VALUE(10540)</f>
        <v>10540</v>
      </c>
      <c r="L3172" s="1">
        <f>VALUE(15555)</f>
        <v>15555</v>
      </c>
      <c r="M3172" s="1">
        <f>VALUE(25093)</f>
        <v>25093</v>
      </c>
      <c r="N3172" t="s">
        <v>16</v>
      </c>
    </row>
    <row r="3173" spans="1:14" x14ac:dyDescent="0.25">
      <c r="A3173" t="s">
        <v>41</v>
      </c>
      <c r="B3173" t="s">
        <v>15</v>
      </c>
      <c r="C3173" t="s">
        <v>37</v>
      </c>
      <c r="D3173" t="s">
        <v>15</v>
      </c>
      <c r="E3173" t="s">
        <v>26</v>
      </c>
      <c r="F3173" t="s">
        <v>17</v>
      </c>
      <c r="G3173" s="1" t="str">
        <f t="shared" ref="G3173:M3175" si="683">"X"</f>
        <v>X</v>
      </c>
      <c r="H3173" s="1" t="str">
        <f t="shared" si="683"/>
        <v>X</v>
      </c>
      <c r="I3173" s="1" t="str">
        <f t="shared" si="683"/>
        <v>X</v>
      </c>
      <c r="J3173" s="1" t="str">
        <f t="shared" si="683"/>
        <v>X</v>
      </c>
      <c r="K3173" s="1" t="str">
        <f t="shared" si="683"/>
        <v>X</v>
      </c>
      <c r="L3173" s="1" t="str">
        <f t="shared" si="683"/>
        <v>X</v>
      </c>
      <c r="M3173" s="1" t="str">
        <f t="shared" si="683"/>
        <v>X</v>
      </c>
      <c r="N3173" t="s">
        <v>27</v>
      </c>
    </row>
    <row r="3174" spans="1:14" x14ac:dyDescent="0.25">
      <c r="A3174" t="s">
        <v>41</v>
      </c>
      <c r="B3174" t="s">
        <v>15</v>
      </c>
      <c r="C3174" t="s">
        <v>37</v>
      </c>
      <c r="D3174" t="s">
        <v>15</v>
      </c>
      <c r="E3174" t="s">
        <v>26</v>
      </c>
      <c r="F3174" t="s">
        <v>18</v>
      </c>
      <c r="G3174" s="1" t="str">
        <f t="shared" si="683"/>
        <v>X</v>
      </c>
      <c r="H3174" s="1" t="str">
        <f t="shared" si="683"/>
        <v>X</v>
      </c>
      <c r="I3174" s="1" t="str">
        <f t="shared" si="683"/>
        <v>X</v>
      </c>
      <c r="J3174" s="1" t="str">
        <f t="shared" si="683"/>
        <v>X</v>
      </c>
      <c r="K3174" s="1" t="str">
        <f t="shared" si="683"/>
        <v>X</v>
      </c>
      <c r="L3174" s="1" t="str">
        <f t="shared" si="683"/>
        <v>X</v>
      </c>
      <c r="M3174" s="1" t="str">
        <f t="shared" si="683"/>
        <v>X</v>
      </c>
      <c r="N3174" t="s">
        <v>27</v>
      </c>
    </row>
    <row r="3175" spans="1:14" x14ac:dyDescent="0.25">
      <c r="A3175" t="s">
        <v>41</v>
      </c>
      <c r="B3175" t="s">
        <v>15</v>
      </c>
      <c r="C3175" t="s">
        <v>37</v>
      </c>
      <c r="D3175" t="s">
        <v>15</v>
      </c>
      <c r="E3175" t="s">
        <v>26</v>
      </c>
      <c r="F3175" t="s">
        <v>19</v>
      </c>
      <c r="G3175" s="1" t="str">
        <f t="shared" si="683"/>
        <v>X</v>
      </c>
      <c r="H3175" s="1" t="str">
        <f t="shared" si="683"/>
        <v>X</v>
      </c>
      <c r="I3175" s="1" t="str">
        <f t="shared" si="683"/>
        <v>X</v>
      </c>
      <c r="J3175" s="1" t="str">
        <f t="shared" si="683"/>
        <v>X</v>
      </c>
      <c r="K3175" s="1" t="str">
        <f t="shared" si="683"/>
        <v>X</v>
      </c>
      <c r="L3175" s="1" t="str">
        <f t="shared" si="683"/>
        <v>X</v>
      </c>
      <c r="M3175" s="1" t="str">
        <f t="shared" si="683"/>
        <v>X</v>
      </c>
      <c r="N3175" t="s">
        <v>27</v>
      </c>
    </row>
    <row r="3176" spans="1:14" x14ac:dyDescent="0.25">
      <c r="A3176" t="s">
        <v>41</v>
      </c>
      <c r="B3176" t="s">
        <v>15</v>
      </c>
      <c r="C3176" t="s">
        <v>37</v>
      </c>
      <c r="D3176" t="s">
        <v>15</v>
      </c>
      <c r="E3176" t="s">
        <v>26</v>
      </c>
      <c r="F3176" t="s">
        <v>20</v>
      </c>
      <c r="G3176" s="2">
        <f>VALUE(138.1822445551)</f>
        <v>138.1822445551</v>
      </c>
      <c r="H3176" s="3">
        <f>VALUE(128.8002271307)</f>
        <v>128.80022713069999</v>
      </c>
      <c r="I3176" s="1">
        <f>VALUE(4445)</f>
        <v>4445</v>
      </c>
      <c r="J3176" s="1">
        <f>VALUE(5317)</f>
        <v>5317</v>
      </c>
      <c r="K3176" s="1">
        <f>VALUE(6230)</f>
        <v>6230</v>
      </c>
      <c r="L3176" s="1">
        <f>VALUE(7143)</f>
        <v>7143</v>
      </c>
      <c r="M3176" s="1">
        <f>VALUE(7850)</f>
        <v>7850</v>
      </c>
      <c r="N3176" t="s">
        <v>25</v>
      </c>
    </row>
    <row r="3177" spans="1:14" x14ac:dyDescent="0.25">
      <c r="A3177" t="s">
        <v>41</v>
      </c>
      <c r="B3177" t="s">
        <v>15</v>
      </c>
      <c r="C3177" t="s">
        <v>37</v>
      </c>
      <c r="D3177" t="s">
        <v>28</v>
      </c>
      <c r="E3177" t="s">
        <v>15</v>
      </c>
      <c r="F3177" t="s">
        <v>15</v>
      </c>
      <c r="G3177" s="1">
        <f>VALUE(20529.6837392082)</f>
        <v>20529.683739208202</v>
      </c>
      <c r="H3177" s="1">
        <f>VALUE(17574.1900844532)</f>
        <v>17574.190084453199</v>
      </c>
      <c r="I3177" s="1">
        <f>VALUE(3917)</f>
        <v>3917</v>
      </c>
      <c r="J3177" s="1">
        <f>VALUE(4823)</f>
        <v>4823</v>
      </c>
      <c r="K3177" s="1">
        <f>VALUE(5984)</f>
        <v>5984</v>
      </c>
      <c r="L3177" s="1">
        <f>VALUE(7690)</f>
        <v>7690</v>
      </c>
      <c r="M3177" s="1">
        <f>VALUE(10719)</f>
        <v>10719</v>
      </c>
      <c r="N3177" t="s">
        <v>16</v>
      </c>
    </row>
    <row r="3178" spans="1:14" x14ac:dyDescent="0.25">
      <c r="A3178" t="s">
        <v>41</v>
      </c>
      <c r="B3178" t="s">
        <v>15</v>
      </c>
      <c r="C3178" t="s">
        <v>37</v>
      </c>
      <c r="D3178" t="s">
        <v>28</v>
      </c>
      <c r="E3178" t="s">
        <v>15</v>
      </c>
      <c r="F3178" t="s">
        <v>17</v>
      </c>
      <c r="G3178" s="1">
        <f>VALUE(5001.1524499568)</f>
        <v>5001.1524499568004</v>
      </c>
      <c r="H3178" s="1">
        <f>VALUE(4759.5161781571)</f>
        <v>4759.5161781570996</v>
      </c>
      <c r="I3178" s="1">
        <f>VALUE(4333)</f>
        <v>4333</v>
      </c>
      <c r="J3178" s="1">
        <f>VALUE(5864)</f>
        <v>5864</v>
      </c>
      <c r="K3178" s="1">
        <f>VALUE(8016)</f>
        <v>8016</v>
      </c>
      <c r="L3178" s="1">
        <f>VALUE(11346)</f>
        <v>11346</v>
      </c>
      <c r="M3178" s="1">
        <f>VALUE(16250)</f>
        <v>16250</v>
      </c>
      <c r="N3178" t="s">
        <v>16</v>
      </c>
    </row>
    <row r="3179" spans="1:14" x14ac:dyDescent="0.25">
      <c r="A3179" t="s">
        <v>41</v>
      </c>
      <c r="B3179" t="s">
        <v>15</v>
      </c>
      <c r="C3179" t="s">
        <v>37</v>
      </c>
      <c r="D3179" t="s">
        <v>28</v>
      </c>
      <c r="E3179" t="s">
        <v>15</v>
      </c>
      <c r="F3179" t="s">
        <v>18</v>
      </c>
      <c r="G3179" s="1">
        <f>VALUE(3354.2516852609)</f>
        <v>3354.2516852609001</v>
      </c>
      <c r="H3179" s="1">
        <f>VALUE(2834.4930337236)</f>
        <v>2834.4930337236001</v>
      </c>
      <c r="I3179" s="1">
        <f>VALUE(4436)</f>
        <v>4436</v>
      </c>
      <c r="J3179" s="1">
        <f>VALUE(5262)</f>
        <v>5262</v>
      </c>
      <c r="K3179" s="1">
        <f>VALUE(6542)</f>
        <v>6542</v>
      </c>
      <c r="L3179" s="1">
        <f>VALUE(8071)</f>
        <v>8071</v>
      </c>
      <c r="M3179" s="1">
        <f>VALUE(9935)</f>
        <v>9935</v>
      </c>
      <c r="N3179" t="s">
        <v>16</v>
      </c>
    </row>
    <row r="3180" spans="1:14" x14ac:dyDescent="0.25">
      <c r="A3180" t="s">
        <v>41</v>
      </c>
      <c r="B3180" t="s">
        <v>15</v>
      </c>
      <c r="C3180" t="s">
        <v>37</v>
      </c>
      <c r="D3180" t="s">
        <v>28</v>
      </c>
      <c r="E3180" t="s">
        <v>15</v>
      </c>
      <c r="F3180" t="s">
        <v>19</v>
      </c>
      <c r="G3180" s="1">
        <f>VALUE(2768.3855263459)</f>
        <v>2768.3855263459</v>
      </c>
      <c r="H3180" s="1">
        <f>VALUE(2337.2991979529)</f>
        <v>2337.2991979529002</v>
      </c>
      <c r="I3180" s="1">
        <f>VALUE(4168)</f>
        <v>4168</v>
      </c>
      <c r="J3180" s="1">
        <f>VALUE(4901)</f>
        <v>4901</v>
      </c>
      <c r="K3180" s="1">
        <f>VALUE(5855)</f>
        <v>5855</v>
      </c>
      <c r="L3180" s="1">
        <f>VALUE(7020)</f>
        <v>7020</v>
      </c>
      <c r="M3180" s="1">
        <f>VALUE(8250)</f>
        <v>8250</v>
      </c>
      <c r="N3180" t="s">
        <v>16</v>
      </c>
    </row>
    <row r="3181" spans="1:14" x14ac:dyDescent="0.25">
      <c r="A3181" t="s">
        <v>41</v>
      </c>
      <c r="B3181" t="s">
        <v>15</v>
      </c>
      <c r="C3181" t="s">
        <v>37</v>
      </c>
      <c r="D3181" t="s">
        <v>28</v>
      </c>
      <c r="E3181" t="s">
        <v>15</v>
      </c>
      <c r="F3181" t="s">
        <v>20</v>
      </c>
      <c r="G3181" s="1">
        <f>VALUE(9391.7610874299)</f>
        <v>9391.7610874299007</v>
      </c>
      <c r="H3181" s="1">
        <f>VALUE(7628.9430664135)</f>
        <v>7628.9430664134998</v>
      </c>
      <c r="I3181" s="1">
        <f>VALUE(3683)</f>
        <v>3683</v>
      </c>
      <c r="J3181" s="1">
        <f>VALUE(4386)</f>
        <v>4386</v>
      </c>
      <c r="K3181" s="1">
        <f>VALUE(5309)</f>
        <v>5309</v>
      </c>
      <c r="L3181" s="1">
        <f>VALUE(6338)</f>
        <v>6338</v>
      </c>
      <c r="M3181" s="1">
        <f>VALUE(7508)</f>
        <v>7508</v>
      </c>
      <c r="N3181" t="s">
        <v>16</v>
      </c>
    </row>
    <row r="3182" spans="1:14" x14ac:dyDescent="0.25">
      <c r="A3182" t="s">
        <v>41</v>
      </c>
      <c r="B3182" t="s">
        <v>15</v>
      </c>
      <c r="C3182" t="s">
        <v>37</v>
      </c>
      <c r="D3182" t="s">
        <v>28</v>
      </c>
      <c r="E3182" t="s">
        <v>21</v>
      </c>
      <c r="F3182" t="s">
        <v>15</v>
      </c>
      <c r="G3182" s="1">
        <f>VALUE(6290.7330184899)</f>
        <v>6290.7330184899001</v>
      </c>
      <c r="H3182" s="1">
        <f>VALUE(5416.6102461273)</f>
        <v>5416.6102461273003</v>
      </c>
      <c r="I3182" s="1">
        <f>VALUE(4588)</f>
        <v>4588</v>
      </c>
      <c r="J3182" s="1">
        <f>VALUE(5953)</f>
        <v>5953</v>
      </c>
      <c r="K3182" s="1">
        <f>VALUE(7591)</f>
        <v>7591</v>
      </c>
      <c r="L3182" s="1">
        <f>VALUE(10041)</f>
        <v>10041</v>
      </c>
      <c r="M3182" s="1">
        <f>VALUE(13725)</f>
        <v>13725</v>
      </c>
      <c r="N3182" t="s">
        <v>16</v>
      </c>
    </row>
    <row r="3183" spans="1:14" x14ac:dyDescent="0.25">
      <c r="A3183" t="s">
        <v>41</v>
      </c>
      <c r="B3183" t="s">
        <v>15</v>
      </c>
      <c r="C3183" t="s">
        <v>37</v>
      </c>
      <c r="D3183" t="s">
        <v>28</v>
      </c>
      <c r="E3183" t="s">
        <v>21</v>
      </c>
      <c r="F3183" t="s">
        <v>17</v>
      </c>
      <c r="G3183" s="1">
        <f>VALUE(2922.8106419905)</f>
        <v>2922.8106419904998</v>
      </c>
      <c r="H3183" s="1">
        <f>VALUE(2747.777794974)</f>
        <v>2747.7777949739998</v>
      </c>
      <c r="I3183" s="4">
        <f>VALUE(4803)</f>
        <v>4803</v>
      </c>
      <c r="J3183" s="1">
        <f>VALUE(6530)</f>
        <v>6530</v>
      </c>
      <c r="K3183" s="1">
        <f>VALUE(8878)</f>
        <v>8878</v>
      </c>
      <c r="L3183" s="1">
        <f>VALUE(12201)</f>
        <v>12201</v>
      </c>
      <c r="M3183" s="1">
        <f>VALUE(16363)</f>
        <v>16363</v>
      </c>
      <c r="N3183" t="s">
        <v>25</v>
      </c>
    </row>
    <row r="3184" spans="1:14" x14ac:dyDescent="0.25">
      <c r="A3184" t="s">
        <v>41</v>
      </c>
      <c r="B3184" t="s">
        <v>15</v>
      </c>
      <c r="C3184" t="s">
        <v>37</v>
      </c>
      <c r="D3184" t="s">
        <v>28</v>
      </c>
      <c r="E3184" t="s">
        <v>21</v>
      </c>
      <c r="F3184" t="s">
        <v>18</v>
      </c>
      <c r="G3184" s="2">
        <f>VALUE(1411.1655055132)</f>
        <v>1411.1655055132001</v>
      </c>
      <c r="H3184" s="3">
        <f>VALUE(1131.470148642)</f>
        <v>1131.4701486419999</v>
      </c>
      <c r="I3184" s="4">
        <f>VALUE(4746)</f>
        <v>4746</v>
      </c>
      <c r="J3184" s="1">
        <f>VALUE(5984)</f>
        <v>5984</v>
      </c>
      <c r="K3184" s="1">
        <f>VALUE(7302)</f>
        <v>7302</v>
      </c>
      <c r="L3184" s="1">
        <f>VALUE(8855)</f>
        <v>8855</v>
      </c>
      <c r="M3184" s="1">
        <f>VALUE(11028)</f>
        <v>11028</v>
      </c>
      <c r="N3184" t="s">
        <v>25</v>
      </c>
    </row>
    <row r="3185" spans="1:14" x14ac:dyDescent="0.25">
      <c r="A3185" t="s">
        <v>41</v>
      </c>
      <c r="B3185" t="s">
        <v>15</v>
      </c>
      <c r="C3185" t="s">
        <v>37</v>
      </c>
      <c r="D3185" t="s">
        <v>28</v>
      </c>
      <c r="E3185" t="s">
        <v>21</v>
      </c>
      <c r="F3185" t="s">
        <v>19</v>
      </c>
      <c r="G3185" s="2">
        <f>VALUE(838.5648545405)</f>
        <v>838.56485454050005</v>
      </c>
      <c r="H3185" s="3">
        <f>VALUE(639.414218735)</f>
        <v>639.41421873499996</v>
      </c>
      <c r="I3185" s="1">
        <f>VALUE(4540)</f>
        <v>4540</v>
      </c>
      <c r="J3185" s="1">
        <f>VALUE(5474)</f>
        <v>5474</v>
      </c>
      <c r="K3185" s="1">
        <f>VALUE(6823)</f>
        <v>6823</v>
      </c>
      <c r="L3185" s="1">
        <f>VALUE(7965)</f>
        <v>7965</v>
      </c>
      <c r="M3185" s="8">
        <f>VALUE(9143)</f>
        <v>9143</v>
      </c>
      <c r="N3185" t="s">
        <v>25</v>
      </c>
    </row>
    <row r="3186" spans="1:14" x14ac:dyDescent="0.25">
      <c r="A3186" t="s">
        <v>41</v>
      </c>
      <c r="B3186" t="s">
        <v>15</v>
      </c>
      <c r="C3186" t="s">
        <v>37</v>
      </c>
      <c r="D3186" t="s">
        <v>28</v>
      </c>
      <c r="E3186" t="s">
        <v>21</v>
      </c>
      <c r="F3186" t="s">
        <v>20</v>
      </c>
      <c r="G3186" s="2">
        <f>VALUE(1117.025724394)</f>
        <v>1117.025724394</v>
      </c>
      <c r="H3186" s="3">
        <f>VALUE(896.9761737332)</f>
        <v>896.97617373319997</v>
      </c>
      <c r="I3186" s="1">
        <f>VALUE(3972)</f>
        <v>3972</v>
      </c>
      <c r="J3186" s="1">
        <f>VALUE(5096)</f>
        <v>5096</v>
      </c>
      <c r="K3186" s="1">
        <f>VALUE(6535)</f>
        <v>6535</v>
      </c>
      <c r="L3186" s="1">
        <f>VALUE(7695)</f>
        <v>7695</v>
      </c>
      <c r="M3186" s="1">
        <f>VALUE(9253)</f>
        <v>9253</v>
      </c>
      <c r="N3186" t="s">
        <v>25</v>
      </c>
    </row>
    <row r="3187" spans="1:14" x14ac:dyDescent="0.25">
      <c r="A3187" t="s">
        <v>41</v>
      </c>
      <c r="B3187" t="s">
        <v>15</v>
      </c>
      <c r="C3187" t="s">
        <v>37</v>
      </c>
      <c r="D3187" t="s">
        <v>28</v>
      </c>
      <c r="E3187" t="s">
        <v>22</v>
      </c>
      <c r="F3187" t="s">
        <v>15</v>
      </c>
      <c r="G3187" s="1">
        <f>VALUE(10485.0069826958)</f>
        <v>10485.006982695801</v>
      </c>
      <c r="H3187" s="1">
        <f>VALUE(9047.8189619878)</f>
        <v>9047.8189619877994</v>
      </c>
      <c r="I3187" s="1">
        <f>VALUE(4058)</f>
        <v>4058</v>
      </c>
      <c r="J3187" s="1">
        <f>VALUE(4894)</f>
        <v>4894</v>
      </c>
      <c r="K3187" s="1">
        <f>VALUE(5721)</f>
        <v>5721</v>
      </c>
      <c r="L3187" s="1">
        <f>VALUE(6845)</f>
        <v>6845</v>
      </c>
      <c r="M3187" s="1">
        <f>VALUE(8250)</f>
        <v>8250</v>
      </c>
      <c r="N3187" t="s">
        <v>16</v>
      </c>
    </row>
    <row r="3188" spans="1:14" x14ac:dyDescent="0.25">
      <c r="A3188" t="s">
        <v>41</v>
      </c>
      <c r="B3188" t="s">
        <v>15</v>
      </c>
      <c r="C3188" t="s">
        <v>37</v>
      </c>
      <c r="D3188" t="s">
        <v>28</v>
      </c>
      <c r="E3188" t="s">
        <v>22</v>
      </c>
      <c r="F3188" t="s">
        <v>17</v>
      </c>
      <c r="G3188" s="2">
        <f>VALUE(1716.9309155295)</f>
        <v>1716.9309155295</v>
      </c>
      <c r="H3188" s="3">
        <f>VALUE(1663.454248129)</f>
        <v>1663.454248129</v>
      </c>
      <c r="I3188" s="4">
        <f>VALUE(3810)</f>
        <v>3810</v>
      </c>
      <c r="J3188" s="1">
        <f>VALUE(5159)</f>
        <v>5159</v>
      </c>
      <c r="K3188" s="1">
        <f>VALUE(6628)</f>
        <v>6628</v>
      </c>
      <c r="L3188" s="1">
        <f>VALUE(8586)</f>
        <v>8586</v>
      </c>
      <c r="M3188" s="8">
        <f>VALUE(11350)</f>
        <v>11350</v>
      </c>
      <c r="N3188" t="s">
        <v>25</v>
      </c>
    </row>
    <row r="3189" spans="1:14" x14ac:dyDescent="0.25">
      <c r="A3189" t="s">
        <v>41</v>
      </c>
      <c r="B3189" t="s">
        <v>15</v>
      </c>
      <c r="C3189" t="s">
        <v>37</v>
      </c>
      <c r="D3189" t="s">
        <v>28</v>
      </c>
      <c r="E3189" t="s">
        <v>22</v>
      </c>
      <c r="F3189" t="s">
        <v>18</v>
      </c>
      <c r="G3189" s="1">
        <f>VALUE(1535.6273652757)</f>
        <v>1535.6273652757</v>
      </c>
      <c r="H3189" s="1">
        <f>VALUE(1332.6690692784)</f>
        <v>1332.6690692784</v>
      </c>
      <c r="I3189" s="1">
        <f>VALUE(4404)</f>
        <v>4404</v>
      </c>
      <c r="J3189" s="1">
        <f>VALUE(5157)</f>
        <v>5157</v>
      </c>
      <c r="K3189" s="1">
        <f>VALUE(6096)</f>
        <v>6096</v>
      </c>
      <c r="L3189" s="1">
        <f>VALUE(7146)</f>
        <v>7146</v>
      </c>
      <c r="M3189" s="1">
        <f>VALUE(8484)</f>
        <v>8484</v>
      </c>
      <c r="N3189" t="s">
        <v>16</v>
      </c>
    </row>
    <row r="3190" spans="1:14" x14ac:dyDescent="0.25">
      <c r="A3190" t="s">
        <v>41</v>
      </c>
      <c r="B3190" t="s">
        <v>15</v>
      </c>
      <c r="C3190" t="s">
        <v>37</v>
      </c>
      <c r="D3190" t="s">
        <v>28</v>
      </c>
      <c r="E3190" t="s">
        <v>22</v>
      </c>
      <c r="F3190" t="s">
        <v>19</v>
      </c>
      <c r="G3190" s="1">
        <f>VALUE(1656.8196057324)</f>
        <v>1656.8196057324001</v>
      </c>
      <c r="H3190" s="1">
        <f>VALUE(1445.568707533)</f>
        <v>1445.568707533</v>
      </c>
      <c r="I3190" s="1">
        <f>VALUE(4256)</f>
        <v>4256</v>
      </c>
      <c r="J3190" s="1">
        <f>VALUE(4939)</f>
        <v>4939</v>
      </c>
      <c r="K3190" s="1">
        <f>VALUE(5740)</f>
        <v>5740</v>
      </c>
      <c r="L3190" s="1">
        <f>VALUE(6665)</f>
        <v>6665</v>
      </c>
      <c r="M3190" s="1">
        <f>VALUE(7728)</f>
        <v>7728</v>
      </c>
      <c r="N3190" t="s">
        <v>16</v>
      </c>
    </row>
    <row r="3191" spans="1:14" x14ac:dyDescent="0.25">
      <c r="A3191" t="s">
        <v>41</v>
      </c>
      <c r="B3191" t="s">
        <v>15</v>
      </c>
      <c r="C3191" t="s">
        <v>37</v>
      </c>
      <c r="D3191" t="s">
        <v>28</v>
      </c>
      <c r="E3191" t="s">
        <v>22</v>
      </c>
      <c r="F3191" t="s">
        <v>20</v>
      </c>
      <c r="G3191" s="1">
        <f>VALUE(5575.6290961582)</f>
        <v>5575.6290961581999</v>
      </c>
      <c r="H3191" s="1">
        <f>VALUE(4606.1269370474)</f>
        <v>4606.1269370474001</v>
      </c>
      <c r="I3191" s="1">
        <f>VALUE(3928)</f>
        <v>3928</v>
      </c>
      <c r="J3191" s="1">
        <f>VALUE(4729)</f>
        <v>4729</v>
      </c>
      <c r="K3191" s="1">
        <f>VALUE(5555)</f>
        <v>5555</v>
      </c>
      <c r="L3191" s="1">
        <f>VALUE(6358)</f>
        <v>6358</v>
      </c>
      <c r="M3191" s="1">
        <f>VALUE(7311)</f>
        <v>7311</v>
      </c>
      <c r="N3191" t="s">
        <v>16</v>
      </c>
    </row>
    <row r="3192" spans="1:14" x14ac:dyDescent="0.25">
      <c r="A3192" t="s">
        <v>41</v>
      </c>
      <c r="B3192" t="s">
        <v>15</v>
      </c>
      <c r="C3192" t="s">
        <v>37</v>
      </c>
      <c r="D3192" t="s">
        <v>28</v>
      </c>
      <c r="E3192" t="s">
        <v>23</v>
      </c>
      <c r="F3192" t="s">
        <v>15</v>
      </c>
      <c r="G3192" s="1">
        <f>VALUE(3307.0279813724)</f>
        <v>3307.0279813724001</v>
      </c>
      <c r="H3192" s="1">
        <f>VALUE(2662.9075595712)</f>
        <v>2662.9075595712002</v>
      </c>
      <c r="I3192" s="1">
        <f>VALUE(3244)</f>
        <v>3244</v>
      </c>
      <c r="J3192" s="1">
        <f>VALUE(3890)</f>
        <v>3890</v>
      </c>
      <c r="K3192" s="1">
        <f>VALUE(4571)</f>
        <v>4571</v>
      </c>
      <c r="L3192" s="1">
        <f>VALUE(5451)</f>
        <v>5451</v>
      </c>
      <c r="M3192" s="1">
        <f>VALUE(6952)</f>
        <v>6952</v>
      </c>
      <c r="N3192" t="s">
        <v>16</v>
      </c>
    </row>
    <row r="3193" spans="1:14" x14ac:dyDescent="0.25">
      <c r="A3193" t="s">
        <v>41</v>
      </c>
      <c r="B3193" t="s">
        <v>15</v>
      </c>
      <c r="C3193" t="s">
        <v>37</v>
      </c>
      <c r="D3193" t="s">
        <v>28</v>
      </c>
      <c r="E3193" t="s">
        <v>23</v>
      </c>
      <c r="F3193" t="s">
        <v>17</v>
      </c>
      <c r="G3193" s="2">
        <f>VALUE(160.8743692887)</f>
        <v>160.8743692887</v>
      </c>
      <c r="H3193" s="3">
        <f>VALUE(140.0245486288)</f>
        <v>140.02454862880001</v>
      </c>
      <c r="I3193" s="4">
        <f>VALUE(3578)</f>
        <v>3578</v>
      </c>
      <c r="J3193" s="5">
        <f>VALUE(4253)</f>
        <v>4253</v>
      </c>
      <c r="K3193" s="6">
        <f>VALUE(5366)</f>
        <v>5366</v>
      </c>
      <c r="L3193" s="7">
        <f>VALUE(8799)</f>
        <v>8799</v>
      </c>
      <c r="M3193" s="8">
        <f>VALUE(15854)</f>
        <v>15854</v>
      </c>
      <c r="N3193" t="s">
        <v>24</v>
      </c>
    </row>
    <row r="3194" spans="1:14" x14ac:dyDescent="0.25">
      <c r="A3194" t="s">
        <v>41</v>
      </c>
      <c r="B3194" t="s">
        <v>15</v>
      </c>
      <c r="C3194" t="s">
        <v>37</v>
      </c>
      <c r="D3194" t="s">
        <v>28</v>
      </c>
      <c r="E3194" t="s">
        <v>23</v>
      </c>
      <c r="F3194" t="s">
        <v>18</v>
      </c>
      <c r="G3194" s="2">
        <f>VALUE(268.6865806323)</f>
        <v>268.68658063229998</v>
      </c>
      <c r="H3194" s="3">
        <f>VALUE(230.924117815)</f>
        <v>230.92411781499999</v>
      </c>
      <c r="I3194" s="4">
        <f>VALUE(3150)</f>
        <v>3150</v>
      </c>
      <c r="J3194" s="5">
        <f>VALUE(4434)</f>
        <v>4434</v>
      </c>
      <c r="K3194" s="1">
        <f>VALUE(5076)</f>
        <v>5076</v>
      </c>
      <c r="L3194" s="7">
        <f>VALUE(6567)</f>
        <v>6567</v>
      </c>
      <c r="M3194" s="1">
        <f>VALUE(9820)</f>
        <v>9820</v>
      </c>
      <c r="N3194" t="s">
        <v>25</v>
      </c>
    </row>
    <row r="3195" spans="1:14" x14ac:dyDescent="0.25">
      <c r="A3195" t="s">
        <v>41</v>
      </c>
      <c r="B3195" t="s">
        <v>15</v>
      </c>
      <c r="C3195" t="s">
        <v>37</v>
      </c>
      <c r="D3195" t="s">
        <v>28</v>
      </c>
      <c r="E3195" t="s">
        <v>23</v>
      </c>
      <c r="F3195" t="s">
        <v>19</v>
      </c>
      <c r="G3195" s="2">
        <f>VALUE(271.5400346242)</f>
        <v>271.54003462420002</v>
      </c>
      <c r="H3195" s="3">
        <f>VALUE(251.3958218722)</f>
        <v>251.3958218722</v>
      </c>
      <c r="I3195" s="1">
        <f>VALUE(3293)</f>
        <v>3293</v>
      </c>
      <c r="J3195" s="1">
        <f>VALUE(4107)</f>
        <v>4107</v>
      </c>
      <c r="K3195" s="1">
        <f>VALUE(4901)</f>
        <v>4901</v>
      </c>
      <c r="L3195" s="1">
        <f>VALUE(5982)</f>
        <v>5982</v>
      </c>
      <c r="M3195" s="1">
        <f>VALUE(7308)</f>
        <v>7308</v>
      </c>
      <c r="N3195" t="s">
        <v>25</v>
      </c>
    </row>
    <row r="3196" spans="1:14" x14ac:dyDescent="0.25">
      <c r="A3196" t="s">
        <v>41</v>
      </c>
      <c r="B3196" t="s">
        <v>15</v>
      </c>
      <c r="C3196" t="s">
        <v>37</v>
      </c>
      <c r="D3196" t="s">
        <v>28</v>
      </c>
      <c r="E3196" t="s">
        <v>23</v>
      </c>
      <c r="F3196" t="s">
        <v>20</v>
      </c>
      <c r="G3196" s="1">
        <f>VALUE(2605.9269968272)</f>
        <v>2605.9269968272001</v>
      </c>
      <c r="H3196" s="1">
        <f>VALUE(2040.5630712552)</f>
        <v>2040.5630712551999</v>
      </c>
      <c r="I3196" s="1">
        <f>VALUE(3200)</f>
        <v>3200</v>
      </c>
      <c r="J3196" s="1">
        <f>VALUE(3855)</f>
        <v>3855</v>
      </c>
      <c r="K3196" s="1">
        <f>VALUE(4483)</f>
        <v>4483</v>
      </c>
      <c r="L3196" s="1">
        <f>VALUE(5174)</f>
        <v>5174</v>
      </c>
      <c r="M3196" s="1">
        <f>VALUE(6375)</f>
        <v>6375</v>
      </c>
      <c r="N3196" t="s">
        <v>16</v>
      </c>
    </row>
    <row r="3197" spans="1:14" x14ac:dyDescent="0.25">
      <c r="A3197" t="s">
        <v>41</v>
      </c>
      <c r="B3197" t="s">
        <v>15</v>
      </c>
      <c r="C3197" t="s">
        <v>37</v>
      </c>
      <c r="D3197" t="s">
        <v>28</v>
      </c>
      <c r="E3197" t="s">
        <v>26</v>
      </c>
      <c r="F3197" t="s">
        <v>15</v>
      </c>
      <c r="G3197" s="1">
        <f>VALUE(446.9157566501)</f>
        <v>446.91575665009998</v>
      </c>
      <c r="H3197" s="1">
        <f>VALUE(446.8533167669)</f>
        <v>446.85331676689998</v>
      </c>
      <c r="I3197" s="1">
        <f>VALUE(6110)</f>
        <v>6110</v>
      </c>
      <c r="J3197" s="1">
        <f>VALUE(7490)</f>
        <v>7490</v>
      </c>
      <c r="K3197" s="1">
        <f>VALUE(11161)</f>
        <v>11161</v>
      </c>
      <c r="L3197" s="1">
        <f>VALUE(16350)</f>
        <v>16350</v>
      </c>
      <c r="M3197" s="8">
        <f>VALUE(25210)</f>
        <v>25210</v>
      </c>
      <c r="N3197" t="s">
        <v>25</v>
      </c>
    </row>
    <row r="3198" spans="1:14" x14ac:dyDescent="0.25">
      <c r="A3198" t="s">
        <v>41</v>
      </c>
      <c r="B3198" t="s">
        <v>15</v>
      </c>
      <c r="C3198" t="s">
        <v>37</v>
      </c>
      <c r="D3198" t="s">
        <v>28</v>
      </c>
      <c r="E3198" t="s">
        <v>26</v>
      </c>
      <c r="F3198" t="s">
        <v>17</v>
      </c>
      <c r="G3198" s="1" t="str">
        <f t="shared" ref="G3198:M3201" si="684">"X"</f>
        <v>X</v>
      </c>
      <c r="H3198" s="1" t="str">
        <f t="shared" si="684"/>
        <v>X</v>
      </c>
      <c r="I3198" s="1" t="str">
        <f t="shared" si="684"/>
        <v>X</v>
      </c>
      <c r="J3198" s="1" t="str">
        <f t="shared" si="684"/>
        <v>X</v>
      </c>
      <c r="K3198" s="1" t="str">
        <f t="shared" si="684"/>
        <v>X</v>
      </c>
      <c r="L3198" s="1" t="str">
        <f t="shared" si="684"/>
        <v>X</v>
      </c>
      <c r="M3198" s="1" t="str">
        <f t="shared" si="684"/>
        <v>X</v>
      </c>
      <c r="N3198" t="s">
        <v>27</v>
      </c>
    </row>
    <row r="3199" spans="1:14" x14ac:dyDescent="0.25">
      <c r="A3199" t="s">
        <v>41</v>
      </c>
      <c r="B3199" t="s">
        <v>15</v>
      </c>
      <c r="C3199" t="s">
        <v>37</v>
      </c>
      <c r="D3199" t="s">
        <v>28</v>
      </c>
      <c r="E3199" t="s">
        <v>26</v>
      </c>
      <c r="F3199" t="s">
        <v>18</v>
      </c>
      <c r="G3199" s="1" t="str">
        <f t="shared" si="684"/>
        <v>X</v>
      </c>
      <c r="H3199" s="1" t="str">
        <f t="shared" si="684"/>
        <v>X</v>
      </c>
      <c r="I3199" s="1" t="str">
        <f t="shared" si="684"/>
        <v>X</v>
      </c>
      <c r="J3199" s="1" t="str">
        <f t="shared" si="684"/>
        <v>X</v>
      </c>
      <c r="K3199" s="1" t="str">
        <f t="shared" si="684"/>
        <v>X</v>
      </c>
      <c r="L3199" s="1" t="str">
        <f t="shared" si="684"/>
        <v>X</v>
      </c>
      <c r="M3199" s="1" t="str">
        <f t="shared" si="684"/>
        <v>X</v>
      </c>
      <c r="N3199" t="s">
        <v>27</v>
      </c>
    </row>
    <row r="3200" spans="1:14" x14ac:dyDescent="0.25">
      <c r="A3200" t="s">
        <v>41</v>
      </c>
      <c r="B3200" t="s">
        <v>15</v>
      </c>
      <c r="C3200" t="s">
        <v>37</v>
      </c>
      <c r="D3200" t="s">
        <v>28</v>
      </c>
      <c r="E3200" t="s">
        <v>26</v>
      </c>
      <c r="F3200" t="s">
        <v>19</v>
      </c>
      <c r="G3200" s="1" t="str">
        <f t="shared" si="684"/>
        <v>X</v>
      </c>
      <c r="H3200" s="1" t="str">
        <f t="shared" si="684"/>
        <v>X</v>
      </c>
      <c r="I3200" s="1" t="str">
        <f t="shared" si="684"/>
        <v>X</v>
      </c>
      <c r="J3200" s="1" t="str">
        <f t="shared" si="684"/>
        <v>X</v>
      </c>
      <c r="K3200" s="1" t="str">
        <f t="shared" si="684"/>
        <v>X</v>
      </c>
      <c r="L3200" s="1" t="str">
        <f t="shared" si="684"/>
        <v>X</v>
      </c>
      <c r="M3200" s="1" t="str">
        <f t="shared" si="684"/>
        <v>X</v>
      </c>
      <c r="N3200" t="s">
        <v>27</v>
      </c>
    </row>
    <row r="3201" spans="1:14" x14ac:dyDescent="0.25">
      <c r="A3201" t="s">
        <v>41</v>
      </c>
      <c r="B3201" t="s">
        <v>15</v>
      </c>
      <c r="C3201" t="s">
        <v>37</v>
      </c>
      <c r="D3201" t="s">
        <v>28</v>
      </c>
      <c r="E3201" t="s">
        <v>26</v>
      </c>
      <c r="F3201" t="s">
        <v>20</v>
      </c>
      <c r="G3201" s="1" t="str">
        <f t="shared" si="684"/>
        <v>X</v>
      </c>
      <c r="H3201" s="1" t="str">
        <f t="shared" si="684"/>
        <v>X</v>
      </c>
      <c r="I3201" s="1" t="str">
        <f t="shared" si="684"/>
        <v>X</v>
      </c>
      <c r="J3201" s="1" t="str">
        <f t="shared" si="684"/>
        <v>X</v>
      </c>
      <c r="K3201" s="1" t="str">
        <f t="shared" si="684"/>
        <v>X</v>
      </c>
      <c r="L3201" s="1" t="str">
        <f t="shared" si="684"/>
        <v>X</v>
      </c>
      <c r="M3201" s="1" t="str">
        <f t="shared" si="684"/>
        <v>X</v>
      </c>
      <c r="N3201" t="s">
        <v>27</v>
      </c>
    </row>
    <row r="3202" spans="1:14" x14ac:dyDescent="0.25">
      <c r="A3202" t="s">
        <v>41</v>
      </c>
      <c r="B3202" t="s">
        <v>15</v>
      </c>
      <c r="C3202" t="s">
        <v>37</v>
      </c>
      <c r="D3202" t="s">
        <v>29</v>
      </c>
      <c r="E3202" t="s">
        <v>15</v>
      </c>
      <c r="F3202" t="s">
        <v>15</v>
      </c>
      <c r="G3202" s="1">
        <f>VALUE(7798.3240261306)</f>
        <v>7798.3240261306</v>
      </c>
      <c r="H3202" s="1">
        <f>VALUE(7178.7834706052)</f>
        <v>7178.7834706051999</v>
      </c>
      <c r="I3202" s="1">
        <f>VALUE(3468)</f>
        <v>3468</v>
      </c>
      <c r="J3202" s="1">
        <f>VALUE(4155)</f>
        <v>4155</v>
      </c>
      <c r="K3202" s="1">
        <f>VALUE(5205)</f>
        <v>5205</v>
      </c>
      <c r="L3202" s="1">
        <f>VALUE(6733)</f>
        <v>6733</v>
      </c>
      <c r="M3202" s="1">
        <f>VALUE(9264)</f>
        <v>9264</v>
      </c>
      <c r="N3202" t="s">
        <v>16</v>
      </c>
    </row>
    <row r="3203" spans="1:14" x14ac:dyDescent="0.25">
      <c r="A3203" t="s">
        <v>41</v>
      </c>
      <c r="B3203" t="s">
        <v>15</v>
      </c>
      <c r="C3203" t="s">
        <v>37</v>
      </c>
      <c r="D3203" t="s">
        <v>29</v>
      </c>
      <c r="E3203" t="s">
        <v>15</v>
      </c>
      <c r="F3203" t="s">
        <v>17</v>
      </c>
      <c r="G3203" s="2">
        <f>VALUE(1226.1256384908)</f>
        <v>1226.1256384907999</v>
      </c>
      <c r="H3203" s="3">
        <f>VALUE(1210.9673057642)</f>
        <v>1210.9673057642001</v>
      </c>
      <c r="I3203" s="4">
        <f>VALUE(4194)</f>
        <v>4194</v>
      </c>
      <c r="J3203" s="5">
        <f>VALUE(5459)</f>
        <v>5459</v>
      </c>
      <c r="K3203" s="6">
        <f>VALUE(8211)</f>
        <v>8211</v>
      </c>
      <c r="L3203" s="7">
        <f>VALUE(11702)</f>
        <v>11702</v>
      </c>
      <c r="M3203" s="8">
        <f>VALUE(19524)</f>
        <v>19524</v>
      </c>
      <c r="N3203" t="s">
        <v>24</v>
      </c>
    </row>
    <row r="3204" spans="1:14" x14ac:dyDescent="0.25">
      <c r="A3204" t="s">
        <v>41</v>
      </c>
      <c r="B3204" t="s">
        <v>15</v>
      </c>
      <c r="C3204" t="s">
        <v>37</v>
      </c>
      <c r="D3204" t="s">
        <v>29</v>
      </c>
      <c r="E3204" t="s">
        <v>15</v>
      </c>
      <c r="F3204" t="s">
        <v>18</v>
      </c>
      <c r="G3204" s="2">
        <f>VALUE(905.4540425193)</f>
        <v>905.45404251929995</v>
      </c>
      <c r="H3204" s="3">
        <f>VALUE(851.9263691511)</f>
        <v>851.92636915109995</v>
      </c>
      <c r="I3204" s="4">
        <f>VALUE(4039)</f>
        <v>4039</v>
      </c>
      <c r="J3204" s="1">
        <f>VALUE(4953)</f>
        <v>4953</v>
      </c>
      <c r="K3204" s="1">
        <f>VALUE(6225)</f>
        <v>6225</v>
      </c>
      <c r="L3204" s="1">
        <f>VALUE(8105)</f>
        <v>8105</v>
      </c>
      <c r="M3204" s="1">
        <f>VALUE(10671)</f>
        <v>10671</v>
      </c>
      <c r="N3204" t="s">
        <v>25</v>
      </c>
    </row>
    <row r="3205" spans="1:14" x14ac:dyDescent="0.25">
      <c r="A3205" t="s">
        <v>41</v>
      </c>
      <c r="B3205" t="s">
        <v>15</v>
      </c>
      <c r="C3205" t="s">
        <v>37</v>
      </c>
      <c r="D3205" t="s">
        <v>29</v>
      </c>
      <c r="E3205" t="s">
        <v>15</v>
      </c>
      <c r="F3205" t="s">
        <v>19</v>
      </c>
      <c r="G3205" s="2">
        <f>VALUE(1017.0825292528)</f>
        <v>1017.0825292528</v>
      </c>
      <c r="H3205" s="3">
        <f>VALUE(924.7310900296)</f>
        <v>924.73109002959995</v>
      </c>
      <c r="I3205" s="1">
        <f>VALUE(3733)</f>
        <v>3733</v>
      </c>
      <c r="J3205" s="1">
        <f>VALUE(4542)</f>
        <v>4542</v>
      </c>
      <c r="K3205" s="1">
        <f>VALUE(5318)</f>
        <v>5318</v>
      </c>
      <c r="L3205" s="1">
        <f>VALUE(6588)</f>
        <v>6588</v>
      </c>
      <c r="M3205" s="1">
        <f>VALUE(7977)</f>
        <v>7977</v>
      </c>
      <c r="N3205" t="s">
        <v>25</v>
      </c>
    </row>
    <row r="3206" spans="1:14" x14ac:dyDescent="0.25">
      <c r="A3206" t="s">
        <v>41</v>
      </c>
      <c r="B3206" t="s">
        <v>15</v>
      </c>
      <c r="C3206" t="s">
        <v>37</v>
      </c>
      <c r="D3206" t="s">
        <v>29</v>
      </c>
      <c r="E3206" t="s">
        <v>15</v>
      </c>
      <c r="F3206" t="s">
        <v>20</v>
      </c>
      <c r="G3206" s="1">
        <f>VALUE(4623.7284195417)</f>
        <v>4623.7284195416996</v>
      </c>
      <c r="H3206" s="1">
        <f>VALUE(4165.2253093343)</f>
        <v>4165.2253093342997</v>
      </c>
      <c r="I3206" s="1">
        <f>VALUE(3371)</f>
        <v>3371</v>
      </c>
      <c r="J3206" s="1">
        <f>VALUE(3852)</f>
        <v>3852</v>
      </c>
      <c r="K3206" s="1">
        <f>VALUE(4712)</f>
        <v>4712</v>
      </c>
      <c r="L3206" s="1">
        <f>VALUE(5753)</f>
        <v>5753</v>
      </c>
      <c r="M3206" s="1">
        <f>VALUE(6806)</f>
        <v>6806</v>
      </c>
      <c r="N3206" t="s">
        <v>16</v>
      </c>
    </row>
    <row r="3207" spans="1:14" x14ac:dyDescent="0.25">
      <c r="A3207" t="s">
        <v>41</v>
      </c>
      <c r="B3207" t="s">
        <v>15</v>
      </c>
      <c r="C3207" t="s">
        <v>37</v>
      </c>
      <c r="D3207" t="s">
        <v>29</v>
      </c>
      <c r="E3207" t="s">
        <v>21</v>
      </c>
      <c r="F3207" t="s">
        <v>15</v>
      </c>
      <c r="G3207" s="1">
        <f>VALUE(1550.7956410445)</f>
        <v>1550.7956410444999</v>
      </c>
      <c r="H3207" s="1">
        <f>VALUE(1417.3140806425)</f>
        <v>1417.3140806424999</v>
      </c>
      <c r="I3207" s="1">
        <f>VALUE(4612)</f>
        <v>4612</v>
      </c>
      <c r="J3207" s="1">
        <f>VALUE(5914)</f>
        <v>5914</v>
      </c>
      <c r="K3207" s="1">
        <f>VALUE(8105)</f>
        <v>8105</v>
      </c>
      <c r="L3207" s="1">
        <f>VALUE(10831)</f>
        <v>10831</v>
      </c>
      <c r="M3207" s="8">
        <f>VALUE(15749)</f>
        <v>15749</v>
      </c>
      <c r="N3207" t="s">
        <v>25</v>
      </c>
    </row>
    <row r="3208" spans="1:14" x14ac:dyDescent="0.25">
      <c r="A3208" t="s">
        <v>41</v>
      </c>
      <c r="B3208" t="s">
        <v>15</v>
      </c>
      <c r="C3208" t="s">
        <v>37</v>
      </c>
      <c r="D3208" t="s">
        <v>29</v>
      </c>
      <c r="E3208" t="s">
        <v>21</v>
      </c>
      <c r="F3208" t="s">
        <v>17</v>
      </c>
      <c r="G3208" s="2">
        <f>VALUE(674.7078667265)</f>
        <v>674.70786672650001</v>
      </c>
      <c r="H3208" s="3">
        <f>VALUE(654.450826047)</f>
        <v>654.45082604699996</v>
      </c>
      <c r="I3208" s="4">
        <f>VALUE(4894)</f>
        <v>4894</v>
      </c>
      <c r="J3208" s="5">
        <f>VALUE(6627)</f>
        <v>6627</v>
      </c>
      <c r="K3208" s="6">
        <f>VALUE(10075)</f>
        <v>10075</v>
      </c>
      <c r="L3208" s="7">
        <f>VALUE(13454)</f>
        <v>13454</v>
      </c>
      <c r="M3208" s="8">
        <f>VALUE(21735)</f>
        <v>21735</v>
      </c>
      <c r="N3208" t="s">
        <v>24</v>
      </c>
    </row>
    <row r="3209" spans="1:14" x14ac:dyDescent="0.25">
      <c r="A3209" t="s">
        <v>41</v>
      </c>
      <c r="B3209" t="s">
        <v>15</v>
      </c>
      <c r="C3209" t="s">
        <v>37</v>
      </c>
      <c r="D3209" t="s">
        <v>29</v>
      </c>
      <c r="E3209" t="s">
        <v>21</v>
      </c>
      <c r="F3209" t="s">
        <v>18</v>
      </c>
      <c r="G3209" s="2">
        <f>VALUE(313.2193272097)</f>
        <v>313.2193272097</v>
      </c>
      <c r="H3209" s="3">
        <f>VALUE(293.2410202881)</f>
        <v>293.2410202881</v>
      </c>
      <c r="I3209" s="1">
        <f>VALUE(4889)</f>
        <v>4889</v>
      </c>
      <c r="J3209" s="5">
        <f>VALUE(6350)</f>
        <v>6350</v>
      </c>
      <c r="K3209" s="1">
        <f>VALUE(8233)</f>
        <v>8233</v>
      </c>
      <c r="L3209" s="1">
        <f>VALUE(10236)</f>
        <v>10236</v>
      </c>
      <c r="M3209" s="1">
        <f>VALUE(11994)</f>
        <v>11994</v>
      </c>
      <c r="N3209" t="s">
        <v>25</v>
      </c>
    </row>
    <row r="3210" spans="1:14" x14ac:dyDescent="0.25">
      <c r="A3210" t="s">
        <v>41</v>
      </c>
      <c r="B3210" t="s">
        <v>15</v>
      </c>
      <c r="C3210" t="s">
        <v>37</v>
      </c>
      <c r="D3210" t="s">
        <v>29</v>
      </c>
      <c r="E3210" t="s">
        <v>21</v>
      </c>
      <c r="F3210" t="s">
        <v>19</v>
      </c>
      <c r="G3210" s="2">
        <f>VALUE(234.0119078764)</f>
        <v>234.01190787639999</v>
      </c>
      <c r="H3210" s="3">
        <f>VALUE(168.3154542603)</f>
        <v>168.31545426029999</v>
      </c>
      <c r="I3210" s="4">
        <f>VALUE(4055)</f>
        <v>4055</v>
      </c>
      <c r="J3210" s="1">
        <f>VALUE(5107)</f>
        <v>5107</v>
      </c>
      <c r="K3210" s="6">
        <f>VALUE(6757)</f>
        <v>6757</v>
      </c>
      <c r="L3210" s="1">
        <f>VALUE(8615)</f>
        <v>8615</v>
      </c>
      <c r="M3210" s="8">
        <f>VALUE(10028)</f>
        <v>10028</v>
      </c>
      <c r="N3210" t="s">
        <v>25</v>
      </c>
    </row>
    <row r="3211" spans="1:14" x14ac:dyDescent="0.25">
      <c r="A3211" t="s">
        <v>41</v>
      </c>
      <c r="B3211" t="s">
        <v>15</v>
      </c>
      <c r="C3211" t="s">
        <v>37</v>
      </c>
      <c r="D3211" t="s">
        <v>29</v>
      </c>
      <c r="E3211" t="s">
        <v>21</v>
      </c>
      <c r="F3211" t="s">
        <v>20</v>
      </c>
      <c r="G3211" s="2">
        <f>VALUE(328.8565392319)</f>
        <v>328.8565392319</v>
      </c>
      <c r="H3211" s="3">
        <f>VALUE(301.3067800471)</f>
        <v>301.30678004710001</v>
      </c>
      <c r="I3211" s="1">
        <f>VALUE(4232)</f>
        <v>4232</v>
      </c>
      <c r="J3211" s="1">
        <f>VALUE(5333)</f>
        <v>5333</v>
      </c>
      <c r="K3211" s="1">
        <f>VALUE(6500)</f>
        <v>6500</v>
      </c>
      <c r="L3211" s="1">
        <f>VALUE(8043)</f>
        <v>8043</v>
      </c>
      <c r="M3211" s="1">
        <f>VALUE(9441)</f>
        <v>9441</v>
      </c>
      <c r="N3211" t="s">
        <v>25</v>
      </c>
    </row>
    <row r="3212" spans="1:14" x14ac:dyDescent="0.25">
      <c r="A3212" t="s">
        <v>41</v>
      </c>
      <c r="B3212" t="s">
        <v>15</v>
      </c>
      <c r="C3212" t="s">
        <v>37</v>
      </c>
      <c r="D3212" t="s">
        <v>29</v>
      </c>
      <c r="E3212" t="s">
        <v>22</v>
      </c>
      <c r="F3212" t="s">
        <v>15</v>
      </c>
      <c r="G3212" s="1">
        <f>VALUE(2339.3381206881)</f>
        <v>2339.3381206880999</v>
      </c>
      <c r="H3212" s="1">
        <f>VALUE(2221.3574440842)</f>
        <v>2221.3574440841999</v>
      </c>
      <c r="I3212" s="1">
        <f>VALUE(3897)</f>
        <v>3897</v>
      </c>
      <c r="J3212" s="1">
        <f>VALUE(4644)</f>
        <v>4644</v>
      </c>
      <c r="K3212" s="1">
        <f>VALUE(5488)</f>
        <v>5488</v>
      </c>
      <c r="L3212" s="1">
        <f>VALUE(6733)</f>
        <v>6733</v>
      </c>
      <c r="M3212" s="1">
        <f>VALUE(8145)</f>
        <v>8145</v>
      </c>
      <c r="N3212" t="s">
        <v>16</v>
      </c>
    </row>
    <row r="3213" spans="1:14" x14ac:dyDescent="0.25">
      <c r="A3213" t="s">
        <v>41</v>
      </c>
      <c r="B3213" t="s">
        <v>15</v>
      </c>
      <c r="C3213" t="s">
        <v>37</v>
      </c>
      <c r="D3213" t="s">
        <v>29</v>
      </c>
      <c r="E3213" t="s">
        <v>22</v>
      </c>
      <c r="F3213" t="s">
        <v>17</v>
      </c>
      <c r="G3213" s="2">
        <f>VALUE(348.2578830439)</f>
        <v>348.25788304389999</v>
      </c>
      <c r="H3213" s="3">
        <f>VALUE(345.3747091502)</f>
        <v>345.37470915019998</v>
      </c>
      <c r="I3213" s="4">
        <f>VALUE(4680)</f>
        <v>4680</v>
      </c>
      <c r="J3213" s="5">
        <f>VALUE(5488)</f>
        <v>5488</v>
      </c>
      <c r="K3213" s="6">
        <f>VALUE(6840)</f>
        <v>6840</v>
      </c>
      <c r="L3213" s="1">
        <f>VALUE(8353)</f>
        <v>8353</v>
      </c>
      <c r="M3213" s="8">
        <f>VALUE(9286)</f>
        <v>9286</v>
      </c>
      <c r="N3213" t="s">
        <v>25</v>
      </c>
    </row>
    <row r="3214" spans="1:14" x14ac:dyDescent="0.25">
      <c r="A3214" t="s">
        <v>41</v>
      </c>
      <c r="B3214" t="s">
        <v>15</v>
      </c>
      <c r="C3214" t="s">
        <v>37</v>
      </c>
      <c r="D3214" t="s">
        <v>29</v>
      </c>
      <c r="E3214" t="s">
        <v>22</v>
      </c>
      <c r="F3214" t="s">
        <v>18</v>
      </c>
      <c r="G3214" s="2">
        <f>VALUE(326.6273015201)</f>
        <v>326.62730152009999</v>
      </c>
      <c r="H3214" s="3">
        <f>VALUE(302.5380283439)</f>
        <v>302.53802834390001</v>
      </c>
      <c r="I3214" s="4">
        <f>VALUE(3402)</f>
        <v>3402</v>
      </c>
      <c r="J3214" s="1">
        <f>VALUE(5073)</f>
        <v>5073</v>
      </c>
      <c r="K3214" s="6">
        <f>VALUE(5729)</f>
        <v>5729</v>
      </c>
      <c r="L3214" s="1">
        <f>VALUE(7379)</f>
        <v>7379</v>
      </c>
      <c r="M3214" s="1">
        <f>VALUE(8071)</f>
        <v>8071</v>
      </c>
      <c r="N3214" t="s">
        <v>25</v>
      </c>
    </row>
    <row r="3215" spans="1:14" x14ac:dyDescent="0.25">
      <c r="A3215" t="s">
        <v>41</v>
      </c>
      <c r="B3215" t="s">
        <v>15</v>
      </c>
      <c r="C3215" t="s">
        <v>37</v>
      </c>
      <c r="D3215" t="s">
        <v>29</v>
      </c>
      <c r="E3215" t="s">
        <v>22</v>
      </c>
      <c r="F3215" t="s">
        <v>19</v>
      </c>
      <c r="G3215" s="2">
        <f>VALUE(463.3743225186)</f>
        <v>463.37432251860002</v>
      </c>
      <c r="H3215" s="3">
        <f>VALUE(440.9932617757)</f>
        <v>440.99326177569998</v>
      </c>
      <c r="I3215" s="1">
        <f>VALUE(4394)</f>
        <v>4394</v>
      </c>
      <c r="J3215" s="5">
        <f>VALUE(4649)</f>
        <v>4649</v>
      </c>
      <c r="K3215" s="1">
        <f>VALUE(5566)</f>
        <v>5566</v>
      </c>
      <c r="L3215" s="1">
        <f>VALUE(6591)</f>
        <v>6591</v>
      </c>
      <c r="M3215" s="1">
        <f>VALUE(7977)</f>
        <v>7977</v>
      </c>
      <c r="N3215" t="s">
        <v>25</v>
      </c>
    </row>
    <row r="3216" spans="1:14" x14ac:dyDescent="0.25">
      <c r="A3216" t="s">
        <v>41</v>
      </c>
      <c r="B3216" t="s">
        <v>15</v>
      </c>
      <c r="C3216" t="s">
        <v>37</v>
      </c>
      <c r="D3216" t="s">
        <v>29</v>
      </c>
      <c r="E3216" t="s">
        <v>22</v>
      </c>
      <c r="F3216" t="s">
        <v>20</v>
      </c>
      <c r="G3216" s="2">
        <f>VALUE(1201.0786136055)</f>
        <v>1201.0786136055001</v>
      </c>
      <c r="H3216" s="3">
        <f>VALUE(1132.4514448144)</f>
        <v>1132.4514448144</v>
      </c>
      <c r="I3216" s="1">
        <f>VALUE(3611)</f>
        <v>3611</v>
      </c>
      <c r="J3216" s="1">
        <f>VALUE(4235)</f>
        <v>4235</v>
      </c>
      <c r="K3216" s="1">
        <f>VALUE(5115)</f>
        <v>5115</v>
      </c>
      <c r="L3216" s="1">
        <f>VALUE(6067)</f>
        <v>6067</v>
      </c>
      <c r="M3216" s="1">
        <f>VALUE(7081)</f>
        <v>7081</v>
      </c>
      <c r="N3216" t="s">
        <v>25</v>
      </c>
    </row>
    <row r="3217" spans="1:14" x14ac:dyDescent="0.25">
      <c r="A3217" t="s">
        <v>41</v>
      </c>
      <c r="B3217" t="s">
        <v>15</v>
      </c>
      <c r="C3217" t="s">
        <v>37</v>
      </c>
      <c r="D3217" t="s">
        <v>29</v>
      </c>
      <c r="E3217" t="s">
        <v>23</v>
      </c>
      <c r="F3217" t="s">
        <v>15</v>
      </c>
      <c r="G3217" s="1">
        <f>VALUE(3796.0241242328)</f>
        <v>3796.0241242328002</v>
      </c>
      <c r="H3217" s="1">
        <f>VALUE(3426.2119199589)</f>
        <v>3426.2119199589001</v>
      </c>
      <c r="I3217" s="1">
        <f>VALUE(3300)</f>
        <v>3300</v>
      </c>
      <c r="J3217" s="1">
        <f>VALUE(3714)</f>
        <v>3714</v>
      </c>
      <c r="K3217" s="1">
        <f>VALUE(4479)</f>
        <v>4479</v>
      </c>
      <c r="L3217" s="1">
        <f>VALUE(5489)</f>
        <v>5489</v>
      </c>
      <c r="M3217" s="1">
        <f>VALUE(6401)</f>
        <v>6401</v>
      </c>
      <c r="N3217" t="s">
        <v>16</v>
      </c>
    </row>
    <row r="3218" spans="1:14" x14ac:dyDescent="0.25">
      <c r="A3218" t="s">
        <v>41</v>
      </c>
      <c r="B3218" t="s">
        <v>15</v>
      </c>
      <c r="C3218" t="s">
        <v>37</v>
      </c>
      <c r="D3218" t="s">
        <v>29</v>
      </c>
      <c r="E3218" t="s">
        <v>23</v>
      </c>
      <c r="F3218" t="s">
        <v>17</v>
      </c>
      <c r="G3218" s="1" t="str">
        <f t="shared" ref="G3218:M3218" si="685">"X"</f>
        <v>X</v>
      </c>
      <c r="H3218" s="1" t="str">
        <f t="shared" si="685"/>
        <v>X</v>
      </c>
      <c r="I3218" s="1" t="str">
        <f t="shared" si="685"/>
        <v>X</v>
      </c>
      <c r="J3218" s="1" t="str">
        <f t="shared" si="685"/>
        <v>X</v>
      </c>
      <c r="K3218" s="1" t="str">
        <f t="shared" si="685"/>
        <v>X</v>
      </c>
      <c r="L3218" s="1" t="str">
        <f t="shared" si="685"/>
        <v>X</v>
      </c>
      <c r="M3218" s="1" t="str">
        <f t="shared" si="685"/>
        <v>X</v>
      </c>
      <c r="N3218" t="s">
        <v>27</v>
      </c>
    </row>
    <row r="3219" spans="1:14" x14ac:dyDescent="0.25">
      <c r="A3219" t="s">
        <v>41</v>
      </c>
      <c r="B3219" t="s">
        <v>15</v>
      </c>
      <c r="C3219" t="s">
        <v>37</v>
      </c>
      <c r="D3219" t="s">
        <v>29</v>
      </c>
      <c r="E3219" t="s">
        <v>23</v>
      </c>
      <c r="F3219" t="s">
        <v>18</v>
      </c>
      <c r="G3219" s="2">
        <f>VALUE(243.6919420575)</f>
        <v>243.6919420575</v>
      </c>
      <c r="H3219" s="3">
        <f>VALUE(233.4428918053)</f>
        <v>233.44289180530001</v>
      </c>
      <c r="I3219" s="4">
        <f>VALUE(3320)</f>
        <v>3320</v>
      </c>
      <c r="J3219" s="5">
        <f>VALUE(4127)</f>
        <v>4127</v>
      </c>
      <c r="K3219" s="6">
        <f>VALUE(5119)</f>
        <v>5119</v>
      </c>
      <c r="L3219" s="1">
        <f>VALUE(6194)</f>
        <v>6194</v>
      </c>
      <c r="M3219" s="8">
        <f>VALUE(7111)</f>
        <v>7111</v>
      </c>
      <c r="N3219" t="s">
        <v>25</v>
      </c>
    </row>
    <row r="3220" spans="1:14" x14ac:dyDescent="0.25">
      <c r="A3220" t="s">
        <v>41</v>
      </c>
      <c r="B3220" t="s">
        <v>15</v>
      </c>
      <c r="C3220" t="s">
        <v>37</v>
      </c>
      <c r="D3220" t="s">
        <v>29</v>
      </c>
      <c r="E3220" t="s">
        <v>23</v>
      </c>
      <c r="F3220" t="s">
        <v>19</v>
      </c>
      <c r="G3220" s="2">
        <f>VALUE(319.6962988578)</f>
        <v>319.6962988578</v>
      </c>
      <c r="H3220" s="3">
        <f>VALUE(315.4223739936)</f>
        <v>315.42237399359999</v>
      </c>
      <c r="I3220" s="1">
        <f>VALUE(3295)</f>
        <v>3295</v>
      </c>
      <c r="J3220" s="1">
        <f>VALUE(3733)</f>
        <v>3733</v>
      </c>
      <c r="K3220" s="6">
        <f>VALUE(4778)</f>
        <v>4778</v>
      </c>
      <c r="L3220" s="7">
        <f>VALUE(5790)</f>
        <v>5790</v>
      </c>
      <c r="M3220" s="1">
        <f>VALUE(6552)</f>
        <v>6552</v>
      </c>
      <c r="N3220" t="s">
        <v>25</v>
      </c>
    </row>
    <row r="3221" spans="1:14" x14ac:dyDescent="0.25">
      <c r="A3221" t="s">
        <v>41</v>
      </c>
      <c r="B3221" t="s">
        <v>15</v>
      </c>
      <c r="C3221" t="s">
        <v>37</v>
      </c>
      <c r="D3221" t="s">
        <v>29</v>
      </c>
      <c r="E3221" t="s">
        <v>23</v>
      </c>
      <c r="F3221" t="s">
        <v>20</v>
      </c>
      <c r="G3221" s="1">
        <f>VALUE(3073.3069380611)</f>
        <v>3073.3069380611</v>
      </c>
      <c r="H3221" s="1">
        <f>VALUE(2711.9205576248)</f>
        <v>2711.9205576248</v>
      </c>
      <c r="I3221" s="1">
        <f>VALUE(3293)</f>
        <v>3293</v>
      </c>
      <c r="J3221" s="1">
        <f>VALUE(3645)</f>
        <v>3645</v>
      </c>
      <c r="K3221" s="1">
        <f>VALUE(4333)</f>
        <v>4333</v>
      </c>
      <c r="L3221" s="1">
        <f>VALUE(5357)</f>
        <v>5357</v>
      </c>
      <c r="M3221" s="1">
        <f>VALUE(6180)</f>
        <v>6180</v>
      </c>
      <c r="N3221" t="s">
        <v>16</v>
      </c>
    </row>
    <row r="3222" spans="1:14" x14ac:dyDescent="0.25">
      <c r="A3222" t="s">
        <v>41</v>
      </c>
      <c r="B3222" t="s">
        <v>15</v>
      </c>
      <c r="C3222" t="s">
        <v>37</v>
      </c>
      <c r="D3222" t="s">
        <v>29</v>
      </c>
      <c r="E3222" t="s">
        <v>26</v>
      </c>
      <c r="F3222" t="s">
        <v>15</v>
      </c>
      <c r="G3222" s="1" t="str">
        <f t="shared" ref="G3222:M3224" si="686">"X"</f>
        <v>X</v>
      </c>
      <c r="H3222" s="1" t="str">
        <f t="shared" si="686"/>
        <v>X</v>
      </c>
      <c r="I3222" s="1" t="str">
        <f t="shared" si="686"/>
        <v>X</v>
      </c>
      <c r="J3222" s="1" t="str">
        <f t="shared" si="686"/>
        <v>X</v>
      </c>
      <c r="K3222" s="1" t="str">
        <f t="shared" si="686"/>
        <v>X</v>
      </c>
      <c r="L3222" s="1" t="str">
        <f t="shared" si="686"/>
        <v>X</v>
      </c>
      <c r="M3222" s="1" t="str">
        <f t="shared" si="686"/>
        <v>X</v>
      </c>
      <c r="N3222" t="s">
        <v>27</v>
      </c>
    </row>
    <row r="3223" spans="1:14" x14ac:dyDescent="0.25">
      <c r="A3223" t="s">
        <v>41</v>
      </c>
      <c r="B3223" t="s">
        <v>15</v>
      </c>
      <c r="C3223" t="s">
        <v>37</v>
      </c>
      <c r="D3223" t="s">
        <v>29</v>
      </c>
      <c r="E3223" t="s">
        <v>26</v>
      </c>
      <c r="F3223" t="s">
        <v>17</v>
      </c>
      <c r="G3223" s="1" t="str">
        <f t="shared" si="686"/>
        <v>X</v>
      </c>
      <c r="H3223" s="1" t="str">
        <f t="shared" si="686"/>
        <v>X</v>
      </c>
      <c r="I3223" s="1" t="str">
        <f t="shared" si="686"/>
        <v>X</v>
      </c>
      <c r="J3223" s="1" t="str">
        <f t="shared" si="686"/>
        <v>X</v>
      </c>
      <c r="K3223" s="1" t="str">
        <f t="shared" si="686"/>
        <v>X</v>
      </c>
      <c r="L3223" s="1" t="str">
        <f t="shared" si="686"/>
        <v>X</v>
      </c>
      <c r="M3223" s="1" t="str">
        <f t="shared" si="686"/>
        <v>X</v>
      </c>
      <c r="N3223" t="s">
        <v>27</v>
      </c>
    </row>
    <row r="3224" spans="1:14" x14ac:dyDescent="0.25">
      <c r="A3224" t="s">
        <v>41</v>
      </c>
      <c r="B3224" t="s">
        <v>15</v>
      </c>
      <c r="C3224" t="s">
        <v>37</v>
      </c>
      <c r="D3224" t="s">
        <v>29</v>
      </c>
      <c r="E3224" t="s">
        <v>26</v>
      </c>
      <c r="F3224" t="s">
        <v>18</v>
      </c>
      <c r="G3224" s="1" t="str">
        <f t="shared" si="686"/>
        <v>X</v>
      </c>
      <c r="H3224" s="1" t="str">
        <f t="shared" si="686"/>
        <v>X</v>
      </c>
      <c r="I3224" s="1" t="str">
        <f t="shared" si="686"/>
        <v>X</v>
      </c>
      <c r="J3224" s="1" t="str">
        <f t="shared" si="686"/>
        <v>X</v>
      </c>
      <c r="K3224" s="1" t="str">
        <f t="shared" si="686"/>
        <v>X</v>
      </c>
      <c r="L3224" s="1" t="str">
        <f t="shared" si="686"/>
        <v>X</v>
      </c>
      <c r="M3224" s="1" t="str">
        <f t="shared" si="686"/>
        <v>X</v>
      </c>
      <c r="N3224" t="s">
        <v>27</v>
      </c>
    </row>
    <row r="3225" spans="1:14" x14ac:dyDescent="0.25">
      <c r="A3225" t="s">
        <v>41</v>
      </c>
      <c r="B3225" t="s">
        <v>15</v>
      </c>
      <c r="C3225" t="s">
        <v>37</v>
      </c>
      <c r="D3225" t="s">
        <v>29</v>
      </c>
      <c r="E3225" t="s">
        <v>26</v>
      </c>
      <c r="F3225" t="s">
        <v>19</v>
      </c>
      <c r="G3225" s="1" t="str">
        <f t="shared" ref="G3225:M3225" si="687">"..."</f>
        <v>...</v>
      </c>
      <c r="H3225" s="1" t="str">
        <f t="shared" si="687"/>
        <v>...</v>
      </c>
      <c r="I3225" s="1" t="str">
        <f t="shared" si="687"/>
        <v>...</v>
      </c>
      <c r="J3225" s="1" t="str">
        <f t="shared" si="687"/>
        <v>...</v>
      </c>
      <c r="K3225" s="1" t="str">
        <f t="shared" si="687"/>
        <v>...</v>
      </c>
      <c r="L3225" s="1" t="str">
        <f t="shared" si="687"/>
        <v>...</v>
      </c>
      <c r="M3225" s="1" t="str">
        <f t="shared" si="687"/>
        <v>...</v>
      </c>
      <c r="N3225" t="s">
        <v>30</v>
      </c>
    </row>
    <row r="3226" spans="1:14" x14ac:dyDescent="0.25">
      <c r="A3226" t="s">
        <v>41</v>
      </c>
      <c r="B3226" t="s">
        <v>15</v>
      </c>
      <c r="C3226" t="s">
        <v>37</v>
      </c>
      <c r="D3226" t="s">
        <v>29</v>
      </c>
      <c r="E3226" t="s">
        <v>26</v>
      </c>
      <c r="F3226" t="s">
        <v>20</v>
      </c>
      <c r="G3226" s="1" t="str">
        <f t="shared" ref="G3226:M3226" si="688">"X"</f>
        <v>X</v>
      </c>
      <c r="H3226" s="1" t="str">
        <f t="shared" si="688"/>
        <v>X</v>
      </c>
      <c r="I3226" s="1" t="str">
        <f t="shared" si="688"/>
        <v>X</v>
      </c>
      <c r="J3226" s="1" t="str">
        <f t="shared" si="688"/>
        <v>X</v>
      </c>
      <c r="K3226" s="1" t="str">
        <f t="shared" si="688"/>
        <v>X</v>
      </c>
      <c r="L3226" s="1" t="str">
        <f t="shared" si="688"/>
        <v>X</v>
      </c>
      <c r="M3226" s="1" t="str">
        <f t="shared" si="688"/>
        <v>X</v>
      </c>
      <c r="N3226" t="s">
        <v>27</v>
      </c>
    </row>
    <row r="3227" spans="1:14" x14ac:dyDescent="0.25">
      <c r="A3227" t="s">
        <v>41</v>
      </c>
      <c r="B3227" t="s">
        <v>15</v>
      </c>
      <c r="C3227" t="s">
        <v>37</v>
      </c>
      <c r="D3227" t="s">
        <v>31</v>
      </c>
      <c r="E3227" t="s">
        <v>15</v>
      </c>
      <c r="F3227" t="s">
        <v>15</v>
      </c>
      <c r="G3227" s="1">
        <f>VALUE(3048.2066607744)</f>
        <v>3048.2066607744</v>
      </c>
      <c r="H3227" s="1">
        <f>VALUE(2851.4631943801)</f>
        <v>2851.4631943801</v>
      </c>
      <c r="I3227" s="1">
        <f>VALUE(3328)</f>
        <v>3328</v>
      </c>
      <c r="J3227" s="1">
        <f>VALUE(3992)</f>
        <v>3992</v>
      </c>
      <c r="K3227" s="1">
        <f>VALUE(5229)</f>
        <v>5229</v>
      </c>
      <c r="L3227" s="7">
        <f>VALUE(7990)</f>
        <v>7990</v>
      </c>
      <c r="M3227" s="8">
        <f>VALUE(13232)</f>
        <v>13232</v>
      </c>
      <c r="N3227" t="s">
        <v>25</v>
      </c>
    </row>
    <row r="3228" spans="1:14" x14ac:dyDescent="0.25">
      <c r="A3228" t="s">
        <v>41</v>
      </c>
      <c r="B3228" t="s">
        <v>15</v>
      </c>
      <c r="C3228" t="s">
        <v>37</v>
      </c>
      <c r="D3228" t="s">
        <v>31</v>
      </c>
      <c r="E3228" t="s">
        <v>15</v>
      </c>
      <c r="F3228" t="s">
        <v>17</v>
      </c>
      <c r="G3228" s="2">
        <f>VALUE(659.2049805511)</f>
        <v>659.20498055109999</v>
      </c>
      <c r="H3228" s="3">
        <f>VALUE(668.0891527656)</f>
        <v>668.08915276560003</v>
      </c>
      <c r="I3228" s="4">
        <f>VALUE(5000)</f>
        <v>5000</v>
      </c>
      <c r="J3228" s="5">
        <f>VALUE(7318)</f>
        <v>7318</v>
      </c>
      <c r="K3228" s="6">
        <f>VALUE(10833)</f>
        <v>10833</v>
      </c>
      <c r="L3228" s="7">
        <f>VALUE(19583)</f>
        <v>19583</v>
      </c>
      <c r="M3228" s="8">
        <f>VALUE(42619)</f>
        <v>42619</v>
      </c>
      <c r="N3228" t="s">
        <v>24</v>
      </c>
    </row>
    <row r="3229" spans="1:14" x14ac:dyDescent="0.25">
      <c r="A3229" t="s">
        <v>41</v>
      </c>
      <c r="B3229" t="s">
        <v>15</v>
      </c>
      <c r="C3229" t="s">
        <v>37</v>
      </c>
      <c r="D3229" t="s">
        <v>31</v>
      </c>
      <c r="E3229" t="s">
        <v>15</v>
      </c>
      <c r="F3229" t="s">
        <v>18</v>
      </c>
      <c r="G3229" s="2">
        <f>VALUE(449.3293317384)</f>
        <v>449.32933173840001</v>
      </c>
      <c r="H3229" s="3">
        <f>VALUE(413.2342896857)</f>
        <v>413.23428968569999</v>
      </c>
      <c r="I3229" s="4">
        <f>VALUE(3851)</f>
        <v>3851</v>
      </c>
      <c r="J3229" s="1">
        <f>VALUE(4732)</f>
        <v>4732</v>
      </c>
      <c r="K3229" s="6">
        <f>VALUE(5996)</f>
        <v>5996</v>
      </c>
      <c r="L3229" s="7">
        <f>VALUE(8461)</f>
        <v>8461</v>
      </c>
      <c r="M3229" s="8">
        <f>VALUE(10313)</f>
        <v>10313</v>
      </c>
      <c r="N3229" t="s">
        <v>25</v>
      </c>
    </row>
    <row r="3230" spans="1:14" x14ac:dyDescent="0.25">
      <c r="A3230" t="s">
        <v>41</v>
      </c>
      <c r="B3230" t="s">
        <v>15</v>
      </c>
      <c r="C3230" t="s">
        <v>37</v>
      </c>
      <c r="D3230" t="s">
        <v>31</v>
      </c>
      <c r="E3230" t="s">
        <v>15</v>
      </c>
      <c r="F3230" t="s">
        <v>19</v>
      </c>
      <c r="G3230" s="2">
        <f>VALUE(276.5132023149)</f>
        <v>276.51320231490001</v>
      </c>
      <c r="H3230" s="3">
        <f>VALUE(260.8277910872)</f>
        <v>260.82779108720001</v>
      </c>
      <c r="I3230" s="4">
        <f>VALUE(3387)</f>
        <v>3387</v>
      </c>
      <c r="J3230" s="5">
        <f>VALUE(4200)</f>
        <v>4200</v>
      </c>
      <c r="K3230" s="6">
        <f>VALUE(5496)</f>
        <v>5496</v>
      </c>
      <c r="L3230" s="1">
        <f>VALUE(6659)</f>
        <v>6659</v>
      </c>
      <c r="M3230" s="8">
        <f>VALUE(9713)</f>
        <v>9713</v>
      </c>
      <c r="N3230" t="s">
        <v>25</v>
      </c>
    </row>
    <row r="3231" spans="1:14" x14ac:dyDescent="0.25">
      <c r="A3231" t="s">
        <v>41</v>
      </c>
      <c r="B3231" t="s">
        <v>15</v>
      </c>
      <c r="C3231" t="s">
        <v>37</v>
      </c>
      <c r="D3231" t="s">
        <v>31</v>
      </c>
      <c r="E3231" t="s">
        <v>15</v>
      </c>
      <c r="F3231" t="s">
        <v>20</v>
      </c>
      <c r="G3231" s="2">
        <f>VALUE(1663.15914617)</f>
        <v>1663.15914617</v>
      </c>
      <c r="H3231" s="3">
        <f>VALUE(1509.3119608416)</f>
        <v>1509.3119608416</v>
      </c>
      <c r="I3231" s="1">
        <f>VALUE(3146)</f>
        <v>3146</v>
      </c>
      <c r="J3231" s="1">
        <f>VALUE(3609)</f>
        <v>3609</v>
      </c>
      <c r="K3231" s="1">
        <f>VALUE(4287)</f>
        <v>4287</v>
      </c>
      <c r="L3231" s="1">
        <f>VALUE(5355)</f>
        <v>5355</v>
      </c>
      <c r="M3231" s="1">
        <f>VALUE(6909)</f>
        <v>6909</v>
      </c>
      <c r="N3231" t="s">
        <v>25</v>
      </c>
    </row>
    <row r="3232" spans="1:14" x14ac:dyDescent="0.25">
      <c r="A3232" t="s">
        <v>41</v>
      </c>
      <c r="B3232" t="s">
        <v>15</v>
      </c>
      <c r="C3232" t="s">
        <v>37</v>
      </c>
      <c r="D3232" t="s">
        <v>31</v>
      </c>
      <c r="E3232" t="s">
        <v>21</v>
      </c>
      <c r="F3232" t="s">
        <v>15</v>
      </c>
      <c r="G3232" s="2">
        <f>VALUE(1123.7100551154)</f>
        <v>1123.7100551154001</v>
      </c>
      <c r="H3232" s="3">
        <f>VALUE(1075.6147825775)</f>
        <v>1075.6147825774999</v>
      </c>
      <c r="I3232" s="4">
        <f>VALUE(4269)</f>
        <v>4269</v>
      </c>
      <c r="J3232" s="5">
        <f>VALUE(5710)</f>
        <v>5710</v>
      </c>
      <c r="K3232" s="6">
        <f>VALUE(8274)</f>
        <v>8274</v>
      </c>
      <c r="L3232" s="7">
        <f>VALUE(11666)</f>
        <v>11666</v>
      </c>
      <c r="M3232" s="8">
        <f>VALUE(24787)</f>
        <v>24787</v>
      </c>
      <c r="N3232" t="s">
        <v>24</v>
      </c>
    </row>
    <row r="3233" spans="1:14" x14ac:dyDescent="0.25">
      <c r="A3233" t="s">
        <v>41</v>
      </c>
      <c r="B3233" t="s">
        <v>15</v>
      </c>
      <c r="C3233" t="s">
        <v>37</v>
      </c>
      <c r="D3233" t="s">
        <v>31</v>
      </c>
      <c r="E3233" t="s">
        <v>21</v>
      </c>
      <c r="F3233" t="s">
        <v>17</v>
      </c>
      <c r="G3233" s="2">
        <f>VALUE(495.1517021385)</f>
        <v>495.15170213850001</v>
      </c>
      <c r="H3233" s="3">
        <f>VALUE(498.8243389993)</f>
        <v>498.82433899929998</v>
      </c>
      <c r="I3233" s="4">
        <f>VALUE(5555)</f>
        <v>5555</v>
      </c>
      <c r="J3233" s="5">
        <f>VALUE(7904)</f>
        <v>7904</v>
      </c>
      <c r="K3233" s="6">
        <f>VALUE(11267)</f>
        <v>11267</v>
      </c>
      <c r="L3233" s="7">
        <f>VALUE(22917)</f>
        <v>22917</v>
      </c>
      <c r="M3233" s="8">
        <f>VALUE(44302)</f>
        <v>44302</v>
      </c>
      <c r="N3233" t="s">
        <v>24</v>
      </c>
    </row>
    <row r="3234" spans="1:14" x14ac:dyDescent="0.25">
      <c r="A3234" t="s">
        <v>41</v>
      </c>
      <c r="B3234" t="s">
        <v>15</v>
      </c>
      <c r="C3234" t="s">
        <v>37</v>
      </c>
      <c r="D3234" t="s">
        <v>31</v>
      </c>
      <c r="E3234" t="s">
        <v>21</v>
      </c>
      <c r="F3234" t="s">
        <v>18</v>
      </c>
      <c r="G3234" s="2">
        <f>VALUE(229.038185563)</f>
        <v>229.03818556300001</v>
      </c>
      <c r="H3234" s="3">
        <f>VALUE(209.9613122203)</f>
        <v>209.96131222029999</v>
      </c>
      <c r="I3234" s="1">
        <f>VALUE(4111)</f>
        <v>4111</v>
      </c>
      <c r="J3234" s="1">
        <f>VALUE(5952)</f>
        <v>5952</v>
      </c>
      <c r="K3234" s="6">
        <f>VALUE(7143)</f>
        <v>7143</v>
      </c>
      <c r="L3234" s="7">
        <f>VALUE(8980)</f>
        <v>8980</v>
      </c>
      <c r="M3234" s="8">
        <f>VALUE(11111)</f>
        <v>11111</v>
      </c>
      <c r="N3234" t="s">
        <v>25</v>
      </c>
    </row>
    <row r="3235" spans="1:14" x14ac:dyDescent="0.25">
      <c r="A3235" t="s">
        <v>41</v>
      </c>
      <c r="B3235" t="s">
        <v>15</v>
      </c>
      <c r="C3235" t="s">
        <v>37</v>
      </c>
      <c r="D3235" t="s">
        <v>31</v>
      </c>
      <c r="E3235" t="s">
        <v>21</v>
      </c>
      <c r="F3235" t="s">
        <v>19</v>
      </c>
      <c r="G3235" s="1" t="str">
        <f t="shared" ref="G3235:M3235" si="689">"X"</f>
        <v>X</v>
      </c>
      <c r="H3235" s="1" t="str">
        <f t="shared" si="689"/>
        <v>X</v>
      </c>
      <c r="I3235" s="1" t="str">
        <f t="shared" si="689"/>
        <v>X</v>
      </c>
      <c r="J3235" s="1" t="str">
        <f t="shared" si="689"/>
        <v>X</v>
      </c>
      <c r="K3235" s="1" t="str">
        <f t="shared" si="689"/>
        <v>X</v>
      </c>
      <c r="L3235" s="1" t="str">
        <f t="shared" si="689"/>
        <v>X</v>
      </c>
      <c r="M3235" s="1" t="str">
        <f t="shared" si="689"/>
        <v>X</v>
      </c>
      <c r="N3235" t="s">
        <v>27</v>
      </c>
    </row>
    <row r="3236" spans="1:14" x14ac:dyDescent="0.25">
      <c r="A3236" t="s">
        <v>41</v>
      </c>
      <c r="B3236" t="s">
        <v>15</v>
      </c>
      <c r="C3236" t="s">
        <v>37</v>
      </c>
      <c r="D3236" t="s">
        <v>31</v>
      </c>
      <c r="E3236" t="s">
        <v>21</v>
      </c>
      <c r="F3236" t="s">
        <v>20</v>
      </c>
      <c r="G3236" s="2">
        <f>VALUE(275.4371208184)</f>
        <v>275.43712081839999</v>
      </c>
      <c r="H3236" s="3">
        <f>VALUE(252.4544249886)</f>
        <v>252.45442498860001</v>
      </c>
      <c r="I3236" s="4">
        <f>VALUE(3969)</f>
        <v>3969</v>
      </c>
      <c r="J3236" s="5">
        <f>VALUE(4038)</f>
        <v>4038</v>
      </c>
      <c r="K3236" s="6">
        <f>VALUE(6000)</f>
        <v>6000</v>
      </c>
      <c r="L3236" s="1">
        <f>VALUE(8148)</f>
        <v>8148</v>
      </c>
      <c r="M3236" s="8">
        <f>VALUE(9906)</f>
        <v>9906</v>
      </c>
      <c r="N3236" t="s">
        <v>25</v>
      </c>
    </row>
    <row r="3237" spans="1:14" x14ac:dyDescent="0.25">
      <c r="A3237" t="s">
        <v>41</v>
      </c>
      <c r="B3237" t="s">
        <v>15</v>
      </c>
      <c r="C3237" t="s">
        <v>37</v>
      </c>
      <c r="D3237" t="s">
        <v>31</v>
      </c>
      <c r="E3237" t="s">
        <v>22</v>
      </c>
      <c r="F3237" t="s">
        <v>15</v>
      </c>
      <c r="G3237" s="2">
        <f>VALUE(599.6126606475)</f>
        <v>599.61266064749998</v>
      </c>
      <c r="H3237" s="3">
        <f>VALUE(581.1610751972)</f>
        <v>581.16107519720003</v>
      </c>
      <c r="I3237" s="4">
        <f>VALUE(3328)</f>
        <v>3328</v>
      </c>
      <c r="J3237" s="1">
        <f>VALUE(4238)</f>
        <v>4238</v>
      </c>
      <c r="K3237" s="6">
        <f>VALUE(4828)</f>
        <v>4828</v>
      </c>
      <c r="L3237" s="1">
        <f>VALUE(6388)</f>
        <v>6388</v>
      </c>
      <c r="M3237" s="8">
        <f>VALUE(7882)</f>
        <v>7882</v>
      </c>
      <c r="N3237" t="s">
        <v>25</v>
      </c>
    </row>
    <row r="3238" spans="1:14" x14ac:dyDescent="0.25">
      <c r="A3238" t="s">
        <v>41</v>
      </c>
      <c r="B3238" t="s">
        <v>15</v>
      </c>
      <c r="C3238" t="s">
        <v>37</v>
      </c>
      <c r="D3238" t="s">
        <v>31</v>
      </c>
      <c r="E3238" t="s">
        <v>22</v>
      </c>
      <c r="F3238" t="s">
        <v>17</v>
      </c>
      <c r="G3238" s="1" t="str">
        <f t="shared" ref="G3238:M3240" si="690">"X"</f>
        <v>X</v>
      </c>
      <c r="H3238" s="1" t="str">
        <f t="shared" si="690"/>
        <v>X</v>
      </c>
      <c r="I3238" s="1" t="str">
        <f t="shared" si="690"/>
        <v>X</v>
      </c>
      <c r="J3238" s="1" t="str">
        <f t="shared" si="690"/>
        <v>X</v>
      </c>
      <c r="K3238" s="1" t="str">
        <f t="shared" si="690"/>
        <v>X</v>
      </c>
      <c r="L3238" s="1" t="str">
        <f t="shared" si="690"/>
        <v>X</v>
      </c>
      <c r="M3238" s="1" t="str">
        <f t="shared" si="690"/>
        <v>X</v>
      </c>
      <c r="N3238" t="s">
        <v>27</v>
      </c>
    </row>
    <row r="3239" spans="1:14" x14ac:dyDescent="0.25">
      <c r="A3239" t="s">
        <v>41</v>
      </c>
      <c r="B3239" t="s">
        <v>15</v>
      </c>
      <c r="C3239" t="s">
        <v>37</v>
      </c>
      <c r="D3239" t="s">
        <v>31</v>
      </c>
      <c r="E3239" t="s">
        <v>22</v>
      </c>
      <c r="F3239" t="s">
        <v>18</v>
      </c>
      <c r="G3239" s="1" t="str">
        <f t="shared" si="690"/>
        <v>X</v>
      </c>
      <c r="H3239" s="1" t="str">
        <f t="shared" si="690"/>
        <v>X</v>
      </c>
      <c r="I3239" s="1" t="str">
        <f t="shared" si="690"/>
        <v>X</v>
      </c>
      <c r="J3239" s="1" t="str">
        <f t="shared" si="690"/>
        <v>X</v>
      </c>
      <c r="K3239" s="1" t="str">
        <f t="shared" si="690"/>
        <v>X</v>
      </c>
      <c r="L3239" s="1" t="str">
        <f t="shared" si="690"/>
        <v>X</v>
      </c>
      <c r="M3239" s="1" t="str">
        <f t="shared" si="690"/>
        <v>X</v>
      </c>
      <c r="N3239" t="s">
        <v>27</v>
      </c>
    </row>
    <row r="3240" spans="1:14" x14ac:dyDescent="0.25">
      <c r="A3240" t="s">
        <v>41</v>
      </c>
      <c r="B3240" t="s">
        <v>15</v>
      </c>
      <c r="C3240" t="s">
        <v>37</v>
      </c>
      <c r="D3240" t="s">
        <v>31</v>
      </c>
      <c r="E3240" t="s">
        <v>22</v>
      </c>
      <c r="F3240" t="s">
        <v>19</v>
      </c>
      <c r="G3240" s="1" t="str">
        <f t="shared" si="690"/>
        <v>X</v>
      </c>
      <c r="H3240" s="1" t="str">
        <f t="shared" si="690"/>
        <v>X</v>
      </c>
      <c r="I3240" s="1" t="str">
        <f t="shared" si="690"/>
        <v>X</v>
      </c>
      <c r="J3240" s="1" t="str">
        <f t="shared" si="690"/>
        <v>X</v>
      </c>
      <c r="K3240" s="1" t="str">
        <f t="shared" si="690"/>
        <v>X</v>
      </c>
      <c r="L3240" s="1" t="str">
        <f t="shared" si="690"/>
        <v>X</v>
      </c>
      <c r="M3240" s="1" t="str">
        <f t="shared" si="690"/>
        <v>X</v>
      </c>
      <c r="N3240" t="s">
        <v>27</v>
      </c>
    </row>
    <row r="3241" spans="1:14" x14ac:dyDescent="0.25">
      <c r="A3241" t="s">
        <v>41</v>
      </c>
      <c r="B3241" t="s">
        <v>15</v>
      </c>
      <c r="C3241" t="s">
        <v>37</v>
      </c>
      <c r="D3241" t="s">
        <v>31</v>
      </c>
      <c r="E3241" t="s">
        <v>22</v>
      </c>
      <c r="F3241" t="s">
        <v>20</v>
      </c>
      <c r="G3241" s="2">
        <f>VALUE(390.7696317761)</f>
        <v>390.76963177610003</v>
      </c>
      <c r="H3241" s="3">
        <f>VALUE(380.4226318412)</f>
        <v>380.42263184119997</v>
      </c>
      <c r="I3241" s="1">
        <f>VALUE(3360)</f>
        <v>3360</v>
      </c>
      <c r="J3241" s="1">
        <f>VALUE(4007)</f>
        <v>4007</v>
      </c>
      <c r="K3241" s="6">
        <f>VALUE(4500)</f>
        <v>4500</v>
      </c>
      <c r="L3241" s="1">
        <f>VALUE(5669)</f>
        <v>5669</v>
      </c>
      <c r="M3241" s="1">
        <f>VALUE(6703)</f>
        <v>6703</v>
      </c>
      <c r="N3241" t="s">
        <v>25</v>
      </c>
    </row>
    <row r="3242" spans="1:14" x14ac:dyDescent="0.25">
      <c r="A3242" t="s">
        <v>41</v>
      </c>
      <c r="B3242" t="s">
        <v>15</v>
      </c>
      <c r="C3242" t="s">
        <v>37</v>
      </c>
      <c r="D3242" t="s">
        <v>31</v>
      </c>
      <c r="E3242" t="s">
        <v>23</v>
      </c>
      <c r="F3242" t="s">
        <v>15</v>
      </c>
      <c r="G3242" s="2">
        <f>VALUE(1256.549053137)</f>
        <v>1256.5490531370001</v>
      </c>
      <c r="H3242" s="3">
        <f>VALUE(1125.0634842015)</f>
        <v>1125.0634842014999</v>
      </c>
      <c r="I3242" s="1">
        <f>VALUE(3044)</f>
        <v>3044</v>
      </c>
      <c r="J3242" s="1">
        <f>VALUE(3467)</f>
        <v>3467</v>
      </c>
      <c r="K3242" s="1">
        <f>VALUE(4133)</f>
        <v>4133</v>
      </c>
      <c r="L3242" s="1">
        <f>VALUE(5043)</f>
        <v>5043</v>
      </c>
      <c r="M3242" s="1">
        <f>VALUE(5688)</f>
        <v>5688</v>
      </c>
      <c r="N3242" t="s">
        <v>25</v>
      </c>
    </row>
    <row r="3243" spans="1:14" x14ac:dyDescent="0.25">
      <c r="A3243" t="s">
        <v>41</v>
      </c>
      <c r="B3243" t="s">
        <v>15</v>
      </c>
      <c r="C3243" t="s">
        <v>37</v>
      </c>
      <c r="D3243" t="s">
        <v>31</v>
      </c>
      <c r="E3243" t="s">
        <v>23</v>
      </c>
      <c r="F3243" t="s">
        <v>17</v>
      </c>
      <c r="G3243" s="1" t="str">
        <f t="shared" ref="G3243:M3245" si="691">"X"</f>
        <v>X</v>
      </c>
      <c r="H3243" s="1" t="str">
        <f t="shared" si="691"/>
        <v>X</v>
      </c>
      <c r="I3243" s="1" t="str">
        <f t="shared" si="691"/>
        <v>X</v>
      </c>
      <c r="J3243" s="1" t="str">
        <f t="shared" si="691"/>
        <v>X</v>
      </c>
      <c r="K3243" s="1" t="str">
        <f t="shared" si="691"/>
        <v>X</v>
      </c>
      <c r="L3243" s="1" t="str">
        <f t="shared" si="691"/>
        <v>X</v>
      </c>
      <c r="M3243" s="1" t="str">
        <f t="shared" si="691"/>
        <v>X</v>
      </c>
      <c r="N3243" t="s">
        <v>27</v>
      </c>
    </row>
    <row r="3244" spans="1:14" x14ac:dyDescent="0.25">
      <c r="A3244" t="s">
        <v>41</v>
      </c>
      <c r="B3244" t="s">
        <v>15</v>
      </c>
      <c r="C3244" t="s">
        <v>37</v>
      </c>
      <c r="D3244" t="s">
        <v>31</v>
      </c>
      <c r="E3244" t="s">
        <v>23</v>
      </c>
      <c r="F3244" t="s">
        <v>18</v>
      </c>
      <c r="G3244" s="1" t="str">
        <f t="shared" si="691"/>
        <v>X</v>
      </c>
      <c r="H3244" s="1" t="str">
        <f t="shared" si="691"/>
        <v>X</v>
      </c>
      <c r="I3244" s="1" t="str">
        <f t="shared" si="691"/>
        <v>X</v>
      </c>
      <c r="J3244" s="1" t="str">
        <f t="shared" si="691"/>
        <v>X</v>
      </c>
      <c r="K3244" s="1" t="str">
        <f t="shared" si="691"/>
        <v>X</v>
      </c>
      <c r="L3244" s="1" t="str">
        <f t="shared" si="691"/>
        <v>X</v>
      </c>
      <c r="M3244" s="1" t="str">
        <f t="shared" si="691"/>
        <v>X</v>
      </c>
      <c r="N3244" t="s">
        <v>27</v>
      </c>
    </row>
    <row r="3245" spans="1:14" x14ac:dyDescent="0.25">
      <c r="A3245" t="s">
        <v>41</v>
      </c>
      <c r="B3245" t="s">
        <v>15</v>
      </c>
      <c r="C3245" t="s">
        <v>37</v>
      </c>
      <c r="D3245" t="s">
        <v>31</v>
      </c>
      <c r="E3245" t="s">
        <v>23</v>
      </c>
      <c r="F3245" t="s">
        <v>19</v>
      </c>
      <c r="G3245" s="1" t="str">
        <f t="shared" si="691"/>
        <v>X</v>
      </c>
      <c r="H3245" s="1" t="str">
        <f t="shared" si="691"/>
        <v>X</v>
      </c>
      <c r="I3245" s="1" t="str">
        <f t="shared" si="691"/>
        <v>X</v>
      </c>
      <c r="J3245" s="1" t="str">
        <f t="shared" si="691"/>
        <v>X</v>
      </c>
      <c r="K3245" s="1" t="str">
        <f t="shared" si="691"/>
        <v>X</v>
      </c>
      <c r="L3245" s="1" t="str">
        <f t="shared" si="691"/>
        <v>X</v>
      </c>
      <c r="M3245" s="1" t="str">
        <f t="shared" si="691"/>
        <v>X</v>
      </c>
      <c r="N3245" t="s">
        <v>27</v>
      </c>
    </row>
    <row r="3246" spans="1:14" x14ac:dyDescent="0.25">
      <c r="A3246" t="s">
        <v>41</v>
      </c>
      <c r="B3246" t="s">
        <v>15</v>
      </c>
      <c r="C3246" t="s">
        <v>37</v>
      </c>
      <c r="D3246" t="s">
        <v>31</v>
      </c>
      <c r="E3246" t="s">
        <v>23</v>
      </c>
      <c r="F3246" t="s">
        <v>20</v>
      </c>
      <c r="G3246" s="2">
        <f>VALUE(988.4682835092)</f>
        <v>988.46828350919998</v>
      </c>
      <c r="H3246" s="3">
        <f>VALUE(868.4369866249)</f>
        <v>868.43698662489999</v>
      </c>
      <c r="I3246" s="1">
        <f>VALUE(2943)</f>
        <v>2943</v>
      </c>
      <c r="J3246" s="1">
        <f>VALUE(3398)</f>
        <v>3398</v>
      </c>
      <c r="K3246" s="1">
        <f>VALUE(3870)</f>
        <v>3870</v>
      </c>
      <c r="L3246" s="1">
        <f>VALUE(4808)</f>
        <v>4808</v>
      </c>
      <c r="M3246" s="1">
        <f>VALUE(5404)</f>
        <v>5404</v>
      </c>
      <c r="N3246" t="s">
        <v>25</v>
      </c>
    </row>
    <row r="3247" spans="1:14" x14ac:dyDescent="0.25">
      <c r="A3247" t="s">
        <v>41</v>
      </c>
      <c r="B3247" t="s">
        <v>15</v>
      </c>
      <c r="C3247" t="s">
        <v>37</v>
      </c>
      <c r="D3247" t="s">
        <v>31</v>
      </c>
      <c r="E3247" t="s">
        <v>26</v>
      </c>
      <c r="F3247" t="s">
        <v>15</v>
      </c>
      <c r="G3247" s="1" t="str">
        <f t="shared" ref="G3247:M3249" si="692">"X"</f>
        <v>X</v>
      </c>
      <c r="H3247" s="1" t="str">
        <f t="shared" si="692"/>
        <v>X</v>
      </c>
      <c r="I3247" s="1" t="str">
        <f t="shared" si="692"/>
        <v>X</v>
      </c>
      <c r="J3247" s="1" t="str">
        <f t="shared" si="692"/>
        <v>X</v>
      </c>
      <c r="K3247" s="1" t="str">
        <f t="shared" si="692"/>
        <v>X</v>
      </c>
      <c r="L3247" s="1" t="str">
        <f t="shared" si="692"/>
        <v>X</v>
      </c>
      <c r="M3247" s="1" t="str">
        <f t="shared" si="692"/>
        <v>X</v>
      </c>
      <c r="N3247" t="s">
        <v>27</v>
      </c>
    </row>
    <row r="3248" spans="1:14" x14ac:dyDescent="0.25">
      <c r="A3248" t="s">
        <v>41</v>
      </c>
      <c r="B3248" t="s">
        <v>15</v>
      </c>
      <c r="C3248" t="s">
        <v>37</v>
      </c>
      <c r="D3248" t="s">
        <v>31</v>
      </c>
      <c r="E3248" t="s">
        <v>26</v>
      </c>
      <c r="F3248" t="s">
        <v>17</v>
      </c>
      <c r="G3248" s="1" t="str">
        <f t="shared" si="692"/>
        <v>X</v>
      </c>
      <c r="H3248" s="1" t="str">
        <f t="shared" si="692"/>
        <v>X</v>
      </c>
      <c r="I3248" s="1" t="str">
        <f t="shared" si="692"/>
        <v>X</v>
      </c>
      <c r="J3248" s="1" t="str">
        <f t="shared" si="692"/>
        <v>X</v>
      </c>
      <c r="K3248" s="1" t="str">
        <f t="shared" si="692"/>
        <v>X</v>
      </c>
      <c r="L3248" s="1" t="str">
        <f t="shared" si="692"/>
        <v>X</v>
      </c>
      <c r="M3248" s="1" t="str">
        <f t="shared" si="692"/>
        <v>X</v>
      </c>
      <c r="N3248" t="s">
        <v>27</v>
      </c>
    </row>
    <row r="3249" spans="1:14" x14ac:dyDescent="0.25">
      <c r="A3249" t="s">
        <v>41</v>
      </c>
      <c r="B3249" t="s">
        <v>15</v>
      </c>
      <c r="C3249" t="s">
        <v>37</v>
      </c>
      <c r="D3249" t="s">
        <v>31</v>
      </c>
      <c r="E3249" t="s">
        <v>26</v>
      </c>
      <c r="F3249" t="s">
        <v>18</v>
      </c>
      <c r="G3249" s="1" t="str">
        <f t="shared" si="692"/>
        <v>X</v>
      </c>
      <c r="H3249" s="1" t="str">
        <f t="shared" si="692"/>
        <v>X</v>
      </c>
      <c r="I3249" s="1" t="str">
        <f t="shared" si="692"/>
        <v>X</v>
      </c>
      <c r="J3249" s="1" t="str">
        <f t="shared" si="692"/>
        <v>X</v>
      </c>
      <c r="K3249" s="1" t="str">
        <f t="shared" si="692"/>
        <v>X</v>
      </c>
      <c r="L3249" s="1" t="str">
        <f t="shared" si="692"/>
        <v>X</v>
      </c>
      <c r="M3249" s="1" t="str">
        <f t="shared" si="692"/>
        <v>X</v>
      </c>
      <c r="N3249" t="s">
        <v>27</v>
      </c>
    </row>
    <row r="3250" spans="1:14" x14ac:dyDescent="0.25">
      <c r="A3250" t="s">
        <v>41</v>
      </c>
      <c r="B3250" t="s">
        <v>15</v>
      </c>
      <c r="C3250" t="s">
        <v>37</v>
      </c>
      <c r="D3250" t="s">
        <v>31</v>
      </c>
      <c r="E3250" t="s">
        <v>26</v>
      </c>
      <c r="F3250" t="s">
        <v>19</v>
      </c>
      <c r="G3250" s="1" t="str">
        <f t="shared" ref="G3250:M3250" si="693">"..."</f>
        <v>...</v>
      </c>
      <c r="H3250" s="1" t="str">
        <f t="shared" si="693"/>
        <v>...</v>
      </c>
      <c r="I3250" s="1" t="str">
        <f t="shared" si="693"/>
        <v>...</v>
      </c>
      <c r="J3250" s="1" t="str">
        <f t="shared" si="693"/>
        <v>...</v>
      </c>
      <c r="K3250" s="1" t="str">
        <f t="shared" si="693"/>
        <v>...</v>
      </c>
      <c r="L3250" s="1" t="str">
        <f t="shared" si="693"/>
        <v>...</v>
      </c>
      <c r="M3250" s="1" t="str">
        <f t="shared" si="693"/>
        <v>...</v>
      </c>
      <c r="N3250" t="s">
        <v>30</v>
      </c>
    </row>
    <row r="3251" spans="1:14" x14ac:dyDescent="0.25">
      <c r="A3251" t="s">
        <v>41</v>
      </c>
      <c r="B3251" t="s">
        <v>15</v>
      </c>
      <c r="C3251" t="s">
        <v>37</v>
      </c>
      <c r="D3251" t="s">
        <v>31</v>
      </c>
      <c r="E3251" t="s">
        <v>26</v>
      </c>
      <c r="F3251" t="s">
        <v>20</v>
      </c>
      <c r="G3251" s="1" t="str">
        <f t="shared" ref="G3251:M3251" si="694">"X"</f>
        <v>X</v>
      </c>
      <c r="H3251" s="1" t="str">
        <f t="shared" si="694"/>
        <v>X</v>
      </c>
      <c r="I3251" s="1" t="str">
        <f t="shared" si="694"/>
        <v>X</v>
      </c>
      <c r="J3251" s="1" t="str">
        <f t="shared" si="694"/>
        <v>X</v>
      </c>
      <c r="K3251" s="1" t="str">
        <f t="shared" si="694"/>
        <v>X</v>
      </c>
      <c r="L3251" s="1" t="str">
        <f t="shared" si="694"/>
        <v>X</v>
      </c>
      <c r="M3251" s="1" t="str">
        <f t="shared" si="694"/>
        <v>X</v>
      </c>
      <c r="N3251" t="s">
        <v>27</v>
      </c>
    </row>
    <row r="3252" spans="1:14" x14ac:dyDescent="0.25">
      <c r="A3252" t="s">
        <v>41</v>
      </c>
      <c r="B3252" t="s">
        <v>15</v>
      </c>
      <c r="C3252" t="s">
        <v>37</v>
      </c>
      <c r="D3252" t="s">
        <v>32</v>
      </c>
      <c r="E3252" t="s">
        <v>15</v>
      </c>
      <c r="F3252" t="s">
        <v>15</v>
      </c>
      <c r="G3252" s="1">
        <f>VALUE(20160.0738709645)</f>
        <v>20160.073870964501</v>
      </c>
      <c r="H3252" s="1">
        <f>VALUE(19127.6763050853)</f>
        <v>19127.676305085301</v>
      </c>
      <c r="I3252" s="1">
        <f>VALUE(2922)</f>
        <v>2922</v>
      </c>
      <c r="J3252" s="1">
        <f>VALUE(3693)</f>
        <v>3693</v>
      </c>
      <c r="K3252" s="1">
        <f>VALUE(4727)</f>
        <v>4727</v>
      </c>
      <c r="L3252" s="1">
        <f>VALUE(5874)</f>
        <v>5874</v>
      </c>
      <c r="M3252" s="1">
        <f>VALUE(7230)</f>
        <v>7230</v>
      </c>
      <c r="N3252" t="s">
        <v>16</v>
      </c>
    </row>
    <row r="3253" spans="1:14" x14ac:dyDescent="0.25">
      <c r="A3253" t="s">
        <v>41</v>
      </c>
      <c r="B3253" t="s">
        <v>15</v>
      </c>
      <c r="C3253" t="s">
        <v>37</v>
      </c>
      <c r="D3253" t="s">
        <v>32</v>
      </c>
      <c r="E3253" t="s">
        <v>15</v>
      </c>
      <c r="F3253" t="s">
        <v>17</v>
      </c>
      <c r="G3253" s="1">
        <f>VALUE(1606.1389157313)</f>
        <v>1606.1389157312999</v>
      </c>
      <c r="H3253" s="1">
        <f>VALUE(1563.7922974956)</f>
        <v>1563.7922974956</v>
      </c>
      <c r="I3253" s="4">
        <f>VALUE(4633)</f>
        <v>4633</v>
      </c>
      <c r="J3253" s="1">
        <f>VALUE(5633)</f>
        <v>5633</v>
      </c>
      <c r="K3253" s="1">
        <f>VALUE(7172)</f>
        <v>7172</v>
      </c>
      <c r="L3253" s="1">
        <f>VALUE(9075)</f>
        <v>9075</v>
      </c>
      <c r="M3253" s="8">
        <f>VALUE(13109)</f>
        <v>13109</v>
      </c>
      <c r="N3253" t="s">
        <v>25</v>
      </c>
    </row>
    <row r="3254" spans="1:14" x14ac:dyDescent="0.25">
      <c r="A3254" t="s">
        <v>41</v>
      </c>
      <c r="B3254" t="s">
        <v>15</v>
      </c>
      <c r="C3254" t="s">
        <v>37</v>
      </c>
      <c r="D3254" t="s">
        <v>32</v>
      </c>
      <c r="E3254" t="s">
        <v>15</v>
      </c>
      <c r="F3254" t="s">
        <v>18</v>
      </c>
      <c r="G3254" s="1">
        <f>VALUE(1931.8819917887)</f>
        <v>1931.8819917886999</v>
      </c>
      <c r="H3254" s="1">
        <f>VALUE(1865.4307140542)</f>
        <v>1865.4307140542001</v>
      </c>
      <c r="I3254" s="1">
        <f>VALUE(3760)</f>
        <v>3760</v>
      </c>
      <c r="J3254" s="1">
        <f>VALUE(4628)</f>
        <v>4628</v>
      </c>
      <c r="K3254" s="1">
        <f>VALUE(5596)</f>
        <v>5596</v>
      </c>
      <c r="L3254" s="1">
        <f>VALUE(6749)</f>
        <v>6749</v>
      </c>
      <c r="M3254" s="1">
        <f>VALUE(8435)</f>
        <v>8435</v>
      </c>
      <c r="N3254" t="s">
        <v>16</v>
      </c>
    </row>
    <row r="3255" spans="1:14" x14ac:dyDescent="0.25">
      <c r="A3255" t="s">
        <v>41</v>
      </c>
      <c r="B3255" t="s">
        <v>15</v>
      </c>
      <c r="C3255" t="s">
        <v>37</v>
      </c>
      <c r="D3255" t="s">
        <v>32</v>
      </c>
      <c r="E3255" t="s">
        <v>15</v>
      </c>
      <c r="F3255" t="s">
        <v>19</v>
      </c>
      <c r="G3255" s="1">
        <f>VALUE(2832.6091436334)</f>
        <v>2832.6091436334</v>
      </c>
      <c r="H3255" s="1">
        <f>VALUE(2663.077335796)</f>
        <v>2663.0773357960002</v>
      </c>
      <c r="I3255" s="1">
        <f>VALUE(3600)</f>
        <v>3600</v>
      </c>
      <c r="J3255" s="1">
        <f>VALUE(4245)</f>
        <v>4245</v>
      </c>
      <c r="K3255" s="1">
        <f>VALUE(5090)</f>
        <v>5090</v>
      </c>
      <c r="L3255" s="1">
        <f>VALUE(6279)</f>
        <v>6279</v>
      </c>
      <c r="M3255" s="1">
        <f>VALUE(7473)</f>
        <v>7473</v>
      </c>
      <c r="N3255" t="s">
        <v>16</v>
      </c>
    </row>
    <row r="3256" spans="1:14" x14ac:dyDescent="0.25">
      <c r="A3256" t="s">
        <v>41</v>
      </c>
      <c r="B3256" t="s">
        <v>15</v>
      </c>
      <c r="C3256" t="s">
        <v>37</v>
      </c>
      <c r="D3256" t="s">
        <v>32</v>
      </c>
      <c r="E3256" t="s">
        <v>15</v>
      </c>
      <c r="F3256" t="s">
        <v>20</v>
      </c>
      <c r="G3256" s="1">
        <f>VALUE(13764.6715832335)</f>
        <v>13764.671583233499</v>
      </c>
      <c r="H3256" s="1">
        <f>VALUE(13008.1074026869)</f>
        <v>13008.107402686899</v>
      </c>
      <c r="I3256" s="1">
        <f>VALUE(2788)</f>
        <v>2788</v>
      </c>
      <c r="J3256" s="1">
        <f>VALUE(3454)</f>
        <v>3454</v>
      </c>
      <c r="K3256" s="1">
        <f>VALUE(4320)</f>
        <v>4320</v>
      </c>
      <c r="L3256" s="1">
        <f>VALUE(5375)</f>
        <v>5375</v>
      </c>
      <c r="M3256" s="1">
        <f>VALUE(6269)</f>
        <v>6269</v>
      </c>
      <c r="N3256" t="s">
        <v>16</v>
      </c>
    </row>
    <row r="3257" spans="1:14" x14ac:dyDescent="0.25">
      <c r="A3257" t="s">
        <v>41</v>
      </c>
      <c r="B3257" t="s">
        <v>15</v>
      </c>
      <c r="C3257" t="s">
        <v>37</v>
      </c>
      <c r="D3257" t="s">
        <v>32</v>
      </c>
      <c r="E3257" t="s">
        <v>21</v>
      </c>
      <c r="F3257" t="s">
        <v>15</v>
      </c>
      <c r="G3257" s="1">
        <f>VALUE(3480.3340305793)</f>
        <v>3480.3340305792999</v>
      </c>
      <c r="H3257" s="1">
        <f>VALUE(3254.2273677154)</f>
        <v>3254.2273677153999</v>
      </c>
      <c r="I3257" s="4">
        <f>VALUE(3624)</f>
        <v>3624</v>
      </c>
      <c r="J3257" s="1">
        <f>VALUE(4706)</f>
        <v>4706</v>
      </c>
      <c r="K3257" s="1">
        <f>VALUE(6100)</f>
        <v>6100</v>
      </c>
      <c r="L3257" s="1">
        <f>VALUE(8000)</f>
        <v>8000</v>
      </c>
      <c r="M3257" s="1">
        <f>VALUE(10400)</f>
        <v>10400</v>
      </c>
      <c r="N3257" t="s">
        <v>25</v>
      </c>
    </row>
    <row r="3258" spans="1:14" x14ac:dyDescent="0.25">
      <c r="A3258" t="s">
        <v>41</v>
      </c>
      <c r="B3258" t="s">
        <v>15</v>
      </c>
      <c r="C3258" t="s">
        <v>37</v>
      </c>
      <c r="D3258" t="s">
        <v>32</v>
      </c>
      <c r="E3258" t="s">
        <v>21</v>
      </c>
      <c r="F3258" t="s">
        <v>17</v>
      </c>
      <c r="G3258" s="2">
        <f>VALUE(981.620011467)</f>
        <v>981.62001146700004</v>
      </c>
      <c r="H3258" s="3">
        <f>VALUE(943.8888922333)</f>
        <v>943.8888922333</v>
      </c>
      <c r="I3258" s="1">
        <f>VALUE(4952)</f>
        <v>4952</v>
      </c>
      <c r="J3258" s="1">
        <f>VALUE(6202)</f>
        <v>6202</v>
      </c>
      <c r="K3258" s="1">
        <f>VALUE(7917)</f>
        <v>7917</v>
      </c>
      <c r="L3258" s="1">
        <f>VALUE(10227)</f>
        <v>10227</v>
      </c>
      <c r="M3258" s="8">
        <f>VALUE(15216)</f>
        <v>15216</v>
      </c>
      <c r="N3258" t="s">
        <v>25</v>
      </c>
    </row>
    <row r="3259" spans="1:14" x14ac:dyDescent="0.25">
      <c r="A3259" t="s">
        <v>41</v>
      </c>
      <c r="B3259" t="s">
        <v>15</v>
      </c>
      <c r="C3259" t="s">
        <v>37</v>
      </c>
      <c r="D3259" t="s">
        <v>32</v>
      </c>
      <c r="E3259" t="s">
        <v>21</v>
      </c>
      <c r="F3259" t="s">
        <v>18</v>
      </c>
      <c r="G3259" s="2">
        <f>VALUE(746.0775234082)</f>
        <v>746.07752340820002</v>
      </c>
      <c r="H3259" s="3">
        <f>VALUE(699.6196842873)</f>
        <v>699.61968428729995</v>
      </c>
      <c r="I3259" s="4">
        <f>VALUE(3095)</f>
        <v>3095</v>
      </c>
      <c r="J3259" s="1">
        <f>VALUE(4706)</f>
        <v>4706</v>
      </c>
      <c r="K3259" s="1">
        <f>VALUE(5846)</f>
        <v>5846</v>
      </c>
      <c r="L3259" s="1">
        <f>VALUE(7710)</f>
        <v>7710</v>
      </c>
      <c r="M3259" s="8">
        <f>VALUE(10136)</f>
        <v>10136</v>
      </c>
      <c r="N3259" t="s">
        <v>25</v>
      </c>
    </row>
    <row r="3260" spans="1:14" x14ac:dyDescent="0.25">
      <c r="A3260" t="s">
        <v>41</v>
      </c>
      <c r="B3260" t="s">
        <v>15</v>
      </c>
      <c r="C3260" t="s">
        <v>37</v>
      </c>
      <c r="D3260" t="s">
        <v>32</v>
      </c>
      <c r="E3260" t="s">
        <v>21</v>
      </c>
      <c r="F3260" t="s">
        <v>19</v>
      </c>
      <c r="G3260" s="2">
        <f>VALUE(665.0501008279)</f>
        <v>665.0501008279</v>
      </c>
      <c r="H3260" s="3">
        <f>VALUE(578.2091426653)</f>
        <v>578.20914266529996</v>
      </c>
      <c r="I3260" s="1">
        <f>VALUE(4012)</f>
        <v>4012</v>
      </c>
      <c r="J3260" s="1">
        <f>VALUE(4652)</f>
        <v>4652</v>
      </c>
      <c r="K3260" s="1">
        <f>VALUE(5675)</f>
        <v>5675</v>
      </c>
      <c r="L3260" s="1">
        <f>VALUE(7450)</f>
        <v>7450</v>
      </c>
      <c r="M3260" s="1">
        <f>VALUE(8294)</f>
        <v>8294</v>
      </c>
      <c r="N3260" t="s">
        <v>25</v>
      </c>
    </row>
    <row r="3261" spans="1:14" x14ac:dyDescent="0.25">
      <c r="A3261" t="s">
        <v>41</v>
      </c>
      <c r="B3261" t="s">
        <v>15</v>
      </c>
      <c r="C3261" t="s">
        <v>37</v>
      </c>
      <c r="D3261" t="s">
        <v>32</v>
      </c>
      <c r="E3261" t="s">
        <v>21</v>
      </c>
      <c r="F3261" t="s">
        <v>20</v>
      </c>
      <c r="G3261" s="1">
        <f>VALUE(1087.5863948762)</f>
        <v>1087.5863948762001</v>
      </c>
      <c r="H3261" s="1">
        <f>VALUE(1032.5096485295)</f>
        <v>1032.5096485295001</v>
      </c>
      <c r="I3261" s="4">
        <f>VALUE(3008)</f>
        <v>3008</v>
      </c>
      <c r="J3261" s="5">
        <f>VALUE(4136)</f>
        <v>4136</v>
      </c>
      <c r="K3261" s="1">
        <f>VALUE(5350)</f>
        <v>5350</v>
      </c>
      <c r="L3261" s="1">
        <f>VALUE(6716)</f>
        <v>6716</v>
      </c>
      <c r="M3261" s="1">
        <f>VALUE(8262)</f>
        <v>8262</v>
      </c>
      <c r="N3261" t="s">
        <v>25</v>
      </c>
    </row>
    <row r="3262" spans="1:14" x14ac:dyDescent="0.25">
      <c r="A3262" t="s">
        <v>41</v>
      </c>
      <c r="B3262" t="s">
        <v>15</v>
      </c>
      <c r="C3262" t="s">
        <v>37</v>
      </c>
      <c r="D3262" t="s">
        <v>32</v>
      </c>
      <c r="E3262" t="s">
        <v>22</v>
      </c>
      <c r="F3262" t="s">
        <v>15</v>
      </c>
      <c r="G3262" s="1">
        <f>VALUE(5274.4730418166)</f>
        <v>5274.4730418166</v>
      </c>
      <c r="H3262" s="1">
        <f>VALUE(5054.7501022316)</f>
        <v>5054.7501022316001</v>
      </c>
      <c r="I3262" s="1">
        <f>VALUE(3594)</f>
        <v>3594</v>
      </c>
      <c r="J3262" s="1">
        <f>VALUE(4308)</f>
        <v>4308</v>
      </c>
      <c r="K3262" s="1">
        <f>VALUE(5191)</f>
        <v>5191</v>
      </c>
      <c r="L3262" s="1">
        <f>VALUE(6230)</f>
        <v>6230</v>
      </c>
      <c r="M3262" s="1">
        <f>VALUE(7234)</f>
        <v>7234</v>
      </c>
      <c r="N3262" t="s">
        <v>16</v>
      </c>
    </row>
    <row r="3263" spans="1:14" x14ac:dyDescent="0.25">
      <c r="A3263" t="s">
        <v>41</v>
      </c>
      <c r="B3263" t="s">
        <v>15</v>
      </c>
      <c r="C3263" t="s">
        <v>37</v>
      </c>
      <c r="D3263" t="s">
        <v>32</v>
      </c>
      <c r="E3263" t="s">
        <v>22</v>
      </c>
      <c r="F3263" t="s">
        <v>17</v>
      </c>
      <c r="G3263" s="2">
        <f>VALUE(456.1381681848)</f>
        <v>456.13816818480001</v>
      </c>
      <c r="H3263" s="3">
        <f>VALUE(456.4294325964)</f>
        <v>456.42943259639998</v>
      </c>
      <c r="I3263" s="4">
        <f>VALUE(4535)</f>
        <v>4535</v>
      </c>
      <c r="J3263" s="5">
        <f>VALUE(5550)</f>
        <v>5550</v>
      </c>
      <c r="K3263" s="6">
        <f>VALUE(6375)</f>
        <v>6375</v>
      </c>
      <c r="L3263" s="1">
        <f>VALUE(7792)</f>
        <v>7792</v>
      </c>
      <c r="M3263" s="1">
        <f>VALUE(9424)</f>
        <v>9424</v>
      </c>
      <c r="N3263" t="s">
        <v>25</v>
      </c>
    </row>
    <row r="3264" spans="1:14" x14ac:dyDescent="0.25">
      <c r="A3264" t="s">
        <v>41</v>
      </c>
      <c r="B3264" t="s">
        <v>15</v>
      </c>
      <c r="C3264" t="s">
        <v>37</v>
      </c>
      <c r="D3264" t="s">
        <v>32</v>
      </c>
      <c r="E3264" t="s">
        <v>22</v>
      </c>
      <c r="F3264" t="s">
        <v>18</v>
      </c>
      <c r="G3264" s="2">
        <f>VALUE(619.9959247131)</f>
        <v>619.99592471309995</v>
      </c>
      <c r="H3264" s="3">
        <f>VALUE(606.5943613804)</f>
        <v>606.59436138039996</v>
      </c>
      <c r="I3264" s="1">
        <f>VALUE(4008)</f>
        <v>4008</v>
      </c>
      <c r="J3264" s="1">
        <f>VALUE(4850)</f>
        <v>4850</v>
      </c>
      <c r="K3264" s="1">
        <f>VALUE(5762)</f>
        <v>5762</v>
      </c>
      <c r="L3264" s="1">
        <f>VALUE(6901)</f>
        <v>6901</v>
      </c>
      <c r="M3264" s="1">
        <f>VALUE(7836)</f>
        <v>7836</v>
      </c>
      <c r="N3264" t="s">
        <v>25</v>
      </c>
    </row>
    <row r="3265" spans="1:14" x14ac:dyDescent="0.25">
      <c r="A3265" t="s">
        <v>41</v>
      </c>
      <c r="B3265" t="s">
        <v>15</v>
      </c>
      <c r="C3265" t="s">
        <v>37</v>
      </c>
      <c r="D3265" t="s">
        <v>32</v>
      </c>
      <c r="E3265" t="s">
        <v>22</v>
      </c>
      <c r="F3265" t="s">
        <v>19</v>
      </c>
      <c r="G3265" s="2">
        <f>VALUE(1084.2355028642)</f>
        <v>1084.2355028642</v>
      </c>
      <c r="H3265" s="3">
        <f>VALUE(1034.5024940854)</f>
        <v>1034.5024940854</v>
      </c>
      <c r="I3265" s="1">
        <f>VALUE(3810)</f>
        <v>3810</v>
      </c>
      <c r="J3265" s="1">
        <f>VALUE(4333)</f>
        <v>4333</v>
      </c>
      <c r="K3265" s="1">
        <f>VALUE(5201)</f>
        <v>5201</v>
      </c>
      <c r="L3265" s="1">
        <f>VALUE(6303)</f>
        <v>6303</v>
      </c>
      <c r="M3265" s="1">
        <f>VALUE(7293)</f>
        <v>7293</v>
      </c>
      <c r="N3265" t="s">
        <v>25</v>
      </c>
    </row>
    <row r="3266" spans="1:14" x14ac:dyDescent="0.25">
      <c r="A3266" t="s">
        <v>41</v>
      </c>
      <c r="B3266" t="s">
        <v>15</v>
      </c>
      <c r="C3266" t="s">
        <v>37</v>
      </c>
      <c r="D3266" t="s">
        <v>32</v>
      </c>
      <c r="E3266" t="s">
        <v>22</v>
      </c>
      <c r="F3266" t="s">
        <v>20</v>
      </c>
      <c r="G3266" s="1">
        <f>VALUE(3114.1034460545)</f>
        <v>3114.1034460545002</v>
      </c>
      <c r="H3266" s="1">
        <f>VALUE(2957.2238141694)</f>
        <v>2957.2238141694002</v>
      </c>
      <c r="I3266" s="1">
        <f>VALUE(3340)</f>
        <v>3340</v>
      </c>
      <c r="J3266" s="1">
        <f>VALUE(4095)</f>
        <v>4095</v>
      </c>
      <c r="K3266" s="1">
        <f>VALUE(4908)</f>
        <v>4908</v>
      </c>
      <c r="L3266" s="1">
        <f>VALUE(5771)</f>
        <v>5771</v>
      </c>
      <c r="M3266" s="1">
        <f>VALUE(6664)</f>
        <v>6664</v>
      </c>
      <c r="N3266" t="s">
        <v>16</v>
      </c>
    </row>
    <row r="3267" spans="1:14" x14ac:dyDescent="0.25">
      <c r="A3267" t="s">
        <v>41</v>
      </c>
      <c r="B3267" t="s">
        <v>15</v>
      </c>
      <c r="C3267" t="s">
        <v>37</v>
      </c>
      <c r="D3267" t="s">
        <v>32</v>
      </c>
      <c r="E3267" t="s">
        <v>23</v>
      </c>
      <c r="F3267" t="s">
        <v>15</v>
      </c>
      <c r="G3267" s="1">
        <f>VALUE(11358.4122862289)</f>
        <v>11358.4122862289</v>
      </c>
      <c r="H3267" s="1">
        <f>VALUE(10768.4544569409)</f>
        <v>10768.454456940901</v>
      </c>
      <c r="I3267" s="1">
        <f>VALUE(2764)</f>
        <v>2764</v>
      </c>
      <c r="J3267" s="1">
        <f>VALUE(3355)</f>
        <v>3355</v>
      </c>
      <c r="K3267" s="1">
        <f>VALUE(4160)</f>
        <v>4160</v>
      </c>
      <c r="L3267" s="1">
        <f>VALUE(5235)</f>
        <v>5235</v>
      </c>
      <c r="M3267" s="1">
        <f>VALUE(6039)</f>
        <v>6039</v>
      </c>
      <c r="N3267" t="s">
        <v>16</v>
      </c>
    </row>
    <row r="3268" spans="1:14" x14ac:dyDescent="0.25">
      <c r="A3268" t="s">
        <v>41</v>
      </c>
      <c r="B3268" t="s">
        <v>15</v>
      </c>
      <c r="C3268" t="s">
        <v>37</v>
      </c>
      <c r="D3268" t="s">
        <v>32</v>
      </c>
      <c r="E3268" t="s">
        <v>23</v>
      </c>
      <c r="F3268" t="s">
        <v>17</v>
      </c>
      <c r="G3268" s="2">
        <f>VALUE(165.4586731819)</f>
        <v>165.4586731819</v>
      </c>
      <c r="H3268" s="3">
        <f>VALUE(160.4058066235)</f>
        <v>160.40580662350001</v>
      </c>
      <c r="I3268" s="4">
        <f>VALUE(1934)</f>
        <v>1934</v>
      </c>
      <c r="J3268" s="5">
        <f>VALUE(4233)</f>
        <v>4233</v>
      </c>
      <c r="K3268" s="1">
        <f>VALUE(5840)</f>
        <v>5840</v>
      </c>
      <c r="L3268" s="1">
        <f>VALUE(6663)</f>
        <v>6663</v>
      </c>
      <c r="M3268" s="8">
        <f>VALUE(9169)</f>
        <v>9169</v>
      </c>
      <c r="N3268" t="s">
        <v>25</v>
      </c>
    </row>
    <row r="3269" spans="1:14" x14ac:dyDescent="0.25">
      <c r="A3269" t="s">
        <v>41</v>
      </c>
      <c r="B3269" t="s">
        <v>15</v>
      </c>
      <c r="C3269" t="s">
        <v>37</v>
      </c>
      <c r="D3269" t="s">
        <v>32</v>
      </c>
      <c r="E3269" t="s">
        <v>23</v>
      </c>
      <c r="F3269" t="s">
        <v>18</v>
      </c>
      <c r="G3269" s="2">
        <f>VALUE(558.5033864234)</f>
        <v>558.5033864234</v>
      </c>
      <c r="H3269" s="3">
        <f>VALUE(551.5462532805)</f>
        <v>551.54625328049997</v>
      </c>
      <c r="I3269" s="4">
        <f>VALUE(3943)</f>
        <v>3943</v>
      </c>
      <c r="J3269" s="1">
        <f>VALUE(4453)</f>
        <v>4453</v>
      </c>
      <c r="K3269" s="1">
        <f>VALUE(5210)</f>
        <v>5210</v>
      </c>
      <c r="L3269" s="1">
        <f>VALUE(5954)</f>
        <v>5954</v>
      </c>
      <c r="M3269" s="1">
        <f>VALUE(6549)</f>
        <v>6549</v>
      </c>
      <c r="N3269" t="s">
        <v>25</v>
      </c>
    </row>
    <row r="3270" spans="1:14" x14ac:dyDescent="0.25">
      <c r="A3270" t="s">
        <v>41</v>
      </c>
      <c r="B3270" t="s">
        <v>15</v>
      </c>
      <c r="C3270" t="s">
        <v>37</v>
      </c>
      <c r="D3270" t="s">
        <v>32</v>
      </c>
      <c r="E3270" t="s">
        <v>23</v>
      </c>
      <c r="F3270" t="s">
        <v>19</v>
      </c>
      <c r="G3270" s="2">
        <f>VALUE(1083.3235399413)</f>
        <v>1083.3235399412999</v>
      </c>
      <c r="H3270" s="3">
        <f>VALUE(1050.3656990453)</f>
        <v>1050.3656990453001</v>
      </c>
      <c r="I3270" s="1">
        <f>VALUE(3328)</f>
        <v>3328</v>
      </c>
      <c r="J3270" s="1">
        <f>VALUE(3985)</f>
        <v>3985</v>
      </c>
      <c r="K3270" s="1">
        <f>VALUE(4737)</f>
        <v>4737</v>
      </c>
      <c r="L3270" s="1">
        <f>VALUE(5730)</f>
        <v>5730</v>
      </c>
      <c r="M3270" s="1">
        <f>VALUE(6506)</f>
        <v>6506</v>
      </c>
      <c r="N3270" t="s">
        <v>25</v>
      </c>
    </row>
    <row r="3271" spans="1:14" x14ac:dyDescent="0.25">
      <c r="A3271" t="s">
        <v>41</v>
      </c>
      <c r="B3271" t="s">
        <v>15</v>
      </c>
      <c r="C3271" t="s">
        <v>37</v>
      </c>
      <c r="D3271" t="s">
        <v>32</v>
      </c>
      <c r="E3271" t="s">
        <v>23</v>
      </c>
      <c r="F3271" t="s">
        <v>20</v>
      </c>
      <c r="G3271" s="1">
        <f>VALUE(9546.9492065077)</f>
        <v>9546.9492065076993</v>
      </c>
      <c r="H3271" s="1">
        <f>VALUE(9002.3950414699)</f>
        <v>9002.3950414698993</v>
      </c>
      <c r="I3271" s="1">
        <f>VALUE(2713)</f>
        <v>2713</v>
      </c>
      <c r="J3271" s="1">
        <f>VALUE(3227)</f>
        <v>3227</v>
      </c>
      <c r="K3271" s="1">
        <f>VALUE(4006)</f>
        <v>4006</v>
      </c>
      <c r="L3271" s="1">
        <f>VALUE(5077)</f>
        <v>5077</v>
      </c>
      <c r="M3271" s="1">
        <f>VALUE(5863)</f>
        <v>5863</v>
      </c>
      <c r="N3271" t="s">
        <v>16</v>
      </c>
    </row>
    <row r="3272" spans="1:14" x14ac:dyDescent="0.25">
      <c r="A3272" t="s">
        <v>41</v>
      </c>
      <c r="B3272" t="s">
        <v>15</v>
      </c>
      <c r="C3272" t="s">
        <v>37</v>
      </c>
      <c r="D3272" t="s">
        <v>32</v>
      </c>
      <c r="E3272" t="s">
        <v>26</v>
      </c>
      <c r="F3272" t="s">
        <v>15</v>
      </c>
      <c r="G3272" s="1" t="str">
        <f t="shared" ref="G3272:M3274" si="695">"X"</f>
        <v>X</v>
      </c>
      <c r="H3272" s="1" t="str">
        <f t="shared" si="695"/>
        <v>X</v>
      </c>
      <c r="I3272" s="1" t="str">
        <f t="shared" si="695"/>
        <v>X</v>
      </c>
      <c r="J3272" s="1" t="str">
        <f t="shared" si="695"/>
        <v>X</v>
      </c>
      <c r="K3272" s="1" t="str">
        <f t="shared" si="695"/>
        <v>X</v>
      </c>
      <c r="L3272" s="1" t="str">
        <f t="shared" si="695"/>
        <v>X</v>
      </c>
      <c r="M3272" s="1" t="str">
        <f t="shared" si="695"/>
        <v>X</v>
      </c>
      <c r="N3272" t="s">
        <v>27</v>
      </c>
    </row>
    <row r="3273" spans="1:14" x14ac:dyDescent="0.25">
      <c r="A3273" t="s">
        <v>41</v>
      </c>
      <c r="B3273" t="s">
        <v>15</v>
      </c>
      <c r="C3273" t="s">
        <v>37</v>
      </c>
      <c r="D3273" t="s">
        <v>32</v>
      </c>
      <c r="E3273" t="s">
        <v>26</v>
      </c>
      <c r="F3273" t="s">
        <v>17</v>
      </c>
      <c r="G3273" s="1" t="str">
        <f t="shared" si="695"/>
        <v>X</v>
      </c>
      <c r="H3273" s="1" t="str">
        <f t="shared" si="695"/>
        <v>X</v>
      </c>
      <c r="I3273" s="1" t="str">
        <f t="shared" si="695"/>
        <v>X</v>
      </c>
      <c r="J3273" s="1" t="str">
        <f t="shared" si="695"/>
        <v>X</v>
      </c>
      <c r="K3273" s="1" t="str">
        <f t="shared" si="695"/>
        <v>X</v>
      </c>
      <c r="L3273" s="1" t="str">
        <f t="shared" si="695"/>
        <v>X</v>
      </c>
      <c r="M3273" s="1" t="str">
        <f t="shared" si="695"/>
        <v>X</v>
      </c>
      <c r="N3273" t="s">
        <v>27</v>
      </c>
    </row>
    <row r="3274" spans="1:14" x14ac:dyDescent="0.25">
      <c r="A3274" t="s">
        <v>41</v>
      </c>
      <c r="B3274" t="s">
        <v>15</v>
      </c>
      <c r="C3274" t="s">
        <v>37</v>
      </c>
      <c r="D3274" t="s">
        <v>32</v>
      </c>
      <c r="E3274" t="s">
        <v>26</v>
      </c>
      <c r="F3274" t="s">
        <v>18</v>
      </c>
      <c r="G3274" s="1" t="str">
        <f t="shared" si="695"/>
        <v>X</v>
      </c>
      <c r="H3274" s="1" t="str">
        <f t="shared" si="695"/>
        <v>X</v>
      </c>
      <c r="I3274" s="1" t="str">
        <f t="shared" si="695"/>
        <v>X</v>
      </c>
      <c r="J3274" s="1" t="str">
        <f t="shared" si="695"/>
        <v>X</v>
      </c>
      <c r="K3274" s="1" t="str">
        <f t="shared" si="695"/>
        <v>X</v>
      </c>
      <c r="L3274" s="1" t="str">
        <f t="shared" si="695"/>
        <v>X</v>
      </c>
      <c r="M3274" s="1" t="str">
        <f t="shared" si="695"/>
        <v>X</v>
      </c>
      <c r="N3274" t="s">
        <v>27</v>
      </c>
    </row>
    <row r="3275" spans="1:14" x14ac:dyDescent="0.25">
      <c r="A3275" t="s">
        <v>41</v>
      </c>
      <c r="B3275" t="s">
        <v>15</v>
      </c>
      <c r="C3275" t="s">
        <v>37</v>
      </c>
      <c r="D3275" t="s">
        <v>32</v>
      </c>
      <c r="E3275" t="s">
        <v>26</v>
      </c>
      <c r="F3275" t="s">
        <v>19</v>
      </c>
      <c r="G3275" s="1" t="str">
        <f t="shared" ref="G3275:M3275" si="696">"..."</f>
        <v>...</v>
      </c>
      <c r="H3275" s="1" t="str">
        <f t="shared" si="696"/>
        <v>...</v>
      </c>
      <c r="I3275" s="1" t="str">
        <f t="shared" si="696"/>
        <v>...</v>
      </c>
      <c r="J3275" s="1" t="str">
        <f t="shared" si="696"/>
        <v>...</v>
      </c>
      <c r="K3275" s="1" t="str">
        <f t="shared" si="696"/>
        <v>...</v>
      </c>
      <c r="L3275" s="1" t="str">
        <f t="shared" si="696"/>
        <v>...</v>
      </c>
      <c r="M3275" s="1" t="str">
        <f t="shared" si="696"/>
        <v>...</v>
      </c>
      <c r="N3275" t="s">
        <v>30</v>
      </c>
    </row>
    <row r="3276" spans="1:14" x14ac:dyDescent="0.25">
      <c r="A3276" t="s">
        <v>41</v>
      </c>
      <c r="B3276" t="s">
        <v>15</v>
      </c>
      <c r="C3276" t="s">
        <v>37</v>
      </c>
      <c r="D3276" t="s">
        <v>32</v>
      </c>
      <c r="E3276" t="s">
        <v>26</v>
      </c>
      <c r="F3276" t="s">
        <v>20</v>
      </c>
      <c r="G3276" s="1" t="str">
        <f t="shared" ref="G3276:M3276" si="697">"X"</f>
        <v>X</v>
      </c>
      <c r="H3276" s="1" t="str">
        <f t="shared" si="697"/>
        <v>X</v>
      </c>
      <c r="I3276" s="1" t="str">
        <f t="shared" si="697"/>
        <v>X</v>
      </c>
      <c r="J3276" s="1" t="str">
        <f t="shared" si="697"/>
        <v>X</v>
      </c>
      <c r="K3276" s="1" t="str">
        <f t="shared" si="697"/>
        <v>X</v>
      </c>
      <c r="L3276" s="1" t="str">
        <f t="shared" si="697"/>
        <v>X</v>
      </c>
      <c r="M3276" s="1" t="str">
        <f t="shared" si="697"/>
        <v>X</v>
      </c>
      <c r="N3276" t="s">
        <v>27</v>
      </c>
    </row>
    <row r="3277" spans="1:14" x14ac:dyDescent="0.25">
      <c r="A3277" t="s">
        <v>41</v>
      </c>
      <c r="B3277" t="s">
        <v>15</v>
      </c>
      <c r="C3277" t="s">
        <v>37</v>
      </c>
      <c r="D3277" t="s">
        <v>33</v>
      </c>
      <c r="E3277" t="s">
        <v>15</v>
      </c>
      <c r="F3277" t="s">
        <v>15</v>
      </c>
      <c r="G3277" s="2">
        <f>VALUE(646.635477767)</f>
        <v>646.635477767</v>
      </c>
      <c r="H3277" s="3">
        <f>VALUE(494.583693442)</f>
        <v>494.58369344200003</v>
      </c>
      <c r="I3277" s="1">
        <f>VALUE(3188)</f>
        <v>3188</v>
      </c>
      <c r="J3277" s="5">
        <f>VALUE(3467)</f>
        <v>3467</v>
      </c>
      <c r="K3277" s="6">
        <f>VALUE(4666)</f>
        <v>4666</v>
      </c>
      <c r="L3277" s="7">
        <f>VALUE(6717)</f>
        <v>6717</v>
      </c>
      <c r="M3277" s="8">
        <f>VALUE(9150)</f>
        <v>9150</v>
      </c>
      <c r="N3277" t="s">
        <v>25</v>
      </c>
    </row>
    <row r="3278" spans="1:14" x14ac:dyDescent="0.25">
      <c r="A3278" t="s">
        <v>41</v>
      </c>
      <c r="B3278" t="s">
        <v>15</v>
      </c>
      <c r="C3278" t="s">
        <v>37</v>
      </c>
      <c r="D3278" t="s">
        <v>33</v>
      </c>
      <c r="E3278" t="s">
        <v>15</v>
      </c>
      <c r="F3278" t="s">
        <v>17</v>
      </c>
      <c r="G3278" s="1" t="str">
        <f t="shared" ref="G3278:M3280" si="698">"X"</f>
        <v>X</v>
      </c>
      <c r="H3278" s="1" t="str">
        <f t="shared" si="698"/>
        <v>X</v>
      </c>
      <c r="I3278" s="1" t="str">
        <f t="shared" si="698"/>
        <v>X</v>
      </c>
      <c r="J3278" s="1" t="str">
        <f t="shared" si="698"/>
        <v>X</v>
      </c>
      <c r="K3278" s="1" t="str">
        <f t="shared" si="698"/>
        <v>X</v>
      </c>
      <c r="L3278" s="1" t="str">
        <f t="shared" si="698"/>
        <v>X</v>
      </c>
      <c r="M3278" s="1" t="str">
        <f t="shared" si="698"/>
        <v>X</v>
      </c>
      <c r="N3278" t="s">
        <v>27</v>
      </c>
    </row>
    <row r="3279" spans="1:14" x14ac:dyDescent="0.25">
      <c r="A3279" t="s">
        <v>41</v>
      </c>
      <c r="B3279" t="s">
        <v>15</v>
      </c>
      <c r="C3279" t="s">
        <v>37</v>
      </c>
      <c r="D3279" t="s">
        <v>33</v>
      </c>
      <c r="E3279" t="s">
        <v>15</v>
      </c>
      <c r="F3279" t="s">
        <v>18</v>
      </c>
      <c r="G3279" s="1" t="str">
        <f t="shared" si="698"/>
        <v>X</v>
      </c>
      <c r="H3279" s="1" t="str">
        <f t="shared" si="698"/>
        <v>X</v>
      </c>
      <c r="I3279" s="1" t="str">
        <f t="shared" si="698"/>
        <v>X</v>
      </c>
      <c r="J3279" s="1" t="str">
        <f t="shared" si="698"/>
        <v>X</v>
      </c>
      <c r="K3279" s="1" t="str">
        <f t="shared" si="698"/>
        <v>X</v>
      </c>
      <c r="L3279" s="1" t="str">
        <f t="shared" si="698"/>
        <v>X</v>
      </c>
      <c r="M3279" s="1" t="str">
        <f t="shared" si="698"/>
        <v>X</v>
      </c>
      <c r="N3279" t="s">
        <v>27</v>
      </c>
    </row>
    <row r="3280" spans="1:14" x14ac:dyDescent="0.25">
      <c r="A3280" t="s">
        <v>41</v>
      </c>
      <c r="B3280" t="s">
        <v>15</v>
      </c>
      <c r="C3280" t="s">
        <v>37</v>
      </c>
      <c r="D3280" t="s">
        <v>33</v>
      </c>
      <c r="E3280" t="s">
        <v>15</v>
      </c>
      <c r="F3280" t="s">
        <v>19</v>
      </c>
      <c r="G3280" s="1" t="str">
        <f t="shared" si="698"/>
        <v>X</v>
      </c>
      <c r="H3280" s="1" t="str">
        <f t="shared" si="698"/>
        <v>X</v>
      </c>
      <c r="I3280" s="1" t="str">
        <f t="shared" si="698"/>
        <v>X</v>
      </c>
      <c r="J3280" s="1" t="str">
        <f t="shared" si="698"/>
        <v>X</v>
      </c>
      <c r="K3280" s="1" t="str">
        <f t="shared" si="698"/>
        <v>X</v>
      </c>
      <c r="L3280" s="1" t="str">
        <f t="shared" si="698"/>
        <v>X</v>
      </c>
      <c r="M3280" s="1" t="str">
        <f t="shared" si="698"/>
        <v>X</v>
      </c>
      <c r="N3280" t="s">
        <v>27</v>
      </c>
    </row>
    <row r="3281" spans="1:14" x14ac:dyDescent="0.25">
      <c r="A3281" t="s">
        <v>41</v>
      </c>
      <c r="B3281" t="s">
        <v>15</v>
      </c>
      <c r="C3281" t="s">
        <v>37</v>
      </c>
      <c r="D3281" t="s">
        <v>33</v>
      </c>
      <c r="E3281" t="s">
        <v>15</v>
      </c>
      <c r="F3281" t="s">
        <v>20</v>
      </c>
      <c r="G3281" s="2">
        <f>VALUE(263.8556873937)</f>
        <v>263.85568739370001</v>
      </c>
      <c r="H3281" s="3">
        <f>VALUE(226.6408080749)</f>
        <v>226.64080807490001</v>
      </c>
      <c r="I3281" s="1">
        <f>VALUE(3161)</f>
        <v>3161</v>
      </c>
      <c r="J3281" s="1">
        <f>VALUE(3261)</f>
        <v>3261</v>
      </c>
      <c r="K3281" s="6">
        <f>VALUE(3490)</f>
        <v>3490</v>
      </c>
      <c r="L3281" s="7">
        <f>VALUE(4512)</f>
        <v>4512</v>
      </c>
      <c r="M3281" s="8">
        <f>VALUE(5427)</f>
        <v>5427</v>
      </c>
      <c r="N3281" t="s">
        <v>25</v>
      </c>
    </row>
    <row r="3282" spans="1:14" x14ac:dyDescent="0.25">
      <c r="A3282" t="s">
        <v>41</v>
      </c>
      <c r="B3282" t="s">
        <v>15</v>
      </c>
      <c r="C3282" t="s">
        <v>37</v>
      </c>
      <c r="D3282" t="s">
        <v>33</v>
      </c>
      <c r="E3282" t="s">
        <v>21</v>
      </c>
      <c r="F3282" t="s">
        <v>15</v>
      </c>
      <c r="G3282" s="2">
        <f>VALUE(287.3308595143)</f>
        <v>287.33085951430002</v>
      </c>
      <c r="H3282" s="3">
        <f>VALUE(174.9557398412)</f>
        <v>174.9557398412</v>
      </c>
      <c r="I3282" s="4">
        <f>VALUE(4045)</f>
        <v>4045</v>
      </c>
      <c r="J3282" s="1">
        <f>VALUE(5952)</f>
        <v>5952</v>
      </c>
      <c r="K3282" s="6">
        <f>VALUE(7500)</f>
        <v>7500</v>
      </c>
      <c r="L3282" s="7">
        <f>VALUE(9024)</f>
        <v>9024</v>
      </c>
      <c r="M3282" s="1">
        <f>VALUE(12256)</f>
        <v>12256</v>
      </c>
      <c r="N3282" t="s">
        <v>25</v>
      </c>
    </row>
    <row r="3283" spans="1:14" x14ac:dyDescent="0.25">
      <c r="A3283" t="s">
        <v>41</v>
      </c>
      <c r="B3283" t="s">
        <v>15</v>
      </c>
      <c r="C3283" t="s">
        <v>37</v>
      </c>
      <c r="D3283" t="s">
        <v>33</v>
      </c>
      <c r="E3283" t="s">
        <v>21</v>
      </c>
      <c r="F3283" t="s">
        <v>17</v>
      </c>
      <c r="G3283" s="1" t="str">
        <f t="shared" ref="G3283:M3291" si="699">"X"</f>
        <v>X</v>
      </c>
      <c r="H3283" s="1" t="str">
        <f t="shared" si="699"/>
        <v>X</v>
      </c>
      <c r="I3283" s="1" t="str">
        <f t="shared" si="699"/>
        <v>X</v>
      </c>
      <c r="J3283" s="1" t="str">
        <f t="shared" si="699"/>
        <v>X</v>
      </c>
      <c r="K3283" s="1" t="str">
        <f t="shared" si="699"/>
        <v>X</v>
      </c>
      <c r="L3283" s="1" t="str">
        <f t="shared" si="699"/>
        <v>X</v>
      </c>
      <c r="M3283" s="1" t="str">
        <f t="shared" si="699"/>
        <v>X</v>
      </c>
      <c r="N3283" t="s">
        <v>27</v>
      </c>
    </row>
    <row r="3284" spans="1:14" x14ac:dyDescent="0.25">
      <c r="A3284" t="s">
        <v>41</v>
      </c>
      <c r="B3284" t="s">
        <v>15</v>
      </c>
      <c r="C3284" t="s">
        <v>37</v>
      </c>
      <c r="D3284" t="s">
        <v>33</v>
      </c>
      <c r="E3284" t="s">
        <v>21</v>
      </c>
      <c r="F3284" t="s">
        <v>18</v>
      </c>
      <c r="G3284" s="1" t="str">
        <f t="shared" si="699"/>
        <v>X</v>
      </c>
      <c r="H3284" s="1" t="str">
        <f t="shared" si="699"/>
        <v>X</v>
      </c>
      <c r="I3284" s="1" t="str">
        <f t="shared" si="699"/>
        <v>X</v>
      </c>
      <c r="J3284" s="1" t="str">
        <f t="shared" si="699"/>
        <v>X</v>
      </c>
      <c r="K3284" s="1" t="str">
        <f t="shared" si="699"/>
        <v>X</v>
      </c>
      <c r="L3284" s="1" t="str">
        <f t="shared" si="699"/>
        <v>X</v>
      </c>
      <c r="M3284" s="1" t="str">
        <f t="shared" si="699"/>
        <v>X</v>
      </c>
      <c r="N3284" t="s">
        <v>27</v>
      </c>
    </row>
    <row r="3285" spans="1:14" x14ac:dyDescent="0.25">
      <c r="A3285" t="s">
        <v>41</v>
      </c>
      <c r="B3285" t="s">
        <v>15</v>
      </c>
      <c r="C3285" t="s">
        <v>37</v>
      </c>
      <c r="D3285" t="s">
        <v>33</v>
      </c>
      <c r="E3285" t="s">
        <v>21</v>
      </c>
      <c r="F3285" t="s">
        <v>19</v>
      </c>
      <c r="G3285" s="1" t="str">
        <f t="shared" si="699"/>
        <v>X</v>
      </c>
      <c r="H3285" s="1" t="str">
        <f t="shared" si="699"/>
        <v>X</v>
      </c>
      <c r="I3285" s="1" t="str">
        <f t="shared" si="699"/>
        <v>X</v>
      </c>
      <c r="J3285" s="1" t="str">
        <f t="shared" si="699"/>
        <v>X</v>
      </c>
      <c r="K3285" s="1" t="str">
        <f t="shared" si="699"/>
        <v>X</v>
      </c>
      <c r="L3285" s="1" t="str">
        <f t="shared" si="699"/>
        <v>X</v>
      </c>
      <c r="M3285" s="1" t="str">
        <f t="shared" si="699"/>
        <v>X</v>
      </c>
      <c r="N3285" t="s">
        <v>27</v>
      </c>
    </row>
    <row r="3286" spans="1:14" x14ac:dyDescent="0.25">
      <c r="A3286" t="s">
        <v>41</v>
      </c>
      <c r="B3286" t="s">
        <v>15</v>
      </c>
      <c r="C3286" t="s">
        <v>37</v>
      </c>
      <c r="D3286" t="s">
        <v>33</v>
      </c>
      <c r="E3286" t="s">
        <v>21</v>
      </c>
      <c r="F3286" t="s">
        <v>20</v>
      </c>
      <c r="G3286" s="1" t="str">
        <f t="shared" si="699"/>
        <v>X</v>
      </c>
      <c r="H3286" s="1" t="str">
        <f t="shared" si="699"/>
        <v>X</v>
      </c>
      <c r="I3286" s="1" t="str">
        <f t="shared" si="699"/>
        <v>X</v>
      </c>
      <c r="J3286" s="1" t="str">
        <f t="shared" si="699"/>
        <v>X</v>
      </c>
      <c r="K3286" s="1" t="str">
        <f t="shared" si="699"/>
        <v>X</v>
      </c>
      <c r="L3286" s="1" t="str">
        <f t="shared" si="699"/>
        <v>X</v>
      </c>
      <c r="M3286" s="1" t="str">
        <f t="shared" si="699"/>
        <v>X</v>
      </c>
      <c r="N3286" t="s">
        <v>27</v>
      </c>
    </row>
    <row r="3287" spans="1:14" x14ac:dyDescent="0.25">
      <c r="A3287" t="s">
        <v>41</v>
      </c>
      <c r="B3287" t="s">
        <v>15</v>
      </c>
      <c r="C3287" t="s">
        <v>37</v>
      </c>
      <c r="D3287" t="s">
        <v>33</v>
      </c>
      <c r="E3287" t="s">
        <v>22</v>
      </c>
      <c r="F3287" t="s">
        <v>15</v>
      </c>
      <c r="G3287" s="1" t="str">
        <f t="shared" si="699"/>
        <v>X</v>
      </c>
      <c r="H3287" s="1" t="str">
        <f t="shared" si="699"/>
        <v>X</v>
      </c>
      <c r="I3287" s="1" t="str">
        <f t="shared" si="699"/>
        <v>X</v>
      </c>
      <c r="J3287" s="1" t="str">
        <f t="shared" si="699"/>
        <v>X</v>
      </c>
      <c r="K3287" s="1" t="str">
        <f t="shared" si="699"/>
        <v>X</v>
      </c>
      <c r="L3287" s="1" t="str">
        <f t="shared" si="699"/>
        <v>X</v>
      </c>
      <c r="M3287" s="1" t="str">
        <f t="shared" si="699"/>
        <v>X</v>
      </c>
      <c r="N3287" t="s">
        <v>27</v>
      </c>
    </row>
    <row r="3288" spans="1:14" x14ac:dyDescent="0.25">
      <c r="A3288" t="s">
        <v>41</v>
      </c>
      <c r="B3288" t="s">
        <v>15</v>
      </c>
      <c r="C3288" t="s">
        <v>37</v>
      </c>
      <c r="D3288" t="s">
        <v>33</v>
      </c>
      <c r="E3288" t="s">
        <v>22</v>
      </c>
      <c r="F3288" t="s">
        <v>17</v>
      </c>
      <c r="G3288" s="1" t="str">
        <f t="shared" si="699"/>
        <v>X</v>
      </c>
      <c r="H3288" s="1" t="str">
        <f t="shared" si="699"/>
        <v>X</v>
      </c>
      <c r="I3288" s="1" t="str">
        <f t="shared" si="699"/>
        <v>X</v>
      </c>
      <c r="J3288" s="1" t="str">
        <f t="shared" si="699"/>
        <v>X</v>
      </c>
      <c r="K3288" s="1" t="str">
        <f t="shared" si="699"/>
        <v>X</v>
      </c>
      <c r="L3288" s="1" t="str">
        <f t="shared" si="699"/>
        <v>X</v>
      </c>
      <c r="M3288" s="1" t="str">
        <f t="shared" si="699"/>
        <v>X</v>
      </c>
      <c r="N3288" t="s">
        <v>27</v>
      </c>
    </row>
    <row r="3289" spans="1:14" x14ac:dyDescent="0.25">
      <c r="A3289" t="s">
        <v>41</v>
      </c>
      <c r="B3289" t="s">
        <v>15</v>
      </c>
      <c r="C3289" t="s">
        <v>37</v>
      </c>
      <c r="D3289" t="s">
        <v>33</v>
      </c>
      <c r="E3289" t="s">
        <v>22</v>
      </c>
      <c r="F3289" t="s">
        <v>18</v>
      </c>
      <c r="G3289" s="1" t="str">
        <f t="shared" si="699"/>
        <v>X</v>
      </c>
      <c r="H3289" s="1" t="str">
        <f t="shared" si="699"/>
        <v>X</v>
      </c>
      <c r="I3289" s="1" t="str">
        <f t="shared" si="699"/>
        <v>X</v>
      </c>
      <c r="J3289" s="1" t="str">
        <f t="shared" si="699"/>
        <v>X</v>
      </c>
      <c r="K3289" s="1" t="str">
        <f t="shared" si="699"/>
        <v>X</v>
      </c>
      <c r="L3289" s="1" t="str">
        <f t="shared" si="699"/>
        <v>X</v>
      </c>
      <c r="M3289" s="1" t="str">
        <f t="shared" si="699"/>
        <v>X</v>
      </c>
      <c r="N3289" t="s">
        <v>27</v>
      </c>
    </row>
    <row r="3290" spans="1:14" x14ac:dyDescent="0.25">
      <c r="A3290" t="s">
        <v>41</v>
      </c>
      <c r="B3290" t="s">
        <v>15</v>
      </c>
      <c r="C3290" t="s">
        <v>37</v>
      </c>
      <c r="D3290" t="s">
        <v>33</v>
      </c>
      <c r="E3290" t="s">
        <v>22</v>
      </c>
      <c r="F3290" t="s">
        <v>19</v>
      </c>
      <c r="G3290" s="1" t="str">
        <f t="shared" si="699"/>
        <v>X</v>
      </c>
      <c r="H3290" s="1" t="str">
        <f t="shared" si="699"/>
        <v>X</v>
      </c>
      <c r="I3290" s="1" t="str">
        <f t="shared" si="699"/>
        <v>X</v>
      </c>
      <c r="J3290" s="1" t="str">
        <f t="shared" si="699"/>
        <v>X</v>
      </c>
      <c r="K3290" s="1" t="str">
        <f t="shared" si="699"/>
        <v>X</v>
      </c>
      <c r="L3290" s="1" t="str">
        <f t="shared" si="699"/>
        <v>X</v>
      </c>
      <c r="M3290" s="1" t="str">
        <f t="shared" si="699"/>
        <v>X</v>
      </c>
      <c r="N3290" t="s">
        <v>27</v>
      </c>
    </row>
    <row r="3291" spans="1:14" x14ac:dyDescent="0.25">
      <c r="A3291" t="s">
        <v>41</v>
      </c>
      <c r="B3291" t="s">
        <v>15</v>
      </c>
      <c r="C3291" t="s">
        <v>37</v>
      </c>
      <c r="D3291" t="s">
        <v>33</v>
      </c>
      <c r="E3291" t="s">
        <v>22</v>
      </c>
      <c r="F3291" t="s">
        <v>20</v>
      </c>
      <c r="G3291" s="1" t="str">
        <f t="shared" si="699"/>
        <v>X</v>
      </c>
      <c r="H3291" s="1" t="str">
        <f t="shared" si="699"/>
        <v>X</v>
      </c>
      <c r="I3291" s="1" t="str">
        <f t="shared" si="699"/>
        <v>X</v>
      </c>
      <c r="J3291" s="1" t="str">
        <f t="shared" si="699"/>
        <v>X</v>
      </c>
      <c r="K3291" s="1" t="str">
        <f t="shared" si="699"/>
        <v>X</v>
      </c>
      <c r="L3291" s="1" t="str">
        <f t="shared" si="699"/>
        <v>X</v>
      </c>
      <c r="M3291" s="1" t="str">
        <f t="shared" si="699"/>
        <v>X</v>
      </c>
      <c r="N3291" t="s">
        <v>27</v>
      </c>
    </row>
    <row r="3292" spans="1:14" x14ac:dyDescent="0.25">
      <c r="A3292" t="s">
        <v>41</v>
      </c>
      <c r="B3292" t="s">
        <v>15</v>
      </c>
      <c r="C3292" t="s">
        <v>37</v>
      </c>
      <c r="D3292" t="s">
        <v>33</v>
      </c>
      <c r="E3292" t="s">
        <v>23</v>
      </c>
      <c r="F3292" t="s">
        <v>15</v>
      </c>
      <c r="G3292" s="2">
        <f>VALUE(258.7479905982)</f>
        <v>258.74799059819998</v>
      </c>
      <c r="H3292" s="3">
        <f>VALUE(225.8544674401)</f>
        <v>225.8544674401</v>
      </c>
      <c r="I3292" s="1">
        <f>VALUE(3126)</f>
        <v>3126</v>
      </c>
      <c r="J3292" s="1">
        <f>VALUE(3261)</f>
        <v>3261</v>
      </c>
      <c r="K3292" s="6">
        <f>VALUE(3736)</f>
        <v>3736</v>
      </c>
      <c r="L3292" s="7">
        <f>VALUE(4984)</f>
        <v>4984</v>
      </c>
      <c r="M3292" s="8">
        <f>VALUE(5487)</f>
        <v>5487</v>
      </c>
      <c r="N3292" t="s">
        <v>25</v>
      </c>
    </row>
    <row r="3293" spans="1:14" x14ac:dyDescent="0.25">
      <c r="A3293" t="s">
        <v>41</v>
      </c>
      <c r="B3293" t="s">
        <v>15</v>
      </c>
      <c r="C3293" t="s">
        <v>37</v>
      </c>
      <c r="D3293" t="s">
        <v>33</v>
      </c>
      <c r="E3293" t="s">
        <v>23</v>
      </c>
      <c r="F3293" t="s">
        <v>17</v>
      </c>
      <c r="G3293" s="1" t="str">
        <f t="shared" ref="G3293:M3297" si="700">"X"</f>
        <v>X</v>
      </c>
      <c r="H3293" s="1" t="str">
        <f t="shared" si="700"/>
        <v>X</v>
      </c>
      <c r="I3293" s="1" t="str">
        <f t="shared" si="700"/>
        <v>X</v>
      </c>
      <c r="J3293" s="1" t="str">
        <f t="shared" si="700"/>
        <v>X</v>
      </c>
      <c r="K3293" s="1" t="str">
        <f t="shared" si="700"/>
        <v>X</v>
      </c>
      <c r="L3293" s="1" t="str">
        <f t="shared" si="700"/>
        <v>X</v>
      </c>
      <c r="M3293" s="1" t="str">
        <f t="shared" si="700"/>
        <v>X</v>
      </c>
      <c r="N3293" t="s">
        <v>27</v>
      </c>
    </row>
    <row r="3294" spans="1:14" x14ac:dyDescent="0.25">
      <c r="A3294" t="s">
        <v>41</v>
      </c>
      <c r="B3294" t="s">
        <v>15</v>
      </c>
      <c r="C3294" t="s">
        <v>37</v>
      </c>
      <c r="D3294" t="s">
        <v>33</v>
      </c>
      <c r="E3294" t="s">
        <v>23</v>
      </c>
      <c r="F3294" t="s">
        <v>18</v>
      </c>
      <c r="G3294" s="1" t="str">
        <f t="shared" si="700"/>
        <v>X</v>
      </c>
      <c r="H3294" s="1" t="str">
        <f t="shared" si="700"/>
        <v>X</v>
      </c>
      <c r="I3294" s="1" t="str">
        <f t="shared" si="700"/>
        <v>X</v>
      </c>
      <c r="J3294" s="1" t="str">
        <f t="shared" si="700"/>
        <v>X</v>
      </c>
      <c r="K3294" s="1" t="str">
        <f t="shared" si="700"/>
        <v>X</v>
      </c>
      <c r="L3294" s="1" t="str">
        <f t="shared" si="700"/>
        <v>X</v>
      </c>
      <c r="M3294" s="1" t="str">
        <f t="shared" si="700"/>
        <v>X</v>
      </c>
      <c r="N3294" t="s">
        <v>27</v>
      </c>
    </row>
    <row r="3295" spans="1:14" x14ac:dyDescent="0.25">
      <c r="A3295" t="s">
        <v>41</v>
      </c>
      <c r="B3295" t="s">
        <v>15</v>
      </c>
      <c r="C3295" t="s">
        <v>37</v>
      </c>
      <c r="D3295" t="s">
        <v>33</v>
      </c>
      <c r="E3295" t="s">
        <v>23</v>
      </c>
      <c r="F3295" t="s">
        <v>19</v>
      </c>
      <c r="G3295" s="1" t="str">
        <f t="shared" si="700"/>
        <v>X</v>
      </c>
      <c r="H3295" s="1" t="str">
        <f t="shared" si="700"/>
        <v>X</v>
      </c>
      <c r="I3295" s="1" t="str">
        <f t="shared" si="700"/>
        <v>X</v>
      </c>
      <c r="J3295" s="1" t="str">
        <f t="shared" si="700"/>
        <v>X</v>
      </c>
      <c r="K3295" s="1" t="str">
        <f t="shared" si="700"/>
        <v>X</v>
      </c>
      <c r="L3295" s="1" t="str">
        <f t="shared" si="700"/>
        <v>X</v>
      </c>
      <c r="M3295" s="1" t="str">
        <f t="shared" si="700"/>
        <v>X</v>
      </c>
      <c r="N3295" t="s">
        <v>27</v>
      </c>
    </row>
    <row r="3296" spans="1:14" x14ac:dyDescent="0.25">
      <c r="A3296" t="s">
        <v>41</v>
      </c>
      <c r="B3296" t="s">
        <v>15</v>
      </c>
      <c r="C3296" t="s">
        <v>37</v>
      </c>
      <c r="D3296" t="s">
        <v>33</v>
      </c>
      <c r="E3296" t="s">
        <v>23</v>
      </c>
      <c r="F3296" t="s">
        <v>20</v>
      </c>
      <c r="G3296" s="1" t="str">
        <f t="shared" si="700"/>
        <v>X</v>
      </c>
      <c r="H3296" s="1" t="str">
        <f t="shared" si="700"/>
        <v>X</v>
      </c>
      <c r="I3296" s="1" t="str">
        <f t="shared" si="700"/>
        <v>X</v>
      </c>
      <c r="J3296" s="1" t="str">
        <f t="shared" si="700"/>
        <v>X</v>
      </c>
      <c r="K3296" s="1" t="str">
        <f t="shared" si="700"/>
        <v>X</v>
      </c>
      <c r="L3296" s="1" t="str">
        <f t="shared" si="700"/>
        <v>X</v>
      </c>
      <c r="M3296" s="1" t="str">
        <f t="shared" si="700"/>
        <v>X</v>
      </c>
      <c r="N3296" t="s">
        <v>27</v>
      </c>
    </row>
    <row r="3297" spans="1:14" x14ac:dyDescent="0.25">
      <c r="A3297" t="s">
        <v>41</v>
      </c>
      <c r="B3297" t="s">
        <v>15</v>
      </c>
      <c r="C3297" t="s">
        <v>37</v>
      </c>
      <c r="D3297" t="s">
        <v>33</v>
      </c>
      <c r="E3297" t="s">
        <v>26</v>
      </c>
      <c r="F3297" t="s">
        <v>15</v>
      </c>
      <c r="G3297" s="1" t="str">
        <f t="shared" si="700"/>
        <v>X</v>
      </c>
      <c r="H3297" s="1" t="str">
        <f t="shared" si="700"/>
        <v>X</v>
      </c>
      <c r="I3297" s="1" t="str">
        <f t="shared" si="700"/>
        <v>X</v>
      </c>
      <c r="J3297" s="1" t="str">
        <f t="shared" si="700"/>
        <v>X</v>
      </c>
      <c r="K3297" s="1" t="str">
        <f t="shared" si="700"/>
        <v>X</v>
      </c>
      <c r="L3297" s="1" t="str">
        <f t="shared" si="700"/>
        <v>X</v>
      </c>
      <c r="M3297" s="1" t="str">
        <f t="shared" si="700"/>
        <v>X</v>
      </c>
      <c r="N3297" t="s">
        <v>27</v>
      </c>
    </row>
    <row r="3298" spans="1:14" x14ac:dyDescent="0.25">
      <c r="A3298" t="s">
        <v>41</v>
      </c>
      <c r="B3298" t="s">
        <v>15</v>
      </c>
      <c r="C3298" t="s">
        <v>37</v>
      </c>
      <c r="D3298" t="s">
        <v>33</v>
      </c>
      <c r="E3298" t="s">
        <v>26</v>
      </c>
      <c r="F3298" t="s">
        <v>17</v>
      </c>
      <c r="G3298" s="1" t="str">
        <f t="shared" ref="G3298:M3301" si="701">"..."</f>
        <v>...</v>
      </c>
      <c r="H3298" s="1" t="str">
        <f t="shared" si="701"/>
        <v>...</v>
      </c>
      <c r="I3298" s="1" t="str">
        <f t="shared" si="701"/>
        <v>...</v>
      </c>
      <c r="J3298" s="1" t="str">
        <f t="shared" si="701"/>
        <v>...</v>
      </c>
      <c r="K3298" s="1" t="str">
        <f t="shared" si="701"/>
        <v>...</v>
      </c>
      <c r="L3298" s="1" t="str">
        <f t="shared" si="701"/>
        <v>...</v>
      </c>
      <c r="M3298" s="1" t="str">
        <f t="shared" si="701"/>
        <v>...</v>
      </c>
      <c r="N3298" t="s">
        <v>30</v>
      </c>
    </row>
    <row r="3299" spans="1:14" x14ac:dyDescent="0.25">
      <c r="A3299" t="s">
        <v>41</v>
      </c>
      <c r="B3299" t="s">
        <v>15</v>
      </c>
      <c r="C3299" t="s">
        <v>37</v>
      </c>
      <c r="D3299" t="s">
        <v>33</v>
      </c>
      <c r="E3299" t="s">
        <v>26</v>
      </c>
      <c r="F3299" t="s">
        <v>18</v>
      </c>
      <c r="G3299" s="1" t="str">
        <f t="shared" si="701"/>
        <v>...</v>
      </c>
      <c r="H3299" s="1" t="str">
        <f t="shared" si="701"/>
        <v>...</v>
      </c>
      <c r="I3299" s="1" t="str">
        <f t="shared" si="701"/>
        <v>...</v>
      </c>
      <c r="J3299" s="1" t="str">
        <f t="shared" si="701"/>
        <v>...</v>
      </c>
      <c r="K3299" s="1" t="str">
        <f t="shared" si="701"/>
        <v>...</v>
      </c>
      <c r="L3299" s="1" t="str">
        <f t="shared" si="701"/>
        <v>...</v>
      </c>
      <c r="M3299" s="1" t="str">
        <f t="shared" si="701"/>
        <v>...</v>
      </c>
      <c r="N3299" t="s">
        <v>30</v>
      </c>
    </row>
    <row r="3300" spans="1:14" x14ac:dyDescent="0.25">
      <c r="A3300" t="s">
        <v>41</v>
      </c>
      <c r="B3300" t="s">
        <v>15</v>
      </c>
      <c r="C3300" t="s">
        <v>37</v>
      </c>
      <c r="D3300" t="s">
        <v>33</v>
      </c>
      <c r="E3300" t="s">
        <v>26</v>
      </c>
      <c r="F3300" t="s">
        <v>19</v>
      </c>
      <c r="G3300" s="1" t="str">
        <f t="shared" si="701"/>
        <v>...</v>
      </c>
      <c r="H3300" s="1" t="str">
        <f t="shared" si="701"/>
        <v>...</v>
      </c>
      <c r="I3300" s="1" t="str">
        <f t="shared" si="701"/>
        <v>...</v>
      </c>
      <c r="J3300" s="1" t="str">
        <f t="shared" si="701"/>
        <v>...</v>
      </c>
      <c r="K3300" s="1" t="str">
        <f t="shared" si="701"/>
        <v>...</v>
      </c>
      <c r="L3300" s="1" t="str">
        <f t="shared" si="701"/>
        <v>...</v>
      </c>
      <c r="M3300" s="1" t="str">
        <f t="shared" si="701"/>
        <v>...</v>
      </c>
      <c r="N3300" t="s">
        <v>30</v>
      </c>
    </row>
    <row r="3301" spans="1:14" x14ac:dyDescent="0.25">
      <c r="A3301" t="s">
        <v>41</v>
      </c>
      <c r="B3301" t="s">
        <v>15</v>
      </c>
      <c r="C3301" t="s">
        <v>37</v>
      </c>
      <c r="D3301" t="s">
        <v>33</v>
      </c>
      <c r="E3301" t="s">
        <v>26</v>
      </c>
      <c r="F3301" t="s">
        <v>20</v>
      </c>
      <c r="G3301" s="1" t="str">
        <f t="shared" si="701"/>
        <v>...</v>
      </c>
      <c r="H3301" s="1" t="str">
        <f t="shared" si="701"/>
        <v>...</v>
      </c>
      <c r="I3301" s="1" t="str">
        <f t="shared" si="701"/>
        <v>...</v>
      </c>
      <c r="J3301" s="1" t="str">
        <f t="shared" si="701"/>
        <v>...</v>
      </c>
      <c r="K3301" s="1" t="str">
        <f t="shared" si="701"/>
        <v>...</v>
      </c>
      <c r="L3301" s="1" t="str">
        <f t="shared" si="701"/>
        <v>...</v>
      </c>
      <c r="M3301" s="1" t="str">
        <f t="shared" si="701"/>
        <v>...</v>
      </c>
      <c r="N3301" t="s">
        <v>30</v>
      </c>
    </row>
    <row r="3302" spans="1:14" x14ac:dyDescent="0.25">
      <c r="A3302" t="s">
        <v>41</v>
      </c>
      <c r="B3302" t="s">
        <v>15</v>
      </c>
      <c r="C3302" t="s">
        <v>37</v>
      </c>
      <c r="D3302" t="s">
        <v>34</v>
      </c>
      <c r="E3302" t="s">
        <v>15</v>
      </c>
      <c r="F3302" t="s">
        <v>15</v>
      </c>
      <c r="G3302" s="1">
        <f>VALUE(711.3071087478)</f>
        <v>711.30710874780004</v>
      </c>
      <c r="H3302" s="1">
        <f>VALUE(648.6301731479)</f>
        <v>648.6301731479</v>
      </c>
      <c r="I3302" s="1">
        <f>VALUE(3508)</f>
        <v>3508</v>
      </c>
      <c r="J3302" s="5">
        <f>VALUE(4601)</f>
        <v>4601</v>
      </c>
      <c r="K3302" s="1">
        <f>VALUE(6135)</f>
        <v>6135</v>
      </c>
      <c r="L3302" s="1">
        <f>VALUE(8834)</f>
        <v>8834</v>
      </c>
      <c r="M3302" s="1">
        <f>VALUE(12381)</f>
        <v>12381</v>
      </c>
      <c r="N3302" t="s">
        <v>25</v>
      </c>
    </row>
    <row r="3303" spans="1:14" x14ac:dyDescent="0.25">
      <c r="A3303" t="s">
        <v>41</v>
      </c>
      <c r="B3303" t="s">
        <v>15</v>
      </c>
      <c r="C3303" t="s">
        <v>37</v>
      </c>
      <c r="D3303" t="s">
        <v>34</v>
      </c>
      <c r="E3303" t="s">
        <v>15</v>
      </c>
      <c r="F3303" t="s">
        <v>17</v>
      </c>
      <c r="G3303" s="2">
        <f>VALUE(218.560167369)</f>
        <v>218.560167369</v>
      </c>
      <c r="H3303" s="3">
        <f>VALUE(225.4181367528)</f>
        <v>225.4181367528</v>
      </c>
      <c r="I3303" s="1">
        <f>VALUE(3868)</f>
        <v>3868</v>
      </c>
      <c r="J3303" s="1">
        <f>VALUE(7341)</f>
        <v>7341</v>
      </c>
      <c r="K3303" s="1">
        <f>VALUE(9992)</f>
        <v>9992</v>
      </c>
      <c r="L3303" s="1">
        <f>VALUE(13095)</f>
        <v>13095</v>
      </c>
      <c r="M3303" s="1">
        <f>VALUE(16201)</f>
        <v>16201</v>
      </c>
      <c r="N3303" t="s">
        <v>25</v>
      </c>
    </row>
    <row r="3304" spans="1:14" x14ac:dyDescent="0.25">
      <c r="A3304" t="s">
        <v>41</v>
      </c>
      <c r="B3304" t="s">
        <v>15</v>
      </c>
      <c r="C3304" t="s">
        <v>37</v>
      </c>
      <c r="D3304" t="s">
        <v>34</v>
      </c>
      <c r="E3304" t="s">
        <v>15</v>
      </c>
      <c r="F3304" t="s">
        <v>18</v>
      </c>
      <c r="G3304" s="1" t="str">
        <f t="shared" ref="G3304:M3305" si="702">"X"</f>
        <v>X</v>
      </c>
      <c r="H3304" s="1" t="str">
        <f t="shared" si="702"/>
        <v>X</v>
      </c>
      <c r="I3304" s="1" t="str">
        <f t="shared" si="702"/>
        <v>X</v>
      </c>
      <c r="J3304" s="1" t="str">
        <f t="shared" si="702"/>
        <v>X</v>
      </c>
      <c r="K3304" s="1" t="str">
        <f t="shared" si="702"/>
        <v>X</v>
      </c>
      <c r="L3304" s="1" t="str">
        <f t="shared" si="702"/>
        <v>X</v>
      </c>
      <c r="M3304" s="1" t="str">
        <f t="shared" si="702"/>
        <v>X</v>
      </c>
      <c r="N3304" t="s">
        <v>27</v>
      </c>
    </row>
    <row r="3305" spans="1:14" x14ac:dyDescent="0.25">
      <c r="A3305" t="s">
        <v>41</v>
      </c>
      <c r="B3305" t="s">
        <v>15</v>
      </c>
      <c r="C3305" t="s">
        <v>37</v>
      </c>
      <c r="D3305" t="s">
        <v>34</v>
      </c>
      <c r="E3305" t="s">
        <v>15</v>
      </c>
      <c r="F3305" t="s">
        <v>19</v>
      </c>
      <c r="G3305" s="1" t="str">
        <f t="shared" si="702"/>
        <v>X</v>
      </c>
      <c r="H3305" s="1" t="str">
        <f t="shared" si="702"/>
        <v>X</v>
      </c>
      <c r="I3305" s="1" t="str">
        <f t="shared" si="702"/>
        <v>X</v>
      </c>
      <c r="J3305" s="1" t="str">
        <f t="shared" si="702"/>
        <v>X</v>
      </c>
      <c r="K3305" s="1" t="str">
        <f t="shared" si="702"/>
        <v>X</v>
      </c>
      <c r="L3305" s="1" t="str">
        <f t="shared" si="702"/>
        <v>X</v>
      </c>
      <c r="M3305" s="1" t="str">
        <f t="shared" si="702"/>
        <v>X</v>
      </c>
      <c r="N3305" t="s">
        <v>27</v>
      </c>
    </row>
    <row r="3306" spans="1:14" x14ac:dyDescent="0.25">
      <c r="A3306" t="s">
        <v>41</v>
      </c>
      <c r="B3306" t="s">
        <v>15</v>
      </c>
      <c r="C3306" t="s">
        <v>37</v>
      </c>
      <c r="D3306" t="s">
        <v>34</v>
      </c>
      <c r="E3306" t="s">
        <v>15</v>
      </c>
      <c r="F3306" t="s">
        <v>20</v>
      </c>
      <c r="G3306" s="1">
        <f>VALUE(435.8724244002)</f>
        <v>435.87242440019998</v>
      </c>
      <c r="H3306" s="3">
        <f>VALUE(380.0885151368)</f>
        <v>380.08851513680003</v>
      </c>
      <c r="I3306" s="1">
        <f>VALUE(3467)</f>
        <v>3467</v>
      </c>
      <c r="J3306" s="1">
        <f>VALUE(4148)</f>
        <v>4148</v>
      </c>
      <c r="K3306" s="1">
        <f>VALUE(5349)</f>
        <v>5349</v>
      </c>
      <c r="L3306" s="1">
        <f>VALUE(6770)</f>
        <v>6770</v>
      </c>
      <c r="M3306" s="1">
        <f>VALUE(7897)</f>
        <v>7897</v>
      </c>
      <c r="N3306" t="s">
        <v>25</v>
      </c>
    </row>
    <row r="3307" spans="1:14" x14ac:dyDescent="0.25">
      <c r="A3307" t="s">
        <v>41</v>
      </c>
      <c r="B3307" t="s">
        <v>15</v>
      </c>
      <c r="C3307" t="s">
        <v>37</v>
      </c>
      <c r="D3307" t="s">
        <v>34</v>
      </c>
      <c r="E3307" t="s">
        <v>21</v>
      </c>
      <c r="F3307" t="s">
        <v>15</v>
      </c>
      <c r="G3307" s="2">
        <f>VALUE(196.3085282661)</f>
        <v>196.30852826610001</v>
      </c>
      <c r="H3307" s="3">
        <f>VALUE(191.3554248248)</f>
        <v>191.3554248248</v>
      </c>
      <c r="I3307" s="1">
        <f>VALUE(3868)</f>
        <v>3868</v>
      </c>
      <c r="J3307" s="1">
        <f>VALUE(6167)</f>
        <v>6167</v>
      </c>
      <c r="K3307" s="1">
        <f>VALUE(8842)</f>
        <v>8842</v>
      </c>
      <c r="L3307" s="1">
        <f>VALUE(11971)</f>
        <v>11971</v>
      </c>
      <c r="M3307" s="1">
        <f>VALUE(14559)</f>
        <v>14559</v>
      </c>
      <c r="N3307" t="s">
        <v>25</v>
      </c>
    </row>
    <row r="3308" spans="1:14" x14ac:dyDescent="0.25">
      <c r="A3308" t="s">
        <v>41</v>
      </c>
      <c r="B3308" t="s">
        <v>15</v>
      </c>
      <c r="C3308" t="s">
        <v>37</v>
      </c>
      <c r="D3308" t="s">
        <v>34</v>
      </c>
      <c r="E3308" t="s">
        <v>21</v>
      </c>
      <c r="F3308" t="s">
        <v>17</v>
      </c>
      <c r="G3308" s="2">
        <f>VALUE(126.4730294886)</f>
        <v>126.47302948860001</v>
      </c>
      <c r="H3308" s="3">
        <f>VALUE(130.6403034823)</f>
        <v>130.6403034823</v>
      </c>
      <c r="I3308" s="1">
        <f>VALUE(3823)</f>
        <v>3823</v>
      </c>
      <c r="J3308" s="1">
        <f>VALUE(6520)</f>
        <v>6520</v>
      </c>
      <c r="K3308" s="1">
        <f>VALUE(10555)</f>
        <v>10555</v>
      </c>
      <c r="L3308" s="1">
        <f>VALUE(13734)</f>
        <v>13734</v>
      </c>
      <c r="M3308" s="1">
        <f>VALUE(17220)</f>
        <v>17220</v>
      </c>
      <c r="N3308" t="s">
        <v>25</v>
      </c>
    </row>
    <row r="3309" spans="1:14" x14ac:dyDescent="0.25">
      <c r="A3309" t="s">
        <v>41</v>
      </c>
      <c r="B3309" t="s">
        <v>15</v>
      </c>
      <c r="C3309" t="s">
        <v>37</v>
      </c>
      <c r="D3309" t="s">
        <v>34</v>
      </c>
      <c r="E3309" t="s">
        <v>21</v>
      </c>
      <c r="F3309" t="s">
        <v>18</v>
      </c>
      <c r="G3309" s="1" t="str">
        <f t="shared" ref="G3309:M3311" si="703">"X"</f>
        <v>X</v>
      </c>
      <c r="H3309" s="1" t="str">
        <f t="shared" si="703"/>
        <v>X</v>
      </c>
      <c r="I3309" s="1" t="str">
        <f t="shared" si="703"/>
        <v>X</v>
      </c>
      <c r="J3309" s="1" t="str">
        <f t="shared" si="703"/>
        <v>X</v>
      </c>
      <c r="K3309" s="1" t="str">
        <f t="shared" si="703"/>
        <v>X</v>
      </c>
      <c r="L3309" s="1" t="str">
        <f t="shared" si="703"/>
        <v>X</v>
      </c>
      <c r="M3309" s="1" t="str">
        <f t="shared" si="703"/>
        <v>X</v>
      </c>
      <c r="N3309" t="s">
        <v>27</v>
      </c>
    </row>
    <row r="3310" spans="1:14" x14ac:dyDescent="0.25">
      <c r="A3310" t="s">
        <v>41</v>
      </c>
      <c r="B3310" t="s">
        <v>15</v>
      </c>
      <c r="C3310" t="s">
        <v>37</v>
      </c>
      <c r="D3310" t="s">
        <v>34</v>
      </c>
      <c r="E3310" t="s">
        <v>21</v>
      </c>
      <c r="F3310" t="s">
        <v>19</v>
      </c>
      <c r="G3310" s="1" t="str">
        <f t="shared" si="703"/>
        <v>X</v>
      </c>
      <c r="H3310" s="1" t="str">
        <f t="shared" si="703"/>
        <v>X</v>
      </c>
      <c r="I3310" s="1" t="str">
        <f t="shared" si="703"/>
        <v>X</v>
      </c>
      <c r="J3310" s="1" t="str">
        <f t="shared" si="703"/>
        <v>X</v>
      </c>
      <c r="K3310" s="1" t="str">
        <f t="shared" si="703"/>
        <v>X</v>
      </c>
      <c r="L3310" s="1" t="str">
        <f t="shared" si="703"/>
        <v>X</v>
      </c>
      <c r="M3310" s="1" t="str">
        <f t="shared" si="703"/>
        <v>X</v>
      </c>
      <c r="N3310" t="s">
        <v>27</v>
      </c>
    </row>
    <row r="3311" spans="1:14" x14ac:dyDescent="0.25">
      <c r="A3311" t="s">
        <v>41</v>
      </c>
      <c r="B3311" t="s">
        <v>15</v>
      </c>
      <c r="C3311" t="s">
        <v>37</v>
      </c>
      <c r="D3311" t="s">
        <v>34</v>
      </c>
      <c r="E3311" t="s">
        <v>21</v>
      </c>
      <c r="F3311" t="s">
        <v>20</v>
      </c>
      <c r="G3311" s="1" t="str">
        <f t="shared" si="703"/>
        <v>X</v>
      </c>
      <c r="H3311" s="1" t="str">
        <f t="shared" si="703"/>
        <v>X</v>
      </c>
      <c r="I3311" s="1" t="str">
        <f t="shared" si="703"/>
        <v>X</v>
      </c>
      <c r="J3311" s="1" t="str">
        <f t="shared" si="703"/>
        <v>X</v>
      </c>
      <c r="K3311" s="1" t="str">
        <f t="shared" si="703"/>
        <v>X</v>
      </c>
      <c r="L3311" s="1" t="str">
        <f t="shared" si="703"/>
        <v>X</v>
      </c>
      <c r="M3311" s="1" t="str">
        <f t="shared" si="703"/>
        <v>X</v>
      </c>
      <c r="N3311" t="s">
        <v>27</v>
      </c>
    </row>
    <row r="3312" spans="1:14" x14ac:dyDescent="0.25">
      <c r="A3312" t="s">
        <v>41</v>
      </c>
      <c r="B3312" t="s">
        <v>15</v>
      </c>
      <c r="C3312" t="s">
        <v>37</v>
      </c>
      <c r="D3312" t="s">
        <v>34</v>
      </c>
      <c r="E3312" t="s">
        <v>22</v>
      </c>
      <c r="F3312" t="s">
        <v>15</v>
      </c>
      <c r="G3312" s="2">
        <f>VALUE(317.4421511244)</f>
        <v>317.44215112440003</v>
      </c>
      <c r="H3312" s="3">
        <f>VALUE(285.8971107673)</f>
        <v>285.89711076729998</v>
      </c>
      <c r="I3312" s="1">
        <f>VALUE(4285)</f>
        <v>4285</v>
      </c>
      <c r="J3312" s="1">
        <f>VALUE(4929)</f>
        <v>4929</v>
      </c>
      <c r="K3312" s="1">
        <f>VALUE(6182)</f>
        <v>6182</v>
      </c>
      <c r="L3312" s="1">
        <f>VALUE(7936)</f>
        <v>7936</v>
      </c>
      <c r="M3312" s="1">
        <f>VALUE(10783)</f>
        <v>10783</v>
      </c>
      <c r="N3312" t="s">
        <v>25</v>
      </c>
    </row>
    <row r="3313" spans="1:14" x14ac:dyDescent="0.25">
      <c r="A3313" t="s">
        <v>41</v>
      </c>
      <c r="B3313" t="s">
        <v>15</v>
      </c>
      <c r="C3313" t="s">
        <v>37</v>
      </c>
      <c r="D3313" t="s">
        <v>34</v>
      </c>
      <c r="E3313" t="s">
        <v>22</v>
      </c>
      <c r="F3313" t="s">
        <v>17</v>
      </c>
      <c r="G3313" s="1" t="str">
        <f t="shared" ref="G3313:M3315" si="704">"X"</f>
        <v>X</v>
      </c>
      <c r="H3313" s="1" t="str">
        <f t="shared" si="704"/>
        <v>X</v>
      </c>
      <c r="I3313" s="1" t="str">
        <f t="shared" si="704"/>
        <v>X</v>
      </c>
      <c r="J3313" s="1" t="str">
        <f t="shared" si="704"/>
        <v>X</v>
      </c>
      <c r="K3313" s="1" t="str">
        <f t="shared" si="704"/>
        <v>X</v>
      </c>
      <c r="L3313" s="1" t="str">
        <f t="shared" si="704"/>
        <v>X</v>
      </c>
      <c r="M3313" s="1" t="str">
        <f t="shared" si="704"/>
        <v>X</v>
      </c>
      <c r="N3313" t="s">
        <v>27</v>
      </c>
    </row>
    <row r="3314" spans="1:14" x14ac:dyDescent="0.25">
      <c r="A3314" t="s">
        <v>41</v>
      </c>
      <c r="B3314" t="s">
        <v>15</v>
      </c>
      <c r="C3314" t="s">
        <v>37</v>
      </c>
      <c r="D3314" t="s">
        <v>34</v>
      </c>
      <c r="E3314" t="s">
        <v>22</v>
      </c>
      <c r="F3314" t="s">
        <v>18</v>
      </c>
      <c r="G3314" s="1" t="str">
        <f t="shared" si="704"/>
        <v>X</v>
      </c>
      <c r="H3314" s="1" t="str">
        <f t="shared" si="704"/>
        <v>X</v>
      </c>
      <c r="I3314" s="1" t="str">
        <f t="shared" si="704"/>
        <v>X</v>
      </c>
      <c r="J3314" s="1" t="str">
        <f t="shared" si="704"/>
        <v>X</v>
      </c>
      <c r="K3314" s="1" t="str">
        <f t="shared" si="704"/>
        <v>X</v>
      </c>
      <c r="L3314" s="1" t="str">
        <f t="shared" si="704"/>
        <v>X</v>
      </c>
      <c r="M3314" s="1" t="str">
        <f t="shared" si="704"/>
        <v>X</v>
      </c>
      <c r="N3314" t="s">
        <v>27</v>
      </c>
    </row>
    <row r="3315" spans="1:14" x14ac:dyDescent="0.25">
      <c r="A3315" t="s">
        <v>41</v>
      </c>
      <c r="B3315" t="s">
        <v>15</v>
      </c>
      <c r="C3315" t="s">
        <v>37</v>
      </c>
      <c r="D3315" t="s">
        <v>34</v>
      </c>
      <c r="E3315" t="s">
        <v>22</v>
      </c>
      <c r="F3315" t="s">
        <v>19</v>
      </c>
      <c r="G3315" s="1" t="str">
        <f t="shared" si="704"/>
        <v>X</v>
      </c>
      <c r="H3315" s="1" t="str">
        <f t="shared" si="704"/>
        <v>X</v>
      </c>
      <c r="I3315" s="1" t="str">
        <f t="shared" si="704"/>
        <v>X</v>
      </c>
      <c r="J3315" s="1" t="str">
        <f t="shared" si="704"/>
        <v>X</v>
      </c>
      <c r="K3315" s="1" t="str">
        <f t="shared" si="704"/>
        <v>X</v>
      </c>
      <c r="L3315" s="1" t="str">
        <f t="shared" si="704"/>
        <v>X</v>
      </c>
      <c r="M3315" s="1" t="str">
        <f t="shared" si="704"/>
        <v>X</v>
      </c>
      <c r="N3315" t="s">
        <v>27</v>
      </c>
    </row>
    <row r="3316" spans="1:14" x14ac:dyDescent="0.25">
      <c r="A3316" t="s">
        <v>41</v>
      </c>
      <c r="B3316" t="s">
        <v>15</v>
      </c>
      <c r="C3316" t="s">
        <v>37</v>
      </c>
      <c r="D3316" t="s">
        <v>34</v>
      </c>
      <c r="E3316" t="s">
        <v>22</v>
      </c>
      <c r="F3316" t="s">
        <v>20</v>
      </c>
      <c r="G3316" s="2">
        <f>VALUE(225.1508062421)</f>
        <v>225.1508062421</v>
      </c>
      <c r="H3316" s="3">
        <f>VALUE(194.1929260979)</f>
        <v>194.1929260979</v>
      </c>
      <c r="I3316" s="1">
        <f>VALUE(4134)</f>
        <v>4134</v>
      </c>
      <c r="J3316" s="1">
        <f>VALUE(4693)</f>
        <v>4693</v>
      </c>
      <c r="K3316" s="1">
        <f>VALUE(5556)</f>
        <v>5556</v>
      </c>
      <c r="L3316" s="1">
        <f>VALUE(6762)</f>
        <v>6762</v>
      </c>
      <c r="M3316" s="1">
        <f>VALUE(7560)</f>
        <v>7560</v>
      </c>
      <c r="N3316" t="s">
        <v>25</v>
      </c>
    </row>
    <row r="3317" spans="1:14" x14ac:dyDescent="0.25">
      <c r="A3317" t="s">
        <v>41</v>
      </c>
      <c r="B3317" t="s">
        <v>15</v>
      </c>
      <c r="C3317" t="s">
        <v>37</v>
      </c>
      <c r="D3317" t="s">
        <v>34</v>
      </c>
      <c r="E3317" t="s">
        <v>23</v>
      </c>
      <c r="F3317" t="s">
        <v>15</v>
      </c>
      <c r="G3317" s="2">
        <f>VALUE(196.0953979085)</f>
        <v>196.09539790849999</v>
      </c>
      <c r="H3317" s="3">
        <f>VALUE(169.8435545346)</f>
        <v>169.8435545346</v>
      </c>
      <c r="I3317" s="1">
        <f>VALUE(2828)</f>
        <v>2828</v>
      </c>
      <c r="J3317" s="1">
        <f>VALUE(3467)</f>
        <v>3467</v>
      </c>
      <c r="K3317" s="6">
        <f>VALUE(4697)</f>
        <v>4697</v>
      </c>
      <c r="L3317" s="1">
        <f>VALUE(5887)</f>
        <v>5887</v>
      </c>
      <c r="M3317" s="1">
        <f>VALUE(7144)</f>
        <v>7144</v>
      </c>
      <c r="N3317" t="s">
        <v>25</v>
      </c>
    </row>
    <row r="3318" spans="1:14" x14ac:dyDescent="0.25">
      <c r="A3318" t="s">
        <v>41</v>
      </c>
      <c r="B3318" t="s">
        <v>15</v>
      </c>
      <c r="C3318" t="s">
        <v>37</v>
      </c>
      <c r="D3318" t="s">
        <v>34</v>
      </c>
      <c r="E3318" t="s">
        <v>23</v>
      </c>
      <c r="F3318" t="s">
        <v>17</v>
      </c>
      <c r="G3318" s="1" t="str">
        <f t="shared" ref="G3318:M3320" si="705">"X"</f>
        <v>X</v>
      </c>
      <c r="H3318" s="1" t="str">
        <f t="shared" si="705"/>
        <v>X</v>
      </c>
      <c r="I3318" s="1" t="str">
        <f t="shared" si="705"/>
        <v>X</v>
      </c>
      <c r="J3318" s="1" t="str">
        <f t="shared" si="705"/>
        <v>X</v>
      </c>
      <c r="K3318" s="1" t="str">
        <f t="shared" si="705"/>
        <v>X</v>
      </c>
      <c r="L3318" s="1" t="str">
        <f t="shared" si="705"/>
        <v>X</v>
      </c>
      <c r="M3318" s="1" t="str">
        <f t="shared" si="705"/>
        <v>X</v>
      </c>
      <c r="N3318" t="s">
        <v>27</v>
      </c>
    </row>
    <row r="3319" spans="1:14" x14ac:dyDescent="0.25">
      <c r="A3319" t="s">
        <v>41</v>
      </c>
      <c r="B3319" t="s">
        <v>15</v>
      </c>
      <c r="C3319" t="s">
        <v>37</v>
      </c>
      <c r="D3319" t="s">
        <v>34</v>
      </c>
      <c r="E3319" t="s">
        <v>23</v>
      </c>
      <c r="F3319" t="s">
        <v>18</v>
      </c>
      <c r="G3319" s="1" t="str">
        <f t="shared" si="705"/>
        <v>X</v>
      </c>
      <c r="H3319" s="1" t="str">
        <f t="shared" si="705"/>
        <v>X</v>
      </c>
      <c r="I3319" s="1" t="str">
        <f t="shared" si="705"/>
        <v>X</v>
      </c>
      <c r="J3319" s="1" t="str">
        <f t="shared" si="705"/>
        <v>X</v>
      </c>
      <c r="K3319" s="1" t="str">
        <f t="shared" si="705"/>
        <v>X</v>
      </c>
      <c r="L3319" s="1" t="str">
        <f t="shared" si="705"/>
        <v>X</v>
      </c>
      <c r="M3319" s="1" t="str">
        <f t="shared" si="705"/>
        <v>X</v>
      </c>
      <c r="N3319" t="s">
        <v>27</v>
      </c>
    </row>
    <row r="3320" spans="1:14" x14ac:dyDescent="0.25">
      <c r="A3320" t="s">
        <v>41</v>
      </c>
      <c r="B3320" t="s">
        <v>15</v>
      </c>
      <c r="C3320" t="s">
        <v>37</v>
      </c>
      <c r="D3320" t="s">
        <v>34</v>
      </c>
      <c r="E3320" t="s">
        <v>23</v>
      </c>
      <c r="F3320" t="s">
        <v>19</v>
      </c>
      <c r="G3320" s="1" t="str">
        <f t="shared" si="705"/>
        <v>X</v>
      </c>
      <c r="H3320" s="1" t="str">
        <f t="shared" si="705"/>
        <v>X</v>
      </c>
      <c r="I3320" s="1" t="str">
        <f t="shared" si="705"/>
        <v>X</v>
      </c>
      <c r="J3320" s="1" t="str">
        <f t="shared" si="705"/>
        <v>X</v>
      </c>
      <c r="K3320" s="1" t="str">
        <f t="shared" si="705"/>
        <v>X</v>
      </c>
      <c r="L3320" s="1" t="str">
        <f t="shared" si="705"/>
        <v>X</v>
      </c>
      <c r="M3320" s="1" t="str">
        <f t="shared" si="705"/>
        <v>X</v>
      </c>
      <c r="N3320" t="s">
        <v>27</v>
      </c>
    </row>
    <row r="3321" spans="1:14" x14ac:dyDescent="0.25">
      <c r="A3321" t="s">
        <v>41</v>
      </c>
      <c r="B3321" t="s">
        <v>15</v>
      </c>
      <c r="C3321" t="s">
        <v>37</v>
      </c>
      <c r="D3321" t="s">
        <v>34</v>
      </c>
      <c r="E3321" t="s">
        <v>23</v>
      </c>
      <c r="F3321" t="s">
        <v>20</v>
      </c>
      <c r="G3321" s="2">
        <f>VALUE(158.6927891175)</f>
        <v>158.69278911750001</v>
      </c>
      <c r="H3321" s="3">
        <f>VALUE(137.6046824632)</f>
        <v>137.60468246319999</v>
      </c>
      <c r="I3321" s="1">
        <f>VALUE(2811)</f>
        <v>2811</v>
      </c>
      <c r="J3321" s="1">
        <f>VALUE(3467)</f>
        <v>3467</v>
      </c>
      <c r="K3321" s="6">
        <f>VALUE(4227)</f>
        <v>4227</v>
      </c>
      <c r="L3321" s="1">
        <f>VALUE(5905)</f>
        <v>5905</v>
      </c>
      <c r="M3321" s="1">
        <f>VALUE(6900)</f>
        <v>6900</v>
      </c>
      <c r="N3321" t="s">
        <v>25</v>
      </c>
    </row>
    <row r="3322" spans="1:14" x14ac:dyDescent="0.25">
      <c r="A3322" t="s">
        <v>41</v>
      </c>
      <c r="B3322" t="s">
        <v>15</v>
      </c>
      <c r="C3322" t="s">
        <v>37</v>
      </c>
      <c r="D3322" t="s">
        <v>34</v>
      </c>
      <c r="E3322" t="s">
        <v>26</v>
      </c>
      <c r="F3322" t="s">
        <v>15</v>
      </c>
      <c r="G3322" s="1" t="str">
        <f t="shared" ref="G3322:M3323" si="706">"X"</f>
        <v>X</v>
      </c>
      <c r="H3322" s="1" t="str">
        <f t="shared" si="706"/>
        <v>X</v>
      </c>
      <c r="I3322" s="1" t="str">
        <f t="shared" si="706"/>
        <v>X</v>
      </c>
      <c r="J3322" s="1" t="str">
        <f t="shared" si="706"/>
        <v>X</v>
      </c>
      <c r="K3322" s="1" t="str">
        <f t="shared" si="706"/>
        <v>X</v>
      </c>
      <c r="L3322" s="1" t="str">
        <f t="shared" si="706"/>
        <v>X</v>
      </c>
      <c r="M3322" s="1" t="str">
        <f t="shared" si="706"/>
        <v>X</v>
      </c>
      <c r="N3322" t="s">
        <v>27</v>
      </c>
    </row>
    <row r="3323" spans="1:14" x14ac:dyDescent="0.25">
      <c r="A3323" t="s">
        <v>41</v>
      </c>
      <c r="B3323" t="s">
        <v>15</v>
      </c>
      <c r="C3323" t="s">
        <v>37</v>
      </c>
      <c r="D3323" t="s">
        <v>34</v>
      </c>
      <c r="E3323" t="s">
        <v>26</v>
      </c>
      <c r="F3323" t="s">
        <v>17</v>
      </c>
      <c r="G3323" s="1" t="str">
        <f t="shared" si="706"/>
        <v>X</v>
      </c>
      <c r="H3323" s="1" t="str">
        <f t="shared" si="706"/>
        <v>X</v>
      </c>
      <c r="I3323" s="1" t="str">
        <f t="shared" si="706"/>
        <v>X</v>
      </c>
      <c r="J3323" s="1" t="str">
        <f t="shared" si="706"/>
        <v>X</v>
      </c>
      <c r="K3323" s="1" t="str">
        <f t="shared" si="706"/>
        <v>X</v>
      </c>
      <c r="L3323" s="1" t="str">
        <f t="shared" si="706"/>
        <v>X</v>
      </c>
      <c r="M3323" s="1" t="str">
        <f t="shared" si="706"/>
        <v>X</v>
      </c>
      <c r="N3323" t="s">
        <v>27</v>
      </c>
    </row>
    <row r="3324" spans="1:14" x14ac:dyDescent="0.25">
      <c r="A3324" t="s">
        <v>41</v>
      </c>
      <c r="B3324" t="s">
        <v>15</v>
      </c>
      <c r="C3324" t="s">
        <v>37</v>
      </c>
      <c r="D3324" t="s">
        <v>34</v>
      </c>
      <c r="E3324" t="s">
        <v>26</v>
      </c>
      <c r="F3324" t="s">
        <v>18</v>
      </c>
      <c r="G3324" s="1" t="str">
        <f t="shared" ref="G3324:M3326" si="707">"..."</f>
        <v>...</v>
      </c>
      <c r="H3324" s="1" t="str">
        <f t="shared" si="707"/>
        <v>...</v>
      </c>
      <c r="I3324" s="1" t="str">
        <f t="shared" si="707"/>
        <v>...</v>
      </c>
      <c r="J3324" s="1" t="str">
        <f t="shared" si="707"/>
        <v>...</v>
      </c>
      <c r="K3324" s="1" t="str">
        <f t="shared" si="707"/>
        <v>...</v>
      </c>
      <c r="L3324" s="1" t="str">
        <f t="shared" si="707"/>
        <v>...</v>
      </c>
      <c r="M3324" s="1" t="str">
        <f t="shared" si="707"/>
        <v>...</v>
      </c>
      <c r="N3324" t="s">
        <v>30</v>
      </c>
    </row>
    <row r="3325" spans="1:14" x14ac:dyDescent="0.25">
      <c r="A3325" t="s">
        <v>41</v>
      </c>
      <c r="B3325" t="s">
        <v>15</v>
      </c>
      <c r="C3325" t="s">
        <v>37</v>
      </c>
      <c r="D3325" t="s">
        <v>34</v>
      </c>
      <c r="E3325" t="s">
        <v>26</v>
      </c>
      <c r="F3325" t="s">
        <v>19</v>
      </c>
      <c r="G3325" s="1" t="str">
        <f t="shared" si="707"/>
        <v>...</v>
      </c>
      <c r="H3325" s="1" t="str">
        <f t="shared" si="707"/>
        <v>...</v>
      </c>
      <c r="I3325" s="1" t="str">
        <f t="shared" si="707"/>
        <v>...</v>
      </c>
      <c r="J3325" s="1" t="str">
        <f t="shared" si="707"/>
        <v>...</v>
      </c>
      <c r="K3325" s="1" t="str">
        <f t="shared" si="707"/>
        <v>...</v>
      </c>
      <c r="L3325" s="1" t="str">
        <f t="shared" si="707"/>
        <v>...</v>
      </c>
      <c r="M3325" s="1" t="str">
        <f t="shared" si="707"/>
        <v>...</v>
      </c>
      <c r="N3325" t="s">
        <v>30</v>
      </c>
    </row>
    <row r="3326" spans="1:14" x14ac:dyDescent="0.25">
      <c r="A3326" t="s">
        <v>41</v>
      </c>
      <c r="B3326" t="s">
        <v>15</v>
      </c>
      <c r="C3326" t="s">
        <v>37</v>
      </c>
      <c r="D3326" t="s">
        <v>34</v>
      </c>
      <c r="E3326" t="s">
        <v>26</v>
      </c>
      <c r="F3326" t="s">
        <v>20</v>
      </c>
      <c r="G3326" s="1" t="str">
        <f t="shared" si="707"/>
        <v>...</v>
      </c>
      <c r="H3326" s="1" t="str">
        <f t="shared" si="707"/>
        <v>...</v>
      </c>
      <c r="I3326" s="1" t="str">
        <f t="shared" si="707"/>
        <v>...</v>
      </c>
      <c r="J3326" s="1" t="str">
        <f t="shared" si="707"/>
        <v>...</v>
      </c>
      <c r="K3326" s="1" t="str">
        <f t="shared" si="707"/>
        <v>...</v>
      </c>
      <c r="L3326" s="1" t="str">
        <f t="shared" si="707"/>
        <v>...</v>
      </c>
      <c r="M3326" s="1" t="str">
        <f t="shared" si="707"/>
        <v>...</v>
      </c>
      <c r="N3326" t="s">
        <v>30</v>
      </c>
    </row>
    <row r="3327" spans="1:14" x14ac:dyDescent="0.25">
      <c r="A3327" t="s">
        <v>41</v>
      </c>
      <c r="B3327" t="s">
        <v>15</v>
      </c>
      <c r="C3327" t="s">
        <v>38</v>
      </c>
      <c r="D3327" t="s">
        <v>15</v>
      </c>
      <c r="E3327" t="s">
        <v>15</v>
      </c>
      <c r="F3327" t="s">
        <v>15</v>
      </c>
      <c r="G3327" s="1">
        <f>VALUE(27232.3962318665)</f>
        <v>27232.3962318665</v>
      </c>
      <c r="H3327" s="1">
        <f>VALUE(23780.4623269253)</f>
        <v>23780.462326925299</v>
      </c>
      <c r="I3327" s="1">
        <f>VALUE(3397)</f>
        <v>3397</v>
      </c>
      <c r="J3327" s="1">
        <f>VALUE(4250)</f>
        <v>4250</v>
      </c>
      <c r="K3327" s="1">
        <f>VALUE(5472)</f>
        <v>5472</v>
      </c>
      <c r="L3327" s="1">
        <f>VALUE(7075)</f>
        <v>7075</v>
      </c>
      <c r="M3327" s="1">
        <f>VALUE(10317)</f>
        <v>10317</v>
      </c>
      <c r="N3327" t="s">
        <v>16</v>
      </c>
    </row>
    <row r="3328" spans="1:14" x14ac:dyDescent="0.25">
      <c r="A3328" t="s">
        <v>41</v>
      </c>
      <c r="B3328" t="s">
        <v>15</v>
      </c>
      <c r="C3328" t="s">
        <v>38</v>
      </c>
      <c r="D3328" t="s">
        <v>15</v>
      </c>
      <c r="E3328" t="s">
        <v>15</v>
      </c>
      <c r="F3328" t="s">
        <v>17</v>
      </c>
      <c r="G3328" s="1">
        <f>VALUE(5776.80044591)</f>
        <v>5776.8004459100002</v>
      </c>
      <c r="H3328" s="1">
        <f>VALUE(5483.2372795607)</f>
        <v>5483.2372795606998</v>
      </c>
      <c r="I3328" s="1">
        <f>VALUE(4184)</f>
        <v>4184</v>
      </c>
      <c r="J3328" s="1">
        <f>VALUE(5957)</f>
        <v>5957</v>
      </c>
      <c r="K3328" s="1">
        <f>VALUE(8151)</f>
        <v>8151</v>
      </c>
      <c r="L3328" s="1">
        <f>VALUE(12034)</f>
        <v>12034</v>
      </c>
      <c r="M3328" s="1">
        <f>VALUE(20425)</f>
        <v>20425</v>
      </c>
      <c r="N3328" t="s">
        <v>16</v>
      </c>
    </row>
    <row r="3329" spans="1:14" x14ac:dyDescent="0.25">
      <c r="A3329" t="s">
        <v>41</v>
      </c>
      <c r="B3329" t="s">
        <v>15</v>
      </c>
      <c r="C3329" t="s">
        <v>38</v>
      </c>
      <c r="D3329" t="s">
        <v>15</v>
      </c>
      <c r="E3329" t="s">
        <v>15</v>
      </c>
      <c r="F3329" t="s">
        <v>18</v>
      </c>
      <c r="G3329" s="1">
        <f>VALUE(3071.7107066433)</f>
        <v>3071.7107066433</v>
      </c>
      <c r="H3329" s="1">
        <f>VALUE(2594.5740534424)</f>
        <v>2594.5740534423999</v>
      </c>
      <c r="I3329" s="4">
        <f>VALUE(3970)</f>
        <v>3970</v>
      </c>
      <c r="J3329" s="1">
        <f>VALUE(5103)</f>
        <v>5103</v>
      </c>
      <c r="K3329" s="1">
        <f>VALUE(6325)</f>
        <v>6325</v>
      </c>
      <c r="L3329" s="1">
        <f>VALUE(8183)</f>
        <v>8183</v>
      </c>
      <c r="M3329" s="1">
        <f>VALUE(10008)</f>
        <v>10008</v>
      </c>
      <c r="N3329" t="s">
        <v>25</v>
      </c>
    </row>
    <row r="3330" spans="1:14" x14ac:dyDescent="0.25">
      <c r="A3330" t="s">
        <v>41</v>
      </c>
      <c r="B3330" t="s">
        <v>15</v>
      </c>
      <c r="C3330" t="s">
        <v>38</v>
      </c>
      <c r="D3330" t="s">
        <v>15</v>
      </c>
      <c r="E3330" t="s">
        <v>15</v>
      </c>
      <c r="F3330" t="s">
        <v>19</v>
      </c>
      <c r="G3330" s="1">
        <f>VALUE(3472.5589337834)</f>
        <v>3472.5589337833999</v>
      </c>
      <c r="H3330" s="1">
        <f>VALUE(2970.1711847847)</f>
        <v>2970.1711847847</v>
      </c>
      <c r="I3330" s="1">
        <f>VALUE(3816)</f>
        <v>3816</v>
      </c>
      <c r="J3330" s="1">
        <f>VALUE(4441)</f>
        <v>4441</v>
      </c>
      <c r="K3330" s="1">
        <f>VALUE(5469)</f>
        <v>5469</v>
      </c>
      <c r="L3330" s="1">
        <f>VALUE(6697)</f>
        <v>6697</v>
      </c>
      <c r="M3330" s="1">
        <f>VALUE(7908)</f>
        <v>7908</v>
      </c>
      <c r="N3330" t="s">
        <v>16</v>
      </c>
    </row>
    <row r="3331" spans="1:14" x14ac:dyDescent="0.25">
      <c r="A3331" t="s">
        <v>41</v>
      </c>
      <c r="B3331" t="s">
        <v>15</v>
      </c>
      <c r="C3331" t="s">
        <v>38</v>
      </c>
      <c r="D3331" t="s">
        <v>15</v>
      </c>
      <c r="E3331" t="s">
        <v>15</v>
      </c>
      <c r="F3331" t="s">
        <v>20</v>
      </c>
      <c r="G3331" s="1">
        <f>VALUE(14880.088581333)</f>
        <v>14880.088581333001</v>
      </c>
      <c r="H3331" s="1">
        <f>VALUE(12711.4164041118)</f>
        <v>12711.4164041118</v>
      </c>
      <c r="I3331" s="1">
        <f>VALUE(3091)</f>
        <v>3091</v>
      </c>
      <c r="J3331" s="1">
        <f>VALUE(3855)</f>
        <v>3855</v>
      </c>
      <c r="K3331" s="1">
        <f>VALUE(4850)</f>
        <v>4850</v>
      </c>
      <c r="L3331" s="1">
        <f>VALUE(5829)</f>
        <v>5829</v>
      </c>
      <c r="M3331" s="1">
        <f>VALUE(6754)</f>
        <v>6754</v>
      </c>
      <c r="N3331" t="s">
        <v>16</v>
      </c>
    </row>
    <row r="3332" spans="1:14" x14ac:dyDescent="0.25">
      <c r="A3332" t="s">
        <v>41</v>
      </c>
      <c r="B3332" t="s">
        <v>15</v>
      </c>
      <c r="C3332" t="s">
        <v>38</v>
      </c>
      <c r="D3332" t="s">
        <v>15</v>
      </c>
      <c r="E3332" t="s">
        <v>21</v>
      </c>
      <c r="F3332" t="s">
        <v>15</v>
      </c>
      <c r="G3332" s="1">
        <f>VALUE(5460.6459579393)</f>
        <v>5460.6459579393004</v>
      </c>
      <c r="H3332" s="1">
        <f>VALUE(4734.5081604429)</f>
        <v>4734.5081604428997</v>
      </c>
      <c r="I3332" s="1">
        <f>VALUE(4444)</f>
        <v>4444</v>
      </c>
      <c r="J3332" s="1">
        <f>VALUE(6043)</f>
        <v>6043</v>
      </c>
      <c r="K3332" s="1">
        <f>VALUE(8157)</f>
        <v>8157</v>
      </c>
      <c r="L3332" s="1">
        <f>VALUE(11694)</f>
        <v>11694</v>
      </c>
      <c r="M3332" s="8">
        <f>VALUE(18333)</f>
        <v>18333</v>
      </c>
      <c r="N3332" t="s">
        <v>25</v>
      </c>
    </row>
    <row r="3333" spans="1:14" x14ac:dyDescent="0.25">
      <c r="A3333" t="s">
        <v>41</v>
      </c>
      <c r="B3333" t="s">
        <v>15</v>
      </c>
      <c r="C3333" t="s">
        <v>38</v>
      </c>
      <c r="D3333" t="s">
        <v>15</v>
      </c>
      <c r="E3333" t="s">
        <v>21</v>
      </c>
      <c r="F3333" t="s">
        <v>17</v>
      </c>
      <c r="G3333" s="1">
        <f>VALUE(3133.3844238522)</f>
        <v>3133.3844238522001</v>
      </c>
      <c r="H3333" s="1">
        <f>VALUE(2939.1188745625)</f>
        <v>2939.1188745625</v>
      </c>
      <c r="I3333" s="1">
        <f>VALUE(4723)</f>
        <v>4723</v>
      </c>
      <c r="J3333" s="1">
        <f>VALUE(6783)</f>
        <v>6783</v>
      </c>
      <c r="K3333" s="1">
        <f>VALUE(9835)</f>
        <v>9835</v>
      </c>
      <c r="L3333" s="1">
        <f>VALUE(14131)</f>
        <v>14131</v>
      </c>
      <c r="M3333" s="1">
        <f>VALUE(22500)</f>
        <v>22500</v>
      </c>
      <c r="N3333" t="s">
        <v>16</v>
      </c>
    </row>
    <row r="3334" spans="1:14" x14ac:dyDescent="0.25">
      <c r="A3334" t="s">
        <v>41</v>
      </c>
      <c r="B3334" t="s">
        <v>15</v>
      </c>
      <c r="C3334" t="s">
        <v>38</v>
      </c>
      <c r="D3334" t="s">
        <v>15</v>
      </c>
      <c r="E3334" t="s">
        <v>21</v>
      </c>
      <c r="F3334" t="s">
        <v>18</v>
      </c>
      <c r="G3334" s="2">
        <f>VALUE(911.5455716037)</f>
        <v>911.54557160369995</v>
      </c>
      <c r="H3334" s="3">
        <f>VALUE(730.4619241032)</f>
        <v>730.46192410319998</v>
      </c>
      <c r="I3334" s="4">
        <f>VALUE(4311)</f>
        <v>4311</v>
      </c>
      <c r="J3334" s="5">
        <f>VALUE(6215)</f>
        <v>6215</v>
      </c>
      <c r="K3334" s="1">
        <f>VALUE(7851)</f>
        <v>7851</v>
      </c>
      <c r="L3334" s="1">
        <f>VALUE(9322)</f>
        <v>9322</v>
      </c>
      <c r="M3334" s="8">
        <f>VALUE(11357)</f>
        <v>11357</v>
      </c>
      <c r="N3334" t="s">
        <v>25</v>
      </c>
    </row>
    <row r="3335" spans="1:14" x14ac:dyDescent="0.25">
      <c r="A3335" t="s">
        <v>41</v>
      </c>
      <c r="B3335" t="s">
        <v>15</v>
      </c>
      <c r="C3335" t="s">
        <v>38</v>
      </c>
      <c r="D3335" t="s">
        <v>15</v>
      </c>
      <c r="E3335" t="s">
        <v>21</v>
      </c>
      <c r="F3335" t="s">
        <v>19</v>
      </c>
      <c r="G3335" s="2">
        <f>VALUE(610.9098688716)</f>
        <v>610.9098688716</v>
      </c>
      <c r="H3335" s="3">
        <f>VALUE(422.8559835448)</f>
        <v>422.85598354479998</v>
      </c>
      <c r="I3335" s="4">
        <f>VALUE(4238)</f>
        <v>4238</v>
      </c>
      <c r="J3335" s="5">
        <f>VALUE(5469)</f>
        <v>5469</v>
      </c>
      <c r="K3335" s="1">
        <f>VALUE(6776)</f>
        <v>6776</v>
      </c>
      <c r="L3335" s="1">
        <f>VALUE(8407)</f>
        <v>8407</v>
      </c>
      <c r="M3335" s="1">
        <f>VALUE(9858)</f>
        <v>9858</v>
      </c>
      <c r="N3335" t="s">
        <v>25</v>
      </c>
    </row>
    <row r="3336" spans="1:14" x14ac:dyDescent="0.25">
      <c r="A3336" t="s">
        <v>41</v>
      </c>
      <c r="B3336" t="s">
        <v>15</v>
      </c>
      <c r="C3336" t="s">
        <v>38</v>
      </c>
      <c r="D3336" t="s">
        <v>15</v>
      </c>
      <c r="E3336" t="s">
        <v>21</v>
      </c>
      <c r="F3336" t="s">
        <v>20</v>
      </c>
      <c r="G3336" s="2">
        <f>VALUE(802.5925795545)</f>
        <v>802.59257955450005</v>
      </c>
      <c r="H3336" s="3">
        <f>VALUE(640.9348111573)</f>
        <v>640.93481115730003</v>
      </c>
      <c r="I3336" s="4">
        <f>VALUE(4069)</f>
        <v>4069</v>
      </c>
      <c r="J3336" s="1">
        <f>VALUE(4767)</f>
        <v>4767</v>
      </c>
      <c r="K3336" s="1">
        <f>VALUE(6071)</f>
        <v>6071</v>
      </c>
      <c r="L3336" s="1">
        <f>VALUE(7778)</f>
        <v>7778</v>
      </c>
      <c r="M3336" s="1">
        <f>VALUE(9298)</f>
        <v>9298</v>
      </c>
      <c r="N3336" t="s">
        <v>25</v>
      </c>
    </row>
    <row r="3337" spans="1:14" x14ac:dyDescent="0.25">
      <c r="A3337" t="s">
        <v>41</v>
      </c>
      <c r="B3337" t="s">
        <v>15</v>
      </c>
      <c r="C3337" t="s">
        <v>38</v>
      </c>
      <c r="D3337" t="s">
        <v>15</v>
      </c>
      <c r="E3337" t="s">
        <v>22</v>
      </c>
      <c r="F3337" t="s">
        <v>15</v>
      </c>
      <c r="G3337" s="1">
        <f>VALUE(10008.9181456053)</f>
        <v>10008.918145605299</v>
      </c>
      <c r="H3337" s="1">
        <f>VALUE(8695.7999442987)</f>
        <v>8695.7999442987002</v>
      </c>
      <c r="I3337" s="1">
        <f>VALUE(3850)</f>
        <v>3850</v>
      </c>
      <c r="J3337" s="1">
        <f>VALUE(4766)</f>
        <v>4766</v>
      </c>
      <c r="K3337" s="1">
        <f>VALUE(5790)</f>
        <v>5790</v>
      </c>
      <c r="L3337" s="1">
        <f>VALUE(7082)</f>
        <v>7082</v>
      </c>
      <c r="M3337" s="1">
        <f>VALUE(8996)</f>
        <v>8996</v>
      </c>
      <c r="N3337" t="s">
        <v>16</v>
      </c>
    </row>
    <row r="3338" spans="1:14" x14ac:dyDescent="0.25">
      <c r="A3338" t="s">
        <v>41</v>
      </c>
      <c r="B3338" t="s">
        <v>15</v>
      </c>
      <c r="C3338" t="s">
        <v>38</v>
      </c>
      <c r="D3338" t="s">
        <v>15</v>
      </c>
      <c r="E3338" t="s">
        <v>22</v>
      </c>
      <c r="F3338" t="s">
        <v>17</v>
      </c>
      <c r="G3338" s="2">
        <f>VALUE(1934.8301545688)</f>
        <v>1934.8301545688</v>
      </c>
      <c r="H3338" s="3">
        <f>VALUE(1845.5636196274)</f>
        <v>1845.5636196273999</v>
      </c>
      <c r="I3338" s="4">
        <f>VALUE(4024)</f>
        <v>4024</v>
      </c>
      <c r="J3338" s="5">
        <f>VALUE(5593)</f>
        <v>5593</v>
      </c>
      <c r="K3338" s="1">
        <f>VALUE(7124)</f>
        <v>7124</v>
      </c>
      <c r="L3338" s="1">
        <f>VALUE(9750)</f>
        <v>9750</v>
      </c>
      <c r="M3338" s="8">
        <f>VALUE(13688)</f>
        <v>13688</v>
      </c>
      <c r="N3338" t="s">
        <v>25</v>
      </c>
    </row>
    <row r="3339" spans="1:14" x14ac:dyDescent="0.25">
      <c r="A3339" t="s">
        <v>41</v>
      </c>
      <c r="B3339" t="s">
        <v>15</v>
      </c>
      <c r="C3339" t="s">
        <v>38</v>
      </c>
      <c r="D3339" t="s">
        <v>15</v>
      </c>
      <c r="E3339" t="s">
        <v>22</v>
      </c>
      <c r="F3339" t="s">
        <v>18</v>
      </c>
      <c r="G3339" s="2">
        <f>VALUE(1402.706500404)</f>
        <v>1402.7065004040001</v>
      </c>
      <c r="H3339" s="3">
        <f>VALUE(1167.3012161186)</f>
        <v>1167.3012161186</v>
      </c>
      <c r="I3339" s="4">
        <f>VALUE(4333)</f>
        <v>4333</v>
      </c>
      <c r="J3339" s="1">
        <f>VALUE(5293)</f>
        <v>5293</v>
      </c>
      <c r="K3339" s="1">
        <f>VALUE(6175)</f>
        <v>6175</v>
      </c>
      <c r="L3339" s="1">
        <f>VALUE(7627)</f>
        <v>7627</v>
      </c>
      <c r="M3339" s="1">
        <f>VALUE(9353)</f>
        <v>9353</v>
      </c>
      <c r="N3339" t="s">
        <v>25</v>
      </c>
    </row>
    <row r="3340" spans="1:14" x14ac:dyDescent="0.25">
      <c r="A3340" t="s">
        <v>41</v>
      </c>
      <c r="B3340" t="s">
        <v>15</v>
      </c>
      <c r="C3340" t="s">
        <v>38</v>
      </c>
      <c r="D3340" t="s">
        <v>15</v>
      </c>
      <c r="E3340" t="s">
        <v>22</v>
      </c>
      <c r="F3340" t="s">
        <v>19</v>
      </c>
      <c r="G3340" s="2">
        <f>VALUE(1638.623228847)</f>
        <v>1638.6232288470001</v>
      </c>
      <c r="H3340" s="3">
        <f>VALUE(1425.4008817325)</f>
        <v>1425.4008817325</v>
      </c>
      <c r="I3340" s="1">
        <f>VALUE(3962)</f>
        <v>3962</v>
      </c>
      <c r="J3340" s="1">
        <f>VALUE(4792)</f>
        <v>4792</v>
      </c>
      <c r="K3340" s="1">
        <f>VALUE(5725)</f>
        <v>5725</v>
      </c>
      <c r="L3340" s="1">
        <f>VALUE(6874)</f>
        <v>6874</v>
      </c>
      <c r="M3340" s="1">
        <f>VALUE(7843)</f>
        <v>7843</v>
      </c>
      <c r="N3340" t="s">
        <v>25</v>
      </c>
    </row>
    <row r="3341" spans="1:14" x14ac:dyDescent="0.25">
      <c r="A3341" t="s">
        <v>41</v>
      </c>
      <c r="B3341" t="s">
        <v>15</v>
      </c>
      <c r="C3341" t="s">
        <v>38</v>
      </c>
      <c r="D3341" t="s">
        <v>15</v>
      </c>
      <c r="E3341" t="s">
        <v>22</v>
      </c>
      <c r="F3341" t="s">
        <v>20</v>
      </c>
      <c r="G3341" s="1">
        <f>VALUE(5032.7582617855)</f>
        <v>5032.7582617854996</v>
      </c>
      <c r="H3341" s="1">
        <f>VALUE(4257.5342268202)</f>
        <v>4257.5342268202003</v>
      </c>
      <c r="I3341" s="1">
        <f>VALUE(3751)</f>
        <v>3751</v>
      </c>
      <c r="J3341" s="1">
        <f>VALUE(4511)</f>
        <v>4511</v>
      </c>
      <c r="K3341" s="1">
        <f>VALUE(5422)</f>
        <v>5422</v>
      </c>
      <c r="L3341" s="1">
        <f>VALUE(6378)</f>
        <v>6378</v>
      </c>
      <c r="M3341" s="1">
        <f>VALUE(7238)</f>
        <v>7238</v>
      </c>
      <c r="N3341" t="s">
        <v>16</v>
      </c>
    </row>
    <row r="3342" spans="1:14" x14ac:dyDescent="0.25">
      <c r="A3342" t="s">
        <v>41</v>
      </c>
      <c r="B3342" t="s">
        <v>15</v>
      </c>
      <c r="C3342" t="s">
        <v>38</v>
      </c>
      <c r="D3342" t="s">
        <v>15</v>
      </c>
      <c r="E3342" t="s">
        <v>23</v>
      </c>
      <c r="F3342" t="s">
        <v>15</v>
      </c>
      <c r="G3342" s="1">
        <f>VALUE(11413.3748472052)</f>
        <v>11413.374847205199</v>
      </c>
      <c r="H3342" s="1">
        <f>VALUE(10000.9666153756)</f>
        <v>10000.966615375601</v>
      </c>
      <c r="I3342" s="1">
        <f>VALUE(2985)</f>
        <v>2985</v>
      </c>
      <c r="J3342" s="1">
        <f>VALUE(3700)</f>
        <v>3700</v>
      </c>
      <c r="K3342" s="1">
        <f>VALUE(4534)</f>
        <v>4534</v>
      </c>
      <c r="L3342" s="1">
        <f>VALUE(5552)</f>
        <v>5552</v>
      </c>
      <c r="M3342" s="1">
        <f>VALUE(6429)</f>
        <v>6429</v>
      </c>
      <c r="N3342" t="s">
        <v>16</v>
      </c>
    </row>
    <row r="3343" spans="1:14" x14ac:dyDescent="0.25">
      <c r="A3343" t="s">
        <v>41</v>
      </c>
      <c r="B3343" t="s">
        <v>15</v>
      </c>
      <c r="C3343" t="s">
        <v>38</v>
      </c>
      <c r="D3343" t="s">
        <v>15</v>
      </c>
      <c r="E3343" t="s">
        <v>23</v>
      </c>
      <c r="F3343" t="s">
        <v>17</v>
      </c>
      <c r="G3343" s="2">
        <f>VALUE(580.7267091269)</f>
        <v>580.7267091269</v>
      </c>
      <c r="H3343" s="3">
        <f>VALUE(565.9638265726)</f>
        <v>565.96382657260006</v>
      </c>
      <c r="I3343" s="4">
        <f>VALUE(3448)</f>
        <v>3448</v>
      </c>
      <c r="J3343" s="5">
        <f>VALUE(4264)</f>
        <v>4264</v>
      </c>
      <c r="K3343" s="6">
        <f>VALUE(5613)</f>
        <v>5613</v>
      </c>
      <c r="L3343" s="7">
        <f>VALUE(8186)</f>
        <v>8186</v>
      </c>
      <c r="M3343" s="8">
        <f>VALUE(11903)</f>
        <v>11903</v>
      </c>
      <c r="N3343" t="s">
        <v>24</v>
      </c>
    </row>
    <row r="3344" spans="1:14" x14ac:dyDescent="0.25">
      <c r="A3344" t="s">
        <v>41</v>
      </c>
      <c r="B3344" t="s">
        <v>15</v>
      </c>
      <c r="C3344" t="s">
        <v>38</v>
      </c>
      <c r="D3344" t="s">
        <v>15</v>
      </c>
      <c r="E3344" t="s">
        <v>23</v>
      </c>
      <c r="F3344" t="s">
        <v>18</v>
      </c>
      <c r="G3344" s="2">
        <f>VALUE(687.3291250932)</f>
        <v>687.32912509319999</v>
      </c>
      <c r="H3344" s="3">
        <f>VALUE(623.4817448072)</f>
        <v>623.48174480720002</v>
      </c>
      <c r="I3344" s="4">
        <f>VALUE(3467)</f>
        <v>3467</v>
      </c>
      <c r="J3344" s="5">
        <f>VALUE(4160)</f>
        <v>4160</v>
      </c>
      <c r="K3344" s="1">
        <f>VALUE(5266)</f>
        <v>5266</v>
      </c>
      <c r="L3344" s="1">
        <f>VALUE(6007)</f>
        <v>6007</v>
      </c>
      <c r="M3344" s="8">
        <f>VALUE(7756)</f>
        <v>7756</v>
      </c>
      <c r="N3344" t="s">
        <v>25</v>
      </c>
    </row>
    <row r="3345" spans="1:14" x14ac:dyDescent="0.25">
      <c r="A3345" t="s">
        <v>41</v>
      </c>
      <c r="B3345" t="s">
        <v>15</v>
      </c>
      <c r="C3345" t="s">
        <v>38</v>
      </c>
      <c r="D3345" t="s">
        <v>15</v>
      </c>
      <c r="E3345" t="s">
        <v>23</v>
      </c>
      <c r="F3345" t="s">
        <v>19</v>
      </c>
      <c r="G3345" s="2">
        <f>VALUE(1223.0258360648)</f>
        <v>1223.0258360647999</v>
      </c>
      <c r="H3345" s="3">
        <f>VALUE(1121.9143195074)</f>
        <v>1121.9143195074</v>
      </c>
      <c r="I3345" s="1">
        <f>VALUE(3605)</f>
        <v>3605</v>
      </c>
      <c r="J3345" s="1">
        <f>VALUE(4178)</f>
        <v>4178</v>
      </c>
      <c r="K3345" s="1">
        <f>VALUE(4798)</f>
        <v>4798</v>
      </c>
      <c r="L3345" s="1">
        <f>VALUE(5815)</f>
        <v>5815</v>
      </c>
      <c r="M3345" s="1">
        <f>VALUE(6822)</f>
        <v>6822</v>
      </c>
      <c r="N3345" t="s">
        <v>25</v>
      </c>
    </row>
    <row r="3346" spans="1:14" x14ac:dyDescent="0.25">
      <c r="A3346" t="s">
        <v>41</v>
      </c>
      <c r="B3346" t="s">
        <v>15</v>
      </c>
      <c r="C3346" t="s">
        <v>38</v>
      </c>
      <c r="D3346" t="s">
        <v>15</v>
      </c>
      <c r="E3346" t="s">
        <v>23</v>
      </c>
      <c r="F3346" t="s">
        <v>20</v>
      </c>
      <c r="G3346" s="1">
        <f>VALUE(8922.2931769203)</f>
        <v>8922.2931769203005</v>
      </c>
      <c r="H3346" s="1">
        <f>VALUE(7689.6067244884)</f>
        <v>7689.6067244883998</v>
      </c>
      <c r="I3346" s="1">
        <f>VALUE(2917)</f>
        <v>2917</v>
      </c>
      <c r="J3346" s="1">
        <f>VALUE(3534)</f>
        <v>3534</v>
      </c>
      <c r="K3346" s="1">
        <f>VALUE(4389)</f>
        <v>4389</v>
      </c>
      <c r="L3346" s="1">
        <f>VALUE(5356)</f>
        <v>5356</v>
      </c>
      <c r="M3346" s="1">
        <f>VALUE(6055)</f>
        <v>6055</v>
      </c>
      <c r="N3346" t="s">
        <v>16</v>
      </c>
    </row>
    <row r="3347" spans="1:14" x14ac:dyDescent="0.25">
      <c r="A3347" t="s">
        <v>41</v>
      </c>
      <c r="B3347" t="s">
        <v>15</v>
      </c>
      <c r="C3347" t="s">
        <v>38</v>
      </c>
      <c r="D3347" t="s">
        <v>15</v>
      </c>
      <c r="E3347" t="s">
        <v>26</v>
      </c>
      <c r="F3347" t="s">
        <v>15</v>
      </c>
      <c r="G3347" s="2">
        <f>VALUE(349.4572811167)</f>
        <v>349.45728111670002</v>
      </c>
      <c r="H3347" s="3">
        <f>VALUE(349.1876068081)</f>
        <v>349.18760680809999</v>
      </c>
      <c r="I3347" s="1">
        <f>VALUE(5476)</f>
        <v>5476</v>
      </c>
      <c r="J3347" s="1">
        <f>VALUE(6270)</f>
        <v>6270</v>
      </c>
      <c r="K3347" s="6">
        <f>VALUE(8175)</f>
        <v>8175</v>
      </c>
      <c r="L3347" s="7">
        <f>VALUE(16134)</f>
        <v>16134</v>
      </c>
      <c r="M3347" s="8">
        <f>VALUE(27778)</f>
        <v>27778</v>
      </c>
      <c r="N3347" t="s">
        <v>25</v>
      </c>
    </row>
    <row r="3348" spans="1:14" x14ac:dyDescent="0.25">
      <c r="A3348" t="s">
        <v>41</v>
      </c>
      <c r="B3348" t="s">
        <v>15</v>
      </c>
      <c r="C3348" t="s">
        <v>38</v>
      </c>
      <c r="D3348" t="s">
        <v>15</v>
      </c>
      <c r="E3348" t="s">
        <v>26</v>
      </c>
      <c r="F3348" t="s">
        <v>17</v>
      </c>
      <c r="G3348" s="2">
        <f>VALUE(127.8591583621)</f>
        <v>127.8591583621</v>
      </c>
      <c r="H3348" s="3">
        <f>VALUE(132.5909587982)</f>
        <v>132.59095879820001</v>
      </c>
      <c r="I3348" s="1">
        <f>VALUE(11587)</f>
        <v>11587</v>
      </c>
      <c r="J3348" s="1">
        <f>VALUE(14603)</f>
        <v>14603</v>
      </c>
      <c r="K3348" s="1">
        <f>VALUE(18969)</f>
        <v>18969</v>
      </c>
      <c r="L3348" s="7">
        <f>VALUE(28359)</f>
        <v>28359</v>
      </c>
      <c r="M3348" s="8">
        <f>VALUE(57540)</f>
        <v>57540</v>
      </c>
      <c r="N3348" t="s">
        <v>25</v>
      </c>
    </row>
    <row r="3349" spans="1:14" x14ac:dyDescent="0.25">
      <c r="A3349" t="s">
        <v>41</v>
      </c>
      <c r="B3349" t="s">
        <v>15</v>
      </c>
      <c r="C3349" t="s">
        <v>38</v>
      </c>
      <c r="D3349" t="s">
        <v>15</v>
      </c>
      <c r="E3349" t="s">
        <v>26</v>
      </c>
      <c r="F3349" t="s">
        <v>18</v>
      </c>
      <c r="G3349" s="1" t="str">
        <f t="shared" ref="G3349:M3349" si="708">"X"</f>
        <v>X</v>
      </c>
      <c r="H3349" s="1" t="str">
        <f t="shared" si="708"/>
        <v>X</v>
      </c>
      <c r="I3349" s="1" t="str">
        <f t="shared" si="708"/>
        <v>X</v>
      </c>
      <c r="J3349" s="1" t="str">
        <f t="shared" si="708"/>
        <v>X</v>
      </c>
      <c r="K3349" s="1" t="str">
        <f t="shared" si="708"/>
        <v>X</v>
      </c>
      <c r="L3349" s="1" t="str">
        <f t="shared" si="708"/>
        <v>X</v>
      </c>
      <c r="M3349" s="1" t="str">
        <f t="shared" si="708"/>
        <v>X</v>
      </c>
      <c r="N3349" t="s">
        <v>27</v>
      </c>
    </row>
    <row r="3350" spans="1:14" x14ac:dyDescent="0.25">
      <c r="A3350" t="s">
        <v>41</v>
      </c>
      <c r="B3350" t="s">
        <v>15</v>
      </c>
      <c r="C3350" t="s">
        <v>38</v>
      </c>
      <c r="D3350" t="s">
        <v>15</v>
      </c>
      <c r="E3350" t="s">
        <v>26</v>
      </c>
      <c r="F3350" t="s">
        <v>19</v>
      </c>
      <c r="G3350" s="1" t="str">
        <f t="shared" ref="G3350:M3350" si="709">"..."</f>
        <v>...</v>
      </c>
      <c r="H3350" s="1" t="str">
        <f t="shared" si="709"/>
        <v>...</v>
      </c>
      <c r="I3350" s="1" t="str">
        <f t="shared" si="709"/>
        <v>...</v>
      </c>
      <c r="J3350" s="1" t="str">
        <f t="shared" si="709"/>
        <v>...</v>
      </c>
      <c r="K3350" s="1" t="str">
        <f t="shared" si="709"/>
        <v>...</v>
      </c>
      <c r="L3350" s="1" t="str">
        <f t="shared" si="709"/>
        <v>...</v>
      </c>
      <c r="M3350" s="1" t="str">
        <f t="shared" si="709"/>
        <v>...</v>
      </c>
      <c r="N3350" t="s">
        <v>30</v>
      </c>
    </row>
    <row r="3351" spans="1:14" x14ac:dyDescent="0.25">
      <c r="A3351" t="s">
        <v>41</v>
      </c>
      <c r="B3351" t="s">
        <v>15</v>
      </c>
      <c r="C3351" t="s">
        <v>38</v>
      </c>
      <c r="D3351" t="s">
        <v>15</v>
      </c>
      <c r="E3351" t="s">
        <v>26</v>
      </c>
      <c r="F3351" t="s">
        <v>20</v>
      </c>
      <c r="G3351" s="1" t="str">
        <f t="shared" ref="G3351:M3351" si="710">"X"</f>
        <v>X</v>
      </c>
      <c r="H3351" s="1" t="str">
        <f t="shared" si="710"/>
        <v>X</v>
      </c>
      <c r="I3351" s="1" t="str">
        <f t="shared" si="710"/>
        <v>X</v>
      </c>
      <c r="J3351" s="1" t="str">
        <f t="shared" si="710"/>
        <v>X</v>
      </c>
      <c r="K3351" s="1" t="str">
        <f t="shared" si="710"/>
        <v>X</v>
      </c>
      <c r="L3351" s="1" t="str">
        <f t="shared" si="710"/>
        <v>X</v>
      </c>
      <c r="M3351" s="1" t="str">
        <f t="shared" si="710"/>
        <v>X</v>
      </c>
      <c r="N3351" t="s">
        <v>27</v>
      </c>
    </row>
    <row r="3352" spans="1:14" x14ac:dyDescent="0.25">
      <c r="A3352" t="s">
        <v>41</v>
      </c>
      <c r="B3352" t="s">
        <v>15</v>
      </c>
      <c r="C3352" t="s">
        <v>38</v>
      </c>
      <c r="D3352" t="s">
        <v>28</v>
      </c>
      <c r="E3352" t="s">
        <v>15</v>
      </c>
      <c r="F3352" t="s">
        <v>15</v>
      </c>
      <c r="G3352" s="1">
        <f>VALUE(13375.6490165149)</f>
        <v>13375.649016514901</v>
      </c>
      <c r="H3352" s="1">
        <f>VALUE(10998.4884303243)</f>
        <v>10998.4884303243</v>
      </c>
      <c r="I3352" s="1">
        <f>VALUE(3817)</f>
        <v>3817</v>
      </c>
      <c r="J3352" s="1">
        <f>VALUE(4730)</f>
        <v>4730</v>
      </c>
      <c r="K3352" s="1">
        <f>VALUE(6053)</f>
        <v>6053</v>
      </c>
      <c r="L3352" s="1">
        <f>VALUE(8125)</f>
        <v>8125</v>
      </c>
      <c r="M3352" s="1">
        <f>VALUE(11731)</f>
        <v>11731</v>
      </c>
      <c r="N3352" t="s">
        <v>16</v>
      </c>
    </row>
    <row r="3353" spans="1:14" x14ac:dyDescent="0.25">
      <c r="A3353" t="s">
        <v>41</v>
      </c>
      <c r="B3353" t="s">
        <v>15</v>
      </c>
      <c r="C3353" t="s">
        <v>38</v>
      </c>
      <c r="D3353" t="s">
        <v>28</v>
      </c>
      <c r="E3353" t="s">
        <v>15</v>
      </c>
      <c r="F3353" t="s">
        <v>17</v>
      </c>
      <c r="G3353" s="1">
        <f>VALUE(3852.5655791777)</f>
        <v>3852.5655791776999</v>
      </c>
      <c r="H3353" s="1">
        <f>VALUE(3611.1602582332)</f>
        <v>3611.1602582331998</v>
      </c>
      <c r="I3353" s="1">
        <f>VALUE(4264)</f>
        <v>4264</v>
      </c>
      <c r="J3353" s="1">
        <f>VALUE(6190)</f>
        <v>6190</v>
      </c>
      <c r="K3353" s="1">
        <f>VALUE(8313)</f>
        <v>8313</v>
      </c>
      <c r="L3353" s="1">
        <f>VALUE(11948)</f>
        <v>11948</v>
      </c>
      <c r="M3353" s="1">
        <f>VALUE(19270)</f>
        <v>19270</v>
      </c>
      <c r="N3353" t="s">
        <v>16</v>
      </c>
    </row>
    <row r="3354" spans="1:14" x14ac:dyDescent="0.25">
      <c r="A3354" t="s">
        <v>41</v>
      </c>
      <c r="B3354" t="s">
        <v>15</v>
      </c>
      <c r="C3354" t="s">
        <v>38</v>
      </c>
      <c r="D3354" t="s">
        <v>28</v>
      </c>
      <c r="E3354" t="s">
        <v>15</v>
      </c>
      <c r="F3354" t="s">
        <v>18</v>
      </c>
      <c r="G3354" s="1">
        <f>VALUE(1726.393776108)</f>
        <v>1726.3937761080001</v>
      </c>
      <c r="H3354" s="1">
        <f>VALUE(1356.5064639948)</f>
        <v>1356.5064639948</v>
      </c>
      <c r="I3354" s="1">
        <f>VALUE(4333)</f>
        <v>4333</v>
      </c>
      <c r="J3354" s="1">
        <f>VALUE(5319)</f>
        <v>5319</v>
      </c>
      <c r="K3354" s="1">
        <f>VALUE(6764)</f>
        <v>6764</v>
      </c>
      <c r="L3354" s="1">
        <f>VALUE(8364)</f>
        <v>8364</v>
      </c>
      <c r="M3354" s="1">
        <f>VALUE(10335)</f>
        <v>10335</v>
      </c>
      <c r="N3354" t="s">
        <v>16</v>
      </c>
    </row>
    <row r="3355" spans="1:14" x14ac:dyDescent="0.25">
      <c r="A3355" t="s">
        <v>41</v>
      </c>
      <c r="B3355" t="s">
        <v>15</v>
      </c>
      <c r="C3355" t="s">
        <v>38</v>
      </c>
      <c r="D3355" t="s">
        <v>28</v>
      </c>
      <c r="E3355" t="s">
        <v>15</v>
      </c>
      <c r="F3355" t="s">
        <v>19</v>
      </c>
      <c r="G3355" s="2">
        <f>VALUE(1788.3885204115)</f>
        <v>1788.3885204114999</v>
      </c>
      <c r="H3355" s="3">
        <f>VALUE(1420.2086845402)</f>
        <v>1420.2086845402</v>
      </c>
      <c r="I3355" s="4">
        <f>VALUE(3894)</f>
        <v>3894</v>
      </c>
      <c r="J3355" s="1">
        <f>VALUE(4568)</f>
        <v>4568</v>
      </c>
      <c r="K3355" s="1">
        <f>VALUE(5633)</f>
        <v>5633</v>
      </c>
      <c r="L3355" s="1">
        <f>VALUE(6944)</f>
        <v>6944</v>
      </c>
      <c r="M3355" s="1">
        <f>VALUE(8471)</f>
        <v>8471</v>
      </c>
      <c r="N3355" t="s">
        <v>25</v>
      </c>
    </row>
    <row r="3356" spans="1:14" x14ac:dyDescent="0.25">
      <c r="A3356" t="s">
        <v>41</v>
      </c>
      <c r="B3356" t="s">
        <v>15</v>
      </c>
      <c r="C3356" t="s">
        <v>38</v>
      </c>
      <c r="D3356" t="s">
        <v>28</v>
      </c>
      <c r="E3356" t="s">
        <v>15</v>
      </c>
      <c r="F3356" t="s">
        <v>20</v>
      </c>
      <c r="G3356" s="1">
        <f>VALUE(6006.0876267604)</f>
        <v>6006.0876267603999</v>
      </c>
      <c r="H3356" s="1">
        <f>VALUE(4609.476456481)</f>
        <v>4609.4764564810002</v>
      </c>
      <c r="I3356" s="1">
        <f>VALUE(3575)</f>
        <v>3575</v>
      </c>
      <c r="J3356" s="1">
        <f>VALUE(4239)</f>
        <v>4239</v>
      </c>
      <c r="K3356" s="1">
        <f>VALUE(5187)</f>
        <v>5187</v>
      </c>
      <c r="L3356" s="1">
        <f>VALUE(6267)</f>
        <v>6267</v>
      </c>
      <c r="M3356" s="1">
        <f>VALUE(7391)</f>
        <v>7391</v>
      </c>
      <c r="N3356" t="s">
        <v>16</v>
      </c>
    </row>
    <row r="3357" spans="1:14" x14ac:dyDescent="0.25">
      <c r="A3357" t="s">
        <v>41</v>
      </c>
      <c r="B3357" t="s">
        <v>15</v>
      </c>
      <c r="C3357" t="s">
        <v>38</v>
      </c>
      <c r="D3357" t="s">
        <v>28</v>
      </c>
      <c r="E3357" t="s">
        <v>21</v>
      </c>
      <c r="F3357" t="s">
        <v>15</v>
      </c>
      <c r="G3357" s="1">
        <f>VALUE(3526.6331721497)</f>
        <v>3526.6331721496999</v>
      </c>
      <c r="H3357" s="1">
        <f>VALUE(3020.1860787167)</f>
        <v>3020.1860787167002</v>
      </c>
      <c r="I3357" s="1">
        <f>VALUE(4507)</f>
        <v>4507</v>
      </c>
      <c r="J3357" s="1">
        <f>VALUE(6215)</f>
        <v>6215</v>
      </c>
      <c r="K3357" s="1">
        <f>VALUE(8254)</f>
        <v>8254</v>
      </c>
      <c r="L3357" s="1">
        <f>VALUE(11543)</f>
        <v>11543</v>
      </c>
      <c r="M3357" s="8">
        <f>VALUE(16358)</f>
        <v>16358</v>
      </c>
      <c r="N3357" t="s">
        <v>25</v>
      </c>
    </row>
    <row r="3358" spans="1:14" x14ac:dyDescent="0.25">
      <c r="A3358" t="s">
        <v>41</v>
      </c>
      <c r="B3358" t="s">
        <v>15</v>
      </c>
      <c r="C3358" t="s">
        <v>38</v>
      </c>
      <c r="D3358" t="s">
        <v>28</v>
      </c>
      <c r="E3358" t="s">
        <v>21</v>
      </c>
      <c r="F3358" t="s">
        <v>17</v>
      </c>
      <c r="G3358" s="1">
        <f>VALUE(2227.9182991881)</f>
        <v>2227.9182991880998</v>
      </c>
      <c r="H3358" s="1">
        <f>VALUE(2077.7592998814)</f>
        <v>2077.7592998813998</v>
      </c>
      <c r="I3358" s="4">
        <f>VALUE(4603)</f>
        <v>4603</v>
      </c>
      <c r="J3358" s="1">
        <f>VALUE(6733)</f>
        <v>6733</v>
      </c>
      <c r="K3358" s="1">
        <f>VALUE(9570)</f>
        <v>9570</v>
      </c>
      <c r="L3358" s="1">
        <f>VALUE(12839)</f>
        <v>12839</v>
      </c>
      <c r="M3358" s="8">
        <f>VALUE(20425)</f>
        <v>20425</v>
      </c>
      <c r="N3358" t="s">
        <v>25</v>
      </c>
    </row>
    <row r="3359" spans="1:14" x14ac:dyDescent="0.25">
      <c r="A3359" t="s">
        <v>41</v>
      </c>
      <c r="B3359" t="s">
        <v>15</v>
      </c>
      <c r="C3359" t="s">
        <v>38</v>
      </c>
      <c r="D3359" t="s">
        <v>28</v>
      </c>
      <c r="E3359" t="s">
        <v>21</v>
      </c>
      <c r="F3359" t="s">
        <v>18</v>
      </c>
      <c r="G3359" s="2">
        <f>VALUE(476.2816246141)</f>
        <v>476.2816246141</v>
      </c>
      <c r="H3359" s="3">
        <f>VALUE(363.473738281)</f>
        <v>363.47373828100001</v>
      </c>
      <c r="I3359" s="1">
        <f>VALUE(4584)</f>
        <v>4584</v>
      </c>
      <c r="J3359" s="1">
        <f>VALUE(6383)</f>
        <v>6383</v>
      </c>
      <c r="K3359" s="1">
        <f>VALUE(8045)</f>
        <v>8045</v>
      </c>
      <c r="L3359" s="7">
        <f>VALUE(9524)</f>
        <v>9524</v>
      </c>
      <c r="M3359" s="8">
        <f>VALUE(10909)</f>
        <v>10909</v>
      </c>
      <c r="N3359" t="s">
        <v>25</v>
      </c>
    </row>
    <row r="3360" spans="1:14" x14ac:dyDescent="0.25">
      <c r="A3360" t="s">
        <v>41</v>
      </c>
      <c r="B3360" t="s">
        <v>15</v>
      </c>
      <c r="C3360" t="s">
        <v>38</v>
      </c>
      <c r="D3360" t="s">
        <v>28</v>
      </c>
      <c r="E3360" t="s">
        <v>21</v>
      </c>
      <c r="F3360" t="s">
        <v>19</v>
      </c>
      <c r="G3360" s="2">
        <f>VALUE(374.8723502709)</f>
        <v>374.87235027089997</v>
      </c>
      <c r="H3360" s="3">
        <f>VALUE(257.4411406241)</f>
        <v>257.4411406241</v>
      </c>
      <c r="I3360" s="4">
        <f>VALUE(3984)</f>
        <v>3984</v>
      </c>
      <c r="J3360" s="5">
        <f>VALUE(5469)</f>
        <v>5469</v>
      </c>
      <c r="K3360" s="1">
        <f>VALUE(6825)</f>
        <v>6825</v>
      </c>
      <c r="L3360" s="1">
        <f>VALUE(8415)</f>
        <v>8415</v>
      </c>
      <c r="M3360" s="8">
        <f>VALUE(9858)</f>
        <v>9858</v>
      </c>
      <c r="N3360" t="s">
        <v>25</v>
      </c>
    </row>
    <row r="3361" spans="1:14" x14ac:dyDescent="0.25">
      <c r="A3361" t="s">
        <v>41</v>
      </c>
      <c r="B3361" t="s">
        <v>15</v>
      </c>
      <c r="C3361" t="s">
        <v>38</v>
      </c>
      <c r="D3361" t="s">
        <v>28</v>
      </c>
      <c r="E3361" t="s">
        <v>21</v>
      </c>
      <c r="F3361" t="s">
        <v>20</v>
      </c>
      <c r="G3361" s="2">
        <f>VALUE(445.3473840193)</f>
        <v>445.34738401930002</v>
      </c>
      <c r="H3361" s="3">
        <f>VALUE(320.3753328551)</f>
        <v>320.3753328551</v>
      </c>
      <c r="I3361" s="4">
        <f>VALUE(4126)</f>
        <v>4126</v>
      </c>
      <c r="J3361" s="5">
        <f>VALUE(4878)</f>
        <v>4878</v>
      </c>
      <c r="K3361" s="6">
        <f>VALUE(6706)</f>
        <v>6706</v>
      </c>
      <c r="L3361" s="1">
        <f>VALUE(8230)</f>
        <v>8230</v>
      </c>
      <c r="M3361" s="1">
        <f>VALUE(10109)</f>
        <v>10109</v>
      </c>
      <c r="N3361" t="s">
        <v>25</v>
      </c>
    </row>
    <row r="3362" spans="1:14" x14ac:dyDescent="0.25">
      <c r="A3362" t="s">
        <v>41</v>
      </c>
      <c r="B3362" t="s">
        <v>15</v>
      </c>
      <c r="C3362" t="s">
        <v>38</v>
      </c>
      <c r="D3362" t="s">
        <v>28</v>
      </c>
      <c r="E3362" t="s">
        <v>22</v>
      </c>
      <c r="F3362" t="s">
        <v>15</v>
      </c>
      <c r="G3362" s="1">
        <f>VALUE(6618.8456834804)</f>
        <v>6618.8456834804001</v>
      </c>
      <c r="H3362" s="1">
        <f>VALUE(5505.1682194987)</f>
        <v>5505.1682194986997</v>
      </c>
      <c r="I3362" s="1">
        <f>VALUE(3974)</f>
        <v>3974</v>
      </c>
      <c r="J3362" s="1">
        <f>VALUE(4853)</f>
        <v>4853</v>
      </c>
      <c r="K3362" s="1">
        <f>VALUE(5938)</f>
        <v>5938</v>
      </c>
      <c r="L3362" s="1">
        <f>VALUE(7237)</f>
        <v>7237</v>
      </c>
      <c r="M3362" s="1">
        <f>VALUE(9435)</f>
        <v>9435</v>
      </c>
      <c r="N3362" t="s">
        <v>16</v>
      </c>
    </row>
    <row r="3363" spans="1:14" x14ac:dyDescent="0.25">
      <c r="A3363" t="s">
        <v>41</v>
      </c>
      <c r="B3363" t="s">
        <v>15</v>
      </c>
      <c r="C3363" t="s">
        <v>38</v>
      </c>
      <c r="D3363" t="s">
        <v>28</v>
      </c>
      <c r="E3363" t="s">
        <v>22</v>
      </c>
      <c r="F3363" t="s">
        <v>17</v>
      </c>
      <c r="G3363" s="2">
        <f>VALUE(1360.7219412282)</f>
        <v>1360.7219412282</v>
      </c>
      <c r="H3363" s="3">
        <f>VALUE(1286.0206159175)</f>
        <v>1286.0206159175</v>
      </c>
      <c r="I3363" s="4">
        <f>VALUE(4048)</f>
        <v>4048</v>
      </c>
      <c r="J3363" s="1">
        <f>VALUE(5605)</f>
        <v>5605</v>
      </c>
      <c r="K3363" s="1">
        <f>VALUE(7222)</f>
        <v>7222</v>
      </c>
      <c r="L3363" s="1">
        <f>VALUE(9725)</f>
        <v>9725</v>
      </c>
      <c r="M3363" s="8">
        <f>VALUE(13046)</f>
        <v>13046</v>
      </c>
      <c r="N3363" t="s">
        <v>25</v>
      </c>
    </row>
    <row r="3364" spans="1:14" x14ac:dyDescent="0.25">
      <c r="A3364" t="s">
        <v>41</v>
      </c>
      <c r="B3364" t="s">
        <v>15</v>
      </c>
      <c r="C3364" t="s">
        <v>38</v>
      </c>
      <c r="D3364" t="s">
        <v>28</v>
      </c>
      <c r="E3364" t="s">
        <v>22</v>
      </c>
      <c r="F3364" t="s">
        <v>18</v>
      </c>
      <c r="G3364" s="2">
        <f>VALUE(1000.1718872696)</f>
        <v>1000.1718872696</v>
      </c>
      <c r="H3364" s="3">
        <f>VALUE(789.579597588)</f>
        <v>789.57959758799996</v>
      </c>
      <c r="I3364" s="1">
        <f>VALUE(4439)</f>
        <v>4439</v>
      </c>
      <c r="J3364" s="1">
        <f>VALUE(5262)</f>
        <v>5262</v>
      </c>
      <c r="K3364" s="1">
        <f>VALUE(6094)</f>
        <v>6094</v>
      </c>
      <c r="L3364" s="1">
        <f>VALUE(7774)</f>
        <v>7774</v>
      </c>
      <c r="M3364" s="1">
        <f>VALUE(9554)</f>
        <v>9554</v>
      </c>
      <c r="N3364" t="s">
        <v>25</v>
      </c>
    </row>
    <row r="3365" spans="1:14" x14ac:dyDescent="0.25">
      <c r="A3365" t="s">
        <v>41</v>
      </c>
      <c r="B3365" t="s">
        <v>15</v>
      </c>
      <c r="C3365" t="s">
        <v>38</v>
      </c>
      <c r="D3365" t="s">
        <v>28</v>
      </c>
      <c r="E3365" t="s">
        <v>22</v>
      </c>
      <c r="F3365" t="s">
        <v>19</v>
      </c>
      <c r="G3365" s="2">
        <f>VALUE(1099.8503155646)</f>
        <v>1099.8503155645999</v>
      </c>
      <c r="H3365" s="3">
        <f>VALUE(907.0805267372)</f>
        <v>907.08052673719999</v>
      </c>
      <c r="I3365" s="4">
        <f>VALUE(3833)</f>
        <v>3833</v>
      </c>
      <c r="J3365" s="5">
        <f>VALUE(4516)</f>
        <v>4516</v>
      </c>
      <c r="K3365" s="1">
        <f>VALUE(5622)</f>
        <v>5622</v>
      </c>
      <c r="L3365" s="1">
        <f>VALUE(6874)</f>
        <v>6874</v>
      </c>
      <c r="M3365" s="1">
        <f>VALUE(7897)</f>
        <v>7897</v>
      </c>
      <c r="N3365" t="s">
        <v>25</v>
      </c>
    </row>
    <row r="3366" spans="1:14" x14ac:dyDescent="0.25">
      <c r="A3366" t="s">
        <v>41</v>
      </c>
      <c r="B3366" t="s">
        <v>15</v>
      </c>
      <c r="C3366" t="s">
        <v>38</v>
      </c>
      <c r="D3366" t="s">
        <v>28</v>
      </c>
      <c r="E3366" t="s">
        <v>22</v>
      </c>
      <c r="F3366" t="s">
        <v>20</v>
      </c>
      <c r="G3366" s="1">
        <f>VALUE(3158.101539418)</f>
        <v>3158.1015394179999</v>
      </c>
      <c r="H3366" s="1">
        <f>VALUE(2522.487479256)</f>
        <v>2522.4874792559999</v>
      </c>
      <c r="I3366" s="1">
        <f>VALUE(3897)</f>
        <v>3897</v>
      </c>
      <c r="J3366" s="1">
        <f>VALUE(4742)</f>
        <v>4742</v>
      </c>
      <c r="K3366" s="1">
        <f>VALUE(5571)</f>
        <v>5571</v>
      </c>
      <c r="L3366" s="1">
        <f>VALUE(6579)</f>
        <v>6579</v>
      </c>
      <c r="M3366" s="1">
        <f>VALUE(7540)</f>
        <v>7540</v>
      </c>
      <c r="N3366" t="s">
        <v>16</v>
      </c>
    </row>
    <row r="3367" spans="1:14" x14ac:dyDescent="0.25">
      <c r="A3367" t="s">
        <v>41</v>
      </c>
      <c r="B3367" t="s">
        <v>15</v>
      </c>
      <c r="C3367" t="s">
        <v>38</v>
      </c>
      <c r="D3367" t="s">
        <v>28</v>
      </c>
      <c r="E3367" t="s">
        <v>23</v>
      </c>
      <c r="F3367" t="s">
        <v>15</v>
      </c>
      <c r="G3367" s="1">
        <f>VALUE(2983.7431665039)</f>
        <v>2983.7431665038998</v>
      </c>
      <c r="H3367" s="1">
        <f>VALUE(2220.2191153254)</f>
        <v>2220.2191153253998</v>
      </c>
      <c r="I3367" s="1">
        <f>VALUE(3240)</f>
        <v>3240</v>
      </c>
      <c r="J3367" s="1">
        <f>VALUE(3872)</f>
        <v>3872</v>
      </c>
      <c r="K3367" s="1">
        <f>VALUE(4603)</f>
        <v>4603</v>
      </c>
      <c r="L3367" s="1">
        <f>VALUE(5510)</f>
        <v>5510</v>
      </c>
      <c r="M3367" s="1">
        <f>VALUE(6648)</f>
        <v>6648</v>
      </c>
      <c r="N3367" t="s">
        <v>16</v>
      </c>
    </row>
    <row r="3368" spans="1:14" x14ac:dyDescent="0.25">
      <c r="A3368" t="s">
        <v>41</v>
      </c>
      <c r="B3368" t="s">
        <v>15</v>
      </c>
      <c r="C3368" t="s">
        <v>38</v>
      </c>
      <c r="D3368" t="s">
        <v>28</v>
      </c>
      <c r="E3368" t="s">
        <v>23</v>
      </c>
      <c r="F3368" t="s">
        <v>17</v>
      </c>
      <c r="G3368" s="2">
        <f>VALUE(167.9845836069)</f>
        <v>167.9845836069</v>
      </c>
      <c r="H3368" s="3">
        <f>VALUE(148.2289112837)</f>
        <v>148.2289112837</v>
      </c>
      <c r="I3368" s="4">
        <f>VALUE(1273)</f>
        <v>1273</v>
      </c>
      <c r="J3368" s="5">
        <f>VALUE(3448)</f>
        <v>3448</v>
      </c>
      <c r="K3368" s="6">
        <f>VALUE(5617)</f>
        <v>5617</v>
      </c>
      <c r="L3368" s="7">
        <f>VALUE(11666)</f>
        <v>11666</v>
      </c>
      <c r="M3368" s="8">
        <f>VALUE(21139)</f>
        <v>21139</v>
      </c>
      <c r="N3368" t="s">
        <v>24</v>
      </c>
    </row>
    <row r="3369" spans="1:14" x14ac:dyDescent="0.25">
      <c r="A3369" t="s">
        <v>41</v>
      </c>
      <c r="B3369" t="s">
        <v>15</v>
      </c>
      <c r="C3369" t="s">
        <v>38</v>
      </c>
      <c r="D3369" t="s">
        <v>28</v>
      </c>
      <c r="E3369" t="s">
        <v>23</v>
      </c>
      <c r="F3369" t="s">
        <v>18</v>
      </c>
      <c r="G3369" s="2">
        <f>VALUE(188.5769433747)</f>
        <v>188.57694337469999</v>
      </c>
      <c r="H3369" s="3">
        <f>VALUE(139.3284578396)</f>
        <v>139.32845783959999</v>
      </c>
      <c r="I3369" s="1">
        <f>VALUE(3175)</f>
        <v>3175</v>
      </c>
      <c r="J3369" s="5">
        <f>VALUE(4063)</f>
        <v>4063</v>
      </c>
      <c r="K3369" s="1">
        <f>VALUE(5444)</f>
        <v>5444</v>
      </c>
      <c r="L3369" s="1">
        <f>VALUE(7285)</f>
        <v>7285</v>
      </c>
      <c r="M3369" s="1">
        <f>VALUE(9449)</f>
        <v>9449</v>
      </c>
      <c r="N3369" t="s">
        <v>25</v>
      </c>
    </row>
    <row r="3370" spans="1:14" x14ac:dyDescent="0.25">
      <c r="A3370" t="s">
        <v>41</v>
      </c>
      <c r="B3370" t="s">
        <v>15</v>
      </c>
      <c r="C3370" t="s">
        <v>38</v>
      </c>
      <c r="D3370" t="s">
        <v>28</v>
      </c>
      <c r="E3370" t="s">
        <v>23</v>
      </c>
      <c r="F3370" t="s">
        <v>19</v>
      </c>
      <c r="G3370" s="2">
        <f>VALUE(313.665854576)</f>
        <v>313.66585457600002</v>
      </c>
      <c r="H3370" s="3">
        <f>VALUE(255.6870171789)</f>
        <v>255.68701717889999</v>
      </c>
      <c r="I3370" s="4">
        <f>VALUE(3842)</f>
        <v>3842</v>
      </c>
      <c r="J3370" s="1">
        <f>VALUE(4333)</f>
        <v>4333</v>
      </c>
      <c r="K3370" s="1">
        <f>VALUE(5035)</f>
        <v>5035</v>
      </c>
      <c r="L3370" s="1">
        <f>VALUE(5815)</f>
        <v>5815</v>
      </c>
      <c r="M3370" s="1">
        <f>VALUE(6648)</f>
        <v>6648</v>
      </c>
      <c r="N3370" t="s">
        <v>25</v>
      </c>
    </row>
    <row r="3371" spans="1:14" x14ac:dyDescent="0.25">
      <c r="A3371" t="s">
        <v>41</v>
      </c>
      <c r="B3371" t="s">
        <v>15</v>
      </c>
      <c r="C3371" t="s">
        <v>38</v>
      </c>
      <c r="D3371" t="s">
        <v>28</v>
      </c>
      <c r="E3371" t="s">
        <v>23</v>
      </c>
      <c r="F3371" t="s">
        <v>20</v>
      </c>
      <c r="G3371" s="1">
        <f>VALUE(2313.5157849463)</f>
        <v>2313.5157849462998</v>
      </c>
      <c r="H3371" s="1">
        <f>VALUE(1676.9747290232)</f>
        <v>1676.9747290232001</v>
      </c>
      <c r="I3371" s="1">
        <f>VALUE(3170)</f>
        <v>3170</v>
      </c>
      <c r="J3371" s="1">
        <f>VALUE(3817)</f>
        <v>3817</v>
      </c>
      <c r="K3371" s="1">
        <f>VALUE(4439)</f>
        <v>4439</v>
      </c>
      <c r="L3371" s="1">
        <f>VALUE(5233)</f>
        <v>5233</v>
      </c>
      <c r="M3371" s="1">
        <f>VALUE(6005)</f>
        <v>6005</v>
      </c>
      <c r="N3371" t="s">
        <v>16</v>
      </c>
    </row>
    <row r="3372" spans="1:14" x14ac:dyDescent="0.25">
      <c r="A3372" t="s">
        <v>41</v>
      </c>
      <c r="B3372" t="s">
        <v>15</v>
      </c>
      <c r="C3372" t="s">
        <v>38</v>
      </c>
      <c r="D3372" t="s">
        <v>28</v>
      </c>
      <c r="E3372" t="s">
        <v>26</v>
      </c>
      <c r="F3372" t="s">
        <v>15</v>
      </c>
      <c r="G3372" s="1" t="str">
        <f t="shared" ref="G3372:M3374" si="711">"X"</f>
        <v>X</v>
      </c>
      <c r="H3372" s="1" t="str">
        <f t="shared" si="711"/>
        <v>X</v>
      </c>
      <c r="I3372" s="1" t="str">
        <f t="shared" si="711"/>
        <v>X</v>
      </c>
      <c r="J3372" s="1" t="str">
        <f t="shared" si="711"/>
        <v>X</v>
      </c>
      <c r="K3372" s="1" t="str">
        <f t="shared" si="711"/>
        <v>X</v>
      </c>
      <c r="L3372" s="1" t="str">
        <f t="shared" si="711"/>
        <v>X</v>
      </c>
      <c r="M3372" s="1" t="str">
        <f t="shared" si="711"/>
        <v>X</v>
      </c>
      <c r="N3372" t="s">
        <v>27</v>
      </c>
    </row>
    <row r="3373" spans="1:14" x14ac:dyDescent="0.25">
      <c r="A3373" t="s">
        <v>41</v>
      </c>
      <c r="B3373" t="s">
        <v>15</v>
      </c>
      <c r="C3373" t="s">
        <v>38</v>
      </c>
      <c r="D3373" t="s">
        <v>28</v>
      </c>
      <c r="E3373" t="s">
        <v>26</v>
      </c>
      <c r="F3373" t="s">
        <v>17</v>
      </c>
      <c r="G3373" s="1" t="str">
        <f t="shared" si="711"/>
        <v>X</v>
      </c>
      <c r="H3373" s="1" t="str">
        <f t="shared" si="711"/>
        <v>X</v>
      </c>
      <c r="I3373" s="1" t="str">
        <f t="shared" si="711"/>
        <v>X</v>
      </c>
      <c r="J3373" s="1" t="str">
        <f t="shared" si="711"/>
        <v>X</v>
      </c>
      <c r="K3373" s="1" t="str">
        <f t="shared" si="711"/>
        <v>X</v>
      </c>
      <c r="L3373" s="1" t="str">
        <f t="shared" si="711"/>
        <v>X</v>
      </c>
      <c r="M3373" s="1" t="str">
        <f t="shared" si="711"/>
        <v>X</v>
      </c>
      <c r="N3373" t="s">
        <v>27</v>
      </c>
    </row>
    <row r="3374" spans="1:14" x14ac:dyDescent="0.25">
      <c r="A3374" t="s">
        <v>41</v>
      </c>
      <c r="B3374" t="s">
        <v>15</v>
      </c>
      <c r="C3374" t="s">
        <v>38</v>
      </c>
      <c r="D3374" t="s">
        <v>28</v>
      </c>
      <c r="E3374" t="s">
        <v>26</v>
      </c>
      <c r="F3374" t="s">
        <v>18</v>
      </c>
      <c r="G3374" s="1" t="str">
        <f t="shared" si="711"/>
        <v>X</v>
      </c>
      <c r="H3374" s="1" t="str">
        <f t="shared" si="711"/>
        <v>X</v>
      </c>
      <c r="I3374" s="1" t="str">
        <f t="shared" si="711"/>
        <v>X</v>
      </c>
      <c r="J3374" s="1" t="str">
        <f t="shared" si="711"/>
        <v>X</v>
      </c>
      <c r="K3374" s="1" t="str">
        <f t="shared" si="711"/>
        <v>X</v>
      </c>
      <c r="L3374" s="1" t="str">
        <f t="shared" si="711"/>
        <v>X</v>
      </c>
      <c r="M3374" s="1" t="str">
        <f t="shared" si="711"/>
        <v>X</v>
      </c>
      <c r="N3374" t="s">
        <v>27</v>
      </c>
    </row>
    <row r="3375" spans="1:14" x14ac:dyDescent="0.25">
      <c r="A3375" t="s">
        <v>41</v>
      </c>
      <c r="B3375" t="s">
        <v>15</v>
      </c>
      <c r="C3375" t="s">
        <v>38</v>
      </c>
      <c r="D3375" t="s">
        <v>28</v>
      </c>
      <c r="E3375" t="s">
        <v>26</v>
      </c>
      <c r="F3375" t="s">
        <v>19</v>
      </c>
      <c r="G3375" s="1" t="str">
        <f t="shared" ref="G3375:M3375" si="712">"..."</f>
        <v>...</v>
      </c>
      <c r="H3375" s="1" t="str">
        <f t="shared" si="712"/>
        <v>...</v>
      </c>
      <c r="I3375" s="1" t="str">
        <f t="shared" si="712"/>
        <v>...</v>
      </c>
      <c r="J3375" s="1" t="str">
        <f t="shared" si="712"/>
        <v>...</v>
      </c>
      <c r="K3375" s="1" t="str">
        <f t="shared" si="712"/>
        <v>...</v>
      </c>
      <c r="L3375" s="1" t="str">
        <f t="shared" si="712"/>
        <v>...</v>
      </c>
      <c r="M3375" s="1" t="str">
        <f t="shared" si="712"/>
        <v>...</v>
      </c>
      <c r="N3375" t="s">
        <v>30</v>
      </c>
    </row>
    <row r="3376" spans="1:14" x14ac:dyDescent="0.25">
      <c r="A3376" t="s">
        <v>41</v>
      </c>
      <c r="B3376" t="s">
        <v>15</v>
      </c>
      <c r="C3376" t="s">
        <v>38</v>
      </c>
      <c r="D3376" t="s">
        <v>28</v>
      </c>
      <c r="E3376" t="s">
        <v>26</v>
      </c>
      <c r="F3376" t="s">
        <v>20</v>
      </c>
      <c r="G3376" s="1" t="str">
        <f t="shared" ref="G3376:M3376" si="713">"X"</f>
        <v>X</v>
      </c>
      <c r="H3376" s="1" t="str">
        <f t="shared" si="713"/>
        <v>X</v>
      </c>
      <c r="I3376" s="1" t="str">
        <f t="shared" si="713"/>
        <v>X</v>
      </c>
      <c r="J3376" s="1" t="str">
        <f t="shared" si="713"/>
        <v>X</v>
      </c>
      <c r="K3376" s="1" t="str">
        <f t="shared" si="713"/>
        <v>X</v>
      </c>
      <c r="L3376" s="1" t="str">
        <f t="shared" si="713"/>
        <v>X</v>
      </c>
      <c r="M3376" s="1" t="str">
        <f t="shared" si="713"/>
        <v>X</v>
      </c>
      <c r="N3376" t="s">
        <v>27</v>
      </c>
    </row>
    <row r="3377" spans="1:14" x14ac:dyDescent="0.25">
      <c r="A3377" t="s">
        <v>41</v>
      </c>
      <c r="B3377" t="s">
        <v>15</v>
      </c>
      <c r="C3377" t="s">
        <v>38</v>
      </c>
      <c r="D3377" t="s">
        <v>29</v>
      </c>
      <c r="E3377" t="s">
        <v>15</v>
      </c>
      <c r="F3377" t="s">
        <v>15</v>
      </c>
      <c r="G3377" s="1">
        <f>VALUE(4887.8800165931)</f>
        <v>4887.8800165930998</v>
      </c>
      <c r="H3377" s="1">
        <f>VALUE(4382.00124118)</f>
        <v>4382.0012411799999</v>
      </c>
      <c r="I3377" s="1">
        <f>VALUE(3490)</f>
        <v>3490</v>
      </c>
      <c r="J3377" s="1">
        <f>VALUE(4041)</f>
        <v>4041</v>
      </c>
      <c r="K3377" s="1">
        <f>VALUE(5198)</f>
        <v>5198</v>
      </c>
      <c r="L3377" s="1">
        <f>VALUE(6461)</f>
        <v>6461</v>
      </c>
      <c r="M3377" s="8">
        <f>VALUE(8720)</f>
        <v>8720</v>
      </c>
      <c r="N3377" t="s">
        <v>25</v>
      </c>
    </row>
    <row r="3378" spans="1:14" x14ac:dyDescent="0.25">
      <c r="A3378" t="s">
        <v>41</v>
      </c>
      <c r="B3378" t="s">
        <v>15</v>
      </c>
      <c r="C3378" t="s">
        <v>38</v>
      </c>
      <c r="D3378" t="s">
        <v>29</v>
      </c>
      <c r="E3378" t="s">
        <v>15</v>
      </c>
      <c r="F3378" t="s">
        <v>17</v>
      </c>
      <c r="G3378" s="2">
        <f>VALUE(774.3599452825)</f>
        <v>774.35994528250001</v>
      </c>
      <c r="H3378" s="3">
        <f>VALUE(760.6223646939)</f>
        <v>760.62236469389995</v>
      </c>
      <c r="I3378" s="4">
        <f>VALUE(3845)</f>
        <v>3845</v>
      </c>
      <c r="J3378" s="5">
        <f>VALUE(5592)</f>
        <v>5592</v>
      </c>
      <c r="K3378" s="6">
        <f>VALUE(7851)</f>
        <v>7851</v>
      </c>
      <c r="L3378" s="7">
        <f>VALUE(13333)</f>
        <v>13333</v>
      </c>
      <c r="M3378" s="8">
        <f>VALUE(20556)</f>
        <v>20556</v>
      </c>
      <c r="N3378" t="s">
        <v>24</v>
      </c>
    </row>
    <row r="3379" spans="1:14" x14ac:dyDescent="0.25">
      <c r="A3379" t="s">
        <v>41</v>
      </c>
      <c r="B3379" t="s">
        <v>15</v>
      </c>
      <c r="C3379" t="s">
        <v>38</v>
      </c>
      <c r="D3379" t="s">
        <v>29</v>
      </c>
      <c r="E3379" t="s">
        <v>15</v>
      </c>
      <c r="F3379" t="s">
        <v>18</v>
      </c>
      <c r="G3379" s="2">
        <f>VALUE(419.5020174299)</f>
        <v>419.50201742989998</v>
      </c>
      <c r="H3379" s="3">
        <f>VALUE(393.5289565658)</f>
        <v>393.5289565658</v>
      </c>
      <c r="I3379" s="1">
        <f>VALUE(3830)</f>
        <v>3830</v>
      </c>
      <c r="J3379" s="1">
        <f>VALUE(5127)</f>
        <v>5127</v>
      </c>
      <c r="K3379" s="6">
        <f>VALUE(6249)</f>
        <v>6249</v>
      </c>
      <c r="L3379" s="1">
        <f>VALUE(8472)</f>
        <v>8472</v>
      </c>
      <c r="M3379" s="8">
        <f>VALUE(10239)</f>
        <v>10239</v>
      </c>
      <c r="N3379" t="s">
        <v>25</v>
      </c>
    </row>
    <row r="3380" spans="1:14" x14ac:dyDescent="0.25">
      <c r="A3380" t="s">
        <v>41</v>
      </c>
      <c r="B3380" t="s">
        <v>15</v>
      </c>
      <c r="C3380" t="s">
        <v>38</v>
      </c>
      <c r="D3380" t="s">
        <v>29</v>
      </c>
      <c r="E3380" t="s">
        <v>15</v>
      </c>
      <c r="F3380" t="s">
        <v>19</v>
      </c>
      <c r="G3380" s="2">
        <f>VALUE(577.803031109)</f>
        <v>577.80303110900002</v>
      </c>
      <c r="H3380" s="3">
        <f>VALUE(518.470195008)</f>
        <v>518.47019500800002</v>
      </c>
      <c r="I3380" s="4">
        <f>VALUE(4133)</f>
        <v>4133</v>
      </c>
      <c r="J3380" s="1">
        <f>VALUE(4798)</f>
        <v>4798</v>
      </c>
      <c r="K3380" s="6">
        <f>VALUE(5690)</f>
        <v>5690</v>
      </c>
      <c r="L3380" s="1">
        <f>VALUE(6750)</f>
        <v>6750</v>
      </c>
      <c r="M3380" s="1">
        <f>VALUE(7564)</f>
        <v>7564</v>
      </c>
      <c r="N3380" t="s">
        <v>25</v>
      </c>
    </row>
    <row r="3381" spans="1:14" x14ac:dyDescent="0.25">
      <c r="A3381" t="s">
        <v>41</v>
      </c>
      <c r="B3381" t="s">
        <v>15</v>
      </c>
      <c r="C3381" t="s">
        <v>38</v>
      </c>
      <c r="D3381" t="s">
        <v>29</v>
      </c>
      <c r="E3381" t="s">
        <v>15</v>
      </c>
      <c r="F3381" t="s">
        <v>20</v>
      </c>
      <c r="G3381" s="1">
        <f>VALUE(3088.6262502847)</f>
        <v>3088.6262502846998</v>
      </c>
      <c r="H3381" s="1">
        <f>VALUE(2690.170525788)</f>
        <v>2690.1705257879998</v>
      </c>
      <c r="I3381" s="1">
        <f>VALUE(3381)</f>
        <v>3381</v>
      </c>
      <c r="J3381" s="1">
        <f>VALUE(3836)</f>
        <v>3836</v>
      </c>
      <c r="K3381" s="1">
        <f>VALUE(4733)</f>
        <v>4733</v>
      </c>
      <c r="L3381" s="1">
        <f>VALUE(5625)</f>
        <v>5625</v>
      </c>
      <c r="M3381" s="1">
        <f>VALUE(6360)</f>
        <v>6360</v>
      </c>
      <c r="N3381" t="s">
        <v>16</v>
      </c>
    </row>
    <row r="3382" spans="1:14" x14ac:dyDescent="0.25">
      <c r="A3382" t="s">
        <v>41</v>
      </c>
      <c r="B3382" t="s">
        <v>15</v>
      </c>
      <c r="C3382" t="s">
        <v>38</v>
      </c>
      <c r="D3382" t="s">
        <v>29</v>
      </c>
      <c r="E3382" t="s">
        <v>21</v>
      </c>
      <c r="F3382" t="s">
        <v>15</v>
      </c>
      <c r="G3382" s="2">
        <f>VALUE(647.5708925864)</f>
        <v>647.57089258639996</v>
      </c>
      <c r="H3382" s="3">
        <f>VALUE(575.058312407)</f>
        <v>575.05831240700002</v>
      </c>
      <c r="I3382" s="4">
        <f>VALUE(5181)</f>
        <v>5181</v>
      </c>
      <c r="J3382" s="5">
        <f>VALUE(6330)</f>
        <v>6330</v>
      </c>
      <c r="K3382" s="6">
        <f>VALUE(8962)</f>
        <v>8962</v>
      </c>
      <c r="L3382" s="7">
        <f>VALUE(15400)</f>
        <v>15400</v>
      </c>
      <c r="M3382" s="8">
        <f>VALUE(21176)</f>
        <v>21176</v>
      </c>
      <c r="N3382" t="s">
        <v>24</v>
      </c>
    </row>
    <row r="3383" spans="1:14" x14ac:dyDescent="0.25">
      <c r="A3383" t="s">
        <v>41</v>
      </c>
      <c r="B3383" t="s">
        <v>15</v>
      </c>
      <c r="C3383" t="s">
        <v>38</v>
      </c>
      <c r="D3383" t="s">
        <v>29</v>
      </c>
      <c r="E3383" t="s">
        <v>21</v>
      </c>
      <c r="F3383" t="s">
        <v>17</v>
      </c>
      <c r="G3383" s="2">
        <f>VALUE(346.1035913346)</f>
        <v>346.10359133460003</v>
      </c>
      <c r="H3383" s="3">
        <f>VALUE(329.9256936737)</f>
        <v>329.92569367369998</v>
      </c>
      <c r="I3383" s="4">
        <f>VALUE(5211)</f>
        <v>5211</v>
      </c>
      <c r="J3383" s="5">
        <f>VALUE(7438)</f>
        <v>7438</v>
      </c>
      <c r="K3383" s="6">
        <f>VALUE(12031)</f>
        <v>12031</v>
      </c>
      <c r="L3383" s="7">
        <f>VALUE(17886)</f>
        <v>17886</v>
      </c>
      <c r="M3383" s="8">
        <f>VALUE(25000)</f>
        <v>25000</v>
      </c>
      <c r="N3383" t="s">
        <v>24</v>
      </c>
    </row>
    <row r="3384" spans="1:14" x14ac:dyDescent="0.25">
      <c r="A3384" t="s">
        <v>41</v>
      </c>
      <c r="B3384" t="s">
        <v>15</v>
      </c>
      <c r="C3384" t="s">
        <v>38</v>
      </c>
      <c r="D3384" t="s">
        <v>29</v>
      </c>
      <c r="E3384" t="s">
        <v>21</v>
      </c>
      <c r="F3384" t="s">
        <v>18</v>
      </c>
      <c r="G3384" s="1" t="str">
        <f t="shared" ref="G3384:M3386" si="714">"X"</f>
        <v>X</v>
      </c>
      <c r="H3384" s="1" t="str">
        <f t="shared" si="714"/>
        <v>X</v>
      </c>
      <c r="I3384" s="1" t="str">
        <f t="shared" si="714"/>
        <v>X</v>
      </c>
      <c r="J3384" s="1" t="str">
        <f t="shared" si="714"/>
        <v>X</v>
      </c>
      <c r="K3384" s="1" t="str">
        <f t="shared" si="714"/>
        <v>X</v>
      </c>
      <c r="L3384" s="1" t="str">
        <f t="shared" si="714"/>
        <v>X</v>
      </c>
      <c r="M3384" s="1" t="str">
        <f t="shared" si="714"/>
        <v>X</v>
      </c>
      <c r="N3384" t="s">
        <v>27</v>
      </c>
    </row>
    <row r="3385" spans="1:14" x14ac:dyDescent="0.25">
      <c r="A3385" t="s">
        <v>41</v>
      </c>
      <c r="B3385" t="s">
        <v>15</v>
      </c>
      <c r="C3385" t="s">
        <v>38</v>
      </c>
      <c r="D3385" t="s">
        <v>29</v>
      </c>
      <c r="E3385" t="s">
        <v>21</v>
      </c>
      <c r="F3385" t="s">
        <v>19</v>
      </c>
      <c r="G3385" s="1" t="str">
        <f t="shared" si="714"/>
        <v>X</v>
      </c>
      <c r="H3385" s="1" t="str">
        <f t="shared" si="714"/>
        <v>X</v>
      </c>
      <c r="I3385" s="1" t="str">
        <f t="shared" si="714"/>
        <v>X</v>
      </c>
      <c r="J3385" s="1" t="str">
        <f t="shared" si="714"/>
        <v>X</v>
      </c>
      <c r="K3385" s="1" t="str">
        <f t="shared" si="714"/>
        <v>X</v>
      </c>
      <c r="L3385" s="1" t="str">
        <f t="shared" si="714"/>
        <v>X</v>
      </c>
      <c r="M3385" s="1" t="str">
        <f t="shared" si="714"/>
        <v>X</v>
      </c>
      <c r="N3385" t="s">
        <v>27</v>
      </c>
    </row>
    <row r="3386" spans="1:14" x14ac:dyDescent="0.25">
      <c r="A3386" t="s">
        <v>41</v>
      </c>
      <c r="B3386" t="s">
        <v>15</v>
      </c>
      <c r="C3386" t="s">
        <v>38</v>
      </c>
      <c r="D3386" t="s">
        <v>29</v>
      </c>
      <c r="E3386" t="s">
        <v>21</v>
      </c>
      <c r="F3386" t="s">
        <v>20</v>
      </c>
      <c r="G3386" s="1" t="str">
        <f t="shared" si="714"/>
        <v>X</v>
      </c>
      <c r="H3386" s="1" t="str">
        <f t="shared" si="714"/>
        <v>X</v>
      </c>
      <c r="I3386" s="1" t="str">
        <f t="shared" si="714"/>
        <v>X</v>
      </c>
      <c r="J3386" s="1" t="str">
        <f t="shared" si="714"/>
        <v>X</v>
      </c>
      <c r="K3386" s="1" t="str">
        <f t="shared" si="714"/>
        <v>X</v>
      </c>
      <c r="L3386" s="1" t="str">
        <f t="shared" si="714"/>
        <v>X</v>
      </c>
      <c r="M3386" s="1" t="str">
        <f t="shared" si="714"/>
        <v>X</v>
      </c>
      <c r="N3386" t="s">
        <v>27</v>
      </c>
    </row>
    <row r="3387" spans="1:14" x14ac:dyDescent="0.25">
      <c r="A3387" t="s">
        <v>41</v>
      </c>
      <c r="B3387" t="s">
        <v>15</v>
      </c>
      <c r="C3387" t="s">
        <v>38</v>
      </c>
      <c r="D3387" t="s">
        <v>29</v>
      </c>
      <c r="E3387" t="s">
        <v>22</v>
      </c>
      <c r="F3387" t="s">
        <v>15</v>
      </c>
      <c r="G3387" s="2">
        <f>VALUE(1144.331881263)</f>
        <v>1144.331881263</v>
      </c>
      <c r="H3387" s="3">
        <f>VALUE(1068.9496756132)</f>
        <v>1068.9496756132</v>
      </c>
      <c r="I3387" s="1">
        <f>VALUE(3809)</f>
        <v>3809</v>
      </c>
      <c r="J3387" s="1">
        <f>VALUE(4634)</f>
        <v>4634</v>
      </c>
      <c r="K3387" s="1">
        <f>VALUE(5679)</f>
        <v>5679</v>
      </c>
      <c r="L3387" s="1">
        <f>VALUE(6849)</f>
        <v>6849</v>
      </c>
      <c r="M3387" s="1">
        <f>VALUE(8071)</f>
        <v>8071</v>
      </c>
      <c r="N3387" t="s">
        <v>25</v>
      </c>
    </row>
    <row r="3388" spans="1:14" x14ac:dyDescent="0.25">
      <c r="A3388" t="s">
        <v>41</v>
      </c>
      <c r="B3388" t="s">
        <v>15</v>
      </c>
      <c r="C3388" t="s">
        <v>38</v>
      </c>
      <c r="D3388" t="s">
        <v>29</v>
      </c>
      <c r="E3388" t="s">
        <v>22</v>
      </c>
      <c r="F3388" t="s">
        <v>17</v>
      </c>
      <c r="G3388" s="2">
        <f>VALUE(219.1423957496)</f>
        <v>219.14239574960001</v>
      </c>
      <c r="H3388" s="3">
        <f>VALUE(215.7963606516)</f>
        <v>215.7963606516</v>
      </c>
      <c r="I3388" s="4">
        <f>VALUE(3500)</f>
        <v>3500</v>
      </c>
      <c r="J3388" s="5">
        <f>VALUE(4557)</f>
        <v>4557</v>
      </c>
      <c r="K3388" s="1">
        <f>VALUE(6740)</f>
        <v>6740</v>
      </c>
      <c r="L3388" s="7">
        <f>VALUE(8071)</f>
        <v>8071</v>
      </c>
      <c r="M3388" s="8">
        <f>VALUE(11917)</f>
        <v>11917</v>
      </c>
      <c r="N3388" t="s">
        <v>25</v>
      </c>
    </row>
    <row r="3389" spans="1:14" x14ac:dyDescent="0.25">
      <c r="A3389" t="s">
        <v>41</v>
      </c>
      <c r="B3389" t="s">
        <v>15</v>
      </c>
      <c r="C3389" t="s">
        <v>38</v>
      </c>
      <c r="D3389" t="s">
        <v>29</v>
      </c>
      <c r="E3389" t="s">
        <v>22</v>
      </c>
      <c r="F3389" t="s">
        <v>18</v>
      </c>
      <c r="G3389" s="2">
        <f>VALUE(152.9061859236)</f>
        <v>152.90618592359999</v>
      </c>
      <c r="H3389" s="3">
        <f>VALUE(143.1917401463)</f>
        <v>143.19174014629999</v>
      </c>
      <c r="I3389" s="1">
        <f>VALUE(3809)</f>
        <v>3809</v>
      </c>
      <c r="J3389" s="1">
        <f>VALUE(4931)</f>
        <v>4931</v>
      </c>
      <c r="K3389" s="1">
        <f>VALUE(5928)</f>
        <v>5928</v>
      </c>
      <c r="L3389" s="1">
        <f>VALUE(7546)</f>
        <v>7546</v>
      </c>
      <c r="M3389" s="8">
        <f>VALUE(8953)</f>
        <v>8953</v>
      </c>
      <c r="N3389" t="s">
        <v>25</v>
      </c>
    </row>
    <row r="3390" spans="1:14" x14ac:dyDescent="0.25">
      <c r="A3390" t="s">
        <v>41</v>
      </c>
      <c r="B3390" t="s">
        <v>15</v>
      </c>
      <c r="C3390" t="s">
        <v>38</v>
      </c>
      <c r="D3390" t="s">
        <v>29</v>
      </c>
      <c r="E3390" t="s">
        <v>22</v>
      </c>
      <c r="F3390" t="s">
        <v>19</v>
      </c>
      <c r="G3390" s="2">
        <f>VALUE(198.2537333922)</f>
        <v>198.25373339219999</v>
      </c>
      <c r="H3390" s="3">
        <f>VALUE(180.1363585724)</f>
        <v>180.13635857240001</v>
      </c>
      <c r="I3390" s="4">
        <f>VALUE(4734)</f>
        <v>4734</v>
      </c>
      <c r="J3390" s="1">
        <f>VALUE(5231)</f>
        <v>5231</v>
      </c>
      <c r="K3390" s="1">
        <f>VALUE(5861)</f>
        <v>5861</v>
      </c>
      <c r="L3390" s="1">
        <f>VALUE(6914)</f>
        <v>6914</v>
      </c>
      <c r="M3390" s="1">
        <f>VALUE(7504)</f>
        <v>7504</v>
      </c>
      <c r="N3390" t="s">
        <v>25</v>
      </c>
    </row>
    <row r="3391" spans="1:14" x14ac:dyDescent="0.25">
      <c r="A3391" t="s">
        <v>41</v>
      </c>
      <c r="B3391" t="s">
        <v>15</v>
      </c>
      <c r="C3391" t="s">
        <v>38</v>
      </c>
      <c r="D3391" t="s">
        <v>29</v>
      </c>
      <c r="E3391" t="s">
        <v>22</v>
      </c>
      <c r="F3391" t="s">
        <v>20</v>
      </c>
      <c r="G3391" s="2">
        <f>VALUE(574.0295661976)</f>
        <v>574.02956619760005</v>
      </c>
      <c r="H3391" s="3">
        <f>VALUE(529.8252162429)</f>
        <v>529.82521624289996</v>
      </c>
      <c r="I3391" s="4">
        <f>VALUE(3805)</f>
        <v>3805</v>
      </c>
      <c r="J3391" s="5">
        <f>VALUE(4467)</f>
        <v>4467</v>
      </c>
      <c r="K3391" s="1">
        <f>VALUE(5359)</f>
        <v>5359</v>
      </c>
      <c r="L3391" s="1">
        <f>VALUE(6085)</f>
        <v>6085</v>
      </c>
      <c r="M3391" s="1">
        <f>VALUE(7028)</f>
        <v>7028</v>
      </c>
      <c r="N3391" t="s">
        <v>25</v>
      </c>
    </row>
    <row r="3392" spans="1:14" x14ac:dyDescent="0.25">
      <c r="A3392" t="s">
        <v>41</v>
      </c>
      <c r="B3392" t="s">
        <v>15</v>
      </c>
      <c r="C3392" t="s">
        <v>38</v>
      </c>
      <c r="D3392" t="s">
        <v>29</v>
      </c>
      <c r="E3392" t="s">
        <v>23</v>
      </c>
      <c r="F3392" t="s">
        <v>15</v>
      </c>
      <c r="G3392" s="1">
        <f>VALUE(3026.300636868)</f>
        <v>3026.3006368679999</v>
      </c>
      <c r="H3392" s="1">
        <f>VALUE(2675.8778296091)</f>
        <v>2675.8778296091</v>
      </c>
      <c r="I3392" s="1">
        <f>VALUE(3400)</f>
        <v>3400</v>
      </c>
      <c r="J3392" s="1">
        <f>VALUE(3830)</f>
        <v>3830</v>
      </c>
      <c r="K3392" s="1">
        <f>VALUE(4708)</f>
        <v>4708</v>
      </c>
      <c r="L3392" s="1">
        <f>VALUE(5638)</f>
        <v>5638</v>
      </c>
      <c r="M3392" s="1">
        <f>VALUE(6573)</f>
        <v>6573</v>
      </c>
      <c r="N3392" t="s">
        <v>16</v>
      </c>
    </row>
    <row r="3393" spans="1:14" x14ac:dyDescent="0.25">
      <c r="A3393" t="s">
        <v>41</v>
      </c>
      <c r="B3393" t="s">
        <v>15</v>
      </c>
      <c r="C3393" t="s">
        <v>38</v>
      </c>
      <c r="D3393" t="s">
        <v>29</v>
      </c>
      <c r="E3393" t="s">
        <v>23</v>
      </c>
      <c r="F3393" t="s">
        <v>17</v>
      </c>
      <c r="G3393" s="1" t="str">
        <f t="shared" ref="G3393:M3394" si="715">"X"</f>
        <v>X</v>
      </c>
      <c r="H3393" s="1" t="str">
        <f t="shared" si="715"/>
        <v>X</v>
      </c>
      <c r="I3393" s="1" t="str">
        <f t="shared" si="715"/>
        <v>X</v>
      </c>
      <c r="J3393" s="1" t="str">
        <f t="shared" si="715"/>
        <v>X</v>
      </c>
      <c r="K3393" s="1" t="str">
        <f t="shared" si="715"/>
        <v>X</v>
      </c>
      <c r="L3393" s="1" t="str">
        <f t="shared" si="715"/>
        <v>X</v>
      </c>
      <c r="M3393" s="1" t="str">
        <f t="shared" si="715"/>
        <v>X</v>
      </c>
      <c r="N3393" t="s">
        <v>27</v>
      </c>
    </row>
    <row r="3394" spans="1:14" x14ac:dyDescent="0.25">
      <c r="A3394" t="s">
        <v>41</v>
      </c>
      <c r="B3394" t="s">
        <v>15</v>
      </c>
      <c r="C3394" t="s">
        <v>38</v>
      </c>
      <c r="D3394" t="s">
        <v>29</v>
      </c>
      <c r="E3394" t="s">
        <v>23</v>
      </c>
      <c r="F3394" t="s">
        <v>18</v>
      </c>
      <c r="G3394" s="1" t="str">
        <f t="shared" si="715"/>
        <v>X</v>
      </c>
      <c r="H3394" s="1" t="str">
        <f t="shared" si="715"/>
        <v>X</v>
      </c>
      <c r="I3394" s="1" t="str">
        <f t="shared" si="715"/>
        <v>X</v>
      </c>
      <c r="J3394" s="1" t="str">
        <f t="shared" si="715"/>
        <v>X</v>
      </c>
      <c r="K3394" s="1" t="str">
        <f t="shared" si="715"/>
        <v>X</v>
      </c>
      <c r="L3394" s="1" t="str">
        <f t="shared" si="715"/>
        <v>X</v>
      </c>
      <c r="M3394" s="1" t="str">
        <f t="shared" si="715"/>
        <v>X</v>
      </c>
      <c r="N3394" t="s">
        <v>27</v>
      </c>
    </row>
    <row r="3395" spans="1:14" x14ac:dyDescent="0.25">
      <c r="A3395" t="s">
        <v>41</v>
      </c>
      <c r="B3395" t="s">
        <v>15</v>
      </c>
      <c r="C3395" t="s">
        <v>38</v>
      </c>
      <c r="D3395" t="s">
        <v>29</v>
      </c>
      <c r="E3395" t="s">
        <v>23</v>
      </c>
      <c r="F3395" t="s">
        <v>19</v>
      </c>
      <c r="G3395" s="2">
        <f>VALUE(316.2710793006)</f>
        <v>316.27107930059998</v>
      </c>
      <c r="H3395" s="3">
        <f>VALUE(295.0432400953)</f>
        <v>295.04324009530001</v>
      </c>
      <c r="I3395" s="4">
        <f>VALUE(3766)</f>
        <v>3766</v>
      </c>
      <c r="J3395" s="1">
        <f>VALUE(4416)</f>
        <v>4416</v>
      </c>
      <c r="K3395" s="1">
        <f>VALUE(4988)</f>
        <v>4988</v>
      </c>
      <c r="L3395" s="7">
        <f>VALUE(6397)</f>
        <v>6397</v>
      </c>
      <c r="M3395" s="1">
        <f>VALUE(7163)</f>
        <v>7163</v>
      </c>
      <c r="N3395" t="s">
        <v>25</v>
      </c>
    </row>
    <row r="3396" spans="1:14" x14ac:dyDescent="0.25">
      <c r="A3396" t="s">
        <v>41</v>
      </c>
      <c r="B3396" t="s">
        <v>15</v>
      </c>
      <c r="C3396" t="s">
        <v>38</v>
      </c>
      <c r="D3396" t="s">
        <v>29</v>
      </c>
      <c r="E3396" t="s">
        <v>23</v>
      </c>
      <c r="F3396" t="s">
        <v>20</v>
      </c>
      <c r="G3396" s="1">
        <f>VALUE(2392.9595504322)</f>
        <v>2392.9595504322001</v>
      </c>
      <c r="H3396" s="1">
        <f>VALUE(2052.6844691946)</f>
        <v>2052.6844691945998</v>
      </c>
      <c r="I3396" s="1">
        <f>VALUE(3300)</f>
        <v>3300</v>
      </c>
      <c r="J3396" s="1">
        <f>VALUE(3684)</f>
        <v>3684</v>
      </c>
      <c r="K3396" s="1">
        <f>VALUE(4508)</f>
        <v>4508</v>
      </c>
      <c r="L3396" s="1">
        <f>VALUE(5398)</f>
        <v>5398</v>
      </c>
      <c r="M3396" s="1">
        <f>VALUE(6059)</f>
        <v>6059</v>
      </c>
      <c r="N3396" t="s">
        <v>16</v>
      </c>
    </row>
    <row r="3397" spans="1:14" x14ac:dyDescent="0.25">
      <c r="A3397" t="s">
        <v>41</v>
      </c>
      <c r="B3397" t="s">
        <v>15</v>
      </c>
      <c r="C3397" t="s">
        <v>38</v>
      </c>
      <c r="D3397" t="s">
        <v>29</v>
      </c>
      <c r="E3397" t="s">
        <v>26</v>
      </c>
      <c r="F3397" t="s">
        <v>15</v>
      </c>
      <c r="G3397" s="1" t="str">
        <f t="shared" ref="G3397:M3399" si="716">"X"</f>
        <v>X</v>
      </c>
      <c r="H3397" s="1" t="str">
        <f t="shared" si="716"/>
        <v>X</v>
      </c>
      <c r="I3397" s="1" t="str">
        <f t="shared" si="716"/>
        <v>X</v>
      </c>
      <c r="J3397" s="1" t="str">
        <f t="shared" si="716"/>
        <v>X</v>
      </c>
      <c r="K3397" s="1" t="str">
        <f t="shared" si="716"/>
        <v>X</v>
      </c>
      <c r="L3397" s="1" t="str">
        <f t="shared" si="716"/>
        <v>X</v>
      </c>
      <c r="M3397" s="1" t="str">
        <f t="shared" si="716"/>
        <v>X</v>
      </c>
      <c r="N3397" t="s">
        <v>27</v>
      </c>
    </row>
    <row r="3398" spans="1:14" x14ac:dyDescent="0.25">
      <c r="A3398" t="s">
        <v>41</v>
      </c>
      <c r="B3398" t="s">
        <v>15</v>
      </c>
      <c r="C3398" t="s">
        <v>38</v>
      </c>
      <c r="D3398" t="s">
        <v>29</v>
      </c>
      <c r="E3398" t="s">
        <v>26</v>
      </c>
      <c r="F3398" t="s">
        <v>17</v>
      </c>
      <c r="G3398" s="1" t="str">
        <f t="shared" si="716"/>
        <v>X</v>
      </c>
      <c r="H3398" s="1" t="str">
        <f t="shared" si="716"/>
        <v>X</v>
      </c>
      <c r="I3398" s="1" t="str">
        <f t="shared" si="716"/>
        <v>X</v>
      </c>
      <c r="J3398" s="1" t="str">
        <f t="shared" si="716"/>
        <v>X</v>
      </c>
      <c r="K3398" s="1" t="str">
        <f t="shared" si="716"/>
        <v>X</v>
      </c>
      <c r="L3398" s="1" t="str">
        <f t="shared" si="716"/>
        <v>X</v>
      </c>
      <c r="M3398" s="1" t="str">
        <f t="shared" si="716"/>
        <v>X</v>
      </c>
      <c r="N3398" t="s">
        <v>27</v>
      </c>
    </row>
    <row r="3399" spans="1:14" x14ac:dyDescent="0.25">
      <c r="A3399" t="s">
        <v>41</v>
      </c>
      <c r="B3399" t="s">
        <v>15</v>
      </c>
      <c r="C3399" t="s">
        <v>38</v>
      </c>
      <c r="D3399" t="s">
        <v>29</v>
      </c>
      <c r="E3399" t="s">
        <v>26</v>
      </c>
      <c r="F3399" t="s">
        <v>18</v>
      </c>
      <c r="G3399" s="1" t="str">
        <f t="shared" si="716"/>
        <v>X</v>
      </c>
      <c r="H3399" s="1" t="str">
        <f t="shared" si="716"/>
        <v>X</v>
      </c>
      <c r="I3399" s="1" t="str">
        <f t="shared" si="716"/>
        <v>X</v>
      </c>
      <c r="J3399" s="1" t="str">
        <f t="shared" si="716"/>
        <v>X</v>
      </c>
      <c r="K3399" s="1" t="str">
        <f t="shared" si="716"/>
        <v>X</v>
      </c>
      <c r="L3399" s="1" t="str">
        <f t="shared" si="716"/>
        <v>X</v>
      </c>
      <c r="M3399" s="1" t="str">
        <f t="shared" si="716"/>
        <v>X</v>
      </c>
      <c r="N3399" t="s">
        <v>27</v>
      </c>
    </row>
    <row r="3400" spans="1:14" x14ac:dyDescent="0.25">
      <c r="A3400" t="s">
        <v>41</v>
      </c>
      <c r="B3400" t="s">
        <v>15</v>
      </c>
      <c r="C3400" t="s">
        <v>38</v>
      </c>
      <c r="D3400" t="s">
        <v>29</v>
      </c>
      <c r="E3400" t="s">
        <v>26</v>
      </c>
      <c r="F3400" t="s">
        <v>19</v>
      </c>
      <c r="G3400" s="1" t="str">
        <f t="shared" ref="G3400:M3400" si="717">"..."</f>
        <v>...</v>
      </c>
      <c r="H3400" s="1" t="str">
        <f t="shared" si="717"/>
        <v>...</v>
      </c>
      <c r="I3400" s="1" t="str">
        <f t="shared" si="717"/>
        <v>...</v>
      </c>
      <c r="J3400" s="1" t="str">
        <f t="shared" si="717"/>
        <v>...</v>
      </c>
      <c r="K3400" s="1" t="str">
        <f t="shared" si="717"/>
        <v>...</v>
      </c>
      <c r="L3400" s="1" t="str">
        <f t="shared" si="717"/>
        <v>...</v>
      </c>
      <c r="M3400" s="1" t="str">
        <f t="shared" si="717"/>
        <v>...</v>
      </c>
      <c r="N3400" t="s">
        <v>30</v>
      </c>
    </row>
    <row r="3401" spans="1:14" x14ac:dyDescent="0.25">
      <c r="A3401" t="s">
        <v>41</v>
      </c>
      <c r="B3401" t="s">
        <v>15</v>
      </c>
      <c r="C3401" t="s">
        <v>38</v>
      </c>
      <c r="D3401" t="s">
        <v>29</v>
      </c>
      <c r="E3401" t="s">
        <v>26</v>
      </c>
      <c r="F3401" t="s">
        <v>20</v>
      </c>
      <c r="G3401" s="1" t="str">
        <f t="shared" ref="G3401:M3401" si="718">"X"</f>
        <v>X</v>
      </c>
      <c r="H3401" s="1" t="str">
        <f t="shared" si="718"/>
        <v>X</v>
      </c>
      <c r="I3401" s="1" t="str">
        <f t="shared" si="718"/>
        <v>X</v>
      </c>
      <c r="J3401" s="1" t="str">
        <f t="shared" si="718"/>
        <v>X</v>
      </c>
      <c r="K3401" s="1" t="str">
        <f t="shared" si="718"/>
        <v>X</v>
      </c>
      <c r="L3401" s="1" t="str">
        <f t="shared" si="718"/>
        <v>X</v>
      </c>
      <c r="M3401" s="1" t="str">
        <f t="shared" si="718"/>
        <v>X</v>
      </c>
      <c r="N3401" t="s">
        <v>27</v>
      </c>
    </row>
    <row r="3402" spans="1:14" x14ac:dyDescent="0.25">
      <c r="A3402" t="s">
        <v>41</v>
      </c>
      <c r="B3402" t="s">
        <v>15</v>
      </c>
      <c r="C3402" t="s">
        <v>38</v>
      </c>
      <c r="D3402" t="s">
        <v>31</v>
      </c>
      <c r="E3402" t="s">
        <v>15</v>
      </c>
      <c r="F3402" t="s">
        <v>15</v>
      </c>
      <c r="G3402" s="2">
        <f>VALUE(663.6673105048)</f>
        <v>663.66731050479996</v>
      </c>
      <c r="H3402" s="3">
        <f>VALUE(607.4818198617)</f>
        <v>607.48181986170005</v>
      </c>
      <c r="I3402" s="1">
        <f>VALUE(3640)</f>
        <v>3640</v>
      </c>
      <c r="J3402" s="1">
        <f>VALUE(4232)</f>
        <v>4232</v>
      </c>
      <c r="K3402" s="6">
        <f>VALUE(5025)</f>
        <v>5025</v>
      </c>
      <c r="L3402" s="7">
        <f>VALUE(8810)</f>
        <v>8810</v>
      </c>
      <c r="M3402" s="8">
        <f>VALUE(18253)</f>
        <v>18253</v>
      </c>
      <c r="N3402" t="s">
        <v>25</v>
      </c>
    </row>
    <row r="3403" spans="1:14" x14ac:dyDescent="0.25">
      <c r="A3403" t="s">
        <v>41</v>
      </c>
      <c r="B3403" t="s">
        <v>15</v>
      </c>
      <c r="C3403" t="s">
        <v>38</v>
      </c>
      <c r="D3403" t="s">
        <v>31</v>
      </c>
      <c r="E3403" t="s">
        <v>15</v>
      </c>
      <c r="F3403" t="s">
        <v>17</v>
      </c>
      <c r="G3403" s="2">
        <f>VALUE(154.3423248817)</f>
        <v>154.34232488169999</v>
      </c>
      <c r="H3403" s="3">
        <f>VALUE(154.4125268508)</f>
        <v>154.41252685079999</v>
      </c>
      <c r="I3403" s="1">
        <f>VALUE(5413)</f>
        <v>5413</v>
      </c>
      <c r="J3403" s="5">
        <f>VALUE(6530)</f>
        <v>6530</v>
      </c>
      <c r="K3403" s="6">
        <f>VALUE(14762)</f>
        <v>14762</v>
      </c>
      <c r="L3403" s="7">
        <f>VALUE(24022)</f>
        <v>24022</v>
      </c>
      <c r="M3403" s="8">
        <f>VALUE(38500)</f>
        <v>38500</v>
      </c>
      <c r="N3403" t="s">
        <v>25</v>
      </c>
    </row>
    <row r="3404" spans="1:14" x14ac:dyDescent="0.25">
      <c r="A3404" t="s">
        <v>41</v>
      </c>
      <c r="B3404" t="s">
        <v>15</v>
      </c>
      <c r="C3404" t="s">
        <v>38</v>
      </c>
      <c r="D3404" t="s">
        <v>31</v>
      </c>
      <c r="E3404" t="s">
        <v>15</v>
      </c>
      <c r="F3404" t="s">
        <v>18</v>
      </c>
      <c r="G3404" s="1" t="str">
        <f t="shared" ref="G3404:M3405" si="719">"X"</f>
        <v>X</v>
      </c>
      <c r="H3404" s="1" t="str">
        <f t="shared" si="719"/>
        <v>X</v>
      </c>
      <c r="I3404" s="1" t="str">
        <f t="shared" si="719"/>
        <v>X</v>
      </c>
      <c r="J3404" s="1" t="str">
        <f t="shared" si="719"/>
        <v>X</v>
      </c>
      <c r="K3404" s="1" t="str">
        <f t="shared" si="719"/>
        <v>X</v>
      </c>
      <c r="L3404" s="1" t="str">
        <f t="shared" si="719"/>
        <v>X</v>
      </c>
      <c r="M3404" s="1" t="str">
        <f t="shared" si="719"/>
        <v>X</v>
      </c>
      <c r="N3404" t="s">
        <v>27</v>
      </c>
    </row>
    <row r="3405" spans="1:14" x14ac:dyDescent="0.25">
      <c r="A3405" t="s">
        <v>41</v>
      </c>
      <c r="B3405" t="s">
        <v>15</v>
      </c>
      <c r="C3405" t="s">
        <v>38</v>
      </c>
      <c r="D3405" t="s">
        <v>31</v>
      </c>
      <c r="E3405" t="s">
        <v>15</v>
      </c>
      <c r="F3405" t="s">
        <v>19</v>
      </c>
      <c r="G3405" s="1" t="str">
        <f t="shared" si="719"/>
        <v>X</v>
      </c>
      <c r="H3405" s="1" t="str">
        <f t="shared" si="719"/>
        <v>X</v>
      </c>
      <c r="I3405" s="1" t="str">
        <f t="shared" si="719"/>
        <v>X</v>
      </c>
      <c r="J3405" s="1" t="str">
        <f t="shared" si="719"/>
        <v>X</v>
      </c>
      <c r="K3405" s="1" t="str">
        <f t="shared" si="719"/>
        <v>X</v>
      </c>
      <c r="L3405" s="1" t="str">
        <f t="shared" si="719"/>
        <v>X</v>
      </c>
      <c r="M3405" s="1" t="str">
        <f t="shared" si="719"/>
        <v>X</v>
      </c>
      <c r="N3405" t="s">
        <v>27</v>
      </c>
    </row>
    <row r="3406" spans="1:14" x14ac:dyDescent="0.25">
      <c r="A3406" t="s">
        <v>41</v>
      </c>
      <c r="B3406" t="s">
        <v>15</v>
      </c>
      <c r="C3406" t="s">
        <v>38</v>
      </c>
      <c r="D3406" t="s">
        <v>31</v>
      </c>
      <c r="E3406" t="s">
        <v>15</v>
      </c>
      <c r="F3406" t="s">
        <v>20</v>
      </c>
      <c r="G3406" s="2">
        <f>VALUE(394.9708570479)</f>
        <v>394.97085704789998</v>
      </c>
      <c r="H3406" s="3">
        <f>VALUE(346.241608679)</f>
        <v>346.24160867900002</v>
      </c>
      <c r="I3406" s="4">
        <f>VALUE(3358)</f>
        <v>3358</v>
      </c>
      <c r="J3406" s="5">
        <f>VALUE(3825)</f>
        <v>3825</v>
      </c>
      <c r="K3406" s="1">
        <f>VALUE(4481)</f>
        <v>4481</v>
      </c>
      <c r="L3406" s="7">
        <f>VALUE(5500)</f>
        <v>5500</v>
      </c>
      <c r="M3406" s="8">
        <f>VALUE(6467)</f>
        <v>6467</v>
      </c>
      <c r="N3406" t="s">
        <v>25</v>
      </c>
    </row>
    <row r="3407" spans="1:14" x14ac:dyDescent="0.25">
      <c r="A3407" t="s">
        <v>41</v>
      </c>
      <c r="B3407" t="s">
        <v>15</v>
      </c>
      <c r="C3407" t="s">
        <v>38</v>
      </c>
      <c r="D3407" t="s">
        <v>31</v>
      </c>
      <c r="E3407" t="s">
        <v>21</v>
      </c>
      <c r="F3407" t="s">
        <v>15</v>
      </c>
      <c r="G3407" s="2">
        <f>VALUE(194.7509787527)</f>
        <v>194.75097875270001</v>
      </c>
      <c r="H3407" s="3">
        <f>VALUE(185.620272253)</f>
        <v>185.620272253</v>
      </c>
      <c r="I3407" s="1">
        <f>VALUE(4508)</f>
        <v>4508</v>
      </c>
      <c r="J3407" s="1">
        <f>VALUE(5361)</f>
        <v>5361</v>
      </c>
      <c r="K3407" s="6">
        <f>VALUE(9127)</f>
        <v>9127</v>
      </c>
      <c r="L3407" s="7">
        <f>VALUE(20508)</f>
        <v>20508</v>
      </c>
      <c r="M3407" s="8">
        <f>VALUE(34179)</f>
        <v>34179</v>
      </c>
      <c r="N3407" t="s">
        <v>25</v>
      </c>
    </row>
    <row r="3408" spans="1:14" x14ac:dyDescent="0.25">
      <c r="A3408" t="s">
        <v>41</v>
      </c>
      <c r="B3408" t="s">
        <v>15</v>
      </c>
      <c r="C3408" t="s">
        <v>38</v>
      </c>
      <c r="D3408" t="s">
        <v>31</v>
      </c>
      <c r="E3408" t="s">
        <v>21</v>
      </c>
      <c r="F3408" t="s">
        <v>17</v>
      </c>
      <c r="G3408" s="1" t="str">
        <f t="shared" ref="G3408:M3416" si="720">"X"</f>
        <v>X</v>
      </c>
      <c r="H3408" s="1" t="str">
        <f t="shared" si="720"/>
        <v>X</v>
      </c>
      <c r="I3408" s="1" t="str">
        <f t="shared" si="720"/>
        <v>X</v>
      </c>
      <c r="J3408" s="1" t="str">
        <f t="shared" si="720"/>
        <v>X</v>
      </c>
      <c r="K3408" s="1" t="str">
        <f t="shared" si="720"/>
        <v>X</v>
      </c>
      <c r="L3408" s="1" t="str">
        <f t="shared" si="720"/>
        <v>X</v>
      </c>
      <c r="M3408" s="1" t="str">
        <f t="shared" si="720"/>
        <v>X</v>
      </c>
      <c r="N3408" t="s">
        <v>27</v>
      </c>
    </row>
    <row r="3409" spans="1:14" x14ac:dyDescent="0.25">
      <c r="A3409" t="s">
        <v>41</v>
      </c>
      <c r="B3409" t="s">
        <v>15</v>
      </c>
      <c r="C3409" t="s">
        <v>38</v>
      </c>
      <c r="D3409" t="s">
        <v>31</v>
      </c>
      <c r="E3409" t="s">
        <v>21</v>
      </c>
      <c r="F3409" t="s">
        <v>18</v>
      </c>
      <c r="G3409" s="1" t="str">
        <f t="shared" si="720"/>
        <v>X</v>
      </c>
      <c r="H3409" s="1" t="str">
        <f t="shared" si="720"/>
        <v>X</v>
      </c>
      <c r="I3409" s="1" t="str">
        <f t="shared" si="720"/>
        <v>X</v>
      </c>
      <c r="J3409" s="1" t="str">
        <f t="shared" si="720"/>
        <v>X</v>
      </c>
      <c r="K3409" s="1" t="str">
        <f t="shared" si="720"/>
        <v>X</v>
      </c>
      <c r="L3409" s="1" t="str">
        <f t="shared" si="720"/>
        <v>X</v>
      </c>
      <c r="M3409" s="1" t="str">
        <f t="shared" si="720"/>
        <v>X</v>
      </c>
      <c r="N3409" t="s">
        <v>27</v>
      </c>
    </row>
    <row r="3410" spans="1:14" x14ac:dyDescent="0.25">
      <c r="A3410" t="s">
        <v>41</v>
      </c>
      <c r="B3410" t="s">
        <v>15</v>
      </c>
      <c r="C3410" t="s">
        <v>38</v>
      </c>
      <c r="D3410" t="s">
        <v>31</v>
      </c>
      <c r="E3410" t="s">
        <v>21</v>
      </c>
      <c r="F3410" t="s">
        <v>19</v>
      </c>
      <c r="G3410" s="1" t="str">
        <f t="shared" si="720"/>
        <v>X</v>
      </c>
      <c r="H3410" s="1" t="str">
        <f t="shared" si="720"/>
        <v>X</v>
      </c>
      <c r="I3410" s="1" t="str">
        <f t="shared" si="720"/>
        <v>X</v>
      </c>
      <c r="J3410" s="1" t="str">
        <f t="shared" si="720"/>
        <v>X</v>
      </c>
      <c r="K3410" s="1" t="str">
        <f t="shared" si="720"/>
        <v>X</v>
      </c>
      <c r="L3410" s="1" t="str">
        <f t="shared" si="720"/>
        <v>X</v>
      </c>
      <c r="M3410" s="1" t="str">
        <f t="shared" si="720"/>
        <v>X</v>
      </c>
      <c r="N3410" t="s">
        <v>27</v>
      </c>
    </row>
    <row r="3411" spans="1:14" x14ac:dyDescent="0.25">
      <c r="A3411" t="s">
        <v>41</v>
      </c>
      <c r="B3411" t="s">
        <v>15</v>
      </c>
      <c r="C3411" t="s">
        <v>38</v>
      </c>
      <c r="D3411" t="s">
        <v>31</v>
      </c>
      <c r="E3411" t="s">
        <v>21</v>
      </c>
      <c r="F3411" t="s">
        <v>20</v>
      </c>
      <c r="G3411" s="1" t="str">
        <f t="shared" si="720"/>
        <v>X</v>
      </c>
      <c r="H3411" s="1" t="str">
        <f t="shared" si="720"/>
        <v>X</v>
      </c>
      <c r="I3411" s="1" t="str">
        <f t="shared" si="720"/>
        <v>X</v>
      </c>
      <c r="J3411" s="1" t="str">
        <f t="shared" si="720"/>
        <v>X</v>
      </c>
      <c r="K3411" s="1" t="str">
        <f t="shared" si="720"/>
        <v>X</v>
      </c>
      <c r="L3411" s="1" t="str">
        <f t="shared" si="720"/>
        <v>X</v>
      </c>
      <c r="M3411" s="1" t="str">
        <f t="shared" si="720"/>
        <v>X</v>
      </c>
      <c r="N3411" t="s">
        <v>27</v>
      </c>
    </row>
    <row r="3412" spans="1:14" x14ac:dyDescent="0.25">
      <c r="A3412" t="s">
        <v>41</v>
      </c>
      <c r="B3412" t="s">
        <v>15</v>
      </c>
      <c r="C3412" t="s">
        <v>38</v>
      </c>
      <c r="D3412" t="s">
        <v>31</v>
      </c>
      <c r="E3412" t="s">
        <v>22</v>
      </c>
      <c r="F3412" t="s">
        <v>15</v>
      </c>
      <c r="G3412" s="1" t="str">
        <f t="shared" si="720"/>
        <v>X</v>
      </c>
      <c r="H3412" s="1" t="str">
        <f t="shared" si="720"/>
        <v>X</v>
      </c>
      <c r="I3412" s="1" t="str">
        <f t="shared" si="720"/>
        <v>X</v>
      </c>
      <c r="J3412" s="1" t="str">
        <f t="shared" si="720"/>
        <v>X</v>
      </c>
      <c r="K3412" s="1" t="str">
        <f t="shared" si="720"/>
        <v>X</v>
      </c>
      <c r="L3412" s="1" t="str">
        <f t="shared" si="720"/>
        <v>X</v>
      </c>
      <c r="M3412" s="1" t="str">
        <f t="shared" si="720"/>
        <v>X</v>
      </c>
      <c r="N3412" t="s">
        <v>27</v>
      </c>
    </row>
    <row r="3413" spans="1:14" x14ac:dyDescent="0.25">
      <c r="A3413" t="s">
        <v>41</v>
      </c>
      <c r="B3413" t="s">
        <v>15</v>
      </c>
      <c r="C3413" t="s">
        <v>38</v>
      </c>
      <c r="D3413" t="s">
        <v>31</v>
      </c>
      <c r="E3413" t="s">
        <v>22</v>
      </c>
      <c r="F3413" t="s">
        <v>17</v>
      </c>
      <c r="G3413" s="1" t="str">
        <f t="shared" si="720"/>
        <v>X</v>
      </c>
      <c r="H3413" s="1" t="str">
        <f t="shared" si="720"/>
        <v>X</v>
      </c>
      <c r="I3413" s="1" t="str">
        <f t="shared" si="720"/>
        <v>X</v>
      </c>
      <c r="J3413" s="1" t="str">
        <f t="shared" si="720"/>
        <v>X</v>
      </c>
      <c r="K3413" s="1" t="str">
        <f t="shared" si="720"/>
        <v>X</v>
      </c>
      <c r="L3413" s="1" t="str">
        <f t="shared" si="720"/>
        <v>X</v>
      </c>
      <c r="M3413" s="1" t="str">
        <f t="shared" si="720"/>
        <v>X</v>
      </c>
      <c r="N3413" t="s">
        <v>27</v>
      </c>
    </row>
    <row r="3414" spans="1:14" x14ac:dyDescent="0.25">
      <c r="A3414" t="s">
        <v>41</v>
      </c>
      <c r="B3414" t="s">
        <v>15</v>
      </c>
      <c r="C3414" t="s">
        <v>38</v>
      </c>
      <c r="D3414" t="s">
        <v>31</v>
      </c>
      <c r="E3414" t="s">
        <v>22</v>
      </c>
      <c r="F3414" t="s">
        <v>18</v>
      </c>
      <c r="G3414" s="1" t="str">
        <f t="shared" si="720"/>
        <v>X</v>
      </c>
      <c r="H3414" s="1" t="str">
        <f t="shared" si="720"/>
        <v>X</v>
      </c>
      <c r="I3414" s="1" t="str">
        <f t="shared" si="720"/>
        <v>X</v>
      </c>
      <c r="J3414" s="1" t="str">
        <f t="shared" si="720"/>
        <v>X</v>
      </c>
      <c r="K3414" s="1" t="str">
        <f t="shared" si="720"/>
        <v>X</v>
      </c>
      <c r="L3414" s="1" t="str">
        <f t="shared" si="720"/>
        <v>X</v>
      </c>
      <c r="M3414" s="1" t="str">
        <f t="shared" si="720"/>
        <v>X</v>
      </c>
      <c r="N3414" t="s">
        <v>27</v>
      </c>
    </row>
    <row r="3415" spans="1:14" x14ac:dyDescent="0.25">
      <c r="A3415" t="s">
        <v>41</v>
      </c>
      <c r="B3415" t="s">
        <v>15</v>
      </c>
      <c r="C3415" t="s">
        <v>38</v>
      </c>
      <c r="D3415" t="s">
        <v>31</v>
      </c>
      <c r="E3415" t="s">
        <v>22</v>
      </c>
      <c r="F3415" t="s">
        <v>19</v>
      </c>
      <c r="G3415" s="1" t="str">
        <f t="shared" si="720"/>
        <v>X</v>
      </c>
      <c r="H3415" s="1" t="str">
        <f t="shared" si="720"/>
        <v>X</v>
      </c>
      <c r="I3415" s="1" t="str">
        <f t="shared" si="720"/>
        <v>X</v>
      </c>
      <c r="J3415" s="1" t="str">
        <f t="shared" si="720"/>
        <v>X</v>
      </c>
      <c r="K3415" s="1" t="str">
        <f t="shared" si="720"/>
        <v>X</v>
      </c>
      <c r="L3415" s="1" t="str">
        <f t="shared" si="720"/>
        <v>X</v>
      </c>
      <c r="M3415" s="1" t="str">
        <f t="shared" si="720"/>
        <v>X</v>
      </c>
      <c r="N3415" t="s">
        <v>27</v>
      </c>
    </row>
    <row r="3416" spans="1:14" x14ac:dyDescent="0.25">
      <c r="A3416" t="s">
        <v>41</v>
      </c>
      <c r="B3416" t="s">
        <v>15</v>
      </c>
      <c r="C3416" t="s">
        <v>38</v>
      </c>
      <c r="D3416" t="s">
        <v>31</v>
      </c>
      <c r="E3416" t="s">
        <v>22</v>
      </c>
      <c r="F3416" t="s">
        <v>20</v>
      </c>
      <c r="G3416" s="1" t="str">
        <f t="shared" si="720"/>
        <v>X</v>
      </c>
      <c r="H3416" s="1" t="str">
        <f t="shared" si="720"/>
        <v>X</v>
      </c>
      <c r="I3416" s="1" t="str">
        <f t="shared" si="720"/>
        <v>X</v>
      </c>
      <c r="J3416" s="1" t="str">
        <f t="shared" si="720"/>
        <v>X</v>
      </c>
      <c r="K3416" s="1" t="str">
        <f t="shared" si="720"/>
        <v>X</v>
      </c>
      <c r="L3416" s="1" t="str">
        <f t="shared" si="720"/>
        <v>X</v>
      </c>
      <c r="M3416" s="1" t="str">
        <f t="shared" si="720"/>
        <v>X</v>
      </c>
      <c r="N3416" t="s">
        <v>27</v>
      </c>
    </row>
    <row r="3417" spans="1:14" x14ac:dyDescent="0.25">
      <c r="A3417" t="s">
        <v>41</v>
      </c>
      <c r="B3417" t="s">
        <v>15</v>
      </c>
      <c r="C3417" t="s">
        <v>38</v>
      </c>
      <c r="D3417" t="s">
        <v>31</v>
      </c>
      <c r="E3417" t="s">
        <v>23</v>
      </c>
      <c r="F3417" t="s">
        <v>15</v>
      </c>
      <c r="G3417" s="2">
        <f>VALUE(329.2965083778)</f>
        <v>329.29650837780002</v>
      </c>
      <c r="H3417" s="3">
        <f>VALUE(290.0169518712)</f>
        <v>290.01695187119998</v>
      </c>
      <c r="I3417" s="4">
        <f>VALUE(3250)</f>
        <v>3250</v>
      </c>
      <c r="J3417" s="1">
        <f>VALUE(3800)</f>
        <v>3800</v>
      </c>
      <c r="K3417" s="1">
        <f>VALUE(4243)</f>
        <v>4243</v>
      </c>
      <c r="L3417" s="7">
        <f>VALUE(4850)</f>
        <v>4850</v>
      </c>
      <c r="M3417" s="1">
        <f>VALUE(5957)</f>
        <v>5957</v>
      </c>
      <c r="N3417" t="s">
        <v>25</v>
      </c>
    </row>
    <row r="3418" spans="1:14" x14ac:dyDescent="0.25">
      <c r="A3418" t="s">
        <v>41</v>
      </c>
      <c r="B3418" t="s">
        <v>15</v>
      </c>
      <c r="C3418" t="s">
        <v>38</v>
      </c>
      <c r="D3418" t="s">
        <v>31</v>
      </c>
      <c r="E3418" t="s">
        <v>23</v>
      </c>
      <c r="F3418" t="s">
        <v>17</v>
      </c>
      <c r="G3418" s="1" t="str">
        <f t="shared" ref="G3418:M3420" si="721">"X"</f>
        <v>X</v>
      </c>
      <c r="H3418" s="1" t="str">
        <f t="shared" si="721"/>
        <v>X</v>
      </c>
      <c r="I3418" s="1" t="str">
        <f t="shared" si="721"/>
        <v>X</v>
      </c>
      <c r="J3418" s="1" t="str">
        <f t="shared" si="721"/>
        <v>X</v>
      </c>
      <c r="K3418" s="1" t="str">
        <f t="shared" si="721"/>
        <v>X</v>
      </c>
      <c r="L3418" s="1" t="str">
        <f t="shared" si="721"/>
        <v>X</v>
      </c>
      <c r="M3418" s="1" t="str">
        <f t="shared" si="721"/>
        <v>X</v>
      </c>
      <c r="N3418" t="s">
        <v>27</v>
      </c>
    </row>
    <row r="3419" spans="1:14" x14ac:dyDescent="0.25">
      <c r="A3419" t="s">
        <v>41</v>
      </c>
      <c r="B3419" t="s">
        <v>15</v>
      </c>
      <c r="C3419" t="s">
        <v>38</v>
      </c>
      <c r="D3419" t="s">
        <v>31</v>
      </c>
      <c r="E3419" t="s">
        <v>23</v>
      </c>
      <c r="F3419" t="s">
        <v>18</v>
      </c>
      <c r="G3419" s="1" t="str">
        <f t="shared" si="721"/>
        <v>X</v>
      </c>
      <c r="H3419" s="1" t="str">
        <f t="shared" si="721"/>
        <v>X</v>
      </c>
      <c r="I3419" s="1" t="str">
        <f t="shared" si="721"/>
        <v>X</v>
      </c>
      <c r="J3419" s="1" t="str">
        <f t="shared" si="721"/>
        <v>X</v>
      </c>
      <c r="K3419" s="1" t="str">
        <f t="shared" si="721"/>
        <v>X</v>
      </c>
      <c r="L3419" s="1" t="str">
        <f t="shared" si="721"/>
        <v>X</v>
      </c>
      <c r="M3419" s="1" t="str">
        <f t="shared" si="721"/>
        <v>X</v>
      </c>
      <c r="N3419" t="s">
        <v>27</v>
      </c>
    </row>
    <row r="3420" spans="1:14" x14ac:dyDescent="0.25">
      <c r="A3420" t="s">
        <v>41</v>
      </c>
      <c r="B3420" t="s">
        <v>15</v>
      </c>
      <c r="C3420" t="s">
        <v>38</v>
      </c>
      <c r="D3420" t="s">
        <v>31</v>
      </c>
      <c r="E3420" t="s">
        <v>23</v>
      </c>
      <c r="F3420" t="s">
        <v>19</v>
      </c>
      <c r="G3420" s="1" t="str">
        <f t="shared" si="721"/>
        <v>X</v>
      </c>
      <c r="H3420" s="1" t="str">
        <f t="shared" si="721"/>
        <v>X</v>
      </c>
      <c r="I3420" s="1" t="str">
        <f t="shared" si="721"/>
        <v>X</v>
      </c>
      <c r="J3420" s="1" t="str">
        <f t="shared" si="721"/>
        <v>X</v>
      </c>
      <c r="K3420" s="1" t="str">
        <f t="shared" si="721"/>
        <v>X</v>
      </c>
      <c r="L3420" s="1" t="str">
        <f t="shared" si="721"/>
        <v>X</v>
      </c>
      <c r="M3420" s="1" t="str">
        <f t="shared" si="721"/>
        <v>X</v>
      </c>
      <c r="N3420" t="s">
        <v>27</v>
      </c>
    </row>
    <row r="3421" spans="1:14" x14ac:dyDescent="0.25">
      <c r="A3421" t="s">
        <v>41</v>
      </c>
      <c r="B3421" t="s">
        <v>15</v>
      </c>
      <c r="C3421" t="s">
        <v>38</v>
      </c>
      <c r="D3421" t="s">
        <v>31</v>
      </c>
      <c r="E3421" t="s">
        <v>23</v>
      </c>
      <c r="F3421" t="s">
        <v>20</v>
      </c>
      <c r="G3421" s="2">
        <f>VALUE(272.8228096087)</f>
        <v>272.82280960870003</v>
      </c>
      <c r="H3421" s="3">
        <f>VALUE(235.4169436516)</f>
        <v>235.41694365160001</v>
      </c>
      <c r="I3421" s="4">
        <f>VALUE(2931)</f>
        <v>2931</v>
      </c>
      <c r="J3421" s="1">
        <f>VALUE(3708)</f>
        <v>3708</v>
      </c>
      <c r="K3421" s="6">
        <f>VALUE(4261)</f>
        <v>4261</v>
      </c>
      <c r="L3421" s="7">
        <f>VALUE(4863)</f>
        <v>4863</v>
      </c>
      <c r="M3421" s="1">
        <f>VALUE(5847)</f>
        <v>5847</v>
      </c>
      <c r="N3421" t="s">
        <v>25</v>
      </c>
    </row>
    <row r="3422" spans="1:14" x14ac:dyDescent="0.25">
      <c r="A3422" t="s">
        <v>41</v>
      </c>
      <c r="B3422" t="s">
        <v>15</v>
      </c>
      <c r="C3422" t="s">
        <v>38</v>
      </c>
      <c r="D3422" t="s">
        <v>31</v>
      </c>
      <c r="E3422" t="s">
        <v>26</v>
      </c>
      <c r="F3422" t="s">
        <v>15</v>
      </c>
      <c r="G3422" s="1" t="str">
        <f t="shared" ref="G3422:M3424" si="722">"X"</f>
        <v>X</v>
      </c>
      <c r="H3422" s="1" t="str">
        <f t="shared" si="722"/>
        <v>X</v>
      </c>
      <c r="I3422" s="1" t="str">
        <f t="shared" si="722"/>
        <v>X</v>
      </c>
      <c r="J3422" s="1" t="str">
        <f t="shared" si="722"/>
        <v>X</v>
      </c>
      <c r="K3422" s="1" t="str">
        <f t="shared" si="722"/>
        <v>X</v>
      </c>
      <c r="L3422" s="1" t="str">
        <f t="shared" si="722"/>
        <v>X</v>
      </c>
      <c r="M3422" s="1" t="str">
        <f t="shared" si="722"/>
        <v>X</v>
      </c>
      <c r="N3422" t="s">
        <v>27</v>
      </c>
    </row>
    <row r="3423" spans="1:14" x14ac:dyDescent="0.25">
      <c r="A3423" t="s">
        <v>41</v>
      </c>
      <c r="B3423" t="s">
        <v>15</v>
      </c>
      <c r="C3423" t="s">
        <v>38</v>
      </c>
      <c r="D3423" t="s">
        <v>31</v>
      </c>
      <c r="E3423" t="s">
        <v>26</v>
      </c>
      <c r="F3423" t="s">
        <v>17</v>
      </c>
      <c r="G3423" s="1" t="str">
        <f t="shared" si="722"/>
        <v>X</v>
      </c>
      <c r="H3423" s="1" t="str">
        <f t="shared" si="722"/>
        <v>X</v>
      </c>
      <c r="I3423" s="1" t="str">
        <f t="shared" si="722"/>
        <v>X</v>
      </c>
      <c r="J3423" s="1" t="str">
        <f t="shared" si="722"/>
        <v>X</v>
      </c>
      <c r="K3423" s="1" t="str">
        <f t="shared" si="722"/>
        <v>X</v>
      </c>
      <c r="L3423" s="1" t="str">
        <f t="shared" si="722"/>
        <v>X</v>
      </c>
      <c r="M3423" s="1" t="str">
        <f t="shared" si="722"/>
        <v>X</v>
      </c>
      <c r="N3423" t="s">
        <v>27</v>
      </c>
    </row>
    <row r="3424" spans="1:14" x14ac:dyDescent="0.25">
      <c r="A3424" t="s">
        <v>41</v>
      </c>
      <c r="B3424" t="s">
        <v>15</v>
      </c>
      <c r="C3424" t="s">
        <v>38</v>
      </c>
      <c r="D3424" t="s">
        <v>31</v>
      </c>
      <c r="E3424" t="s">
        <v>26</v>
      </c>
      <c r="F3424" t="s">
        <v>18</v>
      </c>
      <c r="G3424" s="1" t="str">
        <f t="shared" si="722"/>
        <v>X</v>
      </c>
      <c r="H3424" s="1" t="str">
        <f t="shared" si="722"/>
        <v>X</v>
      </c>
      <c r="I3424" s="1" t="str">
        <f t="shared" si="722"/>
        <v>X</v>
      </c>
      <c r="J3424" s="1" t="str">
        <f t="shared" si="722"/>
        <v>X</v>
      </c>
      <c r="K3424" s="1" t="str">
        <f t="shared" si="722"/>
        <v>X</v>
      </c>
      <c r="L3424" s="1" t="str">
        <f t="shared" si="722"/>
        <v>X</v>
      </c>
      <c r="M3424" s="1" t="str">
        <f t="shared" si="722"/>
        <v>X</v>
      </c>
      <c r="N3424" t="s">
        <v>27</v>
      </c>
    </row>
    <row r="3425" spans="1:14" x14ac:dyDescent="0.25">
      <c r="A3425" t="s">
        <v>41</v>
      </c>
      <c r="B3425" t="s">
        <v>15</v>
      </c>
      <c r="C3425" t="s">
        <v>38</v>
      </c>
      <c r="D3425" t="s">
        <v>31</v>
      </c>
      <c r="E3425" t="s">
        <v>26</v>
      </c>
      <c r="F3425" t="s">
        <v>19</v>
      </c>
      <c r="G3425" s="1" t="str">
        <f t="shared" ref="G3425:M3425" si="723">"..."</f>
        <v>...</v>
      </c>
      <c r="H3425" s="1" t="str">
        <f t="shared" si="723"/>
        <v>...</v>
      </c>
      <c r="I3425" s="1" t="str">
        <f t="shared" si="723"/>
        <v>...</v>
      </c>
      <c r="J3425" s="1" t="str">
        <f t="shared" si="723"/>
        <v>...</v>
      </c>
      <c r="K3425" s="1" t="str">
        <f t="shared" si="723"/>
        <v>...</v>
      </c>
      <c r="L3425" s="1" t="str">
        <f t="shared" si="723"/>
        <v>...</v>
      </c>
      <c r="M3425" s="1" t="str">
        <f t="shared" si="723"/>
        <v>...</v>
      </c>
      <c r="N3425" t="s">
        <v>30</v>
      </c>
    </row>
    <row r="3426" spans="1:14" x14ac:dyDescent="0.25">
      <c r="A3426" t="s">
        <v>41</v>
      </c>
      <c r="B3426" t="s">
        <v>15</v>
      </c>
      <c r="C3426" t="s">
        <v>38</v>
      </c>
      <c r="D3426" t="s">
        <v>31</v>
      </c>
      <c r="E3426" t="s">
        <v>26</v>
      </c>
      <c r="F3426" t="s">
        <v>20</v>
      </c>
      <c r="G3426" s="1" t="str">
        <f t="shared" ref="G3426:M3426" si="724">"X"</f>
        <v>X</v>
      </c>
      <c r="H3426" s="1" t="str">
        <f t="shared" si="724"/>
        <v>X</v>
      </c>
      <c r="I3426" s="1" t="str">
        <f t="shared" si="724"/>
        <v>X</v>
      </c>
      <c r="J3426" s="1" t="str">
        <f t="shared" si="724"/>
        <v>X</v>
      </c>
      <c r="K3426" s="1" t="str">
        <f t="shared" si="724"/>
        <v>X</v>
      </c>
      <c r="L3426" s="1" t="str">
        <f t="shared" si="724"/>
        <v>X</v>
      </c>
      <c r="M3426" s="1" t="str">
        <f t="shared" si="724"/>
        <v>X</v>
      </c>
      <c r="N3426" t="s">
        <v>27</v>
      </c>
    </row>
    <row r="3427" spans="1:14" x14ac:dyDescent="0.25">
      <c r="A3427" t="s">
        <v>41</v>
      </c>
      <c r="B3427" t="s">
        <v>15</v>
      </c>
      <c r="C3427" t="s">
        <v>38</v>
      </c>
      <c r="D3427" t="s">
        <v>32</v>
      </c>
      <c r="E3427" t="s">
        <v>15</v>
      </c>
      <c r="F3427" t="s">
        <v>15</v>
      </c>
      <c r="G3427" s="1">
        <f>VALUE(7810.4478868923)</f>
        <v>7810.4478868922997</v>
      </c>
      <c r="H3427" s="1">
        <f>VALUE(7388.3137090035)</f>
        <v>7388.3137090034998</v>
      </c>
      <c r="I3427" s="1">
        <f>VALUE(2924)</f>
        <v>2924</v>
      </c>
      <c r="J3427" s="1">
        <f>VALUE(3836)</f>
        <v>3836</v>
      </c>
      <c r="K3427" s="1">
        <f>VALUE(4951)</f>
        <v>4951</v>
      </c>
      <c r="L3427" s="1">
        <f>VALUE(6043)</f>
        <v>6043</v>
      </c>
      <c r="M3427" s="1">
        <f>VALUE(7398)</f>
        <v>7398</v>
      </c>
      <c r="N3427" t="s">
        <v>16</v>
      </c>
    </row>
    <row r="3428" spans="1:14" x14ac:dyDescent="0.25">
      <c r="A3428" t="s">
        <v>41</v>
      </c>
      <c r="B3428" t="s">
        <v>15</v>
      </c>
      <c r="C3428" t="s">
        <v>38</v>
      </c>
      <c r="D3428" t="s">
        <v>32</v>
      </c>
      <c r="E3428" t="s">
        <v>15</v>
      </c>
      <c r="F3428" t="s">
        <v>17</v>
      </c>
      <c r="G3428" s="2">
        <f>VALUE(838.3511274336)</f>
        <v>838.35112743360003</v>
      </c>
      <c r="H3428" s="3">
        <f>VALUE(803.9966593914)</f>
        <v>803.99665939140004</v>
      </c>
      <c r="I3428" s="4">
        <f>VALUE(4264)</f>
        <v>4264</v>
      </c>
      <c r="J3428" s="5">
        <f>VALUE(5159)</f>
        <v>5159</v>
      </c>
      <c r="K3428" s="6">
        <f>VALUE(6935)</f>
        <v>6935</v>
      </c>
      <c r="L3428" s="7">
        <f>VALUE(9667)</f>
        <v>9667</v>
      </c>
      <c r="M3428" s="8">
        <f>VALUE(14921)</f>
        <v>14921</v>
      </c>
      <c r="N3428" t="s">
        <v>24</v>
      </c>
    </row>
    <row r="3429" spans="1:14" x14ac:dyDescent="0.25">
      <c r="A3429" t="s">
        <v>41</v>
      </c>
      <c r="B3429" t="s">
        <v>15</v>
      </c>
      <c r="C3429" t="s">
        <v>38</v>
      </c>
      <c r="D3429" t="s">
        <v>32</v>
      </c>
      <c r="E3429" t="s">
        <v>15</v>
      </c>
      <c r="F3429" t="s">
        <v>18</v>
      </c>
      <c r="G3429" s="2">
        <f>VALUE(795.5587169719)</f>
        <v>795.55871697190003</v>
      </c>
      <c r="H3429" s="3">
        <f>VALUE(741.7132939228)</f>
        <v>741.71329392279995</v>
      </c>
      <c r="I3429" s="4">
        <f>VALUE(3378)</f>
        <v>3378</v>
      </c>
      <c r="J3429" s="5">
        <f>VALUE(4598)</f>
        <v>4598</v>
      </c>
      <c r="K3429" s="1">
        <f>VALUE(5742)</f>
        <v>5742</v>
      </c>
      <c r="L3429" s="1">
        <f>VALUE(7183)</f>
        <v>7183</v>
      </c>
      <c r="M3429" s="1">
        <f>VALUE(8340)</f>
        <v>8340</v>
      </c>
      <c r="N3429" t="s">
        <v>25</v>
      </c>
    </row>
    <row r="3430" spans="1:14" x14ac:dyDescent="0.25">
      <c r="A3430" t="s">
        <v>41</v>
      </c>
      <c r="B3430" t="s">
        <v>15</v>
      </c>
      <c r="C3430" t="s">
        <v>38</v>
      </c>
      <c r="D3430" t="s">
        <v>32</v>
      </c>
      <c r="E3430" t="s">
        <v>15</v>
      </c>
      <c r="F3430" t="s">
        <v>19</v>
      </c>
      <c r="G3430" s="2">
        <f>VALUE(1021.9015103471)</f>
        <v>1021.9015103471</v>
      </c>
      <c r="H3430" s="3">
        <f>VALUE(973.9147093209)</f>
        <v>973.91470932089999</v>
      </c>
      <c r="I3430" s="1">
        <f>VALUE(3732)</f>
        <v>3732</v>
      </c>
      <c r="J3430" s="1">
        <f>VALUE(4333)</f>
        <v>4333</v>
      </c>
      <c r="K3430" s="1">
        <f>VALUE(5108)</f>
        <v>5108</v>
      </c>
      <c r="L3430" s="1">
        <f>VALUE(6397)</f>
        <v>6397</v>
      </c>
      <c r="M3430" s="1">
        <f>VALUE(7353)</f>
        <v>7353</v>
      </c>
      <c r="N3430" t="s">
        <v>25</v>
      </c>
    </row>
    <row r="3431" spans="1:14" x14ac:dyDescent="0.25">
      <c r="A3431" t="s">
        <v>41</v>
      </c>
      <c r="B3431" t="s">
        <v>15</v>
      </c>
      <c r="C3431" t="s">
        <v>38</v>
      </c>
      <c r="D3431" t="s">
        <v>32</v>
      </c>
      <c r="E3431" t="s">
        <v>15</v>
      </c>
      <c r="F3431" t="s">
        <v>20</v>
      </c>
      <c r="G3431" s="1">
        <f>VALUE(5154.6365321397)</f>
        <v>5154.6365321396997</v>
      </c>
      <c r="H3431" s="1">
        <f>VALUE(4868.6890463684)</f>
        <v>4868.6890463684003</v>
      </c>
      <c r="I3431" s="1">
        <f>VALUE(2750)</f>
        <v>2750</v>
      </c>
      <c r="J3431" s="1">
        <f>VALUE(3447)</f>
        <v>3447</v>
      </c>
      <c r="K3431" s="1">
        <f>VALUE(4550)</f>
        <v>4550</v>
      </c>
      <c r="L3431" s="1">
        <f>VALUE(5565)</f>
        <v>5565</v>
      </c>
      <c r="M3431" s="1">
        <f>VALUE(6286)</f>
        <v>6286</v>
      </c>
      <c r="N3431" t="s">
        <v>16</v>
      </c>
    </row>
    <row r="3432" spans="1:14" x14ac:dyDescent="0.25">
      <c r="A3432" t="s">
        <v>41</v>
      </c>
      <c r="B3432" t="s">
        <v>15</v>
      </c>
      <c r="C3432" t="s">
        <v>38</v>
      </c>
      <c r="D3432" t="s">
        <v>32</v>
      </c>
      <c r="E3432" t="s">
        <v>21</v>
      </c>
      <c r="F3432" t="s">
        <v>15</v>
      </c>
      <c r="G3432" s="2">
        <f>VALUE(910.6103914206)</f>
        <v>910.61039142059997</v>
      </c>
      <c r="H3432" s="3">
        <f>VALUE(824.7198358323)</f>
        <v>824.71983583229996</v>
      </c>
      <c r="I3432" s="4">
        <f>VALUE(3765)</f>
        <v>3765</v>
      </c>
      <c r="J3432" s="5">
        <f>VALUE(5004)</f>
        <v>5004</v>
      </c>
      <c r="K3432" s="1">
        <f>VALUE(7003)</f>
        <v>7003</v>
      </c>
      <c r="L3432" s="1">
        <f>VALUE(9297)</f>
        <v>9297</v>
      </c>
      <c r="M3432" s="8">
        <f>VALUE(14286)</f>
        <v>14286</v>
      </c>
      <c r="N3432" t="s">
        <v>25</v>
      </c>
    </row>
    <row r="3433" spans="1:14" x14ac:dyDescent="0.25">
      <c r="A3433" t="s">
        <v>41</v>
      </c>
      <c r="B3433" t="s">
        <v>15</v>
      </c>
      <c r="C3433" t="s">
        <v>38</v>
      </c>
      <c r="D3433" t="s">
        <v>32</v>
      </c>
      <c r="E3433" t="s">
        <v>21</v>
      </c>
      <c r="F3433" t="s">
        <v>17</v>
      </c>
      <c r="G3433" s="2">
        <f>VALUE(383.2659316265)</f>
        <v>383.26593162649999</v>
      </c>
      <c r="H3433" s="3">
        <f>VALUE(359.5677818279)</f>
        <v>359.56778182789998</v>
      </c>
      <c r="I3433" s="4">
        <f>VALUE(4894)</f>
        <v>4894</v>
      </c>
      <c r="J3433" s="5">
        <f>VALUE(6251)</f>
        <v>6251</v>
      </c>
      <c r="K3433" s="6">
        <f>VALUE(8270)</f>
        <v>8270</v>
      </c>
      <c r="L3433" s="7">
        <f>VALUE(13412)</f>
        <v>13412</v>
      </c>
      <c r="M3433" s="8">
        <f>VALUE(21246)</f>
        <v>21246</v>
      </c>
      <c r="N3433" t="s">
        <v>24</v>
      </c>
    </row>
    <row r="3434" spans="1:14" x14ac:dyDescent="0.25">
      <c r="A3434" t="s">
        <v>41</v>
      </c>
      <c r="B3434" t="s">
        <v>15</v>
      </c>
      <c r="C3434" t="s">
        <v>38</v>
      </c>
      <c r="D3434" t="s">
        <v>32</v>
      </c>
      <c r="E3434" t="s">
        <v>21</v>
      </c>
      <c r="F3434" t="s">
        <v>18</v>
      </c>
      <c r="G3434" s="2">
        <f>VALUE(203.3888743029)</f>
        <v>203.38887430290001</v>
      </c>
      <c r="H3434" s="3">
        <f>VALUE(180.4006919791)</f>
        <v>180.4006919791</v>
      </c>
      <c r="I3434" s="1">
        <f>VALUE(2605)</f>
        <v>2605</v>
      </c>
      <c r="J3434" s="5">
        <f>VALUE(4454)</f>
        <v>4454</v>
      </c>
      <c r="K3434" s="1">
        <f>VALUE(6875)</f>
        <v>6875</v>
      </c>
      <c r="L3434" s="1">
        <f>VALUE(8236)</f>
        <v>8236</v>
      </c>
      <c r="M3434" s="8">
        <f>VALUE(9530)</f>
        <v>9530</v>
      </c>
      <c r="N3434" t="s">
        <v>25</v>
      </c>
    </row>
    <row r="3435" spans="1:14" x14ac:dyDescent="0.25">
      <c r="A3435" t="s">
        <v>41</v>
      </c>
      <c r="B3435" t="s">
        <v>15</v>
      </c>
      <c r="C3435" t="s">
        <v>38</v>
      </c>
      <c r="D3435" t="s">
        <v>32</v>
      </c>
      <c r="E3435" t="s">
        <v>21</v>
      </c>
      <c r="F3435" t="s">
        <v>19</v>
      </c>
      <c r="G3435" s="1" t="str">
        <f t="shared" ref="G3435:M3435" si="725">"X"</f>
        <v>X</v>
      </c>
      <c r="H3435" s="1" t="str">
        <f t="shared" si="725"/>
        <v>X</v>
      </c>
      <c r="I3435" s="1" t="str">
        <f t="shared" si="725"/>
        <v>X</v>
      </c>
      <c r="J3435" s="1" t="str">
        <f t="shared" si="725"/>
        <v>X</v>
      </c>
      <c r="K3435" s="1" t="str">
        <f t="shared" si="725"/>
        <v>X</v>
      </c>
      <c r="L3435" s="1" t="str">
        <f t="shared" si="725"/>
        <v>X</v>
      </c>
      <c r="M3435" s="1" t="str">
        <f t="shared" si="725"/>
        <v>X</v>
      </c>
      <c r="N3435" t="s">
        <v>27</v>
      </c>
    </row>
    <row r="3436" spans="1:14" x14ac:dyDescent="0.25">
      <c r="A3436" t="s">
        <v>41</v>
      </c>
      <c r="B3436" t="s">
        <v>15</v>
      </c>
      <c r="C3436" t="s">
        <v>38</v>
      </c>
      <c r="D3436" t="s">
        <v>32</v>
      </c>
      <c r="E3436" t="s">
        <v>21</v>
      </c>
      <c r="F3436" t="s">
        <v>20</v>
      </c>
      <c r="G3436" s="2">
        <f>VALUE(191.975375316)</f>
        <v>191.975375316</v>
      </c>
      <c r="H3436" s="3">
        <f>VALUE(178.8604346262)</f>
        <v>178.8604346262</v>
      </c>
      <c r="I3436" s="1">
        <f>VALUE(3258)</f>
        <v>3258</v>
      </c>
      <c r="J3436" s="5">
        <f>VALUE(4083)</f>
        <v>4083</v>
      </c>
      <c r="K3436" s="1">
        <f>VALUE(5762)</f>
        <v>5762</v>
      </c>
      <c r="L3436" s="1">
        <f>VALUE(7258)</f>
        <v>7258</v>
      </c>
      <c r="M3436" s="8">
        <f>VALUE(8628)</f>
        <v>8628</v>
      </c>
      <c r="N3436" t="s">
        <v>25</v>
      </c>
    </row>
    <row r="3437" spans="1:14" x14ac:dyDescent="0.25">
      <c r="A3437" t="s">
        <v>41</v>
      </c>
      <c r="B3437" t="s">
        <v>15</v>
      </c>
      <c r="C3437" t="s">
        <v>38</v>
      </c>
      <c r="D3437" t="s">
        <v>32</v>
      </c>
      <c r="E3437" t="s">
        <v>22</v>
      </c>
      <c r="F3437" t="s">
        <v>15</v>
      </c>
      <c r="G3437" s="1">
        <f>VALUE(1937.6815463055)</f>
        <v>1937.6815463055</v>
      </c>
      <c r="H3437" s="1">
        <f>VALUE(1850.6362361182)</f>
        <v>1850.6362361182</v>
      </c>
      <c r="I3437" s="1">
        <f>VALUE(3675)</f>
        <v>3675</v>
      </c>
      <c r="J3437" s="1">
        <f>VALUE(4480)</f>
        <v>4480</v>
      </c>
      <c r="K3437" s="1">
        <f>VALUE(5550)</f>
        <v>5550</v>
      </c>
      <c r="L3437" s="1">
        <f>VALUE(6521)</f>
        <v>6521</v>
      </c>
      <c r="M3437" s="1">
        <f>VALUE(7773)</f>
        <v>7773</v>
      </c>
      <c r="N3437" t="s">
        <v>16</v>
      </c>
    </row>
    <row r="3438" spans="1:14" x14ac:dyDescent="0.25">
      <c r="A3438" t="s">
        <v>41</v>
      </c>
      <c r="B3438" t="s">
        <v>15</v>
      </c>
      <c r="C3438" t="s">
        <v>38</v>
      </c>
      <c r="D3438" t="s">
        <v>32</v>
      </c>
      <c r="E3438" t="s">
        <v>22</v>
      </c>
      <c r="F3438" t="s">
        <v>17</v>
      </c>
      <c r="G3438" s="2">
        <f>VALUE(246.5513447818)</f>
        <v>246.5513447818</v>
      </c>
      <c r="H3438" s="3">
        <f>VALUE(234.3830979138)</f>
        <v>234.38309791379999</v>
      </c>
      <c r="I3438" s="4">
        <f>VALUE(4475)</f>
        <v>4475</v>
      </c>
      <c r="J3438" s="5">
        <f>VALUE(5210)</f>
        <v>5210</v>
      </c>
      <c r="K3438" s="6">
        <f>VALUE(6500)</f>
        <v>6500</v>
      </c>
      <c r="L3438" s="7">
        <f>VALUE(8342)</f>
        <v>8342</v>
      </c>
      <c r="M3438" s="8">
        <f>VALUE(11478)</f>
        <v>11478</v>
      </c>
      <c r="N3438" t="s">
        <v>24</v>
      </c>
    </row>
    <row r="3439" spans="1:14" x14ac:dyDescent="0.25">
      <c r="A3439" t="s">
        <v>41</v>
      </c>
      <c r="B3439" t="s">
        <v>15</v>
      </c>
      <c r="C3439" t="s">
        <v>38</v>
      </c>
      <c r="D3439" t="s">
        <v>32</v>
      </c>
      <c r="E3439" t="s">
        <v>22</v>
      </c>
      <c r="F3439" t="s">
        <v>18</v>
      </c>
      <c r="G3439" s="2">
        <f>VALUE(238.8277557137)</f>
        <v>238.82775571369999</v>
      </c>
      <c r="H3439" s="3">
        <f>VALUE(226.9185670748)</f>
        <v>226.91856707479999</v>
      </c>
      <c r="I3439" s="4">
        <f>VALUE(4056)</f>
        <v>4056</v>
      </c>
      <c r="J3439" s="5">
        <f>VALUE(5513)</f>
        <v>5513</v>
      </c>
      <c r="K3439" s="1">
        <f>VALUE(6350)</f>
        <v>6350</v>
      </c>
      <c r="L3439" s="1">
        <f>VALUE(7398)</f>
        <v>7398</v>
      </c>
      <c r="M3439" s="1">
        <f>VALUE(8514)</f>
        <v>8514</v>
      </c>
      <c r="N3439" t="s">
        <v>25</v>
      </c>
    </row>
    <row r="3440" spans="1:14" x14ac:dyDescent="0.25">
      <c r="A3440" t="s">
        <v>41</v>
      </c>
      <c r="B3440" t="s">
        <v>15</v>
      </c>
      <c r="C3440" t="s">
        <v>38</v>
      </c>
      <c r="D3440" t="s">
        <v>32</v>
      </c>
      <c r="E3440" t="s">
        <v>22</v>
      </c>
      <c r="F3440" t="s">
        <v>19</v>
      </c>
      <c r="G3440" s="2">
        <f>VALUE(336.7947560759)</f>
        <v>336.79475607590001</v>
      </c>
      <c r="H3440" s="3">
        <f>VALUE(334.5752259544)</f>
        <v>334.57522595440003</v>
      </c>
      <c r="I3440" s="1">
        <f>VALUE(4056)</f>
        <v>4056</v>
      </c>
      <c r="J3440" s="1">
        <f>VALUE(4792)</f>
        <v>4792</v>
      </c>
      <c r="K3440" s="1">
        <f>VALUE(5892)</f>
        <v>5892</v>
      </c>
      <c r="L3440" s="1">
        <f>VALUE(6645)</f>
        <v>6645</v>
      </c>
      <c r="M3440" s="8">
        <f>VALUE(8048)</f>
        <v>8048</v>
      </c>
      <c r="N3440" t="s">
        <v>25</v>
      </c>
    </row>
    <row r="3441" spans="1:14" x14ac:dyDescent="0.25">
      <c r="A3441" t="s">
        <v>41</v>
      </c>
      <c r="B3441" t="s">
        <v>15</v>
      </c>
      <c r="C3441" t="s">
        <v>38</v>
      </c>
      <c r="D3441" t="s">
        <v>32</v>
      </c>
      <c r="E3441" t="s">
        <v>22</v>
      </c>
      <c r="F3441" t="s">
        <v>20</v>
      </c>
      <c r="G3441" s="2">
        <f>VALUE(1115.5076897341)</f>
        <v>1115.5076897341</v>
      </c>
      <c r="H3441" s="1">
        <f>VALUE(1054.7593451752)</f>
        <v>1054.7593451752</v>
      </c>
      <c r="I3441" s="4">
        <f>VALUE(3360)</f>
        <v>3360</v>
      </c>
      <c r="J3441" s="1">
        <f>VALUE(4187)</f>
        <v>4187</v>
      </c>
      <c r="K3441" s="1">
        <f>VALUE(5111)</f>
        <v>5111</v>
      </c>
      <c r="L3441" s="1">
        <f>VALUE(5931)</f>
        <v>5931</v>
      </c>
      <c r="M3441" s="1">
        <f>VALUE(6818)</f>
        <v>6818</v>
      </c>
      <c r="N3441" t="s">
        <v>25</v>
      </c>
    </row>
    <row r="3442" spans="1:14" x14ac:dyDescent="0.25">
      <c r="A3442" t="s">
        <v>41</v>
      </c>
      <c r="B3442" t="s">
        <v>15</v>
      </c>
      <c r="C3442" t="s">
        <v>38</v>
      </c>
      <c r="D3442" t="s">
        <v>32</v>
      </c>
      <c r="E3442" t="s">
        <v>23</v>
      </c>
      <c r="F3442" t="s">
        <v>15</v>
      </c>
      <c r="G3442" s="1">
        <f>VALUE(4947.7184157516)</f>
        <v>4947.7184157516003</v>
      </c>
      <c r="H3442" s="1">
        <f>VALUE(4697.7294949224)</f>
        <v>4697.7294949223997</v>
      </c>
      <c r="I3442" s="1">
        <f>VALUE(2773)</f>
        <v>2773</v>
      </c>
      <c r="J3442" s="1">
        <f>VALUE(3458)</f>
        <v>3458</v>
      </c>
      <c r="K3442" s="1">
        <f>VALUE(4478)</f>
        <v>4478</v>
      </c>
      <c r="L3442" s="1">
        <f>VALUE(5523)</f>
        <v>5523</v>
      </c>
      <c r="M3442" s="1">
        <f>VALUE(6275)</f>
        <v>6275</v>
      </c>
      <c r="N3442" t="s">
        <v>16</v>
      </c>
    </row>
    <row r="3443" spans="1:14" x14ac:dyDescent="0.25">
      <c r="A3443" t="s">
        <v>41</v>
      </c>
      <c r="B3443" t="s">
        <v>15</v>
      </c>
      <c r="C3443" t="s">
        <v>38</v>
      </c>
      <c r="D3443" t="s">
        <v>32</v>
      </c>
      <c r="E3443" t="s">
        <v>23</v>
      </c>
      <c r="F3443" t="s">
        <v>17</v>
      </c>
      <c r="G3443" s="2">
        <f>VALUE(202.8625063035)</f>
        <v>202.8625063035</v>
      </c>
      <c r="H3443" s="3">
        <f>VALUE(204.0221356463)</f>
        <v>204.0221356463</v>
      </c>
      <c r="I3443" s="4">
        <f>VALUE(3238)</f>
        <v>3238</v>
      </c>
      <c r="J3443" s="5">
        <f>VALUE(4264)</f>
        <v>4264</v>
      </c>
      <c r="K3443" s="6">
        <f>VALUE(5542)</f>
        <v>5542</v>
      </c>
      <c r="L3443" s="7">
        <f>VALUE(7143)</f>
        <v>7143</v>
      </c>
      <c r="M3443" s="1">
        <f>VALUE(9678)</f>
        <v>9678</v>
      </c>
      <c r="N3443" t="s">
        <v>25</v>
      </c>
    </row>
    <row r="3444" spans="1:14" x14ac:dyDescent="0.25">
      <c r="A3444" t="s">
        <v>41</v>
      </c>
      <c r="B3444" t="s">
        <v>15</v>
      </c>
      <c r="C3444" t="s">
        <v>38</v>
      </c>
      <c r="D3444" t="s">
        <v>32</v>
      </c>
      <c r="E3444" t="s">
        <v>23</v>
      </c>
      <c r="F3444" t="s">
        <v>18</v>
      </c>
      <c r="G3444" s="2">
        <f>VALUE(350.4200240577)</f>
        <v>350.4200240577</v>
      </c>
      <c r="H3444" s="3">
        <f>VALUE(331.3258688265)</f>
        <v>331.32586882650003</v>
      </c>
      <c r="I3444" s="4">
        <f>VALUE(3378)</f>
        <v>3378</v>
      </c>
      <c r="J3444" s="5">
        <f>VALUE(4316)</f>
        <v>4316</v>
      </c>
      <c r="K3444" s="1">
        <f>VALUE(5266)</f>
        <v>5266</v>
      </c>
      <c r="L3444" s="1">
        <f>VALUE(5920)</f>
        <v>5920</v>
      </c>
      <c r="M3444" s="8">
        <f>VALUE(6868)</f>
        <v>6868</v>
      </c>
      <c r="N3444" t="s">
        <v>25</v>
      </c>
    </row>
    <row r="3445" spans="1:14" x14ac:dyDescent="0.25">
      <c r="A3445" t="s">
        <v>41</v>
      </c>
      <c r="B3445" t="s">
        <v>15</v>
      </c>
      <c r="C3445" t="s">
        <v>38</v>
      </c>
      <c r="D3445" t="s">
        <v>32</v>
      </c>
      <c r="E3445" t="s">
        <v>23</v>
      </c>
      <c r="F3445" t="s">
        <v>19</v>
      </c>
      <c r="G3445" s="2">
        <f>VALUE(553.126544096)</f>
        <v>553.12654409599998</v>
      </c>
      <c r="H3445" s="3">
        <f>VALUE(533.4485559674)</f>
        <v>533.44855596740001</v>
      </c>
      <c r="I3445" s="4">
        <f>VALUE(3513)</f>
        <v>3513</v>
      </c>
      <c r="J3445" s="1">
        <f>VALUE(4000)</f>
        <v>4000</v>
      </c>
      <c r="K3445" s="1">
        <f>VALUE(4529)</f>
        <v>4529</v>
      </c>
      <c r="L3445" s="1">
        <f>VALUE(5733)</f>
        <v>5733</v>
      </c>
      <c r="M3445" s="1">
        <f>VALUE(6659)</f>
        <v>6659</v>
      </c>
      <c r="N3445" t="s">
        <v>25</v>
      </c>
    </row>
    <row r="3446" spans="1:14" x14ac:dyDescent="0.25">
      <c r="A3446" t="s">
        <v>41</v>
      </c>
      <c r="B3446" t="s">
        <v>15</v>
      </c>
      <c r="C3446" t="s">
        <v>38</v>
      </c>
      <c r="D3446" t="s">
        <v>32</v>
      </c>
      <c r="E3446" t="s">
        <v>23</v>
      </c>
      <c r="F3446" t="s">
        <v>20</v>
      </c>
      <c r="G3446" s="1">
        <f>VALUE(3841.3093412944)</f>
        <v>3841.3093412943999</v>
      </c>
      <c r="H3446" s="1">
        <f>VALUE(3628.9329344822)</f>
        <v>3628.9329344821999</v>
      </c>
      <c r="I3446" s="1">
        <f>VALUE(2710)</f>
        <v>2710</v>
      </c>
      <c r="J3446" s="1">
        <f>VALUE(3220)</f>
        <v>3220</v>
      </c>
      <c r="K3446" s="1">
        <f>VALUE(4330)</f>
        <v>4330</v>
      </c>
      <c r="L3446" s="1">
        <f>VALUE(5374)</f>
        <v>5374</v>
      </c>
      <c r="M3446" s="1">
        <f>VALUE(6062)</f>
        <v>6062</v>
      </c>
      <c r="N3446" t="s">
        <v>16</v>
      </c>
    </row>
    <row r="3447" spans="1:14" x14ac:dyDescent="0.25">
      <c r="A3447" t="s">
        <v>41</v>
      </c>
      <c r="B3447" t="s">
        <v>15</v>
      </c>
      <c r="C3447" t="s">
        <v>38</v>
      </c>
      <c r="D3447" t="s">
        <v>32</v>
      </c>
      <c r="E3447" t="s">
        <v>26</v>
      </c>
      <c r="F3447" t="s">
        <v>15</v>
      </c>
      <c r="G3447" s="1" t="str">
        <f t="shared" ref="G3447:M3449" si="726">"X"</f>
        <v>X</v>
      </c>
      <c r="H3447" s="1" t="str">
        <f t="shared" si="726"/>
        <v>X</v>
      </c>
      <c r="I3447" s="1" t="str">
        <f t="shared" si="726"/>
        <v>X</v>
      </c>
      <c r="J3447" s="1" t="str">
        <f t="shared" si="726"/>
        <v>X</v>
      </c>
      <c r="K3447" s="1" t="str">
        <f t="shared" si="726"/>
        <v>X</v>
      </c>
      <c r="L3447" s="1" t="str">
        <f t="shared" si="726"/>
        <v>X</v>
      </c>
      <c r="M3447" s="1" t="str">
        <f t="shared" si="726"/>
        <v>X</v>
      </c>
      <c r="N3447" t="s">
        <v>27</v>
      </c>
    </row>
    <row r="3448" spans="1:14" x14ac:dyDescent="0.25">
      <c r="A3448" t="s">
        <v>41</v>
      </c>
      <c r="B3448" t="s">
        <v>15</v>
      </c>
      <c r="C3448" t="s">
        <v>38</v>
      </c>
      <c r="D3448" t="s">
        <v>32</v>
      </c>
      <c r="E3448" t="s">
        <v>26</v>
      </c>
      <c r="F3448" t="s">
        <v>17</v>
      </c>
      <c r="G3448" s="1" t="str">
        <f t="shared" si="726"/>
        <v>X</v>
      </c>
      <c r="H3448" s="1" t="str">
        <f t="shared" si="726"/>
        <v>X</v>
      </c>
      <c r="I3448" s="1" t="str">
        <f t="shared" si="726"/>
        <v>X</v>
      </c>
      <c r="J3448" s="1" t="str">
        <f t="shared" si="726"/>
        <v>X</v>
      </c>
      <c r="K3448" s="1" t="str">
        <f t="shared" si="726"/>
        <v>X</v>
      </c>
      <c r="L3448" s="1" t="str">
        <f t="shared" si="726"/>
        <v>X</v>
      </c>
      <c r="M3448" s="1" t="str">
        <f t="shared" si="726"/>
        <v>X</v>
      </c>
      <c r="N3448" t="s">
        <v>27</v>
      </c>
    </row>
    <row r="3449" spans="1:14" x14ac:dyDescent="0.25">
      <c r="A3449" t="s">
        <v>41</v>
      </c>
      <c r="B3449" t="s">
        <v>15</v>
      </c>
      <c r="C3449" t="s">
        <v>38</v>
      </c>
      <c r="D3449" t="s">
        <v>32</v>
      </c>
      <c r="E3449" t="s">
        <v>26</v>
      </c>
      <c r="F3449" t="s">
        <v>18</v>
      </c>
      <c r="G3449" s="1" t="str">
        <f t="shared" si="726"/>
        <v>X</v>
      </c>
      <c r="H3449" s="1" t="str">
        <f t="shared" si="726"/>
        <v>X</v>
      </c>
      <c r="I3449" s="1" t="str">
        <f t="shared" si="726"/>
        <v>X</v>
      </c>
      <c r="J3449" s="1" t="str">
        <f t="shared" si="726"/>
        <v>X</v>
      </c>
      <c r="K3449" s="1" t="str">
        <f t="shared" si="726"/>
        <v>X</v>
      </c>
      <c r="L3449" s="1" t="str">
        <f t="shared" si="726"/>
        <v>X</v>
      </c>
      <c r="M3449" s="1" t="str">
        <f t="shared" si="726"/>
        <v>X</v>
      </c>
      <c r="N3449" t="s">
        <v>27</v>
      </c>
    </row>
    <row r="3450" spans="1:14" x14ac:dyDescent="0.25">
      <c r="A3450" t="s">
        <v>41</v>
      </c>
      <c r="B3450" t="s">
        <v>15</v>
      </c>
      <c r="C3450" t="s">
        <v>38</v>
      </c>
      <c r="D3450" t="s">
        <v>32</v>
      </c>
      <c r="E3450" t="s">
        <v>26</v>
      </c>
      <c r="F3450" t="s">
        <v>19</v>
      </c>
      <c r="G3450" s="1" t="str">
        <f t="shared" ref="G3450:M3450" si="727">"..."</f>
        <v>...</v>
      </c>
      <c r="H3450" s="1" t="str">
        <f t="shared" si="727"/>
        <v>...</v>
      </c>
      <c r="I3450" s="1" t="str">
        <f t="shared" si="727"/>
        <v>...</v>
      </c>
      <c r="J3450" s="1" t="str">
        <f t="shared" si="727"/>
        <v>...</v>
      </c>
      <c r="K3450" s="1" t="str">
        <f t="shared" si="727"/>
        <v>...</v>
      </c>
      <c r="L3450" s="1" t="str">
        <f t="shared" si="727"/>
        <v>...</v>
      </c>
      <c r="M3450" s="1" t="str">
        <f t="shared" si="727"/>
        <v>...</v>
      </c>
      <c r="N3450" t="s">
        <v>30</v>
      </c>
    </row>
    <row r="3451" spans="1:14" x14ac:dyDescent="0.25">
      <c r="A3451" t="s">
        <v>41</v>
      </c>
      <c r="B3451" t="s">
        <v>15</v>
      </c>
      <c r="C3451" t="s">
        <v>38</v>
      </c>
      <c r="D3451" t="s">
        <v>32</v>
      </c>
      <c r="E3451" t="s">
        <v>26</v>
      </c>
      <c r="F3451" t="s">
        <v>20</v>
      </c>
      <c r="G3451" s="1" t="str">
        <f t="shared" ref="G3451:M3451" si="728">"X"</f>
        <v>X</v>
      </c>
      <c r="H3451" s="1" t="str">
        <f t="shared" si="728"/>
        <v>X</v>
      </c>
      <c r="I3451" s="1" t="str">
        <f t="shared" si="728"/>
        <v>X</v>
      </c>
      <c r="J3451" s="1" t="str">
        <f t="shared" si="728"/>
        <v>X</v>
      </c>
      <c r="K3451" s="1" t="str">
        <f t="shared" si="728"/>
        <v>X</v>
      </c>
      <c r="L3451" s="1" t="str">
        <f t="shared" si="728"/>
        <v>X</v>
      </c>
      <c r="M3451" s="1" t="str">
        <f t="shared" si="728"/>
        <v>X</v>
      </c>
      <c r="N3451" t="s">
        <v>27</v>
      </c>
    </row>
    <row r="3452" spans="1:14" x14ac:dyDescent="0.25">
      <c r="A3452" t="s">
        <v>41</v>
      </c>
      <c r="B3452" t="s">
        <v>15</v>
      </c>
      <c r="C3452" t="s">
        <v>38</v>
      </c>
      <c r="D3452" t="s">
        <v>33</v>
      </c>
      <c r="E3452" t="s">
        <v>15</v>
      </c>
      <c r="F3452" t="s">
        <v>15</v>
      </c>
      <c r="G3452" s="2">
        <f>VALUE(236.2768637763)</f>
        <v>236.27686377629999</v>
      </c>
      <c r="H3452" s="3">
        <f>VALUE(184.2119553202)</f>
        <v>184.21195532019999</v>
      </c>
      <c r="I3452" s="1">
        <f>VALUE(2985)</f>
        <v>2985</v>
      </c>
      <c r="J3452" s="5">
        <f>VALUE(3885)</f>
        <v>3885</v>
      </c>
      <c r="K3452" s="6">
        <f>VALUE(6562)</f>
        <v>6562</v>
      </c>
      <c r="L3452" s="7">
        <f>VALUE(9358)</f>
        <v>9358</v>
      </c>
      <c r="M3452" s="8">
        <f>VALUE(25143)</f>
        <v>25143</v>
      </c>
      <c r="N3452" t="s">
        <v>25</v>
      </c>
    </row>
    <row r="3453" spans="1:14" x14ac:dyDescent="0.25">
      <c r="A3453" t="s">
        <v>41</v>
      </c>
      <c r="B3453" t="s">
        <v>15</v>
      </c>
      <c r="C3453" t="s">
        <v>38</v>
      </c>
      <c r="D3453" t="s">
        <v>33</v>
      </c>
      <c r="E3453" t="s">
        <v>15</v>
      </c>
      <c r="F3453" t="s">
        <v>17</v>
      </c>
      <c r="G3453" s="1" t="str">
        <f t="shared" ref="G3453:M3463" si="729">"X"</f>
        <v>X</v>
      </c>
      <c r="H3453" s="1" t="str">
        <f t="shared" si="729"/>
        <v>X</v>
      </c>
      <c r="I3453" s="1" t="str">
        <f t="shared" si="729"/>
        <v>X</v>
      </c>
      <c r="J3453" s="1" t="str">
        <f t="shared" si="729"/>
        <v>X</v>
      </c>
      <c r="K3453" s="1" t="str">
        <f t="shared" si="729"/>
        <v>X</v>
      </c>
      <c r="L3453" s="1" t="str">
        <f t="shared" si="729"/>
        <v>X</v>
      </c>
      <c r="M3453" s="1" t="str">
        <f t="shared" si="729"/>
        <v>X</v>
      </c>
      <c r="N3453" t="s">
        <v>27</v>
      </c>
    </row>
    <row r="3454" spans="1:14" x14ac:dyDescent="0.25">
      <c r="A3454" t="s">
        <v>41</v>
      </c>
      <c r="B3454" t="s">
        <v>15</v>
      </c>
      <c r="C3454" t="s">
        <v>38</v>
      </c>
      <c r="D3454" t="s">
        <v>33</v>
      </c>
      <c r="E3454" t="s">
        <v>15</v>
      </c>
      <c r="F3454" t="s">
        <v>18</v>
      </c>
      <c r="G3454" s="1" t="str">
        <f t="shared" si="729"/>
        <v>X</v>
      </c>
      <c r="H3454" s="1" t="str">
        <f t="shared" si="729"/>
        <v>X</v>
      </c>
      <c r="I3454" s="1" t="str">
        <f t="shared" si="729"/>
        <v>X</v>
      </c>
      <c r="J3454" s="1" t="str">
        <f t="shared" si="729"/>
        <v>X</v>
      </c>
      <c r="K3454" s="1" t="str">
        <f t="shared" si="729"/>
        <v>X</v>
      </c>
      <c r="L3454" s="1" t="str">
        <f t="shared" si="729"/>
        <v>X</v>
      </c>
      <c r="M3454" s="1" t="str">
        <f t="shared" si="729"/>
        <v>X</v>
      </c>
      <c r="N3454" t="s">
        <v>27</v>
      </c>
    </row>
    <row r="3455" spans="1:14" x14ac:dyDescent="0.25">
      <c r="A3455" t="s">
        <v>41</v>
      </c>
      <c r="B3455" t="s">
        <v>15</v>
      </c>
      <c r="C3455" t="s">
        <v>38</v>
      </c>
      <c r="D3455" t="s">
        <v>33</v>
      </c>
      <c r="E3455" t="s">
        <v>15</v>
      </c>
      <c r="F3455" t="s">
        <v>19</v>
      </c>
      <c r="G3455" s="1" t="str">
        <f t="shared" si="729"/>
        <v>X</v>
      </c>
      <c r="H3455" s="1" t="str">
        <f t="shared" si="729"/>
        <v>X</v>
      </c>
      <c r="I3455" s="1" t="str">
        <f t="shared" si="729"/>
        <v>X</v>
      </c>
      <c r="J3455" s="1" t="str">
        <f t="shared" si="729"/>
        <v>X</v>
      </c>
      <c r="K3455" s="1" t="str">
        <f t="shared" si="729"/>
        <v>X</v>
      </c>
      <c r="L3455" s="1" t="str">
        <f t="shared" si="729"/>
        <v>X</v>
      </c>
      <c r="M3455" s="1" t="str">
        <f t="shared" si="729"/>
        <v>X</v>
      </c>
      <c r="N3455" t="s">
        <v>27</v>
      </c>
    </row>
    <row r="3456" spans="1:14" x14ac:dyDescent="0.25">
      <c r="A3456" t="s">
        <v>41</v>
      </c>
      <c r="B3456" t="s">
        <v>15</v>
      </c>
      <c r="C3456" t="s">
        <v>38</v>
      </c>
      <c r="D3456" t="s">
        <v>33</v>
      </c>
      <c r="E3456" t="s">
        <v>15</v>
      </c>
      <c r="F3456" t="s">
        <v>20</v>
      </c>
      <c r="G3456" s="1" t="str">
        <f t="shared" si="729"/>
        <v>X</v>
      </c>
      <c r="H3456" s="1" t="str">
        <f t="shared" si="729"/>
        <v>X</v>
      </c>
      <c r="I3456" s="1" t="str">
        <f t="shared" si="729"/>
        <v>X</v>
      </c>
      <c r="J3456" s="1" t="str">
        <f t="shared" si="729"/>
        <v>X</v>
      </c>
      <c r="K3456" s="1" t="str">
        <f t="shared" si="729"/>
        <v>X</v>
      </c>
      <c r="L3456" s="1" t="str">
        <f t="shared" si="729"/>
        <v>X</v>
      </c>
      <c r="M3456" s="1" t="str">
        <f t="shared" si="729"/>
        <v>X</v>
      </c>
      <c r="N3456" t="s">
        <v>27</v>
      </c>
    </row>
    <row r="3457" spans="1:14" x14ac:dyDescent="0.25">
      <c r="A3457" t="s">
        <v>41</v>
      </c>
      <c r="B3457" t="s">
        <v>15</v>
      </c>
      <c r="C3457" t="s">
        <v>38</v>
      </c>
      <c r="D3457" t="s">
        <v>33</v>
      </c>
      <c r="E3457" t="s">
        <v>21</v>
      </c>
      <c r="F3457" t="s">
        <v>15</v>
      </c>
      <c r="G3457" s="1" t="str">
        <f t="shared" si="729"/>
        <v>X</v>
      </c>
      <c r="H3457" s="1" t="str">
        <f t="shared" si="729"/>
        <v>X</v>
      </c>
      <c r="I3457" s="1" t="str">
        <f t="shared" si="729"/>
        <v>X</v>
      </c>
      <c r="J3457" s="1" t="str">
        <f t="shared" si="729"/>
        <v>X</v>
      </c>
      <c r="K3457" s="1" t="str">
        <f t="shared" si="729"/>
        <v>X</v>
      </c>
      <c r="L3457" s="1" t="str">
        <f t="shared" si="729"/>
        <v>X</v>
      </c>
      <c r="M3457" s="1" t="str">
        <f t="shared" si="729"/>
        <v>X</v>
      </c>
      <c r="N3457" t="s">
        <v>27</v>
      </c>
    </row>
    <row r="3458" spans="1:14" x14ac:dyDescent="0.25">
      <c r="A3458" t="s">
        <v>41</v>
      </c>
      <c r="B3458" t="s">
        <v>15</v>
      </c>
      <c r="C3458" t="s">
        <v>38</v>
      </c>
      <c r="D3458" t="s">
        <v>33</v>
      </c>
      <c r="E3458" t="s">
        <v>21</v>
      </c>
      <c r="F3458" t="s">
        <v>17</v>
      </c>
      <c r="G3458" s="1" t="str">
        <f t="shared" si="729"/>
        <v>X</v>
      </c>
      <c r="H3458" s="1" t="str">
        <f t="shared" si="729"/>
        <v>X</v>
      </c>
      <c r="I3458" s="1" t="str">
        <f t="shared" si="729"/>
        <v>X</v>
      </c>
      <c r="J3458" s="1" t="str">
        <f t="shared" si="729"/>
        <v>X</v>
      </c>
      <c r="K3458" s="1" t="str">
        <f t="shared" si="729"/>
        <v>X</v>
      </c>
      <c r="L3458" s="1" t="str">
        <f t="shared" si="729"/>
        <v>X</v>
      </c>
      <c r="M3458" s="1" t="str">
        <f t="shared" si="729"/>
        <v>X</v>
      </c>
      <c r="N3458" t="s">
        <v>27</v>
      </c>
    </row>
    <row r="3459" spans="1:14" x14ac:dyDescent="0.25">
      <c r="A3459" t="s">
        <v>41</v>
      </c>
      <c r="B3459" t="s">
        <v>15</v>
      </c>
      <c r="C3459" t="s">
        <v>38</v>
      </c>
      <c r="D3459" t="s">
        <v>33</v>
      </c>
      <c r="E3459" t="s">
        <v>21</v>
      </c>
      <c r="F3459" t="s">
        <v>18</v>
      </c>
      <c r="G3459" s="1" t="str">
        <f t="shared" si="729"/>
        <v>X</v>
      </c>
      <c r="H3459" s="1" t="str">
        <f t="shared" si="729"/>
        <v>X</v>
      </c>
      <c r="I3459" s="1" t="str">
        <f t="shared" si="729"/>
        <v>X</v>
      </c>
      <c r="J3459" s="1" t="str">
        <f t="shared" si="729"/>
        <v>X</v>
      </c>
      <c r="K3459" s="1" t="str">
        <f t="shared" si="729"/>
        <v>X</v>
      </c>
      <c r="L3459" s="1" t="str">
        <f t="shared" si="729"/>
        <v>X</v>
      </c>
      <c r="M3459" s="1" t="str">
        <f t="shared" si="729"/>
        <v>X</v>
      </c>
      <c r="N3459" t="s">
        <v>27</v>
      </c>
    </row>
    <row r="3460" spans="1:14" x14ac:dyDescent="0.25">
      <c r="A3460" t="s">
        <v>41</v>
      </c>
      <c r="B3460" t="s">
        <v>15</v>
      </c>
      <c r="C3460" t="s">
        <v>38</v>
      </c>
      <c r="D3460" t="s">
        <v>33</v>
      </c>
      <c r="E3460" t="s">
        <v>21</v>
      </c>
      <c r="F3460" t="s">
        <v>19</v>
      </c>
      <c r="G3460" s="1" t="str">
        <f t="shared" si="729"/>
        <v>X</v>
      </c>
      <c r="H3460" s="1" t="str">
        <f t="shared" si="729"/>
        <v>X</v>
      </c>
      <c r="I3460" s="1" t="str">
        <f t="shared" si="729"/>
        <v>X</v>
      </c>
      <c r="J3460" s="1" t="str">
        <f t="shared" si="729"/>
        <v>X</v>
      </c>
      <c r="K3460" s="1" t="str">
        <f t="shared" si="729"/>
        <v>X</v>
      </c>
      <c r="L3460" s="1" t="str">
        <f t="shared" si="729"/>
        <v>X</v>
      </c>
      <c r="M3460" s="1" t="str">
        <f t="shared" si="729"/>
        <v>X</v>
      </c>
      <c r="N3460" t="s">
        <v>27</v>
      </c>
    </row>
    <row r="3461" spans="1:14" x14ac:dyDescent="0.25">
      <c r="A3461" t="s">
        <v>41</v>
      </c>
      <c r="B3461" t="s">
        <v>15</v>
      </c>
      <c r="C3461" t="s">
        <v>38</v>
      </c>
      <c r="D3461" t="s">
        <v>33</v>
      </c>
      <c r="E3461" t="s">
        <v>21</v>
      </c>
      <c r="F3461" t="s">
        <v>20</v>
      </c>
      <c r="G3461" s="1" t="str">
        <f t="shared" si="729"/>
        <v>X</v>
      </c>
      <c r="H3461" s="1" t="str">
        <f t="shared" si="729"/>
        <v>X</v>
      </c>
      <c r="I3461" s="1" t="str">
        <f t="shared" si="729"/>
        <v>X</v>
      </c>
      <c r="J3461" s="1" t="str">
        <f t="shared" si="729"/>
        <v>X</v>
      </c>
      <c r="K3461" s="1" t="str">
        <f t="shared" si="729"/>
        <v>X</v>
      </c>
      <c r="L3461" s="1" t="str">
        <f t="shared" si="729"/>
        <v>X</v>
      </c>
      <c r="M3461" s="1" t="str">
        <f t="shared" si="729"/>
        <v>X</v>
      </c>
      <c r="N3461" t="s">
        <v>27</v>
      </c>
    </row>
    <row r="3462" spans="1:14" x14ac:dyDescent="0.25">
      <c r="A3462" t="s">
        <v>41</v>
      </c>
      <c r="B3462" t="s">
        <v>15</v>
      </c>
      <c r="C3462" t="s">
        <v>38</v>
      </c>
      <c r="D3462" t="s">
        <v>33</v>
      </c>
      <c r="E3462" t="s">
        <v>22</v>
      </c>
      <c r="F3462" t="s">
        <v>15</v>
      </c>
      <c r="G3462" s="1" t="str">
        <f t="shared" si="729"/>
        <v>X</v>
      </c>
      <c r="H3462" s="1" t="str">
        <f t="shared" si="729"/>
        <v>X</v>
      </c>
      <c r="I3462" s="1" t="str">
        <f t="shared" si="729"/>
        <v>X</v>
      </c>
      <c r="J3462" s="1" t="str">
        <f t="shared" si="729"/>
        <v>X</v>
      </c>
      <c r="K3462" s="1" t="str">
        <f t="shared" si="729"/>
        <v>X</v>
      </c>
      <c r="L3462" s="1" t="str">
        <f t="shared" si="729"/>
        <v>X</v>
      </c>
      <c r="M3462" s="1" t="str">
        <f t="shared" si="729"/>
        <v>X</v>
      </c>
      <c r="N3462" t="s">
        <v>27</v>
      </c>
    </row>
    <row r="3463" spans="1:14" x14ac:dyDescent="0.25">
      <c r="A3463" t="s">
        <v>41</v>
      </c>
      <c r="B3463" t="s">
        <v>15</v>
      </c>
      <c r="C3463" t="s">
        <v>38</v>
      </c>
      <c r="D3463" t="s">
        <v>33</v>
      </c>
      <c r="E3463" t="s">
        <v>22</v>
      </c>
      <c r="F3463" t="s">
        <v>17</v>
      </c>
      <c r="G3463" s="1" t="str">
        <f t="shared" si="729"/>
        <v>X</v>
      </c>
      <c r="H3463" s="1" t="str">
        <f t="shared" si="729"/>
        <v>X</v>
      </c>
      <c r="I3463" s="1" t="str">
        <f t="shared" si="729"/>
        <v>X</v>
      </c>
      <c r="J3463" s="1" t="str">
        <f t="shared" si="729"/>
        <v>X</v>
      </c>
      <c r="K3463" s="1" t="str">
        <f t="shared" si="729"/>
        <v>X</v>
      </c>
      <c r="L3463" s="1" t="str">
        <f t="shared" si="729"/>
        <v>X</v>
      </c>
      <c r="M3463" s="1" t="str">
        <f t="shared" si="729"/>
        <v>X</v>
      </c>
      <c r="N3463" t="s">
        <v>27</v>
      </c>
    </row>
    <row r="3464" spans="1:14" x14ac:dyDescent="0.25">
      <c r="A3464" t="s">
        <v>41</v>
      </c>
      <c r="B3464" t="s">
        <v>15</v>
      </c>
      <c r="C3464" t="s">
        <v>38</v>
      </c>
      <c r="D3464" t="s">
        <v>33</v>
      </c>
      <c r="E3464" t="s">
        <v>22</v>
      </c>
      <c r="F3464" t="s">
        <v>18</v>
      </c>
      <c r="G3464" s="1" t="str">
        <f t="shared" ref="G3464:M3464" si="730">"..."</f>
        <v>...</v>
      </c>
      <c r="H3464" s="1" t="str">
        <f t="shared" si="730"/>
        <v>...</v>
      </c>
      <c r="I3464" s="1" t="str">
        <f t="shared" si="730"/>
        <v>...</v>
      </c>
      <c r="J3464" s="1" t="str">
        <f t="shared" si="730"/>
        <v>...</v>
      </c>
      <c r="K3464" s="1" t="str">
        <f t="shared" si="730"/>
        <v>...</v>
      </c>
      <c r="L3464" s="1" t="str">
        <f t="shared" si="730"/>
        <v>...</v>
      </c>
      <c r="M3464" s="1" t="str">
        <f t="shared" si="730"/>
        <v>...</v>
      </c>
      <c r="N3464" t="s">
        <v>30</v>
      </c>
    </row>
    <row r="3465" spans="1:14" x14ac:dyDescent="0.25">
      <c r="A3465" t="s">
        <v>41</v>
      </c>
      <c r="B3465" t="s">
        <v>15</v>
      </c>
      <c r="C3465" t="s">
        <v>38</v>
      </c>
      <c r="D3465" t="s">
        <v>33</v>
      </c>
      <c r="E3465" t="s">
        <v>22</v>
      </c>
      <c r="F3465" t="s">
        <v>19</v>
      </c>
      <c r="G3465" s="1" t="str">
        <f t="shared" ref="G3465:M3471" si="731">"X"</f>
        <v>X</v>
      </c>
      <c r="H3465" s="1" t="str">
        <f t="shared" si="731"/>
        <v>X</v>
      </c>
      <c r="I3465" s="1" t="str">
        <f t="shared" si="731"/>
        <v>X</v>
      </c>
      <c r="J3465" s="1" t="str">
        <f t="shared" si="731"/>
        <v>X</v>
      </c>
      <c r="K3465" s="1" t="str">
        <f t="shared" si="731"/>
        <v>X</v>
      </c>
      <c r="L3465" s="1" t="str">
        <f t="shared" si="731"/>
        <v>X</v>
      </c>
      <c r="M3465" s="1" t="str">
        <f t="shared" si="731"/>
        <v>X</v>
      </c>
      <c r="N3465" t="s">
        <v>27</v>
      </c>
    </row>
    <row r="3466" spans="1:14" x14ac:dyDescent="0.25">
      <c r="A3466" t="s">
        <v>41</v>
      </c>
      <c r="B3466" t="s">
        <v>15</v>
      </c>
      <c r="C3466" t="s">
        <v>38</v>
      </c>
      <c r="D3466" t="s">
        <v>33</v>
      </c>
      <c r="E3466" t="s">
        <v>22</v>
      </c>
      <c r="F3466" t="s">
        <v>20</v>
      </c>
      <c r="G3466" s="1" t="str">
        <f t="shared" si="731"/>
        <v>X</v>
      </c>
      <c r="H3466" s="1" t="str">
        <f t="shared" si="731"/>
        <v>X</v>
      </c>
      <c r="I3466" s="1" t="str">
        <f t="shared" si="731"/>
        <v>X</v>
      </c>
      <c r="J3466" s="1" t="str">
        <f t="shared" si="731"/>
        <v>X</v>
      </c>
      <c r="K3466" s="1" t="str">
        <f t="shared" si="731"/>
        <v>X</v>
      </c>
      <c r="L3466" s="1" t="str">
        <f t="shared" si="731"/>
        <v>X</v>
      </c>
      <c r="M3466" s="1" t="str">
        <f t="shared" si="731"/>
        <v>X</v>
      </c>
      <c r="N3466" t="s">
        <v>27</v>
      </c>
    </row>
    <row r="3467" spans="1:14" x14ac:dyDescent="0.25">
      <c r="A3467" t="s">
        <v>41</v>
      </c>
      <c r="B3467" t="s">
        <v>15</v>
      </c>
      <c r="C3467" t="s">
        <v>38</v>
      </c>
      <c r="D3467" t="s">
        <v>33</v>
      </c>
      <c r="E3467" t="s">
        <v>23</v>
      </c>
      <c r="F3467" t="s">
        <v>15</v>
      </c>
      <c r="G3467" s="1" t="str">
        <f t="shared" si="731"/>
        <v>X</v>
      </c>
      <c r="H3467" s="1" t="str">
        <f t="shared" si="731"/>
        <v>X</v>
      </c>
      <c r="I3467" s="1" t="str">
        <f t="shared" si="731"/>
        <v>X</v>
      </c>
      <c r="J3467" s="1" t="str">
        <f t="shared" si="731"/>
        <v>X</v>
      </c>
      <c r="K3467" s="1" t="str">
        <f t="shared" si="731"/>
        <v>X</v>
      </c>
      <c r="L3467" s="1" t="str">
        <f t="shared" si="731"/>
        <v>X</v>
      </c>
      <c r="M3467" s="1" t="str">
        <f t="shared" si="731"/>
        <v>X</v>
      </c>
      <c r="N3467" t="s">
        <v>27</v>
      </c>
    </row>
    <row r="3468" spans="1:14" x14ac:dyDescent="0.25">
      <c r="A3468" t="s">
        <v>41</v>
      </c>
      <c r="B3468" t="s">
        <v>15</v>
      </c>
      <c r="C3468" t="s">
        <v>38</v>
      </c>
      <c r="D3468" t="s">
        <v>33</v>
      </c>
      <c r="E3468" t="s">
        <v>23</v>
      </c>
      <c r="F3468" t="s">
        <v>17</v>
      </c>
      <c r="G3468" s="1" t="str">
        <f t="shared" si="731"/>
        <v>X</v>
      </c>
      <c r="H3468" s="1" t="str">
        <f t="shared" si="731"/>
        <v>X</v>
      </c>
      <c r="I3468" s="1" t="str">
        <f t="shared" si="731"/>
        <v>X</v>
      </c>
      <c r="J3468" s="1" t="str">
        <f t="shared" si="731"/>
        <v>X</v>
      </c>
      <c r="K3468" s="1" t="str">
        <f t="shared" si="731"/>
        <v>X</v>
      </c>
      <c r="L3468" s="1" t="str">
        <f t="shared" si="731"/>
        <v>X</v>
      </c>
      <c r="M3468" s="1" t="str">
        <f t="shared" si="731"/>
        <v>X</v>
      </c>
      <c r="N3468" t="s">
        <v>27</v>
      </c>
    </row>
    <row r="3469" spans="1:14" x14ac:dyDescent="0.25">
      <c r="A3469" t="s">
        <v>41</v>
      </c>
      <c r="B3469" t="s">
        <v>15</v>
      </c>
      <c r="C3469" t="s">
        <v>38</v>
      </c>
      <c r="D3469" t="s">
        <v>33</v>
      </c>
      <c r="E3469" t="s">
        <v>23</v>
      </c>
      <c r="F3469" t="s">
        <v>18</v>
      </c>
      <c r="G3469" s="1" t="str">
        <f t="shared" si="731"/>
        <v>X</v>
      </c>
      <c r="H3469" s="1" t="str">
        <f t="shared" si="731"/>
        <v>X</v>
      </c>
      <c r="I3469" s="1" t="str">
        <f t="shared" si="731"/>
        <v>X</v>
      </c>
      <c r="J3469" s="1" t="str">
        <f t="shared" si="731"/>
        <v>X</v>
      </c>
      <c r="K3469" s="1" t="str">
        <f t="shared" si="731"/>
        <v>X</v>
      </c>
      <c r="L3469" s="1" t="str">
        <f t="shared" si="731"/>
        <v>X</v>
      </c>
      <c r="M3469" s="1" t="str">
        <f t="shared" si="731"/>
        <v>X</v>
      </c>
      <c r="N3469" t="s">
        <v>27</v>
      </c>
    </row>
    <row r="3470" spans="1:14" x14ac:dyDescent="0.25">
      <c r="A3470" t="s">
        <v>41</v>
      </c>
      <c r="B3470" t="s">
        <v>15</v>
      </c>
      <c r="C3470" t="s">
        <v>38</v>
      </c>
      <c r="D3470" t="s">
        <v>33</v>
      </c>
      <c r="E3470" t="s">
        <v>23</v>
      </c>
      <c r="F3470" t="s">
        <v>19</v>
      </c>
      <c r="G3470" s="1" t="str">
        <f t="shared" si="731"/>
        <v>X</v>
      </c>
      <c r="H3470" s="1" t="str">
        <f t="shared" si="731"/>
        <v>X</v>
      </c>
      <c r="I3470" s="1" t="str">
        <f t="shared" si="731"/>
        <v>X</v>
      </c>
      <c r="J3470" s="1" t="str">
        <f t="shared" si="731"/>
        <v>X</v>
      </c>
      <c r="K3470" s="1" t="str">
        <f t="shared" si="731"/>
        <v>X</v>
      </c>
      <c r="L3470" s="1" t="str">
        <f t="shared" si="731"/>
        <v>X</v>
      </c>
      <c r="M3470" s="1" t="str">
        <f t="shared" si="731"/>
        <v>X</v>
      </c>
      <c r="N3470" t="s">
        <v>27</v>
      </c>
    </row>
    <row r="3471" spans="1:14" x14ac:dyDescent="0.25">
      <c r="A3471" t="s">
        <v>41</v>
      </c>
      <c r="B3471" t="s">
        <v>15</v>
      </c>
      <c r="C3471" t="s">
        <v>38</v>
      </c>
      <c r="D3471" t="s">
        <v>33</v>
      </c>
      <c r="E3471" t="s">
        <v>23</v>
      </c>
      <c r="F3471" t="s">
        <v>20</v>
      </c>
      <c r="G3471" s="1" t="str">
        <f t="shared" si="731"/>
        <v>X</v>
      </c>
      <c r="H3471" s="1" t="str">
        <f t="shared" si="731"/>
        <v>X</v>
      </c>
      <c r="I3471" s="1" t="str">
        <f t="shared" si="731"/>
        <v>X</v>
      </c>
      <c r="J3471" s="1" t="str">
        <f t="shared" si="731"/>
        <v>X</v>
      </c>
      <c r="K3471" s="1" t="str">
        <f t="shared" si="731"/>
        <v>X</v>
      </c>
      <c r="L3471" s="1" t="str">
        <f t="shared" si="731"/>
        <v>X</v>
      </c>
      <c r="M3471" s="1" t="str">
        <f t="shared" si="731"/>
        <v>X</v>
      </c>
      <c r="N3471" t="s">
        <v>27</v>
      </c>
    </row>
    <row r="3472" spans="1:14" x14ac:dyDescent="0.25">
      <c r="A3472" t="s">
        <v>41</v>
      </c>
      <c r="B3472" t="s">
        <v>15</v>
      </c>
      <c r="C3472" t="s">
        <v>38</v>
      </c>
      <c r="D3472" t="s">
        <v>33</v>
      </c>
      <c r="E3472" t="s">
        <v>26</v>
      </c>
      <c r="F3472" t="s">
        <v>15</v>
      </c>
      <c r="G3472" s="1" t="str">
        <f t="shared" ref="G3472:M3476" si="732">"..."</f>
        <v>...</v>
      </c>
      <c r="H3472" s="1" t="str">
        <f t="shared" si="732"/>
        <v>...</v>
      </c>
      <c r="I3472" s="1" t="str">
        <f t="shared" si="732"/>
        <v>...</v>
      </c>
      <c r="J3472" s="1" t="str">
        <f t="shared" si="732"/>
        <v>...</v>
      </c>
      <c r="K3472" s="1" t="str">
        <f t="shared" si="732"/>
        <v>...</v>
      </c>
      <c r="L3472" s="1" t="str">
        <f t="shared" si="732"/>
        <v>...</v>
      </c>
      <c r="M3472" s="1" t="str">
        <f t="shared" si="732"/>
        <v>...</v>
      </c>
      <c r="N3472" t="s">
        <v>30</v>
      </c>
    </row>
    <row r="3473" spans="1:14" x14ac:dyDescent="0.25">
      <c r="A3473" t="s">
        <v>41</v>
      </c>
      <c r="B3473" t="s">
        <v>15</v>
      </c>
      <c r="C3473" t="s">
        <v>38</v>
      </c>
      <c r="D3473" t="s">
        <v>33</v>
      </c>
      <c r="E3473" t="s">
        <v>26</v>
      </c>
      <c r="F3473" t="s">
        <v>17</v>
      </c>
      <c r="G3473" s="1" t="str">
        <f t="shared" si="732"/>
        <v>...</v>
      </c>
      <c r="H3473" s="1" t="str">
        <f t="shared" si="732"/>
        <v>...</v>
      </c>
      <c r="I3473" s="1" t="str">
        <f t="shared" si="732"/>
        <v>...</v>
      </c>
      <c r="J3473" s="1" t="str">
        <f t="shared" si="732"/>
        <v>...</v>
      </c>
      <c r="K3473" s="1" t="str">
        <f t="shared" si="732"/>
        <v>...</v>
      </c>
      <c r="L3473" s="1" t="str">
        <f t="shared" si="732"/>
        <v>...</v>
      </c>
      <c r="M3473" s="1" t="str">
        <f t="shared" si="732"/>
        <v>...</v>
      </c>
      <c r="N3473" t="s">
        <v>30</v>
      </c>
    </row>
    <row r="3474" spans="1:14" x14ac:dyDescent="0.25">
      <c r="A3474" t="s">
        <v>41</v>
      </c>
      <c r="B3474" t="s">
        <v>15</v>
      </c>
      <c r="C3474" t="s">
        <v>38</v>
      </c>
      <c r="D3474" t="s">
        <v>33</v>
      </c>
      <c r="E3474" t="s">
        <v>26</v>
      </c>
      <c r="F3474" t="s">
        <v>18</v>
      </c>
      <c r="G3474" s="1" t="str">
        <f t="shared" si="732"/>
        <v>...</v>
      </c>
      <c r="H3474" s="1" t="str">
        <f t="shared" si="732"/>
        <v>...</v>
      </c>
      <c r="I3474" s="1" t="str">
        <f t="shared" si="732"/>
        <v>...</v>
      </c>
      <c r="J3474" s="1" t="str">
        <f t="shared" si="732"/>
        <v>...</v>
      </c>
      <c r="K3474" s="1" t="str">
        <f t="shared" si="732"/>
        <v>...</v>
      </c>
      <c r="L3474" s="1" t="str">
        <f t="shared" si="732"/>
        <v>...</v>
      </c>
      <c r="M3474" s="1" t="str">
        <f t="shared" si="732"/>
        <v>...</v>
      </c>
      <c r="N3474" t="s">
        <v>30</v>
      </c>
    </row>
    <row r="3475" spans="1:14" x14ac:dyDescent="0.25">
      <c r="A3475" t="s">
        <v>41</v>
      </c>
      <c r="B3475" t="s">
        <v>15</v>
      </c>
      <c r="C3475" t="s">
        <v>38</v>
      </c>
      <c r="D3475" t="s">
        <v>33</v>
      </c>
      <c r="E3475" t="s">
        <v>26</v>
      </c>
      <c r="F3475" t="s">
        <v>19</v>
      </c>
      <c r="G3475" s="1" t="str">
        <f t="shared" si="732"/>
        <v>...</v>
      </c>
      <c r="H3475" s="1" t="str">
        <f t="shared" si="732"/>
        <v>...</v>
      </c>
      <c r="I3475" s="1" t="str">
        <f t="shared" si="732"/>
        <v>...</v>
      </c>
      <c r="J3475" s="1" t="str">
        <f t="shared" si="732"/>
        <v>...</v>
      </c>
      <c r="K3475" s="1" t="str">
        <f t="shared" si="732"/>
        <v>...</v>
      </c>
      <c r="L3475" s="1" t="str">
        <f t="shared" si="732"/>
        <v>...</v>
      </c>
      <c r="M3475" s="1" t="str">
        <f t="shared" si="732"/>
        <v>...</v>
      </c>
      <c r="N3475" t="s">
        <v>30</v>
      </c>
    </row>
    <row r="3476" spans="1:14" x14ac:dyDescent="0.25">
      <c r="A3476" t="s">
        <v>41</v>
      </c>
      <c r="B3476" t="s">
        <v>15</v>
      </c>
      <c r="C3476" t="s">
        <v>38</v>
      </c>
      <c r="D3476" t="s">
        <v>33</v>
      </c>
      <c r="E3476" t="s">
        <v>26</v>
      </c>
      <c r="F3476" t="s">
        <v>20</v>
      </c>
      <c r="G3476" s="1" t="str">
        <f t="shared" si="732"/>
        <v>...</v>
      </c>
      <c r="H3476" s="1" t="str">
        <f t="shared" si="732"/>
        <v>...</v>
      </c>
      <c r="I3476" s="1" t="str">
        <f t="shared" si="732"/>
        <v>...</v>
      </c>
      <c r="J3476" s="1" t="str">
        <f t="shared" si="732"/>
        <v>...</v>
      </c>
      <c r="K3476" s="1" t="str">
        <f t="shared" si="732"/>
        <v>...</v>
      </c>
      <c r="L3476" s="1" t="str">
        <f t="shared" si="732"/>
        <v>...</v>
      </c>
      <c r="M3476" s="1" t="str">
        <f t="shared" si="732"/>
        <v>...</v>
      </c>
      <c r="N3476" t="s">
        <v>30</v>
      </c>
    </row>
    <row r="3477" spans="1:14" x14ac:dyDescent="0.25">
      <c r="A3477" t="s">
        <v>41</v>
      </c>
      <c r="B3477" t="s">
        <v>15</v>
      </c>
      <c r="C3477" t="s">
        <v>38</v>
      </c>
      <c r="D3477" t="s">
        <v>34</v>
      </c>
      <c r="E3477" t="s">
        <v>15</v>
      </c>
      <c r="F3477" t="s">
        <v>15</v>
      </c>
      <c r="G3477" s="2">
        <f>VALUE(258.4751375851)</f>
        <v>258.47513758510001</v>
      </c>
      <c r="H3477" s="3">
        <f>VALUE(219.9651712356)</f>
        <v>219.9651712356</v>
      </c>
      <c r="I3477" s="1">
        <f>VALUE(4112)</f>
        <v>4112</v>
      </c>
      <c r="J3477" s="5">
        <f>VALUE(4626)</f>
        <v>4626</v>
      </c>
      <c r="K3477" s="6">
        <f>VALUE(5770)</f>
        <v>5770</v>
      </c>
      <c r="L3477" s="7">
        <f>VALUE(10476)</f>
        <v>10476</v>
      </c>
      <c r="M3477" s="1">
        <f>VALUE(18150)</f>
        <v>18150</v>
      </c>
      <c r="N3477" t="s">
        <v>25</v>
      </c>
    </row>
    <row r="3478" spans="1:14" x14ac:dyDescent="0.25">
      <c r="A3478" t="s">
        <v>41</v>
      </c>
      <c r="B3478" t="s">
        <v>15</v>
      </c>
      <c r="C3478" t="s">
        <v>38</v>
      </c>
      <c r="D3478" t="s">
        <v>34</v>
      </c>
      <c r="E3478" t="s">
        <v>15</v>
      </c>
      <c r="F3478" t="s">
        <v>17</v>
      </c>
      <c r="G3478" s="2">
        <f>VALUE(81.3444415093)</f>
        <v>81.344441509299998</v>
      </c>
      <c r="H3478" s="3">
        <f>VALUE(84.9386469532)</f>
        <v>84.938646953200006</v>
      </c>
      <c r="I3478" s="1">
        <f>VALUE(4127)</f>
        <v>4127</v>
      </c>
      <c r="J3478" s="5">
        <f>VALUE(6400)</f>
        <v>6400</v>
      </c>
      <c r="K3478" s="1">
        <f>VALUE(12698)</f>
        <v>12698</v>
      </c>
      <c r="L3478" s="1">
        <f>VALUE(18750)</f>
        <v>18750</v>
      </c>
      <c r="M3478" s="1">
        <f>VALUE(28143)</f>
        <v>28143</v>
      </c>
      <c r="N3478" t="s">
        <v>25</v>
      </c>
    </row>
    <row r="3479" spans="1:14" x14ac:dyDescent="0.25">
      <c r="A3479" t="s">
        <v>41</v>
      </c>
      <c r="B3479" t="s">
        <v>15</v>
      </c>
      <c r="C3479" t="s">
        <v>38</v>
      </c>
      <c r="D3479" t="s">
        <v>34</v>
      </c>
      <c r="E3479" t="s">
        <v>15</v>
      </c>
      <c r="F3479" t="s">
        <v>18</v>
      </c>
      <c r="G3479" s="1" t="str">
        <f t="shared" ref="G3479:M3480" si="733">"X"</f>
        <v>X</v>
      </c>
      <c r="H3479" s="1" t="str">
        <f t="shared" si="733"/>
        <v>X</v>
      </c>
      <c r="I3479" s="1" t="str">
        <f t="shared" si="733"/>
        <v>X</v>
      </c>
      <c r="J3479" s="1" t="str">
        <f t="shared" si="733"/>
        <v>X</v>
      </c>
      <c r="K3479" s="1" t="str">
        <f t="shared" si="733"/>
        <v>X</v>
      </c>
      <c r="L3479" s="1" t="str">
        <f t="shared" si="733"/>
        <v>X</v>
      </c>
      <c r="M3479" s="1" t="str">
        <f t="shared" si="733"/>
        <v>X</v>
      </c>
      <c r="N3479" t="s">
        <v>27</v>
      </c>
    </row>
    <row r="3480" spans="1:14" x14ac:dyDescent="0.25">
      <c r="A3480" t="s">
        <v>41</v>
      </c>
      <c r="B3480" t="s">
        <v>15</v>
      </c>
      <c r="C3480" t="s">
        <v>38</v>
      </c>
      <c r="D3480" t="s">
        <v>34</v>
      </c>
      <c r="E3480" t="s">
        <v>15</v>
      </c>
      <c r="F3480" t="s">
        <v>19</v>
      </c>
      <c r="G3480" s="1" t="str">
        <f t="shared" si="733"/>
        <v>X</v>
      </c>
      <c r="H3480" s="1" t="str">
        <f t="shared" si="733"/>
        <v>X</v>
      </c>
      <c r="I3480" s="1" t="str">
        <f t="shared" si="733"/>
        <v>X</v>
      </c>
      <c r="J3480" s="1" t="str">
        <f t="shared" si="733"/>
        <v>X</v>
      </c>
      <c r="K3480" s="1" t="str">
        <f t="shared" si="733"/>
        <v>X</v>
      </c>
      <c r="L3480" s="1" t="str">
        <f t="shared" si="733"/>
        <v>X</v>
      </c>
      <c r="M3480" s="1" t="str">
        <f t="shared" si="733"/>
        <v>X</v>
      </c>
      <c r="N3480" t="s">
        <v>27</v>
      </c>
    </row>
    <row r="3481" spans="1:14" x14ac:dyDescent="0.25">
      <c r="A3481" t="s">
        <v>41</v>
      </c>
      <c r="B3481" t="s">
        <v>15</v>
      </c>
      <c r="C3481" t="s">
        <v>38</v>
      </c>
      <c r="D3481" t="s">
        <v>34</v>
      </c>
      <c r="E3481" t="s">
        <v>15</v>
      </c>
      <c r="F3481" t="s">
        <v>20</v>
      </c>
      <c r="G3481" s="2">
        <f>VALUE(164.8539859981)</f>
        <v>164.8539859981</v>
      </c>
      <c r="H3481" s="3">
        <f>VALUE(129.1052095162)</f>
        <v>129.10520951620001</v>
      </c>
      <c r="I3481" s="4">
        <f>VALUE(3509)</f>
        <v>3509</v>
      </c>
      <c r="J3481" s="1">
        <f>VALUE(4604)</f>
        <v>4604</v>
      </c>
      <c r="K3481" s="1">
        <f>VALUE(5292)</f>
        <v>5292</v>
      </c>
      <c r="L3481" s="7">
        <f>VALUE(5968)</f>
        <v>5968</v>
      </c>
      <c r="M3481" s="8">
        <f>VALUE(8492)</f>
        <v>8492</v>
      </c>
      <c r="N3481" t="s">
        <v>25</v>
      </c>
    </row>
    <row r="3482" spans="1:14" x14ac:dyDescent="0.25">
      <c r="A3482" t="s">
        <v>41</v>
      </c>
      <c r="B3482" t="s">
        <v>15</v>
      </c>
      <c r="C3482" t="s">
        <v>38</v>
      </c>
      <c r="D3482" t="s">
        <v>34</v>
      </c>
      <c r="E3482" t="s">
        <v>21</v>
      </c>
      <c r="F3482" t="s">
        <v>15</v>
      </c>
      <c r="G3482" s="1" t="str">
        <f t="shared" ref="G3482:M3486" si="734">"X"</f>
        <v>X</v>
      </c>
      <c r="H3482" s="1" t="str">
        <f t="shared" si="734"/>
        <v>X</v>
      </c>
      <c r="I3482" s="1" t="str">
        <f t="shared" si="734"/>
        <v>X</v>
      </c>
      <c r="J3482" s="1" t="str">
        <f t="shared" si="734"/>
        <v>X</v>
      </c>
      <c r="K3482" s="1" t="str">
        <f t="shared" si="734"/>
        <v>X</v>
      </c>
      <c r="L3482" s="1" t="str">
        <f t="shared" si="734"/>
        <v>X</v>
      </c>
      <c r="M3482" s="1" t="str">
        <f t="shared" si="734"/>
        <v>X</v>
      </c>
      <c r="N3482" t="s">
        <v>27</v>
      </c>
    </row>
    <row r="3483" spans="1:14" x14ac:dyDescent="0.25">
      <c r="A3483" t="s">
        <v>41</v>
      </c>
      <c r="B3483" t="s">
        <v>15</v>
      </c>
      <c r="C3483" t="s">
        <v>38</v>
      </c>
      <c r="D3483" t="s">
        <v>34</v>
      </c>
      <c r="E3483" t="s">
        <v>21</v>
      </c>
      <c r="F3483" t="s">
        <v>17</v>
      </c>
      <c r="G3483" s="1" t="str">
        <f t="shared" si="734"/>
        <v>X</v>
      </c>
      <c r="H3483" s="1" t="str">
        <f t="shared" si="734"/>
        <v>X</v>
      </c>
      <c r="I3483" s="1" t="str">
        <f t="shared" si="734"/>
        <v>X</v>
      </c>
      <c r="J3483" s="1" t="str">
        <f t="shared" si="734"/>
        <v>X</v>
      </c>
      <c r="K3483" s="1" t="str">
        <f t="shared" si="734"/>
        <v>X</v>
      </c>
      <c r="L3483" s="1" t="str">
        <f t="shared" si="734"/>
        <v>X</v>
      </c>
      <c r="M3483" s="1" t="str">
        <f t="shared" si="734"/>
        <v>X</v>
      </c>
      <c r="N3483" t="s">
        <v>27</v>
      </c>
    </row>
    <row r="3484" spans="1:14" x14ac:dyDescent="0.25">
      <c r="A3484" t="s">
        <v>41</v>
      </c>
      <c r="B3484" t="s">
        <v>15</v>
      </c>
      <c r="C3484" t="s">
        <v>38</v>
      </c>
      <c r="D3484" t="s">
        <v>34</v>
      </c>
      <c r="E3484" t="s">
        <v>21</v>
      </c>
      <c r="F3484" t="s">
        <v>18</v>
      </c>
      <c r="G3484" s="1" t="str">
        <f t="shared" si="734"/>
        <v>X</v>
      </c>
      <c r="H3484" s="1" t="str">
        <f t="shared" si="734"/>
        <v>X</v>
      </c>
      <c r="I3484" s="1" t="str">
        <f t="shared" si="734"/>
        <v>X</v>
      </c>
      <c r="J3484" s="1" t="str">
        <f t="shared" si="734"/>
        <v>X</v>
      </c>
      <c r="K3484" s="1" t="str">
        <f t="shared" si="734"/>
        <v>X</v>
      </c>
      <c r="L3484" s="1" t="str">
        <f t="shared" si="734"/>
        <v>X</v>
      </c>
      <c r="M3484" s="1" t="str">
        <f t="shared" si="734"/>
        <v>X</v>
      </c>
      <c r="N3484" t="s">
        <v>27</v>
      </c>
    </row>
    <row r="3485" spans="1:14" x14ac:dyDescent="0.25">
      <c r="A3485" t="s">
        <v>41</v>
      </c>
      <c r="B3485" t="s">
        <v>15</v>
      </c>
      <c r="C3485" t="s">
        <v>38</v>
      </c>
      <c r="D3485" t="s">
        <v>34</v>
      </c>
      <c r="E3485" t="s">
        <v>21</v>
      </c>
      <c r="F3485" t="s">
        <v>19</v>
      </c>
      <c r="G3485" s="1" t="str">
        <f t="shared" si="734"/>
        <v>X</v>
      </c>
      <c r="H3485" s="1" t="str">
        <f t="shared" si="734"/>
        <v>X</v>
      </c>
      <c r="I3485" s="1" t="str">
        <f t="shared" si="734"/>
        <v>X</v>
      </c>
      <c r="J3485" s="1" t="str">
        <f t="shared" si="734"/>
        <v>X</v>
      </c>
      <c r="K3485" s="1" t="str">
        <f t="shared" si="734"/>
        <v>X</v>
      </c>
      <c r="L3485" s="1" t="str">
        <f t="shared" si="734"/>
        <v>X</v>
      </c>
      <c r="M3485" s="1" t="str">
        <f t="shared" si="734"/>
        <v>X</v>
      </c>
      <c r="N3485" t="s">
        <v>27</v>
      </c>
    </row>
    <row r="3486" spans="1:14" x14ac:dyDescent="0.25">
      <c r="A3486" t="s">
        <v>41</v>
      </c>
      <c r="B3486" t="s">
        <v>15</v>
      </c>
      <c r="C3486" t="s">
        <v>38</v>
      </c>
      <c r="D3486" t="s">
        <v>34</v>
      </c>
      <c r="E3486" t="s">
        <v>21</v>
      </c>
      <c r="F3486" t="s">
        <v>20</v>
      </c>
      <c r="G3486" s="1" t="str">
        <f t="shared" si="734"/>
        <v>X</v>
      </c>
      <c r="H3486" s="1" t="str">
        <f t="shared" si="734"/>
        <v>X</v>
      </c>
      <c r="I3486" s="1" t="str">
        <f t="shared" si="734"/>
        <v>X</v>
      </c>
      <c r="J3486" s="1" t="str">
        <f t="shared" si="734"/>
        <v>X</v>
      </c>
      <c r="K3486" s="1" t="str">
        <f t="shared" si="734"/>
        <v>X</v>
      </c>
      <c r="L3486" s="1" t="str">
        <f t="shared" si="734"/>
        <v>X</v>
      </c>
      <c r="M3486" s="1" t="str">
        <f t="shared" si="734"/>
        <v>X</v>
      </c>
      <c r="N3486" t="s">
        <v>27</v>
      </c>
    </row>
    <row r="3487" spans="1:14" x14ac:dyDescent="0.25">
      <c r="A3487" t="s">
        <v>41</v>
      </c>
      <c r="B3487" t="s">
        <v>15</v>
      </c>
      <c r="C3487" t="s">
        <v>38</v>
      </c>
      <c r="D3487" t="s">
        <v>34</v>
      </c>
      <c r="E3487" t="s">
        <v>22</v>
      </c>
      <c r="F3487" t="s">
        <v>15</v>
      </c>
      <c r="G3487" s="2">
        <f>VALUE(170.5307924799)</f>
        <v>170.53079247989999</v>
      </c>
      <c r="H3487" s="3">
        <f>VALUE(142.7165960706)</f>
        <v>142.71659607059999</v>
      </c>
      <c r="I3487" s="1">
        <f>VALUE(4127)</f>
        <v>4127</v>
      </c>
      <c r="J3487" s="1">
        <f>VALUE(4345)</f>
        <v>4345</v>
      </c>
      <c r="K3487" s="1">
        <f>VALUE(5568)</f>
        <v>5568</v>
      </c>
      <c r="L3487" s="1">
        <f>VALUE(9524)</f>
        <v>9524</v>
      </c>
      <c r="M3487" s="1">
        <f>VALUE(15191)</f>
        <v>15191</v>
      </c>
      <c r="N3487" t="s">
        <v>25</v>
      </c>
    </row>
    <row r="3488" spans="1:14" x14ac:dyDescent="0.25">
      <c r="A3488" t="s">
        <v>41</v>
      </c>
      <c r="B3488" t="s">
        <v>15</v>
      </c>
      <c r="C3488" t="s">
        <v>38</v>
      </c>
      <c r="D3488" t="s">
        <v>34</v>
      </c>
      <c r="E3488" t="s">
        <v>22</v>
      </c>
      <c r="F3488" t="s">
        <v>17</v>
      </c>
      <c r="G3488" s="1" t="str">
        <f t="shared" ref="G3488:M3490" si="735">"X"</f>
        <v>X</v>
      </c>
      <c r="H3488" s="1" t="str">
        <f t="shared" si="735"/>
        <v>X</v>
      </c>
      <c r="I3488" s="1" t="str">
        <f t="shared" si="735"/>
        <v>X</v>
      </c>
      <c r="J3488" s="1" t="str">
        <f t="shared" si="735"/>
        <v>X</v>
      </c>
      <c r="K3488" s="1" t="str">
        <f t="shared" si="735"/>
        <v>X</v>
      </c>
      <c r="L3488" s="1" t="str">
        <f t="shared" si="735"/>
        <v>X</v>
      </c>
      <c r="M3488" s="1" t="str">
        <f t="shared" si="735"/>
        <v>X</v>
      </c>
      <c r="N3488" t="s">
        <v>27</v>
      </c>
    </row>
    <row r="3489" spans="1:14" x14ac:dyDescent="0.25">
      <c r="A3489" t="s">
        <v>41</v>
      </c>
      <c r="B3489" t="s">
        <v>15</v>
      </c>
      <c r="C3489" t="s">
        <v>38</v>
      </c>
      <c r="D3489" t="s">
        <v>34</v>
      </c>
      <c r="E3489" t="s">
        <v>22</v>
      </c>
      <c r="F3489" t="s">
        <v>18</v>
      </c>
      <c r="G3489" s="1" t="str">
        <f t="shared" si="735"/>
        <v>X</v>
      </c>
      <c r="H3489" s="1" t="str">
        <f t="shared" si="735"/>
        <v>X</v>
      </c>
      <c r="I3489" s="1" t="str">
        <f t="shared" si="735"/>
        <v>X</v>
      </c>
      <c r="J3489" s="1" t="str">
        <f t="shared" si="735"/>
        <v>X</v>
      </c>
      <c r="K3489" s="1" t="str">
        <f t="shared" si="735"/>
        <v>X</v>
      </c>
      <c r="L3489" s="1" t="str">
        <f t="shared" si="735"/>
        <v>X</v>
      </c>
      <c r="M3489" s="1" t="str">
        <f t="shared" si="735"/>
        <v>X</v>
      </c>
      <c r="N3489" t="s">
        <v>27</v>
      </c>
    </row>
    <row r="3490" spans="1:14" x14ac:dyDescent="0.25">
      <c r="A3490" t="s">
        <v>41</v>
      </c>
      <c r="B3490" t="s">
        <v>15</v>
      </c>
      <c r="C3490" t="s">
        <v>38</v>
      </c>
      <c r="D3490" t="s">
        <v>34</v>
      </c>
      <c r="E3490" t="s">
        <v>22</v>
      </c>
      <c r="F3490" t="s">
        <v>19</v>
      </c>
      <c r="G3490" s="1" t="str">
        <f t="shared" si="735"/>
        <v>X</v>
      </c>
      <c r="H3490" s="1" t="str">
        <f t="shared" si="735"/>
        <v>X</v>
      </c>
      <c r="I3490" s="1" t="str">
        <f t="shared" si="735"/>
        <v>X</v>
      </c>
      <c r="J3490" s="1" t="str">
        <f t="shared" si="735"/>
        <v>X</v>
      </c>
      <c r="K3490" s="1" t="str">
        <f t="shared" si="735"/>
        <v>X</v>
      </c>
      <c r="L3490" s="1" t="str">
        <f t="shared" si="735"/>
        <v>X</v>
      </c>
      <c r="M3490" s="1" t="str">
        <f t="shared" si="735"/>
        <v>X</v>
      </c>
      <c r="N3490" t="s">
        <v>27</v>
      </c>
    </row>
    <row r="3491" spans="1:14" x14ac:dyDescent="0.25">
      <c r="A3491" t="s">
        <v>41</v>
      </c>
      <c r="B3491" t="s">
        <v>15</v>
      </c>
      <c r="C3491" t="s">
        <v>38</v>
      </c>
      <c r="D3491" t="s">
        <v>34</v>
      </c>
      <c r="E3491" t="s">
        <v>22</v>
      </c>
      <c r="F3491" t="s">
        <v>20</v>
      </c>
      <c r="G3491" s="2">
        <f>VALUE(114.5146217718)</f>
        <v>114.51462177179999</v>
      </c>
      <c r="H3491" s="3">
        <f>VALUE(87.6297746769)</f>
        <v>87.629774676899999</v>
      </c>
      <c r="I3491" s="1">
        <f>VALUE(4068)</f>
        <v>4068</v>
      </c>
      <c r="J3491" s="1">
        <f>VALUE(4569)</f>
        <v>4569</v>
      </c>
      <c r="K3491" s="1">
        <f>VALUE(5254)</f>
        <v>5254</v>
      </c>
      <c r="L3491" s="1">
        <f>VALUE(5896)</f>
        <v>5896</v>
      </c>
      <c r="M3491" s="1">
        <f>VALUE(7302)</f>
        <v>7302</v>
      </c>
      <c r="N3491" t="s">
        <v>25</v>
      </c>
    </row>
    <row r="3492" spans="1:14" x14ac:dyDescent="0.25">
      <c r="A3492" t="s">
        <v>41</v>
      </c>
      <c r="B3492" t="s">
        <v>15</v>
      </c>
      <c r="C3492" t="s">
        <v>38</v>
      </c>
      <c r="D3492" t="s">
        <v>34</v>
      </c>
      <c r="E3492" t="s">
        <v>23</v>
      </c>
      <c r="F3492" t="s">
        <v>15</v>
      </c>
      <c r="G3492" s="1" t="str">
        <f t="shared" ref="G3492:M3493" si="736">"X"</f>
        <v>X</v>
      </c>
      <c r="H3492" s="1" t="str">
        <f t="shared" si="736"/>
        <v>X</v>
      </c>
      <c r="I3492" s="1" t="str">
        <f t="shared" si="736"/>
        <v>X</v>
      </c>
      <c r="J3492" s="1" t="str">
        <f t="shared" si="736"/>
        <v>X</v>
      </c>
      <c r="K3492" s="1" t="str">
        <f t="shared" si="736"/>
        <v>X</v>
      </c>
      <c r="L3492" s="1" t="str">
        <f t="shared" si="736"/>
        <v>X</v>
      </c>
      <c r="M3492" s="1" t="str">
        <f t="shared" si="736"/>
        <v>X</v>
      </c>
      <c r="N3492" t="s">
        <v>27</v>
      </c>
    </row>
    <row r="3493" spans="1:14" x14ac:dyDescent="0.25">
      <c r="A3493" t="s">
        <v>41</v>
      </c>
      <c r="B3493" t="s">
        <v>15</v>
      </c>
      <c r="C3493" t="s">
        <v>38</v>
      </c>
      <c r="D3493" t="s">
        <v>34</v>
      </c>
      <c r="E3493" t="s">
        <v>23</v>
      </c>
      <c r="F3493" t="s">
        <v>17</v>
      </c>
      <c r="G3493" s="1" t="str">
        <f t="shared" si="736"/>
        <v>X</v>
      </c>
      <c r="H3493" s="1" t="str">
        <f t="shared" si="736"/>
        <v>X</v>
      </c>
      <c r="I3493" s="1" t="str">
        <f t="shared" si="736"/>
        <v>X</v>
      </c>
      <c r="J3493" s="1" t="str">
        <f t="shared" si="736"/>
        <v>X</v>
      </c>
      <c r="K3493" s="1" t="str">
        <f t="shared" si="736"/>
        <v>X</v>
      </c>
      <c r="L3493" s="1" t="str">
        <f t="shared" si="736"/>
        <v>X</v>
      </c>
      <c r="M3493" s="1" t="str">
        <f t="shared" si="736"/>
        <v>X</v>
      </c>
      <c r="N3493" t="s">
        <v>27</v>
      </c>
    </row>
    <row r="3494" spans="1:14" x14ac:dyDescent="0.25">
      <c r="A3494" t="s">
        <v>41</v>
      </c>
      <c r="B3494" t="s">
        <v>15</v>
      </c>
      <c r="C3494" t="s">
        <v>38</v>
      </c>
      <c r="D3494" t="s">
        <v>34</v>
      </c>
      <c r="E3494" t="s">
        <v>23</v>
      </c>
      <c r="F3494" t="s">
        <v>18</v>
      </c>
      <c r="G3494" s="1" t="str">
        <f t="shared" ref="G3494:M3494" si="737">"..."</f>
        <v>...</v>
      </c>
      <c r="H3494" s="1" t="str">
        <f t="shared" si="737"/>
        <v>...</v>
      </c>
      <c r="I3494" s="1" t="str">
        <f t="shared" si="737"/>
        <v>...</v>
      </c>
      <c r="J3494" s="1" t="str">
        <f t="shared" si="737"/>
        <v>...</v>
      </c>
      <c r="K3494" s="1" t="str">
        <f t="shared" si="737"/>
        <v>...</v>
      </c>
      <c r="L3494" s="1" t="str">
        <f t="shared" si="737"/>
        <v>...</v>
      </c>
      <c r="M3494" s="1" t="str">
        <f t="shared" si="737"/>
        <v>...</v>
      </c>
      <c r="N3494" t="s">
        <v>30</v>
      </c>
    </row>
    <row r="3495" spans="1:14" x14ac:dyDescent="0.25">
      <c r="A3495" t="s">
        <v>41</v>
      </c>
      <c r="B3495" t="s">
        <v>15</v>
      </c>
      <c r="C3495" t="s">
        <v>38</v>
      </c>
      <c r="D3495" t="s">
        <v>34</v>
      </c>
      <c r="E3495" t="s">
        <v>23</v>
      </c>
      <c r="F3495" t="s">
        <v>19</v>
      </c>
      <c r="G3495" s="1" t="str">
        <f t="shared" ref="G3495:M3497" si="738">"X"</f>
        <v>X</v>
      </c>
      <c r="H3495" s="1" t="str">
        <f t="shared" si="738"/>
        <v>X</v>
      </c>
      <c r="I3495" s="1" t="str">
        <f t="shared" si="738"/>
        <v>X</v>
      </c>
      <c r="J3495" s="1" t="str">
        <f t="shared" si="738"/>
        <v>X</v>
      </c>
      <c r="K3495" s="1" t="str">
        <f t="shared" si="738"/>
        <v>X</v>
      </c>
      <c r="L3495" s="1" t="str">
        <f t="shared" si="738"/>
        <v>X</v>
      </c>
      <c r="M3495" s="1" t="str">
        <f t="shared" si="738"/>
        <v>X</v>
      </c>
      <c r="N3495" t="s">
        <v>27</v>
      </c>
    </row>
    <row r="3496" spans="1:14" x14ac:dyDescent="0.25">
      <c r="A3496" t="s">
        <v>41</v>
      </c>
      <c r="B3496" t="s">
        <v>15</v>
      </c>
      <c r="C3496" t="s">
        <v>38</v>
      </c>
      <c r="D3496" t="s">
        <v>34</v>
      </c>
      <c r="E3496" t="s">
        <v>23</v>
      </c>
      <c r="F3496" t="s">
        <v>20</v>
      </c>
      <c r="G3496" s="1" t="str">
        <f t="shared" si="738"/>
        <v>X</v>
      </c>
      <c r="H3496" s="1" t="str">
        <f t="shared" si="738"/>
        <v>X</v>
      </c>
      <c r="I3496" s="1" t="str">
        <f t="shared" si="738"/>
        <v>X</v>
      </c>
      <c r="J3496" s="1" t="str">
        <f t="shared" si="738"/>
        <v>X</v>
      </c>
      <c r="K3496" s="1" t="str">
        <f t="shared" si="738"/>
        <v>X</v>
      </c>
      <c r="L3496" s="1" t="str">
        <f t="shared" si="738"/>
        <v>X</v>
      </c>
      <c r="M3496" s="1" t="str">
        <f t="shared" si="738"/>
        <v>X</v>
      </c>
      <c r="N3496" t="s">
        <v>27</v>
      </c>
    </row>
    <row r="3497" spans="1:14" x14ac:dyDescent="0.25">
      <c r="A3497" t="s">
        <v>41</v>
      </c>
      <c r="B3497" t="s">
        <v>15</v>
      </c>
      <c r="C3497" t="s">
        <v>38</v>
      </c>
      <c r="D3497" t="s">
        <v>34</v>
      </c>
      <c r="E3497" t="s">
        <v>26</v>
      </c>
      <c r="F3497" t="s">
        <v>15</v>
      </c>
      <c r="G3497" s="1" t="str">
        <f t="shared" si="738"/>
        <v>X</v>
      </c>
      <c r="H3497" s="1" t="str">
        <f t="shared" si="738"/>
        <v>X</v>
      </c>
      <c r="I3497" s="1" t="str">
        <f t="shared" si="738"/>
        <v>X</v>
      </c>
      <c r="J3497" s="1" t="str">
        <f t="shared" si="738"/>
        <v>X</v>
      </c>
      <c r="K3497" s="1" t="str">
        <f t="shared" si="738"/>
        <v>X</v>
      </c>
      <c r="L3497" s="1" t="str">
        <f t="shared" si="738"/>
        <v>X</v>
      </c>
      <c r="M3497" s="1" t="str">
        <f t="shared" si="738"/>
        <v>X</v>
      </c>
      <c r="N3497" t="s">
        <v>27</v>
      </c>
    </row>
    <row r="3498" spans="1:14" x14ac:dyDescent="0.25">
      <c r="A3498" t="s">
        <v>41</v>
      </c>
      <c r="B3498" t="s">
        <v>15</v>
      </c>
      <c r="C3498" t="s">
        <v>38</v>
      </c>
      <c r="D3498" t="s">
        <v>34</v>
      </c>
      <c r="E3498" t="s">
        <v>26</v>
      </c>
      <c r="F3498" t="s">
        <v>17</v>
      </c>
      <c r="G3498" s="1" t="str">
        <f t="shared" ref="G3498:M3498" si="739">"..."</f>
        <v>...</v>
      </c>
      <c r="H3498" s="1" t="str">
        <f t="shared" si="739"/>
        <v>...</v>
      </c>
      <c r="I3498" s="1" t="str">
        <f t="shared" si="739"/>
        <v>...</v>
      </c>
      <c r="J3498" s="1" t="str">
        <f t="shared" si="739"/>
        <v>...</v>
      </c>
      <c r="K3498" s="1" t="str">
        <f t="shared" si="739"/>
        <v>...</v>
      </c>
      <c r="L3498" s="1" t="str">
        <f t="shared" si="739"/>
        <v>...</v>
      </c>
      <c r="M3498" s="1" t="str">
        <f t="shared" si="739"/>
        <v>...</v>
      </c>
      <c r="N3498" t="s">
        <v>30</v>
      </c>
    </row>
    <row r="3499" spans="1:14" x14ac:dyDescent="0.25">
      <c r="A3499" t="s">
        <v>41</v>
      </c>
      <c r="B3499" t="s">
        <v>15</v>
      </c>
      <c r="C3499" t="s">
        <v>38</v>
      </c>
      <c r="D3499" t="s">
        <v>34</v>
      </c>
      <c r="E3499" t="s">
        <v>26</v>
      </c>
      <c r="F3499" t="s">
        <v>18</v>
      </c>
      <c r="G3499" s="1" t="str">
        <f t="shared" ref="G3499:M3499" si="740">"X"</f>
        <v>X</v>
      </c>
      <c r="H3499" s="1" t="str">
        <f t="shared" si="740"/>
        <v>X</v>
      </c>
      <c r="I3499" s="1" t="str">
        <f t="shared" si="740"/>
        <v>X</v>
      </c>
      <c r="J3499" s="1" t="str">
        <f t="shared" si="740"/>
        <v>X</v>
      </c>
      <c r="K3499" s="1" t="str">
        <f t="shared" si="740"/>
        <v>X</v>
      </c>
      <c r="L3499" s="1" t="str">
        <f t="shared" si="740"/>
        <v>X</v>
      </c>
      <c r="M3499" s="1" t="str">
        <f t="shared" si="740"/>
        <v>X</v>
      </c>
      <c r="N3499" t="s">
        <v>27</v>
      </c>
    </row>
    <row r="3500" spans="1:14" x14ac:dyDescent="0.25">
      <c r="A3500" t="s">
        <v>41</v>
      </c>
      <c r="B3500" t="s">
        <v>15</v>
      </c>
      <c r="C3500" t="s">
        <v>38</v>
      </c>
      <c r="D3500" t="s">
        <v>34</v>
      </c>
      <c r="E3500" t="s">
        <v>26</v>
      </c>
      <c r="F3500" t="s">
        <v>19</v>
      </c>
      <c r="G3500" s="1" t="str">
        <f t="shared" ref="G3500:M3500" si="741">"..."</f>
        <v>...</v>
      </c>
      <c r="H3500" s="1" t="str">
        <f t="shared" si="741"/>
        <v>...</v>
      </c>
      <c r="I3500" s="1" t="str">
        <f t="shared" si="741"/>
        <v>...</v>
      </c>
      <c r="J3500" s="1" t="str">
        <f t="shared" si="741"/>
        <v>...</v>
      </c>
      <c r="K3500" s="1" t="str">
        <f t="shared" si="741"/>
        <v>...</v>
      </c>
      <c r="L3500" s="1" t="str">
        <f t="shared" si="741"/>
        <v>...</v>
      </c>
      <c r="M3500" s="1" t="str">
        <f t="shared" si="741"/>
        <v>...</v>
      </c>
      <c r="N3500" t="s">
        <v>30</v>
      </c>
    </row>
    <row r="3501" spans="1:14" x14ac:dyDescent="0.25">
      <c r="A3501" t="s">
        <v>41</v>
      </c>
      <c r="B3501" t="s">
        <v>15</v>
      </c>
      <c r="C3501" t="s">
        <v>38</v>
      </c>
      <c r="D3501" t="s">
        <v>34</v>
      </c>
      <c r="E3501" t="s">
        <v>26</v>
      </c>
      <c r="F3501" t="s">
        <v>20</v>
      </c>
      <c r="G3501" s="1" t="str">
        <f t="shared" ref="G3501:M3501" si="742">"X"</f>
        <v>X</v>
      </c>
      <c r="H3501" s="1" t="str">
        <f t="shared" si="742"/>
        <v>X</v>
      </c>
      <c r="I3501" s="1" t="str">
        <f t="shared" si="742"/>
        <v>X</v>
      </c>
      <c r="J3501" s="1" t="str">
        <f t="shared" si="742"/>
        <v>X</v>
      </c>
      <c r="K3501" s="1" t="str">
        <f t="shared" si="742"/>
        <v>X</v>
      </c>
      <c r="L3501" s="1" t="str">
        <f t="shared" si="742"/>
        <v>X</v>
      </c>
      <c r="M3501" s="1" t="str">
        <f t="shared" si="742"/>
        <v>X</v>
      </c>
      <c r="N3501" t="s">
        <v>27</v>
      </c>
    </row>
    <row r="3502" spans="1:14" x14ac:dyDescent="0.25">
      <c r="A3502" t="s">
        <v>41</v>
      </c>
      <c r="B3502" t="s">
        <v>39</v>
      </c>
      <c r="C3502" t="s">
        <v>15</v>
      </c>
      <c r="D3502" t="s">
        <v>15</v>
      </c>
      <c r="E3502" t="s">
        <v>15</v>
      </c>
      <c r="F3502" t="s">
        <v>15</v>
      </c>
      <c r="G3502" s="1">
        <f>VALUE(65338.521230709)</f>
        <v>65338.521230708997</v>
      </c>
      <c r="H3502" s="1">
        <f>VALUE(64214.4479347418)</f>
        <v>64214.447934741802</v>
      </c>
      <c r="I3502" s="1">
        <f>VALUE(3611)</f>
        <v>3611</v>
      </c>
      <c r="J3502" s="1">
        <f>VALUE(4360)</f>
        <v>4360</v>
      </c>
      <c r="K3502" s="1">
        <f>VALUE(5406)</f>
        <v>5406</v>
      </c>
      <c r="L3502" s="1">
        <f>VALUE(6748)</f>
        <v>6748</v>
      </c>
      <c r="M3502" s="1">
        <f>VALUE(9654)</f>
        <v>9654</v>
      </c>
      <c r="N3502" t="s">
        <v>16</v>
      </c>
    </row>
    <row r="3503" spans="1:14" x14ac:dyDescent="0.25">
      <c r="A3503" t="s">
        <v>41</v>
      </c>
      <c r="B3503" t="s">
        <v>39</v>
      </c>
      <c r="C3503" t="s">
        <v>15</v>
      </c>
      <c r="D3503" t="s">
        <v>15</v>
      </c>
      <c r="E3503" t="s">
        <v>15</v>
      </c>
      <c r="F3503" t="s">
        <v>17</v>
      </c>
      <c r="G3503" s="1">
        <f>VALUE(12457.8901416868)</f>
        <v>12457.890141686799</v>
      </c>
      <c r="H3503" s="1">
        <f>VALUE(12426.7527185709)</f>
        <v>12426.7527185709</v>
      </c>
      <c r="I3503" s="1">
        <f>VALUE(4489)</f>
        <v>4489</v>
      </c>
      <c r="J3503" s="1">
        <f>VALUE(5877)</f>
        <v>5877</v>
      </c>
      <c r="K3503" s="1">
        <f>VALUE(8151)</f>
        <v>8151</v>
      </c>
      <c r="L3503" s="1">
        <f>VALUE(11904)</f>
        <v>11904</v>
      </c>
      <c r="M3503" s="1">
        <f>VALUE(18583)</f>
        <v>18583</v>
      </c>
      <c r="N3503" t="s">
        <v>16</v>
      </c>
    </row>
    <row r="3504" spans="1:14" x14ac:dyDescent="0.25">
      <c r="A3504" t="s">
        <v>41</v>
      </c>
      <c r="B3504" t="s">
        <v>39</v>
      </c>
      <c r="C3504" t="s">
        <v>15</v>
      </c>
      <c r="D3504" t="s">
        <v>15</v>
      </c>
      <c r="E3504" t="s">
        <v>15</v>
      </c>
      <c r="F3504" t="s">
        <v>18</v>
      </c>
      <c r="G3504" s="1">
        <f>VALUE(8162.5768604595)</f>
        <v>8162.5768604594996</v>
      </c>
      <c r="H3504" s="1">
        <f>VALUE(7954.8672413842)</f>
        <v>7954.8672413841996</v>
      </c>
      <c r="I3504" s="1">
        <f>VALUE(4045)</f>
        <v>4045</v>
      </c>
      <c r="J3504" s="1">
        <f>VALUE(4954)</f>
        <v>4954</v>
      </c>
      <c r="K3504" s="1">
        <f>VALUE(5927)</f>
        <v>5927</v>
      </c>
      <c r="L3504" s="1">
        <f>VALUE(7627)</f>
        <v>7627</v>
      </c>
      <c r="M3504" s="1">
        <f>VALUE(9820)</f>
        <v>9820</v>
      </c>
      <c r="N3504" t="s">
        <v>16</v>
      </c>
    </row>
    <row r="3505" spans="1:14" x14ac:dyDescent="0.25">
      <c r="A3505" t="s">
        <v>41</v>
      </c>
      <c r="B3505" t="s">
        <v>39</v>
      </c>
      <c r="C3505" t="s">
        <v>15</v>
      </c>
      <c r="D3505" t="s">
        <v>15</v>
      </c>
      <c r="E3505" t="s">
        <v>15</v>
      </c>
      <c r="F3505" t="s">
        <v>19</v>
      </c>
      <c r="G3505" s="1">
        <f>VALUE(9226.8238748733)</f>
        <v>9226.8238748733002</v>
      </c>
      <c r="H3505" s="1">
        <f>VALUE(8832.3551544214)</f>
        <v>8832.3551544214006</v>
      </c>
      <c r="I3505" s="1">
        <f>VALUE(3840)</f>
        <v>3840</v>
      </c>
      <c r="J3505" s="1">
        <f>VALUE(4526)</f>
        <v>4526</v>
      </c>
      <c r="K3505" s="1">
        <f>VALUE(5416)</f>
        <v>5416</v>
      </c>
      <c r="L3505" s="1">
        <f>VALUE(6485)</f>
        <v>6485</v>
      </c>
      <c r="M3505" s="1">
        <f>VALUE(7658)</f>
        <v>7658</v>
      </c>
      <c r="N3505" t="s">
        <v>16</v>
      </c>
    </row>
    <row r="3506" spans="1:14" x14ac:dyDescent="0.25">
      <c r="A3506" t="s">
        <v>41</v>
      </c>
      <c r="B3506" t="s">
        <v>39</v>
      </c>
      <c r="C3506" t="s">
        <v>15</v>
      </c>
      <c r="D3506" t="s">
        <v>15</v>
      </c>
      <c r="E3506" t="s">
        <v>15</v>
      </c>
      <c r="F3506" t="s">
        <v>20</v>
      </c>
      <c r="G3506" s="1">
        <f>VALUE(35464.2689854269)</f>
        <v>35464.268985426897</v>
      </c>
      <c r="H3506" s="1">
        <f>VALUE(34972.2929125098)</f>
        <v>34972.292912509802</v>
      </c>
      <c r="I3506" s="1">
        <f>VALUE(3441)</f>
        <v>3441</v>
      </c>
      <c r="J3506" s="1">
        <f>VALUE(4056)</f>
        <v>4056</v>
      </c>
      <c r="K3506" s="1">
        <f>VALUE(4915)</f>
        <v>4915</v>
      </c>
      <c r="L3506" s="1">
        <f>VALUE(5788)</f>
        <v>5788</v>
      </c>
      <c r="M3506" s="1">
        <f>VALUE(6736)</f>
        <v>6736</v>
      </c>
      <c r="N3506" t="s">
        <v>16</v>
      </c>
    </row>
    <row r="3507" spans="1:14" x14ac:dyDescent="0.25">
      <c r="A3507" t="s">
        <v>41</v>
      </c>
      <c r="B3507" t="s">
        <v>39</v>
      </c>
      <c r="C3507" t="s">
        <v>15</v>
      </c>
      <c r="D3507" t="s">
        <v>15</v>
      </c>
      <c r="E3507" t="s">
        <v>21</v>
      </c>
      <c r="F3507" t="s">
        <v>15</v>
      </c>
      <c r="G3507" s="1">
        <f>VALUE(16650.048047279)</f>
        <v>16650.048047279</v>
      </c>
      <c r="H3507" s="1">
        <f>VALUE(15764.7634851789)</f>
        <v>15764.763485178901</v>
      </c>
      <c r="I3507" s="1">
        <f>VALUE(4194)</f>
        <v>4194</v>
      </c>
      <c r="J3507" s="1">
        <f>VALUE(5350)</f>
        <v>5350</v>
      </c>
      <c r="K3507" s="1">
        <f>VALUE(7161)</f>
        <v>7161</v>
      </c>
      <c r="L3507" s="1">
        <f>VALUE(10079)</f>
        <v>10079</v>
      </c>
      <c r="M3507" s="1">
        <f>VALUE(14606)</f>
        <v>14606</v>
      </c>
      <c r="N3507" t="s">
        <v>16</v>
      </c>
    </row>
    <row r="3508" spans="1:14" x14ac:dyDescent="0.25">
      <c r="A3508" t="s">
        <v>41</v>
      </c>
      <c r="B3508" t="s">
        <v>39</v>
      </c>
      <c r="C3508" t="s">
        <v>15</v>
      </c>
      <c r="D3508" t="s">
        <v>15</v>
      </c>
      <c r="E3508" t="s">
        <v>21</v>
      </c>
      <c r="F3508" t="s">
        <v>17</v>
      </c>
      <c r="G3508" s="1">
        <f>VALUE(7382.0829961759)</f>
        <v>7382.0829961759</v>
      </c>
      <c r="H3508" s="1">
        <f>VALUE(7267.0971467783)</f>
        <v>7267.0971467783002</v>
      </c>
      <c r="I3508" s="1">
        <f>VALUE(4933)</f>
        <v>4933</v>
      </c>
      <c r="J3508" s="1">
        <f>VALUE(6608)</f>
        <v>6608</v>
      </c>
      <c r="K3508" s="1">
        <f>VALUE(9317)</f>
        <v>9317</v>
      </c>
      <c r="L3508" s="1">
        <f>VALUE(13199)</f>
        <v>13199</v>
      </c>
      <c r="M3508" s="8">
        <f>VALUE(20485)</f>
        <v>20485</v>
      </c>
      <c r="N3508" t="s">
        <v>25</v>
      </c>
    </row>
    <row r="3509" spans="1:14" x14ac:dyDescent="0.25">
      <c r="A3509" t="s">
        <v>41</v>
      </c>
      <c r="B3509" t="s">
        <v>39</v>
      </c>
      <c r="C3509" t="s">
        <v>15</v>
      </c>
      <c r="D3509" t="s">
        <v>15</v>
      </c>
      <c r="E3509" t="s">
        <v>21</v>
      </c>
      <c r="F3509" t="s">
        <v>18</v>
      </c>
      <c r="G3509" s="1">
        <f>VALUE(3002.8203809332)</f>
        <v>3002.8203809331999</v>
      </c>
      <c r="H3509" s="1">
        <f>VALUE(2785.7446710679)</f>
        <v>2785.7446710679001</v>
      </c>
      <c r="I3509" s="4">
        <f>VALUE(4227)</f>
        <v>4227</v>
      </c>
      <c r="J3509" s="1">
        <f>VALUE(5373)</f>
        <v>5373</v>
      </c>
      <c r="K3509" s="1">
        <f>VALUE(6952)</f>
        <v>6952</v>
      </c>
      <c r="L3509" s="1">
        <f>VALUE(9044)</f>
        <v>9044</v>
      </c>
      <c r="M3509" s="1">
        <f>VALUE(11321)</f>
        <v>11321</v>
      </c>
      <c r="N3509" t="s">
        <v>25</v>
      </c>
    </row>
    <row r="3510" spans="1:14" x14ac:dyDescent="0.25">
      <c r="A3510" t="s">
        <v>41</v>
      </c>
      <c r="B3510" t="s">
        <v>39</v>
      </c>
      <c r="C3510" t="s">
        <v>15</v>
      </c>
      <c r="D3510" t="s">
        <v>15</v>
      </c>
      <c r="E3510" t="s">
        <v>21</v>
      </c>
      <c r="F3510" t="s">
        <v>19</v>
      </c>
      <c r="G3510" s="1">
        <f>VALUE(2608.9147949973)</f>
        <v>2608.9147949972999</v>
      </c>
      <c r="H3510" s="1">
        <f>VALUE(2263.02723388)</f>
        <v>2263.02723388</v>
      </c>
      <c r="I3510" s="1">
        <f>VALUE(4070)</f>
        <v>4070</v>
      </c>
      <c r="J3510" s="1">
        <f>VALUE(4959)</f>
        <v>4959</v>
      </c>
      <c r="K3510" s="1">
        <f>VALUE(5952)</f>
        <v>5952</v>
      </c>
      <c r="L3510" s="1">
        <f>VALUE(7450)</f>
        <v>7450</v>
      </c>
      <c r="M3510" s="1">
        <f>VALUE(8866)</f>
        <v>8866</v>
      </c>
      <c r="N3510" t="s">
        <v>16</v>
      </c>
    </row>
    <row r="3511" spans="1:14" x14ac:dyDescent="0.25">
      <c r="A3511" t="s">
        <v>41</v>
      </c>
      <c r="B3511" t="s">
        <v>39</v>
      </c>
      <c r="C3511" t="s">
        <v>15</v>
      </c>
      <c r="D3511" t="s">
        <v>15</v>
      </c>
      <c r="E3511" t="s">
        <v>21</v>
      </c>
      <c r="F3511" t="s">
        <v>20</v>
      </c>
      <c r="G3511" s="1">
        <f>VALUE(3654.8678370963)</f>
        <v>3654.8678370962998</v>
      </c>
      <c r="H3511" s="1">
        <f>VALUE(3447.4472679966)</f>
        <v>3447.4472679966002</v>
      </c>
      <c r="I3511" s="4">
        <f>VALUE(3792)</f>
        <v>3792</v>
      </c>
      <c r="J3511" s="1">
        <f>VALUE(4508)</f>
        <v>4508</v>
      </c>
      <c r="K3511" s="1">
        <f>VALUE(5669)</f>
        <v>5669</v>
      </c>
      <c r="L3511" s="1">
        <f>VALUE(7079)</f>
        <v>7079</v>
      </c>
      <c r="M3511" s="1">
        <f>VALUE(8727)</f>
        <v>8727</v>
      </c>
      <c r="N3511" t="s">
        <v>25</v>
      </c>
    </row>
    <row r="3512" spans="1:14" x14ac:dyDescent="0.25">
      <c r="A3512" t="s">
        <v>41</v>
      </c>
      <c r="B3512" t="s">
        <v>39</v>
      </c>
      <c r="C3512" t="s">
        <v>15</v>
      </c>
      <c r="D3512" t="s">
        <v>15</v>
      </c>
      <c r="E3512" t="s">
        <v>22</v>
      </c>
      <c r="F3512" t="s">
        <v>15</v>
      </c>
      <c r="G3512" s="1">
        <f>VALUE(24502.7072202118)</f>
        <v>24502.7072202118</v>
      </c>
      <c r="H3512" s="1">
        <f>VALUE(24333.6174541923)</f>
        <v>24333.617454192299</v>
      </c>
      <c r="I3512" s="1">
        <f>VALUE(3792)</f>
        <v>3792</v>
      </c>
      <c r="J3512" s="1">
        <f>VALUE(4524)</f>
        <v>4524</v>
      </c>
      <c r="K3512" s="1">
        <f>VALUE(5452)</f>
        <v>5452</v>
      </c>
      <c r="L3512" s="1">
        <f>VALUE(6500)</f>
        <v>6500</v>
      </c>
      <c r="M3512" s="1">
        <f>VALUE(7956)</f>
        <v>7956</v>
      </c>
      <c r="N3512" t="s">
        <v>16</v>
      </c>
    </row>
    <row r="3513" spans="1:14" x14ac:dyDescent="0.25">
      <c r="A3513" t="s">
        <v>41</v>
      </c>
      <c r="B3513" t="s">
        <v>39</v>
      </c>
      <c r="C3513" t="s">
        <v>15</v>
      </c>
      <c r="D3513" t="s">
        <v>15</v>
      </c>
      <c r="E3513" t="s">
        <v>22</v>
      </c>
      <c r="F3513" t="s">
        <v>17</v>
      </c>
      <c r="G3513" s="1">
        <f>VALUE(3799.2918404446)</f>
        <v>3799.2918404446</v>
      </c>
      <c r="H3513" s="1">
        <f>VALUE(3860.6836199402)</f>
        <v>3860.6836199402001</v>
      </c>
      <c r="I3513" s="1">
        <f>VALUE(4255)</f>
        <v>4255</v>
      </c>
      <c r="J3513" s="1">
        <f>VALUE(5466)</f>
        <v>5466</v>
      </c>
      <c r="K3513" s="1">
        <f>VALUE(6740)</f>
        <v>6740</v>
      </c>
      <c r="L3513" s="1">
        <f>VALUE(9009)</f>
        <v>9009</v>
      </c>
      <c r="M3513" s="1">
        <f>VALUE(12357)</f>
        <v>12357</v>
      </c>
      <c r="N3513" t="s">
        <v>16</v>
      </c>
    </row>
    <row r="3514" spans="1:14" x14ac:dyDescent="0.25">
      <c r="A3514" t="s">
        <v>41</v>
      </c>
      <c r="B3514" t="s">
        <v>39</v>
      </c>
      <c r="C3514" t="s">
        <v>15</v>
      </c>
      <c r="D3514" t="s">
        <v>15</v>
      </c>
      <c r="E3514" t="s">
        <v>22</v>
      </c>
      <c r="F3514" t="s">
        <v>18</v>
      </c>
      <c r="G3514" s="1">
        <f>VALUE(3023.7396964332)</f>
        <v>3023.7396964332002</v>
      </c>
      <c r="H3514" s="1">
        <f>VALUE(3003.4223783937)</f>
        <v>3003.4223783937</v>
      </c>
      <c r="I3514" s="1">
        <f>VALUE(4155)</f>
        <v>4155</v>
      </c>
      <c r="J3514" s="1">
        <f>VALUE(4996)</f>
        <v>4996</v>
      </c>
      <c r="K3514" s="1">
        <f>VALUE(5880)</f>
        <v>5880</v>
      </c>
      <c r="L3514" s="1">
        <f>VALUE(7061)</f>
        <v>7061</v>
      </c>
      <c r="M3514" s="1">
        <f>VALUE(8422)</f>
        <v>8422</v>
      </c>
      <c r="N3514" t="s">
        <v>16</v>
      </c>
    </row>
    <row r="3515" spans="1:14" x14ac:dyDescent="0.25">
      <c r="A3515" t="s">
        <v>41</v>
      </c>
      <c r="B3515" t="s">
        <v>39</v>
      </c>
      <c r="C3515" t="s">
        <v>15</v>
      </c>
      <c r="D3515" t="s">
        <v>15</v>
      </c>
      <c r="E3515" t="s">
        <v>22</v>
      </c>
      <c r="F3515" t="s">
        <v>19</v>
      </c>
      <c r="G3515" s="1">
        <f>VALUE(4129.3392159485)</f>
        <v>4129.3392159485002</v>
      </c>
      <c r="H3515" s="1">
        <f>VALUE(4097.9414324866)</f>
        <v>4097.9414324866002</v>
      </c>
      <c r="I3515" s="1">
        <f>VALUE(3863)</f>
        <v>3863</v>
      </c>
      <c r="J3515" s="1">
        <f>VALUE(4544)</f>
        <v>4544</v>
      </c>
      <c r="K3515" s="1">
        <f>VALUE(5416)</f>
        <v>5416</v>
      </c>
      <c r="L3515" s="1">
        <f>VALUE(6365)</f>
        <v>6365</v>
      </c>
      <c r="M3515" s="1">
        <f>VALUE(7356)</f>
        <v>7356</v>
      </c>
      <c r="N3515" t="s">
        <v>16</v>
      </c>
    </row>
    <row r="3516" spans="1:14" x14ac:dyDescent="0.25">
      <c r="A3516" t="s">
        <v>41</v>
      </c>
      <c r="B3516" t="s">
        <v>39</v>
      </c>
      <c r="C3516" t="s">
        <v>15</v>
      </c>
      <c r="D3516" t="s">
        <v>15</v>
      </c>
      <c r="E3516" t="s">
        <v>22</v>
      </c>
      <c r="F3516" t="s">
        <v>20</v>
      </c>
      <c r="G3516" s="1">
        <f>VALUE(13550.3364673855)</f>
        <v>13550.336467385499</v>
      </c>
      <c r="H3516" s="1">
        <f>VALUE(13371.5700233718)</f>
        <v>13371.5700233718</v>
      </c>
      <c r="I3516" s="1">
        <f>VALUE(3655)</f>
        <v>3655</v>
      </c>
      <c r="J3516" s="1">
        <f>VALUE(4286)</f>
        <v>4286</v>
      </c>
      <c r="K3516" s="1">
        <f>VALUE(5129)</f>
        <v>5129</v>
      </c>
      <c r="L3516" s="1">
        <f>VALUE(6002)</f>
        <v>6002</v>
      </c>
      <c r="M3516" s="1">
        <f>VALUE(6908)</f>
        <v>6908</v>
      </c>
      <c r="N3516" t="s">
        <v>16</v>
      </c>
    </row>
    <row r="3517" spans="1:14" x14ac:dyDescent="0.25">
      <c r="A3517" t="s">
        <v>41</v>
      </c>
      <c r="B3517" t="s">
        <v>39</v>
      </c>
      <c r="C3517" t="s">
        <v>15</v>
      </c>
      <c r="D3517" t="s">
        <v>15</v>
      </c>
      <c r="E3517" t="s">
        <v>23</v>
      </c>
      <c r="F3517" t="s">
        <v>15</v>
      </c>
      <c r="G3517" s="1">
        <f>VALUE(23382.8020549259)</f>
        <v>23382.802054925902</v>
      </c>
      <c r="H3517" s="1">
        <f>VALUE(23278.1629258607)</f>
        <v>23278.162925860699</v>
      </c>
      <c r="I3517" s="1">
        <f>VALUE(3378)</f>
        <v>3378</v>
      </c>
      <c r="J3517" s="1">
        <f>VALUE(3931)</f>
        <v>3931</v>
      </c>
      <c r="K3517" s="1">
        <f>VALUE(4771)</f>
        <v>4771</v>
      </c>
      <c r="L3517" s="1">
        <f>VALUE(5601)</f>
        <v>5601</v>
      </c>
      <c r="M3517" s="1">
        <f>VALUE(6413)</f>
        <v>6413</v>
      </c>
      <c r="N3517" t="s">
        <v>16</v>
      </c>
    </row>
    <row r="3518" spans="1:14" x14ac:dyDescent="0.25">
      <c r="A3518" t="s">
        <v>41</v>
      </c>
      <c r="B3518" t="s">
        <v>39</v>
      </c>
      <c r="C3518" t="s">
        <v>15</v>
      </c>
      <c r="D3518" t="s">
        <v>15</v>
      </c>
      <c r="E3518" t="s">
        <v>23</v>
      </c>
      <c r="F3518" t="s">
        <v>17</v>
      </c>
      <c r="G3518" s="2">
        <f>VALUE(914.3877378186)</f>
        <v>914.38773781860004</v>
      </c>
      <c r="H3518" s="3">
        <f>VALUE(921.422217064)</f>
        <v>921.42221706400005</v>
      </c>
      <c r="I3518" s="1">
        <f>VALUE(3727)</f>
        <v>3727</v>
      </c>
      <c r="J3518" s="5">
        <f>VALUE(4306)</f>
        <v>4306</v>
      </c>
      <c r="K3518" s="6">
        <f>VALUE(5698)</f>
        <v>5698</v>
      </c>
      <c r="L3518" s="7">
        <f>VALUE(8254)</f>
        <v>8254</v>
      </c>
      <c r="M3518" s="8">
        <f>VALUE(12273)</f>
        <v>12273</v>
      </c>
      <c r="N3518" t="s">
        <v>25</v>
      </c>
    </row>
    <row r="3519" spans="1:14" x14ac:dyDescent="0.25">
      <c r="A3519" t="s">
        <v>41</v>
      </c>
      <c r="B3519" t="s">
        <v>39</v>
      </c>
      <c r="C3519" t="s">
        <v>15</v>
      </c>
      <c r="D3519" t="s">
        <v>15</v>
      </c>
      <c r="E3519" t="s">
        <v>23</v>
      </c>
      <c r="F3519" t="s">
        <v>18</v>
      </c>
      <c r="G3519" s="2">
        <f>VALUE(1902.484482616)</f>
        <v>1902.4844826159999</v>
      </c>
      <c r="H3519" s="3">
        <f>VALUE(1921.9450027195)</f>
        <v>1921.9450027195001</v>
      </c>
      <c r="I3519" s="1">
        <f>VALUE(3733)</f>
        <v>3733</v>
      </c>
      <c r="J3519" s="5">
        <f>VALUE(4535)</f>
        <v>4535</v>
      </c>
      <c r="K3519" s="1">
        <f>VALUE(5149)</f>
        <v>5149</v>
      </c>
      <c r="L3519" s="1">
        <f>VALUE(5898)</f>
        <v>5898</v>
      </c>
      <c r="M3519" s="8">
        <f>VALUE(7089)</f>
        <v>7089</v>
      </c>
      <c r="N3519" t="s">
        <v>25</v>
      </c>
    </row>
    <row r="3520" spans="1:14" x14ac:dyDescent="0.25">
      <c r="A3520" t="s">
        <v>41</v>
      </c>
      <c r="B3520" t="s">
        <v>39</v>
      </c>
      <c r="C3520" t="s">
        <v>15</v>
      </c>
      <c r="D3520" t="s">
        <v>15</v>
      </c>
      <c r="E3520" t="s">
        <v>23</v>
      </c>
      <c r="F3520" t="s">
        <v>19</v>
      </c>
      <c r="G3520" s="1">
        <f>VALUE(2488.5698639275)</f>
        <v>2488.5698639275001</v>
      </c>
      <c r="H3520" s="1">
        <f>VALUE(2471.3864880548)</f>
        <v>2471.3864880547999</v>
      </c>
      <c r="I3520" s="1">
        <f>VALUE(3668)</f>
        <v>3668</v>
      </c>
      <c r="J3520" s="1">
        <f>VALUE(4282)</f>
        <v>4282</v>
      </c>
      <c r="K3520" s="1">
        <f>VALUE(4983)</f>
        <v>4983</v>
      </c>
      <c r="L3520" s="1">
        <f>VALUE(5982)</f>
        <v>5982</v>
      </c>
      <c r="M3520" s="1">
        <f>VALUE(6893)</f>
        <v>6893</v>
      </c>
      <c r="N3520" t="s">
        <v>16</v>
      </c>
    </row>
    <row r="3521" spans="1:14" x14ac:dyDescent="0.25">
      <c r="A3521" t="s">
        <v>41</v>
      </c>
      <c r="B3521" t="s">
        <v>39</v>
      </c>
      <c r="C3521" t="s">
        <v>15</v>
      </c>
      <c r="D3521" t="s">
        <v>15</v>
      </c>
      <c r="E3521" t="s">
        <v>23</v>
      </c>
      <c r="F3521" t="s">
        <v>20</v>
      </c>
      <c r="G3521" s="1">
        <f>VALUE(18073.7157693778)</f>
        <v>18073.715769377799</v>
      </c>
      <c r="H3521" s="1">
        <f>VALUE(17959.5828067771)</f>
        <v>17959.5828067771</v>
      </c>
      <c r="I3521" s="1">
        <f>VALUE(3317)</f>
        <v>3317</v>
      </c>
      <c r="J3521" s="1">
        <f>VALUE(3821)</f>
        <v>3821</v>
      </c>
      <c r="K3521" s="1">
        <f>VALUE(4639)</f>
        <v>4639</v>
      </c>
      <c r="L3521" s="1">
        <f>VALUE(5493)</f>
        <v>5493</v>
      </c>
      <c r="M3521" s="1">
        <f>VALUE(6159)</f>
        <v>6159</v>
      </c>
      <c r="N3521" t="s">
        <v>16</v>
      </c>
    </row>
    <row r="3522" spans="1:14" x14ac:dyDescent="0.25">
      <c r="A3522" t="s">
        <v>41</v>
      </c>
      <c r="B3522" t="s">
        <v>39</v>
      </c>
      <c r="C3522" t="s">
        <v>15</v>
      </c>
      <c r="D3522" t="s">
        <v>15</v>
      </c>
      <c r="E3522" t="s">
        <v>26</v>
      </c>
      <c r="F3522" t="s">
        <v>15</v>
      </c>
      <c r="G3522" s="1">
        <f>VALUE(802.9639082923)</f>
        <v>802.96390829229995</v>
      </c>
      <c r="H3522" s="1">
        <f>VALUE(837.9040695099)</f>
        <v>837.90406950989995</v>
      </c>
      <c r="I3522" s="1">
        <f>VALUE(5238)</f>
        <v>5238</v>
      </c>
      <c r="J3522" s="1">
        <f>VALUE(6905)</f>
        <v>6905</v>
      </c>
      <c r="K3522" s="1">
        <f>VALUE(10794)</f>
        <v>10794</v>
      </c>
      <c r="L3522" s="1">
        <f>VALUE(16350)</f>
        <v>16350</v>
      </c>
      <c r="M3522" s="8">
        <f>VALUE(27222)</f>
        <v>27222</v>
      </c>
      <c r="N3522" t="s">
        <v>25</v>
      </c>
    </row>
    <row r="3523" spans="1:14" x14ac:dyDescent="0.25">
      <c r="A3523" t="s">
        <v>41</v>
      </c>
      <c r="B3523" t="s">
        <v>39</v>
      </c>
      <c r="C3523" t="s">
        <v>15</v>
      </c>
      <c r="D3523" t="s">
        <v>15</v>
      </c>
      <c r="E3523" t="s">
        <v>26</v>
      </c>
      <c r="F3523" t="s">
        <v>17</v>
      </c>
      <c r="G3523" s="1">
        <f>VALUE(362.1275672477)</f>
        <v>362.12756724769997</v>
      </c>
      <c r="H3523" s="1">
        <f>VALUE(377.5497347884)</f>
        <v>377.54973478839997</v>
      </c>
      <c r="I3523" s="1">
        <f>VALUE(11193)</f>
        <v>11193</v>
      </c>
      <c r="J3523" s="1">
        <f>VALUE(12936)</f>
        <v>12936</v>
      </c>
      <c r="K3523" s="1">
        <f>VALUE(17064)</f>
        <v>17064</v>
      </c>
      <c r="L3523" s="1">
        <f>VALUE(25159)</f>
        <v>25159</v>
      </c>
      <c r="M3523" s="1">
        <f>VALUE(42699)</f>
        <v>42699</v>
      </c>
      <c r="N3523" t="s">
        <v>16</v>
      </c>
    </row>
    <row r="3524" spans="1:14" x14ac:dyDescent="0.25">
      <c r="A3524" t="s">
        <v>41</v>
      </c>
      <c r="B3524" t="s">
        <v>39</v>
      </c>
      <c r="C3524" t="s">
        <v>15</v>
      </c>
      <c r="D3524" t="s">
        <v>15</v>
      </c>
      <c r="E3524" t="s">
        <v>26</v>
      </c>
      <c r="F3524" t="s">
        <v>18</v>
      </c>
      <c r="G3524" s="1" t="str">
        <f t="shared" ref="G3524:M3524" si="743">"X"</f>
        <v>X</v>
      </c>
      <c r="H3524" s="1" t="str">
        <f t="shared" si="743"/>
        <v>X</v>
      </c>
      <c r="I3524" s="1" t="str">
        <f t="shared" si="743"/>
        <v>X</v>
      </c>
      <c r="J3524" s="1" t="str">
        <f t="shared" si="743"/>
        <v>X</v>
      </c>
      <c r="K3524" s="1" t="str">
        <f t="shared" si="743"/>
        <v>X</v>
      </c>
      <c r="L3524" s="1" t="str">
        <f t="shared" si="743"/>
        <v>X</v>
      </c>
      <c r="M3524" s="1" t="str">
        <f t="shared" si="743"/>
        <v>X</v>
      </c>
      <c r="N3524" t="s">
        <v>27</v>
      </c>
    </row>
    <row r="3525" spans="1:14" x14ac:dyDescent="0.25">
      <c r="A3525" t="s">
        <v>41</v>
      </c>
      <c r="B3525" t="s">
        <v>39</v>
      </c>
      <c r="C3525" t="s">
        <v>15</v>
      </c>
      <c r="D3525" t="s">
        <v>15</v>
      </c>
      <c r="E3525" t="s">
        <v>26</v>
      </c>
      <c r="F3525" t="s">
        <v>19</v>
      </c>
      <c r="G3525" s="1" t="str">
        <f t="shared" ref="G3525:M3525" si="744">"..."</f>
        <v>...</v>
      </c>
      <c r="H3525" s="1" t="str">
        <f t="shared" si="744"/>
        <v>...</v>
      </c>
      <c r="I3525" s="1" t="str">
        <f t="shared" si="744"/>
        <v>...</v>
      </c>
      <c r="J3525" s="1" t="str">
        <f t="shared" si="744"/>
        <v>...</v>
      </c>
      <c r="K3525" s="1" t="str">
        <f t="shared" si="744"/>
        <v>...</v>
      </c>
      <c r="L3525" s="1" t="str">
        <f t="shared" si="744"/>
        <v>...</v>
      </c>
      <c r="M3525" s="1" t="str">
        <f t="shared" si="744"/>
        <v>...</v>
      </c>
      <c r="N3525" t="s">
        <v>30</v>
      </c>
    </row>
    <row r="3526" spans="1:14" x14ac:dyDescent="0.25">
      <c r="A3526" t="s">
        <v>41</v>
      </c>
      <c r="B3526" t="s">
        <v>39</v>
      </c>
      <c r="C3526" t="s">
        <v>15</v>
      </c>
      <c r="D3526" t="s">
        <v>15</v>
      </c>
      <c r="E3526" t="s">
        <v>26</v>
      </c>
      <c r="F3526" t="s">
        <v>20</v>
      </c>
      <c r="G3526" s="2">
        <f>VALUE(185.3489115673)</f>
        <v>185.34891156730001</v>
      </c>
      <c r="H3526" s="3">
        <f>VALUE(193.6928143643)</f>
        <v>193.69281436430001</v>
      </c>
      <c r="I3526" s="1">
        <f>VALUE(3969)</f>
        <v>3969</v>
      </c>
      <c r="J3526" s="1">
        <f>VALUE(4683)</f>
        <v>4683</v>
      </c>
      <c r="K3526" s="1">
        <f>VALUE(5516)</f>
        <v>5516</v>
      </c>
      <c r="L3526" s="1">
        <f>VALUE(6350)</f>
        <v>6350</v>
      </c>
      <c r="M3526" s="1">
        <f>VALUE(7382)</f>
        <v>7382</v>
      </c>
      <c r="N3526" t="s">
        <v>25</v>
      </c>
    </row>
    <row r="3527" spans="1:14" x14ac:dyDescent="0.25">
      <c r="A3527" t="s">
        <v>41</v>
      </c>
      <c r="B3527" t="s">
        <v>39</v>
      </c>
      <c r="C3527" t="s">
        <v>15</v>
      </c>
      <c r="D3527" t="s">
        <v>28</v>
      </c>
      <c r="E3527" t="s">
        <v>15</v>
      </c>
      <c r="F3527" t="s">
        <v>15</v>
      </c>
      <c r="G3527" s="1">
        <f>VALUE(24717.4487540902)</f>
        <v>24717.448754090201</v>
      </c>
      <c r="H3527" s="1">
        <f>VALUE(23992.2613611665)</f>
        <v>23992.2613611665</v>
      </c>
      <c r="I3527" s="1">
        <f>VALUE(3976)</f>
        <v>3976</v>
      </c>
      <c r="J3527" s="1">
        <f>VALUE(4889)</f>
        <v>4889</v>
      </c>
      <c r="K3527" s="1">
        <f>VALUE(6030)</f>
        <v>6030</v>
      </c>
      <c r="L3527" s="1">
        <f>VALUE(8016)</f>
        <v>8016</v>
      </c>
      <c r="M3527" s="1">
        <f>VALUE(11555)</f>
        <v>11555</v>
      </c>
      <c r="N3527" t="s">
        <v>16</v>
      </c>
    </row>
    <row r="3528" spans="1:14" x14ac:dyDescent="0.25">
      <c r="A3528" t="s">
        <v>41</v>
      </c>
      <c r="B3528" t="s">
        <v>39</v>
      </c>
      <c r="C3528" t="s">
        <v>15</v>
      </c>
      <c r="D3528" t="s">
        <v>28</v>
      </c>
      <c r="E3528" t="s">
        <v>15</v>
      </c>
      <c r="F3528" t="s">
        <v>17</v>
      </c>
      <c r="G3528" s="1">
        <f>VALUE(7324.0557254743)</f>
        <v>7324.0557254742998</v>
      </c>
      <c r="H3528" s="1">
        <f>VALUE(7298.5454868161)</f>
        <v>7298.5454868160996</v>
      </c>
      <c r="I3528" s="1">
        <f>VALUE(4762)</f>
        <v>4762</v>
      </c>
      <c r="J3528" s="1">
        <f>VALUE(6130)</f>
        <v>6130</v>
      </c>
      <c r="K3528" s="1">
        <f>VALUE(8365)</f>
        <v>8365</v>
      </c>
      <c r="L3528" s="1">
        <f>VALUE(11909)</f>
        <v>11909</v>
      </c>
      <c r="M3528" s="1">
        <f>VALUE(17862)</f>
        <v>17862</v>
      </c>
      <c r="N3528" t="s">
        <v>16</v>
      </c>
    </row>
    <row r="3529" spans="1:14" x14ac:dyDescent="0.25">
      <c r="A3529" t="s">
        <v>41</v>
      </c>
      <c r="B3529" t="s">
        <v>39</v>
      </c>
      <c r="C3529" t="s">
        <v>15</v>
      </c>
      <c r="D3529" t="s">
        <v>28</v>
      </c>
      <c r="E3529" t="s">
        <v>15</v>
      </c>
      <c r="F3529" t="s">
        <v>18</v>
      </c>
      <c r="G3529" s="1">
        <f>VALUE(3372.9682563505)</f>
        <v>3372.9682563504998</v>
      </c>
      <c r="H3529" s="1">
        <f>VALUE(3230.4604770917)</f>
        <v>3230.4604770916999</v>
      </c>
      <c r="I3529" s="1">
        <f>VALUE(4563)</f>
        <v>4563</v>
      </c>
      <c r="J3529" s="1">
        <f>VALUE(5412)</f>
        <v>5412</v>
      </c>
      <c r="K3529" s="1">
        <f>VALUE(6667)</f>
        <v>6667</v>
      </c>
      <c r="L3529" s="1">
        <f>VALUE(8462)</f>
        <v>8462</v>
      </c>
      <c r="M3529" s="1">
        <f>VALUE(10493)</f>
        <v>10493</v>
      </c>
      <c r="N3529" t="s">
        <v>16</v>
      </c>
    </row>
    <row r="3530" spans="1:14" x14ac:dyDescent="0.25">
      <c r="A3530" t="s">
        <v>41</v>
      </c>
      <c r="B3530" t="s">
        <v>39</v>
      </c>
      <c r="C3530" t="s">
        <v>15</v>
      </c>
      <c r="D3530" t="s">
        <v>28</v>
      </c>
      <c r="E3530" t="s">
        <v>15</v>
      </c>
      <c r="F3530" t="s">
        <v>19</v>
      </c>
      <c r="G3530" s="1">
        <f>VALUE(3409.3362001954)</f>
        <v>3409.3362001954001</v>
      </c>
      <c r="H3530" s="1">
        <f>VALUE(3249.9382294586)</f>
        <v>3249.9382294585998</v>
      </c>
      <c r="I3530" s="1">
        <f>VALUE(3930)</f>
        <v>3930</v>
      </c>
      <c r="J3530" s="1">
        <f>VALUE(4746)</f>
        <v>4746</v>
      </c>
      <c r="K3530" s="1">
        <f>VALUE(5682)</f>
        <v>5682</v>
      </c>
      <c r="L3530" s="1">
        <f>VALUE(6842)</f>
        <v>6842</v>
      </c>
      <c r="M3530" s="1">
        <f>VALUE(8141)</f>
        <v>8141</v>
      </c>
      <c r="N3530" t="s">
        <v>16</v>
      </c>
    </row>
    <row r="3531" spans="1:14" x14ac:dyDescent="0.25">
      <c r="A3531" t="s">
        <v>41</v>
      </c>
      <c r="B3531" t="s">
        <v>39</v>
      </c>
      <c r="C3531" t="s">
        <v>15</v>
      </c>
      <c r="D3531" t="s">
        <v>28</v>
      </c>
      <c r="E3531" t="s">
        <v>15</v>
      </c>
      <c r="F3531" t="s">
        <v>20</v>
      </c>
      <c r="G3531" s="1">
        <f>VALUE(10595.6033023725)</f>
        <v>10595.603302372499</v>
      </c>
      <c r="H3531" s="1">
        <f>VALUE(10197.7467707228)</f>
        <v>10197.746770722801</v>
      </c>
      <c r="I3531" s="1">
        <f>VALUE(3765)</f>
        <v>3765</v>
      </c>
      <c r="J3531" s="1">
        <f>VALUE(4457)</f>
        <v>4457</v>
      </c>
      <c r="K3531" s="1">
        <f>VALUE(5315)</f>
        <v>5315</v>
      </c>
      <c r="L3531" s="1">
        <f>VALUE(6283)</f>
        <v>6283</v>
      </c>
      <c r="M3531" s="1">
        <f>VALUE(7437)</f>
        <v>7437</v>
      </c>
      <c r="N3531" t="s">
        <v>16</v>
      </c>
    </row>
    <row r="3532" spans="1:14" x14ac:dyDescent="0.25">
      <c r="A3532" t="s">
        <v>41</v>
      </c>
      <c r="B3532" t="s">
        <v>39</v>
      </c>
      <c r="C3532" t="s">
        <v>15</v>
      </c>
      <c r="D3532" t="s">
        <v>28</v>
      </c>
      <c r="E3532" t="s">
        <v>21</v>
      </c>
      <c r="F3532" t="s">
        <v>15</v>
      </c>
      <c r="G3532" s="1">
        <f>VALUE(8384.0450622135)</f>
        <v>8384.0450622134995</v>
      </c>
      <c r="H3532" s="1">
        <f>VALUE(7945.7743193324)</f>
        <v>7945.7743193324004</v>
      </c>
      <c r="I3532" s="1">
        <f>VALUE(4524)</f>
        <v>4524</v>
      </c>
      <c r="J3532" s="1">
        <f>VALUE(5754)</f>
        <v>5754</v>
      </c>
      <c r="K3532" s="1">
        <f>VALUE(7692)</f>
        <v>7692</v>
      </c>
      <c r="L3532" s="1">
        <f>VALUE(10610)</f>
        <v>10610</v>
      </c>
      <c r="M3532" s="1">
        <f>VALUE(14606)</f>
        <v>14606</v>
      </c>
      <c r="N3532" t="s">
        <v>16</v>
      </c>
    </row>
    <row r="3533" spans="1:14" x14ac:dyDescent="0.25">
      <c r="A3533" t="s">
        <v>41</v>
      </c>
      <c r="B3533" t="s">
        <v>39</v>
      </c>
      <c r="C3533" t="s">
        <v>15</v>
      </c>
      <c r="D3533" t="s">
        <v>28</v>
      </c>
      <c r="E3533" t="s">
        <v>21</v>
      </c>
      <c r="F3533" t="s">
        <v>17</v>
      </c>
      <c r="G3533" s="1">
        <f>VALUE(4419.5328956163)</f>
        <v>4419.5328956163003</v>
      </c>
      <c r="H3533" s="1">
        <f>VALUE(4340.9838025682)</f>
        <v>4340.9838025682002</v>
      </c>
      <c r="I3533" s="1">
        <f>VALUE(5098)</f>
        <v>5098</v>
      </c>
      <c r="J3533" s="1">
        <f>VALUE(6788)</f>
        <v>6788</v>
      </c>
      <c r="K3533" s="1">
        <f>VALUE(9398)</f>
        <v>9398</v>
      </c>
      <c r="L3533" s="1">
        <f>VALUE(12703)</f>
        <v>12703</v>
      </c>
      <c r="M3533" s="1">
        <f>VALUE(18231)</f>
        <v>18231</v>
      </c>
      <c r="N3533" t="s">
        <v>16</v>
      </c>
    </row>
    <row r="3534" spans="1:14" x14ac:dyDescent="0.25">
      <c r="A3534" t="s">
        <v>41</v>
      </c>
      <c r="B3534" t="s">
        <v>39</v>
      </c>
      <c r="C3534" t="s">
        <v>15</v>
      </c>
      <c r="D3534" t="s">
        <v>28</v>
      </c>
      <c r="E3534" t="s">
        <v>21</v>
      </c>
      <c r="F3534" t="s">
        <v>18</v>
      </c>
      <c r="G3534" s="1">
        <f>VALUE(1374.6672815115)</f>
        <v>1374.6672815115001</v>
      </c>
      <c r="H3534" s="1">
        <f>VALUE(1260.7840293648)</f>
        <v>1260.7840293648001</v>
      </c>
      <c r="I3534" s="4">
        <f>VALUE(4815)</f>
        <v>4815</v>
      </c>
      <c r="J3534" s="1">
        <f>VALUE(5991)</f>
        <v>5991</v>
      </c>
      <c r="K3534" s="1">
        <f>VALUE(7563)</f>
        <v>7563</v>
      </c>
      <c r="L3534" s="1">
        <f>VALUE(9311)</f>
        <v>9311</v>
      </c>
      <c r="M3534" s="1">
        <f>VALUE(11117)</f>
        <v>11117</v>
      </c>
      <c r="N3534" t="s">
        <v>25</v>
      </c>
    </row>
    <row r="3535" spans="1:14" x14ac:dyDescent="0.25">
      <c r="A3535" t="s">
        <v>41</v>
      </c>
      <c r="B3535" t="s">
        <v>39</v>
      </c>
      <c r="C3535" t="s">
        <v>15</v>
      </c>
      <c r="D3535" t="s">
        <v>28</v>
      </c>
      <c r="E3535" t="s">
        <v>21</v>
      </c>
      <c r="F3535" t="s">
        <v>19</v>
      </c>
      <c r="G3535" s="2">
        <f>VALUE(1071.0784078211)</f>
        <v>1071.0784078211</v>
      </c>
      <c r="H3535" s="3">
        <f>VALUE(955.0177355149)</f>
        <v>955.01773551489998</v>
      </c>
      <c r="I3535" s="4">
        <f>VALUE(4018)</f>
        <v>4018</v>
      </c>
      <c r="J3535" s="1">
        <f>VALUE(5304)</f>
        <v>5304</v>
      </c>
      <c r="K3535" s="1">
        <f>VALUE(6260)</f>
        <v>6260</v>
      </c>
      <c r="L3535" s="1">
        <f>VALUE(7749)</f>
        <v>7749</v>
      </c>
      <c r="M3535" s="1">
        <f>VALUE(8866)</f>
        <v>8866</v>
      </c>
      <c r="N3535" t="s">
        <v>25</v>
      </c>
    </row>
    <row r="3536" spans="1:14" x14ac:dyDescent="0.25">
      <c r="A3536" t="s">
        <v>41</v>
      </c>
      <c r="B3536" t="s">
        <v>39</v>
      </c>
      <c r="C3536" t="s">
        <v>15</v>
      </c>
      <c r="D3536" t="s">
        <v>28</v>
      </c>
      <c r="E3536" t="s">
        <v>21</v>
      </c>
      <c r="F3536" t="s">
        <v>20</v>
      </c>
      <c r="G3536" s="1">
        <f>VALUE(1517.4044391883)</f>
        <v>1517.4044391883001</v>
      </c>
      <c r="H3536" s="1">
        <f>VALUE(1387.5415864284)</f>
        <v>1387.5415864284</v>
      </c>
      <c r="I3536" s="4">
        <f>VALUE(4000)</f>
        <v>4000</v>
      </c>
      <c r="J3536" s="1">
        <f>VALUE(4878)</f>
        <v>4878</v>
      </c>
      <c r="K3536" s="1">
        <f>VALUE(5913)</f>
        <v>5913</v>
      </c>
      <c r="L3536" s="1">
        <f>VALUE(7220)</f>
        <v>7220</v>
      </c>
      <c r="M3536" s="1">
        <f>VALUE(8953)</f>
        <v>8953</v>
      </c>
      <c r="N3536" t="s">
        <v>25</v>
      </c>
    </row>
    <row r="3537" spans="1:14" x14ac:dyDescent="0.25">
      <c r="A3537" t="s">
        <v>41</v>
      </c>
      <c r="B3537" t="s">
        <v>39</v>
      </c>
      <c r="C3537" t="s">
        <v>15</v>
      </c>
      <c r="D3537" t="s">
        <v>28</v>
      </c>
      <c r="E3537" t="s">
        <v>22</v>
      </c>
      <c r="F3537" t="s">
        <v>15</v>
      </c>
      <c r="G3537" s="1">
        <f>VALUE(12622.3147997764)</f>
        <v>12622.314799776401</v>
      </c>
      <c r="H3537" s="1">
        <f>VALUE(12451.7448815397)</f>
        <v>12451.7448815397</v>
      </c>
      <c r="I3537" s="1">
        <f>VALUE(3921)</f>
        <v>3921</v>
      </c>
      <c r="J3537" s="1">
        <f>VALUE(4720)</f>
        <v>4720</v>
      </c>
      <c r="K3537" s="1">
        <f>VALUE(5676)</f>
        <v>5676</v>
      </c>
      <c r="L3537" s="1">
        <f>VALUE(6803)</f>
        <v>6803</v>
      </c>
      <c r="M3537" s="1">
        <f>VALUE(8571)</f>
        <v>8571</v>
      </c>
      <c r="N3537" t="s">
        <v>16</v>
      </c>
    </row>
    <row r="3538" spans="1:14" x14ac:dyDescent="0.25">
      <c r="A3538" t="s">
        <v>41</v>
      </c>
      <c r="B3538" t="s">
        <v>39</v>
      </c>
      <c r="C3538" t="s">
        <v>15</v>
      </c>
      <c r="D3538" t="s">
        <v>28</v>
      </c>
      <c r="E3538" t="s">
        <v>22</v>
      </c>
      <c r="F3538" t="s">
        <v>17</v>
      </c>
      <c r="G3538" s="1">
        <f>VALUE(2401.7985811034)</f>
        <v>2401.7985811034</v>
      </c>
      <c r="H3538" s="1">
        <f>VALUE(2446.749381481)</f>
        <v>2446.749381481</v>
      </c>
      <c r="I3538" s="4">
        <f>VALUE(4135)</f>
        <v>4135</v>
      </c>
      <c r="J3538" s="1">
        <f>VALUE(5564)</f>
        <v>5564</v>
      </c>
      <c r="K3538" s="1">
        <f>VALUE(6740)</f>
        <v>6740</v>
      </c>
      <c r="L3538" s="1">
        <f>VALUE(9262)</f>
        <v>9262</v>
      </c>
      <c r="M3538" s="8">
        <f>VALUE(12622)</f>
        <v>12622</v>
      </c>
      <c r="N3538" t="s">
        <v>25</v>
      </c>
    </row>
    <row r="3539" spans="1:14" x14ac:dyDescent="0.25">
      <c r="A3539" t="s">
        <v>41</v>
      </c>
      <c r="B3539" t="s">
        <v>39</v>
      </c>
      <c r="C3539" t="s">
        <v>15</v>
      </c>
      <c r="D3539" t="s">
        <v>28</v>
      </c>
      <c r="E3539" t="s">
        <v>22</v>
      </c>
      <c r="F3539" t="s">
        <v>18</v>
      </c>
      <c r="G3539" s="1">
        <f>VALUE(1560.7096557946)</f>
        <v>1560.7096557945999</v>
      </c>
      <c r="H3539" s="1">
        <f>VALUE(1534.3633421703)</f>
        <v>1534.3633421703</v>
      </c>
      <c r="I3539" s="1">
        <f>VALUE(4476)</f>
        <v>4476</v>
      </c>
      <c r="J3539" s="1">
        <f>VALUE(5262)</f>
        <v>5262</v>
      </c>
      <c r="K3539" s="1">
        <f>VALUE(6129)</f>
        <v>6129</v>
      </c>
      <c r="L3539" s="1">
        <f>VALUE(7300)</f>
        <v>7300</v>
      </c>
      <c r="M3539" s="1">
        <f>VALUE(8894)</f>
        <v>8894</v>
      </c>
      <c r="N3539" t="s">
        <v>16</v>
      </c>
    </row>
    <row r="3540" spans="1:14" x14ac:dyDescent="0.25">
      <c r="A3540" t="s">
        <v>41</v>
      </c>
      <c r="B3540" t="s">
        <v>39</v>
      </c>
      <c r="C3540" t="s">
        <v>15</v>
      </c>
      <c r="D3540" t="s">
        <v>28</v>
      </c>
      <c r="E3540" t="s">
        <v>22</v>
      </c>
      <c r="F3540" t="s">
        <v>19</v>
      </c>
      <c r="G3540" s="1">
        <f>VALUE(1964.3157737973)</f>
        <v>1964.3157737972999</v>
      </c>
      <c r="H3540" s="1">
        <f>VALUE(1940.0952822484)</f>
        <v>1940.0952822484001</v>
      </c>
      <c r="I3540" s="1">
        <f>VALUE(3922)</f>
        <v>3922</v>
      </c>
      <c r="J3540" s="1">
        <f>VALUE(4628)</f>
        <v>4628</v>
      </c>
      <c r="K3540" s="1">
        <f>VALUE(5571)</f>
        <v>5571</v>
      </c>
      <c r="L3540" s="1">
        <f>VALUE(6608)</f>
        <v>6608</v>
      </c>
      <c r="M3540" s="1">
        <f>VALUE(7641)</f>
        <v>7641</v>
      </c>
      <c r="N3540" t="s">
        <v>16</v>
      </c>
    </row>
    <row r="3541" spans="1:14" x14ac:dyDescent="0.25">
      <c r="A3541" t="s">
        <v>41</v>
      </c>
      <c r="B3541" t="s">
        <v>39</v>
      </c>
      <c r="C3541" t="s">
        <v>15</v>
      </c>
      <c r="D3541" t="s">
        <v>28</v>
      </c>
      <c r="E3541" t="s">
        <v>22</v>
      </c>
      <c r="F3541" t="s">
        <v>20</v>
      </c>
      <c r="G3541" s="1">
        <f>VALUE(6695.4907890811)</f>
        <v>6695.4907890811</v>
      </c>
      <c r="H3541" s="1">
        <f>VALUE(6530.53687564)</f>
        <v>6530.5368756400003</v>
      </c>
      <c r="I3541" s="1">
        <f>VALUE(3848)</f>
        <v>3848</v>
      </c>
      <c r="J3541" s="1">
        <f>VALUE(4535)</f>
        <v>4535</v>
      </c>
      <c r="K3541" s="1">
        <f>VALUE(5376)</f>
        <v>5376</v>
      </c>
      <c r="L3541" s="1">
        <f>VALUE(6275)</f>
        <v>6275</v>
      </c>
      <c r="M3541" s="1">
        <f>VALUE(7255)</f>
        <v>7255</v>
      </c>
      <c r="N3541" t="s">
        <v>16</v>
      </c>
    </row>
    <row r="3542" spans="1:14" x14ac:dyDescent="0.25">
      <c r="A3542" t="s">
        <v>41</v>
      </c>
      <c r="B3542" t="s">
        <v>39</v>
      </c>
      <c r="C3542" t="s">
        <v>15</v>
      </c>
      <c r="D3542" t="s">
        <v>28</v>
      </c>
      <c r="E3542" t="s">
        <v>23</v>
      </c>
      <c r="F3542" t="s">
        <v>15</v>
      </c>
      <c r="G3542" s="1">
        <f>VALUE(3133.1800094454)</f>
        <v>3133.1800094454002</v>
      </c>
      <c r="H3542" s="1">
        <f>VALUE(2993.284362796)</f>
        <v>2993.2843627960001</v>
      </c>
      <c r="I3542" s="1">
        <f>VALUE(3465)</f>
        <v>3465</v>
      </c>
      <c r="J3542" s="1">
        <f>VALUE(4282)</f>
        <v>4282</v>
      </c>
      <c r="K3542" s="1">
        <f>VALUE(5035)</f>
        <v>5035</v>
      </c>
      <c r="L3542" s="1">
        <f>VALUE(5975)</f>
        <v>5975</v>
      </c>
      <c r="M3542" s="1">
        <f>VALUE(7893)</f>
        <v>7893</v>
      </c>
      <c r="N3542" t="s">
        <v>16</v>
      </c>
    </row>
    <row r="3543" spans="1:14" x14ac:dyDescent="0.25">
      <c r="A3543" t="s">
        <v>41</v>
      </c>
      <c r="B3543" t="s">
        <v>39</v>
      </c>
      <c r="C3543" t="s">
        <v>15</v>
      </c>
      <c r="D3543" t="s">
        <v>28</v>
      </c>
      <c r="E3543" t="s">
        <v>23</v>
      </c>
      <c r="F3543" t="s">
        <v>17</v>
      </c>
      <c r="G3543" s="2">
        <f>VALUE(242.6188404606)</f>
        <v>242.61884046060001</v>
      </c>
      <c r="H3543" s="3">
        <f>VALUE(240.239275275)</f>
        <v>240.23927527500001</v>
      </c>
      <c r="I3543" s="4">
        <f>VALUE(3448)</f>
        <v>3448</v>
      </c>
      <c r="J3543" s="5">
        <f>VALUE(4911)</f>
        <v>4911</v>
      </c>
      <c r="K3543" s="6">
        <f>VALUE(6398)</f>
        <v>6398</v>
      </c>
      <c r="L3543" s="7">
        <f>VALUE(11416)</f>
        <v>11416</v>
      </c>
      <c r="M3543" s="1">
        <f>VALUE(19610)</f>
        <v>19610</v>
      </c>
      <c r="N3543" t="s">
        <v>25</v>
      </c>
    </row>
    <row r="3544" spans="1:14" x14ac:dyDescent="0.25">
      <c r="A3544" t="s">
        <v>41</v>
      </c>
      <c r="B3544" t="s">
        <v>39</v>
      </c>
      <c r="C3544" t="s">
        <v>15</v>
      </c>
      <c r="D3544" t="s">
        <v>28</v>
      </c>
      <c r="E3544" t="s">
        <v>23</v>
      </c>
      <c r="F3544" t="s">
        <v>18</v>
      </c>
      <c r="G3544" s="2">
        <f>VALUE(266.6506395348)</f>
        <v>266.65063953480001</v>
      </c>
      <c r="H3544" s="3">
        <f>VALUE(257.2791183677)</f>
        <v>257.27911836769999</v>
      </c>
      <c r="I3544" s="4">
        <f>VALUE(3415)</f>
        <v>3415</v>
      </c>
      <c r="J3544" s="5">
        <f>VALUE(4878)</f>
        <v>4878</v>
      </c>
      <c r="K3544" s="1">
        <f>VALUE(5348)</f>
        <v>5348</v>
      </c>
      <c r="L3544" s="7">
        <f>VALUE(7446)</f>
        <v>7446</v>
      </c>
      <c r="M3544" s="8">
        <f>VALUE(9904)</f>
        <v>9904</v>
      </c>
      <c r="N3544" t="s">
        <v>25</v>
      </c>
    </row>
    <row r="3545" spans="1:14" x14ac:dyDescent="0.25">
      <c r="A3545" t="s">
        <v>41</v>
      </c>
      <c r="B3545" t="s">
        <v>39</v>
      </c>
      <c r="C3545" t="s">
        <v>15</v>
      </c>
      <c r="D3545" t="s">
        <v>28</v>
      </c>
      <c r="E3545" t="s">
        <v>23</v>
      </c>
      <c r="F3545" t="s">
        <v>19</v>
      </c>
      <c r="G3545" s="2">
        <f>VALUE(373.942018577)</f>
        <v>373.942018577</v>
      </c>
      <c r="H3545" s="3">
        <f>VALUE(354.8252116953)</f>
        <v>354.82521169530003</v>
      </c>
      <c r="I3545" s="4">
        <f>VALUE(3683)</f>
        <v>3683</v>
      </c>
      <c r="J3545" s="1">
        <f>VALUE(4617)</f>
        <v>4617</v>
      </c>
      <c r="K3545" s="1">
        <f>VALUE(5334)</f>
        <v>5334</v>
      </c>
      <c r="L3545" s="1">
        <f>VALUE(6254)</f>
        <v>6254</v>
      </c>
      <c r="M3545" s="1">
        <f>VALUE(7308)</f>
        <v>7308</v>
      </c>
      <c r="N3545" t="s">
        <v>25</v>
      </c>
    </row>
    <row r="3546" spans="1:14" x14ac:dyDescent="0.25">
      <c r="A3546" t="s">
        <v>41</v>
      </c>
      <c r="B3546" t="s">
        <v>39</v>
      </c>
      <c r="C3546" t="s">
        <v>15</v>
      </c>
      <c r="D3546" t="s">
        <v>28</v>
      </c>
      <c r="E3546" t="s">
        <v>23</v>
      </c>
      <c r="F3546" t="s">
        <v>20</v>
      </c>
      <c r="G3546" s="1">
        <f>VALUE(2249.968510873)</f>
        <v>2249.968510873</v>
      </c>
      <c r="H3546" s="1">
        <f>VALUE(2140.940757458)</f>
        <v>2140.940757458</v>
      </c>
      <c r="I3546" s="1">
        <f>VALUE(3438)</f>
        <v>3438</v>
      </c>
      <c r="J3546" s="1">
        <f>VALUE(4117)</f>
        <v>4117</v>
      </c>
      <c r="K3546" s="1">
        <f>VALUE(4875)</f>
        <v>4875</v>
      </c>
      <c r="L3546" s="1">
        <f>VALUE(5718)</f>
        <v>5718</v>
      </c>
      <c r="M3546" s="1">
        <f>VALUE(6647)</f>
        <v>6647</v>
      </c>
      <c r="N3546" t="s">
        <v>16</v>
      </c>
    </row>
    <row r="3547" spans="1:14" x14ac:dyDescent="0.25">
      <c r="A3547" t="s">
        <v>41</v>
      </c>
      <c r="B3547" t="s">
        <v>39</v>
      </c>
      <c r="C3547" t="s">
        <v>15</v>
      </c>
      <c r="D3547" t="s">
        <v>28</v>
      </c>
      <c r="E3547" t="s">
        <v>26</v>
      </c>
      <c r="F3547" t="s">
        <v>15</v>
      </c>
      <c r="G3547" s="1">
        <f>VALUE(577.9088826549)</f>
        <v>577.90888265490003</v>
      </c>
      <c r="H3547" s="1">
        <f>VALUE(601.4577974984)</f>
        <v>601.45779749840005</v>
      </c>
      <c r="I3547" s="1">
        <f>VALUE(5260)</f>
        <v>5260</v>
      </c>
      <c r="J3547" s="1">
        <f>VALUE(7064)</f>
        <v>7064</v>
      </c>
      <c r="K3547" s="1">
        <f>VALUE(11031)</f>
        <v>11031</v>
      </c>
      <c r="L3547" s="1">
        <f>VALUE(16747)</f>
        <v>16747</v>
      </c>
      <c r="M3547" s="8">
        <f>VALUE(26984)</f>
        <v>26984</v>
      </c>
      <c r="N3547" t="s">
        <v>25</v>
      </c>
    </row>
    <row r="3548" spans="1:14" x14ac:dyDescent="0.25">
      <c r="A3548" t="s">
        <v>41</v>
      </c>
      <c r="B3548" t="s">
        <v>39</v>
      </c>
      <c r="C3548" t="s">
        <v>15</v>
      </c>
      <c r="D3548" t="s">
        <v>28</v>
      </c>
      <c r="E3548" t="s">
        <v>26</v>
      </c>
      <c r="F3548" t="s">
        <v>17</v>
      </c>
      <c r="G3548" s="1" t="str">
        <f t="shared" ref="G3548:M3549" si="745">"X"</f>
        <v>X</v>
      </c>
      <c r="H3548" s="1" t="str">
        <f t="shared" si="745"/>
        <v>X</v>
      </c>
      <c r="I3548" s="1" t="str">
        <f t="shared" si="745"/>
        <v>X</v>
      </c>
      <c r="J3548" s="1" t="str">
        <f t="shared" si="745"/>
        <v>X</v>
      </c>
      <c r="K3548" s="1" t="str">
        <f t="shared" si="745"/>
        <v>X</v>
      </c>
      <c r="L3548" s="1" t="str">
        <f t="shared" si="745"/>
        <v>X</v>
      </c>
      <c r="M3548" s="1" t="str">
        <f t="shared" si="745"/>
        <v>X</v>
      </c>
      <c r="N3548" t="s">
        <v>27</v>
      </c>
    </row>
    <row r="3549" spans="1:14" x14ac:dyDescent="0.25">
      <c r="A3549" t="s">
        <v>41</v>
      </c>
      <c r="B3549" t="s">
        <v>39</v>
      </c>
      <c r="C3549" t="s">
        <v>15</v>
      </c>
      <c r="D3549" t="s">
        <v>28</v>
      </c>
      <c r="E3549" t="s">
        <v>26</v>
      </c>
      <c r="F3549" t="s">
        <v>18</v>
      </c>
      <c r="G3549" s="1" t="str">
        <f t="shared" si="745"/>
        <v>X</v>
      </c>
      <c r="H3549" s="1" t="str">
        <f t="shared" si="745"/>
        <v>X</v>
      </c>
      <c r="I3549" s="1" t="str">
        <f t="shared" si="745"/>
        <v>X</v>
      </c>
      <c r="J3549" s="1" t="str">
        <f t="shared" si="745"/>
        <v>X</v>
      </c>
      <c r="K3549" s="1" t="str">
        <f t="shared" si="745"/>
        <v>X</v>
      </c>
      <c r="L3549" s="1" t="str">
        <f t="shared" si="745"/>
        <v>X</v>
      </c>
      <c r="M3549" s="1" t="str">
        <f t="shared" si="745"/>
        <v>X</v>
      </c>
      <c r="N3549" t="s">
        <v>27</v>
      </c>
    </row>
    <row r="3550" spans="1:14" x14ac:dyDescent="0.25">
      <c r="A3550" t="s">
        <v>41</v>
      </c>
      <c r="B3550" t="s">
        <v>39</v>
      </c>
      <c r="C3550" t="s">
        <v>15</v>
      </c>
      <c r="D3550" t="s">
        <v>28</v>
      </c>
      <c r="E3550" t="s">
        <v>26</v>
      </c>
      <c r="F3550" t="s">
        <v>19</v>
      </c>
      <c r="G3550" s="1" t="str">
        <f t="shared" ref="G3550:M3550" si="746">"..."</f>
        <v>...</v>
      </c>
      <c r="H3550" s="1" t="str">
        <f t="shared" si="746"/>
        <v>...</v>
      </c>
      <c r="I3550" s="1" t="str">
        <f t="shared" si="746"/>
        <v>...</v>
      </c>
      <c r="J3550" s="1" t="str">
        <f t="shared" si="746"/>
        <v>...</v>
      </c>
      <c r="K3550" s="1" t="str">
        <f t="shared" si="746"/>
        <v>...</v>
      </c>
      <c r="L3550" s="1" t="str">
        <f t="shared" si="746"/>
        <v>...</v>
      </c>
      <c r="M3550" s="1" t="str">
        <f t="shared" si="746"/>
        <v>...</v>
      </c>
      <c r="N3550" t="s">
        <v>30</v>
      </c>
    </row>
    <row r="3551" spans="1:14" x14ac:dyDescent="0.25">
      <c r="A3551" t="s">
        <v>41</v>
      </c>
      <c r="B3551" t="s">
        <v>39</v>
      </c>
      <c r="C3551" t="s">
        <v>15</v>
      </c>
      <c r="D3551" t="s">
        <v>28</v>
      </c>
      <c r="E3551" t="s">
        <v>26</v>
      </c>
      <c r="F3551" t="s">
        <v>20</v>
      </c>
      <c r="G3551" s="1" t="str">
        <f t="shared" ref="G3551:M3551" si="747">"X"</f>
        <v>X</v>
      </c>
      <c r="H3551" s="1" t="str">
        <f t="shared" si="747"/>
        <v>X</v>
      </c>
      <c r="I3551" s="1" t="str">
        <f t="shared" si="747"/>
        <v>X</v>
      </c>
      <c r="J3551" s="1" t="str">
        <f t="shared" si="747"/>
        <v>X</v>
      </c>
      <c r="K3551" s="1" t="str">
        <f t="shared" si="747"/>
        <v>X</v>
      </c>
      <c r="L3551" s="1" t="str">
        <f t="shared" si="747"/>
        <v>X</v>
      </c>
      <c r="M3551" s="1" t="str">
        <f t="shared" si="747"/>
        <v>X</v>
      </c>
      <c r="N3551" t="s">
        <v>27</v>
      </c>
    </row>
    <row r="3552" spans="1:14" x14ac:dyDescent="0.25">
      <c r="A3552" t="s">
        <v>41</v>
      </c>
      <c r="B3552" t="s">
        <v>39</v>
      </c>
      <c r="C3552" t="s">
        <v>15</v>
      </c>
      <c r="D3552" t="s">
        <v>29</v>
      </c>
      <c r="E3552" t="s">
        <v>15</v>
      </c>
      <c r="F3552" t="s">
        <v>15</v>
      </c>
      <c r="G3552" s="1">
        <f>VALUE(9959.242157715)</f>
        <v>9959.2421577149998</v>
      </c>
      <c r="H3552" s="1">
        <f>VALUE(9963.8355091372)</f>
        <v>9963.8355091371996</v>
      </c>
      <c r="I3552" s="1">
        <f>VALUE(3751)</f>
        <v>3751</v>
      </c>
      <c r="J3552" s="1">
        <f>VALUE(4442)</f>
        <v>4442</v>
      </c>
      <c r="K3552" s="1">
        <f>VALUE(5398)</f>
        <v>5398</v>
      </c>
      <c r="L3552" s="1">
        <f>VALUE(6671)</f>
        <v>6671</v>
      </c>
      <c r="M3552" s="1">
        <f>VALUE(9284)</f>
        <v>9284</v>
      </c>
      <c r="N3552" t="s">
        <v>16</v>
      </c>
    </row>
    <row r="3553" spans="1:14" x14ac:dyDescent="0.25">
      <c r="A3553" t="s">
        <v>41</v>
      </c>
      <c r="B3553" t="s">
        <v>39</v>
      </c>
      <c r="C3553" t="s">
        <v>15</v>
      </c>
      <c r="D3553" t="s">
        <v>29</v>
      </c>
      <c r="E3553" t="s">
        <v>15</v>
      </c>
      <c r="F3553" t="s">
        <v>17</v>
      </c>
      <c r="G3553" s="2">
        <f>VALUE(1694.4955555131)</f>
        <v>1694.4955555131</v>
      </c>
      <c r="H3553" s="3">
        <f>VALUE(1700.6897857971)</f>
        <v>1700.6897857971001</v>
      </c>
      <c r="I3553" s="4">
        <f>VALUE(4194)</f>
        <v>4194</v>
      </c>
      <c r="J3553" s="5">
        <f>VALUE(5760)</f>
        <v>5760</v>
      </c>
      <c r="K3553" s="1">
        <f>VALUE(8299)</f>
        <v>8299</v>
      </c>
      <c r="L3553" s="7">
        <f>VALUE(12458)</f>
        <v>12458</v>
      </c>
      <c r="M3553" s="8">
        <f>VALUE(20392)</f>
        <v>20392</v>
      </c>
      <c r="N3553" t="s">
        <v>25</v>
      </c>
    </row>
    <row r="3554" spans="1:14" x14ac:dyDescent="0.25">
      <c r="A3554" t="s">
        <v>41</v>
      </c>
      <c r="B3554" t="s">
        <v>39</v>
      </c>
      <c r="C3554" t="s">
        <v>15</v>
      </c>
      <c r="D3554" t="s">
        <v>29</v>
      </c>
      <c r="E3554" t="s">
        <v>15</v>
      </c>
      <c r="F3554" t="s">
        <v>18</v>
      </c>
      <c r="G3554" s="2">
        <f>VALUE(1199.8749475688)</f>
        <v>1199.8749475688001</v>
      </c>
      <c r="H3554" s="3">
        <f>VALUE(1214.4214035519)</f>
        <v>1214.4214035519001</v>
      </c>
      <c r="I3554" s="4">
        <f>VALUE(3878)</f>
        <v>3878</v>
      </c>
      <c r="J3554" s="1">
        <f>VALUE(4732)</f>
        <v>4732</v>
      </c>
      <c r="K3554" s="1">
        <f>VALUE(5907)</f>
        <v>5907</v>
      </c>
      <c r="L3554" s="1">
        <f>VALUE(7804)</f>
        <v>7804</v>
      </c>
      <c r="M3554" s="1">
        <f>VALUE(10239)</f>
        <v>10239</v>
      </c>
      <c r="N3554" t="s">
        <v>25</v>
      </c>
    </row>
    <row r="3555" spans="1:14" x14ac:dyDescent="0.25">
      <c r="A3555" t="s">
        <v>41</v>
      </c>
      <c r="B3555" t="s">
        <v>39</v>
      </c>
      <c r="C3555" t="s">
        <v>15</v>
      </c>
      <c r="D3555" t="s">
        <v>29</v>
      </c>
      <c r="E3555" t="s">
        <v>15</v>
      </c>
      <c r="F3555" t="s">
        <v>19</v>
      </c>
      <c r="G3555" s="2">
        <f>VALUE(1388.949608692)</f>
        <v>1388.9496086920001</v>
      </c>
      <c r="H3555" s="3">
        <f>VALUE(1344.2079126183)</f>
        <v>1344.2079126183</v>
      </c>
      <c r="I3555" s="1">
        <f>VALUE(4120)</f>
        <v>4120</v>
      </c>
      <c r="J3555" s="1">
        <f>VALUE(4750)</f>
        <v>4750</v>
      </c>
      <c r="K3555" s="1">
        <f>VALUE(5552)</f>
        <v>5552</v>
      </c>
      <c r="L3555" s="1">
        <f>VALUE(6641)</f>
        <v>6641</v>
      </c>
      <c r="M3555" s="1">
        <f>VALUE(7669)</f>
        <v>7669</v>
      </c>
      <c r="N3555" t="s">
        <v>25</v>
      </c>
    </row>
    <row r="3556" spans="1:14" x14ac:dyDescent="0.25">
      <c r="A3556" t="s">
        <v>41</v>
      </c>
      <c r="B3556" t="s">
        <v>39</v>
      </c>
      <c r="C3556" t="s">
        <v>15</v>
      </c>
      <c r="D3556" t="s">
        <v>29</v>
      </c>
      <c r="E3556" t="s">
        <v>15</v>
      </c>
      <c r="F3556" t="s">
        <v>20</v>
      </c>
      <c r="G3556" s="1">
        <f>VALUE(5675.9220459411)</f>
        <v>5675.9220459410999</v>
      </c>
      <c r="H3556" s="1">
        <f>VALUE(5704.5164071699)</f>
        <v>5704.5164071699</v>
      </c>
      <c r="I3556" s="1">
        <f>VALUE(3554)</f>
        <v>3554</v>
      </c>
      <c r="J3556" s="1">
        <f>VALUE(4225)</f>
        <v>4225</v>
      </c>
      <c r="K3556" s="1">
        <f>VALUE(5010)</f>
        <v>5010</v>
      </c>
      <c r="L3556" s="1">
        <f>VALUE(5828)</f>
        <v>5828</v>
      </c>
      <c r="M3556" s="1">
        <f>VALUE(6664)</f>
        <v>6664</v>
      </c>
      <c r="N3556" t="s">
        <v>16</v>
      </c>
    </row>
    <row r="3557" spans="1:14" x14ac:dyDescent="0.25">
      <c r="A3557" t="s">
        <v>41</v>
      </c>
      <c r="B3557" t="s">
        <v>39</v>
      </c>
      <c r="C3557" t="s">
        <v>15</v>
      </c>
      <c r="D3557" t="s">
        <v>29</v>
      </c>
      <c r="E3557" t="s">
        <v>21</v>
      </c>
      <c r="F3557" t="s">
        <v>15</v>
      </c>
      <c r="G3557" s="1">
        <f>VALUE(1808.3470405778)</f>
        <v>1808.3470405778</v>
      </c>
      <c r="H3557" s="1">
        <f>VALUE(1744.8320849866)</f>
        <v>1744.8320849866</v>
      </c>
      <c r="I3557" s="1">
        <f>VALUE(4600)</f>
        <v>4600</v>
      </c>
      <c r="J3557" s="1">
        <f>VALUE(6188)</f>
        <v>6188</v>
      </c>
      <c r="K3557" s="1">
        <f>VALUE(8407)</f>
        <v>8407</v>
      </c>
      <c r="L3557" s="1">
        <f>VALUE(11674)</f>
        <v>11674</v>
      </c>
      <c r="M3557" s="8">
        <f>VALUE(18600)</f>
        <v>18600</v>
      </c>
      <c r="N3557" t="s">
        <v>25</v>
      </c>
    </row>
    <row r="3558" spans="1:14" x14ac:dyDescent="0.25">
      <c r="A3558" t="s">
        <v>41</v>
      </c>
      <c r="B3558" t="s">
        <v>39</v>
      </c>
      <c r="C3558" t="s">
        <v>15</v>
      </c>
      <c r="D3558" t="s">
        <v>29</v>
      </c>
      <c r="E3558" t="s">
        <v>21</v>
      </c>
      <c r="F3558" t="s">
        <v>17</v>
      </c>
      <c r="G3558" s="2">
        <f>VALUE(907.8105189635)</f>
        <v>907.81051896350004</v>
      </c>
      <c r="H3558" s="3">
        <f>VALUE(905.4246578755)</f>
        <v>905.42465787549997</v>
      </c>
      <c r="I3558" s="4">
        <f>VALUE(4762)</f>
        <v>4762</v>
      </c>
      <c r="J3558" s="5">
        <f>VALUE(7451)</f>
        <v>7451</v>
      </c>
      <c r="K3558" s="6">
        <f>VALUE(10400)</f>
        <v>10400</v>
      </c>
      <c r="L3558" s="7">
        <f>VALUE(15873)</f>
        <v>15873</v>
      </c>
      <c r="M3558" s="8">
        <f>VALUE(24366)</f>
        <v>24366</v>
      </c>
      <c r="N3558" t="s">
        <v>24</v>
      </c>
    </row>
    <row r="3559" spans="1:14" x14ac:dyDescent="0.25">
      <c r="A3559" t="s">
        <v>41</v>
      </c>
      <c r="B3559" t="s">
        <v>39</v>
      </c>
      <c r="C3559" t="s">
        <v>15</v>
      </c>
      <c r="D3559" t="s">
        <v>29</v>
      </c>
      <c r="E3559" t="s">
        <v>21</v>
      </c>
      <c r="F3559" t="s">
        <v>18</v>
      </c>
      <c r="G3559" s="2">
        <f>VALUE(336.8160615964)</f>
        <v>336.8160615964</v>
      </c>
      <c r="H3559" s="3">
        <f>VALUE(332.7933690672)</f>
        <v>332.79336906719999</v>
      </c>
      <c r="I3559" s="1">
        <f>VALUE(4612)</f>
        <v>4612</v>
      </c>
      <c r="J3559" s="5">
        <f>VALUE(6314)</f>
        <v>6314</v>
      </c>
      <c r="K3559" s="1">
        <f>VALUE(8233)</f>
        <v>8233</v>
      </c>
      <c r="L3559" s="1">
        <f>VALUE(10236)</f>
        <v>10236</v>
      </c>
      <c r="M3559" s="1">
        <f>VALUE(12539)</f>
        <v>12539</v>
      </c>
      <c r="N3559" t="s">
        <v>25</v>
      </c>
    </row>
    <row r="3560" spans="1:14" x14ac:dyDescent="0.25">
      <c r="A3560" t="s">
        <v>41</v>
      </c>
      <c r="B3560" t="s">
        <v>39</v>
      </c>
      <c r="C3560" t="s">
        <v>15</v>
      </c>
      <c r="D3560" t="s">
        <v>29</v>
      </c>
      <c r="E3560" t="s">
        <v>21</v>
      </c>
      <c r="F3560" t="s">
        <v>19</v>
      </c>
      <c r="G3560" s="2">
        <f>VALUE(243.4278315362)</f>
        <v>243.42783153619999</v>
      </c>
      <c r="H3560" s="3">
        <f>VALUE(199.5004768793)</f>
        <v>199.50047687930001</v>
      </c>
      <c r="I3560" s="4">
        <f>VALUE(4489)</f>
        <v>4489</v>
      </c>
      <c r="J3560" s="5">
        <f>VALUE(5183)</f>
        <v>5183</v>
      </c>
      <c r="K3560" s="1">
        <f>VALUE(6746)</f>
        <v>6746</v>
      </c>
      <c r="L3560" s="7">
        <f>VALUE(8401)</f>
        <v>8401</v>
      </c>
      <c r="M3560" s="8">
        <f>VALUE(10009)</f>
        <v>10009</v>
      </c>
      <c r="N3560" t="s">
        <v>25</v>
      </c>
    </row>
    <row r="3561" spans="1:14" x14ac:dyDescent="0.25">
      <c r="A3561" t="s">
        <v>41</v>
      </c>
      <c r="B3561" t="s">
        <v>39</v>
      </c>
      <c r="C3561" t="s">
        <v>15</v>
      </c>
      <c r="D3561" t="s">
        <v>29</v>
      </c>
      <c r="E3561" t="s">
        <v>21</v>
      </c>
      <c r="F3561" t="s">
        <v>20</v>
      </c>
      <c r="G3561" s="2">
        <f>VALUE(320.2926284817)</f>
        <v>320.29262848169998</v>
      </c>
      <c r="H3561" s="3">
        <f>VALUE(307.1135811646)</f>
        <v>307.11358116460002</v>
      </c>
      <c r="I3561" s="1">
        <f>VALUE(4329)</f>
        <v>4329</v>
      </c>
      <c r="J3561" s="1">
        <f>VALUE(5367)</f>
        <v>5367</v>
      </c>
      <c r="K3561" s="1">
        <f>VALUE(6350)</f>
        <v>6350</v>
      </c>
      <c r="L3561" s="1">
        <f>VALUE(7857)</f>
        <v>7857</v>
      </c>
      <c r="M3561" s="1">
        <f>VALUE(9506)</f>
        <v>9506</v>
      </c>
      <c r="N3561" t="s">
        <v>25</v>
      </c>
    </row>
    <row r="3562" spans="1:14" x14ac:dyDescent="0.25">
      <c r="A3562" t="s">
        <v>41</v>
      </c>
      <c r="B3562" t="s">
        <v>39</v>
      </c>
      <c r="C3562" t="s">
        <v>15</v>
      </c>
      <c r="D3562" t="s">
        <v>29</v>
      </c>
      <c r="E3562" t="s">
        <v>22</v>
      </c>
      <c r="F3562" t="s">
        <v>15</v>
      </c>
      <c r="G3562" s="1">
        <f>VALUE(3365.2222529573)</f>
        <v>3365.2222529573</v>
      </c>
      <c r="H3562" s="1">
        <f>VALUE(3375.6075338397)</f>
        <v>3375.6075338397</v>
      </c>
      <c r="I3562" s="1">
        <f>VALUE(3809)</f>
        <v>3809</v>
      </c>
      <c r="J3562" s="1">
        <f>VALUE(4545)</f>
        <v>4545</v>
      </c>
      <c r="K3562" s="1">
        <f>VALUE(5390)</f>
        <v>5390</v>
      </c>
      <c r="L3562" s="1">
        <f>VALUE(6451)</f>
        <v>6451</v>
      </c>
      <c r="M3562" s="1">
        <f>VALUE(7841)</f>
        <v>7841</v>
      </c>
      <c r="N3562" t="s">
        <v>16</v>
      </c>
    </row>
    <row r="3563" spans="1:14" x14ac:dyDescent="0.25">
      <c r="A3563" t="s">
        <v>41</v>
      </c>
      <c r="B3563" t="s">
        <v>39</v>
      </c>
      <c r="C3563" t="s">
        <v>15</v>
      </c>
      <c r="D3563" t="s">
        <v>29</v>
      </c>
      <c r="E3563" t="s">
        <v>22</v>
      </c>
      <c r="F3563" t="s">
        <v>17</v>
      </c>
      <c r="G3563" s="2">
        <f>VALUE(487.5194372418)</f>
        <v>487.51943724180001</v>
      </c>
      <c r="H3563" s="3">
        <f>VALUE(484.0945336088)</f>
        <v>484.09453360880002</v>
      </c>
      <c r="I3563" s="4">
        <f>VALUE(4444)</f>
        <v>4444</v>
      </c>
      <c r="J3563" s="5">
        <f>VALUE(5341)</f>
        <v>5341</v>
      </c>
      <c r="K3563" s="1">
        <f>VALUE(6840)</f>
        <v>6840</v>
      </c>
      <c r="L3563" s="1">
        <f>VALUE(8422)</f>
        <v>8422</v>
      </c>
      <c r="M3563" s="8">
        <f>VALUE(11540)</f>
        <v>11540</v>
      </c>
      <c r="N3563" t="s">
        <v>25</v>
      </c>
    </row>
    <row r="3564" spans="1:14" x14ac:dyDescent="0.25">
      <c r="A3564" t="s">
        <v>41</v>
      </c>
      <c r="B3564" t="s">
        <v>39</v>
      </c>
      <c r="C3564" t="s">
        <v>15</v>
      </c>
      <c r="D3564" t="s">
        <v>29</v>
      </c>
      <c r="E3564" t="s">
        <v>22</v>
      </c>
      <c r="F3564" t="s">
        <v>18</v>
      </c>
      <c r="G3564" s="2">
        <f>VALUE(469.7598325836)</f>
        <v>469.75983258359997</v>
      </c>
      <c r="H3564" s="3">
        <f>VALUE(472.8189298388)</f>
        <v>472.81892983879999</v>
      </c>
      <c r="I3564" s="4">
        <f>VALUE(3429)</f>
        <v>3429</v>
      </c>
      <c r="J3564" s="5">
        <f>VALUE(4642)</f>
        <v>4642</v>
      </c>
      <c r="K3564" s="1">
        <f>VALUE(5429)</f>
        <v>5429</v>
      </c>
      <c r="L3564" s="7">
        <f>VALUE(7086)</f>
        <v>7086</v>
      </c>
      <c r="M3564" s="1">
        <f>VALUE(8164)</f>
        <v>8164</v>
      </c>
      <c r="N3564" t="s">
        <v>25</v>
      </c>
    </row>
    <row r="3565" spans="1:14" x14ac:dyDescent="0.25">
      <c r="A3565" t="s">
        <v>41</v>
      </c>
      <c r="B3565" t="s">
        <v>39</v>
      </c>
      <c r="C3565" t="s">
        <v>15</v>
      </c>
      <c r="D3565" t="s">
        <v>29</v>
      </c>
      <c r="E3565" t="s">
        <v>22</v>
      </c>
      <c r="F3565" t="s">
        <v>19</v>
      </c>
      <c r="G3565" s="2">
        <f>VALUE(672.3113245417)</f>
        <v>672.31132454169995</v>
      </c>
      <c r="H3565" s="3">
        <f>VALUE(663.3267840462)</f>
        <v>663.32678404620003</v>
      </c>
      <c r="I3565" s="4">
        <f>VALUE(4104)</f>
        <v>4104</v>
      </c>
      <c r="J3565" s="5">
        <f>VALUE(4605)</f>
        <v>4605</v>
      </c>
      <c r="K3565" s="1">
        <f>VALUE(5506)</f>
        <v>5506</v>
      </c>
      <c r="L3565" s="1">
        <f>VALUE(6528)</f>
        <v>6528</v>
      </c>
      <c r="M3565" s="1">
        <f>VALUE(7495)</f>
        <v>7495</v>
      </c>
      <c r="N3565" t="s">
        <v>25</v>
      </c>
    </row>
    <row r="3566" spans="1:14" x14ac:dyDescent="0.25">
      <c r="A3566" t="s">
        <v>41</v>
      </c>
      <c r="B3566" t="s">
        <v>39</v>
      </c>
      <c r="C3566" t="s">
        <v>15</v>
      </c>
      <c r="D3566" t="s">
        <v>29</v>
      </c>
      <c r="E3566" t="s">
        <v>22</v>
      </c>
      <c r="F3566" t="s">
        <v>20</v>
      </c>
      <c r="G3566" s="1">
        <f>VALUE(1735.6316585902)</f>
        <v>1735.6316585902</v>
      </c>
      <c r="H3566" s="1">
        <f>VALUE(1755.3672863459)</f>
        <v>1755.3672863459001</v>
      </c>
      <c r="I3566" s="4">
        <f>VALUE(3765)</f>
        <v>3765</v>
      </c>
      <c r="J3566" s="1">
        <f>VALUE(4313)</f>
        <v>4313</v>
      </c>
      <c r="K3566" s="1">
        <f>VALUE(5075)</f>
        <v>5075</v>
      </c>
      <c r="L3566" s="1">
        <f>VALUE(5882)</f>
        <v>5882</v>
      </c>
      <c r="M3566" s="1">
        <f>VALUE(6738)</f>
        <v>6738</v>
      </c>
      <c r="N3566" t="s">
        <v>25</v>
      </c>
    </row>
    <row r="3567" spans="1:14" x14ac:dyDescent="0.25">
      <c r="A3567" t="s">
        <v>41</v>
      </c>
      <c r="B3567" t="s">
        <v>39</v>
      </c>
      <c r="C3567" t="s">
        <v>15</v>
      </c>
      <c r="D3567" t="s">
        <v>29</v>
      </c>
      <c r="E3567" t="s">
        <v>23</v>
      </c>
      <c r="F3567" t="s">
        <v>15</v>
      </c>
      <c r="G3567" s="1">
        <f>VALUE(4695.033432495)</f>
        <v>4695.0334324949999</v>
      </c>
      <c r="H3567" s="1">
        <f>VALUE(4748.3119492761)</f>
        <v>4748.3119492760998</v>
      </c>
      <c r="I3567" s="1">
        <f>VALUE(3554)</f>
        <v>3554</v>
      </c>
      <c r="J3567" s="1">
        <f>VALUE(4191)</f>
        <v>4191</v>
      </c>
      <c r="K3567" s="1">
        <f>VALUE(5004)</f>
        <v>5004</v>
      </c>
      <c r="L3567" s="1">
        <f>VALUE(5832)</f>
        <v>5832</v>
      </c>
      <c r="M3567" s="1">
        <f>VALUE(6617)</f>
        <v>6617</v>
      </c>
      <c r="N3567" t="s">
        <v>16</v>
      </c>
    </row>
    <row r="3568" spans="1:14" x14ac:dyDescent="0.25">
      <c r="A3568" t="s">
        <v>41</v>
      </c>
      <c r="B3568" t="s">
        <v>39</v>
      </c>
      <c r="C3568" t="s">
        <v>15</v>
      </c>
      <c r="D3568" t="s">
        <v>29</v>
      </c>
      <c r="E3568" t="s">
        <v>23</v>
      </c>
      <c r="F3568" t="s">
        <v>17</v>
      </c>
      <c r="G3568" s="2">
        <f>VALUE(250.9515614974)</f>
        <v>250.95156149740001</v>
      </c>
      <c r="H3568" s="3">
        <f>VALUE(260.5458546132)</f>
        <v>260.54585461319999</v>
      </c>
      <c r="I3568" s="1">
        <f>VALUE(3845)</f>
        <v>3845</v>
      </c>
      <c r="J3568" s="5">
        <f>VALUE(4138)</f>
        <v>4138</v>
      </c>
      <c r="K3568" s="6">
        <f>VALUE(5592)</f>
        <v>5592</v>
      </c>
      <c r="L3568" s="7">
        <f>VALUE(8151)</f>
        <v>8151</v>
      </c>
      <c r="M3568" s="8">
        <f>VALUE(10992)</f>
        <v>10992</v>
      </c>
      <c r="N3568" t="s">
        <v>25</v>
      </c>
    </row>
    <row r="3569" spans="1:14" x14ac:dyDescent="0.25">
      <c r="A3569" t="s">
        <v>41</v>
      </c>
      <c r="B3569" t="s">
        <v>39</v>
      </c>
      <c r="C3569" t="s">
        <v>15</v>
      </c>
      <c r="D3569" t="s">
        <v>29</v>
      </c>
      <c r="E3569" t="s">
        <v>23</v>
      </c>
      <c r="F3569" t="s">
        <v>18</v>
      </c>
      <c r="G3569" s="2">
        <f>VALUE(371.6163129877)</f>
        <v>371.61631298769998</v>
      </c>
      <c r="H3569" s="3">
        <f>VALUE(386.0422272253)</f>
        <v>386.0422272253</v>
      </c>
      <c r="I3569" s="4">
        <f>VALUE(3926)</f>
        <v>3926</v>
      </c>
      <c r="J3569" s="5">
        <f>VALUE(4612)</f>
        <v>4612</v>
      </c>
      <c r="K3569" s="6">
        <f>VALUE(5266)</f>
        <v>5266</v>
      </c>
      <c r="L3569" s="1">
        <f>VALUE(6082)</f>
        <v>6082</v>
      </c>
      <c r="M3569" s="8">
        <f>VALUE(7145)</f>
        <v>7145</v>
      </c>
      <c r="N3569" t="s">
        <v>25</v>
      </c>
    </row>
    <row r="3570" spans="1:14" x14ac:dyDescent="0.25">
      <c r="A3570" t="s">
        <v>41</v>
      </c>
      <c r="B3570" t="s">
        <v>39</v>
      </c>
      <c r="C3570" t="s">
        <v>15</v>
      </c>
      <c r="D3570" t="s">
        <v>29</v>
      </c>
      <c r="E3570" t="s">
        <v>23</v>
      </c>
      <c r="F3570" t="s">
        <v>19</v>
      </c>
      <c r="G3570" s="2">
        <f>VALUE(473.2104526141)</f>
        <v>473.21045261410001</v>
      </c>
      <c r="H3570" s="3">
        <f>VALUE(481.3806516928)</f>
        <v>481.38065169279997</v>
      </c>
      <c r="I3570" s="4">
        <f>VALUE(4045)</f>
        <v>4045</v>
      </c>
      <c r="J3570" s="1">
        <f>VALUE(4778)</f>
        <v>4778</v>
      </c>
      <c r="K3570" s="1">
        <f>VALUE(5333)</f>
        <v>5333</v>
      </c>
      <c r="L3570" s="1">
        <f>VALUE(6358)</f>
        <v>6358</v>
      </c>
      <c r="M3570" s="1">
        <f>VALUE(7163)</f>
        <v>7163</v>
      </c>
      <c r="N3570" t="s">
        <v>25</v>
      </c>
    </row>
    <row r="3571" spans="1:14" x14ac:dyDescent="0.25">
      <c r="A3571" t="s">
        <v>41</v>
      </c>
      <c r="B3571" t="s">
        <v>39</v>
      </c>
      <c r="C3571" t="s">
        <v>15</v>
      </c>
      <c r="D3571" t="s">
        <v>29</v>
      </c>
      <c r="E3571" t="s">
        <v>23</v>
      </c>
      <c r="F3571" t="s">
        <v>20</v>
      </c>
      <c r="G3571" s="1">
        <f>VALUE(3599.2551053958)</f>
        <v>3599.2551053958</v>
      </c>
      <c r="H3571" s="1">
        <f>VALUE(3620.3432157448)</f>
        <v>3620.3432157448001</v>
      </c>
      <c r="I3571" s="1">
        <f>VALUE(3524)</f>
        <v>3524</v>
      </c>
      <c r="J3571" s="1">
        <f>VALUE(4117)</f>
        <v>4117</v>
      </c>
      <c r="K3571" s="1">
        <f>VALUE(4893)</f>
        <v>4893</v>
      </c>
      <c r="L3571" s="1">
        <f>VALUE(5677)</f>
        <v>5677</v>
      </c>
      <c r="M3571" s="1">
        <f>VALUE(6381)</f>
        <v>6381</v>
      </c>
      <c r="N3571" t="s">
        <v>16</v>
      </c>
    </row>
    <row r="3572" spans="1:14" x14ac:dyDescent="0.25">
      <c r="A3572" t="s">
        <v>41</v>
      </c>
      <c r="B3572" t="s">
        <v>39</v>
      </c>
      <c r="C3572" t="s">
        <v>15</v>
      </c>
      <c r="D3572" t="s">
        <v>29</v>
      </c>
      <c r="E3572" t="s">
        <v>26</v>
      </c>
      <c r="F3572" t="s">
        <v>15</v>
      </c>
      <c r="G3572" s="1" t="str">
        <f t="shared" ref="G3572:M3574" si="748">"X"</f>
        <v>X</v>
      </c>
      <c r="H3572" s="1" t="str">
        <f t="shared" si="748"/>
        <v>X</v>
      </c>
      <c r="I3572" s="1" t="str">
        <f t="shared" si="748"/>
        <v>X</v>
      </c>
      <c r="J3572" s="1" t="str">
        <f t="shared" si="748"/>
        <v>X</v>
      </c>
      <c r="K3572" s="1" t="str">
        <f t="shared" si="748"/>
        <v>X</v>
      </c>
      <c r="L3572" s="1" t="str">
        <f t="shared" si="748"/>
        <v>X</v>
      </c>
      <c r="M3572" s="1" t="str">
        <f t="shared" si="748"/>
        <v>X</v>
      </c>
      <c r="N3572" t="s">
        <v>27</v>
      </c>
    </row>
    <row r="3573" spans="1:14" x14ac:dyDescent="0.25">
      <c r="A3573" t="s">
        <v>41</v>
      </c>
      <c r="B3573" t="s">
        <v>39</v>
      </c>
      <c r="C3573" t="s">
        <v>15</v>
      </c>
      <c r="D3573" t="s">
        <v>29</v>
      </c>
      <c r="E3573" t="s">
        <v>26</v>
      </c>
      <c r="F3573" t="s">
        <v>17</v>
      </c>
      <c r="G3573" s="1" t="str">
        <f t="shared" si="748"/>
        <v>X</v>
      </c>
      <c r="H3573" s="1" t="str">
        <f t="shared" si="748"/>
        <v>X</v>
      </c>
      <c r="I3573" s="1" t="str">
        <f t="shared" si="748"/>
        <v>X</v>
      </c>
      <c r="J3573" s="1" t="str">
        <f t="shared" si="748"/>
        <v>X</v>
      </c>
      <c r="K3573" s="1" t="str">
        <f t="shared" si="748"/>
        <v>X</v>
      </c>
      <c r="L3573" s="1" t="str">
        <f t="shared" si="748"/>
        <v>X</v>
      </c>
      <c r="M3573" s="1" t="str">
        <f t="shared" si="748"/>
        <v>X</v>
      </c>
      <c r="N3573" t="s">
        <v>27</v>
      </c>
    </row>
    <row r="3574" spans="1:14" x14ac:dyDescent="0.25">
      <c r="A3574" t="s">
        <v>41</v>
      </c>
      <c r="B3574" t="s">
        <v>39</v>
      </c>
      <c r="C3574" t="s">
        <v>15</v>
      </c>
      <c r="D3574" t="s">
        <v>29</v>
      </c>
      <c r="E3574" t="s">
        <v>26</v>
      </c>
      <c r="F3574" t="s">
        <v>18</v>
      </c>
      <c r="G3574" s="1" t="str">
        <f t="shared" si="748"/>
        <v>X</v>
      </c>
      <c r="H3574" s="1" t="str">
        <f t="shared" si="748"/>
        <v>X</v>
      </c>
      <c r="I3574" s="1" t="str">
        <f t="shared" si="748"/>
        <v>X</v>
      </c>
      <c r="J3574" s="1" t="str">
        <f t="shared" si="748"/>
        <v>X</v>
      </c>
      <c r="K3574" s="1" t="str">
        <f t="shared" si="748"/>
        <v>X</v>
      </c>
      <c r="L3574" s="1" t="str">
        <f t="shared" si="748"/>
        <v>X</v>
      </c>
      <c r="M3574" s="1" t="str">
        <f t="shared" si="748"/>
        <v>X</v>
      </c>
      <c r="N3574" t="s">
        <v>27</v>
      </c>
    </row>
    <row r="3575" spans="1:14" x14ac:dyDescent="0.25">
      <c r="A3575" t="s">
        <v>41</v>
      </c>
      <c r="B3575" t="s">
        <v>39</v>
      </c>
      <c r="C3575" t="s">
        <v>15</v>
      </c>
      <c r="D3575" t="s">
        <v>29</v>
      </c>
      <c r="E3575" t="s">
        <v>26</v>
      </c>
      <c r="F3575" t="s">
        <v>19</v>
      </c>
      <c r="G3575" s="1" t="str">
        <f t="shared" ref="G3575:M3575" si="749">"..."</f>
        <v>...</v>
      </c>
      <c r="H3575" s="1" t="str">
        <f t="shared" si="749"/>
        <v>...</v>
      </c>
      <c r="I3575" s="1" t="str">
        <f t="shared" si="749"/>
        <v>...</v>
      </c>
      <c r="J3575" s="1" t="str">
        <f t="shared" si="749"/>
        <v>...</v>
      </c>
      <c r="K3575" s="1" t="str">
        <f t="shared" si="749"/>
        <v>...</v>
      </c>
      <c r="L3575" s="1" t="str">
        <f t="shared" si="749"/>
        <v>...</v>
      </c>
      <c r="M3575" s="1" t="str">
        <f t="shared" si="749"/>
        <v>...</v>
      </c>
      <c r="N3575" t="s">
        <v>30</v>
      </c>
    </row>
    <row r="3576" spans="1:14" x14ac:dyDescent="0.25">
      <c r="A3576" t="s">
        <v>41</v>
      </c>
      <c r="B3576" t="s">
        <v>39</v>
      </c>
      <c r="C3576" t="s">
        <v>15</v>
      </c>
      <c r="D3576" t="s">
        <v>29</v>
      </c>
      <c r="E3576" t="s">
        <v>26</v>
      </c>
      <c r="F3576" t="s">
        <v>20</v>
      </c>
      <c r="G3576" s="1" t="str">
        <f t="shared" ref="G3576:M3576" si="750">"X"</f>
        <v>X</v>
      </c>
      <c r="H3576" s="1" t="str">
        <f t="shared" si="750"/>
        <v>X</v>
      </c>
      <c r="I3576" s="1" t="str">
        <f t="shared" si="750"/>
        <v>X</v>
      </c>
      <c r="J3576" s="1" t="str">
        <f t="shared" si="750"/>
        <v>X</v>
      </c>
      <c r="K3576" s="1" t="str">
        <f t="shared" si="750"/>
        <v>X</v>
      </c>
      <c r="L3576" s="1" t="str">
        <f t="shared" si="750"/>
        <v>X</v>
      </c>
      <c r="M3576" s="1" t="str">
        <f t="shared" si="750"/>
        <v>X</v>
      </c>
      <c r="N3576" t="s">
        <v>27</v>
      </c>
    </row>
    <row r="3577" spans="1:14" x14ac:dyDescent="0.25">
      <c r="A3577" t="s">
        <v>41</v>
      </c>
      <c r="B3577" t="s">
        <v>39</v>
      </c>
      <c r="C3577" t="s">
        <v>15</v>
      </c>
      <c r="D3577" t="s">
        <v>31</v>
      </c>
      <c r="E3577" t="s">
        <v>15</v>
      </c>
      <c r="F3577" t="s">
        <v>15</v>
      </c>
      <c r="G3577" s="1">
        <f>VALUE(4187.6931565641)</f>
        <v>4187.6931565640998</v>
      </c>
      <c r="H3577" s="1">
        <f>VALUE(4137.9595721787)</f>
        <v>4137.9595721787</v>
      </c>
      <c r="I3577" s="1">
        <f>VALUE(3575)</f>
        <v>3575</v>
      </c>
      <c r="J3577" s="1">
        <f>VALUE(4246)</f>
        <v>4246</v>
      </c>
      <c r="K3577" s="1">
        <f>VALUE(5211)</f>
        <v>5211</v>
      </c>
      <c r="L3577" s="7">
        <f>VALUE(7027)</f>
        <v>7027</v>
      </c>
      <c r="M3577" s="8">
        <f>VALUE(11670)</f>
        <v>11670</v>
      </c>
      <c r="N3577" t="s">
        <v>25</v>
      </c>
    </row>
    <row r="3578" spans="1:14" x14ac:dyDescent="0.25">
      <c r="A3578" t="s">
        <v>41</v>
      </c>
      <c r="B3578" t="s">
        <v>39</v>
      </c>
      <c r="C3578" t="s">
        <v>15</v>
      </c>
      <c r="D3578" t="s">
        <v>31</v>
      </c>
      <c r="E3578" t="s">
        <v>15</v>
      </c>
      <c r="F3578" t="s">
        <v>17</v>
      </c>
      <c r="G3578" s="2">
        <f>VALUE(812.7743441508)</f>
        <v>812.77434415079995</v>
      </c>
      <c r="H3578" s="3">
        <f>VALUE(820.8908448937)</f>
        <v>820.89084489369998</v>
      </c>
      <c r="I3578" s="1">
        <f>VALUE(5000)</f>
        <v>5000</v>
      </c>
      <c r="J3578" s="5">
        <f>VALUE(6127)</f>
        <v>6127</v>
      </c>
      <c r="K3578" s="6">
        <f>VALUE(10833)</f>
        <v>10833</v>
      </c>
      <c r="L3578" s="7">
        <f>VALUE(18490)</f>
        <v>18490</v>
      </c>
      <c r="M3578" s="8">
        <f>VALUE(42619)</f>
        <v>42619</v>
      </c>
      <c r="N3578" t="s">
        <v>25</v>
      </c>
    </row>
    <row r="3579" spans="1:14" x14ac:dyDescent="0.25">
      <c r="A3579" t="s">
        <v>41</v>
      </c>
      <c r="B3579" t="s">
        <v>39</v>
      </c>
      <c r="C3579" t="s">
        <v>15</v>
      </c>
      <c r="D3579" t="s">
        <v>31</v>
      </c>
      <c r="E3579" t="s">
        <v>15</v>
      </c>
      <c r="F3579" t="s">
        <v>18</v>
      </c>
      <c r="G3579" s="2">
        <f>VALUE(706.5633675736)</f>
        <v>706.56336757359998</v>
      </c>
      <c r="H3579" s="3">
        <f>VALUE(706.1357854011)</f>
        <v>706.13578540109995</v>
      </c>
      <c r="I3579" s="4">
        <f>VALUE(3748)</f>
        <v>3748</v>
      </c>
      <c r="J3579" s="5">
        <f>VALUE(4732)</f>
        <v>4732</v>
      </c>
      <c r="K3579" s="6">
        <f>VALUE(5420)</f>
        <v>5420</v>
      </c>
      <c r="L3579" s="7">
        <f>VALUE(6945)</f>
        <v>6945</v>
      </c>
      <c r="M3579" s="8">
        <f>VALUE(10300)</f>
        <v>10300</v>
      </c>
      <c r="N3579" t="s">
        <v>24</v>
      </c>
    </row>
    <row r="3580" spans="1:14" x14ac:dyDescent="0.25">
      <c r="A3580" t="s">
        <v>41</v>
      </c>
      <c r="B3580" t="s">
        <v>39</v>
      </c>
      <c r="C3580" t="s">
        <v>15</v>
      </c>
      <c r="D3580" t="s">
        <v>31</v>
      </c>
      <c r="E3580" t="s">
        <v>15</v>
      </c>
      <c r="F3580" t="s">
        <v>19</v>
      </c>
      <c r="G3580" s="2">
        <f>VALUE(454.8693738837)</f>
        <v>454.86937388370001</v>
      </c>
      <c r="H3580" s="3">
        <f>VALUE(407.9329714961)</f>
        <v>407.93297149609998</v>
      </c>
      <c r="I3580" s="4">
        <f>VALUE(3792)</f>
        <v>3792</v>
      </c>
      <c r="J3580" s="5">
        <f>VALUE(4286)</f>
        <v>4286</v>
      </c>
      <c r="K3580" s="1">
        <f>VALUE(5275)</f>
        <v>5275</v>
      </c>
      <c r="L3580" s="1">
        <f>VALUE(6748)</f>
        <v>6748</v>
      </c>
      <c r="M3580" s="1">
        <f>VALUE(9524)</f>
        <v>9524</v>
      </c>
      <c r="N3580" t="s">
        <v>25</v>
      </c>
    </row>
    <row r="3581" spans="1:14" x14ac:dyDescent="0.25">
      <c r="A3581" t="s">
        <v>41</v>
      </c>
      <c r="B3581" t="s">
        <v>39</v>
      </c>
      <c r="C3581" t="s">
        <v>15</v>
      </c>
      <c r="D3581" t="s">
        <v>31</v>
      </c>
      <c r="E3581" t="s">
        <v>15</v>
      </c>
      <c r="F3581" t="s">
        <v>20</v>
      </c>
      <c r="G3581" s="1">
        <f>VALUE(2212.3295374978)</f>
        <v>2212.3295374978002</v>
      </c>
      <c r="H3581" s="1">
        <f>VALUE(2201.8434369296)</f>
        <v>2201.8434369296001</v>
      </c>
      <c r="I3581" s="1">
        <f>VALUE(3333)</f>
        <v>3333</v>
      </c>
      <c r="J3581" s="1">
        <f>VALUE(3837)</f>
        <v>3837</v>
      </c>
      <c r="K3581" s="1">
        <f>VALUE(4549)</f>
        <v>4549</v>
      </c>
      <c r="L3581" s="1">
        <f>VALUE(5571)</f>
        <v>5571</v>
      </c>
      <c r="M3581" s="1">
        <f>VALUE(6845)</f>
        <v>6845</v>
      </c>
      <c r="N3581" t="s">
        <v>16</v>
      </c>
    </row>
    <row r="3582" spans="1:14" x14ac:dyDescent="0.25">
      <c r="A3582" t="s">
        <v>41</v>
      </c>
      <c r="B3582" t="s">
        <v>39</v>
      </c>
      <c r="C3582" t="s">
        <v>15</v>
      </c>
      <c r="D3582" t="s">
        <v>31</v>
      </c>
      <c r="E3582" t="s">
        <v>21</v>
      </c>
      <c r="F3582" t="s">
        <v>15</v>
      </c>
      <c r="G3582" s="2">
        <f>VALUE(1563.8907492434)</f>
        <v>1563.8907492434</v>
      </c>
      <c r="H3582" s="3">
        <f>VALUE(1513.3313930984)</f>
        <v>1513.3313930984</v>
      </c>
      <c r="I3582" s="1">
        <f>VALUE(4406)</f>
        <v>4406</v>
      </c>
      <c r="J3582" s="5">
        <f>VALUE(5262)</f>
        <v>5262</v>
      </c>
      <c r="K3582" s="6">
        <f>VALUE(7143)</f>
        <v>7143</v>
      </c>
      <c r="L3582" s="7">
        <f>VALUE(10843)</f>
        <v>10843</v>
      </c>
      <c r="M3582" s="8">
        <f>VALUE(23164)</f>
        <v>23164</v>
      </c>
      <c r="N3582" t="s">
        <v>25</v>
      </c>
    </row>
    <row r="3583" spans="1:14" x14ac:dyDescent="0.25">
      <c r="A3583" t="s">
        <v>41</v>
      </c>
      <c r="B3583" t="s">
        <v>39</v>
      </c>
      <c r="C3583" t="s">
        <v>15</v>
      </c>
      <c r="D3583" t="s">
        <v>31</v>
      </c>
      <c r="E3583" t="s">
        <v>21</v>
      </c>
      <c r="F3583" t="s">
        <v>17</v>
      </c>
      <c r="G3583" s="2">
        <f>VALUE(580.9251266689)</f>
        <v>580.92512666890002</v>
      </c>
      <c r="H3583" s="3">
        <f>VALUE(589.5770718196)</f>
        <v>589.57707181959995</v>
      </c>
      <c r="I3583" s="1">
        <f>VALUE(5148)</f>
        <v>5148</v>
      </c>
      <c r="J3583" s="5">
        <f>VALUE(7133)</f>
        <v>7133</v>
      </c>
      <c r="K3583" s="6">
        <f>VALUE(11267)</f>
        <v>11267</v>
      </c>
      <c r="L3583" s="7">
        <f>VALUE(23854)</f>
        <v>23854</v>
      </c>
      <c r="M3583" s="8">
        <f>VALUE(44302)</f>
        <v>44302</v>
      </c>
      <c r="N3583" t="s">
        <v>25</v>
      </c>
    </row>
    <row r="3584" spans="1:14" x14ac:dyDescent="0.25">
      <c r="A3584" t="s">
        <v>41</v>
      </c>
      <c r="B3584" t="s">
        <v>39</v>
      </c>
      <c r="C3584" t="s">
        <v>15</v>
      </c>
      <c r="D3584" t="s">
        <v>31</v>
      </c>
      <c r="E3584" t="s">
        <v>21</v>
      </c>
      <c r="F3584" t="s">
        <v>18</v>
      </c>
      <c r="G3584" s="2">
        <f>VALUE(256.2581513335)</f>
        <v>256.2581513335</v>
      </c>
      <c r="H3584" s="3">
        <f>VALUE(248.1077252534)</f>
        <v>248.10772525339999</v>
      </c>
      <c r="I3584" s="4">
        <f>VALUE(4996)</f>
        <v>4996</v>
      </c>
      <c r="J3584" s="1">
        <f>VALUE(5996)</f>
        <v>5996</v>
      </c>
      <c r="K3584" s="6">
        <f>VALUE(7097)</f>
        <v>7097</v>
      </c>
      <c r="L3584" s="7">
        <f>VALUE(9412)</f>
        <v>9412</v>
      </c>
      <c r="M3584" s="8">
        <f>VALUE(11497)</f>
        <v>11497</v>
      </c>
      <c r="N3584" t="s">
        <v>25</v>
      </c>
    </row>
    <row r="3585" spans="1:14" x14ac:dyDescent="0.25">
      <c r="A3585" t="s">
        <v>41</v>
      </c>
      <c r="B3585" t="s">
        <v>39</v>
      </c>
      <c r="C3585" t="s">
        <v>15</v>
      </c>
      <c r="D3585" t="s">
        <v>31</v>
      </c>
      <c r="E3585" t="s">
        <v>21</v>
      </c>
      <c r="F3585" t="s">
        <v>19</v>
      </c>
      <c r="G3585" s="2">
        <f>VALUE(281.1075064812)</f>
        <v>281.10750648120001</v>
      </c>
      <c r="H3585" s="3">
        <f>VALUE(239.7894112015)</f>
        <v>239.7894112015</v>
      </c>
      <c r="I3585" s="4">
        <f>VALUE(4286)</f>
        <v>4286</v>
      </c>
      <c r="J3585" s="1">
        <f>VALUE(5206)</f>
        <v>5206</v>
      </c>
      <c r="K3585" s="1">
        <f>VALUE(5846)</f>
        <v>5846</v>
      </c>
      <c r="L3585" s="1">
        <f>VALUE(7440)</f>
        <v>7440</v>
      </c>
      <c r="M3585" s="1">
        <f>VALUE(10196)</f>
        <v>10196</v>
      </c>
      <c r="N3585" t="s">
        <v>25</v>
      </c>
    </row>
    <row r="3586" spans="1:14" x14ac:dyDescent="0.25">
      <c r="A3586" t="s">
        <v>41</v>
      </c>
      <c r="B3586" t="s">
        <v>39</v>
      </c>
      <c r="C3586" t="s">
        <v>15</v>
      </c>
      <c r="D3586" t="s">
        <v>31</v>
      </c>
      <c r="E3586" t="s">
        <v>21</v>
      </c>
      <c r="F3586" t="s">
        <v>20</v>
      </c>
      <c r="G3586" s="2">
        <f>VALUE(445.5999647598)</f>
        <v>445.5999647598</v>
      </c>
      <c r="H3586" s="3">
        <f>VALUE(435.8571848239)</f>
        <v>435.85718482390001</v>
      </c>
      <c r="I3586" s="1">
        <f>VALUE(3863)</f>
        <v>3863</v>
      </c>
      <c r="J3586" s="1">
        <f>VALUE(4508)</f>
        <v>4508</v>
      </c>
      <c r="K3586" s="1">
        <f>VALUE(5491)</f>
        <v>5491</v>
      </c>
      <c r="L3586" s="1">
        <f>VALUE(7222)</f>
        <v>7222</v>
      </c>
      <c r="M3586" s="1">
        <f>VALUE(9145)</f>
        <v>9145</v>
      </c>
      <c r="N3586" t="s">
        <v>25</v>
      </c>
    </row>
    <row r="3587" spans="1:14" x14ac:dyDescent="0.25">
      <c r="A3587" t="s">
        <v>41</v>
      </c>
      <c r="B3587" t="s">
        <v>39</v>
      </c>
      <c r="C3587" t="s">
        <v>15</v>
      </c>
      <c r="D3587" t="s">
        <v>31</v>
      </c>
      <c r="E3587" t="s">
        <v>22</v>
      </c>
      <c r="F3587" t="s">
        <v>15</v>
      </c>
      <c r="G3587" s="2">
        <f>VALUE(893.4358401663)</f>
        <v>893.43584016629995</v>
      </c>
      <c r="H3587" s="3">
        <f>VALUE(885.0140024281)</f>
        <v>885.01400242809996</v>
      </c>
      <c r="I3587" s="1">
        <f>VALUE(3662)</f>
        <v>3662</v>
      </c>
      <c r="J3587" s="1">
        <f>VALUE(4269)</f>
        <v>4269</v>
      </c>
      <c r="K3587" s="1">
        <f>VALUE(5229)</f>
        <v>5229</v>
      </c>
      <c r="L3587" s="1">
        <f>VALUE(6124)</f>
        <v>6124</v>
      </c>
      <c r="M3587" s="8">
        <f>VALUE(7627)</f>
        <v>7627</v>
      </c>
      <c r="N3587" t="s">
        <v>25</v>
      </c>
    </row>
    <row r="3588" spans="1:14" x14ac:dyDescent="0.25">
      <c r="A3588" t="s">
        <v>41</v>
      </c>
      <c r="B3588" t="s">
        <v>39</v>
      </c>
      <c r="C3588" t="s">
        <v>15</v>
      </c>
      <c r="D3588" t="s">
        <v>31</v>
      </c>
      <c r="E3588" t="s">
        <v>22</v>
      </c>
      <c r="F3588" t="s">
        <v>17</v>
      </c>
      <c r="G3588" s="1" t="str">
        <f t="shared" ref="G3588:M3590" si="751">"X"</f>
        <v>X</v>
      </c>
      <c r="H3588" s="1" t="str">
        <f t="shared" si="751"/>
        <v>X</v>
      </c>
      <c r="I3588" s="1" t="str">
        <f t="shared" si="751"/>
        <v>X</v>
      </c>
      <c r="J3588" s="1" t="str">
        <f t="shared" si="751"/>
        <v>X</v>
      </c>
      <c r="K3588" s="1" t="str">
        <f t="shared" si="751"/>
        <v>X</v>
      </c>
      <c r="L3588" s="1" t="str">
        <f t="shared" si="751"/>
        <v>X</v>
      </c>
      <c r="M3588" s="1" t="str">
        <f t="shared" si="751"/>
        <v>X</v>
      </c>
      <c r="N3588" t="s">
        <v>27</v>
      </c>
    </row>
    <row r="3589" spans="1:14" x14ac:dyDescent="0.25">
      <c r="A3589" t="s">
        <v>41</v>
      </c>
      <c r="B3589" t="s">
        <v>39</v>
      </c>
      <c r="C3589" t="s">
        <v>15</v>
      </c>
      <c r="D3589" t="s">
        <v>31</v>
      </c>
      <c r="E3589" t="s">
        <v>22</v>
      </c>
      <c r="F3589" t="s">
        <v>18</v>
      </c>
      <c r="G3589" s="1" t="str">
        <f t="shared" si="751"/>
        <v>X</v>
      </c>
      <c r="H3589" s="1" t="str">
        <f t="shared" si="751"/>
        <v>X</v>
      </c>
      <c r="I3589" s="1" t="str">
        <f t="shared" si="751"/>
        <v>X</v>
      </c>
      <c r="J3589" s="1" t="str">
        <f t="shared" si="751"/>
        <v>X</v>
      </c>
      <c r="K3589" s="1" t="str">
        <f t="shared" si="751"/>
        <v>X</v>
      </c>
      <c r="L3589" s="1" t="str">
        <f t="shared" si="751"/>
        <v>X</v>
      </c>
      <c r="M3589" s="1" t="str">
        <f t="shared" si="751"/>
        <v>X</v>
      </c>
      <c r="N3589" t="s">
        <v>27</v>
      </c>
    </row>
    <row r="3590" spans="1:14" x14ac:dyDescent="0.25">
      <c r="A3590" t="s">
        <v>41</v>
      </c>
      <c r="B3590" t="s">
        <v>39</v>
      </c>
      <c r="C3590" t="s">
        <v>15</v>
      </c>
      <c r="D3590" t="s">
        <v>31</v>
      </c>
      <c r="E3590" t="s">
        <v>22</v>
      </c>
      <c r="F3590" t="s">
        <v>19</v>
      </c>
      <c r="G3590" s="1" t="str">
        <f t="shared" si="751"/>
        <v>X</v>
      </c>
      <c r="H3590" s="1" t="str">
        <f t="shared" si="751"/>
        <v>X</v>
      </c>
      <c r="I3590" s="1" t="str">
        <f t="shared" si="751"/>
        <v>X</v>
      </c>
      <c r="J3590" s="1" t="str">
        <f t="shared" si="751"/>
        <v>X</v>
      </c>
      <c r="K3590" s="1" t="str">
        <f t="shared" si="751"/>
        <v>X</v>
      </c>
      <c r="L3590" s="1" t="str">
        <f t="shared" si="751"/>
        <v>X</v>
      </c>
      <c r="M3590" s="1" t="str">
        <f t="shared" si="751"/>
        <v>X</v>
      </c>
      <c r="N3590" t="s">
        <v>27</v>
      </c>
    </row>
    <row r="3591" spans="1:14" x14ac:dyDescent="0.25">
      <c r="A3591" t="s">
        <v>41</v>
      </c>
      <c r="B3591" t="s">
        <v>39</v>
      </c>
      <c r="C3591" t="s">
        <v>15</v>
      </c>
      <c r="D3591" t="s">
        <v>31</v>
      </c>
      <c r="E3591" t="s">
        <v>22</v>
      </c>
      <c r="F3591" t="s">
        <v>20</v>
      </c>
      <c r="G3591" s="2">
        <f>VALUE(577.0274086066)</f>
        <v>577.02740860660003</v>
      </c>
      <c r="H3591" s="3">
        <f>VALUE(571.2178994229)</f>
        <v>571.21789942290002</v>
      </c>
      <c r="I3591" s="4">
        <f>VALUE(3617)</f>
        <v>3617</v>
      </c>
      <c r="J3591" s="1">
        <f>VALUE(4157)</f>
        <v>4157</v>
      </c>
      <c r="K3591" s="1">
        <f>VALUE(4860)</f>
        <v>4860</v>
      </c>
      <c r="L3591" s="1">
        <f>VALUE(5879)</f>
        <v>5879</v>
      </c>
      <c r="M3591" s="1">
        <f>VALUE(6663)</f>
        <v>6663</v>
      </c>
      <c r="N3591" t="s">
        <v>25</v>
      </c>
    </row>
    <row r="3592" spans="1:14" x14ac:dyDescent="0.25">
      <c r="A3592" t="s">
        <v>41</v>
      </c>
      <c r="B3592" t="s">
        <v>39</v>
      </c>
      <c r="C3592" t="s">
        <v>15</v>
      </c>
      <c r="D3592" t="s">
        <v>31</v>
      </c>
      <c r="E3592" t="s">
        <v>23</v>
      </c>
      <c r="F3592" t="s">
        <v>15</v>
      </c>
      <c r="G3592" s="2">
        <f>VALUE(1635.9800179828)</f>
        <v>1635.9800179828001</v>
      </c>
      <c r="H3592" s="3">
        <f>VALUE(1640.7532170503)</f>
        <v>1640.7532170503</v>
      </c>
      <c r="I3592" s="1">
        <f>VALUE(3245)</f>
        <v>3245</v>
      </c>
      <c r="J3592" s="1">
        <f>VALUE(3665)</f>
        <v>3665</v>
      </c>
      <c r="K3592" s="1">
        <f>VALUE(4455)</f>
        <v>4455</v>
      </c>
      <c r="L3592" s="1">
        <f>VALUE(5116)</f>
        <v>5116</v>
      </c>
      <c r="M3592" s="1">
        <f>VALUE(5695)</f>
        <v>5695</v>
      </c>
      <c r="N3592" t="s">
        <v>25</v>
      </c>
    </row>
    <row r="3593" spans="1:14" x14ac:dyDescent="0.25">
      <c r="A3593" t="s">
        <v>41</v>
      </c>
      <c r="B3593" t="s">
        <v>39</v>
      </c>
      <c r="C3593" t="s">
        <v>15</v>
      </c>
      <c r="D3593" t="s">
        <v>31</v>
      </c>
      <c r="E3593" t="s">
        <v>23</v>
      </c>
      <c r="F3593" t="s">
        <v>17</v>
      </c>
      <c r="G3593" s="1" t="str">
        <f t="shared" ref="G3593:M3593" si="752">"X"</f>
        <v>X</v>
      </c>
      <c r="H3593" s="1" t="str">
        <f t="shared" si="752"/>
        <v>X</v>
      </c>
      <c r="I3593" s="1" t="str">
        <f t="shared" si="752"/>
        <v>X</v>
      </c>
      <c r="J3593" s="1" t="str">
        <f t="shared" si="752"/>
        <v>X</v>
      </c>
      <c r="K3593" s="1" t="str">
        <f t="shared" si="752"/>
        <v>X</v>
      </c>
      <c r="L3593" s="1" t="str">
        <f t="shared" si="752"/>
        <v>X</v>
      </c>
      <c r="M3593" s="1" t="str">
        <f t="shared" si="752"/>
        <v>X</v>
      </c>
      <c r="N3593" t="s">
        <v>27</v>
      </c>
    </row>
    <row r="3594" spans="1:14" x14ac:dyDescent="0.25">
      <c r="A3594" t="s">
        <v>41</v>
      </c>
      <c r="B3594" t="s">
        <v>39</v>
      </c>
      <c r="C3594" t="s">
        <v>15</v>
      </c>
      <c r="D3594" t="s">
        <v>31</v>
      </c>
      <c r="E3594" t="s">
        <v>23</v>
      </c>
      <c r="F3594" t="s">
        <v>18</v>
      </c>
      <c r="G3594" s="2">
        <f>VALUE(316.8976191119)</f>
        <v>316.89761911189999</v>
      </c>
      <c r="H3594" s="3">
        <f>VALUE(322.9926371998)</f>
        <v>322.99263719980001</v>
      </c>
      <c r="I3594" s="4">
        <f>VALUE(3608)</f>
        <v>3608</v>
      </c>
      <c r="J3594" s="5">
        <f>VALUE(3966)</f>
        <v>3966</v>
      </c>
      <c r="K3594" s="6">
        <f>VALUE(4732)</f>
        <v>4732</v>
      </c>
      <c r="L3594" s="7">
        <f>VALUE(4967)</f>
        <v>4967</v>
      </c>
      <c r="M3594" s="8">
        <f>VALUE(5429)</f>
        <v>5429</v>
      </c>
      <c r="N3594" t="s">
        <v>24</v>
      </c>
    </row>
    <row r="3595" spans="1:14" x14ac:dyDescent="0.25">
      <c r="A3595" t="s">
        <v>41</v>
      </c>
      <c r="B3595" t="s">
        <v>39</v>
      </c>
      <c r="C3595" t="s">
        <v>15</v>
      </c>
      <c r="D3595" t="s">
        <v>31</v>
      </c>
      <c r="E3595" t="s">
        <v>23</v>
      </c>
      <c r="F3595" t="s">
        <v>19</v>
      </c>
      <c r="G3595" s="1" t="str">
        <f t="shared" ref="G3595:M3595" si="753">"X"</f>
        <v>X</v>
      </c>
      <c r="H3595" s="1" t="str">
        <f t="shared" si="753"/>
        <v>X</v>
      </c>
      <c r="I3595" s="1" t="str">
        <f t="shared" si="753"/>
        <v>X</v>
      </c>
      <c r="J3595" s="1" t="str">
        <f t="shared" si="753"/>
        <v>X</v>
      </c>
      <c r="K3595" s="1" t="str">
        <f t="shared" si="753"/>
        <v>X</v>
      </c>
      <c r="L3595" s="1" t="str">
        <f t="shared" si="753"/>
        <v>X</v>
      </c>
      <c r="M3595" s="1" t="str">
        <f t="shared" si="753"/>
        <v>X</v>
      </c>
      <c r="N3595" t="s">
        <v>27</v>
      </c>
    </row>
    <row r="3596" spans="1:14" x14ac:dyDescent="0.25">
      <c r="A3596" t="s">
        <v>41</v>
      </c>
      <c r="B3596" t="s">
        <v>39</v>
      </c>
      <c r="C3596" t="s">
        <v>15</v>
      </c>
      <c r="D3596" t="s">
        <v>31</v>
      </c>
      <c r="E3596" t="s">
        <v>23</v>
      </c>
      <c r="F3596" t="s">
        <v>20</v>
      </c>
      <c r="G3596" s="2">
        <f>VALUE(1172.3685223667)</f>
        <v>1172.3685223667001</v>
      </c>
      <c r="H3596" s="3">
        <f>VALUE(1176.5398275354)</f>
        <v>1176.5398275354</v>
      </c>
      <c r="I3596" s="1">
        <f>VALUE(3233)</f>
        <v>3233</v>
      </c>
      <c r="J3596" s="1">
        <f>VALUE(3640)</f>
        <v>3640</v>
      </c>
      <c r="K3596" s="1">
        <f>VALUE(4282)</f>
        <v>4282</v>
      </c>
      <c r="L3596" s="1">
        <f>VALUE(5080)</f>
        <v>5080</v>
      </c>
      <c r="M3596" s="1">
        <f>VALUE(5688)</f>
        <v>5688</v>
      </c>
      <c r="N3596" t="s">
        <v>25</v>
      </c>
    </row>
    <row r="3597" spans="1:14" x14ac:dyDescent="0.25">
      <c r="A3597" t="s">
        <v>41</v>
      </c>
      <c r="B3597" t="s">
        <v>39</v>
      </c>
      <c r="C3597" t="s">
        <v>15</v>
      </c>
      <c r="D3597" t="s">
        <v>31</v>
      </c>
      <c r="E3597" t="s">
        <v>26</v>
      </c>
      <c r="F3597" t="s">
        <v>15</v>
      </c>
      <c r="G3597" s="2">
        <f>VALUE(94.3865491716)</f>
        <v>94.386549171599995</v>
      </c>
      <c r="H3597" s="3">
        <f>VALUE(98.8609596019)</f>
        <v>98.860959601900007</v>
      </c>
      <c r="I3597" s="4">
        <f>VALUE(5436)</f>
        <v>5436</v>
      </c>
      <c r="J3597" s="1">
        <f>VALUE(7183)</f>
        <v>7183</v>
      </c>
      <c r="K3597" s="1">
        <f>VALUE(10794)</f>
        <v>10794</v>
      </c>
      <c r="L3597" s="7">
        <f>VALUE(15159)</f>
        <v>15159</v>
      </c>
      <c r="M3597" s="8">
        <f>VALUE(33730)</f>
        <v>33730</v>
      </c>
      <c r="N3597" t="s">
        <v>25</v>
      </c>
    </row>
    <row r="3598" spans="1:14" x14ac:dyDescent="0.25">
      <c r="A3598" t="s">
        <v>41</v>
      </c>
      <c r="B3598" t="s">
        <v>39</v>
      </c>
      <c r="C3598" t="s">
        <v>15</v>
      </c>
      <c r="D3598" t="s">
        <v>31</v>
      </c>
      <c r="E3598" t="s">
        <v>26</v>
      </c>
      <c r="F3598" t="s">
        <v>17</v>
      </c>
      <c r="G3598" s="1" t="str">
        <f t="shared" ref="G3598:M3599" si="754">"X"</f>
        <v>X</v>
      </c>
      <c r="H3598" s="1" t="str">
        <f t="shared" si="754"/>
        <v>X</v>
      </c>
      <c r="I3598" s="1" t="str">
        <f t="shared" si="754"/>
        <v>X</v>
      </c>
      <c r="J3598" s="1" t="str">
        <f t="shared" si="754"/>
        <v>X</v>
      </c>
      <c r="K3598" s="1" t="str">
        <f t="shared" si="754"/>
        <v>X</v>
      </c>
      <c r="L3598" s="1" t="str">
        <f t="shared" si="754"/>
        <v>X</v>
      </c>
      <c r="M3598" s="1" t="str">
        <f t="shared" si="754"/>
        <v>X</v>
      </c>
      <c r="N3598" t="s">
        <v>27</v>
      </c>
    </row>
    <row r="3599" spans="1:14" x14ac:dyDescent="0.25">
      <c r="A3599" t="s">
        <v>41</v>
      </c>
      <c r="B3599" t="s">
        <v>39</v>
      </c>
      <c r="C3599" t="s">
        <v>15</v>
      </c>
      <c r="D3599" t="s">
        <v>31</v>
      </c>
      <c r="E3599" t="s">
        <v>26</v>
      </c>
      <c r="F3599" t="s">
        <v>18</v>
      </c>
      <c r="G3599" s="1" t="str">
        <f t="shared" si="754"/>
        <v>X</v>
      </c>
      <c r="H3599" s="1" t="str">
        <f t="shared" si="754"/>
        <v>X</v>
      </c>
      <c r="I3599" s="1" t="str">
        <f t="shared" si="754"/>
        <v>X</v>
      </c>
      <c r="J3599" s="1" t="str">
        <f t="shared" si="754"/>
        <v>X</v>
      </c>
      <c r="K3599" s="1" t="str">
        <f t="shared" si="754"/>
        <v>X</v>
      </c>
      <c r="L3599" s="1" t="str">
        <f t="shared" si="754"/>
        <v>X</v>
      </c>
      <c r="M3599" s="1" t="str">
        <f t="shared" si="754"/>
        <v>X</v>
      </c>
      <c r="N3599" t="s">
        <v>27</v>
      </c>
    </row>
    <row r="3600" spans="1:14" x14ac:dyDescent="0.25">
      <c r="A3600" t="s">
        <v>41</v>
      </c>
      <c r="B3600" t="s">
        <v>39</v>
      </c>
      <c r="C3600" t="s">
        <v>15</v>
      </c>
      <c r="D3600" t="s">
        <v>31</v>
      </c>
      <c r="E3600" t="s">
        <v>26</v>
      </c>
      <c r="F3600" t="s">
        <v>19</v>
      </c>
      <c r="G3600" s="1" t="str">
        <f t="shared" ref="G3600:M3600" si="755">"..."</f>
        <v>...</v>
      </c>
      <c r="H3600" s="1" t="str">
        <f t="shared" si="755"/>
        <v>...</v>
      </c>
      <c r="I3600" s="1" t="str">
        <f t="shared" si="755"/>
        <v>...</v>
      </c>
      <c r="J3600" s="1" t="str">
        <f t="shared" si="755"/>
        <v>...</v>
      </c>
      <c r="K3600" s="1" t="str">
        <f t="shared" si="755"/>
        <v>...</v>
      </c>
      <c r="L3600" s="1" t="str">
        <f t="shared" si="755"/>
        <v>...</v>
      </c>
      <c r="M3600" s="1" t="str">
        <f t="shared" si="755"/>
        <v>...</v>
      </c>
      <c r="N3600" t="s">
        <v>30</v>
      </c>
    </row>
    <row r="3601" spans="1:14" x14ac:dyDescent="0.25">
      <c r="A3601" t="s">
        <v>41</v>
      </c>
      <c r="B3601" t="s">
        <v>39</v>
      </c>
      <c r="C3601" t="s">
        <v>15</v>
      </c>
      <c r="D3601" t="s">
        <v>31</v>
      </c>
      <c r="E3601" t="s">
        <v>26</v>
      </c>
      <c r="F3601" t="s">
        <v>20</v>
      </c>
      <c r="G3601" s="1" t="str">
        <f t="shared" ref="G3601:M3601" si="756">"X"</f>
        <v>X</v>
      </c>
      <c r="H3601" s="1" t="str">
        <f t="shared" si="756"/>
        <v>X</v>
      </c>
      <c r="I3601" s="1" t="str">
        <f t="shared" si="756"/>
        <v>X</v>
      </c>
      <c r="J3601" s="1" t="str">
        <f t="shared" si="756"/>
        <v>X</v>
      </c>
      <c r="K3601" s="1" t="str">
        <f t="shared" si="756"/>
        <v>X</v>
      </c>
      <c r="L3601" s="1" t="str">
        <f t="shared" si="756"/>
        <v>X</v>
      </c>
      <c r="M3601" s="1" t="str">
        <f t="shared" si="756"/>
        <v>X</v>
      </c>
      <c r="N3601" t="s">
        <v>27</v>
      </c>
    </row>
    <row r="3602" spans="1:14" x14ac:dyDescent="0.25">
      <c r="A3602" t="s">
        <v>41</v>
      </c>
      <c r="B3602" t="s">
        <v>39</v>
      </c>
      <c r="C3602" t="s">
        <v>15</v>
      </c>
      <c r="D3602" t="s">
        <v>32</v>
      </c>
      <c r="E3602" t="s">
        <v>15</v>
      </c>
      <c r="F3602" t="s">
        <v>15</v>
      </c>
      <c r="G3602" s="1">
        <f>VALUE(24770.8570765871)</f>
        <v>24770.857076587101</v>
      </c>
      <c r="H3602" s="1">
        <f>VALUE(24592.7928117126)</f>
        <v>24592.792811712599</v>
      </c>
      <c r="I3602" s="1">
        <f>VALUE(3431)</f>
        <v>3431</v>
      </c>
      <c r="J3602" s="1">
        <f>VALUE(4068)</f>
        <v>4068</v>
      </c>
      <c r="K3602" s="1">
        <f>VALUE(4954)</f>
        <v>4954</v>
      </c>
      <c r="L3602" s="1">
        <f>VALUE(5913)</f>
        <v>5913</v>
      </c>
      <c r="M3602" s="1">
        <f>VALUE(7119)</f>
        <v>7119</v>
      </c>
      <c r="N3602" t="s">
        <v>16</v>
      </c>
    </row>
    <row r="3603" spans="1:14" x14ac:dyDescent="0.25">
      <c r="A3603" t="s">
        <v>41</v>
      </c>
      <c r="B3603" t="s">
        <v>39</v>
      </c>
      <c r="C3603" t="s">
        <v>15</v>
      </c>
      <c r="D3603" t="s">
        <v>32</v>
      </c>
      <c r="E3603" t="s">
        <v>15</v>
      </c>
      <c r="F3603" t="s">
        <v>17</v>
      </c>
      <c r="G3603" s="1">
        <f>VALUE(2193.2876128955)</f>
        <v>2193.2876128954999</v>
      </c>
      <c r="H3603" s="1">
        <f>VALUE(2188.9368499682)</f>
        <v>2188.9368499682</v>
      </c>
      <c r="I3603" s="1">
        <f>VALUE(4286)</f>
        <v>4286</v>
      </c>
      <c r="J3603" s="1">
        <f>VALUE(5429)</f>
        <v>5429</v>
      </c>
      <c r="K3603" s="1">
        <f>VALUE(6717)</f>
        <v>6717</v>
      </c>
      <c r="L3603" s="1">
        <f>VALUE(9320)</f>
        <v>9320</v>
      </c>
      <c r="M3603" s="8">
        <f>VALUE(13412)</f>
        <v>13412</v>
      </c>
      <c r="N3603" t="s">
        <v>25</v>
      </c>
    </row>
    <row r="3604" spans="1:14" x14ac:dyDescent="0.25">
      <c r="A3604" t="s">
        <v>41</v>
      </c>
      <c r="B3604" t="s">
        <v>39</v>
      </c>
      <c r="C3604" t="s">
        <v>15</v>
      </c>
      <c r="D3604" t="s">
        <v>32</v>
      </c>
      <c r="E3604" t="s">
        <v>15</v>
      </c>
      <c r="F3604" t="s">
        <v>18</v>
      </c>
      <c r="G3604" s="1">
        <f>VALUE(2638.4841710458)</f>
        <v>2638.4841710457999</v>
      </c>
      <c r="H3604" s="1">
        <f>VALUE(2605.5979071891)</f>
        <v>2605.5979071891002</v>
      </c>
      <c r="I3604" s="1">
        <f>VALUE(3968)</f>
        <v>3968</v>
      </c>
      <c r="J3604" s="1">
        <f>VALUE(4749)</f>
        <v>4749</v>
      </c>
      <c r="K3604" s="1">
        <f>VALUE(5480)</f>
        <v>5480</v>
      </c>
      <c r="L3604" s="1">
        <f>VALUE(6418)</f>
        <v>6418</v>
      </c>
      <c r="M3604" s="1">
        <f>VALUE(8207)</f>
        <v>8207</v>
      </c>
      <c r="N3604" t="s">
        <v>16</v>
      </c>
    </row>
    <row r="3605" spans="1:14" x14ac:dyDescent="0.25">
      <c r="A3605" t="s">
        <v>41</v>
      </c>
      <c r="B3605" t="s">
        <v>39</v>
      </c>
      <c r="C3605" t="s">
        <v>15</v>
      </c>
      <c r="D3605" t="s">
        <v>32</v>
      </c>
      <c r="E3605" t="s">
        <v>15</v>
      </c>
      <c r="F3605" t="s">
        <v>19</v>
      </c>
      <c r="G3605" s="1">
        <f>VALUE(3818.2649857049)</f>
        <v>3818.2649857049</v>
      </c>
      <c r="H3605" s="1">
        <f>VALUE(3730.2940357336)</f>
        <v>3730.2940357336001</v>
      </c>
      <c r="I3605" s="1">
        <f>VALUE(3759)</f>
        <v>3759</v>
      </c>
      <c r="J3605" s="1">
        <f>VALUE(4344)</f>
        <v>4344</v>
      </c>
      <c r="K3605" s="1">
        <f>VALUE(5108)</f>
        <v>5108</v>
      </c>
      <c r="L3605" s="1">
        <f>VALUE(6166)</f>
        <v>6166</v>
      </c>
      <c r="M3605" s="1">
        <f>VALUE(7247)</f>
        <v>7247</v>
      </c>
      <c r="N3605" t="s">
        <v>16</v>
      </c>
    </row>
    <row r="3606" spans="1:14" x14ac:dyDescent="0.25">
      <c r="A3606" t="s">
        <v>41</v>
      </c>
      <c r="B3606" t="s">
        <v>39</v>
      </c>
      <c r="C3606" t="s">
        <v>15</v>
      </c>
      <c r="D3606" t="s">
        <v>32</v>
      </c>
      <c r="E3606" t="s">
        <v>15</v>
      </c>
      <c r="F3606" t="s">
        <v>20</v>
      </c>
      <c r="G3606" s="1">
        <f>VALUE(16110.5007418341)</f>
        <v>16110.500741834099</v>
      </c>
      <c r="H3606" s="1">
        <f>VALUE(16056.5110415017)</f>
        <v>16056.511041501701</v>
      </c>
      <c r="I3606" s="1">
        <f>VALUE(3304)</f>
        <v>3304</v>
      </c>
      <c r="J3606" s="1">
        <f>VALUE(3848)</f>
        <v>3848</v>
      </c>
      <c r="K3606" s="1">
        <f>VALUE(4661)</f>
        <v>4661</v>
      </c>
      <c r="L3606" s="1">
        <f>VALUE(5537)</f>
        <v>5537</v>
      </c>
      <c r="M3606" s="1">
        <f>VALUE(6253)</f>
        <v>6253</v>
      </c>
      <c r="N3606" t="s">
        <v>16</v>
      </c>
    </row>
    <row r="3607" spans="1:14" x14ac:dyDescent="0.25">
      <c r="A3607" t="s">
        <v>41</v>
      </c>
      <c r="B3607" t="s">
        <v>39</v>
      </c>
      <c r="C3607" t="s">
        <v>15</v>
      </c>
      <c r="D3607" t="s">
        <v>32</v>
      </c>
      <c r="E3607" t="s">
        <v>21</v>
      </c>
      <c r="F3607" t="s">
        <v>15</v>
      </c>
      <c r="G3607" s="1">
        <f>VALUE(4266.6887383092)</f>
        <v>4266.6887383091998</v>
      </c>
      <c r="H3607" s="1">
        <f>VALUE(4064.2855436027)</f>
        <v>4064.2855436026998</v>
      </c>
      <c r="I3607" s="1">
        <f>VALUE(3765)</f>
        <v>3765</v>
      </c>
      <c r="J3607" s="1">
        <f>VALUE(4666)</f>
        <v>4666</v>
      </c>
      <c r="K3607" s="1">
        <f>VALUE(5882)</f>
        <v>5882</v>
      </c>
      <c r="L3607" s="1">
        <f>VALUE(7689)</f>
        <v>7689</v>
      </c>
      <c r="M3607" s="1">
        <f>VALUE(10747)</f>
        <v>10747</v>
      </c>
      <c r="N3607" t="s">
        <v>16</v>
      </c>
    </row>
    <row r="3608" spans="1:14" x14ac:dyDescent="0.25">
      <c r="A3608" t="s">
        <v>41</v>
      </c>
      <c r="B3608" t="s">
        <v>39</v>
      </c>
      <c r="C3608" t="s">
        <v>15</v>
      </c>
      <c r="D3608" t="s">
        <v>32</v>
      </c>
      <c r="E3608" t="s">
        <v>21</v>
      </c>
      <c r="F3608" t="s">
        <v>17</v>
      </c>
      <c r="G3608" s="2">
        <f>VALUE(1194.7425480938)</f>
        <v>1194.7425480938</v>
      </c>
      <c r="H3608" s="1">
        <f>VALUE(1171.0116036037)</f>
        <v>1171.0116036037</v>
      </c>
      <c r="I3608" s="1">
        <f>VALUE(4746)</f>
        <v>4746</v>
      </c>
      <c r="J3608" s="1">
        <f>VALUE(5919)</f>
        <v>5919</v>
      </c>
      <c r="K3608" s="1">
        <f>VALUE(7677)</f>
        <v>7677</v>
      </c>
      <c r="L3608" s="7">
        <f>VALUE(10747)</f>
        <v>10747</v>
      </c>
      <c r="M3608" s="8">
        <f>VALUE(15871)</f>
        <v>15871</v>
      </c>
      <c r="N3608" t="s">
        <v>25</v>
      </c>
    </row>
    <row r="3609" spans="1:14" x14ac:dyDescent="0.25">
      <c r="A3609" t="s">
        <v>41</v>
      </c>
      <c r="B3609" t="s">
        <v>39</v>
      </c>
      <c r="C3609" t="s">
        <v>15</v>
      </c>
      <c r="D3609" t="s">
        <v>32</v>
      </c>
      <c r="E3609" t="s">
        <v>21</v>
      </c>
      <c r="F3609" t="s">
        <v>18</v>
      </c>
      <c r="G3609" s="2">
        <f>VALUE(901.5256777891)</f>
        <v>901.52567778909997</v>
      </c>
      <c r="H3609" s="3">
        <f>VALUE(856.1788311546)</f>
        <v>856.17883115459995</v>
      </c>
      <c r="I3609" s="4">
        <f>VALUE(3521)</f>
        <v>3521</v>
      </c>
      <c r="J3609" s="1">
        <f>VALUE(4762)</f>
        <v>4762</v>
      </c>
      <c r="K3609" s="1">
        <f>VALUE(5736)</f>
        <v>5736</v>
      </c>
      <c r="L3609" s="1">
        <f>VALUE(7443)</f>
        <v>7443</v>
      </c>
      <c r="M3609" s="1">
        <f>VALUE(9921)</f>
        <v>9921</v>
      </c>
      <c r="N3609" t="s">
        <v>25</v>
      </c>
    </row>
    <row r="3610" spans="1:14" x14ac:dyDescent="0.25">
      <c r="A3610" t="s">
        <v>41</v>
      </c>
      <c r="B3610" t="s">
        <v>39</v>
      </c>
      <c r="C3610" t="s">
        <v>15</v>
      </c>
      <c r="D3610" t="s">
        <v>32</v>
      </c>
      <c r="E3610" t="s">
        <v>21</v>
      </c>
      <c r="F3610" t="s">
        <v>19</v>
      </c>
      <c r="G3610" s="2">
        <f>VALUE(900.8430016645)</f>
        <v>900.84300166449998</v>
      </c>
      <c r="H3610" s="3">
        <f>VALUE(808.4704366152)</f>
        <v>808.47043661520001</v>
      </c>
      <c r="I3610" s="1">
        <f>VALUE(3789)</f>
        <v>3789</v>
      </c>
      <c r="J3610" s="1">
        <f>VALUE(4571)</f>
        <v>4571</v>
      </c>
      <c r="K3610" s="1">
        <f>VALUE(5482)</f>
        <v>5482</v>
      </c>
      <c r="L3610" s="1">
        <f>VALUE(6974)</f>
        <v>6974</v>
      </c>
      <c r="M3610" s="1">
        <f>VALUE(7993)</f>
        <v>7993</v>
      </c>
      <c r="N3610" t="s">
        <v>25</v>
      </c>
    </row>
    <row r="3611" spans="1:14" x14ac:dyDescent="0.25">
      <c r="A3611" t="s">
        <v>41</v>
      </c>
      <c r="B3611" t="s">
        <v>39</v>
      </c>
      <c r="C3611" t="s">
        <v>15</v>
      </c>
      <c r="D3611" t="s">
        <v>32</v>
      </c>
      <c r="E3611" t="s">
        <v>21</v>
      </c>
      <c r="F3611" t="s">
        <v>20</v>
      </c>
      <c r="G3611" s="1">
        <f>VALUE(1269.5775107618)</f>
        <v>1269.5775107618001</v>
      </c>
      <c r="H3611" s="1">
        <f>VALUE(1228.6246722292)</f>
        <v>1228.6246722292001</v>
      </c>
      <c r="I3611" s="1">
        <f>VALUE(3387)</f>
        <v>3387</v>
      </c>
      <c r="J3611" s="1">
        <f>VALUE(4136)</f>
        <v>4136</v>
      </c>
      <c r="K3611" s="1">
        <f>VALUE(5098)</f>
        <v>5098</v>
      </c>
      <c r="L3611" s="1">
        <f>VALUE(6443)</f>
        <v>6443</v>
      </c>
      <c r="M3611" s="1">
        <f>VALUE(8044)</f>
        <v>8044</v>
      </c>
      <c r="N3611" t="s">
        <v>16</v>
      </c>
    </row>
    <row r="3612" spans="1:14" x14ac:dyDescent="0.25">
      <c r="A3612" t="s">
        <v>41</v>
      </c>
      <c r="B3612" t="s">
        <v>39</v>
      </c>
      <c r="C3612" t="s">
        <v>15</v>
      </c>
      <c r="D3612" t="s">
        <v>32</v>
      </c>
      <c r="E3612" t="s">
        <v>22</v>
      </c>
      <c r="F3612" t="s">
        <v>15</v>
      </c>
      <c r="G3612" s="1">
        <f>VALUE(7099.2315975539)</f>
        <v>7099.2315975539004</v>
      </c>
      <c r="H3612" s="1">
        <f>VALUE(7139.1883049601)</f>
        <v>7139.1883049601001</v>
      </c>
      <c r="I3612" s="1">
        <f>VALUE(3607)</f>
        <v>3607</v>
      </c>
      <c r="J3612" s="1">
        <f>VALUE(4286)</f>
        <v>4286</v>
      </c>
      <c r="K3612" s="1">
        <f>VALUE(5090)</f>
        <v>5090</v>
      </c>
      <c r="L3612" s="1">
        <f>VALUE(6034)</f>
        <v>6034</v>
      </c>
      <c r="M3612" s="1">
        <f>VALUE(7015)</f>
        <v>7015</v>
      </c>
      <c r="N3612" t="s">
        <v>16</v>
      </c>
    </row>
    <row r="3613" spans="1:14" x14ac:dyDescent="0.25">
      <c r="A3613" t="s">
        <v>41</v>
      </c>
      <c r="B3613" t="s">
        <v>39</v>
      </c>
      <c r="C3613" t="s">
        <v>15</v>
      </c>
      <c r="D3613" t="s">
        <v>32</v>
      </c>
      <c r="E3613" t="s">
        <v>22</v>
      </c>
      <c r="F3613" t="s">
        <v>17</v>
      </c>
      <c r="G3613" s="2">
        <f>VALUE(636.6517299113)</f>
        <v>636.65172991129998</v>
      </c>
      <c r="H3613" s="3">
        <f>VALUE(650.4708401344)</f>
        <v>650.47084013439996</v>
      </c>
      <c r="I3613" s="4">
        <f>VALUE(4475)</f>
        <v>4475</v>
      </c>
      <c r="J3613" s="1">
        <f>VALUE(5283)</f>
        <v>5283</v>
      </c>
      <c r="K3613" s="1">
        <f>VALUE(6344)</f>
        <v>6344</v>
      </c>
      <c r="L3613" s="7">
        <f>VALUE(7881)</f>
        <v>7881</v>
      </c>
      <c r="M3613" s="8">
        <f>VALUE(10176)</f>
        <v>10176</v>
      </c>
      <c r="N3613" t="s">
        <v>25</v>
      </c>
    </row>
    <row r="3614" spans="1:14" x14ac:dyDescent="0.25">
      <c r="A3614" t="s">
        <v>41</v>
      </c>
      <c r="B3614" t="s">
        <v>39</v>
      </c>
      <c r="C3614" t="s">
        <v>15</v>
      </c>
      <c r="D3614" t="s">
        <v>32</v>
      </c>
      <c r="E3614" t="s">
        <v>22</v>
      </c>
      <c r="F3614" t="s">
        <v>18</v>
      </c>
      <c r="G3614" s="2">
        <f>VALUE(843.40945234)</f>
        <v>843.40945234000003</v>
      </c>
      <c r="H3614" s="3">
        <f>VALUE(848.5808183679)</f>
        <v>848.58081836789995</v>
      </c>
      <c r="I3614" s="4">
        <f>VALUE(4157)</f>
        <v>4157</v>
      </c>
      <c r="J3614" s="1">
        <f>VALUE(4956)</f>
        <v>4956</v>
      </c>
      <c r="K3614" s="1">
        <f>VALUE(5655)</f>
        <v>5655</v>
      </c>
      <c r="L3614" s="1">
        <f>VALUE(6530)</f>
        <v>6530</v>
      </c>
      <c r="M3614" s="1">
        <f>VALUE(7944)</f>
        <v>7944</v>
      </c>
      <c r="N3614" t="s">
        <v>25</v>
      </c>
    </row>
    <row r="3615" spans="1:14" x14ac:dyDescent="0.25">
      <c r="A3615" t="s">
        <v>41</v>
      </c>
      <c r="B3615" t="s">
        <v>39</v>
      </c>
      <c r="C3615" t="s">
        <v>15</v>
      </c>
      <c r="D3615" t="s">
        <v>32</v>
      </c>
      <c r="E3615" t="s">
        <v>22</v>
      </c>
      <c r="F3615" t="s">
        <v>19</v>
      </c>
      <c r="G3615" s="2">
        <f>VALUE(1398.1338802072)</f>
        <v>1398.1338802072</v>
      </c>
      <c r="H3615" s="1">
        <f>VALUE(1405.1257920246)</f>
        <v>1405.1257920246001</v>
      </c>
      <c r="I3615" s="1">
        <f>VALUE(3810)</f>
        <v>3810</v>
      </c>
      <c r="J3615" s="1">
        <f>VALUE(4487)</f>
        <v>4487</v>
      </c>
      <c r="K3615" s="1">
        <f>VALUE(5200)</f>
        <v>5200</v>
      </c>
      <c r="L3615" s="1">
        <f>VALUE(6180)</f>
        <v>6180</v>
      </c>
      <c r="M3615" s="1">
        <f>VALUE(7137)</f>
        <v>7137</v>
      </c>
      <c r="N3615" t="s">
        <v>25</v>
      </c>
    </row>
    <row r="3616" spans="1:14" x14ac:dyDescent="0.25">
      <c r="A3616" t="s">
        <v>41</v>
      </c>
      <c r="B3616" t="s">
        <v>39</v>
      </c>
      <c r="C3616" t="s">
        <v>15</v>
      </c>
      <c r="D3616" t="s">
        <v>32</v>
      </c>
      <c r="E3616" t="s">
        <v>22</v>
      </c>
      <c r="F3616" t="s">
        <v>20</v>
      </c>
      <c r="G3616" s="1">
        <f>VALUE(4221.0365350954)</f>
        <v>4221.0365350953998</v>
      </c>
      <c r="H3616" s="1">
        <f>VALUE(4235.0108544332)</f>
        <v>4235.0108544331997</v>
      </c>
      <c r="I3616" s="1">
        <f>VALUE(3475)</f>
        <v>3475</v>
      </c>
      <c r="J3616" s="1">
        <f>VALUE(4047)</f>
        <v>4047</v>
      </c>
      <c r="K3616" s="1">
        <f>VALUE(4842)</f>
        <v>4842</v>
      </c>
      <c r="L3616" s="1">
        <f>VALUE(5653)</f>
        <v>5653</v>
      </c>
      <c r="M3616" s="1">
        <f>VALUE(6356)</f>
        <v>6356</v>
      </c>
      <c r="N3616" t="s">
        <v>16</v>
      </c>
    </row>
    <row r="3617" spans="1:14" x14ac:dyDescent="0.25">
      <c r="A3617" t="s">
        <v>41</v>
      </c>
      <c r="B3617" t="s">
        <v>39</v>
      </c>
      <c r="C3617" t="s">
        <v>15</v>
      </c>
      <c r="D3617" t="s">
        <v>32</v>
      </c>
      <c r="E3617" t="s">
        <v>23</v>
      </c>
      <c r="F3617" t="s">
        <v>15</v>
      </c>
      <c r="G3617" s="1">
        <f>VALUE(13367.8297588407)</f>
        <v>13367.8297588407</v>
      </c>
      <c r="H3617" s="1">
        <f>VALUE(13349.8857578174)</f>
        <v>13349.885757817399</v>
      </c>
      <c r="I3617" s="1">
        <f>VALUE(3346)</f>
        <v>3346</v>
      </c>
      <c r="J3617" s="1">
        <f>VALUE(3851)</f>
        <v>3851</v>
      </c>
      <c r="K3617" s="1">
        <f>VALUE(4655)</f>
        <v>4655</v>
      </c>
      <c r="L3617" s="1">
        <f>VALUE(5537)</f>
        <v>5537</v>
      </c>
      <c r="M3617" s="1">
        <f>VALUE(6223)</f>
        <v>6223</v>
      </c>
      <c r="N3617" t="s">
        <v>16</v>
      </c>
    </row>
    <row r="3618" spans="1:14" x14ac:dyDescent="0.25">
      <c r="A3618" t="s">
        <v>41</v>
      </c>
      <c r="B3618" t="s">
        <v>39</v>
      </c>
      <c r="C3618" t="s">
        <v>15</v>
      </c>
      <c r="D3618" t="s">
        <v>32</v>
      </c>
      <c r="E3618" t="s">
        <v>23</v>
      </c>
      <c r="F3618" t="s">
        <v>17</v>
      </c>
      <c r="G3618" s="2">
        <f>VALUE(353.299927271)</f>
        <v>353.299927271</v>
      </c>
      <c r="H3618" s="3">
        <f>VALUE(358.3625961843)</f>
        <v>358.3625961843</v>
      </c>
      <c r="I3618" s="4">
        <f>VALUE(3554)</f>
        <v>3554</v>
      </c>
      <c r="J3618" s="5">
        <f>VALUE(4264)</f>
        <v>4264</v>
      </c>
      <c r="K3618" s="6">
        <f>VALUE(5552)</f>
        <v>5552</v>
      </c>
      <c r="L3618" s="7">
        <f>VALUE(7143)</f>
        <v>7143</v>
      </c>
      <c r="M3618" s="8">
        <f>VALUE(9383)</f>
        <v>9383</v>
      </c>
      <c r="N3618" t="s">
        <v>24</v>
      </c>
    </row>
    <row r="3619" spans="1:14" x14ac:dyDescent="0.25">
      <c r="A3619" t="s">
        <v>41</v>
      </c>
      <c r="B3619" t="s">
        <v>39</v>
      </c>
      <c r="C3619" t="s">
        <v>15</v>
      </c>
      <c r="D3619" t="s">
        <v>32</v>
      </c>
      <c r="E3619" t="s">
        <v>23</v>
      </c>
      <c r="F3619" t="s">
        <v>18</v>
      </c>
      <c r="G3619" s="2">
        <f>VALUE(886.2438836727)</f>
        <v>886.24388367270001</v>
      </c>
      <c r="H3619" s="3">
        <f>VALUE(893.1678425606)</f>
        <v>893.16784256059998</v>
      </c>
      <c r="I3619" s="4">
        <f>VALUE(3970)</f>
        <v>3970</v>
      </c>
      <c r="J3619" s="1">
        <f>VALUE(4453)</f>
        <v>4453</v>
      </c>
      <c r="K3619" s="1">
        <f>VALUE(5239)</f>
        <v>5239</v>
      </c>
      <c r="L3619" s="1">
        <f>VALUE(5874)</f>
        <v>5874</v>
      </c>
      <c r="M3619" s="1">
        <f>VALUE(6606)</f>
        <v>6606</v>
      </c>
      <c r="N3619" t="s">
        <v>25</v>
      </c>
    </row>
    <row r="3620" spans="1:14" x14ac:dyDescent="0.25">
      <c r="A3620" t="s">
        <v>41</v>
      </c>
      <c r="B3620" t="s">
        <v>39</v>
      </c>
      <c r="C3620" t="s">
        <v>15</v>
      </c>
      <c r="D3620" t="s">
        <v>32</v>
      </c>
      <c r="E3620" t="s">
        <v>23</v>
      </c>
      <c r="F3620" t="s">
        <v>19</v>
      </c>
      <c r="G3620" s="1">
        <f>VALUE(1519.2881038332)</f>
        <v>1519.2881038332</v>
      </c>
      <c r="H3620" s="1">
        <f>VALUE(1516.6978070938)</f>
        <v>1516.6978070938001</v>
      </c>
      <c r="I3620" s="1">
        <f>VALUE(3632)</f>
        <v>3632</v>
      </c>
      <c r="J3620" s="1">
        <f>VALUE(4141)</f>
        <v>4141</v>
      </c>
      <c r="K3620" s="1">
        <f>VALUE(4843)</f>
        <v>4843</v>
      </c>
      <c r="L3620" s="1">
        <f>VALUE(5883)</f>
        <v>5883</v>
      </c>
      <c r="M3620" s="1">
        <f>VALUE(6659)</f>
        <v>6659</v>
      </c>
      <c r="N3620" t="s">
        <v>16</v>
      </c>
    </row>
    <row r="3621" spans="1:14" x14ac:dyDescent="0.25">
      <c r="A3621" t="s">
        <v>41</v>
      </c>
      <c r="B3621" t="s">
        <v>39</v>
      </c>
      <c r="C3621" t="s">
        <v>15</v>
      </c>
      <c r="D3621" t="s">
        <v>32</v>
      </c>
      <c r="E3621" t="s">
        <v>23</v>
      </c>
      <c r="F3621" t="s">
        <v>20</v>
      </c>
      <c r="G3621" s="1">
        <f>VALUE(10605.3536428778)</f>
        <v>10605.353642877801</v>
      </c>
      <c r="H3621" s="1">
        <f>VALUE(10577.8311007334)</f>
        <v>10577.8311007334</v>
      </c>
      <c r="I3621" s="1">
        <f>VALUE(3274)</f>
        <v>3274</v>
      </c>
      <c r="J3621" s="1">
        <f>VALUE(3779)</f>
        <v>3779</v>
      </c>
      <c r="K3621" s="1">
        <f>VALUE(4540)</f>
        <v>4540</v>
      </c>
      <c r="L3621" s="1">
        <f>VALUE(5422)</f>
        <v>5422</v>
      </c>
      <c r="M3621" s="1">
        <f>VALUE(6061)</f>
        <v>6061</v>
      </c>
      <c r="N3621" t="s">
        <v>16</v>
      </c>
    </row>
    <row r="3622" spans="1:14" x14ac:dyDescent="0.25">
      <c r="A3622" t="s">
        <v>41</v>
      </c>
      <c r="B3622" t="s">
        <v>39</v>
      </c>
      <c r="C3622" t="s">
        <v>15</v>
      </c>
      <c r="D3622" t="s">
        <v>32</v>
      </c>
      <c r="E3622" t="s">
        <v>26</v>
      </c>
      <c r="F3622" t="s">
        <v>15</v>
      </c>
      <c r="G3622" s="1" t="str">
        <f t="shared" ref="G3622:M3624" si="757">"X"</f>
        <v>X</v>
      </c>
      <c r="H3622" s="1" t="str">
        <f t="shared" si="757"/>
        <v>X</v>
      </c>
      <c r="I3622" s="1" t="str">
        <f t="shared" si="757"/>
        <v>X</v>
      </c>
      <c r="J3622" s="1" t="str">
        <f t="shared" si="757"/>
        <v>X</v>
      </c>
      <c r="K3622" s="1" t="str">
        <f t="shared" si="757"/>
        <v>X</v>
      </c>
      <c r="L3622" s="1" t="str">
        <f t="shared" si="757"/>
        <v>X</v>
      </c>
      <c r="M3622" s="1" t="str">
        <f t="shared" si="757"/>
        <v>X</v>
      </c>
      <c r="N3622" t="s">
        <v>27</v>
      </c>
    </row>
    <row r="3623" spans="1:14" x14ac:dyDescent="0.25">
      <c r="A3623" t="s">
        <v>41</v>
      </c>
      <c r="B3623" t="s">
        <v>39</v>
      </c>
      <c r="C3623" t="s">
        <v>15</v>
      </c>
      <c r="D3623" t="s">
        <v>32</v>
      </c>
      <c r="E3623" t="s">
        <v>26</v>
      </c>
      <c r="F3623" t="s">
        <v>17</v>
      </c>
      <c r="G3623" s="1" t="str">
        <f t="shared" si="757"/>
        <v>X</v>
      </c>
      <c r="H3623" s="1" t="str">
        <f t="shared" si="757"/>
        <v>X</v>
      </c>
      <c r="I3623" s="1" t="str">
        <f t="shared" si="757"/>
        <v>X</v>
      </c>
      <c r="J3623" s="1" t="str">
        <f t="shared" si="757"/>
        <v>X</v>
      </c>
      <c r="K3623" s="1" t="str">
        <f t="shared" si="757"/>
        <v>X</v>
      </c>
      <c r="L3623" s="1" t="str">
        <f t="shared" si="757"/>
        <v>X</v>
      </c>
      <c r="M3623" s="1" t="str">
        <f t="shared" si="757"/>
        <v>X</v>
      </c>
      <c r="N3623" t="s">
        <v>27</v>
      </c>
    </row>
    <row r="3624" spans="1:14" x14ac:dyDescent="0.25">
      <c r="A3624" t="s">
        <v>41</v>
      </c>
      <c r="B3624" t="s">
        <v>39</v>
      </c>
      <c r="C3624" t="s">
        <v>15</v>
      </c>
      <c r="D3624" t="s">
        <v>32</v>
      </c>
      <c r="E3624" t="s">
        <v>26</v>
      </c>
      <c r="F3624" t="s">
        <v>18</v>
      </c>
      <c r="G3624" s="1" t="str">
        <f t="shared" si="757"/>
        <v>X</v>
      </c>
      <c r="H3624" s="1" t="str">
        <f t="shared" si="757"/>
        <v>X</v>
      </c>
      <c r="I3624" s="1" t="str">
        <f t="shared" si="757"/>
        <v>X</v>
      </c>
      <c r="J3624" s="1" t="str">
        <f t="shared" si="757"/>
        <v>X</v>
      </c>
      <c r="K3624" s="1" t="str">
        <f t="shared" si="757"/>
        <v>X</v>
      </c>
      <c r="L3624" s="1" t="str">
        <f t="shared" si="757"/>
        <v>X</v>
      </c>
      <c r="M3624" s="1" t="str">
        <f t="shared" si="757"/>
        <v>X</v>
      </c>
      <c r="N3624" t="s">
        <v>27</v>
      </c>
    </row>
    <row r="3625" spans="1:14" x14ac:dyDescent="0.25">
      <c r="A3625" t="s">
        <v>41</v>
      </c>
      <c r="B3625" t="s">
        <v>39</v>
      </c>
      <c r="C3625" t="s">
        <v>15</v>
      </c>
      <c r="D3625" t="s">
        <v>32</v>
      </c>
      <c r="E3625" t="s">
        <v>26</v>
      </c>
      <c r="F3625" t="s">
        <v>19</v>
      </c>
      <c r="G3625" s="1" t="str">
        <f t="shared" ref="G3625:M3625" si="758">"..."</f>
        <v>...</v>
      </c>
      <c r="H3625" s="1" t="str">
        <f t="shared" si="758"/>
        <v>...</v>
      </c>
      <c r="I3625" s="1" t="str">
        <f t="shared" si="758"/>
        <v>...</v>
      </c>
      <c r="J3625" s="1" t="str">
        <f t="shared" si="758"/>
        <v>...</v>
      </c>
      <c r="K3625" s="1" t="str">
        <f t="shared" si="758"/>
        <v>...</v>
      </c>
      <c r="L3625" s="1" t="str">
        <f t="shared" si="758"/>
        <v>...</v>
      </c>
      <c r="M3625" s="1" t="str">
        <f t="shared" si="758"/>
        <v>...</v>
      </c>
      <c r="N3625" t="s">
        <v>30</v>
      </c>
    </row>
    <row r="3626" spans="1:14" x14ac:dyDescent="0.25">
      <c r="A3626" t="s">
        <v>41</v>
      </c>
      <c r="B3626" t="s">
        <v>39</v>
      </c>
      <c r="C3626" t="s">
        <v>15</v>
      </c>
      <c r="D3626" t="s">
        <v>32</v>
      </c>
      <c r="E3626" t="s">
        <v>26</v>
      </c>
      <c r="F3626" t="s">
        <v>20</v>
      </c>
      <c r="G3626" s="1" t="str">
        <f t="shared" ref="G3626:M3626" si="759">"X"</f>
        <v>X</v>
      </c>
      <c r="H3626" s="1" t="str">
        <f t="shared" si="759"/>
        <v>X</v>
      </c>
      <c r="I3626" s="1" t="str">
        <f t="shared" si="759"/>
        <v>X</v>
      </c>
      <c r="J3626" s="1" t="str">
        <f t="shared" si="759"/>
        <v>X</v>
      </c>
      <c r="K3626" s="1" t="str">
        <f t="shared" si="759"/>
        <v>X</v>
      </c>
      <c r="L3626" s="1" t="str">
        <f t="shared" si="759"/>
        <v>X</v>
      </c>
      <c r="M3626" s="1" t="str">
        <f t="shared" si="759"/>
        <v>X</v>
      </c>
      <c r="N3626" t="s">
        <v>27</v>
      </c>
    </row>
    <row r="3627" spans="1:14" x14ac:dyDescent="0.25">
      <c r="A3627" t="s">
        <v>41</v>
      </c>
      <c r="B3627" t="s">
        <v>39</v>
      </c>
      <c r="C3627" t="s">
        <v>15</v>
      </c>
      <c r="D3627" t="s">
        <v>33</v>
      </c>
      <c r="E3627" t="s">
        <v>15</v>
      </c>
      <c r="F3627" t="s">
        <v>15</v>
      </c>
      <c r="G3627" s="2">
        <f>VALUE(846.0387091519)</f>
        <v>846.03870915189998</v>
      </c>
      <c r="H3627" s="3">
        <f>VALUE(710.4934388733)</f>
        <v>710.49343887329997</v>
      </c>
      <c r="I3627" s="1">
        <f>VALUE(3188)</f>
        <v>3188</v>
      </c>
      <c r="J3627" s="5">
        <f>VALUE(3771)</f>
        <v>3771</v>
      </c>
      <c r="K3627" s="6">
        <f>VALUE(4984)</f>
        <v>4984</v>
      </c>
      <c r="L3627" s="7">
        <f>VALUE(6609)</f>
        <v>6609</v>
      </c>
      <c r="M3627" s="8">
        <f>VALUE(11202)</f>
        <v>11202</v>
      </c>
      <c r="N3627" t="s">
        <v>25</v>
      </c>
    </row>
    <row r="3628" spans="1:14" x14ac:dyDescent="0.25">
      <c r="A3628" t="s">
        <v>41</v>
      </c>
      <c r="B3628" t="s">
        <v>39</v>
      </c>
      <c r="C3628" t="s">
        <v>15</v>
      </c>
      <c r="D3628" t="s">
        <v>33</v>
      </c>
      <c r="E3628" t="s">
        <v>15</v>
      </c>
      <c r="F3628" t="s">
        <v>17</v>
      </c>
      <c r="G3628" s="1" t="str">
        <f t="shared" ref="G3628:M3630" si="760">"X"</f>
        <v>X</v>
      </c>
      <c r="H3628" s="1" t="str">
        <f t="shared" si="760"/>
        <v>X</v>
      </c>
      <c r="I3628" s="1" t="str">
        <f t="shared" si="760"/>
        <v>X</v>
      </c>
      <c r="J3628" s="1" t="str">
        <f t="shared" si="760"/>
        <v>X</v>
      </c>
      <c r="K3628" s="1" t="str">
        <f t="shared" si="760"/>
        <v>X</v>
      </c>
      <c r="L3628" s="1" t="str">
        <f t="shared" si="760"/>
        <v>X</v>
      </c>
      <c r="M3628" s="1" t="str">
        <f t="shared" si="760"/>
        <v>X</v>
      </c>
      <c r="N3628" t="s">
        <v>27</v>
      </c>
    </row>
    <row r="3629" spans="1:14" x14ac:dyDescent="0.25">
      <c r="A3629" t="s">
        <v>41</v>
      </c>
      <c r="B3629" t="s">
        <v>39</v>
      </c>
      <c r="C3629" t="s">
        <v>15</v>
      </c>
      <c r="D3629" t="s">
        <v>33</v>
      </c>
      <c r="E3629" t="s">
        <v>15</v>
      </c>
      <c r="F3629" t="s">
        <v>18</v>
      </c>
      <c r="G3629" s="1" t="str">
        <f t="shared" si="760"/>
        <v>X</v>
      </c>
      <c r="H3629" s="1" t="str">
        <f t="shared" si="760"/>
        <v>X</v>
      </c>
      <c r="I3629" s="1" t="str">
        <f t="shared" si="760"/>
        <v>X</v>
      </c>
      <c r="J3629" s="1" t="str">
        <f t="shared" si="760"/>
        <v>X</v>
      </c>
      <c r="K3629" s="1" t="str">
        <f t="shared" si="760"/>
        <v>X</v>
      </c>
      <c r="L3629" s="1" t="str">
        <f t="shared" si="760"/>
        <v>X</v>
      </c>
      <c r="M3629" s="1" t="str">
        <f t="shared" si="760"/>
        <v>X</v>
      </c>
      <c r="N3629" t="s">
        <v>27</v>
      </c>
    </row>
    <row r="3630" spans="1:14" x14ac:dyDescent="0.25">
      <c r="A3630" t="s">
        <v>41</v>
      </c>
      <c r="B3630" t="s">
        <v>39</v>
      </c>
      <c r="C3630" t="s">
        <v>15</v>
      </c>
      <c r="D3630" t="s">
        <v>33</v>
      </c>
      <c r="E3630" t="s">
        <v>15</v>
      </c>
      <c r="F3630" t="s">
        <v>19</v>
      </c>
      <c r="G3630" s="1" t="str">
        <f t="shared" si="760"/>
        <v>X</v>
      </c>
      <c r="H3630" s="1" t="str">
        <f t="shared" si="760"/>
        <v>X</v>
      </c>
      <c r="I3630" s="1" t="str">
        <f t="shared" si="760"/>
        <v>X</v>
      </c>
      <c r="J3630" s="1" t="str">
        <f t="shared" si="760"/>
        <v>X</v>
      </c>
      <c r="K3630" s="1" t="str">
        <f t="shared" si="760"/>
        <v>X</v>
      </c>
      <c r="L3630" s="1" t="str">
        <f t="shared" si="760"/>
        <v>X</v>
      </c>
      <c r="M3630" s="1" t="str">
        <f t="shared" si="760"/>
        <v>X</v>
      </c>
      <c r="N3630" t="s">
        <v>27</v>
      </c>
    </row>
    <row r="3631" spans="1:14" x14ac:dyDescent="0.25">
      <c r="A3631" t="s">
        <v>41</v>
      </c>
      <c r="B3631" t="s">
        <v>39</v>
      </c>
      <c r="C3631" t="s">
        <v>15</v>
      </c>
      <c r="D3631" t="s">
        <v>33</v>
      </c>
      <c r="E3631" t="s">
        <v>15</v>
      </c>
      <c r="F3631" t="s">
        <v>20</v>
      </c>
      <c r="G3631" s="2">
        <f>VALUE(353.8959857143)</f>
        <v>353.89598571430002</v>
      </c>
      <c r="H3631" s="3">
        <f>VALUE(335.7823782535)</f>
        <v>335.78237825349999</v>
      </c>
      <c r="I3631" s="4">
        <f>VALUE(3053)</f>
        <v>3053</v>
      </c>
      <c r="J3631" s="1">
        <f>VALUE(3235)</f>
        <v>3235</v>
      </c>
      <c r="K3631" s="6">
        <f>VALUE(3841)</f>
        <v>3841</v>
      </c>
      <c r="L3631" s="7">
        <f>VALUE(5317)</f>
        <v>5317</v>
      </c>
      <c r="M3631" s="8">
        <f>VALUE(6320)</f>
        <v>6320</v>
      </c>
      <c r="N3631" t="s">
        <v>25</v>
      </c>
    </row>
    <row r="3632" spans="1:14" x14ac:dyDescent="0.25">
      <c r="A3632" t="s">
        <v>41</v>
      </c>
      <c r="B3632" t="s">
        <v>39</v>
      </c>
      <c r="C3632" t="s">
        <v>15</v>
      </c>
      <c r="D3632" t="s">
        <v>33</v>
      </c>
      <c r="E3632" t="s">
        <v>21</v>
      </c>
      <c r="F3632" t="s">
        <v>15</v>
      </c>
      <c r="G3632" s="2">
        <f>VALUE(402.6971012279)</f>
        <v>402.69710122790002</v>
      </c>
      <c r="H3632" s="3">
        <f>VALUE(273.9773494985)</f>
        <v>273.97734949850002</v>
      </c>
      <c r="I3632" s="4">
        <f>VALUE(3771)</f>
        <v>3771</v>
      </c>
      <c r="J3632" s="5">
        <f>VALUE(4762)</f>
        <v>4762</v>
      </c>
      <c r="K3632" s="1">
        <f>VALUE(6609)</f>
        <v>6609</v>
      </c>
      <c r="L3632" s="7">
        <f>VALUE(9524)</f>
        <v>9524</v>
      </c>
      <c r="M3632" s="8">
        <f>VALUE(15068)</f>
        <v>15068</v>
      </c>
      <c r="N3632" t="s">
        <v>25</v>
      </c>
    </row>
    <row r="3633" spans="1:14" x14ac:dyDescent="0.25">
      <c r="A3633" t="s">
        <v>41</v>
      </c>
      <c r="B3633" t="s">
        <v>39</v>
      </c>
      <c r="C3633" t="s">
        <v>15</v>
      </c>
      <c r="D3633" t="s">
        <v>33</v>
      </c>
      <c r="E3633" t="s">
        <v>21</v>
      </c>
      <c r="F3633" t="s">
        <v>17</v>
      </c>
      <c r="G3633" s="1" t="str">
        <f t="shared" ref="G3633:M3641" si="761">"X"</f>
        <v>X</v>
      </c>
      <c r="H3633" s="1" t="str">
        <f t="shared" si="761"/>
        <v>X</v>
      </c>
      <c r="I3633" s="1" t="str">
        <f t="shared" si="761"/>
        <v>X</v>
      </c>
      <c r="J3633" s="1" t="str">
        <f t="shared" si="761"/>
        <v>X</v>
      </c>
      <c r="K3633" s="1" t="str">
        <f t="shared" si="761"/>
        <v>X</v>
      </c>
      <c r="L3633" s="1" t="str">
        <f t="shared" si="761"/>
        <v>X</v>
      </c>
      <c r="M3633" s="1" t="str">
        <f t="shared" si="761"/>
        <v>X</v>
      </c>
      <c r="N3633" t="s">
        <v>27</v>
      </c>
    </row>
    <row r="3634" spans="1:14" x14ac:dyDescent="0.25">
      <c r="A3634" t="s">
        <v>41</v>
      </c>
      <c r="B3634" t="s">
        <v>39</v>
      </c>
      <c r="C3634" t="s">
        <v>15</v>
      </c>
      <c r="D3634" t="s">
        <v>33</v>
      </c>
      <c r="E3634" t="s">
        <v>21</v>
      </c>
      <c r="F3634" t="s">
        <v>18</v>
      </c>
      <c r="G3634" s="1" t="str">
        <f t="shared" si="761"/>
        <v>X</v>
      </c>
      <c r="H3634" s="1" t="str">
        <f t="shared" si="761"/>
        <v>X</v>
      </c>
      <c r="I3634" s="1" t="str">
        <f t="shared" si="761"/>
        <v>X</v>
      </c>
      <c r="J3634" s="1" t="str">
        <f t="shared" si="761"/>
        <v>X</v>
      </c>
      <c r="K3634" s="1" t="str">
        <f t="shared" si="761"/>
        <v>X</v>
      </c>
      <c r="L3634" s="1" t="str">
        <f t="shared" si="761"/>
        <v>X</v>
      </c>
      <c r="M3634" s="1" t="str">
        <f t="shared" si="761"/>
        <v>X</v>
      </c>
      <c r="N3634" t="s">
        <v>27</v>
      </c>
    </row>
    <row r="3635" spans="1:14" x14ac:dyDescent="0.25">
      <c r="A3635" t="s">
        <v>41</v>
      </c>
      <c r="B3635" t="s">
        <v>39</v>
      </c>
      <c r="C3635" t="s">
        <v>15</v>
      </c>
      <c r="D3635" t="s">
        <v>33</v>
      </c>
      <c r="E3635" t="s">
        <v>21</v>
      </c>
      <c r="F3635" t="s">
        <v>19</v>
      </c>
      <c r="G3635" s="1" t="str">
        <f t="shared" si="761"/>
        <v>X</v>
      </c>
      <c r="H3635" s="1" t="str">
        <f t="shared" si="761"/>
        <v>X</v>
      </c>
      <c r="I3635" s="1" t="str">
        <f t="shared" si="761"/>
        <v>X</v>
      </c>
      <c r="J3635" s="1" t="str">
        <f t="shared" si="761"/>
        <v>X</v>
      </c>
      <c r="K3635" s="1" t="str">
        <f t="shared" si="761"/>
        <v>X</v>
      </c>
      <c r="L3635" s="1" t="str">
        <f t="shared" si="761"/>
        <v>X</v>
      </c>
      <c r="M3635" s="1" t="str">
        <f t="shared" si="761"/>
        <v>X</v>
      </c>
      <c r="N3635" t="s">
        <v>27</v>
      </c>
    </row>
    <row r="3636" spans="1:14" x14ac:dyDescent="0.25">
      <c r="A3636" t="s">
        <v>41</v>
      </c>
      <c r="B3636" t="s">
        <v>39</v>
      </c>
      <c r="C3636" t="s">
        <v>15</v>
      </c>
      <c r="D3636" t="s">
        <v>33</v>
      </c>
      <c r="E3636" t="s">
        <v>21</v>
      </c>
      <c r="F3636" t="s">
        <v>20</v>
      </c>
      <c r="G3636" s="1" t="str">
        <f t="shared" si="761"/>
        <v>X</v>
      </c>
      <c r="H3636" s="1" t="str">
        <f t="shared" si="761"/>
        <v>X</v>
      </c>
      <c r="I3636" s="1" t="str">
        <f t="shared" si="761"/>
        <v>X</v>
      </c>
      <c r="J3636" s="1" t="str">
        <f t="shared" si="761"/>
        <v>X</v>
      </c>
      <c r="K3636" s="1" t="str">
        <f t="shared" si="761"/>
        <v>X</v>
      </c>
      <c r="L3636" s="1" t="str">
        <f t="shared" si="761"/>
        <v>X</v>
      </c>
      <c r="M3636" s="1" t="str">
        <f t="shared" si="761"/>
        <v>X</v>
      </c>
      <c r="N3636" t="s">
        <v>27</v>
      </c>
    </row>
    <row r="3637" spans="1:14" x14ac:dyDescent="0.25">
      <c r="A3637" t="s">
        <v>41</v>
      </c>
      <c r="B3637" t="s">
        <v>39</v>
      </c>
      <c r="C3637" t="s">
        <v>15</v>
      </c>
      <c r="D3637" t="s">
        <v>33</v>
      </c>
      <c r="E3637" t="s">
        <v>22</v>
      </c>
      <c r="F3637" t="s">
        <v>15</v>
      </c>
      <c r="G3637" s="1" t="str">
        <f t="shared" si="761"/>
        <v>X</v>
      </c>
      <c r="H3637" s="1" t="str">
        <f t="shared" si="761"/>
        <v>X</v>
      </c>
      <c r="I3637" s="1" t="str">
        <f t="shared" si="761"/>
        <v>X</v>
      </c>
      <c r="J3637" s="1" t="str">
        <f t="shared" si="761"/>
        <v>X</v>
      </c>
      <c r="K3637" s="1" t="str">
        <f t="shared" si="761"/>
        <v>X</v>
      </c>
      <c r="L3637" s="1" t="str">
        <f t="shared" si="761"/>
        <v>X</v>
      </c>
      <c r="M3637" s="1" t="str">
        <f t="shared" si="761"/>
        <v>X</v>
      </c>
      <c r="N3637" t="s">
        <v>27</v>
      </c>
    </row>
    <row r="3638" spans="1:14" x14ac:dyDescent="0.25">
      <c r="A3638" t="s">
        <v>41</v>
      </c>
      <c r="B3638" t="s">
        <v>39</v>
      </c>
      <c r="C3638" t="s">
        <v>15</v>
      </c>
      <c r="D3638" t="s">
        <v>33</v>
      </c>
      <c r="E3638" t="s">
        <v>22</v>
      </c>
      <c r="F3638" t="s">
        <v>17</v>
      </c>
      <c r="G3638" s="1" t="str">
        <f t="shared" si="761"/>
        <v>X</v>
      </c>
      <c r="H3638" s="1" t="str">
        <f t="shared" si="761"/>
        <v>X</v>
      </c>
      <c r="I3638" s="1" t="str">
        <f t="shared" si="761"/>
        <v>X</v>
      </c>
      <c r="J3638" s="1" t="str">
        <f t="shared" si="761"/>
        <v>X</v>
      </c>
      <c r="K3638" s="1" t="str">
        <f t="shared" si="761"/>
        <v>X</v>
      </c>
      <c r="L3638" s="1" t="str">
        <f t="shared" si="761"/>
        <v>X</v>
      </c>
      <c r="M3638" s="1" t="str">
        <f t="shared" si="761"/>
        <v>X</v>
      </c>
      <c r="N3638" t="s">
        <v>27</v>
      </c>
    </row>
    <row r="3639" spans="1:14" x14ac:dyDescent="0.25">
      <c r="A3639" t="s">
        <v>41</v>
      </c>
      <c r="B3639" t="s">
        <v>39</v>
      </c>
      <c r="C3639" t="s">
        <v>15</v>
      </c>
      <c r="D3639" t="s">
        <v>33</v>
      </c>
      <c r="E3639" t="s">
        <v>22</v>
      </c>
      <c r="F3639" t="s">
        <v>18</v>
      </c>
      <c r="G3639" s="1" t="str">
        <f t="shared" si="761"/>
        <v>X</v>
      </c>
      <c r="H3639" s="1" t="str">
        <f t="shared" si="761"/>
        <v>X</v>
      </c>
      <c r="I3639" s="1" t="str">
        <f t="shared" si="761"/>
        <v>X</v>
      </c>
      <c r="J3639" s="1" t="str">
        <f t="shared" si="761"/>
        <v>X</v>
      </c>
      <c r="K3639" s="1" t="str">
        <f t="shared" si="761"/>
        <v>X</v>
      </c>
      <c r="L3639" s="1" t="str">
        <f t="shared" si="761"/>
        <v>X</v>
      </c>
      <c r="M3639" s="1" t="str">
        <f t="shared" si="761"/>
        <v>X</v>
      </c>
      <c r="N3639" t="s">
        <v>27</v>
      </c>
    </row>
    <row r="3640" spans="1:14" x14ac:dyDescent="0.25">
      <c r="A3640" t="s">
        <v>41</v>
      </c>
      <c r="B3640" t="s">
        <v>39</v>
      </c>
      <c r="C3640" t="s">
        <v>15</v>
      </c>
      <c r="D3640" t="s">
        <v>33</v>
      </c>
      <c r="E3640" t="s">
        <v>22</v>
      </c>
      <c r="F3640" t="s">
        <v>19</v>
      </c>
      <c r="G3640" s="1" t="str">
        <f t="shared" si="761"/>
        <v>X</v>
      </c>
      <c r="H3640" s="1" t="str">
        <f t="shared" si="761"/>
        <v>X</v>
      </c>
      <c r="I3640" s="1" t="str">
        <f t="shared" si="761"/>
        <v>X</v>
      </c>
      <c r="J3640" s="1" t="str">
        <f t="shared" si="761"/>
        <v>X</v>
      </c>
      <c r="K3640" s="1" t="str">
        <f t="shared" si="761"/>
        <v>X</v>
      </c>
      <c r="L3640" s="1" t="str">
        <f t="shared" si="761"/>
        <v>X</v>
      </c>
      <c r="M3640" s="1" t="str">
        <f t="shared" si="761"/>
        <v>X</v>
      </c>
      <c r="N3640" t="s">
        <v>27</v>
      </c>
    </row>
    <row r="3641" spans="1:14" x14ac:dyDescent="0.25">
      <c r="A3641" t="s">
        <v>41</v>
      </c>
      <c r="B3641" t="s">
        <v>39</v>
      </c>
      <c r="C3641" t="s">
        <v>15</v>
      </c>
      <c r="D3641" t="s">
        <v>33</v>
      </c>
      <c r="E3641" t="s">
        <v>22</v>
      </c>
      <c r="F3641" t="s">
        <v>20</v>
      </c>
      <c r="G3641" s="1" t="str">
        <f t="shared" si="761"/>
        <v>X</v>
      </c>
      <c r="H3641" s="1" t="str">
        <f t="shared" si="761"/>
        <v>X</v>
      </c>
      <c r="I3641" s="1" t="str">
        <f t="shared" si="761"/>
        <v>X</v>
      </c>
      <c r="J3641" s="1" t="str">
        <f t="shared" si="761"/>
        <v>X</v>
      </c>
      <c r="K3641" s="1" t="str">
        <f t="shared" si="761"/>
        <v>X</v>
      </c>
      <c r="L3641" s="1" t="str">
        <f t="shared" si="761"/>
        <v>X</v>
      </c>
      <c r="M3641" s="1" t="str">
        <f t="shared" si="761"/>
        <v>X</v>
      </c>
      <c r="N3641" t="s">
        <v>27</v>
      </c>
    </row>
    <row r="3642" spans="1:14" x14ac:dyDescent="0.25">
      <c r="A3642" t="s">
        <v>41</v>
      </c>
      <c r="B3642" t="s">
        <v>39</v>
      </c>
      <c r="C3642" t="s">
        <v>15</v>
      </c>
      <c r="D3642" t="s">
        <v>33</v>
      </c>
      <c r="E3642" t="s">
        <v>23</v>
      </c>
      <c r="F3642" t="s">
        <v>15</v>
      </c>
      <c r="G3642" s="2">
        <f>VALUE(346.961611376)</f>
        <v>346.96161137600001</v>
      </c>
      <c r="H3642" s="3">
        <f>VALUE(341.6728448012)</f>
        <v>341.67284480119997</v>
      </c>
      <c r="I3642" s="4">
        <f>VALUE(3065)</f>
        <v>3065</v>
      </c>
      <c r="J3642" s="1">
        <f>VALUE(3284)</f>
        <v>3284</v>
      </c>
      <c r="K3642" s="6">
        <f>VALUE(4184)</f>
        <v>4184</v>
      </c>
      <c r="L3642" s="1">
        <f>VALUE(5487)</f>
        <v>5487</v>
      </c>
      <c r="M3642" s="1">
        <f>VALUE(6092)</f>
        <v>6092</v>
      </c>
      <c r="N3642" t="s">
        <v>25</v>
      </c>
    </row>
    <row r="3643" spans="1:14" x14ac:dyDescent="0.25">
      <c r="A3643" t="s">
        <v>41</v>
      </c>
      <c r="B3643" t="s">
        <v>39</v>
      </c>
      <c r="C3643" t="s">
        <v>15</v>
      </c>
      <c r="D3643" t="s">
        <v>33</v>
      </c>
      <c r="E3643" t="s">
        <v>23</v>
      </c>
      <c r="F3643" t="s">
        <v>17</v>
      </c>
      <c r="G3643" s="1" t="str">
        <f t="shared" ref="G3643:M3645" si="762">"X"</f>
        <v>X</v>
      </c>
      <c r="H3643" s="1" t="str">
        <f t="shared" si="762"/>
        <v>X</v>
      </c>
      <c r="I3643" s="1" t="str">
        <f t="shared" si="762"/>
        <v>X</v>
      </c>
      <c r="J3643" s="1" t="str">
        <f t="shared" si="762"/>
        <v>X</v>
      </c>
      <c r="K3643" s="1" t="str">
        <f t="shared" si="762"/>
        <v>X</v>
      </c>
      <c r="L3643" s="1" t="str">
        <f t="shared" si="762"/>
        <v>X</v>
      </c>
      <c r="M3643" s="1" t="str">
        <f t="shared" si="762"/>
        <v>X</v>
      </c>
      <c r="N3643" t="s">
        <v>27</v>
      </c>
    </row>
    <row r="3644" spans="1:14" x14ac:dyDescent="0.25">
      <c r="A3644" t="s">
        <v>41</v>
      </c>
      <c r="B3644" t="s">
        <v>39</v>
      </c>
      <c r="C3644" t="s">
        <v>15</v>
      </c>
      <c r="D3644" t="s">
        <v>33</v>
      </c>
      <c r="E3644" t="s">
        <v>23</v>
      </c>
      <c r="F3644" t="s">
        <v>18</v>
      </c>
      <c r="G3644" s="1" t="str">
        <f t="shared" si="762"/>
        <v>X</v>
      </c>
      <c r="H3644" s="1" t="str">
        <f t="shared" si="762"/>
        <v>X</v>
      </c>
      <c r="I3644" s="1" t="str">
        <f t="shared" si="762"/>
        <v>X</v>
      </c>
      <c r="J3644" s="1" t="str">
        <f t="shared" si="762"/>
        <v>X</v>
      </c>
      <c r="K3644" s="1" t="str">
        <f t="shared" si="762"/>
        <v>X</v>
      </c>
      <c r="L3644" s="1" t="str">
        <f t="shared" si="762"/>
        <v>X</v>
      </c>
      <c r="M3644" s="1" t="str">
        <f t="shared" si="762"/>
        <v>X</v>
      </c>
      <c r="N3644" t="s">
        <v>27</v>
      </c>
    </row>
    <row r="3645" spans="1:14" x14ac:dyDescent="0.25">
      <c r="A3645" t="s">
        <v>41</v>
      </c>
      <c r="B3645" t="s">
        <v>39</v>
      </c>
      <c r="C3645" t="s">
        <v>15</v>
      </c>
      <c r="D3645" t="s">
        <v>33</v>
      </c>
      <c r="E3645" t="s">
        <v>23</v>
      </c>
      <c r="F3645" t="s">
        <v>19</v>
      </c>
      <c r="G3645" s="1" t="str">
        <f t="shared" si="762"/>
        <v>X</v>
      </c>
      <c r="H3645" s="1" t="str">
        <f t="shared" si="762"/>
        <v>X</v>
      </c>
      <c r="I3645" s="1" t="str">
        <f t="shared" si="762"/>
        <v>X</v>
      </c>
      <c r="J3645" s="1" t="str">
        <f t="shared" si="762"/>
        <v>X</v>
      </c>
      <c r="K3645" s="1" t="str">
        <f t="shared" si="762"/>
        <v>X</v>
      </c>
      <c r="L3645" s="1" t="str">
        <f t="shared" si="762"/>
        <v>X</v>
      </c>
      <c r="M3645" s="1" t="str">
        <f t="shared" si="762"/>
        <v>X</v>
      </c>
      <c r="N3645" t="s">
        <v>27</v>
      </c>
    </row>
    <row r="3646" spans="1:14" x14ac:dyDescent="0.25">
      <c r="A3646" t="s">
        <v>41</v>
      </c>
      <c r="B3646" t="s">
        <v>39</v>
      </c>
      <c r="C3646" t="s">
        <v>15</v>
      </c>
      <c r="D3646" t="s">
        <v>33</v>
      </c>
      <c r="E3646" t="s">
        <v>23</v>
      </c>
      <c r="F3646" t="s">
        <v>20</v>
      </c>
      <c r="G3646" s="2">
        <f>VALUE(270.3510467531)</f>
        <v>270.35104675309998</v>
      </c>
      <c r="H3646" s="3">
        <f>VALUE(264.3833555226)</f>
        <v>264.38335552260003</v>
      </c>
      <c r="I3646" s="4">
        <f>VALUE(3053)</f>
        <v>3053</v>
      </c>
      <c r="J3646" s="1">
        <f>VALUE(3222)</f>
        <v>3222</v>
      </c>
      <c r="K3646" s="6">
        <f>VALUE(3818)</f>
        <v>3818</v>
      </c>
      <c r="L3646" s="7">
        <f>VALUE(4666)</f>
        <v>4666</v>
      </c>
      <c r="M3646" s="8">
        <f>VALUE(6024)</f>
        <v>6024</v>
      </c>
      <c r="N3646" t="s">
        <v>25</v>
      </c>
    </row>
    <row r="3647" spans="1:14" x14ac:dyDescent="0.25">
      <c r="A3647" t="s">
        <v>41</v>
      </c>
      <c r="B3647" t="s">
        <v>39</v>
      </c>
      <c r="C3647" t="s">
        <v>15</v>
      </c>
      <c r="D3647" t="s">
        <v>33</v>
      </c>
      <c r="E3647" t="s">
        <v>26</v>
      </c>
      <c r="F3647" t="s">
        <v>15</v>
      </c>
      <c r="G3647" s="1" t="str">
        <f t="shared" ref="G3647:M3651" si="763">"..."</f>
        <v>...</v>
      </c>
      <c r="H3647" s="1" t="str">
        <f t="shared" si="763"/>
        <v>...</v>
      </c>
      <c r="I3647" s="1" t="str">
        <f t="shared" si="763"/>
        <v>...</v>
      </c>
      <c r="J3647" s="1" t="str">
        <f t="shared" si="763"/>
        <v>...</v>
      </c>
      <c r="K3647" s="1" t="str">
        <f t="shared" si="763"/>
        <v>...</v>
      </c>
      <c r="L3647" s="1" t="str">
        <f t="shared" si="763"/>
        <v>...</v>
      </c>
      <c r="M3647" s="1" t="str">
        <f t="shared" si="763"/>
        <v>...</v>
      </c>
      <c r="N3647" t="s">
        <v>30</v>
      </c>
    </row>
    <row r="3648" spans="1:14" x14ac:dyDescent="0.25">
      <c r="A3648" t="s">
        <v>41</v>
      </c>
      <c r="B3648" t="s">
        <v>39</v>
      </c>
      <c r="C3648" t="s">
        <v>15</v>
      </c>
      <c r="D3648" t="s">
        <v>33</v>
      </c>
      <c r="E3648" t="s">
        <v>26</v>
      </c>
      <c r="F3648" t="s">
        <v>17</v>
      </c>
      <c r="G3648" s="1" t="str">
        <f t="shared" si="763"/>
        <v>...</v>
      </c>
      <c r="H3648" s="1" t="str">
        <f t="shared" si="763"/>
        <v>...</v>
      </c>
      <c r="I3648" s="1" t="str">
        <f t="shared" si="763"/>
        <v>...</v>
      </c>
      <c r="J3648" s="1" t="str">
        <f t="shared" si="763"/>
        <v>...</v>
      </c>
      <c r="K3648" s="1" t="str">
        <f t="shared" si="763"/>
        <v>...</v>
      </c>
      <c r="L3648" s="1" t="str">
        <f t="shared" si="763"/>
        <v>...</v>
      </c>
      <c r="M3648" s="1" t="str">
        <f t="shared" si="763"/>
        <v>...</v>
      </c>
      <c r="N3648" t="s">
        <v>30</v>
      </c>
    </row>
    <row r="3649" spans="1:14" x14ac:dyDescent="0.25">
      <c r="A3649" t="s">
        <v>41</v>
      </c>
      <c r="B3649" t="s">
        <v>39</v>
      </c>
      <c r="C3649" t="s">
        <v>15</v>
      </c>
      <c r="D3649" t="s">
        <v>33</v>
      </c>
      <c r="E3649" t="s">
        <v>26</v>
      </c>
      <c r="F3649" t="s">
        <v>18</v>
      </c>
      <c r="G3649" s="1" t="str">
        <f t="shared" si="763"/>
        <v>...</v>
      </c>
      <c r="H3649" s="1" t="str">
        <f t="shared" si="763"/>
        <v>...</v>
      </c>
      <c r="I3649" s="1" t="str">
        <f t="shared" si="763"/>
        <v>...</v>
      </c>
      <c r="J3649" s="1" t="str">
        <f t="shared" si="763"/>
        <v>...</v>
      </c>
      <c r="K3649" s="1" t="str">
        <f t="shared" si="763"/>
        <v>...</v>
      </c>
      <c r="L3649" s="1" t="str">
        <f t="shared" si="763"/>
        <v>...</v>
      </c>
      <c r="M3649" s="1" t="str">
        <f t="shared" si="763"/>
        <v>...</v>
      </c>
      <c r="N3649" t="s">
        <v>30</v>
      </c>
    </row>
    <row r="3650" spans="1:14" x14ac:dyDescent="0.25">
      <c r="A3650" t="s">
        <v>41</v>
      </c>
      <c r="B3650" t="s">
        <v>39</v>
      </c>
      <c r="C3650" t="s">
        <v>15</v>
      </c>
      <c r="D3650" t="s">
        <v>33</v>
      </c>
      <c r="E3650" t="s">
        <v>26</v>
      </c>
      <c r="F3650" t="s">
        <v>19</v>
      </c>
      <c r="G3650" s="1" t="str">
        <f t="shared" si="763"/>
        <v>...</v>
      </c>
      <c r="H3650" s="1" t="str">
        <f t="shared" si="763"/>
        <v>...</v>
      </c>
      <c r="I3650" s="1" t="str">
        <f t="shared" si="763"/>
        <v>...</v>
      </c>
      <c r="J3650" s="1" t="str">
        <f t="shared" si="763"/>
        <v>...</v>
      </c>
      <c r="K3650" s="1" t="str">
        <f t="shared" si="763"/>
        <v>...</v>
      </c>
      <c r="L3650" s="1" t="str">
        <f t="shared" si="763"/>
        <v>...</v>
      </c>
      <c r="M3650" s="1" t="str">
        <f t="shared" si="763"/>
        <v>...</v>
      </c>
      <c r="N3650" t="s">
        <v>30</v>
      </c>
    </row>
    <row r="3651" spans="1:14" x14ac:dyDescent="0.25">
      <c r="A3651" t="s">
        <v>41</v>
      </c>
      <c r="B3651" t="s">
        <v>39</v>
      </c>
      <c r="C3651" t="s">
        <v>15</v>
      </c>
      <c r="D3651" t="s">
        <v>33</v>
      </c>
      <c r="E3651" t="s">
        <v>26</v>
      </c>
      <c r="F3651" t="s">
        <v>20</v>
      </c>
      <c r="G3651" s="1" t="str">
        <f t="shared" si="763"/>
        <v>...</v>
      </c>
      <c r="H3651" s="1" t="str">
        <f t="shared" si="763"/>
        <v>...</v>
      </c>
      <c r="I3651" s="1" t="str">
        <f t="shared" si="763"/>
        <v>...</v>
      </c>
      <c r="J3651" s="1" t="str">
        <f t="shared" si="763"/>
        <v>...</v>
      </c>
      <c r="K3651" s="1" t="str">
        <f t="shared" si="763"/>
        <v>...</v>
      </c>
      <c r="L3651" s="1" t="str">
        <f t="shared" si="763"/>
        <v>...</v>
      </c>
      <c r="M3651" s="1" t="str">
        <f t="shared" si="763"/>
        <v>...</v>
      </c>
      <c r="N3651" t="s">
        <v>30</v>
      </c>
    </row>
    <row r="3652" spans="1:14" x14ac:dyDescent="0.25">
      <c r="A3652" t="s">
        <v>41</v>
      </c>
      <c r="B3652" t="s">
        <v>39</v>
      </c>
      <c r="C3652" t="s">
        <v>15</v>
      </c>
      <c r="D3652" t="s">
        <v>34</v>
      </c>
      <c r="E3652" t="s">
        <v>15</v>
      </c>
      <c r="F3652" t="s">
        <v>15</v>
      </c>
      <c r="G3652" s="2">
        <f>VALUE(855.6863636955)</f>
        <v>855.68636369549995</v>
      </c>
      <c r="H3652" s="3">
        <f>VALUE(815.4530404618)</f>
        <v>815.45304046180001</v>
      </c>
      <c r="I3652" s="1">
        <f>VALUE(3487)</f>
        <v>3487</v>
      </c>
      <c r="J3652" s="5">
        <f>VALUE(4152)</f>
        <v>4152</v>
      </c>
      <c r="K3652" s="6">
        <f>VALUE(5684)</f>
        <v>5684</v>
      </c>
      <c r="L3652" s="7">
        <f>VALUE(8948)</f>
        <v>8948</v>
      </c>
      <c r="M3652" s="1">
        <f>VALUE(13734)</f>
        <v>13734</v>
      </c>
      <c r="N3652" t="s">
        <v>25</v>
      </c>
    </row>
    <row r="3653" spans="1:14" x14ac:dyDescent="0.25">
      <c r="A3653" t="s">
        <v>41</v>
      </c>
      <c r="B3653" t="s">
        <v>39</v>
      </c>
      <c r="C3653" t="s">
        <v>15</v>
      </c>
      <c r="D3653" t="s">
        <v>34</v>
      </c>
      <c r="E3653" t="s">
        <v>15</v>
      </c>
      <c r="F3653" t="s">
        <v>17</v>
      </c>
      <c r="G3653" s="2">
        <f>VALUE(273.636669402)</f>
        <v>273.636669402</v>
      </c>
      <c r="H3653" s="3">
        <f>VALUE(284.8112584575)</f>
        <v>284.8112584575</v>
      </c>
      <c r="I3653" s="4">
        <f>VALUE(3868)</f>
        <v>3868</v>
      </c>
      <c r="J3653" s="5">
        <f>VALUE(6613)</f>
        <v>6613</v>
      </c>
      <c r="K3653" s="6">
        <f>VALUE(10608)</f>
        <v>10608</v>
      </c>
      <c r="L3653" s="7">
        <f>VALUE(13889)</f>
        <v>13889</v>
      </c>
      <c r="M3653" s="1">
        <f>VALUE(19544)</f>
        <v>19544</v>
      </c>
      <c r="N3653" t="s">
        <v>25</v>
      </c>
    </row>
    <row r="3654" spans="1:14" x14ac:dyDescent="0.25">
      <c r="A3654" t="s">
        <v>41</v>
      </c>
      <c r="B3654" t="s">
        <v>39</v>
      </c>
      <c r="C3654" t="s">
        <v>15</v>
      </c>
      <c r="D3654" t="s">
        <v>34</v>
      </c>
      <c r="E3654" t="s">
        <v>15</v>
      </c>
      <c r="F3654" t="s">
        <v>18</v>
      </c>
      <c r="G3654" s="1" t="str">
        <f t="shared" ref="G3654:M3655" si="764">"X"</f>
        <v>X</v>
      </c>
      <c r="H3654" s="1" t="str">
        <f t="shared" si="764"/>
        <v>X</v>
      </c>
      <c r="I3654" s="1" t="str">
        <f t="shared" si="764"/>
        <v>X</v>
      </c>
      <c r="J3654" s="1" t="str">
        <f t="shared" si="764"/>
        <v>X</v>
      </c>
      <c r="K3654" s="1" t="str">
        <f t="shared" si="764"/>
        <v>X</v>
      </c>
      <c r="L3654" s="1" t="str">
        <f t="shared" si="764"/>
        <v>X</v>
      </c>
      <c r="M3654" s="1" t="str">
        <f t="shared" si="764"/>
        <v>X</v>
      </c>
      <c r="N3654" t="s">
        <v>27</v>
      </c>
    </row>
    <row r="3655" spans="1:14" x14ac:dyDescent="0.25">
      <c r="A3655" t="s">
        <v>41</v>
      </c>
      <c r="B3655" t="s">
        <v>39</v>
      </c>
      <c r="C3655" t="s">
        <v>15</v>
      </c>
      <c r="D3655" t="s">
        <v>34</v>
      </c>
      <c r="E3655" t="s">
        <v>15</v>
      </c>
      <c r="F3655" t="s">
        <v>19</v>
      </c>
      <c r="G3655" s="1" t="str">
        <f t="shared" si="764"/>
        <v>X</v>
      </c>
      <c r="H3655" s="1" t="str">
        <f t="shared" si="764"/>
        <v>X</v>
      </c>
      <c r="I3655" s="1" t="str">
        <f t="shared" si="764"/>
        <v>X</v>
      </c>
      <c r="J3655" s="1" t="str">
        <f t="shared" si="764"/>
        <v>X</v>
      </c>
      <c r="K3655" s="1" t="str">
        <f t="shared" si="764"/>
        <v>X</v>
      </c>
      <c r="L3655" s="1" t="str">
        <f t="shared" si="764"/>
        <v>X</v>
      </c>
      <c r="M3655" s="1" t="str">
        <f t="shared" si="764"/>
        <v>X</v>
      </c>
      <c r="N3655" t="s">
        <v>27</v>
      </c>
    </row>
    <row r="3656" spans="1:14" x14ac:dyDescent="0.25">
      <c r="A3656" t="s">
        <v>41</v>
      </c>
      <c r="B3656" t="s">
        <v>39</v>
      </c>
      <c r="C3656" t="s">
        <v>15</v>
      </c>
      <c r="D3656" t="s">
        <v>34</v>
      </c>
      <c r="E3656" t="s">
        <v>15</v>
      </c>
      <c r="F3656" t="s">
        <v>20</v>
      </c>
      <c r="G3656" s="2">
        <f>VALUE(514.4623591619)</f>
        <v>514.46235916190005</v>
      </c>
      <c r="H3656" s="3">
        <f>VALUE(474.2406767206)</f>
        <v>474.24067672059999</v>
      </c>
      <c r="I3656" s="4">
        <f>VALUE(3267)</f>
        <v>3267</v>
      </c>
      <c r="J3656" s="5">
        <f>VALUE(4060)</f>
        <v>4060</v>
      </c>
      <c r="K3656" s="1">
        <f>VALUE(5039)</f>
        <v>5039</v>
      </c>
      <c r="L3656" s="1">
        <f>VALUE(6341)</f>
        <v>6341</v>
      </c>
      <c r="M3656" s="1">
        <f>VALUE(7500)</f>
        <v>7500</v>
      </c>
      <c r="N3656" t="s">
        <v>25</v>
      </c>
    </row>
    <row r="3657" spans="1:14" x14ac:dyDescent="0.25">
      <c r="A3657" t="s">
        <v>41</v>
      </c>
      <c r="B3657" t="s">
        <v>39</v>
      </c>
      <c r="C3657" t="s">
        <v>15</v>
      </c>
      <c r="D3657" t="s">
        <v>34</v>
      </c>
      <c r="E3657" t="s">
        <v>21</v>
      </c>
      <c r="F3657" t="s">
        <v>15</v>
      </c>
      <c r="G3657" s="2">
        <f>VALUE(224.3793557072)</f>
        <v>224.37935570720001</v>
      </c>
      <c r="H3657" s="3">
        <f>VALUE(222.5627946603)</f>
        <v>222.5627946603</v>
      </c>
      <c r="I3657" s="1">
        <f>VALUE(3868)</f>
        <v>3868</v>
      </c>
      <c r="J3657" s="1">
        <f>VALUE(6065)</f>
        <v>6065</v>
      </c>
      <c r="K3657" s="1">
        <f>VALUE(8850)</f>
        <v>8850</v>
      </c>
      <c r="L3657" s="1">
        <f>VALUE(13321)</f>
        <v>13321</v>
      </c>
      <c r="M3657" s="1">
        <f>VALUE(18979)</f>
        <v>18979</v>
      </c>
      <c r="N3657" t="s">
        <v>25</v>
      </c>
    </row>
    <row r="3658" spans="1:14" x14ac:dyDescent="0.25">
      <c r="A3658" t="s">
        <v>41</v>
      </c>
      <c r="B3658" t="s">
        <v>39</v>
      </c>
      <c r="C3658" t="s">
        <v>15</v>
      </c>
      <c r="D3658" t="s">
        <v>34</v>
      </c>
      <c r="E3658" t="s">
        <v>21</v>
      </c>
      <c r="F3658" t="s">
        <v>17</v>
      </c>
      <c r="G3658" s="2">
        <f>VALUE(139.5477470122)</f>
        <v>139.54774701220001</v>
      </c>
      <c r="H3658" s="3">
        <f>VALUE(145.3164988822)</f>
        <v>145.31649888219999</v>
      </c>
      <c r="I3658" s="1">
        <f>VALUE(3823)</f>
        <v>3823</v>
      </c>
      <c r="J3658" s="1">
        <f>VALUE(7040)</f>
        <v>7040</v>
      </c>
      <c r="K3658" s="1">
        <f>VALUE(11262)</f>
        <v>11262</v>
      </c>
      <c r="L3658" s="1">
        <f>VALUE(14260)</f>
        <v>14260</v>
      </c>
      <c r="M3658" s="1">
        <f>VALUE(20238)</f>
        <v>20238</v>
      </c>
      <c r="N3658" t="s">
        <v>25</v>
      </c>
    </row>
    <row r="3659" spans="1:14" x14ac:dyDescent="0.25">
      <c r="A3659" t="s">
        <v>41</v>
      </c>
      <c r="B3659" t="s">
        <v>39</v>
      </c>
      <c r="C3659" t="s">
        <v>15</v>
      </c>
      <c r="D3659" t="s">
        <v>34</v>
      </c>
      <c r="E3659" t="s">
        <v>21</v>
      </c>
      <c r="F3659" t="s">
        <v>18</v>
      </c>
      <c r="G3659" s="1" t="str">
        <f t="shared" ref="G3659:M3661" si="765">"X"</f>
        <v>X</v>
      </c>
      <c r="H3659" s="1" t="str">
        <f t="shared" si="765"/>
        <v>X</v>
      </c>
      <c r="I3659" s="1" t="str">
        <f t="shared" si="765"/>
        <v>X</v>
      </c>
      <c r="J3659" s="1" t="str">
        <f t="shared" si="765"/>
        <v>X</v>
      </c>
      <c r="K3659" s="1" t="str">
        <f t="shared" si="765"/>
        <v>X</v>
      </c>
      <c r="L3659" s="1" t="str">
        <f t="shared" si="765"/>
        <v>X</v>
      </c>
      <c r="M3659" s="1" t="str">
        <f t="shared" si="765"/>
        <v>X</v>
      </c>
      <c r="N3659" t="s">
        <v>27</v>
      </c>
    </row>
    <row r="3660" spans="1:14" x14ac:dyDescent="0.25">
      <c r="A3660" t="s">
        <v>41</v>
      </c>
      <c r="B3660" t="s">
        <v>39</v>
      </c>
      <c r="C3660" t="s">
        <v>15</v>
      </c>
      <c r="D3660" t="s">
        <v>34</v>
      </c>
      <c r="E3660" t="s">
        <v>21</v>
      </c>
      <c r="F3660" t="s">
        <v>19</v>
      </c>
      <c r="G3660" s="1" t="str">
        <f t="shared" si="765"/>
        <v>X</v>
      </c>
      <c r="H3660" s="1" t="str">
        <f t="shared" si="765"/>
        <v>X</v>
      </c>
      <c r="I3660" s="1" t="str">
        <f t="shared" si="765"/>
        <v>X</v>
      </c>
      <c r="J3660" s="1" t="str">
        <f t="shared" si="765"/>
        <v>X</v>
      </c>
      <c r="K3660" s="1" t="str">
        <f t="shared" si="765"/>
        <v>X</v>
      </c>
      <c r="L3660" s="1" t="str">
        <f t="shared" si="765"/>
        <v>X</v>
      </c>
      <c r="M3660" s="1" t="str">
        <f t="shared" si="765"/>
        <v>X</v>
      </c>
      <c r="N3660" t="s">
        <v>27</v>
      </c>
    </row>
    <row r="3661" spans="1:14" x14ac:dyDescent="0.25">
      <c r="A3661" t="s">
        <v>41</v>
      </c>
      <c r="B3661" t="s">
        <v>39</v>
      </c>
      <c r="C3661" t="s">
        <v>15</v>
      </c>
      <c r="D3661" t="s">
        <v>34</v>
      </c>
      <c r="E3661" t="s">
        <v>21</v>
      </c>
      <c r="F3661" t="s">
        <v>20</v>
      </c>
      <c r="G3661" s="1" t="str">
        <f t="shared" si="765"/>
        <v>X</v>
      </c>
      <c r="H3661" s="1" t="str">
        <f t="shared" si="765"/>
        <v>X</v>
      </c>
      <c r="I3661" s="1" t="str">
        <f t="shared" si="765"/>
        <v>X</v>
      </c>
      <c r="J3661" s="1" t="str">
        <f t="shared" si="765"/>
        <v>X</v>
      </c>
      <c r="K3661" s="1" t="str">
        <f t="shared" si="765"/>
        <v>X</v>
      </c>
      <c r="L3661" s="1" t="str">
        <f t="shared" si="765"/>
        <v>X</v>
      </c>
      <c r="M3661" s="1" t="str">
        <f t="shared" si="765"/>
        <v>X</v>
      </c>
      <c r="N3661" t="s">
        <v>27</v>
      </c>
    </row>
    <row r="3662" spans="1:14" x14ac:dyDescent="0.25">
      <c r="A3662" t="s">
        <v>41</v>
      </c>
      <c r="B3662" t="s">
        <v>39</v>
      </c>
      <c r="C3662" t="s">
        <v>15</v>
      </c>
      <c r="D3662" t="s">
        <v>34</v>
      </c>
      <c r="E3662" t="s">
        <v>22</v>
      </c>
      <c r="F3662" t="s">
        <v>15</v>
      </c>
      <c r="G3662" s="2">
        <f>VALUE(426.1227332099)</f>
        <v>426.12273320989999</v>
      </c>
      <c r="H3662" s="3">
        <f>VALUE(387.2194868511)</f>
        <v>387.21948685109999</v>
      </c>
      <c r="I3662" s="1">
        <f>VALUE(3931)</f>
        <v>3931</v>
      </c>
      <c r="J3662" s="1">
        <f>VALUE(4373)</f>
        <v>4373</v>
      </c>
      <c r="K3662" s="6">
        <f>VALUE(5445)</f>
        <v>5445</v>
      </c>
      <c r="L3662" s="7">
        <f>VALUE(8056)</f>
        <v>8056</v>
      </c>
      <c r="M3662" s="1">
        <f>VALUE(12643)</f>
        <v>12643</v>
      </c>
      <c r="N3662" t="s">
        <v>25</v>
      </c>
    </row>
    <row r="3663" spans="1:14" x14ac:dyDescent="0.25">
      <c r="A3663" t="s">
        <v>41</v>
      </c>
      <c r="B3663" t="s">
        <v>39</v>
      </c>
      <c r="C3663" t="s">
        <v>15</v>
      </c>
      <c r="D3663" t="s">
        <v>34</v>
      </c>
      <c r="E3663" t="s">
        <v>22</v>
      </c>
      <c r="F3663" t="s">
        <v>17</v>
      </c>
      <c r="G3663" s="1" t="str">
        <f t="shared" ref="G3663:M3665" si="766">"X"</f>
        <v>X</v>
      </c>
      <c r="H3663" s="1" t="str">
        <f t="shared" si="766"/>
        <v>X</v>
      </c>
      <c r="I3663" s="1" t="str">
        <f t="shared" si="766"/>
        <v>X</v>
      </c>
      <c r="J3663" s="1" t="str">
        <f t="shared" si="766"/>
        <v>X</v>
      </c>
      <c r="K3663" s="1" t="str">
        <f t="shared" si="766"/>
        <v>X</v>
      </c>
      <c r="L3663" s="1" t="str">
        <f t="shared" si="766"/>
        <v>X</v>
      </c>
      <c r="M3663" s="1" t="str">
        <f t="shared" si="766"/>
        <v>X</v>
      </c>
      <c r="N3663" t="s">
        <v>27</v>
      </c>
    </row>
    <row r="3664" spans="1:14" x14ac:dyDescent="0.25">
      <c r="A3664" t="s">
        <v>41</v>
      </c>
      <c r="B3664" t="s">
        <v>39</v>
      </c>
      <c r="C3664" t="s">
        <v>15</v>
      </c>
      <c r="D3664" t="s">
        <v>34</v>
      </c>
      <c r="E3664" t="s">
        <v>22</v>
      </c>
      <c r="F3664" t="s">
        <v>18</v>
      </c>
      <c r="G3664" s="1" t="str">
        <f t="shared" si="766"/>
        <v>X</v>
      </c>
      <c r="H3664" s="1" t="str">
        <f t="shared" si="766"/>
        <v>X</v>
      </c>
      <c r="I3664" s="1" t="str">
        <f t="shared" si="766"/>
        <v>X</v>
      </c>
      <c r="J3664" s="1" t="str">
        <f t="shared" si="766"/>
        <v>X</v>
      </c>
      <c r="K3664" s="1" t="str">
        <f t="shared" si="766"/>
        <v>X</v>
      </c>
      <c r="L3664" s="1" t="str">
        <f t="shared" si="766"/>
        <v>X</v>
      </c>
      <c r="M3664" s="1" t="str">
        <f t="shared" si="766"/>
        <v>X</v>
      </c>
      <c r="N3664" t="s">
        <v>27</v>
      </c>
    </row>
    <row r="3665" spans="1:14" x14ac:dyDescent="0.25">
      <c r="A3665" t="s">
        <v>41</v>
      </c>
      <c r="B3665" t="s">
        <v>39</v>
      </c>
      <c r="C3665" t="s">
        <v>15</v>
      </c>
      <c r="D3665" t="s">
        <v>34</v>
      </c>
      <c r="E3665" t="s">
        <v>22</v>
      </c>
      <c r="F3665" t="s">
        <v>19</v>
      </c>
      <c r="G3665" s="1" t="str">
        <f t="shared" si="766"/>
        <v>X</v>
      </c>
      <c r="H3665" s="1" t="str">
        <f t="shared" si="766"/>
        <v>X</v>
      </c>
      <c r="I3665" s="1" t="str">
        <f t="shared" si="766"/>
        <v>X</v>
      </c>
      <c r="J3665" s="1" t="str">
        <f t="shared" si="766"/>
        <v>X</v>
      </c>
      <c r="K3665" s="1" t="str">
        <f t="shared" si="766"/>
        <v>X</v>
      </c>
      <c r="L3665" s="1" t="str">
        <f t="shared" si="766"/>
        <v>X</v>
      </c>
      <c r="M3665" s="1" t="str">
        <f t="shared" si="766"/>
        <v>X</v>
      </c>
      <c r="N3665" t="s">
        <v>27</v>
      </c>
    </row>
    <row r="3666" spans="1:14" x14ac:dyDescent="0.25">
      <c r="A3666" t="s">
        <v>41</v>
      </c>
      <c r="B3666" t="s">
        <v>39</v>
      </c>
      <c r="C3666" t="s">
        <v>15</v>
      </c>
      <c r="D3666" t="s">
        <v>34</v>
      </c>
      <c r="E3666" t="s">
        <v>22</v>
      </c>
      <c r="F3666" t="s">
        <v>20</v>
      </c>
      <c r="G3666" s="2">
        <f>VALUE(278.2905346662)</f>
        <v>278.29053466620002</v>
      </c>
      <c r="H3666" s="3">
        <f>VALUE(236.7474921586)</f>
        <v>236.74749215860001</v>
      </c>
      <c r="I3666" s="1">
        <f>VALUE(4024)</f>
        <v>4024</v>
      </c>
      <c r="J3666" s="1">
        <f>VALUE(4382)</f>
        <v>4382</v>
      </c>
      <c r="K3666" s="1">
        <f>VALUE(5165)</f>
        <v>5165</v>
      </c>
      <c r="L3666" s="1">
        <f>VALUE(6143)</f>
        <v>6143</v>
      </c>
      <c r="M3666" s="1">
        <f>VALUE(7174)</f>
        <v>7174</v>
      </c>
      <c r="N3666" t="s">
        <v>25</v>
      </c>
    </row>
    <row r="3667" spans="1:14" x14ac:dyDescent="0.25">
      <c r="A3667" t="s">
        <v>41</v>
      </c>
      <c r="B3667" t="s">
        <v>39</v>
      </c>
      <c r="C3667" t="s">
        <v>15</v>
      </c>
      <c r="D3667" t="s">
        <v>34</v>
      </c>
      <c r="E3667" t="s">
        <v>23</v>
      </c>
      <c r="F3667" t="s">
        <v>15</v>
      </c>
      <c r="G3667" s="2">
        <f>VALUE(202.2622118808)</f>
        <v>202.26221188080001</v>
      </c>
      <c r="H3667" s="3">
        <f>VALUE(202.602592908)</f>
        <v>202.60259290799999</v>
      </c>
      <c r="I3667" s="4">
        <f>VALUE(3240)</f>
        <v>3240</v>
      </c>
      <c r="J3667" s="5">
        <f>VALUE(3267)</f>
        <v>3267</v>
      </c>
      <c r="K3667" s="6">
        <f>VALUE(4524)</f>
        <v>4524</v>
      </c>
      <c r="L3667" s="1">
        <f>VALUE(5761)</f>
        <v>5761</v>
      </c>
      <c r="M3667" s="8">
        <f>VALUE(8126)</f>
        <v>8126</v>
      </c>
      <c r="N3667" t="s">
        <v>25</v>
      </c>
    </row>
    <row r="3668" spans="1:14" x14ac:dyDescent="0.25">
      <c r="A3668" t="s">
        <v>41</v>
      </c>
      <c r="B3668" t="s">
        <v>39</v>
      </c>
      <c r="C3668" t="s">
        <v>15</v>
      </c>
      <c r="D3668" t="s">
        <v>34</v>
      </c>
      <c r="E3668" t="s">
        <v>23</v>
      </c>
      <c r="F3668" t="s">
        <v>17</v>
      </c>
      <c r="G3668" s="1" t="str">
        <f t="shared" ref="G3668:M3670" si="767">"X"</f>
        <v>X</v>
      </c>
      <c r="H3668" s="1" t="str">
        <f t="shared" si="767"/>
        <v>X</v>
      </c>
      <c r="I3668" s="1" t="str">
        <f t="shared" si="767"/>
        <v>X</v>
      </c>
      <c r="J3668" s="1" t="str">
        <f t="shared" si="767"/>
        <v>X</v>
      </c>
      <c r="K3668" s="1" t="str">
        <f t="shared" si="767"/>
        <v>X</v>
      </c>
      <c r="L3668" s="1" t="str">
        <f t="shared" si="767"/>
        <v>X</v>
      </c>
      <c r="M3668" s="1" t="str">
        <f t="shared" si="767"/>
        <v>X</v>
      </c>
      <c r="N3668" t="s">
        <v>27</v>
      </c>
    </row>
    <row r="3669" spans="1:14" x14ac:dyDescent="0.25">
      <c r="A3669" t="s">
        <v>41</v>
      </c>
      <c r="B3669" t="s">
        <v>39</v>
      </c>
      <c r="C3669" t="s">
        <v>15</v>
      </c>
      <c r="D3669" t="s">
        <v>34</v>
      </c>
      <c r="E3669" t="s">
        <v>23</v>
      </c>
      <c r="F3669" t="s">
        <v>18</v>
      </c>
      <c r="G3669" s="1" t="str">
        <f t="shared" si="767"/>
        <v>X</v>
      </c>
      <c r="H3669" s="1" t="str">
        <f t="shared" si="767"/>
        <v>X</v>
      </c>
      <c r="I3669" s="1" t="str">
        <f t="shared" si="767"/>
        <v>X</v>
      </c>
      <c r="J3669" s="1" t="str">
        <f t="shared" si="767"/>
        <v>X</v>
      </c>
      <c r="K3669" s="1" t="str">
        <f t="shared" si="767"/>
        <v>X</v>
      </c>
      <c r="L3669" s="1" t="str">
        <f t="shared" si="767"/>
        <v>X</v>
      </c>
      <c r="M3669" s="1" t="str">
        <f t="shared" si="767"/>
        <v>X</v>
      </c>
      <c r="N3669" t="s">
        <v>27</v>
      </c>
    </row>
    <row r="3670" spans="1:14" x14ac:dyDescent="0.25">
      <c r="A3670" t="s">
        <v>41</v>
      </c>
      <c r="B3670" t="s">
        <v>39</v>
      </c>
      <c r="C3670" t="s">
        <v>15</v>
      </c>
      <c r="D3670" t="s">
        <v>34</v>
      </c>
      <c r="E3670" t="s">
        <v>23</v>
      </c>
      <c r="F3670" t="s">
        <v>19</v>
      </c>
      <c r="G3670" s="1" t="str">
        <f t="shared" si="767"/>
        <v>X</v>
      </c>
      <c r="H3670" s="1" t="str">
        <f t="shared" si="767"/>
        <v>X</v>
      </c>
      <c r="I3670" s="1" t="str">
        <f t="shared" si="767"/>
        <v>X</v>
      </c>
      <c r="J3670" s="1" t="str">
        <f t="shared" si="767"/>
        <v>X</v>
      </c>
      <c r="K3670" s="1" t="str">
        <f t="shared" si="767"/>
        <v>X</v>
      </c>
      <c r="L3670" s="1" t="str">
        <f t="shared" si="767"/>
        <v>X</v>
      </c>
      <c r="M3670" s="1" t="str">
        <f t="shared" si="767"/>
        <v>X</v>
      </c>
      <c r="N3670" t="s">
        <v>27</v>
      </c>
    </row>
    <row r="3671" spans="1:14" x14ac:dyDescent="0.25">
      <c r="A3671" t="s">
        <v>41</v>
      </c>
      <c r="B3671" t="s">
        <v>39</v>
      </c>
      <c r="C3671" t="s">
        <v>15</v>
      </c>
      <c r="D3671" t="s">
        <v>34</v>
      </c>
      <c r="E3671" t="s">
        <v>23</v>
      </c>
      <c r="F3671" t="s">
        <v>20</v>
      </c>
      <c r="G3671" s="2">
        <f>VALUE(174.8639282062)</f>
        <v>174.8639282062</v>
      </c>
      <c r="H3671" s="3">
        <f>VALUE(177.8923485712)</f>
        <v>177.89234857119999</v>
      </c>
      <c r="I3671" s="4">
        <f>VALUE(3240)</f>
        <v>3240</v>
      </c>
      <c r="J3671" s="5">
        <f>VALUE(3267)</f>
        <v>3267</v>
      </c>
      <c r="K3671" s="6">
        <f>VALUE(3798)</f>
        <v>3798</v>
      </c>
      <c r="L3671" s="7">
        <f>VALUE(5546)</f>
        <v>5546</v>
      </c>
      <c r="M3671" s="8">
        <f>VALUE(6981)</f>
        <v>6981</v>
      </c>
      <c r="N3671" t="s">
        <v>24</v>
      </c>
    </row>
    <row r="3672" spans="1:14" x14ac:dyDescent="0.25">
      <c r="A3672" t="s">
        <v>41</v>
      </c>
      <c r="B3672" t="s">
        <v>39</v>
      </c>
      <c r="C3672" t="s">
        <v>15</v>
      </c>
      <c r="D3672" t="s">
        <v>34</v>
      </c>
      <c r="E3672" t="s">
        <v>26</v>
      </c>
      <c r="F3672" t="s">
        <v>15</v>
      </c>
      <c r="G3672" s="1" t="str">
        <f t="shared" ref="G3672:M3674" si="768">"X"</f>
        <v>X</v>
      </c>
      <c r="H3672" s="1" t="str">
        <f t="shared" si="768"/>
        <v>X</v>
      </c>
      <c r="I3672" s="1" t="str">
        <f t="shared" si="768"/>
        <v>X</v>
      </c>
      <c r="J3672" s="1" t="str">
        <f t="shared" si="768"/>
        <v>X</v>
      </c>
      <c r="K3672" s="1" t="str">
        <f t="shared" si="768"/>
        <v>X</v>
      </c>
      <c r="L3672" s="1" t="str">
        <f t="shared" si="768"/>
        <v>X</v>
      </c>
      <c r="M3672" s="1" t="str">
        <f t="shared" si="768"/>
        <v>X</v>
      </c>
      <c r="N3672" t="s">
        <v>27</v>
      </c>
    </row>
    <row r="3673" spans="1:14" x14ac:dyDescent="0.25">
      <c r="A3673" t="s">
        <v>41</v>
      </c>
      <c r="B3673" t="s">
        <v>39</v>
      </c>
      <c r="C3673" t="s">
        <v>15</v>
      </c>
      <c r="D3673" t="s">
        <v>34</v>
      </c>
      <c r="E3673" t="s">
        <v>26</v>
      </c>
      <c r="F3673" t="s">
        <v>17</v>
      </c>
      <c r="G3673" s="1" t="str">
        <f t="shared" si="768"/>
        <v>X</v>
      </c>
      <c r="H3673" s="1" t="str">
        <f t="shared" si="768"/>
        <v>X</v>
      </c>
      <c r="I3673" s="1" t="str">
        <f t="shared" si="768"/>
        <v>X</v>
      </c>
      <c r="J3673" s="1" t="str">
        <f t="shared" si="768"/>
        <v>X</v>
      </c>
      <c r="K3673" s="1" t="str">
        <f t="shared" si="768"/>
        <v>X</v>
      </c>
      <c r="L3673" s="1" t="str">
        <f t="shared" si="768"/>
        <v>X</v>
      </c>
      <c r="M3673" s="1" t="str">
        <f t="shared" si="768"/>
        <v>X</v>
      </c>
      <c r="N3673" t="s">
        <v>27</v>
      </c>
    </row>
    <row r="3674" spans="1:14" x14ac:dyDescent="0.25">
      <c r="A3674" t="s">
        <v>41</v>
      </c>
      <c r="B3674" t="s">
        <v>39</v>
      </c>
      <c r="C3674" t="s">
        <v>15</v>
      </c>
      <c r="D3674" t="s">
        <v>34</v>
      </c>
      <c r="E3674" t="s">
        <v>26</v>
      </c>
      <c r="F3674" t="s">
        <v>18</v>
      </c>
      <c r="G3674" s="1" t="str">
        <f t="shared" si="768"/>
        <v>X</v>
      </c>
      <c r="H3674" s="1" t="str">
        <f t="shared" si="768"/>
        <v>X</v>
      </c>
      <c r="I3674" s="1" t="str">
        <f t="shared" si="768"/>
        <v>X</v>
      </c>
      <c r="J3674" s="1" t="str">
        <f t="shared" si="768"/>
        <v>X</v>
      </c>
      <c r="K3674" s="1" t="str">
        <f t="shared" si="768"/>
        <v>X</v>
      </c>
      <c r="L3674" s="1" t="str">
        <f t="shared" si="768"/>
        <v>X</v>
      </c>
      <c r="M3674" s="1" t="str">
        <f t="shared" si="768"/>
        <v>X</v>
      </c>
      <c r="N3674" t="s">
        <v>27</v>
      </c>
    </row>
    <row r="3675" spans="1:14" x14ac:dyDescent="0.25">
      <c r="A3675" t="s">
        <v>41</v>
      </c>
      <c r="B3675" t="s">
        <v>39</v>
      </c>
      <c r="C3675" t="s">
        <v>15</v>
      </c>
      <c r="D3675" t="s">
        <v>34</v>
      </c>
      <c r="E3675" t="s">
        <v>26</v>
      </c>
      <c r="F3675" t="s">
        <v>19</v>
      </c>
      <c r="G3675" s="1" t="str">
        <f t="shared" ref="G3675:M3676" si="769">"..."</f>
        <v>...</v>
      </c>
      <c r="H3675" s="1" t="str">
        <f t="shared" si="769"/>
        <v>...</v>
      </c>
      <c r="I3675" s="1" t="str">
        <f t="shared" si="769"/>
        <v>...</v>
      </c>
      <c r="J3675" s="1" t="str">
        <f t="shared" si="769"/>
        <v>...</v>
      </c>
      <c r="K3675" s="1" t="str">
        <f t="shared" si="769"/>
        <v>...</v>
      </c>
      <c r="L3675" s="1" t="str">
        <f t="shared" si="769"/>
        <v>...</v>
      </c>
      <c r="M3675" s="1" t="str">
        <f t="shared" si="769"/>
        <v>...</v>
      </c>
      <c r="N3675" t="s">
        <v>30</v>
      </c>
    </row>
    <row r="3676" spans="1:14" x14ac:dyDescent="0.25">
      <c r="A3676" t="s">
        <v>41</v>
      </c>
      <c r="B3676" t="s">
        <v>39</v>
      </c>
      <c r="C3676" t="s">
        <v>15</v>
      </c>
      <c r="D3676" t="s">
        <v>34</v>
      </c>
      <c r="E3676" t="s">
        <v>26</v>
      </c>
      <c r="F3676" t="s">
        <v>20</v>
      </c>
      <c r="G3676" s="1" t="str">
        <f t="shared" si="769"/>
        <v>...</v>
      </c>
      <c r="H3676" s="1" t="str">
        <f t="shared" si="769"/>
        <v>...</v>
      </c>
      <c r="I3676" s="1" t="str">
        <f t="shared" si="769"/>
        <v>...</v>
      </c>
      <c r="J3676" s="1" t="str">
        <f t="shared" si="769"/>
        <v>...</v>
      </c>
      <c r="K3676" s="1" t="str">
        <f t="shared" si="769"/>
        <v>...</v>
      </c>
      <c r="L3676" s="1" t="str">
        <f t="shared" si="769"/>
        <v>...</v>
      </c>
      <c r="M3676" s="1" t="str">
        <f t="shared" si="769"/>
        <v>...</v>
      </c>
      <c r="N3676" t="s">
        <v>30</v>
      </c>
    </row>
    <row r="3677" spans="1:14" x14ac:dyDescent="0.25">
      <c r="A3677" t="s">
        <v>41</v>
      </c>
      <c r="B3677" t="s">
        <v>39</v>
      </c>
      <c r="C3677" t="s">
        <v>35</v>
      </c>
      <c r="D3677" t="s">
        <v>15</v>
      </c>
      <c r="E3677" t="s">
        <v>15</v>
      </c>
      <c r="F3677" t="s">
        <v>15</v>
      </c>
      <c r="G3677" s="1">
        <f>VALUE(3534.7684891927)</f>
        <v>3534.7684891927001</v>
      </c>
      <c r="H3677" s="1">
        <f>VALUE(3405.4804251034)</f>
        <v>3405.4804251034002</v>
      </c>
      <c r="I3677" s="1">
        <f>VALUE(2867)</f>
        <v>2867</v>
      </c>
      <c r="J3677" s="1">
        <f>VALUE(3347)</f>
        <v>3347</v>
      </c>
      <c r="K3677" s="1">
        <f>VALUE(3956)</f>
        <v>3956</v>
      </c>
      <c r="L3677" s="1">
        <f>VALUE(4583)</f>
        <v>4583</v>
      </c>
      <c r="M3677" s="1">
        <f>VALUE(5216)</f>
        <v>5216</v>
      </c>
      <c r="N3677" t="s">
        <v>16</v>
      </c>
    </row>
    <row r="3678" spans="1:14" x14ac:dyDescent="0.25">
      <c r="A3678" t="s">
        <v>41</v>
      </c>
      <c r="B3678" t="s">
        <v>39</v>
      </c>
      <c r="C3678" t="s">
        <v>35</v>
      </c>
      <c r="D3678" t="s">
        <v>15</v>
      </c>
      <c r="E3678" t="s">
        <v>15</v>
      </c>
      <c r="F3678" t="s">
        <v>17</v>
      </c>
      <c r="G3678" s="1" t="str">
        <f t="shared" ref="G3678:M3678" si="770">"X"</f>
        <v>X</v>
      </c>
      <c r="H3678" s="1" t="str">
        <f t="shared" si="770"/>
        <v>X</v>
      </c>
      <c r="I3678" s="1" t="str">
        <f t="shared" si="770"/>
        <v>X</v>
      </c>
      <c r="J3678" s="1" t="str">
        <f t="shared" si="770"/>
        <v>X</v>
      </c>
      <c r="K3678" s="1" t="str">
        <f t="shared" si="770"/>
        <v>X</v>
      </c>
      <c r="L3678" s="1" t="str">
        <f t="shared" si="770"/>
        <v>X</v>
      </c>
      <c r="M3678" s="1" t="str">
        <f t="shared" si="770"/>
        <v>X</v>
      </c>
      <c r="N3678" t="s">
        <v>27</v>
      </c>
    </row>
    <row r="3679" spans="1:14" x14ac:dyDescent="0.25">
      <c r="A3679" t="s">
        <v>41</v>
      </c>
      <c r="B3679" t="s">
        <v>39</v>
      </c>
      <c r="C3679" t="s">
        <v>35</v>
      </c>
      <c r="D3679" t="s">
        <v>15</v>
      </c>
      <c r="E3679" t="s">
        <v>15</v>
      </c>
      <c r="F3679" t="s">
        <v>18</v>
      </c>
      <c r="G3679" s="2">
        <f>VALUE(227.9550854143)</f>
        <v>227.95508541429999</v>
      </c>
      <c r="H3679" s="3">
        <f>VALUE(223.495754982)</f>
        <v>223.49575498199999</v>
      </c>
      <c r="I3679" s="4">
        <f>VALUE(2873)</f>
        <v>2873</v>
      </c>
      <c r="J3679" s="5">
        <f>VALUE(3273)</f>
        <v>3273</v>
      </c>
      <c r="K3679" s="6">
        <f>VALUE(3957)</f>
        <v>3957</v>
      </c>
      <c r="L3679" s="1">
        <f>VALUE(4732)</f>
        <v>4732</v>
      </c>
      <c r="M3679" s="8">
        <f>VALUE(4901)</f>
        <v>4901</v>
      </c>
      <c r="N3679" t="s">
        <v>25</v>
      </c>
    </row>
    <row r="3680" spans="1:14" x14ac:dyDescent="0.25">
      <c r="A3680" t="s">
        <v>41</v>
      </c>
      <c r="B3680" t="s">
        <v>39</v>
      </c>
      <c r="C3680" t="s">
        <v>35</v>
      </c>
      <c r="D3680" t="s">
        <v>15</v>
      </c>
      <c r="E3680" t="s">
        <v>15</v>
      </c>
      <c r="F3680" t="s">
        <v>19</v>
      </c>
      <c r="G3680" s="2">
        <f>VALUE(373.8893936645)</f>
        <v>373.88939366450001</v>
      </c>
      <c r="H3680" s="3">
        <f>VALUE(374.3133989055)</f>
        <v>374.31339890549998</v>
      </c>
      <c r="I3680" s="1">
        <f>VALUE(3126)</f>
        <v>3126</v>
      </c>
      <c r="J3680" s="1">
        <f>VALUE(3690)</f>
        <v>3690</v>
      </c>
      <c r="K3680" s="1">
        <f>VALUE(4133)</f>
        <v>4133</v>
      </c>
      <c r="L3680" s="1">
        <f>VALUE(4695)</f>
        <v>4695</v>
      </c>
      <c r="M3680" s="8">
        <f>VALUE(5130)</f>
        <v>5130</v>
      </c>
      <c r="N3680" t="s">
        <v>25</v>
      </c>
    </row>
    <row r="3681" spans="1:14" x14ac:dyDescent="0.25">
      <c r="A3681" t="s">
        <v>41</v>
      </c>
      <c r="B3681" t="s">
        <v>39</v>
      </c>
      <c r="C3681" t="s">
        <v>35</v>
      </c>
      <c r="D3681" t="s">
        <v>15</v>
      </c>
      <c r="E3681" t="s">
        <v>15</v>
      </c>
      <c r="F3681" t="s">
        <v>20</v>
      </c>
      <c r="G3681" s="1">
        <f>VALUE(2787.1189849828)</f>
        <v>2787.1189849828002</v>
      </c>
      <c r="H3681" s="1">
        <f>VALUE(2662.0178386454)</f>
        <v>2662.0178386453999</v>
      </c>
      <c r="I3681" s="1">
        <f>VALUE(2816)</f>
        <v>2816</v>
      </c>
      <c r="J3681" s="1">
        <f>VALUE(3304)</f>
        <v>3304</v>
      </c>
      <c r="K3681" s="1">
        <f>VALUE(3900)</f>
        <v>3900</v>
      </c>
      <c r="L3681" s="1">
        <f>VALUE(4532)</f>
        <v>4532</v>
      </c>
      <c r="M3681" s="1">
        <f>VALUE(5190)</f>
        <v>5190</v>
      </c>
      <c r="N3681" t="s">
        <v>16</v>
      </c>
    </row>
    <row r="3682" spans="1:14" x14ac:dyDescent="0.25">
      <c r="A3682" t="s">
        <v>41</v>
      </c>
      <c r="B3682" t="s">
        <v>39</v>
      </c>
      <c r="C3682" t="s">
        <v>35</v>
      </c>
      <c r="D3682" t="s">
        <v>15</v>
      </c>
      <c r="E3682" t="s">
        <v>21</v>
      </c>
      <c r="F3682" t="s">
        <v>15</v>
      </c>
      <c r="G3682" s="2">
        <f>VALUE(381.0467443805)</f>
        <v>381.0467443805</v>
      </c>
      <c r="H3682" s="3">
        <f>VALUE(373.3419213574)</f>
        <v>373.3419213574</v>
      </c>
      <c r="I3682" s="4">
        <f>VALUE(2766)</f>
        <v>2766</v>
      </c>
      <c r="J3682" s="1">
        <f>VALUE(3378)</f>
        <v>3378</v>
      </c>
      <c r="K3682" s="1">
        <f>VALUE(4016)</f>
        <v>4016</v>
      </c>
      <c r="L3682" s="1">
        <f>VALUE(4544)</f>
        <v>4544</v>
      </c>
      <c r="M3682" s="1">
        <f>VALUE(5238)</f>
        <v>5238</v>
      </c>
      <c r="N3682" t="s">
        <v>25</v>
      </c>
    </row>
    <row r="3683" spans="1:14" x14ac:dyDescent="0.25">
      <c r="A3683" t="s">
        <v>41</v>
      </c>
      <c r="B3683" t="s">
        <v>39</v>
      </c>
      <c r="C3683" t="s">
        <v>35</v>
      </c>
      <c r="D3683" t="s">
        <v>15</v>
      </c>
      <c r="E3683" t="s">
        <v>21</v>
      </c>
      <c r="F3683" t="s">
        <v>17</v>
      </c>
      <c r="G3683" s="1" t="str">
        <f t="shared" ref="G3683:M3685" si="771">"X"</f>
        <v>X</v>
      </c>
      <c r="H3683" s="1" t="str">
        <f t="shared" si="771"/>
        <v>X</v>
      </c>
      <c r="I3683" s="1" t="str">
        <f t="shared" si="771"/>
        <v>X</v>
      </c>
      <c r="J3683" s="1" t="str">
        <f t="shared" si="771"/>
        <v>X</v>
      </c>
      <c r="K3683" s="1" t="str">
        <f t="shared" si="771"/>
        <v>X</v>
      </c>
      <c r="L3683" s="1" t="str">
        <f t="shared" si="771"/>
        <v>X</v>
      </c>
      <c r="M3683" s="1" t="str">
        <f t="shared" si="771"/>
        <v>X</v>
      </c>
      <c r="N3683" t="s">
        <v>27</v>
      </c>
    </row>
    <row r="3684" spans="1:14" x14ac:dyDescent="0.25">
      <c r="A3684" t="s">
        <v>41</v>
      </c>
      <c r="B3684" t="s">
        <v>39</v>
      </c>
      <c r="C3684" t="s">
        <v>35</v>
      </c>
      <c r="D3684" t="s">
        <v>15</v>
      </c>
      <c r="E3684" t="s">
        <v>21</v>
      </c>
      <c r="F3684" t="s">
        <v>18</v>
      </c>
      <c r="G3684" s="1" t="str">
        <f t="shared" si="771"/>
        <v>X</v>
      </c>
      <c r="H3684" s="1" t="str">
        <f t="shared" si="771"/>
        <v>X</v>
      </c>
      <c r="I3684" s="1" t="str">
        <f t="shared" si="771"/>
        <v>X</v>
      </c>
      <c r="J3684" s="1" t="str">
        <f t="shared" si="771"/>
        <v>X</v>
      </c>
      <c r="K3684" s="1" t="str">
        <f t="shared" si="771"/>
        <v>X</v>
      </c>
      <c r="L3684" s="1" t="str">
        <f t="shared" si="771"/>
        <v>X</v>
      </c>
      <c r="M3684" s="1" t="str">
        <f t="shared" si="771"/>
        <v>X</v>
      </c>
      <c r="N3684" t="s">
        <v>27</v>
      </c>
    </row>
    <row r="3685" spans="1:14" x14ac:dyDescent="0.25">
      <c r="A3685" t="s">
        <v>41</v>
      </c>
      <c r="B3685" t="s">
        <v>39</v>
      </c>
      <c r="C3685" t="s">
        <v>35</v>
      </c>
      <c r="D3685" t="s">
        <v>15</v>
      </c>
      <c r="E3685" t="s">
        <v>21</v>
      </c>
      <c r="F3685" t="s">
        <v>19</v>
      </c>
      <c r="G3685" s="1" t="str">
        <f t="shared" si="771"/>
        <v>X</v>
      </c>
      <c r="H3685" s="1" t="str">
        <f t="shared" si="771"/>
        <v>X</v>
      </c>
      <c r="I3685" s="1" t="str">
        <f t="shared" si="771"/>
        <v>X</v>
      </c>
      <c r="J3685" s="1" t="str">
        <f t="shared" si="771"/>
        <v>X</v>
      </c>
      <c r="K3685" s="1" t="str">
        <f t="shared" si="771"/>
        <v>X</v>
      </c>
      <c r="L3685" s="1" t="str">
        <f t="shared" si="771"/>
        <v>X</v>
      </c>
      <c r="M3685" s="1" t="str">
        <f t="shared" si="771"/>
        <v>X</v>
      </c>
      <c r="N3685" t="s">
        <v>27</v>
      </c>
    </row>
    <row r="3686" spans="1:14" x14ac:dyDescent="0.25">
      <c r="A3686" t="s">
        <v>41</v>
      </c>
      <c r="B3686" t="s">
        <v>39</v>
      </c>
      <c r="C3686" t="s">
        <v>35</v>
      </c>
      <c r="D3686" t="s">
        <v>15</v>
      </c>
      <c r="E3686" t="s">
        <v>21</v>
      </c>
      <c r="F3686" t="s">
        <v>20</v>
      </c>
      <c r="G3686" s="2">
        <f>VALUE(205.3233657088)</f>
        <v>205.3233657088</v>
      </c>
      <c r="H3686" s="3">
        <f>VALUE(200.2993285376)</f>
        <v>200.29932853759999</v>
      </c>
      <c r="I3686" s="4">
        <f>VALUE(2369)</f>
        <v>2369</v>
      </c>
      <c r="J3686" s="5">
        <f>VALUE(3347)</f>
        <v>3347</v>
      </c>
      <c r="K3686" s="1">
        <f>VALUE(3926)</f>
        <v>3926</v>
      </c>
      <c r="L3686" s="1">
        <f>VALUE(4341)</f>
        <v>4341</v>
      </c>
      <c r="M3686" s="1">
        <f>VALUE(4870)</f>
        <v>4870</v>
      </c>
      <c r="N3686" t="s">
        <v>25</v>
      </c>
    </row>
    <row r="3687" spans="1:14" x14ac:dyDescent="0.25">
      <c r="A3687" t="s">
        <v>41</v>
      </c>
      <c r="B3687" t="s">
        <v>39</v>
      </c>
      <c r="C3687" t="s">
        <v>35</v>
      </c>
      <c r="D3687" t="s">
        <v>15</v>
      </c>
      <c r="E3687" t="s">
        <v>22</v>
      </c>
      <c r="F3687" t="s">
        <v>15</v>
      </c>
      <c r="G3687" s="2">
        <f>VALUE(2021.6962064737)</f>
        <v>2021.6962064736999</v>
      </c>
      <c r="H3687" s="3">
        <f>VALUE(1964.7485154063)</f>
        <v>1964.7485154062999</v>
      </c>
      <c r="I3687" s="1">
        <f>VALUE(3095)</f>
        <v>3095</v>
      </c>
      <c r="J3687" s="1">
        <f>VALUE(3584)</f>
        <v>3584</v>
      </c>
      <c r="K3687" s="1">
        <f>VALUE(4115)</f>
        <v>4115</v>
      </c>
      <c r="L3687" s="1">
        <f>VALUE(4676)</f>
        <v>4676</v>
      </c>
      <c r="M3687" s="1">
        <f>VALUE(5327)</f>
        <v>5327</v>
      </c>
      <c r="N3687" t="s">
        <v>25</v>
      </c>
    </row>
    <row r="3688" spans="1:14" x14ac:dyDescent="0.25">
      <c r="A3688" t="s">
        <v>41</v>
      </c>
      <c r="B3688" t="s">
        <v>39</v>
      </c>
      <c r="C3688" t="s">
        <v>35</v>
      </c>
      <c r="D3688" t="s">
        <v>15</v>
      </c>
      <c r="E3688" t="s">
        <v>22</v>
      </c>
      <c r="F3688" t="s">
        <v>17</v>
      </c>
      <c r="G3688" s="1" t="str">
        <f t="shared" ref="G3688:M3689" si="772">"X"</f>
        <v>X</v>
      </c>
      <c r="H3688" s="1" t="str">
        <f t="shared" si="772"/>
        <v>X</v>
      </c>
      <c r="I3688" s="1" t="str">
        <f t="shared" si="772"/>
        <v>X</v>
      </c>
      <c r="J3688" s="1" t="str">
        <f t="shared" si="772"/>
        <v>X</v>
      </c>
      <c r="K3688" s="1" t="str">
        <f t="shared" si="772"/>
        <v>X</v>
      </c>
      <c r="L3688" s="1" t="str">
        <f t="shared" si="772"/>
        <v>X</v>
      </c>
      <c r="M3688" s="1" t="str">
        <f t="shared" si="772"/>
        <v>X</v>
      </c>
      <c r="N3688" t="s">
        <v>27</v>
      </c>
    </row>
    <row r="3689" spans="1:14" x14ac:dyDescent="0.25">
      <c r="A3689" t="s">
        <v>41</v>
      </c>
      <c r="B3689" t="s">
        <v>39</v>
      </c>
      <c r="C3689" t="s">
        <v>35</v>
      </c>
      <c r="D3689" t="s">
        <v>15</v>
      </c>
      <c r="E3689" t="s">
        <v>22</v>
      </c>
      <c r="F3689" t="s">
        <v>18</v>
      </c>
      <c r="G3689" s="1" t="str">
        <f t="shared" si="772"/>
        <v>X</v>
      </c>
      <c r="H3689" s="1" t="str">
        <f t="shared" si="772"/>
        <v>X</v>
      </c>
      <c r="I3689" s="1" t="str">
        <f t="shared" si="772"/>
        <v>X</v>
      </c>
      <c r="J3689" s="1" t="str">
        <f t="shared" si="772"/>
        <v>X</v>
      </c>
      <c r="K3689" s="1" t="str">
        <f t="shared" si="772"/>
        <v>X</v>
      </c>
      <c r="L3689" s="1" t="str">
        <f t="shared" si="772"/>
        <v>X</v>
      </c>
      <c r="M3689" s="1" t="str">
        <f t="shared" si="772"/>
        <v>X</v>
      </c>
      <c r="N3689" t="s">
        <v>27</v>
      </c>
    </row>
    <row r="3690" spans="1:14" x14ac:dyDescent="0.25">
      <c r="A3690" t="s">
        <v>41</v>
      </c>
      <c r="B3690" t="s">
        <v>39</v>
      </c>
      <c r="C3690" t="s">
        <v>35</v>
      </c>
      <c r="D3690" t="s">
        <v>15</v>
      </c>
      <c r="E3690" t="s">
        <v>22</v>
      </c>
      <c r="F3690" t="s">
        <v>19</v>
      </c>
      <c r="G3690" s="2">
        <f>VALUE(265.9376158925)</f>
        <v>265.93761589249999</v>
      </c>
      <c r="H3690" s="3">
        <f>VALUE(266.7832884606)</f>
        <v>266.78328846059998</v>
      </c>
      <c r="I3690" s="4">
        <f>VALUE(3095)</f>
        <v>3095</v>
      </c>
      <c r="J3690" s="1">
        <f>VALUE(3690)</f>
        <v>3690</v>
      </c>
      <c r="K3690" s="6">
        <f>VALUE(4493)</f>
        <v>4493</v>
      </c>
      <c r="L3690" s="1">
        <f>VALUE(4719)</f>
        <v>4719</v>
      </c>
      <c r="M3690" s="8">
        <f>VALUE(5130)</f>
        <v>5130</v>
      </c>
      <c r="N3690" t="s">
        <v>25</v>
      </c>
    </row>
    <row r="3691" spans="1:14" x14ac:dyDescent="0.25">
      <c r="A3691" t="s">
        <v>41</v>
      </c>
      <c r="B3691" t="s">
        <v>39</v>
      </c>
      <c r="C3691" t="s">
        <v>35</v>
      </c>
      <c r="D3691" t="s">
        <v>15</v>
      </c>
      <c r="E3691" t="s">
        <v>22</v>
      </c>
      <c r="F3691" t="s">
        <v>20</v>
      </c>
      <c r="G3691" s="2">
        <f>VALUE(1549.7050337967)</f>
        <v>1549.7050337967</v>
      </c>
      <c r="H3691" s="3">
        <f>VALUE(1495.6928352315)</f>
        <v>1495.6928352315001</v>
      </c>
      <c r="I3691" s="1">
        <f>VALUE(3011)</f>
        <v>3011</v>
      </c>
      <c r="J3691" s="1">
        <f>VALUE(3537)</f>
        <v>3537</v>
      </c>
      <c r="K3691" s="1">
        <f>VALUE(4051)</f>
        <v>4051</v>
      </c>
      <c r="L3691" s="1">
        <f>VALUE(4626)</f>
        <v>4626</v>
      </c>
      <c r="M3691" s="1">
        <f>VALUE(5327)</f>
        <v>5327</v>
      </c>
      <c r="N3691" t="s">
        <v>25</v>
      </c>
    </row>
    <row r="3692" spans="1:14" x14ac:dyDescent="0.25">
      <c r="A3692" t="s">
        <v>41</v>
      </c>
      <c r="B3692" t="s">
        <v>39</v>
      </c>
      <c r="C3692" t="s">
        <v>35</v>
      </c>
      <c r="D3692" t="s">
        <v>15</v>
      </c>
      <c r="E3692" t="s">
        <v>23</v>
      </c>
      <c r="F3692" t="s">
        <v>15</v>
      </c>
      <c r="G3692" s="2">
        <f>VALUE(1089.8956787303)</f>
        <v>1089.8956787303</v>
      </c>
      <c r="H3692" s="3">
        <f>VALUE(1023.8743898264)</f>
        <v>1023.8743898264</v>
      </c>
      <c r="I3692" s="1">
        <f>VALUE(2708)</f>
        <v>2708</v>
      </c>
      <c r="J3692" s="1">
        <f>VALUE(3113)</f>
        <v>3113</v>
      </c>
      <c r="K3692" s="1">
        <f>VALUE(3500)</f>
        <v>3500</v>
      </c>
      <c r="L3692" s="1">
        <f>VALUE(4314)</f>
        <v>4314</v>
      </c>
      <c r="M3692" s="1">
        <f>VALUE(4917)</f>
        <v>4917</v>
      </c>
      <c r="N3692" t="s">
        <v>25</v>
      </c>
    </row>
    <row r="3693" spans="1:14" x14ac:dyDescent="0.25">
      <c r="A3693" t="s">
        <v>41</v>
      </c>
      <c r="B3693" t="s">
        <v>39</v>
      </c>
      <c r="C3693" t="s">
        <v>35</v>
      </c>
      <c r="D3693" t="s">
        <v>15</v>
      </c>
      <c r="E3693" t="s">
        <v>23</v>
      </c>
      <c r="F3693" t="s">
        <v>17</v>
      </c>
      <c r="G3693" s="1" t="str">
        <f t="shared" ref="G3693:M3695" si="773">"X"</f>
        <v>X</v>
      </c>
      <c r="H3693" s="1" t="str">
        <f t="shared" si="773"/>
        <v>X</v>
      </c>
      <c r="I3693" s="1" t="str">
        <f t="shared" si="773"/>
        <v>X</v>
      </c>
      <c r="J3693" s="1" t="str">
        <f t="shared" si="773"/>
        <v>X</v>
      </c>
      <c r="K3693" s="1" t="str">
        <f t="shared" si="773"/>
        <v>X</v>
      </c>
      <c r="L3693" s="1" t="str">
        <f t="shared" si="773"/>
        <v>X</v>
      </c>
      <c r="M3693" s="1" t="str">
        <f t="shared" si="773"/>
        <v>X</v>
      </c>
      <c r="N3693" t="s">
        <v>27</v>
      </c>
    </row>
    <row r="3694" spans="1:14" x14ac:dyDescent="0.25">
      <c r="A3694" t="s">
        <v>41</v>
      </c>
      <c r="B3694" t="s">
        <v>39</v>
      </c>
      <c r="C3694" t="s">
        <v>35</v>
      </c>
      <c r="D3694" t="s">
        <v>15</v>
      </c>
      <c r="E3694" t="s">
        <v>23</v>
      </c>
      <c r="F3694" t="s">
        <v>18</v>
      </c>
      <c r="G3694" s="1" t="str">
        <f t="shared" si="773"/>
        <v>X</v>
      </c>
      <c r="H3694" s="1" t="str">
        <f t="shared" si="773"/>
        <v>X</v>
      </c>
      <c r="I3694" s="1" t="str">
        <f t="shared" si="773"/>
        <v>X</v>
      </c>
      <c r="J3694" s="1" t="str">
        <f t="shared" si="773"/>
        <v>X</v>
      </c>
      <c r="K3694" s="1" t="str">
        <f t="shared" si="773"/>
        <v>X</v>
      </c>
      <c r="L3694" s="1" t="str">
        <f t="shared" si="773"/>
        <v>X</v>
      </c>
      <c r="M3694" s="1" t="str">
        <f t="shared" si="773"/>
        <v>X</v>
      </c>
      <c r="N3694" t="s">
        <v>27</v>
      </c>
    </row>
    <row r="3695" spans="1:14" x14ac:dyDescent="0.25">
      <c r="A3695" t="s">
        <v>41</v>
      </c>
      <c r="B3695" t="s">
        <v>39</v>
      </c>
      <c r="C3695" t="s">
        <v>35</v>
      </c>
      <c r="D3695" t="s">
        <v>15</v>
      </c>
      <c r="E3695" t="s">
        <v>23</v>
      </c>
      <c r="F3695" t="s">
        <v>19</v>
      </c>
      <c r="G3695" s="1" t="str">
        <f t="shared" si="773"/>
        <v>X</v>
      </c>
      <c r="H3695" s="1" t="str">
        <f t="shared" si="773"/>
        <v>X</v>
      </c>
      <c r="I3695" s="1" t="str">
        <f t="shared" si="773"/>
        <v>X</v>
      </c>
      <c r="J3695" s="1" t="str">
        <f t="shared" si="773"/>
        <v>X</v>
      </c>
      <c r="K3695" s="1" t="str">
        <f t="shared" si="773"/>
        <v>X</v>
      </c>
      <c r="L3695" s="1" t="str">
        <f t="shared" si="773"/>
        <v>X</v>
      </c>
      <c r="M3695" s="1" t="str">
        <f t="shared" si="773"/>
        <v>X</v>
      </c>
      <c r="N3695" t="s">
        <v>27</v>
      </c>
    </row>
    <row r="3696" spans="1:14" x14ac:dyDescent="0.25">
      <c r="A3696" t="s">
        <v>41</v>
      </c>
      <c r="B3696" t="s">
        <v>39</v>
      </c>
      <c r="C3696" t="s">
        <v>35</v>
      </c>
      <c r="D3696" t="s">
        <v>15</v>
      </c>
      <c r="E3696" t="s">
        <v>23</v>
      </c>
      <c r="F3696" t="s">
        <v>20</v>
      </c>
      <c r="G3696" s="2">
        <f>VALUE(991.3960035216)</f>
        <v>991.39600352160005</v>
      </c>
      <c r="H3696" s="3">
        <f>VALUE(923.9453540155)</f>
        <v>923.94535401550002</v>
      </c>
      <c r="I3696" s="1">
        <f>VALUE(2795)</f>
        <v>2795</v>
      </c>
      <c r="J3696" s="1">
        <f>VALUE(3107)</f>
        <v>3107</v>
      </c>
      <c r="K3696" s="1">
        <f>VALUE(3496)</f>
        <v>3496</v>
      </c>
      <c r="L3696" s="1">
        <f>VALUE(4221)</f>
        <v>4221</v>
      </c>
      <c r="M3696" s="1">
        <f>VALUE(4933)</f>
        <v>4933</v>
      </c>
      <c r="N3696" t="s">
        <v>25</v>
      </c>
    </row>
    <row r="3697" spans="1:14" x14ac:dyDescent="0.25">
      <c r="A3697" t="s">
        <v>41</v>
      </c>
      <c r="B3697" t="s">
        <v>39</v>
      </c>
      <c r="C3697" t="s">
        <v>35</v>
      </c>
      <c r="D3697" t="s">
        <v>15</v>
      </c>
      <c r="E3697" t="s">
        <v>26</v>
      </c>
      <c r="F3697" t="s">
        <v>15</v>
      </c>
      <c r="G3697" s="1" t="str">
        <f t="shared" ref="G3697:M3697" si="774">"X"</f>
        <v>X</v>
      </c>
      <c r="H3697" s="1" t="str">
        <f t="shared" si="774"/>
        <v>X</v>
      </c>
      <c r="I3697" s="1" t="str">
        <f t="shared" si="774"/>
        <v>X</v>
      </c>
      <c r="J3697" s="1" t="str">
        <f t="shared" si="774"/>
        <v>X</v>
      </c>
      <c r="K3697" s="1" t="str">
        <f t="shared" si="774"/>
        <v>X</v>
      </c>
      <c r="L3697" s="1" t="str">
        <f t="shared" si="774"/>
        <v>X</v>
      </c>
      <c r="M3697" s="1" t="str">
        <f t="shared" si="774"/>
        <v>X</v>
      </c>
      <c r="N3697" t="s">
        <v>27</v>
      </c>
    </row>
    <row r="3698" spans="1:14" x14ac:dyDescent="0.25">
      <c r="A3698" t="s">
        <v>41</v>
      </c>
      <c r="B3698" t="s">
        <v>39</v>
      </c>
      <c r="C3698" t="s">
        <v>35</v>
      </c>
      <c r="D3698" t="s">
        <v>15</v>
      </c>
      <c r="E3698" t="s">
        <v>26</v>
      </c>
      <c r="F3698" t="s">
        <v>17</v>
      </c>
      <c r="G3698" s="1" t="str">
        <f t="shared" ref="G3698:M3700" si="775">"..."</f>
        <v>...</v>
      </c>
      <c r="H3698" s="1" t="str">
        <f t="shared" si="775"/>
        <v>...</v>
      </c>
      <c r="I3698" s="1" t="str">
        <f t="shared" si="775"/>
        <v>...</v>
      </c>
      <c r="J3698" s="1" t="str">
        <f t="shared" si="775"/>
        <v>...</v>
      </c>
      <c r="K3698" s="1" t="str">
        <f t="shared" si="775"/>
        <v>...</v>
      </c>
      <c r="L3698" s="1" t="str">
        <f t="shared" si="775"/>
        <v>...</v>
      </c>
      <c r="M3698" s="1" t="str">
        <f t="shared" si="775"/>
        <v>...</v>
      </c>
      <c r="N3698" t="s">
        <v>30</v>
      </c>
    </row>
    <row r="3699" spans="1:14" x14ac:dyDescent="0.25">
      <c r="A3699" t="s">
        <v>41</v>
      </c>
      <c r="B3699" t="s">
        <v>39</v>
      </c>
      <c r="C3699" t="s">
        <v>35</v>
      </c>
      <c r="D3699" t="s">
        <v>15</v>
      </c>
      <c r="E3699" t="s">
        <v>26</v>
      </c>
      <c r="F3699" t="s">
        <v>18</v>
      </c>
      <c r="G3699" s="1" t="str">
        <f t="shared" si="775"/>
        <v>...</v>
      </c>
      <c r="H3699" s="1" t="str">
        <f t="shared" si="775"/>
        <v>...</v>
      </c>
      <c r="I3699" s="1" t="str">
        <f t="shared" si="775"/>
        <v>...</v>
      </c>
      <c r="J3699" s="1" t="str">
        <f t="shared" si="775"/>
        <v>...</v>
      </c>
      <c r="K3699" s="1" t="str">
        <f t="shared" si="775"/>
        <v>...</v>
      </c>
      <c r="L3699" s="1" t="str">
        <f t="shared" si="775"/>
        <v>...</v>
      </c>
      <c r="M3699" s="1" t="str">
        <f t="shared" si="775"/>
        <v>...</v>
      </c>
      <c r="N3699" t="s">
        <v>30</v>
      </c>
    </row>
    <row r="3700" spans="1:14" x14ac:dyDescent="0.25">
      <c r="A3700" t="s">
        <v>41</v>
      </c>
      <c r="B3700" t="s">
        <v>39</v>
      </c>
      <c r="C3700" t="s">
        <v>35</v>
      </c>
      <c r="D3700" t="s">
        <v>15</v>
      </c>
      <c r="E3700" t="s">
        <v>26</v>
      </c>
      <c r="F3700" t="s">
        <v>19</v>
      </c>
      <c r="G3700" s="1" t="str">
        <f t="shared" si="775"/>
        <v>...</v>
      </c>
      <c r="H3700" s="1" t="str">
        <f t="shared" si="775"/>
        <v>...</v>
      </c>
      <c r="I3700" s="1" t="str">
        <f t="shared" si="775"/>
        <v>...</v>
      </c>
      <c r="J3700" s="1" t="str">
        <f t="shared" si="775"/>
        <v>...</v>
      </c>
      <c r="K3700" s="1" t="str">
        <f t="shared" si="775"/>
        <v>...</v>
      </c>
      <c r="L3700" s="1" t="str">
        <f t="shared" si="775"/>
        <v>...</v>
      </c>
      <c r="M3700" s="1" t="str">
        <f t="shared" si="775"/>
        <v>...</v>
      </c>
      <c r="N3700" t="s">
        <v>30</v>
      </c>
    </row>
    <row r="3701" spans="1:14" x14ac:dyDescent="0.25">
      <c r="A3701" t="s">
        <v>41</v>
      </c>
      <c r="B3701" t="s">
        <v>39</v>
      </c>
      <c r="C3701" t="s">
        <v>35</v>
      </c>
      <c r="D3701" t="s">
        <v>15</v>
      </c>
      <c r="E3701" t="s">
        <v>26</v>
      </c>
      <c r="F3701" t="s">
        <v>20</v>
      </c>
      <c r="G3701" s="1" t="str">
        <f t="shared" ref="G3701:M3701" si="776">"X"</f>
        <v>X</v>
      </c>
      <c r="H3701" s="1" t="str">
        <f t="shared" si="776"/>
        <v>X</v>
      </c>
      <c r="I3701" s="1" t="str">
        <f t="shared" si="776"/>
        <v>X</v>
      </c>
      <c r="J3701" s="1" t="str">
        <f t="shared" si="776"/>
        <v>X</v>
      </c>
      <c r="K3701" s="1" t="str">
        <f t="shared" si="776"/>
        <v>X</v>
      </c>
      <c r="L3701" s="1" t="str">
        <f t="shared" si="776"/>
        <v>X</v>
      </c>
      <c r="M3701" s="1" t="str">
        <f t="shared" si="776"/>
        <v>X</v>
      </c>
      <c r="N3701" t="s">
        <v>27</v>
      </c>
    </row>
    <row r="3702" spans="1:14" x14ac:dyDescent="0.25">
      <c r="A3702" t="s">
        <v>41</v>
      </c>
      <c r="B3702" t="s">
        <v>39</v>
      </c>
      <c r="C3702" t="s">
        <v>35</v>
      </c>
      <c r="D3702" t="s">
        <v>28</v>
      </c>
      <c r="E3702" t="s">
        <v>15</v>
      </c>
      <c r="F3702" t="s">
        <v>15</v>
      </c>
      <c r="G3702" s="2">
        <f>VALUE(1659.1442554749)</f>
        <v>1659.1442554749001</v>
      </c>
      <c r="H3702" s="3">
        <f>VALUE(1573.0156803137)</f>
        <v>1573.0156803136999</v>
      </c>
      <c r="I3702" s="4">
        <f>VALUE(3011)</f>
        <v>3011</v>
      </c>
      <c r="J3702" s="1">
        <f>VALUE(3556)</f>
        <v>3556</v>
      </c>
      <c r="K3702" s="1">
        <f>VALUE(4000)</f>
        <v>4000</v>
      </c>
      <c r="L3702" s="1">
        <f>VALUE(4588)</f>
        <v>4588</v>
      </c>
      <c r="M3702" s="1">
        <f>VALUE(5305)</f>
        <v>5305</v>
      </c>
      <c r="N3702" t="s">
        <v>25</v>
      </c>
    </row>
    <row r="3703" spans="1:14" x14ac:dyDescent="0.25">
      <c r="A3703" t="s">
        <v>41</v>
      </c>
      <c r="B3703" t="s">
        <v>39</v>
      </c>
      <c r="C3703" t="s">
        <v>35</v>
      </c>
      <c r="D3703" t="s">
        <v>28</v>
      </c>
      <c r="E3703" t="s">
        <v>15</v>
      </c>
      <c r="F3703" t="s">
        <v>17</v>
      </c>
      <c r="G3703" s="1" t="str">
        <f t="shared" ref="G3703:M3704" si="777">"X"</f>
        <v>X</v>
      </c>
      <c r="H3703" s="1" t="str">
        <f t="shared" si="777"/>
        <v>X</v>
      </c>
      <c r="I3703" s="1" t="str">
        <f t="shared" si="777"/>
        <v>X</v>
      </c>
      <c r="J3703" s="1" t="str">
        <f t="shared" si="777"/>
        <v>X</v>
      </c>
      <c r="K3703" s="1" t="str">
        <f t="shared" si="777"/>
        <v>X</v>
      </c>
      <c r="L3703" s="1" t="str">
        <f t="shared" si="777"/>
        <v>X</v>
      </c>
      <c r="M3703" s="1" t="str">
        <f t="shared" si="777"/>
        <v>X</v>
      </c>
      <c r="N3703" t="s">
        <v>27</v>
      </c>
    </row>
    <row r="3704" spans="1:14" x14ac:dyDescent="0.25">
      <c r="A3704" t="s">
        <v>41</v>
      </c>
      <c r="B3704" t="s">
        <v>39</v>
      </c>
      <c r="C3704" t="s">
        <v>35</v>
      </c>
      <c r="D3704" t="s">
        <v>28</v>
      </c>
      <c r="E3704" t="s">
        <v>15</v>
      </c>
      <c r="F3704" t="s">
        <v>18</v>
      </c>
      <c r="G3704" s="1" t="str">
        <f t="shared" si="777"/>
        <v>X</v>
      </c>
      <c r="H3704" s="1" t="str">
        <f t="shared" si="777"/>
        <v>X</v>
      </c>
      <c r="I3704" s="1" t="str">
        <f t="shared" si="777"/>
        <v>X</v>
      </c>
      <c r="J3704" s="1" t="str">
        <f t="shared" si="777"/>
        <v>X</v>
      </c>
      <c r="K3704" s="1" t="str">
        <f t="shared" si="777"/>
        <v>X</v>
      </c>
      <c r="L3704" s="1" t="str">
        <f t="shared" si="777"/>
        <v>X</v>
      </c>
      <c r="M3704" s="1" t="str">
        <f t="shared" si="777"/>
        <v>X</v>
      </c>
      <c r="N3704" t="s">
        <v>27</v>
      </c>
    </row>
    <row r="3705" spans="1:14" x14ac:dyDescent="0.25">
      <c r="A3705" t="s">
        <v>41</v>
      </c>
      <c r="B3705" t="s">
        <v>39</v>
      </c>
      <c r="C3705" t="s">
        <v>35</v>
      </c>
      <c r="D3705" t="s">
        <v>28</v>
      </c>
      <c r="E3705" t="s">
        <v>15</v>
      </c>
      <c r="F3705" t="s">
        <v>19</v>
      </c>
      <c r="G3705" s="2">
        <f>VALUE(228.9193616244)</f>
        <v>228.91936162440001</v>
      </c>
      <c r="H3705" s="3">
        <f>VALUE(231.1710135195)</f>
        <v>231.17101351950001</v>
      </c>
      <c r="I3705" s="1">
        <f>VALUE(3353)</f>
        <v>3353</v>
      </c>
      <c r="J3705" s="1">
        <f>VALUE(3785)</f>
        <v>3785</v>
      </c>
      <c r="K3705" s="6">
        <f>VALUE(4130)</f>
        <v>4130</v>
      </c>
      <c r="L3705" s="7">
        <f>VALUE(4759)</f>
        <v>4759</v>
      </c>
      <c r="M3705" s="8">
        <f>VALUE(5025)</f>
        <v>5025</v>
      </c>
      <c r="N3705" t="s">
        <v>25</v>
      </c>
    </row>
    <row r="3706" spans="1:14" x14ac:dyDescent="0.25">
      <c r="A3706" t="s">
        <v>41</v>
      </c>
      <c r="B3706" t="s">
        <v>39</v>
      </c>
      <c r="C3706" t="s">
        <v>35</v>
      </c>
      <c r="D3706" t="s">
        <v>28</v>
      </c>
      <c r="E3706" t="s">
        <v>15</v>
      </c>
      <c r="F3706" t="s">
        <v>20</v>
      </c>
      <c r="G3706" s="2">
        <f>VALUE(1237.7722083584)</f>
        <v>1237.7722083583999</v>
      </c>
      <c r="H3706" s="3">
        <f>VALUE(1152.8971951214)</f>
        <v>1152.8971951214</v>
      </c>
      <c r="I3706" s="4">
        <f>VALUE(2827)</f>
        <v>2827</v>
      </c>
      <c r="J3706" s="1">
        <f>VALUE(3521)</f>
        <v>3521</v>
      </c>
      <c r="K3706" s="1">
        <f>VALUE(4000)</f>
        <v>4000</v>
      </c>
      <c r="L3706" s="1">
        <f>VALUE(4544)</f>
        <v>4544</v>
      </c>
      <c r="M3706" s="1">
        <f>VALUE(5223)</f>
        <v>5223</v>
      </c>
      <c r="N3706" t="s">
        <v>25</v>
      </c>
    </row>
    <row r="3707" spans="1:14" x14ac:dyDescent="0.25">
      <c r="A3707" t="s">
        <v>41</v>
      </c>
      <c r="B3707" t="s">
        <v>39</v>
      </c>
      <c r="C3707" t="s">
        <v>35</v>
      </c>
      <c r="D3707" t="s">
        <v>28</v>
      </c>
      <c r="E3707" t="s">
        <v>21</v>
      </c>
      <c r="F3707" t="s">
        <v>15</v>
      </c>
      <c r="G3707" s="2">
        <f>VALUE(199.8738905462)</f>
        <v>199.87389054619999</v>
      </c>
      <c r="H3707" s="3">
        <f>VALUE(195.7283643967)</f>
        <v>195.72836439669999</v>
      </c>
      <c r="I3707" s="4">
        <f>VALUE(2369)</f>
        <v>2369</v>
      </c>
      <c r="J3707" s="5">
        <f>VALUE(3273)</f>
        <v>3273</v>
      </c>
      <c r="K3707" s="6">
        <f>VALUE(3921)</f>
        <v>3921</v>
      </c>
      <c r="L3707" s="1">
        <f>VALUE(4279)</f>
        <v>4279</v>
      </c>
      <c r="M3707" s="1">
        <f>VALUE(4789)</f>
        <v>4789</v>
      </c>
      <c r="N3707" t="s">
        <v>25</v>
      </c>
    </row>
    <row r="3708" spans="1:14" x14ac:dyDescent="0.25">
      <c r="A3708" t="s">
        <v>41</v>
      </c>
      <c r="B3708" t="s">
        <v>39</v>
      </c>
      <c r="C3708" t="s">
        <v>35</v>
      </c>
      <c r="D3708" t="s">
        <v>28</v>
      </c>
      <c r="E3708" t="s">
        <v>21</v>
      </c>
      <c r="F3708" t="s">
        <v>17</v>
      </c>
      <c r="G3708" s="1" t="str">
        <f t="shared" ref="G3708:M3711" si="778">"X"</f>
        <v>X</v>
      </c>
      <c r="H3708" s="1" t="str">
        <f t="shared" si="778"/>
        <v>X</v>
      </c>
      <c r="I3708" s="1" t="str">
        <f t="shared" si="778"/>
        <v>X</v>
      </c>
      <c r="J3708" s="1" t="str">
        <f t="shared" si="778"/>
        <v>X</v>
      </c>
      <c r="K3708" s="1" t="str">
        <f t="shared" si="778"/>
        <v>X</v>
      </c>
      <c r="L3708" s="1" t="str">
        <f t="shared" si="778"/>
        <v>X</v>
      </c>
      <c r="M3708" s="1" t="str">
        <f t="shared" si="778"/>
        <v>X</v>
      </c>
      <c r="N3708" t="s">
        <v>27</v>
      </c>
    </row>
    <row r="3709" spans="1:14" x14ac:dyDescent="0.25">
      <c r="A3709" t="s">
        <v>41</v>
      </c>
      <c r="B3709" t="s">
        <v>39</v>
      </c>
      <c r="C3709" t="s">
        <v>35</v>
      </c>
      <c r="D3709" t="s">
        <v>28</v>
      </c>
      <c r="E3709" t="s">
        <v>21</v>
      </c>
      <c r="F3709" t="s">
        <v>18</v>
      </c>
      <c r="G3709" s="1" t="str">
        <f t="shared" si="778"/>
        <v>X</v>
      </c>
      <c r="H3709" s="1" t="str">
        <f t="shared" si="778"/>
        <v>X</v>
      </c>
      <c r="I3709" s="1" t="str">
        <f t="shared" si="778"/>
        <v>X</v>
      </c>
      <c r="J3709" s="1" t="str">
        <f t="shared" si="778"/>
        <v>X</v>
      </c>
      <c r="K3709" s="1" t="str">
        <f t="shared" si="778"/>
        <v>X</v>
      </c>
      <c r="L3709" s="1" t="str">
        <f t="shared" si="778"/>
        <v>X</v>
      </c>
      <c r="M3709" s="1" t="str">
        <f t="shared" si="778"/>
        <v>X</v>
      </c>
      <c r="N3709" t="s">
        <v>27</v>
      </c>
    </row>
    <row r="3710" spans="1:14" x14ac:dyDescent="0.25">
      <c r="A3710" t="s">
        <v>41</v>
      </c>
      <c r="B3710" t="s">
        <v>39</v>
      </c>
      <c r="C3710" t="s">
        <v>35</v>
      </c>
      <c r="D3710" t="s">
        <v>28</v>
      </c>
      <c r="E3710" t="s">
        <v>21</v>
      </c>
      <c r="F3710" t="s">
        <v>19</v>
      </c>
      <c r="G3710" s="1" t="str">
        <f t="shared" si="778"/>
        <v>X</v>
      </c>
      <c r="H3710" s="1" t="str">
        <f t="shared" si="778"/>
        <v>X</v>
      </c>
      <c r="I3710" s="1" t="str">
        <f t="shared" si="778"/>
        <v>X</v>
      </c>
      <c r="J3710" s="1" t="str">
        <f t="shared" si="778"/>
        <v>X</v>
      </c>
      <c r="K3710" s="1" t="str">
        <f t="shared" si="778"/>
        <v>X</v>
      </c>
      <c r="L3710" s="1" t="str">
        <f t="shared" si="778"/>
        <v>X</v>
      </c>
      <c r="M3710" s="1" t="str">
        <f t="shared" si="778"/>
        <v>X</v>
      </c>
      <c r="N3710" t="s">
        <v>27</v>
      </c>
    </row>
    <row r="3711" spans="1:14" x14ac:dyDescent="0.25">
      <c r="A3711" t="s">
        <v>41</v>
      </c>
      <c r="B3711" t="s">
        <v>39</v>
      </c>
      <c r="C3711" t="s">
        <v>35</v>
      </c>
      <c r="D3711" t="s">
        <v>28</v>
      </c>
      <c r="E3711" t="s">
        <v>21</v>
      </c>
      <c r="F3711" t="s">
        <v>20</v>
      </c>
      <c r="G3711" s="1" t="str">
        <f t="shared" si="778"/>
        <v>X</v>
      </c>
      <c r="H3711" s="1" t="str">
        <f t="shared" si="778"/>
        <v>X</v>
      </c>
      <c r="I3711" s="1" t="str">
        <f t="shared" si="778"/>
        <v>X</v>
      </c>
      <c r="J3711" s="1" t="str">
        <f t="shared" si="778"/>
        <v>X</v>
      </c>
      <c r="K3711" s="1" t="str">
        <f t="shared" si="778"/>
        <v>X</v>
      </c>
      <c r="L3711" s="1" t="str">
        <f t="shared" si="778"/>
        <v>X</v>
      </c>
      <c r="M3711" s="1" t="str">
        <f t="shared" si="778"/>
        <v>X</v>
      </c>
      <c r="N3711" t="s">
        <v>27</v>
      </c>
    </row>
    <row r="3712" spans="1:14" x14ac:dyDescent="0.25">
      <c r="A3712" t="s">
        <v>41</v>
      </c>
      <c r="B3712" t="s">
        <v>39</v>
      </c>
      <c r="C3712" t="s">
        <v>35</v>
      </c>
      <c r="D3712" t="s">
        <v>28</v>
      </c>
      <c r="E3712" t="s">
        <v>22</v>
      </c>
      <c r="F3712" t="s">
        <v>15</v>
      </c>
      <c r="G3712" s="2">
        <f>VALUE(1207.6267072103)</f>
        <v>1207.6267072103001</v>
      </c>
      <c r="H3712" s="3">
        <f>VALUE(1168.4144585119)</f>
        <v>1168.4144585119</v>
      </c>
      <c r="I3712" s="1">
        <f>VALUE(3083)</f>
        <v>3083</v>
      </c>
      <c r="J3712" s="1">
        <f>VALUE(3667)</f>
        <v>3667</v>
      </c>
      <c r="K3712" s="1">
        <f>VALUE(4024)</f>
        <v>4024</v>
      </c>
      <c r="L3712" s="1">
        <f>VALUE(4651)</f>
        <v>4651</v>
      </c>
      <c r="M3712" s="1">
        <f>VALUE(5437)</f>
        <v>5437</v>
      </c>
      <c r="N3712" t="s">
        <v>25</v>
      </c>
    </row>
    <row r="3713" spans="1:14" x14ac:dyDescent="0.25">
      <c r="A3713" t="s">
        <v>41</v>
      </c>
      <c r="B3713" t="s">
        <v>39</v>
      </c>
      <c r="C3713" t="s">
        <v>35</v>
      </c>
      <c r="D3713" t="s">
        <v>28</v>
      </c>
      <c r="E3713" t="s">
        <v>22</v>
      </c>
      <c r="F3713" t="s">
        <v>17</v>
      </c>
      <c r="G3713" s="1" t="str">
        <f t="shared" ref="G3713:M3715" si="779">"X"</f>
        <v>X</v>
      </c>
      <c r="H3713" s="1" t="str">
        <f t="shared" si="779"/>
        <v>X</v>
      </c>
      <c r="I3713" s="1" t="str">
        <f t="shared" si="779"/>
        <v>X</v>
      </c>
      <c r="J3713" s="1" t="str">
        <f t="shared" si="779"/>
        <v>X</v>
      </c>
      <c r="K3713" s="1" t="str">
        <f t="shared" si="779"/>
        <v>X</v>
      </c>
      <c r="L3713" s="1" t="str">
        <f t="shared" si="779"/>
        <v>X</v>
      </c>
      <c r="M3713" s="1" t="str">
        <f t="shared" si="779"/>
        <v>X</v>
      </c>
      <c r="N3713" t="s">
        <v>27</v>
      </c>
    </row>
    <row r="3714" spans="1:14" x14ac:dyDescent="0.25">
      <c r="A3714" t="s">
        <v>41</v>
      </c>
      <c r="B3714" t="s">
        <v>39</v>
      </c>
      <c r="C3714" t="s">
        <v>35</v>
      </c>
      <c r="D3714" t="s">
        <v>28</v>
      </c>
      <c r="E3714" t="s">
        <v>22</v>
      </c>
      <c r="F3714" t="s">
        <v>18</v>
      </c>
      <c r="G3714" s="1" t="str">
        <f t="shared" si="779"/>
        <v>X</v>
      </c>
      <c r="H3714" s="1" t="str">
        <f t="shared" si="779"/>
        <v>X</v>
      </c>
      <c r="I3714" s="1" t="str">
        <f t="shared" si="779"/>
        <v>X</v>
      </c>
      <c r="J3714" s="1" t="str">
        <f t="shared" si="779"/>
        <v>X</v>
      </c>
      <c r="K3714" s="1" t="str">
        <f t="shared" si="779"/>
        <v>X</v>
      </c>
      <c r="L3714" s="1" t="str">
        <f t="shared" si="779"/>
        <v>X</v>
      </c>
      <c r="M3714" s="1" t="str">
        <f t="shared" si="779"/>
        <v>X</v>
      </c>
      <c r="N3714" t="s">
        <v>27</v>
      </c>
    </row>
    <row r="3715" spans="1:14" x14ac:dyDescent="0.25">
      <c r="A3715" t="s">
        <v>41</v>
      </c>
      <c r="B3715" t="s">
        <v>39</v>
      </c>
      <c r="C3715" t="s">
        <v>35</v>
      </c>
      <c r="D3715" t="s">
        <v>28</v>
      </c>
      <c r="E3715" t="s">
        <v>22</v>
      </c>
      <c r="F3715" t="s">
        <v>19</v>
      </c>
      <c r="G3715" s="1" t="str">
        <f t="shared" si="779"/>
        <v>X</v>
      </c>
      <c r="H3715" s="1" t="str">
        <f t="shared" si="779"/>
        <v>X</v>
      </c>
      <c r="I3715" s="1" t="str">
        <f t="shared" si="779"/>
        <v>X</v>
      </c>
      <c r="J3715" s="1" t="str">
        <f t="shared" si="779"/>
        <v>X</v>
      </c>
      <c r="K3715" s="1" t="str">
        <f t="shared" si="779"/>
        <v>X</v>
      </c>
      <c r="L3715" s="1" t="str">
        <f t="shared" si="779"/>
        <v>X</v>
      </c>
      <c r="M3715" s="1" t="str">
        <f t="shared" si="779"/>
        <v>X</v>
      </c>
      <c r="N3715" t="s">
        <v>27</v>
      </c>
    </row>
    <row r="3716" spans="1:14" x14ac:dyDescent="0.25">
      <c r="A3716" t="s">
        <v>41</v>
      </c>
      <c r="B3716" t="s">
        <v>39</v>
      </c>
      <c r="C3716" t="s">
        <v>35</v>
      </c>
      <c r="D3716" t="s">
        <v>28</v>
      </c>
      <c r="E3716" t="s">
        <v>22</v>
      </c>
      <c r="F3716" t="s">
        <v>20</v>
      </c>
      <c r="G3716" s="2">
        <f>VALUE(899.338047797)</f>
        <v>899.33804779699994</v>
      </c>
      <c r="H3716" s="3">
        <f>VALUE(858.0887247008)</f>
        <v>858.08872470079996</v>
      </c>
      <c r="I3716" s="4">
        <f>VALUE(3011)</f>
        <v>3011</v>
      </c>
      <c r="J3716" s="1">
        <f>VALUE(3571)</f>
        <v>3571</v>
      </c>
      <c r="K3716" s="1">
        <f>VALUE(4007)</f>
        <v>4007</v>
      </c>
      <c r="L3716" s="1">
        <f>VALUE(4536)</f>
        <v>4536</v>
      </c>
      <c r="M3716" s="1">
        <f>VALUE(5323)</f>
        <v>5323</v>
      </c>
      <c r="N3716" t="s">
        <v>25</v>
      </c>
    </row>
    <row r="3717" spans="1:14" x14ac:dyDescent="0.25">
      <c r="A3717" t="s">
        <v>41</v>
      </c>
      <c r="B3717" t="s">
        <v>39</v>
      </c>
      <c r="C3717" t="s">
        <v>35</v>
      </c>
      <c r="D3717" t="s">
        <v>28</v>
      </c>
      <c r="E3717" t="s">
        <v>23</v>
      </c>
      <c r="F3717" t="s">
        <v>15</v>
      </c>
      <c r="G3717" s="2">
        <f>VALUE(213.8711386603)</f>
        <v>213.87113866030001</v>
      </c>
      <c r="H3717" s="3">
        <f>VALUE(169.8607025867)</f>
        <v>169.8607025867</v>
      </c>
      <c r="I3717" s="4">
        <f>VALUE(3120)</f>
        <v>3120</v>
      </c>
      <c r="J3717" s="1">
        <f>VALUE(3324)</f>
        <v>3324</v>
      </c>
      <c r="K3717" s="1">
        <f>VALUE(3931)</f>
        <v>3931</v>
      </c>
      <c r="L3717" s="1">
        <f>VALUE(4601)</f>
        <v>4601</v>
      </c>
      <c r="M3717" s="1">
        <f>VALUE(4933)</f>
        <v>4933</v>
      </c>
      <c r="N3717" t="s">
        <v>25</v>
      </c>
    </row>
    <row r="3718" spans="1:14" x14ac:dyDescent="0.25">
      <c r="A3718" t="s">
        <v>41</v>
      </c>
      <c r="B3718" t="s">
        <v>39</v>
      </c>
      <c r="C3718" t="s">
        <v>35</v>
      </c>
      <c r="D3718" t="s">
        <v>28</v>
      </c>
      <c r="E3718" t="s">
        <v>23</v>
      </c>
      <c r="F3718" t="s">
        <v>17</v>
      </c>
      <c r="G3718" s="1" t="str">
        <f t="shared" ref="G3718:M3720" si="780">"X"</f>
        <v>X</v>
      </c>
      <c r="H3718" s="1" t="str">
        <f t="shared" si="780"/>
        <v>X</v>
      </c>
      <c r="I3718" s="1" t="str">
        <f t="shared" si="780"/>
        <v>X</v>
      </c>
      <c r="J3718" s="1" t="str">
        <f t="shared" si="780"/>
        <v>X</v>
      </c>
      <c r="K3718" s="1" t="str">
        <f t="shared" si="780"/>
        <v>X</v>
      </c>
      <c r="L3718" s="1" t="str">
        <f t="shared" si="780"/>
        <v>X</v>
      </c>
      <c r="M3718" s="1" t="str">
        <f t="shared" si="780"/>
        <v>X</v>
      </c>
      <c r="N3718" t="s">
        <v>27</v>
      </c>
    </row>
    <row r="3719" spans="1:14" x14ac:dyDescent="0.25">
      <c r="A3719" t="s">
        <v>41</v>
      </c>
      <c r="B3719" t="s">
        <v>39</v>
      </c>
      <c r="C3719" t="s">
        <v>35</v>
      </c>
      <c r="D3719" t="s">
        <v>28</v>
      </c>
      <c r="E3719" t="s">
        <v>23</v>
      </c>
      <c r="F3719" t="s">
        <v>18</v>
      </c>
      <c r="G3719" s="1" t="str">
        <f t="shared" si="780"/>
        <v>X</v>
      </c>
      <c r="H3719" s="1" t="str">
        <f t="shared" si="780"/>
        <v>X</v>
      </c>
      <c r="I3719" s="1" t="str">
        <f t="shared" si="780"/>
        <v>X</v>
      </c>
      <c r="J3719" s="1" t="str">
        <f t="shared" si="780"/>
        <v>X</v>
      </c>
      <c r="K3719" s="1" t="str">
        <f t="shared" si="780"/>
        <v>X</v>
      </c>
      <c r="L3719" s="1" t="str">
        <f t="shared" si="780"/>
        <v>X</v>
      </c>
      <c r="M3719" s="1" t="str">
        <f t="shared" si="780"/>
        <v>X</v>
      </c>
      <c r="N3719" t="s">
        <v>27</v>
      </c>
    </row>
    <row r="3720" spans="1:14" x14ac:dyDescent="0.25">
      <c r="A3720" t="s">
        <v>41</v>
      </c>
      <c r="B3720" t="s">
        <v>39</v>
      </c>
      <c r="C3720" t="s">
        <v>35</v>
      </c>
      <c r="D3720" t="s">
        <v>28</v>
      </c>
      <c r="E3720" t="s">
        <v>23</v>
      </c>
      <c r="F3720" t="s">
        <v>19</v>
      </c>
      <c r="G3720" s="1" t="str">
        <f t="shared" si="780"/>
        <v>X</v>
      </c>
      <c r="H3720" s="1" t="str">
        <f t="shared" si="780"/>
        <v>X</v>
      </c>
      <c r="I3720" s="1" t="str">
        <f t="shared" si="780"/>
        <v>X</v>
      </c>
      <c r="J3720" s="1" t="str">
        <f t="shared" si="780"/>
        <v>X</v>
      </c>
      <c r="K3720" s="1" t="str">
        <f t="shared" si="780"/>
        <v>X</v>
      </c>
      <c r="L3720" s="1" t="str">
        <f t="shared" si="780"/>
        <v>X</v>
      </c>
      <c r="M3720" s="1" t="str">
        <f t="shared" si="780"/>
        <v>X</v>
      </c>
      <c r="N3720" t="s">
        <v>27</v>
      </c>
    </row>
    <row r="3721" spans="1:14" x14ac:dyDescent="0.25">
      <c r="A3721" t="s">
        <v>41</v>
      </c>
      <c r="B3721" t="s">
        <v>39</v>
      </c>
      <c r="C3721" t="s">
        <v>35</v>
      </c>
      <c r="D3721" t="s">
        <v>28</v>
      </c>
      <c r="E3721" t="s">
        <v>23</v>
      </c>
      <c r="F3721" t="s">
        <v>20</v>
      </c>
      <c r="G3721" s="2">
        <f>VALUE(195.9712532617)</f>
        <v>195.97125326170001</v>
      </c>
      <c r="H3721" s="3">
        <f>VALUE(152.9737668469)</f>
        <v>152.97376684689999</v>
      </c>
      <c r="I3721" s="4">
        <f>VALUE(2936)</f>
        <v>2936</v>
      </c>
      <c r="J3721" s="1">
        <f>VALUE(3324)</f>
        <v>3324</v>
      </c>
      <c r="K3721" s="1">
        <f>VALUE(3931)</f>
        <v>3931</v>
      </c>
      <c r="L3721" s="1">
        <f>VALUE(4598)</f>
        <v>4598</v>
      </c>
      <c r="M3721" s="1">
        <f>VALUE(4933)</f>
        <v>4933</v>
      </c>
      <c r="N3721" t="s">
        <v>25</v>
      </c>
    </row>
    <row r="3722" spans="1:14" x14ac:dyDescent="0.25">
      <c r="A3722" t="s">
        <v>41</v>
      </c>
      <c r="B3722" t="s">
        <v>39</v>
      </c>
      <c r="C3722" t="s">
        <v>35</v>
      </c>
      <c r="D3722" t="s">
        <v>28</v>
      </c>
      <c r="E3722" t="s">
        <v>26</v>
      </c>
      <c r="F3722" t="s">
        <v>15</v>
      </c>
      <c r="G3722" s="1" t="str">
        <f t="shared" ref="G3722:M3722" si="781">"X"</f>
        <v>X</v>
      </c>
      <c r="H3722" s="1" t="str">
        <f t="shared" si="781"/>
        <v>X</v>
      </c>
      <c r="I3722" s="1" t="str">
        <f t="shared" si="781"/>
        <v>X</v>
      </c>
      <c r="J3722" s="1" t="str">
        <f t="shared" si="781"/>
        <v>X</v>
      </c>
      <c r="K3722" s="1" t="str">
        <f t="shared" si="781"/>
        <v>X</v>
      </c>
      <c r="L3722" s="1" t="str">
        <f t="shared" si="781"/>
        <v>X</v>
      </c>
      <c r="M3722" s="1" t="str">
        <f t="shared" si="781"/>
        <v>X</v>
      </c>
      <c r="N3722" t="s">
        <v>27</v>
      </c>
    </row>
    <row r="3723" spans="1:14" x14ac:dyDescent="0.25">
      <c r="A3723" t="s">
        <v>41</v>
      </c>
      <c r="B3723" t="s">
        <v>39</v>
      </c>
      <c r="C3723" t="s">
        <v>35</v>
      </c>
      <c r="D3723" t="s">
        <v>28</v>
      </c>
      <c r="E3723" t="s">
        <v>26</v>
      </c>
      <c r="F3723" t="s">
        <v>17</v>
      </c>
      <c r="G3723" s="1" t="str">
        <f t="shared" ref="G3723:M3725" si="782">"..."</f>
        <v>...</v>
      </c>
      <c r="H3723" s="1" t="str">
        <f t="shared" si="782"/>
        <v>...</v>
      </c>
      <c r="I3723" s="1" t="str">
        <f t="shared" si="782"/>
        <v>...</v>
      </c>
      <c r="J3723" s="1" t="str">
        <f t="shared" si="782"/>
        <v>...</v>
      </c>
      <c r="K3723" s="1" t="str">
        <f t="shared" si="782"/>
        <v>...</v>
      </c>
      <c r="L3723" s="1" t="str">
        <f t="shared" si="782"/>
        <v>...</v>
      </c>
      <c r="M3723" s="1" t="str">
        <f t="shared" si="782"/>
        <v>...</v>
      </c>
      <c r="N3723" t="s">
        <v>30</v>
      </c>
    </row>
    <row r="3724" spans="1:14" x14ac:dyDescent="0.25">
      <c r="A3724" t="s">
        <v>41</v>
      </c>
      <c r="B3724" t="s">
        <v>39</v>
      </c>
      <c r="C3724" t="s">
        <v>35</v>
      </c>
      <c r="D3724" t="s">
        <v>28</v>
      </c>
      <c r="E3724" t="s">
        <v>26</v>
      </c>
      <c r="F3724" t="s">
        <v>18</v>
      </c>
      <c r="G3724" s="1" t="str">
        <f t="shared" si="782"/>
        <v>...</v>
      </c>
      <c r="H3724" s="1" t="str">
        <f t="shared" si="782"/>
        <v>...</v>
      </c>
      <c r="I3724" s="1" t="str">
        <f t="shared" si="782"/>
        <v>...</v>
      </c>
      <c r="J3724" s="1" t="str">
        <f t="shared" si="782"/>
        <v>...</v>
      </c>
      <c r="K3724" s="1" t="str">
        <f t="shared" si="782"/>
        <v>...</v>
      </c>
      <c r="L3724" s="1" t="str">
        <f t="shared" si="782"/>
        <v>...</v>
      </c>
      <c r="M3724" s="1" t="str">
        <f t="shared" si="782"/>
        <v>...</v>
      </c>
      <c r="N3724" t="s">
        <v>30</v>
      </c>
    </row>
    <row r="3725" spans="1:14" x14ac:dyDescent="0.25">
      <c r="A3725" t="s">
        <v>41</v>
      </c>
      <c r="B3725" t="s">
        <v>39</v>
      </c>
      <c r="C3725" t="s">
        <v>35</v>
      </c>
      <c r="D3725" t="s">
        <v>28</v>
      </c>
      <c r="E3725" t="s">
        <v>26</v>
      </c>
      <c r="F3725" t="s">
        <v>19</v>
      </c>
      <c r="G3725" s="1" t="str">
        <f t="shared" si="782"/>
        <v>...</v>
      </c>
      <c r="H3725" s="1" t="str">
        <f t="shared" si="782"/>
        <v>...</v>
      </c>
      <c r="I3725" s="1" t="str">
        <f t="shared" si="782"/>
        <v>...</v>
      </c>
      <c r="J3725" s="1" t="str">
        <f t="shared" si="782"/>
        <v>...</v>
      </c>
      <c r="K3725" s="1" t="str">
        <f t="shared" si="782"/>
        <v>...</v>
      </c>
      <c r="L3725" s="1" t="str">
        <f t="shared" si="782"/>
        <v>...</v>
      </c>
      <c r="M3725" s="1" t="str">
        <f t="shared" si="782"/>
        <v>...</v>
      </c>
      <c r="N3725" t="s">
        <v>30</v>
      </c>
    </row>
    <row r="3726" spans="1:14" x14ac:dyDescent="0.25">
      <c r="A3726" t="s">
        <v>41</v>
      </c>
      <c r="B3726" t="s">
        <v>39</v>
      </c>
      <c r="C3726" t="s">
        <v>35</v>
      </c>
      <c r="D3726" t="s">
        <v>28</v>
      </c>
      <c r="E3726" t="s">
        <v>26</v>
      </c>
      <c r="F3726" t="s">
        <v>20</v>
      </c>
      <c r="G3726" s="1" t="str">
        <f t="shared" ref="G3726:M3726" si="783">"X"</f>
        <v>X</v>
      </c>
      <c r="H3726" s="1" t="str">
        <f t="shared" si="783"/>
        <v>X</v>
      </c>
      <c r="I3726" s="1" t="str">
        <f t="shared" si="783"/>
        <v>X</v>
      </c>
      <c r="J3726" s="1" t="str">
        <f t="shared" si="783"/>
        <v>X</v>
      </c>
      <c r="K3726" s="1" t="str">
        <f t="shared" si="783"/>
        <v>X</v>
      </c>
      <c r="L3726" s="1" t="str">
        <f t="shared" si="783"/>
        <v>X</v>
      </c>
      <c r="M3726" s="1" t="str">
        <f t="shared" si="783"/>
        <v>X</v>
      </c>
      <c r="N3726" t="s">
        <v>27</v>
      </c>
    </row>
    <row r="3727" spans="1:14" x14ac:dyDescent="0.25">
      <c r="A3727" t="s">
        <v>41</v>
      </c>
      <c r="B3727" t="s">
        <v>39</v>
      </c>
      <c r="C3727" t="s">
        <v>35</v>
      </c>
      <c r="D3727" t="s">
        <v>29</v>
      </c>
      <c r="E3727" t="s">
        <v>15</v>
      </c>
      <c r="F3727" t="s">
        <v>15</v>
      </c>
      <c r="G3727" s="2">
        <f>VALUE(418.1725447448)</f>
        <v>418.17254474480001</v>
      </c>
      <c r="H3727" s="3">
        <f>VALUE(397.7063563148)</f>
        <v>397.70635631480002</v>
      </c>
      <c r="I3727" s="4">
        <f>VALUE(3239)</f>
        <v>3239</v>
      </c>
      <c r="J3727" s="5">
        <f>VALUE(3686)</f>
        <v>3686</v>
      </c>
      <c r="K3727" s="1">
        <f>VALUE(4314)</f>
        <v>4314</v>
      </c>
      <c r="L3727" s="1">
        <f>VALUE(4782)</f>
        <v>4782</v>
      </c>
      <c r="M3727" s="8">
        <f>VALUE(5345)</f>
        <v>5345</v>
      </c>
      <c r="N3727" t="s">
        <v>25</v>
      </c>
    </row>
    <row r="3728" spans="1:14" x14ac:dyDescent="0.25">
      <c r="A3728" t="s">
        <v>41</v>
      </c>
      <c r="B3728" t="s">
        <v>39</v>
      </c>
      <c r="C3728" t="s">
        <v>35</v>
      </c>
      <c r="D3728" t="s">
        <v>29</v>
      </c>
      <c r="E3728" t="s">
        <v>15</v>
      </c>
      <c r="F3728" t="s">
        <v>17</v>
      </c>
      <c r="G3728" s="1" t="str">
        <f t="shared" ref="G3728:M3730" si="784">"X"</f>
        <v>X</v>
      </c>
      <c r="H3728" s="1" t="str">
        <f t="shared" si="784"/>
        <v>X</v>
      </c>
      <c r="I3728" s="1" t="str">
        <f t="shared" si="784"/>
        <v>X</v>
      </c>
      <c r="J3728" s="1" t="str">
        <f t="shared" si="784"/>
        <v>X</v>
      </c>
      <c r="K3728" s="1" t="str">
        <f t="shared" si="784"/>
        <v>X</v>
      </c>
      <c r="L3728" s="1" t="str">
        <f t="shared" si="784"/>
        <v>X</v>
      </c>
      <c r="M3728" s="1" t="str">
        <f t="shared" si="784"/>
        <v>X</v>
      </c>
      <c r="N3728" t="s">
        <v>27</v>
      </c>
    </row>
    <row r="3729" spans="1:14" x14ac:dyDescent="0.25">
      <c r="A3729" t="s">
        <v>41</v>
      </c>
      <c r="B3729" t="s">
        <v>39</v>
      </c>
      <c r="C3729" t="s">
        <v>35</v>
      </c>
      <c r="D3729" t="s">
        <v>29</v>
      </c>
      <c r="E3729" t="s">
        <v>15</v>
      </c>
      <c r="F3729" t="s">
        <v>18</v>
      </c>
      <c r="G3729" s="1" t="str">
        <f t="shared" si="784"/>
        <v>X</v>
      </c>
      <c r="H3729" s="1" t="str">
        <f t="shared" si="784"/>
        <v>X</v>
      </c>
      <c r="I3729" s="1" t="str">
        <f t="shared" si="784"/>
        <v>X</v>
      </c>
      <c r="J3729" s="1" t="str">
        <f t="shared" si="784"/>
        <v>X</v>
      </c>
      <c r="K3729" s="1" t="str">
        <f t="shared" si="784"/>
        <v>X</v>
      </c>
      <c r="L3729" s="1" t="str">
        <f t="shared" si="784"/>
        <v>X</v>
      </c>
      <c r="M3729" s="1" t="str">
        <f t="shared" si="784"/>
        <v>X</v>
      </c>
      <c r="N3729" t="s">
        <v>27</v>
      </c>
    </row>
    <row r="3730" spans="1:14" x14ac:dyDescent="0.25">
      <c r="A3730" t="s">
        <v>41</v>
      </c>
      <c r="B3730" t="s">
        <v>39</v>
      </c>
      <c r="C3730" t="s">
        <v>35</v>
      </c>
      <c r="D3730" t="s">
        <v>29</v>
      </c>
      <c r="E3730" t="s">
        <v>15</v>
      </c>
      <c r="F3730" t="s">
        <v>19</v>
      </c>
      <c r="G3730" s="1" t="str">
        <f t="shared" si="784"/>
        <v>X</v>
      </c>
      <c r="H3730" s="1" t="str">
        <f t="shared" si="784"/>
        <v>X</v>
      </c>
      <c r="I3730" s="1" t="str">
        <f t="shared" si="784"/>
        <v>X</v>
      </c>
      <c r="J3730" s="1" t="str">
        <f t="shared" si="784"/>
        <v>X</v>
      </c>
      <c r="K3730" s="1" t="str">
        <f t="shared" si="784"/>
        <v>X</v>
      </c>
      <c r="L3730" s="1" t="str">
        <f t="shared" si="784"/>
        <v>X</v>
      </c>
      <c r="M3730" s="1" t="str">
        <f t="shared" si="784"/>
        <v>X</v>
      </c>
      <c r="N3730" t="s">
        <v>27</v>
      </c>
    </row>
    <row r="3731" spans="1:14" x14ac:dyDescent="0.25">
      <c r="A3731" t="s">
        <v>41</v>
      </c>
      <c r="B3731" t="s">
        <v>39</v>
      </c>
      <c r="C3731" t="s">
        <v>35</v>
      </c>
      <c r="D3731" t="s">
        <v>29</v>
      </c>
      <c r="E3731" t="s">
        <v>15</v>
      </c>
      <c r="F3731" t="s">
        <v>20</v>
      </c>
      <c r="G3731" s="2">
        <f>VALUE(321.800587307)</f>
        <v>321.800587307</v>
      </c>
      <c r="H3731" s="3">
        <f>VALUE(300.2209835247)</f>
        <v>300.22098352469999</v>
      </c>
      <c r="I3731" s="4">
        <f>VALUE(3239)</f>
        <v>3239</v>
      </c>
      <c r="J3731" s="5">
        <f>VALUE(3844)</f>
        <v>3844</v>
      </c>
      <c r="K3731" s="1">
        <f>VALUE(4414)</f>
        <v>4414</v>
      </c>
      <c r="L3731" s="1">
        <f>VALUE(4875)</f>
        <v>4875</v>
      </c>
      <c r="M3731" s="8">
        <f>VALUE(5874)</f>
        <v>5874</v>
      </c>
      <c r="N3731" t="s">
        <v>25</v>
      </c>
    </row>
    <row r="3732" spans="1:14" x14ac:dyDescent="0.25">
      <c r="A3732" t="s">
        <v>41</v>
      </c>
      <c r="B3732" t="s">
        <v>39</v>
      </c>
      <c r="C3732" t="s">
        <v>35</v>
      </c>
      <c r="D3732" t="s">
        <v>29</v>
      </c>
      <c r="E3732" t="s">
        <v>21</v>
      </c>
      <c r="F3732" t="s">
        <v>15</v>
      </c>
      <c r="G3732" s="1" t="str">
        <f t="shared" ref="G3732:M3736" si="785">"X"</f>
        <v>X</v>
      </c>
      <c r="H3732" s="1" t="str">
        <f t="shared" si="785"/>
        <v>X</v>
      </c>
      <c r="I3732" s="1" t="str">
        <f t="shared" si="785"/>
        <v>X</v>
      </c>
      <c r="J3732" s="1" t="str">
        <f t="shared" si="785"/>
        <v>X</v>
      </c>
      <c r="K3732" s="1" t="str">
        <f t="shared" si="785"/>
        <v>X</v>
      </c>
      <c r="L3732" s="1" t="str">
        <f t="shared" si="785"/>
        <v>X</v>
      </c>
      <c r="M3732" s="1" t="str">
        <f t="shared" si="785"/>
        <v>X</v>
      </c>
      <c r="N3732" t="s">
        <v>27</v>
      </c>
    </row>
    <row r="3733" spans="1:14" x14ac:dyDescent="0.25">
      <c r="A3733" t="s">
        <v>41</v>
      </c>
      <c r="B3733" t="s">
        <v>39</v>
      </c>
      <c r="C3733" t="s">
        <v>35</v>
      </c>
      <c r="D3733" t="s">
        <v>29</v>
      </c>
      <c r="E3733" t="s">
        <v>21</v>
      </c>
      <c r="F3733" t="s">
        <v>17</v>
      </c>
      <c r="G3733" s="1" t="str">
        <f t="shared" si="785"/>
        <v>X</v>
      </c>
      <c r="H3733" s="1" t="str">
        <f t="shared" si="785"/>
        <v>X</v>
      </c>
      <c r="I3733" s="1" t="str">
        <f t="shared" si="785"/>
        <v>X</v>
      </c>
      <c r="J3733" s="1" t="str">
        <f t="shared" si="785"/>
        <v>X</v>
      </c>
      <c r="K3733" s="1" t="str">
        <f t="shared" si="785"/>
        <v>X</v>
      </c>
      <c r="L3733" s="1" t="str">
        <f t="shared" si="785"/>
        <v>X</v>
      </c>
      <c r="M3733" s="1" t="str">
        <f t="shared" si="785"/>
        <v>X</v>
      </c>
      <c r="N3733" t="s">
        <v>27</v>
      </c>
    </row>
    <row r="3734" spans="1:14" x14ac:dyDescent="0.25">
      <c r="A3734" t="s">
        <v>41</v>
      </c>
      <c r="B3734" t="s">
        <v>39</v>
      </c>
      <c r="C3734" t="s">
        <v>35</v>
      </c>
      <c r="D3734" t="s">
        <v>29</v>
      </c>
      <c r="E3734" t="s">
        <v>21</v>
      </c>
      <c r="F3734" t="s">
        <v>18</v>
      </c>
      <c r="G3734" s="1" t="str">
        <f t="shared" si="785"/>
        <v>X</v>
      </c>
      <c r="H3734" s="1" t="str">
        <f t="shared" si="785"/>
        <v>X</v>
      </c>
      <c r="I3734" s="1" t="str">
        <f t="shared" si="785"/>
        <v>X</v>
      </c>
      <c r="J3734" s="1" t="str">
        <f t="shared" si="785"/>
        <v>X</v>
      </c>
      <c r="K3734" s="1" t="str">
        <f t="shared" si="785"/>
        <v>X</v>
      </c>
      <c r="L3734" s="1" t="str">
        <f t="shared" si="785"/>
        <v>X</v>
      </c>
      <c r="M3734" s="1" t="str">
        <f t="shared" si="785"/>
        <v>X</v>
      </c>
      <c r="N3734" t="s">
        <v>27</v>
      </c>
    </row>
    <row r="3735" spans="1:14" x14ac:dyDescent="0.25">
      <c r="A3735" t="s">
        <v>41</v>
      </c>
      <c r="B3735" t="s">
        <v>39</v>
      </c>
      <c r="C3735" t="s">
        <v>35</v>
      </c>
      <c r="D3735" t="s">
        <v>29</v>
      </c>
      <c r="E3735" t="s">
        <v>21</v>
      </c>
      <c r="F3735" t="s">
        <v>19</v>
      </c>
      <c r="G3735" s="1" t="str">
        <f t="shared" si="785"/>
        <v>X</v>
      </c>
      <c r="H3735" s="1" t="str">
        <f t="shared" si="785"/>
        <v>X</v>
      </c>
      <c r="I3735" s="1" t="str">
        <f t="shared" si="785"/>
        <v>X</v>
      </c>
      <c r="J3735" s="1" t="str">
        <f t="shared" si="785"/>
        <v>X</v>
      </c>
      <c r="K3735" s="1" t="str">
        <f t="shared" si="785"/>
        <v>X</v>
      </c>
      <c r="L3735" s="1" t="str">
        <f t="shared" si="785"/>
        <v>X</v>
      </c>
      <c r="M3735" s="1" t="str">
        <f t="shared" si="785"/>
        <v>X</v>
      </c>
      <c r="N3735" t="s">
        <v>27</v>
      </c>
    </row>
    <row r="3736" spans="1:14" x14ac:dyDescent="0.25">
      <c r="A3736" t="s">
        <v>41</v>
      </c>
      <c r="B3736" t="s">
        <v>39</v>
      </c>
      <c r="C3736" t="s">
        <v>35</v>
      </c>
      <c r="D3736" t="s">
        <v>29</v>
      </c>
      <c r="E3736" t="s">
        <v>21</v>
      </c>
      <c r="F3736" t="s">
        <v>20</v>
      </c>
      <c r="G3736" s="1" t="str">
        <f t="shared" si="785"/>
        <v>X</v>
      </c>
      <c r="H3736" s="1" t="str">
        <f t="shared" si="785"/>
        <v>X</v>
      </c>
      <c r="I3736" s="1" t="str">
        <f t="shared" si="785"/>
        <v>X</v>
      </c>
      <c r="J3736" s="1" t="str">
        <f t="shared" si="785"/>
        <v>X</v>
      </c>
      <c r="K3736" s="1" t="str">
        <f t="shared" si="785"/>
        <v>X</v>
      </c>
      <c r="L3736" s="1" t="str">
        <f t="shared" si="785"/>
        <v>X</v>
      </c>
      <c r="M3736" s="1" t="str">
        <f t="shared" si="785"/>
        <v>X</v>
      </c>
      <c r="N3736" t="s">
        <v>27</v>
      </c>
    </row>
    <row r="3737" spans="1:14" x14ac:dyDescent="0.25">
      <c r="A3737" t="s">
        <v>41</v>
      </c>
      <c r="B3737" t="s">
        <v>39</v>
      </c>
      <c r="C3737" t="s">
        <v>35</v>
      </c>
      <c r="D3737" t="s">
        <v>29</v>
      </c>
      <c r="E3737" t="s">
        <v>22</v>
      </c>
      <c r="F3737" t="s">
        <v>15</v>
      </c>
      <c r="G3737" s="2">
        <f>VALUE(263.7355413541)</f>
        <v>263.73554135410001</v>
      </c>
      <c r="H3737" s="3">
        <f>VALUE(254.3815877743)</f>
        <v>254.38158777429999</v>
      </c>
      <c r="I3737" s="4">
        <f>VALUE(3298)</f>
        <v>3298</v>
      </c>
      <c r="J3737" s="1">
        <f>VALUE(3968)</f>
        <v>3968</v>
      </c>
      <c r="K3737" s="1">
        <f>VALUE(4385)</f>
        <v>4385</v>
      </c>
      <c r="L3737" s="1">
        <f>VALUE(4782)</f>
        <v>4782</v>
      </c>
      <c r="M3737" s="8">
        <f>VALUE(5259)</f>
        <v>5259</v>
      </c>
      <c r="N3737" t="s">
        <v>25</v>
      </c>
    </row>
    <row r="3738" spans="1:14" x14ac:dyDescent="0.25">
      <c r="A3738" t="s">
        <v>41</v>
      </c>
      <c r="B3738" t="s">
        <v>39</v>
      </c>
      <c r="C3738" t="s">
        <v>35</v>
      </c>
      <c r="D3738" t="s">
        <v>29</v>
      </c>
      <c r="E3738" t="s">
        <v>22</v>
      </c>
      <c r="F3738" t="s">
        <v>17</v>
      </c>
      <c r="G3738" s="1" t="str">
        <f t="shared" ref="G3738:M3740" si="786">"X"</f>
        <v>X</v>
      </c>
      <c r="H3738" s="1" t="str">
        <f t="shared" si="786"/>
        <v>X</v>
      </c>
      <c r="I3738" s="1" t="str">
        <f t="shared" si="786"/>
        <v>X</v>
      </c>
      <c r="J3738" s="1" t="str">
        <f t="shared" si="786"/>
        <v>X</v>
      </c>
      <c r="K3738" s="1" t="str">
        <f t="shared" si="786"/>
        <v>X</v>
      </c>
      <c r="L3738" s="1" t="str">
        <f t="shared" si="786"/>
        <v>X</v>
      </c>
      <c r="M3738" s="1" t="str">
        <f t="shared" si="786"/>
        <v>X</v>
      </c>
      <c r="N3738" t="s">
        <v>27</v>
      </c>
    </row>
    <row r="3739" spans="1:14" x14ac:dyDescent="0.25">
      <c r="A3739" t="s">
        <v>41</v>
      </c>
      <c r="B3739" t="s">
        <v>39</v>
      </c>
      <c r="C3739" t="s">
        <v>35</v>
      </c>
      <c r="D3739" t="s">
        <v>29</v>
      </c>
      <c r="E3739" t="s">
        <v>22</v>
      </c>
      <c r="F3739" t="s">
        <v>18</v>
      </c>
      <c r="G3739" s="1" t="str">
        <f t="shared" si="786"/>
        <v>X</v>
      </c>
      <c r="H3739" s="1" t="str">
        <f t="shared" si="786"/>
        <v>X</v>
      </c>
      <c r="I3739" s="1" t="str">
        <f t="shared" si="786"/>
        <v>X</v>
      </c>
      <c r="J3739" s="1" t="str">
        <f t="shared" si="786"/>
        <v>X</v>
      </c>
      <c r="K3739" s="1" t="str">
        <f t="shared" si="786"/>
        <v>X</v>
      </c>
      <c r="L3739" s="1" t="str">
        <f t="shared" si="786"/>
        <v>X</v>
      </c>
      <c r="M3739" s="1" t="str">
        <f t="shared" si="786"/>
        <v>X</v>
      </c>
      <c r="N3739" t="s">
        <v>27</v>
      </c>
    </row>
    <row r="3740" spans="1:14" x14ac:dyDescent="0.25">
      <c r="A3740" t="s">
        <v>41</v>
      </c>
      <c r="B3740" t="s">
        <v>39</v>
      </c>
      <c r="C3740" t="s">
        <v>35</v>
      </c>
      <c r="D3740" t="s">
        <v>29</v>
      </c>
      <c r="E3740" t="s">
        <v>22</v>
      </c>
      <c r="F3740" t="s">
        <v>19</v>
      </c>
      <c r="G3740" s="1" t="str">
        <f t="shared" si="786"/>
        <v>X</v>
      </c>
      <c r="H3740" s="1" t="str">
        <f t="shared" si="786"/>
        <v>X</v>
      </c>
      <c r="I3740" s="1" t="str">
        <f t="shared" si="786"/>
        <v>X</v>
      </c>
      <c r="J3740" s="1" t="str">
        <f t="shared" si="786"/>
        <v>X</v>
      </c>
      <c r="K3740" s="1" t="str">
        <f t="shared" si="786"/>
        <v>X</v>
      </c>
      <c r="L3740" s="1" t="str">
        <f t="shared" si="786"/>
        <v>X</v>
      </c>
      <c r="M3740" s="1" t="str">
        <f t="shared" si="786"/>
        <v>X</v>
      </c>
      <c r="N3740" t="s">
        <v>27</v>
      </c>
    </row>
    <row r="3741" spans="1:14" x14ac:dyDescent="0.25">
      <c r="A3741" t="s">
        <v>41</v>
      </c>
      <c r="B3741" t="s">
        <v>39</v>
      </c>
      <c r="C3741" t="s">
        <v>35</v>
      </c>
      <c r="D3741" t="s">
        <v>29</v>
      </c>
      <c r="E3741" t="s">
        <v>22</v>
      </c>
      <c r="F3741" t="s">
        <v>20</v>
      </c>
      <c r="G3741" s="2">
        <f>VALUE(205.5470124997)</f>
        <v>205.5470124997</v>
      </c>
      <c r="H3741" s="3">
        <f>VALUE(196.2992053143)</f>
        <v>196.2992053143</v>
      </c>
      <c r="I3741" s="4">
        <f>VALUE(3298)</f>
        <v>3298</v>
      </c>
      <c r="J3741" s="1">
        <f>VALUE(4037)</f>
        <v>4037</v>
      </c>
      <c r="K3741" s="1">
        <f>VALUE(4532)</f>
        <v>4532</v>
      </c>
      <c r="L3741" s="1">
        <f>VALUE(4806)</f>
        <v>4806</v>
      </c>
      <c r="M3741" s="1">
        <f>VALUE(5555)</f>
        <v>5555</v>
      </c>
      <c r="N3741" t="s">
        <v>25</v>
      </c>
    </row>
    <row r="3742" spans="1:14" x14ac:dyDescent="0.25">
      <c r="A3742" t="s">
        <v>41</v>
      </c>
      <c r="B3742" t="s">
        <v>39</v>
      </c>
      <c r="C3742" t="s">
        <v>35</v>
      </c>
      <c r="D3742" t="s">
        <v>29</v>
      </c>
      <c r="E3742" t="s">
        <v>23</v>
      </c>
      <c r="F3742" t="s">
        <v>15</v>
      </c>
      <c r="G3742" s="1" t="str">
        <f t="shared" ref="G3742:M3742" si="787">"X"</f>
        <v>X</v>
      </c>
      <c r="H3742" s="1" t="str">
        <f t="shared" si="787"/>
        <v>X</v>
      </c>
      <c r="I3742" s="1" t="str">
        <f t="shared" si="787"/>
        <v>X</v>
      </c>
      <c r="J3742" s="1" t="str">
        <f t="shared" si="787"/>
        <v>X</v>
      </c>
      <c r="K3742" s="1" t="str">
        <f t="shared" si="787"/>
        <v>X</v>
      </c>
      <c r="L3742" s="1" t="str">
        <f t="shared" si="787"/>
        <v>X</v>
      </c>
      <c r="M3742" s="1" t="str">
        <f t="shared" si="787"/>
        <v>X</v>
      </c>
      <c r="N3742" t="s">
        <v>27</v>
      </c>
    </row>
    <row r="3743" spans="1:14" x14ac:dyDescent="0.25">
      <c r="A3743" t="s">
        <v>41</v>
      </c>
      <c r="B3743" t="s">
        <v>39</v>
      </c>
      <c r="C3743" t="s">
        <v>35</v>
      </c>
      <c r="D3743" t="s">
        <v>29</v>
      </c>
      <c r="E3743" t="s">
        <v>23</v>
      </c>
      <c r="F3743" t="s">
        <v>17</v>
      </c>
      <c r="G3743" s="1" t="str">
        <f t="shared" ref="G3743:M3743" si="788">"..."</f>
        <v>...</v>
      </c>
      <c r="H3743" s="1" t="str">
        <f t="shared" si="788"/>
        <v>...</v>
      </c>
      <c r="I3743" s="1" t="str">
        <f t="shared" si="788"/>
        <v>...</v>
      </c>
      <c r="J3743" s="1" t="str">
        <f t="shared" si="788"/>
        <v>...</v>
      </c>
      <c r="K3743" s="1" t="str">
        <f t="shared" si="788"/>
        <v>...</v>
      </c>
      <c r="L3743" s="1" t="str">
        <f t="shared" si="788"/>
        <v>...</v>
      </c>
      <c r="M3743" s="1" t="str">
        <f t="shared" si="788"/>
        <v>...</v>
      </c>
      <c r="N3743" t="s">
        <v>30</v>
      </c>
    </row>
    <row r="3744" spans="1:14" x14ac:dyDescent="0.25">
      <c r="A3744" t="s">
        <v>41</v>
      </c>
      <c r="B3744" t="s">
        <v>39</v>
      </c>
      <c r="C3744" t="s">
        <v>35</v>
      </c>
      <c r="D3744" t="s">
        <v>29</v>
      </c>
      <c r="E3744" t="s">
        <v>23</v>
      </c>
      <c r="F3744" t="s">
        <v>18</v>
      </c>
      <c r="G3744" s="1" t="str">
        <f t="shared" ref="G3744:M3747" si="789">"X"</f>
        <v>X</v>
      </c>
      <c r="H3744" s="1" t="str">
        <f t="shared" si="789"/>
        <v>X</v>
      </c>
      <c r="I3744" s="1" t="str">
        <f t="shared" si="789"/>
        <v>X</v>
      </c>
      <c r="J3744" s="1" t="str">
        <f t="shared" si="789"/>
        <v>X</v>
      </c>
      <c r="K3744" s="1" t="str">
        <f t="shared" si="789"/>
        <v>X</v>
      </c>
      <c r="L3744" s="1" t="str">
        <f t="shared" si="789"/>
        <v>X</v>
      </c>
      <c r="M3744" s="1" t="str">
        <f t="shared" si="789"/>
        <v>X</v>
      </c>
      <c r="N3744" t="s">
        <v>27</v>
      </c>
    </row>
    <row r="3745" spans="1:14" x14ac:dyDescent="0.25">
      <c r="A3745" t="s">
        <v>41</v>
      </c>
      <c r="B3745" t="s">
        <v>39</v>
      </c>
      <c r="C3745" t="s">
        <v>35</v>
      </c>
      <c r="D3745" t="s">
        <v>29</v>
      </c>
      <c r="E3745" t="s">
        <v>23</v>
      </c>
      <c r="F3745" t="s">
        <v>19</v>
      </c>
      <c r="G3745" s="1" t="str">
        <f t="shared" si="789"/>
        <v>X</v>
      </c>
      <c r="H3745" s="1" t="str">
        <f t="shared" si="789"/>
        <v>X</v>
      </c>
      <c r="I3745" s="1" t="str">
        <f t="shared" si="789"/>
        <v>X</v>
      </c>
      <c r="J3745" s="1" t="str">
        <f t="shared" si="789"/>
        <v>X</v>
      </c>
      <c r="K3745" s="1" t="str">
        <f t="shared" si="789"/>
        <v>X</v>
      </c>
      <c r="L3745" s="1" t="str">
        <f t="shared" si="789"/>
        <v>X</v>
      </c>
      <c r="M3745" s="1" t="str">
        <f t="shared" si="789"/>
        <v>X</v>
      </c>
      <c r="N3745" t="s">
        <v>27</v>
      </c>
    </row>
    <row r="3746" spans="1:14" x14ac:dyDescent="0.25">
      <c r="A3746" t="s">
        <v>41</v>
      </c>
      <c r="B3746" t="s">
        <v>39</v>
      </c>
      <c r="C3746" t="s">
        <v>35</v>
      </c>
      <c r="D3746" t="s">
        <v>29</v>
      </c>
      <c r="E3746" t="s">
        <v>23</v>
      </c>
      <c r="F3746" t="s">
        <v>20</v>
      </c>
      <c r="G3746" s="1" t="str">
        <f t="shared" si="789"/>
        <v>X</v>
      </c>
      <c r="H3746" s="1" t="str">
        <f t="shared" si="789"/>
        <v>X</v>
      </c>
      <c r="I3746" s="1" t="str">
        <f t="shared" si="789"/>
        <v>X</v>
      </c>
      <c r="J3746" s="1" t="str">
        <f t="shared" si="789"/>
        <v>X</v>
      </c>
      <c r="K3746" s="1" t="str">
        <f t="shared" si="789"/>
        <v>X</v>
      </c>
      <c r="L3746" s="1" t="str">
        <f t="shared" si="789"/>
        <v>X</v>
      </c>
      <c r="M3746" s="1" t="str">
        <f t="shared" si="789"/>
        <v>X</v>
      </c>
      <c r="N3746" t="s">
        <v>27</v>
      </c>
    </row>
    <row r="3747" spans="1:14" x14ac:dyDescent="0.25">
      <c r="A3747" t="s">
        <v>41</v>
      </c>
      <c r="B3747" t="s">
        <v>39</v>
      </c>
      <c r="C3747" t="s">
        <v>35</v>
      </c>
      <c r="D3747" t="s">
        <v>29</v>
      </c>
      <c r="E3747" t="s">
        <v>26</v>
      </c>
      <c r="F3747" t="s">
        <v>15</v>
      </c>
      <c r="G3747" s="1" t="str">
        <f t="shared" si="789"/>
        <v>X</v>
      </c>
      <c r="H3747" s="1" t="str">
        <f t="shared" si="789"/>
        <v>X</v>
      </c>
      <c r="I3747" s="1" t="str">
        <f t="shared" si="789"/>
        <v>X</v>
      </c>
      <c r="J3747" s="1" t="str">
        <f t="shared" si="789"/>
        <v>X</v>
      </c>
      <c r="K3747" s="1" t="str">
        <f t="shared" si="789"/>
        <v>X</v>
      </c>
      <c r="L3747" s="1" t="str">
        <f t="shared" si="789"/>
        <v>X</v>
      </c>
      <c r="M3747" s="1" t="str">
        <f t="shared" si="789"/>
        <v>X</v>
      </c>
      <c r="N3747" t="s">
        <v>27</v>
      </c>
    </row>
    <row r="3748" spans="1:14" x14ac:dyDescent="0.25">
      <c r="A3748" t="s">
        <v>41</v>
      </c>
      <c r="B3748" t="s">
        <v>39</v>
      </c>
      <c r="C3748" t="s">
        <v>35</v>
      </c>
      <c r="D3748" t="s">
        <v>29</v>
      </c>
      <c r="E3748" t="s">
        <v>26</v>
      </c>
      <c r="F3748" t="s">
        <v>17</v>
      </c>
      <c r="G3748" s="1" t="str">
        <f t="shared" ref="G3748:M3750" si="790">"..."</f>
        <v>...</v>
      </c>
      <c r="H3748" s="1" t="str">
        <f t="shared" si="790"/>
        <v>...</v>
      </c>
      <c r="I3748" s="1" t="str">
        <f t="shared" si="790"/>
        <v>...</v>
      </c>
      <c r="J3748" s="1" t="str">
        <f t="shared" si="790"/>
        <v>...</v>
      </c>
      <c r="K3748" s="1" t="str">
        <f t="shared" si="790"/>
        <v>...</v>
      </c>
      <c r="L3748" s="1" t="str">
        <f t="shared" si="790"/>
        <v>...</v>
      </c>
      <c r="M3748" s="1" t="str">
        <f t="shared" si="790"/>
        <v>...</v>
      </c>
      <c r="N3748" t="s">
        <v>30</v>
      </c>
    </row>
    <row r="3749" spans="1:14" x14ac:dyDescent="0.25">
      <c r="A3749" t="s">
        <v>41</v>
      </c>
      <c r="B3749" t="s">
        <v>39</v>
      </c>
      <c r="C3749" t="s">
        <v>35</v>
      </c>
      <c r="D3749" t="s">
        <v>29</v>
      </c>
      <c r="E3749" t="s">
        <v>26</v>
      </c>
      <c r="F3749" t="s">
        <v>18</v>
      </c>
      <c r="G3749" s="1" t="str">
        <f t="shared" si="790"/>
        <v>...</v>
      </c>
      <c r="H3749" s="1" t="str">
        <f t="shared" si="790"/>
        <v>...</v>
      </c>
      <c r="I3749" s="1" t="str">
        <f t="shared" si="790"/>
        <v>...</v>
      </c>
      <c r="J3749" s="1" t="str">
        <f t="shared" si="790"/>
        <v>...</v>
      </c>
      <c r="K3749" s="1" t="str">
        <f t="shared" si="790"/>
        <v>...</v>
      </c>
      <c r="L3749" s="1" t="str">
        <f t="shared" si="790"/>
        <v>...</v>
      </c>
      <c r="M3749" s="1" t="str">
        <f t="shared" si="790"/>
        <v>...</v>
      </c>
      <c r="N3749" t="s">
        <v>30</v>
      </c>
    </row>
    <row r="3750" spans="1:14" x14ac:dyDescent="0.25">
      <c r="A3750" t="s">
        <v>41</v>
      </c>
      <c r="B3750" t="s">
        <v>39</v>
      </c>
      <c r="C3750" t="s">
        <v>35</v>
      </c>
      <c r="D3750" t="s">
        <v>29</v>
      </c>
      <c r="E3750" t="s">
        <v>26</v>
      </c>
      <c r="F3750" t="s">
        <v>19</v>
      </c>
      <c r="G3750" s="1" t="str">
        <f t="shared" si="790"/>
        <v>...</v>
      </c>
      <c r="H3750" s="1" t="str">
        <f t="shared" si="790"/>
        <v>...</v>
      </c>
      <c r="I3750" s="1" t="str">
        <f t="shared" si="790"/>
        <v>...</v>
      </c>
      <c r="J3750" s="1" t="str">
        <f t="shared" si="790"/>
        <v>...</v>
      </c>
      <c r="K3750" s="1" t="str">
        <f t="shared" si="790"/>
        <v>...</v>
      </c>
      <c r="L3750" s="1" t="str">
        <f t="shared" si="790"/>
        <v>...</v>
      </c>
      <c r="M3750" s="1" t="str">
        <f t="shared" si="790"/>
        <v>...</v>
      </c>
      <c r="N3750" t="s">
        <v>30</v>
      </c>
    </row>
    <row r="3751" spans="1:14" x14ac:dyDescent="0.25">
      <c r="A3751" t="s">
        <v>41</v>
      </c>
      <c r="B3751" t="s">
        <v>39</v>
      </c>
      <c r="C3751" t="s">
        <v>35</v>
      </c>
      <c r="D3751" t="s">
        <v>29</v>
      </c>
      <c r="E3751" t="s">
        <v>26</v>
      </c>
      <c r="F3751" t="s">
        <v>20</v>
      </c>
      <c r="G3751" s="1" t="str">
        <f t="shared" ref="G3751:M3751" si="791">"X"</f>
        <v>X</v>
      </c>
      <c r="H3751" s="1" t="str">
        <f t="shared" si="791"/>
        <v>X</v>
      </c>
      <c r="I3751" s="1" t="str">
        <f t="shared" si="791"/>
        <v>X</v>
      </c>
      <c r="J3751" s="1" t="str">
        <f t="shared" si="791"/>
        <v>X</v>
      </c>
      <c r="K3751" s="1" t="str">
        <f t="shared" si="791"/>
        <v>X</v>
      </c>
      <c r="L3751" s="1" t="str">
        <f t="shared" si="791"/>
        <v>X</v>
      </c>
      <c r="M3751" s="1" t="str">
        <f t="shared" si="791"/>
        <v>X</v>
      </c>
      <c r="N3751" t="s">
        <v>27</v>
      </c>
    </row>
    <row r="3752" spans="1:14" x14ac:dyDescent="0.25">
      <c r="A3752" t="s">
        <v>41</v>
      </c>
      <c r="B3752" t="s">
        <v>39</v>
      </c>
      <c r="C3752" t="s">
        <v>35</v>
      </c>
      <c r="D3752" t="s">
        <v>31</v>
      </c>
      <c r="E3752" t="s">
        <v>15</v>
      </c>
      <c r="F3752" t="s">
        <v>15</v>
      </c>
      <c r="G3752" s="2">
        <f>VALUE(201.215250911)</f>
        <v>201.215250911</v>
      </c>
      <c r="H3752" s="3">
        <f>VALUE(193.9998430889)</f>
        <v>193.99984308890001</v>
      </c>
      <c r="I3752" s="4">
        <f>VALUE(2706)</f>
        <v>2706</v>
      </c>
      <c r="J3752" s="1">
        <f>VALUE(3136)</f>
        <v>3136</v>
      </c>
      <c r="K3752" s="1">
        <f>VALUE(4115)</f>
        <v>4115</v>
      </c>
      <c r="L3752" s="1">
        <f>VALUE(4765)</f>
        <v>4765</v>
      </c>
      <c r="M3752" s="1">
        <f>VALUE(5796)</f>
        <v>5796</v>
      </c>
      <c r="N3752" t="s">
        <v>25</v>
      </c>
    </row>
    <row r="3753" spans="1:14" x14ac:dyDescent="0.25">
      <c r="A3753" t="s">
        <v>41</v>
      </c>
      <c r="B3753" t="s">
        <v>39</v>
      </c>
      <c r="C3753" t="s">
        <v>35</v>
      </c>
      <c r="D3753" t="s">
        <v>31</v>
      </c>
      <c r="E3753" t="s">
        <v>15</v>
      </c>
      <c r="F3753" t="s">
        <v>17</v>
      </c>
      <c r="G3753" s="1" t="str">
        <f t="shared" ref="G3753:M3758" si="792">"X"</f>
        <v>X</v>
      </c>
      <c r="H3753" s="1" t="str">
        <f t="shared" si="792"/>
        <v>X</v>
      </c>
      <c r="I3753" s="1" t="str">
        <f t="shared" si="792"/>
        <v>X</v>
      </c>
      <c r="J3753" s="1" t="str">
        <f t="shared" si="792"/>
        <v>X</v>
      </c>
      <c r="K3753" s="1" t="str">
        <f t="shared" si="792"/>
        <v>X</v>
      </c>
      <c r="L3753" s="1" t="str">
        <f t="shared" si="792"/>
        <v>X</v>
      </c>
      <c r="M3753" s="1" t="str">
        <f t="shared" si="792"/>
        <v>X</v>
      </c>
      <c r="N3753" t="s">
        <v>27</v>
      </c>
    </row>
    <row r="3754" spans="1:14" x14ac:dyDescent="0.25">
      <c r="A3754" t="s">
        <v>41</v>
      </c>
      <c r="B3754" t="s">
        <v>39</v>
      </c>
      <c r="C3754" t="s">
        <v>35</v>
      </c>
      <c r="D3754" t="s">
        <v>31</v>
      </c>
      <c r="E3754" t="s">
        <v>15</v>
      </c>
      <c r="F3754" t="s">
        <v>18</v>
      </c>
      <c r="G3754" s="1" t="str">
        <f t="shared" si="792"/>
        <v>X</v>
      </c>
      <c r="H3754" s="1" t="str">
        <f t="shared" si="792"/>
        <v>X</v>
      </c>
      <c r="I3754" s="1" t="str">
        <f t="shared" si="792"/>
        <v>X</v>
      </c>
      <c r="J3754" s="1" t="str">
        <f t="shared" si="792"/>
        <v>X</v>
      </c>
      <c r="K3754" s="1" t="str">
        <f t="shared" si="792"/>
        <v>X</v>
      </c>
      <c r="L3754" s="1" t="str">
        <f t="shared" si="792"/>
        <v>X</v>
      </c>
      <c r="M3754" s="1" t="str">
        <f t="shared" si="792"/>
        <v>X</v>
      </c>
      <c r="N3754" t="s">
        <v>27</v>
      </c>
    </row>
    <row r="3755" spans="1:14" x14ac:dyDescent="0.25">
      <c r="A3755" t="s">
        <v>41</v>
      </c>
      <c r="B3755" t="s">
        <v>39</v>
      </c>
      <c r="C3755" t="s">
        <v>35</v>
      </c>
      <c r="D3755" t="s">
        <v>31</v>
      </c>
      <c r="E3755" t="s">
        <v>15</v>
      </c>
      <c r="F3755" t="s">
        <v>19</v>
      </c>
      <c r="G3755" s="1" t="str">
        <f t="shared" si="792"/>
        <v>X</v>
      </c>
      <c r="H3755" s="1" t="str">
        <f t="shared" si="792"/>
        <v>X</v>
      </c>
      <c r="I3755" s="1" t="str">
        <f t="shared" si="792"/>
        <v>X</v>
      </c>
      <c r="J3755" s="1" t="str">
        <f t="shared" si="792"/>
        <v>X</v>
      </c>
      <c r="K3755" s="1" t="str">
        <f t="shared" si="792"/>
        <v>X</v>
      </c>
      <c r="L3755" s="1" t="str">
        <f t="shared" si="792"/>
        <v>X</v>
      </c>
      <c r="M3755" s="1" t="str">
        <f t="shared" si="792"/>
        <v>X</v>
      </c>
      <c r="N3755" t="s">
        <v>27</v>
      </c>
    </row>
    <row r="3756" spans="1:14" x14ac:dyDescent="0.25">
      <c r="A3756" t="s">
        <v>41</v>
      </c>
      <c r="B3756" t="s">
        <v>39</v>
      </c>
      <c r="C3756" t="s">
        <v>35</v>
      </c>
      <c r="D3756" t="s">
        <v>31</v>
      </c>
      <c r="E3756" t="s">
        <v>15</v>
      </c>
      <c r="F3756" t="s">
        <v>20</v>
      </c>
      <c r="G3756" s="1" t="str">
        <f t="shared" si="792"/>
        <v>X</v>
      </c>
      <c r="H3756" s="1" t="str">
        <f t="shared" si="792"/>
        <v>X</v>
      </c>
      <c r="I3756" s="1" t="str">
        <f t="shared" si="792"/>
        <v>X</v>
      </c>
      <c r="J3756" s="1" t="str">
        <f t="shared" si="792"/>
        <v>X</v>
      </c>
      <c r="K3756" s="1" t="str">
        <f t="shared" si="792"/>
        <v>X</v>
      </c>
      <c r="L3756" s="1" t="str">
        <f t="shared" si="792"/>
        <v>X</v>
      </c>
      <c r="M3756" s="1" t="str">
        <f t="shared" si="792"/>
        <v>X</v>
      </c>
      <c r="N3756" t="s">
        <v>27</v>
      </c>
    </row>
    <row r="3757" spans="1:14" x14ac:dyDescent="0.25">
      <c r="A3757" t="s">
        <v>41</v>
      </c>
      <c r="B3757" t="s">
        <v>39</v>
      </c>
      <c r="C3757" t="s">
        <v>35</v>
      </c>
      <c r="D3757" t="s">
        <v>31</v>
      </c>
      <c r="E3757" t="s">
        <v>21</v>
      </c>
      <c r="F3757" t="s">
        <v>15</v>
      </c>
      <c r="G3757" s="1" t="str">
        <f t="shared" si="792"/>
        <v>X</v>
      </c>
      <c r="H3757" s="1" t="str">
        <f t="shared" si="792"/>
        <v>X</v>
      </c>
      <c r="I3757" s="1" t="str">
        <f t="shared" si="792"/>
        <v>X</v>
      </c>
      <c r="J3757" s="1" t="str">
        <f t="shared" si="792"/>
        <v>X</v>
      </c>
      <c r="K3757" s="1" t="str">
        <f t="shared" si="792"/>
        <v>X</v>
      </c>
      <c r="L3757" s="1" t="str">
        <f t="shared" si="792"/>
        <v>X</v>
      </c>
      <c r="M3757" s="1" t="str">
        <f t="shared" si="792"/>
        <v>X</v>
      </c>
      <c r="N3757" t="s">
        <v>27</v>
      </c>
    </row>
    <row r="3758" spans="1:14" x14ac:dyDescent="0.25">
      <c r="A3758" t="s">
        <v>41</v>
      </c>
      <c r="B3758" t="s">
        <v>39</v>
      </c>
      <c r="C3758" t="s">
        <v>35</v>
      </c>
      <c r="D3758" t="s">
        <v>31</v>
      </c>
      <c r="E3758" t="s">
        <v>21</v>
      </c>
      <c r="F3758" t="s">
        <v>17</v>
      </c>
      <c r="G3758" s="1" t="str">
        <f t="shared" si="792"/>
        <v>X</v>
      </c>
      <c r="H3758" s="1" t="str">
        <f t="shared" si="792"/>
        <v>X</v>
      </c>
      <c r="I3758" s="1" t="str">
        <f t="shared" si="792"/>
        <v>X</v>
      </c>
      <c r="J3758" s="1" t="str">
        <f t="shared" si="792"/>
        <v>X</v>
      </c>
      <c r="K3758" s="1" t="str">
        <f t="shared" si="792"/>
        <v>X</v>
      </c>
      <c r="L3758" s="1" t="str">
        <f t="shared" si="792"/>
        <v>X</v>
      </c>
      <c r="M3758" s="1" t="str">
        <f t="shared" si="792"/>
        <v>X</v>
      </c>
      <c r="N3758" t="s">
        <v>27</v>
      </c>
    </row>
    <row r="3759" spans="1:14" x14ac:dyDescent="0.25">
      <c r="A3759" t="s">
        <v>41</v>
      </c>
      <c r="B3759" t="s">
        <v>39</v>
      </c>
      <c r="C3759" t="s">
        <v>35</v>
      </c>
      <c r="D3759" t="s">
        <v>31</v>
      </c>
      <c r="E3759" t="s">
        <v>21</v>
      </c>
      <c r="F3759" t="s">
        <v>18</v>
      </c>
      <c r="G3759" s="1" t="str">
        <f t="shared" ref="G3759:M3759" si="793">"..."</f>
        <v>...</v>
      </c>
      <c r="H3759" s="1" t="str">
        <f t="shared" si="793"/>
        <v>...</v>
      </c>
      <c r="I3759" s="1" t="str">
        <f t="shared" si="793"/>
        <v>...</v>
      </c>
      <c r="J3759" s="1" t="str">
        <f t="shared" si="793"/>
        <v>...</v>
      </c>
      <c r="K3759" s="1" t="str">
        <f t="shared" si="793"/>
        <v>...</v>
      </c>
      <c r="L3759" s="1" t="str">
        <f t="shared" si="793"/>
        <v>...</v>
      </c>
      <c r="M3759" s="1" t="str">
        <f t="shared" si="793"/>
        <v>...</v>
      </c>
      <c r="N3759" t="s">
        <v>30</v>
      </c>
    </row>
    <row r="3760" spans="1:14" x14ac:dyDescent="0.25">
      <c r="A3760" t="s">
        <v>41</v>
      </c>
      <c r="B3760" t="s">
        <v>39</v>
      </c>
      <c r="C3760" t="s">
        <v>35</v>
      </c>
      <c r="D3760" t="s">
        <v>31</v>
      </c>
      <c r="E3760" t="s">
        <v>21</v>
      </c>
      <c r="F3760" t="s">
        <v>19</v>
      </c>
      <c r="G3760" s="1" t="str">
        <f t="shared" ref="G3760:M3767" si="794">"X"</f>
        <v>X</v>
      </c>
      <c r="H3760" s="1" t="str">
        <f t="shared" si="794"/>
        <v>X</v>
      </c>
      <c r="I3760" s="1" t="str">
        <f t="shared" si="794"/>
        <v>X</v>
      </c>
      <c r="J3760" s="1" t="str">
        <f t="shared" si="794"/>
        <v>X</v>
      </c>
      <c r="K3760" s="1" t="str">
        <f t="shared" si="794"/>
        <v>X</v>
      </c>
      <c r="L3760" s="1" t="str">
        <f t="shared" si="794"/>
        <v>X</v>
      </c>
      <c r="M3760" s="1" t="str">
        <f t="shared" si="794"/>
        <v>X</v>
      </c>
      <c r="N3760" t="s">
        <v>27</v>
      </c>
    </row>
    <row r="3761" spans="1:14" x14ac:dyDescent="0.25">
      <c r="A3761" t="s">
        <v>41</v>
      </c>
      <c r="B3761" t="s">
        <v>39</v>
      </c>
      <c r="C3761" t="s">
        <v>35</v>
      </c>
      <c r="D3761" t="s">
        <v>31</v>
      </c>
      <c r="E3761" t="s">
        <v>21</v>
      </c>
      <c r="F3761" t="s">
        <v>20</v>
      </c>
      <c r="G3761" s="1" t="str">
        <f t="shared" si="794"/>
        <v>X</v>
      </c>
      <c r="H3761" s="1" t="str">
        <f t="shared" si="794"/>
        <v>X</v>
      </c>
      <c r="I3761" s="1" t="str">
        <f t="shared" si="794"/>
        <v>X</v>
      </c>
      <c r="J3761" s="1" t="str">
        <f t="shared" si="794"/>
        <v>X</v>
      </c>
      <c r="K3761" s="1" t="str">
        <f t="shared" si="794"/>
        <v>X</v>
      </c>
      <c r="L3761" s="1" t="str">
        <f t="shared" si="794"/>
        <v>X</v>
      </c>
      <c r="M3761" s="1" t="str">
        <f t="shared" si="794"/>
        <v>X</v>
      </c>
      <c r="N3761" t="s">
        <v>27</v>
      </c>
    </row>
    <row r="3762" spans="1:14" x14ac:dyDescent="0.25">
      <c r="A3762" t="s">
        <v>41</v>
      </c>
      <c r="B3762" t="s">
        <v>39</v>
      </c>
      <c r="C3762" t="s">
        <v>35</v>
      </c>
      <c r="D3762" t="s">
        <v>31</v>
      </c>
      <c r="E3762" t="s">
        <v>22</v>
      </c>
      <c r="F3762" t="s">
        <v>15</v>
      </c>
      <c r="G3762" s="1" t="str">
        <f t="shared" si="794"/>
        <v>X</v>
      </c>
      <c r="H3762" s="1" t="str">
        <f t="shared" si="794"/>
        <v>X</v>
      </c>
      <c r="I3762" s="1" t="str">
        <f t="shared" si="794"/>
        <v>X</v>
      </c>
      <c r="J3762" s="1" t="str">
        <f t="shared" si="794"/>
        <v>X</v>
      </c>
      <c r="K3762" s="1" t="str">
        <f t="shared" si="794"/>
        <v>X</v>
      </c>
      <c r="L3762" s="1" t="str">
        <f t="shared" si="794"/>
        <v>X</v>
      </c>
      <c r="M3762" s="1" t="str">
        <f t="shared" si="794"/>
        <v>X</v>
      </c>
      <c r="N3762" t="s">
        <v>27</v>
      </c>
    </row>
    <row r="3763" spans="1:14" x14ac:dyDescent="0.25">
      <c r="A3763" t="s">
        <v>41</v>
      </c>
      <c r="B3763" t="s">
        <v>39</v>
      </c>
      <c r="C3763" t="s">
        <v>35</v>
      </c>
      <c r="D3763" t="s">
        <v>31</v>
      </c>
      <c r="E3763" t="s">
        <v>22</v>
      </c>
      <c r="F3763" t="s">
        <v>17</v>
      </c>
      <c r="G3763" s="1" t="str">
        <f t="shared" si="794"/>
        <v>X</v>
      </c>
      <c r="H3763" s="1" t="str">
        <f t="shared" si="794"/>
        <v>X</v>
      </c>
      <c r="I3763" s="1" t="str">
        <f t="shared" si="794"/>
        <v>X</v>
      </c>
      <c r="J3763" s="1" t="str">
        <f t="shared" si="794"/>
        <v>X</v>
      </c>
      <c r="K3763" s="1" t="str">
        <f t="shared" si="794"/>
        <v>X</v>
      </c>
      <c r="L3763" s="1" t="str">
        <f t="shared" si="794"/>
        <v>X</v>
      </c>
      <c r="M3763" s="1" t="str">
        <f t="shared" si="794"/>
        <v>X</v>
      </c>
      <c r="N3763" t="s">
        <v>27</v>
      </c>
    </row>
    <row r="3764" spans="1:14" x14ac:dyDescent="0.25">
      <c r="A3764" t="s">
        <v>41</v>
      </c>
      <c r="B3764" t="s">
        <v>39</v>
      </c>
      <c r="C3764" t="s">
        <v>35</v>
      </c>
      <c r="D3764" t="s">
        <v>31</v>
      </c>
      <c r="E3764" t="s">
        <v>22</v>
      </c>
      <c r="F3764" t="s">
        <v>18</v>
      </c>
      <c r="G3764" s="1" t="str">
        <f t="shared" si="794"/>
        <v>X</v>
      </c>
      <c r="H3764" s="1" t="str">
        <f t="shared" si="794"/>
        <v>X</v>
      </c>
      <c r="I3764" s="1" t="str">
        <f t="shared" si="794"/>
        <v>X</v>
      </c>
      <c r="J3764" s="1" t="str">
        <f t="shared" si="794"/>
        <v>X</v>
      </c>
      <c r="K3764" s="1" t="str">
        <f t="shared" si="794"/>
        <v>X</v>
      </c>
      <c r="L3764" s="1" t="str">
        <f t="shared" si="794"/>
        <v>X</v>
      </c>
      <c r="M3764" s="1" t="str">
        <f t="shared" si="794"/>
        <v>X</v>
      </c>
      <c r="N3764" t="s">
        <v>27</v>
      </c>
    </row>
    <row r="3765" spans="1:14" x14ac:dyDescent="0.25">
      <c r="A3765" t="s">
        <v>41</v>
      </c>
      <c r="B3765" t="s">
        <v>39</v>
      </c>
      <c r="C3765" t="s">
        <v>35</v>
      </c>
      <c r="D3765" t="s">
        <v>31</v>
      </c>
      <c r="E3765" t="s">
        <v>22</v>
      </c>
      <c r="F3765" t="s">
        <v>19</v>
      </c>
      <c r="G3765" s="1" t="str">
        <f t="shared" si="794"/>
        <v>X</v>
      </c>
      <c r="H3765" s="1" t="str">
        <f t="shared" si="794"/>
        <v>X</v>
      </c>
      <c r="I3765" s="1" t="str">
        <f t="shared" si="794"/>
        <v>X</v>
      </c>
      <c r="J3765" s="1" t="str">
        <f t="shared" si="794"/>
        <v>X</v>
      </c>
      <c r="K3765" s="1" t="str">
        <f t="shared" si="794"/>
        <v>X</v>
      </c>
      <c r="L3765" s="1" t="str">
        <f t="shared" si="794"/>
        <v>X</v>
      </c>
      <c r="M3765" s="1" t="str">
        <f t="shared" si="794"/>
        <v>X</v>
      </c>
      <c r="N3765" t="s">
        <v>27</v>
      </c>
    </row>
    <row r="3766" spans="1:14" x14ac:dyDescent="0.25">
      <c r="A3766" t="s">
        <v>41</v>
      </c>
      <c r="B3766" t="s">
        <v>39</v>
      </c>
      <c r="C3766" t="s">
        <v>35</v>
      </c>
      <c r="D3766" t="s">
        <v>31</v>
      </c>
      <c r="E3766" t="s">
        <v>22</v>
      </c>
      <c r="F3766" t="s">
        <v>20</v>
      </c>
      <c r="G3766" s="1" t="str">
        <f t="shared" si="794"/>
        <v>X</v>
      </c>
      <c r="H3766" s="1" t="str">
        <f t="shared" si="794"/>
        <v>X</v>
      </c>
      <c r="I3766" s="1" t="str">
        <f t="shared" si="794"/>
        <v>X</v>
      </c>
      <c r="J3766" s="1" t="str">
        <f t="shared" si="794"/>
        <v>X</v>
      </c>
      <c r="K3766" s="1" t="str">
        <f t="shared" si="794"/>
        <v>X</v>
      </c>
      <c r="L3766" s="1" t="str">
        <f t="shared" si="794"/>
        <v>X</v>
      </c>
      <c r="M3766" s="1" t="str">
        <f t="shared" si="794"/>
        <v>X</v>
      </c>
      <c r="N3766" t="s">
        <v>27</v>
      </c>
    </row>
    <row r="3767" spans="1:14" x14ac:dyDescent="0.25">
      <c r="A3767" t="s">
        <v>41</v>
      </c>
      <c r="B3767" t="s">
        <v>39</v>
      </c>
      <c r="C3767" t="s">
        <v>35</v>
      </c>
      <c r="D3767" t="s">
        <v>31</v>
      </c>
      <c r="E3767" t="s">
        <v>23</v>
      </c>
      <c r="F3767" t="s">
        <v>15</v>
      </c>
      <c r="G3767" s="1" t="str">
        <f t="shared" si="794"/>
        <v>X</v>
      </c>
      <c r="H3767" s="1" t="str">
        <f t="shared" si="794"/>
        <v>X</v>
      </c>
      <c r="I3767" s="1" t="str">
        <f t="shared" si="794"/>
        <v>X</v>
      </c>
      <c r="J3767" s="1" t="str">
        <f t="shared" si="794"/>
        <v>X</v>
      </c>
      <c r="K3767" s="1" t="str">
        <f t="shared" si="794"/>
        <v>X</v>
      </c>
      <c r="L3767" s="1" t="str">
        <f t="shared" si="794"/>
        <v>X</v>
      </c>
      <c r="M3767" s="1" t="str">
        <f t="shared" si="794"/>
        <v>X</v>
      </c>
      <c r="N3767" t="s">
        <v>27</v>
      </c>
    </row>
    <row r="3768" spans="1:14" x14ac:dyDescent="0.25">
      <c r="A3768" t="s">
        <v>41</v>
      </c>
      <c r="B3768" t="s">
        <v>39</v>
      </c>
      <c r="C3768" t="s">
        <v>35</v>
      </c>
      <c r="D3768" t="s">
        <v>31</v>
      </c>
      <c r="E3768" t="s">
        <v>23</v>
      </c>
      <c r="F3768" t="s">
        <v>17</v>
      </c>
      <c r="G3768" s="1" t="str">
        <f t="shared" ref="G3768:M3768" si="795">"..."</f>
        <v>...</v>
      </c>
      <c r="H3768" s="1" t="str">
        <f t="shared" si="795"/>
        <v>...</v>
      </c>
      <c r="I3768" s="1" t="str">
        <f t="shared" si="795"/>
        <v>...</v>
      </c>
      <c r="J3768" s="1" t="str">
        <f t="shared" si="795"/>
        <v>...</v>
      </c>
      <c r="K3768" s="1" t="str">
        <f t="shared" si="795"/>
        <v>...</v>
      </c>
      <c r="L3768" s="1" t="str">
        <f t="shared" si="795"/>
        <v>...</v>
      </c>
      <c r="M3768" s="1" t="str">
        <f t="shared" si="795"/>
        <v>...</v>
      </c>
      <c r="N3768" t="s">
        <v>30</v>
      </c>
    </row>
    <row r="3769" spans="1:14" x14ac:dyDescent="0.25">
      <c r="A3769" t="s">
        <v>41</v>
      </c>
      <c r="B3769" t="s">
        <v>39</v>
      </c>
      <c r="C3769" t="s">
        <v>35</v>
      </c>
      <c r="D3769" t="s">
        <v>31</v>
      </c>
      <c r="E3769" t="s">
        <v>23</v>
      </c>
      <c r="F3769" t="s">
        <v>18</v>
      </c>
      <c r="G3769" s="1" t="str">
        <f t="shared" ref="G3769:M3771" si="796">"X"</f>
        <v>X</v>
      </c>
      <c r="H3769" s="1" t="str">
        <f t="shared" si="796"/>
        <v>X</v>
      </c>
      <c r="I3769" s="1" t="str">
        <f t="shared" si="796"/>
        <v>X</v>
      </c>
      <c r="J3769" s="1" t="str">
        <f t="shared" si="796"/>
        <v>X</v>
      </c>
      <c r="K3769" s="1" t="str">
        <f t="shared" si="796"/>
        <v>X</v>
      </c>
      <c r="L3769" s="1" t="str">
        <f t="shared" si="796"/>
        <v>X</v>
      </c>
      <c r="M3769" s="1" t="str">
        <f t="shared" si="796"/>
        <v>X</v>
      </c>
      <c r="N3769" t="s">
        <v>27</v>
      </c>
    </row>
    <row r="3770" spans="1:14" x14ac:dyDescent="0.25">
      <c r="A3770" t="s">
        <v>41</v>
      </c>
      <c r="B3770" t="s">
        <v>39</v>
      </c>
      <c r="C3770" t="s">
        <v>35</v>
      </c>
      <c r="D3770" t="s">
        <v>31</v>
      </c>
      <c r="E3770" t="s">
        <v>23</v>
      </c>
      <c r="F3770" t="s">
        <v>19</v>
      </c>
      <c r="G3770" s="1" t="str">
        <f t="shared" si="796"/>
        <v>X</v>
      </c>
      <c r="H3770" s="1" t="str">
        <f t="shared" si="796"/>
        <v>X</v>
      </c>
      <c r="I3770" s="1" t="str">
        <f t="shared" si="796"/>
        <v>X</v>
      </c>
      <c r="J3770" s="1" t="str">
        <f t="shared" si="796"/>
        <v>X</v>
      </c>
      <c r="K3770" s="1" t="str">
        <f t="shared" si="796"/>
        <v>X</v>
      </c>
      <c r="L3770" s="1" t="str">
        <f t="shared" si="796"/>
        <v>X</v>
      </c>
      <c r="M3770" s="1" t="str">
        <f t="shared" si="796"/>
        <v>X</v>
      </c>
      <c r="N3770" t="s">
        <v>27</v>
      </c>
    </row>
    <row r="3771" spans="1:14" x14ac:dyDescent="0.25">
      <c r="A3771" t="s">
        <v>41</v>
      </c>
      <c r="B3771" t="s">
        <v>39</v>
      </c>
      <c r="C3771" t="s">
        <v>35</v>
      </c>
      <c r="D3771" t="s">
        <v>31</v>
      </c>
      <c r="E3771" t="s">
        <v>23</v>
      </c>
      <c r="F3771" t="s">
        <v>20</v>
      </c>
      <c r="G3771" s="1" t="str">
        <f t="shared" si="796"/>
        <v>X</v>
      </c>
      <c r="H3771" s="1" t="str">
        <f t="shared" si="796"/>
        <v>X</v>
      </c>
      <c r="I3771" s="1" t="str">
        <f t="shared" si="796"/>
        <v>X</v>
      </c>
      <c r="J3771" s="1" t="str">
        <f t="shared" si="796"/>
        <v>X</v>
      </c>
      <c r="K3771" s="1" t="str">
        <f t="shared" si="796"/>
        <v>X</v>
      </c>
      <c r="L3771" s="1" t="str">
        <f t="shared" si="796"/>
        <v>X</v>
      </c>
      <c r="M3771" s="1" t="str">
        <f t="shared" si="796"/>
        <v>X</v>
      </c>
      <c r="N3771" t="s">
        <v>27</v>
      </c>
    </row>
    <row r="3772" spans="1:14" x14ac:dyDescent="0.25">
      <c r="A3772" t="s">
        <v>41</v>
      </c>
      <c r="B3772" t="s">
        <v>39</v>
      </c>
      <c r="C3772" t="s">
        <v>35</v>
      </c>
      <c r="D3772" t="s">
        <v>31</v>
      </c>
      <c r="E3772" t="s">
        <v>26</v>
      </c>
      <c r="F3772" t="s">
        <v>15</v>
      </c>
      <c r="G3772" s="1" t="str">
        <f t="shared" ref="G3772:M3776" si="797">"..."</f>
        <v>...</v>
      </c>
      <c r="H3772" s="1" t="str">
        <f t="shared" si="797"/>
        <v>...</v>
      </c>
      <c r="I3772" s="1" t="str">
        <f t="shared" si="797"/>
        <v>...</v>
      </c>
      <c r="J3772" s="1" t="str">
        <f t="shared" si="797"/>
        <v>...</v>
      </c>
      <c r="K3772" s="1" t="str">
        <f t="shared" si="797"/>
        <v>...</v>
      </c>
      <c r="L3772" s="1" t="str">
        <f t="shared" si="797"/>
        <v>...</v>
      </c>
      <c r="M3772" s="1" t="str">
        <f t="shared" si="797"/>
        <v>...</v>
      </c>
      <c r="N3772" t="s">
        <v>30</v>
      </c>
    </row>
    <row r="3773" spans="1:14" x14ac:dyDescent="0.25">
      <c r="A3773" t="s">
        <v>41</v>
      </c>
      <c r="B3773" t="s">
        <v>39</v>
      </c>
      <c r="C3773" t="s">
        <v>35</v>
      </c>
      <c r="D3773" t="s">
        <v>31</v>
      </c>
      <c r="E3773" t="s">
        <v>26</v>
      </c>
      <c r="F3773" t="s">
        <v>17</v>
      </c>
      <c r="G3773" s="1" t="str">
        <f t="shared" si="797"/>
        <v>...</v>
      </c>
      <c r="H3773" s="1" t="str">
        <f t="shared" si="797"/>
        <v>...</v>
      </c>
      <c r="I3773" s="1" t="str">
        <f t="shared" si="797"/>
        <v>...</v>
      </c>
      <c r="J3773" s="1" t="str">
        <f t="shared" si="797"/>
        <v>...</v>
      </c>
      <c r="K3773" s="1" t="str">
        <f t="shared" si="797"/>
        <v>...</v>
      </c>
      <c r="L3773" s="1" t="str">
        <f t="shared" si="797"/>
        <v>...</v>
      </c>
      <c r="M3773" s="1" t="str">
        <f t="shared" si="797"/>
        <v>...</v>
      </c>
      <c r="N3773" t="s">
        <v>30</v>
      </c>
    </row>
    <row r="3774" spans="1:14" x14ac:dyDescent="0.25">
      <c r="A3774" t="s">
        <v>41</v>
      </c>
      <c r="B3774" t="s">
        <v>39</v>
      </c>
      <c r="C3774" t="s">
        <v>35</v>
      </c>
      <c r="D3774" t="s">
        <v>31</v>
      </c>
      <c r="E3774" t="s">
        <v>26</v>
      </c>
      <c r="F3774" t="s">
        <v>18</v>
      </c>
      <c r="G3774" s="1" t="str">
        <f t="shared" si="797"/>
        <v>...</v>
      </c>
      <c r="H3774" s="1" t="str">
        <f t="shared" si="797"/>
        <v>...</v>
      </c>
      <c r="I3774" s="1" t="str">
        <f t="shared" si="797"/>
        <v>...</v>
      </c>
      <c r="J3774" s="1" t="str">
        <f t="shared" si="797"/>
        <v>...</v>
      </c>
      <c r="K3774" s="1" t="str">
        <f t="shared" si="797"/>
        <v>...</v>
      </c>
      <c r="L3774" s="1" t="str">
        <f t="shared" si="797"/>
        <v>...</v>
      </c>
      <c r="M3774" s="1" t="str">
        <f t="shared" si="797"/>
        <v>...</v>
      </c>
      <c r="N3774" t="s">
        <v>30</v>
      </c>
    </row>
    <row r="3775" spans="1:14" x14ac:dyDescent="0.25">
      <c r="A3775" t="s">
        <v>41</v>
      </c>
      <c r="B3775" t="s">
        <v>39</v>
      </c>
      <c r="C3775" t="s">
        <v>35</v>
      </c>
      <c r="D3775" t="s">
        <v>31</v>
      </c>
      <c r="E3775" t="s">
        <v>26</v>
      </c>
      <c r="F3775" t="s">
        <v>19</v>
      </c>
      <c r="G3775" s="1" t="str">
        <f t="shared" si="797"/>
        <v>...</v>
      </c>
      <c r="H3775" s="1" t="str">
        <f t="shared" si="797"/>
        <v>...</v>
      </c>
      <c r="I3775" s="1" t="str">
        <f t="shared" si="797"/>
        <v>...</v>
      </c>
      <c r="J3775" s="1" t="str">
        <f t="shared" si="797"/>
        <v>...</v>
      </c>
      <c r="K3775" s="1" t="str">
        <f t="shared" si="797"/>
        <v>...</v>
      </c>
      <c r="L3775" s="1" t="str">
        <f t="shared" si="797"/>
        <v>...</v>
      </c>
      <c r="M3775" s="1" t="str">
        <f t="shared" si="797"/>
        <v>...</v>
      </c>
      <c r="N3775" t="s">
        <v>30</v>
      </c>
    </row>
    <row r="3776" spans="1:14" x14ac:dyDescent="0.25">
      <c r="A3776" t="s">
        <v>41</v>
      </c>
      <c r="B3776" t="s">
        <v>39</v>
      </c>
      <c r="C3776" t="s">
        <v>35</v>
      </c>
      <c r="D3776" t="s">
        <v>31</v>
      </c>
      <c r="E3776" t="s">
        <v>26</v>
      </c>
      <c r="F3776" t="s">
        <v>20</v>
      </c>
      <c r="G3776" s="1" t="str">
        <f t="shared" si="797"/>
        <v>...</v>
      </c>
      <c r="H3776" s="1" t="str">
        <f t="shared" si="797"/>
        <v>...</v>
      </c>
      <c r="I3776" s="1" t="str">
        <f t="shared" si="797"/>
        <v>...</v>
      </c>
      <c r="J3776" s="1" t="str">
        <f t="shared" si="797"/>
        <v>...</v>
      </c>
      <c r="K3776" s="1" t="str">
        <f t="shared" si="797"/>
        <v>...</v>
      </c>
      <c r="L3776" s="1" t="str">
        <f t="shared" si="797"/>
        <v>...</v>
      </c>
      <c r="M3776" s="1" t="str">
        <f t="shared" si="797"/>
        <v>...</v>
      </c>
      <c r="N3776" t="s">
        <v>30</v>
      </c>
    </row>
    <row r="3777" spans="1:14" x14ac:dyDescent="0.25">
      <c r="A3777" t="s">
        <v>41</v>
      </c>
      <c r="B3777" t="s">
        <v>39</v>
      </c>
      <c r="C3777" t="s">
        <v>35</v>
      </c>
      <c r="D3777" t="s">
        <v>32</v>
      </c>
      <c r="E3777" t="s">
        <v>15</v>
      </c>
      <c r="F3777" t="s">
        <v>15</v>
      </c>
      <c r="G3777" s="2">
        <f>VALUE(1158.8353135102)</f>
        <v>1158.8353135102</v>
      </c>
      <c r="H3777" s="3">
        <f>VALUE(1143.4165403617)</f>
        <v>1143.4165403617001</v>
      </c>
      <c r="I3777" s="1">
        <f>VALUE(2842)</f>
        <v>2842</v>
      </c>
      <c r="J3777" s="1">
        <f>VALUE(3142)</f>
        <v>3142</v>
      </c>
      <c r="K3777" s="1">
        <f>VALUE(3643)</f>
        <v>3643</v>
      </c>
      <c r="L3777" s="1">
        <f>VALUE(4382)</f>
        <v>4382</v>
      </c>
      <c r="M3777" s="1">
        <f>VALUE(5130)</f>
        <v>5130</v>
      </c>
      <c r="N3777" t="s">
        <v>25</v>
      </c>
    </row>
    <row r="3778" spans="1:14" x14ac:dyDescent="0.25">
      <c r="A3778" t="s">
        <v>41</v>
      </c>
      <c r="B3778" t="s">
        <v>39</v>
      </c>
      <c r="C3778" t="s">
        <v>35</v>
      </c>
      <c r="D3778" t="s">
        <v>32</v>
      </c>
      <c r="E3778" t="s">
        <v>15</v>
      </c>
      <c r="F3778" t="s">
        <v>17</v>
      </c>
      <c r="G3778" s="1" t="str">
        <f t="shared" ref="G3778:M3780" si="798">"X"</f>
        <v>X</v>
      </c>
      <c r="H3778" s="1" t="str">
        <f t="shared" si="798"/>
        <v>X</v>
      </c>
      <c r="I3778" s="1" t="str">
        <f t="shared" si="798"/>
        <v>X</v>
      </c>
      <c r="J3778" s="1" t="str">
        <f t="shared" si="798"/>
        <v>X</v>
      </c>
      <c r="K3778" s="1" t="str">
        <f t="shared" si="798"/>
        <v>X</v>
      </c>
      <c r="L3778" s="1" t="str">
        <f t="shared" si="798"/>
        <v>X</v>
      </c>
      <c r="M3778" s="1" t="str">
        <f t="shared" si="798"/>
        <v>X</v>
      </c>
      <c r="N3778" t="s">
        <v>27</v>
      </c>
    </row>
    <row r="3779" spans="1:14" x14ac:dyDescent="0.25">
      <c r="A3779" t="s">
        <v>41</v>
      </c>
      <c r="B3779" t="s">
        <v>39</v>
      </c>
      <c r="C3779" t="s">
        <v>35</v>
      </c>
      <c r="D3779" t="s">
        <v>32</v>
      </c>
      <c r="E3779" t="s">
        <v>15</v>
      </c>
      <c r="F3779" t="s">
        <v>18</v>
      </c>
      <c r="G3779" s="1" t="str">
        <f t="shared" si="798"/>
        <v>X</v>
      </c>
      <c r="H3779" s="1" t="str">
        <f t="shared" si="798"/>
        <v>X</v>
      </c>
      <c r="I3779" s="1" t="str">
        <f t="shared" si="798"/>
        <v>X</v>
      </c>
      <c r="J3779" s="1" t="str">
        <f t="shared" si="798"/>
        <v>X</v>
      </c>
      <c r="K3779" s="1" t="str">
        <f t="shared" si="798"/>
        <v>X</v>
      </c>
      <c r="L3779" s="1" t="str">
        <f t="shared" si="798"/>
        <v>X</v>
      </c>
      <c r="M3779" s="1" t="str">
        <f t="shared" si="798"/>
        <v>X</v>
      </c>
      <c r="N3779" t="s">
        <v>27</v>
      </c>
    </row>
    <row r="3780" spans="1:14" x14ac:dyDescent="0.25">
      <c r="A3780" t="s">
        <v>41</v>
      </c>
      <c r="B3780" t="s">
        <v>39</v>
      </c>
      <c r="C3780" t="s">
        <v>35</v>
      </c>
      <c r="D3780" t="s">
        <v>32</v>
      </c>
      <c r="E3780" t="s">
        <v>15</v>
      </c>
      <c r="F3780" t="s">
        <v>19</v>
      </c>
      <c r="G3780" s="1" t="str">
        <f t="shared" si="798"/>
        <v>X</v>
      </c>
      <c r="H3780" s="1" t="str">
        <f t="shared" si="798"/>
        <v>X</v>
      </c>
      <c r="I3780" s="1" t="str">
        <f t="shared" si="798"/>
        <v>X</v>
      </c>
      <c r="J3780" s="1" t="str">
        <f t="shared" si="798"/>
        <v>X</v>
      </c>
      <c r="K3780" s="1" t="str">
        <f t="shared" si="798"/>
        <v>X</v>
      </c>
      <c r="L3780" s="1" t="str">
        <f t="shared" si="798"/>
        <v>X</v>
      </c>
      <c r="M3780" s="1" t="str">
        <f t="shared" si="798"/>
        <v>X</v>
      </c>
      <c r="N3780" t="s">
        <v>27</v>
      </c>
    </row>
    <row r="3781" spans="1:14" x14ac:dyDescent="0.25">
      <c r="A3781" t="s">
        <v>41</v>
      </c>
      <c r="B3781" t="s">
        <v>39</v>
      </c>
      <c r="C3781" t="s">
        <v>35</v>
      </c>
      <c r="D3781" t="s">
        <v>32</v>
      </c>
      <c r="E3781" t="s">
        <v>15</v>
      </c>
      <c r="F3781" t="s">
        <v>20</v>
      </c>
      <c r="G3781" s="2">
        <f>VALUE(1007.1918045189)</f>
        <v>1007.1918045189</v>
      </c>
      <c r="H3781" s="3">
        <f>VALUE(993.7199806956)</f>
        <v>993.71998069560004</v>
      </c>
      <c r="I3781" s="1">
        <f>VALUE(2805)</f>
        <v>2805</v>
      </c>
      <c r="J3781" s="1">
        <f>VALUE(3113)</f>
        <v>3113</v>
      </c>
      <c r="K3781" s="1">
        <f>VALUE(3537)</f>
        <v>3537</v>
      </c>
      <c r="L3781" s="1">
        <f>VALUE(4221)</f>
        <v>4221</v>
      </c>
      <c r="M3781" s="1">
        <f>VALUE(4980)</f>
        <v>4980</v>
      </c>
      <c r="N3781" t="s">
        <v>25</v>
      </c>
    </row>
    <row r="3782" spans="1:14" x14ac:dyDescent="0.25">
      <c r="A3782" t="s">
        <v>41</v>
      </c>
      <c r="B3782" t="s">
        <v>39</v>
      </c>
      <c r="C3782" t="s">
        <v>35</v>
      </c>
      <c r="D3782" t="s">
        <v>32</v>
      </c>
      <c r="E3782" t="s">
        <v>21</v>
      </c>
      <c r="F3782" t="s">
        <v>15</v>
      </c>
      <c r="G3782" s="1" t="str">
        <f t="shared" ref="G3782:M3786" si="799">"X"</f>
        <v>X</v>
      </c>
      <c r="H3782" s="1" t="str">
        <f t="shared" si="799"/>
        <v>X</v>
      </c>
      <c r="I3782" s="1" t="str">
        <f t="shared" si="799"/>
        <v>X</v>
      </c>
      <c r="J3782" s="1" t="str">
        <f t="shared" si="799"/>
        <v>X</v>
      </c>
      <c r="K3782" s="1" t="str">
        <f t="shared" si="799"/>
        <v>X</v>
      </c>
      <c r="L3782" s="1" t="str">
        <f t="shared" si="799"/>
        <v>X</v>
      </c>
      <c r="M3782" s="1" t="str">
        <f t="shared" si="799"/>
        <v>X</v>
      </c>
      <c r="N3782" t="s">
        <v>27</v>
      </c>
    </row>
    <row r="3783" spans="1:14" x14ac:dyDescent="0.25">
      <c r="A3783" t="s">
        <v>41</v>
      </c>
      <c r="B3783" t="s">
        <v>39</v>
      </c>
      <c r="C3783" t="s">
        <v>35</v>
      </c>
      <c r="D3783" t="s">
        <v>32</v>
      </c>
      <c r="E3783" t="s">
        <v>21</v>
      </c>
      <c r="F3783" t="s">
        <v>17</v>
      </c>
      <c r="G3783" s="1" t="str">
        <f t="shared" si="799"/>
        <v>X</v>
      </c>
      <c r="H3783" s="1" t="str">
        <f t="shared" si="799"/>
        <v>X</v>
      </c>
      <c r="I3783" s="1" t="str">
        <f t="shared" si="799"/>
        <v>X</v>
      </c>
      <c r="J3783" s="1" t="str">
        <f t="shared" si="799"/>
        <v>X</v>
      </c>
      <c r="K3783" s="1" t="str">
        <f t="shared" si="799"/>
        <v>X</v>
      </c>
      <c r="L3783" s="1" t="str">
        <f t="shared" si="799"/>
        <v>X</v>
      </c>
      <c r="M3783" s="1" t="str">
        <f t="shared" si="799"/>
        <v>X</v>
      </c>
      <c r="N3783" t="s">
        <v>27</v>
      </c>
    </row>
    <row r="3784" spans="1:14" x14ac:dyDescent="0.25">
      <c r="A3784" t="s">
        <v>41</v>
      </c>
      <c r="B3784" t="s">
        <v>39</v>
      </c>
      <c r="C3784" t="s">
        <v>35</v>
      </c>
      <c r="D3784" t="s">
        <v>32</v>
      </c>
      <c r="E3784" t="s">
        <v>21</v>
      </c>
      <c r="F3784" t="s">
        <v>18</v>
      </c>
      <c r="G3784" s="1" t="str">
        <f t="shared" si="799"/>
        <v>X</v>
      </c>
      <c r="H3784" s="1" t="str">
        <f t="shared" si="799"/>
        <v>X</v>
      </c>
      <c r="I3784" s="1" t="str">
        <f t="shared" si="799"/>
        <v>X</v>
      </c>
      <c r="J3784" s="1" t="str">
        <f t="shared" si="799"/>
        <v>X</v>
      </c>
      <c r="K3784" s="1" t="str">
        <f t="shared" si="799"/>
        <v>X</v>
      </c>
      <c r="L3784" s="1" t="str">
        <f t="shared" si="799"/>
        <v>X</v>
      </c>
      <c r="M3784" s="1" t="str">
        <f t="shared" si="799"/>
        <v>X</v>
      </c>
      <c r="N3784" t="s">
        <v>27</v>
      </c>
    </row>
    <row r="3785" spans="1:14" x14ac:dyDescent="0.25">
      <c r="A3785" t="s">
        <v>41</v>
      </c>
      <c r="B3785" t="s">
        <v>39</v>
      </c>
      <c r="C3785" t="s">
        <v>35</v>
      </c>
      <c r="D3785" t="s">
        <v>32</v>
      </c>
      <c r="E3785" t="s">
        <v>21</v>
      </c>
      <c r="F3785" t="s">
        <v>19</v>
      </c>
      <c r="G3785" s="1" t="str">
        <f t="shared" si="799"/>
        <v>X</v>
      </c>
      <c r="H3785" s="1" t="str">
        <f t="shared" si="799"/>
        <v>X</v>
      </c>
      <c r="I3785" s="1" t="str">
        <f t="shared" si="799"/>
        <v>X</v>
      </c>
      <c r="J3785" s="1" t="str">
        <f t="shared" si="799"/>
        <v>X</v>
      </c>
      <c r="K3785" s="1" t="str">
        <f t="shared" si="799"/>
        <v>X</v>
      </c>
      <c r="L3785" s="1" t="str">
        <f t="shared" si="799"/>
        <v>X</v>
      </c>
      <c r="M3785" s="1" t="str">
        <f t="shared" si="799"/>
        <v>X</v>
      </c>
      <c r="N3785" t="s">
        <v>27</v>
      </c>
    </row>
    <row r="3786" spans="1:14" x14ac:dyDescent="0.25">
      <c r="A3786" t="s">
        <v>41</v>
      </c>
      <c r="B3786" t="s">
        <v>39</v>
      </c>
      <c r="C3786" t="s">
        <v>35</v>
      </c>
      <c r="D3786" t="s">
        <v>32</v>
      </c>
      <c r="E3786" t="s">
        <v>21</v>
      </c>
      <c r="F3786" t="s">
        <v>20</v>
      </c>
      <c r="G3786" s="1" t="str">
        <f t="shared" si="799"/>
        <v>X</v>
      </c>
      <c r="H3786" s="1" t="str">
        <f t="shared" si="799"/>
        <v>X</v>
      </c>
      <c r="I3786" s="1" t="str">
        <f t="shared" si="799"/>
        <v>X</v>
      </c>
      <c r="J3786" s="1" t="str">
        <f t="shared" si="799"/>
        <v>X</v>
      </c>
      <c r="K3786" s="1" t="str">
        <f t="shared" si="799"/>
        <v>X</v>
      </c>
      <c r="L3786" s="1" t="str">
        <f t="shared" si="799"/>
        <v>X</v>
      </c>
      <c r="M3786" s="1" t="str">
        <f t="shared" si="799"/>
        <v>X</v>
      </c>
      <c r="N3786" t="s">
        <v>27</v>
      </c>
    </row>
    <row r="3787" spans="1:14" x14ac:dyDescent="0.25">
      <c r="A3787" t="s">
        <v>41</v>
      </c>
      <c r="B3787" t="s">
        <v>39</v>
      </c>
      <c r="C3787" t="s">
        <v>35</v>
      </c>
      <c r="D3787" t="s">
        <v>32</v>
      </c>
      <c r="E3787" t="s">
        <v>22</v>
      </c>
      <c r="F3787" t="s">
        <v>15</v>
      </c>
      <c r="G3787" s="2">
        <f>VALUE(451.7944561198)</f>
        <v>451.79445611979997</v>
      </c>
      <c r="H3787" s="3">
        <f>VALUE(447.3105370097)</f>
        <v>447.3105370097</v>
      </c>
      <c r="I3787" s="4">
        <f>VALUE(3095)</f>
        <v>3095</v>
      </c>
      <c r="J3787" s="1">
        <f>VALUE(3296)</f>
        <v>3296</v>
      </c>
      <c r="K3787" s="1">
        <f>VALUE(4064)</f>
        <v>4064</v>
      </c>
      <c r="L3787" s="1">
        <f>VALUE(4719)</f>
        <v>4719</v>
      </c>
      <c r="M3787" s="8">
        <f>VALUE(5195)</f>
        <v>5195</v>
      </c>
      <c r="N3787" t="s">
        <v>25</v>
      </c>
    </row>
    <row r="3788" spans="1:14" x14ac:dyDescent="0.25">
      <c r="A3788" t="s">
        <v>41</v>
      </c>
      <c r="B3788" t="s">
        <v>39</v>
      </c>
      <c r="C3788" t="s">
        <v>35</v>
      </c>
      <c r="D3788" t="s">
        <v>32</v>
      </c>
      <c r="E3788" t="s">
        <v>22</v>
      </c>
      <c r="F3788" t="s">
        <v>17</v>
      </c>
      <c r="G3788" s="1" t="str">
        <f t="shared" ref="G3788:M3790" si="800">"X"</f>
        <v>X</v>
      </c>
      <c r="H3788" s="1" t="str">
        <f t="shared" si="800"/>
        <v>X</v>
      </c>
      <c r="I3788" s="1" t="str">
        <f t="shared" si="800"/>
        <v>X</v>
      </c>
      <c r="J3788" s="1" t="str">
        <f t="shared" si="800"/>
        <v>X</v>
      </c>
      <c r="K3788" s="1" t="str">
        <f t="shared" si="800"/>
        <v>X</v>
      </c>
      <c r="L3788" s="1" t="str">
        <f t="shared" si="800"/>
        <v>X</v>
      </c>
      <c r="M3788" s="1" t="str">
        <f t="shared" si="800"/>
        <v>X</v>
      </c>
      <c r="N3788" t="s">
        <v>27</v>
      </c>
    </row>
    <row r="3789" spans="1:14" x14ac:dyDescent="0.25">
      <c r="A3789" t="s">
        <v>41</v>
      </c>
      <c r="B3789" t="s">
        <v>39</v>
      </c>
      <c r="C3789" t="s">
        <v>35</v>
      </c>
      <c r="D3789" t="s">
        <v>32</v>
      </c>
      <c r="E3789" t="s">
        <v>22</v>
      </c>
      <c r="F3789" t="s">
        <v>18</v>
      </c>
      <c r="G3789" s="1" t="str">
        <f t="shared" si="800"/>
        <v>X</v>
      </c>
      <c r="H3789" s="1" t="str">
        <f t="shared" si="800"/>
        <v>X</v>
      </c>
      <c r="I3789" s="1" t="str">
        <f t="shared" si="800"/>
        <v>X</v>
      </c>
      <c r="J3789" s="1" t="str">
        <f t="shared" si="800"/>
        <v>X</v>
      </c>
      <c r="K3789" s="1" t="str">
        <f t="shared" si="800"/>
        <v>X</v>
      </c>
      <c r="L3789" s="1" t="str">
        <f t="shared" si="800"/>
        <v>X</v>
      </c>
      <c r="M3789" s="1" t="str">
        <f t="shared" si="800"/>
        <v>X</v>
      </c>
      <c r="N3789" t="s">
        <v>27</v>
      </c>
    </row>
    <row r="3790" spans="1:14" x14ac:dyDescent="0.25">
      <c r="A3790" t="s">
        <v>41</v>
      </c>
      <c r="B3790" t="s">
        <v>39</v>
      </c>
      <c r="C3790" t="s">
        <v>35</v>
      </c>
      <c r="D3790" t="s">
        <v>32</v>
      </c>
      <c r="E3790" t="s">
        <v>22</v>
      </c>
      <c r="F3790" t="s">
        <v>19</v>
      </c>
      <c r="G3790" s="1" t="str">
        <f t="shared" si="800"/>
        <v>X</v>
      </c>
      <c r="H3790" s="1" t="str">
        <f t="shared" si="800"/>
        <v>X</v>
      </c>
      <c r="I3790" s="1" t="str">
        <f t="shared" si="800"/>
        <v>X</v>
      </c>
      <c r="J3790" s="1" t="str">
        <f t="shared" si="800"/>
        <v>X</v>
      </c>
      <c r="K3790" s="1" t="str">
        <f t="shared" si="800"/>
        <v>X</v>
      </c>
      <c r="L3790" s="1" t="str">
        <f t="shared" si="800"/>
        <v>X</v>
      </c>
      <c r="M3790" s="1" t="str">
        <f t="shared" si="800"/>
        <v>X</v>
      </c>
      <c r="N3790" t="s">
        <v>27</v>
      </c>
    </row>
    <row r="3791" spans="1:14" x14ac:dyDescent="0.25">
      <c r="A3791" t="s">
        <v>41</v>
      </c>
      <c r="B3791" t="s">
        <v>39</v>
      </c>
      <c r="C3791" t="s">
        <v>35</v>
      </c>
      <c r="D3791" t="s">
        <v>32</v>
      </c>
      <c r="E3791" t="s">
        <v>22</v>
      </c>
      <c r="F3791" t="s">
        <v>20</v>
      </c>
      <c r="G3791" s="2">
        <f>VALUE(362.7529221323)</f>
        <v>362.7529221323</v>
      </c>
      <c r="H3791" s="3">
        <f>VALUE(361.8500732046)</f>
        <v>361.85007320459999</v>
      </c>
      <c r="I3791" s="4">
        <f>VALUE(3012)</f>
        <v>3012</v>
      </c>
      <c r="J3791" s="5">
        <f>VALUE(3221)</f>
        <v>3221</v>
      </c>
      <c r="K3791" s="1">
        <f>VALUE(3931)</f>
        <v>3931</v>
      </c>
      <c r="L3791" s="7">
        <f>VALUE(4641)</f>
        <v>4641</v>
      </c>
      <c r="M3791" s="8">
        <f>VALUE(5299)</f>
        <v>5299</v>
      </c>
      <c r="N3791" t="s">
        <v>25</v>
      </c>
    </row>
    <row r="3792" spans="1:14" x14ac:dyDescent="0.25">
      <c r="A3792" t="s">
        <v>41</v>
      </c>
      <c r="B3792" t="s">
        <v>39</v>
      </c>
      <c r="C3792" t="s">
        <v>35</v>
      </c>
      <c r="D3792" t="s">
        <v>32</v>
      </c>
      <c r="E3792" t="s">
        <v>23</v>
      </c>
      <c r="F3792" t="s">
        <v>15</v>
      </c>
      <c r="G3792" s="2">
        <f>VALUE(599.8524406106)</f>
        <v>599.85244061059996</v>
      </c>
      <c r="H3792" s="3">
        <f>VALUE(592.635660984)</f>
        <v>592.63566098399997</v>
      </c>
      <c r="I3792" s="1">
        <f>VALUE(2783)</f>
        <v>2783</v>
      </c>
      <c r="J3792" s="1">
        <f>VALUE(2959)</f>
        <v>2959</v>
      </c>
      <c r="K3792" s="1">
        <f>VALUE(3439)</f>
        <v>3439</v>
      </c>
      <c r="L3792" s="1">
        <f>VALUE(3941)</f>
        <v>3941</v>
      </c>
      <c r="M3792" s="1">
        <f>VALUE(4585)</f>
        <v>4585</v>
      </c>
      <c r="N3792" t="s">
        <v>25</v>
      </c>
    </row>
    <row r="3793" spans="1:14" x14ac:dyDescent="0.25">
      <c r="A3793" t="s">
        <v>41</v>
      </c>
      <c r="B3793" t="s">
        <v>39</v>
      </c>
      <c r="C3793" t="s">
        <v>35</v>
      </c>
      <c r="D3793" t="s">
        <v>32</v>
      </c>
      <c r="E3793" t="s">
        <v>23</v>
      </c>
      <c r="F3793" t="s">
        <v>17</v>
      </c>
      <c r="G3793" s="1" t="str">
        <f t="shared" ref="G3793:M3795" si="801">"X"</f>
        <v>X</v>
      </c>
      <c r="H3793" s="1" t="str">
        <f t="shared" si="801"/>
        <v>X</v>
      </c>
      <c r="I3793" s="1" t="str">
        <f t="shared" si="801"/>
        <v>X</v>
      </c>
      <c r="J3793" s="1" t="str">
        <f t="shared" si="801"/>
        <v>X</v>
      </c>
      <c r="K3793" s="1" t="str">
        <f t="shared" si="801"/>
        <v>X</v>
      </c>
      <c r="L3793" s="1" t="str">
        <f t="shared" si="801"/>
        <v>X</v>
      </c>
      <c r="M3793" s="1" t="str">
        <f t="shared" si="801"/>
        <v>X</v>
      </c>
      <c r="N3793" t="s">
        <v>27</v>
      </c>
    </row>
    <row r="3794" spans="1:14" x14ac:dyDescent="0.25">
      <c r="A3794" t="s">
        <v>41</v>
      </c>
      <c r="B3794" t="s">
        <v>39</v>
      </c>
      <c r="C3794" t="s">
        <v>35</v>
      </c>
      <c r="D3794" t="s">
        <v>32</v>
      </c>
      <c r="E3794" t="s">
        <v>23</v>
      </c>
      <c r="F3794" t="s">
        <v>18</v>
      </c>
      <c r="G3794" s="1" t="str">
        <f t="shared" si="801"/>
        <v>X</v>
      </c>
      <c r="H3794" s="1" t="str">
        <f t="shared" si="801"/>
        <v>X</v>
      </c>
      <c r="I3794" s="1" t="str">
        <f t="shared" si="801"/>
        <v>X</v>
      </c>
      <c r="J3794" s="1" t="str">
        <f t="shared" si="801"/>
        <v>X</v>
      </c>
      <c r="K3794" s="1" t="str">
        <f t="shared" si="801"/>
        <v>X</v>
      </c>
      <c r="L3794" s="1" t="str">
        <f t="shared" si="801"/>
        <v>X</v>
      </c>
      <c r="M3794" s="1" t="str">
        <f t="shared" si="801"/>
        <v>X</v>
      </c>
      <c r="N3794" t="s">
        <v>27</v>
      </c>
    </row>
    <row r="3795" spans="1:14" x14ac:dyDescent="0.25">
      <c r="A3795" t="s">
        <v>41</v>
      </c>
      <c r="B3795" t="s">
        <v>39</v>
      </c>
      <c r="C3795" t="s">
        <v>35</v>
      </c>
      <c r="D3795" t="s">
        <v>32</v>
      </c>
      <c r="E3795" t="s">
        <v>23</v>
      </c>
      <c r="F3795" t="s">
        <v>19</v>
      </c>
      <c r="G3795" s="1" t="str">
        <f t="shared" si="801"/>
        <v>X</v>
      </c>
      <c r="H3795" s="1" t="str">
        <f t="shared" si="801"/>
        <v>X</v>
      </c>
      <c r="I3795" s="1" t="str">
        <f t="shared" si="801"/>
        <v>X</v>
      </c>
      <c r="J3795" s="1" t="str">
        <f t="shared" si="801"/>
        <v>X</v>
      </c>
      <c r="K3795" s="1" t="str">
        <f t="shared" si="801"/>
        <v>X</v>
      </c>
      <c r="L3795" s="1" t="str">
        <f t="shared" si="801"/>
        <v>X</v>
      </c>
      <c r="M3795" s="1" t="str">
        <f t="shared" si="801"/>
        <v>X</v>
      </c>
      <c r="N3795" t="s">
        <v>27</v>
      </c>
    </row>
    <row r="3796" spans="1:14" x14ac:dyDescent="0.25">
      <c r="A3796" t="s">
        <v>41</v>
      </c>
      <c r="B3796" t="s">
        <v>39</v>
      </c>
      <c r="C3796" t="s">
        <v>35</v>
      </c>
      <c r="D3796" t="s">
        <v>32</v>
      </c>
      <c r="E3796" t="s">
        <v>23</v>
      </c>
      <c r="F3796" t="s">
        <v>20</v>
      </c>
      <c r="G3796" s="2">
        <f>VALUE(571.8545060793)</f>
        <v>571.85450607929999</v>
      </c>
      <c r="H3796" s="3">
        <f>VALUE(563.9563723879)</f>
        <v>563.95637238790005</v>
      </c>
      <c r="I3796" s="1">
        <f>VALUE(2783)</f>
        <v>2783</v>
      </c>
      <c r="J3796" s="1">
        <f>VALUE(2953)</f>
        <v>2953</v>
      </c>
      <c r="K3796" s="1">
        <f>VALUE(3450)</f>
        <v>3450</v>
      </c>
      <c r="L3796" s="1">
        <f>VALUE(3955)</f>
        <v>3955</v>
      </c>
      <c r="M3796" s="1">
        <f>VALUE(4556)</f>
        <v>4556</v>
      </c>
      <c r="N3796" t="s">
        <v>25</v>
      </c>
    </row>
    <row r="3797" spans="1:14" x14ac:dyDescent="0.25">
      <c r="A3797" t="s">
        <v>41</v>
      </c>
      <c r="B3797" t="s">
        <v>39</v>
      </c>
      <c r="C3797" t="s">
        <v>35</v>
      </c>
      <c r="D3797" t="s">
        <v>32</v>
      </c>
      <c r="E3797" t="s">
        <v>26</v>
      </c>
      <c r="F3797" t="s">
        <v>15</v>
      </c>
      <c r="G3797" s="1" t="str">
        <f t="shared" ref="G3797:M3797" si="802">"X"</f>
        <v>X</v>
      </c>
      <c r="H3797" s="1" t="str">
        <f t="shared" si="802"/>
        <v>X</v>
      </c>
      <c r="I3797" s="1" t="str">
        <f t="shared" si="802"/>
        <v>X</v>
      </c>
      <c r="J3797" s="1" t="str">
        <f t="shared" si="802"/>
        <v>X</v>
      </c>
      <c r="K3797" s="1" t="str">
        <f t="shared" si="802"/>
        <v>X</v>
      </c>
      <c r="L3797" s="1" t="str">
        <f t="shared" si="802"/>
        <v>X</v>
      </c>
      <c r="M3797" s="1" t="str">
        <f t="shared" si="802"/>
        <v>X</v>
      </c>
      <c r="N3797" t="s">
        <v>27</v>
      </c>
    </row>
    <row r="3798" spans="1:14" x14ac:dyDescent="0.25">
      <c r="A3798" t="s">
        <v>41</v>
      </c>
      <c r="B3798" t="s">
        <v>39</v>
      </c>
      <c r="C3798" t="s">
        <v>35</v>
      </c>
      <c r="D3798" t="s">
        <v>32</v>
      </c>
      <c r="E3798" t="s">
        <v>26</v>
      </c>
      <c r="F3798" t="s">
        <v>17</v>
      </c>
      <c r="G3798" s="1" t="str">
        <f t="shared" ref="G3798:M3801" si="803">"..."</f>
        <v>...</v>
      </c>
      <c r="H3798" s="1" t="str">
        <f t="shared" si="803"/>
        <v>...</v>
      </c>
      <c r="I3798" s="1" t="str">
        <f t="shared" si="803"/>
        <v>...</v>
      </c>
      <c r="J3798" s="1" t="str">
        <f t="shared" si="803"/>
        <v>...</v>
      </c>
      <c r="K3798" s="1" t="str">
        <f t="shared" si="803"/>
        <v>...</v>
      </c>
      <c r="L3798" s="1" t="str">
        <f t="shared" si="803"/>
        <v>...</v>
      </c>
      <c r="M3798" s="1" t="str">
        <f t="shared" si="803"/>
        <v>...</v>
      </c>
      <c r="N3798" t="s">
        <v>30</v>
      </c>
    </row>
    <row r="3799" spans="1:14" x14ac:dyDescent="0.25">
      <c r="A3799" t="s">
        <v>41</v>
      </c>
      <c r="B3799" t="s">
        <v>39</v>
      </c>
      <c r="C3799" t="s">
        <v>35</v>
      </c>
      <c r="D3799" t="s">
        <v>32</v>
      </c>
      <c r="E3799" t="s">
        <v>26</v>
      </c>
      <c r="F3799" t="s">
        <v>18</v>
      </c>
      <c r="G3799" s="1" t="str">
        <f t="shared" si="803"/>
        <v>...</v>
      </c>
      <c r="H3799" s="1" t="str">
        <f t="shared" si="803"/>
        <v>...</v>
      </c>
      <c r="I3799" s="1" t="str">
        <f t="shared" si="803"/>
        <v>...</v>
      </c>
      <c r="J3799" s="1" t="str">
        <f t="shared" si="803"/>
        <v>...</v>
      </c>
      <c r="K3799" s="1" t="str">
        <f t="shared" si="803"/>
        <v>...</v>
      </c>
      <c r="L3799" s="1" t="str">
        <f t="shared" si="803"/>
        <v>...</v>
      </c>
      <c r="M3799" s="1" t="str">
        <f t="shared" si="803"/>
        <v>...</v>
      </c>
      <c r="N3799" t="s">
        <v>30</v>
      </c>
    </row>
    <row r="3800" spans="1:14" x14ac:dyDescent="0.25">
      <c r="A3800" t="s">
        <v>41</v>
      </c>
      <c r="B3800" t="s">
        <v>39</v>
      </c>
      <c r="C3800" t="s">
        <v>35</v>
      </c>
      <c r="D3800" t="s">
        <v>32</v>
      </c>
      <c r="E3800" t="s">
        <v>26</v>
      </c>
      <c r="F3800" t="s">
        <v>19</v>
      </c>
      <c r="G3800" s="1" t="str">
        <f t="shared" si="803"/>
        <v>...</v>
      </c>
      <c r="H3800" s="1" t="str">
        <f t="shared" si="803"/>
        <v>...</v>
      </c>
      <c r="I3800" s="1" t="str">
        <f t="shared" si="803"/>
        <v>...</v>
      </c>
      <c r="J3800" s="1" t="str">
        <f t="shared" si="803"/>
        <v>...</v>
      </c>
      <c r="K3800" s="1" t="str">
        <f t="shared" si="803"/>
        <v>...</v>
      </c>
      <c r="L3800" s="1" t="str">
        <f t="shared" si="803"/>
        <v>...</v>
      </c>
      <c r="M3800" s="1" t="str">
        <f t="shared" si="803"/>
        <v>...</v>
      </c>
      <c r="N3800" t="s">
        <v>30</v>
      </c>
    </row>
    <row r="3801" spans="1:14" x14ac:dyDescent="0.25">
      <c r="A3801" t="s">
        <v>41</v>
      </c>
      <c r="B3801" t="s">
        <v>39</v>
      </c>
      <c r="C3801" t="s">
        <v>35</v>
      </c>
      <c r="D3801" t="s">
        <v>32</v>
      </c>
      <c r="E3801" t="s">
        <v>26</v>
      </c>
      <c r="F3801" t="s">
        <v>20</v>
      </c>
      <c r="G3801" s="1" t="str">
        <f t="shared" si="803"/>
        <v>...</v>
      </c>
      <c r="H3801" s="1" t="str">
        <f t="shared" si="803"/>
        <v>...</v>
      </c>
      <c r="I3801" s="1" t="str">
        <f t="shared" si="803"/>
        <v>...</v>
      </c>
      <c r="J3801" s="1" t="str">
        <f t="shared" si="803"/>
        <v>...</v>
      </c>
      <c r="K3801" s="1" t="str">
        <f t="shared" si="803"/>
        <v>...</v>
      </c>
      <c r="L3801" s="1" t="str">
        <f t="shared" si="803"/>
        <v>...</v>
      </c>
      <c r="M3801" s="1" t="str">
        <f t="shared" si="803"/>
        <v>...</v>
      </c>
      <c r="N3801" t="s">
        <v>30</v>
      </c>
    </row>
    <row r="3802" spans="1:14" x14ac:dyDescent="0.25">
      <c r="A3802" t="s">
        <v>41</v>
      </c>
      <c r="B3802" t="s">
        <v>39</v>
      </c>
      <c r="C3802" t="s">
        <v>35</v>
      </c>
      <c r="D3802" t="s">
        <v>33</v>
      </c>
      <c r="E3802" t="s">
        <v>15</v>
      </c>
      <c r="F3802" t="s">
        <v>15</v>
      </c>
      <c r="G3802" s="1" t="str">
        <f t="shared" ref="G3802:M3802" si="804">"X"</f>
        <v>X</v>
      </c>
      <c r="H3802" s="1" t="str">
        <f t="shared" si="804"/>
        <v>X</v>
      </c>
      <c r="I3802" s="1" t="str">
        <f t="shared" si="804"/>
        <v>X</v>
      </c>
      <c r="J3802" s="1" t="str">
        <f t="shared" si="804"/>
        <v>X</v>
      </c>
      <c r="K3802" s="1" t="str">
        <f t="shared" si="804"/>
        <v>X</v>
      </c>
      <c r="L3802" s="1" t="str">
        <f t="shared" si="804"/>
        <v>X</v>
      </c>
      <c r="M3802" s="1" t="str">
        <f t="shared" si="804"/>
        <v>X</v>
      </c>
      <c r="N3802" t="s">
        <v>27</v>
      </c>
    </row>
    <row r="3803" spans="1:14" x14ac:dyDescent="0.25">
      <c r="A3803" t="s">
        <v>41</v>
      </c>
      <c r="B3803" t="s">
        <v>39</v>
      </c>
      <c r="C3803" t="s">
        <v>35</v>
      </c>
      <c r="D3803" t="s">
        <v>33</v>
      </c>
      <c r="E3803" t="s">
        <v>15</v>
      </c>
      <c r="F3803" t="s">
        <v>17</v>
      </c>
      <c r="G3803" s="1" t="str">
        <f t="shared" ref="G3803:M3803" si="805">"..."</f>
        <v>...</v>
      </c>
      <c r="H3803" s="1" t="str">
        <f t="shared" si="805"/>
        <v>...</v>
      </c>
      <c r="I3803" s="1" t="str">
        <f t="shared" si="805"/>
        <v>...</v>
      </c>
      <c r="J3803" s="1" t="str">
        <f t="shared" si="805"/>
        <v>...</v>
      </c>
      <c r="K3803" s="1" t="str">
        <f t="shared" si="805"/>
        <v>...</v>
      </c>
      <c r="L3803" s="1" t="str">
        <f t="shared" si="805"/>
        <v>...</v>
      </c>
      <c r="M3803" s="1" t="str">
        <f t="shared" si="805"/>
        <v>...</v>
      </c>
      <c r="N3803" t="s">
        <v>30</v>
      </c>
    </row>
    <row r="3804" spans="1:14" x14ac:dyDescent="0.25">
      <c r="A3804" t="s">
        <v>41</v>
      </c>
      <c r="B3804" t="s">
        <v>39</v>
      </c>
      <c r="C3804" t="s">
        <v>35</v>
      </c>
      <c r="D3804" t="s">
        <v>33</v>
      </c>
      <c r="E3804" t="s">
        <v>15</v>
      </c>
      <c r="F3804" t="s">
        <v>18</v>
      </c>
      <c r="G3804" s="1" t="str">
        <f t="shared" ref="G3804:M3806" si="806">"X"</f>
        <v>X</v>
      </c>
      <c r="H3804" s="1" t="str">
        <f t="shared" si="806"/>
        <v>X</v>
      </c>
      <c r="I3804" s="1" t="str">
        <f t="shared" si="806"/>
        <v>X</v>
      </c>
      <c r="J3804" s="1" t="str">
        <f t="shared" si="806"/>
        <v>X</v>
      </c>
      <c r="K3804" s="1" t="str">
        <f t="shared" si="806"/>
        <v>X</v>
      </c>
      <c r="L3804" s="1" t="str">
        <f t="shared" si="806"/>
        <v>X</v>
      </c>
      <c r="M3804" s="1" t="str">
        <f t="shared" si="806"/>
        <v>X</v>
      </c>
      <c r="N3804" t="s">
        <v>27</v>
      </c>
    </row>
    <row r="3805" spans="1:14" x14ac:dyDescent="0.25">
      <c r="A3805" t="s">
        <v>41</v>
      </c>
      <c r="B3805" t="s">
        <v>39</v>
      </c>
      <c r="C3805" t="s">
        <v>35</v>
      </c>
      <c r="D3805" t="s">
        <v>33</v>
      </c>
      <c r="E3805" t="s">
        <v>15</v>
      </c>
      <c r="F3805" t="s">
        <v>19</v>
      </c>
      <c r="G3805" s="1" t="str">
        <f t="shared" si="806"/>
        <v>X</v>
      </c>
      <c r="H3805" s="1" t="str">
        <f t="shared" si="806"/>
        <v>X</v>
      </c>
      <c r="I3805" s="1" t="str">
        <f t="shared" si="806"/>
        <v>X</v>
      </c>
      <c r="J3805" s="1" t="str">
        <f t="shared" si="806"/>
        <v>X</v>
      </c>
      <c r="K3805" s="1" t="str">
        <f t="shared" si="806"/>
        <v>X</v>
      </c>
      <c r="L3805" s="1" t="str">
        <f t="shared" si="806"/>
        <v>X</v>
      </c>
      <c r="M3805" s="1" t="str">
        <f t="shared" si="806"/>
        <v>X</v>
      </c>
      <c r="N3805" t="s">
        <v>27</v>
      </c>
    </row>
    <row r="3806" spans="1:14" x14ac:dyDescent="0.25">
      <c r="A3806" t="s">
        <v>41</v>
      </c>
      <c r="B3806" t="s">
        <v>39</v>
      </c>
      <c r="C3806" t="s">
        <v>35</v>
      </c>
      <c r="D3806" t="s">
        <v>33</v>
      </c>
      <c r="E3806" t="s">
        <v>15</v>
      </c>
      <c r="F3806" t="s">
        <v>20</v>
      </c>
      <c r="G3806" s="1" t="str">
        <f t="shared" si="806"/>
        <v>X</v>
      </c>
      <c r="H3806" s="1" t="str">
        <f t="shared" si="806"/>
        <v>X</v>
      </c>
      <c r="I3806" s="1" t="str">
        <f t="shared" si="806"/>
        <v>X</v>
      </c>
      <c r="J3806" s="1" t="str">
        <f t="shared" si="806"/>
        <v>X</v>
      </c>
      <c r="K3806" s="1" t="str">
        <f t="shared" si="806"/>
        <v>X</v>
      </c>
      <c r="L3806" s="1" t="str">
        <f t="shared" si="806"/>
        <v>X</v>
      </c>
      <c r="M3806" s="1" t="str">
        <f t="shared" si="806"/>
        <v>X</v>
      </c>
      <c r="N3806" t="s">
        <v>27</v>
      </c>
    </row>
    <row r="3807" spans="1:14" x14ac:dyDescent="0.25">
      <c r="A3807" t="s">
        <v>41</v>
      </c>
      <c r="B3807" t="s">
        <v>39</v>
      </c>
      <c r="C3807" t="s">
        <v>35</v>
      </c>
      <c r="D3807" t="s">
        <v>33</v>
      </c>
      <c r="E3807" t="s">
        <v>21</v>
      </c>
      <c r="F3807" t="s">
        <v>15</v>
      </c>
      <c r="G3807" s="1" t="str">
        <f t="shared" ref="G3807:M3811" si="807">"..."</f>
        <v>...</v>
      </c>
      <c r="H3807" s="1" t="str">
        <f t="shared" si="807"/>
        <v>...</v>
      </c>
      <c r="I3807" s="1" t="str">
        <f t="shared" si="807"/>
        <v>...</v>
      </c>
      <c r="J3807" s="1" t="str">
        <f t="shared" si="807"/>
        <v>...</v>
      </c>
      <c r="K3807" s="1" t="str">
        <f t="shared" si="807"/>
        <v>...</v>
      </c>
      <c r="L3807" s="1" t="str">
        <f t="shared" si="807"/>
        <v>...</v>
      </c>
      <c r="M3807" s="1" t="str">
        <f t="shared" si="807"/>
        <v>...</v>
      </c>
      <c r="N3807" t="s">
        <v>30</v>
      </c>
    </row>
    <row r="3808" spans="1:14" x14ac:dyDescent="0.25">
      <c r="A3808" t="s">
        <v>41</v>
      </c>
      <c r="B3808" t="s">
        <v>39</v>
      </c>
      <c r="C3808" t="s">
        <v>35</v>
      </c>
      <c r="D3808" t="s">
        <v>33</v>
      </c>
      <c r="E3808" t="s">
        <v>21</v>
      </c>
      <c r="F3808" t="s">
        <v>17</v>
      </c>
      <c r="G3808" s="1" t="str">
        <f t="shared" si="807"/>
        <v>...</v>
      </c>
      <c r="H3808" s="1" t="str">
        <f t="shared" si="807"/>
        <v>...</v>
      </c>
      <c r="I3808" s="1" t="str">
        <f t="shared" si="807"/>
        <v>...</v>
      </c>
      <c r="J3808" s="1" t="str">
        <f t="shared" si="807"/>
        <v>...</v>
      </c>
      <c r="K3808" s="1" t="str">
        <f t="shared" si="807"/>
        <v>...</v>
      </c>
      <c r="L3808" s="1" t="str">
        <f t="shared" si="807"/>
        <v>...</v>
      </c>
      <c r="M3808" s="1" t="str">
        <f t="shared" si="807"/>
        <v>...</v>
      </c>
      <c r="N3808" t="s">
        <v>30</v>
      </c>
    </row>
    <row r="3809" spans="1:14" x14ac:dyDescent="0.25">
      <c r="A3809" t="s">
        <v>41</v>
      </c>
      <c r="B3809" t="s">
        <v>39</v>
      </c>
      <c r="C3809" t="s">
        <v>35</v>
      </c>
      <c r="D3809" t="s">
        <v>33</v>
      </c>
      <c r="E3809" t="s">
        <v>21</v>
      </c>
      <c r="F3809" t="s">
        <v>18</v>
      </c>
      <c r="G3809" s="1" t="str">
        <f t="shared" si="807"/>
        <v>...</v>
      </c>
      <c r="H3809" s="1" t="str">
        <f t="shared" si="807"/>
        <v>...</v>
      </c>
      <c r="I3809" s="1" t="str">
        <f t="shared" si="807"/>
        <v>...</v>
      </c>
      <c r="J3809" s="1" t="str">
        <f t="shared" si="807"/>
        <v>...</v>
      </c>
      <c r="K3809" s="1" t="str">
        <f t="shared" si="807"/>
        <v>...</v>
      </c>
      <c r="L3809" s="1" t="str">
        <f t="shared" si="807"/>
        <v>...</v>
      </c>
      <c r="M3809" s="1" t="str">
        <f t="shared" si="807"/>
        <v>...</v>
      </c>
      <c r="N3809" t="s">
        <v>30</v>
      </c>
    </row>
    <row r="3810" spans="1:14" x14ac:dyDescent="0.25">
      <c r="A3810" t="s">
        <v>41</v>
      </c>
      <c r="B3810" t="s">
        <v>39</v>
      </c>
      <c r="C3810" t="s">
        <v>35</v>
      </c>
      <c r="D3810" t="s">
        <v>33</v>
      </c>
      <c r="E3810" t="s">
        <v>21</v>
      </c>
      <c r="F3810" t="s">
        <v>19</v>
      </c>
      <c r="G3810" s="1" t="str">
        <f t="shared" si="807"/>
        <v>...</v>
      </c>
      <c r="H3810" s="1" t="str">
        <f t="shared" si="807"/>
        <v>...</v>
      </c>
      <c r="I3810" s="1" t="str">
        <f t="shared" si="807"/>
        <v>...</v>
      </c>
      <c r="J3810" s="1" t="str">
        <f t="shared" si="807"/>
        <v>...</v>
      </c>
      <c r="K3810" s="1" t="str">
        <f t="shared" si="807"/>
        <v>...</v>
      </c>
      <c r="L3810" s="1" t="str">
        <f t="shared" si="807"/>
        <v>...</v>
      </c>
      <c r="M3810" s="1" t="str">
        <f t="shared" si="807"/>
        <v>...</v>
      </c>
      <c r="N3810" t="s">
        <v>30</v>
      </c>
    </row>
    <row r="3811" spans="1:14" x14ac:dyDescent="0.25">
      <c r="A3811" t="s">
        <v>41</v>
      </c>
      <c r="B3811" t="s">
        <v>39</v>
      </c>
      <c r="C3811" t="s">
        <v>35</v>
      </c>
      <c r="D3811" t="s">
        <v>33</v>
      </c>
      <c r="E3811" t="s">
        <v>21</v>
      </c>
      <c r="F3811" t="s">
        <v>20</v>
      </c>
      <c r="G3811" s="1" t="str">
        <f t="shared" si="807"/>
        <v>...</v>
      </c>
      <c r="H3811" s="1" t="str">
        <f t="shared" si="807"/>
        <v>...</v>
      </c>
      <c r="I3811" s="1" t="str">
        <f t="shared" si="807"/>
        <v>...</v>
      </c>
      <c r="J3811" s="1" t="str">
        <f t="shared" si="807"/>
        <v>...</v>
      </c>
      <c r="K3811" s="1" t="str">
        <f t="shared" si="807"/>
        <v>...</v>
      </c>
      <c r="L3811" s="1" t="str">
        <f t="shared" si="807"/>
        <v>...</v>
      </c>
      <c r="M3811" s="1" t="str">
        <f t="shared" si="807"/>
        <v>...</v>
      </c>
      <c r="N3811" t="s">
        <v>30</v>
      </c>
    </row>
    <row r="3812" spans="1:14" x14ac:dyDescent="0.25">
      <c r="A3812" t="s">
        <v>41</v>
      </c>
      <c r="B3812" t="s">
        <v>39</v>
      </c>
      <c r="C3812" t="s">
        <v>35</v>
      </c>
      <c r="D3812" t="s">
        <v>33</v>
      </c>
      <c r="E3812" t="s">
        <v>22</v>
      </c>
      <c r="F3812" t="s">
        <v>15</v>
      </c>
      <c r="G3812" s="1" t="str">
        <f t="shared" ref="G3812:M3812" si="808">"X"</f>
        <v>X</v>
      </c>
      <c r="H3812" s="1" t="str">
        <f t="shared" si="808"/>
        <v>X</v>
      </c>
      <c r="I3812" s="1" t="str">
        <f t="shared" si="808"/>
        <v>X</v>
      </c>
      <c r="J3812" s="1" t="str">
        <f t="shared" si="808"/>
        <v>X</v>
      </c>
      <c r="K3812" s="1" t="str">
        <f t="shared" si="808"/>
        <v>X</v>
      </c>
      <c r="L3812" s="1" t="str">
        <f t="shared" si="808"/>
        <v>X</v>
      </c>
      <c r="M3812" s="1" t="str">
        <f t="shared" si="808"/>
        <v>X</v>
      </c>
      <c r="N3812" t="s">
        <v>27</v>
      </c>
    </row>
    <row r="3813" spans="1:14" x14ac:dyDescent="0.25">
      <c r="A3813" t="s">
        <v>41</v>
      </c>
      <c r="B3813" t="s">
        <v>39</v>
      </c>
      <c r="C3813" t="s">
        <v>35</v>
      </c>
      <c r="D3813" t="s">
        <v>33</v>
      </c>
      <c r="E3813" t="s">
        <v>22</v>
      </c>
      <c r="F3813" t="s">
        <v>17</v>
      </c>
      <c r="G3813" s="1" t="str">
        <f t="shared" ref="G3813:M3813" si="809">"..."</f>
        <v>...</v>
      </c>
      <c r="H3813" s="1" t="str">
        <f t="shared" si="809"/>
        <v>...</v>
      </c>
      <c r="I3813" s="1" t="str">
        <f t="shared" si="809"/>
        <v>...</v>
      </c>
      <c r="J3813" s="1" t="str">
        <f t="shared" si="809"/>
        <v>...</v>
      </c>
      <c r="K3813" s="1" t="str">
        <f t="shared" si="809"/>
        <v>...</v>
      </c>
      <c r="L3813" s="1" t="str">
        <f t="shared" si="809"/>
        <v>...</v>
      </c>
      <c r="M3813" s="1" t="str">
        <f t="shared" si="809"/>
        <v>...</v>
      </c>
      <c r="N3813" t="s">
        <v>30</v>
      </c>
    </row>
    <row r="3814" spans="1:14" x14ac:dyDescent="0.25">
      <c r="A3814" t="s">
        <v>41</v>
      </c>
      <c r="B3814" t="s">
        <v>39</v>
      </c>
      <c r="C3814" t="s">
        <v>35</v>
      </c>
      <c r="D3814" t="s">
        <v>33</v>
      </c>
      <c r="E3814" t="s">
        <v>22</v>
      </c>
      <c r="F3814" t="s">
        <v>18</v>
      </c>
      <c r="G3814" s="1" t="str">
        <f t="shared" ref="G3814:M3817" si="810">"X"</f>
        <v>X</v>
      </c>
      <c r="H3814" s="1" t="str">
        <f t="shared" si="810"/>
        <v>X</v>
      </c>
      <c r="I3814" s="1" t="str">
        <f t="shared" si="810"/>
        <v>X</v>
      </c>
      <c r="J3814" s="1" t="str">
        <f t="shared" si="810"/>
        <v>X</v>
      </c>
      <c r="K3814" s="1" t="str">
        <f t="shared" si="810"/>
        <v>X</v>
      </c>
      <c r="L3814" s="1" t="str">
        <f t="shared" si="810"/>
        <v>X</v>
      </c>
      <c r="M3814" s="1" t="str">
        <f t="shared" si="810"/>
        <v>X</v>
      </c>
      <c r="N3814" t="s">
        <v>27</v>
      </c>
    </row>
    <row r="3815" spans="1:14" x14ac:dyDescent="0.25">
      <c r="A3815" t="s">
        <v>41</v>
      </c>
      <c r="B3815" t="s">
        <v>39</v>
      </c>
      <c r="C3815" t="s">
        <v>35</v>
      </c>
      <c r="D3815" t="s">
        <v>33</v>
      </c>
      <c r="E3815" t="s">
        <v>22</v>
      </c>
      <c r="F3815" t="s">
        <v>19</v>
      </c>
      <c r="G3815" s="1" t="str">
        <f t="shared" si="810"/>
        <v>X</v>
      </c>
      <c r="H3815" s="1" t="str">
        <f t="shared" si="810"/>
        <v>X</v>
      </c>
      <c r="I3815" s="1" t="str">
        <f t="shared" si="810"/>
        <v>X</v>
      </c>
      <c r="J3815" s="1" t="str">
        <f t="shared" si="810"/>
        <v>X</v>
      </c>
      <c r="K3815" s="1" t="str">
        <f t="shared" si="810"/>
        <v>X</v>
      </c>
      <c r="L3815" s="1" t="str">
        <f t="shared" si="810"/>
        <v>X</v>
      </c>
      <c r="M3815" s="1" t="str">
        <f t="shared" si="810"/>
        <v>X</v>
      </c>
      <c r="N3815" t="s">
        <v>27</v>
      </c>
    </row>
    <row r="3816" spans="1:14" x14ac:dyDescent="0.25">
      <c r="A3816" t="s">
        <v>41</v>
      </c>
      <c r="B3816" t="s">
        <v>39</v>
      </c>
      <c r="C3816" t="s">
        <v>35</v>
      </c>
      <c r="D3816" t="s">
        <v>33</v>
      </c>
      <c r="E3816" t="s">
        <v>22</v>
      </c>
      <c r="F3816" t="s">
        <v>20</v>
      </c>
      <c r="G3816" s="1" t="str">
        <f t="shared" si="810"/>
        <v>X</v>
      </c>
      <c r="H3816" s="1" t="str">
        <f t="shared" si="810"/>
        <v>X</v>
      </c>
      <c r="I3816" s="1" t="str">
        <f t="shared" si="810"/>
        <v>X</v>
      </c>
      <c r="J3816" s="1" t="str">
        <f t="shared" si="810"/>
        <v>X</v>
      </c>
      <c r="K3816" s="1" t="str">
        <f t="shared" si="810"/>
        <v>X</v>
      </c>
      <c r="L3816" s="1" t="str">
        <f t="shared" si="810"/>
        <v>X</v>
      </c>
      <c r="M3816" s="1" t="str">
        <f t="shared" si="810"/>
        <v>X</v>
      </c>
      <c r="N3816" t="s">
        <v>27</v>
      </c>
    </row>
    <row r="3817" spans="1:14" x14ac:dyDescent="0.25">
      <c r="A3817" t="s">
        <v>41</v>
      </c>
      <c r="B3817" t="s">
        <v>39</v>
      </c>
      <c r="C3817" t="s">
        <v>35</v>
      </c>
      <c r="D3817" t="s">
        <v>33</v>
      </c>
      <c r="E3817" t="s">
        <v>23</v>
      </c>
      <c r="F3817" t="s">
        <v>15</v>
      </c>
      <c r="G3817" s="1" t="str">
        <f t="shared" si="810"/>
        <v>X</v>
      </c>
      <c r="H3817" s="1" t="str">
        <f t="shared" si="810"/>
        <v>X</v>
      </c>
      <c r="I3817" s="1" t="str">
        <f t="shared" si="810"/>
        <v>X</v>
      </c>
      <c r="J3817" s="1" t="str">
        <f t="shared" si="810"/>
        <v>X</v>
      </c>
      <c r="K3817" s="1" t="str">
        <f t="shared" si="810"/>
        <v>X</v>
      </c>
      <c r="L3817" s="1" t="str">
        <f t="shared" si="810"/>
        <v>X</v>
      </c>
      <c r="M3817" s="1" t="str">
        <f t="shared" si="810"/>
        <v>X</v>
      </c>
      <c r="N3817" t="s">
        <v>27</v>
      </c>
    </row>
    <row r="3818" spans="1:14" x14ac:dyDescent="0.25">
      <c r="A3818" t="s">
        <v>41</v>
      </c>
      <c r="B3818" t="s">
        <v>39</v>
      </c>
      <c r="C3818" t="s">
        <v>35</v>
      </c>
      <c r="D3818" t="s">
        <v>33</v>
      </c>
      <c r="E3818" t="s">
        <v>23</v>
      </c>
      <c r="F3818" t="s">
        <v>17</v>
      </c>
      <c r="G3818" s="1" t="str">
        <f t="shared" ref="G3818:M3818" si="811">"..."</f>
        <v>...</v>
      </c>
      <c r="H3818" s="1" t="str">
        <f t="shared" si="811"/>
        <v>...</v>
      </c>
      <c r="I3818" s="1" t="str">
        <f t="shared" si="811"/>
        <v>...</v>
      </c>
      <c r="J3818" s="1" t="str">
        <f t="shared" si="811"/>
        <v>...</v>
      </c>
      <c r="K3818" s="1" t="str">
        <f t="shared" si="811"/>
        <v>...</v>
      </c>
      <c r="L3818" s="1" t="str">
        <f t="shared" si="811"/>
        <v>...</v>
      </c>
      <c r="M3818" s="1" t="str">
        <f t="shared" si="811"/>
        <v>...</v>
      </c>
      <c r="N3818" t="s">
        <v>30</v>
      </c>
    </row>
    <row r="3819" spans="1:14" x14ac:dyDescent="0.25">
      <c r="A3819" t="s">
        <v>41</v>
      </c>
      <c r="B3819" t="s">
        <v>39</v>
      </c>
      <c r="C3819" t="s">
        <v>35</v>
      </c>
      <c r="D3819" t="s">
        <v>33</v>
      </c>
      <c r="E3819" t="s">
        <v>23</v>
      </c>
      <c r="F3819" t="s">
        <v>18</v>
      </c>
      <c r="G3819" s="1" t="str">
        <f t="shared" ref="G3819:M3821" si="812">"X"</f>
        <v>X</v>
      </c>
      <c r="H3819" s="1" t="str">
        <f t="shared" si="812"/>
        <v>X</v>
      </c>
      <c r="I3819" s="1" t="str">
        <f t="shared" si="812"/>
        <v>X</v>
      </c>
      <c r="J3819" s="1" t="str">
        <f t="shared" si="812"/>
        <v>X</v>
      </c>
      <c r="K3819" s="1" t="str">
        <f t="shared" si="812"/>
        <v>X</v>
      </c>
      <c r="L3819" s="1" t="str">
        <f t="shared" si="812"/>
        <v>X</v>
      </c>
      <c r="M3819" s="1" t="str">
        <f t="shared" si="812"/>
        <v>X</v>
      </c>
      <c r="N3819" t="s">
        <v>27</v>
      </c>
    </row>
    <row r="3820" spans="1:14" x14ac:dyDescent="0.25">
      <c r="A3820" t="s">
        <v>41</v>
      </c>
      <c r="B3820" t="s">
        <v>39</v>
      </c>
      <c r="C3820" t="s">
        <v>35</v>
      </c>
      <c r="D3820" t="s">
        <v>33</v>
      </c>
      <c r="E3820" t="s">
        <v>23</v>
      </c>
      <c r="F3820" t="s">
        <v>19</v>
      </c>
      <c r="G3820" s="1" t="str">
        <f t="shared" si="812"/>
        <v>X</v>
      </c>
      <c r="H3820" s="1" t="str">
        <f t="shared" si="812"/>
        <v>X</v>
      </c>
      <c r="I3820" s="1" t="str">
        <f t="shared" si="812"/>
        <v>X</v>
      </c>
      <c r="J3820" s="1" t="str">
        <f t="shared" si="812"/>
        <v>X</v>
      </c>
      <c r="K3820" s="1" t="str">
        <f t="shared" si="812"/>
        <v>X</v>
      </c>
      <c r="L3820" s="1" t="str">
        <f t="shared" si="812"/>
        <v>X</v>
      </c>
      <c r="M3820" s="1" t="str">
        <f t="shared" si="812"/>
        <v>X</v>
      </c>
      <c r="N3820" t="s">
        <v>27</v>
      </c>
    </row>
    <row r="3821" spans="1:14" x14ac:dyDescent="0.25">
      <c r="A3821" t="s">
        <v>41</v>
      </c>
      <c r="B3821" t="s">
        <v>39</v>
      </c>
      <c r="C3821" t="s">
        <v>35</v>
      </c>
      <c r="D3821" t="s">
        <v>33</v>
      </c>
      <c r="E3821" t="s">
        <v>23</v>
      </c>
      <c r="F3821" t="s">
        <v>20</v>
      </c>
      <c r="G3821" s="1" t="str">
        <f t="shared" si="812"/>
        <v>X</v>
      </c>
      <c r="H3821" s="1" t="str">
        <f t="shared" si="812"/>
        <v>X</v>
      </c>
      <c r="I3821" s="1" t="str">
        <f t="shared" si="812"/>
        <v>X</v>
      </c>
      <c r="J3821" s="1" t="str">
        <f t="shared" si="812"/>
        <v>X</v>
      </c>
      <c r="K3821" s="1" t="str">
        <f t="shared" si="812"/>
        <v>X</v>
      </c>
      <c r="L3821" s="1" t="str">
        <f t="shared" si="812"/>
        <v>X</v>
      </c>
      <c r="M3821" s="1" t="str">
        <f t="shared" si="812"/>
        <v>X</v>
      </c>
      <c r="N3821" t="s">
        <v>27</v>
      </c>
    </row>
    <row r="3822" spans="1:14" x14ac:dyDescent="0.25">
      <c r="A3822" t="s">
        <v>41</v>
      </c>
      <c r="B3822" t="s">
        <v>39</v>
      </c>
      <c r="C3822" t="s">
        <v>35</v>
      </c>
      <c r="D3822" t="s">
        <v>33</v>
      </c>
      <c r="E3822" t="s">
        <v>26</v>
      </c>
      <c r="F3822" t="s">
        <v>15</v>
      </c>
      <c r="G3822" s="1" t="str">
        <f t="shared" ref="G3822:M3826" si="813">"..."</f>
        <v>...</v>
      </c>
      <c r="H3822" s="1" t="str">
        <f t="shared" si="813"/>
        <v>...</v>
      </c>
      <c r="I3822" s="1" t="str">
        <f t="shared" si="813"/>
        <v>...</v>
      </c>
      <c r="J3822" s="1" t="str">
        <f t="shared" si="813"/>
        <v>...</v>
      </c>
      <c r="K3822" s="1" t="str">
        <f t="shared" si="813"/>
        <v>...</v>
      </c>
      <c r="L3822" s="1" t="str">
        <f t="shared" si="813"/>
        <v>...</v>
      </c>
      <c r="M3822" s="1" t="str">
        <f t="shared" si="813"/>
        <v>...</v>
      </c>
      <c r="N3822" t="s">
        <v>30</v>
      </c>
    </row>
    <row r="3823" spans="1:14" x14ac:dyDescent="0.25">
      <c r="A3823" t="s">
        <v>41</v>
      </c>
      <c r="B3823" t="s">
        <v>39</v>
      </c>
      <c r="C3823" t="s">
        <v>35</v>
      </c>
      <c r="D3823" t="s">
        <v>33</v>
      </c>
      <c r="E3823" t="s">
        <v>26</v>
      </c>
      <c r="F3823" t="s">
        <v>17</v>
      </c>
      <c r="G3823" s="1" t="str">
        <f t="shared" si="813"/>
        <v>...</v>
      </c>
      <c r="H3823" s="1" t="str">
        <f t="shared" si="813"/>
        <v>...</v>
      </c>
      <c r="I3823" s="1" t="str">
        <f t="shared" si="813"/>
        <v>...</v>
      </c>
      <c r="J3823" s="1" t="str">
        <f t="shared" si="813"/>
        <v>...</v>
      </c>
      <c r="K3823" s="1" t="str">
        <f t="shared" si="813"/>
        <v>...</v>
      </c>
      <c r="L3823" s="1" t="str">
        <f t="shared" si="813"/>
        <v>...</v>
      </c>
      <c r="M3823" s="1" t="str">
        <f t="shared" si="813"/>
        <v>...</v>
      </c>
      <c r="N3823" t="s">
        <v>30</v>
      </c>
    </row>
    <row r="3824" spans="1:14" x14ac:dyDescent="0.25">
      <c r="A3824" t="s">
        <v>41</v>
      </c>
      <c r="B3824" t="s">
        <v>39</v>
      </c>
      <c r="C3824" t="s">
        <v>35</v>
      </c>
      <c r="D3824" t="s">
        <v>33</v>
      </c>
      <c r="E3824" t="s">
        <v>26</v>
      </c>
      <c r="F3824" t="s">
        <v>18</v>
      </c>
      <c r="G3824" s="1" t="str">
        <f t="shared" si="813"/>
        <v>...</v>
      </c>
      <c r="H3824" s="1" t="str">
        <f t="shared" si="813"/>
        <v>...</v>
      </c>
      <c r="I3824" s="1" t="str">
        <f t="shared" si="813"/>
        <v>...</v>
      </c>
      <c r="J3824" s="1" t="str">
        <f t="shared" si="813"/>
        <v>...</v>
      </c>
      <c r="K3824" s="1" t="str">
        <f t="shared" si="813"/>
        <v>...</v>
      </c>
      <c r="L3824" s="1" t="str">
        <f t="shared" si="813"/>
        <v>...</v>
      </c>
      <c r="M3824" s="1" t="str">
        <f t="shared" si="813"/>
        <v>...</v>
      </c>
      <c r="N3824" t="s">
        <v>30</v>
      </c>
    </row>
    <row r="3825" spans="1:14" x14ac:dyDescent="0.25">
      <c r="A3825" t="s">
        <v>41</v>
      </c>
      <c r="B3825" t="s">
        <v>39</v>
      </c>
      <c r="C3825" t="s">
        <v>35</v>
      </c>
      <c r="D3825" t="s">
        <v>33</v>
      </c>
      <c r="E3825" t="s">
        <v>26</v>
      </c>
      <c r="F3825" t="s">
        <v>19</v>
      </c>
      <c r="G3825" s="1" t="str">
        <f t="shared" si="813"/>
        <v>...</v>
      </c>
      <c r="H3825" s="1" t="str">
        <f t="shared" si="813"/>
        <v>...</v>
      </c>
      <c r="I3825" s="1" t="str">
        <f t="shared" si="813"/>
        <v>...</v>
      </c>
      <c r="J3825" s="1" t="str">
        <f t="shared" si="813"/>
        <v>...</v>
      </c>
      <c r="K3825" s="1" t="str">
        <f t="shared" si="813"/>
        <v>...</v>
      </c>
      <c r="L3825" s="1" t="str">
        <f t="shared" si="813"/>
        <v>...</v>
      </c>
      <c r="M3825" s="1" t="str">
        <f t="shared" si="813"/>
        <v>...</v>
      </c>
      <c r="N3825" t="s">
        <v>30</v>
      </c>
    </row>
    <row r="3826" spans="1:14" x14ac:dyDescent="0.25">
      <c r="A3826" t="s">
        <v>41</v>
      </c>
      <c r="B3826" t="s">
        <v>39</v>
      </c>
      <c r="C3826" t="s">
        <v>35</v>
      </c>
      <c r="D3826" t="s">
        <v>33</v>
      </c>
      <c r="E3826" t="s">
        <v>26</v>
      </c>
      <c r="F3826" t="s">
        <v>20</v>
      </c>
      <c r="G3826" s="1" t="str">
        <f t="shared" si="813"/>
        <v>...</v>
      </c>
      <c r="H3826" s="1" t="str">
        <f t="shared" si="813"/>
        <v>...</v>
      </c>
      <c r="I3826" s="1" t="str">
        <f t="shared" si="813"/>
        <v>...</v>
      </c>
      <c r="J3826" s="1" t="str">
        <f t="shared" si="813"/>
        <v>...</v>
      </c>
      <c r="K3826" s="1" t="str">
        <f t="shared" si="813"/>
        <v>...</v>
      </c>
      <c r="L3826" s="1" t="str">
        <f t="shared" si="813"/>
        <v>...</v>
      </c>
      <c r="M3826" s="1" t="str">
        <f t="shared" si="813"/>
        <v>...</v>
      </c>
      <c r="N3826" t="s">
        <v>30</v>
      </c>
    </row>
    <row r="3827" spans="1:14" x14ac:dyDescent="0.25">
      <c r="A3827" t="s">
        <v>41</v>
      </c>
      <c r="B3827" t="s">
        <v>39</v>
      </c>
      <c r="C3827" t="s">
        <v>35</v>
      </c>
      <c r="D3827" t="s">
        <v>34</v>
      </c>
      <c r="E3827" t="s">
        <v>15</v>
      </c>
      <c r="F3827" t="s">
        <v>15</v>
      </c>
      <c r="G3827" s="1" t="str">
        <f t="shared" ref="G3827:M3827" si="814">"X"</f>
        <v>X</v>
      </c>
      <c r="H3827" s="1" t="str">
        <f t="shared" si="814"/>
        <v>X</v>
      </c>
      <c r="I3827" s="1" t="str">
        <f t="shared" si="814"/>
        <v>X</v>
      </c>
      <c r="J3827" s="1" t="str">
        <f t="shared" si="814"/>
        <v>X</v>
      </c>
      <c r="K3827" s="1" t="str">
        <f t="shared" si="814"/>
        <v>X</v>
      </c>
      <c r="L3827" s="1" t="str">
        <f t="shared" si="814"/>
        <v>X</v>
      </c>
      <c r="M3827" s="1" t="str">
        <f t="shared" si="814"/>
        <v>X</v>
      </c>
      <c r="N3827" t="s">
        <v>27</v>
      </c>
    </row>
    <row r="3828" spans="1:14" x14ac:dyDescent="0.25">
      <c r="A3828" t="s">
        <v>41</v>
      </c>
      <c r="B3828" t="s">
        <v>39</v>
      </c>
      <c r="C3828" t="s">
        <v>35</v>
      </c>
      <c r="D3828" t="s">
        <v>34</v>
      </c>
      <c r="E3828" t="s">
        <v>15</v>
      </c>
      <c r="F3828" t="s">
        <v>17</v>
      </c>
      <c r="G3828" s="1" t="str">
        <f t="shared" ref="G3828:M3829" si="815">"..."</f>
        <v>...</v>
      </c>
      <c r="H3828" s="1" t="str">
        <f t="shared" si="815"/>
        <v>...</v>
      </c>
      <c r="I3828" s="1" t="str">
        <f t="shared" si="815"/>
        <v>...</v>
      </c>
      <c r="J3828" s="1" t="str">
        <f t="shared" si="815"/>
        <v>...</v>
      </c>
      <c r="K3828" s="1" t="str">
        <f t="shared" si="815"/>
        <v>...</v>
      </c>
      <c r="L3828" s="1" t="str">
        <f t="shared" si="815"/>
        <v>...</v>
      </c>
      <c r="M3828" s="1" t="str">
        <f t="shared" si="815"/>
        <v>...</v>
      </c>
      <c r="N3828" t="s">
        <v>30</v>
      </c>
    </row>
    <row r="3829" spans="1:14" x14ac:dyDescent="0.25">
      <c r="A3829" t="s">
        <v>41</v>
      </c>
      <c r="B3829" t="s">
        <v>39</v>
      </c>
      <c r="C3829" t="s">
        <v>35</v>
      </c>
      <c r="D3829" t="s">
        <v>34</v>
      </c>
      <c r="E3829" t="s">
        <v>15</v>
      </c>
      <c r="F3829" t="s">
        <v>18</v>
      </c>
      <c r="G3829" s="1" t="str">
        <f t="shared" si="815"/>
        <v>...</v>
      </c>
      <c r="H3829" s="1" t="str">
        <f t="shared" si="815"/>
        <v>...</v>
      </c>
      <c r="I3829" s="1" t="str">
        <f t="shared" si="815"/>
        <v>...</v>
      </c>
      <c r="J3829" s="1" t="str">
        <f t="shared" si="815"/>
        <v>...</v>
      </c>
      <c r="K3829" s="1" t="str">
        <f t="shared" si="815"/>
        <v>...</v>
      </c>
      <c r="L3829" s="1" t="str">
        <f t="shared" si="815"/>
        <v>...</v>
      </c>
      <c r="M3829" s="1" t="str">
        <f t="shared" si="815"/>
        <v>...</v>
      </c>
      <c r="N3829" t="s">
        <v>30</v>
      </c>
    </row>
    <row r="3830" spans="1:14" x14ac:dyDescent="0.25">
      <c r="A3830" t="s">
        <v>41</v>
      </c>
      <c r="B3830" t="s">
        <v>39</v>
      </c>
      <c r="C3830" t="s">
        <v>35</v>
      </c>
      <c r="D3830" t="s">
        <v>34</v>
      </c>
      <c r="E3830" t="s">
        <v>15</v>
      </c>
      <c r="F3830" t="s">
        <v>19</v>
      </c>
      <c r="G3830" s="1" t="str">
        <f t="shared" ref="G3830:M3832" si="816">"X"</f>
        <v>X</v>
      </c>
      <c r="H3830" s="1" t="str">
        <f t="shared" si="816"/>
        <v>X</v>
      </c>
      <c r="I3830" s="1" t="str">
        <f t="shared" si="816"/>
        <v>X</v>
      </c>
      <c r="J3830" s="1" t="str">
        <f t="shared" si="816"/>
        <v>X</v>
      </c>
      <c r="K3830" s="1" t="str">
        <f t="shared" si="816"/>
        <v>X</v>
      </c>
      <c r="L3830" s="1" t="str">
        <f t="shared" si="816"/>
        <v>X</v>
      </c>
      <c r="M3830" s="1" t="str">
        <f t="shared" si="816"/>
        <v>X</v>
      </c>
      <c r="N3830" t="s">
        <v>27</v>
      </c>
    </row>
    <row r="3831" spans="1:14" x14ac:dyDescent="0.25">
      <c r="A3831" t="s">
        <v>41</v>
      </c>
      <c r="B3831" t="s">
        <v>39</v>
      </c>
      <c r="C3831" t="s">
        <v>35</v>
      </c>
      <c r="D3831" t="s">
        <v>34</v>
      </c>
      <c r="E3831" t="s">
        <v>15</v>
      </c>
      <c r="F3831" t="s">
        <v>20</v>
      </c>
      <c r="G3831" s="1" t="str">
        <f t="shared" si="816"/>
        <v>X</v>
      </c>
      <c r="H3831" s="1" t="str">
        <f t="shared" si="816"/>
        <v>X</v>
      </c>
      <c r="I3831" s="1" t="str">
        <f t="shared" si="816"/>
        <v>X</v>
      </c>
      <c r="J3831" s="1" t="str">
        <f t="shared" si="816"/>
        <v>X</v>
      </c>
      <c r="K3831" s="1" t="str">
        <f t="shared" si="816"/>
        <v>X</v>
      </c>
      <c r="L3831" s="1" t="str">
        <f t="shared" si="816"/>
        <v>X</v>
      </c>
      <c r="M3831" s="1" t="str">
        <f t="shared" si="816"/>
        <v>X</v>
      </c>
      <c r="N3831" t="s">
        <v>27</v>
      </c>
    </row>
    <row r="3832" spans="1:14" x14ac:dyDescent="0.25">
      <c r="A3832" t="s">
        <v>41</v>
      </c>
      <c r="B3832" t="s">
        <v>39</v>
      </c>
      <c r="C3832" t="s">
        <v>35</v>
      </c>
      <c r="D3832" t="s">
        <v>34</v>
      </c>
      <c r="E3832" t="s">
        <v>21</v>
      </c>
      <c r="F3832" t="s">
        <v>15</v>
      </c>
      <c r="G3832" s="1" t="str">
        <f t="shared" si="816"/>
        <v>X</v>
      </c>
      <c r="H3832" s="1" t="str">
        <f t="shared" si="816"/>
        <v>X</v>
      </c>
      <c r="I3832" s="1" t="str">
        <f t="shared" si="816"/>
        <v>X</v>
      </c>
      <c r="J3832" s="1" t="str">
        <f t="shared" si="816"/>
        <v>X</v>
      </c>
      <c r="K3832" s="1" t="str">
        <f t="shared" si="816"/>
        <v>X</v>
      </c>
      <c r="L3832" s="1" t="str">
        <f t="shared" si="816"/>
        <v>X</v>
      </c>
      <c r="M3832" s="1" t="str">
        <f t="shared" si="816"/>
        <v>X</v>
      </c>
      <c r="N3832" t="s">
        <v>27</v>
      </c>
    </row>
    <row r="3833" spans="1:14" x14ac:dyDescent="0.25">
      <c r="A3833" t="s">
        <v>41</v>
      </c>
      <c r="B3833" t="s">
        <v>39</v>
      </c>
      <c r="C3833" t="s">
        <v>35</v>
      </c>
      <c r="D3833" t="s">
        <v>34</v>
      </c>
      <c r="E3833" t="s">
        <v>21</v>
      </c>
      <c r="F3833" t="s">
        <v>17</v>
      </c>
      <c r="G3833" s="1" t="str">
        <f t="shared" ref="G3833:M3835" si="817">"..."</f>
        <v>...</v>
      </c>
      <c r="H3833" s="1" t="str">
        <f t="shared" si="817"/>
        <v>...</v>
      </c>
      <c r="I3833" s="1" t="str">
        <f t="shared" si="817"/>
        <v>...</v>
      </c>
      <c r="J3833" s="1" t="str">
        <f t="shared" si="817"/>
        <v>...</v>
      </c>
      <c r="K3833" s="1" t="str">
        <f t="shared" si="817"/>
        <v>...</v>
      </c>
      <c r="L3833" s="1" t="str">
        <f t="shared" si="817"/>
        <v>...</v>
      </c>
      <c r="M3833" s="1" t="str">
        <f t="shared" si="817"/>
        <v>...</v>
      </c>
      <c r="N3833" t="s">
        <v>30</v>
      </c>
    </row>
    <row r="3834" spans="1:14" x14ac:dyDescent="0.25">
      <c r="A3834" t="s">
        <v>41</v>
      </c>
      <c r="B3834" t="s">
        <v>39</v>
      </c>
      <c r="C3834" t="s">
        <v>35</v>
      </c>
      <c r="D3834" t="s">
        <v>34</v>
      </c>
      <c r="E3834" t="s">
        <v>21</v>
      </c>
      <c r="F3834" t="s">
        <v>18</v>
      </c>
      <c r="G3834" s="1" t="str">
        <f t="shared" si="817"/>
        <v>...</v>
      </c>
      <c r="H3834" s="1" t="str">
        <f t="shared" si="817"/>
        <v>...</v>
      </c>
      <c r="I3834" s="1" t="str">
        <f t="shared" si="817"/>
        <v>...</v>
      </c>
      <c r="J3834" s="1" t="str">
        <f t="shared" si="817"/>
        <v>...</v>
      </c>
      <c r="K3834" s="1" t="str">
        <f t="shared" si="817"/>
        <v>...</v>
      </c>
      <c r="L3834" s="1" t="str">
        <f t="shared" si="817"/>
        <v>...</v>
      </c>
      <c r="M3834" s="1" t="str">
        <f t="shared" si="817"/>
        <v>...</v>
      </c>
      <c r="N3834" t="s">
        <v>30</v>
      </c>
    </row>
    <row r="3835" spans="1:14" x14ac:dyDescent="0.25">
      <c r="A3835" t="s">
        <v>41</v>
      </c>
      <c r="B3835" t="s">
        <v>39</v>
      </c>
      <c r="C3835" t="s">
        <v>35</v>
      </c>
      <c r="D3835" t="s">
        <v>34</v>
      </c>
      <c r="E3835" t="s">
        <v>21</v>
      </c>
      <c r="F3835" t="s">
        <v>19</v>
      </c>
      <c r="G3835" s="1" t="str">
        <f t="shared" si="817"/>
        <v>...</v>
      </c>
      <c r="H3835" s="1" t="str">
        <f t="shared" si="817"/>
        <v>...</v>
      </c>
      <c r="I3835" s="1" t="str">
        <f t="shared" si="817"/>
        <v>...</v>
      </c>
      <c r="J3835" s="1" t="str">
        <f t="shared" si="817"/>
        <v>...</v>
      </c>
      <c r="K3835" s="1" t="str">
        <f t="shared" si="817"/>
        <v>...</v>
      </c>
      <c r="L3835" s="1" t="str">
        <f t="shared" si="817"/>
        <v>...</v>
      </c>
      <c r="M3835" s="1" t="str">
        <f t="shared" si="817"/>
        <v>...</v>
      </c>
      <c r="N3835" t="s">
        <v>30</v>
      </c>
    </row>
    <row r="3836" spans="1:14" x14ac:dyDescent="0.25">
      <c r="A3836" t="s">
        <v>41</v>
      </c>
      <c r="B3836" t="s">
        <v>39</v>
      </c>
      <c r="C3836" t="s">
        <v>35</v>
      </c>
      <c r="D3836" t="s">
        <v>34</v>
      </c>
      <c r="E3836" t="s">
        <v>21</v>
      </c>
      <c r="F3836" t="s">
        <v>20</v>
      </c>
      <c r="G3836" s="1" t="str">
        <f t="shared" ref="G3836:M3837" si="818">"X"</f>
        <v>X</v>
      </c>
      <c r="H3836" s="1" t="str">
        <f t="shared" si="818"/>
        <v>X</v>
      </c>
      <c r="I3836" s="1" t="str">
        <f t="shared" si="818"/>
        <v>X</v>
      </c>
      <c r="J3836" s="1" t="str">
        <f t="shared" si="818"/>
        <v>X</v>
      </c>
      <c r="K3836" s="1" t="str">
        <f t="shared" si="818"/>
        <v>X</v>
      </c>
      <c r="L3836" s="1" t="str">
        <f t="shared" si="818"/>
        <v>X</v>
      </c>
      <c r="M3836" s="1" t="str">
        <f t="shared" si="818"/>
        <v>X</v>
      </c>
      <c r="N3836" t="s">
        <v>27</v>
      </c>
    </row>
    <row r="3837" spans="1:14" x14ac:dyDescent="0.25">
      <c r="A3837" t="s">
        <v>41</v>
      </c>
      <c r="B3837" t="s">
        <v>39</v>
      </c>
      <c r="C3837" t="s">
        <v>35</v>
      </c>
      <c r="D3837" t="s">
        <v>34</v>
      </c>
      <c r="E3837" t="s">
        <v>22</v>
      </c>
      <c r="F3837" t="s">
        <v>15</v>
      </c>
      <c r="G3837" s="1" t="str">
        <f t="shared" si="818"/>
        <v>X</v>
      </c>
      <c r="H3837" s="1" t="str">
        <f t="shared" si="818"/>
        <v>X</v>
      </c>
      <c r="I3837" s="1" t="str">
        <f t="shared" si="818"/>
        <v>X</v>
      </c>
      <c r="J3837" s="1" t="str">
        <f t="shared" si="818"/>
        <v>X</v>
      </c>
      <c r="K3837" s="1" t="str">
        <f t="shared" si="818"/>
        <v>X</v>
      </c>
      <c r="L3837" s="1" t="str">
        <f t="shared" si="818"/>
        <v>X</v>
      </c>
      <c r="M3837" s="1" t="str">
        <f t="shared" si="818"/>
        <v>X</v>
      </c>
      <c r="N3837" t="s">
        <v>27</v>
      </c>
    </row>
    <row r="3838" spans="1:14" x14ac:dyDescent="0.25">
      <c r="A3838" t="s">
        <v>41</v>
      </c>
      <c r="B3838" t="s">
        <v>39</v>
      </c>
      <c r="C3838" t="s">
        <v>35</v>
      </c>
      <c r="D3838" t="s">
        <v>34</v>
      </c>
      <c r="E3838" t="s">
        <v>22</v>
      </c>
      <c r="F3838" t="s">
        <v>17</v>
      </c>
      <c r="G3838" s="1" t="str">
        <f t="shared" ref="G3838:M3839" si="819">"..."</f>
        <v>...</v>
      </c>
      <c r="H3838" s="1" t="str">
        <f t="shared" si="819"/>
        <v>...</v>
      </c>
      <c r="I3838" s="1" t="str">
        <f t="shared" si="819"/>
        <v>...</v>
      </c>
      <c r="J3838" s="1" t="str">
        <f t="shared" si="819"/>
        <v>...</v>
      </c>
      <c r="K3838" s="1" t="str">
        <f t="shared" si="819"/>
        <v>...</v>
      </c>
      <c r="L3838" s="1" t="str">
        <f t="shared" si="819"/>
        <v>...</v>
      </c>
      <c r="M3838" s="1" t="str">
        <f t="shared" si="819"/>
        <v>...</v>
      </c>
      <c r="N3838" t="s">
        <v>30</v>
      </c>
    </row>
    <row r="3839" spans="1:14" x14ac:dyDescent="0.25">
      <c r="A3839" t="s">
        <v>41</v>
      </c>
      <c r="B3839" t="s">
        <v>39</v>
      </c>
      <c r="C3839" t="s">
        <v>35</v>
      </c>
      <c r="D3839" t="s">
        <v>34</v>
      </c>
      <c r="E3839" t="s">
        <v>22</v>
      </c>
      <c r="F3839" t="s">
        <v>18</v>
      </c>
      <c r="G3839" s="1" t="str">
        <f t="shared" si="819"/>
        <v>...</v>
      </c>
      <c r="H3839" s="1" t="str">
        <f t="shared" si="819"/>
        <v>...</v>
      </c>
      <c r="I3839" s="1" t="str">
        <f t="shared" si="819"/>
        <v>...</v>
      </c>
      <c r="J3839" s="1" t="str">
        <f t="shared" si="819"/>
        <v>...</v>
      </c>
      <c r="K3839" s="1" t="str">
        <f t="shared" si="819"/>
        <v>...</v>
      </c>
      <c r="L3839" s="1" t="str">
        <f t="shared" si="819"/>
        <v>...</v>
      </c>
      <c r="M3839" s="1" t="str">
        <f t="shared" si="819"/>
        <v>...</v>
      </c>
      <c r="N3839" t="s">
        <v>30</v>
      </c>
    </row>
    <row r="3840" spans="1:14" x14ac:dyDescent="0.25">
      <c r="A3840" t="s">
        <v>41</v>
      </c>
      <c r="B3840" t="s">
        <v>39</v>
      </c>
      <c r="C3840" t="s">
        <v>35</v>
      </c>
      <c r="D3840" t="s">
        <v>34</v>
      </c>
      <c r="E3840" t="s">
        <v>22</v>
      </c>
      <c r="F3840" t="s">
        <v>19</v>
      </c>
      <c r="G3840" s="1" t="str">
        <f t="shared" ref="G3840:M3842" si="820">"X"</f>
        <v>X</v>
      </c>
      <c r="H3840" s="1" t="str">
        <f t="shared" si="820"/>
        <v>X</v>
      </c>
      <c r="I3840" s="1" t="str">
        <f t="shared" si="820"/>
        <v>X</v>
      </c>
      <c r="J3840" s="1" t="str">
        <f t="shared" si="820"/>
        <v>X</v>
      </c>
      <c r="K3840" s="1" t="str">
        <f t="shared" si="820"/>
        <v>X</v>
      </c>
      <c r="L3840" s="1" t="str">
        <f t="shared" si="820"/>
        <v>X</v>
      </c>
      <c r="M3840" s="1" t="str">
        <f t="shared" si="820"/>
        <v>X</v>
      </c>
      <c r="N3840" t="s">
        <v>27</v>
      </c>
    </row>
    <row r="3841" spans="1:14" x14ac:dyDescent="0.25">
      <c r="A3841" t="s">
        <v>41</v>
      </c>
      <c r="B3841" t="s">
        <v>39</v>
      </c>
      <c r="C3841" t="s">
        <v>35</v>
      </c>
      <c r="D3841" t="s">
        <v>34</v>
      </c>
      <c r="E3841" t="s">
        <v>22</v>
      </c>
      <c r="F3841" t="s">
        <v>20</v>
      </c>
      <c r="G3841" s="1" t="str">
        <f t="shared" si="820"/>
        <v>X</v>
      </c>
      <c r="H3841" s="1" t="str">
        <f t="shared" si="820"/>
        <v>X</v>
      </c>
      <c r="I3841" s="1" t="str">
        <f t="shared" si="820"/>
        <v>X</v>
      </c>
      <c r="J3841" s="1" t="str">
        <f t="shared" si="820"/>
        <v>X</v>
      </c>
      <c r="K3841" s="1" t="str">
        <f t="shared" si="820"/>
        <v>X</v>
      </c>
      <c r="L3841" s="1" t="str">
        <f t="shared" si="820"/>
        <v>X</v>
      </c>
      <c r="M3841" s="1" t="str">
        <f t="shared" si="820"/>
        <v>X</v>
      </c>
      <c r="N3841" t="s">
        <v>27</v>
      </c>
    </row>
    <row r="3842" spans="1:14" x14ac:dyDescent="0.25">
      <c r="A3842" t="s">
        <v>41</v>
      </c>
      <c r="B3842" t="s">
        <v>39</v>
      </c>
      <c r="C3842" t="s">
        <v>35</v>
      </c>
      <c r="D3842" t="s">
        <v>34</v>
      </c>
      <c r="E3842" t="s">
        <v>23</v>
      </c>
      <c r="F3842" t="s">
        <v>15</v>
      </c>
      <c r="G3842" s="1" t="str">
        <f t="shared" si="820"/>
        <v>X</v>
      </c>
      <c r="H3842" s="1" t="str">
        <f t="shared" si="820"/>
        <v>X</v>
      </c>
      <c r="I3842" s="1" t="str">
        <f t="shared" si="820"/>
        <v>X</v>
      </c>
      <c r="J3842" s="1" t="str">
        <f t="shared" si="820"/>
        <v>X</v>
      </c>
      <c r="K3842" s="1" t="str">
        <f t="shared" si="820"/>
        <v>X</v>
      </c>
      <c r="L3842" s="1" t="str">
        <f t="shared" si="820"/>
        <v>X</v>
      </c>
      <c r="M3842" s="1" t="str">
        <f t="shared" si="820"/>
        <v>X</v>
      </c>
      <c r="N3842" t="s">
        <v>27</v>
      </c>
    </row>
    <row r="3843" spans="1:14" x14ac:dyDescent="0.25">
      <c r="A3843" t="s">
        <v>41</v>
      </c>
      <c r="B3843" t="s">
        <v>39</v>
      </c>
      <c r="C3843" t="s">
        <v>35</v>
      </c>
      <c r="D3843" t="s">
        <v>34</v>
      </c>
      <c r="E3843" t="s">
        <v>23</v>
      </c>
      <c r="F3843" t="s">
        <v>17</v>
      </c>
      <c r="G3843" s="1" t="str">
        <f t="shared" ref="G3843:M3845" si="821">"..."</f>
        <v>...</v>
      </c>
      <c r="H3843" s="1" t="str">
        <f t="shared" si="821"/>
        <v>...</v>
      </c>
      <c r="I3843" s="1" t="str">
        <f t="shared" si="821"/>
        <v>...</v>
      </c>
      <c r="J3843" s="1" t="str">
        <f t="shared" si="821"/>
        <v>...</v>
      </c>
      <c r="K3843" s="1" t="str">
        <f t="shared" si="821"/>
        <v>...</v>
      </c>
      <c r="L3843" s="1" t="str">
        <f t="shared" si="821"/>
        <v>...</v>
      </c>
      <c r="M3843" s="1" t="str">
        <f t="shared" si="821"/>
        <v>...</v>
      </c>
      <c r="N3843" t="s">
        <v>30</v>
      </c>
    </row>
    <row r="3844" spans="1:14" x14ac:dyDescent="0.25">
      <c r="A3844" t="s">
        <v>41</v>
      </c>
      <c r="B3844" t="s">
        <v>39</v>
      </c>
      <c r="C3844" t="s">
        <v>35</v>
      </c>
      <c r="D3844" t="s">
        <v>34</v>
      </c>
      <c r="E3844" t="s">
        <v>23</v>
      </c>
      <c r="F3844" t="s">
        <v>18</v>
      </c>
      <c r="G3844" s="1" t="str">
        <f t="shared" si="821"/>
        <v>...</v>
      </c>
      <c r="H3844" s="1" t="str">
        <f t="shared" si="821"/>
        <v>...</v>
      </c>
      <c r="I3844" s="1" t="str">
        <f t="shared" si="821"/>
        <v>...</v>
      </c>
      <c r="J3844" s="1" t="str">
        <f t="shared" si="821"/>
        <v>...</v>
      </c>
      <c r="K3844" s="1" t="str">
        <f t="shared" si="821"/>
        <v>...</v>
      </c>
      <c r="L3844" s="1" t="str">
        <f t="shared" si="821"/>
        <v>...</v>
      </c>
      <c r="M3844" s="1" t="str">
        <f t="shared" si="821"/>
        <v>...</v>
      </c>
      <c r="N3844" t="s">
        <v>30</v>
      </c>
    </row>
    <row r="3845" spans="1:14" x14ac:dyDescent="0.25">
      <c r="A3845" t="s">
        <v>41</v>
      </c>
      <c r="B3845" t="s">
        <v>39</v>
      </c>
      <c r="C3845" t="s">
        <v>35</v>
      </c>
      <c r="D3845" t="s">
        <v>34</v>
      </c>
      <c r="E3845" t="s">
        <v>23</v>
      </c>
      <c r="F3845" t="s">
        <v>19</v>
      </c>
      <c r="G3845" s="1" t="str">
        <f t="shared" si="821"/>
        <v>...</v>
      </c>
      <c r="H3845" s="1" t="str">
        <f t="shared" si="821"/>
        <v>...</v>
      </c>
      <c r="I3845" s="1" t="str">
        <f t="shared" si="821"/>
        <v>...</v>
      </c>
      <c r="J3845" s="1" t="str">
        <f t="shared" si="821"/>
        <v>...</v>
      </c>
      <c r="K3845" s="1" t="str">
        <f t="shared" si="821"/>
        <v>...</v>
      </c>
      <c r="L3845" s="1" t="str">
        <f t="shared" si="821"/>
        <v>...</v>
      </c>
      <c r="M3845" s="1" t="str">
        <f t="shared" si="821"/>
        <v>...</v>
      </c>
      <c r="N3845" t="s">
        <v>30</v>
      </c>
    </row>
    <row r="3846" spans="1:14" x14ac:dyDescent="0.25">
      <c r="A3846" t="s">
        <v>41</v>
      </c>
      <c r="B3846" t="s">
        <v>39</v>
      </c>
      <c r="C3846" t="s">
        <v>35</v>
      </c>
      <c r="D3846" t="s">
        <v>34</v>
      </c>
      <c r="E3846" t="s">
        <v>23</v>
      </c>
      <c r="F3846" t="s">
        <v>20</v>
      </c>
      <c r="G3846" s="1" t="str">
        <f t="shared" ref="G3846:M3846" si="822">"X"</f>
        <v>X</v>
      </c>
      <c r="H3846" s="1" t="str">
        <f t="shared" si="822"/>
        <v>X</v>
      </c>
      <c r="I3846" s="1" t="str">
        <f t="shared" si="822"/>
        <v>X</v>
      </c>
      <c r="J3846" s="1" t="str">
        <f t="shared" si="822"/>
        <v>X</v>
      </c>
      <c r="K3846" s="1" t="str">
        <f t="shared" si="822"/>
        <v>X</v>
      </c>
      <c r="L3846" s="1" t="str">
        <f t="shared" si="822"/>
        <v>X</v>
      </c>
      <c r="M3846" s="1" t="str">
        <f t="shared" si="822"/>
        <v>X</v>
      </c>
      <c r="N3846" t="s">
        <v>27</v>
      </c>
    </row>
    <row r="3847" spans="1:14" x14ac:dyDescent="0.25">
      <c r="A3847" t="s">
        <v>41</v>
      </c>
      <c r="B3847" t="s">
        <v>39</v>
      </c>
      <c r="C3847" t="s">
        <v>35</v>
      </c>
      <c r="D3847" t="s">
        <v>34</v>
      </c>
      <c r="E3847" t="s">
        <v>26</v>
      </c>
      <c r="F3847" t="s">
        <v>15</v>
      </c>
      <c r="G3847" s="1" t="str">
        <f t="shared" ref="G3847:M3851" si="823">"..."</f>
        <v>...</v>
      </c>
      <c r="H3847" s="1" t="str">
        <f t="shared" si="823"/>
        <v>...</v>
      </c>
      <c r="I3847" s="1" t="str">
        <f t="shared" si="823"/>
        <v>...</v>
      </c>
      <c r="J3847" s="1" t="str">
        <f t="shared" si="823"/>
        <v>...</v>
      </c>
      <c r="K3847" s="1" t="str">
        <f t="shared" si="823"/>
        <v>...</v>
      </c>
      <c r="L3847" s="1" t="str">
        <f t="shared" si="823"/>
        <v>...</v>
      </c>
      <c r="M3847" s="1" t="str">
        <f t="shared" si="823"/>
        <v>...</v>
      </c>
      <c r="N3847" t="s">
        <v>30</v>
      </c>
    </row>
    <row r="3848" spans="1:14" x14ac:dyDescent="0.25">
      <c r="A3848" t="s">
        <v>41</v>
      </c>
      <c r="B3848" t="s">
        <v>39</v>
      </c>
      <c r="C3848" t="s">
        <v>35</v>
      </c>
      <c r="D3848" t="s">
        <v>34</v>
      </c>
      <c r="E3848" t="s">
        <v>26</v>
      </c>
      <c r="F3848" t="s">
        <v>17</v>
      </c>
      <c r="G3848" s="1" t="str">
        <f t="shared" si="823"/>
        <v>...</v>
      </c>
      <c r="H3848" s="1" t="str">
        <f t="shared" si="823"/>
        <v>...</v>
      </c>
      <c r="I3848" s="1" t="str">
        <f t="shared" si="823"/>
        <v>...</v>
      </c>
      <c r="J3848" s="1" t="str">
        <f t="shared" si="823"/>
        <v>...</v>
      </c>
      <c r="K3848" s="1" t="str">
        <f t="shared" si="823"/>
        <v>...</v>
      </c>
      <c r="L3848" s="1" t="str">
        <f t="shared" si="823"/>
        <v>...</v>
      </c>
      <c r="M3848" s="1" t="str">
        <f t="shared" si="823"/>
        <v>...</v>
      </c>
      <c r="N3848" t="s">
        <v>30</v>
      </c>
    </row>
    <row r="3849" spans="1:14" x14ac:dyDescent="0.25">
      <c r="A3849" t="s">
        <v>41</v>
      </c>
      <c r="B3849" t="s">
        <v>39</v>
      </c>
      <c r="C3849" t="s">
        <v>35</v>
      </c>
      <c r="D3849" t="s">
        <v>34</v>
      </c>
      <c r="E3849" t="s">
        <v>26</v>
      </c>
      <c r="F3849" t="s">
        <v>18</v>
      </c>
      <c r="G3849" s="1" t="str">
        <f t="shared" si="823"/>
        <v>...</v>
      </c>
      <c r="H3849" s="1" t="str">
        <f t="shared" si="823"/>
        <v>...</v>
      </c>
      <c r="I3849" s="1" t="str">
        <f t="shared" si="823"/>
        <v>...</v>
      </c>
      <c r="J3849" s="1" t="str">
        <f t="shared" si="823"/>
        <v>...</v>
      </c>
      <c r="K3849" s="1" t="str">
        <f t="shared" si="823"/>
        <v>...</v>
      </c>
      <c r="L3849" s="1" t="str">
        <f t="shared" si="823"/>
        <v>...</v>
      </c>
      <c r="M3849" s="1" t="str">
        <f t="shared" si="823"/>
        <v>...</v>
      </c>
      <c r="N3849" t="s">
        <v>30</v>
      </c>
    </row>
    <row r="3850" spans="1:14" x14ac:dyDescent="0.25">
      <c r="A3850" t="s">
        <v>41</v>
      </c>
      <c r="B3850" t="s">
        <v>39</v>
      </c>
      <c r="C3850" t="s">
        <v>35</v>
      </c>
      <c r="D3850" t="s">
        <v>34</v>
      </c>
      <c r="E3850" t="s">
        <v>26</v>
      </c>
      <c r="F3850" t="s">
        <v>19</v>
      </c>
      <c r="G3850" s="1" t="str">
        <f t="shared" si="823"/>
        <v>...</v>
      </c>
      <c r="H3850" s="1" t="str">
        <f t="shared" si="823"/>
        <v>...</v>
      </c>
      <c r="I3850" s="1" t="str">
        <f t="shared" si="823"/>
        <v>...</v>
      </c>
      <c r="J3850" s="1" t="str">
        <f t="shared" si="823"/>
        <v>...</v>
      </c>
      <c r="K3850" s="1" t="str">
        <f t="shared" si="823"/>
        <v>...</v>
      </c>
      <c r="L3850" s="1" t="str">
        <f t="shared" si="823"/>
        <v>...</v>
      </c>
      <c r="M3850" s="1" t="str">
        <f t="shared" si="823"/>
        <v>...</v>
      </c>
      <c r="N3850" t="s">
        <v>30</v>
      </c>
    </row>
    <row r="3851" spans="1:14" x14ac:dyDescent="0.25">
      <c r="A3851" t="s">
        <v>41</v>
      </c>
      <c r="B3851" t="s">
        <v>39</v>
      </c>
      <c r="C3851" t="s">
        <v>35</v>
      </c>
      <c r="D3851" t="s">
        <v>34</v>
      </c>
      <c r="E3851" t="s">
        <v>26</v>
      </c>
      <c r="F3851" t="s">
        <v>20</v>
      </c>
      <c r="G3851" s="1" t="str">
        <f t="shared" si="823"/>
        <v>...</v>
      </c>
      <c r="H3851" s="1" t="str">
        <f t="shared" si="823"/>
        <v>...</v>
      </c>
      <c r="I3851" s="1" t="str">
        <f t="shared" si="823"/>
        <v>...</v>
      </c>
      <c r="J3851" s="1" t="str">
        <f t="shared" si="823"/>
        <v>...</v>
      </c>
      <c r="K3851" s="1" t="str">
        <f t="shared" si="823"/>
        <v>...</v>
      </c>
      <c r="L3851" s="1" t="str">
        <f t="shared" si="823"/>
        <v>...</v>
      </c>
      <c r="M3851" s="1" t="str">
        <f t="shared" si="823"/>
        <v>...</v>
      </c>
      <c r="N3851" t="s">
        <v>30</v>
      </c>
    </row>
    <row r="3852" spans="1:14" x14ac:dyDescent="0.25">
      <c r="A3852" t="s">
        <v>41</v>
      </c>
      <c r="B3852" t="s">
        <v>39</v>
      </c>
      <c r="C3852" t="s">
        <v>36</v>
      </c>
      <c r="D3852" t="s">
        <v>15</v>
      </c>
      <c r="E3852" t="s">
        <v>15</v>
      </c>
      <c r="F3852" t="s">
        <v>15</v>
      </c>
      <c r="G3852" s="1">
        <f>VALUE(14699.0651983323)</f>
        <v>14699.0651983323</v>
      </c>
      <c r="H3852" s="1">
        <f>VALUE(14531.5890978395)</f>
        <v>14531.5890978395</v>
      </c>
      <c r="I3852" s="1">
        <f>VALUE(3483)</f>
        <v>3483</v>
      </c>
      <c r="J3852" s="1">
        <f>VALUE(4080)</f>
        <v>4080</v>
      </c>
      <c r="K3852" s="1">
        <f>VALUE(4905)</f>
        <v>4905</v>
      </c>
      <c r="L3852" s="1">
        <f>VALUE(5765)</f>
        <v>5765</v>
      </c>
      <c r="M3852" s="1">
        <f>VALUE(6932)</f>
        <v>6932</v>
      </c>
      <c r="N3852" t="s">
        <v>16</v>
      </c>
    </row>
    <row r="3853" spans="1:14" x14ac:dyDescent="0.25">
      <c r="A3853" t="s">
        <v>41</v>
      </c>
      <c r="B3853" t="s">
        <v>39</v>
      </c>
      <c r="C3853" t="s">
        <v>36</v>
      </c>
      <c r="D3853" t="s">
        <v>15</v>
      </c>
      <c r="E3853" t="s">
        <v>15</v>
      </c>
      <c r="F3853" t="s">
        <v>17</v>
      </c>
      <c r="G3853" s="2">
        <f>VALUE(1500.1774089274)</f>
        <v>1500.1774089273999</v>
      </c>
      <c r="H3853" s="3">
        <f>VALUE(1508.2899858043)</f>
        <v>1508.2899858042999</v>
      </c>
      <c r="I3853" s="4">
        <f>VALUE(3943)</f>
        <v>3943</v>
      </c>
      <c r="J3853" s="1">
        <f>VALUE(4878)</f>
        <v>4878</v>
      </c>
      <c r="K3853" s="1">
        <f>VALUE(5908)</f>
        <v>5908</v>
      </c>
      <c r="L3853" s="1">
        <f>VALUE(8016)</f>
        <v>8016</v>
      </c>
      <c r="M3853" s="1">
        <f>VALUE(10079)</f>
        <v>10079</v>
      </c>
      <c r="N3853" t="s">
        <v>25</v>
      </c>
    </row>
    <row r="3854" spans="1:14" x14ac:dyDescent="0.25">
      <c r="A3854" t="s">
        <v>41</v>
      </c>
      <c r="B3854" t="s">
        <v>39</v>
      </c>
      <c r="C3854" t="s">
        <v>36</v>
      </c>
      <c r="D3854" t="s">
        <v>15</v>
      </c>
      <c r="E3854" t="s">
        <v>15</v>
      </c>
      <c r="F3854" t="s">
        <v>18</v>
      </c>
      <c r="G3854" s="2">
        <f>VALUE(2103.6475784973)</f>
        <v>2103.6475784972999</v>
      </c>
      <c r="H3854" s="3">
        <f>VALUE(2066.2554803773)</f>
        <v>2066.2554803773</v>
      </c>
      <c r="I3854" s="4">
        <f>VALUE(3667)</f>
        <v>3667</v>
      </c>
      <c r="J3854" s="1">
        <f>VALUE(4487)</f>
        <v>4487</v>
      </c>
      <c r="K3854" s="1">
        <f>VALUE(5266)</f>
        <v>5266</v>
      </c>
      <c r="L3854" s="1">
        <f>VALUE(6190)</f>
        <v>6190</v>
      </c>
      <c r="M3854" s="1">
        <f>VALUE(7619)</f>
        <v>7619</v>
      </c>
      <c r="N3854" t="s">
        <v>25</v>
      </c>
    </row>
    <row r="3855" spans="1:14" x14ac:dyDescent="0.25">
      <c r="A3855" t="s">
        <v>41</v>
      </c>
      <c r="B3855" t="s">
        <v>39</v>
      </c>
      <c r="C3855" t="s">
        <v>36</v>
      </c>
      <c r="D3855" t="s">
        <v>15</v>
      </c>
      <c r="E3855" t="s">
        <v>15</v>
      </c>
      <c r="F3855" t="s">
        <v>19</v>
      </c>
      <c r="G3855" s="1">
        <f>VALUE(2332.388332719)</f>
        <v>2332.3883327190001</v>
      </c>
      <c r="H3855" s="1">
        <f>VALUE(2248.790212058)</f>
        <v>2248.7902120580002</v>
      </c>
      <c r="I3855" s="1">
        <f>VALUE(3640)</f>
        <v>3640</v>
      </c>
      <c r="J3855" s="1">
        <f>VALUE(4198)</f>
        <v>4198</v>
      </c>
      <c r="K3855" s="1">
        <f>VALUE(5038)</f>
        <v>5038</v>
      </c>
      <c r="L3855" s="1">
        <f>VALUE(5751)</f>
        <v>5751</v>
      </c>
      <c r="M3855" s="1">
        <f>VALUE(6897)</f>
        <v>6897</v>
      </c>
      <c r="N3855" t="s">
        <v>16</v>
      </c>
    </row>
    <row r="3856" spans="1:14" x14ac:dyDescent="0.25">
      <c r="A3856" t="s">
        <v>41</v>
      </c>
      <c r="B3856" t="s">
        <v>39</v>
      </c>
      <c r="C3856" t="s">
        <v>36</v>
      </c>
      <c r="D3856" t="s">
        <v>15</v>
      </c>
      <c r="E3856" t="s">
        <v>15</v>
      </c>
      <c r="F3856" t="s">
        <v>20</v>
      </c>
      <c r="G3856" s="1">
        <f>VALUE(8754.0972943574)</f>
        <v>8754.0972943573997</v>
      </c>
      <c r="H3856" s="1">
        <f>VALUE(8699.2314983296)</f>
        <v>8699.2314983296001</v>
      </c>
      <c r="I3856" s="1">
        <f>VALUE(3352)</f>
        <v>3352</v>
      </c>
      <c r="J3856" s="1">
        <f>VALUE(3912)</f>
        <v>3912</v>
      </c>
      <c r="K3856" s="1">
        <f>VALUE(4671)</f>
        <v>4671</v>
      </c>
      <c r="L3856" s="1">
        <f>VALUE(5425)</f>
        <v>5425</v>
      </c>
      <c r="M3856" s="1">
        <f>VALUE(6221)</f>
        <v>6221</v>
      </c>
      <c r="N3856" t="s">
        <v>16</v>
      </c>
    </row>
    <row r="3857" spans="1:14" x14ac:dyDescent="0.25">
      <c r="A3857" t="s">
        <v>41</v>
      </c>
      <c r="B3857" t="s">
        <v>39</v>
      </c>
      <c r="C3857" t="s">
        <v>36</v>
      </c>
      <c r="D3857" t="s">
        <v>15</v>
      </c>
      <c r="E3857" t="s">
        <v>21</v>
      </c>
      <c r="F3857" t="s">
        <v>15</v>
      </c>
      <c r="G3857" s="1">
        <f>VALUE(4075.0823353927)</f>
        <v>4075.0823353926999</v>
      </c>
      <c r="H3857" s="1">
        <f>VALUE(3875.0282171322)</f>
        <v>3875.0282171322001</v>
      </c>
      <c r="I3857" s="1">
        <f>VALUE(3817)</f>
        <v>3817</v>
      </c>
      <c r="J3857" s="1">
        <f>VALUE(4682)</f>
        <v>4682</v>
      </c>
      <c r="K3857" s="1">
        <f>VALUE(5562)</f>
        <v>5562</v>
      </c>
      <c r="L3857" s="1">
        <f>VALUE(6788)</f>
        <v>6788</v>
      </c>
      <c r="M3857" s="1">
        <f>VALUE(8628)</f>
        <v>8628</v>
      </c>
      <c r="N3857" t="s">
        <v>16</v>
      </c>
    </row>
    <row r="3858" spans="1:14" x14ac:dyDescent="0.25">
      <c r="A3858" t="s">
        <v>41</v>
      </c>
      <c r="B3858" t="s">
        <v>39</v>
      </c>
      <c r="C3858" t="s">
        <v>36</v>
      </c>
      <c r="D3858" t="s">
        <v>15</v>
      </c>
      <c r="E3858" t="s">
        <v>21</v>
      </c>
      <c r="F3858" t="s">
        <v>17</v>
      </c>
      <c r="G3858" s="2">
        <f>VALUE(905.0161239167)</f>
        <v>905.01612391670005</v>
      </c>
      <c r="H3858" s="3">
        <f>VALUE(911.4699569376)</f>
        <v>911.46995693760005</v>
      </c>
      <c r="I3858" s="4">
        <f>VALUE(4137)</f>
        <v>4137</v>
      </c>
      <c r="J3858" s="1">
        <f>VALUE(5302)</f>
        <v>5302</v>
      </c>
      <c r="K3858" s="6">
        <f>VALUE(6603)</f>
        <v>6603</v>
      </c>
      <c r="L3858" s="1">
        <f>VALUE(8666)</f>
        <v>8666</v>
      </c>
      <c r="M3858" s="8">
        <f>VALUE(10317)</f>
        <v>10317</v>
      </c>
      <c r="N3858" t="s">
        <v>25</v>
      </c>
    </row>
    <row r="3859" spans="1:14" x14ac:dyDescent="0.25">
      <c r="A3859" t="s">
        <v>41</v>
      </c>
      <c r="B3859" t="s">
        <v>39</v>
      </c>
      <c r="C3859" t="s">
        <v>36</v>
      </c>
      <c r="D3859" t="s">
        <v>15</v>
      </c>
      <c r="E3859" t="s">
        <v>21</v>
      </c>
      <c r="F3859" t="s">
        <v>18</v>
      </c>
      <c r="G3859" s="2">
        <f>VALUE(816.5902243742)</f>
        <v>816.59022437420003</v>
      </c>
      <c r="H3859" s="3">
        <f>VALUE(758.0398476355)</f>
        <v>758.0398476355</v>
      </c>
      <c r="I3859" s="1">
        <f>VALUE(3771)</f>
        <v>3771</v>
      </c>
      <c r="J3859" s="5">
        <f>VALUE(4825)</f>
        <v>4825</v>
      </c>
      <c r="K3859" s="1">
        <f>VALUE(5771)</f>
        <v>5771</v>
      </c>
      <c r="L3859" s="1">
        <f>VALUE(7011)</f>
        <v>7011</v>
      </c>
      <c r="M3859" s="1">
        <f>VALUE(8628)</f>
        <v>8628</v>
      </c>
      <c r="N3859" t="s">
        <v>25</v>
      </c>
    </row>
    <row r="3860" spans="1:14" x14ac:dyDescent="0.25">
      <c r="A3860" t="s">
        <v>41</v>
      </c>
      <c r="B3860" t="s">
        <v>39</v>
      </c>
      <c r="C3860" t="s">
        <v>36</v>
      </c>
      <c r="D3860" t="s">
        <v>15</v>
      </c>
      <c r="E3860" t="s">
        <v>21</v>
      </c>
      <c r="F3860" t="s">
        <v>19</v>
      </c>
      <c r="G3860" s="2">
        <f>VALUE(952.2026729964)</f>
        <v>952.2026729964</v>
      </c>
      <c r="H3860" s="3">
        <f>VALUE(868.5455866923)</f>
        <v>868.54558669230005</v>
      </c>
      <c r="I3860" s="1">
        <f>VALUE(3810)</f>
        <v>3810</v>
      </c>
      <c r="J3860" s="1">
        <f>VALUE(4600)</f>
        <v>4600</v>
      </c>
      <c r="K3860" s="1">
        <f>VALUE(5317)</f>
        <v>5317</v>
      </c>
      <c r="L3860" s="1">
        <f>VALUE(6311)</f>
        <v>6311</v>
      </c>
      <c r="M3860" s="1">
        <f>VALUE(7511)</f>
        <v>7511</v>
      </c>
      <c r="N3860" t="s">
        <v>25</v>
      </c>
    </row>
    <row r="3861" spans="1:14" x14ac:dyDescent="0.25">
      <c r="A3861" t="s">
        <v>41</v>
      </c>
      <c r="B3861" t="s">
        <v>39</v>
      </c>
      <c r="C3861" t="s">
        <v>36</v>
      </c>
      <c r="D3861" t="s">
        <v>15</v>
      </c>
      <c r="E3861" t="s">
        <v>21</v>
      </c>
      <c r="F3861" t="s">
        <v>20</v>
      </c>
      <c r="G3861" s="1">
        <f>VALUE(1399.9112760291)</f>
        <v>1399.9112760291</v>
      </c>
      <c r="H3861" s="1">
        <f>VALUE(1335.5256604107)</f>
        <v>1335.5256604107001</v>
      </c>
      <c r="I3861" s="1">
        <f>VALUE(3742)</f>
        <v>3742</v>
      </c>
      <c r="J3861" s="1">
        <f>VALUE(4392)</f>
        <v>4392</v>
      </c>
      <c r="K3861" s="1">
        <f>VALUE(5296)</f>
        <v>5296</v>
      </c>
      <c r="L3861" s="1">
        <f>VALUE(6227)</f>
        <v>6227</v>
      </c>
      <c r="M3861" s="1">
        <f>VALUE(7115)</f>
        <v>7115</v>
      </c>
      <c r="N3861" t="s">
        <v>16</v>
      </c>
    </row>
    <row r="3862" spans="1:14" x14ac:dyDescent="0.25">
      <c r="A3862" t="s">
        <v>41</v>
      </c>
      <c r="B3862" t="s">
        <v>39</v>
      </c>
      <c r="C3862" t="s">
        <v>36</v>
      </c>
      <c r="D3862" t="s">
        <v>15</v>
      </c>
      <c r="E3862" t="s">
        <v>22</v>
      </c>
      <c r="F3862" t="s">
        <v>15</v>
      </c>
      <c r="G3862" s="1">
        <f>VALUE(5836.2088228922)</f>
        <v>5836.2088228922003</v>
      </c>
      <c r="H3862" s="1">
        <f>VALUE(5888.2799190952)</f>
        <v>5888.2799190952001</v>
      </c>
      <c r="I3862" s="1">
        <f>VALUE(3657)</f>
        <v>3657</v>
      </c>
      <c r="J3862" s="1">
        <f>VALUE(4200)</f>
        <v>4200</v>
      </c>
      <c r="K3862" s="1">
        <f>VALUE(4932)</f>
        <v>4932</v>
      </c>
      <c r="L3862" s="1">
        <f>VALUE(5643)</f>
        <v>5643</v>
      </c>
      <c r="M3862" s="1">
        <f>VALUE(6371)</f>
        <v>6371</v>
      </c>
      <c r="N3862" t="s">
        <v>16</v>
      </c>
    </row>
    <row r="3863" spans="1:14" x14ac:dyDescent="0.25">
      <c r="A3863" t="s">
        <v>41</v>
      </c>
      <c r="B3863" t="s">
        <v>39</v>
      </c>
      <c r="C3863" t="s">
        <v>36</v>
      </c>
      <c r="D3863" t="s">
        <v>15</v>
      </c>
      <c r="E3863" t="s">
        <v>22</v>
      </c>
      <c r="F3863" t="s">
        <v>17</v>
      </c>
      <c r="G3863" s="2">
        <f>VALUE(476.8072253905)</f>
        <v>476.80722539049998</v>
      </c>
      <c r="H3863" s="3">
        <f>VALUE(480.881041572)</f>
        <v>480.88104157200002</v>
      </c>
      <c r="I3863" s="4">
        <f>VALUE(4103)</f>
        <v>4103</v>
      </c>
      <c r="J3863" s="1">
        <f>VALUE(4618)</f>
        <v>4618</v>
      </c>
      <c r="K3863" s="1">
        <f>VALUE(5594)</f>
        <v>5594</v>
      </c>
      <c r="L3863" s="1">
        <f>VALUE(6250)</f>
        <v>6250</v>
      </c>
      <c r="M3863" s="1">
        <f>VALUE(7673)</f>
        <v>7673</v>
      </c>
      <c r="N3863" t="s">
        <v>25</v>
      </c>
    </row>
    <row r="3864" spans="1:14" x14ac:dyDescent="0.25">
      <c r="A3864" t="s">
        <v>41</v>
      </c>
      <c r="B3864" t="s">
        <v>39</v>
      </c>
      <c r="C3864" t="s">
        <v>36</v>
      </c>
      <c r="D3864" t="s">
        <v>15</v>
      </c>
      <c r="E3864" t="s">
        <v>22</v>
      </c>
      <c r="F3864" t="s">
        <v>18</v>
      </c>
      <c r="G3864" s="2">
        <f>VALUE(801.3737650915)</f>
        <v>801.37376509149999</v>
      </c>
      <c r="H3864" s="3">
        <f>VALUE(806.0010024579)</f>
        <v>806.00100245789997</v>
      </c>
      <c r="I3864" s="4">
        <f>VALUE(3900)</f>
        <v>3900</v>
      </c>
      <c r="J3864" s="1">
        <f>VALUE(4396)</f>
        <v>4396</v>
      </c>
      <c r="K3864" s="1">
        <f>VALUE(5129)</f>
        <v>5129</v>
      </c>
      <c r="L3864" s="1">
        <f>VALUE(6009)</f>
        <v>6009</v>
      </c>
      <c r="M3864" s="1">
        <f>VALUE(6485)</f>
        <v>6485</v>
      </c>
      <c r="N3864" t="s">
        <v>25</v>
      </c>
    </row>
    <row r="3865" spans="1:14" x14ac:dyDescent="0.25">
      <c r="A3865" t="s">
        <v>41</v>
      </c>
      <c r="B3865" t="s">
        <v>39</v>
      </c>
      <c r="C3865" t="s">
        <v>36</v>
      </c>
      <c r="D3865" t="s">
        <v>15</v>
      </c>
      <c r="E3865" t="s">
        <v>22</v>
      </c>
      <c r="F3865" t="s">
        <v>19</v>
      </c>
      <c r="G3865" s="2">
        <f>VALUE(959.2670649809)</f>
        <v>959.26706498090005</v>
      </c>
      <c r="H3865" s="3">
        <f>VALUE(981.7269800577)</f>
        <v>981.72698005769996</v>
      </c>
      <c r="I3865" s="1">
        <f>VALUE(3605)</f>
        <v>3605</v>
      </c>
      <c r="J3865" s="1">
        <f>VALUE(4140)</f>
        <v>4140</v>
      </c>
      <c r="K3865" s="1">
        <f>VALUE(4948)</f>
        <v>4948</v>
      </c>
      <c r="L3865" s="1">
        <f>VALUE(5475)</f>
        <v>5475</v>
      </c>
      <c r="M3865" s="1">
        <f>VALUE(6161)</f>
        <v>6161</v>
      </c>
      <c r="N3865" t="s">
        <v>25</v>
      </c>
    </row>
    <row r="3866" spans="1:14" x14ac:dyDescent="0.25">
      <c r="A3866" t="s">
        <v>41</v>
      </c>
      <c r="B3866" t="s">
        <v>39</v>
      </c>
      <c r="C3866" t="s">
        <v>36</v>
      </c>
      <c r="D3866" t="s">
        <v>15</v>
      </c>
      <c r="E3866" t="s">
        <v>22</v>
      </c>
      <c r="F3866" t="s">
        <v>20</v>
      </c>
      <c r="G3866" s="1">
        <f>VALUE(3598.7607674293)</f>
        <v>3598.7607674292999</v>
      </c>
      <c r="H3866" s="1">
        <f>VALUE(3619.6708950076)</f>
        <v>3619.6708950075999</v>
      </c>
      <c r="I3866" s="1">
        <f>VALUE(3640)</f>
        <v>3640</v>
      </c>
      <c r="J3866" s="1">
        <f>VALUE(4127)</f>
        <v>4127</v>
      </c>
      <c r="K3866" s="1">
        <f>VALUE(4821)</f>
        <v>4821</v>
      </c>
      <c r="L3866" s="1">
        <f>VALUE(5525)</f>
        <v>5525</v>
      </c>
      <c r="M3866" s="1">
        <f>VALUE(6207)</f>
        <v>6207</v>
      </c>
      <c r="N3866" t="s">
        <v>16</v>
      </c>
    </row>
    <row r="3867" spans="1:14" x14ac:dyDescent="0.25">
      <c r="A3867" t="s">
        <v>41</v>
      </c>
      <c r="B3867" t="s">
        <v>39</v>
      </c>
      <c r="C3867" t="s">
        <v>36</v>
      </c>
      <c r="D3867" t="s">
        <v>15</v>
      </c>
      <c r="E3867" t="s">
        <v>23</v>
      </c>
      <c r="F3867" t="s">
        <v>15</v>
      </c>
      <c r="G3867" s="1">
        <f>VALUE(4648.6069914882)</f>
        <v>4648.6069914882</v>
      </c>
      <c r="H3867" s="1">
        <f>VALUE(4622.3865404447)</f>
        <v>4622.3865404446997</v>
      </c>
      <c r="I3867" s="1">
        <f>VALUE(3240)</f>
        <v>3240</v>
      </c>
      <c r="J3867" s="1">
        <f>VALUE(3656)</f>
        <v>3656</v>
      </c>
      <c r="K3867" s="1">
        <f>VALUE(4365)</f>
        <v>4365</v>
      </c>
      <c r="L3867" s="1">
        <f>VALUE(5163)</f>
        <v>5163</v>
      </c>
      <c r="M3867" s="1">
        <f>VALUE(5744)</f>
        <v>5744</v>
      </c>
      <c r="N3867" t="s">
        <v>16</v>
      </c>
    </row>
    <row r="3868" spans="1:14" x14ac:dyDescent="0.25">
      <c r="A3868" t="s">
        <v>41</v>
      </c>
      <c r="B3868" t="s">
        <v>39</v>
      </c>
      <c r="C3868" t="s">
        <v>36</v>
      </c>
      <c r="D3868" t="s">
        <v>15</v>
      </c>
      <c r="E3868" t="s">
        <v>23</v>
      </c>
      <c r="F3868" t="s">
        <v>17</v>
      </c>
      <c r="G3868" s="1" t="str">
        <f t="shared" ref="G3868:M3868" si="824">"X"</f>
        <v>X</v>
      </c>
      <c r="H3868" s="1" t="str">
        <f t="shared" si="824"/>
        <v>X</v>
      </c>
      <c r="I3868" s="1" t="str">
        <f t="shared" si="824"/>
        <v>X</v>
      </c>
      <c r="J3868" s="1" t="str">
        <f t="shared" si="824"/>
        <v>X</v>
      </c>
      <c r="K3868" s="1" t="str">
        <f t="shared" si="824"/>
        <v>X</v>
      </c>
      <c r="L3868" s="1" t="str">
        <f t="shared" si="824"/>
        <v>X</v>
      </c>
      <c r="M3868" s="1" t="str">
        <f t="shared" si="824"/>
        <v>X</v>
      </c>
      <c r="N3868" t="s">
        <v>27</v>
      </c>
    </row>
    <row r="3869" spans="1:14" x14ac:dyDescent="0.25">
      <c r="A3869" t="s">
        <v>41</v>
      </c>
      <c r="B3869" t="s">
        <v>39</v>
      </c>
      <c r="C3869" t="s">
        <v>36</v>
      </c>
      <c r="D3869" t="s">
        <v>15</v>
      </c>
      <c r="E3869" t="s">
        <v>23</v>
      </c>
      <c r="F3869" t="s">
        <v>18</v>
      </c>
      <c r="G3869" s="2">
        <f>VALUE(414.3257793713)</f>
        <v>414.32577937129997</v>
      </c>
      <c r="H3869" s="3">
        <f>VALUE(427.2889301425)</f>
        <v>427.28893014250002</v>
      </c>
      <c r="I3869" s="4">
        <f>VALUE(3608)</f>
        <v>3608</v>
      </c>
      <c r="J3869" s="5">
        <f>VALUE(4050)</f>
        <v>4050</v>
      </c>
      <c r="K3869" s="1">
        <f>VALUE(4732)</f>
        <v>4732</v>
      </c>
      <c r="L3869" s="1">
        <f>VALUE(5266)</f>
        <v>5266</v>
      </c>
      <c r="M3869" s="1">
        <f>VALUE(5569)</f>
        <v>5569</v>
      </c>
      <c r="N3869" t="s">
        <v>25</v>
      </c>
    </row>
    <row r="3870" spans="1:14" x14ac:dyDescent="0.25">
      <c r="A3870" t="s">
        <v>41</v>
      </c>
      <c r="B3870" t="s">
        <v>39</v>
      </c>
      <c r="C3870" t="s">
        <v>36</v>
      </c>
      <c r="D3870" t="s">
        <v>15</v>
      </c>
      <c r="E3870" t="s">
        <v>23</v>
      </c>
      <c r="F3870" t="s">
        <v>19</v>
      </c>
      <c r="G3870" s="2">
        <f>VALUE(420.9185947417)</f>
        <v>420.91859474170002</v>
      </c>
      <c r="H3870" s="3">
        <f>VALUE(398.517645308)</f>
        <v>398.517645308</v>
      </c>
      <c r="I3870" s="1">
        <f>VALUE(3380)</f>
        <v>3380</v>
      </c>
      <c r="J3870" s="1">
        <f>VALUE(3921)</f>
        <v>3921</v>
      </c>
      <c r="K3870" s="1">
        <f>VALUE(4584)</f>
        <v>4584</v>
      </c>
      <c r="L3870" s="1">
        <f>VALUE(5563)</f>
        <v>5563</v>
      </c>
      <c r="M3870" s="8">
        <f>VALUE(6638)</f>
        <v>6638</v>
      </c>
      <c r="N3870" t="s">
        <v>25</v>
      </c>
    </row>
    <row r="3871" spans="1:14" x14ac:dyDescent="0.25">
      <c r="A3871" t="s">
        <v>41</v>
      </c>
      <c r="B3871" t="s">
        <v>39</v>
      </c>
      <c r="C3871" t="s">
        <v>36</v>
      </c>
      <c r="D3871" t="s">
        <v>15</v>
      </c>
      <c r="E3871" t="s">
        <v>23</v>
      </c>
      <c r="F3871" t="s">
        <v>20</v>
      </c>
      <c r="G3871" s="1">
        <f>VALUE(3707.4357025058)</f>
        <v>3707.4357025057998</v>
      </c>
      <c r="H3871" s="1">
        <f>VALUE(3693.6894796874)</f>
        <v>3693.6894796873999</v>
      </c>
      <c r="I3871" s="1">
        <f>VALUE(3229)</f>
        <v>3229</v>
      </c>
      <c r="J3871" s="1">
        <f>VALUE(3593)</f>
        <v>3593</v>
      </c>
      <c r="K3871" s="1">
        <f>VALUE(4304)</f>
        <v>4304</v>
      </c>
      <c r="L3871" s="1">
        <f>VALUE(5055)</f>
        <v>5055</v>
      </c>
      <c r="M3871" s="1">
        <f>VALUE(5677)</f>
        <v>5677</v>
      </c>
      <c r="N3871" t="s">
        <v>16</v>
      </c>
    </row>
    <row r="3872" spans="1:14" x14ac:dyDescent="0.25">
      <c r="A3872" t="s">
        <v>41</v>
      </c>
      <c r="B3872" t="s">
        <v>39</v>
      </c>
      <c r="C3872" t="s">
        <v>36</v>
      </c>
      <c r="D3872" t="s">
        <v>15</v>
      </c>
      <c r="E3872" t="s">
        <v>26</v>
      </c>
      <c r="F3872" t="s">
        <v>15</v>
      </c>
      <c r="G3872" s="2">
        <f>VALUE(139.1670485592)</f>
        <v>139.1670485592</v>
      </c>
      <c r="H3872" s="3">
        <f>VALUE(145.8944211674)</f>
        <v>145.8944211674</v>
      </c>
      <c r="I3872" s="4">
        <f>VALUE(4604)</f>
        <v>4604</v>
      </c>
      <c r="J3872" s="1">
        <f>VALUE(6150)</f>
        <v>6150</v>
      </c>
      <c r="K3872" s="1">
        <f>VALUE(7778)</f>
        <v>7778</v>
      </c>
      <c r="L3872" s="1">
        <f>VALUE(10318)</f>
        <v>10318</v>
      </c>
      <c r="M3872" s="8">
        <f>VALUE(14030)</f>
        <v>14030</v>
      </c>
      <c r="N3872" t="s">
        <v>25</v>
      </c>
    </row>
    <row r="3873" spans="1:14" x14ac:dyDescent="0.25">
      <c r="A3873" t="s">
        <v>41</v>
      </c>
      <c r="B3873" t="s">
        <v>39</v>
      </c>
      <c r="C3873" t="s">
        <v>36</v>
      </c>
      <c r="D3873" t="s">
        <v>15</v>
      </c>
      <c r="E3873" t="s">
        <v>26</v>
      </c>
      <c r="F3873" t="s">
        <v>17</v>
      </c>
      <c r="G3873" s="1" t="str">
        <f t="shared" ref="G3873:M3874" si="825">"X"</f>
        <v>X</v>
      </c>
      <c r="H3873" s="1" t="str">
        <f t="shared" si="825"/>
        <v>X</v>
      </c>
      <c r="I3873" s="1" t="str">
        <f t="shared" si="825"/>
        <v>X</v>
      </c>
      <c r="J3873" s="1" t="str">
        <f t="shared" si="825"/>
        <v>X</v>
      </c>
      <c r="K3873" s="1" t="str">
        <f t="shared" si="825"/>
        <v>X</v>
      </c>
      <c r="L3873" s="1" t="str">
        <f t="shared" si="825"/>
        <v>X</v>
      </c>
      <c r="M3873" s="1" t="str">
        <f t="shared" si="825"/>
        <v>X</v>
      </c>
      <c r="N3873" t="s">
        <v>27</v>
      </c>
    </row>
    <row r="3874" spans="1:14" x14ac:dyDescent="0.25">
      <c r="A3874" t="s">
        <v>41</v>
      </c>
      <c r="B3874" t="s">
        <v>39</v>
      </c>
      <c r="C3874" t="s">
        <v>36</v>
      </c>
      <c r="D3874" t="s">
        <v>15</v>
      </c>
      <c r="E3874" t="s">
        <v>26</v>
      </c>
      <c r="F3874" t="s">
        <v>18</v>
      </c>
      <c r="G3874" s="1" t="str">
        <f t="shared" si="825"/>
        <v>X</v>
      </c>
      <c r="H3874" s="1" t="str">
        <f t="shared" si="825"/>
        <v>X</v>
      </c>
      <c r="I3874" s="1" t="str">
        <f t="shared" si="825"/>
        <v>X</v>
      </c>
      <c r="J3874" s="1" t="str">
        <f t="shared" si="825"/>
        <v>X</v>
      </c>
      <c r="K3874" s="1" t="str">
        <f t="shared" si="825"/>
        <v>X</v>
      </c>
      <c r="L3874" s="1" t="str">
        <f t="shared" si="825"/>
        <v>X</v>
      </c>
      <c r="M3874" s="1" t="str">
        <f t="shared" si="825"/>
        <v>X</v>
      </c>
      <c r="N3874" t="s">
        <v>27</v>
      </c>
    </row>
    <row r="3875" spans="1:14" x14ac:dyDescent="0.25">
      <c r="A3875" t="s">
        <v>41</v>
      </c>
      <c r="B3875" t="s">
        <v>39</v>
      </c>
      <c r="C3875" t="s">
        <v>36</v>
      </c>
      <c r="D3875" t="s">
        <v>15</v>
      </c>
      <c r="E3875" t="s">
        <v>26</v>
      </c>
      <c r="F3875" t="s">
        <v>19</v>
      </c>
      <c r="G3875" s="1" t="str">
        <f t="shared" ref="G3875:M3875" si="826">"..."</f>
        <v>...</v>
      </c>
      <c r="H3875" s="1" t="str">
        <f t="shared" si="826"/>
        <v>...</v>
      </c>
      <c r="I3875" s="1" t="str">
        <f t="shared" si="826"/>
        <v>...</v>
      </c>
      <c r="J3875" s="1" t="str">
        <f t="shared" si="826"/>
        <v>...</v>
      </c>
      <c r="K3875" s="1" t="str">
        <f t="shared" si="826"/>
        <v>...</v>
      </c>
      <c r="L3875" s="1" t="str">
        <f t="shared" si="826"/>
        <v>...</v>
      </c>
      <c r="M3875" s="1" t="str">
        <f t="shared" si="826"/>
        <v>...</v>
      </c>
      <c r="N3875" t="s">
        <v>30</v>
      </c>
    </row>
    <row r="3876" spans="1:14" x14ac:dyDescent="0.25">
      <c r="A3876" t="s">
        <v>41</v>
      </c>
      <c r="B3876" t="s">
        <v>39</v>
      </c>
      <c r="C3876" t="s">
        <v>36</v>
      </c>
      <c r="D3876" t="s">
        <v>15</v>
      </c>
      <c r="E3876" t="s">
        <v>26</v>
      </c>
      <c r="F3876" t="s">
        <v>20</v>
      </c>
      <c r="G3876" s="1" t="str">
        <f t="shared" ref="G3876:M3876" si="827">"X"</f>
        <v>X</v>
      </c>
      <c r="H3876" s="1" t="str">
        <f t="shared" si="827"/>
        <v>X</v>
      </c>
      <c r="I3876" s="1" t="str">
        <f t="shared" si="827"/>
        <v>X</v>
      </c>
      <c r="J3876" s="1" t="str">
        <f t="shared" si="827"/>
        <v>X</v>
      </c>
      <c r="K3876" s="1" t="str">
        <f t="shared" si="827"/>
        <v>X</v>
      </c>
      <c r="L3876" s="1" t="str">
        <f t="shared" si="827"/>
        <v>X</v>
      </c>
      <c r="M3876" s="1" t="str">
        <f t="shared" si="827"/>
        <v>X</v>
      </c>
      <c r="N3876" t="s">
        <v>27</v>
      </c>
    </row>
    <row r="3877" spans="1:14" x14ac:dyDescent="0.25">
      <c r="A3877" t="s">
        <v>41</v>
      </c>
      <c r="B3877" t="s">
        <v>39</v>
      </c>
      <c r="C3877" t="s">
        <v>36</v>
      </c>
      <c r="D3877" t="s">
        <v>28</v>
      </c>
      <c r="E3877" t="s">
        <v>15</v>
      </c>
      <c r="F3877" t="s">
        <v>15</v>
      </c>
      <c r="G3877" s="1">
        <f>VALUE(5311.3588411529)</f>
        <v>5311.3588411528999</v>
      </c>
      <c r="H3877" s="1">
        <f>VALUE(5258.8811542748)</f>
        <v>5258.8811542747999</v>
      </c>
      <c r="I3877" s="1">
        <f>VALUE(3914)</f>
        <v>3914</v>
      </c>
      <c r="J3877" s="1">
        <f>VALUE(4529)</f>
        <v>4529</v>
      </c>
      <c r="K3877" s="1">
        <f>VALUE(5302)</f>
        <v>5302</v>
      </c>
      <c r="L3877" s="1">
        <f>VALUE(6230)</f>
        <v>6230</v>
      </c>
      <c r="M3877" s="1">
        <f>VALUE(7805)</f>
        <v>7805</v>
      </c>
      <c r="N3877" t="s">
        <v>16</v>
      </c>
    </row>
    <row r="3878" spans="1:14" x14ac:dyDescent="0.25">
      <c r="A3878" t="s">
        <v>41</v>
      </c>
      <c r="B3878" t="s">
        <v>39</v>
      </c>
      <c r="C3878" t="s">
        <v>36</v>
      </c>
      <c r="D3878" t="s">
        <v>28</v>
      </c>
      <c r="E3878" t="s">
        <v>15</v>
      </c>
      <c r="F3878" t="s">
        <v>17</v>
      </c>
      <c r="G3878" s="2">
        <f>VALUE(894.7561441865)</f>
        <v>894.75614418650002</v>
      </c>
      <c r="H3878" s="3">
        <f>VALUE(915.6748917408)</f>
        <v>915.67489174080004</v>
      </c>
      <c r="I3878" s="4">
        <f>VALUE(4200)</f>
        <v>4200</v>
      </c>
      <c r="J3878" s="1">
        <f>VALUE(5159)</f>
        <v>5159</v>
      </c>
      <c r="K3878" s="1">
        <f>VALUE(6045)</f>
        <v>6045</v>
      </c>
      <c r="L3878" s="1">
        <f>VALUE(7956)</f>
        <v>7956</v>
      </c>
      <c r="M3878" s="1">
        <f>VALUE(10079)</f>
        <v>10079</v>
      </c>
      <c r="N3878" t="s">
        <v>25</v>
      </c>
    </row>
    <row r="3879" spans="1:14" x14ac:dyDescent="0.25">
      <c r="A3879" t="s">
        <v>41</v>
      </c>
      <c r="B3879" t="s">
        <v>39</v>
      </c>
      <c r="C3879" t="s">
        <v>36</v>
      </c>
      <c r="D3879" t="s">
        <v>28</v>
      </c>
      <c r="E3879" t="s">
        <v>15</v>
      </c>
      <c r="F3879" t="s">
        <v>18</v>
      </c>
      <c r="G3879" s="2">
        <f>VALUE(809.0346467656)</f>
        <v>809.03464676559997</v>
      </c>
      <c r="H3879" s="3">
        <f>VALUE(772.9646469433)</f>
        <v>772.96464694329995</v>
      </c>
      <c r="I3879" s="4">
        <f>VALUE(4072)</f>
        <v>4072</v>
      </c>
      <c r="J3879" s="1">
        <f>VALUE(4829)</f>
        <v>4829</v>
      </c>
      <c r="K3879" s="1">
        <f>VALUE(5841)</f>
        <v>5841</v>
      </c>
      <c r="L3879" s="1">
        <f>VALUE(6788)</f>
        <v>6788</v>
      </c>
      <c r="M3879" s="1">
        <f>VALUE(8268)</f>
        <v>8268</v>
      </c>
      <c r="N3879" t="s">
        <v>25</v>
      </c>
    </row>
    <row r="3880" spans="1:14" x14ac:dyDescent="0.25">
      <c r="A3880" t="s">
        <v>41</v>
      </c>
      <c r="B3880" t="s">
        <v>39</v>
      </c>
      <c r="C3880" t="s">
        <v>36</v>
      </c>
      <c r="D3880" t="s">
        <v>28</v>
      </c>
      <c r="E3880" t="s">
        <v>15</v>
      </c>
      <c r="F3880" t="s">
        <v>19</v>
      </c>
      <c r="G3880" s="2">
        <f>VALUE(881.8509113231)</f>
        <v>881.85091132310004</v>
      </c>
      <c r="H3880" s="3">
        <f>VALUE(880.3837128915)</f>
        <v>880.38371289149995</v>
      </c>
      <c r="I3880" s="1">
        <f>VALUE(3922)</f>
        <v>3922</v>
      </c>
      <c r="J3880" s="1">
        <f>VALUE(4333)</f>
        <v>4333</v>
      </c>
      <c r="K3880" s="1">
        <f>VALUE(5200)</f>
        <v>5200</v>
      </c>
      <c r="L3880" s="1">
        <f>VALUE(5885)</f>
        <v>5885</v>
      </c>
      <c r="M3880" s="1">
        <f>VALUE(6965)</f>
        <v>6965</v>
      </c>
      <c r="N3880" t="s">
        <v>25</v>
      </c>
    </row>
    <row r="3881" spans="1:14" x14ac:dyDescent="0.25">
      <c r="A3881" t="s">
        <v>41</v>
      </c>
      <c r="B3881" t="s">
        <v>39</v>
      </c>
      <c r="C3881" t="s">
        <v>36</v>
      </c>
      <c r="D3881" t="s">
        <v>28</v>
      </c>
      <c r="E3881" t="s">
        <v>15</v>
      </c>
      <c r="F3881" t="s">
        <v>20</v>
      </c>
      <c r="G3881" s="1">
        <f>VALUE(2723.1985673432)</f>
        <v>2723.1985673432</v>
      </c>
      <c r="H3881" s="1">
        <f>VALUE(2687.2542037849)</f>
        <v>2687.2542037848998</v>
      </c>
      <c r="I3881" s="1">
        <f>VALUE(3875)</f>
        <v>3875</v>
      </c>
      <c r="J3881" s="1">
        <f>VALUE(4396)</f>
        <v>4396</v>
      </c>
      <c r="K3881" s="1">
        <f>VALUE(5055)</f>
        <v>5055</v>
      </c>
      <c r="L3881" s="1">
        <f>VALUE(5833)</f>
        <v>5833</v>
      </c>
      <c r="M3881" s="1">
        <f>VALUE(6672)</f>
        <v>6672</v>
      </c>
      <c r="N3881" t="s">
        <v>16</v>
      </c>
    </row>
    <row r="3882" spans="1:14" x14ac:dyDescent="0.25">
      <c r="A3882" t="s">
        <v>41</v>
      </c>
      <c r="B3882" t="s">
        <v>39</v>
      </c>
      <c r="C3882" t="s">
        <v>36</v>
      </c>
      <c r="D3882" t="s">
        <v>28</v>
      </c>
      <c r="E3882" t="s">
        <v>21</v>
      </c>
      <c r="F3882" t="s">
        <v>15</v>
      </c>
      <c r="G3882" s="1">
        <f>VALUE(1835.0569012166)</f>
        <v>1835.0569012166</v>
      </c>
      <c r="H3882" s="1">
        <f>VALUE(1767.134473467)</f>
        <v>1767.1344734669999</v>
      </c>
      <c r="I3882" s="1">
        <f>VALUE(4200)</f>
        <v>4200</v>
      </c>
      <c r="J3882" s="1">
        <f>VALUE(5000)</f>
        <v>5000</v>
      </c>
      <c r="K3882" s="1">
        <f>VALUE(5783)</f>
        <v>5783</v>
      </c>
      <c r="L3882" s="1">
        <f>VALUE(7160)</f>
        <v>7160</v>
      </c>
      <c r="M3882" s="8">
        <f>VALUE(8667)</f>
        <v>8667</v>
      </c>
      <c r="N3882" t="s">
        <v>25</v>
      </c>
    </row>
    <row r="3883" spans="1:14" x14ac:dyDescent="0.25">
      <c r="A3883" t="s">
        <v>41</v>
      </c>
      <c r="B3883" t="s">
        <v>39</v>
      </c>
      <c r="C3883" t="s">
        <v>36</v>
      </c>
      <c r="D3883" t="s">
        <v>28</v>
      </c>
      <c r="E3883" t="s">
        <v>21</v>
      </c>
      <c r="F3883" t="s">
        <v>17</v>
      </c>
      <c r="G3883" s="2">
        <f>VALUE(525.8252108938)</f>
        <v>525.82521089379998</v>
      </c>
      <c r="H3883" s="3">
        <f>VALUE(535.7292915769)</f>
        <v>535.72929157689998</v>
      </c>
      <c r="I3883" s="4">
        <f>VALUE(4634)</f>
        <v>4634</v>
      </c>
      <c r="J3883" s="1">
        <f>VALUE(5404)</f>
        <v>5404</v>
      </c>
      <c r="K3883" s="6">
        <f>VALUE(6692)</f>
        <v>6692</v>
      </c>
      <c r="L3883" s="7">
        <f>VALUE(8636)</f>
        <v>8636</v>
      </c>
      <c r="M3883" s="8">
        <f>VALUE(10282)</f>
        <v>10282</v>
      </c>
      <c r="N3883" t="s">
        <v>25</v>
      </c>
    </row>
    <row r="3884" spans="1:14" x14ac:dyDescent="0.25">
      <c r="A3884" t="s">
        <v>41</v>
      </c>
      <c r="B3884" t="s">
        <v>39</v>
      </c>
      <c r="C3884" t="s">
        <v>36</v>
      </c>
      <c r="D3884" t="s">
        <v>28</v>
      </c>
      <c r="E3884" t="s">
        <v>21</v>
      </c>
      <c r="F3884" t="s">
        <v>18</v>
      </c>
      <c r="G3884" s="2">
        <f>VALUE(350.0021946187)</f>
        <v>350.0021946187</v>
      </c>
      <c r="H3884" s="3">
        <f>VALUE(310.5011380698)</f>
        <v>310.50113806979999</v>
      </c>
      <c r="I3884" s="4">
        <f>VALUE(4225)</f>
        <v>4225</v>
      </c>
      <c r="J3884" s="5">
        <f>VALUE(5000)</f>
        <v>5000</v>
      </c>
      <c r="K3884" s="1">
        <f>VALUE(6220)</f>
        <v>6220</v>
      </c>
      <c r="L3884" s="1">
        <f>VALUE(7590)</f>
        <v>7590</v>
      </c>
      <c r="M3884" s="1">
        <f>VALUE(8839)</f>
        <v>8839</v>
      </c>
      <c r="N3884" t="s">
        <v>25</v>
      </c>
    </row>
    <row r="3885" spans="1:14" x14ac:dyDescent="0.25">
      <c r="A3885" t="s">
        <v>41</v>
      </c>
      <c r="B3885" t="s">
        <v>39</v>
      </c>
      <c r="C3885" t="s">
        <v>36</v>
      </c>
      <c r="D3885" t="s">
        <v>28</v>
      </c>
      <c r="E3885" t="s">
        <v>21</v>
      </c>
      <c r="F3885" t="s">
        <v>19</v>
      </c>
      <c r="G3885" s="2">
        <f>VALUE(340.9332215152)</f>
        <v>340.93322151519999</v>
      </c>
      <c r="H3885" s="3">
        <f>VALUE(335.6765470878)</f>
        <v>335.67654708779997</v>
      </c>
      <c r="I3885" s="1">
        <f>VALUE(4018)</f>
        <v>4018</v>
      </c>
      <c r="J3885" s="1">
        <f>VALUE(4693)</f>
        <v>4693</v>
      </c>
      <c r="K3885" s="1">
        <f>VALUE(5417)</f>
        <v>5417</v>
      </c>
      <c r="L3885" s="1">
        <f>VALUE(6395)</f>
        <v>6395</v>
      </c>
      <c r="M3885" s="1">
        <f>VALUE(7709)</f>
        <v>7709</v>
      </c>
      <c r="N3885" t="s">
        <v>25</v>
      </c>
    </row>
    <row r="3886" spans="1:14" x14ac:dyDescent="0.25">
      <c r="A3886" t="s">
        <v>41</v>
      </c>
      <c r="B3886" t="s">
        <v>39</v>
      </c>
      <c r="C3886" t="s">
        <v>36</v>
      </c>
      <c r="D3886" t="s">
        <v>28</v>
      </c>
      <c r="E3886" t="s">
        <v>21</v>
      </c>
      <c r="F3886" t="s">
        <v>20</v>
      </c>
      <c r="G3886" s="2">
        <f>VALUE(616.9342361126)</f>
        <v>616.93423611260005</v>
      </c>
      <c r="H3886" s="3">
        <f>VALUE(583.7803312764)</f>
        <v>583.78033127640003</v>
      </c>
      <c r="I3886" s="1">
        <f>VALUE(4225)</f>
        <v>4225</v>
      </c>
      <c r="J3886" s="1">
        <f>VALUE(4867)</f>
        <v>4867</v>
      </c>
      <c r="K3886" s="1">
        <f>VALUE(5469)</f>
        <v>5469</v>
      </c>
      <c r="L3886" s="1">
        <f>VALUE(6322)</f>
        <v>6322</v>
      </c>
      <c r="M3886" s="1">
        <f>VALUE(7049)</f>
        <v>7049</v>
      </c>
      <c r="N3886" t="s">
        <v>25</v>
      </c>
    </row>
    <row r="3887" spans="1:14" x14ac:dyDescent="0.25">
      <c r="A3887" t="s">
        <v>41</v>
      </c>
      <c r="B3887" t="s">
        <v>39</v>
      </c>
      <c r="C3887" t="s">
        <v>36</v>
      </c>
      <c r="D3887" t="s">
        <v>28</v>
      </c>
      <c r="E3887" t="s">
        <v>22</v>
      </c>
      <c r="F3887" t="s">
        <v>15</v>
      </c>
      <c r="G3887" s="1">
        <f>VALUE(2918.5681370097)</f>
        <v>2918.5681370097</v>
      </c>
      <c r="H3887" s="1">
        <f>VALUE(2939.607580432)</f>
        <v>2939.6075804319998</v>
      </c>
      <c r="I3887" s="1">
        <f>VALUE(3875)</f>
        <v>3875</v>
      </c>
      <c r="J3887" s="1">
        <f>VALUE(4375)</f>
        <v>4375</v>
      </c>
      <c r="K3887" s="1">
        <f>VALUE(5063)</f>
        <v>5063</v>
      </c>
      <c r="L3887" s="1">
        <f>VALUE(5850)</f>
        <v>5850</v>
      </c>
      <c r="M3887" s="1">
        <f>VALUE(6667)</f>
        <v>6667</v>
      </c>
      <c r="N3887" t="s">
        <v>16</v>
      </c>
    </row>
    <row r="3888" spans="1:14" x14ac:dyDescent="0.25">
      <c r="A3888" t="s">
        <v>41</v>
      </c>
      <c r="B3888" t="s">
        <v>39</v>
      </c>
      <c r="C3888" t="s">
        <v>36</v>
      </c>
      <c r="D3888" t="s">
        <v>28</v>
      </c>
      <c r="E3888" t="s">
        <v>22</v>
      </c>
      <c r="F3888" t="s">
        <v>17</v>
      </c>
      <c r="G3888" s="2">
        <f>VALUE(322.5400804725)</f>
        <v>322.54008047249999</v>
      </c>
      <c r="H3888" s="3">
        <f>VALUE(331.767058437)</f>
        <v>331.767058437</v>
      </c>
      <c r="I3888" s="4">
        <f>VALUE(4103)</f>
        <v>4103</v>
      </c>
      <c r="J3888" s="5">
        <f>VALUE(4737)</f>
        <v>4737</v>
      </c>
      <c r="K3888" s="1">
        <f>VALUE(5707)</f>
        <v>5707</v>
      </c>
      <c r="L3888" s="7">
        <f>VALUE(6388)</f>
        <v>6388</v>
      </c>
      <c r="M3888" s="8">
        <f>VALUE(7878)</f>
        <v>7878</v>
      </c>
      <c r="N3888" t="s">
        <v>25</v>
      </c>
    </row>
    <row r="3889" spans="1:14" x14ac:dyDescent="0.25">
      <c r="A3889" t="s">
        <v>41</v>
      </c>
      <c r="B3889" t="s">
        <v>39</v>
      </c>
      <c r="C3889" t="s">
        <v>36</v>
      </c>
      <c r="D3889" t="s">
        <v>28</v>
      </c>
      <c r="E3889" t="s">
        <v>22</v>
      </c>
      <c r="F3889" t="s">
        <v>18</v>
      </c>
      <c r="G3889" s="2">
        <f>VALUE(376.5157758791)</f>
        <v>376.51577587909998</v>
      </c>
      <c r="H3889" s="3">
        <f>VALUE(377.6980601732)</f>
        <v>377.69806017320002</v>
      </c>
      <c r="I3889" s="4">
        <f>VALUE(4072)</f>
        <v>4072</v>
      </c>
      <c r="J3889" s="1">
        <f>VALUE(4609)</f>
        <v>4609</v>
      </c>
      <c r="K3889" s="1">
        <f>VALUE(5362)</f>
        <v>5362</v>
      </c>
      <c r="L3889" s="1">
        <f>VALUE(6129)</f>
        <v>6129</v>
      </c>
      <c r="M3889" s="1">
        <f>VALUE(6825)</f>
        <v>6825</v>
      </c>
      <c r="N3889" t="s">
        <v>25</v>
      </c>
    </row>
    <row r="3890" spans="1:14" x14ac:dyDescent="0.25">
      <c r="A3890" t="s">
        <v>41</v>
      </c>
      <c r="B3890" t="s">
        <v>39</v>
      </c>
      <c r="C3890" t="s">
        <v>36</v>
      </c>
      <c r="D3890" t="s">
        <v>28</v>
      </c>
      <c r="E3890" t="s">
        <v>22</v>
      </c>
      <c r="F3890" t="s">
        <v>19</v>
      </c>
      <c r="G3890" s="2">
        <f>VALUE(494.2766768076)</f>
        <v>494.27667680759998</v>
      </c>
      <c r="H3890" s="3">
        <f>VALUE(502.0545662046)</f>
        <v>502.05456620460001</v>
      </c>
      <c r="I3890" s="1">
        <f>VALUE(3921)</f>
        <v>3921</v>
      </c>
      <c r="J3890" s="1">
        <f>VALUE(4282)</f>
        <v>4282</v>
      </c>
      <c r="K3890" s="1">
        <f>VALUE(4998)</f>
        <v>4998</v>
      </c>
      <c r="L3890" s="1">
        <f>VALUE(5521)</f>
        <v>5521</v>
      </c>
      <c r="M3890" s="1">
        <f>VALUE(6446)</f>
        <v>6446</v>
      </c>
      <c r="N3890" t="s">
        <v>25</v>
      </c>
    </row>
    <row r="3891" spans="1:14" x14ac:dyDescent="0.25">
      <c r="A3891" t="s">
        <v>41</v>
      </c>
      <c r="B3891" t="s">
        <v>39</v>
      </c>
      <c r="C3891" t="s">
        <v>36</v>
      </c>
      <c r="D3891" t="s">
        <v>28</v>
      </c>
      <c r="E3891" t="s">
        <v>22</v>
      </c>
      <c r="F3891" t="s">
        <v>20</v>
      </c>
      <c r="G3891" s="1">
        <f>VALUE(1725.2356038505)</f>
        <v>1725.2356038505</v>
      </c>
      <c r="H3891" s="1">
        <f>VALUE(1728.0878956172)</f>
        <v>1728.0878956172</v>
      </c>
      <c r="I3891" s="1">
        <f>VALUE(3875)</f>
        <v>3875</v>
      </c>
      <c r="J3891" s="1">
        <f>VALUE(4367)</f>
        <v>4367</v>
      </c>
      <c r="K3891" s="1">
        <f>VALUE(4959)</f>
        <v>4959</v>
      </c>
      <c r="L3891" s="1">
        <f>VALUE(5717)</f>
        <v>5717</v>
      </c>
      <c r="M3891" s="1">
        <f>VALUE(6482)</f>
        <v>6482</v>
      </c>
      <c r="N3891" t="s">
        <v>16</v>
      </c>
    </row>
    <row r="3892" spans="1:14" x14ac:dyDescent="0.25">
      <c r="A3892" t="s">
        <v>41</v>
      </c>
      <c r="B3892" t="s">
        <v>39</v>
      </c>
      <c r="C3892" t="s">
        <v>36</v>
      </c>
      <c r="D3892" t="s">
        <v>28</v>
      </c>
      <c r="E3892" t="s">
        <v>23</v>
      </c>
      <c r="F3892" t="s">
        <v>15</v>
      </c>
      <c r="G3892" s="2">
        <f>VALUE(465.9933196428)</f>
        <v>465.99331964279997</v>
      </c>
      <c r="H3892" s="3">
        <f>VALUE(455.8694196032)</f>
        <v>455.86941960320001</v>
      </c>
      <c r="I3892" s="1">
        <f>VALUE(3442)</f>
        <v>3442</v>
      </c>
      <c r="J3892" s="1">
        <f>VALUE(4030)</f>
        <v>4030</v>
      </c>
      <c r="K3892" s="1">
        <f>VALUE(4831)</f>
        <v>4831</v>
      </c>
      <c r="L3892" s="1">
        <f>VALUE(5546)</f>
        <v>5546</v>
      </c>
      <c r="M3892" s="8">
        <f>VALUE(6965)</f>
        <v>6965</v>
      </c>
      <c r="N3892" t="s">
        <v>25</v>
      </c>
    </row>
    <row r="3893" spans="1:14" x14ac:dyDescent="0.25">
      <c r="A3893" t="s">
        <v>41</v>
      </c>
      <c r="B3893" t="s">
        <v>39</v>
      </c>
      <c r="C3893" t="s">
        <v>36</v>
      </c>
      <c r="D3893" t="s">
        <v>28</v>
      </c>
      <c r="E3893" t="s">
        <v>23</v>
      </c>
      <c r="F3893" t="s">
        <v>17</v>
      </c>
      <c r="G3893" s="1" t="str">
        <f t="shared" ref="G3893:M3895" si="828">"X"</f>
        <v>X</v>
      </c>
      <c r="H3893" s="1" t="str">
        <f t="shared" si="828"/>
        <v>X</v>
      </c>
      <c r="I3893" s="1" t="str">
        <f t="shared" si="828"/>
        <v>X</v>
      </c>
      <c r="J3893" s="1" t="str">
        <f t="shared" si="828"/>
        <v>X</v>
      </c>
      <c r="K3893" s="1" t="str">
        <f t="shared" si="828"/>
        <v>X</v>
      </c>
      <c r="L3893" s="1" t="str">
        <f t="shared" si="828"/>
        <v>X</v>
      </c>
      <c r="M3893" s="1" t="str">
        <f t="shared" si="828"/>
        <v>X</v>
      </c>
      <c r="N3893" t="s">
        <v>27</v>
      </c>
    </row>
    <row r="3894" spans="1:14" x14ac:dyDescent="0.25">
      <c r="A3894" t="s">
        <v>41</v>
      </c>
      <c r="B3894" t="s">
        <v>39</v>
      </c>
      <c r="C3894" t="s">
        <v>36</v>
      </c>
      <c r="D3894" t="s">
        <v>28</v>
      </c>
      <c r="E3894" t="s">
        <v>23</v>
      </c>
      <c r="F3894" t="s">
        <v>18</v>
      </c>
      <c r="G3894" s="1" t="str">
        <f t="shared" si="828"/>
        <v>X</v>
      </c>
      <c r="H3894" s="1" t="str">
        <f t="shared" si="828"/>
        <v>X</v>
      </c>
      <c r="I3894" s="1" t="str">
        <f t="shared" si="828"/>
        <v>X</v>
      </c>
      <c r="J3894" s="1" t="str">
        <f t="shared" si="828"/>
        <v>X</v>
      </c>
      <c r="K3894" s="1" t="str">
        <f t="shared" si="828"/>
        <v>X</v>
      </c>
      <c r="L3894" s="1" t="str">
        <f t="shared" si="828"/>
        <v>X</v>
      </c>
      <c r="M3894" s="1" t="str">
        <f t="shared" si="828"/>
        <v>X</v>
      </c>
      <c r="N3894" t="s">
        <v>27</v>
      </c>
    </row>
    <row r="3895" spans="1:14" x14ac:dyDescent="0.25">
      <c r="A3895" t="s">
        <v>41</v>
      </c>
      <c r="B3895" t="s">
        <v>39</v>
      </c>
      <c r="C3895" t="s">
        <v>36</v>
      </c>
      <c r="D3895" t="s">
        <v>28</v>
      </c>
      <c r="E3895" t="s">
        <v>23</v>
      </c>
      <c r="F3895" t="s">
        <v>19</v>
      </c>
      <c r="G3895" s="1" t="str">
        <f t="shared" si="828"/>
        <v>X</v>
      </c>
      <c r="H3895" s="1" t="str">
        <f t="shared" si="828"/>
        <v>X</v>
      </c>
      <c r="I3895" s="1" t="str">
        <f t="shared" si="828"/>
        <v>X</v>
      </c>
      <c r="J3895" s="1" t="str">
        <f t="shared" si="828"/>
        <v>X</v>
      </c>
      <c r="K3895" s="1" t="str">
        <f t="shared" si="828"/>
        <v>X</v>
      </c>
      <c r="L3895" s="1" t="str">
        <f t="shared" si="828"/>
        <v>X</v>
      </c>
      <c r="M3895" s="1" t="str">
        <f t="shared" si="828"/>
        <v>X</v>
      </c>
      <c r="N3895" t="s">
        <v>27</v>
      </c>
    </row>
    <row r="3896" spans="1:14" x14ac:dyDescent="0.25">
      <c r="A3896" t="s">
        <v>41</v>
      </c>
      <c r="B3896" t="s">
        <v>39</v>
      </c>
      <c r="C3896" t="s">
        <v>36</v>
      </c>
      <c r="D3896" t="s">
        <v>28</v>
      </c>
      <c r="E3896" t="s">
        <v>23</v>
      </c>
      <c r="F3896" t="s">
        <v>20</v>
      </c>
      <c r="G3896" s="2">
        <f>VALUE(347.4250040577)</f>
        <v>347.42500405769999</v>
      </c>
      <c r="H3896" s="3">
        <f>VALUE(340.1020674037)</f>
        <v>340.1020674037</v>
      </c>
      <c r="I3896" s="1">
        <f>VALUE(3478)</f>
        <v>3478</v>
      </c>
      <c r="J3896" s="1">
        <f>VALUE(4077)</f>
        <v>4077</v>
      </c>
      <c r="K3896" s="1">
        <f>VALUE(4695)</f>
        <v>4695</v>
      </c>
      <c r="L3896" s="1">
        <f>VALUE(5392)</f>
        <v>5392</v>
      </c>
      <c r="M3896" s="8">
        <f>VALUE(6292)</f>
        <v>6292</v>
      </c>
      <c r="N3896" t="s">
        <v>25</v>
      </c>
    </row>
    <row r="3897" spans="1:14" x14ac:dyDescent="0.25">
      <c r="A3897" t="s">
        <v>41</v>
      </c>
      <c r="B3897" t="s">
        <v>39</v>
      </c>
      <c r="C3897" t="s">
        <v>36</v>
      </c>
      <c r="D3897" t="s">
        <v>28</v>
      </c>
      <c r="E3897" t="s">
        <v>26</v>
      </c>
      <c r="F3897" t="s">
        <v>15</v>
      </c>
      <c r="G3897" s="1" t="str">
        <f t="shared" ref="G3897:M3899" si="829">"X"</f>
        <v>X</v>
      </c>
      <c r="H3897" s="1" t="str">
        <f t="shared" si="829"/>
        <v>X</v>
      </c>
      <c r="I3897" s="1" t="str">
        <f t="shared" si="829"/>
        <v>X</v>
      </c>
      <c r="J3897" s="1" t="str">
        <f t="shared" si="829"/>
        <v>X</v>
      </c>
      <c r="K3897" s="1" t="str">
        <f t="shared" si="829"/>
        <v>X</v>
      </c>
      <c r="L3897" s="1" t="str">
        <f t="shared" si="829"/>
        <v>X</v>
      </c>
      <c r="M3897" s="1" t="str">
        <f t="shared" si="829"/>
        <v>X</v>
      </c>
      <c r="N3897" t="s">
        <v>27</v>
      </c>
    </row>
    <row r="3898" spans="1:14" x14ac:dyDescent="0.25">
      <c r="A3898" t="s">
        <v>41</v>
      </c>
      <c r="B3898" t="s">
        <v>39</v>
      </c>
      <c r="C3898" t="s">
        <v>36</v>
      </c>
      <c r="D3898" t="s">
        <v>28</v>
      </c>
      <c r="E3898" t="s">
        <v>26</v>
      </c>
      <c r="F3898" t="s">
        <v>17</v>
      </c>
      <c r="G3898" s="1" t="str">
        <f t="shared" si="829"/>
        <v>X</v>
      </c>
      <c r="H3898" s="1" t="str">
        <f t="shared" si="829"/>
        <v>X</v>
      </c>
      <c r="I3898" s="1" t="str">
        <f t="shared" si="829"/>
        <v>X</v>
      </c>
      <c r="J3898" s="1" t="str">
        <f t="shared" si="829"/>
        <v>X</v>
      </c>
      <c r="K3898" s="1" t="str">
        <f t="shared" si="829"/>
        <v>X</v>
      </c>
      <c r="L3898" s="1" t="str">
        <f t="shared" si="829"/>
        <v>X</v>
      </c>
      <c r="M3898" s="1" t="str">
        <f t="shared" si="829"/>
        <v>X</v>
      </c>
      <c r="N3898" t="s">
        <v>27</v>
      </c>
    </row>
    <row r="3899" spans="1:14" x14ac:dyDescent="0.25">
      <c r="A3899" t="s">
        <v>41</v>
      </c>
      <c r="B3899" t="s">
        <v>39</v>
      </c>
      <c r="C3899" t="s">
        <v>36</v>
      </c>
      <c r="D3899" t="s">
        <v>28</v>
      </c>
      <c r="E3899" t="s">
        <v>26</v>
      </c>
      <c r="F3899" t="s">
        <v>18</v>
      </c>
      <c r="G3899" s="1" t="str">
        <f t="shared" si="829"/>
        <v>X</v>
      </c>
      <c r="H3899" s="1" t="str">
        <f t="shared" si="829"/>
        <v>X</v>
      </c>
      <c r="I3899" s="1" t="str">
        <f t="shared" si="829"/>
        <v>X</v>
      </c>
      <c r="J3899" s="1" t="str">
        <f t="shared" si="829"/>
        <v>X</v>
      </c>
      <c r="K3899" s="1" t="str">
        <f t="shared" si="829"/>
        <v>X</v>
      </c>
      <c r="L3899" s="1" t="str">
        <f t="shared" si="829"/>
        <v>X</v>
      </c>
      <c r="M3899" s="1" t="str">
        <f t="shared" si="829"/>
        <v>X</v>
      </c>
      <c r="N3899" t="s">
        <v>27</v>
      </c>
    </row>
    <row r="3900" spans="1:14" x14ac:dyDescent="0.25">
      <c r="A3900" t="s">
        <v>41</v>
      </c>
      <c r="B3900" t="s">
        <v>39</v>
      </c>
      <c r="C3900" t="s">
        <v>36</v>
      </c>
      <c r="D3900" t="s">
        <v>28</v>
      </c>
      <c r="E3900" t="s">
        <v>26</v>
      </c>
      <c r="F3900" t="s">
        <v>19</v>
      </c>
      <c r="G3900" s="1" t="str">
        <f t="shared" ref="G3900:M3900" si="830">"..."</f>
        <v>...</v>
      </c>
      <c r="H3900" s="1" t="str">
        <f t="shared" si="830"/>
        <v>...</v>
      </c>
      <c r="I3900" s="1" t="str">
        <f t="shared" si="830"/>
        <v>...</v>
      </c>
      <c r="J3900" s="1" t="str">
        <f t="shared" si="830"/>
        <v>...</v>
      </c>
      <c r="K3900" s="1" t="str">
        <f t="shared" si="830"/>
        <v>...</v>
      </c>
      <c r="L3900" s="1" t="str">
        <f t="shared" si="830"/>
        <v>...</v>
      </c>
      <c r="M3900" s="1" t="str">
        <f t="shared" si="830"/>
        <v>...</v>
      </c>
      <c r="N3900" t="s">
        <v>30</v>
      </c>
    </row>
    <row r="3901" spans="1:14" x14ac:dyDescent="0.25">
      <c r="A3901" t="s">
        <v>41</v>
      </c>
      <c r="B3901" t="s">
        <v>39</v>
      </c>
      <c r="C3901" t="s">
        <v>36</v>
      </c>
      <c r="D3901" t="s">
        <v>28</v>
      </c>
      <c r="E3901" t="s">
        <v>26</v>
      </c>
      <c r="F3901" t="s">
        <v>20</v>
      </c>
      <c r="G3901" s="1" t="str">
        <f t="shared" ref="G3901:M3901" si="831">"X"</f>
        <v>X</v>
      </c>
      <c r="H3901" s="1" t="str">
        <f t="shared" si="831"/>
        <v>X</v>
      </c>
      <c r="I3901" s="1" t="str">
        <f t="shared" si="831"/>
        <v>X</v>
      </c>
      <c r="J3901" s="1" t="str">
        <f t="shared" si="831"/>
        <v>X</v>
      </c>
      <c r="K3901" s="1" t="str">
        <f t="shared" si="831"/>
        <v>X</v>
      </c>
      <c r="L3901" s="1" t="str">
        <f t="shared" si="831"/>
        <v>X</v>
      </c>
      <c r="M3901" s="1" t="str">
        <f t="shared" si="831"/>
        <v>X</v>
      </c>
      <c r="N3901" t="s">
        <v>27</v>
      </c>
    </row>
    <row r="3902" spans="1:14" x14ac:dyDescent="0.25">
      <c r="A3902" t="s">
        <v>41</v>
      </c>
      <c r="B3902" t="s">
        <v>39</v>
      </c>
      <c r="C3902" t="s">
        <v>36</v>
      </c>
      <c r="D3902" t="s">
        <v>29</v>
      </c>
      <c r="E3902" t="s">
        <v>15</v>
      </c>
      <c r="F3902" t="s">
        <v>15</v>
      </c>
      <c r="G3902" s="2">
        <f>VALUE(1570.501012196)</f>
        <v>1570.5010121959999</v>
      </c>
      <c r="H3902" s="3">
        <f>VALUE(1583.005655792)</f>
        <v>1583.005655792</v>
      </c>
      <c r="I3902" s="1">
        <f>VALUE(3593)</f>
        <v>3593</v>
      </c>
      <c r="J3902" s="1">
        <f>VALUE(4311)</f>
        <v>4311</v>
      </c>
      <c r="K3902" s="1">
        <f>VALUE(5027)</f>
        <v>5027</v>
      </c>
      <c r="L3902" s="1">
        <f>VALUE(5677)</f>
        <v>5677</v>
      </c>
      <c r="M3902" s="1">
        <f>VALUE(7021)</f>
        <v>7021</v>
      </c>
      <c r="N3902" t="s">
        <v>25</v>
      </c>
    </row>
    <row r="3903" spans="1:14" x14ac:dyDescent="0.25">
      <c r="A3903" t="s">
        <v>41</v>
      </c>
      <c r="B3903" t="s">
        <v>39</v>
      </c>
      <c r="C3903" t="s">
        <v>36</v>
      </c>
      <c r="D3903" t="s">
        <v>29</v>
      </c>
      <c r="E3903" t="s">
        <v>15</v>
      </c>
      <c r="F3903" t="s">
        <v>17</v>
      </c>
      <c r="G3903" s="1" t="str">
        <f t="shared" ref="G3903:M3903" si="832">"X"</f>
        <v>X</v>
      </c>
      <c r="H3903" s="1" t="str">
        <f t="shared" si="832"/>
        <v>X</v>
      </c>
      <c r="I3903" s="1" t="str">
        <f t="shared" si="832"/>
        <v>X</v>
      </c>
      <c r="J3903" s="1" t="str">
        <f t="shared" si="832"/>
        <v>X</v>
      </c>
      <c r="K3903" s="1" t="str">
        <f t="shared" si="832"/>
        <v>X</v>
      </c>
      <c r="L3903" s="1" t="str">
        <f t="shared" si="832"/>
        <v>X</v>
      </c>
      <c r="M3903" s="1" t="str">
        <f t="shared" si="832"/>
        <v>X</v>
      </c>
      <c r="N3903" t="s">
        <v>27</v>
      </c>
    </row>
    <row r="3904" spans="1:14" x14ac:dyDescent="0.25">
      <c r="A3904" t="s">
        <v>41</v>
      </c>
      <c r="B3904" t="s">
        <v>39</v>
      </c>
      <c r="C3904" t="s">
        <v>36</v>
      </c>
      <c r="D3904" t="s">
        <v>29</v>
      </c>
      <c r="E3904" t="s">
        <v>15</v>
      </c>
      <c r="F3904" t="s">
        <v>18</v>
      </c>
      <c r="G3904" s="2">
        <f>VALUE(246.4231821345)</f>
        <v>246.4231821345</v>
      </c>
      <c r="H3904" s="3">
        <f>VALUE(246.7264472651)</f>
        <v>246.72644726510001</v>
      </c>
      <c r="I3904" s="1">
        <f>VALUE(3610)</f>
        <v>3610</v>
      </c>
      <c r="J3904" s="1">
        <f>VALUE(4333)</f>
        <v>4333</v>
      </c>
      <c r="K3904" s="1">
        <f>VALUE(5041)</f>
        <v>5041</v>
      </c>
      <c r="L3904" s="1">
        <f>VALUE(5590)</f>
        <v>5590</v>
      </c>
      <c r="M3904" s="8">
        <f>VALUE(7145)</f>
        <v>7145</v>
      </c>
      <c r="N3904" t="s">
        <v>25</v>
      </c>
    </row>
    <row r="3905" spans="1:14" x14ac:dyDescent="0.25">
      <c r="A3905" t="s">
        <v>41</v>
      </c>
      <c r="B3905" t="s">
        <v>39</v>
      </c>
      <c r="C3905" t="s">
        <v>36</v>
      </c>
      <c r="D3905" t="s">
        <v>29</v>
      </c>
      <c r="E3905" t="s">
        <v>15</v>
      </c>
      <c r="F3905" t="s">
        <v>19</v>
      </c>
      <c r="G3905" s="2">
        <f>VALUE(231.4390290656)</f>
        <v>231.43902906560001</v>
      </c>
      <c r="H3905" s="3">
        <f>VALUE(234.591892705)</f>
        <v>234.59189270499999</v>
      </c>
      <c r="I3905" s="1">
        <f>VALUE(3569)</f>
        <v>3569</v>
      </c>
      <c r="J3905" s="1">
        <f>VALUE(4120)</f>
        <v>4120</v>
      </c>
      <c r="K3905" s="6">
        <f>VALUE(5102)</f>
        <v>5102</v>
      </c>
      <c r="L3905" s="1">
        <f>VALUE(5621)</f>
        <v>5621</v>
      </c>
      <c r="M3905" s="1">
        <f>VALUE(6746)</f>
        <v>6746</v>
      </c>
      <c r="N3905" t="s">
        <v>25</v>
      </c>
    </row>
    <row r="3906" spans="1:14" x14ac:dyDescent="0.25">
      <c r="A3906" t="s">
        <v>41</v>
      </c>
      <c r="B3906" t="s">
        <v>39</v>
      </c>
      <c r="C3906" t="s">
        <v>36</v>
      </c>
      <c r="D3906" t="s">
        <v>29</v>
      </c>
      <c r="E3906" t="s">
        <v>15</v>
      </c>
      <c r="F3906" t="s">
        <v>20</v>
      </c>
      <c r="G3906" s="2">
        <f>VALUE(953.297093244)</f>
        <v>953.29709324400005</v>
      </c>
      <c r="H3906" s="3">
        <f>VALUE(964.8004944144)</f>
        <v>964.80049441439996</v>
      </c>
      <c r="I3906" s="4">
        <f>VALUE(3593)</f>
        <v>3593</v>
      </c>
      <c r="J3906" s="1">
        <f>VALUE(4229)</f>
        <v>4229</v>
      </c>
      <c r="K3906" s="1">
        <f>VALUE(4947)</f>
        <v>4947</v>
      </c>
      <c r="L3906" s="1">
        <f>VALUE(5520)</f>
        <v>5520</v>
      </c>
      <c r="M3906" s="1">
        <f>VALUE(6020)</f>
        <v>6020</v>
      </c>
      <c r="N3906" t="s">
        <v>25</v>
      </c>
    </row>
    <row r="3907" spans="1:14" x14ac:dyDescent="0.25">
      <c r="A3907" t="s">
        <v>41</v>
      </c>
      <c r="B3907" t="s">
        <v>39</v>
      </c>
      <c r="C3907" t="s">
        <v>36</v>
      </c>
      <c r="D3907" t="s">
        <v>29</v>
      </c>
      <c r="E3907" t="s">
        <v>21</v>
      </c>
      <c r="F3907" t="s">
        <v>15</v>
      </c>
      <c r="G3907" s="2">
        <f>VALUE(216.0516760583)</f>
        <v>216.05167605829999</v>
      </c>
      <c r="H3907" s="3">
        <f>VALUE(216.4058713665)</f>
        <v>216.40587136650001</v>
      </c>
      <c r="I3907" s="4">
        <f>VALUE(4311)</f>
        <v>4311</v>
      </c>
      <c r="J3907" s="5">
        <f>VALUE(5490)</f>
        <v>5490</v>
      </c>
      <c r="K3907" s="6">
        <f>VALUE(6854)</f>
        <v>6854</v>
      </c>
      <c r="L3907" s="1">
        <f>VALUE(8463)</f>
        <v>8463</v>
      </c>
      <c r="M3907" s="8">
        <f>VALUE(10196)</f>
        <v>10196</v>
      </c>
      <c r="N3907" t="s">
        <v>25</v>
      </c>
    </row>
    <row r="3908" spans="1:14" x14ac:dyDescent="0.25">
      <c r="A3908" t="s">
        <v>41</v>
      </c>
      <c r="B3908" t="s">
        <v>39</v>
      </c>
      <c r="C3908" t="s">
        <v>36</v>
      </c>
      <c r="D3908" t="s">
        <v>29</v>
      </c>
      <c r="E3908" t="s">
        <v>21</v>
      </c>
      <c r="F3908" t="s">
        <v>17</v>
      </c>
      <c r="G3908" s="1" t="str">
        <f t="shared" ref="G3908:M3911" si="833">"X"</f>
        <v>X</v>
      </c>
      <c r="H3908" s="1" t="str">
        <f t="shared" si="833"/>
        <v>X</v>
      </c>
      <c r="I3908" s="1" t="str">
        <f t="shared" si="833"/>
        <v>X</v>
      </c>
      <c r="J3908" s="1" t="str">
        <f t="shared" si="833"/>
        <v>X</v>
      </c>
      <c r="K3908" s="1" t="str">
        <f t="shared" si="833"/>
        <v>X</v>
      </c>
      <c r="L3908" s="1" t="str">
        <f t="shared" si="833"/>
        <v>X</v>
      </c>
      <c r="M3908" s="1" t="str">
        <f t="shared" si="833"/>
        <v>X</v>
      </c>
      <c r="N3908" t="s">
        <v>27</v>
      </c>
    </row>
    <row r="3909" spans="1:14" x14ac:dyDescent="0.25">
      <c r="A3909" t="s">
        <v>41</v>
      </c>
      <c r="B3909" t="s">
        <v>39</v>
      </c>
      <c r="C3909" t="s">
        <v>36</v>
      </c>
      <c r="D3909" t="s">
        <v>29</v>
      </c>
      <c r="E3909" t="s">
        <v>21</v>
      </c>
      <c r="F3909" t="s">
        <v>18</v>
      </c>
      <c r="G3909" s="1" t="str">
        <f t="shared" si="833"/>
        <v>X</v>
      </c>
      <c r="H3909" s="1" t="str">
        <f t="shared" si="833"/>
        <v>X</v>
      </c>
      <c r="I3909" s="1" t="str">
        <f t="shared" si="833"/>
        <v>X</v>
      </c>
      <c r="J3909" s="1" t="str">
        <f t="shared" si="833"/>
        <v>X</v>
      </c>
      <c r="K3909" s="1" t="str">
        <f t="shared" si="833"/>
        <v>X</v>
      </c>
      <c r="L3909" s="1" t="str">
        <f t="shared" si="833"/>
        <v>X</v>
      </c>
      <c r="M3909" s="1" t="str">
        <f t="shared" si="833"/>
        <v>X</v>
      </c>
      <c r="N3909" t="s">
        <v>27</v>
      </c>
    </row>
    <row r="3910" spans="1:14" x14ac:dyDescent="0.25">
      <c r="A3910" t="s">
        <v>41</v>
      </c>
      <c r="B3910" t="s">
        <v>39</v>
      </c>
      <c r="C3910" t="s">
        <v>36</v>
      </c>
      <c r="D3910" t="s">
        <v>29</v>
      </c>
      <c r="E3910" t="s">
        <v>21</v>
      </c>
      <c r="F3910" t="s">
        <v>19</v>
      </c>
      <c r="G3910" s="1" t="str">
        <f t="shared" si="833"/>
        <v>X</v>
      </c>
      <c r="H3910" s="1" t="str">
        <f t="shared" si="833"/>
        <v>X</v>
      </c>
      <c r="I3910" s="1" t="str">
        <f t="shared" si="833"/>
        <v>X</v>
      </c>
      <c r="J3910" s="1" t="str">
        <f t="shared" si="833"/>
        <v>X</v>
      </c>
      <c r="K3910" s="1" t="str">
        <f t="shared" si="833"/>
        <v>X</v>
      </c>
      <c r="L3910" s="1" t="str">
        <f t="shared" si="833"/>
        <v>X</v>
      </c>
      <c r="M3910" s="1" t="str">
        <f t="shared" si="833"/>
        <v>X</v>
      </c>
      <c r="N3910" t="s">
        <v>27</v>
      </c>
    </row>
    <row r="3911" spans="1:14" x14ac:dyDescent="0.25">
      <c r="A3911" t="s">
        <v>41</v>
      </c>
      <c r="B3911" t="s">
        <v>39</v>
      </c>
      <c r="C3911" t="s">
        <v>36</v>
      </c>
      <c r="D3911" t="s">
        <v>29</v>
      </c>
      <c r="E3911" t="s">
        <v>21</v>
      </c>
      <c r="F3911" t="s">
        <v>20</v>
      </c>
      <c r="G3911" s="1" t="str">
        <f t="shared" si="833"/>
        <v>X</v>
      </c>
      <c r="H3911" s="1" t="str">
        <f t="shared" si="833"/>
        <v>X</v>
      </c>
      <c r="I3911" s="1" t="str">
        <f t="shared" si="833"/>
        <v>X</v>
      </c>
      <c r="J3911" s="1" t="str">
        <f t="shared" si="833"/>
        <v>X</v>
      </c>
      <c r="K3911" s="1" t="str">
        <f t="shared" si="833"/>
        <v>X</v>
      </c>
      <c r="L3911" s="1" t="str">
        <f t="shared" si="833"/>
        <v>X</v>
      </c>
      <c r="M3911" s="1" t="str">
        <f t="shared" si="833"/>
        <v>X</v>
      </c>
      <c r="N3911" t="s">
        <v>27</v>
      </c>
    </row>
    <row r="3912" spans="1:14" x14ac:dyDescent="0.25">
      <c r="A3912" t="s">
        <v>41</v>
      </c>
      <c r="B3912" t="s">
        <v>39</v>
      </c>
      <c r="C3912" t="s">
        <v>36</v>
      </c>
      <c r="D3912" t="s">
        <v>29</v>
      </c>
      <c r="E3912" t="s">
        <v>22</v>
      </c>
      <c r="F3912" t="s">
        <v>15</v>
      </c>
      <c r="G3912" s="2">
        <f>VALUE(757.2901235761)</f>
        <v>757.29012357609997</v>
      </c>
      <c r="H3912" s="3">
        <f>VALUE(765.0973563276)</f>
        <v>765.09735632759998</v>
      </c>
      <c r="I3912" s="4">
        <f>VALUE(3576)</f>
        <v>3576</v>
      </c>
      <c r="J3912" s="1">
        <f>VALUE(4142)</f>
        <v>4142</v>
      </c>
      <c r="K3912" s="1">
        <f>VALUE(4992)</f>
        <v>4992</v>
      </c>
      <c r="L3912" s="1">
        <f>VALUE(5557)</f>
        <v>5557</v>
      </c>
      <c r="M3912" s="1">
        <f>VALUE(6096)</f>
        <v>6096</v>
      </c>
      <c r="N3912" t="s">
        <v>25</v>
      </c>
    </row>
    <row r="3913" spans="1:14" x14ac:dyDescent="0.25">
      <c r="A3913" t="s">
        <v>41</v>
      </c>
      <c r="B3913" t="s">
        <v>39</v>
      </c>
      <c r="C3913" t="s">
        <v>36</v>
      </c>
      <c r="D3913" t="s">
        <v>29</v>
      </c>
      <c r="E3913" t="s">
        <v>22</v>
      </c>
      <c r="F3913" t="s">
        <v>17</v>
      </c>
      <c r="G3913" s="1" t="str">
        <f t="shared" ref="G3913:M3915" si="834">"X"</f>
        <v>X</v>
      </c>
      <c r="H3913" s="1" t="str">
        <f t="shared" si="834"/>
        <v>X</v>
      </c>
      <c r="I3913" s="1" t="str">
        <f t="shared" si="834"/>
        <v>X</v>
      </c>
      <c r="J3913" s="1" t="str">
        <f t="shared" si="834"/>
        <v>X</v>
      </c>
      <c r="K3913" s="1" t="str">
        <f t="shared" si="834"/>
        <v>X</v>
      </c>
      <c r="L3913" s="1" t="str">
        <f t="shared" si="834"/>
        <v>X</v>
      </c>
      <c r="M3913" s="1" t="str">
        <f t="shared" si="834"/>
        <v>X</v>
      </c>
      <c r="N3913" t="s">
        <v>27</v>
      </c>
    </row>
    <row r="3914" spans="1:14" x14ac:dyDescent="0.25">
      <c r="A3914" t="s">
        <v>41</v>
      </c>
      <c r="B3914" t="s">
        <v>39</v>
      </c>
      <c r="C3914" t="s">
        <v>36</v>
      </c>
      <c r="D3914" t="s">
        <v>29</v>
      </c>
      <c r="E3914" t="s">
        <v>22</v>
      </c>
      <c r="F3914" t="s">
        <v>18</v>
      </c>
      <c r="G3914" s="1" t="str">
        <f t="shared" si="834"/>
        <v>X</v>
      </c>
      <c r="H3914" s="1" t="str">
        <f t="shared" si="834"/>
        <v>X</v>
      </c>
      <c r="I3914" s="1" t="str">
        <f t="shared" si="834"/>
        <v>X</v>
      </c>
      <c r="J3914" s="1" t="str">
        <f t="shared" si="834"/>
        <v>X</v>
      </c>
      <c r="K3914" s="1" t="str">
        <f t="shared" si="834"/>
        <v>X</v>
      </c>
      <c r="L3914" s="1" t="str">
        <f t="shared" si="834"/>
        <v>X</v>
      </c>
      <c r="M3914" s="1" t="str">
        <f t="shared" si="834"/>
        <v>X</v>
      </c>
      <c r="N3914" t="s">
        <v>27</v>
      </c>
    </row>
    <row r="3915" spans="1:14" x14ac:dyDescent="0.25">
      <c r="A3915" t="s">
        <v>41</v>
      </c>
      <c r="B3915" t="s">
        <v>39</v>
      </c>
      <c r="C3915" t="s">
        <v>36</v>
      </c>
      <c r="D3915" t="s">
        <v>29</v>
      </c>
      <c r="E3915" t="s">
        <v>22</v>
      </c>
      <c r="F3915" t="s">
        <v>19</v>
      </c>
      <c r="G3915" s="1" t="str">
        <f t="shared" si="834"/>
        <v>X</v>
      </c>
      <c r="H3915" s="1" t="str">
        <f t="shared" si="834"/>
        <v>X</v>
      </c>
      <c r="I3915" s="1" t="str">
        <f t="shared" si="834"/>
        <v>X</v>
      </c>
      <c r="J3915" s="1" t="str">
        <f t="shared" si="834"/>
        <v>X</v>
      </c>
      <c r="K3915" s="1" t="str">
        <f t="shared" si="834"/>
        <v>X</v>
      </c>
      <c r="L3915" s="1" t="str">
        <f t="shared" si="834"/>
        <v>X</v>
      </c>
      <c r="M3915" s="1" t="str">
        <f t="shared" si="834"/>
        <v>X</v>
      </c>
      <c r="N3915" t="s">
        <v>27</v>
      </c>
    </row>
    <row r="3916" spans="1:14" x14ac:dyDescent="0.25">
      <c r="A3916" t="s">
        <v>41</v>
      </c>
      <c r="B3916" t="s">
        <v>39</v>
      </c>
      <c r="C3916" t="s">
        <v>36</v>
      </c>
      <c r="D3916" t="s">
        <v>29</v>
      </c>
      <c r="E3916" t="s">
        <v>22</v>
      </c>
      <c r="F3916" t="s">
        <v>20</v>
      </c>
      <c r="G3916" s="2">
        <f>VALUE(446.3027106283)</f>
        <v>446.30271062830002</v>
      </c>
      <c r="H3916" s="3">
        <f>VALUE(453.0996842014)</f>
        <v>453.09968420140001</v>
      </c>
      <c r="I3916" s="1">
        <f>VALUE(4000)</f>
        <v>4000</v>
      </c>
      <c r="J3916" s="1">
        <f>VALUE(4142)</f>
        <v>4142</v>
      </c>
      <c r="K3916" s="1">
        <f>VALUE(5032)</f>
        <v>5032</v>
      </c>
      <c r="L3916" s="1">
        <f>VALUE(5501)</f>
        <v>5501</v>
      </c>
      <c r="M3916" s="1">
        <f>VALUE(6049)</f>
        <v>6049</v>
      </c>
      <c r="N3916" t="s">
        <v>25</v>
      </c>
    </row>
    <row r="3917" spans="1:14" x14ac:dyDescent="0.25">
      <c r="A3917" t="s">
        <v>41</v>
      </c>
      <c r="B3917" t="s">
        <v>39</v>
      </c>
      <c r="C3917" t="s">
        <v>36</v>
      </c>
      <c r="D3917" t="s">
        <v>29</v>
      </c>
      <c r="E3917" t="s">
        <v>23</v>
      </c>
      <c r="F3917" t="s">
        <v>15</v>
      </c>
      <c r="G3917" s="2">
        <f>VALUE(588.6257551997)</f>
        <v>588.62575519970005</v>
      </c>
      <c r="H3917" s="3">
        <f>VALUE(592.5422978681)</f>
        <v>592.54229786810004</v>
      </c>
      <c r="I3917" s="4">
        <f>VALUE(3550)</f>
        <v>3550</v>
      </c>
      <c r="J3917" s="1">
        <f>VALUE(4254)</f>
        <v>4254</v>
      </c>
      <c r="K3917" s="1">
        <f>VALUE(4755)</f>
        <v>4755</v>
      </c>
      <c r="L3917" s="1">
        <f>VALUE(5431)</f>
        <v>5431</v>
      </c>
      <c r="M3917" s="1">
        <f>VALUE(5805)</f>
        <v>5805</v>
      </c>
      <c r="N3917" t="s">
        <v>25</v>
      </c>
    </row>
    <row r="3918" spans="1:14" x14ac:dyDescent="0.25">
      <c r="A3918" t="s">
        <v>41</v>
      </c>
      <c r="B3918" t="s">
        <v>39</v>
      </c>
      <c r="C3918" t="s">
        <v>36</v>
      </c>
      <c r="D3918" t="s">
        <v>29</v>
      </c>
      <c r="E3918" t="s">
        <v>23</v>
      </c>
      <c r="F3918" t="s">
        <v>17</v>
      </c>
      <c r="G3918" s="1" t="str">
        <f t="shared" ref="G3918:M3920" si="835">"X"</f>
        <v>X</v>
      </c>
      <c r="H3918" s="1" t="str">
        <f t="shared" si="835"/>
        <v>X</v>
      </c>
      <c r="I3918" s="1" t="str">
        <f t="shared" si="835"/>
        <v>X</v>
      </c>
      <c r="J3918" s="1" t="str">
        <f t="shared" si="835"/>
        <v>X</v>
      </c>
      <c r="K3918" s="1" t="str">
        <f t="shared" si="835"/>
        <v>X</v>
      </c>
      <c r="L3918" s="1" t="str">
        <f t="shared" si="835"/>
        <v>X</v>
      </c>
      <c r="M3918" s="1" t="str">
        <f t="shared" si="835"/>
        <v>X</v>
      </c>
      <c r="N3918" t="s">
        <v>27</v>
      </c>
    </row>
    <row r="3919" spans="1:14" x14ac:dyDescent="0.25">
      <c r="A3919" t="s">
        <v>41</v>
      </c>
      <c r="B3919" t="s">
        <v>39</v>
      </c>
      <c r="C3919" t="s">
        <v>36</v>
      </c>
      <c r="D3919" t="s">
        <v>29</v>
      </c>
      <c r="E3919" t="s">
        <v>23</v>
      </c>
      <c r="F3919" t="s">
        <v>18</v>
      </c>
      <c r="G3919" s="1" t="str">
        <f t="shared" si="835"/>
        <v>X</v>
      </c>
      <c r="H3919" s="1" t="str">
        <f t="shared" si="835"/>
        <v>X</v>
      </c>
      <c r="I3919" s="1" t="str">
        <f t="shared" si="835"/>
        <v>X</v>
      </c>
      <c r="J3919" s="1" t="str">
        <f t="shared" si="835"/>
        <v>X</v>
      </c>
      <c r="K3919" s="1" t="str">
        <f t="shared" si="835"/>
        <v>X</v>
      </c>
      <c r="L3919" s="1" t="str">
        <f t="shared" si="835"/>
        <v>X</v>
      </c>
      <c r="M3919" s="1" t="str">
        <f t="shared" si="835"/>
        <v>X</v>
      </c>
      <c r="N3919" t="s">
        <v>27</v>
      </c>
    </row>
    <row r="3920" spans="1:14" x14ac:dyDescent="0.25">
      <c r="A3920" t="s">
        <v>41</v>
      </c>
      <c r="B3920" t="s">
        <v>39</v>
      </c>
      <c r="C3920" t="s">
        <v>36</v>
      </c>
      <c r="D3920" t="s">
        <v>29</v>
      </c>
      <c r="E3920" t="s">
        <v>23</v>
      </c>
      <c r="F3920" t="s">
        <v>19</v>
      </c>
      <c r="G3920" s="1" t="str">
        <f t="shared" si="835"/>
        <v>X</v>
      </c>
      <c r="H3920" s="1" t="str">
        <f t="shared" si="835"/>
        <v>X</v>
      </c>
      <c r="I3920" s="1" t="str">
        <f t="shared" si="835"/>
        <v>X</v>
      </c>
      <c r="J3920" s="1" t="str">
        <f t="shared" si="835"/>
        <v>X</v>
      </c>
      <c r="K3920" s="1" t="str">
        <f t="shared" si="835"/>
        <v>X</v>
      </c>
      <c r="L3920" s="1" t="str">
        <f t="shared" si="835"/>
        <v>X</v>
      </c>
      <c r="M3920" s="1" t="str">
        <f t="shared" si="835"/>
        <v>X</v>
      </c>
      <c r="N3920" t="s">
        <v>27</v>
      </c>
    </row>
    <row r="3921" spans="1:14" x14ac:dyDescent="0.25">
      <c r="A3921" t="s">
        <v>41</v>
      </c>
      <c r="B3921" t="s">
        <v>39</v>
      </c>
      <c r="C3921" t="s">
        <v>36</v>
      </c>
      <c r="D3921" t="s">
        <v>29</v>
      </c>
      <c r="E3921" t="s">
        <v>23</v>
      </c>
      <c r="F3921" t="s">
        <v>20</v>
      </c>
      <c r="G3921" s="2">
        <f>VALUE(447.2879719303)</f>
        <v>447.28797193029999</v>
      </c>
      <c r="H3921" s="3">
        <f>VALUE(451.7101652379)</f>
        <v>451.71016523790001</v>
      </c>
      <c r="I3921" s="1">
        <f>VALUE(3508)</f>
        <v>3508</v>
      </c>
      <c r="J3921" s="5">
        <f>VALUE(4171)</f>
        <v>4171</v>
      </c>
      <c r="K3921" s="1">
        <f>VALUE(4688)</f>
        <v>4688</v>
      </c>
      <c r="L3921" s="1">
        <f>VALUE(5419)</f>
        <v>5419</v>
      </c>
      <c r="M3921" s="1">
        <f>VALUE(5805)</f>
        <v>5805</v>
      </c>
      <c r="N3921" t="s">
        <v>25</v>
      </c>
    </row>
    <row r="3922" spans="1:14" x14ac:dyDescent="0.25">
      <c r="A3922" t="s">
        <v>41</v>
      </c>
      <c r="B3922" t="s">
        <v>39</v>
      </c>
      <c r="C3922" t="s">
        <v>36</v>
      </c>
      <c r="D3922" t="s">
        <v>29</v>
      </c>
      <c r="E3922" t="s">
        <v>26</v>
      </c>
      <c r="F3922" t="s">
        <v>15</v>
      </c>
      <c r="G3922" s="1" t="str">
        <f t="shared" ref="G3922:M3924" si="836">"X"</f>
        <v>X</v>
      </c>
      <c r="H3922" s="1" t="str">
        <f t="shared" si="836"/>
        <v>X</v>
      </c>
      <c r="I3922" s="1" t="str">
        <f t="shared" si="836"/>
        <v>X</v>
      </c>
      <c r="J3922" s="1" t="str">
        <f t="shared" si="836"/>
        <v>X</v>
      </c>
      <c r="K3922" s="1" t="str">
        <f t="shared" si="836"/>
        <v>X</v>
      </c>
      <c r="L3922" s="1" t="str">
        <f t="shared" si="836"/>
        <v>X</v>
      </c>
      <c r="M3922" s="1" t="str">
        <f t="shared" si="836"/>
        <v>X</v>
      </c>
      <c r="N3922" t="s">
        <v>27</v>
      </c>
    </row>
    <row r="3923" spans="1:14" x14ac:dyDescent="0.25">
      <c r="A3923" t="s">
        <v>41</v>
      </c>
      <c r="B3923" t="s">
        <v>39</v>
      </c>
      <c r="C3923" t="s">
        <v>36</v>
      </c>
      <c r="D3923" t="s">
        <v>29</v>
      </c>
      <c r="E3923" t="s">
        <v>26</v>
      </c>
      <c r="F3923" t="s">
        <v>17</v>
      </c>
      <c r="G3923" s="1" t="str">
        <f t="shared" si="836"/>
        <v>X</v>
      </c>
      <c r="H3923" s="1" t="str">
        <f t="shared" si="836"/>
        <v>X</v>
      </c>
      <c r="I3923" s="1" t="str">
        <f t="shared" si="836"/>
        <v>X</v>
      </c>
      <c r="J3923" s="1" t="str">
        <f t="shared" si="836"/>
        <v>X</v>
      </c>
      <c r="K3923" s="1" t="str">
        <f t="shared" si="836"/>
        <v>X</v>
      </c>
      <c r="L3923" s="1" t="str">
        <f t="shared" si="836"/>
        <v>X</v>
      </c>
      <c r="M3923" s="1" t="str">
        <f t="shared" si="836"/>
        <v>X</v>
      </c>
      <c r="N3923" t="s">
        <v>27</v>
      </c>
    </row>
    <row r="3924" spans="1:14" x14ac:dyDescent="0.25">
      <c r="A3924" t="s">
        <v>41</v>
      </c>
      <c r="B3924" t="s">
        <v>39</v>
      </c>
      <c r="C3924" t="s">
        <v>36</v>
      </c>
      <c r="D3924" t="s">
        <v>29</v>
      </c>
      <c r="E3924" t="s">
        <v>26</v>
      </c>
      <c r="F3924" t="s">
        <v>18</v>
      </c>
      <c r="G3924" s="1" t="str">
        <f t="shared" si="836"/>
        <v>X</v>
      </c>
      <c r="H3924" s="1" t="str">
        <f t="shared" si="836"/>
        <v>X</v>
      </c>
      <c r="I3924" s="1" t="str">
        <f t="shared" si="836"/>
        <v>X</v>
      </c>
      <c r="J3924" s="1" t="str">
        <f t="shared" si="836"/>
        <v>X</v>
      </c>
      <c r="K3924" s="1" t="str">
        <f t="shared" si="836"/>
        <v>X</v>
      </c>
      <c r="L3924" s="1" t="str">
        <f t="shared" si="836"/>
        <v>X</v>
      </c>
      <c r="M3924" s="1" t="str">
        <f t="shared" si="836"/>
        <v>X</v>
      </c>
      <c r="N3924" t="s">
        <v>27</v>
      </c>
    </row>
    <row r="3925" spans="1:14" x14ac:dyDescent="0.25">
      <c r="A3925" t="s">
        <v>41</v>
      </c>
      <c r="B3925" t="s">
        <v>39</v>
      </c>
      <c r="C3925" t="s">
        <v>36</v>
      </c>
      <c r="D3925" t="s">
        <v>29</v>
      </c>
      <c r="E3925" t="s">
        <v>26</v>
      </c>
      <c r="F3925" t="s">
        <v>19</v>
      </c>
      <c r="G3925" s="1" t="str">
        <f t="shared" ref="G3925:M3925" si="837">"..."</f>
        <v>...</v>
      </c>
      <c r="H3925" s="1" t="str">
        <f t="shared" si="837"/>
        <v>...</v>
      </c>
      <c r="I3925" s="1" t="str">
        <f t="shared" si="837"/>
        <v>...</v>
      </c>
      <c r="J3925" s="1" t="str">
        <f t="shared" si="837"/>
        <v>...</v>
      </c>
      <c r="K3925" s="1" t="str">
        <f t="shared" si="837"/>
        <v>...</v>
      </c>
      <c r="L3925" s="1" t="str">
        <f t="shared" si="837"/>
        <v>...</v>
      </c>
      <c r="M3925" s="1" t="str">
        <f t="shared" si="837"/>
        <v>...</v>
      </c>
      <c r="N3925" t="s">
        <v>30</v>
      </c>
    </row>
    <row r="3926" spans="1:14" x14ac:dyDescent="0.25">
      <c r="A3926" t="s">
        <v>41</v>
      </c>
      <c r="B3926" t="s">
        <v>39</v>
      </c>
      <c r="C3926" t="s">
        <v>36</v>
      </c>
      <c r="D3926" t="s">
        <v>29</v>
      </c>
      <c r="E3926" t="s">
        <v>26</v>
      </c>
      <c r="F3926" t="s">
        <v>20</v>
      </c>
      <c r="G3926" s="1" t="str">
        <f t="shared" ref="G3926:M3926" si="838">"X"</f>
        <v>X</v>
      </c>
      <c r="H3926" s="1" t="str">
        <f t="shared" si="838"/>
        <v>X</v>
      </c>
      <c r="I3926" s="1" t="str">
        <f t="shared" si="838"/>
        <v>X</v>
      </c>
      <c r="J3926" s="1" t="str">
        <f t="shared" si="838"/>
        <v>X</v>
      </c>
      <c r="K3926" s="1" t="str">
        <f t="shared" si="838"/>
        <v>X</v>
      </c>
      <c r="L3926" s="1" t="str">
        <f t="shared" si="838"/>
        <v>X</v>
      </c>
      <c r="M3926" s="1" t="str">
        <f t="shared" si="838"/>
        <v>X</v>
      </c>
      <c r="N3926" t="s">
        <v>27</v>
      </c>
    </row>
    <row r="3927" spans="1:14" x14ac:dyDescent="0.25">
      <c r="A3927" t="s">
        <v>41</v>
      </c>
      <c r="B3927" t="s">
        <v>39</v>
      </c>
      <c r="C3927" t="s">
        <v>36</v>
      </c>
      <c r="D3927" t="s">
        <v>31</v>
      </c>
      <c r="E3927" t="s">
        <v>15</v>
      </c>
      <c r="F3927" t="s">
        <v>15</v>
      </c>
      <c r="G3927" s="2">
        <f>VALUE(1583.2816989378)</f>
        <v>1583.2816989378</v>
      </c>
      <c r="H3927" s="3">
        <f>VALUE(1539.5410071717)</f>
        <v>1539.5410071716999</v>
      </c>
      <c r="I3927" s="1">
        <f>VALUE(3608)</f>
        <v>3608</v>
      </c>
      <c r="J3927" s="1">
        <f>VALUE(4127)</f>
        <v>4127</v>
      </c>
      <c r="K3927" s="1">
        <f>VALUE(5000)</f>
        <v>5000</v>
      </c>
      <c r="L3927" s="1">
        <f>VALUE(5966)</f>
        <v>5966</v>
      </c>
      <c r="M3927" s="8">
        <f>VALUE(7511)</f>
        <v>7511</v>
      </c>
      <c r="N3927" t="s">
        <v>25</v>
      </c>
    </row>
    <row r="3928" spans="1:14" x14ac:dyDescent="0.25">
      <c r="A3928" t="s">
        <v>41</v>
      </c>
      <c r="B3928" t="s">
        <v>39</v>
      </c>
      <c r="C3928" t="s">
        <v>36</v>
      </c>
      <c r="D3928" t="s">
        <v>31</v>
      </c>
      <c r="E3928" t="s">
        <v>15</v>
      </c>
      <c r="F3928" t="s">
        <v>17</v>
      </c>
      <c r="G3928" s="1" t="str">
        <f t="shared" ref="G3928:M3928" si="839">"X"</f>
        <v>X</v>
      </c>
      <c r="H3928" s="1" t="str">
        <f t="shared" si="839"/>
        <v>X</v>
      </c>
      <c r="I3928" s="1" t="str">
        <f t="shared" si="839"/>
        <v>X</v>
      </c>
      <c r="J3928" s="1" t="str">
        <f t="shared" si="839"/>
        <v>X</v>
      </c>
      <c r="K3928" s="1" t="str">
        <f t="shared" si="839"/>
        <v>X</v>
      </c>
      <c r="L3928" s="1" t="str">
        <f t="shared" si="839"/>
        <v>X</v>
      </c>
      <c r="M3928" s="1" t="str">
        <f t="shared" si="839"/>
        <v>X</v>
      </c>
      <c r="N3928" t="s">
        <v>27</v>
      </c>
    </row>
    <row r="3929" spans="1:14" x14ac:dyDescent="0.25">
      <c r="A3929" t="s">
        <v>41</v>
      </c>
      <c r="B3929" t="s">
        <v>39</v>
      </c>
      <c r="C3929" t="s">
        <v>36</v>
      </c>
      <c r="D3929" t="s">
        <v>31</v>
      </c>
      <c r="E3929" t="s">
        <v>15</v>
      </c>
      <c r="F3929" t="s">
        <v>18</v>
      </c>
      <c r="G3929" s="2">
        <f>VALUE(325.1221931866)</f>
        <v>325.12219318659999</v>
      </c>
      <c r="H3929" s="3">
        <f>VALUE(334.2519313338)</f>
        <v>334.25193133379997</v>
      </c>
      <c r="I3929" s="4">
        <f>VALUE(3619)</f>
        <v>3619</v>
      </c>
      <c r="J3929" s="5">
        <f>VALUE(4269)</f>
        <v>4269</v>
      </c>
      <c r="K3929" s="1">
        <f>VALUE(5116)</f>
        <v>5116</v>
      </c>
      <c r="L3929" s="7">
        <f>VALUE(6159)</f>
        <v>6159</v>
      </c>
      <c r="M3929" s="8">
        <f>VALUE(8510)</f>
        <v>8510</v>
      </c>
      <c r="N3929" t="s">
        <v>25</v>
      </c>
    </row>
    <row r="3930" spans="1:14" x14ac:dyDescent="0.25">
      <c r="A3930" t="s">
        <v>41</v>
      </c>
      <c r="B3930" t="s">
        <v>39</v>
      </c>
      <c r="C3930" t="s">
        <v>36</v>
      </c>
      <c r="D3930" t="s">
        <v>31</v>
      </c>
      <c r="E3930" t="s">
        <v>15</v>
      </c>
      <c r="F3930" t="s">
        <v>19</v>
      </c>
      <c r="G3930" s="2">
        <f>VALUE(239.535500848)</f>
        <v>239.535500848</v>
      </c>
      <c r="H3930" s="3">
        <f>VALUE(195.8653262145)</f>
        <v>195.86532621449999</v>
      </c>
      <c r="I3930" s="1">
        <f>VALUE(4082)</f>
        <v>4082</v>
      </c>
      <c r="J3930" s="1">
        <f>VALUE(5076)</f>
        <v>5076</v>
      </c>
      <c r="K3930" s="1">
        <f>VALUE(5275)</f>
        <v>5275</v>
      </c>
      <c r="L3930" s="1">
        <f>VALUE(6283)</f>
        <v>6283</v>
      </c>
      <c r="M3930" s="8">
        <f>VALUE(7511)</f>
        <v>7511</v>
      </c>
      <c r="N3930" t="s">
        <v>25</v>
      </c>
    </row>
    <row r="3931" spans="1:14" x14ac:dyDescent="0.25">
      <c r="A3931" t="s">
        <v>41</v>
      </c>
      <c r="B3931" t="s">
        <v>39</v>
      </c>
      <c r="C3931" t="s">
        <v>36</v>
      </c>
      <c r="D3931" t="s">
        <v>31</v>
      </c>
      <c r="E3931" t="s">
        <v>15</v>
      </c>
      <c r="F3931" t="s">
        <v>20</v>
      </c>
      <c r="G3931" s="2">
        <f>VALUE(872.5668202502)</f>
        <v>872.56682025019995</v>
      </c>
      <c r="H3931" s="3">
        <f>VALUE(874.1046716919)</f>
        <v>874.10467169189997</v>
      </c>
      <c r="I3931" s="1">
        <f>VALUE(3483)</f>
        <v>3483</v>
      </c>
      <c r="J3931" s="1">
        <f>VALUE(3941)</f>
        <v>3941</v>
      </c>
      <c r="K3931" s="1">
        <f>VALUE(4691)</f>
        <v>4691</v>
      </c>
      <c r="L3931" s="1">
        <f>VALUE(5567)</f>
        <v>5567</v>
      </c>
      <c r="M3931" s="1">
        <f>VALUE(6643)</f>
        <v>6643</v>
      </c>
      <c r="N3931" t="s">
        <v>25</v>
      </c>
    </row>
    <row r="3932" spans="1:14" x14ac:dyDescent="0.25">
      <c r="A3932" t="s">
        <v>41</v>
      </c>
      <c r="B3932" t="s">
        <v>39</v>
      </c>
      <c r="C3932" t="s">
        <v>36</v>
      </c>
      <c r="D3932" t="s">
        <v>31</v>
      </c>
      <c r="E3932" t="s">
        <v>21</v>
      </c>
      <c r="F3932" t="s">
        <v>15</v>
      </c>
      <c r="G3932" s="2">
        <f>VALUE(612.4118289481)</f>
        <v>612.41182894810004</v>
      </c>
      <c r="H3932" s="3">
        <f>VALUE(558.8287549187)</f>
        <v>558.82875491870004</v>
      </c>
      <c r="I3932" s="1">
        <f>VALUE(4323)</f>
        <v>4323</v>
      </c>
      <c r="J3932" s="1">
        <f>VALUE(5159)</f>
        <v>5159</v>
      </c>
      <c r="K3932" s="1">
        <f>VALUE(5952)</f>
        <v>5952</v>
      </c>
      <c r="L3932" s="1">
        <f>VALUE(7302)</f>
        <v>7302</v>
      </c>
      <c r="M3932" s="8">
        <f>VALUE(9524)</f>
        <v>9524</v>
      </c>
      <c r="N3932" t="s">
        <v>25</v>
      </c>
    </row>
    <row r="3933" spans="1:14" x14ac:dyDescent="0.25">
      <c r="A3933" t="s">
        <v>41</v>
      </c>
      <c r="B3933" t="s">
        <v>39</v>
      </c>
      <c r="C3933" t="s">
        <v>36</v>
      </c>
      <c r="D3933" t="s">
        <v>31</v>
      </c>
      <c r="E3933" t="s">
        <v>21</v>
      </c>
      <c r="F3933" t="s">
        <v>17</v>
      </c>
      <c r="G3933" s="1" t="str">
        <f t="shared" ref="G3933:M3935" si="840">"X"</f>
        <v>X</v>
      </c>
      <c r="H3933" s="1" t="str">
        <f t="shared" si="840"/>
        <v>X</v>
      </c>
      <c r="I3933" s="1" t="str">
        <f t="shared" si="840"/>
        <v>X</v>
      </c>
      <c r="J3933" s="1" t="str">
        <f t="shared" si="840"/>
        <v>X</v>
      </c>
      <c r="K3933" s="1" t="str">
        <f t="shared" si="840"/>
        <v>X</v>
      </c>
      <c r="L3933" s="1" t="str">
        <f t="shared" si="840"/>
        <v>X</v>
      </c>
      <c r="M3933" s="1" t="str">
        <f t="shared" si="840"/>
        <v>X</v>
      </c>
      <c r="N3933" t="s">
        <v>27</v>
      </c>
    </row>
    <row r="3934" spans="1:14" x14ac:dyDescent="0.25">
      <c r="A3934" t="s">
        <v>41</v>
      </c>
      <c r="B3934" t="s">
        <v>39</v>
      </c>
      <c r="C3934" t="s">
        <v>36</v>
      </c>
      <c r="D3934" t="s">
        <v>31</v>
      </c>
      <c r="E3934" t="s">
        <v>21</v>
      </c>
      <c r="F3934" t="s">
        <v>18</v>
      </c>
      <c r="G3934" s="1" t="str">
        <f t="shared" si="840"/>
        <v>X</v>
      </c>
      <c r="H3934" s="1" t="str">
        <f t="shared" si="840"/>
        <v>X</v>
      </c>
      <c r="I3934" s="1" t="str">
        <f t="shared" si="840"/>
        <v>X</v>
      </c>
      <c r="J3934" s="1" t="str">
        <f t="shared" si="840"/>
        <v>X</v>
      </c>
      <c r="K3934" s="1" t="str">
        <f t="shared" si="840"/>
        <v>X</v>
      </c>
      <c r="L3934" s="1" t="str">
        <f t="shared" si="840"/>
        <v>X</v>
      </c>
      <c r="M3934" s="1" t="str">
        <f t="shared" si="840"/>
        <v>X</v>
      </c>
      <c r="N3934" t="s">
        <v>27</v>
      </c>
    </row>
    <row r="3935" spans="1:14" x14ac:dyDescent="0.25">
      <c r="A3935" t="s">
        <v>41</v>
      </c>
      <c r="B3935" t="s">
        <v>39</v>
      </c>
      <c r="C3935" t="s">
        <v>36</v>
      </c>
      <c r="D3935" t="s">
        <v>31</v>
      </c>
      <c r="E3935" t="s">
        <v>21</v>
      </c>
      <c r="F3935" t="s">
        <v>19</v>
      </c>
      <c r="G3935" s="1" t="str">
        <f t="shared" si="840"/>
        <v>X</v>
      </c>
      <c r="H3935" s="1" t="str">
        <f t="shared" si="840"/>
        <v>X</v>
      </c>
      <c r="I3935" s="1" t="str">
        <f t="shared" si="840"/>
        <v>X</v>
      </c>
      <c r="J3935" s="1" t="str">
        <f t="shared" si="840"/>
        <v>X</v>
      </c>
      <c r="K3935" s="1" t="str">
        <f t="shared" si="840"/>
        <v>X</v>
      </c>
      <c r="L3935" s="1" t="str">
        <f t="shared" si="840"/>
        <v>X</v>
      </c>
      <c r="M3935" s="1" t="str">
        <f t="shared" si="840"/>
        <v>X</v>
      </c>
      <c r="N3935" t="s">
        <v>27</v>
      </c>
    </row>
    <row r="3936" spans="1:14" x14ac:dyDescent="0.25">
      <c r="A3936" t="s">
        <v>41</v>
      </c>
      <c r="B3936" t="s">
        <v>39</v>
      </c>
      <c r="C3936" t="s">
        <v>36</v>
      </c>
      <c r="D3936" t="s">
        <v>31</v>
      </c>
      <c r="E3936" t="s">
        <v>21</v>
      </c>
      <c r="F3936" t="s">
        <v>20</v>
      </c>
      <c r="G3936" s="2">
        <f>VALUE(212.4988034806)</f>
        <v>212.4988034806</v>
      </c>
      <c r="H3936" s="3">
        <f>VALUE(203.3821055908)</f>
        <v>203.38210559079999</v>
      </c>
      <c r="I3936" s="1">
        <f>VALUE(4127)</f>
        <v>4127</v>
      </c>
      <c r="J3936" s="1">
        <f>VALUE(4898)</f>
        <v>4898</v>
      </c>
      <c r="K3936" s="1">
        <f>VALUE(5843)</f>
        <v>5843</v>
      </c>
      <c r="L3936" s="1">
        <f>VALUE(6749)</f>
        <v>6749</v>
      </c>
      <c r="M3936" s="1">
        <f>VALUE(7544)</f>
        <v>7544</v>
      </c>
      <c r="N3936" t="s">
        <v>25</v>
      </c>
    </row>
    <row r="3937" spans="1:14" x14ac:dyDescent="0.25">
      <c r="A3937" t="s">
        <v>41</v>
      </c>
      <c r="B3937" t="s">
        <v>39</v>
      </c>
      <c r="C3937" t="s">
        <v>36</v>
      </c>
      <c r="D3937" t="s">
        <v>31</v>
      </c>
      <c r="E3937" t="s">
        <v>22</v>
      </c>
      <c r="F3937" t="s">
        <v>15</v>
      </c>
      <c r="G3937" s="2">
        <f>VALUE(352.895927235)</f>
        <v>352.89592723499999</v>
      </c>
      <c r="H3937" s="3">
        <f>VALUE(354.8492198244)</f>
        <v>354.8492198244</v>
      </c>
      <c r="I3937" s="1">
        <f>VALUE(3817)</f>
        <v>3817</v>
      </c>
      <c r="J3937" s="1">
        <f>VALUE(4207)</f>
        <v>4207</v>
      </c>
      <c r="K3937" s="6">
        <f>VALUE(4850)</f>
        <v>4850</v>
      </c>
      <c r="L3937" s="1">
        <f>VALUE(5571)</f>
        <v>5571</v>
      </c>
      <c r="M3937" s="1">
        <f>VALUE(6232)</f>
        <v>6232</v>
      </c>
      <c r="N3937" t="s">
        <v>25</v>
      </c>
    </row>
    <row r="3938" spans="1:14" x14ac:dyDescent="0.25">
      <c r="A3938" t="s">
        <v>41</v>
      </c>
      <c r="B3938" t="s">
        <v>39</v>
      </c>
      <c r="C3938" t="s">
        <v>36</v>
      </c>
      <c r="D3938" t="s">
        <v>31</v>
      </c>
      <c r="E3938" t="s">
        <v>22</v>
      </c>
      <c r="F3938" t="s">
        <v>17</v>
      </c>
      <c r="G3938" s="1" t="str">
        <f t="shared" ref="G3938:M3940" si="841">"X"</f>
        <v>X</v>
      </c>
      <c r="H3938" s="1" t="str">
        <f t="shared" si="841"/>
        <v>X</v>
      </c>
      <c r="I3938" s="1" t="str">
        <f t="shared" si="841"/>
        <v>X</v>
      </c>
      <c r="J3938" s="1" t="str">
        <f t="shared" si="841"/>
        <v>X</v>
      </c>
      <c r="K3938" s="1" t="str">
        <f t="shared" si="841"/>
        <v>X</v>
      </c>
      <c r="L3938" s="1" t="str">
        <f t="shared" si="841"/>
        <v>X</v>
      </c>
      <c r="M3938" s="1" t="str">
        <f t="shared" si="841"/>
        <v>X</v>
      </c>
      <c r="N3938" t="s">
        <v>27</v>
      </c>
    </row>
    <row r="3939" spans="1:14" x14ac:dyDescent="0.25">
      <c r="A3939" t="s">
        <v>41</v>
      </c>
      <c r="B3939" t="s">
        <v>39</v>
      </c>
      <c r="C3939" t="s">
        <v>36</v>
      </c>
      <c r="D3939" t="s">
        <v>31</v>
      </c>
      <c r="E3939" t="s">
        <v>22</v>
      </c>
      <c r="F3939" t="s">
        <v>18</v>
      </c>
      <c r="G3939" s="1" t="str">
        <f t="shared" si="841"/>
        <v>X</v>
      </c>
      <c r="H3939" s="1" t="str">
        <f t="shared" si="841"/>
        <v>X</v>
      </c>
      <c r="I3939" s="1" t="str">
        <f t="shared" si="841"/>
        <v>X</v>
      </c>
      <c r="J3939" s="1" t="str">
        <f t="shared" si="841"/>
        <v>X</v>
      </c>
      <c r="K3939" s="1" t="str">
        <f t="shared" si="841"/>
        <v>X</v>
      </c>
      <c r="L3939" s="1" t="str">
        <f t="shared" si="841"/>
        <v>X</v>
      </c>
      <c r="M3939" s="1" t="str">
        <f t="shared" si="841"/>
        <v>X</v>
      </c>
      <c r="N3939" t="s">
        <v>27</v>
      </c>
    </row>
    <row r="3940" spans="1:14" x14ac:dyDescent="0.25">
      <c r="A3940" t="s">
        <v>41</v>
      </c>
      <c r="B3940" t="s">
        <v>39</v>
      </c>
      <c r="C3940" t="s">
        <v>36</v>
      </c>
      <c r="D3940" t="s">
        <v>31</v>
      </c>
      <c r="E3940" t="s">
        <v>22</v>
      </c>
      <c r="F3940" t="s">
        <v>19</v>
      </c>
      <c r="G3940" s="1" t="str">
        <f t="shared" si="841"/>
        <v>X</v>
      </c>
      <c r="H3940" s="1" t="str">
        <f t="shared" si="841"/>
        <v>X</v>
      </c>
      <c r="I3940" s="1" t="str">
        <f t="shared" si="841"/>
        <v>X</v>
      </c>
      <c r="J3940" s="1" t="str">
        <f t="shared" si="841"/>
        <v>X</v>
      </c>
      <c r="K3940" s="1" t="str">
        <f t="shared" si="841"/>
        <v>X</v>
      </c>
      <c r="L3940" s="1" t="str">
        <f t="shared" si="841"/>
        <v>X</v>
      </c>
      <c r="M3940" s="1" t="str">
        <f t="shared" si="841"/>
        <v>X</v>
      </c>
      <c r="N3940" t="s">
        <v>27</v>
      </c>
    </row>
    <row r="3941" spans="1:14" x14ac:dyDescent="0.25">
      <c r="A3941" t="s">
        <v>41</v>
      </c>
      <c r="B3941" t="s">
        <v>39</v>
      </c>
      <c r="C3941" t="s">
        <v>36</v>
      </c>
      <c r="D3941" t="s">
        <v>31</v>
      </c>
      <c r="E3941" t="s">
        <v>22</v>
      </c>
      <c r="F3941" t="s">
        <v>20</v>
      </c>
      <c r="G3941" s="2">
        <f>VALUE(248.8446077512)</f>
        <v>248.84460775119999</v>
      </c>
      <c r="H3941" s="3">
        <f>VALUE(249.1382527491)</f>
        <v>249.13825274909999</v>
      </c>
      <c r="I3941" s="1">
        <f>VALUE(3671)</f>
        <v>3671</v>
      </c>
      <c r="J3941" s="1">
        <f>VALUE(4127)</f>
        <v>4127</v>
      </c>
      <c r="K3941" s="6">
        <f>VALUE(4545)</f>
        <v>4545</v>
      </c>
      <c r="L3941" s="1">
        <f>VALUE(5571)</f>
        <v>5571</v>
      </c>
      <c r="M3941" s="1">
        <f>VALUE(6234)</f>
        <v>6234</v>
      </c>
      <c r="N3941" t="s">
        <v>25</v>
      </c>
    </row>
    <row r="3942" spans="1:14" x14ac:dyDescent="0.25">
      <c r="A3942" t="s">
        <v>41</v>
      </c>
      <c r="B3942" t="s">
        <v>39</v>
      </c>
      <c r="C3942" t="s">
        <v>36</v>
      </c>
      <c r="D3942" t="s">
        <v>31</v>
      </c>
      <c r="E3942" t="s">
        <v>23</v>
      </c>
      <c r="F3942" t="s">
        <v>15</v>
      </c>
      <c r="G3942" s="2">
        <f>VALUE(584.8734530438)</f>
        <v>584.87345304380005</v>
      </c>
      <c r="H3942" s="3">
        <f>VALUE(591.137143611)</f>
        <v>591.13714361100006</v>
      </c>
      <c r="I3942" s="1">
        <f>VALUE(3317)</f>
        <v>3317</v>
      </c>
      <c r="J3942" s="1">
        <f>VALUE(3619)</f>
        <v>3619</v>
      </c>
      <c r="K3942" s="1">
        <f>VALUE(4378)</f>
        <v>4378</v>
      </c>
      <c r="L3942" s="1">
        <f>VALUE(4959)</f>
        <v>4959</v>
      </c>
      <c r="M3942" s="1">
        <f>VALUE(5563)</f>
        <v>5563</v>
      </c>
      <c r="N3942" t="s">
        <v>25</v>
      </c>
    </row>
    <row r="3943" spans="1:14" x14ac:dyDescent="0.25">
      <c r="A3943" t="s">
        <v>41</v>
      </c>
      <c r="B3943" t="s">
        <v>39</v>
      </c>
      <c r="C3943" t="s">
        <v>36</v>
      </c>
      <c r="D3943" t="s">
        <v>31</v>
      </c>
      <c r="E3943" t="s">
        <v>23</v>
      </c>
      <c r="F3943" t="s">
        <v>17</v>
      </c>
      <c r="G3943" s="1" t="str">
        <f t="shared" ref="G3943:M3945" si="842">"X"</f>
        <v>X</v>
      </c>
      <c r="H3943" s="1" t="str">
        <f t="shared" si="842"/>
        <v>X</v>
      </c>
      <c r="I3943" s="1" t="str">
        <f t="shared" si="842"/>
        <v>X</v>
      </c>
      <c r="J3943" s="1" t="str">
        <f t="shared" si="842"/>
        <v>X</v>
      </c>
      <c r="K3943" s="1" t="str">
        <f t="shared" si="842"/>
        <v>X</v>
      </c>
      <c r="L3943" s="1" t="str">
        <f t="shared" si="842"/>
        <v>X</v>
      </c>
      <c r="M3943" s="1" t="str">
        <f t="shared" si="842"/>
        <v>X</v>
      </c>
      <c r="N3943" t="s">
        <v>27</v>
      </c>
    </row>
    <row r="3944" spans="1:14" x14ac:dyDescent="0.25">
      <c r="A3944" t="s">
        <v>41</v>
      </c>
      <c r="B3944" t="s">
        <v>39</v>
      </c>
      <c r="C3944" t="s">
        <v>36</v>
      </c>
      <c r="D3944" t="s">
        <v>31</v>
      </c>
      <c r="E3944" t="s">
        <v>23</v>
      </c>
      <c r="F3944" t="s">
        <v>18</v>
      </c>
      <c r="G3944" s="1" t="str">
        <f t="shared" si="842"/>
        <v>X</v>
      </c>
      <c r="H3944" s="1" t="str">
        <f t="shared" si="842"/>
        <v>X</v>
      </c>
      <c r="I3944" s="1" t="str">
        <f t="shared" si="842"/>
        <v>X</v>
      </c>
      <c r="J3944" s="1" t="str">
        <f t="shared" si="842"/>
        <v>X</v>
      </c>
      <c r="K3944" s="1" t="str">
        <f t="shared" si="842"/>
        <v>X</v>
      </c>
      <c r="L3944" s="1" t="str">
        <f t="shared" si="842"/>
        <v>X</v>
      </c>
      <c r="M3944" s="1" t="str">
        <f t="shared" si="842"/>
        <v>X</v>
      </c>
      <c r="N3944" t="s">
        <v>27</v>
      </c>
    </row>
    <row r="3945" spans="1:14" x14ac:dyDescent="0.25">
      <c r="A3945" t="s">
        <v>41</v>
      </c>
      <c r="B3945" t="s">
        <v>39</v>
      </c>
      <c r="C3945" t="s">
        <v>36</v>
      </c>
      <c r="D3945" t="s">
        <v>31</v>
      </c>
      <c r="E3945" t="s">
        <v>23</v>
      </c>
      <c r="F3945" t="s">
        <v>19</v>
      </c>
      <c r="G3945" s="1" t="str">
        <f t="shared" si="842"/>
        <v>X</v>
      </c>
      <c r="H3945" s="1" t="str">
        <f t="shared" si="842"/>
        <v>X</v>
      </c>
      <c r="I3945" s="1" t="str">
        <f t="shared" si="842"/>
        <v>X</v>
      </c>
      <c r="J3945" s="1" t="str">
        <f t="shared" si="842"/>
        <v>X</v>
      </c>
      <c r="K3945" s="1" t="str">
        <f t="shared" si="842"/>
        <v>X</v>
      </c>
      <c r="L3945" s="1" t="str">
        <f t="shared" si="842"/>
        <v>X</v>
      </c>
      <c r="M3945" s="1" t="str">
        <f t="shared" si="842"/>
        <v>X</v>
      </c>
      <c r="N3945" t="s">
        <v>27</v>
      </c>
    </row>
    <row r="3946" spans="1:14" x14ac:dyDescent="0.25">
      <c r="A3946" t="s">
        <v>41</v>
      </c>
      <c r="B3946" t="s">
        <v>39</v>
      </c>
      <c r="C3946" t="s">
        <v>36</v>
      </c>
      <c r="D3946" t="s">
        <v>31</v>
      </c>
      <c r="E3946" t="s">
        <v>23</v>
      </c>
      <c r="F3946" t="s">
        <v>20</v>
      </c>
      <c r="G3946" s="2">
        <f>VALUE(399.7338930489)</f>
        <v>399.73389304889997</v>
      </c>
      <c r="H3946" s="3">
        <f>VALUE(409.4921202894)</f>
        <v>409.49212028940002</v>
      </c>
      <c r="I3946" s="1">
        <f>VALUE(3313)</f>
        <v>3313</v>
      </c>
      <c r="J3946" s="1">
        <f>VALUE(3647)</f>
        <v>3647</v>
      </c>
      <c r="K3946" s="1">
        <f>VALUE(4278)</f>
        <v>4278</v>
      </c>
      <c r="L3946" s="1">
        <f>VALUE(4972)</f>
        <v>4972</v>
      </c>
      <c r="M3946" s="1">
        <f>VALUE(5567)</f>
        <v>5567</v>
      </c>
      <c r="N3946" t="s">
        <v>25</v>
      </c>
    </row>
    <row r="3947" spans="1:14" x14ac:dyDescent="0.25">
      <c r="A3947" t="s">
        <v>41</v>
      </c>
      <c r="B3947" t="s">
        <v>39</v>
      </c>
      <c r="C3947" t="s">
        <v>36</v>
      </c>
      <c r="D3947" t="s">
        <v>31</v>
      </c>
      <c r="E3947" t="s">
        <v>26</v>
      </c>
      <c r="F3947" t="s">
        <v>15</v>
      </c>
      <c r="G3947" s="1" t="str">
        <f t="shared" ref="G3947:M3949" si="843">"X"</f>
        <v>X</v>
      </c>
      <c r="H3947" s="1" t="str">
        <f t="shared" si="843"/>
        <v>X</v>
      </c>
      <c r="I3947" s="1" t="str">
        <f t="shared" si="843"/>
        <v>X</v>
      </c>
      <c r="J3947" s="1" t="str">
        <f t="shared" si="843"/>
        <v>X</v>
      </c>
      <c r="K3947" s="1" t="str">
        <f t="shared" si="843"/>
        <v>X</v>
      </c>
      <c r="L3947" s="1" t="str">
        <f t="shared" si="843"/>
        <v>X</v>
      </c>
      <c r="M3947" s="1" t="str">
        <f t="shared" si="843"/>
        <v>X</v>
      </c>
      <c r="N3947" t="s">
        <v>27</v>
      </c>
    </row>
    <row r="3948" spans="1:14" x14ac:dyDescent="0.25">
      <c r="A3948" t="s">
        <v>41</v>
      </c>
      <c r="B3948" t="s">
        <v>39</v>
      </c>
      <c r="C3948" t="s">
        <v>36</v>
      </c>
      <c r="D3948" t="s">
        <v>31</v>
      </c>
      <c r="E3948" t="s">
        <v>26</v>
      </c>
      <c r="F3948" t="s">
        <v>17</v>
      </c>
      <c r="G3948" s="1" t="str">
        <f t="shared" si="843"/>
        <v>X</v>
      </c>
      <c r="H3948" s="1" t="str">
        <f t="shared" si="843"/>
        <v>X</v>
      </c>
      <c r="I3948" s="1" t="str">
        <f t="shared" si="843"/>
        <v>X</v>
      </c>
      <c r="J3948" s="1" t="str">
        <f t="shared" si="843"/>
        <v>X</v>
      </c>
      <c r="K3948" s="1" t="str">
        <f t="shared" si="843"/>
        <v>X</v>
      </c>
      <c r="L3948" s="1" t="str">
        <f t="shared" si="843"/>
        <v>X</v>
      </c>
      <c r="M3948" s="1" t="str">
        <f t="shared" si="843"/>
        <v>X</v>
      </c>
      <c r="N3948" t="s">
        <v>27</v>
      </c>
    </row>
    <row r="3949" spans="1:14" x14ac:dyDescent="0.25">
      <c r="A3949" t="s">
        <v>41</v>
      </c>
      <c r="B3949" t="s">
        <v>39</v>
      </c>
      <c r="C3949" t="s">
        <v>36</v>
      </c>
      <c r="D3949" t="s">
        <v>31</v>
      </c>
      <c r="E3949" t="s">
        <v>26</v>
      </c>
      <c r="F3949" t="s">
        <v>18</v>
      </c>
      <c r="G3949" s="1" t="str">
        <f t="shared" si="843"/>
        <v>X</v>
      </c>
      <c r="H3949" s="1" t="str">
        <f t="shared" si="843"/>
        <v>X</v>
      </c>
      <c r="I3949" s="1" t="str">
        <f t="shared" si="843"/>
        <v>X</v>
      </c>
      <c r="J3949" s="1" t="str">
        <f t="shared" si="843"/>
        <v>X</v>
      </c>
      <c r="K3949" s="1" t="str">
        <f t="shared" si="843"/>
        <v>X</v>
      </c>
      <c r="L3949" s="1" t="str">
        <f t="shared" si="843"/>
        <v>X</v>
      </c>
      <c r="M3949" s="1" t="str">
        <f t="shared" si="843"/>
        <v>X</v>
      </c>
      <c r="N3949" t="s">
        <v>27</v>
      </c>
    </row>
    <row r="3950" spans="1:14" x14ac:dyDescent="0.25">
      <c r="A3950" t="s">
        <v>41</v>
      </c>
      <c r="B3950" t="s">
        <v>39</v>
      </c>
      <c r="C3950" t="s">
        <v>36</v>
      </c>
      <c r="D3950" t="s">
        <v>31</v>
      </c>
      <c r="E3950" t="s">
        <v>26</v>
      </c>
      <c r="F3950" t="s">
        <v>19</v>
      </c>
      <c r="G3950" s="1" t="str">
        <f t="shared" ref="G3950:M3950" si="844">"..."</f>
        <v>...</v>
      </c>
      <c r="H3950" s="1" t="str">
        <f t="shared" si="844"/>
        <v>...</v>
      </c>
      <c r="I3950" s="1" t="str">
        <f t="shared" si="844"/>
        <v>...</v>
      </c>
      <c r="J3950" s="1" t="str">
        <f t="shared" si="844"/>
        <v>...</v>
      </c>
      <c r="K3950" s="1" t="str">
        <f t="shared" si="844"/>
        <v>...</v>
      </c>
      <c r="L3950" s="1" t="str">
        <f t="shared" si="844"/>
        <v>...</v>
      </c>
      <c r="M3950" s="1" t="str">
        <f t="shared" si="844"/>
        <v>...</v>
      </c>
      <c r="N3950" t="s">
        <v>30</v>
      </c>
    </row>
    <row r="3951" spans="1:14" x14ac:dyDescent="0.25">
      <c r="A3951" t="s">
        <v>41</v>
      </c>
      <c r="B3951" t="s">
        <v>39</v>
      </c>
      <c r="C3951" t="s">
        <v>36</v>
      </c>
      <c r="D3951" t="s">
        <v>31</v>
      </c>
      <c r="E3951" t="s">
        <v>26</v>
      </c>
      <c r="F3951" t="s">
        <v>20</v>
      </c>
      <c r="G3951" s="1" t="str">
        <f t="shared" ref="G3951:M3951" si="845">"X"</f>
        <v>X</v>
      </c>
      <c r="H3951" s="1" t="str">
        <f t="shared" si="845"/>
        <v>X</v>
      </c>
      <c r="I3951" s="1" t="str">
        <f t="shared" si="845"/>
        <v>X</v>
      </c>
      <c r="J3951" s="1" t="str">
        <f t="shared" si="845"/>
        <v>X</v>
      </c>
      <c r="K3951" s="1" t="str">
        <f t="shared" si="845"/>
        <v>X</v>
      </c>
      <c r="L3951" s="1" t="str">
        <f t="shared" si="845"/>
        <v>X</v>
      </c>
      <c r="M3951" s="1" t="str">
        <f t="shared" si="845"/>
        <v>X</v>
      </c>
      <c r="N3951" t="s">
        <v>27</v>
      </c>
    </row>
    <row r="3952" spans="1:14" x14ac:dyDescent="0.25">
      <c r="A3952" t="s">
        <v>41</v>
      </c>
      <c r="B3952" t="s">
        <v>39</v>
      </c>
      <c r="C3952" t="s">
        <v>36</v>
      </c>
      <c r="D3952" t="s">
        <v>32</v>
      </c>
      <c r="E3952" t="s">
        <v>15</v>
      </c>
      <c r="F3952" t="s">
        <v>15</v>
      </c>
      <c r="G3952" s="1">
        <f>VALUE(5786.8902578111)</f>
        <v>5786.8902578111001</v>
      </c>
      <c r="H3952" s="1">
        <f>VALUE(5717.0658617006)</f>
        <v>5717.0658617006002</v>
      </c>
      <c r="I3952" s="1">
        <f>VALUE(3238)</f>
        <v>3238</v>
      </c>
      <c r="J3952" s="1">
        <f>VALUE(3785)</f>
        <v>3785</v>
      </c>
      <c r="K3952" s="1">
        <f>VALUE(4535)</f>
        <v>4535</v>
      </c>
      <c r="L3952" s="1">
        <f>VALUE(5308)</f>
        <v>5308</v>
      </c>
      <c r="M3952" s="1">
        <f>VALUE(6065)</f>
        <v>6065</v>
      </c>
      <c r="N3952" t="s">
        <v>16</v>
      </c>
    </row>
    <row r="3953" spans="1:14" x14ac:dyDescent="0.25">
      <c r="A3953" t="s">
        <v>41</v>
      </c>
      <c r="B3953" t="s">
        <v>39</v>
      </c>
      <c r="C3953" t="s">
        <v>36</v>
      </c>
      <c r="D3953" t="s">
        <v>32</v>
      </c>
      <c r="E3953" t="s">
        <v>15</v>
      </c>
      <c r="F3953" t="s">
        <v>17</v>
      </c>
      <c r="G3953" s="2">
        <f>VALUE(276.2831968754)</f>
        <v>276.28319687539999</v>
      </c>
      <c r="H3953" s="3">
        <f>VALUE(274.5458672977)</f>
        <v>274.5458672977</v>
      </c>
      <c r="I3953" s="4">
        <f>VALUE(4132)</f>
        <v>4132</v>
      </c>
      <c r="J3953" s="1">
        <f>VALUE(4510)</f>
        <v>4510</v>
      </c>
      <c r="K3953" s="6">
        <f>VALUE(5090)</f>
        <v>5090</v>
      </c>
      <c r="L3953" s="7">
        <f>VALUE(6424)</f>
        <v>6424</v>
      </c>
      <c r="M3953" s="8">
        <f>VALUE(8040)</f>
        <v>8040</v>
      </c>
      <c r="N3953" t="s">
        <v>25</v>
      </c>
    </row>
    <row r="3954" spans="1:14" x14ac:dyDescent="0.25">
      <c r="A3954" t="s">
        <v>41</v>
      </c>
      <c r="B3954" t="s">
        <v>39</v>
      </c>
      <c r="C3954" t="s">
        <v>36</v>
      </c>
      <c r="D3954" t="s">
        <v>32</v>
      </c>
      <c r="E3954" t="s">
        <v>15</v>
      </c>
      <c r="F3954" t="s">
        <v>18</v>
      </c>
      <c r="G3954" s="2">
        <f>VALUE(639.6325767427)</f>
        <v>639.63257674270005</v>
      </c>
      <c r="H3954" s="3">
        <f>VALUE(630.2072421565)</f>
        <v>630.2072421565</v>
      </c>
      <c r="I3954" s="1">
        <f>VALUE(3726)</f>
        <v>3726</v>
      </c>
      <c r="J3954" s="5">
        <f>VALUE(4252)</f>
        <v>4252</v>
      </c>
      <c r="K3954" s="1">
        <f>VALUE(5129)</f>
        <v>5129</v>
      </c>
      <c r="L3954" s="1">
        <f>VALUE(5765)</f>
        <v>5765</v>
      </c>
      <c r="M3954" s="1">
        <f>VALUE(6485)</f>
        <v>6485</v>
      </c>
      <c r="N3954" t="s">
        <v>25</v>
      </c>
    </row>
    <row r="3955" spans="1:14" x14ac:dyDescent="0.25">
      <c r="A3955" t="s">
        <v>41</v>
      </c>
      <c r="B3955" t="s">
        <v>39</v>
      </c>
      <c r="C3955" t="s">
        <v>36</v>
      </c>
      <c r="D3955" t="s">
        <v>32</v>
      </c>
      <c r="E3955" t="s">
        <v>15</v>
      </c>
      <c r="F3955" t="s">
        <v>19</v>
      </c>
      <c r="G3955" s="2">
        <f>VALUE(929.3213380257)</f>
        <v>929.32133802570002</v>
      </c>
      <c r="H3955" s="3">
        <f>VALUE(900.9160371791)</f>
        <v>900.91603717910004</v>
      </c>
      <c r="I3955" s="1">
        <f>VALUE(3336)</f>
        <v>3336</v>
      </c>
      <c r="J3955" s="1">
        <f>VALUE(3972)</f>
        <v>3972</v>
      </c>
      <c r="K3955" s="1">
        <f>VALUE(4800)</f>
        <v>4800</v>
      </c>
      <c r="L3955" s="1">
        <f>VALUE(5563)</f>
        <v>5563</v>
      </c>
      <c r="M3955" s="8">
        <f>VALUE(6638)</f>
        <v>6638</v>
      </c>
      <c r="N3955" t="s">
        <v>25</v>
      </c>
    </row>
    <row r="3956" spans="1:14" x14ac:dyDescent="0.25">
      <c r="A3956" t="s">
        <v>41</v>
      </c>
      <c r="B3956" t="s">
        <v>39</v>
      </c>
      <c r="C3956" t="s">
        <v>36</v>
      </c>
      <c r="D3956" t="s">
        <v>32</v>
      </c>
      <c r="E3956" t="s">
        <v>15</v>
      </c>
      <c r="F3956" t="s">
        <v>20</v>
      </c>
      <c r="G3956" s="1">
        <f>VALUE(3936.5736673288)</f>
        <v>3936.5736673288002</v>
      </c>
      <c r="H3956" s="1">
        <f>VALUE(3906.1350261695)</f>
        <v>3906.1350261695002</v>
      </c>
      <c r="I3956" s="1">
        <f>VALUE(3114)</f>
        <v>3114</v>
      </c>
      <c r="J3956" s="1">
        <f>VALUE(3624)</f>
        <v>3624</v>
      </c>
      <c r="K3956" s="1">
        <f>VALUE(4317)</f>
        <v>4317</v>
      </c>
      <c r="L3956" s="1">
        <f>VALUE(5090)</f>
        <v>5090</v>
      </c>
      <c r="M3956" s="1">
        <f>VALUE(5745)</f>
        <v>5745</v>
      </c>
      <c r="N3956" t="s">
        <v>16</v>
      </c>
    </row>
    <row r="3957" spans="1:14" x14ac:dyDescent="0.25">
      <c r="A3957" t="s">
        <v>41</v>
      </c>
      <c r="B3957" t="s">
        <v>39</v>
      </c>
      <c r="C3957" t="s">
        <v>36</v>
      </c>
      <c r="D3957" t="s">
        <v>32</v>
      </c>
      <c r="E3957" t="s">
        <v>21</v>
      </c>
      <c r="F3957" t="s">
        <v>15</v>
      </c>
      <c r="G3957" s="1">
        <f>VALUE(1262.0748649456)</f>
        <v>1262.0748649456</v>
      </c>
      <c r="H3957" s="1">
        <f>VALUE(1206.4000453693)</f>
        <v>1206.4000453693</v>
      </c>
      <c r="I3957" s="1">
        <f>VALUE(3348)</f>
        <v>3348</v>
      </c>
      <c r="J3957" s="1">
        <f>VALUE(4093)</f>
        <v>4093</v>
      </c>
      <c r="K3957" s="1">
        <f>VALUE(4946)</f>
        <v>4946</v>
      </c>
      <c r="L3957" s="1">
        <f>VALUE(5938)</f>
        <v>5938</v>
      </c>
      <c r="M3957" s="1">
        <f>VALUE(7096)</f>
        <v>7096</v>
      </c>
      <c r="N3957" t="s">
        <v>16</v>
      </c>
    </row>
    <row r="3958" spans="1:14" x14ac:dyDescent="0.25">
      <c r="A3958" t="s">
        <v>41</v>
      </c>
      <c r="B3958" t="s">
        <v>39</v>
      </c>
      <c r="C3958" t="s">
        <v>36</v>
      </c>
      <c r="D3958" t="s">
        <v>32</v>
      </c>
      <c r="E3958" t="s">
        <v>21</v>
      </c>
      <c r="F3958" t="s">
        <v>17</v>
      </c>
      <c r="G3958" s="2">
        <f>VALUE(153.9029636854)</f>
        <v>153.90296368540001</v>
      </c>
      <c r="H3958" s="3">
        <f>VALUE(150.657213689)</f>
        <v>150.657213689</v>
      </c>
      <c r="I3958" s="4">
        <f>VALUE(4137)</f>
        <v>4137</v>
      </c>
      <c r="J3958" s="5">
        <f>VALUE(4746)</f>
        <v>4746</v>
      </c>
      <c r="K3958" s="1">
        <f>VALUE(5881)</f>
        <v>5881</v>
      </c>
      <c r="L3958" s="1">
        <f>VALUE(7292)</f>
        <v>7292</v>
      </c>
      <c r="M3958" s="1">
        <f>VALUE(9511)</f>
        <v>9511</v>
      </c>
      <c r="N3958" t="s">
        <v>25</v>
      </c>
    </row>
    <row r="3959" spans="1:14" x14ac:dyDescent="0.25">
      <c r="A3959" t="s">
        <v>41</v>
      </c>
      <c r="B3959" t="s">
        <v>39</v>
      </c>
      <c r="C3959" t="s">
        <v>36</v>
      </c>
      <c r="D3959" t="s">
        <v>32</v>
      </c>
      <c r="E3959" t="s">
        <v>21</v>
      </c>
      <c r="F3959" t="s">
        <v>18</v>
      </c>
      <c r="G3959" s="2">
        <f>VALUE(292.5669363345)</f>
        <v>292.56693633449999</v>
      </c>
      <c r="H3959" s="3">
        <f>VALUE(277.3755640828)</f>
        <v>277.3755640828</v>
      </c>
      <c r="I3959" s="4">
        <f>VALUE(3683)</f>
        <v>3683</v>
      </c>
      <c r="J3959" s="5">
        <f>VALUE(4329)</f>
        <v>4329</v>
      </c>
      <c r="K3959" s="1">
        <f>VALUE(5289)</f>
        <v>5289</v>
      </c>
      <c r="L3959" s="1">
        <f>VALUE(5964)</f>
        <v>5964</v>
      </c>
      <c r="M3959" s="1">
        <f>VALUE(7142)</f>
        <v>7142</v>
      </c>
      <c r="N3959" t="s">
        <v>25</v>
      </c>
    </row>
    <row r="3960" spans="1:14" x14ac:dyDescent="0.25">
      <c r="A3960" t="s">
        <v>41</v>
      </c>
      <c r="B3960" t="s">
        <v>39</v>
      </c>
      <c r="C3960" t="s">
        <v>36</v>
      </c>
      <c r="D3960" t="s">
        <v>32</v>
      </c>
      <c r="E3960" t="s">
        <v>21</v>
      </c>
      <c r="F3960" t="s">
        <v>19</v>
      </c>
      <c r="G3960" s="2">
        <f>VALUE(353.3851368028)</f>
        <v>353.38513680279999</v>
      </c>
      <c r="H3960" s="3">
        <f>VALUE(330.4660634397)</f>
        <v>330.46606343970001</v>
      </c>
      <c r="I3960" s="4">
        <f>VALUE(3136)</f>
        <v>3136</v>
      </c>
      <c r="J3960" s="1">
        <f>VALUE(4030)</f>
        <v>4030</v>
      </c>
      <c r="K3960" s="1">
        <f>VALUE(4946)</f>
        <v>4946</v>
      </c>
      <c r="L3960" s="1">
        <f>VALUE(5925)</f>
        <v>5925</v>
      </c>
      <c r="M3960" s="1">
        <f>VALUE(7064)</f>
        <v>7064</v>
      </c>
      <c r="N3960" t="s">
        <v>25</v>
      </c>
    </row>
    <row r="3961" spans="1:14" x14ac:dyDescent="0.25">
      <c r="A3961" t="s">
        <v>41</v>
      </c>
      <c r="B3961" t="s">
        <v>39</v>
      </c>
      <c r="C3961" t="s">
        <v>36</v>
      </c>
      <c r="D3961" t="s">
        <v>32</v>
      </c>
      <c r="E3961" t="s">
        <v>21</v>
      </c>
      <c r="F3961" t="s">
        <v>20</v>
      </c>
      <c r="G3961" s="2">
        <f>VALUE(462.2198281229)</f>
        <v>462.21982812290003</v>
      </c>
      <c r="H3961" s="3">
        <f>VALUE(447.9012041578)</f>
        <v>447.90120415780001</v>
      </c>
      <c r="I3961" s="1">
        <f>VALUE(3263)</f>
        <v>3263</v>
      </c>
      <c r="J3961" s="1">
        <f>VALUE(3852)</f>
        <v>3852</v>
      </c>
      <c r="K3961" s="1">
        <f>VALUE(4603)</f>
        <v>4603</v>
      </c>
      <c r="L3961" s="1">
        <f>VALUE(5469)</f>
        <v>5469</v>
      </c>
      <c r="M3961" s="1">
        <f>VALUE(6533)</f>
        <v>6533</v>
      </c>
      <c r="N3961" t="s">
        <v>25</v>
      </c>
    </row>
    <row r="3962" spans="1:14" x14ac:dyDescent="0.25">
      <c r="A3962" t="s">
        <v>41</v>
      </c>
      <c r="B3962" t="s">
        <v>39</v>
      </c>
      <c r="C3962" t="s">
        <v>36</v>
      </c>
      <c r="D3962" t="s">
        <v>32</v>
      </c>
      <c r="E3962" t="s">
        <v>22</v>
      </c>
      <c r="F3962" t="s">
        <v>15</v>
      </c>
      <c r="G3962" s="1">
        <f>VALUE(1678.5049275161)</f>
        <v>1678.5049275161</v>
      </c>
      <c r="H3962" s="1">
        <f>VALUE(1699.4982465009)</f>
        <v>1699.4982465009</v>
      </c>
      <c r="I3962" s="1">
        <f>VALUE(3384)</f>
        <v>3384</v>
      </c>
      <c r="J3962" s="1">
        <f>VALUE(3968)</f>
        <v>3968</v>
      </c>
      <c r="K3962" s="1">
        <f>VALUE(4673)</f>
        <v>4673</v>
      </c>
      <c r="L3962" s="1">
        <f>VALUE(5340)</f>
        <v>5340</v>
      </c>
      <c r="M3962" s="1">
        <f>VALUE(6009)</f>
        <v>6009</v>
      </c>
      <c r="N3962" t="s">
        <v>16</v>
      </c>
    </row>
    <row r="3963" spans="1:14" x14ac:dyDescent="0.25">
      <c r="A3963" t="s">
        <v>41</v>
      </c>
      <c r="B3963" t="s">
        <v>39</v>
      </c>
      <c r="C3963" t="s">
        <v>36</v>
      </c>
      <c r="D3963" t="s">
        <v>32</v>
      </c>
      <c r="E3963" t="s">
        <v>22</v>
      </c>
      <c r="F3963" t="s">
        <v>17</v>
      </c>
      <c r="G3963" s="1" t="str">
        <f t="shared" ref="G3963:M3964" si="846">"X"</f>
        <v>X</v>
      </c>
      <c r="H3963" s="1" t="str">
        <f t="shared" si="846"/>
        <v>X</v>
      </c>
      <c r="I3963" s="1" t="str">
        <f t="shared" si="846"/>
        <v>X</v>
      </c>
      <c r="J3963" s="1" t="str">
        <f t="shared" si="846"/>
        <v>X</v>
      </c>
      <c r="K3963" s="1" t="str">
        <f t="shared" si="846"/>
        <v>X</v>
      </c>
      <c r="L3963" s="1" t="str">
        <f t="shared" si="846"/>
        <v>X</v>
      </c>
      <c r="M3963" s="1" t="str">
        <f t="shared" si="846"/>
        <v>X</v>
      </c>
      <c r="N3963" t="s">
        <v>27</v>
      </c>
    </row>
    <row r="3964" spans="1:14" x14ac:dyDescent="0.25">
      <c r="A3964" t="s">
        <v>41</v>
      </c>
      <c r="B3964" t="s">
        <v>39</v>
      </c>
      <c r="C3964" t="s">
        <v>36</v>
      </c>
      <c r="D3964" t="s">
        <v>32</v>
      </c>
      <c r="E3964" t="s">
        <v>22</v>
      </c>
      <c r="F3964" t="s">
        <v>18</v>
      </c>
      <c r="G3964" s="1" t="str">
        <f t="shared" si="846"/>
        <v>X</v>
      </c>
      <c r="H3964" s="1" t="str">
        <f t="shared" si="846"/>
        <v>X</v>
      </c>
      <c r="I3964" s="1" t="str">
        <f t="shared" si="846"/>
        <v>X</v>
      </c>
      <c r="J3964" s="1" t="str">
        <f t="shared" si="846"/>
        <v>X</v>
      </c>
      <c r="K3964" s="1" t="str">
        <f t="shared" si="846"/>
        <v>X</v>
      </c>
      <c r="L3964" s="1" t="str">
        <f t="shared" si="846"/>
        <v>X</v>
      </c>
      <c r="M3964" s="1" t="str">
        <f t="shared" si="846"/>
        <v>X</v>
      </c>
      <c r="N3964" t="s">
        <v>27</v>
      </c>
    </row>
    <row r="3965" spans="1:14" x14ac:dyDescent="0.25">
      <c r="A3965" t="s">
        <v>41</v>
      </c>
      <c r="B3965" t="s">
        <v>39</v>
      </c>
      <c r="C3965" t="s">
        <v>36</v>
      </c>
      <c r="D3965" t="s">
        <v>32</v>
      </c>
      <c r="E3965" t="s">
        <v>22</v>
      </c>
      <c r="F3965" t="s">
        <v>19</v>
      </c>
      <c r="G3965" s="2">
        <f>VALUE(288.240471616)</f>
        <v>288.24047161599998</v>
      </c>
      <c r="H3965" s="3">
        <f>VALUE(295.9893682968)</f>
        <v>295.98936829680002</v>
      </c>
      <c r="I3965" s="1">
        <f>VALUE(3445)</f>
        <v>3445</v>
      </c>
      <c r="J3965" s="5">
        <f>VALUE(4151)</f>
        <v>4151</v>
      </c>
      <c r="K3965" s="1">
        <f>VALUE(4945)</f>
        <v>4945</v>
      </c>
      <c r="L3965" s="1">
        <f>VALUE(5518)</f>
        <v>5518</v>
      </c>
      <c r="M3965" s="8">
        <f>VALUE(6197)</f>
        <v>6197</v>
      </c>
      <c r="N3965" t="s">
        <v>25</v>
      </c>
    </row>
    <row r="3966" spans="1:14" x14ac:dyDescent="0.25">
      <c r="A3966" t="s">
        <v>41</v>
      </c>
      <c r="B3966" t="s">
        <v>39</v>
      </c>
      <c r="C3966" t="s">
        <v>36</v>
      </c>
      <c r="D3966" t="s">
        <v>32</v>
      </c>
      <c r="E3966" t="s">
        <v>22</v>
      </c>
      <c r="F3966" t="s">
        <v>20</v>
      </c>
      <c r="G3966" s="1">
        <f>VALUE(1103.9859336047)</f>
        <v>1103.9859336047</v>
      </c>
      <c r="H3966" s="1">
        <f>VALUE(1116.1361819468)</f>
        <v>1116.1361819468</v>
      </c>
      <c r="I3966" s="1">
        <f>VALUE(3143)</f>
        <v>3143</v>
      </c>
      <c r="J3966" s="1">
        <f>VALUE(3804)</f>
        <v>3804</v>
      </c>
      <c r="K3966" s="1">
        <f>VALUE(4557)</f>
        <v>4557</v>
      </c>
      <c r="L3966" s="1">
        <f>VALUE(5242)</f>
        <v>5242</v>
      </c>
      <c r="M3966" s="1">
        <f>VALUE(5850)</f>
        <v>5850</v>
      </c>
      <c r="N3966" t="s">
        <v>16</v>
      </c>
    </row>
    <row r="3967" spans="1:14" x14ac:dyDescent="0.25">
      <c r="A3967" t="s">
        <v>41</v>
      </c>
      <c r="B3967" t="s">
        <v>39</v>
      </c>
      <c r="C3967" t="s">
        <v>36</v>
      </c>
      <c r="D3967" t="s">
        <v>32</v>
      </c>
      <c r="E3967" t="s">
        <v>23</v>
      </c>
      <c r="F3967" t="s">
        <v>15</v>
      </c>
      <c r="G3967" s="1">
        <f>VALUE(2840.5178471468)</f>
        <v>2840.5178471467998</v>
      </c>
      <c r="H3967" s="1">
        <f>VALUE(2805.228848483)</f>
        <v>2805.2288484830001</v>
      </c>
      <c r="I3967" s="1">
        <f>VALUE(3166)</f>
        <v>3166</v>
      </c>
      <c r="J3967" s="1">
        <f>VALUE(3587)</f>
        <v>3587</v>
      </c>
      <c r="K3967" s="1">
        <f>VALUE(4241)</f>
        <v>4241</v>
      </c>
      <c r="L3967" s="1">
        <f>VALUE(5009)</f>
        <v>5009</v>
      </c>
      <c r="M3967" s="1">
        <f>VALUE(5664)</f>
        <v>5664</v>
      </c>
      <c r="N3967" t="s">
        <v>16</v>
      </c>
    </row>
    <row r="3968" spans="1:14" x14ac:dyDescent="0.25">
      <c r="A3968" t="s">
        <v>41</v>
      </c>
      <c r="B3968" t="s">
        <v>39</v>
      </c>
      <c r="C3968" t="s">
        <v>36</v>
      </c>
      <c r="D3968" t="s">
        <v>32</v>
      </c>
      <c r="E3968" t="s">
        <v>23</v>
      </c>
      <c r="F3968" t="s">
        <v>17</v>
      </c>
      <c r="G3968" s="1" t="str">
        <f t="shared" ref="G3968:M3969" si="847">"X"</f>
        <v>X</v>
      </c>
      <c r="H3968" s="1" t="str">
        <f t="shared" si="847"/>
        <v>X</v>
      </c>
      <c r="I3968" s="1" t="str">
        <f t="shared" si="847"/>
        <v>X</v>
      </c>
      <c r="J3968" s="1" t="str">
        <f t="shared" si="847"/>
        <v>X</v>
      </c>
      <c r="K3968" s="1" t="str">
        <f t="shared" si="847"/>
        <v>X</v>
      </c>
      <c r="L3968" s="1" t="str">
        <f t="shared" si="847"/>
        <v>X</v>
      </c>
      <c r="M3968" s="1" t="str">
        <f t="shared" si="847"/>
        <v>X</v>
      </c>
      <c r="N3968" t="s">
        <v>27</v>
      </c>
    </row>
    <row r="3969" spans="1:14" x14ac:dyDescent="0.25">
      <c r="A3969" t="s">
        <v>41</v>
      </c>
      <c r="B3969" t="s">
        <v>39</v>
      </c>
      <c r="C3969" t="s">
        <v>36</v>
      </c>
      <c r="D3969" t="s">
        <v>32</v>
      </c>
      <c r="E3969" t="s">
        <v>23</v>
      </c>
      <c r="F3969" t="s">
        <v>18</v>
      </c>
      <c r="G3969" s="1" t="str">
        <f t="shared" si="847"/>
        <v>X</v>
      </c>
      <c r="H3969" s="1" t="str">
        <f t="shared" si="847"/>
        <v>X</v>
      </c>
      <c r="I3969" s="1" t="str">
        <f t="shared" si="847"/>
        <v>X</v>
      </c>
      <c r="J3969" s="1" t="str">
        <f t="shared" si="847"/>
        <v>X</v>
      </c>
      <c r="K3969" s="1" t="str">
        <f t="shared" si="847"/>
        <v>X</v>
      </c>
      <c r="L3969" s="1" t="str">
        <f t="shared" si="847"/>
        <v>X</v>
      </c>
      <c r="M3969" s="1" t="str">
        <f t="shared" si="847"/>
        <v>X</v>
      </c>
      <c r="N3969" t="s">
        <v>27</v>
      </c>
    </row>
    <row r="3970" spans="1:14" x14ac:dyDescent="0.25">
      <c r="A3970" t="s">
        <v>41</v>
      </c>
      <c r="B3970" t="s">
        <v>39</v>
      </c>
      <c r="C3970" t="s">
        <v>36</v>
      </c>
      <c r="D3970" t="s">
        <v>32</v>
      </c>
      <c r="E3970" t="s">
        <v>23</v>
      </c>
      <c r="F3970" t="s">
        <v>19</v>
      </c>
      <c r="G3970" s="2">
        <f>VALUE(287.6957296069)</f>
        <v>287.69572960689999</v>
      </c>
      <c r="H3970" s="3">
        <f>VALUE(274.4606054426)</f>
        <v>274.46060544260001</v>
      </c>
      <c r="I3970" s="1">
        <f>VALUE(3477)</f>
        <v>3477</v>
      </c>
      <c r="J3970" s="1">
        <f>VALUE(3968)</f>
        <v>3968</v>
      </c>
      <c r="K3970" s="6">
        <f>VALUE(4529)</f>
        <v>4529</v>
      </c>
      <c r="L3970" s="1">
        <f>VALUE(5563)</f>
        <v>5563</v>
      </c>
      <c r="M3970" s="8">
        <f>VALUE(6295)</f>
        <v>6295</v>
      </c>
      <c r="N3970" t="s">
        <v>25</v>
      </c>
    </row>
    <row r="3971" spans="1:14" x14ac:dyDescent="0.25">
      <c r="A3971" t="s">
        <v>41</v>
      </c>
      <c r="B3971" t="s">
        <v>39</v>
      </c>
      <c r="C3971" t="s">
        <v>36</v>
      </c>
      <c r="D3971" t="s">
        <v>32</v>
      </c>
      <c r="E3971" t="s">
        <v>23</v>
      </c>
      <c r="F3971" t="s">
        <v>20</v>
      </c>
      <c r="G3971" s="1">
        <f>VALUE(2368.9326279487)</f>
        <v>2368.9326279487</v>
      </c>
      <c r="H3971" s="1">
        <f>VALUE(2340.6623624124)</f>
        <v>2340.6623624123999</v>
      </c>
      <c r="I3971" s="1">
        <f>VALUE(3069)</f>
        <v>3069</v>
      </c>
      <c r="J3971" s="1">
        <f>VALUE(3518)</f>
        <v>3518</v>
      </c>
      <c r="K3971" s="1">
        <f>VALUE(4173)</f>
        <v>4173</v>
      </c>
      <c r="L3971" s="1">
        <f>VALUE(4908)</f>
        <v>4908</v>
      </c>
      <c r="M3971" s="1">
        <f>VALUE(5508)</f>
        <v>5508</v>
      </c>
      <c r="N3971" t="s">
        <v>16</v>
      </c>
    </row>
    <row r="3972" spans="1:14" x14ac:dyDescent="0.25">
      <c r="A3972" t="s">
        <v>41</v>
      </c>
      <c r="B3972" t="s">
        <v>39</v>
      </c>
      <c r="C3972" t="s">
        <v>36</v>
      </c>
      <c r="D3972" t="s">
        <v>32</v>
      </c>
      <c r="E3972" t="s">
        <v>26</v>
      </c>
      <c r="F3972" t="s">
        <v>15</v>
      </c>
      <c r="G3972" s="1" t="str">
        <f t="shared" ref="G3972:M3974" si="848">"X"</f>
        <v>X</v>
      </c>
      <c r="H3972" s="1" t="str">
        <f t="shared" si="848"/>
        <v>X</v>
      </c>
      <c r="I3972" s="1" t="str">
        <f t="shared" si="848"/>
        <v>X</v>
      </c>
      <c r="J3972" s="1" t="str">
        <f t="shared" si="848"/>
        <v>X</v>
      </c>
      <c r="K3972" s="1" t="str">
        <f t="shared" si="848"/>
        <v>X</v>
      </c>
      <c r="L3972" s="1" t="str">
        <f t="shared" si="848"/>
        <v>X</v>
      </c>
      <c r="M3972" s="1" t="str">
        <f t="shared" si="848"/>
        <v>X</v>
      </c>
      <c r="N3972" t="s">
        <v>27</v>
      </c>
    </row>
    <row r="3973" spans="1:14" x14ac:dyDescent="0.25">
      <c r="A3973" t="s">
        <v>41</v>
      </c>
      <c r="B3973" t="s">
        <v>39</v>
      </c>
      <c r="C3973" t="s">
        <v>36</v>
      </c>
      <c r="D3973" t="s">
        <v>32</v>
      </c>
      <c r="E3973" t="s">
        <v>26</v>
      </c>
      <c r="F3973" t="s">
        <v>17</v>
      </c>
      <c r="G3973" s="1" t="str">
        <f t="shared" si="848"/>
        <v>X</v>
      </c>
      <c r="H3973" s="1" t="str">
        <f t="shared" si="848"/>
        <v>X</v>
      </c>
      <c r="I3973" s="1" t="str">
        <f t="shared" si="848"/>
        <v>X</v>
      </c>
      <c r="J3973" s="1" t="str">
        <f t="shared" si="848"/>
        <v>X</v>
      </c>
      <c r="K3973" s="1" t="str">
        <f t="shared" si="848"/>
        <v>X</v>
      </c>
      <c r="L3973" s="1" t="str">
        <f t="shared" si="848"/>
        <v>X</v>
      </c>
      <c r="M3973" s="1" t="str">
        <f t="shared" si="848"/>
        <v>X</v>
      </c>
      <c r="N3973" t="s">
        <v>27</v>
      </c>
    </row>
    <row r="3974" spans="1:14" x14ac:dyDescent="0.25">
      <c r="A3974" t="s">
        <v>41</v>
      </c>
      <c r="B3974" t="s">
        <v>39</v>
      </c>
      <c r="C3974" t="s">
        <v>36</v>
      </c>
      <c r="D3974" t="s">
        <v>32</v>
      </c>
      <c r="E3974" t="s">
        <v>26</v>
      </c>
      <c r="F3974" t="s">
        <v>18</v>
      </c>
      <c r="G3974" s="1" t="str">
        <f t="shared" si="848"/>
        <v>X</v>
      </c>
      <c r="H3974" s="1" t="str">
        <f t="shared" si="848"/>
        <v>X</v>
      </c>
      <c r="I3974" s="1" t="str">
        <f t="shared" si="848"/>
        <v>X</v>
      </c>
      <c r="J3974" s="1" t="str">
        <f t="shared" si="848"/>
        <v>X</v>
      </c>
      <c r="K3974" s="1" t="str">
        <f t="shared" si="848"/>
        <v>X</v>
      </c>
      <c r="L3974" s="1" t="str">
        <f t="shared" si="848"/>
        <v>X</v>
      </c>
      <c r="M3974" s="1" t="str">
        <f t="shared" si="848"/>
        <v>X</v>
      </c>
      <c r="N3974" t="s">
        <v>27</v>
      </c>
    </row>
    <row r="3975" spans="1:14" x14ac:dyDescent="0.25">
      <c r="A3975" t="s">
        <v>41</v>
      </c>
      <c r="B3975" t="s">
        <v>39</v>
      </c>
      <c r="C3975" t="s">
        <v>36</v>
      </c>
      <c r="D3975" t="s">
        <v>32</v>
      </c>
      <c r="E3975" t="s">
        <v>26</v>
      </c>
      <c r="F3975" t="s">
        <v>19</v>
      </c>
      <c r="G3975" s="1" t="str">
        <f t="shared" ref="G3975:M3975" si="849">"..."</f>
        <v>...</v>
      </c>
      <c r="H3975" s="1" t="str">
        <f t="shared" si="849"/>
        <v>...</v>
      </c>
      <c r="I3975" s="1" t="str">
        <f t="shared" si="849"/>
        <v>...</v>
      </c>
      <c r="J3975" s="1" t="str">
        <f t="shared" si="849"/>
        <v>...</v>
      </c>
      <c r="K3975" s="1" t="str">
        <f t="shared" si="849"/>
        <v>...</v>
      </c>
      <c r="L3975" s="1" t="str">
        <f t="shared" si="849"/>
        <v>...</v>
      </c>
      <c r="M3975" s="1" t="str">
        <f t="shared" si="849"/>
        <v>...</v>
      </c>
      <c r="N3975" t="s">
        <v>30</v>
      </c>
    </row>
    <row r="3976" spans="1:14" x14ac:dyDescent="0.25">
      <c r="A3976" t="s">
        <v>41</v>
      </c>
      <c r="B3976" t="s">
        <v>39</v>
      </c>
      <c r="C3976" t="s">
        <v>36</v>
      </c>
      <c r="D3976" t="s">
        <v>32</v>
      </c>
      <c r="E3976" t="s">
        <v>26</v>
      </c>
      <c r="F3976" t="s">
        <v>20</v>
      </c>
      <c r="G3976" s="1" t="str">
        <f t="shared" ref="G3976:M3976" si="850">"X"</f>
        <v>X</v>
      </c>
      <c r="H3976" s="1" t="str">
        <f t="shared" si="850"/>
        <v>X</v>
      </c>
      <c r="I3976" s="1" t="str">
        <f t="shared" si="850"/>
        <v>X</v>
      </c>
      <c r="J3976" s="1" t="str">
        <f t="shared" si="850"/>
        <v>X</v>
      </c>
      <c r="K3976" s="1" t="str">
        <f t="shared" si="850"/>
        <v>X</v>
      </c>
      <c r="L3976" s="1" t="str">
        <f t="shared" si="850"/>
        <v>X</v>
      </c>
      <c r="M3976" s="1" t="str">
        <f t="shared" si="850"/>
        <v>X</v>
      </c>
      <c r="N3976" t="s">
        <v>27</v>
      </c>
    </row>
    <row r="3977" spans="1:14" x14ac:dyDescent="0.25">
      <c r="A3977" t="s">
        <v>41</v>
      </c>
      <c r="B3977" t="s">
        <v>39</v>
      </c>
      <c r="C3977" t="s">
        <v>36</v>
      </c>
      <c r="D3977" t="s">
        <v>33</v>
      </c>
      <c r="E3977" t="s">
        <v>15</v>
      </c>
      <c r="F3977" t="s">
        <v>15</v>
      </c>
      <c r="G3977" s="2">
        <f>VALUE(245.2864137819)</f>
        <v>245.2864137819</v>
      </c>
      <c r="H3977" s="3">
        <f>VALUE(232.7535026381)</f>
        <v>232.7535026381</v>
      </c>
      <c r="I3977" s="4">
        <f>VALUE(3238)</f>
        <v>3238</v>
      </c>
      <c r="J3977" s="1">
        <f>VALUE(3536)</f>
        <v>3536</v>
      </c>
      <c r="K3977" s="6">
        <f>VALUE(4315)</f>
        <v>4315</v>
      </c>
      <c r="L3977" s="1">
        <f>VALUE(5566)</f>
        <v>5566</v>
      </c>
      <c r="M3977" s="8">
        <f>VALUE(6500)</f>
        <v>6500</v>
      </c>
      <c r="N3977" t="s">
        <v>25</v>
      </c>
    </row>
    <row r="3978" spans="1:14" x14ac:dyDescent="0.25">
      <c r="A3978" t="s">
        <v>41</v>
      </c>
      <c r="B3978" t="s">
        <v>39</v>
      </c>
      <c r="C3978" t="s">
        <v>36</v>
      </c>
      <c r="D3978" t="s">
        <v>33</v>
      </c>
      <c r="E3978" t="s">
        <v>15</v>
      </c>
      <c r="F3978" t="s">
        <v>17</v>
      </c>
      <c r="G3978" s="1" t="str">
        <f t="shared" ref="G3978:M3987" si="851">"X"</f>
        <v>X</v>
      </c>
      <c r="H3978" s="1" t="str">
        <f t="shared" si="851"/>
        <v>X</v>
      </c>
      <c r="I3978" s="1" t="str">
        <f t="shared" si="851"/>
        <v>X</v>
      </c>
      <c r="J3978" s="1" t="str">
        <f t="shared" si="851"/>
        <v>X</v>
      </c>
      <c r="K3978" s="1" t="str">
        <f t="shared" si="851"/>
        <v>X</v>
      </c>
      <c r="L3978" s="1" t="str">
        <f t="shared" si="851"/>
        <v>X</v>
      </c>
      <c r="M3978" s="1" t="str">
        <f t="shared" si="851"/>
        <v>X</v>
      </c>
      <c r="N3978" t="s">
        <v>27</v>
      </c>
    </row>
    <row r="3979" spans="1:14" x14ac:dyDescent="0.25">
      <c r="A3979" t="s">
        <v>41</v>
      </c>
      <c r="B3979" t="s">
        <v>39</v>
      </c>
      <c r="C3979" t="s">
        <v>36</v>
      </c>
      <c r="D3979" t="s">
        <v>33</v>
      </c>
      <c r="E3979" t="s">
        <v>15</v>
      </c>
      <c r="F3979" t="s">
        <v>18</v>
      </c>
      <c r="G3979" s="1" t="str">
        <f t="shared" si="851"/>
        <v>X</v>
      </c>
      <c r="H3979" s="1" t="str">
        <f t="shared" si="851"/>
        <v>X</v>
      </c>
      <c r="I3979" s="1" t="str">
        <f t="shared" si="851"/>
        <v>X</v>
      </c>
      <c r="J3979" s="1" t="str">
        <f t="shared" si="851"/>
        <v>X</v>
      </c>
      <c r="K3979" s="1" t="str">
        <f t="shared" si="851"/>
        <v>X</v>
      </c>
      <c r="L3979" s="1" t="str">
        <f t="shared" si="851"/>
        <v>X</v>
      </c>
      <c r="M3979" s="1" t="str">
        <f t="shared" si="851"/>
        <v>X</v>
      </c>
      <c r="N3979" t="s">
        <v>27</v>
      </c>
    </row>
    <row r="3980" spans="1:14" x14ac:dyDescent="0.25">
      <c r="A3980" t="s">
        <v>41</v>
      </c>
      <c r="B3980" t="s">
        <v>39</v>
      </c>
      <c r="C3980" t="s">
        <v>36</v>
      </c>
      <c r="D3980" t="s">
        <v>33</v>
      </c>
      <c r="E3980" t="s">
        <v>15</v>
      </c>
      <c r="F3980" t="s">
        <v>19</v>
      </c>
      <c r="G3980" s="1" t="str">
        <f t="shared" si="851"/>
        <v>X</v>
      </c>
      <c r="H3980" s="1" t="str">
        <f t="shared" si="851"/>
        <v>X</v>
      </c>
      <c r="I3980" s="1" t="str">
        <f t="shared" si="851"/>
        <v>X</v>
      </c>
      <c r="J3980" s="1" t="str">
        <f t="shared" si="851"/>
        <v>X</v>
      </c>
      <c r="K3980" s="1" t="str">
        <f t="shared" si="851"/>
        <v>X</v>
      </c>
      <c r="L3980" s="1" t="str">
        <f t="shared" si="851"/>
        <v>X</v>
      </c>
      <c r="M3980" s="1" t="str">
        <f t="shared" si="851"/>
        <v>X</v>
      </c>
      <c r="N3980" t="s">
        <v>27</v>
      </c>
    </row>
    <row r="3981" spans="1:14" x14ac:dyDescent="0.25">
      <c r="A3981" t="s">
        <v>41</v>
      </c>
      <c r="B3981" t="s">
        <v>39</v>
      </c>
      <c r="C3981" t="s">
        <v>36</v>
      </c>
      <c r="D3981" t="s">
        <v>33</v>
      </c>
      <c r="E3981" t="s">
        <v>15</v>
      </c>
      <c r="F3981" t="s">
        <v>20</v>
      </c>
      <c r="G3981" s="1" t="str">
        <f t="shared" si="851"/>
        <v>X</v>
      </c>
      <c r="H3981" s="1" t="str">
        <f t="shared" si="851"/>
        <v>X</v>
      </c>
      <c r="I3981" s="1" t="str">
        <f t="shared" si="851"/>
        <v>X</v>
      </c>
      <c r="J3981" s="1" t="str">
        <f t="shared" si="851"/>
        <v>X</v>
      </c>
      <c r="K3981" s="1" t="str">
        <f t="shared" si="851"/>
        <v>X</v>
      </c>
      <c r="L3981" s="1" t="str">
        <f t="shared" si="851"/>
        <v>X</v>
      </c>
      <c r="M3981" s="1" t="str">
        <f t="shared" si="851"/>
        <v>X</v>
      </c>
      <c r="N3981" t="s">
        <v>27</v>
      </c>
    </row>
    <row r="3982" spans="1:14" x14ac:dyDescent="0.25">
      <c r="A3982" t="s">
        <v>41</v>
      </c>
      <c r="B3982" t="s">
        <v>39</v>
      </c>
      <c r="C3982" t="s">
        <v>36</v>
      </c>
      <c r="D3982" t="s">
        <v>33</v>
      </c>
      <c r="E3982" t="s">
        <v>21</v>
      </c>
      <c r="F3982" t="s">
        <v>15</v>
      </c>
      <c r="G3982" s="1" t="str">
        <f t="shared" si="851"/>
        <v>X</v>
      </c>
      <c r="H3982" s="1" t="str">
        <f t="shared" si="851"/>
        <v>X</v>
      </c>
      <c r="I3982" s="1" t="str">
        <f t="shared" si="851"/>
        <v>X</v>
      </c>
      <c r="J3982" s="1" t="str">
        <f t="shared" si="851"/>
        <v>X</v>
      </c>
      <c r="K3982" s="1" t="str">
        <f t="shared" si="851"/>
        <v>X</v>
      </c>
      <c r="L3982" s="1" t="str">
        <f t="shared" si="851"/>
        <v>X</v>
      </c>
      <c r="M3982" s="1" t="str">
        <f t="shared" si="851"/>
        <v>X</v>
      </c>
      <c r="N3982" t="s">
        <v>27</v>
      </c>
    </row>
    <row r="3983" spans="1:14" x14ac:dyDescent="0.25">
      <c r="A3983" t="s">
        <v>41</v>
      </c>
      <c r="B3983" t="s">
        <v>39</v>
      </c>
      <c r="C3983" t="s">
        <v>36</v>
      </c>
      <c r="D3983" t="s">
        <v>33</v>
      </c>
      <c r="E3983" t="s">
        <v>21</v>
      </c>
      <c r="F3983" t="s">
        <v>17</v>
      </c>
      <c r="G3983" s="1" t="str">
        <f t="shared" si="851"/>
        <v>X</v>
      </c>
      <c r="H3983" s="1" t="str">
        <f t="shared" si="851"/>
        <v>X</v>
      </c>
      <c r="I3983" s="1" t="str">
        <f t="shared" si="851"/>
        <v>X</v>
      </c>
      <c r="J3983" s="1" t="str">
        <f t="shared" si="851"/>
        <v>X</v>
      </c>
      <c r="K3983" s="1" t="str">
        <f t="shared" si="851"/>
        <v>X</v>
      </c>
      <c r="L3983" s="1" t="str">
        <f t="shared" si="851"/>
        <v>X</v>
      </c>
      <c r="M3983" s="1" t="str">
        <f t="shared" si="851"/>
        <v>X</v>
      </c>
      <c r="N3983" t="s">
        <v>27</v>
      </c>
    </row>
    <row r="3984" spans="1:14" x14ac:dyDescent="0.25">
      <c r="A3984" t="s">
        <v>41</v>
      </c>
      <c r="B3984" t="s">
        <v>39</v>
      </c>
      <c r="C3984" t="s">
        <v>36</v>
      </c>
      <c r="D3984" t="s">
        <v>33</v>
      </c>
      <c r="E3984" t="s">
        <v>21</v>
      </c>
      <c r="F3984" t="s">
        <v>18</v>
      </c>
      <c r="G3984" s="1" t="str">
        <f t="shared" si="851"/>
        <v>X</v>
      </c>
      <c r="H3984" s="1" t="str">
        <f t="shared" si="851"/>
        <v>X</v>
      </c>
      <c r="I3984" s="1" t="str">
        <f t="shared" si="851"/>
        <v>X</v>
      </c>
      <c r="J3984" s="1" t="str">
        <f t="shared" si="851"/>
        <v>X</v>
      </c>
      <c r="K3984" s="1" t="str">
        <f t="shared" si="851"/>
        <v>X</v>
      </c>
      <c r="L3984" s="1" t="str">
        <f t="shared" si="851"/>
        <v>X</v>
      </c>
      <c r="M3984" s="1" t="str">
        <f t="shared" si="851"/>
        <v>X</v>
      </c>
      <c r="N3984" t="s">
        <v>27</v>
      </c>
    </row>
    <row r="3985" spans="1:14" x14ac:dyDescent="0.25">
      <c r="A3985" t="s">
        <v>41</v>
      </c>
      <c r="B3985" t="s">
        <v>39</v>
      </c>
      <c r="C3985" t="s">
        <v>36</v>
      </c>
      <c r="D3985" t="s">
        <v>33</v>
      </c>
      <c r="E3985" t="s">
        <v>21</v>
      </c>
      <c r="F3985" t="s">
        <v>19</v>
      </c>
      <c r="G3985" s="1" t="str">
        <f t="shared" si="851"/>
        <v>X</v>
      </c>
      <c r="H3985" s="1" t="str">
        <f t="shared" si="851"/>
        <v>X</v>
      </c>
      <c r="I3985" s="1" t="str">
        <f t="shared" si="851"/>
        <v>X</v>
      </c>
      <c r="J3985" s="1" t="str">
        <f t="shared" si="851"/>
        <v>X</v>
      </c>
      <c r="K3985" s="1" t="str">
        <f t="shared" si="851"/>
        <v>X</v>
      </c>
      <c r="L3985" s="1" t="str">
        <f t="shared" si="851"/>
        <v>X</v>
      </c>
      <c r="M3985" s="1" t="str">
        <f t="shared" si="851"/>
        <v>X</v>
      </c>
      <c r="N3985" t="s">
        <v>27</v>
      </c>
    </row>
    <row r="3986" spans="1:14" x14ac:dyDescent="0.25">
      <c r="A3986" t="s">
        <v>41</v>
      </c>
      <c r="B3986" t="s">
        <v>39</v>
      </c>
      <c r="C3986" t="s">
        <v>36</v>
      </c>
      <c r="D3986" t="s">
        <v>33</v>
      </c>
      <c r="E3986" t="s">
        <v>21</v>
      </c>
      <c r="F3986" t="s">
        <v>20</v>
      </c>
      <c r="G3986" s="1" t="str">
        <f t="shared" si="851"/>
        <v>X</v>
      </c>
      <c r="H3986" s="1" t="str">
        <f t="shared" si="851"/>
        <v>X</v>
      </c>
      <c r="I3986" s="1" t="str">
        <f t="shared" si="851"/>
        <v>X</v>
      </c>
      <c r="J3986" s="1" t="str">
        <f t="shared" si="851"/>
        <v>X</v>
      </c>
      <c r="K3986" s="1" t="str">
        <f t="shared" si="851"/>
        <v>X</v>
      </c>
      <c r="L3986" s="1" t="str">
        <f t="shared" si="851"/>
        <v>X</v>
      </c>
      <c r="M3986" s="1" t="str">
        <f t="shared" si="851"/>
        <v>X</v>
      </c>
      <c r="N3986" t="s">
        <v>27</v>
      </c>
    </row>
    <row r="3987" spans="1:14" x14ac:dyDescent="0.25">
      <c r="A3987" t="s">
        <v>41</v>
      </c>
      <c r="B3987" t="s">
        <v>39</v>
      </c>
      <c r="C3987" t="s">
        <v>36</v>
      </c>
      <c r="D3987" t="s">
        <v>33</v>
      </c>
      <c r="E3987" t="s">
        <v>22</v>
      </c>
      <c r="F3987" t="s">
        <v>15</v>
      </c>
      <c r="G3987" s="1" t="str">
        <f t="shared" si="851"/>
        <v>X</v>
      </c>
      <c r="H3987" s="1" t="str">
        <f t="shared" si="851"/>
        <v>X</v>
      </c>
      <c r="I3987" s="1" t="str">
        <f t="shared" si="851"/>
        <v>X</v>
      </c>
      <c r="J3987" s="1" t="str">
        <f t="shared" si="851"/>
        <v>X</v>
      </c>
      <c r="K3987" s="1" t="str">
        <f t="shared" si="851"/>
        <v>X</v>
      </c>
      <c r="L3987" s="1" t="str">
        <f t="shared" si="851"/>
        <v>X</v>
      </c>
      <c r="M3987" s="1" t="str">
        <f t="shared" si="851"/>
        <v>X</v>
      </c>
      <c r="N3987" t="s">
        <v>27</v>
      </c>
    </row>
    <row r="3988" spans="1:14" x14ac:dyDescent="0.25">
      <c r="A3988" t="s">
        <v>41</v>
      </c>
      <c r="B3988" t="s">
        <v>39</v>
      </c>
      <c r="C3988" t="s">
        <v>36</v>
      </c>
      <c r="D3988" t="s">
        <v>33</v>
      </c>
      <c r="E3988" t="s">
        <v>22</v>
      </c>
      <c r="F3988" t="s">
        <v>17</v>
      </c>
      <c r="G3988" s="1" t="str">
        <f t="shared" ref="G3988:M3988" si="852">"..."</f>
        <v>...</v>
      </c>
      <c r="H3988" s="1" t="str">
        <f t="shared" si="852"/>
        <v>...</v>
      </c>
      <c r="I3988" s="1" t="str">
        <f t="shared" si="852"/>
        <v>...</v>
      </c>
      <c r="J3988" s="1" t="str">
        <f t="shared" si="852"/>
        <v>...</v>
      </c>
      <c r="K3988" s="1" t="str">
        <f t="shared" si="852"/>
        <v>...</v>
      </c>
      <c r="L3988" s="1" t="str">
        <f t="shared" si="852"/>
        <v>...</v>
      </c>
      <c r="M3988" s="1" t="str">
        <f t="shared" si="852"/>
        <v>...</v>
      </c>
      <c r="N3988" t="s">
        <v>30</v>
      </c>
    </row>
    <row r="3989" spans="1:14" x14ac:dyDescent="0.25">
      <c r="A3989" t="s">
        <v>41</v>
      </c>
      <c r="B3989" t="s">
        <v>39</v>
      </c>
      <c r="C3989" t="s">
        <v>36</v>
      </c>
      <c r="D3989" t="s">
        <v>33</v>
      </c>
      <c r="E3989" t="s">
        <v>22</v>
      </c>
      <c r="F3989" t="s">
        <v>18</v>
      </c>
      <c r="G3989" s="1" t="str">
        <f t="shared" ref="G3989:M3992" si="853">"X"</f>
        <v>X</v>
      </c>
      <c r="H3989" s="1" t="str">
        <f t="shared" si="853"/>
        <v>X</v>
      </c>
      <c r="I3989" s="1" t="str">
        <f t="shared" si="853"/>
        <v>X</v>
      </c>
      <c r="J3989" s="1" t="str">
        <f t="shared" si="853"/>
        <v>X</v>
      </c>
      <c r="K3989" s="1" t="str">
        <f t="shared" si="853"/>
        <v>X</v>
      </c>
      <c r="L3989" s="1" t="str">
        <f t="shared" si="853"/>
        <v>X</v>
      </c>
      <c r="M3989" s="1" t="str">
        <f t="shared" si="853"/>
        <v>X</v>
      </c>
      <c r="N3989" t="s">
        <v>27</v>
      </c>
    </row>
    <row r="3990" spans="1:14" x14ac:dyDescent="0.25">
      <c r="A3990" t="s">
        <v>41</v>
      </c>
      <c r="B3990" t="s">
        <v>39</v>
      </c>
      <c r="C3990" t="s">
        <v>36</v>
      </c>
      <c r="D3990" t="s">
        <v>33</v>
      </c>
      <c r="E3990" t="s">
        <v>22</v>
      </c>
      <c r="F3990" t="s">
        <v>19</v>
      </c>
      <c r="G3990" s="1" t="str">
        <f t="shared" si="853"/>
        <v>X</v>
      </c>
      <c r="H3990" s="1" t="str">
        <f t="shared" si="853"/>
        <v>X</v>
      </c>
      <c r="I3990" s="1" t="str">
        <f t="shared" si="853"/>
        <v>X</v>
      </c>
      <c r="J3990" s="1" t="str">
        <f t="shared" si="853"/>
        <v>X</v>
      </c>
      <c r="K3990" s="1" t="str">
        <f t="shared" si="853"/>
        <v>X</v>
      </c>
      <c r="L3990" s="1" t="str">
        <f t="shared" si="853"/>
        <v>X</v>
      </c>
      <c r="M3990" s="1" t="str">
        <f t="shared" si="853"/>
        <v>X</v>
      </c>
      <c r="N3990" t="s">
        <v>27</v>
      </c>
    </row>
    <row r="3991" spans="1:14" x14ac:dyDescent="0.25">
      <c r="A3991" t="s">
        <v>41</v>
      </c>
      <c r="B3991" t="s">
        <v>39</v>
      </c>
      <c r="C3991" t="s">
        <v>36</v>
      </c>
      <c r="D3991" t="s">
        <v>33</v>
      </c>
      <c r="E3991" t="s">
        <v>22</v>
      </c>
      <c r="F3991" t="s">
        <v>20</v>
      </c>
      <c r="G3991" s="1" t="str">
        <f t="shared" si="853"/>
        <v>X</v>
      </c>
      <c r="H3991" s="1" t="str">
        <f t="shared" si="853"/>
        <v>X</v>
      </c>
      <c r="I3991" s="1" t="str">
        <f t="shared" si="853"/>
        <v>X</v>
      </c>
      <c r="J3991" s="1" t="str">
        <f t="shared" si="853"/>
        <v>X</v>
      </c>
      <c r="K3991" s="1" t="str">
        <f t="shared" si="853"/>
        <v>X</v>
      </c>
      <c r="L3991" s="1" t="str">
        <f t="shared" si="853"/>
        <v>X</v>
      </c>
      <c r="M3991" s="1" t="str">
        <f t="shared" si="853"/>
        <v>X</v>
      </c>
      <c r="N3991" t="s">
        <v>27</v>
      </c>
    </row>
    <row r="3992" spans="1:14" x14ac:dyDescent="0.25">
      <c r="A3992" t="s">
        <v>41</v>
      </c>
      <c r="B3992" t="s">
        <v>39</v>
      </c>
      <c r="C3992" t="s">
        <v>36</v>
      </c>
      <c r="D3992" t="s">
        <v>33</v>
      </c>
      <c r="E3992" t="s">
        <v>23</v>
      </c>
      <c r="F3992" t="s">
        <v>15</v>
      </c>
      <c r="G3992" s="1" t="str">
        <f t="shared" si="853"/>
        <v>X</v>
      </c>
      <c r="H3992" s="1" t="str">
        <f t="shared" si="853"/>
        <v>X</v>
      </c>
      <c r="I3992" s="1" t="str">
        <f t="shared" si="853"/>
        <v>X</v>
      </c>
      <c r="J3992" s="1" t="str">
        <f t="shared" si="853"/>
        <v>X</v>
      </c>
      <c r="K3992" s="1" t="str">
        <f t="shared" si="853"/>
        <v>X</v>
      </c>
      <c r="L3992" s="1" t="str">
        <f t="shared" si="853"/>
        <v>X</v>
      </c>
      <c r="M3992" s="1" t="str">
        <f t="shared" si="853"/>
        <v>X</v>
      </c>
      <c r="N3992" t="s">
        <v>27</v>
      </c>
    </row>
    <row r="3993" spans="1:14" x14ac:dyDescent="0.25">
      <c r="A3993" t="s">
        <v>41</v>
      </c>
      <c r="B3993" t="s">
        <v>39</v>
      </c>
      <c r="C3993" t="s">
        <v>36</v>
      </c>
      <c r="D3993" t="s">
        <v>33</v>
      </c>
      <c r="E3993" t="s">
        <v>23</v>
      </c>
      <c r="F3993" t="s">
        <v>17</v>
      </c>
      <c r="G3993" s="1" t="str">
        <f t="shared" ref="G3993:M3993" si="854">"..."</f>
        <v>...</v>
      </c>
      <c r="H3993" s="1" t="str">
        <f t="shared" si="854"/>
        <v>...</v>
      </c>
      <c r="I3993" s="1" t="str">
        <f t="shared" si="854"/>
        <v>...</v>
      </c>
      <c r="J3993" s="1" t="str">
        <f t="shared" si="854"/>
        <v>...</v>
      </c>
      <c r="K3993" s="1" t="str">
        <f t="shared" si="854"/>
        <v>...</v>
      </c>
      <c r="L3993" s="1" t="str">
        <f t="shared" si="854"/>
        <v>...</v>
      </c>
      <c r="M3993" s="1" t="str">
        <f t="shared" si="854"/>
        <v>...</v>
      </c>
      <c r="N3993" t="s">
        <v>30</v>
      </c>
    </row>
    <row r="3994" spans="1:14" x14ac:dyDescent="0.25">
      <c r="A3994" t="s">
        <v>41</v>
      </c>
      <c r="B3994" t="s">
        <v>39</v>
      </c>
      <c r="C3994" t="s">
        <v>36</v>
      </c>
      <c r="D3994" t="s">
        <v>33</v>
      </c>
      <c r="E3994" t="s">
        <v>23</v>
      </c>
      <c r="F3994" t="s">
        <v>18</v>
      </c>
      <c r="G3994" s="1" t="str">
        <f t="shared" ref="G3994:M3996" si="855">"X"</f>
        <v>X</v>
      </c>
      <c r="H3994" s="1" t="str">
        <f t="shared" si="855"/>
        <v>X</v>
      </c>
      <c r="I3994" s="1" t="str">
        <f t="shared" si="855"/>
        <v>X</v>
      </c>
      <c r="J3994" s="1" t="str">
        <f t="shared" si="855"/>
        <v>X</v>
      </c>
      <c r="K3994" s="1" t="str">
        <f t="shared" si="855"/>
        <v>X</v>
      </c>
      <c r="L3994" s="1" t="str">
        <f t="shared" si="855"/>
        <v>X</v>
      </c>
      <c r="M3994" s="1" t="str">
        <f t="shared" si="855"/>
        <v>X</v>
      </c>
      <c r="N3994" t="s">
        <v>27</v>
      </c>
    </row>
    <row r="3995" spans="1:14" x14ac:dyDescent="0.25">
      <c r="A3995" t="s">
        <v>41</v>
      </c>
      <c r="B3995" t="s">
        <v>39</v>
      </c>
      <c r="C3995" t="s">
        <v>36</v>
      </c>
      <c r="D3995" t="s">
        <v>33</v>
      </c>
      <c r="E3995" t="s">
        <v>23</v>
      </c>
      <c r="F3995" t="s">
        <v>19</v>
      </c>
      <c r="G3995" s="1" t="str">
        <f t="shared" si="855"/>
        <v>X</v>
      </c>
      <c r="H3995" s="1" t="str">
        <f t="shared" si="855"/>
        <v>X</v>
      </c>
      <c r="I3995" s="1" t="str">
        <f t="shared" si="855"/>
        <v>X</v>
      </c>
      <c r="J3995" s="1" t="str">
        <f t="shared" si="855"/>
        <v>X</v>
      </c>
      <c r="K3995" s="1" t="str">
        <f t="shared" si="855"/>
        <v>X</v>
      </c>
      <c r="L3995" s="1" t="str">
        <f t="shared" si="855"/>
        <v>X</v>
      </c>
      <c r="M3995" s="1" t="str">
        <f t="shared" si="855"/>
        <v>X</v>
      </c>
      <c r="N3995" t="s">
        <v>27</v>
      </c>
    </row>
    <row r="3996" spans="1:14" x14ac:dyDescent="0.25">
      <c r="A3996" t="s">
        <v>41</v>
      </c>
      <c r="B3996" t="s">
        <v>39</v>
      </c>
      <c r="C3996" t="s">
        <v>36</v>
      </c>
      <c r="D3996" t="s">
        <v>33</v>
      </c>
      <c r="E3996" t="s">
        <v>23</v>
      </c>
      <c r="F3996" t="s">
        <v>20</v>
      </c>
      <c r="G3996" s="1" t="str">
        <f t="shared" si="855"/>
        <v>X</v>
      </c>
      <c r="H3996" s="1" t="str">
        <f t="shared" si="855"/>
        <v>X</v>
      </c>
      <c r="I3996" s="1" t="str">
        <f t="shared" si="855"/>
        <v>X</v>
      </c>
      <c r="J3996" s="1" t="str">
        <f t="shared" si="855"/>
        <v>X</v>
      </c>
      <c r="K3996" s="1" t="str">
        <f t="shared" si="855"/>
        <v>X</v>
      </c>
      <c r="L3996" s="1" t="str">
        <f t="shared" si="855"/>
        <v>X</v>
      </c>
      <c r="M3996" s="1" t="str">
        <f t="shared" si="855"/>
        <v>X</v>
      </c>
      <c r="N3996" t="s">
        <v>27</v>
      </c>
    </row>
    <row r="3997" spans="1:14" x14ac:dyDescent="0.25">
      <c r="A3997" t="s">
        <v>41</v>
      </c>
      <c r="B3997" t="s">
        <v>39</v>
      </c>
      <c r="C3997" t="s">
        <v>36</v>
      </c>
      <c r="D3997" t="s">
        <v>33</v>
      </c>
      <c r="E3997" t="s">
        <v>26</v>
      </c>
      <c r="F3997" t="s">
        <v>15</v>
      </c>
      <c r="G3997" s="1" t="str">
        <f t="shared" ref="G3997:M4001" si="856">"..."</f>
        <v>...</v>
      </c>
      <c r="H3997" s="1" t="str">
        <f t="shared" si="856"/>
        <v>...</v>
      </c>
      <c r="I3997" s="1" t="str">
        <f t="shared" si="856"/>
        <v>...</v>
      </c>
      <c r="J3997" s="1" t="str">
        <f t="shared" si="856"/>
        <v>...</v>
      </c>
      <c r="K3997" s="1" t="str">
        <f t="shared" si="856"/>
        <v>...</v>
      </c>
      <c r="L3997" s="1" t="str">
        <f t="shared" si="856"/>
        <v>...</v>
      </c>
      <c r="M3997" s="1" t="str">
        <f t="shared" si="856"/>
        <v>...</v>
      </c>
      <c r="N3997" t="s">
        <v>30</v>
      </c>
    </row>
    <row r="3998" spans="1:14" x14ac:dyDescent="0.25">
      <c r="A3998" t="s">
        <v>41</v>
      </c>
      <c r="B3998" t="s">
        <v>39</v>
      </c>
      <c r="C3998" t="s">
        <v>36</v>
      </c>
      <c r="D3998" t="s">
        <v>33</v>
      </c>
      <c r="E3998" t="s">
        <v>26</v>
      </c>
      <c r="F3998" t="s">
        <v>17</v>
      </c>
      <c r="G3998" s="1" t="str">
        <f t="shared" si="856"/>
        <v>...</v>
      </c>
      <c r="H3998" s="1" t="str">
        <f t="shared" si="856"/>
        <v>...</v>
      </c>
      <c r="I3998" s="1" t="str">
        <f t="shared" si="856"/>
        <v>...</v>
      </c>
      <c r="J3998" s="1" t="str">
        <f t="shared" si="856"/>
        <v>...</v>
      </c>
      <c r="K3998" s="1" t="str">
        <f t="shared" si="856"/>
        <v>...</v>
      </c>
      <c r="L3998" s="1" t="str">
        <f t="shared" si="856"/>
        <v>...</v>
      </c>
      <c r="M3998" s="1" t="str">
        <f t="shared" si="856"/>
        <v>...</v>
      </c>
      <c r="N3998" t="s">
        <v>30</v>
      </c>
    </row>
    <row r="3999" spans="1:14" x14ac:dyDescent="0.25">
      <c r="A3999" t="s">
        <v>41</v>
      </c>
      <c r="B3999" t="s">
        <v>39</v>
      </c>
      <c r="C3999" t="s">
        <v>36</v>
      </c>
      <c r="D3999" t="s">
        <v>33</v>
      </c>
      <c r="E3999" t="s">
        <v>26</v>
      </c>
      <c r="F3999" t="s">
        <v>18</v>
      </c>
      <c r="G3999" s="1" t="str">
        <f t="shared" si="856"/>
        <v>...</v>
      </c>
      <c r="H3999" s="1" t="str">
        <f t="shared" si="856"/>
        <v>...</v>
      </c>
      <c r="I3999" s="1" t="str">
        <f t="shared" si="856"/>
        <v>...</v>
      </c>
      <c r="J3999" s="1" t="str">
        <f t="shared" si="856"/>
        <v>...</v>
      </c>
      <c r="K3999" s="1" t="str">
        <f t="shared" si="856"/>
        <v>...</v>
      </c>
      <c r="L3999" s="1" t="str">
        <f t="shared" si="856"/>
        <v>...</v>
      </c>
      <c r="M3999" s="1" t="str">
        <f t="shared" si="856"/>
        <v>...</v>
      </c>
      <c r="N3999" t="s">
        <v>30</v>
      </c>
    </row>
    <row r="4000" spans="1:14" x14ac:dyDescent="0.25">
      <c r="A4000" t="s">
        <v>41</v>
      </c>
      <c r="B4000" t="s">
        <v>39</v>
      </c>
      <c r="C4000" t="s">
        <v>36</v>
      </c>
      <c r="D4000" t="s">
        <v>33</v>
      </c>
      <c r="E4000" t="s">
        <v>26</v>
      </c>
      <c r="F4000" t="s">
        <v>19</v>
      </c>
      <c r="G4000" s="1" t="str">
        <f t="shared" si="856"/>
        <v>...</v>
      </c>
      <c r="H4000" s="1" t="str">
        <f t="shared" si="856"/>
        <v>...</v>
      </c>
      <c r="I4000" s="1" t="str">
        <f t="shared" si="856"/>
        <v>...</v>
      </c>
      <c r="J4000" s="1" t="str">
        <f t="shared" si="856"/>
        <v>...</v>
      </c>
      <c r="K4000" s="1" t="str">
        <f t="shared" si="856"/>
        <v>...</v>
      </c>
      <c r="L4000" s="1" t="str">
        <f t="shared" si="856"/>
        <v>...</v>
      </c>
      <c r="M4000" s="1" t="str">
        <f t="shared" si="856"/>
        <v>...</v>
      </c>
      <c r="N4000" t="s">
        <v>30</v>
      </c>
    </row>
    <row r="4001" spans="1:14" x14ac:dyDescent="0.25">
      <c r="A4001" t="s">
        <v>41</v>
      </c>
      <c r="B4001" t="s">
        <v>39</v>
      </c>
      <c r="C4001" t="s">
        <v>36</v>
      </c>
      <c r="D4001" t="s">
        <v>33</v>
      </c>
      <c r="E4001" t="s">
        <v>26</v>
      </c>
      <c r="F4001" t="s">
        <v>20</v>
      </c>
      <c r="G4001" s="1" t="str">
        <f t="shared" si="856"/>
        <v>...</v>
      </c>
      <c r="H4001" s="1" t="str">
        <f t="shared" si="856"/>
        <v>...</v>
      </c>
      <c r="I4001" s="1" t="str">
        <f t="shared" si="856"/>
        <v>...</v>
      </c>
      <c r="J4001" s="1" t="str">
        <f t="shared" si="856"/>
        <v>...</v>
      </c>
      <c r="K4001" s="1" t="str">
        <f t="shared" si="856"/>
        <v>...</v>
      </c>
      <c r="L4001" s="1" t="str">
        <f t="shared" si="856"/>
        <v>...</v>
      </c>
      <c r="M4001" s="1" t="str">
        <f t="shared" si="856"/>
        <v>...</v>
      </c>
      <c r="N4001" t="s">
        <v>30</v>
      </c>
    </row>
    <row r="4002" spans="1:14" x14ac:dyDescent="0.25">
      <c r="A4002" t="s">
        <v>41</v>
      </c>
      <c r="B4002" t="s">
        <v>39</v>
      </c>
      <c r="C4002" t="s">
        <v>36</v>
      </c>
      <c r="D4002" t="s">
        <v>34</v>
      </c>
      <c r="E4002" t="s">
        <v>15</v>
      </c>
      <c r="F4002" t="s">
        <v>15</v>
      </c>
      <c r="G4002" s="2">
        <f>VALUE(201.7469744526)</f>
        <v>201.7469744526</v>
      </c>
      <c r="H4002" s="3">
        <f>VALUE(200.3419162623)</f>
        <v>200.3419162623</v>
      </c>
      <c r="I4002" s="4">
        <f>VALUE(2243)</f>
        <v>2243</v>
      </c>
      <c r="J4002" s="5">
        <f>VALUE(3267)</f>
        <v>3267</v>
      </c>
      <c r="K4002" s="6">
        <f>VALUE(4469)</f>
        <v>4469</v>
      </c>
      <c r="L4002" s="7">
        <f>VALUE(5525)</f>
        <v>5525</v>
      </c>
      <c r="M4002" s="1">
        <f>VALUE(6786)</f>
        <v>6786</v>
      </c>
      <c r="N4002" t="s">
        <v>25</v>
      </c>
    </row>
    <row r="4003" spans="1:14" x14ac:dyDescent="0.25">
      <c r="A4003" t="s">
        <v>41</v>
      </c>
      <c r="B4003" t="s">
        <v>39</v>
      </c>
      <c r="C4003" t="s">
        <v>36</v>
      </c>
      <c r="D4003" t="s">
        <v>34</v>
      </c>
      <c r="E4003" t="s">
        <v>15</v>
      </c>
      <c r="F4003" t="s">
        <v>17</v>
      </c>
      <c r="G4003" s="1" t="str">
        <f t="shared" ref="G4003:M4005" si="857">"X"</f>
        <v>X</v>
      </c>
      <c r="H4003" s="1" t="str">
        <f t="shared" si="857"/>
        <v>X</v>
      </c>
      <c r="I4003" s="1" t="str">
        <f t="shared" si="857"/>
        <v>X</v>
      </c>
      <c r="J4003" s="1" t="str">
        <f t="shared" si="857"/>
        <v>X</v>
      </c>
      <c r="K4003" s="1" t="str">
        <f t="shared" si="857"/>
        <v>X</v>
      </c>
      <c r="L4003" s="1" t="str">
        <f t="shared" si="857"/>
        <v>X</v>
      </c>
      <c r="M4003" s="1" t="str">
        <f t="shared" si="857"/>
        <v>X</v>
      </c>
      <c r="N4003" t="s">
        <v>27</v>
      </c>
    </row>
    <row r="4004" spans="1:14" x14ac:dyDescent="0.25">
      <c r="A4004" t="s">
        <v>41</v>
      </c>
      <c r="B4004" t="s">
        <v>39</v>
      </c>
      <c r="C4004" t="s">
        <v>36</v>
      </c>
      <c r="D4004" t="s">
        <v>34</v>
      </c>
      <c r="E4004" t="s">
        <v>15</v>
      </c>
      <c r="F4004" t="s">
        <v>18</v>
      </c>
      <c r="G4004" s="1" t="str">
        <f t="shared" si="857"/>
        <v>X</v>
      </c>
      <c r="H4004" s="1" t="str">
        <f t="shared" si="857"/>
        <v>X</v>
      </c>
      <c r="I4004" s="1" t="str">
        <f t="shared" si="857"/>
        <v>X</v>
      </c>
      <c r="J4004" s="1" t="str">
        <f t="shared" si="857"/>
        <v>X</v>
      </c>
      <c r="K4004" s="1" t="str">
        <f t="shared" si="857"/>
        <v>X</v>
      </c>
      <c r="L4004" s="1" t="str">
        <f t="shared" si="857"/>
        <v>X</v>
      </c>
      <c r="M4004" s="1" t="str">
        <f t="shared" si="857"/>
        <v>X</v>
      </c>
      <c r="N4004" t="s">
        <v>27</v>
      </c>
    </row>
    <row r="4005" spans="1:14" x14ac:dyDescent="0.25">
      <c r="A4005" t="s">
        <v>41</v>
      </c>
      <c r="B4005" t="s">
        <v>39</v>
      </c>
      <c r="C4005" t="s">
        <v>36</v>
      </c>
      <c r="D4005" t="s">
        <v>34</v>
      </c>
      <c r="E4005" t="s">
        <v>15</v>
      </c>
      <c r="F4005" t="s">
        <v>19</v>
      </c>
      <c r="G4005" s="1" t="str">
        <f t="shared" si="857"/>
        <v>X</v>
      </c>
      <c r="H4005" s="1" t="str">
        <f t="shared" si="857"/>
        <v>X</v>
      </c>
      <c r="I4005" s="1" t="str">
        <f t="shared" si="857"/>
        <v>X</v>
      </c>
      <c r="J4005" s="1" t="str">
        <f t="shared" si="857"/>
        <v>X</v>
      </c>
      <c r="K4005" s="1" t="str">
        <f t="shared" si="857"/>
        <v>X</v>
      </c>
      <c r="L4005" s="1" t="str">
        <f t="shared" si="857"/>
        <v>X</v>
      </c>
      <c r="M4005" s="1" t="str">
        <f t="shared" si="857"/>
        <v>X</v>
      </c>
      <c r="N4005" t="s">
        <v>27</v>
      </c>
    </row>
    <row r="4006" spans="1:14" x14ac:dyDescent="0.25">
      <c r="A4006" t="s">
        <v>41</v>
      </c>
      <c r="B4006" t="s">
        <v>39</v>
      </c>
      <c r="C4006" t="s">
        <v>36</v>
      </c>
      <c r="D4006" t="s">
        <v>34</v>
      </c>
      <c r="E4006" t="s">
        <v>15</v>
      </c>
      <c r="F4006" t="s">
        <v>20</v>
      </c>
      <c r="G4006" s="2">
        <f>VALUE(161.6075792295)</f>
        <v>161.6075792295</v>
      </c>
      <c r="H4006" s="3">
        <f>VALUE(161.092630955)</f>
        <v>161.092630955</v>
      </c>
      <c r="I4006" s="4">
        <f>VALUE(3240)</f>
        <v>3240</v>
      </c>
      <c r="J4006" s="5">
        <f>VALUE(3267)</f>
        <v>3267</v>
      </c>
      <c r="K4006" s="6">
        <f>VALUE(4480)</f>
        <v>4480</v>
      </c>
      <c r="L4006" s="7">
        <f>VALUE(5525)</f>
        <v>5525</v>
      </c>
      <c r="M4006" s="1">
        <f>VALUE(6746)</f>
        <v>6746</v>
      </c>
      <c r="N4006" t="s">
        <v>25</v>
      </c>
    </row>
    <row r="4007" spans="1:14" x14ac:dyDescent="0.25">
      <c r="A4007" t="s">
        <v>41</v>
      </c>
      <c r="B4007" t="s">
        <v>39</v>
      </c>
      <c r="C4007" t="s">
        <v>36</v>
      </c>
      <c r="D4007" t="s">
        <v>34</v>
      </c>
      <c r="E4007" t="s">
        <v>21</v>
      </c>
      <c r="F4007" t="s">
        <v>15</v>
      </c>
      <c r="G4007" s="1" t="str">
        <f t="shared" ref="G4007:M4019" si="858">"X"</f>
        <v>X</v>
      </c>
      <c r="H4007" s="1" t="str">
        <f t="shared" si="858"/>
        <v>X</v>
      </c>
      <c r="I4007" s="1" t="str">
        <f t="shared" si="858"/>
        <v>X</v>
      </c>
      <c r="J4007" s="1" t="str">
        <f t="shared" si="858"/>
        <v>X</v>
      </c>
      <c r="K4007" s="1" t="str">
        <f t="shared" si="858"/>
        <v>X</v>
      </c>
      <c r="L4007" s="1" t="str">
        <f t="shared" si="858"/>
        <v>X</v>
      </c>
      <c r="M4007" s="1" t="str">
        <f t="shared" si="858"/>
        <v>X</v>
      </c>
      <c r="N4007" t="s">
        <v>27</v>
      </c>
    </row>
    <row r="4008" spans="1:14" x14ac:dyDescent="0.25">
      <c r="A4008" t="s">
        <v>41</v>
      </c>
      <c r="B4008" t="s">
        <v>39</v>
      </c>
      <c r="C4008" t="s">
        <v>36</v>
      </c>
      <c r="D4008" t="s">
        <v>34</v>
      </c>
      <c r="E4008" t="s">
        <v>21</v>
      </c>
      <c r="F4008" t="s">
        <v>17</v>
      </c>
      <c r="G4008" s="1" t="str">
        <f t="shared" si="858"/>
        <v>X</v>
      </c>
      <c r="H4008" s="1" t="str">
        <f t="shared" si="858"/>
        <v>X</v>
      </c>
      <c r="I4008" s="1" t="str">
        <f t="shared" si="858"/>
        <v>X</v>
      </c>
      <c r="J4008" s="1" t="str">
        <f t="shared" si="858"/>
        <v>X</v>
      </c>
      <c r="K4008" s="1" t="str">
        <f t="shared" si="858"/>
        <v>X</v>
      </c>
      <c r="L4008" s="1" t="str">
        <f t="shared" si="858"/>
        <v>X</v>
      </c>
      <c r="M4008" s="1" t="str">
        <f t="shared" si="858"/>
        <v>X</v>
      </c>
      <c r="N4008" t="s">
        <v>27</v>
      </c>
    </row>
    <row r="4009" spans="1:14" x14ac:dyDescent="0.25">
      <c r="A4009" t="s">
        <v>41</v>
      </c>
      <c r="B4009" t="s">
        <v>39</v>
      </c>
      <c r="C4009" t="s">
        <v>36</v>
      </c>
      <c r="D4009" t="s">
        <v>34</v>
      </c>
      <c r="E4009" t="s">
        <v>21</v>
      </c>
      <c r="F4009" t="s">
        <v>18</v>
      </c>
      <c r="G4009" s="1" t="str">
        <f t="shared" si="858"/>
        <v>X</v>
      </c>
      <c r="H4009" s="1" t="str">
        <f t="shared" si="858"/>
        <v>X</v>
      </c>
      <c r="I4009" s="1" t="str">
        <f t="shared" si="858"/>
        <v>X</v>
      </c>
      <c r="J4009" s="1" t="str">
        <f t="shared" si="858"/>
        <v>X</v>
      </c>
      <c r="K4009" s="1" t="str">
        <f t="shared" si="858"/>
        <v>X</v>
      </c>
      <c r="L4009" s="1" t="str">
        <f t="shared" si="858"/>
        <v>X</v>
      </c>
      <c r="M4009" s="1" t="str">
        <f t="shared" si="858"/>
        <v>X</v>
      </c>
      <c r="N4009" t="s">
        <v>27</v>
      </c>
    </row>
    <row r="4010" spans="1:14" x14ac:dyDescent="0.25">
      <c r="A4010" t="s">
        <v>41</v>
      </c>
      <c r="B4010" t="s">
        <v>39</v>
      </c>
      <c r="C4010" t="s">
        <v>36</v>
      </c>
      <c r="D4010" t="s">
        <v>34</v>
      </c>
      <c r="E4010" t="s">
        <v>21</v>
      </c>
      <c r="F4010" t="s">
        <v>19</v>
      </c>
      <c r="G4010" s="1" t="str">
        <f t="shared" si="858"/>
        <v>X</v>
      </c>
      <c r="H4010" s="1" t="str">
        <f t="shared" si="858"/>
        <v>X</v>
      </c>
      <c r="I4010" s="1" t="str">
        <f t="shared" si="858"/>
        <v>X</v>
      </c>
      <c r="J4010" s="1" t="str">
        <f t="shared" si="858"/>
        <v>X</v>
      </c>
      <c r="K4010" s="1" t="str">
        <f t="shared" si="858"/>
        <v>X</v>
      </c>
      <c r="L4010" s="1" t="str">
        <f t="shared" si="858"/>
        <v>X</v>
      </c>
      <c r="M4010" s="1" t="str">
        <f t="shared" si="858"/>
        <v>X</v>
      </c>
      <c r="N4010" t="s">
        <v>27</v>
      </c>
    </row>
    <row r="4011" spans="1:14" x14ac:dyDescent="0.25">
      <c r="A4011" t="s">
        <v>41</v>
      </c>
      <c r="B4011" t="s">
        <v>39</v>
      </c>
      <c r="C4011" t="s">
        <v>36</v>
      </c>
      <c r="D4011" t="s">
        <v>34</v>
      </c>
      <c r="E4011" t="s">
        <v>21</v>
      </c>
      <c r="F4011" t="s">
        <v>20</v>
      </c>
      <c r="G4011" s="1" t="str">
        <f t="shared" si="858"/>
        <v>X</v>
      </c>
      <c r="H4011" s="1" t="str">
        <f t="shared" si="858"/>
        <v>X</v>
      </c>
      <c r="I4011" s="1" t="str">
        <f t="shared" si="858"/>
        <v>X</v>
      </c>
      <c r="J4011" s="1" t="str">
        <f t="shared" si="858"/>
        <v>X</v>
      </c>
      <c r="K4011" s="1" t="str">
        <f t="shared" si="858"/>
        <v>X</v>
      </c>
      <c r="L4011" s="1" t="str">
        <f t="shared" si="858"/>
        <v>X</v>
      </c>
      <c r="M4011" s="1" t="str">
        <f t="shared" si="858"/>
        <v>X</v>
      </c>
      <c r="N4011" t="s">
        <v>27</v>
      </c>
    </row>
    <row r="4012" spans="1:14" x14ac:dyDescent="0.25">
      <c r="A4012" t="s">
        <v>41</v>
      </c>
      <c r="B4012" t="s">
        <v>39</v>
      </c>
      <c r="C4012" t="s">
        <v>36</v>
      </c>
      <c r="D4012" t="s">
        <v>34</v>
      </c>
      <c r="E4012" t="s">
        <v>22</v>
      </c>
      <c r="F4012" t="s">
        <v>15</v>
      </c>
      <c r="G4012" s="1" t="str">
        <f t="shared" si="858"/>
        <v>X</v>
      </c>
      <c r="H4012" s="1" t="str">
        <f t="shared" si="858"/>
        <v>X</v>
      </c>
      <c r="I4012" s="1" t="str">
        <f t="shared" si="858"/>
        <v>X</v>
      </c>
      <c r="J4012" s="1" t="str">
        <f t="shared" si="858"/>
        <v>X</v>
      </c>
      <c r="K4012" s="1" t="str">
        <f t="shared" si="858"/>
        <v>X</v>
      </c>
      <c r="L4012" s="1" t="str">
        <f t="shared" si="858"/>
        <v>X</v>
      </c>
      <c r="M4012" s="1" t="str">
        <f t="shared" si="858"/>
        <v>X</v>
      </c>
      <c r="N4012" t="s">
        <v>27</v>
      </c>
    </row>
    <row r="4013" spans="1:14" x14ac:dyDescent="0.25">
      <c r="A4013" t="s">
        <v>41</v>
      </c>
      <c r="B4013" t="s">
        <v>39</v>
      </c>
      <c r="C4013" t="s">
        <v>36</v>
      </c>
      <c r="D4013" t="s">
        <v>34</v>
      </c>
      <c r="E4013" t="s">
        <v>22</v>
      </c>
      <c r="F4013" t="s">
        <v>17</v>
      </c>
      <c r="G4013" s="1" t="str">
        <f t="shared" si="858"/>
        <v>X</v>
      </c>
      <c r="H4013" s="1" t="str">
        <f t="shared" si="858"/>
        <v>X</v>
      </c>
      <c r="I4013" s="1" t="str">
        <f t="shared" si="858"/>
        <v>X</v>
      </c>
      <c r="J4013" s="1" t="str">
        <f t="shared" si="858"/>
        <v>X</v>
      </c>
      <c r="K4013" s="1" t="str">
        <f t="shared" si="858"/>
        <v>X</v>
      </c>
      <c r="L4013" s="1" t="str">
        <f t="shared" si="858"/>
        <v>X</v>
      </c>
      <c r="M4013" s="1" t="str">
        <f t="shared" si="858"/>
        <v>X</v>
      </c>
      <c r="N4013" t="s">
        <v>27</v>
      </c>
    </row>
    <row r="4014" spans="1:14" x14ac:dyDescent="0.25">
      <c r="A4014" t="s">
        <v>41</v>
      </c>
      <c r="B4014" t="s">
        <v>39</v>
      </c>
      <c r="C4014" t="s">
        <v>36</v>
      </c>
      <c r="D4014" t="s">
        <v>34</v>
      </c>
      <c r="E4014" t="s">
        <v>22</v>
      </c>
      <c r="F4014" t="s">
        <v>18</v>
      </c>
      <c r="G4014" s="1" t="str">
        <f t="shared" si="858"/>
        <v>X</v>
      </c>
      <c r="H4014" s="1" t="str">
        <f t="shared" si="858"/>
        <v>X</v>
      </c>
      <c r="I4014" s="1" t="str">
        <f t="shared" si="858"/>
        <v>X</v>
      </c>
      <c r="J4014" s="1" t="str">
        <f t="shared" si="858"/>
        <v>X</v>
      </c>
      <c r="K4014" s="1" t="str">
        <f t="shared" si="858"/>
        <v>X</v>
      </c>
      <c r="L4014" s="1" t="str">
        <f t="shared" si="858"/>
        <v>X</v>
      </c>
      <c r="M4014" s="1" t="str">
        <f t="shared" si="858"/>
        <v>X</v>
      </c>
      <c r="N4014" t="s">
        <v>27</v>
      </c>
    </row>
    <row r="4015" spans="1:14" x14ac:dyDescent="0.25">
      <c r="A4015" t="s">
        <v>41</v>
      </c>
      <c r="B4015" t="s">
        <v>39</v>
      </c>
      <c r="C4015" t="s">
        <v>36</v>
      </c>
      <c r="D4015" t="s">
        <v>34</v>
      </c>
      <c r="E4015" t="s">
        <v>22</v>
      </c>
      <c r="F4015" t="s">
        <v>19</v>
      </c>
      <c r="G4015" s="1" t="str">
        <f t="shared" si="858"/>
        <v>X</v>
      </c>
      <c r="H4015" s="1" t="str">
        <f t="shared" si="858"/>
        <v>X</v>
      </c>
      <c r="I4015" s="1" t="str">
        <f t="shared" si="858"/>
        <v>X</v>
      </c>
      <c r="J4015" s="1" t="str">
        <f t="shared" si="858"/>
        <v>X</v>
      </c>
      <c r="K4015" s="1" t="str">
        <f t="shared" si="858"/>
        <v>X</v>
      </c>
      <c r="L4015" s="1" t="str">
        <f t="shared" si="858"/>
        <v>X</v>
      </c>
      <c r="M4015" s="1" t="str">
        <f t="shared" si="858"/>
        <v>X</v>
      </c>
      <c r="N4015" t="s">
        <v>27</v>
      </c>
    </row>
    <row r="4016" spans="1:14" x14ac:dyDescent="0.25">
      <c r="A4016" t="s">
        <v>41</v>
      </c>
      <c r="B4016" t="s">
        <v>39</v>
      </c>
      <c r="C4016" t="s">
        <v>36</v>
      </c>
      <c r="D4016" t="s">
        <v>34</v>
      </c>
      <c r="E4016" t="s">
        <v>22</v>
      </c>
      <c r="F4016" t="s">
        <v>20</v>
      </c>
      <c r="G4016" s="1" t="str">
        <f t="shared" si="858"/>
        <v>X</v>
      </c>
      <c r="H4016" s="1" t="str">
        <f t="shared" si="858"/>
        <v>X</v>
      </c>
      <c r="I4016" s="1" t="str">
        <f t="shared" si="858"/>
        <v>X</v>
      </c>
      <c r="J4016" s="1" t="str">
        <f t="shared" si="858"/>
        <v>X</v>
      </c>
      <c r="K4016" s="1" t="str">
        <f t="shared" si="858"/>
        <v>X</v>
      </c>
      <c r="L4016" s="1" t="str">
        <f t="shared" si="858"/>
        <v>X</v>
      </c>
      <c r="M4016" s="1" t="str">
        <f t="shared" si="858"/>
        <v>X</v>
      </c>
      <c r="N4016" t="s">
        <v>27</v>
      </c>
    </row>
    <row r="4017" spans="1:14" x14ac:dyDescent="0.25">
      <c r="A4017" t="s">
        <v>41</v>
      </c>
      <c r="B4017" t="s">
        <v>39</v>
      </c>
      <c r="C4017" t="s">
        <v>36</v>
      </c>
      <c r="D4017" t="s">
        <v>34</v>
      </c>
      <c r="E4017" t="s">
        <v>23</v>
      </c>
      <c r="F4017" t="s">
        <v>15</v>
      </c>
      <c r="G4017" s="1" t="str">
        <f t="shared" si="858"/>
        <v>X</v>
      </c>
      <c r="H4017" s="1" t="str">
        <f t="shared" si="858"/>
        <v>X</v>
      </c>
      <c r="I4017" s="1" t="str">
        <f t="shared" si="858"/>
        <v>X</v>
      </c>
      <c r="J4017" s="1" t="str">
        <f t="shared" si="858"/>
        <v>X</v>
      </c>
      <c r="K4017" s="1" t="str">
        <f t="shared" si="858"/>
        <v>X</v>
      </c>
      <c r="L4017" s="1" t="str">
        <f t="shared" si="858"/>
        <v>X</v>
      </c>
      <c r="M4017" s="1" t="str">
        <f t="shared" si="858"/>
        <v>X</v>
      </c>
      <c r="N4017" t="s">
        <v>27</v>
      </c>
    </row>
    <row r="4018" spans="1:14" x14ac:dyDescent="0.25">
      <c r="A4018" t="s">
        <v>41</v>
      </c>
      <c r="B4018" t="s">
        <v>39</v>
      </c>
      <c r="C4018" t="s">
        <v>36</v>
      </c>
      <c r="D4018" t="s">
        <v>34</v>
      </c>
      <c r="E4018" t="s">
        <v>23</v>
      </c>
      <c r="F4018" t="s">
        <v>17</v>
      </c>
      <c r="G4018" s="1" t="str">
        <f t="shared" si="858"/>
        <v>X</v>
      </c>
      <c r="H4018" s="1" t="str">
        <f t="shared" si="858"/>
        <v>X</v>
      </c>
      <c r="I4018" s="1" t="str">
        <f t="shared" si="858"/>
        <v>X</v>
      </c>
      <c r="J4018" s="1" t="str">
        <f t="shared" si="858"/>
        <v>X</v>
      </c>
      <c r="K4018" s="1" t="str">
        <f t="shared" si="858"/>
        <v>X</v>
      </c>
      <c r="L4018" s="1" t="str">
        <f t="shared" si="858"/>
        <v>X</v>
      </c>
      <c r="M4018" s="1" t="str">
        <f t="shared" si="858"/>
        <v>X</v>
      </c>
      <c r="N4018" t="s">
        <v>27</v>
      </c>
    </row>
    <row r="4019" spans="1:14" x14ac:dyDescent="0.25">
      <c r="A4019" t="s">
        <v>41</v>
      </c>
      <c r="B4019" t="s">
        <v>39</v>
      </c>
      <c r="C4019" t="s">
        <v>36</v>
      </c>
      <c r="D4019" t="s">
        <v>34</v>
      </c>
      <c r="E4019" t="s">
        <v>23</v>
      </c>
      <c r="F4019" t="s">
        <v>18</v>
      </c>
      <c r="G4019" s="1" t="str">
        <f t="shared" si="858"/>
        <v>X</v>
      </c>
      <c r="H4019" s="1" t="str">
        <f t="shared" si="858"/>
        <v>X</v>
      </c>
      <c r="I4019" s="1" t="str">
        <f t="shared" si="858"/>
        <v>X</v>
      </c>
      <c r="J4019" s="1" t="str">
        <f t="shared" si="858"/>
        <v>X</v>
      </c>
      <c r="K4019" s="1" t="str">
        <f t="shared" si="858"/>
        <v>X</v>
      </c>
      <c r="L4019" s="1" t="str">
        <f t="shared" si="858"/>
        <v>X</v>
      </c>
      <c r="M4019" s="1" t="str">
        <f t="shared" si="858"/>
        <v>X</v>
      </c>
      <c r="N4019" t="s">
        <v>27</v>
      </c>
    </row>
    <row r="4020" spans="1:14" x14ac:dyDescent="0.25">
      <c r="A4020" t="s">
        <v>41</v>
      </c>
      <c r="B4020" t="s">
        <v>39</v>
      </c>
      <c r="C4020" t="s">
        <v>36</v>
      </c>
      <c r="D4020" t="s">
        <v>34</v>
      </c>
      <c r="E4020" t="s">
        <v>23</v>
      </c>
      <c r="F4020" t="s">
        <v>19</v>
      </c>
      <c r="G4020" s="1" t="str">
        <f t="shared" ref="G4020:M4020" si="859">"..."</f>
        <v>...</v>
      </c>
      <c r="H4020" s="1" t="str">
        <f t="shared" si="859"/>
        <v>...</v>
      </c>
      <c r="I4020" s="1" t="str">
        <f t="shared" si="859"/>
        <v>...</v>
      </c>
      <c r="J4020" s="1" t="str">
        <f t="shared" si="859"/>
        <v>...</v>
      </c>
      <c r="K4020" s="1" t="str">
        <f t="shared" si="859"/>
        <v>...</v>
      </c>
      <c r="L4020" s="1" t="str">
        <f t="shared" si="859"/>
        <v>...</v>
      </c>
      <c r="M4020" s="1" t="str">
        <f t="shared" si="859"/>
        <v>...</v>
      </c>
      <c r="N4020" t="s">
        <v>30</v>
      </c>
    </row>
    <row r="4021" spans="1:14" x14ac:dyDescent="0.25">
      <c r="A4021" t="s">
        <v>41</v>
      </c>
      <c r="B4021" t="s">
        <v>39</v>
      </c>
      <c r="C4021" t="s">
        <v>36</v>
      </c>
      <c r="D4021" t="s">
        <v>34</v>
      </c>
      <c r="E4021" t="s">
        <v>23</v>
      </c>
      <c r="F4021" t="s">
        <v>20</v>
      </c>
      <c r="G4021" s="1" t="str">
        <f t="shared" ref="G4021:M4021" si="860">"X"</f>
        <v>X</v>
      </c>
      <c r="H4021" s="1" t="str">
        <f t="shared" si="860"/>
        <v>X</v>
      </c>
      <c r="I4021" s="1" t="str">
        <f t="shared" si="860"/>
        <v>X</v>
      </c>
      <c r="J4021" s="1" t="str">
        <f t="shared" si="860"/>
        <v>X</v>
      </c>
      <c r="K4021" s="1" t="str">
        <f t="shared" si="860"/>
        <v>X</v>
      </c>
      <c r="L4021" s="1" t="str">
        <f t="shared" si="860"/>
        <v>X</v>
      </c>
      <c r="M4021" s="1" t="str">
        <f t="shared" si="860"/>
        <v>X</v>
      </c>
      <c r="N4021" t="s">
        <v>27</v>
      </c>
    </row>
    <row r="4022" spans="1:14" x14ac:dyDescent="0.25">
      <c r="A4022" t="s">
        <v>41</v>
      </c>
      <c r="B4022" t="s">
        <v>39</v>
      </c>
      <c r="C4022" t="s">
        <v>36</v>
      </c>
      <c r="D4022" t="s">
        <v>34</v>
      </c>
      <c r="E4022" t="s">
        <v>26</v>
      </c>
      <c r="F4022" t="s">
        <v>15</v>
      </c>
      <c r="G4022" s="1" t="str">
        <f t="shared" ref="G4022:M4026" si="861">"..."</f>
        <v>...</v>
      </c>
      <c r="H4022" s="1" t="str">
        <f t="shared" si="861"/>
        <v>...</v>
      </c>
      <c r="I4022" s="1" t="str">
        <f t="shared" si="861"/>
        <v>...</v>
      </c>
      <c r="J4022" s="1" t="str">
        <f t="shared" si="861"/>
        <v>...</v>
      </c>
      <c r="K4022" s="1" t="str">
        <f t="shared" si="861"/>
        <v>...</v>
      </c>
      <c r="L4022" s="1" t="str">
        <f t="shared" si="861"/>
        <v>...</v>
      </c>
      <c r="M4022" s="1" t="str">
        <f t="shared" si="861"/>
        <v>...</v>
      </c>
      <c r="N4022" t="s">
        <v>30</v>
      </c>
    </row>
    <row r="4023" spans="1:14" x14ac:dyDescent="0.25">
      <c r="A4023" t="s">
        <v>41</v>
      </c>
      <c r="B4023" t="s">
        <v>39</v>
      </c>
      <c r="C4023" t="s">
        <v>36</v>
      </c>
      <c r="D4023" t="s">
        <v>34</v>
      </c>
      <c r="E4023" t="s">
        <v>26</v>
      </c>
      <c r="F4023" t="s">
        <v>17</v>
      </c>
      <c r="G4023" s="1" t="str">
        <f t="shared" si="861"/>
        <v>...</v>
      </c>
      <c r="H4023" s="1" t="str">
        <f t="shared" si="861"/>
        <v>...</v>
      </c>
      <c r="I4023" s="1" t="str">
        <f t="shared" si="861"/>
        <v>...</v>
      </c>
      <c r="J4023" s="1" t="str">
        <f t="shared" si="861"/>
        <v>...</v>
      </c>
      <c r="K4023" s="1" t="str">
        <f t="shared" si="861"/>
        <v>...</v>
      </c>
      <c r="L4023" s="1" t="str">
        <f t="shared" si="861"/>
        <v>...</v>
      </c>
      <c r="M4023" s="1" t="str">
        <f t="shared" si="861"/>
        <v>...</v>
      </c>
      <c r="N4023" t="s">
        <v>30</v>
      </c>
    </row>
    <row r="4024" spans="1:14" x14ac:dyDescent="0.25">
      <c r="A4024" t="s">
        <v>41</v>
      </c>
      <c r="B4024" t="s">
        <v>39</v>
      </c>
      <c r="C4024" t="s">
        <v>36</v>
      </c>
      <c r="D4024" t="s">
        <v>34</v>
      </c>
      <c r="E4024" t="s">
        <v>26</v>
      </c>
      <c r="F4024" t="s">
        <v>18</v>
      </c>
      <c r="G4024" s="1" t="str">
        <f t="shared" si="861"/>
        <v>...</v>
      </c>
      <c r="H4024" s="1" t="str">
        <f t="shared" si="861"/>
        <v>...</v>
      </c>
      <c r="I4024" s="1" t="str">
        <f t="shared" si="861"/>
        <v>...</v>
      </c>
      <c r="J4024" s="1" t="str">
        <f t="shared" si="861"/>
        <v>...</v>
      </c>
      <c r="K4024" s="1" t="str">
        <f t="shared" si="861"/>
        <v>...</v>
      </c>
      <c r="L4024" s="1" t="str">
        <f t="shared" si="861"/>
        <v>...</v>
      </c>
      <c r="M4024" s="1" t="str">
        <f t="shared" si="861"/>
        <v>...</v>
      </c>
      <c r="N4024" t="s">
        <v>30</v>
      </c>
    </row>
    <row r="4025" spans="1:14" x14ac:dyDescent="0.25">
      <c r="A4025" t="s">
        <v>41</v>
      </c>
      <c r="B4025" t="s">
        <v>39</v>
      </c>
      <c r="C4025" t="s">
        <v>36</v>
      </c>
      <c r="D4025" t="s">
        <v>34</v>
      </c>
      <c r="E4025" t="s">
        <v>26</v>
      </c>
      <c r="F4025" t="s">
        <v>19</v>
      </c>
      <c r="G4025" s="1" t="str">
        <f t="shared" si="861"/>
        <v>...</v>
      </c>
      <c r="H4025" s="1" t="str">
        <f t="shared" si="861"/>
        <v>...</v>
      </c>
      <c r="I4025" s="1" t="str">
        <f t="shared" si="861"/>
        <v>...</v>
      </c>
      <c r="J4025" s="1" t="str">
        <f t="shared" si="861"/>
        <v>...</v>
      </c>
      <c r="K4025" s="1" t="str">
        <f t="shared" si="861"/>
        <v>...</v>
      </c>
      <c r="L4025" s="1" t="str">
        <f t="shared" si="861"/>
        <v>...</v>
      </c>
      <c r="M4025" s="1" t="str">
        <f t="shared" si="861"/>
        <v>...</v>
      </c>
      <c r="N4025" t="s">
        <v>30</v>
      </c>
    </row>
    <row r="4026" spans="1:14" x14ac:dyDescent="0.25">
      <c r="A4026" t="s">
        <v>41</v>
      </c>
      <c r="B4026" t="s">
        <v>39</v>
      </c>
      <c r="C4026" t="s">
        <v>36</v>
      </c>
      <c r="D4026" t="s">
        <v>34</v>
      </c>
      <c r="E4026" t="s">
        <v>26</v>
      </c>
      <c r="F4026" t="s">
        <v>20</v>
      </c>
      <c r="G4026" s="1" t="str">
        <f t="shared" si="861"/>
        <v>...</v>
      </c>
      <c r="H4026" s="1" t="str">
        <f t="shared" si="861"/>
        <v>...</v>
      </c>
      <c r="I4026" s="1" t="str">
        <f t="shared" si="861"/>
        <v>...</v>
      </c>
      <c r="J4026" s="1" t="str">
        <f t="shared" si="861"/>
        <v>...</v>
      </c>
      <c r="K4026" s="1" t="str">
        <f t="shared" si="861"/>
        <v>...</v>
      </c>
      <c r="L4026" s="1" t="str">
        <f t="shared" si="861"/>
        <v>...</v>
      </c>
      <c r="M4026" s="1" t="str">
        <f t="shared" si="861"/>
        <v>...</v>
      </c>
      <c r="N4026" t="s">
        <v>30</v>
      </c>
    </row>
    <row r="4027" spans="1:14" x14ac:dyDescent="0.25">
      <c r="A4027" t="s">
        <v>41</v>
      </c>
      <c r="B4027" t="s">
        <v>39</v>
      </c>
      <c r="C4027" t="s">
        <v>37</v>
      </c>
      <c r="D4027" t="s">
        <v>15</v>
      </c>
      <c r="E4027" t="s">
        <v>15</v>
      </c>
      <c r="F4027" t="s">
        <v>15</v>
      </c>
      <c r="G4027" s="1">
        <f>VALUE(30566.9999765508)</f>
        <v>30566.9999765508</v>
      </c>
      <c r="H4027" s="1">
        <f>VALUE(30284.0377688277)</f>
        <v>30284.0377688277</v>
      </c>
      <c r="I4027" s="1">
        <f>VALUE(3805)</f>
        <v>3805</v>
      </c>
      <c r="J4027" s="1">
        <f>VALUE(4604)</f>
        <v>4604</v>
      </c>
      <c r="K4027" s="1">
        <f>VALUE(5660)</f>
        <v>5660</v>
      </c>
      <c r="L4027" s="1">
        <f>VALUE(7204)</f>
        <v>7204</v>
      </c>
      <c r="M4027" s="1">
        <f>VALUE(10196)</f>
        <v>10196</v>
      </c>
      <c r="N4027" t="s">
        <v>16</v>
      </c>
    </row>
    <row r="4028" spans="1:14" x14ac:dyDescent="0.25">
      <c r="A4028" t="s">
        <v>41</v>
      </c>
      <c r="B4028" t="s">
        <v>39</v>
      </c>
      <c r="C4028" t="s">
        <v>37</v>
      </c>
      <c r="D4028" t="s">
        <v>15</v>
      </c>
      <c r="E4028" t="s">
        <v>15</v>
      </c>
      <c r="F4028" t="s">
        <v>17</v>
      </c>
      <c r="G4028" s="1">
        <f>VALUE(6335.319978889)</f>
        <v>6335.3199788889997</v>
      </c>
      <c r="H4028" s="1">
        <f>VALUE(6389.0407764715)</f>
        <v>6389.0407764715001</v>
      </c>
      <c r="I4028" s="1">
        <f>VALUE(4878)</f>
        <v>4878</v>
      </c>
      <c r="J4028" s="1">
        <f>VALUE(6194)</f>
        <v>6194</v>
      </c>
      <c r="K4028" s="1">
        <f>VALUE(8548)</f>
        <v>8548</v>
      </c>
      <c r="L4028" s="1">
        <f>VALUE(12154)</f>
        <v>12154</v>
      </c>
      <c r="M4028" s="1">
        <f>VALUE(18583)</f>
        <v>18583</v>
      </c>
      <c r="N4028" t="s">
        <v>16</v>
      </c>
    </row>
    <row r="4029" spans="1:14" x14ac:dyDescent="0.25">
      <c r="A4029" t="s">
        <v>41</v>
      </c>
      <c r="B4029" t="s">
        <v>39</v>
      </c>
      <c r="C4029" t="s">
        <v>37</v>
      </c>
      <c r="D4029" t="s">
        <v>15</v>
      </c>
      <c r="E4029" t="s">
        <v>15</v>
      </c>
      <c r="F4029" t="s">
        <v>18</v>
      </c>
      <c r="G4029" s="1">
        <f>VALUE(4038.5873628332)</f>
        <v>4038.5873628332001</v>
      </c>
      <c r="H4029" s="1">
        <f>VALUE(3978.3288535861)</f>
        <v>3978.3288535861002</v>
      </c>
      <c r="I4029" s="1">
        <f>VALUE(4436)</f>
        <v>4436</v>
      </c>
      <c r="J4029" s="1">
        <f>VALUE(5200)</f>
        <v>5200</v>
      </c>
      <c r="K4029" s="1">
        <f>VALUE(6249)</f>
        <v>6249</v>
      </c>
      <c r="L4029" s="1">
        <f>VALUE(8043)</f>
        <v>8043</v>
      </c>
      <c r="M4029" s="1">
        <f>VALUE(10238)</f>
        <v>10238</v>
      </c>
      <c r="N4029" t="s">
        <v>16</v>
      </c>
    </row>
    <row r="4030" spans="1:14" x14ac:dyDescent="0.25">
      <c r="A4030" t="s">
        <v>41</v>
      </c>
      <c r="B4030" t="s">
        <v>39</v>
      </c>
      <c r="C4030" t="s">
        <v>37</v>
      </c>
      <c r="D4030" t="s">
        <v>15</v>
      </c>
      <c r="E4030" t="s">
        <v>15</v>
      </c>
      <c r="F4030" t="s">
        <v>19</v>
      </c>
      <c r="G4030" s="1">
        <f>VALUE(4309.5911560143)</f>
        <v>4309.5911560143004</v>
      </c>
      <c r="H4030" s="1">
        <f>VALUE(4153.6715641929)</f>
        <v>4153.6715641929004</v>
      </c>
      <c r="I4030" s="1">
        <f>VALUE(4024)</f>
        <v>4024</v>
      </c>
      <c r="J4030" s="1">
        <f>VALUE(4742)</f>
        <v>4742</v>
      </c>
      <c r="K4030" s="1">
        <f>VALUE(5721)</f>
        <v>5721</v>
      </c>
      <c r="L4030" s="1">
        <f>VALUE(6749)</f>
        <v>6749</v>
      </c>
      <c r="M4030" s="1">
        <f>VALUE(7948)</f>
        <v>7948</v>
      </c>
      <c r="N4030" t="s">
        <v>16</v>
      </c>
    </row>
    <row r="4031" spans="1:14" x14ac:dyDescent="0.25">
      <c r="A4031" t="s">
        <v>41</v>
      </c>
      <c r="B4031" t="s">
        <v>39</v>
      </c>
      <c r="C4031" t="s">
        <v>37</v>
      </c>
      <c r="D4031" t="s">
        <v>15</v>
      </c>
      <c r="E4031" t="s">
        <v>15</v>
      </c>
      <c r="F4031" t="s">
        <v>20</v>
      </c>
      <c r="G4031" s="1">
        <f>VALUE(15866.7299720355)</f>
        <v>15866.7299720355</v>
      </c>
      <c r="H4031" s="1">
        <f>VALUE(15745.2738656445)</f>
        <v>15745.2738656445</v>
      </c>
      <c r="I4031" s="1">
        <f>VALUE(3567)</f>
        <v>3567</v>
      </c>
      <c r="J4031" s="1">
        <f>VALUE(4228)</f>
        <v>4228</v>
      </c>
      <c r="K4031" s="1">
        <f>VALUE(5113)</f>
        <v>5113</v>
      </c>
      <c r="L4031" s="1">
        <f>VALUE(5982)</f>
        <v>5982</v>
      </c>
      <c r="M4031" s="1">
        <f>VALUE(7049)</f>
        <v>7049</v>
      </c>
      <c r="N4031" t="s">
        <v>16</v>
      </c>
    </row>
    <row r="4032" spans="1:14" x14ac:dyDescent="0.25">
      <c r="A4032" t="s">
        <v>41</v>
      </c>
      <c r="B4032" t="s">
        <v>39</v>
      </c>
      <c r="C4032" t="s">
        <v>37</v>
      </c>
      <c r="D4032" t="s">
        <v>15</v>
      </c>
      <c r="E4032" t="s">
        <v>21</v>
      </c>
      <c r="F4032" t="s">
        <v>15</v>
      </c>
      <c r="G4032" s="1">
        <f>VALUE(8175.4471509306)</f>
        <v>8175.4471509306004</v>
      </c>
      <c r="H4032" s="1">
        <f>VALUE(7859.8116299337)</f>
        <v>7859.8116299336998</v>
      </c>
      <c r="I4032" s="1">
        <f>VALUE(4628)</f>
        <v>4628</v>
      </c>
      <c r="J4032" s="1">
        <f>VALUE(5952)</f>
        <v>5952</v>
      </c>
      <c r="K4032" s="1">
        <f>VALUE(7848)</f>
        <v>7848</v>
      </c>
      <c r="L4032" s="1">
        <f>VALUE(10670)</f>
        <v>10670</v>
      </c>
      <c r="M4032" s="1">
        <f>VALUE(15249)</f>
        <v>15249</v>
      </c>
      <c r="N4032" t="s">
        <v>16</v>
      </c>
    </row>
    <row r="4033" spans="1:14" x14ac:dyDescent="0.25">
      <c r="A4033" t="s">
        <v>41</v>
      </c>
      <c r="B4033" t="s">
        <v>39</v>
      </c>
      <c r="C4033" t="s">
        <v>37</v>
      </c>
      <c r="D4033" t="s">
        <v>15</v>
      </c>
      <c r="E4033" t="s">
        <v>21</v>
      </c>
      <c r="F4033" t="s">
        <v>17</v>
      </c>
      <c r="G4033" s="1">
        <f>VALUE(3889.9424914125)</f>
        <v>3889.9424914125002</v>
      </c>
      <c r="H4033" s="1">
        <f>VALUE(3868.9930784657)</f>
        <v>3868.9930784656999</v>
      </c>
      <c r="I4033" s="1">
        <f>VALUE(5148)</f>
        <v>5148</v>
      </c>
      <c r="J4033" s="1">
        <f>VALUE(6947)</f>
        <v>6947</v>
      </c>
      <c r="K4033" s="1">
        <f>VALUE(9591)</f>
        <v>9591</v>
      </c>
      <c r="L4033" s="1">
        <f>VALUE(13295)</f>
        <v>13295</v>
      </c>
      <c r="M4033" s="8">
        <f>VALUE(20139)</f>
        <v>20139</v>
      </c>
      <c r="N4033" t="s">
        <v>25</v>
      </c>
    </row>
    <row r="4034" spans="1:14" x14ac:dyDescent="0.25">
      <c r="A4034" t="s">
        <v>41</v>
      </c>
      <c r="B4034" t="s">
        <v>39</v>
      </c>
      <c r="C4034" t="s">
        <v>37</v>
      </c>
      <c r="D4034" t="s">
        <v>15</v>
      </c>
      <c r="E4034" t="s">
        <v>21</v>
      </c>
      <c r="F4034" t="s">
        <v>18</v>
      </c>
      <c r="G4034" s="1">
        <f>VALUE(1596.589670333)</f>
        <v>1596.589670333</v>
      </c>
      <c r="H4034" s="1">
        <f>VALUE(1514.6115740306)</f>
        <v>1514.6115740306</v>
      </c>
      <c r="I4034" s="1">
        <f>VALUE(4706)</f>
        <v>4706</v>
      </c>
      <c r="J4034" s="1">
        <f>VALUE(5840)</f>
        <v>5840</v>
      </c>
      <c r="K4034" s="1">
        <f>VALUE(7563)</f>
        <v>7563</v>
      </c>
      <c r="L4034" s="1">
        <f>VALUE(9554)</f>
        <v>9554</v>
      </c>
      <c r="M4034" s="1">
        <f>VALUE(11958)</f>
        <v>11958</v>
      </c>
      <c r="N4034" t="s">
        <v>16</v>
      </c>
    </row>
    <row r="4035" spans="1:14" x14ac:dyDescent="0.25">
      <c r="A4035" t="s">
        <v>41</v>
      </c>
      <c r="B4035" t="s">
        <v>39</v>
      </c>
      <c r="C4035" t="s">
        <v>37</v>
      </c>
      <c r="D4035" t="s">
        <v>15</v>
      </c>
      <c r="E4035" t="s">
        <v>21</v>
      </c>
      <c r="F4035" t="s">
        <v>19</v>
      </c>
      <c r="G4035" s="2">
        <f>VALUE(1127.5585691598)</f>
        <v>1127.5585691598001</v>
      </c>
      <c r="H4035" s="3">
        <f>VALUE(997.4158098781)</f>
        <v>997.41580987810005</v>
      </c>
      <c r="I4035" s="1">
        <f>VALUE(4537)</f>
        <v>4537</v>
      </c>
      <c r="J4035" s="1">
        <f>VALUE(5482)</f>
        <v>5482</v>
      </c>
      <c r="K4035" s="1">
        <f>VALUE(6609)</f>
        <v>6609</v>
      </c>
      <c r="L4035" s="1">
        <f>VALUE(7965)</f>
        <v>7965</v>
      </c>
      <c r="M4035" s="1">
        <f>VALUE(9810)</f>
        <v>9810</v>
      </c>
      <c r="N4035" t="s">
        <v>25</v>
      </c>
    </row>
    <row r="4036" spans="1:14" x14ac:dyDescent="0.25">
      <c r="A4036" t="s">
        <v>41</v>
      </c>
      <c r="B4036" t="s">
        <v>39</v>
      </c>
      <c r="C4036" t="s">
        <v>37</v>
      </c>
      <c r="D4036" t="s">
        <v>15</v>
      </c>
      <c r="E4036" t="s">
        <v>21</v>
      </c>
      <c r="F4036" t="s">
        <v>20</v>
      </c>
      <c r="G4036" s="1">
        <f>VALUE(1561.3564200253)</f>
        <v>1561.3564200252999</v>
      </c>
      <c r="H4036" s="1">
        <f>VALUE(1478.7911675593)</f>
        <v>1478.7911675593</v>
      </c>
      <c r="I4036" s="1">
        <f>VALUE(4089)</f>
        <v>4089</v>
      </c>
      <c r="J4036" s="1">
        <f>VALUE(4964)</f>
        <v>4964</v>
      </c>
      <c r="K4036" s="1">
        <f>VALUE(6399)</f>
        <v>6399</v>
      </c>
      <c r="L4036" s="1">
        <f>VALUE(7858)</f>
        <v>7858</v>
      </c>
      <c r="M4036" s="1">
        <f>VALUE(9466)</f>
        <v>9466</v>
      </c>
      <c r="N4036" t="s">
        <v>16</v>
      </c>
    </row>
    <row r="4037" spans="1:14" x14ac:dyDescent="0.25">
      <c r="A4037" t="s">
        <v>41</v>
      </c>
      <c r="B4037" t="s">
        <v>39</v>
      </c>
      <c r="C4037" t="s">
        <v>37</v>
      </c>
      <c r="D4037" t="s">
        <v>15</v>
      </c>
      <c r="E4037" t="s">
        <v>22</v>
      </c>
      <c r="F4037" t="s">
        <v>15</v>
      </c>
      <c r="G4037" s="1">
        <f>VALUE(10827.7521866037)</f>
        <v>10827.7521866037</v>
      </c>
      <c r="H4037" s="1">
        <f>VALUE(10818.6027480448)</f>
        <v>10818.602748044799</v>
      </c>
      <c r="I4037" s="1">
        <f>VALUE(4048)</f>
        <v>4048</v>
      </c>
      <c r="J4037" s="1">
        <f>VALUE(4871)</f>
        <v>4871</v>
      </c>
      <c r="K4037" s="1">
        <f>VALUE(5725)</f>
        <v>5725</v>
      </c>
      <c r="L4037" s="1">
        <f>VALUE(6778)</f>
        <v>6778</v>
      </c>
      <c r="M4037" s="1">
        <f>VALUE(8235)</f>
        <v>8235</v>
      </c>
      <c r="N4037" t="s">
        <v>16</v>
      </c>
    </row>
    <row r="4038" spans="1:14" x14ac:dyDescent="0.25">
      <c r="A4038" t="s">
        <v>41</v>
      </c>
      <c r="B4038" t="s">
        <v>39</v>
      </c>
      <c r="C4038" t="s">
        <v>37</v>
      </c>
      <c r="D4038" t="s">
        <v>15</v>
      </c>
      <c r="E4038" t="s">
        <v>22</v>
      </c>
      <c r="F4038" t="s">
        <v>17</v>
      </c>
      <c r="G4038" s="2">
        <f>VALUE(1864.7454760045)</f>
        <v>1864.7454760045</v>
      </c>
      <c r="H4038" s="3">
        <f>VALUE(1920.2555260241)</f>
        <v>1920.2555260240999</v>
      </c>
      <c r="I4038" s="4">
        <f>VALUE(4702)</f>
        <v>4702</v>
      </c>
      <c r="J4038" s="1">
        <f>VALUE(5639)</f>
        <v>5639</v>
      </c>
      <c r="K4038" s="1">
        <f>VALUE(6840)</f>
        <v>6840</v>
      </c>
      <c r="L4038" s="1">
        <f>VALUE(8929)</f>
        <v>8929</v>
      </c>
      <c r="M4038" s="8">
        <f>VALUE(11941)</f>
        <v>11941</v>
      </c>
      <c r="N4038" t="s">
        <v>25</v>
      </c>
    </row>
    <row r="4039" spans="1:14" x14ac:dyDescent="0.25">
      <c r="A4039" t="s">
        <v>41</v>
      </c>
      <c r="B4039" t="s">
        <v>39</v>
      </c>
      <c r="C4039" t="s">
        <v>37</v>
      </c>
      <c r="D4039" t="s">
        <v>15</v>
      </c>
      <c r="E4039" t="s">
        <v>22</v>
      </c>
      <c r="F4039" t="s">
        <v>18</v>
      </c>
      <c r="G4039" s="1">
        <f>VALUE(1366.3954681005)</f>
        <v>1366.3954681005</v>
      </c>
      <c r="H4039" s="1">
        <f>VALUE(1379.8077593148)</f>
        <v>1379.8077593148</v>
      </c>
      <c r="I4039" s="1">
        <f>VALUE(4571)</f>
        <v>4571</v>
      </c>
      <c r="J4039" s="1">
        <f>VALUE(5350)</f>
        <v>5350</v>
      </c>
      <c r="K4039" s="1">
        <f>VALUE(6118)</f>
        <v>6118</v>
      </c>
      <c r="L4039" s="1">
        <f>VALUE(7250)</f>
        <v>7250</v>
      </c>
      <c r="M4039" s="1">
        <f>VALUE(8509)</f>
        <v>8509</v>
      </c>
      <c r="N4039" t="s">
        <v>16</v>
      </c>
    </row>
    <row r="4040" spans="1:14" x14ac:dyDescent="0.25">
      <c r="A4040" t="s">
        <v>41</v>
      </c>
      <c r="B4040" t="s">
        <v>39</v>
      </c>
      <c r="C4040" t="s">
        <v>37</v>
      </c>
      <c r="D4040" t="s">
        <v>15</v>
      </c>
      <c r="E4040" t="s">
        <v>22</v>
      </c>
      <c r="F4040" t="s">
        <v>19</v>
      </c>
      <c r="G4040" s="1">
        <f>VALUE(1978.0324093362)</f>
        <v>1978.0324093362001</v>
      </c>
      <c r="H4040" s="1">
        <f>VALUE(1946.1997183417)</f>
        <v>1946.1997183417</v>
      </c>
      <c r="I4040" s="1">
        <f>VALUE(4052)</f>
        <v>4052</v>
      </c>
      <c r="J4040" s="1">
        <f>VALUE(4797)</f>
        <v>4797</v>
      </c>
      <c r="K4040" s="1">
        <f>VALUE(5730)</f>
        <v>5730</v>
      </c>
      <c r="L4040" s="1">
        <f>VALUE(6540)</f>
        <v>6540</v>
      </c>
      <c r="M4040" s="1">
        <f>VALUE(7486)</f>
        <v>7486</v>
      </c>
      <c r="N4040" t="s">
        <v>16</v>
      </c>
    </row>
    <row r="4041" spans="1:14" x14ac:dyDescent="0.25">
      <c r="A4041" t="s">
        <v>41</v>
      </c>
      <c r="B4041" t="s">
        <v>39</v>
      </c>
      <c r="C4041" t="s">
        <v>37</v>
      </c>
      <c r="D4041" t="s">
        <v>15</v>
      </c>
      <c r="E4041" t="s">
        <v>22</v>
      </c>
      <c r="F4041" t="s">
        <v>20</v>
      </c>
      <c r="G4041" s="1">
        <f>VALUE(5618.5788331625)</f>
        <v>5618.5788331624999</v>
      </c>
      <c r="H4041" s="1">
        <f>VALUE(5572.3397443642)</f>
        <v>5572.3397443641998</v>
      </c>
      <c r="I4041" s="1">
        <f>VALUE(3900)</f>
        <v>3900</v>
      </c>
      <c r="J4041" s="1">
        <f>VALUE(4631)</f>
        <v>4631</v>
      </c>
      <c r="K4041" s="1">
        <f>VALUE(5456)</f>
        <v>5456</v>
      </c>
      <c r="L4041" s="1">
        <f>VALUE(6245)</f>
        <v>6245</v>
      </c>
      <c r="M4041" s="1">
        <f>VALUE(7148)</f>
        <v>7148</v>
      </c>
      <c r="N4041" t="s">
        <v>16</v>
      </c>
    </row>
    <row r="4042" spans="1:14" x14ac:dyDescent="0.25">
      <c r="A4042" t="s">
        <v>41</v>
      </c>
      <c r="B4042" t="s">
        <v>39</v>
      </c>
      <c r="C4042" t="s">
        <v>37</v>
      </c>
      <c r="D4042" t="s">
        <v>15</v>
      </c>
      <c r="E4042" t="s">
        <v>23</v>
      </c>
      <c r="F4042" t="s">
        <v>15</v>
      </c>
      <c r="G4042" s="1">
        <f>VALUE(11157.6546841817)</f>
        <v>11157.6546841817</v>
      </c>
      <c r="H4042" s="1">
        <f>VALUE(11181.7652810902)</f>
        <v>11181.7652810902</v>
      </c>
      <c r="I4042" s="1">
        <f>VALUE(3490)</f>
        <v>3490</v>
      </c>
      <c r="J4042" s="1">
        <f>VALUE(4072)</f>
        <v>4072</v>
      </c>
      <c r="K4042" s="1">
        <f>VALUE(4888)</f>
        <v>4888</v>
      </c>
      <c r="L4042" s="1">
        <f>VALUE(5691)</f>
        <v>5691</v>
      </c>
      <c r="M4042" s="1">
        <f>VALUE(6459)</f>
        <v>6459</v>
      </c>
      <c r="N4042" t="s">
        <v>16</v>
      </c>
    </row>
    <row r="4043" spans="1:14" x14ac:dyDescent="0.25">
      <c r="A4043" t="s">
        <v>41</v>
      </c>
      <c r="B4043" t="s">
        <v>39</v>
      </c>
      <c r="C4043" t="s">
        <v>37</v>
      </c>
      <c r="D4043" t="s">
        <v>15</v>
      </c>
      <c r="E4043" t="s">
        <v>23</v>
      </c>
      <c r="F4043" t="s">
        <v>17</v>
      </c>
      <c r="G4043" s="2">
        <f>VALUE(352.2077283816)</f>
        <v>352.20772838160002</v>
      </c>
      <c r="H4043" s="3">
        <f>VALUE(360.9697280763)</f>
        <v>360.96972807629999</v>
      </c>
      <c r="I4043" s="4">
        <f>VALUE(4025)</f>
        <v>4025</v>
      </c>
      <c r="J4043" s="5">
        <f>VALUE(4571)</f>
        <v>4571</v>
      </c>
      <c r="K4043" s="6">
        <f>VALUE(5840)</f>
        <v>5840</v>
      </c>
      <c r="L4043" s="7">
        <f>VALUE(9109)</f>
        <v>9109</v>
      </c>
      <c r="M4043" s="8">
        <f>VALUE(11905)</f>
        <v>11905</v>
      </c>
      <c r="N4043" t="s">
        <v>24</v>
      </c>
    </row>
    <row r="4044" spans="1:14" x14ac:dyDescent="0.25">
      <c r="A4044" t="s">
        <v>41</v>
      </c>
      <c r="B4044" t="s">
        <v>39</v>
      </c>
      <c r="C4044" t="s">
        <v>37</v>
      </c>
      <c r="D4044" t="s">
        <v>15</v>
      </c>
      <c r="E4044" t="s">
        <v>23</v>
      </c>
      <c r="F4044" t="s">
        <v>18</v>
      </c>
      <c r="G4044" s="2">
        <f>VALUE(960.1807399445)</f>
        <v>960.18073994450003</v>
      </c>
      <c r="H4044" s="3">
        <f>VALUE(964.1706878574)</f>
        <v>964.17068785740003</v>
      </c>
      <c r="I4044" s="4">
        <f>VALUE(4039)</f>
        <v>4039</v>
      </c>
      <c r="J4044" s="1">
        <f>VALUE(4732)</f>
        <v>4732</v>
      </c>
      <c r="K4044" s="1">
        <f>VALUE(5221)</f>
        <v>5221</v>
      </c>
      <c r="L4044" s="1">
        <f>VALUE(6019)</f>
        <v>6019</v>
      </c>
      <c r="M4044" s="8">
        <f>VALUE(7093)</f>
        <v>7093</v>
      </c>
      <c r="N4044" t="s">
        <v>25</v>
      </c>
    </row>
    <row r="4045" spans="1:14" x14ac:dyDescent="0.25">
      <c r="A4045" t="s">
        <v>41</v>
      </c>
      <c r="B4045" t="s">
        <v>39</v>
      </c>
      <c r="C4045" t="s">
        <v>37</v>
      </c>
      <c r="D4045" t="s">
        <v>15</v>
      </c>
      <c r="E4045" t="s">
        <v>23</v>
      </c>
      <c r="F4045" t="s">
        <v>19</v>
      </c>
      <c r="G4045" s="2">
        <f>VALUE(1204.0001775183)</f>
        <v>1204.0001775183</v>
      </c>
      <c r="H4045" s="3">
        <f>VALUE(1210.0560359731)</f>
        <v>1210.0560359731001</v>
      </c>
      <c r="I4045" s="1">
        <f>VALUE(3786)</f>
        <v>3786</v>
      </c>
      <c r="J4045" s="1">
        <f>VALUE(4341)</f>
        <v>4341</v>
      </c>
      <c r="K4045" s="1">
        <f>VALUE(5038)</f>
        <v>5038</v>
      </c>
      <c r="L4045" s="1">
        <f>VALUE(6090)</f>
        <v>6090</v>
      </c>
      <c r="M4045" s="1">
        <f>VALUE(6893)</f>
        <v>6893</v>
      </c>
      <c r="N4045" t="s">
        <v>25</v>
      </c>
    </row>
    <row r="4046" spans="1:14" x14ac:dyDescent="0.25">
      <c r="A4046" t="s">
        <v>41</v>
      </c>
      <c r="B4046" t="s">
        <v>39</v>
      </c>
      <c r="C4046" t="s">
        <v>37</v>
      </c>
      <c r="D4046" t="s">
        <v>15</v>
      </c>
      <c r="E4046" t="s">
        <v>23</v>
      </c>
      <c r="F4046" t="s">
        <v>20</v>
      </c>
      <c r="G4046" s="1">
        <f>VALUE(8641.2660383373)</f>
        <v>8641.2660383373004</v>
      </c>
      <c r="H4046" s="1">
        <f>VALUE(8646.5688291834)</f>
        <v>8646.5688291833994</v>
      </c>
      <c r="I4046" s="1">
        <f>VALUE(3463)</f>
        <v>3463</v>
      </c>
      <c r="J4046" s="1">
        <f>VALUE(3955)</f>
        <v>3955</v>
      </c>
      <c r="K4046" s="1">
        <f>VALUE(4763)</f>
        <v>4763</v>
      </c>
      <c r="L4046" s="1">
        <f>VALUE(5577)</f>
        <v>5577</v>
      </c>
      <c r="M4046" s="1">
        <f>VALUE(6286)</f>
        <v>6286</v>
      </c>
      <c r="N4046" t="s">
        <v>16</v>
      </c>
    </row>
    <row r="4047" spans="1:14" x14ac:dyDescent="0.25">
      <c r="A4047" t="s">
        <v>41</v>
      </c>
      <c r="B4047" t="s">
        <v>39</v>
      </c>
      <c r="C4047" t="s">
        <v>37</v>
      </c>
      <c r="D4047" t="s">
        <v>15</v>
      </c>
      <c r="E4047" t="s">
        <v>26</v>
      </c>
      <c r="F4047" t="s">
        <v>15</v>
      </c>
      <c r="G4047" s="1">
        <f>VALUE(406.1459548348)</f>
        <v>406.14595483480002</v>
      </c>
      <c r="H4047" s="1">
        <f>VALUE(423.858109759)</f>
        <v>423.858109759</v>
      </c>
      <c r="I4047" s="1">
        <f>VALUE(5873)</f>
        <v>5873</v>
      </c>
      <c r="J4047" s="1">
        <f>VALUE(8492)</f>
        <v>8492</v>
      </c>
      <c r="K4047" s="1">
        <f>VALUE(12381)</f>
        <v>12381</v>
      </c>
      <c r="L4047" s="7">
        <f>VALUE(17873)</f>
        <v>17873</v>
      </c>
      <c r="M4047" s="8">
        <f>VALUE(31826)</f>
        <v>31826</v>
      </c>
      <c r="N4047" t="s">
        <v>25</v>
      </c>
    </row>
    <row r="4048" spans="1:14" x14ac:dyDescent="0.25">
      <c r="A4048" t="s">
        <v>41</v>
      </c>
      <c r="B4048" t="s">
        <v>39</v>
      </c>
      <c r="C4048" t="s">
        <v>37</v>
      </c>
      <c r="D4048" t="s">
        <v>15</v>
      </c>
      <c r="E4048" t="s">
        <v>26</v>
      </c>
      <c r="F4048" t="s">
        <v>17</v>
      </c>
      <c r="G4048" s="1" t="str">
        <f t="shared" ref="G4048:M4049" si="862">"X"</f>
        <v>X</v>
      </c>
      <c r="H4048" s="1" t="str">
        <f t="shared" si="862"/>
        <v>X</v>
      </c>
      <c r="I4048" s="1" t="str">
        <f t="shared" si="862"/>
        <v>X</v>
      </c>
      <c r="J4048" s="1" t="str">
        <f t="shared" si="862"/>
        <v>X</v>
      </c>
      <c r="K4048" s="1" t="str">
        <f t="shared" si="862"/>
        <v>X</v>
      </c>
      <c r="L4048" s="1" t="str">
        <f t="shared" si="862"/>
        <v>X</v>
      </c>
      <c r="M4048" s="1" t="str">
        <f t="shared" si="862"/>
        <v>X</v>
      </c>
      <c r="N4048" t="s">
        <v>27</v>
      </c>
    </row>
    <row r="4049" spans="1:14" x14ac:dyDescent="0.25">
      <c r="A4049" t="s">
        <v>41</v>
      </c>
      <c r="B4049" t="s">
        <v>39</v>
      </c>
      <c r="C4049" t="s">
        <v>37</v>
      </c>
      <c r="D4049" t="s">
        <v>15</v>
      </c>
      <c r="E4049" t="s">
        <v>26</v>
      </c>
      <c r="F4049" t="s">
        <v>18</v>
      </c>
      <c r="G4049" s="1" t="str">
        <f t="shared" si="862"/>
        <v>X</v>
      </c>
      <c r="H4049" s="1" t="str">
        <f t="shared" si="862"/>
        <v>X</v>
      </c>
      <c r="I4049" s="1" t="str">
        <f t="shared" si="862"/>
        <v>X</v>
      </c>
      <c r="J4049" s="1" t="str">
        <f t="shared" si="862"/>
        <v>X</v>
      </c>
      <c r="K4049" s="1" t="str">
        <f t="shared" si="862"/>
        <v>X</v>
      </c>
      <c r="L4049" s="1" t="str">
        <f t="shared" si="862"/>
        <v>X</v>
      </c>
      <c r="M4049" s="1" t="str">
        <f t="shared" si="862"/>
        <v>X</v>
      </c>
      <c r="N4049" t="s">
        <v>27</v>
      </c>
    </row>
    <row r="4050" spans="1:14" x14ac:dyDescent="0.25">
      <c r="A4050" t="s">
        <v>41</v>
      </c>
      <c r="B4050" t="s">
        <v>39</v>
      </c>
      <c r="C4050" t="s">
        <v>37</v>
      </c>
      <c r="D4050" t="s">
        <v>15</v>
      </c>
      <c r="E4050" t="s">
        <v>26</v>
      </c>
      <c r="F4050" t="s">
        <v>19</v>
      </c>
      <c r="G4050" s="1" t="str">
        <f t="shared" ref="G4050:M4050" si="863">"..."</f>
        <v>...</v>
      </c>
      <c r="H4050" s="1" t="str">
        <f t="shared" si="863"/>
        <v>...</v>
      </c>
      <c r="I4050" s="1" t="str">
        <f t="shared" si="863"/>
        <v>...</v>
      </c>
      <c r="J4050" s="1" t="str">
        <f t="shared" si="863"/>
        <v>...</v>
      </c>
      <c r="K4050" s="1" t="str">
        <f t="shared" si="863"/>
        <v>...</v>
      </c>
      <c r="L4050" s="1" t="str">
        <f t="shared" si="863"/>
        <v>...</v>
      </c>
      <c r="M4050" s="1" t="str">
        <f t="shared" si="863"/>
        <v>...</v>
      </c>
      <c r="N4050" t="s">
        <v>30</v>
      </c>
    </row>
    <row r="4051" spans="1:14" x14ac:dyDescent="0.25">
      <c r="A4051" t="s">
        <v>41</v>
      </c>
      <c r="B4051" t="s">
        <v>39</v>
      </c>
      <c r="C4051" t="s">
        <v>37</v>
      </c>
      <c r="D4051" t="s">
        <v>15</v>
      </c>
      <c r="E4051" t="s">
        <v>26</v>
      </c>
      <c r="F4051" t="s">
        <v>20</v>
      </c>
      <c r="G4051" s="1" t="str">
        <f t="shared" ref="G4051:M4051" si="864">"X"</f>
        <v>X</v>
      </c>
      <c r="H4051" s="1" t="str">
        <f t="shared" si="864"/>
        <v>X</v>
      </c>
      <c r="I4051" s="1" t="str">
        <f t="shared" si="864"/>
        <v>X</v>
      </c>
      <c r="J4051" s="1" t="str">
        <f t="shared" si="864"/>
        <v>X</v>
      </c>
      <c r="K4051" s="1" t="str">
        <f t="shared" si="864"/>
        <v>X</v>
      </c>
      <c r="L4051" s="1" t="str">
        <f t="shared" si="864"/>
        <v>X</v>
      </c>
      <c r="M4051" s="1" t="str">
        <f t="shared" si="864"/>
        <v>X</v>
      </c>
      <c r="N4051" t="s">
        <v>27</v>
      </c>
    </row>
    <row r="4052" spans="1:14" x14ac:dyDescent="0.25">
      <c r="A4052" t="s">
        <v>41</v>
      </c>
      <c r="B4052" t="s">
        <v>39</v>
      </c>
      <c r="C4052" t="s">
        <v>37</v>
      </c>
      <c r="D4052" t="s">
        <v>28</v>
      </c>
      <c r="E4052" t="s">
        <v>15</v>
      </c>
      <c r="F4052" t="s">
        <v>15</v>
      </c>
      <c r="G4052" s="1">
        <f>VALUE(10619.1657399631)</f>
        <v>10619.1657399631</v>
      </c>
      <c r="H4052" s="1">
        <f>VALUE(10416.7492734651)</f>
        <v>10416.7492734651</v>
      </c>
      <c r="I4052" s="1">
        <f>VALUE(4500)</f>
        <v>4500</v>
      </c>
      <c r="J4052" s="1">
        <f>VALUE(5335)</f>
        <v>5335</v>
      </c>
      <c r="K4052" s="1">
        <f>VALUE(6506)</f>
        <v>6506</v>
      </c>
      <c r="L4052" s="1">
        <f>VALUE(8571)</f>
        <v>8571</v>
      </c>
      <c r="M4052" s="1">
        <f>VALUE(12235)</f>
        <v>12235</v>
      </c>
      <c r="N4052" t="s">
        <v>16</v>
      </c>
    </row>
    <row r="4053" spans="1:14" x14ac:dyDescent="0.25">
      <c r="A4053" t="s">
        <v>41</v>
      </c>
      <c r="B4053" t="s">
        <v>39</v>
      </c>
      <c r="C4053" t="s">
        <v>37</v>
      </c>
      <c r="D4053" t="s">
        <v>28</v>
      </c>
      <c r="E4053" t="s">
        <v>15</v>
      </c>
      <c r="F4053" t="s">
        <v>17</v>
      </c>
      <c r="G4053" s="1">
        <f>VALUE(3467.9109776484)</f>
        <v>3467.9109776484001</v>
      </c>
      <c r="H4053" s="1">
        <f>VALUE(3497.9899038401)</f>
        <v>3497.9899038400999</v>
      </c>
      <c r="I4053" s="4">
        <f>VALUE(5085)</f>
        <v>5085</v>
      </c>
      <c r="J4053" s="1">
        <f>VALUE(6427)</f>
        <v>6427</v>
      </c>
      <c r="K4053" s="1">
        <f>VALUE(8741)</f>
        <v>8741</v>
      </c>
      <c r="L4053" s="1">
        <f>VALUE(12160)</f>
        <v>12160</v>
      </c>
      <c r="M4053" s="1">
        <f>VALUE(17500)</f>
        <v>17500</v>
      </c>
      <c r="N4053" t="s">
        <v>25</v>
      </c>
    </row>
    <row r="4054" spans="1:14" x14ac:dyDescent="0.25">
      <c r="A4054" t="s">
        <v>41</v>
      </c>
      <c r="B4054" t="s">
        <v>39</v>
      </c>
      <c r="C4054" t="s">
        <v>37</v>
      </c>
      <c r="D4054" t="s">
        <v>28</v>
      </c>
      <c r="E4054" t="s">
        <v>15</v>
      </c>
      <c r="F4054" t="s">
        <v>18</v>
      </c>
      <c r="G4054" s="1">
        <f>VALUE(1613.07295932)</f>
        <v>1613.0729593200001</v>
      </c>
      <c r="H4054" s="1">
        <f>VALUE(1573.6252668928)</f>
        <v>1573.6252668928</v>
      </c>
      <c r="I4054" s="1">
        <f>VALUE(5076)</f>
        <v>5076</v>
      </c>
      <c r="J4054" s="1">
        <f>VALUE(5823)</f>
        <v>5823</v>
      </c>
      <c r="K4054" s="1">
        <f>VALUE(7077)</f>
        <v>7077</v>
      </c>
      <c r="L4054" s="1">
        <f>VALUE(8843)</f>
        <v>8843</v>
      </c>
      <c r="M4054" s="1">
        <f>VALUE(11032)</f>
        <v>11032</v>
      </c>
      <c r="N4054" t="s">
        <v>16</v>
      </c>
    </row>
    <row r="4055" spans="1:14" x14ac:dyDescent="0.25">
      <c r="A4055" t="s">
        <v>41</v>
      </c>
      <c r="B4055" t="s">
        <v>39</v>
      </c>
      <c r="C4055" t="s">
        <v>37</v>
      </c>
      <c r="D4055" t="s">
        <v>28</v>
      </c>
      <c r="E4055" t="s">
        <v>15</v>
      </c>
      <c r="F4055" t="s">
        <v>19</v>
      </c>
      <c r="G4055" s="2">
        <f>VALUE(1410.9201551793)</f>
        <v>1410.9201551793001</v>
      </c>
      <c r="H4055" s="3">
        <f>VALUE(1347.8735412738)</f>
        <v>1347.8735412737999</v>
      </c>
      <c r="I4055" s="4">
        <f>VALUE(4501)</f>
        <v>4501</v>
      </c>
      <c r="J4055" s="1">
        <f>VALUE(5306)</f>
        <v>5306</v>
      </c>
      <c r="K4055" s="1">
        <f>VALUE(6118)</f>
        <v>6118</v>
      </c>
      <c r="L4055" s="1">
        <f>VALUE(7240)</f>
        <v>7240</v>
      </c>
      <c r="M4055" s="1">
        <f>VALUE(8335)</f>
        <v>8335</v>
      </c>
      <c r="N4055" t="s">
        <v>25</v>
      </c>
    </row>
    <row r="4056" spans="1:14" x14ac:dyDescent="0.25">
      <c r="A4056" t="s">
        <v>41</v>
      </c>
      <c r="B4056" t="s">
        <v>39</v>
      </c>
      <c r="C4056" t="s">
        <v>37</v>
      </c>
      <c r="D4056" t="s">
        <v>28</v>
      </c>
      <c r="E4056" t="s">
        <v>15</v>
      </c>
      <c r="F4056" t="s">
        <v>20</v>
      </c>
      <c r="G4056" s="1">
        <f>VALUE(4114.2949496524)</f>
        <v>4114.2949496523997</v>
      </c>
      <c r="H4056" s="1">
        <f>VALUE(3984.2938632954)</f>
        <v>3984.2938632954001</v>
      </c>
      <c r="I4056" s="1">
        <f>VALUE(4176)</f>
        <v>4176</v>
      </c>
      <c r="J4056" s="1">
        <f>VALUE(4894)</f>
        <v>4894</v>
      </c>
      <c r="K4056" s="1">
        <f>VALUE(5664)</f>
        <v>5664</v>
      </c>
      <c r="L4056" s="1">
        <f>VALUE(6614)</f>
        <v>6614</v>
      </c>
      <c r="M4056" s="1">
        <f>VALUE(7880)</f>
        <v>7880</v>
      </c>
      <c r="N4056" t="s">
        <v>16</v>
      </c>
    </row>
    <row r="4057" spans="1:14" x14ac:dyDescent="0.25">
      <c r="A4057" t="s">
        <v>41</v>
      </c>
      <c r="B4057" t="s">
        <v>39</v>
      </c>
      <c r="C4057" t="s">
        <v>37</v>
      </c>
      <c r="D4057" t="s">
        <v>28</v>
      </c>
      <c r="E4057" t="s">
        <v>21</v>
      </c>
      <c r="F4057" t="s">
        <v>15</v>
      </c>
      <c r="G4057" s="1">
        <f>VALUE(3792.3920350324)</f>
        <v>3792.3920350324001</v>
      </c>
      <c r="H4057" s="1">
        <f>VALUE(3647.4378529514)</f>
        <v>3647.4378529514001</v>
      </c>
      <c r="I4057" s="1">
        <f>VALUE(5265)</f>
        <v>5265</v>
      </c>
      <c r="J4057" s="1">
        <f>VALUE(6538)</f>
        <v>6538</v>
      </c>
      <c r="K4057" s="1">
        <f>VALUE(8360)</f>
        <v>8360</v>
      </c>
      <c r="L4057" s="1">
        <f>VALUE(11143)</f>
        <v>11143</v>
      </c>
      <c r="M4057" s="1">
        <f>VALUE(15000)</f>
        <v>15000</v>
      </c>
      <c r="N4057" t="s">
        <v>16</v>
      </c>
    </row>
    <row r="4058" spans="1:14" x14ac:dyDescent="0.25">
      <c r="A4058" t="s">
        <v>41</v>
      </c>
      <c r="B4058" t="s">
        <v>39</v>
      </c>
      <c r="C4058" t="s">
        <v>37</v>
      </c>
      <c r="D4058" t="s">
        <v>28</v>
      </c>
      <c r="E4058" t="s">
        <v>21</v>
      </c>
      <c r="F4058" t="s">
        <v>17</v>
      </c>
      <c r="G4058" s="1">
        <f>VALUE(2095.5444209565)</f>
        <v>2095.5444209564998</v>
      </c>
      <c r="H4058" s="1">
        <f>VALUE(2084.7329393801)</f>
        <v>2084.7329393801001</v>
      </c>
      <c r="I4058" s="4">
        <f>VALUE(5484)</f>
        <v>5484</v>
      </c>
      <c r="J4058" s="1">
        <f>VALUE(7222)</f>
        <v>7222</v>
      </c>
      <c r="K4058" s="1">
        <f>VALUE(9524)</f>
        <v>9524</v>
      </c>
      <c r="L4058" s="1">
        <f>VALUE(13000)</f>
        <v>13000</v>
      </c>
      <c r="M4058" s="1">
        <f>VALUE(17970)</f>
        <v>17970</v>
      </c>
      <c r="N4058" t="s">
        <v>25</v>
      </c>
    </row>
    <row r="4059" spans="1:14" x14ac:dyDescent="0.25">
      <c r="A4059" t="s">
        <v>41</v>
      </c>
      <c r="B4059" t="s">
        <v>39</v>
      </c>
      <c r="C4059" t="s">
        <v>37</v>
      </c>
      <c r="D4059" t="s">
        <v>28</v>
      </c>
      <c r="E4059" t="s">
        <v>21</v>
      </c>
      <c r="F4059" t="s">
        <v>18</v>
      </c>
      <c r="G4059" s="2">
        <f>VALUE(705.3554952426)</f>
        <v>705.3554952426</v>
      </c>
      <c r="H4059" s="3">
        <f>VALUE(668.8262261734)</f>
        <v>668.82622617339996</v>
      </c>
      <c r="I4059" s="1">
        <f>VALUE(5365)</f>
        <v>5365</v>
      </c>
      <c r="J4059" s="1">
        <f>VALUE(6542)</f>
        <v>6542</v>
      </c>
      <c r="K4059" s="1">
        <f>VALUE(8045)</f>
        <v>8045</v>
      </c>
      <c r="L4059" s="1">
        <f>VALUE(9651)</f>
        <v>9651</v>
      </c>
      <c r="M4059" s="8">
        <f>VALUE(12064)</f>
        <v>12064</v>
      </c>
      <c r="N4059" t="s">
        <v>25</v>
      </c>
    </row>
    <row r="4060" spans="1:14" x14ac:dyDescent="0.25">
      <c r="A4060" t="s">
        <v>41</v>
      </c>
      <c r="B4060" t="s">
        <v>39</v>
      </c>
      <c r="C4060" t="s">
        <v>37</v>
      </c>
      <c r="D4060" t="s">
        <v>28</v>
      </c>
      <c r="E4060" t="s">
        <v>21</v>
      </c>
      <c r="F4060" t="s">
        <v>19</v>
      </c>
      <c r="G4060" s="2">
        <f>VALUE(432.7476199146)</f>
        <v>432.74761991460002</v>
      </c>
      <c r="H4060" s="3">
        <f>VALUE(390.0537302033)</f>
        <v>390.05373020330001</v>
      </c>
      <c r="I4060" s="4">
        <f>VALUE(5160)</f>
        <v>5160</v>
      </c>
      <c r="J4060" s="1">
        <f>VALUE(5952)</f>
        <v>5952</v>
      </c>
      <c r="K4060" s="1">
        <f>VALUE(7253)</f>
        <v>7253</v>
      </c>
      <c r="L4060" s="1">
        <f>VALUE(8303)</f>
        <v>8303</v>
      </c>
      <c r="M4060" s="1">
        <f>VALUE(9751)</f>
        <v>9751</v>
      </c>
      <c r="N4060" t="s">
        <v>25</v>
      </c>
    </row>
    <row r="4061" spans="1:14" x14ac:dyDescent="0.25">
      <c r="A4061" t="s">
        <v>41</v>
      </c>
      <c r="B4061" t="s">
        <v>39</v>
      </c>
      <c r="C4061" t="s">
        <v>37</v>
      </c>
      <c r="D4061" t="s">
        <v>28</v>
      </c>
      <c r="E4061" t="s">
        <v>21</v>
      </c>
      <c r="F4061" t="s">
        <v>20</v>
      </c>
      <c r="G4061" s="2">
        <f>VALUE(558.7444989187)</f>
        <v>558.74449891869995</v>
      </c>
      <c r="H4061" s="3">
        <f>VALUE(503.8249571946)</f>
        <v>503.82495719460002</v>
      </c>
      <c r="I4061" s="1">
        <f>VALUE(4700)</f>
        <v>4700</v>
      </c>
      <c r="J4061" s="1">
        <f>VALUE(5714)</f>
        <v>5714</v>
      </c>
      <c r="K4061" s="1">
        <f>VALUE(6846)</f>
        <v>6846</v>
      </c>
      <c r="L4061" s="1">
        <f>VALUE(8093)</f>
        <v>8093</v>
      </c>
      <c r="M4061" s="8">
        <f>VALUE(10094)</f>
        <v>10094</v>
      </c>
      <c r="N4061" t="s">
        <v>25</v>
      </c>
    </row>
    <row r="4062" spans="1:14" x14ac:dyDescent="0.25">
      <c r="A4062" t="s">
        <v>41</v>
      </c>
      <c r="B4062" t="s">
        <v>39</v>
      </c>
      <c r="C4062" t="s">
        <v>37</v>
      </c>
      <c r="D4062" t="s">
        <v>28</v>
      </c>
      <c r="E4062" t="s">
        <v>22</v>
      </c>
      <c r="F4062" t="s">
        <v>15</v>
      </c>
      <c r="G4062" s="1">
        <f>VALUE(5192.1945639808)</f>
        <v>5192.1945639808</v>
      </c>
      <c r="H4062" s="1">
        <f>VALUE(5159.9054992019)</f>
        <v>5159.9054992019001</v>
      </c>
      <c r="I4062" s="1">
        <f>VALUE(4514)</f>
        <v>4514</v>
      </c>
      <c r="J4062" s="1">
        <f>VALUE(5250)</f>
        <v>5250</v>
      </c>
      <c r="K4062" s="1">
        <f>VALUE(6000)</f>
        <v>6000</v>
      </c>
      <c r="L4062" s="1">
        <f>VALUE(7143)</f>
        <v>7143</v>
      </c>
      <c r="M4062" s="1">
        <f>VALUE(8908)</f>
        <v>8908</v>
      </c>
      <c r="N4062" t="s">
        <v>16</v>
      </c>
    </row>
    <row r="4063" spans="1:14" x14ac:dyDescent="0.25">
      <c r="A4063" t="s">
        <v>41</v>
      </c>
      <c r="B4063" t="s">
        <v>39</v>
      </c>
      <c r="C4063" t="s">
        <v>37</v>
      </c>
      <c r="D4063" t="s">
        <v>28</v>
      </c>
      <c r="E4063" t="s">
        <v>22</v>
      </c>
      <c r="F4063" t="s">
        <v>17</v>
      </c>
      <c r="G4063" s="2">
        <f>VALUE(1126.6678145193)</f>
        <v>1126.6678145193</v>
      </c>
      <c r="H4063" s="3">
        <f>VALUE(1158.5550197375)</f>
        <v>1158.5550197375001</v>
      </c>
      <c r="I4063" s="4">
        <f>VALUE(4117)</f>
        <v>4117</v>
      </c>
      <c r="J4063" s="1">
        <f>VALUE(5639)</f>
        <v>5639</v>
      </c>
      <c r="K4063" s="1">
        <f>VALUE(6838)</f>
        <v>6838</v>
      </c>
      <c r="L4063" s="1">
        <f>VALUE(9262)</f>
        <v>9262</v>
      </c>
      <c r="M4063" s="8">
        <f>VALUE(12160)</f>
        <v>12160</v>
      </c>
      <c r="N4063" t="s">
        <v>25</v>
      </c>
    </row>
    <row r="4064" spans="1:14" x14ac:dyDescent="0.25">
      <c r="A4064" t="s">
        <v>41</v>
      </c>
      <c r="B4064" t="s">
        <v>39</v>
      </c>
      <c r="C4064" t="s">
        <v>37</v>
      </c>
      <c r="D4064" t="s">
        <v>28</v>
      </c>
      <c r="E4064" t="s">
        <v>22</v>
      </c>
      <c r="F4064" t="s">
        <v>18</v>
      </c>
      <c r="G4064" s="2">
        <f>VALUE(669.9988068268)</f>
        <v>669.99880682679998</v>
      </c>
      <c r="H4064" s="3">
        <f>VALUE(674.8769677503)</f>
        <v>674.87696775029997</v>
      </c>
      <c r="I4064" s="1">
        <f>VALUE(4996)</f>
        <v>4996</v>
      </c>
      <c r="J4064" s="1">
        <f>VALUE(5705)</f>
        <v>5705</v>
      </c>
      <c r="K4064" s="1">
        <f>VALUE(6432)</f>
        <v>6432</v>
      </c>
      <c r="L4064" s="1">
        <f>VALUE(7525)</f>
        <v>7525</v>
      </c>
      <c r="M4064" s="1">
        <f>VALUE(8987)</f>
        <v>8987</v>
      </c>
      <c r="N4064" t="s">
        <v>25</v>
      </c>
    </row>
    <row r="4065" spans="1:14" x14ac:dyDescent="0.25">
      <c r="A4065" t="s">
        <v>41</v>
      </c>
      <c r="B4065" t="s">
        <v>39</v>
      </c>
      <c r="C4065" t="s">
        <v>37</v>
      </c>
      <c r="D4065" t="s">
        <v>28</v>
      </c>
      <c r="E4065" t="s">
        <v>22</v>
      </c>
      <c r="F4065" t="s">
        <v>19</v>
      </c>
      <c r="G4065" s="2">
        <f>VALUE(813.7506788599)</f>
        <v>813.75067885989995</v>
      </c>
      <c r="H4065" s="3">
        <f>VALUE(799.1588959661)</f>
        <v>799.15889596609998</v>
      </c>
      <c r="I4065" s="4">
        <f>VALUE(4432)</f>
        <v>4432</v>
      </c>
      <c r="J4065" s="1">
        <f>VALUE(5243)</f>
        <v>5243</v>
      </c>
      <c r="K4065" s="1">
        <f>VALUE(5984)</f>
        <v>5984</v>
      </c>
      <c r="L4065" s="1">
        <f>VALUE(6803)</f>
        <v>6803</v>
      </c>
      <c r="M4065" s="1">
        <f>VALUE(7752)</f>
        <v>7752</v>
      </c>
      <c r="N4065" t="s">
        <v>25</v>
      </c>
    </row>
    <row r="4066" spans="1:14" x14ac:dyDescent="0.25">
      <c r="A4066" t="s">
        <v>41</v>
      </c>
      <c r="B4066" t="s">
        <v>39</v>
      </c>
      <c r="C4066" t="s">
        <v>37</v>
      </c>
      <c r="D4066" t="s">
        <v>28</v>
      </c>
      <c r="E4066" t="s">
        <v>22</v>
      </c>
      <c r="F4066" t="s">
        <v>20</v>
      </c>
      <c r="G4066" s="1">
        <f>VALUE(2581.7772637748)</f>
        <v>2581.7772637747998</v>
      </c>
      <c r="H4066" s="1">
        <f>VALUE(2527.314615748)</f>
        <v>2527.3146157480001</v>
      </c>
      <c r="I4066" s="1">
        <f>VALUE(4448)</f>
        <v>4448</v>
      </c>
      <c r="J4066" s="1">
        <f>VALUE(5089)</f>
        <v>5089</v>
      </c>
      <c r="K4066" s="1">
        <f>VALUE(5692)</f>
        <v>5692</v>
      </c>
      <c r="L4066" s="1">
        <f>VALUE(6540)</f>
        <v>6540</v>
      </c>
      <c r="M4066" s="1">
        <f>VALUE(7624)</f>
        <v>7624</v>
      </c>
      <c r="N4066" t="s">
        <v>16</v>
      </c>
    </row>
    <row r="4067" spans="1:14" x14ac:dyDescent="0.25">
      <c r="A4067" t="s">
        <v>41</v>
      </c>
      <c r="B4067" t="s">
        <v>39</v>
      </c>
      <c r="C4067" t="s">
        <v>37</v>
      </c>
      <c r="D4067" t="s">
        <v>28</v>
      </c>
      <c r="E4067" t="s">
        <v>23</v>
      </c>
      <c r="F4067" t="s">
        <v>15</v>
      </c>
      <c r="G4067" s="2">
        <f>VALUE(1353.7145567826)</f>
        <v>1353.7145567826001</v>
      </c>
      <c r="H4067" s="3">
        <f>VALUE(1317.5514585938)</f>
        <v>1317.5514585937999</v>
      </c>
      <c r="I4067" s="4">
        <f>VALUE(3541)</f>
        <v>3541</v>
      </c>
      <c r="J4067" s="1">
        <f>VALUE(4491)</f>
        <v>4491</v>
      </c>
      <c r="K4067" s="1">
        <f>VALUE(5096)</f>
        <v>5096</v>
      </c>
      <c r="L4067" s="1">
        <f>VALUE(6192)</f>
        <v>6192</v>
      </c>
      <c r="M4067" s="8">
        <f>VALUE(7966)</f>
        <v>7966</v>
      </c>
      <c r="N4067" t="s">
        <v>25</v>
      </c>
    </row>
    <row r="4068" spans="1:14" x14ac:dyDescent="0.25">
      <c r="A4068" t="s">
        <v>41</v>
      </c>
      <c r="B4068" t="s">
        <v>39</v>
      </c>
      <c r="C4068" t="s">
        <v>37</v>
      </c>
      <c r="D4068" t="s">
        <v>28</v>
      </c>
      <c r="E4068" t="s">
        <v>23</v>
      </c>
      <c r="F4068" t="s">
        <v>17</v>
      </c>
      <c r="G4068" s="1" t="str">
        <f t="shared" ref="G4068:M4068" si="865">"X"</f>
        <v>X</v>
      </c>
      <c r="H4068" s="1" t="str">
        <f t="shared" si="865"/>
        <v>X</v>
      </c>
      <c r="I4068" s="1" t="str">
        <f t="shared" si="865"/>
        <v>X</v>
      </c>
      <c r="J4068" s="1" t="str">
        <f t="shared" si="865"/>
        <v>X</v>
      </c>
      <c r="K4068" s="1" t="str">
        <f t="shared" si="865"/>
        <v>X</v>
      </c>
      <c r="L4068" s="1" t="str">
        <f t="shared" si="865"/>
        <v>X</v>
      </c>
      <c r="M4068" s="1" t="str">
        <f t="shared" si="865"/>
        <v>X</v>
      </c>
      <c r="N4068" t="s">
        <v>27</v>
      </c>
    </row>
    <row r="4069" spans="1:14" x14ac:dyDescent="0.25">
      <c r="A4069" t="s">
        <v>41</v>
      </c>
      <c r="B4069" t="s">
        <v>39</v>
      </c>
      <c r="C4069" t="s">
        <v>37</v>
      </c>
      <c r="D4069" t="s">
        <v>28</v>
      </c>
      <c r="E4069" t="s">
        <v>23</v>
      </c>
      <c r="F4069" t="s">
        <v>18</v>
      </c>
      <c r="G4069" s="2">
        <f>VALUE(152.9788332202)</f>
        <v>152.97883322019999</v>
      </c>
      <c r="H4069" s="3">
        <f>VALUE(142.398984031)</f>
        <v>142.398984031</v>
      </c>
      <c r="I4069" s="4">
        <f>VALUE(3429)</f>
        <v>3429</v>
      </c>
      <c r="J4069" s="1">
        <f>VALUE(4878)</f>
        <v>4878</v>
      </c>
      <c r="K4069" s="1">
        <f>VALUE(5216)</f>
        <v>5216</v>
      </c>
      <c r="L4069" s="7">
        <f>VALUE(7470)</f>
        <v>7470</v>
      </c>
      <c r="M4069" s="8">
        <f>VALUE(10389)</f>
        <v>10389</v>
      </c>
      <c r="N4069" t="s">
        <v>25</v>
      </c>
    </row>
    <row r="4070" spans="1:14" x14ac:dyDescent="0.25">
      <c r="A4070" t="s">
        <v>41</v>
      </c>
      <c r="B4070" t="s">
        <v>39</v>
      </c>
      <c r="C4070" t="s">
        <v>37</v>
      </c>
      <c r="D4070" t="s">
        <v>28</v>
      </c>
      <c r="E4070" t="s">
        <v>23</v>
      </c>
      <c r="F4070" t="s">
        <v>19</v>
      </c>
      <c r="G4070" s="2">
        <f>VALUE(164.4218564048)</f>
        <v>164.4218564048</v>
      </c>
      <c r="H4070" s="3">
        <f>VALUE(158.6609151044)</f>
        <v>158.6609151044</v>
      </c>
      <c r="I4070" s="4">
        <f>VALUE(3919)</f>
        <v>3919</v>
      </c>
      <c r="J4070" s="1">
        <f>VALUE(4619)</f>
        <v>4619</v>
      </c>
      <c r="K4070" s="1">
        <f>VALUE(5704)</f>
        <v>5704</v>
      </c>
      <c r="L4070" s="1">
        <f>VALUE(6375)</f>
        <v>6375</v>
      </c>
      <c r="M4070" s="1">
        <f>VALUE(7552)</f>
        <v>7552</v>
      </c>
      <c r="N4070" t="s">
        <v>25</v>
      </c>
    </row>
    <row r="4071" spans="1:14" x14ac:dyDescent="0.25">
      <c r="A4071" t="s">
        <v>41</v>
      </c>
      <c r="B4071" t="s">
        <v>39</v>
      </c>
      <c r="C4071" t="s">
        <v>37</v>
      </c>
      <c r="D4071" t="s">
        <v>28</v>
      </c>
      <c r="E4071" t="s">
        <v>23</v>
      </c>
      <c r="F4071" t="s">
        <v>20</v>
      </c>
      <c r="G4071" s="2">
        <f>VALUE(948.9356523293)</f>
        <v>948.93565232929996</v>
      </c>
      <c r="H4071" s="3">
        <f>VALUE(927.0748789924)</f>
        <v>927.07487899240004</v>
      </c>
      <c r="I4071" s="4">
        <f>VALUE(3458)</f>
        <v>3458</v>
      </c>
      <c r="J4071" s="1">
        <f>VALUE(4296)</f>
        <v>4296</v>
      </c>
      <c r="K4071" s="1">
        <f>VALUE(5004)</f>
        <v>5004</v>
      </c>
      <c r="L4071" s="1">
        <f>VALUE(5785)</f>
        <v>5785</v>
      </c>
      <c r="M4071" s="1">
        <f>VALUE(7083)</f>
        <v>7083</v>
      </c>
      <c r="N4071" t="s">
        <v>25</v>
      </c>
    </row>
    <row r="4072" spans="1:14" x14ac:dyDescent="0.25">
      <c r="A4072" t="s">
        <v>41</v>
      </c>
      <c r="B4072" t="s">
        <v>39</v>
      </c>
      <c r="C4072" t="s">
        <v>37</v>
      </c>
      <c r="D4072" t="s">
        <v>28</v>
      </c>
      <c r="E4072" t="s">
        <v>26</v>
      </c>
      <c r="F4072" t="s">
        <v>15</v>
      </c>
      <c r="G4072" s="1" t="str">
        <f t="shared" ref="G4072:M4074" si="866">"X"</f>
        <v>X</v>
      </c>
      <c r="H4072" s="1" t="str">
        <f t="shared" si="866"/>
        <v>X</v>
      </c>
      <c r="I4072" s="1" t="str">
        <f t="shared" si="866"/>
        <v>X</v>
      </c>
      <c r="J4072" s="1" t="str">
        <f t="shared" si="866"/>
        <v>X</v>
      </c>
      <c r="K4072" s="1" t="str">
        <f t="shared" si="866"/>
        <v>X</v>
      </c>
      <c r="L4072" s="1" t="str">
        <f t="shared" si="866"/>
        <v>X</v>
      </c>
      <c r="M4072" s="1" t="str">
        <f t="shared" si="866"/>
        <v>X</v>
      </c>
      <c r="N4072" t="s">
        <v>27</v>
      </c>
    </row>
    <row r="4073" spans="1:14" x14ac:dyDescent="0.25">
      <c r="A4073" t="s">
        <v>41</v>
      </c>
      <c r="B4073" t="s">
        <v>39</v>
      </c>
      <c r="C4073" t="s">
        <v>37</v>
      </c>
      <c r="D4073" t="s">
        <v>28</v>
      </c>
      <c r="E4073" t="s">
        <v>26</v>
      </c>
      <c r="F4073" t="s">
        <v>17</v>
      </c>
      <c r="G4073" s="1" t="str">
        <f t="shared" si="866"/>
        <v>X</v>
      </c>
      <c r="H4073" s="1" t="str">
        <f t="shared" si="866"/>
        <v>X</v>
      </c>
      <c r="I4073" s="1" t="str">
        <f t="shared" si="866"/>
        <v>X</v>
      </c>
      <c r="J4073" s="1" t="str">
        <f t="shared" si="866"/>
        <v>X</v>
      </c>
      <c r="K4073" s="1" t="str">
        <f t="shared" si="866"/>
        <v>X</v>
      </c>
      <c r="L4073" s="1" t="str">
        <f t="shared" si="866"/>
        <v>X</v>
      </c>
      <c r="M4073" s="1" t="str">
        <f t="shared" si="866"/>
        <v>X</v>
      </c>
      <c r="N4073" t="s">
        <v>27</v>
      </c>
    </row>
    <row r="4074" spans="1:14" x14ac:dyDescent="0.25">
      <c r="A4074" t="s">
        <v>41</v>
      </c>
      <c r="B4074" t="s">
        <v>39</v>
      </c>
      <c r="C4074" t="s">
        <v>37</v>
      </c>
      <c r="D4074" t="s">
        <v>28</v>
      </c>
      <c r="E4074" t="s">
        <v>26</v>
      </c>
      <c r="F4074" t="s">
        <v>18</v>
      </c>
      <c r="G4074" s="1" t="str">
        <f t="shared" si="866"/>
        <v>X</v>
      </c>
      <c r="H4074" s="1" t="str">
        <f t="shared" si="866"/>
        <v>X</v>
      </c>
      <c r="I4074" s="1" t="str">
        <f t="shared" si="866"/>
        <v>X</v>
      </c>
      <c r="J4074" s="1" t="str">
        <f t="shared" si="866"/>
        <v>X</v>
      </c>
      <c r="K4074" s="1" t="str">
        <f t="shared" si="866"/>
        <v>X</v>
      </c>
      <c r="L4074" s="1" t="str">
        <f t="shared" si="866"/>
        <v>X</v>
      </c>
      <c r="M4074" s="1" t="str">
        <f t="shared" si="866"/>
        <v>X</v>
      </c>
      <c r="N4074" t="s">
        <v>27</v>
      </c>
    </row>
    <row r="4075" spans="1:14" x14ac:dyDescent="0.25">
      <c r="A4075" t="s">
        <v>41</v>
      </c>
      <c r="B4075" t="s">
        <v>39</v>
      </c>
      <c r="C4075" t="s">
        <v>37</v>
      </c>
      <c r="D4075" t="s">
        <v>28</v>
      </c>
      <c r="E4075" t="s">
        <v>26</v>
      </c>
      <c r="F4075" t="s">
        <v>19</v>
      </c>
      <c r="G4075" s="1" t="str">
        <f t="shared" ref="G4075:M4075" si="867">"..."</f>
        <v>...</v>
      </c>
      <c r="H4075" s="1" t="str">
        <f t="shared" si="867"/>
        <v>...</v>
      </c>
      <c r="I4075" s="1" t="str">
        <f t="shared" si="867"/>
        <v>...</v>
      </c>
      <c r="J4075" s="1" t="str">
        <f t="shared" si="867"/>
        <v>...</v>
      </c>
      <c r="K4075" s="1" t="str">
        <f t="shared" si="867"/>
        <v>...</v>
      </c>
      <c r="L4075" s="1" t="str">
        <f t="shared" si="867"/>
        <v>...</v>
      </c>
      <c r="M4075" s="1" t="str">
        <f t="shared" si="867"/>
        <v>...</v>
      </c>
      <c r="N4075" t="s">
        <v>30</v>
      </c>
    </row>
    <row r="4076" spans="1:14" x14ac:dyDescent="0.25">
      <c r="A4076" t="s">
        <v>41</v>
      </c>
      <c r="B4076" t="s">
        <v>39</v>
      </c>
      <c r="C4076" t="s">
        <v>37</v>
      </c>
      <c r="D4076" t="s">
        <v>28</v>
      </c>
      <c r="E4076" t="s">
        <v>26</v>
      </c>
      <c r="F4076" t="s">
        <v>20</v>
      </c>
      <c r="G4076" s="1" t="str">
        <f t="shared" ref="G4076:M4076" si="868">"X"</f>
        <v>X</v>
      </c>
      <c r="H4076" s="1" t="str">
        <f t="shared" si="868"/>
        <v>X</v>
      </c>
      <c r="I4076" s="1" t="str">
        <f t="shared" si="868"/>
        <v>X</v>
      </c>
      <c r="J4076" s="1" t="str">
        <f t="shared" si="868"/>
        <v>X</v>
      </c>
      <c r="K4076" s="1" t="str">
        <f t="shared" si="868"/>
        <v>X</v>
      </c>
      <c r="L4076" s="1" t="str">
        <f t="shared" si="868"/>
        <v>X</v>
      </c>
      <c r="M4076" s="1" t="str">
        <f t="shared" si="868"/>
        <v>X</v>
      </c>
      <c r="N4076" t="s">
        <v>27</v>
      </c>
    </row>
    <row r="4077" spans="1:14" x14ac:dyDescent="0.25">
      <c r="A4077" t="s">
        <v>41</v>
      </c>
      <c r="B4077" t="s">
        <v>39</v>
      </c>
      <c r="C4077" t="s">
        <v>37</v>
      </c>
      <c r="D4077" t="s">
        <v>29</v>
      </c>
      <c r="E4077" t="s">
        <v>15</v>
      </c>
      <c r="F4077" t="s">
        <v>15</v>
      </c>
      <c r="G4077" s="1">
        <f>VALUE(4786.9489220716)</f>
        <v>4786.9489220715996</v>
      </c>
      <c r="H4077" s="1">
        <f>VALUE(4824.8646747616)</f>
        <v>4824.8646747616003</v>
      </c>
      <c r="I4077" s="1">
        <f>VALUE(3853)</f>
        <v>3853</v>
      </c>
      <c r="J4077" s="1">
        <f>VALUE(4620)</f>
        <v>4620</v>
      </c>
      <c r="K4077" s="1">
        <f>VALUE(5601)</f>
        <v>5601</v>
      </c>
      <c r="L4077" s="1">
        <f>VALUE(7145)</f>
        <v>7145</v>
      </c>
      <c r="M4077" s="1">
        <f>VALUE(10196)</f>
        <v>10196</v>
      </c>
      <c r="N4077" t="s">
        <v>16</v>
      </c>
    </row>
    <row r="4078" spans="1:14" x14ac:dyDescent="0.25">
      <c r="A4078" t="s">
        <v>41</v>
      </c>
      <c r="B4078" t="s">
        <v>39</v>
      </c>
      <c r="C4078" t="s">
        <v>37</v>
      </c>
      <c r="D4078" t="s">
        <v>29</v>
      </c>
      <c r="E4078" t="s">
        <v>15</v>
      </c>
      <c r="F4078" t="s">
        <v>17</v>
      </c>
      <c r="G4078" s="2">
        <f>VALUE(890.4760309176)</f>
        <v>890.47603091760004</v>
      </c>
      <c r="H4078" s="3">
        <f>VALUE(900.7383943209)</f>
        <v>900.73839432090006</v>
      </c>
      <c r="I4078" s="4">
        <f>VALUE(4194)</f>
        <v>4194</v>
      </c>
      <c r="J4078" s="5">
        <f>VALUE(6030)</f>
        <v>6030</v>
      </c>
      <c r="K4078" s="6">
        <f>VALUE(8730)</f>
        <v>8730</v>
      </c>
      <c r="L4078" s="7">
        <f>VALUE(12698)</f>
        <v>12698</v>
      </c>
      <c r="M4078" s="8">
        <f>VALUE(21509)</f>
        <v>21509</v>
      </c>
      <c r="N4078" t="s">
        <v>24</v>
      </c>
    </row>
    <row r="4079" spans="1:14" x14ac:dyDescent="0.25">
      <c r="A4079" t="s">
        <v>41</v>
      </c>
      <c r="B4079" t="s">
        <v>39</v>
      </c>
      <c r="C4079" t="s">
        <v>37</v>
      </c>
      <c r="D4079" t="s">
        <v>29</v>
      </c>
      <c r="E4079" t="s">
        <v>15</v>
      </c>
      <c r="F4079" t="s">
        <v>18</v>
      </c>
      <c r="G4079" s="2">
        <f>VALUE(641.939318261)</f>
        <v>641.93931826100004</v>
      </c>
      <c r="H4079" s="3">
        <f>VALUE(654.291740895)</f>
        <v>654.29174089499998</v>
      </c>
      <c r="I4079" s="4">
        <f>VALUE(4039)</f>
        <v>4039</v>
      </c>
      <c r="J4079" s="1">
        <f>VALUE(5000)</f>
        <v>5000</v>
      </c>
      <c r="K4079" s="6">
        <f>VALUE(6225)</f>
        <v>6225</v>
      </c>
      <c r="L4079" s="7">
        <f>VALUE(8198)</f>
        <v>8198</v>
      </c>
      <c r="M4079" s="1">
        <f>VALUE(10880)</f>
        <v>10880</v>
      </c>
      <c r="N4079" t="s">
        <v>25</v>
      </c>
    </row>
    <row r="4080" spans="1:14" x14ac:dyDescent="0.25">
      <c r="A4080" t="s">
        <v>41</v>
      </c>
      <c r="B4080" t="s">
        <v>39</v>
      </c>
      <c r="C4080" t="s">
        <v>37</v>
      </c>
      <c r="D4080" t="s">
        <v>29</v>
      </c>
      <c r="E4080" t="s">
        <v>15</v>
      </c>
      <c r="F4080" t="s">
        <v>19</v>
      </c>
      <c r="G4080" s="2">
        <f>VALUE(682.7207856821)</f>
        <v>682.72078568209997</v>
      </c>
      <c r="H4080" s="3">
        <f>VALUE(655.8056281666)</f>
        <v>655.80562816659994</v>
      </c>
      <c r="I4080" s="4">
        <f>VALUE(4394)</f>
        <v>4394</v>
      </c>
      <c r="J4080" s="1">
        <f>VALUE(4883)</f>
        <v>4883</v>
      </c>
      <c r="K4080" s="1">
        <f>VALUE(5790)</f>
        <v>5790</v>
      </c>
      <c r="L4080" s="1">
        <f>VALUE(6894)</f>
        <v>6894</v>
      </c>
      <c r="M4080" s="8">
        <f>VALUE(8066)</f>
        <v>8066</v>
      </c>
      <c r="N4080" t="s">
        <v>25</v>
      </c>
    </row>
    <row r="4081" spans="1:14" x14ac:dyDescent="0.25">
      <c r="A4081" t="s">
        <v>41</v>
      </c>
      <c r="B4081" t="s">
        <v>39</v>
      </c>
      <c r="C4081" t="s">
        <v>37</v>
      </c>
      <c r="D4081" t="s">
        <v>29</v>
      </c>
      <c r="E4081" t="s">
        <v>15</v>
      </c>
      <c r="F4081" t="s">
        <v>20</v>
      </c>
      <c r="G4081" s="1">
        <f>VALUE(2571.8127872109)</f>
        <v>2571.8127872108998</v>
      </c>
      <c r="H4081" s="1">
        <f>VALUE(2614.0289113791)</f>
        <v>2614.0289113791</v>
      </c>
      <c r="I4081" s="1">
        <f>VALUE(3680)</f>
        <v>3680</v>
      </c>
      <c r="J4081" s="1">
        <f>VALUE(4297)</f>
        <v>4297</v>
      </c>
      <c r="K4081" s="1">
        <f>VALUE(5136)</f>
        <v>5136</v>
      </c>
      <c r="L4081" s="1">
        <f>VALUE(5951)</f>
        <v>5951</v>
      </c>
      <c r="M4081" s="1">
        <f>VALUE(7091)</f>
        <v>7091</v>
      </c>
      <c r="N4081" t="s">
        <v>16</v>
      </c>
    </row>
    <row r="4082" spans="1:14" x14ac:dyDescent="0.25">
      <c r="A4082" t="s">
        <v>41</v>
      </c>
      <c r="B4082" t="s">
        <v>39</v>
      </c>
      <c r="C4082" t="s">
        <v>37</v>
      </c>
      <c r="D4082" t="s">
        <v>29</v>
      </c>
      <c r="E4082" t="s">
        <v>21</v>
      </c>
      <c r="F4082" t="s">
        <v>15</v>
      </c>
      <c r="G4082" s="2">
        <f>VALUE(1048.923055638)</f>
        <v>1048.9230556380001</v>
      </c>
      <c r="H4082" s="3">
        <f>VALUE(1014.4886216593)</f>
        <v>1014.4886216593</v>
      </c>
      <c r="I4082" s="4">
        <f>VALUE(4658)</f>
        <v>4658</v>
      </c>
      <c r="J4082" s="1">
        <f>VALUE(6351)</f>
        <v>6351</v>
      </c>
      <c r="K4082" s="1">
        <f>VALUE(8721)</f>
        <v>8721</v>
      </c>
      <c r="L4082" s="1">
        <f>VALUE(11373)</f>
        <v>11373</v>
      </c>
      <c r="M4082" s="8">
        <f>VALUE(17775)</f>
        <v>17775</v>
      </c>
      <c r="N4082" t="s">
        <v>25</v>
      </c>
    </row>
    <row r="4083" spans="1:14" x14ac:dyDescent="0.25">
      <c r="A4083" t="s">
        <v>41</v>
      </c>
      <c r="B4083" t="s">
        <v>39</v>
      </c>
      <c r="C4083" t="s">
        <v>37</v>
      </c>
      <c r="D4083" t="s">
        <v>29</v>
      </c>
      <c r="E4083" t="s">
        <v>21</v>
      </c>
      <c r="F4083" t="s">
        <v>17</v>
      </c>
      <c r="G4083" s="2">
        <f>VALUE(509.7911855603)</f>
        <v>509.79118556029999</v>
      </c>
      <c r="H4083" s="3">
        <f>VALUE(508.4951597666)</f>
        <v>508.49515976660001</v>
      </c>
      <c r="I4083" s="4">
        <f>VALUE(4762)</f>
        <v>4762</v>
      </c>
      <c r="J4083" s="5">
        <f>VALUE(7451)</f>
        <v>7451</v>
      </c>
      <c r="K4083" s="1">
        <f>VALUE(10417)</f>
        <v>10417</v>
      </c>
      <c r="L4083" s="7">
        <f>VALUE(15250)</f>
        <v>15250</v>
      </c>
      <c r="M4083" s="8">
        <f>VALUE(24366)</f>
        <v>24366</v>
      </c>
      <c r="N4083" t="s">
        <v>25</v>
      </c>
    </row>
    <row r="4084" spans="1:14" x14ac:dyDescent="0.25">
      <c r="A4084" t="s">
        <v>41</v>
      </c>
      <c r="B4084" t="s">
        <v>39</v>
      </c>
      <c r="C4084" t="s">
        <v>37</v>
      </c>
      <c r="D4084" t="s">
        <v>29</v>
      </c>
      <c r="E4084" t="s">
        <v>21</v>
      </c>
      <c r="F4084" t="s">
        <v>18</v>
      </c>
      <c r="G4084" s="2">
        <f>VALUE(215.858488981)</f>
        <v>215.85848898099999</v>
      </c>
      <c r="H4084" s="3">
        <f>VALUE(215.8146010372)</f>
        <v>215.81460103719999</v>
      </c>
      <c r="I4084" s="1">
        <f>VALUE(4612)</f>
        <v>4612</v>
      </c>
      <c r="J4084" s="5">
        <f>VALUE(6815)</f>
        <v>6815</v>
      </c>
      <c r="K4084" s="6">
        <f>VALUE(8528)</f>
        <v>8528</v>
      </c>
      <c r="L4084" s="1">
        <f>VALUE(10588)</f>
        <v>10588</v>
      </c>
      <c r="M4084" s="1">
        <f>VALUE(12549)</f>
        <v>12549</v>
      </c>
      <c r="N4084" t="s">
        <v>25</v>
      </c>
    </row>
    <row r="4085" spans="1:14" x14ac:dyDescent="0.25">
      <c r="A4085" t="s">
        <v>41</v>
      </c>
      <c r="B4085" t="s">
        <v>39</v>
      </c>
      <c r="C4085" t="s">
        <v>37</v>
      </c>
      <c r="D4085" t="s">
        <v>29</v>
      </c>
      <c r="E4085" t="s">
        <v>21</v>
      </c>
      <c r="F4085" t="s">
        <v>19</v>
      </c>
      <c r="G4085" s="1" t="str">
        <f t="shared" ref="G4085:M4085" si="869">"X"</f>
        <v>X</v>
      </c>
      <c r="H4085" s="1" t="str">
        <f t="shared" si="869"/>
        <v>X</v>
      </c>
      <c r="I4085" s="1" t="str">
        <f t="shared" si="869"/>
        <v>X</v>
      </c>
      <c r="J4085" s="1" t="str">
        <f t="shared" si="869"/>
        <v>X</v>
      </c>
      <c r="K4085" s="1" t="str">
        <f t="shared" si="869"/>
        <v>X</v>
      </c>
      <c r="L4085" s="1" t="str">
        <f t="shared" si="869"/>
        <v>X</v>
      </c>
      <c r="M4085" s="1" t="str">
        <f t="shared" si="869"/>
        <v>X</v>
      </c>
      <c r="N4085" t="s">
        <v>27</v>
      </c>
    </row>
    <row r="4086" spans="1:14" x14ac:dyDescent="0.25">
      <c r="A4086" t="s">
        <v>41</v>
      </c>
      <c r="B4086" t="s">
        <v>39</v>
      </c>
      <c r="C4086" t="s">
        <v>37</v>
      </c>
      <c r="D4086" t="s">
        <v>29</v>
      </c>
      <c r="E4086" t="s">
        <v>21</v>
      </c>
      <c r="F4086" t="s">
        <v>20</v>
      </c>
      <c r="G4086" s="2">
        <f>VALUE(184.7094340511)</f>
        <v>184.7094340511</v>
      </c>
      <c r="H4086" s="3">
        <f>VALUE(174.4746435461)</f>
        <v>174.4746435461</v>
      </c>
      <c r="I4086" s="1">
        <f>VALUE(4335)</f>
        <v>4335</v>
      </c>
      <c r="J4086" s="1">
        <f>VALUE(5731)</f>
        <v>5731</v>
      </c>
      <c r="K4086" s="1">
        <f>VALUE(6773)</f>
        <v>6773</v>
      </c>
      <c r="L4086" s="1">
        <f>VALUE(8810)</f>
        <v>8810</v>
      </c>
      <c r="M4086" s="1">
        <f>VALUE(9583)</f>
        <v>9583</v>
      </c>
      <c r="N4086" t="s">
        <v>25</v>
      </c>
    </row>
    <row r="4087" spans="1:14" x14ac:dyDescent="0.25">
      <c r="A4087" t="s">
        <v>41</v>
      </c>
      <c r="B4087" t="s">
        <v>39</v>
      </c>
      <c r="C4087" t="s">
        <v>37</v>
      </c>
      <c r="D4087" t="s">
        <v>29</v>
      </c>
      <c r="E4087" t="s">
        <v>22</v>
      </c>
      <c r="F4087" t="s">
        <v>15</v>
      </c>
      <c r="G4087" s="2">
        <f>VALUE(1522.3123098723)</f>
        <v>1522.3123098722999</v>
      </c>
      <c r="H4087" s="3">
        <f>VALUE(1543.554944315)</f>
        <v>1543.5549443150001</v>
      </c>
      <c r="I4087" s="4">
        <f>VALUE(4083)</f>
        <v>4083</v>
      </c>
      <c r="J4087" s="1">
        <f>VALUE(4855)</f>
        <v>4855</v>
      </c>
      <c r="K4087" s="1">
        <f>VALUE(5714)</f>
        <v>5714</v>
      </c>
      <c r="L4087" s="1">
        <f>VALUE(6840)</f>
        <v>6840</v>
      </c>
      <c r="M4087" s="1">
        <f>VALUE(8305)</f>
        <v>8305</v>
      </c>
      <c r="N4087" t="s">
        <v>25</v>
      </c>
    </row>
    <row r="4088" spans="1:14" x14ac:dyDescent="0.25">
      <c r="A4088" t="s">
        <v>41</v>
      </c>
      <c r="B4088" t="s">
        <v>39</v>
      </c>
      <c r="C4088" t="s">
        <v>37</v>
      </c>
      <c r="D4088" t="s">
        <v>29</v>
      </c>
      <c r="E4088" t="s">
        <v>22</v>
      </c>
      <c r="F4088" t="s">
        <v>17</v>
      </c>
      <c r="G4088" s="2">
        <f>VALUE(240.8012702197)</f>
        <v>240.8012702197</v>
      </c>
      <c r="H4088" s="3">
        <f>VALUE(246.6303819712)</f>
        <v>246.63038197119999</v>
      </c>
      <c r="I4088" s="4">
        <f>VALUE(4877)</f>
        <v>4877</v>
      </c>
      <c r="J4088" s="5">
        <f>VALUE(5714)</f>
        <v>5714</v>
      </c>
      <c r="K4088" s="6">
        <f>VALUE(6840)</f>
        <v>6840</v>
      </c>
      <c r="L4088" s="7">
        <f>VALUE(8730)</f>
        <v>8730</v>
      </c>
      <c r="M4088" s="8">
        <f>VALUE(10737)</f>
        <v>10737</v>
      </c>
      <c r="N4088" t="s">
        <v>24</v>
      </c>
    </row>
    <row r="4089" spans="1:14" x14ac:dyDescent="0.25">
      <c r="A4089" t="s">
        <v>41</v>
      </c>
      <c r="B4089" t="s">
        <v>39</v>
      </c>
      <c r="C4089" t="s">
        <v>37</v>
      </c>
      <c r="D4089" t="s">
        <v>29</v>
      </c>
      <c r="E4089" t="s">
        <v>22</v>
      </c>
      <c r="F4089" t="s">
        <v>18</v>
      </c>
      <c r="G4089" s="2">
        <f>VALUE(226.5672786888)</f>
        <v>226.5672786888</v>
      </c>
      <c r="H4089" s="3">
        <f>VALUE(231.9640922829)</f>
        <v>231.9640922829</v>
      </c>
      <c r="I4089" s="4">
        <f>VALUE(3402)</f>
        <v>3402</v>
      </c>
      <c r="J4089" s="1">
        <f>VALUE(5073)</f>
        <v>5073</v>
      </c>
      <c r="K4089" s="1">
        <f>VALUE(5729)</f>
        <v>5729</v>
      </c>
      <c r="L4089" s="1">
        <f>VALUE(7274)</f>
        <v>7274</v>
      </c>
      <c r="M4089" s="8">
        <f>VALUE(8203)</f>
        <v>8203</v>
      </c>
      <c r="N4089" t="s">
        <v>25</v>
      </c>
    </row>
    <row r="4090" spans="1:14" x14ac:dyDescent="0.25">
      <c r="A4090" t="s">
        <v>41</v>
      </c>
      <c r="B4090" t="s">
        <v>39</v>
      </c>
      <c r="C4090" t="s">
        <v>37</v>
      </c>
      <c r="D4090" t="s">
        <v>29</v>
      </c>
      <c r="E4090" t="s">
        <v>22</v>
      </c>
      <c r="F4090" t="s">
        <v>19</v>
      </c>
      <c r="G4090" s="2">
        <f>VALUE(342.7612600338)</f>
        <v>342.7612600338</v>
      </c>
      <c r="H4090" s="3">
        <f>VALUE(334.2298841545)</f>
        <v>334.22988415449998</v>
      </c>
      <c r="I4090" s="4">
        <f>VALUE(4444)</f>
        <v>4444</v>
      </c>
      <c r="J4090" s="1">
        <f>VALUE(5013)</f>
        <v>5013</v>
      </c>
      <c r="K4090" s="1">
        <f>VALUE(5854)</f>
        <v>5854</v>
      </c>
      <c r="L4090" s="1">
        <f>VALUE(6822)</f>
        <v>6822</v>
      </c>
      <c r="M4090" s="1">
        <f>VALUE(7977)</f>
        <v>7977</v>
      </c>
      <c r="N4090" t="s">
        <v>25</v>
      </c>
    </row>
    <row r="4091" spans="1:14" x14ac:dyDescent="0.25">
      <c r="A4091" t="s">
        <v>41</v>
      </c>
      <c r="B4091" t="s">
        <v>39</v>
      </c>
      <c r="C4091" t="s">
        <v>37</v>
      </c>
      <c r="D4091" t="s">
        <v>29</v>
      </c>
      <c r="E4091" t="s">
        <v>22</v>
      </c>
      <c r="F4091" t="s">
        <v>20</v>
      </c>
      <c r="G4091" s="2">
        <f>VALUE(712.18250093)</f>
        <v>712.18250092999995</v>
      </c>
      <c r="H4091" s="3">
        <f>VALUE(730.7305859064)</f>
        <v>730.73058590640005</v>
      </c>
      <c r="I4091" s="4">
        <f>VALUE(3644)</f>
        <v>3644</v>
      </c>
      <c r="J4091" s="1">
        <f>VALUE(4592)</f>
        <v>4592</v>
      </c>
      <c r="K4091" s="1">
        <f>VALUE(5417)</f>
        <v>5417</v>
      </c>
      <c r="L4091" s="1">
        <f>VALUE(6219)</f>
        <v>6219</v>
      </c>
      <c r="M4091" s="1">
        <f>VALUE(7187)</f>
        <v>7187</v>
      </c>
      <c r="N4091" t="s">
        <v>25</v>
      </c>
    </row>
    <row r="4092" spans="1:14" x14ac:dyDescent="0.25">
      <c r="A4092" t="s">
        <v>41</v>
      </c>
      <c r="B4092" t="s">
        <v>39</v>
      </c>
      <c r="C4092" t="s">
        <v>37</v>
      </c>
      <c r="D4092" t="s">
        <v>29</v>
      </c>
      <c r="E4092" t="s">
        <v>23</v>
      </c>
      <c r="F4092" t="s">
        <v>15</v>
      </c>
      <c r="G4092" s="1">
        <f>VALUE(2162.8282112143)</f>
        <v>2162.8282112143002</v>
      </c>
      <c r="H4092" s="1">
        <f>VALUE(2211.3789584063)</f>
        <v>2211.3789584063002</v>
      </c>
      <c r="I4092" s="1">
        <f>VALUE(3700)</f>
        <v>3700</v>
      </c>
      <c r="J4092" s="1">
        <f>VALUE(4210)</f>
        <v>4210</v>
      </c>
      <c r="K4092" s="1">
        <f>VALUE(5020)</f>
        <v>5020</v>
      </c>
      <c r="L4092" s="1">
        <f>VALUE(5860)</f>
        <v>5860</v>
      </c>
      <c r="M4092" s="1">
        <f>VALUE(6666)</f>
        <v>6666</v>
      </c>
      <c r="N4092" t="s">
        <v>16</v>
      </c>
    </row>
    <row r="4093" spans="1:14" x14ac:dyDescent="0.25">
      <c r="A4093" t="s">
        <v>41</v>
      </c>
      <c r="B4093" t="s">
        <v>39</v>
      </c>
      <c r="C4093" t="s">
        <v>37</v>
      </c>
      <c r="D4093" t="s">
        <v>29</v>
      </c>
      <c r="E4093" t="s">
        <v>23</v>
      </c>
      <c r="F4093" t="s">
        <v>17</v>
      </c>
      <c r="G4093" s="1" t="str">
        <f t="shared" ref="G4093:M4093" si="870">"X"</f>
        <v>X</v>
      </c>
      <c r="H4093" s="1" t="str">
        <f t="shared" si="870"/>
        <v>X</v>
      </c>
      <c r="I4093" s="1" t="str">
        <f t="shared" si="870"/>
        <v>X</v>
      </c>
      <c r="J4093" s="1" t="str">
        <f t="shared" si="870"/>
        <v>X</v>
      </c>
      <c r="K4093" s="1" t="str">
        <f t="shared" si="870"/>
        <v>X</v>
      </c>
      <c r="L4093" s="1" t="str">
        <f t="shared" si="870"/>
        <v>X</v>
      </c>
      <c r="M4093" s="1" t="str">
        <f t="shared" si="870"/>
        <v>X</v>
      </c>
      <c r="N4093" t="s">
        <v>27</v>
      </c>
    </row>
    <row r="4094" spans="1:14" x14ac:dyDescent="0.25">
      <c r="A4094" t="s">
        <v>41</v>
      </c>
      <c r="B4094" t="s">
        <v>39</v>
      </c>
      <c r="C4094" t="s">
        <v>37</v>
      </c>
      <c r="D4094" t="s">
        <v>29</v>
      </c>
      <c r="E4094" t="s">
        <v>23</v>
      </c>
      <c r="F4094" t="s">
        <v>18</v>
      </c>
      <c r="G4094" s="2">
        <f>VALUE(186.364267552)</f>
        <v>186.364267552</v>
      </c>
      <c r="H4094" s="3">
        <f>VALUE(192.7063003841)</f>
        <v>192.70630038409999</v>
      </c>
      <c r="I4094" s="4">
        <f>VALUE(3810)</f>
        <v>3810</v>
      </c>
      <c r="J4094" s="5">
        <f>VALUE(4224)</f>
        <v>4224</v>
      </c>
      <c r="K4094" s="6">
        <f>VALUE(5540)</f>
        <v>5540</v>
      </c>
      <c r="L4094" s="1">
        <f>VALUE(6225)</f>
        <v>6225</v>
      </c>
      <c r="M4094" s="8">
        <f>VALUE(7111)</f>
        <v>7111</v>
      </c>
      <c r="N4094" t="s">
        <v>25</v>
      </c>
    </row>
    <row r="4095" spans="1:14" x14ac:dyDescent="0.25">
      <c r="A4095" t="s">
        <v>41</v>
      </c>
      <c r="B4095" t="s">
        <v>39</v>
      </c>
      <c r="C4095" t="s">
        <v>37</v>
      </c>
      <c r="D4095" t="s">
        <v>29</v>
      </c>
      <c r="E4095" t="s">
        <v>23</v>
      </c>
      <c r="F4095" t="s">
        <v>19</v>
      </c>
      <c r="G4095" s="2">
        <f>VALUE(201.3955786027)</f>
        <v>201.3955786027</v>
      </c>
      <c r="H4095" s="3">
        <f>VALUE(205.8715267027)</f>
        <v>205.87152670270001</v>
      </c>
      <c r="I4095" s="4">
        <f>VALUE(3908)</f>
        <v>3908</v>
      </c>
      <c r="J4095" s="5">
        <f>VALUE(4750)</f>
        <v>4750</v>
      </c>
      <c r="K4095" s="6">
        <f>VALUE(5200)</f>
        <v>5200</v>
      </c>
      <c r="L4095" s="1">
        <f>VALUE(6115)</f>
        <v>6115</v>
      </c>
      <c r="M4095" s="1">
        <f>VALUE(7085)</f>
        <v>7085</v>
      </c>
      <c r="N4095" t="s">
        <v>25</v>
      </c>
    </row>
    <row r="4096" spans="1:14" x14ac:dyDescent="0.25">
      <c r="A4096" t="s">
        <v>41</v>
      </c>
      <c r="B4096" t="s">
        <v>39</v>
      </c>
      <c r="C4096" t="s">
        <v>37</v>
      </c>
      <c r="D4096" t="s">
        <v>29</v>
      </c>
      <c r="E4096" t="s">
        <v>23</v>
      </c>
      <c r="F4096" t="s">
        <v>20</v>
      </c>
      <c r="G4096" s="2">
        <f>VALUE(1671.710576142)</f>
        <v>1671.710576142</v>
      </c>
      <c r="H4096" s="3">
        <f>VALUE(1705.5403542664)</f>
        <v>1705.5403542664001</v>
      </c>
      <c r="I4096" s="1">
        <f>VALUE(3614)</f>
        <v>3614</v>
      </c>
      <c r="J4096" s="1">
        <f>VALUE(4210)</f>
        <v>4210</v>
      </c>
      <c r="K4096" s="1">
        <f>VALUE(4933)</f>
        <v>4933</v>
      </c>
      <c r="L4096" s="1">
        <f>VALUE(5758)</f>
        <v>5758</v>
      </c>
      <c r="M4096" s="1">
        <f>VALUE(6552)</f>
        <v>6552</v>
      </c>
      <c r="N4096" t="s">
        <v>25</v>
      </c>
    </row>
    <row r="4097" spans="1:14" x14ac:dyDescent="0.25">
      <c r="A4097" t="s">
        <v>41</v>
      </c>
      <c r="B4097" t="s">
        <v>39</v>
      </c>
      <c r="C4097" t="s">
        <v>37</v>
      </c>
      <c r="D4097" t="s">
        <v>29</v>
      </c>
      <c r="E4097" t="s">
        <v>26</v>
      </c>
      <c r="F4097" t="s">
        <v>15</v>
      </c>
      <c r="G4097" s="1" t="str">
        <f t="shared" ref="G4097:M4099" si="871">"X"</f>
        <v>X</v>
      </c>
      <c r="H4097" s="1" t="str">
        <f t="shared" si="871"/>
        <v>X</v>
      </c>
      <c r="I4097" s="1" t="str">
        <f t="shared" si="871"/>
        <v>X</v>
      </c>
      <c r="J4097" s="1" t="str">
        <f t="shared" si="871"/>
        <v>X</v>
      </c>
      <c r="K4097" s="1" t="str">
        <f t="shared" si="871"/>
        <v>X</v>
      </c>
      <c r="L4097" s="1" t="str">
        <f t="shared" si="871"/>
        <v>X</v>
      </c>
      <c r="M4097" s="1" t="str">
        <f t="shared" si="871"/>
        <v>X</v>
      </c>
      <c r="N4097" t="s">
        <v>27</v>
      </c>
    </row>
    <row r="4098" spans="1:14" x14ac:dyDescent="0.25">
      <c r="A4098" t="s">
        <v>41</v>
      </c>
      <c r="B4098" t="s">
        <v>39</v>
      </c>
      <c r="C4098" t="s">
        <v>37</v>
      </c>
      <c r="D4098" t="s">
        <v>29</v>
      </c>
      <c r="E4098" t="s">
        <v>26</v>
      </c>
      <c r="F4098" t="s">
        <v>17</v>
      </c>
      <c r="G4098" s="1" t="str">
        <f t="shared" si="871"/>
        <v>X</v>
      </c>
      <c r="H4098" s="1" t="str">
        <f t="shared" si="871"/>
        <v>X</v>
      </c>
      <c r="I4098" s="1" t="str">
        <f t="shared" si="871"/>
        <v>X</v>
      </c>
      <c r="J4098" s="1" t="str">
        <f t="shared" si="871"/>
        <v>X</v>
      </c>
      <c r="K4098" s="1" t="str">
        <f t="shared" si="871"/>
        <v>X</v>
      </c>
      <c r="L4098" s="1" t="str">
        <f t="shared" si="871"/>
        <v>X</v>
      </c>
      <c r="M4098" s="1" t="str">
        <f t="shared" si="871"/>
        <v>X</v>
      </c>
      <c r="N4098" t="s">
        <v>27</v>
      </c>
    </row>
    <row r="4099" spans="1:14" x14ac:dyDescent="0.25">
      <c r="A4099" t="s">
        <v>41</v>
      </c>
      <c r="B4099" t="s">
        <v>39</v>
      </c>
      <c r="C4099" t="s">
        <v>37</v>
      </c>
      <c r="D4099" t="s">
        <v>29</v>
      </c>
      <c r="E4099" t="s">
        <v>26</v>
      </c>
      <c r="F4099" t="s">
        <v>18</v>
      </c>
      <c r="G4099" s="1" t="str">
        <f t="shared" si="871"/>
        <v>X</v>
      </c>
      <c r="H4099" s="1" t="str">
        <f t="shared" si="871"/>
        <v>X</v>
      </c>
      <c r="I4099" s="1" t="str">
        <f t="shared" si="871"/>
        <v>X</v>
      </c>
      <c r="J4099" s="1" t="str">
        <f t="shared" si="871"/>
        <v>X</v>
      </c>
      <c r="K4099" s="1" t="str">
        <f t="shared" si="871"/>
        <v>X</v>
      </c>
      <c r="L4099" s="1" t="str">
        <f t="shared" si="871"/>
        <v>X</v>
      </c>
      <c r="M4099" s="1" t="str">
        <f t="shared" si="871"/>
        <v>X</v>
      </c>
      <c r="N4099" t="s">
        <v>27</v>
      </c>
    </row>
    <row r="4100" spans="1:14" x14ac:dyDescent="0.25">
      <c r="A4100" t="s">
        <v>41</v>
      </c>
      <c r="B4100" t="s">
        <v>39</v>
      </c>
      <c r="C4100" t="s">
        <v>37</v>
      </c>
      <c r="D4100" t="s">
        <v>29</v>
      </c>
      <c r="E4100" t="s">
        <v>26</v>
      </c>
      <c r="F4100" t="s">
        <v>19</v>
      </c>
      <c r="G4100" s="1" t="str">
        <f t="shared" ref="G4100:M4100" si="872">"..."</f>
        <v>...</v>
      </c>
      <c r="H4100" s="1" t="str">
        <f t="shared" si="872"/>
        <v>...</v>
      </c>
      <c r="I4100" s="1" t="str">
        <f t="shared" si="872"/>
        <v>...</v>
      </c>
      <c r="J4100" s="1" t="str">
        <f t="shared" si="872"/>
        <v>...</v>
      </c>
      <c r="K4100" s="1" t="str">
        <f t="shared" si="872"/>
        <v>...</v>
      </c>
      <c r="L4100" s="1" t="str">
        <f t="shared" si="872"/>
        <v>...</v>
      </c>
      <c r="M4100" s="1" t="str">
        <f t="shared" si="872"/>
        <v>...</v>
      </c>
      <c r="N4100" t="s">
        <v>30</v>
      </c>
    </row>
    <row r="4101" spans="1:14" x14ac:dyDescent="0.25">
      <c r="A4101" t="s">
        <v>41</v>
      </c>
      <c r="B4101" t="s">
        <v>39</v>
      </c>
      <c r="C4101" t="s">
        <v>37</v>
      </c>
      <c r="D4101" t="s">
        <v>29</v>
      </c>
      <c r="E4101" t="s">
        <v>26</v>
      </c>
      <c r="F4101" t="s">
        <v>20</v>
      </c>
      <c r="G4101" s="1" t="str">
        <f t="shared" ref="G4101:M4101" si="873">"X"</f>
        <v>X</v>
      </c>
      <c r="H4101" s="1" t="str">
        <f t="shared" si="873"/>
        <v>X</v>
      </c>
      <c r="I4101" s="1" t="str">
        <f t="shared" si="873"/>
        <v>X</v>
      </c>
      <c r="J4101" s="1" t="str">
        <f t="shared" si="873"/>
        <v>X</v>
      </c>
      <c r="K4101" s="1" t="str">
        <f t="shared" si="873"/>
        <v>X</v>
      </c>
      <c r="L4101" s="1" t="str">
        <f t="shared" si="873"/>
        <v>X</v>
      </c>
      <c r="M4101" s="1" t="str">
        <f t="shared" si="873"/>
        <v>X</v>
      </c>
      <c r="N4101" t="s">
        <v>27</v>
      </c>
    </row>
    <row r="4102" spans="1:14" x14ac:dyDescent="0.25">
      <c r="A4102" t="s">
        <v>41</v>
      </c>
      <c r="B4102" t="s">
        <v>39</v>
      </c>
      <c r="C4102" t="s">
        <v>37</v>
      </c>
      <c r="D4102" t="s">
        <v>31</v>
      </c>
      <c r="E4102" t="s">
        <v>15</v>
      </c>
      <c r="F4102" t="s">
        <v>15</v>
      </c>
      <c r="G4102" s="1">
        <f>VALUE(1948.1706500921)</f>
        <v>1948.1706500921</v>
      </c>
      <c r="H4102" s="1">
        <f>VALUE(1948.4079390453)</f>
        <v>1948.4079390453001</v>
      </c>
      <c r="I4102" s="1">
        <f>VALUE(3617)</f>
        <v>3617</v>
      </c>
      <c r="J4102" s="1">
        <f>VALUE(4333)</f>
        <v>4333</v>
      </c>
      <c r="K4102" s="1">
        <f>VALUE(5464)</f>
        <v>5464</v>
      </c>
      <c r="L4102" s="7">
        <f>VALUE(8833)</f>
        <v>8833</v>
      </c>
      <c r="M4102" s="8">
        <f>VALUE(15873)</f>
        <v>15873</v>
      </c>
      <c r="N4102" t="s">
        <v>25</v>
      </c>
    </row>
    <row r="4103" spans="1:14" x14ac:dyDescent="0.25">
      <c r="A4103" t="s">
        <v>41</v>
      </c>
      <c r="B4103" t="s">
        <v>39</v>
      </c>
      <c r="C4103" t="s">
        <v>37</v>
      </c>
      <c r="D4103" t="s">
        <v>31</v>
      </c>
      <c r="E4103" t="s">
        <v>15</v>
      </c>
      <c r="F4103" t="s">
        <v>17</v>
      </c>
      <c r="G4103" s="2">
        <f>VALUE(518.8127343382)</f>
        <v>518.81273433820002</v>
      </c>
      <c r="H4103" s="3">
        <f>VALUE(536.9520248437)</f>
        <v>536.95202484369997</v>
      </c>
      <c r="I4103" s="4">
        <f>VALUE(4697)</f>
        <v>4697</v>
      </c>
      <c r="J4103" s="5">
        <f>VALUE(7608)</f>
        <v>7608</v>
      </c>
      <c r="K4103" s="6">
        <f>VALUE(11665)</f>
        <v>11665</v>
      </c>
      <c r="L4103" s="7">
        <f>VALUE(23854)</f>
        <v>23854</v>
      </c>
      <c r="M4103" s="8">
        <f>VALUE(44302)</f>
        <v>44302</v>
      </c>
      <c r="N4103" t="s">
        <v>24</v>
      </c>
    </row>
    <row r="4104" spans="1:14" x14ac:dyDescent="0.25">
      <c r="A4104" t="s">
        <v>41</v>
      </c>
      <c r="B4104" t="s">
        <v>39</v>
      </c>
      <c r="C4104" t="s">
        <v>37</v>
      </c>
      <c r="D4104" t="s">
        <v>31</v>
      </c>
      <c r="E4104" t="s">
        <v>15</v>
      </c>
      <c r="F4104" t="s">
        <v>18</v>
      </c>
      <c r="G4104" s="2">
        <f>VALUE(292.4907286134)</f>
        <v>292.49072861339999</v>
      </c>
      <c r="H4104" s="3">
        <f>VALUE(281.4164898046)</f>
        <v>281.41648980460002</v>
      </c>
      <c r="I4104" s="1">
        <f>VALUE(4703)</f>
        <v>4703</v>
      </c>
      <c r="J4104" s="5">
        <f>VALUE(4967)</f>
        <v>4967</v>
      </c>
      <c r="K4104" s="6">
        <f>VALUE(5996)</f>
        <v>5996</v>
      </c>
      <c r="L4104" s="7">
        <f>VALUE(8581)</f>
        <v>8581</v>
      </c>
      <c r="M4104" s="1">
        <f>VALUE(10847)</f>
        <v>10847</v>
      </c>
      <c r="N4104" t="s">
        <v>25</v>
      </c>
    </row>
    <row r="4105" spans="1:14" x14ac:dyDescent="0.25">
      <c r="A4105" t="s">
        <v>41</v>
      </c>
      <c r="B4105" t="s">
        <v>39</v>
      </c>
      <c r="C4105" t="s">
        <v>37</v>
      </c>
      <c r="D4105" t="s">
        <v>31</v>
      </c>
      <c r="E4105" t="s">
        <v>15</v>
      </c>
      <c r="F4105" t="s">
        <v>19</v>
      </c>
      <c r="G4105" s="2">
        <f>VALUE(180.9184426391)</f>
        <v>180.91844263909999</v>
      </c>
      <c r="H4105" s="3">
        <f>VALUE(179.8584031525)</f>
        <v>179.85840315249999</v>
      </c>
      <c r="I4105" s="4">
        <f>VALUE(3520)</f>
        <v>3520</v>
      </c>
      <c r="J4105" s="5">
        <f>VALUE(4235)</f>
        <v>4235</v>
      </c>
      <c r="K4105" s="6">
        <f>VALUE(5274)</f>
        <v>5274</v>
      </c>
      <c r="L4105" s="7">
        <f>VALUE(7028)</f>
        <v>7028</v>
      </c>
      <c r="M4105" s="1">
        <f>VALUE(10196)</f>
        <v>10196</v>
      </c>
      <c r="N4105" t="s">
        <v>25</v>
      </c>
    </row>
    <row r="4106" spans="1:14" x14ac:dyDescent="0.25">
      <c r="A4106" t="s">
        <v>41</v>
      </c>
      <c r="B4106" t="s">
        <v>39</v>
      </c>
      <c r="C4106" t="s">
        <v>37</v>
      </c>
      <c r="D4106" t="s">
        <v>31</v>
      </c>
      <c r="E4106" t="s">
        <v>15</v>
      </c>
      <c r="F4106" t="s">
        <v>20</v>
      </c>
      <c r="G4106" s="2">
        <f>VALUE(955.9487445014)</f>
        <v>955.94874450140003</v>
      </c>
      <c r="H4106" s="3">
        <f>VALUE(950.1810212445)</f>
        <v>950.18102124450002</v>
      </c>
      <c r="I4106" s="1">
        <f>VALUE(3371)</f>
        <v>3371</v>
      </c>
      <c r="J4106" s="1">
        <f>VALUE(3800)</f>
        <v>3800</v>
      </c>
      <c r="K4106" s="1">
        <f>VALUE(4728)</f>
        <v>4728</v>
      </c>
      <c r="L4106" s="1">
        <f>VALUE(5688)</f>
        <v>5688</v>
      </c>
      <c r="M4106" s="1">
        <f>VALUE(7344)</f>
        <v>7344</v>
      </c>
      <c r="N4106" t="s">
        <v>25</v>
      </c>
    </row>
    <row r="4107" spans="1:14" x14ac:dyDescent="0.25">
      <c r="A4107" t="s">
        <v>41</v>
      </c>
      <c r="B4107" t="s">
        <v>39</v>
      </c>
      <c r="C4107" t="s">
        <v>37</v>
      </c>
      <c r="D4107" t="s">
        <v>31</v>
      </c>
      <c r="E4107" t="s">
        <v>21</v>
      </c>
      <c r="F4107" t="s">
        <v>15</v>
      </c>
      <c r="G4107" s="2">
        <f>VALUE(767.4004408064)</f>
        <v>767.40044080639996</v>
      </c>
      <c r="H4107" s="3">
        <f>VALUE(770.5358933373)</f>
        <v>770.53589333729997</v>
      </c>
      <c r="I4107" s="4">
        <f>VALUE(4571)</f>
        <v>4571</v>
      </c>
      <c r="J4107" s="5">
        <f>VALUE(6166)</f>
        <v>6166</v>
      </c>
      <c r="K4107" s="6">
        <f>VALUE(8823)</f>
        <v>8823</v>
      </c>
      <c r="L4107" s="7">
        <f>VALUE(13530)</f>
        <v>13530</v>
      </c>
      <c r="M4107" s="8">
        <f>VALUE(39293)</f>
        <v>39293</v>
      </c>
      <c r="N4107" t="s">
        <v>24</v>
      </c>
    </row>
    <row r="4108" spans="1:14" x14ac:dyDescent="0.25">
      <c r="A4108" t="s">
        <v>41</v>
      </c>
      <c r="B4108" t="s">
        <v>39</v>
      </c>
      <c r="C4108" t="s">
        <v>37</v>
      </c>
      <c r="D4108" t="s">
        <v>31</v>
      </c>
      <c r="E4108" t="s">
        <v>21</v>
      </c>
      <c r="F4108" t="s">
        <v>17</v>
      </c>
      <c r="G4108" s="2">
        <f>VALUE(390.1997075379)</f>
        <v>390.1997075379</v>
      </c>
      <c r="H4108" s="3">
        <f>VALUE(403.5750199254)</f>
        <v>403.5750199254</v>
      </c>
      <c r="I4108" s="4">
        <f>VALUE(5148)</f>
        <v>5148</v>
      </c>
      <c r="J4108" s="5">
        <f>VALUE(8667)</f>
        <v>8667</v>
      </c>
      <c r="K4108" s="6">
        <f>VALUE(13000)</f>
        <v>13000</v>
      </c>
      <c r="L4108" s="7">
        <f>VALUE(26091)</f>
        <v>26091</v>
      </c>
      <c r="M4108" s="8">
        <f>VALUE(49852)</f>
        <v>49852</v>
      </c>
      <c r="N4108" t="s">
        <v>24</v>
      </c>
    </row>
    <row r="4109" spans="1:14" x14ac:dyDescent="0.25">
      <c r="A4109" t="s">
        <v>41</v>
      </c>
      <c r="B4109" t="s">
        <v>39</v>
      </c>
      <c r="C4109" t="s">
        <v>37</v>
      </c>
      <c r="D4109" t="s">
        <v>31</v>
      </c>
      <c r="E4109" t="s">
        <v>21</v>
      </c>
      <c r="F4109" t="s">
        <v>18</v>
      </c>
      <c r="G4109" s="1" t="str">
        <f t="shared" ref="G4109:M4110" si="874">"X"</f>
        <v>X</v>
      </c>
      <c r="H4109" s="1" t="str">
        <f t="shared" si="874"/>
        <v>X</v>
      </c>
      <c r="I4109" s="1" t="str">
        <f t="shared" si="874"/>
        <v>X</v>
      </c>
      <c r="J4109" s="1" t="str">
        <f t="shared" si="874"/>
        <v>X</v>
      </c>
      <c r="K4109" s="1" t="str">
        <f t="shared" si="874"/>
        <v>X</v>
      </c>
      <c r="L4109" s="1" t="str">
        <f t="shared" si="874"/>
        <v>X</v>
      </c>
      <c r="M4109" s="1" t="str">
        <f t="shared" si="874"/>
        <v>X</v>
      </c>
      <c r="N4109" t="s">
        <v>27</v>
      </c>
    </row>
    <row r="4110" spans="1:14" x14ac:dyDescent="0.25">
      <c r="A4110" t="s">
        <v>41</v>
      </c>
      <c r="B4110" t="s">
        <v>39</v>
      </c>
      <c r="C4110" t="s">
        <v>37</v>
      </c>
      <c r="D4110" t="s">
        <v>31</v>
      </c>
      <c r="E4110" t="s">
        <v>21</v>
      </c>
      <c r="F4110" t="s">
        <v>19</v>
      </c>
      <c r="G4110" s="1" t="str">
        <f t="shared" si="874"/>
        <v>X</v>
      </c>
      <c r="H4110" s="1" t="str">
        <f t="shared" si="874"/>
        <v>X</v>
      </c>
      <c r="I4110" s="1" t="str">
        <f t="shared" si="874"/>
        <v>X</v>
      </c>
      <c r="J4110" s="1" t="str">
        <f t="shared" si="874"/>
        <v>X</v>
      </c>
      <c r="K4110" s="1" t="str">
        <f t="shared" si="874"/>
        <v>X</v>
      </c>
      <c r="L4110" s="1" t="str">
        <f t="shared" si="874"/>
        <v>X</v>
      </c>
      <c r="M4110" s="1" t="str">
        <f t="shared" si="874"/>
        <v>X</v>
      </c>
      <c r="N4110" t="s">
        <v>27</v>
      </c>
    </row>
    <row r="4111" spans="1:14" x14ac:dyDescent="0.25">
      <c r="A4111" t="s">
        <v>41</v>
      </c>
      <c r="B4111" t="s">
        <v>39</v>
      </c>
      <c r="C4111" t="s">
        <v>37</v>
      </c>
      <c r="D4111" t="s">
        <v>31</v>
      </c>
      <c r="E4111" t="s">
        <v>21</v>
      </c>
      <c r="F4111" t="s">
        <v>20</v>
      </c>
      <c r="G4111" s="2">
        <f>VALUE(172.8784344549)</f>
        <v>172.8784344549</v>
      </c>
      <c r="H4111" s="3">
        <f>VALUE(169.6445505405)</f>
        <v>169.64455054050001</v>
      </c>
      <c r="I4111" s="1">
        <f>VALUE(4000)</f>
        <v>4000</v>
      </c>
      <c r="J4111" s="1">
        <f>VALUE(4282)</f>
        <v>4282</v>
      </c>
      <c r="K4111" s="6">
        <f>VALUE(6845)</f>
        <v>6845</v>
      </c>
      <c r="L4111" s="1">
        <f>VALUE(8329)</f>
        <v>8329</v>
      </c>
      <c r="M4111" s="8">
        <f>VALUE(9999)</f>
        <v>9999</v>
      </c>
      <c r="N4111" t="s">
        <v>25</v>
      </c>
    </row>
    <row r="4112" spans="1:14" x14ac:dyDescent="0.25">
      <c r="A4112" t="s">
        <v>41</v>
      </c>
      <c r="B4112" t="s">
        <v>39</v>
      </c>
      <c r="C4112" t="s">
        <v>37</v>
      </c>
      <c r="D4112" t="s">
        <v>31</v>
      </c>
      <c r="E4112" t="s">
        <v>22</v>
      </c>
      <c r="F4112" t="s">
        <v>15</v>
      </c>
      <c r="G4112" s="2">
        <f>VALUE(374.4568634254)</f>
        <v>374.4568634254</v>
      </c>
      <c r="H4112" s="3">
        <f>VALUE(366.6723860597)</f>
        <v>366.67238605969999</v>
      </c>
      <c r="I4112" s="4">
        <f>VALUE(3360)</f>
        <v>3360</v>
      </c>
      <c r="J4112" s="1">
        <f>VALUE(4286)</f>
        <v>4286</v>
      </c>
      <c r="K4112" s="1">
        <f>VALUE(5355)</f>
        <v>5355</v>
      </c>
      <c r="L4112" s="1">
        <f>VALUE(6535)</f>
        <v>6535</v>
      </c>
      <c r="M4112" s="1">
        <f>VALUE(8333)</f>
        <v>8333</v>
      </c>
      <c r="N4112" t="s">
        <v>25</v>
      </c>
    </row>
    <row r="4113" spans="1:14" x14ac:dyDescent="0.25">
      <c r="A4113" t="s">
        <v>41</v>
      </c>
      <c r="B4113" t="s">
        <v>39</v>
      </c>
      <c r="C4113" t="s">
        <v>37</v>
      </c>
      <c r="D4113" t="s">
        <v>31</v>
      </c>
      <c r="E4113" t="s">
        <v>22</v>
      </c>
      <c r="F4113" t="s">
        <v>17</v>
      </c>
      <c r="G4113" s="1" t="str">
        <f t="shared" ref="G4113:M4115" si="875">"X"</f>
        <v>X</v>
      </c>
      <c r="H4113" s="1" t="str">
        <f t="shared" si="875"/>
        <v>X</v>
      </c>
      <c r="I4113" s="1" t="str">
        <f t="shared" si="875"/>
        <v>X</v>
      </c>
      <c r="J4113" s="1" t="str">
        <f t="shared" si="875"/>
        <v>X</v>
      </c>
      <c r="K4113" s="1" t="str">
        <f t="shared" si="875"/>
        <v>X</v>
      </c>
      <c r="L4113" s="1" t="str">
        <f t="shared" si="875"/>
        <v>X</v>
      </c>
      <c r="M4113" s="1" t="str">
        <f t="shared" si="875"/>
        <v>X</v>
      </c>
      <c r="N4113" t="s">
        <v>27</v>
      </c>
    </row>
    <row r="4114" spans="1:14" x14ac:dyDescent="0.25">
      <c r="A4114" t="s">
        <v>41</v>
      </c>
      <c r="B4114" t="s">
        <v>39</v>
      </c>
      <c r="C4114" t="s">
        <v>37</v>
      </c>
      <c r="D4114" t="s">
        <v>31</v>
      </c>
      <c r="E4114" t="s">
        <v>22</v>
      </c>
      <c r="F4114" t="s">
        <v>18</v>
      </c>
      <c r="G4114" s="1" t="str">
        <f t="shared" si="875"/>
        <v>X</v>
      </c>
      <c r="H4114" s="1" t="str">
        <f t="shared" si="875"/>
        <v>X</v>
      </c>
      <c r="I4114" s="1" t="str">
        <f t="shared" si="875"/>
        <v>X</v>
      </c>
      <c r="J4114" s="1" t="str">
        <f t="shared" si="875"/>
        <v>X</v>
      </c>
      <c r="K4114" s="1" t="str">
        <f t="shared" si="875"/>
        <v>X</v>
      </c>
      <c r="L4114" s="1" t="str">
        <f t="shared" si="875"/>
        <v>X</v>
      </c>
      <c r="M4114" s="1" t="str">
        <f t="shared" si="875"/>
        <v>X</v>
      </c>
      <c r="N4114" t="s">
        <v>27</v>
      </c>
    </row>
    <row r="4115" spans="1:14" x14ac:dyDescent="0.25">
      <c r="A4115" t="s">
        <v>41</v>
      </c>
      <c r="B4115" t="s">
        <v>39</v>
      </c>
      <c r="C4115" t="s">
        <v>37</v>
      </c>
      <c r="D4115" t="s">
        <v>31</v>
      </c>
      <c r="E4115" t="s">
        <v>22</v>
      </c>
      <c r="F4115" t="s">
        <v>19</v>
      </c>
      <c r="G4115" s="1" t="str">
        <f t="shared" si="875"/>
        <v>X</v>
      </c>
      <c r="H4115" s="1" t="str">
        <f t="shared" si="875"/>
        <v>X</v>
      </c>
      <c r="I4115" s="1" t="str">
        <f t="shared" si="875"/>
        <v>X</v>
      </c>
      <c r="J4115" s="1" t="str">
        <f t="shared" si="875"/>
        <v>X</v>
      </c>
      <c r="K4115" s="1" t="str">
        <f t="shared" si="875"/>
        <v>X</v>
      </c>
      <c r="L4115" s="1" t="str">
        <f t="shared" si="875"/>
        <v>X</v>
      </c>
      <c r="M4115" s="1" t="str">
        <f t="shared" si="875"/>
        <v>X</v>
      </c>
      <c r="N4115" t="s">
        <v>27</v>
      </c>
    </row>
    <row r="4116" spans="1:14" x14ac:dyDescent="0.25">
      <c r="A4116" t="s">
        <v>41</v>
      </c>
      <c r="B4116" t="s">
        <v>39</v>
      </c>
      <c r="C4116" t="s">
        <v>37</v>
      </c>
      <c r="D4116" t="s">
        <v>31</v>
      </c>
      <c r="E4116" t="s">
        <v>22</v>
      </c>
      <c r="F4116" t="s">
        <v>20</v>
      </c>
      <c r="G4116" s="2">
        <f>VALUE(230.1459545837)</f>
        <v>230.14595458369999</v>
      </c>
      <c r="H4116" s="3">
        <f>VALUE(226.983821672)</f>
        <v>226.983821672</v>
      </c>
      <c r="I4116" s="1">
        <f>VALUE(3360)</f>
        <v>3360</v>
      </c>
      <c r="J4116" s="1">
        <f>VALUE(4228)</f>
        <v>4228</v>
      </c>
      <c r="K4116" s="1">
        <f>VALUE(5030)</f>
        <v>5030</v>
      </c>
      <c r="L4116" s="1">
        <f>VALUE(6086)</f>
        <v>6086</v>
      </c>
      <c r="M4116" s="1">
        <f>VALUE(6909)</f>
        <v>6909</v>
      </c>
      <c r="N4116" t="s">
        <v>25</v>
      </c>
    </row>
    <row r="4117" spans="1:14" x14ac:dyDescent="0.25">
      <c r="A4117" t="s">
        <v>41</v>
      </c>
      <c r="B4117" t="s">
        <v>39</v>
      </c>
      <c r="C4117" t="s">
        <v>37</v>
      </c>
      <c r="D4117" t="s">
        <v>31</v>
      </c>
      <c r="E4117" t="s">
        <v>23</v>
      </c>
      <c r="F4117" t="s">
        <v>15</v>
      </c>
      <c r="G4117" s="2">
        <f>VALUE(758.1250618462)</f>
        <v>758.12506184619997</v>
      </c>
      <c r="H4117" s="3">
        <f>VALUE(760.6737253174)</f>
        <v>760.6737253174</v>
      </c>
      <c r="I4117" s="1">
        <f>VALUE(3267)</f>
        <v>3267</v>
      </c>
      <c r="J4117" s="1">
        <f>VALUE(3760)</f>
        <v>3760</v>
      </c>
      <c r="K4117" s="1">
        <f>VALUE(4535)</f>
        <v>4535</v>
      </c>
      <c r="L4117" s="1">
        <f>VALUE(5274)</f>
        <v>5274</v>
      </c>
      <c r="M4117" s="1">
        <f>VALUE(6013)</f>
        <v>6013</v>
      </c>
      <c r="N4117" t="s">
        <v>25</v>
      </c>
    </row>
    <row r="4118" spans="1:14" x14ac:dyDescent="0.25">
      <c r="A4118" t="s">
        <v>41</v>
      </c>
      <c r="B4118" t="s">
        <v>39</v>
      </c>
      <c r="C4118" t="s">
        <v>37</v>
      </c>
      <c r="D4118" t="s">
        <v>31</v>
      </c>
      <c r="E4118" t="s">
        <v>23</v>
      </c>
      <c r="F4118" t="s">
        <v>17</v>
      </c>
      <c r="G4118" s="1" t="str">
        <f t="shared" ref="G4118:M4120" si="876">"X"</f>
        <v>X</v>
      </c>
      <c r="H4118" s="1" t="str">
        <f t="shared" si="876"/>
        <v>X</v>
      </c>
      <c r="I4118" s="1" t="str">
        <f t="shared" si="876"/>
        <v>X</v>
      </c>
      <c r="J4118" s="1" t="str">
        <f t="shared" si="876"/>
        <v>X</v>
      </c>
      <c r="K4118" s="1" t="str">
        <f t="shared" si="876"/>
        <v>X</v>
      </c>
      <c r="L4118" s="1" t="str">
        <f t="shared" si="876"/>
        <v>X</v>
      </c>
      <c r="M4118" s="1" t="str">
        <f t="shared" si="876"/>
        <v>X</v>
      </c>
      <c r="N4118" t="s">
        <v>27</v>
      </c>
    </row>
    <row r="4119" spans="1:14" x14ac:dyDescent="0.25">
      <c r="A4119" t="s">
        <v>41</v>
      </c>
      <c r="B4119" t="s">
        <v>39</v>
      </c>
      <c r="C4119" t="s">
        <v>37</v>
      </c>
      <c r="D4119" t="s">
        <v>31</v>
      </c>
      <c r="E4119" t="s">
        <v>23</v>
      </c>
      <c r="F4119" t="s">
        <v>18</v>
      </c>
      <c r="G4119" s="1" t="str">
        <f t="shared" si="876"/>
        <v>X</v>
      </c>
      <c r="H4119" s="1" t="str">
        <f t="shared" si="876"/>
        <v>X</v>
      </c>
      <c r="I4119" s="1" t="str">
        <f t="shared" si="876"/>
        <v>X</v>
      </c>
      <c r="J4119" s="1" t="str">
        <f t="shared" si="876"/>
        <v>X</v>
      </c>
      <c r="K4119" s="1" t="str">
        <f t="shared" si="876"/>
        <v>X</v>
      </c>
      <c r="L4119" s="1" t="str">
        <f t="shared" si="876"/>
        <v>X</v>
      </c>
      <c r="M4119" s="1" t="str">
        <f t="shared" si="876"/>
        <v>X</v>
      </c>
      <c r="N4119" t="s">
        <v>27</v>
      </c>
    </row>
    <row r="4120" spans="1:14" x14ac:dyDescent="0.25">
      <c r="A4120" t="s">
        <v>41</v>
      </c>
      <c r="B4120" t="s">
        <v>39</v>
      </c>
      <c r="C4120" t="s">
        <v>37</v>
      </c>
      <c r="D4120" t="s">
        <v>31</v>
      </c>
      <c r="E4120" t="s">
        <v>23</v>
      </c>
      <c r="F4120" t="s">
        <v>19</v>
      </c>
      <c r="G4120" s="1" t="str">
        <f t="shared" si="876"/>
        <v>X</v>
      </c>
      <c r="H4120" s="1" t="str">
        <f t="shared" si="876"/>
        <v>X</v>
      </c>
      <c r="I4120" s="1" t="str">
        <f t="shared" si="876"/>
        <v>X</v>
      </c>
      <c r="J4120" s="1" t="str">
        <f t="shared" si="876"/>
        <v>X</v>
      </c>
      <c r="K4120" s="1" t="str">
        <f t="shared" si="876"/>
        <v>X</v>
      </c>
      <c r="L4120" s="1" t="str">
        <f t="shared" si="876"/>
        <v>X</v>
      </c>
      <c r="M4120" s="1" t="str">
        <f t="shared" si="876"/>
        <v>X</v>
      </c>
      <c r="N4120" t="s">
        <v>27</v>
      </c>
    </row>
    <row r="4121" spans="1:14" x14ac:dyDescent="0.25">
      <c r="A4121" t="s">
        <v>41</v>
      </c>
      <c r="B4121" t="s">
        <v>39</v>
      </c>
      <c r="C4121" t="s">
        <v>37</v>
      </c>
      <c r="D4121" t="s">
        <v>31</v>
      </c>
      <c r="E4121" t="s">
        <v>23</v>
      </c>
      <c r="F4121" t="s">
        <v>20</v>
      </c>
      <c r="G4121" s="2">
        <f>VALUE(548.5412611164)</f>
        <v>548.54126111640005</v>
      </c>
      <c r="H4121" s="3">
        <f>VALUE(548.9503999684)</f>
        <v>548.95039996840001</v>
      </c>
      <c r="I4121" s="1">
        <f>VALUE(3238)</f>
        <v>3238</v>
      </c>
      <c r="J4121" s="1">
        <f>VALUE(3640)</f>
        <v>3640</v>
      </c>
      <c r="K4121" s="1">
        <f>VALUE(4333)</f>
        <v>4333</v>
      </c>
      <c r="L4121" s="1">
        <f>VALUE(5229)</f>
        <v>5229</v>
      </c>
      <c r="M4121" s="1">
        <f>VALUE(5688)</f>
        <v>5688</v>
      </c>
      <c r="N4121" t="s">
        <v>25</v>
      </c>
    </row>
    <row r="4122" spans="1:14" x14ac:dyDescent="0.25">
      <c r="A4122" t="s">
        <v>41</v>
      </c>
      <c r="B4122" t="s">
        <v>39</v>
      </c>
      <c r="C4122" t="s">
        <v>37</v>
      </c>
      <c r="D4122" t="s">
        <v>31</v>
      </c>
      <c r="E4122" t="s">
        <v>26</v>
      </c>
      <c r="F4122" t="s">
        <v>15</v>
      </c>
      <c r="G4122" s="1" t="str">
        <f t="shared" ref="G4122:M4124" si="877">"X"</f>
        <v>X</v>
      </c>
      <c r="H4122" s="1" t="str">
        <f t="shared" si="877"/>
        <v>X</v>
      </c>
      <c r="I4122" s="1" t="str">
        <f t="shared" si="877"/>
        <v>X</v>
      </c>
      <c r="J4122" s="1" t="str">
        <f t="shared" si="877"/>
        <v>X</v>
      </c>
      <c r="K4122" s="1" t="str">
        <f t="shared" si="877"/>
        <v>X</v>
      </c>
      <c r="L4122" s="1" t="str">
        <f t="shared" si="877"/>
        <v>X</v>
      </c>
      <c r="M4122" s="1" t="str">
        <f t="shared" si="877"/>
        <v>X</v>
      </c>
      <c r="N4122" t="s">
        <v>27</v>
      </c>
    </row>
    <row r="4123" spans="1:14" x14ac:dyDescent="0.25">
      <c r="A4123" t="s">
        <v>41</v>
      </c>
      <c r="B4123" t="s">
        <v>39</v>
      </c>
      <c r="C4123" t="s">
        <v>37</v>
      </c>
      <c r="D4123" t="s">
        <v>31</v>
      </c>
      <c r="E4123" t="s">
        <v>26</v>
      </c>
      <c r="F4123" t="s">
        <v>17</v>
      </c>
      <c r="G4123" s="1" t="str">
        <f t="shared" si="877"/>
        <v>X</v>
      </c>
      <c r="H4123" s="1" t="str">
        <f t="shared" si="877"/>
        <v>X</v>
      </c>
      <c r="I4123" s="1" t="str">
        <f t="shared" si="877"/>
        <v>X</v>
      </c>
      <c r="J4123" s="1" t="str">
        <f t="shared" si="877"/>
        <v>X</v>
      </c>
      <c r="K4123" s="1" t="str">
        <f t="shared" si="877"/>
        <v>X</v>
      </c>
      <c r="L4123" s="1" t="str">
        <f t="shared" si="877"/>
        <v>X</v>
      </c>
      <c r="M4123" s="1" t="str">
        <f t="shared" si="877"/>
        <v>X</v>
      </c>
      <c r="N4123" t="s">
        <v>27</v>
      </c>
    </row>
    <row r="4124" spans="1:14" x14ac:dyDescent="0.25">
      <c r="A4124" t="s">
        <v>41</v>
      </c>
      <c r="B4124" t="s">
        <v>39</v>
      </c>
      <c r="C4124" t="s">
        <v>37</v>
      </c>
      <c r="D4124" t="s">
        <v>31</v>
      </c>
      <c r="E4124" t="s">
        <v>26</v>
      </c>
      <c r="F4124" t="s">
        <v>18</v>
      </c>
      <c r="G4124" s="1" t="str">
        <f t="shared" si="877"/>
        <v>X</v>
      </c>
      <c r="H4124" s="1" t="str">
        <f t="shared" si="877"/>
        <v>X</v>
      </c>
      <c r="I4124" s="1" t="str">
        <f t="shared" si="877"/>
        <v>X</v>
      </c>
      <c r="J4124" s="1" t="str">
        <f t="shared" si="877"/>
        <v>X</v>
      </c>
      <c r="K4124" s="1" t="str">
        <f t="shared" si="877"/>
        <v>X</v>
      </c>
      <c r="L4124" s="1" t="str">
        <f t="shared" si="877"/>
        <v>X</v>
      </c>
      <c r="M4124" s="1" t="str">
        <f t="shared" si="877"/>
        <v>X</v>
      </c>
      <c r="N4124" t="s">
        <v>27</v>
      </c>
    </row>
    <row r="4125" spans="1:14" x14ac:dyDescent="0.25">
      <c r="A4125" t="s">
        <v>41</v>
      </c>
      <c r="B4125" t="s">
        <v>39</v>
      </c>
      <c r="C4125" t="s">
        <v>37</v>
      </c>
      <c r="D4125" t="s">
        <v>31</v>
      </c>
      <c r="E4125" t="s">
        <v>26</v>
      </c>
      <c r="F4125" t="s">
        <v>19</v>
      </c>
      <c r="G4125" s="1" t="str">
        <f t="shared" ref="G4125:M4125" si="878">"..."</f>
        <v>...</v>
      </c>
      <c r="H4125" s="1" t="str">
        <f t="shared" si="878"/>
        <v>...</v>
      </c>
      <c r="I4125" s="1" t="str">
        <f t="shared" si="878"/>
        <v>...</v>
      </c>
      <c r="J4125" s="1" t="str">
        <f t="shared" si="878"/>
        <v>...</v>
      </c>
      <c r="K4125" s="1" t="str">
        <f t="shared" si="878"/>
        <v>...</v>
      </c>
      <c r="L4125" s="1" t="str">
        <f t="shared" si="878"/>
        <v>...</v>
      </c>
      <c r="M4125" s="1" t="str">
        <f t="shared" si="878"/>
        <v>...</v>
      </c>
      <c r="N4125" t="s">
        <v>30</v>
      </c>
    </row>
    <row r="4126" spans="1:14" x14ac:dyDescent="0.25">
      <c r="A4126" t="s">
        <v>41</v>
      </c>
      <c r="B4126" t="s">
        <v>39</v>
      </c>
      <c r="C4126" t="s">
        <v>37</v>
      </c>
      <c r="D4126" t="s">
        <v>31</v>
      </c>
      <c r="E4126" t="s">
        <v>26</v>
      </c>
      <c r="F4126" t="s">
        <v>20</v>
      </c>
      <c r="G4126" s="1" t="str">
        <f t="shared" ref="G4126:M4126" si="879">"X"</f>
        <v>X</v>
      </c>
      <c r="H4126" s="1" t="str">
        <f t="shared" si="879"/>
        <v>X</v>
      </c>
      <c r="I4126" s="1" t="str">
        <f t="shared" si="879"/>
        <v>X</v>
      </c>
      <c r="J4126" s="1" t="str">
        <f t="shared" si="879"/>
        <v>X</v>
      </c>
      <c r="K4126" s="1" t="str">
        <f t="shared" si="879"/>
        <v>X</v>
      </c>
      <c r="L4126" s="1" t="str">
        <f t="shared" si="879"/>
        <v>X</v>
      </c>
      <c r="M4126" s="1" t="str">
        <f t="shared" si="879"/>
        <v>X</v>
      </c>
      <c r="N4126" t="s">
        <v>27</v>
      </c>
    </row>
    <row r="4127" spans="1:14" x14ac:dyDescent="0.25">
      <c r="A4127" t="s">
        <v>41</v>
      </c>
      <c r="B4127" t="s">
        <v>39</v>
      </c>
      <c r="C4127" t="s">
        <v>37</v>
      </c>
      <c r="D4127" t="s">
        <v>32</v>
      </c>
      <c r="E4127" t="s">
        <v>15</v>
      </c>
      <c r="F4127" t="s">
        <v>15</v>
      </c>
      <c r="G4127" s="1">
        <f>VALUE(12419.3023987055)</f>
        <v>12419.3023987055</v>
      </c>
      <c r="H4127" s="1">
        <f>VALUE(12387.2473284607)</f>
        <v>12387.2473284607</v>
      </c>
      <c r="I4127" s="1">
        <f>VALUE(3589)</f>
        <v>3589</v>
      </c>
      <c r="J4127" s="1">
        <f>VALUE(4247)</f>
        <v>4247</v>
      </c>
      <c r="K4127" s="1">
        <f>VALUE(5173)</f>
        <v>5173</v>
      </c>
      <c r="L4127" s="1">
        <f>VALUE(6091)</f>
        <v>6091</v>
      </c>
      <c r="M4127" s="1">
        <f>VALUE(7466)</f>
        <v>7466</v>
      </c>
      <c r="N4127" t="s">
        <v>16</v>
      </c>
    </row>
    <row r="4128" spans="1:14" x14ac:dyDescent="0.25">
      <c r="A4128" t="s">
        <v>41</v>
      </c>
      <c r="B4128" t="s">
        <v>39</v>
      </c>
      <c r="C4128" t="s">
        <v>37</v>
      </c>
      <c r="D4128" t="s">
        <v>32</v>
      </c>
      <c r="E4128" t="s">
        <v>15</v>
      </c>
      <c r="F4128" t="s">
        <v>17</v>
      </c>
      <c r="G4128" s="2">
        <f>VALUE(1198.465994345)</f>
        <v>1198.4659943449999</v>
      </c>
      <c r="H4128" s="3">
        <f>VALUE(1209.311580505)</f>
        <v>1209.3115805049999</v>
      </c>
      <c r="I4128" s="4">
        <f>VALUE(4995)</f>
        <v>4995</v>
      </c>
      <c r="J4128" s="1">
        <f>VALUE(5786)</f>
        <v>5786</v>
      </c>
      <c r="K4128" s="1">
        <f>VALUE(7139)</f>
        <v>7139</v>
      </c>
      <c r="L4128" s="1">
        <f>VALUE(9424)</f>
        <v>9424</v>
      </c>
      <c r="M4128" s="8">
        <f>VALUE(13333)</f>
        <v>13333</v>
      </c>
      <c r="N4128" t="s">
        <v>25</v>
      </c>
    </row>
    <row r="4129" spans="1:14" x14ac:dyDescent="0.25">
      <c r="A4129" t="s">
        <v>41</v>
      </c>
      <c r="B4129" t="s">
        <v>39</v>
      </c>
      <c r="C4129" t="s">
        <v>37</v>
      </c>
      <c r="D4129" t="s">
        <v>32</v>
      </c>
      <c r="E4129" t="s">
        <v>15</v>
      </c>
      <c r="F4129" t="s">
        <v>18</v>
      </c>
      <c r="G4129" s="1">
        <f>VALUE(1378.228310831)</f>
        <v>1378.228310831</v>
      </c>
      <c r="H4129" s="1">
        <f>VALUE(1376.253251917)</f>
        <v>1376.2532519169999</v>
      </c>
      <c r="I4129" s="1">
        <f>VALUE(4073)</f>
        <v>4073</v>
      </c>
      <c r="J4129" s="1">
        <f>VALUE(4799)</f>
        <v>4799</v>
      </c>
      <c r="K4129" s="1">
        <f>VALUE(5630)</f>
        <v>5630</v>
      </c>
      <c r="L4129" s="1">
        <f>VALUE(6671)</f>
        <v>6671</v>
      </c>
      <c r="M4129" s="1">
        <f>VALUE(8536)</f>
        <v>8536</v>
      </c>
      <c r="N4129" t="s">
        <v>16</v>
      </c>
    </row>
    <row r="4130" spans="1:14" x14ac:dyDescent="0.25">
      <c r="A4130" t="s">
        <v>41</v>
      </c>
      <c r="B4130" t="s">
        <v>39</v>
      </c>
      <c r="C4130" t="s">
        <v>37</v>
      </c>
      <c r="D4130" t="s">
        <v>32</v>
      </c>
      <c r="E4130" t="s">
        <v>15</v>
      </c>
      <c r="F4130" t="s">
        <v>19</v>
      </c>
      <c r="G4130" s="1">
        <f>VALUE(1962.9135424921)</f>
        <v>1962.9135424921001</v>
      </c>
      <c r="H4130" s="1">
        <f>VALUE(1918.8918944713)</f>
        <v>1918.8918944713</v>
      </c>
      <c r="I4130" s="1">
        <f>VALUE(3844)</f>
        <v>3844</v>
      </c>
      <c r="J4130" s="1">
        <f>VALUE(4514)</f>
        <v>4514</v>
      </c>
      <c r="K4130" s="1">
        <f>VALUE(5308)</f>
        <v>5308</v>
      </c>
      <c r="L4130" s="1">
        <f>VALUE(6296)</f>
        <v>6296</v>
      </c>
      <c r="M4130" s="1">
        <f>VALUE(7456)</f>
        <v>7456</v>
      </c>
      <c r="N4130" t="s">
        <v>16</v>
      </c>
    </row>
    <row r="4131" spans="1:14" x14ac:dyDescent="0.25">
      <c r="A4131" t="s">
        <v>41</v>
      </c>
      <c r="B4131" t="s">
        <v>39</v>
      </c>
      <c r="C4131" t="s">
        <v>37</v>
      </c>
      <c r="D4131" t="s">
        <v>32</v>
      </c>
      <c r="E4131" t="s">
        <v>15</v>
      </c>
      <c r="F4131" t="s">
        <v>20</v>
      </c>
      <c r="G4131" s="1">
        <f>VALUE(7875.8897424216)</f>
        <v>7875.8897424216002</v>
      </c>
      <c r="H4131" s="1">
        <f>VALUE(7878.0345907977)</f>
        <v>7878.0345907976998</v>
      </c>
      <c r="I4131" s="1">
        <f>VALUE(3499)</f>
        <v>3499</v>
      </c>
      <c r="J4131" s="1">
        <f>VALUE(4037)</f>
        <v>4037</v>
      </c>
      <c r="K4131" s="1">
        <f>VALUE(4872)</f>
        <v>4872</v>
      </c>
      <c r="L4131" s="1">
        <f>VALUE(5666)</f>
        <v>5666</v>
      </c>
      <c r="M4131" s="1">
        <f>VALUE(6424)</f>
        <v>6424</v>
      </c>
      <c r="N4131" t="s">
        <v>16</v>
      </c>
    </row>
    <row r="4132" spans="1:14" x14ac:dyDescent="0.25">
      <c r="A4132" t="s">
        <v>41</v>
      </c>
      <c r="B4132" t="s">
        <v>39</v>
      </c>
      <c r="C4132" t="s">
        <v>37</v>
      </c>
      <c r="D4132" t="s">
        <v>32</v>
      </c>
      <c r="E4132" t="s">
        <v>21</v>
      </c>
      <c r="F4132" t="s">
        <v>15</v>
      </c>
      <c r="G4132" s="1">
        <f>VALUE(2226.8143851396)</f>
        <v>2226.8143851395998</v>
      </c>
      <c r="H4132" s="1">
        <f>VALUE(2144.052492133)</f>
        <v>2144.0524921330002</v>
      </c>
      <c r="I4132" s="1">
        <f>VALUE(4190)</f>
        <v>4190</v>
      </c>
      <c r="J4132" s="1">
        <f>VALUE(5159)</f>
        <v>5159</v>
      </c>
      <c r="K4132" s="1">
        <f>VALUE(6350)</f>
        <v>6350</v>
      </c>
      <c r="L4132" s="1">
        <f>VALUE(8214)</f>
        <v>8214</v>
      </c>
      <c r="M4132" s="8">
        <f>VALUE(11256)</f>
        <v>11256</v>
      </c>
      <c r="N4132" t="s">
        <v>25</v>
      </c>
    </row>
    <row r="4133" spans="1:14" x14ac:dyDescent="0.25">
      <c r="A4133" t="s">
        <v>41</v>
      </c>
      <c r="B4133" t="s">
        <v>39</v>
      </c>
      <c r="C4133" t="s">
        <v>37</v>
      </c>
      <c r="D4133" t="s">
        <v>32</v>
      </c>
      <c r="E4133" t="s">
        <v>21</v>
      </c>
      <c r="F4133" t="s">
        <v>17</v>
      </c>
      <c r="G4133" s="2">
        <f>VALUE(715.7565661892)</f>
        <v>715.75656618920004</v>
      </c>
      <c r="H4133" s="3">
        <f>VALUE(711.9244872736)</f>
        <v>711.92448727359999</v>
      </c>
      <c r="I4133" s="1">
        <f>VALUE(5053)</f>
        <v>5053</v>
      </c>
      <c r="J4133" s="1">
        <f>VALUE(6202)</f>
        <v>6202</v>
      </c>
      <c r="K4133" s="1">
        <f>VALUE(7899)</f>
        <v>7899</v>
      </c>
      <c r="L4133" s="1">
        <f>VALUE(10828)</f>
        <v>10828</v>
      </c>
      <c r="M4133" s="8">
        <f>VALUE(15431)</f>
        <v>15431</v>
      </c>
      <c r="N4133" t="s">
        <v>25</v>
      </c>
    </row>
    <row r="4134" spans="1:14" x14ac:dyDescent="0.25">
      <c r="A4134" t="s">
        <v>41</v>
      </c>
      <c r="B4134" t="s">
        <v>39</v>
      </c>
      <c r="C4134" t="s">
        <v>37</v>
      </c>
      <c r="D4134" t="s">
        <v>32</v>
      </c>
      <c r="E4134" t="s">
        <v>21</v>
      </c>
      <c r="F4134" t="s">
        <v>18</v>
      </c>
      <c r="G4134" s="2">
        <f>VALUE(475.7060298055)</f>
        <v>475.70602980550001</v>
      </c>
      <c r="H4134" s="3">
        <f>VALUE(459.1710496438)</f>
        <v>459.17104964380002</v>
      </c>
      <c r="I4134" s="4">
        <f>VALUE(3874)</f>
        <v>3874</v>
      </c>
      <c r="J4134" s="5">
        <f>VALUE(5092)</f>
        <v>5092</v>
      </c>
      <c r="K4134" s="1">
        <f>VALUE(5958)</f>
        <v>5958</v>
      </c>
      <c r="L4134" s="1">
        <f>VALUE(7937)</f>
        <v>7937</v>
      </c>
      <c r="M4134" s="8">
        <f>VALUE(10992)</f>
        <v>10992</v>
      </c>
      <c r="N4134" t="s">
        <v>25</v>
      </c>
    </row>
    <row r="4135" spans="1:14" x14ac:dyDescent="0.25">
      <c r="A4135" t="s">
        <v>41</v>
      </c>
      <c r="B4135" t="s">
        <v>39</v>
      </c>
      <c r="C4135" t="s">
        <v>37</v>
      </c>
      <c r="D4135" t="s">
        <v>32</v>
      </c>
      <c r="E4135" t="s">
        <v>21</v>
      </c>
      <c r="F4135" t="s">
        <v>19</v>
      </c>
      <c r="G4135" s="2">
        <f>VALUE(431.0534623306)</f>
        <v>431.05346233059998</v>
      </c>
      <c r="H4135" s="3">
        <f>VALUE(383.4099368105)</f>
        <v>383.40993681050003</v>
      </c>
      <c r="I4135" s="1">
        <f>VALUE(4461)</f>
        <v>4461</v>
      </c>
      <c r="J4135" s="1">
        <f>VALUE(5013)</f>
        <v>5013</v>
      </c>
      <c r="K4135" s="1">
        <f>VALUE(5984)</f>
        <v>5984</v>
      </c>
      <c r="L4135" s="1">
        <f>VALUE(7583)</f>
        <v>7583</v>
      </c>
      <c r="M4135" s="1">
        <f>VALUE(8208)</f>
        <v>8208</v>
      </c>
      <c r="N4135" t="s">
        <v>25</v>
      </c>
    </row>
    <row r="4136" spans="1:14" x14ac:dyDescent="0.25">
      <c r="A4136" t="s">
        <v>41</v>
      </c>
      <c r="B4136" t="s">
        <v>39</v>
      </c>
      <c r="C4136" t="s">
        <v>37</v>
      </c>
      <c r="D4136" t="s">
        <v>32</v>
      </c>
      <c r="E4136" t="s">
        <v>21</v>
      </c>
      <c r="F4136" t="s">
        <v>20</v>
      </c>
      <c r="G4136" s="2">
        <f>VALUE(604.2983268143)</f>
        <v>604.29832681430003</v>
      </c>
      <c r="H4136" s="3">
        <f>VALUE(589.5470184051)</f>
        <v>589.54701840509995</v>
      </c>
      <c r="I4136" s="1">
        <f>VALUE(3970)</f>
        <v>3970</v>
      </c>
      <c r="J4136" s="1">
        <f>VALUE(4497)</f>
        <v>4497</v>
      </c>
      <c r="K4136" s="1">
        <f>VALUE(5600)</f>
        <v>5600</v>
      </c>
      <c r="L4136" s="1">
        <f>VALUE(7219)</f>
        <v>7219</v>
      </c>
      <c r="M4136" s="1">
        <f>VALUE(8580)</f>
        <v>8580</v>
      </c>
      <c r="N4136" t="s">
        <v>25</v>
      </c>
    </row>
    <row r="4137" spans="1:14" x14ac:dyDescent="0.25">
      <c r="A4137" t="s">
        <v>41</v>
      </c>
      <c r="B4137" t="s">
        <v>39</v>
      </c>
      <c r="C4137" t="s">
        <v>37</v>
      </c>
      <c r="D4137" t="s">
        <v>32</v>
      </c>
      <c r="E4137" t="s">
        <v>22</v>
      </c>
      <c r="F4137" t="s">
        <v>15</v>
      </c>
      <c r="G4137" s="1">
        <f>VALUE(3520.4369828876)</f>
        <v>3520.4369828876002</v>
      </c>
      <c r="H4137" s="1">
        <f>VALUE(3545.6621531616)</f>
        <v>3545.6621531616001</v>
      </c>
      <c r="I4137" s="1">
        <f>VALUE(3792)</f>
        <v>3792</v>
      </c>
      <c r="J4137" s="1">
        <f>VALUE(4500)</f>
        <v>4500</v>
      </c>
      <c r="K4137" s="1">
        <f>VALUE(5332)</f>
        <v>5332</v>
      </c>
      <c r="L4137" s="1">
        <f>VALUE(6235)</f>
        <v>6235</v>
      </c>
      <c r="M4137" s="1">
        <f>VALUE(7188)</f>
        <v>7188</v>
      </c>
      <c r="N4137" t="s">
        <v>16</v>
      </c>
    </row>
    <row r="4138" spans="1:14" x14ac:dyDescent="0.25">
      <c r="A4138" t="s">
        <v>41</v>
      </c>
      <c r="B4138" t="s">
        <v>39</v>
      </c>
      <c r="C4138" t="s">
        <v>37</v>
      </c>
      <c r="D4138" t="s">
        <v>32</v>
      </c>
      <c r="E4138" t="s">
        <v>22</v>
      </c>
      <c r="F4138" t="s">
        <v>17</v>
      </c>
      <c r="G4138" s="2">
        <f>VALUE(360.7535438077)</f>
        <v>360.7535438077</v>
      </c>
      <c r="H4138" s="3">
        <f>VALUE(373.1543233819)</f>
        <v>373.15432338189999</v>
      </c>
      <c r="I4138" s="1">
        <f>VALUE(4995)</f>
        <v>4995</v>
      </c>
      <c r="J4138" s="5">
        <f>VALUE(5556)</f>
        <v>5556</v>
      </c>
      <c r="K4138" s="6">
        <f>VALUE(6422)</f>
        <v>6422</v>
      </c>
      <c r="L4138" s="1">
        <f>VALUE(7793)</f>
        <v>7793</v>
      </c>
      <c r="M4138" s="1">
        <f>VALUE(9750)</f>
        <v>9750</v>
      </c>
      <c r="N4138" t="s">
        <v>25</v>
      </c>
    </row>
    <row r="4139" spans="1:14" x14ac:dyDescent="0.25">
      <c r="A4139" t="s">
        <v>41</v>
      </c>
      <c r="B4139" t="s">
        <v>39</v>
      </c>
      <c r="C4139" t="s">
        <v>37</v>
      </c>
      <c r="D4139" t="s">
        <v>32</v>
      </c>
      <c r="E4139" t="s">
        <v>22</v>
      </c>
      <c r="F4139" t="s">
        <v>18</v>
      </c>
      <c r="G4139" s="2">
        <f>VALUE(434.3540121377)</f>
        <v>434.35401213770001</v>
      </c>
      <c r="H4139" s="3">
        <f>VALUE(441.3936694894)</f>
        <v>441.3936694894</v>
      </c>
      <c r="I4139" s="1">
        <f>VALUE(4233)</f>
        <v>4233</v>
      </c>
      <c r="J4139" s="1">
        <f>VALUE(5017)</f>
        <v>5017</v>
      </c>
      <c r="K4139" s="1">
        <f>VALUE(5690)</f>
        <v>5690</v>
      </c>
      <c r="L4139" s="1">
        <f>VALUE(6704)</f>
        <v>6704</v>
      </c>
      <c r="M4139" s="1">
        <f>VALUE(7944)</f>
        <v>7944</v>
      </c>
      <c r="N4139" t="s">
        <v>25</v>
      </c>
    </row>
    <row r="4140" spans="1:14" x14ac:dyDescent="0.25">
      <c r="A4140" t="s">
        <v>41</v>
      </c>
      <c r="B4140" t="s">
        <v>39</v>
      </c>
      <c r="C4140" t="s">
        <v>37</v>
      </c>
      <c r="D4140" t="s">
        <v>32</v>
      </c>
      <c r="E4140" t="s">
        <v>22</v>
      </c>
      <c r="F4140" t="s">
        <v>19</v>
      </c>
      <c r="G4140" s="2">
        <f>VALUE(761.5024967525)</f>
        <v>761.50249675249995</v>
      </c>
      <c r="H4140" s="3">
        <f>VALUE(757.1197960638)</f>
        <v>757.11979606379998</v>
      </c>
      <c r="I4140" s="4">
        <f>VALUE(3844)</f>
        <v>3844</v>
      </c>
      <c r="J4140" s="1">
        <f>VALUE(4465)</f>
        <v>4465</v>
      </c>
      <c r="K4140" s="1">
        <f>VALUE(5332)</f>
        <v>5332</v>
      </c>
      <c r="L4140" s="1">
        <f>VALUE(6272)</f>
        <v>6272</v>
      </c>
      <c r="M4140" s="1">
        <f>VALUE(7129)</f>
        <v>7129</v>
      </c>
      <c r="N4140" t="s">
        <v>25</v>
      </c>
    </row>
    <row r="4141" spans="1:14" x14ac:dyDescent="0.25">
      <c r="A4141" t="s">
        <v>41</v>
      </c>
      <c r="B4141" t="s">
        <v>39</v>
      </c>
      <c r="C4141" t="s">
        <v>37</v>
      </c>
      <c r="D4141" t="s">
        <v>32</v>
      </c>
      <c r="E4141" t="s">
        <v>22</v>
      </c>
      <c r="F4141" t="s">
        <v>20</v>
      </c>
      <c r="G4141" s="1">
        <f>VALUE(1963.8269301897)</f>
        <v>1963.8269301897001</v>
      </c>
      <c r="H4141" s="1">
        <f>VALUE(1973.9943642265)</f>
        <v>1973.9943642265</v>
      </c>
      <c r="I4141" s="1">
        <f>VALUE(3626)</f>
        <v>3626</v>
      </c>
      <c r="J4141" s="1">
        <f>VALUE(4286)</f>
        <v>4286</v>
      </c>
      <c r="K4141" s="1">
        <f>VALUE(4956)</f>
        <v>4956</v>
      </c>
      <c r="L4141" s="1">
        <f>VALUE(5793)</f>
        <v>5793</v>
      </c>
      <c r="M4141" s="1">
        <f>VALUE(6617)</f>
        <v>6617</v>
      </c>
      <c r="N4141" t="s">
        <v>16</v>
      </c>
    </row>
    <row r="4142" spans="1:14" x14ac:dyDescent="0.25">
      <c r="A4142" t="s">
        <v>41</v>
      </c>
      <c r="B4142" t="s">
        <v>39</v>
      </c>
      <c r="C4142" t="s">
        <v>37</v>
      </c>
      <c r="D4142" t="s">
        <v>32</v>
      </c>
      <c r="E4142" t="s">
        <v>23</v>
      </c>
      <c r="F4142" t="s">
        <v>15</v>
      </c>
      <c r="G4142" s="1">
        <f>VALUE(6649.3043208207)</f>
        <v>6649.3043208207</v>
      </c>
      <c r="H4142" s="1">
        <f>VALUE(6673.0312038582)</f>
        <v>6673.0312038581997</v>
      </c>
      <c r="I4142" s="1">
        <f>VALUE(3485)</f>
        <v>3485</v>
      </c>
      <c r="J4142" s="1">
        <f>VALUE(4008)</f>
        <v>4008</v>
      </c>
      <c r="K4142" s="1">
        <f>VALUE(4828)</f>
        <v>4828</v>
      </c>
      <c r="L4142" s="1">
        <f>VALUE(5639)</f>
        <v>5639</v>
      </c>
      <c r="M4142" s="1">
        <f>VALUE(6287)</f>
        <v>6287</v>
      </c>
      <c r="N4142" t="s">
        <v>16</v>
      </c>
    </row>
    <row r="4143" spans="1:14" x14ac:dyDescent="0.25">
      <c r="A4143" t="s">
        <v>41</v>
      </c>
      <c r="B4143" t="s">
        <v>39</v>
      </c>
      <c r="C4143" t="s">
        <v>37</v>
      </c>
      <c r="D4143" t="s">
        <v>32</v>
      </c>
      <c r="E4143" t="s">
        <v>23</v>
      </c>
      <c r="F4143" t="s">
        <v>17</v>
      </c>
      <c r="G4143" s="1" t="str">
        <f t="shared" ref="G4143:M4143" si="880">"X"</f>
        <v>X</v>
      </c>
      <c r="H4143" s="1" t="str">
        <f t="shared" si="880"/>
        <v>X</v>
      </c>
      <c r="I4143" s="1" t="str">
        <f t="shared" si="880"/>
        <v>X</v>
      </c>
      <c r="J4143" s="1" t="str">
        <f t="shared" si="880"/>
        <v>X</v>
      </c>
      <c r="K4143" s="1" t="str">
        <f t="shared" si="880"/>
        <v>X</v>
      </c>
      <c r="L4143" s="1" t="str">
        <f t="shared" si="880"/>
        <v>X</v>
      </c>
      <c r="M4143" s="1" t="str">
        <f t="shared" si="880"/>
        <v>X</v>
      </c>
      <c r="N4143" t="s">
        <v>27</v>
      </c>
    </row>
    <row r="4144" spans="1:14" x14ac:dyDescent="0.25">
      <c r="A4144" t="s">
        <v>41</v>
      </c>
      <c r="B4144" t="s">
        <v>39</v>
      </c>
      <c r="C4144" t="s">
        <v>37</v>
      </c>
      <c r="D4144" t="s">
        <v>32</v>
      </c>
      <c r="E4144" t="s">
        <v>23</v>
      </c>
      <c r="F4144" t="s">
        <v>18</v>
      </c>
      <c r="G4144" s="2">
        <f>VALUE(463.7851745414)</f>
        <v>463.78517454140001</v>
      </c>
      <c r="H4144" s="3">
        <f>VALUE(471.0862837202)</f>
        <v>471.08628372020002</v>
      </c>
      <c r="I4144" s="1">
        <f>VALUE(4089)</f>
        <v>4089</v>
      </c>
      <c r="J4144" s="1">
        <f>VALUE(4610)</f>
        <v>4610</v>
      </c>
      <c r="K4144" s="1">
        <f>VALUE(5239)</f>
        <v>5239</v>
      </c>
      <c r="L4144" s="1">
        <f>VALUE(5980)</f>
        <v>5980</v>
      </c>
      <c r="M4144" s="1">
        <f>VALUE(6474)</f>
        <v>6474</v>
      </c>
      <c r="N4144" t="s">
        <v>25</v>
      </c>
    </row>
    <row r="4145" spans="1:14" x14ac:dyDescent="0.25">
      <c r="A4145" t="s">
        <v>41</v>
      </c>
      <c r="B4145" t="s">
        <v>39</v>
      </c>
      <c r="C4145" t="s">
        <v>37</v>
      </c>
      <c r="D4145" t="s">
        <v>32</v>
      </c>
      <c r="E4145" t="s">
        <v>23</v>
      </c>
      <c r="F4145" t="s">
        <v>19</v>
      </c>
      <c r="G4145" s="2">
        <f>VALUE(770.357583409)</f>
        <v>770.35758340899997</v>
      </c>
      <c r="H4145" s="3">
        <f>VALUE(778.362161597)</f>
        <v>778.36216159699995</v>
      </c>
      <c r="I4145" s="1">
        <f>VALUE(3705)</f>
        <v>3705</v>
      </c>
      <c r="J4145" s="1">
        <f>VALUE(4300)</f>
        <v>4300</v>
      </c>
      <c r="K4145" s="1">
        <f>VALUE(5014)</f>
        <v>5014</v>
      </c>
      <c r="L4145" s="1">
        <f>VALUE(6055)</f>
        <v>6055</v>
      </c>
      <c r="M4145" s="1">
        <f>VALUE(6759)</f>
        <v>6759</v>
      </c>
      <c r="N4145" t="s">
        <v>25</v>
      </c>
    </row>
    <row r="4146" spans="1:14" x14ac:dyDescent="0.25">
      <c r="A4146" t="s">
        <v>41</v>
      </c>
      <c r="B4146" t="s">
        <v>39</v>
      </c>
      <c r="C4146" t="s">
        <v>37</v>
      </c>
      <c r="D4146" t="s">
        <v>32</v>
      </c>
      <c r="E4146" t="s">
        <v>23</v>
      </c>
      <c r="F4146" t="s">
        <v>20</v>
      </c>
      <c r="G4146" s="1">
        <f>VALUE(5294.666709971)</f>
        <v>5294.6667099710003</v>
      </c>
      <c r="H4146" s="1">
        <f>VALUE(5300.8840717127)</f>
        <v>5300.8840717126996</v>
      </c>
      <c r="I4146" s="1">
        <f>VALUE(3443)</f>
        <v>3443</v>
      </c>
      <c r="J4146" s="1">
        <f>VALUE(3910)</f>
        <v>3910</v>
      </c>
      <c r="K4146" s="1">
        <f>VALUE(4685)</f>
        <v>4685</v>
      </c>
      <c r="L4146" s="1">
        <f>VALUE(5551)</f>
        <v>5551</v>
      </c>
      <c r="M4146" s="1">
        <f>VALUE(6164)</f>
        <v>6164</v>
      </c>
      <c r="N4146" t="s">
        <v>16</v>
      </c>
    </row>
    <row r="4147" spans="1:14" x14ac:dyDescent="0.25">
      <c r="A4147" t="s">
        <v>41</v>
      </c>
      <c r="B4147" t="s">
        <v>39</v>
      </c>
      <c r="C4147" t="s">
        <v>37</v>
      </c>
      <c r="D4147" t="s">
        <v>32</v>
      </c>
      <c r="E4147" t="s">
        <v>26</v>
      </c>
      <c r="F4147" t="s">
        <v>15</v>
      </c>
      <c r="G4147" s="1" t="str">
        <f t="shared" ref="G4147:M4149" si="881">"X"</f>
        <v>X</v>
      </c>
      <c r="H4147" s="1" t="str">
        <f t="shared" si="881"/>
        <v>X</v>
      </c>
      <c r="I4147" s="1" t="str">
        <f t="shared" si="881"/>
        <v>X</v>
      </c>
      <c r="J4147" s="1" t="str">
        <f t="shared" si="881"/>
        <v>X</v>
      </c>
      <c r="K4147" s="1" t="str">
        <f t="shared" si="881"/>
        <v>X</v>
      </c>
      <c r="L4147" s="1" t="str">
        <f t="shared" si="881"/>
        <v>X</v>
      </c>
      <c r="M4147" s="1" t="str">
        <f t="shared" si="881"/>
        <v>X</v>
      </c>
      <c r="N4147" t="s">
        <v>27</v>
      </c>
    </row>
    <row r="4148" spans="1:14" x14ac:dyDescent="0.25">
      <c r="A4148" t="s">
        <v>41</v>
      </c>
      <c r="B4148" t="s">
        <v>39</v>
      </c>
      <c r="C4148" t="s">
        <v>37</v>
      </c>
      <c r="D4148" t="s">
        <v>32</v>
      </c>
      <c r="E4148" t="s">
        <v>26</v>
      </c>
      <c r="F4148" t="s">
        <v>17</v>
      </c>
      <c r="G4148" s="1" t="str">
        <f t="shared" si="881"/>
        <v>X</v>
      </c>
      <c r="H4148" s="1" t="str">
        <f t="shared" si="881"/>
        <v>X</v>
      </c>
      <c r="I4148" s="1" t="str">
        <f t="shared" si="881"/>
        <v>X</v>
      </c>
      <c r="J4148" s="1" t="str">
        <f t="shared" si="881"/>
        <v>X</v>
      </c>
      <c r="K4148" s="1" t="str">
        <f t="shared" si="881"/>
        <v>X</v>
      </c>
      <c r="L4148" s="1" t="str">
        <f t="shared" si="881"/>
        <v>X</v>
      </c>
      <c r="M4148" s="1" t="str">
        <f t="shared" si="881"/>
        <v>X</v>
      </c>
      <c r="N4148" t="s">
        <v>27</v>
      </c>
    </row>
    <row r="4149" spans="1:14" x14ac:dyDescent="0.25">
      <c r="A4149" t="s">
        <v>41</v>
      </c>
      <c r="B4149" t="s">
        <v>39</v>
      </c>
      <c r="C4149" t="s">
        <v>37</v>
      </c>
      <c r="D4149" t="s">
        <v>32</v>
      </c>
      <c r="E4149" t="s">
        <v>26</v>
      </c>
      <c r="F4149" t="s">
        <v>18</v>
      </c>
      <c r="G4149" s="1" t="str">
        <f t="shared" si="881"/>
        <v>X</v>
      </c>
      <c r="H4149" s="1" t="str">
        <f t="shared" si="881"/>
        <v>X</v>
      </c>
      <c r="I4149" s="1" t="str">
        <f t="shared" si="881"/>
        <v>X</v>
      </c>
      <c r="J4149" s="1" t="str">
        <f t="shared" si="881"/>
        <v>X</v>
      </c>
      <c r="K4149" s="1" t="str">
        <f t="shared" si="881"/>
        <v>X</v>
      </c>
      <c r="L4149" s="1" t="str">
        <f t="shared" si="881"/>
        <v>X</v>
      </c>
      <c r="M4149" s="1" t="str">
        <f t="shared" si="881"/>
        <v>X</v>
      </c>
      <c r="N4149" t="s">
        <v>27</v>
      </c>
    </row>
    <row r="4150" spans="1:14" x14ac:dyDescent="0.25">
      <c r="A4150" t="s">
        <v>41</v>
      </c>
      <c r="B4150" t="s">
        <v>39</v>
      </c>
      <c r="C4150" t="s">
        <v>37</v>
      </c>
      <c r="D4150" t="s">
        <v>32</v>
      </c>
      <c r="E4150" t="s">
        <v>26</v>
      </c>
      <c r="F4150" t="s">
        <v>19</v>
      </c>
      <c r="G4150" s="1" t="str">
        <f t="shared" ref="G4150:M4150" si="882">"..."</f>
        <v>...</v>
      </c>
      <c r="H4150" s="1" t="str">
        <f t="shared" si="882"/>
        <v>...</v>
      </c>
      <c r="I4150" s="1" t="str">
        <f t="shared" si="882"/>
        <v>...</v>
      </c>
      <c r="J4150" s="1" t="str">
        <f t="shared" si="882"/>
        <v>...</v>
      </c>
      <c r="K4150" s="1" t="str">
        <f t="shared" si="882"/>
        <v>...</v>
      </c>
      <c r="L4150" s="1" t="str">
        <f t="shared" si="882"/>
        <v>...</v>
      </c>
      <c r="M4150" s="1" t="str">
        <f t="shared" si="882"/>
        <v>...</v>
      </c>
      <c r="N4150" t="s">
        <v>30</v>
      </c>
    </row>
    <row r="4151" spans="1:14" x14ac:dyDescent="0.25">
      <c r="A4151" t="s">
        <v>41</v>
      </c>
      <c r="B4151" t="s">
        <v>39</v>
      </c>
      <c r="C4151" t="s">
        <v>37</v>
      </c>
      <c r="D4151" t="s">
        <v>32</v>
      </c>
      <c r="E4151" t="s">
        <v>26</v>
      </c>
      <c r="F4151" t="s">
        <v>20</v>
      </c>
      <c r="G4151" s="1" t="str">
        <f t="shared" ref="G4151:M4151" si="883">"X"</f>
        <v>X</v>
      </c>
      <c r="H4151" s="1" t="str">
        <f t="shared" si="883"/>
        <v>X</v>
      </c>
      <c r="I4151" s="1" t="str">
        <f t="shared" si="883"/>
        <v>X</v>
      </c>
      <c r="J4151" s="1" t="str">
        <f t="shared" si="883"/>
        <v>X</v>
      </c>
      <c r="K4151" s="1" t="str">
        <f t="shared" si="883"/>
        <v>X</v>
      </c>
      <c r="L4151" s="1" t="str">
        <f t="shared" si="883"/>
        <v>X</v>
      </c>
      <c r="M4151" s="1" t="str">
        <f t="shared" si="883"/>
        <v>X</v>
      </c>
      <c r="N4151" t="s">
        <v>27</v>
      </c>
    </row>
    <row r="4152" spans="1:14" x14ac:dyDescent="0.25">
      <c r="A4152" t="s">
        <v>41</v>
      </c>
      <c r="B4152" t="s">
        <v>39</v>
      </c>
      <c r="C4152" t="s">
        <v>37</v>
      </c>
      <c r="D4152" t="s">
        <v>33</v>
      </c>
      <c r="E4152" t="s">
        <v>15</v>
      </c>
      <c r="F4152" t="s">
        <v>15</v>
      </c>
      <c r="G4152" s="2">
        <f>VALUE(369.0402762418)</f>
        <v>369.04027624179997</v>
      </c>
      <c r="H4152" s="3">
        <f>VALUE(294.5504629889)</f>
        <v>294.55046298889999</v>
      </c>
      <c r="I4152" s="1">
        <f>VALUE(3233)</f>
        <v>3233</v>
      </c>
      <c r="J4152" s="5">
        <f>VALUE(4045)</f>
        <v>4045</v>
      </c>
      <c r="K4152" s="1">
        <f>VALUE(5484)</f>
        <v>5484</v>
      </c>
      <c r="L4152" s="7">
        <f>VALUE(7500)</f>
        <v>7500</v>
      </c>
      <c r="M4152" s="1">
        <f>VALUE(11110)</f>
        <v>11110</v>
      </c>
      <c r="N4152" t="s">
        <v>25</v>
      </c>
    </row>
    <row r="4153" spans="1:14" x14ac:dyDescent="0.25">
      <c r="A4153" t="s">
        <v>41</v>
      </c>
      <c r="B4153" t="s">
        <v>39</v>
      </c>
      <c r="C4153" t="s">
        <v>37</v>
      </c>
      <c r="D4153" t="s">
        <v>33</v>
      </c>
      <c r="E4153" t="s">
        <v>15</v>
      </c>
      <c r="F4153" t="s">
        <v>17</v>
      </c>
      <c r="G4153" s="1" t="str">
        <f t="shared" ref="G4153:M4162" si="884">"X"</f>
        <v>X</v>
      </c>
      <c r="H4153" s="1" t="str">
        <f t="shared" si="884"/>
        <v>X</v>
      </c>
      <c r="I4153" s="1" t="str">
        <f t="shared" si="884"/>
        <v>X</v>
      </c>
      <c r="J4153" s="1" t="str">
        <f t="shared" si="884"/>
        <v>X</v>
      </c>
      <c r="K4153" s="1" t="str">
        <f t="shared" si="884"/>
        <v>X</v>
      </c>
      <c r="L4153" s="1" t="str">
        <f t="shared" si="884"/>
        <v>X</v>
      </c>
      <c r="M4153" s="1" t="str">
        <f t="shared" si="884"/>
        <v>X</v>
      </c>
      <c r="N4153" t="s">
        <v>27</v>
      </c>
    </row>
    <row r="4154" spans="1:14" x14ac:dyDescent="0.25">
      <c r="A4154" t="s">
        <v>41</v>
      </c>
      <c r="B4154" t="s">
        <v>39</v>
      </c>
      <c r="C4154" t="s">
        <v>37</v>
      </c>
      <c r="D4154" t="s">
        <v>33</v>
      </c>
      <c r="E4154" t="s">
        <v>15</v>
      </c>
      <c r="F4154" t="s">
        <v>18</v>
      </c>
      <c r="G4154" s="1" t="str">
        <f t="shared" si="884"/>
        <v>X</v>
      </c>
      <c r="H4154" s="1" t="str">
        <f t="shared" si="884"/>
        <v>X</v>
      </c>
      <c r="I4154" s="1" t="str">
        <f t="shared" si="884"/>
        <v>X</v>
      </c>
      <c r="J4154" s="1" t="str">
        <f t="shared" si="884"/>
        <v>X</v>
      </c>
      <c r="K4154" s="1" t="str">
        <f t="shared" si="884"/>
        <v>X</v>
      </c>
      <c r="L4154" s="1" t="str">
        <f t="shared" si="884"/>
        <v>X</v>
      </c>
      <c r="M4154" s="1" t="str">
        <f t="shared" si="884"/>
        <v>X</v>
      </c>
      <c r="N4154" t="s">
        <v>27</v>
      </c>
    </row>
    <row r="4155" spans="1:14" x14ac:dyDescent="0.25">
      <c r="A4155" t="s">
        <v>41</v>
      </c>
      <c r="B4155" t="s">
        <v>39</v>
      </c>
      <c r="C4155" t="s">
        <v>37</v>
      </c>
      <c r="D4155" t="s">
        <v>33</v>
      </c>
      <c r="E4155" t="s">
        <v>15</v>
      </c>
      <c r="F4155" t="s">
        <v>19</v>
      </c>
      <c r="G4155" s="1" t="str">
        <f t="shared" si="884"/>
        <v>X</v>
      </c>
      <c r="H4155" s="1" t="str">
        <f t="shared" si="884"/>
        <v>X</v>
      </c>
      <c r="I4155" s="1" t="str">
        <f t="shared" si="884"/>
        <v>X</v>
      </c>
      <c r="J4155" s="1" t="str">
        <f t="shared" si="884"/>
        <v>X</v>
      </c>
      <c r="K4155" s="1" t="str">
        <f t="shared" si="884"/>
        <v>X</v>
      </c>
      <c r="L4155" s="1" t="str">
        <f t="shared" si="884"/>
        <v>X</v>
      </c>
      <c r="M4155" s="1" t="str">
        <f t="shared" si="884"/>
        <v>X</v>
      </c>
      <c r="N4155" t="s">
        <v>27</v>
      </c>
    </row>
    <row r="4156" spans="1:14" x14ac:dyDescent="0.25">
      <c r="A4156" t="s">
        <v>41</v>
      </c>
      <c r="B4156" t="s">
        <v>39</v>
      </c>
      <c r="C4156" t="s">
        <v>37</v>
      </c>
      <c r="D4156" t="s">
        <v>33</v>
      </c>
      <c r="E4156" t="s">
        <v>15</v>
      </c>
      <c r="F4156" t="s">
        <v>20</v>
      </c>
      <c r="G4156" s="1" t="str">
        <f t="shared" si="884"/>
        <v>X</v>
      </c>
      <c r="H4156" s="1" t="str">
        <f t="shared" si="884"/>
        <v>X</v>
      </c>
      <c r="I4156" s="1" t="str">
        <f t="shared" si="884"/>
        <v>X</v>
      </c>
      <c r="J4156" s="1" t="str">
        <f t="shared" si="884"/>
        <v>X</v>
      </c>
      <c r="K4156" s="1" t="str">
        <f t="shared" si="884"/>
        <v>X</v>
      </c>
      <c r="L4156" s="1" t="str">
        <f t="shared" si="884"/>
        <v>X</v>
      </c>
      <c r="M4156" s="1" t="str">
        <f t="shared" si="884"/>
        <v>X</v>
      </c>
      <c r="N4156" t="s">
        <v>27</v>
      </c>
    </row>
    <row r="4157" spans="1:14" x14ac:dyDescent="0.25">
      <c r="A4157" t="s">
        <v>41</v>
      </c>
      <c r="B4157" t="s">
        <v>39</v>
      </c>
      <c r="C4157" t="s">
        <v>37</v>
      </c>
      <c r="D4157" t="s">
        <v>33</v>
      </c>
      <c r="E4157" t="s">
        <v>21</v>
      </c>
      <c r="F4157" t="s">
        <v>15</v>
      </c>
      <c r="G4157" s="1" t="str">
        <f t="shared" si="884"/>
        <v>X</v>
      </c>
      <c r="H4157" s="1" t="str">
        <f t="shared" si="884"/>
        <v>X</v>
      </c>
      <c r="I4157" s="1" t="str">
        <f t="shared" si="884"/>
        <v>X</v>
      </c>
      <c r="J4157" s="1" t="str">
        <f t="shared" si="884"/>
        <v>X</v>
      </c>
      <c r="K4157" s="1" t="str">
        <f t="shared" si="884"/>
        <v>X</v>
      </c>
      <c r="L4157" s="1" t="str">
        <f t="shared" si="884"/>
        <v>X</v>
      </c>
      <c r="M4157" s="1" t="str">
        <f t="shared" si="884"/>
        <v>X</v>
      </c>
      <c r="N4157" t="s">
        <v>27</v>
      </c>
    </row>
    <row r="4158" spans="1:14" x14ac:dyDescent="0.25">
      <c r="A4158" t="s">
        <v>41</v>
      </c>
      <c r="B4158" t="s">
        <v>39</v>
      </c>
      <c r="C4158" t="s">
        <v>37</v>
      </c>
      <c r="D4158" t="s">
        <v>33</v>
      </c>
      <c r="E4158" t="s">
        <v>21</v>
      </c>
      <c r="F4158" t="s">
        <v>17</v>
      </c>
      <c r="G4158" s="1" t="str">
        <f t="shared" si="884"/>
        <v>X</v>
      </c>
      <c r="H4158" s="1" t="str">
        <f t="shared" si="884"/>
        <v>X</v>
      </c>
      <c r="I4158" s="1" t="str">
        <f t="shared" si="884"/>
        <v>X</v>
      </c>
      <c r="J4158" s="1" t="str">
        <f t="shared" si="884"/>
        <v>X</v>
      </c>
      <c r="K4158" s="1" t="str">
        <f t="shared" si="884"/>
        <v>X</v>
      </c>
      <c r="L4158" s="1" t="str">
        <f t="shared" si="884"/>
        <v>X</v>
      </c>
      <c r="M4158" s="1" t="str">
        <f t="shared" si="884"/>
        <v>X</v>
      </c>
      <c r="N4158" t="s">
        <v>27</v>
      </c>
    </row>
    <row r="4159" spans="1:14" x14ac:dyDescent="0.25">
      <c r="A4159" t="s">
        <v>41</v>
      </c>
      <c r="B4159" t="s">
        <v>39</v>
      </c>
      <c r="C4159" t="s">
        <v>37</v>
      </c>
      <c r="D4159" t="s">
        <v>33</v>
      </c>
      <c r="E4159" t="s">
        <v>21</v>
      </c>
      <c r="F4159" t="s">
        <v>18</v>
      </c>
      <c r="G4159" s="1" t="str">
        <f t="shared" si="884"/>
        <v>X</v>
      </c>
      <c r="H4159" s="1" t="str">
        <f t="shared" si="884"/>
        <v>X</v>
      </c>
      <c r="I4159" s="1" t="str">
        <f t="shared" si="884"/>
        <v>X</v>
      </c>
      <c r="J4159" s="1" t="str">
        <f t="shared" si="884"/>
        <v>X</v>
      </c>
      <c r="K4159" s="1" t="str">
        <f t="shared" si="884"/>
        <v>X</v>
      </c>
      <c r="L4159" s="1" t="str">
        <f t="shared" si="884"/>
        <v>X</v>
      </c>
      <c r="M4159" s="1" t="str">
        <f t="shared" si="884"/>
        <v>X</v>
      </c>
      <c r="N4159" t="s">
        <v>27</v>
      </c>
    </row>
    <row r="4160" spans="1:14" x14ac:dyDescent="0.25">
      <c r="A4160" t="s">
        <v>41</v>
      </c>
      <c r="B4160" t="s">
        <v>39</v>
      </c>
      <c r="C4160" t="s">
        <v>37</v>
      </c>
      <c r="D4160" t="s">
        <v>33</v>
      </c>
      <c r="E4160" t="s">
        <v>21</v>
      </c>
      <c r="F4160" t="s">
        <v>19</v>
      </c>
      <c r="G4160" s="1" t="str">
        <f t="shared" si="884"/>
        <v>X</v>
      </c>
      <c r="H4160" s="1" t="str">
        <f t="shared" si="884"/>
        <v>X</v>
      </c>
      <c r="I4160" s="1" t="str">
        <f t="shared" si="884"/>
        <v>X</v>
      </c>
      <c r="J4160" s="1" t="str">
        <f t="shared" si="884"/>
        <v>X</v>
      </c>
      <c r="K4160" s="1" t="str">
        <f t="shared" si="884"/>
        <v>X</v>
      </c>
      <c r="L4160" s="1" t="str">
        <f t="shared" si="884"/>
        <v>X</v>
      </c>
      <c r="M4160" s="1" t="str">
        <f t="shared" si="884"/>
        <v>X</v>
      </c>
      <c r="N4160" t="s">
        <v>27</v>
      </c>
    </row>
    <row r="4161" spans="1:14" x14ac:dyDescent="0.25">
      <c r="A4161" t="s">
        <v>41</v>
      </c>
      <c r="B4161" t="s">
        <v>39</v>
      </c>
      <c r="C4161" t="s">
        <v>37</v>
      </c>
      <c r="D4161" t="s">
        <v>33</v>
      </c>
      <c r="E4161" t="s">
        <v>21</v>
      </c>
      <c r="F4161" t="s">
        <v>20</v>
      </c>
      <c r="G4161" s="1" t="str">
        <f t="shared" si="884"/>
        <v>X</v>
      </c>
      <c r="H4161" s="1" t="str">
        <f t="shared" si="884"/>
        <v>X</v>
      </c>
      <c r="I4161" s="1" t="str">
        <f t="shared" si="884"/>
        <v>X</v>
      </c>
      <c r="J4161" s="1" t="str">
        <f t="shared" si="884"/>
        <v>X</v>
      </c>
      <c r="K4161" s="1" t="str">
        <f t="shared" si="884"/>
        <v>X</v>
      </c>
      <c r="L4161" s="1" t="str">
        <f t="shared" si="884"/>
        <v>X</v>
      </c>
      <c r="M4161" s="1" t="str">
        <f t="shared" si="884"/>
        <v>X</v>
      </c>
      <c r="N4161" t="s">
        <v>27</v>
      </c>
    </row>
    <row r="4162" spans="1:14" x14ac:dyDescent="0.25">
      <c r="A4162" t="s">
        <v>41</v>
      </c>
      <c r="B4162" t="s">
        <v>39</v>
      </c>
      <c r="C4162" t="s">
        <v>37</v>
      </c>
      <c r="D4162" t="s">
        <v>33</v>
      </c>
      <c r="E4162" t="s">
        <v>22</v>
      </c>
      <c r="F4162" t="s">
        <v>15</v>
      </c>
      <c r="G4162" s="1" t="str">
        <f t="shared" si="884"/>
        <v>X</v>
      </c>
      <c r="H4162" s="1" t="str">
        <f t="shared" si="884"/>
        <v>X</v>
      </c>
      <c r="I4162" s="1" t="str">
        <f t="shared" si="884"/>
        <v>X</v>
      </c>
      <c r="J4162" s="1" t="str">
        <f t="shared" si="884"/>
        <v>X</v>
      </c>
      <c r="K4162" s="1" t="str">
        <f t="shared" si="884"/>
        <v>X</v>
      </c>
      <c r="L4162" s="1" t="str">
        <f t="shared" si="884"/>
        <v>X</v>
      </c>
      <c r="M4162" s="1" t="str">
        <f t="shared" si="884"/>
        <v>X</v>
      </c>
      <c r="N4162" t="s">
        <v>27</v>
      </c>
    </row>
    <row r="4163" spans="1:14" x14ac:dyDescent="0.25">
      <c r="A4163" t="s">
        <v>41</v>
      </c>
      <c r="B4163" t="s">
        <v>39</v>
      </c>
      <c r="C4163" t="s">
        <v>37</v>
      </c>
      <c r="D4163" t="s">
        <v>33</v>
      </c>
      <c r="E4163" t="s">
        <v>22</v>
      </c>
      <c r="F4163" t="s">
        <v>17</v>
      </c>
      <c r="G4163" s="1" t="str">
        <f t="shared" ref="G4163:M4171" si="885">"X"</f>
        <v>X</v>
      </c>
      <c r="H4163" s="1" t="str">
        <f t="shared" si="885"/>
        <v>X</v>
      </c>
      <c r="I4163" s="1" t="str">
        <f t="shared" si="885"/>
        <v>X</v>
      </c>
      <c r="J4163" s="1" t="str">
        <f t="shared" si="885"/>
        <v>X</v>
      </c>
      <c r="K4163" s="1" t="str">
        <f t="shared" si="885"/>
        <v>X</v>
      </c>
      <c r="L4163" s="1" t="str">
        <f t="shared" si="885"/>
        <v>X</v>
      </c>
      <c r="M4163" s="1" t="str">
        <f t="shared" si="885"/>
        <v>X</v>
      </c>
      <c r="N4163" t="s">
        <v>27</v>
      </c>
    </row>
    <row r="4164" spans="1:14" x14ac:dyDescent="0.25">
      <c r="A4164" t="s">
        <v>41</v>
      </c>
      <c r="B4164" t="s">
        <v>39</v>
      </c>
      <c r="C4164" t="s">
        <v>37</v>
      </c>
      <c r="D4164" t="s">
        <v>33</v>
      </c>
      <c r="E4164" t="s">
        <v>22</v>
      </c>
      <c r="F4164" t="s">
        <v>18</v>
      </c>
      <c r="G4164" s="1" t="str">
        <f t="shared" si="885"/>
        <v>X</v>
      </c>
      <c r="H4164" s="1" t="str">
        <f t="shared" si="885"/>
        <v>X</v>
      </c>
      <c r="I4164" s="1" t="str">
        <f t="shared" si="885"/>
        <v>X</v>
      </c>
      <c r="J4164" s="1" t="str">
        <f t="shared" si="885"/>
        <v>X</v>
      </c>
      <c r="K4164" s="1" t="str">
        <f t="shared" si="885"/>
        <v>X</v>
      </c>
      <c r="L4164" s="1" t="str">
        <f t="shared" si="885"/>
        <v>X</v>
      </c>
      <c r="M4164" s="1" t="str">
        <f t="shared" si="885"/>
        <v>X</v>
      </c>
      <c r="N4164" t="s">
        <v>27</v>
      </c>
    </row>
    <row r="4165" spans="1:14" x14ac:dyDescent="0.25">
      <c r="A4165" t="s">
        <v>41</v>
      </c>
      <c r="B4165" t="s">
        <v>39</v>
      </c>
      <c r="C4165" t="s">
        <v>37</v>
      </c>
      <c r="D4165" t="s">
        <v>33</v>
      </c>
      <c r="E4165" t="s">
        <v>22</v>
      </c>
      <c r="F4165" t="s">
        <v>19</v>
      </c>
      <c r="G4165" s="1" t="str">
        <f t="shared" si="885"/>
        <v>X</v>
      </c>
      <c r="H4165" s="1" t="str">
        <f t="shared" si="885"/>
        <v>X</v>
      </c>
      <c r="I4165" s="1" t="str">
        <f t="shared" si="885"/>
        <v>X</v>
      </c>
      <c r="J4165" s="1" t="str">
        <f t="shared" si="885"/>
        <v>X</v>
      </c>
      <c r="K4165" s="1" t="str">
        <f t="shared" si="885"/>
        <v>X</v>
      </c>
      <c r="L4165" s="1" t="str">
        <f t="shared" si="885"/>
        <v>X</v>
      </c>
      <c r="M4165" s="1" t="str">
        <f t="shared" si="885"/>
        <v>X</v>
      </c>
      <c r="N4165" t="s">
        <v>27</v>
      </c>
    </row>
    <row r="4166" spans="1:14" x14ac:dyDescent="0.25">
      <c r="A4166" t="s">
        <v>41</v>
      </c>
      <c r="B4166" t="s">
        <v>39</v>
      </c>
      <c r="C4166" t="s">
        <v>37</v>
      </c>
      <c r="D4166" t="s">
        <v>33</v>
      </c>
      <c r="E4166" t="s">
        <v>22</v>
      </c>
      <c r="F4166" t="s">
        <v>20</v>
      </c>
      <c r="G4166" s="1" t="str">
        <f t="shared" si="885"/>
        <v>X</v>
      </c>
      <c r="H4166" s="1" t="str">
        <f t="shared" si="885"/>
        <v>X</v>
      </c>
      <c r="I4166" s="1" t="str">
        <f t="shared" si="885"/>
        <v>X</v>
      </c>
      <c r="J4166" s="1" t="str">
        <f t="shared" si="885"/>
        <v>X</v>
      </c>
      <c r="K4166" s="1" t="str">
        <f t="shared" si="885"/>
        <v>X</v>
      </c>
      <c r="L4166" s="1" t="str">
        <f t="shared" si="885"/>
        <v>X</v>
      </c>
      <c r="M4166" s="1" t="str">
        <f t="shared" si="885"/>
        <v>X</v>
      </c>
      <c r="N4166" t="s">
        <v>27</v>
      </c>
    </row>
    <row r="4167" spans="1:14" x14ac:dyDescent="0.25">
      <c r="A4167" t="s">
        <v>41</v>
      </c>
      <c r="B4167" t="s">
        <v>39</v>
      </c>
      <c r="C4167" t="s">
        <v>37</v>
      </c>
      <c r="D4167" t="s">
        <v>33</v>
      </c>
      <c r="E4167" t="s">
        <v>23</v>
      </c>
      <c r="F4167" t="s">
        <v>15</v>
      </c>
      <c r="G4167" s="1" t="str">
        <f t="shared" si="885"/>
        <v>X</v>
      </c>
      <c r="H4167" s="1" t="str">
        <f t="shared" si="885"/>
        <v>X</v>
      </c>
      <c r="I4167" s="1" t="str">
        <f t="shared" si="885"/>
        <v>X</v>
      </c>
      <c r="J4167" s="1" t="str">
        <f t="shared" si="885"/>
        <v>X</v>
      </c>
      <c r="K4167" s="1" t="str">
        <f t="shared" si="885"/>
        <v>X</v>
      </c>
      <c r="L4167" s="1" t="str">
        <f t="shared" si="885"/>
        <v>X</v>
      </c>
      <c r="M4167" s="1" t="str">
        <f t="shared" si="885"/>
        <v>X</v>
      </c>
      <c r="N4167" t="s">
        <v>27</v>
      </c>
    </row>
    <row r="4168" spans="1:14" x14ac:dyDescent="0.25">
      <c r="A4168" t="s">
        <v>41</v>
      </c>
      <c r="B4168" t="s">
        <v>39</v>
      </c>
      <c r="C4168" t="s">
        <v>37</v>
      </c>
      <c r="D4168" t="s">
        <v>33</v>
      </c>
      <c r="E4168" t="s">
        <v>23</v>
      </c>
      <c r="F4168" t="s">
        <v>17</v>
      </c>
      <c r="G4168" s="1" t="str">
        <f t="shared" si="885"/>
        <v>X</v>
      </c>
      <c r="H4168" s="1" t="str">
        <f t="shared" si="885"/>
        <v>X</v>
      </c>
      <c r="I4168" s="1" t="str">
        <f t="shared" si="885"/>
        <v>X</v>
      </c>
      <c r="J4168" s="1" t="str">
        <f t="shared" si="885"/>
        <v>X</v>
      </c>
      <c r="K4168" s="1" t="str">
        <f t="shared" si="885"/>
        <v>X</v>
      </c>
      <c r="L4168" s="1" t="str">
        <f t="shared" si="885"/>
        <v>X</v>
      </c>
      <c r="M4168" s="1" t="str">
        <f t="shared" si="885"/>
        <v>X</v>
      </c>
      <c r="N4168" t="s">
        <v>27</v>
      </c>
    </row>
    <row r="4169" spans="1:14" x14ac:dyDescent="0.25">
      <c r="A4169" t="s">
        <v>41</v>
      </c>
      <c r="B4169" t="s">
        <v>39</v>
      </c>
      <c r="C4169" t="s">
        <v>37</v>
      </c>
      <c r="D4169" t="s">
        <v>33</v>
      </c>
      <c r="E4169" t="s">
        <v>23</v>
      </c>
      <c r="F4169" t="s">
        <v>18</v>
      </c>
      <c r="G4169" s="1" t="str">
        <f t="shared" si="885"/>
        <v>X</v>
      </c>
      <c r="H4169" s="1" t="str">
        <f t="shared" si="885"/>
        <v>X</v>
      </c>
      <c r="I4169" s="1" t="str">
        <f t="shared" si="885"/>
        <v>X</v>
      </c>
      <c r="J4169" s="1" t="str">
        <f t="shared" si="885"/>
        <v>X</v>
      </c>
      <c r="K4169" s="1" t="str">
        <f t="shared" si="885"/>
        <v>X</v>
      </c>
      <c r="L4169" s="1" t="str">
        <f t="shared" si="885"/>
        <v>X</v>
      </c>
      <c r="M4169" s="1" t="str">
        <f t="shared" si="885"/>
        <v>X</v>
      </c>
      <c r="N4169" t="s">
        <v>27</v>
      </c>
    </row>
    <row r="4170" spans="1:14" x14ac:dyDescent="0.25">
      <c r="A4170" t="s">
        <v>41</v>
      </c>
      <c r="B4170" t="s">
        <v>39</v>
      </c>
      <c r="C4170" t="s">
        <v>37</v>
      </c>
      <c r="D4170" t="s">
        <v>33</v>
      </c>
      <c r="E4170" t="s">
        <v>23</v>
      </c>
      <c r="F4170" t="s">
        <v>19</v>
      </c>
      <c r="G4170" s="1" t="str">
        <f t="shared" si="885"/>
        <v>X</v>
      </c>
      <c r="H4170" s="1" t="str">
        <f t="shared" si="885"/>
        <v>X</v>
      </c>
      <c r="I4170" s="1" t="str">
        <f t="shared" si="885"/>
        <v>X</v>
      </c>
      <c r="J4170" s="1" t="str">
        <f t="shared" si="885"/>
        <v>X</v>
      </c>
      <c r="K4170" s="1" t="str">
        <f t="shared" si="885"/>
        <v>X</v>
      </c>
      <c r="L4170" s="1" t="str">
        <f t="shared" si="885"/>
        <v>X</v>
      </c>
      <c r="M4170" s="1" t="str">
        <f t="shared" si="885"/>
        <v>X</v>
      </c>
      <c r="N4170" t="s">
        <v>27</v>
      </c>
    </row>
    <row r="4171" spans="1:14" x14ac:dyDescent="0.25">
      <c r="A4171" t="s">
        <v>41</v>
      </c>
      <c r="B4171" t="s">
        <v>39</v>
      </c>
      <c r="C4171" t="s">
        <v>37</v>
      </c>
      <c r="D4171" t="s">
        <v>33</v>
      </c>
      <c r="E4171" t="s">
        <v>23</v>
      </c>
      <c r="F4171" t="s">
        <v>20</v>
      </c>
      <c r="G4171" s="1" t="str">
        <f t="shared" si="885"/>
        <v>X</v>
      </c>
      <c r="H4171" s="1" t="str">
        <f t="shared" si="885"/>
        <v>X</v>
      </c>
      <c r="I4171" s="1" t="str">
        <f t="shared" si="885"/>
        <v>X</v>
      </c>
      <c r="J4171" s="1" t="str">
        <f t="shared" si="885"/>
        <v>X</v>
      </c>
      <c r="K4171" s="1" t="str">
        <f t="shared" si="885"/>
        <v>X</v>
      </c>
      <c r="L4171" s="1" t="str">
        <f t="shared" si="885"/>
        <v>X</v>
      </c>
      <c r="M4171" s="1" t="str">
        <f t="shared" si="885"/>
        <v>X</v>
      </c>
      <c r="N4171" t="s">
        <v>27</v>
      </c>
    </row>
    <row r="4172" spans="1:14" x14ac:dyDescent="0.25">
      <c r="A4172" t="s">
        <v>41</v>
      </c>
      <c r="B4172" t="s">
        <v>39</v>
      </c>
      <c r="C4172" t="s">
        <v>37</v>
      </c>
      <c r="D4172" t="s">
        <v>33</v>
      </c>
      <c r="E4172" t="s">
        <v>26</v>
      </c>
      <c r="F4172" t="s">
        <v>15</v>
      </c>
      <c r="G4172" s="1" t="str">
        <f t="shared" ref="G4172:M4176" si="886">"..."</f>
        <v>...</v>
      </c>
      <c r="H4172" s="1" t="str">
        <f t="shared" si="886"/>
        <v>...</v>
      </c>
      <c r="I4172" s="1" t="str">
        <f t="shared" si="886"/>
        <v>...</v>
      </c>
      <c r="J4172" s="1" t="str">
        <f t="shared" si="886"/>
        <v>...</v>
      </c>
      <c r="K4172" s="1" t="str">
        <f t="shared" si="886"/>
        <v>...</v>
      </c>
      <c r="L4172" s="1" t="str">
        <f t="shared" si="886"/>
        <v>...</v>
      </c>
      <c r="M4172" s="1" t="str">
        <f t="shared" si="886"/>
        <v>...</v>
      </c>
      <c r="N4172" t="s">
        <v>30</v>
      </c>
    </row>
    <row r="4173" spans="1:14" x14ac:dyDescent="0.25">
      <c r="A4173" t="s">
        <v>41</v>
      </c>
      <c r="B4173" t="s">
        <v>39</v>
      </c>
      <c r="C4173" t="s">
        <v>37</v>
      </c>
      <c r="D4173" t="s">
        <v>33</v>
      </c>
      <c r="E4173" t="s">
        <v>26</v>
      </c>
      <c r="F4173" t="s">
        <v>17</v>
      </c>
      <c r="G4173" s="1" t="str">
        <f t="shared" si="886"/>
        <v>...</v>
      </c>
      <c r="H4173" s="1" t="str">
        <f t="shared" si="886"/>
        <v>...</v>
      </c>
      <c r="I4173" s="1" t="str">
        <f t="shared" si="886"/>
        <v>...</v>
      </c>
      <c r="J4173" s="1" t="str">
        <f t="shared" si="886"/>
        <v>...</v>
      </c>
      <c r="K4173" s="1" t="str">
        <f t="shared" si="886"/>
        <v>...</v>
      </c>
      <c r="L4173" s="1" t="str">
        <f t="shared" si="886"/>
        <v>...</v>
      </c>
      <c r="M4173" s="1" t="str">
        <f t="shared" si="886"/>
        <v>...</v>
      </c>
      <c r="N4173" t="s">
        <v>30</v>
      </c>
    </row>
    <row r="4174" spans="1:14" x14ac:dyDescent="0.25">
      <c r="A4174" t="s">
        <v>41</v>
      </c>
      <c r="B4174" t="s">
        <v>39</v>
      </c>
      <c r="C4174" t="s">
        <v>37</v>
      </c>
      <c r="D4174" t="s">
        <v>33</v>
      </c>
      <c r="E4174" t="s">
        <v>26</v>
      </c>
      <c r="F4174" t="s">
        <v>18</v>
      </c>
      <c r="G4174" s="1" t="str">
        <f t="shared" si="886"/>
        <v>...</v>
      </c>
      <c r="H4174" s="1" t="str">
        <f t="shared" si="886"/>
        <v>...</v>
      </c>
      <c r="I4174" s="1" t="str">
        <f t="shared" si="886"/>
        <v>...</v>
      </c>
      <c r="J4174" s="1" t="str">
        <f t="shared" si="886"/>
        <v>...</v>
      </c>
      <c r="K4174" s="1" t="str">
        <f t="shared" si="886"/>
        <v>...</v>
      </c>
      <c r="L4174" s="1" t="str">
        <f t="shared" si="886"/>
        <v>...</v>
      </c>
      <c r="M4174" s="1" t="str">
        <f t="shared" si="886"/>
        <v>...</v>
      </c>
      <c r="N4174" t="s">
        <v>30</v>
      </c>
    </row>
    <row r="4175" spans="1:14" x14ac:dyDescent="0.25">
      <c r="A4175" t="s">
        <v>41</v>
      </c>
      <c r="B4175" t="s">
        <v>39</v>
      </c>
      <c r="C4175" t="s">
        <v>37</v>
      </c>
      <c r="D4175" t="s">
        <v>33</v>
      </c>
      <c r="E4175" t="s">
        <v>26</v>
      </c>
      <c r="F4175" t="s">
        <v>19</v>
      </c>
      <c r="G4175" s="1" t="str">
        <f t="shared" si="886"/>
        <v>...</v>
      </c>
      <c r="H4175" s="1" t="str">
        <f t="shared" si="886"/>
        <v>...</v>
      </c>
      <c r="I4175" s="1" t="str">
        <f t="shared" si="886"/>
        <v>...</v>
      </c>
      <c r="J4175" s="1" t="str">
        <f t="shared" si="886"/>
        <v>...</v>
      </c>
      <c r="K4175" s="1" t="str">
        <f t="shared" si="886"/>
        <v>...</v>
      </c>
      <c r="L4175" s="1" t="str">
        <f t="shared" si="886"/>
        <v>...</v>
      </c>
      <c r="M4175" s="1" t="str">
        <f t="shared" si="886"/>
        <v>...</v>
      </c>
      <c r="N4175" t="s">
        <v>30</v>
      </c>
    </row>
    <row r="4176" spans="1:14" x14ac:dyDescent="0.25">
      <c r="A4176" t="s">
        <v>41</v>
      </c>
      <c r="B4176" t="s">
        <v>39</v>
      </c>
      <c r="C4176" t="s">
        <v>37</v>
      </c>
      <c r="D4176" t="s">
        <v>33</v>
      </c>
      <c r="E4176" t="s">
        <v>26</v>
      </c>
      <c r="F4176" t="s">
        <v>20</v>
      </c>
      <c r="G4176" s="1" t="str">
        <f t="shared" si="886"/>
        <v>...</v>
      </c>
      <c r="H4176" s="1" t="str">
        <f t="shared" si="886"/>
        <v>...</v>
      </c>
      <c r="I4176" s="1" t="str">
        <f t="shared" si="886"/>
        <v>...</v>
      </c>
      <c r="J4176" s="1" t="str">
        <f t="shared" si="886"/>
        <v>...</v>
      </c>
      <c r="K4176" s="1" t="str">
        <f t="shared" si="886"/>
        <v>...</v>
      </c>
      <c r="L4176" s="1" t="str">
        <f t="shared" si="886"/>
        <v>...</v>
      </c>
      <c r="M4176" s="1" t="str">
        <f t="shared" si="886"/>
        <v>...</v>
      </c>
      <c r="N4176" t="s">
        <v>30</v>
      </c>
    </row>
    <row r="4177" spans="1:14" x14ac:dyDescent="0.25">
      <c r="A4177" t="s">
        <v>41</v>
      </c>
      <c r="B4177" t="s">
        <v>39</v>
      </c>
      <c r="C4177" t="s">
        <v>37</v>
      </c>
      <c r="D4177" t="s">
        <v>34</v>
      </c>
      <c r="E4177" t="s">
        <v>15</v>
      </c>
      <c r="F4177" t="s">
        <v>15</v>
      </c>
      <c r="G4177" s="2">
        <f>VALUE(422.8169765715)</f>
        <v>422.81697657149999</v>
      </c>
      <c r="H4177" s="3">
        <f>VALUE(410.5658888944)</f>
        <v>410.56588889440002</v>
      </c>
      <c r="I4177" s="1">
        <f>VALUE(3868)</f>
        <v>3868</v>
      </c>
      <c r="J4177" s="1">
        <f>VALUE(5031)</f>
        <v>5031</v>
      </c>
      <c r="K4177" s="1">
        <f>VALUE(6870)</f>
        <v>6870</v>
      </c>
      <c r="L4177" s="1">
        <f>VALUE(10555)</f>
        <v>10555</v>
      </c>
      <c r="M4177" s="1">
        <f>VALUE(13889)</f>
        <v>13889</v>
      </c>
      <c r="N4177" t="s">
        <v>25</v>
      </c>
    </row>
    <row r="4178" spans="1:14" x14ac:dyDescent="0.25">
      <c r="A4178" t="s">
        <v>41</v>
      </c>
      <c r="B4178" t="s">
        <v>39</v>
      </c>
      <c r="C4178" t="s">
        <v>37</v>
      </c>
      <c r="D4178" t="s">
        <v>34</v>
      </c>
      <c r="E4178" t="s">
        <v>15</v>
      </c>
      <c r="F4178" t="s">
        <v>17</v>
      </c>
      <c r="G4178" s="2">
        <f>VALUE(189.2655753548)</f>
        <v>189.26557535480001</v>
      </c>
      <c r="H4178" s="3">
        <f>VALUE(196.4962337622)</f>
        <v>196.49623376220001</v>
      </c>
      <c r="I4178" s="1">
        <f>VALUE(3868)</f>
        <v>3868</v>
      </c>
      <c r="J4178" s="1">
        <f>VALUE(7500)</f>
        <v>7500</v>
      </c>
      <c r="K4178" s="1">
        <f>VALUE(10555)</f>
        <v>10555</v>
      </c>
      <c r="L4178" s="1">
        <f>VALUE(13333)</f>
        <v>13333</v>
      </c>
      <c r="M4178" s="1">
        <f>VALUE(16382)</f>
        <v>16382</v>
      </c>
      <c r="N4178" t="s">
        <v>25</v>
      </c>
    </row>
    <row r="4179" spans="1:14" x14ac:dyDescent="0.25">
      <c r="A4179" t="s">
        <v>41</v>
      </c>
      <c r="B4179" t="s">
        <v>39</v>
      </c>
      <c r="C4179" t="s">
        <v>37</v>
      </c>
      <c r="D4179" t="s">
        <v>34</v>
      </c>
      <c r="E4179" t="s">
        <v>15</v>
      </c>
      <c r="F4179" t="s">
        <v>18</v>
      </c>
      <c r="G4179" s="1" t="str">
        <f t="shared" ref="G4179:M4180" si="887">"X"</f>
        <v>X</v>
      </c>
      <c r="H4179" s="1" t="str">
        <f t="shared" si="887"/>
        <v>X</v>
      </c>
      <c r="I4179" s="1" t="str">
        <f t="shared" si="887"/>
        <v>X</v>
      </c>
      <c r="J4179" s="1" t="str">
        <f t="shared" si="887"/>
        <v>X</v>
      </c>
      <c r="K4179" s="1" t="str">
        <f t="shared" si="887"/>
        <v>X</v>
      </c>
      <c r="L4179" s="1" t="str">
        <f t="shared" si="887"/>
        <v>X</v>
      </c>
      <c r="M4179" s="1" t="str">
        <f t="shared" si="887"/>
        <v>X</v>
      </c>
      <c r="N4179" t="s">
        <v>27</v>
      </c>
    </row>
    <row r="4180" spans="1:14" x14ac:dyDescent="0.25">
      <c r="A4180" t="s">
        <v>41</v>
      </c>
      <c r="B4180" t="s">
        <v>39</v>
      </c>
      <c r="C4180" t="s">
        <v>37</v>
      </c>
      <c r="D4180" t="s">
        <v>34</v>
      </c>
      <c r="E4180" t="s">
        <v>15</v>
      </c>
      <c r="F4180" t="s">
        <v>19</v>
      </c>
      <c r="G4180" s="1" t="str">
        <f t="shared" si="887"/>
        <v>X</v>
      </c>
      <c r="H4180" s="1" t="str">
        <f t="shared" si="887"/>
        <v>X</v>
      </c>
      <c r="I4180" s="1" t="str">
        <f t="shared" si="887"/>
        <v>X</v>
      </c>
      <c r="J4180" s="1" t="str">
        <f t="shared" si="887"/>
        <v>X</v>
      </c>
      <c r="K4180" s="1" t="str">
        <f t="shared" si="887"/>
        <v>X</v>
      </c>
      <c r="L4180" s="1" t="str">
        <f t="shared" si="887"/>
        <v>X</v>
      </c>
      <c r="M4180" s="1" t="str">
        <f t="shared" si="887"/>
        <v>X</v>
      </c>
      <c r="N4180" t="s">
        <v>27</v>
      </c>
    </row>
    <row r="4181" spans="1:14" x14ac:dyDescent="0.25">
      <c r="A4181" t="s">
        <v>41</v>
      </c>
      <c r="B4181" t="s">
        <v>39</v>
      </c>
      <c r="C4181" t="s">
        <v>37</v>
      </c>
      <c r="D4181" t="s">
        <v>34</v>
      </c>
      <c r="E4181" t="s">
        <v>15</v>
      </c>
      <c r="F4181" t="s">
        <v>20</v>
      </c>
      <c r="G4181" s="2">
        <f>VALUE(202.4394384939)</f>
        <v>202.43943849390001</v>
      </c>
      <c r="H4181" s="3">
        <f>VALUE(189.6301149772)</f>
        <v>189.63011497720001</v>
      </c>
      <c r="I4181" s="1">
        <f>VALUE(3776)</f>
        <v>3776</v>
      </c>
      <c r="J4181" s="1">
        <f>VALUE(4564)</f>
        <v>4564</v>
      </c>
      <c r="K4181" s="1">
        <f>VALUE(5913)</f>
        <v>5913</v>
      </c>
      <c r="L4181" s="1">
        <f>VALUE(6917)</f>
        <v>6917</v>
      </c>
      <c r="M4181" s="1">
        <f>VALUE(8254)</f>
        <v>8254</v>
      </c>
      <c r="N4181" t="s">
        <v>25</v>
      </c>
    </row>
    <row r="4182" spans="1:14" x14ac:dyDescent="0.25">
      <c r="A4182" t="s">
        <v>41</v>
      </c>
      <c r="B4182" t="s">
        <v>39</v>
      </c>
      <c r="C4182" t="s">
        <v>37</v>
      </c>
      <c r="D4182" t="s">
        <v>34</v>
      </c>
      <c r="E4182" t="s">
        <v>21</v>
      </c>
      <c r="F4182" t="s">
        <v>15</v>
      </c>
      <c r="G4182" s="2">
        <f>VALUE(157.8028544503)</f>
        <v>157.8028544503</v>
      </c>
      <c r="H4182" s="3">
        <f>VALUE(161.1045360904)</f>
        <v>161.10453609039999</v>
      </c>
      <c r="I4182" s="1">
        <f>VALUE(3823)</f>
        <v>3823</v>
      </c>
      <c r="J4182" s="1">
        <f>VALUE(6190)</f>
        <v>6190</v>
      </c>
      <c r="K4182" s="1">
        <f>VALUE(9294)</f>
        <v>9294</v>
      </c>
      <c r="L4182" s="1">
        <f>VALUE(12698)</f>
        <v>12698</v>
      </c>
      <c r="M4182" s="1">
        <f>VALUE(16382)</f>
        <v>16382</v>
      </c>
      <c r="N4182" t="s">
        <v>25</v>
      </c>
    </row>
    <row r="4183" spans="1:14" x14ac:dyDescent="0.25">
      <c r="A4183" t="s">
        <v>41</v>
      </c>
      <c r="B4183" t="s">
        <v>39</v>
      </c>
      <c r="C4183" t="s">
        <v>37</v>
      </c>
      <c r="D4183" t="s">
        <v>34</v>
      </c>
      <c r="E4183" t="s">
        <v>21</v>
      </c>
      <c r="F4183" t="s">
        <v>17</v>
      </c>
      <c r="G4183" s="2">
        <f>VALUE(114.9668595004)</f>
        <v>114.96685950040001</v>
      </c>
      <c r="H4183" s="3">
        <f>VALUE(119.6519319945)</f>
        <v>119.6519319945</v>
      </c>
      <c r="I4183" s="1">
        <f>VALUE(3823)</f>
        <v>3823</v>
      </c>
      <c r="J4183" s="1">
        <f>VALUE(3868)</f>
        <v>3868</v>
      </c>
      <c r="K4183" s="1">
        <f>VALUE(10833)</f>
        <v>10833</v>
      </c>
      <c r="L4183" s="1">
        <f>VALUE(13734)</f>
        <v>13734</v>
      </c>
      <c r="M4183" s="1">
        <f>VALUE(17594)</f>
        <v>17594</v>
      </c>
      <c r="N4183" t="s">
        <v>25</v>
      </c>
    </row>
    <row r="4184" spans="1:14" x14ac:dyDescent="0.25">
      <c r="A4184" t="s">
        <v>41</v>
      </c>
      <c r="B4184" t="s">
        <v>39</v>
      </c>
      <c r="C4184" t="s">
        <v>37</v>
      </c>
      <c r="D4184" t="s">
        <v>34</v>
      </c>
      <c r="E4184" t="s">
        <v>21</v>
      </c>
      <c r="F4184" t="s">
        <v>18</v>
      </c>
      <c r="G4184" s="1" t="str">
        <f t="shared" ref="G4184:M4186" si="888">"X"</f>
        <v>X</v>
      </c>
      <c r="H4184" s="1" t="str">
        <f t="shared" si="888"/>
        <v>X</v>
      </c>
      <c r="I4184" s="1" t="str">
        <f t="shared" si="888"/>
        <v>X</v>
      </c>
      <c r="J4184" s="1" t="str">
        <f t="shared" si="888"/>
        <v>X</v>
      </c>
      <c r="K4184" s="1" t="str">
        <f t="shared" si="888"/>
        <v>X</v>
      </c>
      <c r="L4184" s="1" t="str">
        <f t="shared" si="888"/>
        <v>X</v>
      </c>
      <c r="M4184" s="1" t="str">
        <f t="shared" si="888"/>
        <v>X</v>
      </c>
      <c r="N4184" t="s">
        <v>27</v>
      </c>
    </row>
    <row r="4185" spans="1:14" x14ac:dyDescent="0.25">
      <c r="A4185" t="s">
        <v>41</v>
      </c>
      <c r="B4185" t="s">
        <v>39</v>
      </c>
      <c r="C4185" t="s">
        <v>37</v>
      </c>
      <c r="D4185" t="s">
        <v>34</v>
      </c>
      <c r="E4185" t="s">
        <v>21</v>
      </c>
      <c r="F4185" t="s">
        <v>19</v>
      </c>
      <c r="G4185" s="1" t="str">
        <f t="shared" si="888"/>
        <v>X</v>
      </c>
      <c r="H4185" s="1" t="str">
        <f t="shared" si="888"/>
        <v>X</v>
      </c>
      <c r="I4185" s="1" t="str">
        <f t="shared" si="888"/>
        <v>X</v>
      </c>
      <c r="J4185" s="1" t="str">
        <f t="shared" si="888"/>
        <v>X</v>
      </c>
      <c r="K4185" s="1" t="str">
        <f t="shared" si="888"/>
        <v>X</v>
      </c>
      <c r="L4185" s="1" t="str">
        <f t="shared" si="888"/>
        <v>X</v>
      </c>
      <c r="M4185" s="1" t="str">
        <f t="shared" si="888"/>
        <v>X</v>
      </c>
      <c r="N4185" t="s">
        <v>27</v>
      </c>
    </row>
    <row r="4186" spans="1:14" x14ac:dyDescent="0.25">
      <c r="A4186" t="s">
        <v>41</v>
      </c>
      <c r="B4186" t="s">
        <v>39</v>
      </c>
      <c r="C4186" t="s">
        <v>37</v>
      </c>
      <c r="D4186" t="s">
        <v>34</v>
      </c>
      <c r="E4186" t="s">
        <v>21</v>
      </c>
      <c r="F4186" t="s">
        <v>20</v>
      </c>
      <c r="G4186" s="1" t="str">
        <f t="shared" si="888"/>
        <v>X</v>
      </c>
      <c r="H4186" s="1" t="str">
        <f t="shared" si="888"/>
        <v>X</v>
      </c>
      <c r="I4186" s="1" t="str">
        <f t="shared" si="888"/>
        <v>X</v>
      </c>
      <c r="J4186" s="1" t="str">
        <f t="shared" si="888"/>
        <v>X</v>
      </c>
      <c r="K4186" s="1" t="str">
        <f t="shared" si="888"/>
        <v>X</v>
      </c>
      <c r="L4186" s="1" t="str">
        <f t="shared" si="888"/>
        <v>X</v>
      </c>
      <c r="M4186" s="1" t="str">
        <f t="shared" si="888"/>
        <v>X</v>
      </c>
      <c r="N4186" t="s">
        <v>27</v>
      </c>
    </row>
    <row r="4187" spans="1:14" x14ac:dyDescent="0.25">
      <c r="A4187" t="s">
        <v>41</v>
      </c>
      <c r="B4187" t="s">
        <v>39</v>
      </c>
      <c r="C4187" t="s">
        <v>37</v>
      </c>
      <c r="D4187" t="s">
        <v>34</v>
      </c>
      <c r="E4187" t="s">
        <v>22</v>
      </c>
      <c r="F4187" t="s">
        <v>15</v>
      </c>
      <c r="G4187" s="2">
        <f>VALUE(189.5321184743)</f>
        <v>189.53211847430001</v>
      </c>
      <c r="H4187" s="1">
        <f>VALUE(174.9721073002)</f>
        <v>174.97210730020001</v>
      </c>
      <c r="I4187" s="1">
        <f>VALUE(4468)</f>
        <v>4468</v>
      </c>
      <c r="J4187" s="5">
        <f>VALUE(5165)</f>
        <v>5165</v>
      </c>
      <c r="K4187" s="6">
        <f>VALUE(6690)</f>
        <v>6690</v>
      </c>
      <c r="L4187" s="1">
        <f>VALUE(9127)</f>
        <v>9127</v>
      </c>
      <c r="M4187" s="1">
        <f>VALUE(12643)</f>
        <v>12643</v>
      </c>
      <c r="N4187" t="s">
        <v>25</v>
      </c>
    </row>
    <row r="4188" spans="1:14" x14ac:dyDescent="0.25">
      <c r="A4188" t="s">
        <v>41</v>
      </c>
      <c r="B4188" t="s">
        <v>39</v>
      </c>
      <c r="C4188" t="s">
        <v>37</v>
      </c>
      <c r="D4188" t="s">
        <v>34</v>
      </c>
      <c r="E4188" t="s">
        <v>22</v>
      </c>
      <c r="F4188" t="s">
        <v>17</v>
      </c>
      <c r="G4188" s="1" t="str">
        <f t="shared" ref="G4188:M4190" si="889">"X"</f>
        <v>X</v>
      </c>
      <c r="H4188" s="1" t="str">
        <f t="shared" si="889"/>
        <v>X</v>
      </c>
      <c r="I4188" s="1" t="str">
        <f t="shared" si="889"/>
        <v>X</v>
      </c>
      <c r="J4188" s="1" t="str">
        <f t="shared" si="889"/>
        <v>X</v>
      </c>
      <c r="K4188" s="1" t="str">
        <f t="shared" si="889"/>
        <v>X</v>
      </c>
      <c r="L4188" s="1" t="str">
        <f t="shared" si="889"/>
        <v>X</v>
      </c>
      <c r="M4188" s="1" t="str">
        <f t="shared" si="889"/>
        <v>X</v>
      </c>
      <c r="N4188" t="s">
        <v>27</v>
      </c>
    </row>
    <row r="4189" spans="1:14" x14ac:dyDescent="0.25">
      <c r="A4189" t="s">
        <v>41</v>
      </c>
      <c r="B4189" t="s">
        <v>39</v>
      </c>
      <c r="C4189" t="s">
        <v>37</v>
      </c>
      <c r="D4189" t="s">
        <v>34</v>
      </c>
      <c r="E4189" t="s">
        <v>22</v>
      </c>
      <c r="F4189" t="s">
        <v>18</v>
      </c>
      <c r="G4189" s="1" t="str">
        <f t="shared" si="889"/>
        <v>X</v>
      </c>
      <c r="H4189" s="1" t="str">
        <f t="shared" si="889"/>
        <v>X</v>
      </c>
      <c r="I4189" s="1" t="str">
        <f t="shared" si="889"/>
        <v>X</v>
      </c>
      <c r="J4189" s="1" t="str">
        <f t="shared" si="889"/>
        <v>X</v>
      </c>
      <c r="K4189" s="1" t="str">
        <f t="shared" si="889"/>
        <v>X</v>
      </c>
      <c r="L4189" s="1" t="str">
        <f t="shared" si="889"/>
        <v>X</v>
      </c>
      <c r="M4189" s="1" t="str">
        <f t="shared" si="889"/>
        <v>X</v>
      </c>
      <c r="N4189" t="s">
        <v>27</v>
      </c>
    </row>
    <row r="4190" spans="1:14" x14ac:dyDescent="0.25">
      <c r="A4190" t="s">
        <v>41</v>
      </c>
      <c r="B4190" t="s">
        <v>39</v>
      </c>
      <c r="C4190" t="s">
        <v>37</v>
      </c>
      <c r="D4190" t="s">
        <v>34</v>
      </c>
      <c r="E4190" t="s">
        <v>22</v>
      </c>
      <c r="F4190" t="s">
        <v>19</v>
      </c>
      <c r="G4190" s="1" t="str">
        <f t="shared" si="889"/>
        <v>X</v>
      </c>
      <c r="H4190" s="1" t="str">
        <f t="shared" si="889"/>
        <v>X</v>
      </c>
      <c r="I4190" s="1" t="str">
        <f t="shared" si="889"/>
        <v>X</v>
      </c>
      <c r="J4190" s="1" t="str">
        <f t="shared" si="889"/>
        <v>X</v>
      </c>
      <c r="K4190" s="1" t="str">
        <f t="shared" si="889"/>
        <v>X</v>
      </c>
      <c r="L4190" s="1" t="str">
        <f t="shared" si="889"/>
        <v>X</v>
      </c>
      <c r="M4190" s="1" t="str">
        <f t="shared" si="889"/>
        <v>X</v>
      </c>
      <c r="N4190" t="s">
        <v>27</v>
      </c>
    </row>
    <row r="4191" spans="1:14" x14ac:dyDescent="0.25">
      <c r="A4191" t="s">
        <v>41</v>
      </c>
      <c r="B4191" t="s">
        <v>39</v>
      </c>
      <c r="C4191" t="s">
        <v>37</v>
      </c>
      <c r="D4191" t="s">
        <v>34</v>
      </c>
      <c r="E4191" t="s">
        <v>22</v>
      </c>
      <c r="F4191" t="s">
        <v>20</v>
      </c>
      <c r="G4191" s="2">
        <f>VALUE(117.3483356679)</f>
        <v>117.3483356679</v>
      </c>
      <c r="H4191" s="3">
        <f>VALUE(101.4307528009)</f>
        <v>101.4307528009</v>
      </c>
      <c r="I4191" s="1">
        <f>VALUE(4285)</f>
        <v>4285</v>
      </c>
      <c r="J4191" s="1">
        <f>VALUE(4693)</f>
        <v>4693</v>
      </c>
      <c r="K4191" s="1">
        <f>VALUE(5571)</f>
        <v>5571</v>
      </c>
      <c r="L4191" s="1">
        <f>VALUE(6786)</f>
        <v>6786</v>
      </c>
      <c r="M4191" s="1">
        <f>VALUE(7659)</f>
        <v>7659</v>
      </c>
      <c r="N4191" t="s">
        <v>25</v>
      </c>
    </row>
    <row r="4192" spans="1:14" x14ac:dyDescent="0.25">
      <c r="A4192" t="s">
        <v>41</v>
      </c>
      <c r="B4192" t="s">
        <v>39</v>
      </c>
      <c r="C4192" t="s">
        <v>37</v>
      </c>
      <c r="D4192" t="s">
        <v>34</v>
      </c>
      <c r="E4192" t="s">
        <v>23</v>
      </c>
      <c r="F4192" t="s">
        <v>15</v>
      </c>
      <c r="G4192" s="1" t="str">
        <f t="shared" ref="G4192:M4198" si="890">"X"</f>
        <v>X</v>
      </c>
      <c r="H4192" s="1" t="str">
        <f t="shared" si="890"/>
        <v>X</v>
      </c>
      <c r="I4192" s="1" t="str">
        <f t="shared" si="890"/>
        <v>X</v>
      </c>
      <c r="J4192" s="1" t="str">
        <f t="shared" si="890"/>
        <v>X</v>
      </c>
      <c r="K4192" s="1" t="str">
        <f t="shared" si="890"/>
        <v>X</v>
      </c>
      <c r="L4192" s="1" t="str">
        <f t="shared" si="890"/>
        <v>X</v>
      </c>
      <c r="M4192" s="1" t="str">
        <f t="shared" si="890"/>
        <v>X</v>
      </c>
      <c r="N4192" t="s">
        <v>27</v>
      </c>
    </row>
    <row r="4193" spans="1:14" x14ac:dyDescent="0.25">
      <c r="A4193" t="s">
        <v>41</v>
      </c>
      <c r="B4193" t="s">
        <v>39</v>
      </c>
      <c r="C4193" t="s">
        <v>37</v>
      </c>
      <c r="D4193" t="s">
        <v>34</v>
      </c>
      <c r="E4193" t="s">
        <v>23</v>
      </c>
      <c r="F4193" t="s">
        <v>17</v>
      </c>
      <c r="G4193" s="1" t="str">
        <f t="shared" si="890"/>
        <v>X</v>
      </c>
      <c r="H4193" s="1" t="str">
        <f t="shared" si="890"/>
        <v>X</v>
      </c>
      <c r="I4193" s="1" t="str">
        <f t="shared" si="890"/>
        <v>X</v>
      </c>
      <c r="J4193" s="1" t="str">
        <f t="shared" si="890"/>
        <v>X</v>
      </c>
      <c r="K4193" s="1" t="str">
        <f t="shared" si="890"/>
        <v>X</v>
      </c>
      <c r="L4193" s="1" t="str">
        <f t="shared" si="890"/>
        <v>X</v>
      </c>
      <c r="M4193" s="1" t="str">
        <f t="shared" si="890"/>
        <v>X</v>
      </c>
      <c r="N4193" t="s">
        <v>27</v>
      </c>
    </row>
    <row r="4194" spans="1:14" x14ac:dyDescent="0.25">
      <c r="A4194" t="s">
        <v>41</v>
      </c>
      <c r="B4194" t="s">
        <v>39</v>
      </c>
      <c r="C4194" t="s">
        <v>37</v>
      </c>
      <c r="D4194" t="s">
        <v>34</v>
      </c>
      <c r="E4194" t="s">
        <v>23</v>
      </c>
      <c r="F4194" t="s">
        <v>18</v>
      </c>
      <c r="G4194" s="1" t="str">
        <f t="shared" si="890"/>
        <v>X</v>
      </c>
      <c r="H4194" s="1" t="str">
        <f t="shared" si="890"/>
        <v>X</v>
      </c>
      <c r="I4194" s="1" t="str">
        <f t="shared" si="890"/>
        <v>X</v>
      </c>
      <c r="J4194" s="1" t="str">
        <f t="shared" si="890"/>
        <v>X</v>
      </c>
      <c r="K4194" s="1" t="str">
        <f t="shared" si="890"/>
        <v>X</v>
      </c>
      <c r="L4194" s="1" t="str">
        <f t="shared" si="890"/>
        <v>X</v>
      </c>
      <c r="M4194" s="1" t="str">
        <f t="shared" si="890"/>
        <v>X</v>
      </c>
      <c r="N4194" t="s">
        <v>27</v>
      </c>
    </row>
    <row r="4195" spans="1:14" x14ac:dyDescent="0.25">
      <c r="A4195" t="s">
        <v>41</v>
      </c>
      <c r="B4195" t="s">
        <v>39</v>
      </c>
      <c r="C4195" t="s">
        <v>37</v>
      </c>
      <c r="D4195" t="s">
        <v>34</v>
      </c>
      <c r="E4195" t="s">
        <v>23</v>
      </c>
      <c r="F4195" t="s">
        <v>19</v>
      </c>
      <c r="G4195" s="1" t="str">
        <f t="shared" si="890"/>
        <v>X</v>
      </c>
      <c r="H4195" s="1" t="str">
        <f t="shared" si="890"/>
        <v>X</v>
      </c>
      <c r="I4195" s="1" t="str">
        <f t="shared" si="890"/>
        <v>X</v>
      </c>
      <c r="J4195" s="1" t="str">
        <f t="shared" si="890"/>
        <v>X</v>
      </c>
      <c r="K4195" s="1" t="str">
        <f t="shared" si="890"/>
        <v>X</v>
      </c>
      <c r="L4195" s="1" t="str">
        <f t="shared" si="890"/>
        <v>X</v>
      </c>
      <c r="M4195" s="1" t="str">
        <f t="shared" si="890"/>
        <v>X</v>
      </c>
      <c r="N4195" t="s">
        <v>27</v>
      </c>
    </row>
    <row r="4196" spans="1:14" x14ac:dyDescent="0.25">
      <c r="A4196" t="s">
        <v>41</v>
      </c>
      <c r="B4196" t="s">
        <v>39</v>
      </c>
      <c r="C4196" t="s">
        <v>37</v>
      </c>
      <c r="D4196" t="s">
        <v>34</v>
      </c>
      <c r="E4196" t="s">
        <v>23</v>
      </c>
      <c r="F4196" t="s">
        <v>20</v>
      </c>
      <c r="G4196" s="1" t="str">
        <f t="shared" si="890"/>
        <v>X</v>
      </c>
      <c r="H4196" s="1" t="str">
        <f t="shared" si="890"/>
        <v>X</v>
      </c>
      <c r="I4196" s="1" t="str">
        <f t="shared" si="890"/>
        <v>X</v>
      </c>
      <c r="J4196" s="1" t="str">
        <f t="shared" si="890"/>
        <v>X</v>
      </c>
      <c r="K4196" s="1" t="str">
        <f t="shared" si="890"/>
        <v>X</v>
      </c>
      <c r="L4196" s="1" t="str">
        <f t="shared" si="890"/>
        <v>X</v>
      </c>
      <c r="M4196" s="1" t="str">
        <f t="shared" si="890"/>
        <v>X</v>
      </c>
      <c r="N4196" t="s">
        <v>27</v>
      </c>
    </row>
    <row r="4197" spans="1:14" x14ac:dyDescent="0.25">
      <c r="A4197" t="s">
        <v>41</v>
      </c>
      <c r="B4197" t="s">
        <v>39</v>
      </c>
      <c r="C4197" t="s">
        <v>37</v>
      </c>
      <c r="D4197" t="s">
        <v>34</v>
      </c>
      <c r="E4197" t="s">
        <v>26</v>
      </c>
      <c r="F4197" t="s">
        <v>15</v>
      </c>
      <c r="G4197" s="1" t="str">
        <f t="shared" si="890"/>
        <v>X</v>
      </c>
      <c r="H4197" s="1" t="str">
        <f t="shared" si="890"/>
        <v>X</v>
      </c>
      <c r="I4197" s="1" t="str">
        <f t="shared" si="890"/>
        <v>X</v>
      </c>
      <c r="J4197" s="1" t="str">
        <f t="shared" si="890"/>
        <v>X</v>
      </c>
      <c r="K4197" s="1" t="str">
        <f t="shared" si="890"/>
        <v>X</v>
      </c>
      <c r="L4197" s="1" t="str">
        <f t="shared" si="890"/>
        <v>X</v>
      </c>
      <c r="M4197" s="1" t="str">
        <f t="shared" si="890"/>
        <v>X</v>
      </c>
      <c r="N4197" t="s">
        <v>27</v>
      </c>
    </row>
    <row r="4198" spans="1:14" x14ac:dyDescent="0.25">
      <c r="A4198" t="s">
        <v>41</v>
      </c>
      <c r="B4198" t="s">
        <v>39</v>
      </c>
      <c r="C4198" t="s">
        <v>37</v>
      </c>
      <c r="D4198" t="s">
        <v>34</v>
      </c>
      <c r="E4198" t="s">
        <v>26</v>
      </c>
      <c r="F4198" t="s">
        <v>17</v>
      </c>
      <c r="G4198" s="1" t="str">
        <f t="shared" si="890"/>
        <v>X</v>
      </c>
      <c r="H4198" s="1" t="str">
        <f t="shared" si="890"/>
        <v>X</v>
      </c>
      <c r="I4198" s="1" t="str">
        <f t="shared" si="890"/>
        <v>X</v>
      </c>
      <c r="J4198" s="1" t="str">
        <f t="shared" si="890"/>
        <v>X</v>
      </c>
      <c r="K4198" s="1" t="str">
        <f t="shared" si="890"/>
        <v>X</v>
      </c>
      <c r="L4198" s="1" t="str">
        <f t="shared" si="890"/>
        <v>X</v>
      </c>
      <c r="M4198" s="1" t="str">
        <f t="shared" si="890"/>
        <v>X</v>
      </c>
      <c r="N4198" t="s">
        <v>27</v>
      </c>
    </row>
    <row r="4199" spans="1:14" x14ac:dyDescent="0.25">
      <c r="A4199" t="s">
        <v>41</v>
      </c>
      <c r="B4199" t="s">
        <v>39</v>
      </c>
      <c r="C4199" t="s">
        <v>37</v>
      </c>
      <c r="D4199" t="s">
        <v>34</v>
      </c>
      <c r="E4199" t="s">
        <v>26</v>
      </c>
      <c r="F4199" t="s">
        <v>18</v>
      </c>
      <c r="G4199" s="1" t="str">
        <f t="shared" ref="G4199:M4201" si="891">"..."</f>
        <v>...</v>
      </c>
      <c r="H4199" s="1" t="str">
        <f t="shared" si="891"/>
        <v>...</v>
      </c>
      <c r="I4199" s="1" t="str">
        <f t="shared" si="891"/>
        <v>...</v>
      </c>
      <c r="J4199" s="1" t="str">
        <f t="shared" si="891"/>
        <v>...</v>
      </c>
      <c r="K4199" s="1" t="str">
        <f t="shared" si="891"/>
        <v>...</v>
      </c>
      <c r="L4199" s="1" t="str">
        <f t="shared" si="891"/>
        <v>...</v>
      </c>
      <c r="M4199" s="1" t="str">
        <f t="shared" si="891"/>
        <v>...</v>
      </c>
      <c r="N4199" t="s">
        <v>30</v>
      </c>
    </row>
    <row r="4200" spans="1:14" x14ac:dyDescent="0.25">
      <c r="A4200" t="s">
        <v>41</v>
      </c>
      <c r="B4200" t="s">
        <v>39</v>
      </c>
      <c r="C4200" t="s">
        <v>37</v>
      </c>
      <c r="D4200" t="s">
        <v>34</v>
      </c>
      <c r="E4200" t="s">
        <v>26</v>
      </c>
      <c r="F4200" t="s">
        <v>19</v>
      </c>
      <c r="G4200" s="1" t="str">
        <f t="shared" si="891"/>
        <v>...</v>
      </c>
      <c r="H4200" s="1" t="str">
        <f t="shared" si="891"/>
        <v>...</v>
      </c>
      <c r="I4200" s="1" t="str">
        <f t="shared" si="891"/>
        <v>...</v>
      </c>
      <c r="J4200" s="1" t="str">
        <f t="shared" si="891"/>
        <v>...</v>
      </c>
      <c r="K4200" s="1" t="str">
        <f t="shared" si="891"/>
        <v>...</v>
      </c>
      <c r="L4200" s="1" t="str">
        <f t="shared" si="891"/>
        <v>...</v>
      </c>
      <c r="M4200" s="1" t="str">
        <f t="shared" si="891"/>
        <v>...</v>
      </c>
      <c r="N4200" t="s">
        <v>30</v>
      </c>
    </row>
    <row r="4201" spans="1:14" x14ac:dyDescent="0.25">
      <c r="A4201" t="s">
        <v>41</v>
      </c>
      <c r="B4201" t="s">
        <v>39</v>
      </c>
      <c r="C4201" t="s">
        <v>37</v>
      </c>
      <c r="D4201" t="s">
        <v>34</v>
      </c>
      <c r="E4201" t="s">
        <v>26</v>
      </c>
      <c r="F4201" t="s">
        <v>20</v>
      </c>
      <c r="G4201" s="1" t="str">
        <f t="shared" si="891"/>
        <v>...</v>
      </c>
      <c r="H4201" s="1" t="str">
        <f t="shared" si="891"/>
        <v>...</v>
      </c>
      <c r="I4201" s="1" t="str">
        <f t="shared" si="891"/>
        <v>...</v>
      </c>
      <c r="J4201" s="1" t="str">
        <f t="shared" si="891"/>
        <v>...</v>
      </c>
      <c r="K4201" s="1" t="str">
        <f t="shared" si="891"/>
        <v>...</v>
      </c>
      <c r="L4201" s="1" t="str">
        <f t="shared" si="891"/>
        <v>...</v>
      </c>
      <c r="M4201" s="1" t="str">
        <f t="shared" si="891"/>
        <v>...</v>
      </c>
      <c r="N4201" t="s">
        <v>30</v>
      </c>
    </row>
    <row r="4202" spans="1:14" x14ac:dyDescent="0.25">
      <c r="A4202" t="s">
        <v>41</v>
      </c>
      <c r="B4202" t="s">
        <v>39</v>
      </c>
      <c r="C4202" t="s">
        <v>38</v>
      </c>
      <c r="D4202" t="s">
        <v>15</v>
      </c>
      <c r="E4202" t="s">
        <v>15</v>
      </c>
      <c r="F4202" t="s">
        <v>15</v>
      </c>
      <c r="G4202" s="1">
        <f>VALUE(16502.0991732574)</f>
        <v>16502.0991732574</v>
      </c>
      <c r="H4202" s="1">
        <f>VALUE(15956.5380446652)</f>
        <v>15956.5380446652</v>
      </c>
      <c r="I4202" s="1">
        <f>VALUE(3870)</f>
        <v>3870</v>
      </c>
      <c r="J4202" s="1">
        <f>VALUE(4761)</f>
        <v>4761</v>
      </c>
      <c r="K4202" s="1">
        <f>VALUE(5861)</f>
        <v>5861</v>
      </c>
      <c r="L4202" s="1">
        <f>VALUE(7564)</f>
        <v>7564</v>
      </c>
      <c r="M4202" s="1">
        <f>VALUE(11694)</f>
        <v>11694</v>
      </c>
      <c r="N4202" t="s">
        <v>16</v>
      </c>
    </row>
    <row r="4203" spans="1:14" x14ac:dyDescent="0.25">
      <c r="A4203" t="s">
        <v>41</v>
      </c>
      <c r="B4203" t="s">
        <v>39</v>
      </c>
      <c r="C4203" t="s">
        <v>38</v>
      </c>
      <c r="D4203" t="s">
        <v>15</v>
      </c>
      <c r="E4203" t="s">
        <v>15</v>
      </c>
      <c r="F4203" t="s">
        <v>17</v>
      </c>
      <c r="G4203" s="1">
        <f>VALUE(4473.1783086337)</f>
        <v>4473.1783086337</v>
      </c>
      <c r="H4203" s="1">
        <f>VALUE(4380.2379861751)</f>
        <v>4380.2379861750996</v>
      </c>
      <c r="I4203" s="1">
        <f>VALUE(4626)</f>
        <v>4626</v>
      </c>
      <c r="J4203" s="1">
        <f>VALUE(6422)</f>
        <v>6422</v>
      </c>
      <c r="K4203" s="1">
        <f>VALUE(8883)</f>
        <v>8883</v>
      </c>
      <c r="L4203" s="1">
        <f>VALUE(13252)</f>
        <v>13252</v>
      </c>
      <c r="M4203" s="1">
        <f>VALUE(22095)</f>
        <v>22095</v>
      </c>
      <c r="N4203" t="s">
        <v>16</v>
      </c>
    </row>
    <row r="4204" spans="1:14" x14ac:dyDescent="0.25">
      <c r="A4204" t="s">
        <v>41</v>
      </c>
      <c r="B4204" t="s">
        <v>39</v>
      </c>
      <c r="C4204" t="s">
        <v>38</v>
      </c>
      <c r="D4204" t="s">
        <v>15</v>
      </c>
      <c r="E4204" t="s">
        <v>15</v>
      </c>
      <c r="F4204" t="s">
        <v>18</v>
      </c>
      <c r="G4204" s="1">
        <f>VALUE(1792.3868337147)</f>
        <v>1792.3868337147001</v>
      </c>
      <c r="H4204" s="1">
        <f>VALUE(1686.7871524388)</f>
        <v>1686.7871524387999</v>
      </c>
      <c r="I4204" s="4">
        <f>VALUE(4316)</f>
        <v>4316</v>
      </c>
      <c r="J4204" s="1">
        <f>VALUE(5403)</f>
        <v>5403</v>
      </c>
      <c r="K4204" s="1">
        <f>VALUE(6623)</f>
        <v>6623</v>
      </c>
      <c r="L4204" s="1">
        <f>VALUE(8478)</f>
        <v>8478</v>
      </c>
      <c r="M4204" s="1">
        <f>VALUE(10715)</f>
        <v>10715</v>
      </c>
      <c r="N4204" t="s">
        <v>25</v>
      </c>
    </row>
    <row r="4205" spans="1:14" x14ac:dyDescent="0.25">
      <c r="A4205" t="s">
        <v>41</v>
      </c>
      <c r="B4205" t="s">
        <v>39</v>
      </c>
      <c r="C4205" t="s">
        <v>38</v>
      </c>
      <c r="D4205" t="s">
        <v>15</v>
      </c>
      <c r="E4205" t="s">
        <v>15</v>
      </c>
      <c r="F4205" t="s">
        <v>19</v>
      </c>
      <c r="G4205" s="1">
        <f>VALUE(2193.1911006958)</f>
        <v>2193.1911006957998</v>
      </c>
      <c r="H4205" s="1">
        <f>VALUE(2037.371990191)</f>
        <v>2037.3719901909999</v>
      </c>
      <c r="I4205" s="1">
        <f>VALUE(4127)</f>
        <v>4127</v>
      </c>
      <c r="J4205" s="1">
        <f>VALUE(4792)</f>
        <v>4792</v>
      </c>
      <c r="K4205" s="1">
        <f>VALUE(5778)</f>
        <v>5778</v>
      </c>
      <c r="L4205" s="1">
        <f>VALUE(6903)</f>
        <v>6903</v>
      </c>
      <c r="M4205" s="1">
        <f>VALUE(7999)</f>
        <v>7999</v>
      </c>
      <c r="N4205" t="s">
        <v>16</v>
      </c>
    </row>
    <row r="4206" spans="1:14" x14ac:dyDescent="0.25">
      <c r="A4206" t="s">
        <v>41</v>
      </c>
      <c r="B4206" t="s">
        <v>39</v>
      </c>
      <c r="C4206" t="s">
        <v>38</v>
      </c>
      <c r="D4206" t="s">
        <v>15</v>
      </c>
      <c r="E4206" t="s">
        <v>15</v>
      </c>
      <c r="F4206" t="s">
        <v>20</v>
      </c>
      <c r="G4206" s="1">
        <f>VALUE(8043.3429302132)</f>
        <v>8043.3429302131999</v>
      </c>
      <c r="H4206" s="1">
        <f>VALUE(7852.1409158603)</f>
        <v>7852.1409158603001</v>
      </c>
      <c r="I4206" s="1">
        <f>VALUE(3623)</f>
        <v>3623</v>
      </c>
      <c r="J4206" s="1">
        <f>VALUE(4333)</f>
        <v>4333</v>
      </c>
      <c r="K4206" s="1">
        <f>VALUE(5224)</f>
        <v>5224</v>
      </c>
      <c r="L4206" s="1">
        <f>VALUE(6062)</f>
        <v>6062</v>
      </c>
      <c r="M4206" s="1">
        <f>VALUE(6956)</f>
        <v>6956</v>
      </c>
      <c r="N4206" t="s">
        <v>16</v>
      </c>
    </row>
    <row r="4207" spans="1:14" x14ac:dyDescent="0.25">
      <c r="A4207" t="s">
        <v>41</v>
      </c>
      <c r="B4207" t="s">
        <v>39</v>
      </c>
      <c r="C4207" t="s">
        <v>38</v>
      </c>
      <c r="D4207" t="s">
        <v>15</v>
      </c>
      <c r="E4207" t="s">
        <v>21</v>
      </c>
      <c r="F4207" t="s">
        <v>15</v>
      </c>
      <c r="G4207" s="1">
        <f>VALUE(4005.4920127372)</f>
        <v>4005.4920127372002</v>
      </c>
      <c r="H4207" s="1">
        <f>VALUE(3642.9529227256)</f>
        <v>3642.9529227255998</v>
      </c>
      <c r="I4207" s="4">
        <f>VALUE(4860)</f>
        <v>4860</v>
      </c>
      <c r="J4207" s="1">
        <f>VALUE(6501)</f>
        <v>6501</v>
      </c>
      <c r="K4207" s="1">
        <f>VALUE(8768)</f>
        <v>8768</v>
      </c>
      <c r="L4207" s="1">
        <f>VALUE(12698)</f>
        <v>12698</v>
      </c>
      <c r="M4207" s="8">
        <f>VALUE(20800)</f>
        <v>20800</v>
      </c>
      <c r="N4207" t="s">
        <v>25</v>
      </c>
    </row>
    <row r="4208" spans="1:14" x14ac:dyDescent="0.25">
      <c r="A4208" t="s">
        <v>41</v>
      </c>
      <c r="B4208" t="s">
        <v>39</v>
      </c>
      <c r="C4208" t="s">
        <v>38</v>
      </c>
      <c r="D4208" t="s">
        <v>15</v>
      </c>
      <c r="E4208" t="s">
        <v>21</v>
      </c>
      <c r="F4208" t="s">
        <v>17</v>
      </c>
      <c r="G4208" s="1">
        <f>VALUE(2542.1162018536)</f>
        <v>2542.1162018536002</v>
      </c>
      <c r="H4208" s="1">
        <f>VALUE(2441.1996506236)</f>
        <v>2441.1996506236001</v>
      </c>
      <c r="I4208" s="4">
        <f>VALUE(5276)</f>
        <v>5276</v>
      </c>
      <c r="J4208" s="1">
        <f>VALUE(7177)</f>
        <v>7177</v>
      </c>
      <c r="K4208" s="1">
        <f>VALUE(10420)</f>
        <v>10420</v>
      </c>
      <c r="L4208" s="1">
        <f>VALUE(15116)</f>
        <v>15116</v>
      </c>
      <c r="M4208" s="1">
        <f>VALUE(23529)</f>
        <v>23529</v>
      </c>
      <c r="N4208" t="s">
        <v>25</v>
      </c>
    </row>
    <row r="4209" spans="1:14" x14ac:dyDescent="0.25">
      <c r="A4209" t="s">
        <v>41</v>
      </c>
      <c r="B4209" t="s">
        <v>39</v>
      </c>
      <c r="C4209" t="s">
        <v>38</v>
      </c>
      <c r="D4209" t="s">
        <v>15</v>
      </c>
      <c r="E4209" t="s">
        <v>21</v>
      </c>
      <c r="F4209" t="s">
        <v>18</v>
      </c>
      <c r="G4209" s="2">
        <f>VALUE(532.6148873857)</f>
        <v>532.61488738569994</v>
      </c>
      <c r="H4209" s="3">
        <f>VALUE(457.9153774979)</f>
        <v>457.91537749790001</v>
      </c>
      <c r="I4209" s="4">
        <f>VALUE(5056)</f>
        <v>5056</v>
      </c>
      <c r="J4209" s="1">
        <f>VALUE(6673)</f>
        <v>6673</v>
      </c>
      <c r="K4209" s="1">
        <f>VALUE(8226)</f>
        <v>8226</v>
      </c>
      <c r="L4209" s="1">
        <f>VALUE(10493)</f>
        <v>10493</v>
      </c>
      <c r="M4209" s="8">
        <f>VALUE(11954)</f>
        <v>11954</v>
      </c>
      <c r="N4209" t="s">
        <v>25</v>
      </c>
    </row>
    <row r="4210" spans="1:14" x14ac:dyDescent="0.25">
      <c r="A4210" t="s">
        <v>41</v>
      </c>
      <c r="B4210" t="s">
        <v>39</v>
      </c>
      <c r="C4210" t="s">
        <v>38</v>
      </c>
      <c r="D4210" t="s">
        <v>15</v>
      </c>
      <c r="E4210" t="s">
        <v>21</v>
      </c>
      <c r="F4210" t="s">
        <v>19</v>
      </c>
      <c r="G4210" s="2">
        <f>VALUE(455.4639520028)</f>
        <v>455.4639520028</v>
      </c>
      <c r="H4210" s="3">
        <f>VALUE(324.6355771451)</f>
        <v>324.6355771451</v>
      </c>
      <c r="I4210" s="4">
        <f>VALUE(4283)</f>
        <v>4283</v>
      </c>
      <c r="J4210" s="5">
        <f>VALUE(5619)</f>
        <v>5619</v>
      </c>
      <c r="K4210" s="1">
        <f>VALUE(6737)</f>
        <v>6737</v>
      </c>
      <c r="L4210" s="7">
        <f>VALUE(8401)</f>
        <v>8401</v>
      </c>
      <c r="M4210" s="8">
        <f>VALUE(9642)</f>
        <v>9642</v>
      </c>
      <c r="N4210" t="s">
        <v>25</v>
      </c>
    </row>
    <row r="4211" spans="1:14" x14ac:dyDescent="0.25">
      <c r="A4211" t="s">
        <v>41</v>
      </c>
      <c r="B4211" t="s">
        <v>39</v>
      </c>
      <c r="C4211" t="s">
        <v>38</v>
      </c>
      <c r="D4211" t="s">
        <v>15</v>
      </c>
      <c r="E4211" t="s">
        <v>21</v>
      </c>
      <c r="F4211" t="s">
        <v>20</v>
      </c>
      <c r="G4211" s="2">
        <f>VALUE(475.2969714951)</f>
        <v>475.29697149510002</v>
      </c>
      <c r="H4211" s="3">
        <f>VALUE(419.202317459)</f>
        <v>419.20231745900003</v>
      </c>
      <c r="I4211" s="4">
        <f>VALUE(4024)</f>
        <v>4024</v>
      </c>
      <c r="J4211" s="1">
        <f>VALUE(4936)</f>
        <v>4936</v>
      </c>
      <c r="K4211" s="1">
        <f>VALUE(6330)</f>
        <v>6330</v>
      </c>
      <c r="L4211" s="1">
        <f>VALUE(8044)</f>
        <v>8044</v>
      </c>
      <c r="M4211" s="1">
        <f>VALUE(10032)</f>
        <v>10032</v>
      </c>
      <c r="N4211" t="s">
        <v>25</v>
      </c>
    </row>
    <row r="4212" spans="1:14" x14ac:dyDescent="0.25">
      <c r="A4212" t="s">
        <v>41</v>
      </c>
      <c r="B4212" t="s">
        <v>39</v>
      </c>
      <c r="C4212" t="s">
        <v>38</v>
      </c>
      <c r="D4212" t="s">
        <v>15</v>
      </c>
      <c r="E4212" t="s">
        <v>22</v>
      </c>
      <c r="F4212" t="s">
        <v>15</v>
      </c>
      <c r="G4212" s="1">
        <f>VALUE(5794.4414147044)</f>
        <v>5794.4414147043999</v>
      </c>
      <c r="H4212" s="1">
        <f>VALUE(5638.81246737)</f>
        <v>5638.8124673700004</v>
      </c>
      <c r="I4212" s="1">
        <f>VALUE(4192)</f>
        <v>4192</v>
      </c>
      <c r="J4212" s="1">
        <f>VALUE(5099)</f>
        <v>5099</v>
      </c>
      <c r="K4212" s="1">
        <f>VALUE(6118)</f>
        <v>6118</v>
      </c>
      <c r="L4212" s="1">
        <f>VALUE(7243)</f>
        <v>7243</v>
      </c>
      <c r="M4212" s="1">
        <f>VALUE(9823)</f>
        <v>9823</v>
      </c>
      <c r="N4212" t="s">
        <v>16</v>
      </c>
    </row>
    <row r="4213" spans="1:14" x14ac:dyDescent="0.25">
      <c r="A4213" t="s">
        <v>41</v>
      </c>
      <c r="B4213" t="s">
        <v>39</v>
      </c>
      <c r="C4213" t="s">
        <v>38</v>
      </c>
      <c r="D4213" t="s">
        <v>15</v>
      </c>
      <c r="E4213" t="s">
        <v>22</v>
      </c>
      <c r="F4213" t="s">
        <v>17</v>
      </c>
      <c r="G4213" s="2">
        <f>VALUE(1362.8253974709)</f>
        <v>1362.8253974709</v>
      </c>
      <c r="H4213" s="3">
        <f>VALUE(1364.7064876057)</f>
        <v>1364.7064876057</v>
      </c>
      <c r="I4213" s="4">
        <f>VALUE(4475)</f>
        <v>4475</v>
      </c>
      <c r="J4213" s="1">
        <f>VALUE(6036)</f>
        <v>6036</v>
      </c>
      <c r="K4213" s="1">
        <f>VALUE(7249)</f>
        <v>7249</v>
      </c>
      <c r="L4213" s="1">
        <f>VALUE(10405)</f>
        <v>10405</v>
      </c>
      <c r="M4213" s="8">
        <f>VALUE(15191)</f>
        <v>15191</v>
      </c>
      <c r="N4213" t="s">
        <v>25</v>
      </c>
    </row>
    <row r="4214" spans="1:14" x14ac:dyDescent="0.25">
      <c r="A4214" t="s">
        <v>41</v>
      </c>
      <c r="B4214" t="s">
        <v>39</v>
      </c>
      <c r="C4214" t="s">
        <v>38</v>
      </c>
      <c r="D4214" t="s">
        <v>15</v>
      </c>
      <c r="E4214" t="s">
        <v>22</v>
      </c>
      <c r="F4214" t="s">
        <v>18</v>
      </c>
      <c r="G4214" s="2">
        <f>VALUE(739.9859502773)</f>
        <v>739.98595027730005</v>
      </c>
      <c r="H4214" s="3">
        <f>VALUE(705.2159744432)</f>
        <v>705.21597444320003</v>
      </c>
      <c r="I4214" s="4">
        <f>VALUE(4929)</f>
        <v>4929</v>
      </c>
      <c r="J4214" s="1">
        <f>VALUE(5574)</f>
        <v>5574</v>
      </c>
      <c r="K4214" s="1">
        <f>VALUE(6536)</f>
        <v>6536</v>
      </c>
      <c r="L4214" s="1">
        <f>VALUE(8204)</f>
        <v>8204</v>
      </c>
      <c r="M4214" s="1">
        <f>VALUE(9568)</f>
        <v>9568</v>
      </c>
      <c r="N4214" t="s">
        <v>25</v>
      </c>
    </row>
    <row r="4215" spans="1:14" x14ac:dyDescent="0.25">
      <c r="A4215" t="s">
        <v>41</v>
      </c>
      <c r="B4215" t="s">
        <v>39</v>
      </c>
      <c r="C4215" t="s">
        <v>38</v>
      </c>
      <c r="D4215" t="s">
        <v>15</v>
      </c>
      <c r="E4215" t="s">
        <v>22</v>
      </c>
      <c r="F4215" t="s">
        <v>19</v>
      </c>
      <c r="G4215" s="2">
        <f>VALUE(908.3382339592)</f>
        <v>908.33823395920001</v>
      </c>
      <c r="H4215" s="3">
        <f>VALUE(885.0234565526)</f>
        <v>885.02345655260001</v>
      </c>
      <c r="I4215" s="1">
        <f>VALUE(4448)</f>
        <v>4448</v>
      </c>
      <c r="J4215" s="1">
        <f>VALUE(5210)</f>
        <v>5210</v>
      </c>
      <c r="K4215" s="1">
        <f>VALUE(6088)</f>
        <v>6088</v>
      </c>
      <c r="L4215" s="1">
        <f>VALUE(7087)</f>
        <v>7087</v>
      </c>
      <c r="M4215" s="1">
        <f>VALUE(7999)</f>
        <v>7999</v>
      </c>
      <c r="N4215" t="s">
        <v>25</v>
      </c>
    </row>
    <row r="4216" spans="1:14" x14ac:dyDescent="0.25">
      <c r="A4216" t="s">
        <v>41</v>
      </c>
      <c r="B4216" t="s">
        <v>39</v>
      </c>
      <c r="C4216" t="s">
        <v>38</v>
      </c>
      <c r="D4216" t="s">
        <v>15</v>
      </c>
      <c r="E4216" t="s">
        <v>22</v>
      </c>
      <c r="F4216" t="s">
        <v>20</v>
      </c>
      <c r="G4216" s="1">
        <f>VALUE(2783.291832997)</f>
        <v>2783.2918329969998</v>
      </c>
      <c r="H4216" s="1">
        <f>VALUE(2683.8665487685)</f>
        <v>2683.8665487684998</v>
      </c>
      <c r="I4216" s="1">
        <f>VALUE(3945)</f>
        <v>3945</v>
      </c>
      <c r="J4216" s="1">
        <f>VALUE(4774)</f>
        <v>4774</v>
      </c>
      <c r="K4216" s="1">
        <f>VALUE(5633)</f>
        <v>5633</v>
      </c>
      <c r="L4216" s="1">
        <f>VALUE(6500)</f>
        <v>6500</v>
      </c>
      <c r="M4216" s="1">
        <f>VALUE(7308)</f>
        <v>7308</v>
      </c>
      <c r="N4216" t="s">
        <v>16</v>
      </c>
    </row>
    <row r="4217" spans="1:14" x14ac:dyDescent="0.25">
      <c r="A4217" t="s">
        <v>41</v>
      </c>
      <c r="B4217" t="s">
        <v>39</v>
      </c>
      <c r="C4217" t="s">
        <v>38</v>
      </c>
      <c r="D4217" t="s">
        <v>15</v>
      </c>
      <c r="E4217" t="s">
        <v>23</v>
      </c>
      <c r="F4217" t="s">
        <v>15</v>
      </c>
      <c r="G4217" s="1">
        <f>VALUE(6486.6447005257)</f>
        <v>6486.6447005256996</v>
      </c>
      <c r="H4217" s="1">
        <f>VALUE(6450.1367144994)</f>
        <v>6450.1367144994001</v>
      </c>
      <c r="I4217" s="1">
        <f>VALUE(3550)</f>
        <v>3550</v>
      </c>
      <c r="J4217" s="1">
        <f>VALUE(4233)</f>
        <v>4233</v>
      </c>
      <c r="K4217" s="1">
        <f>VALUE(5034)</f>
        <v>5034</v>
      </c>
      <c r="L4217" s="1">
        <f>VALUE(5876)</f>
        <v>5876</v>
      </c>
      <c r="M4217" s="1">
        <f>VALUE(6726)</f>
        <v>6726</v>
      </c>
      <c r="N4217" t="s">
        <v>16</v>
      </c>
    </row>
    <row r="4218" spans="1:14" x14ac:dyDescent="0.25">
      <c r="A4218" t="s">
        <v>41</v>
      </c>
      <c r="B4218" t="s">
        <v>39</v>
      </c>
      <c r="C4218" t="s">
        <v>38</v>
      </c>
      <c r="D4218" t="s">
        <v>15</v>
      </c>
      <c r="E4218" t="s">
        <v>23</v>
      </c>
      <c r="F4218" t="s">
        <v>17</v>
      </c>
      <c r="G4218" s="2">
        <f>VALUE(450.6047710887)</f>
        <v>450.60477108869998</v>
      </c>
      <c r="H4218" s="3">
        <f>VALUE(452.479470296)</f>
        <v>452.47947029599999</v>
      </c>
      <c r="I4218" s="4">
        <f>VALUE(3727)</f>
        <v>3727</v>
      </c>
      <c r="J4218" s="5">
        <f>VALUE(4333)</f>
        <v>4333</v>
      </c>
      <c r="K4218" s="6">
        <f>VALUE(6275)</f>
        <v>6275</v>
      </c>
      <c r="L4218" s="7">
        <f>VALUE(8266)</f>
        <v>8266</v>
      </c>
      <c r="M4218" s="8">
        <f>VALUE(13667)</f>
        <v>13667</v>
      </c>
      <c r="N4218" t="s">
        <v>24</v>
      </c>
    </row>
    <row r="4219" spans="1:14" x14ac:dyDescent="0.25">
      <c r="A4219" t="s">
        <v>41</v>
      </c>
      <c r="B4219" t="s">
        <v>39</v>
      </c>
      <c r="C4219" t="s">
        <v>38</v>
      </c>
      <c r="D4219" t="s">
        <v>15</v>
      </c>
      <c r="E4219" t="s">
        <v>23</v>
      </c>
      <c r="F4219" t="s">
        <v>18</v>
      </c>
      <c r="G4219" s="2">
        <f>VALUE(473.0329896901)</f>
        <v>473.03298969010001</v>
      </c>
      <c r="H4219" s="3">
        <f>VALUE(474.5651438193)</f>
        <v>474.56514381929998</v>
      </c>
      <c r="I4219" s="4">
        <f>VALUE(3966)</f>
        <v>3966</v>
      </c>
      <c r="J4219" s="5">
        <f>VALUE(4688)</f>
        <v>4688</v>
      </c>
      <c r="K4219" s="1">
        <f>VALUE(5543)</f>
        <v>5543</v>
      </c>
      <c r="L4219" s="7">
        <f>VALUE(6236)</f>
        <v>6236</v>
      </c>
      <c r="M4219" s="1">
        <f>VALUE(8389)</f>
        <v>8389</v>
      </c>
      <c r="N4219" t="s">
        <v>25</v>
      </c>
    </row>
    <row r="4220" spans="1:14" x14ac:dyDescent="0.25">
      <c r="A4220" t="s">
        <v>41</v>
      </c>
      <c r="B4220" t="s">
        <v>39</v>
      </c>
      <c r="C4220" t="s">
        <v>38</v>
      </c>
      <c r="D4220" t="s">
        <v>15</v>
      </c>
      <c r="E4220" t="s">
        <v>23</v>
      </c>
      <c r="F4220" t="s">
        <v>19</v>
      </c>
      <c r="G4220" s="2">
        <f>VALUE(829.3889147338)</f>
        <v>829.38891473379999</v>
      </c>
      <c r="H4220" s="3">
        <f>VALUE(827.7129564933)</f>
        <v>827.7129564933</v>
      </c>
      <c r="I4220" s="1">
        <f>VALUE(3839)</f>
        <v>3839</v>
      </c>
      <c r="J4220" s="1">
        <f>VALUE(4426)</f>
        <v>4426</v>
      </c>
      <c r="K4220" s="1">
        <f>VALUE(5030)</f>
        <v>5030</v>
      </c>
      <c r="L4220" s="1">
        <f>VALUE(6200)</f>
        <v>6200</v>
      </c>
      <c r="M4220" s="1">
        <f>VALUE(7025)</f>
        <v>7025</v>
      </c>
      <c r="N4220" t="s">
        <v>25</v>
      </c>
    </row>
    <row r="4221" spans="1:14" x14ac:dyDescent="0.25">
      <c r="A4221" t="s">
        <v>41</v>
      </c>
      <c r="B4221" t="s">
        <v>39</v>
      </c>
      <c r="C4221" t="s">
        <v>38</v>
      </c>
      <c r="D4221" t="s">
        <v>15</v>
      </c>
      <c r="E4221" t="s">
        <v>23</v>
      </c>
      <c r="F4221" t="s">
        <v>20</v>
      </c>
      <c r="G4221" s="1">
        <f>VALUE(4733.6180250131)</f>
        <v>4733.6180250131001</v>
      </c>
      <c r="H4221" s="1">
        <f>VALUE(4695.3791438908)</f>
        <v>4695.3791438908002</v>
      </c>
      <c r="I4221" s="1">
        <f>VALUE(3492)</f>
        <v>3492</v>
      </c>
      <c r="J4221" s="1">
        <f>VALUE(4148)</f>
        <v>4148</v>
      </c>
      <c r="K4221" s="1">
        <f>VALUE(4940)</f>
        <v>4940</v>
      </c>
      <c r="L4221" s="1">
        <f>VALUE(5718)</f>
        <v>5718</v>
      </c>
      <c r="M4221" s="1">
        <f>VALUE(6286)</f>
        <v>6286</v>
      </c>
      <c r="N4221" t="s">
        <v>16</v>
      </c>
    </row>
    <row r="4222" spans="1:14" x14ac:dyDescent="0.25">
      <c r="A4222" t="s">
        <v>41</v>
      </c>
      <c r="B4222" t="s">
        <v>39</v>
      </c>
      <c r="C4222" t="s">
        <v>38</v>
      </c>
      <c r="D4222" t="s">
        <v>15</v>
      </c>
      <c r="E4222" t="s">
        <v>26</v>
      </c>
      <c r="F4222" t="s">
        <v>15</v>
      </c>
      <c r="G4222" s="1">
        <f>VALUE(215.5210452901)</f>
        <v>215.52104529010001</v>
      </c>
      <c r="H4222" s="1">
        <f>VALUE(224.6359400702)</f>
        <v>224.63594007020001</v>
      </c>
      <c r="I4222" s="1">
        <f>VALUE(5516)</f>
        <v>5516</v>
      </c>
      <c r="J4222" s="1">
        <f>VALUE(7054)</f>
        <v>7054</v>
      </c>
      <c r="K4222" s="6">
        <f>VALUE(11707)</f>
        <v>11707</v>
      </c>
      <c r="L4222" s="1">
        <f>VALUE(19445)</f>
        <v>19445</v>
      </c>
      <c r="M4222" s="8">
        <f>VALUE(36746)</f>
        <v>36746</v>
      </c>
      <c r="N4222" t="s">
        <v>25</v>
      </c>
    </row>
    <row r="4223" spans="1:14" x14ac:dyDescent="0.25">
      <c r="A4223" t="s">
        <v>41</v>
      </c>
      <c r="B4223" t="s">
        <v>39</v>
      </c>
      <c r="C4223" t="s">
        <v>38</v>
      </c>
      <c r="D4223" t="s">
        <v>15</v>
      </c>
      <c r="E4223" t="s">
        <v>26</v>
      </c>
      <c r="F4223" t="s">
        <v>17</v>
      </c>
      <c r="G4223" s="2">
        <f>VALUE(117.6319382205)</f>
        <v>117.6319382205</v>
      </c>
      <c r="H4223" s="3">
        <f>VALUE(121.8523776498)</f>
        <v>121.8523776498</v>
      </c>
      <c r="I4223" s="4">
        <f>VALUE(11548)</f>
        <v>11548</v>
      </c>
      <c r="J4223" s="5">
        <f>VALUE(14524)</f>
        <v>14524</v>
      </c>
      <c r="K4223" s="1">
        <f>VALUE(18969)</f>
        <v>18969</v>
      </c>
      <c r="L4223" s="7">
        <f>VALUE(27778)</f>
        <v>27778</v>
      </c>
      <c r="M4223" s="8">
        <f>VALUE(61111)</f>
        <v>61111</v>
      </c>
      <c r="N4223" t="s">
        <v>25</v>
      </c>
    </row>
    <row r="4224" spans="1:14" x14ac:dyDescent="0.25">
      <c r="A4224" t="s">
        <v>41</v>
      </c>
      <c r="B4224" t="s">
        <v>39</v>
      </c>
      <c r="C4224" t="s">
        <v>38</v>
      </c>
      <c r="D4224" t="s">
        <v>15</v>
      </c>
      <c r="E4224" t="s">
        <v>26</v>
      </c>
      <c r="F4224" t="s">
        <v>18</v>
      </c>
      <c r="G4224" s="1" t="str">
        <f t="shared" ref="G4224:M4224" si="892">"X"</f>
        <v>X</v>
      </c>
      <c r="H4224" s="1" t="str">
        <f t="shared" si="892"/>
        <v>X</v>
      </c>
      <c r="I4224" s="1" t="str">
        <f t="shared" si="892"/>
        <v>X</v>
      </c>
      <c r="J4224" s="1" t="str">
        <f t="shared" si="892"/>
        <v>X</v>
      </c>
      <c r="K4224" s="1" t="str">
        <f t="shared" si="892"/>
        <v>X</v>
      </c>
      <c r="L4224" s="1" t="str">
        <f t="shared" si="892"/>
        <v>X</v>
      </c>
      <c r="M4224" s="1" t="str">
        <f t="shared" si="892"/>
        <v>X</v>
      </c>
      <c r="N4224" t="s">
        <v>27</v>
      </c>
    </row>
    <row r="4225" spans="1:14" x14ac:dyDescent="0.25">
      <c r="A4225" t="s">
        <v>41</v>
      </c>
      <c r="B4225" t="s">
        <v>39</v>
      </c>
      <c r="C4225" t="s">
        <v>38</v>
      </c>
      <c r="D4225" t="s">
        <v>15</v>
      </c>
      <c r="E4225" t="s">
        <v>26</v>
      </c>
      <c r="F4225" t="s">
        <v>19</v>
      </c>
      <c r="G4225" s="1" t="str">
        <f t="shared" ref="G4225:M4225" si="893">"..."</f>
        <v>...</v>
      </c>
      <c r="H4225" s="1" t="str">
        <f t="shared" si="893"/>
        <v>...</v>
      </c>
      <c r="I4225" s="1" t="str">
        <f t="shared" si="893"/>
        <v>...</v>
      </c>
      <c r="J4225" s="1" t="str">
        <f t="shared" si="893"/>
        <v>...</v>
      </c>
      <c r="K4225" s="1" t="str">
        <f t="shared" si="893"/>
        <v>...</v>
      </c>
      <c r="L4225" s="1" t="str">
        <f t="shared" si="893"/>
        <v>...</v>
      </c>
      <c r="M4225" s="1" t="str">
        <f t="shared" si="893"/>
        <v>...</v>
      </c>
      <c r="N4225" t="s">
        <v>30</v>
      </c>
    </row>
    <row r="4226" spans="1:14" x14ac:dyDescent="0.25">
      <c r="A4226" t="s">
        <v>41</v>
      </c>
      <c r="B4226" t="s">
        <v>39</v>
      </c>
      <c r="C4226" t="s">
        <v>38</v>
      </c>
      <c r="D4226" t="s">
        <v>15</v>
      </c>
      <c r="E4226" t="s">
        <v>26</v>
      </c>
      <c r="F4226" t="s">
        <v>20</v>
      </c>
      <c r="G4226" s="1" t="str">
        <f t="shared" ref="G4226:M4226" si="894">"X"</f>
        <v>X</v>
      </c>
      <c r="H4226" s="1" t="str">
        <f t="shared" si="894"/>
        <v>X</v>
      </c>
      <c r="I4226" s="1" t="str">
        <f t="shared" si="894"/>
        <v>X</v>
      </c>
      <c r="J4226" s="1" t="str">
        <f t="shared" si="894"/>
        <v>X</v>
      </c>
      <c r="K4226" s="1" t="str">
        <f t="shared" si="894"/>
        <v>X</v>
      </c>
      <c r="L4226" s="1" t="str">
        <f t="shared" si="894"/>
        <v>X</v>
      </c>
      <c r="M4226" s="1" t="str">
        <f t="shared" si="894"/>
        <v>X</v>
      </c>
      <c r="N4226" t="s">
        <v>27</v>
      </c>
    </row>
    <row r="4227" spans="1:14" x14ac:dyDescent="0.25">
      <c r="A4227" t="s">
        <v>41</v>
      </c>
      <c r="B4227" t="s">
        <v>39</v>
      </c>
      <c r="C4227" t="s">
        <v>38</v>
      </c>
      <c r="D4227" t="s">
        <v>28</v>
      </c>
      <c r="E4227" t="s">
        <v>15</v>
      </c>
      <c r="F4227" t="s">
        <v>15</v>
      </c>
      <c r="G4227" s="1">
        <f>VALUE(7111.5703151559)</f>
        <v>7111.5703151559001</v>
      </c>
      <c r="H4227" s="1">
        <f>VALUE(6726.6759156149)</f>
        <v>6726.6759156149001</v>
      </c>
      <c r="I4227" s="1">
        <f>VALUE(4352)</f>
        <v>4352</v>
      </c>
      <c r="J4227" s="1">
        <f>VALUE(5413)</f>
        <v>5413</v>
      </c>
      <c r="K4227" s="1">
        <f>VALUE(6750)</f>
        <v>6750</v>
      </c>
      <c r="L4227" s="1">
        <f>VALUE(9680)</f>
        <v>9680</v>
      </c>
      <c r="M4227" s="1">
        <f>VALUE(13883)</f>
        <v>13883</v>
      </c>
      <c r="N4227" t="s">
        <v>16</v>
      </c>
    </row>
    <row r="4228" spans="1:14" x14ac:dyDescent="0.25">
      <c r="A4228" t="s">
        <v>41</v>
      </c>
      <c r="B4228" t="s">
        <v>39</v>
      </c>
      <c r="C4228" t="s">
        <v>38</v>
      </c>
      <c r="D4228" t="s">
        <v>28</v>
      </c>
      <c r="E4228" t="s">
        <v>15</v>
      </c>
      <c r="F4228" t="s">
        <v>17</v>
      </c>
      <c r="G4228" s="1">
        <f>VALUE(2879.1768883433)</f>
        <v>2879.1768883433001</v>
      </c>
      <c r="H4228" s="1">
        <f>VALUE(2801.7793979227)</f>
        <v>2801.7793979226999</v>
      </c>
      <c r="I4228" s="4">
        <f>VALUE(4990)</f>
        <v>4990</v>
      </c>
      <c r="J4228" s="1">
        <f>VALUE(6648)</f>
        <v>6648</v>
      </c>
      <c r="K4228" s="1">
        <f>VALUE(9545)</f>
        <v>9545</v>
      </c>
      <c r="L4228" s="1">
        <f>VALUE(13000)</f>
        <v>13000</v>
      </c>
      <c r="M4228" s="1">
        <f>VALUE(21753)</f>
        <v>21753</v>
      </c>
      <c r="N4228" t="s">
        <v>25</v>
      </c>
    </row>
    <row r="4229" spans="1:14" x14ac:dyDescent="0.25">
      <c r="A4229" t="s">
        <v>41</v>
      </c>
      <c r="B4229" t="s">
        <v>39</v>
      </c>
      <c r="C4229" t="s">
        <v>38</v>
      </c>
      <c r="D4229" t="s">
        <v>28</v>
      </c>
      <c r="E4229" t="s">
        <v>15</v>
      </c>
      <c r="F4229" t="s">
        <v>18</v>
      </c>
      <c r="G4229" s="2">
        <f>VALUE(839.0047808162)</f>
        <v>839.00478081619997</v>
      </c>
      <c r="H4229" s="3">
        <f>VALUE(776.3691131613)</f>
        <v>776.36911316129999</v>
      </c>
      <c r="I4229" s="1">
        <f>VALUE(5110)</f>
        <v>5110</v>
      </c>
      <c r="J4229" s="1">
        <f>VALUE(5850)</f>
        <v>5850</v>
      </c>
      <c r="K4229" s="1">
        <f>VALUE(7500)</f>
        <v>7500</v>
      </c>
      <c r="L4229" s="1">
        <f>VALUE(9138)</f>
        <v>9138</v>
      </c>
      <c r="M4229" s="1">
        <f>VALUE(10900)</f>
        <v>10900</v>
      </c>
      <c r="N4229" t="s">
        <v>25</v>
      </c>
    </row>
    <row r="4230" spans="1:14" x14ac:dyDescent="0.25">
      <c r="A4230" t="s">
        <v>41</v>
      </c>
      <c r="B4230" t="s">
        <v>39</v>
      </c>
      <c r="C4230" t="s">
        <v>38</v>
      </c>
      <c r="D4230" t="s">
        <v>28</v>
      </c>
      <c r="E4230" t="s">
        <v>15</v>
      </c>
      <c r="F4230" t="s">
        <v>19</v>
      </c>
      <c r="G4230" s="2">
        <f>VALUE(886.0308728159)</f>
        <v>886.03087281590001</v>
      </c>
      <c r="H4230" s="3">
        <f>VALUE(788.8546900398)</f>
        <v>788.85469003979995</v>
      </c>
      <c r="I4230" s="4">
        <f>VALUE(4365)</f>
        <v>4365</v>
      </c>
      <c r="J4230" s="1">
        <f>VALUE(5170)</f>
        <v>5170</v>
      </c>
      <c r="K4230" s="1">
        <f>VALUE(6206)</f>
        <v>6206</v>
      </c>
      <c r="L4230" s="1">
        <f>VALUE(7280)</f>
        <v>7280</v>
      </c>
      <c r="M4230" s="1">
        <f>VALUE(8667)</f>
        <v>8667</v>
      </c>
      <c r="N4230" t="s">
        <v>25</v>
      </c>
    </row>
    <row r="4231" spans="1:14" x14ac:dyDescent="0.25">
      <c r="A4231" t="s">
        <v>41</v>
      </c>
      <c r="B4231" t="s">
        <v>39</v>
      </c>
      <c r="C4231" t="s">
        <v>38</v>
      </c>
      <c r="D4231" t="s">
        <v>28</v>
      </c>
      <c r="E4231" t="s">
        <v>15</v>
      </c>
      <c r="F4231" t="s">
        <v>20</v>
      </c>
      <c r="G4231" s="1">
        <f>VALUE(2507.3577731805)</f>
        <v>2507.3577731804999</v>
      </c>
      <c r="H4231" s="1">
        <f>VALUE(2359.6727144911)</f>
        <v>2359.6727144911001</v>
      </c>
      <c r="I4231" s="1">
        <f>VALUE(4024)</f>
        <v>4024</v>
      </c>
      <c r="J4231" s="1">
        <f>VALUE(4774)</f>
        <v>4774</v>
      </c>
      <c r="K4231" s="1">
        <f>VALUE(5684)</f>
        <v>5684</v>
      </c>
      <c r="L4231" s="1">
        <f>VALUE(6648)</f>
        <v>6648</v>
      </c>
      <c r="M4231" s="1">
        <f>VALUE(7954)</f>
        <v>7954</v>
      </c>
      <c r="N4231" t="s">
        <v>16</v>
      </c>
    </row>
    <row r="4232" spans="1:14" x14ac:dyDescent="0.25">
      <c r="A4232" t="s">
        <v>41</v>
      </c>
      <c r="B4232" t="s">
        <v>39</v>
      </c>
      <c r="C4232" t="s">
        <v>38</v>
      </c>
      <c r="D4232" t="s">
        <v>28</v>
      </c>
      <c r="E4232" t="s">
        <v>21</v>
      </c>
      <c r="F4232" t="s">
        <v>15</v>
      </c>
      <c r="G4232" s="1">
        <f>VALUE(2543.7424315803)</f>
        <v>2543.7424315803</v>
      </c>
      <c r="H4232" s="1">
        <f>VALUE(2321.8448344873)</f>
        <v>2321.8448344873</v>
      </c>
      <c r="I4232" s="4">
        <f>VALUE(4996)</f>
        <v>4996</v>
      </c>
      <c r="J4232" s="1">
        <f>VALUE(6783)</f>
        <v>6783</v>
      </c>
      <c r="K4232" s="1">
        <f>VALUE(9138)</f>
        <v>9138</v>
      </c>
      <c r="L4232" s="1">
        <f>VALUE(12331)</f>
        <v>12331</v>
      </c>
      <c r="M4232" s="8">
        <f>VALUE(18794)</f>
        <v>18794</v>
      </c>
      <c r="N4232" t="s">
        <v>25</v>
      </c>
    </row>
    <row r="4233" spans="1:14" x14ac:dyDescent="0.25">
      <c r="A4233" t="s">
        <v>41</v>
      </c>
      <c r="B4233" t="s">
        <v>39</v>
      </c>
      <c r="C4233" t="s">
        <v>38</v>
      </c>
      <c r="D4233" t="s">
        <v>28</v>
      </c>
      <c r="E4233" t="s">
        <v>21</v>
      </c>
      <c r="F4233" t="s">
        <v>17</v>
      </c>
      <c r="G4233" s="2">
        <f>VALUE(1785.0643573714)</f>
        <v>1785.0643573714001</v>
      </c>
      <c r="H4233" s="3">
        <f>VALUE(1707.2793531485)</f>
        <v>1707.2793531484999</v>
      </c>
      <c r="I4233" s="4">
        <f>VALUE(5200)</f>
        <v>5200</v>
      </c>
      <c r="J4233" s="1">
        <f>VALUE(7222)</f>
        <v>7222</v>
      </c>
      <c r="K4233" s="1">
        <f>VALUE(10299)</f>
        <v>10299</v>
      </c>
      <c r="L4233" s="7">
        <f>VALUE(13459)</f>
        <v>13459</v>
      </c>
      <c r="M4233" s="8">
        <f>VALUE(22095)</f>
        <v>22095</v>
      </c>
      <c r="N4233" t="s">
        <v>25</v>
      </c>
    </row>
    <row r="4234" spans="1:14" x14ac:dyDescent="0.25">
      <c r="A4234" t="s">
        <v>41</v>
      </c>
      <c r="B4234" t="s">
        <v>39</v>
      </c>
      <c r="C4234" t="s">
        <v>38</v>
      </c>
      <c r="D4234" t="s">
        <v>28</v>
      </c>
      <c r="E4234" t="s">
        <v>21</v>
      </c>
      <c r="F4234" t="s">
        <v>18</v>
      </c>
      <c r="G4234" s="2">
        <f>VALUE(276.1897327818)</f>
        <v>276.18973278179999</v>
      </c>
      <c r="H4234" s="3">
        <f>VALUE(240.3567911241)</f>
        <v>240.3567911241</v>
      </c>
      <c r="I4234" s="4">
        <f>VALUE(5905)</f>
        <v>5905</v>
      </c>
      <c r="J4234" s="5">
        <f>VALUE(7004)</f>
        <v>7004</v>
      </c>
      <c r="K4234" s="6">
        <f>VALUE(8226)</f>
        <v>8226</v>
      </c>
      <c r="L4234" s="1">
        <f>VALUE(10591)</f>
        <v>10591</v>
      </c>
      <c r="M4234" s="8">
        <f>VALUE(13255)</f>
        <v>13255</v>
      </c>
      <c r="N4234" t="s">
        <v>25</v>
      </c>
    </row>
    <row r="4235" spans="1:14" x14ac:dyDescent="0.25">
      <c r="A4235" t="s">
        <v>41</v>
      </c>
      <c r="B4235" t="s">
        <v>39</v>
      </c>
      <c r="C4235" t="s">
        <v>38</v>
      </c>
      <c r="D4235" t="s">
        <v>28</v>
      </c>
      <c r="E4235" t="s">
        <v>21</v>
      </c>
      <c r="F4235" t="s">
        <v>19</v>
      </c>
      <c r="G4235" s="2">
        <f>VALUE(258.4328293497)</f>
        <v>258.4328293497</v>
      </c>
      <c r="H4235" s="3">
        <f>VALUE(190.7237350426)</f>
        <v>190.7237350426</v>
      </c>
      <c r="I4235" s="4">
        <f>VALUE(3984)</f>
        <v>3984</v>
      </c>
      <c r="J4235" s="5">
        <f>VALUE(5619)</f>
        <v>5619</v>
      </c>
      <c r="K4235" s="1">
        <f>VALUE(6825)</f>
        <v>6825</v>
      </c>
      <c r="L4235" s="7">
        <f>VALUE(8385)</f>
        <v>8385</v>
      </c>
      <c r="M4235" s="8">
        <f>VALUE(10012)</f>
        <v>10012</v>
      </c>
      <c r="N4235" t="s">
        <v>25</v>
      </c>
    </row>
    <row r="4236" spans="1:14" x14ac:dyDescent="0.25">
      <c r="A4236" t="s">
        <v>41</v>
      </c>
      <c r="B4236" t="s">
        <v>39</v>
      </c>
      <c r="C4236" t="s">
        <v>38</v>
      </c>
      <c r="D4236" t="s">
        <v>28</v>
      </c>
      <c r="E4236" t="s">
        <v>21</v>
      </c>
      <c r="F4236" t="s">
        <v>20</v>
      </c>
      <c r="G4236" s="2">
        <f>VALUE(224.0555120774)</f>
        <v>224.05551207740001</v>
      </c>
      <c r="H4236" s="3">
        <f>VALUE(183.4849551721)</f>
        <v>183.4849551721</v>
      </c>
      <c r="I4236" s="4">
        <f>VALUE(4772)</f>
        <v>4772</v>
      </c>
      <c r="J4236" s="5">
        <f>VALUE(5595)</f>
        <v>5595</v>
      </c>
      <c r="K4236" s="1">
        <f>VALUE(7256)</f>
        <v>7256</v>
      </c>
      <c r="L4236" s="1">
        <f>VALUE(8809)</f>
        <v>8809</v>
      </c>
      <c r="M4236" s="1">
        <f>VALUE(10840)</f>
        <v>10840</v>
      </c>
      <c r="N4236" t="s">
        <v>25</v>
      </c>
    </row>
    <row r="4237" spans="1:14" x14ac:dyDescent="0.25">
      <c r="A4237" t="s">
        <v>41</v>
      </c>
      <c r="B4237" t="s">
        <v>39</v>
      </c>
      <c r="C4237" t="s">
        <v>38</v>
      </c>
      <c r="D4237" t="s">
        <v>28</v>
      </c>
      <c r="E4237" t="s">
        <v>22</v>
      </c>
      <c r="F4237" t="s">
        <v>15</v>
      </c>
      <c r="G4237" s="1">
        <f>VALUE(3300.6955930702)</f>
        <v>3300.6955930702002</v>
      </c>
      <c r="H4237" s="1">
        <f>VALUE(3180.5067999259)</f>
        <v>3180.5067999258999</v>
      </c>
      <c r="I4237" s="1">
        <f>VALUE(4474)</f>
        <v>4474</v>
      </c>
      <c r="J4237" s="1">
        <f>VALUE(5340)</f>
        <v>5340</v>
      </c>
      <c r="K4237" s="1">
        <f>VALUE(6400)</f>
        <v>6400</v>
      </c>
      <c r="L4237" s="1">
        <f>VALUE(7737)</f>
        <v>7737</v>
      </c>
      <c r="M4237" s="1">
        <f>VALUE(10360)</f>
        <v>10360</v>
      </c>
      <c r="N4237" t="s">
        <v>16</v>
      </c>
    </row>
    <row r="4238" spans="1:14" x14ac:dyDescent="0.25">
      <c r="A4238" t="s">
        <v>41</v>
      </c>
      <c r="B4238" t="s">
        <v>39</v>
      </c>
      <c r="C4238" t="s">
        <v>38</v>
      </c>
      <c r="D4238" t="s">
        <v>28</v>
      </c>
      <c r="E4238" t="s">
        <v>22</v>
      </c>
      <c r="F4238" t="s">
        <v>17</v>
      </c>
      <c r="G4238" s="2">
        <f>VALUE(887.9157568642)</f>
        <v>887.91575686420003</v>
      </c>
      <c r="H4238" s="3">
        <f>VALUE(891.0396174107)</f>
        <v>891.03961741069998</v>
      </c>
      <c r="I4238" s="4">
        <f>VALUE(4658)</f>
        <v>4658</v>
      </c>
      <c r="J4238" s="1">
        <f>VALUE(6197)</f>
        <v>6197</v>
      </c>
      <c r="K4238" s="1">
        <f>VALUE(7635)</f>
        <v>7635</v>
      </c>
      <c r="L4238" s="1">
        <f>VALUE(10578)</f>
        <v>10578</v>
      </c>
      <c r="M4238" s="8">
        <f>VALUE(15686)</f>
        <v>15686</v>
      </c>
      <c r="N4238" t="s">
        <v>25</v>
      </c>
    </row>
    <row r="4239" spans="1:14" x14ac:dyDescent="0.25">
      <c r="A4239" t="s">
        <v>41</v>
      </c>
      <c r="B4239" t="s">
        <v>39</v>
      </c>
      <c r="C4239" t="s">
        <v>38</v>
      </c>
      <c r="D4239" t="s">
        <v>28</v>
      </c>
      <c r="E4239" t="s">
        <v>22</v>
      </c>
      <c r="F4239" t="s">
        <v>18</v>
      </c>
      <c r="G4239" s="2">
        <f>VALUE(447.8278572651)</f>
        <v>447.82785726510002</v>
      </c>
      <c r="H4239" s="3">
        <f>VALUE(416.6762804223)</f>
        <v>416.67628042230001</v>
      </c>
      <c r="I4239" s="1">
        <f>VALUE(5151)</f>
        <v>5151</v>
      </c>
      <c r="J4239" s="1">
        <f>VALUE(5659)</f>
        <v>5659</v>
      </c>
      <c r="K4239" s="1">
        <f>VALUE(6767)</f>
        <v>6767</v>
      </c>
      <c r="L4239" s="1">
        <f>VALUE(8422)</f>
        <v>8422</v>
      </c>
      <c r="M4239" s="1">
        <f>VALUE(9667)</f>
        <v>9667</v>
      </c>
      <c r="N4239" t="s">
        <v>25</v>
      </c>
    </row>
    <row r="4240" spans="1:14" x14ac:dyDescent="0.25">
      <c r="A4240" t="s">
        <v>41</v>
      </c>
      <c r="B4240" t="s">
        <v>39</v>
      </c>
      <c r="C4240" t="s">
        <v>38</v>
      </c>
      <c r="D4240" t="s">
        <v>28</v>
      </c>
      <c r="E4240" t="s">
        <v>22</v>
      </c>
      <c r="F4240" t="s">
        <v>19</v>
      </c>
      <c r="G4240" s="2">
        <f>VALUE(475.8121052821)</f>
        <v>475.81210528209999</v>
      </c>
      <c r="H4240" s="3">
        <f>VALUE(455.7452625189)</f>
        <v>455.74526251890001</v>
      </c>
      <c r="I4240" s="4">
        <f>VALUE(4354)</f>
        <v>4354</v>
      </c>
      <c r="J4240" s="1">
        <f>VALUE(5412)</f>
        <v>5412</v>
      </c>
      <c r="K4240" s="1">
        <f>VALUE(6333)</f>
        <v>6333</v>
      </c>
      <c r="L4240" s="1">
        <f>VALUE(7280)</f>
        <v>7280</v>
      </c>
      <c r="M4240" s="1">
        <f>VALUE(8525)</f>
        <v>8525</v>
      </c>
      <c r="N4240" t="s">
        <v>25</v>
      </c>
    </row>
    <row r="4241" spans="1:14" x14ac:dyDescent="0.25">
      <c r="A4241" t="s">
        <v>41</v>
      </c>
      <c r="B4241" t="s">
        <v>39</v>
      </c>
      <c r="C4241" t="s">
        <v>38</v>
      </c>
      <c r="D4241" t="s">
        <v>28</v>
      </c>
      <c r="E4241" t="s">
        <v>22</v>
      </c>
      <c r="F4241" t="s">
        <v>20</v>
      </c>
      <c r="G4241" s="1">
        <f>VALUE(1489.1398736588)</f>
        <v>1489.1398736588001</v>
      </c>
      <c r="H4241" s="1">
        <f>VALUE(1417.045639574)</f>
        <v>1417.045639574</v>
      </c>
      <c r="I4241" s="1">
        <f>VALUE(4336)</f>
        <v>4336</v>
      </c>
      <c r="J4241" s="1">
        <f>VALUE(5088)</f>
        <v>5088</v>
      </c>
      <c r="K4241" s="1">
        <f>VALUE(5948)</f>
        <v>5948</v>
      </c>
      <c r="L4241" s="1">
        <f>VALUE(6771)</f>
        <v>6771</v>
      </c>
      <c r="M4241" s="1">
        <f>VALUE(7636)</f>
        <v>7636</v>
      </c>
      <c r="N4241" t="s">
        <v>16</v>
      </c>
    </row>
    <row r="4242" spans="1:14" x14ac:dyDescent="0.25">
      <c r="A4242" t="s">
        <v>41</v>
      </c>
      <c r="B4242" t="s">
        <v>39</v>
      </c>
      <c r="C4242" t="s">
        <v>38</v>
      </c>
      <c r="D4242" t="s">
        <v>28</v>
      </c>
      <c r="E4242" t="s">
        <v>23</v>
      </c>
      <c r="F4242" t="s">
        <v>15</v>
      </c>
      <c r="G4242" s="2">
        <f>VALUE(1099.6009943597)</f>
        <v>1099.6009943597001</v>
      </c>
      <c r="H4242" s="3">
        <f>VALUE(1050.0027820123)</f>
        <v>1050.0027820123</v>
      </c>
      <c r="I4242" s="1">
        <f>VALUE(3611)</f>
        <v>3611</v>
      </c>
      <c r="J4242" s="1">
        <f>VALUE(4386)</f>
        <v>4386</v>
      </c>
      <c r="K4242" s="1">
        <f>VALUE(5170)</f>
        <v>5170</v>
      </c>
      <c r="L4242" s="1">
        <f>VALUE(6088)</f>
        <v>6088</v>
      </c>
      <c r="M4242" s="8">
        <f>VALUE(8268)</f>
        <v>8268</v>
      </c>
      <c r="N4242" t="s">
        <v>25</v>
      </c>
    </row>
    <row r="4243" spans="1:14" x14ac:dyDescent="0.25">
      <c r="A4243" t="s">
        <v>41</v>
      </c>
      <c r="B4243" t="s">
        <v>39</v>
      </c>
      <c r="C4243" t="s">
        <v>38</v>
      </c>
      <c r="D4243" t="s">
        <v>28</v>
      </c>
      <c r="E4243" t="s">
        <v>23</v>
      </c>
      <c r="F4243" t="s">
        <v>17</v>
      </c>
      <c r="G4243" s="1" t="str">
        <f t="shared" ref="G4243:M4245" si="895">"X"</f>
        <v>X</v>
      </c>
      <c r="H4243" s="1" t="str">
        <f t="shared" si="895"/>
        <v>X</v>
      </c>
      <c r="I4243" s="1" t="str">
        <f t="shared" si="895"/>
        <v>X</v>
      </c>
      <c r="J4243" s="1" t="str">
        <f t="shared" si="895"/>
        <v>X</v>
      </c>
      <c r="K4243" s="1" t="str">
        <f t="shared" si="895"/>
        <v>X</v>
      </c>
      <c r="L4243" s="1" t="str">
        <f t="shared" si="895"/>
        <v>X</v>
      </c>
      <c r="M4243" s="1" t="str">
        <f t="shared" si="895"/>
        <v>X</v>
      </c>
      <c r="N4243" t="s">
        <v>27</v>
      </c>
    </row>
    <row r="4244" spans="1:14" x14ac:dyDescent="0.25">
      <c r="A4244" t="s">
        <v>41</v>
      </c>
      <c r="B4244" t="s">
        <v>39</v>
      </c>
      <c r="C4244" t="s">
        <v>38</v>
      </c>
      <c r="D4244" t="s">
        <v>28</v>
      </c>
      <c r="E4244" t="s">
        <v>23</v>
      </c>
      <c r="F4244" t="s">
        <v>18</v>
      </c>
      <c r="G4244" s="1" t="str">
        <f t="shared" si="895"/>
        <v>X</v>
      </c>
      <c r="H4244" s="1" t="str">
        <f t="shared" si="895"/>
        <v>X</v>
      </c>
      <c r="I4244" s="1" t="str">
        <f t="shared" si="895"/>
        <v>X</v>
      </c>
      <c r="J4244" s="1" t="str">
        <f t="shared" si="895"/>
        <v>X</v>
      </c>
      <c r="K4244" s="1" t="str">
        <f t="shared" si="895"/>
        <v>X</v>
      </c>
      <c r="L4244" s="1" t="str">
        <f t="shared" si="895"/>
        <v>X</v>
      </c>
      <c r="M4244" s="1" t="str">
        <f t="shared" si="895"/>
        <v>X</v>
      </c>
      <c r="N4244" t="s">
        <v>27</v>
      </c>
    </row>
    <row r="4245" spans="1:14" x14ac:dyDescent="0.25">
      <c r="A4245" t="s">
        <v>41</v>
      </c>
      <c r="B4245" t="s">
        <v>39</v>
      </c>
      <c r="C4245" t="s">
        <v>38</v>
      </c>
      <c r="D4245" t="s">
        <v>28</v>
      </c>
      <c r="E4245" t="s">
        <v>23</v>
      </c>
      <c r="F4245" t="s">
        <v>19</v>
      </c>
      <c r="G4245" s="1" t="str">
        <f t="shared" si="895"/>
        <v>X</v>
      </c>
      <c r="H4245" s="1" t="str">
        <f t="shared" si="895"/>
        <v>X</v>
      </c>
      <c r="I4245" s="1" t="str">
        <f t="shared" si="895"/>
        <v>X</v>
      </c>
      <c r="J4245" s="1" t="str">
        <f t="shared" si="895"/>
        <v>X</v>
      </c>
      <c r="K4245" s="1" t="str">
        <f t="shared" si="895"/>
        <v>X</v>
      </c>
      <c r="L4245" s="1" t="str">
        <f t="shared" si="895"/>
        <v>X</v>
      </c>
      <c r="M4245" s="1" t="str">
        <f t="shared" si="895"/>
        <v>X</v>
      </c>
      <c r="N4245" t="s">
        <v>27</v>
      </c>
    </row>
    <row r="4246" spans="1:14" x14ac:dyDescent="0.25">
      <c r="A4246" t="s">
        <v>41</v>
      </c>
      <c r="B4246" t="s">
        <v>39</v>
      </c>
      <c r="C4246" t="s">
        <v>38</v>
      </c>
      <c r="D4246" t="s">
        <v>28</v>
      </c>
      <c r="E4246" t="s">
        <v>23</v>
      </c>
      <c r="F4246" t="s">
        <v>20</v>
      </c>
      <c r="G4246" s="2">
        <f>VALUE(757.6366012243)</f>
        <v>757.63660122429997</v>
      </c>
      <c r="H4246" s="3">
        <f>VALUE(720.790044215)</f>
        <v>720.79004421499997</v>
      </c>
      <c r="I4246" s="1">
        <f>VALUE(3611)</f>
        <v>3611</v>
      </c>
      <c r="J4246" s="1">
        <f>VALUE(4276)</f>
        <v>4276</v>
      </c>
      <c r="K4246" s="1">
        <f>VALUE(4986)</f>
        <v>4986</v>
      </c>
      <c r="L4246" s="1">
        <f>VALUE(5806)</f>
        <v>5806</v>
      </c>
      <c r="M4246" s="1">
        <f>VALUE(6604)</f>
        <v>6604</v>
      </c>
      <c r="N4246" t="s">
        <v>25</v>
      </c>
    </row>
    <row r="4247" spans="1:14" x14ac:dyDescent="0.25">
      <c r="A4247" t="s">
        <v>41</v>
      </c>
      <c r="B4247" t="s">
        <v>39</v>
      </c>
      <c r="C4247" t="s">
        <v>38</v>
      </c>
      <c r="D4247" t="s">
        <v>28</v>
      </c>
      <c r="E4247" t="s">
        <v>26</v>
      </c>
      <c r="F4247" t="s">
        <v>15</v>
      </c>
      <c r="G4247" s="1" t="str">
        <f t="shared" ref="G4247:M4249" si="896">"X"</f>
        <v>X</v>
      </c>
      <c r="H4247" s="1" t="str">
        <f t="shared" si="896"/>
        <v>X</v>
      </c>
      <c r="I4247" s="1" t="str">
        <f t="shared" si="896"/>
        <v>X</v>
      </c>
      <c r="J4247" s="1" t="str">
        <f t="shared" si="896"/>
        <v>X</v>
      </c>
      <c r="K4247" s="1" t="str">
        <f t="shared" si="896"/>
        <v>X</v>
      </c>
      <c r="L4247" s="1" t="str">
        <f t="shared" si="896"/>
        <v>X</v>
      </c>
      <c r="M4247" s="1" t="str">
        <f t="shared" si="896"/>
        <v>X</v>
      </c>
      <c r="N4247" t="s">
        <v>27</v>
      </c>
    </row>
    <row r="4248" spans="1:14" x14ac:dyDescent="0.25">
      <c r="A4248" t="s">
        <v>41</v>
      </c>
      <c r="B4248" t="s">
        <v>39</v>
      </c>
      <c r="C4248" t="s">
        <v>38</v>
      </c>
      <c r="D4248" t="s">
        <v>28</v>
      </c>
      <c r="E4248" t="s">
        <v>26</v>
      </c>
      <c r="F4248" t="s">
        <v>17</v>
      </c>
      <c r="G4248" s="1" t="str">
        <f t="shared" si="896"/>
        <v>X</v>
      </c>
      <c r="H4248" s="1" t="str">
        <f t="shared" si="896"/>
        <v>X</v>
      </c>
      <c r="I4248" s="1" t="str">
        <f t="shared" si="896"/>
        <v>X</v>
      </c>
      <c r="J4248" s="1" t="str">
        <f t="shared" si="896"/>
        <v>X</v>
      </c>
      <c r="K4248" s="1" t="str">
        <f t="shared" si="896"/>
        <v>X</v>
      </c>
      <c r="L4248" s="1" t="str">
        <f t="shared" si="896"/>
        <v>X</v>
      </c>
      <c r="M4248" s="1" t="str">
        <f t="shared" si="896"/>
        <v>X</v>
      </c>
      <c r="N4248" t="s">
        <v>27</v>
      </c>
    </row>
    <row r="4249" spans="1:14" x14ac:dyDescent="0.25">
      <c r="A4249" t="s">
        <v>41</v>
      </c>
      <c r="B4249" t="s">
        <v>39</v>
      </c>
      <c r="C4249" t="s">
        <v>38</v>
      </c>
      <c r="D4249" t="s">
        <v>28</v>
      </c>
      <c r="E4249" t="s">
        <v>26</v>
      </c>
      <c r="F4249" t="s">
        <v>18</v>
      </c>
      <c r="G4249" s="1" t="str">
        <f t="shared" si="896"/>
        <v>X</v>
      </c>
      <c r="H4249" s="1" t="str">
        <f t="shared" si="896"/>
        <v>X</v>
      </c>
      <c r="I4249" s="1" t="str">
        <f t="shared" si="896"/>
        <v>X</v>
      </c>
      <c r="J4249" s="1" t="str">
        <f t="shared" si="896"/>
        <v>X</v>
      </c>
      <c r="K4249" s="1" t="str">
        <f t="shared" si="896"/>
        <v>X</v>
      </c>
      <c r="L4249" s="1" t="str">
        <f t="shared" si="896"/>
        <v>X</v>
      </c>
      <c r="M4249" s="1" t="str">
        <f t="shared" si="896"/>
        <v>X</v>
      </c>
      <c r="N4249" t="s">
        <v>27</v>
      </c>
    </row>
    <row r="4250" spans="1:14" x14ac:dyDescent="0.25">
      <c r="A4250" t="s">
        <v>41</v>
      </c>
      <c r="B4250" t="s">
        <v>39</v>
      </c>
      <c r="C4250" t="s">
        <v>38</v>
      </c>
      <c r="D4250" t="s">
        <v>28</v>
      </c>
      <c r="E4250" t="s">
        <v>26</v>
      </c>
      <c r="F4250" t="s">
        <v>19</v>
      </c>
      <c r="G4250" s="1" t="str">
        <f t="shared" ref="G4250:M4250" si="897">"..."</f>
        <v>...</v>
      </c>
      <c r="H4250" s="1" t="str">
        <f t="shared" si="897"/>
        <v>...</v>
      </c>
      <c r="I4250" s="1" t="str">
        <f t="shared" si="897"/>
        <v>...</v>
      </c>
      <c r="J4250" s="1" t="str">
        <f t="shared" si="897"/>
        <v>...</v>
      </c>
      <c r="K4250" s="1" t="str">
        <f t="shared" si="897"/>
        <v>...</v>
      </c>
      <c r="L4250" s="1" t="str">
        <f t="shared" si="897"/>
        <v>...</v>
      </c>
      <c r="M4250" s="1" t="str">
        <f t="shared" si="897"/>
        <v>...</v>
      </c>
      <c r="N4250" t="s">
        <v>30</v>
      </c>
    </row>
    <row r="4251" spans="1:14" x14ac:dyDescent="0.25">
      <c r="A4251" t="s">
        <v>41</v>
      </c>
      <c r="B4251" t="s">
        <v>39</v>
      </c>
      <c r="C4251" t="s">
        <v>38</v>
      </c>
      <c r="D4251" t="s">
        <v>28</v>
      </c>
      <c r="E4251" t="s">
        <v>26</v>
      </c>
      <c r="F4251" t="s">
        <v>20</v>
      </c>
      <c r="G4251" s="1" t="str">
        <f t="shared" ref="G4251:M4251" si="898">"X"</f>
        <v>X</v>
      </c>
      <c r="H4251" s="1" t="str">
        <f t="shared" si="898"/>
        <v>X</v>
      </c>
      <c r="I4251" s="1" t="str">
        <f t="shared" si="898"/>
        <v>X</v>
      </c>
      <c r="J4251" s="1" t="str">
        <f t="shared" si="898"/>
        <v>X</v>
      </c>
      <c r="K4251" s="1" t="str">
        <f t="shared" si="898"/>
        <v>X</v>
      </c>
      <c r="L4251" s="1" t="str">
        <f t="shared" si="898"/>
        <v>X</v>
      </c>
      <c r="M4251" s="1" t="str">
        <f t="shared" si="898"/>
        <v>X</v>
      </c>
      <c r="N4251" t="s">
        <v>27</v>
      </c>
    </row>
    <row r="4252" spans="1:14" x14ac:dyDescent="0.25">
      <c r="A4252" t="s">
        <v>41</v>
      </c>
      <c r="B4252" t="s">
        <v>39</v>
      </c>
      <c r="C4252" t="s">
        <v>38</v>
      </c>
      <c r="D4252" t="s">
        <v>29</v>
      </c>
      <c r="E4252" t="s">
        <v>15</v>
      </c>
      <c r="F4252" t="s">
        <v>15</v>
      </c>
      <c r="G4252" s="1">
        <f>VALUE(3183.6196787026)</f>
        <v>3183.6196787026001</v>
      </c>
      <c r="H4252" s="1">
        <f>VALUE(3158.2588222688)</f>
        <v>3158.2588222688</v>
      </c>
      <c r="I4252" s="1">
        <f>VALUE(3765)</f>
        <v>3765</v>
      </c>
      <c r="J4252" s="1">
        <f>VALUE(4557)</f>
        <v>4557</v>
      </c>
      <c r="K4252" s="1">
        <f>VALUE(5590)</f>
        <v>5590</v>
      </c>
      <c r="L4252" s="1">
        <f>VALUE(6793)</f>
        <v>6793</v>
      </c>
      <c r="M4252" s="8">
        <f>VALUE(10142)</f>
        <v>10142</v>
      </c>
      <c r="N4252" t="s">
        <v>25</v>
      </c>
    </row>
    <row r="4253" spans="1:14" x14ac:dyDescent="0.25">
      <c r="A4253" t="s">
        <v>41</v>
      </c>
      <c r="B4253" t="s">
        <v>39</v>
      </c>
      <c r="C4253" t="s">
        <v>38</v>
      </c>
      <c r="D4253" t="s">
        <v>29</v>
      </c>
      <c r="E4253" t="s">
        <v>15</v>
      </c>
      <c r="F4253" t="s">
        <v>17</v>
      </c>
      <c r="G4253" s="2">
        <f>VALUE(635.4336681956)</f>
        <v>635.43366819560003</v>
      </c>
      <c r="H4253" s="3">
        <f>VALUE(633.0893177047)</f>
        <v>633.08931770469997</v>
      </c>
      <c r="I4253" s="4">
        <f>VALUE(4314)</f>
        <v>4314</v>
      </c>
      <c r="J4253" s="5">
        <f>VALUE(6293)</f>
        <v>6293</v>
      </c>
      <c r="K4253" s="6">
        <f>VALUE(8151)</f>
        <v>8151</v>
      </c>
      <c r="L4253" s="7">
        <f>VALUE(15000)</f>
        <v>15000</v>
      </c>
      <c r="M4253" s="8">
        <f>VALUE(21429)</f>
        <v>21429</v>
      </c>
      <c r="N4253" t="s">
        <v>24</v>
      </c>
    </row>
    <row r="4254" spans="1:14" x14ac:dyDescent="0.25">
      <c r="A4254" t="s">
        <v>41</v>
      </c>
      <c r="B4254" t="s">
        <v>39</v>
      </c>
      <c r="C4254" t="s">
        <v>38</v>
      </c>
      <c r="D4254" t="s">
        <v>29</v>
      </c>
      <c r="E4254" t="s">
        <v>15</v>
      </c>
      <c r="F4254" t="s">
        <v>18</v>
      </c>
      <c r="G4254" s="2">
        <f>VALUE(284.6929724367)</f>
        <v>284.69297243670002</v>
      </c>
      <c r="H4254" s="3">
        <f>VALUE(286.7199177937)</f>
        <v>286.71991779370001</v>
      </c>
      <c r="I4254" s="4">
        <f>VALUE(4024)</f>
        <v>4024</v>
      </c>
      <c r="J4254" s="1">
        <f>VALUE(5210)</f>
        <v>5210</v>
      </c>
      <c r="K4254" s="6">
        <f>VALUE(6212)</f>
        <v>6212</v>
      </c>
      <c r="L4254" s="1">
        <f>VALUE(8430)</f>
        <v>8430</v>
      </c>
      <c r="M4254" s="1">
        <f>VALUE(10358)</f>
        <v>10358</v>
      </c>
      <c r="N4254" t="s">
        <v>25</v>
      </c>
    </row>
    <row r="4255" spans="1:14" x14ac:dyDescent="0.25">
      <c r="A4255" t="s">
        <v>41</v>
      </c>
      <c r="B4255" t="s">
        <v>39</v>
      </c>
      <c r="C4255" t="s">
        <v>38</v>
      </c>
      <c r="D4255" t="s">
        <v>29</v>
      </c>
      <c r="E4255" t="s">
        <v>15</v>
      </c>
      <c r="F4255" t="s">
        <v>19</v>
      </c>
      <c r="G4255" s="2">
        <f>VALUE(434.4814598911)</f>
        <v>434.48145989109997</v>
      </c>
      <c r="H4255" s="3">
        <f>VALUE(412.9835689187)</f>
        <v>412.98356891869997</v>
      </c>
      <c r="I4255" s="1">
        <f>VALUE(4594)</f>
        <v>4594</v>
      </c>
      <c r="J4255" s="1">
        <f>VALUE(4988)</f>
        <v>4988</v>
      </c>
      <c r="K4255" s="1">
        <f>VALUE(5861)</f>
        <v>5861</v>
      </c>
      <c r="L4255" s="1">
        <f>VALUE(6914)</f>
        <v>6914</v>
      </c>
      <c r="M4255" s="1">
        <f>VALUE(7564)</f>
        <v>7564</v>
      </c>
      <c r="N4255" t="s">
        <v>25</v>
      </c>
    </row>
    <row r="4256" spans="1:14" x14ac:dyDescent="0.25">
      <c r="A4256" t="s">
        <v>41</v>
      </c>
      <c r="B4256" t="s">
        <v>39</v>
      </c>
      <c r="C4256" t="s">
        <v>38</v>
      </c>
      <c r="D4256" t="s">
        <v>29</v>
      </c>
      <c r="E4256" t="s">
        <v>15</v>
      </c>
      <c r="F4256" t="s">
        <v>20</v>
      </c>
      <c r="G4256" s="1">
        <f>VALUE(1829.0115781792)</f>
        <v>1829.0115781791999</v>
      </c>
      <c r="H4256" s="3">
        <f>VALUE(1825.4660178517)</f>
        <v>1825.4660178516999</v>
      </c>
      <c r="I4256" s="1">
        <f>VALUE(3524)</f>
        <v>3524</v>
      </c>
      <c r="J4256" s="1">
        <f>VALUE(4122)</f>
        <v>4122</v>
      </c>
      <c r="K4256" s="1">
        <f>VALUE(5061)</f>
        <v>5061</v>
      </c>
      <c r="L4256" s="1">
        <f>VALUE(5868)</f>
        <v>5868</v>
      </c>
      <c r="M4256" s="1">
        <f>VALUE(6500)</f>
        <v>6500</v>
      </c>
      <c r="N4256" t="s">
        <v>25</v>
      </c>
    </row>
    <row r="4257" spans="1:14" x14ac:dyDescent="0.25">
      <c r="A4257" t="s">
        <v>41</v>
      </c>
      <c r="B4257" t="s">
        <v>39</v>
      </c>
      <c r="C4257" t="s">
        <v>38</v>
      </c>
      <c r="D4257" t="s">
        <v>29</v>
      </c>
      <c r="E4257" t="s">
        <v>21</v>
      </c>
      <c r="F4257" t="s">
        <v>15</v>
      </c>
      <c r="G4257" s="2">
        <f>VALUE(503.7212809831)</f>
        <v>503.72128098309997</v>
      </c>
      <c r="H4257" s="3">
        <f>VALUE(473.5193404525)</f>
        <v>473.51934045249999</v>
      </c>
      <c r="I4257" s="1">
        <f>VALUE(5417)</f>
        <v>5417</v>
      </c>
      <c r="J4257" s="5">
        <f>VALUE(6400)</f>
        <v>6400</v>
      </c>
      <c r="K4257" s="6">
        <f>VALUE(9019)</f>
        <v>9019</v>
      </c>
      <c r="L4257" s="7">
        <f>VALUE(15873)</f>
        <v>15873</v>
      </c>
      <c r="M4257" s="8">
        <f>VALUE(22500)</f>
        <v>22500</v>
      </c>
      <c r="N4257" t="s">
        <v>25</v>
      </c>
    </row>
    <row r="4258" spans="1:14" x14ac:dyDescent="0.25">
      <c r="A4258" t="s">
        <v>41</v>
      </c>
      <c r="B4258" t="s">
        <v>39</v>
      </c>
      <c r="C4258" t="s">
        <v>38</v>
      </c>
      <c r="D4258" t="s">
        <v>29</v>
      </c>
      <c r="E4258" t="s">
        <v>21</v>
      </c>
      <c r="F4258" t="s">
        <v>17</v>
      </c>
      <c r="G4258" s="2">
        <f>VALUE(302.4835113237)</f>
        <v>302.48351132369999</v>
      </c>
      <c r="H4258" s="3">
        <f>VALUE(298.6161795242)</f>
        <v>298.61617952419999</v>
      </c>
      <c r="I4258" s="4">
        <f>VALUE(5958)</f>
        <v>5958</v>
      </c>
      <c r="J4258" s="5">
        <f>VALUE(7529)</f>
        <v>7529</v>
      </c>
      <c r="K4258" s="6">
        <f>VALUE(12458)</f>
        <v>12458</v>
      </c>
      <c r="L4258" s="7">
        <f>VALUE(18417)</f>
        <v>18417</v>
      </c>
      <c r="M4258" s="8">
        <f>VALUE(25882)</f>
        <v>25882</v>
      </c>
      <c r="N4258" t="s">
        <v>24</v>
      </c>
    </row>
    <row r="4259" spans="1:14" x14ac:dyDescent="0.25">
      <c r="A4259" t="s">
        <v>41</v>
      </c>
      <c r="B4259" t="s">
        <v>39</v>
      </c>
      <c r="C4259" t="s">
        <v>38</v>
      </c>
      <c r="D4259" t="s">
        <v>29</v>
      </c>
      <c r="E4259" t="s">
        <v>21</v>
      </c>
      <c r="F4259" t="s">
        <v>18</v>
      </c>
      <c r="G4259" s="1" t="str">
        <f t="shared" ref="G4259:M4261" si="899">"X"</f>
        <v>X</v>
      </c>
      <c r="H4259" s="1" t="str">
        <f t="shared" si="899"/>
        <v>X</v>
      </c>
      <c r="I4259" s="1" t="str">
        <f t="shared" si="899"/>
        <v>X</v>
      </c>
      <c r="J4259" s="1" t="str">
        <f t="shared" si="899"/>
        <v>X</v>
      </c>
      <c r="K4259" s="1" t="str">
        <f t="shared" si="899"/>
        <v>X</v>
      </c>
      <c r="L4259" s="1" t="str">
        <f t="shared" si="899"/>
        <v>X</v>
      </c>
      <c r="M4259" s="1" t="str">
        <f t="shared" si="899"/>
        <v>X</v>
      </c>
      <c r="N4259" t="s">
        <v>27</v>
      </c>
    </row>
    <row r="4260" spans="1:14" x14ac:dyDescent="0.25">
      <c r="A4260" t="s">
        <v>41</v>
      </c>
      <c r="B4260" t="s">
        <v>39</v>
      </c>
      <c r="C4260" t="s">
        <v>38</v>
      </c>
      <c r="D4260" t="s">
        <v>29</v>
      </c>
      <c r="E4260" t="s">
        <v>21</v>
      </c>
      <c r="F4260" t="s">
        <v>19</v>
      </c>
      <c r="G4260" s="1" t="str">
        <f t="shared" si="899"/>
        <v>X</v>
      </c>
      <c r="H4260" s="1" t="str">
        <f t="shared" si="899"/>
        <v>X</v>
      </c>
      <c r="I4260" s="1" t="str">
        <f t="shared" si="899"/>
        <v>X</v>
      </c>
      <c r="J4260" s="1" t="str">
        <f t="shared" si="899"/>
        <v>X</v>
      </c>
      <c r="K4260" s="1" t="str">
        <f t="shared" si="899"/>
        <v>X</v>
      </c>
      <c r="L4260" s="1" t="str">
        <f t="shared" si="899"/>
        <v>X</v>
      </c>
      <c r="M4260" s="1" t="str">
        <f t="shared" si="899"/>
        <v>X</v>
      </c>
      <c r="N4260" t="s">
        <v>27</v>
      </c>
    </row>
    <row r="4261" spans="1:14" x14ac:dyDescent="0.25">
      <c r="A4261" t="s">
        <v>41</v>
      </c>
      <c r="B4261" t="s">
        <v>39</v>
      </c>
      <c r="C4261" t="s">
        <v>38</v>
      </c>
      <c r="D4261" t="s">
        <v>29</v>
      </c>
      <c r="E4261" t="s">
        <v>21</v>
      </c>
      <c r="F4261" t="s">
        <v>20</v>
      </c>
      <c r="G4261" s="1" t="str">
        <f t="shared" si="899"/>
        <v>X</v>
      </c>
      <c r="H4261" s="1" t="str">
        <f t="shared" si="899"/>
        <v>X</v>
      </c>
      <c r="I4261" s="1" t="str">
        <f t="shared" si="899"/>
        <v>X</v>
      </c>
      <c r="J4261" s="1" t="str">
        <f t="shared" si="899"/>
        <v>X</v>
      </c>
      <c r="K4261" s="1" t="str">
        <f t="shared" si="899"/>
        <v>X</v>
      </c>
      <c r="L4261" s="1" t="str">
        <f t="shared" si="899"/>
        <v>X</v>
      </c>
      <c r="M4261" s="1" t="str">
        <f t="shared" si="899"/>
        <v>X</v>
      </c>
      <c r="N4261" t="s">
        <v>27</v>
      </c>
    </row>
    <row r="4262" spans="1:14" x14ac:dyDescent="0.25">
      <c r="A4262" t="s">
        <v>41</v>
      </c>
      <c r="B4262" t="s">
        <v>39</v>
      </c>
      <c r="C4262" t="s">
        <v>38</v>
      </c>
      <c r="D4262" t="s">
        <v>29</v>
      </c>
      <c r="E4262" t="s">
        <v>22</v>
      </c>
      <c r="F4262" t="s">
        <v>15</v>
      </c>
      <c r="G4262" s="2">
        <f>VALUE(821.8842781548)</f>
        <v>821.88427815479997</v>
      </c>
      <c r="H4262" s="3">
        <f>VALUE(812.5736454228)</f>
        <v>812.57364542280004</v>
      </c>
      <c r="I4262" s="4">
        <f>VALUE(3818)</f>
        <v>3818</v>
      </c>
      <c r="J4262" s="1">
        <f>VALUE(4771)</f>
        <v>4771</v>
      </c>
      <c r="K4262" s="1">
        <f>VALUE(5861)</f>
        <v>5861</v>
      </c>
      <c r="L4262" s="1">
        <f>VALUE(6894)</f>
        <v>6894</v>
      </c>
      <c r="M4262" s="1">
        <f>VALUE(8472)</f>
        <v>8472</v>
      </c>
      <c r="N4262" t="s">
        <v>25</v>
      </c>
    </row>
    <row r="4263" spans="1:14" x14ac:dyDescent="0.25">
      <c r="A4263" t="s">
        <v>41</v>
      </c>
      <c r="B4263" t="s">
        <v>39</v>
      </c>
      <c r="C4263" t="s">
        <v>38</v>
      </c>
      <c r="D4263" t="s">
        <v>29</v>
      </c>
      <c r="E4263" t="s">
        <v>22</v>
      </c>
      <c r="F4263" t="s">
        <v>17</v>
      </c>
      <c r="G4263" s="2">
        <f>VALUE(178.5054019202)</f>
        <v>178.5054019202</v>
      </c>
      <c r="H4263" s="3">
        <f>VALUE(174.0242089757)</f>
        <v>174.02420897569999</v>
      </c>
      <c r="I4263" s="4">
        <f>VALUE(4444)</f>
        <v>4444</v>
      </c>
      <c r="J4263" s="5">
        <f>VALUE(6274)</f>
        <v>6274</v>
      </c>
      <c r="K4263" s="1">
        <f>VALUE(6849)</f>
        <v>6849</v>
      </c>
      <c r="L4263" s="7">
        <f>VALUE(8354)</f>
        <v>8354</v>
      </c>
      <c r="M4263" s="8">
        <f>VALUE(14829)</f>
        <v>14829</v>
      </c>
      <c r="N4263" t="s">
        <v>25</v>
      </c>
    </row>
    <row r="4264" spans="1:14" x14ac:dyDescent="0.25">
      <c r="A4264" t="s">
        <v>41</v>
      </c>
      <c r="B4264" t="s">
        <v>39</v>
      </c>
      <c r="C4264" t="s">
        <v>38</v>
      </c>
      <c r="D4264" t="s">
        <v>29</v>
      </c>
      <c r="E4264" t="s">
        <v>22</v>
      </c>
      <c r="F4264" t="s">
        <v>18</v>
      </c>
      <c r="G4264" s="1" t="str">
        <f t="shared" ref="G4264:M4265" si="900">"X"</f>
        <v>X</v>
      </c>
      <c r="H4264" s="1" t="str">
        <f t="shared" si="900"/>
        <v>X</v>
      </c>
      <c r="I4264" s="1" t="str">
        <f t="shared" si="900"/>
        <v>X</v>
      </c>
      <c r="J4264" s="1" t="str">
        <f t="shared" si="900"/>
        <v>X</v>
      </c>
      <c r="K4264" s="1" t="str">
        <f t="shared" si="900"/>
        <v>X</v>
      </c>
      <c r="L4264" s="1" t="str">
        <f t="shared" si="900"/>
        <v>X</v>
      </c>
      <c r="M4264" s="1" t="str">
        <f t="shared" si="900"/>
        <v>X</v>
      </c>
      <c r="N4264" t="s">
        <v>27</v>
      </c>
    </row>
    <row r="4265" spans="1:14" x14ac:dyDescent="0.25">
      <c r="A4265" t="s">
        <v>41</v>
      </c>
      <c r="B4265" t="s">
        <v>39</v>
      </c>
      <c r="C4265" t="s">
        <v>38</v>
      </c>
      <c r="D4265" t="s">
        <v>29</v>
      </c>
      <c r="E4265" t="s">
        <v>22</v>
      </c>
      <c r="F4265" t="s">
        <v>19</v>
      </c>
      <c r="G4265" s="1" t="str">
        <f t="shared" si="900"/>
        <v>X</v>
      </c>
      <c r="H4265" s="1" t="str">
        <f t="shared" si="900"/>
        <v>X</v>
      </c>
      <c r="I4265" s="1" t="str">
        <f t="shared" si="900"/>
        <v>X</v>
      </c>
      <c r="J4265" s="1" t="str">
        <f t="shared" si="900"/>
        <v>X</v>
      </c>
      <c r="K4265" s="1" t="str">
        <f t="shared" si="900"/>
        <v>X</v>
      </c>
      <c r="L4265" s="1" t="str">
        <f t="shared" si="900"/>
        <v>X</v>
      </c>
      <c r="M4265" s="1" t="str">
        <f t="shared" si="900"/>
        <v>X</v>
      </c>
      <c r="N4265" t="s">
        <v>27</v>
      </c>
    </row>
    <row r="4266" spans="1:14" x14ac:dyDescent="0.25">
      <c r="A4266" t="s">
        <v>41</v>
      </c>
      <c r="B4266" t="s">
        <v>39</v>
      </c>
      <c r="C4266" t="s">
        <v>38</v>
      </c>
      <c r="D4266" t="s">
        <v>29</v>
      </c>
      <c r="E4266" t="s">
        <v>22</v>
      </c>
      <c r="F4266" t="s">
        <v>20</v>
      </c>
      <c r="G4266" s="2">
        <f>VALUE(371.5994345322)</f>
        <v>371.59943453220001</v>
      </c>
      <c r="H4266" s="3">
        <f>VALUE(375.2378109238)</f>
        <v>375.2378109238</v>
      </c>
      <c r="I4266" s="4">
        <f>VALUE(3765)</f>
        <v>3765</v>
      </c>
      <c r="J4266" s="5">
        <f>VALUE(4487)</f>
        <v>4487</v>
      </c>
      <c r="K4266" s="1">
        <f>VALUE(5359)</f>
        <v>5359</v>
      </c>
      <c r="L4266" s="1">
        <f>VALUE(6118)</f>
        <v>6118</v>
      </c>
      <c r="M4266" s="1">
        <f>VALUE(6957)</f>
        <v>6957</v>
      </c>
      <c r="N4266" t="s">
        <v>25</v>
      </c>
    </row>
    <row r="4267" spans="1:14" x14ac:dyDescent="0.25">
      <c r="A4267" t="s">
        <v>41</v>
      </c>
      <c r="B4267" t="s">
        <v>39</v>
      </c>
      <c r="C4267" t="s">
        <v>38</v>
      </c>
      <c r="D4267" t="s">
        <v>29</v>
      </c>
      <c r="E4267" t="s">
        <v>23</v>
      </c>
      <c r="F4267" t="s">
        <v>15</v>
      </c>
      <c r="G4267" s="2">
        <f>VALUE(1831.7155534863)</f>
        <v>1831.7155534863</v>
      </c>
      <c r="H4267" s="3">
        <f>VALUE(1844.5523420119)</f>
        <v>1844.5523420119</v>
      </c>
      <c r="I4267" s="1">
        <f>VALUE(3573)</f>
        <v>3573</v>
      </c>
      <c r="J4267" s="1">
        <f>VALUE(4176)</f>
        <v>4176</v>
      </c>
      <c r="K4267" s="1">
        <f>VALUE(5084)</f>
        <v>5084</v>
      </c>
      <c r="L4267" s="1">
        <f>VALUE(5910)</f>
        <v>5910</v>
      </c>
      <c r="M4267" s="1">
        <f>VALUE(6872)</f>
        <v>6872</v>
      </c>
      <c r="N4267" t="s">
        <v>25</v>
      </c>
    </row>
    <row r="4268" spans="1:14" x14ac:dyDescent="0.25">
      <c r="A4268" t="s">
        <v>41</v>
      </c>
      <c r="B4268" t="s">
        <v>39</v>
      </c>
      <c r="C4268" t="s">
        <v>38</v>
      </c>
      <c r="D4268" t="s">
        <v>29</v>
      </c>
      <c r="E4268" t="s">
        <v>23</v>
      </c>
      <c r="F4268" t="s">
        <v>17</v>
      </c>
      <c r="G4268" s="1" t="str">
        <f t="shared" ref="G4268:M4269" si="901">"X"</f>
        <v>X</v>
      </c>
      <c r="H4268" s="1" t="str">
        <f t="shared" si="901"/>
        <v>X</v>
      </c>
      <c r="I4268" s="1" t="str">
        <f t="shared" si="901"/>
        <v>X</v>
      </c>
      <c r="J4268" s="1" t="str">
        <f t="shared" si="901"/>
        <v>X</v>
      </c>
      <c r="K4268" s="1" t="str">
        <f t="shared" si="901"/>
        <v>X</v>
      </c>
      <c r="L4268" s="1" t="str">
        <f t="shared" si="901"/>
        <v>X</v>
      </c>
      <c r="M4268" s="1" t="str">
        <f t="shared" si="901"/>
        <v>X</v>
      </c>
      <c r="N4268" t="s">
        <v>27</v>
      </c>
    </row>
    <row r="4269" spans="1:14" x14ac:dyDescent="0.25">
      <c r="A4269" t="s">
        <v>41</v>
      </c>
      <c r="B4269" t="s">
        <v>39</v>
      </c>
      <c r="C4269" t="s">
        <v>38</v>
      </c>
      <c r="D4269" t="s">
        <v>29</v>
      </c>
      <c r="E4269" t="s">
        <v>23</v>
      </c>
      <c r="F4269" t="s">
        <v>18</v>
      </c>
      <c r="G4269" s="1" t="str">
        <f t="shared" si="901"/>
        <v>X</v>
      </c>
      <c r="H4269" s="1" t="str">
        <f t="shared" si="901"/>
        <v>X</v>
      </c>
      <c r="I4269" s="1" t="str">
        <f t="shared" si="901"/>
        <v>X</v>
      </c>
      <c r="J4269" s="1" t="str">
        <f t="shared" si="901"/>
        <v>X</v>
      </c>
      <c r="K4269" s="1" t="str">
        <f t="shared" si="901"/>
        <v>X</v>
      </c>
      <c r="L4269" s="1" t="str">
        <f t="shared" si="901"/>
        <v>X</v>
      </c>
      <c r="M4269" s="1" t="str">
        <f t="shared" si="901"/>
        <v>X</v>
      </c>
      <c r="N4269" t="s">
        <v>27</v>
      </c>
    </row>
    <row r="4270" spans="1:14" x14ac:dyDescent="0.25">
      <c r="A4270" t="s">
        <v>41</v>
      </c>
      <c r="B4270" t="s">
        <v>39</v>
      </c>
      <c r="C4270" t="s">
        <v>38</v>
      </c>
      <c r="D4270" t="s">
        <v>29</v>
      </c>
      <c r="E4270" t="s">
        <v>23</v>
      </c>
      <c r="F4270" t="s">
        <v>19</v>
      </c>
      <c r="G4270" s="2">
        <f>VALUE(220.1510229102)</f>
        <v>220.1510229102</v>
      </c>
      <c r="H4270" s="3">
        <f>VALUE(225.9051087037)</f>
        <v>225.90510870369999</v>
      </c>
      <c r="I4270" s="1">
        <f>VALUE(4416)</f>
        <v>4416</v>
      </c>
      <c r="J4270" s="1">
        <f>VALUE(4798)</f>
        <v>4798</v>
      </c>
      <c r="K4270" s="1">
        <f>VALUE(5528)</f>
        <v>5528</v>
      </c>
      <c r="L4270" s="1">
        <f>VALUE(6750)</f>
        <v>6750</v>
      </c>
      <c r="M4270" s="1">
        <f>VALUE(7163)</f>
        <v>7163</v>
      </c>
      <c r="N4270" t="s">
        <v>25</v>
      </c>
    </row>
    <row r="4271" spans="1:14" x14ac:dyDescent="0.25">
      <c r="A4271" t="s">
        <v>41</v>
      </c>
      <c r="B4271" t="s">
        <v>39</v>
      </c>
      <c r="C4271" t="s">
        <v>38</v>
      </c>
      <c r="D4271" t="s">
        <v>29</v>
      </c>
      <c r="E4271" t="s">
        <v>23</v>
      </c>
      <c r="F4271" t="s">
        <v>20</v>
      </c>
      <c r="G4271" s="2">
        <f>VALUE(1376.043439513)</f>
        <v>1376.0434395130001</v>
      </c>
      <c r="H4271" s="3">
        <f>VALUE(1371.3774920012)</f>
        <v>1371.3774920011999</v>
      </c>
      <c r="I4271" s="1">
        <f>VALUE(3490)</f>
        <v>3490</v>
      </c>
      <c r="J4271" s="1">
        <f>VALUE(4045)</f>
        <v>4045</v>
      </c>
      <c r="K4271" s="1">
        <f>VALUE(4920)</f>
        <v>4920</v>
      </c>
      <c r="L4271" s="1">
        <f>VALUE(5670)</f>
        <v>5670</v>
      </c>
      <c r="M4271" s="1">
        <f>VALUE(6307)</f>
        <v>6307</v>
      </c>
      <c r="N4271" t="s">
        <v>25</v>
      </c>
    </row>
    <row r="4272" spans="1:14" x14ac:dyDescent="0.25">
      <c r="A4272" t="s">
        <v>41</v>
      </c>
      <c r="B4272" t="s">
        <v>39</v>
      </c>
      <c r="C4272" t="s">
        <v>38</v>
      </c>
      <c r="D4272" t="s">
        <v>29</v>
      </c>
      <c r="E4272" t="s">
        <v>26</v>
      </c>
      <c r="F4272" t="s">
        <v>15</v>
      </c>
      <c r="G4272" s="1" t="str">
        <f t="shared" ref="G4272:M4274" si="902">"X"</f>
        <v>X</v>
      </c>
      <c r="H4272" s="1" t="str">
        <f t="shared" si="902"/>
        <v>X</v>
      </c>
      <c r="I4272" s="1" t="str">
        <f t="shared" si="902"/>
        <v>X</v>
      </c>
      <c r="J4272" s="1" t="str">
        <f t="shared" si="902"/>
        <v>X</v>
      </c>
      <c r="K4272" s="1" t="str">
        <f t="shared" si="902"/>
        <v>X</v>
      </c>
      <c r="L4272" s="1" t="str">
        <f t="shared" si="902"/>
        <v>X</v>
      </c>
      <c r="M4272" s="1" t="str">
        <f t="shared" si="902"/>
        <v>X</v>
      </c>
      <c r="N4272" t="s">
        <v>27</v>
      </c>
    </row>
    <row r="4273" spans="1:14" x14ac:dyDescent="0.25">
      <c r="A4273" t="s">
        <v>41</v>
      </c>
      <c r="B4273" t="s">
        <v>39</v>
      </c>
      <c r="C4273" t="s">
        <v>38</v>
      </c>
      <c r="D4273" t="s">
        <v>29</v>
      </c>
      <c r="E4273" t="s">
        <v>26</v>
      </c>
      <c r="F4273" t="s">
        <v>17</v>
      </c>
      <c r="G4273" s="1" t="str">
        <f t="shared" si="902"/>
        <v>X</v>
      </c>
      <c r="H4273" s="1" t="str">
        <f t="shared" si="902"/>
        <v>X</v>
      </c>
      <c r="I4273" s="1" t="str">
        <f t="shared" si="902"/>
        <v>X</v>
      </c>
      <c r="J4273" s="1" t="str">
        <f t="shared" si="902"/>
        <v>X</v>
      </c>
      <c r="K4273" s="1" t="str">
        <f t="shared" si="902"/>
        <v>X</v>
      </c>
      <c r="L4273" s="1" t="str">
        <f t="shared" si="902"/>
        <v>X</v>
      </c>
      <c r="M4273" s="1" t="str">
        <f t="shared" si="902"/>
        <v>X</v>
      </c>
      <c r="N4273" t="s">
        <v>27</v>
      </c>
    </row>
    <row r="4274" spans="1:14" x14ac:dyDescent="0.25">
      <c r="A4274" t="s">
        <v>41</v>
      </c>
      <c r="B4274" t="s">
        <v>39</v>
      </c>
      <c r="C4274" t="s">
        <v>38</v>
      </c>
      <c r="D4274" t="s">
        <v>29</v>
      </c>
      <c r="E4274" t="s">
        <v>26</v>
      </c>
      <c r="F4274" t="s">
        <v>18</v>
      </c>
      <c r="G4274" s="1" t="str">
        <f t="shared" si="902"/>
        <v>X</v>
      </c>
      <c r="H4274" s="1" t="str">
        <f t="shared" si="902"/>
        <v>X</v>
      </c>
      <c r="I4274" s="1" t="str">
        <f t="shared" si="902"/>
        <v>X</v>
      </c>
      <c r="J4274" s="1" t="str">
        <f t="shared" si="902"/>
        <v>X</v>
      </c>
      <c r="K4274" s="1" t="str">
        <f t="shared" si="902"/>
        <v>X</v>
      </c>
      <c r="L4274" s="1" t="str">
        <f t="shared" si="902"/>
        <v>X</v>
      </c>
      <c r="M4274" s="1" t="str">
        <f t="shared" si="902"/>
        <v>X</v>
      </c>
      <c r="N4274" t="s">
        <v>27</v>
      </c>
    </row>
    <row r="4275" spans="1:14" x14ac:dyDescent="0.25">
      <c r="A4275" t="s">
        <v>41</v>
      </c>
      <c r="B4275" t="s">
        <v>39</v>
      </c>
      <c r="C4275" t="s">
        <v>38</v>
      </c>
      <c r="D4275" t="s">
        <v>29</v>
      </c>
      <c r="E4275" t="s">
        <v>26</v>
      </c>
      <c r="F4275" t="s">
        <v>19</v>
      </c>
      <c r="G4275" s="1" t="str">
        <f t="shared" ref="G4275:M4275" si="903">"..."</f>
        <v>...</v>
      </c>
      <c r="H4275" s="1" t="str">
        <f t="shared" si="903"/>
        <v>...</v>
      </c>
      <c r="I4275" s="1" t="str">
        <f t="shared" si="903"/>
        <v>...</v>
      </c>
      <c r="J4275" s="1" t="str">
        <f t="shared" si="903"/>
        <v>...</v>
      </c>
      <c r="K4275" s="1" t="str">
        <f t="shared" si="903"/>
        <v>...</v>
      </c>
      <c r="L4275" s="1" t="str">
        <f t="shared" si="903"/>
        <v>...</v>
      </c>
      <c r="M4275" s="1" t="str">
        <f t="shared" si="903"/>
        <v>...</v>
      </c>
      <c r="N4275" t="s">
        <v>30</v>
      </c>
    </row>
    <row r="4276" spans="1:14" x14ac:dyDescent="0.25">
      <c r="A4276" t="s">
        <v>41</v>
      </c>
      <c r="B4276" t="s">
        <v>39</v>
      </c>
      <c r="C4276" t="s">
        <v>38</v>
      </c>
      <c r="D4276" t="s">
        <v>29</v>
      </c>
      <c r="E4276" t="s">
        <v>26</v>
      </c>
      <c r="F4276" t="s">
        <v>20</v>
      </c>
      <c r="G4276" s="1" t="str">
        <f t="shared" ref="G4276:M4276" si="904">"X"</f>
        <v>X</v>
      </c>
      <c r="H4276" s="1" t="str">
        <f t="shared" si="904"/>
        <v>X</v>
      </c>
      <c r="I4276" s="1" t="str">
        <f t="shared" si="904"/>
        <v>X</v>
      </c>
      <c r="J4276" s="1" t="str">
        <f t="shared" si="904"/>
        <v>X</v>
      </c>
      <c r="K4276" s="1" t="str">
        <f t="shared" si="904"/>
        <v>X</v>
      </c>
      <c r="L4276" s="1" t="str">
        <f t="shared" si="904"/>
        <v>X</v>
      </c>
      <c r="M4276" s="1" t="str">
        <f t="shared" si="904"/>
        <v>X</v>
      </c>
      <c r="N4276" t="s">
        <v>27</v>
      </c>
    </row>
    <row r="4277" spans="1:14" x14ac:dyDescent="0.25">
      <c r="A4277" t="s">
        <v>41</v>
      </c>
      <c r="B4277" t="s">
        <v>39</v>
      </c>
      <c r="C4277" t="s">
        <v>38</v>
      </c>
      <c r="D4277" t="s">
        <v>31</v>
      </c>
      <c r="E4277" t="s">
        <v>15</v>
      </c>
      <c r="F4277" t="s">
        <v>15</v>
      </c>
      <c r="G4277" s="2">
        <f>VALUE(455.0255566232)</f>
        <v>455.02555662319998</v>
      </c>
      <c r="H4277" s="3">
        <f>VALUE(456.0107828728)</f>
        <v>456.01078287280001</v>
      </c>
      <c r="I4277" s="1">
        <f>VALUE(3708)</f>
        <v>3708</v>
      </c>
      <c r="J4277" s="1">
        <f>VALUE(4299)</f>
        <v>4299</v>
      </c>
      <c r="K4277" s="6">
        <f>VALUE(5702)</f>
        <v>5702</v>
      </c>
      <c r="L4277" s="7">
        <f>VALUE(10833)</f>
        <v>10833</v>
      </c>
      <c r="M4277" s="8">
        <f>VALUE(20508)</f>
        <v>20508</v>
      </c>
      <c r="N4277" t="s">
        <v>25</v>
      </c>
    </row>
    <row r="4278" spans="1:14" x14ac:dyDescent="0.25">
      <c r="A4278" t="s">
        <v>41</v>
      </c>
      <c r="B4278" t="s">
        <v>39</v>
      </c>
      <c r="C4278" t="s">
        <v>38</v>
      </c>
      <c r="D4278" t="s">
        <v>31</v>
      </c>
      <c r="E4278" t="s">
        <v>15</v>
      </c>
      <c r="F4278" t="s">
        <v>17</v>
      </c>
      <c r="G4278" s="2">
        <f>VALUE(136.4884007643)</f>
        <v>136.4884007643</v>
      </c>
      <c r="H4278" s="3">
        <f>VALUE(137.2037177232)</f>
        <v>137.20371772319999</v>
      </c>
      <c r="I4278" s="1">
        <f>VALUE(5413)</f>
        <v>5413</v>
      </c>
      <c r="J4278" s="5">
        <f>VALUE(6251)</f>
        <v>6251</v>
      </c>
      <c r="K4278" s="6">
        <f>VALUE(14762)</f>
        <v>14762</v>
      </c>
      <c r="L4278" s="7">
        <f>VALUE(22341)</f>
        <v>22341</v>
      </c>
      <c r="M4278" s="8">
        <f>VALUE(42141)</f>
        <v>42141</v>
      </c>
      <c r="N4278" t="s">
        <v>25</v>
      </c>
    </row>
    <row r="4279" spans="1:14" x14ac:dyDescent="0.25">
      <c r="A4279" t="s">
        <v>41</v>
      </c>
      <c r="B4279" t="s">
        <v>39</v>
      </c>
      <c r="C4279" t="s">
        <v>38</v>
      </c>
      <c r="D4279" t="s">
        <v>31</v>
      </c>
      <c r="E4279" t="s">
        <v>15</v>
      </c>
      <c r="F4279" t="s">
        <v>18</v>
      </c>
      <c r="G4279" s="1" t="str">
        <f t="shared" ref="G4279:M4280" si="905">"X"</f>
        <v>X</v>
      </c>
      <c r="H4279" s="1" t="str">
        <f t="shared" si="905"/>
        <v>X</v>
      </c>
      <c r="I4279" s="1" t="str">
        <f t="shared" si="905"/>
        <v>X</v>
      </c>
      <c r="J4279" s="1" t="str">
        <f t="shared" si="905"/>
        <v>X</v>
      </c>
      <c r="K4279" s="1" t="str">
        <f t="shared" si="905"/>
        <v>X</v>
      </c>
      <c r="L4279" s="1" t="str">
        <f t="shared" si="905"/>
        <v>X</v>
      </c>
      <c r="M4279" s="1" t="str">
        <f t="shared" si="905"/>
        <v>X</v>
      </c>
      <c r="N4279" t="s">
        <v>27</v>
      </c>
    </row>
    <row r="4280" spans="1:14" x14ac:dyDescent="0.25">
      <c r="A4280" t="s">
        <v>41</v>
      </c>
      <c r="B4280" t="s">
        <v>39</v>
      </c>
      <c r="C4280" t="s">
        <v>38</v>
      </c>
      <c r="D4280" t="s">
        <v>31</v>
      </c>
      <c r="E4280" t="s">
        <v>15</v>
      </c>
      <c r="F4280" t="s">
        <v>19</v>
      </c>
      <c r="G4280" s="1" t="str">
        <f t="shared" si="905"/>
        <v>X</v>
      </c>
      <c r="H4280" s="1" t="str">
        <f t="shared" si="905"/>
        <v>X</v>
      </c>
      <c r="I4280" s="1" t="str">
        <f t="shared" si="905"/>
        <v>X</v>
      </c>
      <c r="J4280" s="1" t="str">
        <f t="shared" si="905"/>
        <v>X</v>
      </c>
      <c r="K4280" s="1" t="str">
        <f t="shared" si="905"/>
        <v>X</v>
      </c>
      <c r="L4280" s="1" t="str">
        <f t="shared" si="905"/>
        <v>X</v>
      </c>
      <c r="M4280" s="1" t="str">
        <f t="shared" si="905"/>
        <v>X</v>
      </c>
      <c r="N4280" t="s">
        <v>27</v>
      </c>
    </row>
    <row r="4281" spans="1:14" x14ac:dyDescent="0.25">
      <c r="A4281" t="s">
        <v>41</v>
      </c>
      <c r="B4281" t="s">
        <v>39</v>
      </c>
      <c r="C4281" t="s">
        <v>38</v>
      </c>
      <c r="D4281" t="s">
        <v>31</v>
      </c>
      <c r="E4281" t="s">
        <v>15</v>
      </c>
      <c r="F4281" t="s">
        <v>20</v>
      </c>
      <c r="G4281" s="2">
        <f>VALUE(253.9089142924)</f>
        <v>253.9089142924</v>
      </c>
      <c r="H4281" s="3">
        <f>VALUE(254.0658182279)</f>
        <v>254.0658182279</v>
      </c>
      <c r="I4281" s="4">
        <f>VALUE(3358)</f>
        <v>3358</v>
      </c>
      <c r="J4281" s="5">
        <f>VALUE(4261)</f>
        <v>4261</v>
      </c>
      <c r="K4281" s="6">
        <f>VALUE(4508)</f>
        <v>4508</v>
      </c>
      <c r="L4281" s="7">
        <f>VALUE(5757)</f>
        <v>5757</v>
      </c>
      <c r="M4281" s="8">
        <f>VALUE(6507)</f>
        <v>6507</v>
      </c>
      <c r="N4281" t="s">
        <v>24</v>
      </c>
    </row>
    <row r="4282" spans="1:14" x14ac:dyDescent="0.25">
      <c r="A4282" t="s">
        <v>41</v>
      </c>
      <c r="B4282" t="s">
        <v>39</v>
      </c>
      <c r="C4282" t="s">
        <v>38</v>
      </c>
      <c r="D4282" t="s">
        <v>31</v>
      </c>
      <c r="E4282" t="s">
        <v>21</v>
      </c>
      <c r="F4282" t="s">
        <v>15</v>
      </c>
      <c r="G4282" s="2">
        <f>VALUE(149.3116428166)</f>
        <v>149.3116428166</v>
      </c>
      <c r="H4282" s="3">
        <f>VALUE(149.0693163691)</f>
        <v>149.06931636909999</v>
      </c>
      <c r="I4282" s="1">
        <f>VALUE(4508)</f>
        <v>4508</v>
      </c>
      <c r="J4282" s="5">
        <f>VALUE(4875)</f>
        <v>4875</v>
      </c>
      <c r="K4282" s="6">
        <f>VALUE(9680)</f>
        <v>9680</v>
      </c>
      <c r="L4282" s="7">
        <f>VALUE(20820)</f>
        <v>20820</v>
      </c>
      <c r="M4282" s="8">
        <f>VALUE(38500)</f>
        <v>38500</v>
      </c>
      <c r="N4282" t="s">
        <v>25</v>
      </c>
    </row>
    <row r="4283" spans="1:14" x14ac:dyDescent="0.25">
      <c r="A4283" t="s">
        <v>41</v>
      </c>
      <c r="B4283" t="s">
        <v>39</v>
      </c>
      <c r="C4283" t="s">
        <v>38</v>
      </c>
      <c r="D4283" t="s">
        <v>31</v>
      </c>
      <c r="E4283" t="s">
        <v>21</v>
      </c>
      <c r="F4283" t="s">
        <v>17</v>
      </c>
      <c r="G4283" s="1" t="str">
        <f t="shared" ref="G4283:M4291" si="906">"X"</f>
        <v>X</v>
      </c>
      <c r="H4283" s="1" t="str">
        <f t="shared" si="906"/>
        <v>X</v>
      </c>
      <c r="I4283" s="1" t="str">
        <f t="shared" si="906"/>
        <v>X</v>
      </c>
      <c r="J4283" s="1" t="str">
        <f t="shared" si="906"/>
        <v>X</v>
      </c>
      <c r="K4283" s="1" t="str">
        <f t="shared" si="906"/>
        <v>X</v>
      </c>
      <c r="L4283" s="1" t="str">
        <f t="shared" si="906"/>
        <v>X</v>
      </c>
      <c r="M4283" s="1" t="str">
        <f t="shared" si="906"/>
        <v>X</v>
      </c>
      <c r="N4283" t="s">
        <v>27</v>
      </c>
    </row>
    <row r="4284" spans="1:14" x14ac:dyDescent="0.25">
      <c r="A4284" t="s">
        <v>41</v>
      </c>
      <c r="B4284" t="s">
        <v>39</v>
      </c>
      <c r="C4284" t="s">
        <v>38</v>
      </c>
      <c r="D4284" t="s">
        <v>31</v>
      </c>
      <c r="E4284" t="s">
        <v>21</v>
      </c>
      <c r="F4284" t="s">
        <v>18</v>
      </c>
      <c r="G4284" s="1" t="str">
        <f t="shared" si="906"/>
        <v>X</v>
      </c>
      <c r="H4284" s="1" t="str">
        <f t="shared" si="906"/>
        <v>X</v>
      </c>
      <c r="I4284" s="1" t="str">
        <f t="shared" si="906"/>
        <v>X</v>
      </c>
      <c r="J4284" s="1" t="str">
        <f t="shared" si="906"/>
        <v>X</v>
      </c>
      <c r="K4284" s="1" t="str">
        <f t="shared" si="906"/>
        <v>X</v>
      </c>
      <c r="L4284" s="1" t="str">
        <f t="shared" si="906"/>
        <v>X</v>
      </c>
      <c r="M4284" s="1" t="str">
        <f t="shared" si="906"/>
        <v>X</v>
      </c>
      <c r="N4284" t="s">
        <v>27</v>
      </c>
    </row>
    <row r="4285" spans="1:14" x14ac:dyDescent="0.25">
      <c r="A4285" t="s">
        <v>41</v>
      </c>
      <c r="B4285" t="s">
        <v>39</v>
      </c>
      <c r="C4285" t="s">
        <v>38</v>
      </c>
      <c r="D4285" t="s">
        <v>31</v>
      </c>
      <c r="E4285" t="s">
        <v>21</v>
      </c>
      <c r="F4285" t="s">
        <v>19</v>
      </c>
      <c r="G4285" s="1" t="str">
        <f t="shared" si="906"/>
        <v>X</v>
      </c>
      <c r="H4285" s="1" t="str">
        <f t="shared" si="906"/>
        <v>X</v>
      </c>
      <c r="I4285" s="1" t="str">
        <f t="shared" si="906"/>
        <v>X</v>
      </c>
      <c r="J4285" s="1" t="str">
        <f t="shared" si="906"/>
        <v>X</v>
      </c>
      <c r="K4285" s="1" t="str">
        <f t="shared" si="906"/>
        <v>X</v>
      </c>
      <c r="L4285" s="1" t="str">
        <f t="shared" si="906"/>
        <v>X</v>
      </c>
      <c r="M4285" s="1" t="str">
        <f t="shared" si="906"/>
        <v>X</v>
      </c>
      <c r="N4285" t="s">
        <v>27</v>
      </c>
    </row>
    <row r="4286" spans="1:14" x14ac:dyDescent="0.25">
      <c r="A4286" t="s">
        <v>41</v>
      </c>
      <c r="B4286" t="s">
        <v>39</v>
      </c>
      <c r="C4286" t="s">
        <v>38</v>
      </c>
      <c r="D4286" t="s">
        <v>31</v>
      </c>
      <c r="E4286" t="s">
        <v>21</v>
      </c>
      <c r="F4286" t="s">
        <v>20</v>
      </c>
      <c r="G4286" s="1" t="str">
        <f t="shared" si="906"/>
        <v>X</v>
      </c>
      <c r="H4286" s="1" t="str">
        <f t="shared" si="906"/>
        <v>X</v>
      </c>
      <c r="I4286" s="1" t="str">
        <f t="shared" si="906"/>
        <v>X</v>
      </c>
      <c r="J4286" s="1" t="str">
        <f t="shared" si="906"/>
        <v>X</v>
      </c>
      <c r="K4286" s="1" t="str">
        <f t="shared" si="906"/>
        <v>X</v>
      </c>
      <c r="L4286" s="1" t="str">
        <f t="shared" si="906"/>
        <v>X</v>
      </c>
      <c r="M4286" s="1" t="str">
        <f t="shared" si="906"/>
        <v>X</v>
      </c>
      <c r="N4286" t="s">
        <v>27</v>
      </c>
    </row>
    <row r="4287" spans="1:14" x14ac:dyDescent="0.25">
      <c r="A4287" t="s">
        <v>41</v>
      </c>
      <c r="B4287" t="s">
        <v>39</v>
      </c>
      <c r="C4287" t="s">
        <v>38</v>
      </c>
      <c r="D4287" t="s">
        <v>31</v>
      </c>
      <c r="E4287" t="s">
        <v>22</v>
      </c>
      <c r="F4287" t="s">
        <v>15</v>
      </c>
      <c r="G4287" s="1" t="str">
        <f t="shared" si="906"/>
        <v>X</v>
      </c>
      <c r="H4287" s="1" t="str">
        <f t="shared" si="906"/>
        <v>X</v>
      </c>
      <c r="I4287" s="1" t="str">
        <f t="shared" si="906"/>
        <v>X</v>
      </c>
      <c r="J4287" s="1" t="str">
        <f t="shared" si="906"/>
        <v>X</v>
      </c>
      <c r="K4287" s="1" t="str">
        <f t="shared" si="906"/>
        <v>X</v>
      </c>
      <c r="L4287" s="1" t="str">
        <f t="shared" si="906"/>
        <v>X</v>
      </c>
      <c r="M4287" s="1" t="str">
        <f t="shared" si="906"/>
        <v>X</v>
      </c>
      <c r="N4287" t="s">
        <v>27</v>
      </c>
    </row>
    <row r="4288" spans="1:14" x14ac:dyDescent="0.25">
      <c r="A4288" t="s">
        <v>41</v>
      </c>
      <c r="B4288" t="s">
        <v>39</v>
      </c>
      <c r="C4288" t="s">
        <v>38</v>
      </c>
      <c r="D4288" t="s">
        <v>31</v>
      </c>
      <c r="E4288" t="s">
        <v>22</v>
      </c>
      <c r="F4288" t="s">
        <v>17</v>
      </c>
      <c r="G4288" s="1" t="str">
        <f t="shared" si="906"/>
        <v>X</v>
      </c>
      <c r="H4288" s="1" t="str">
        <f t="shared" si="906"/>
        <v>X</v>
      </c>
      <c r="I4288" s="1" t="str">
        <f t="shared" si="906"/>
        <v>X</v>
      </c>
      <c r="J4288" s="1" t="str">
        <f t="shared" si="906"/>
        <v>X</v>
      </c>
      <c r="K4288" s="1" t="str">
        <f t="shared" si="906"/>
        <v>X</v>
      </c>
      <c r="L4288" s="1" t="str">
        <f t="shared" si="906"/>
        <v>X</v>
      </c>
      <c r="M4288" s="1" t="str">
        <f t="shared" si="906"/>
        <v>X</v>
      </c>
      <c r="N4288" t="s">
        <v>27</v>
      </c>
    </row>
    <row r="4289" spans="1:14" x14ac:dyDescent="0.25">
      <c r="A4289" t="s">
        <v>41</v>
      </c>
      <c r="B4289" t="s">
        <v>39</v>
      </c>
      <c r="C4289" t="s">
        <v>38</v>
      </c>
      <c r="D4289" t="s">
        <v>31</v>
      </c>
      <c r="E4289" t="s">
        <v>22</v>
      </c>
      <c r="F4289" t="s">
        <v>18</v>
      </c>
      <c r="G4289" s="1" t="str">
        <f t="shared" si="906"/>
        <v>X</v>
      </c>
      <c r="H4289" s="1" t="str">
        <f t="shared" si="906"/>
        <v>X</v>
      </c>
      <c r="I4289" s="1" t="str">
        <f t="shared" si="906"/>
        <v>X</v>
      </c>
      <c r="J4289" s="1" t="str">
        <f t="shared" si="906"/>
        <v>X</v>
      </c>
      <c r="K4289" s="1" t="str">
        <f t="shared" si="906"/>
        <v>X</v>
      </c>
      <c r="L4289" s="1" t="str">
        <f t="shared" si="906"/>
        <v>X</v>
      </c>
      <c r="M4289" s="1" t="str">
        <f t="shared" si="906"/>
        <v>X</v>
      </c>
      <c r="N4289" t="s">
        <v>27</v>
      </c>
    </row>
    <row r="4290" spans="1:14" x14ac:dyDescent="0.25">
      <c r="A4290" t="s">
        <v>41</v>
      </c>
      <c r="B4290" t="s">
        <v>39</v>
      </c>
      <c r="C4290" t="s">
        <v>38</v>
      </c>
      <c r="D4290" t="s">
        <v>31</v>
      </c>
      <c r="E4290" t="s">
        <v>22</v>
      </c>
      <c r="F4290" t="s">
        <v>19</v>
      </c>
      <c r="G4290" s="1" t="str">
        <f t="shared" si="906"/>
        <v>X</v>
      </c>
      <c r="H4290" s="1" t="str">
        <f t="shared" si="906"/>
        <v>X</v>
      </c>
      <c r="I4290" s="1" t="str">
        <f t="shared" si="906"/>
        <v>X</v>
      </c>
      <c r="J4290" s="1" t="str">
        <f t="shared" si="906"/>
        <v>X</v>
      </c>
      <c r="K4290" s="1" t="str">
        <f t="shared" si="906"/>
        <v>X</v>
      </c>
      <c r="L4290" s="1" t="str">
        <f t="shared" si="906"/>
        <v>X</v>
      </c>
      <c r="M4290" s="1" t="str">
        <f t="shared" si="906"/>
        <v>X</v>
      </c>
      <c r="N4290" t="s">
        <v>27</v>
      </c>
    </row>
    <row r="4291" spans="1:14" x14ac:dyDescent="0.25">
      <c r="A4291" t="s">
        <v>41</v>
      </c>
      <c r="B4291" t="s">
        <v>39</v>
      </c>
      <c r="C4291" t="s">
        <v>38</v>
      </c>
      <c r="D4291" t="s">
        <v>31</v>
      </c>
      <c r="E4291" t="s">
        <v>22</v>
      </c>
      <c r="F4291" t="s">
        <v>20</v>
      </c>
      <c r="G4291" s="1" t="str">
        <f t="shared" si="906"/>
        <v>X</v>
      </c>
      <c r="H4291" s="1" t="str">
        <f t="shared" si="906"/>
        <v>X</v>
      </c>
      <c r="I4291" s="1" t="str">
        <f t="shared" si="906"/>
        <v>X</v>
      </c>
      <c r="J4291" s="1" t="str">
        <f t="shared" si="906"/>
        <v>X</v>
      </c>
      <c r="K4291" s="1" t="str">
        <f t="shared" si="906"/>
        <v>X</v>
      </c>
      <c r="L4291" s="1" t="str">
        <f t="shared" si="906"/>
        <v>X</v>
      </c>
      <c r="M4291" s="1" t="str">
        <f t="shared" si="906"/>
        <v>X</v>
      </c>
      <c r="N4291" t="s">
        <v>27</v>
      </c>
    </row>
    <row r="4292" spans="1:14" x14ac:dyDescent="0.25">
      <c r="A4292" t="s">
        <v>41</v>
      </c>
      <c r="B4292" t="s">
        <v>39</v>
      </c>
      <c r="C4292" t="s">
        <v>38</v>
      </c>
      <c r="D4292" t="s">
        <v>31</v>
      </c>
      <c r="E4292" t="s">
        <v>23</v>
      </c>
      <c r="F4292" t="s">
        <v>15</v>
      </c>
      <c r="G4292" s="2">
        <f>VALUE(189.5856487816)</f>
        <v>189.58564878160001</v>
      </c>
      <c r="H4292" s="3">
        <f>VALUE(191.8359181134)</f>
        <v>191.8359181134</v>
      </c>
      <c r="I4292" s="4">
        <f>VALUE(3357)</f>
        <v>3357</v>
      </c>
      <c r="J4292" s="1">
        <f>VALUE(3958)</f>
        <v>3958</v>
      </c>
      <c r="K4292" s="1">
        <f>VALUE(4299)</f>
        <v>4299</v>
      </c>
      <c r="L4292" s="7">
        <f>VALUE(5025)</f>
        <v>5025</v>
      </c>
      <c r="M4292" s="1">
        <f>VALUE(6264)</f>
        <v>6264</v>
      </c>
      <c r="N4292" t="s">
        <v>25</v>
      </c>
    </row>
    <row r="4293" spans="1:14" x14ac:dyDescent="0.25">
      <c r="A4293" t="s">
        <v>41</v>
      </c>
      <c r="B4293" t="s">
        <v>39</v>
      </c>
      <c r="C4293" t="s">
        <v>38</v>
      </c>
      <c r="D4293" t="s">
        <v>31</v>
      </c>
      <c r="E4293" t="s">
        <v>23</v>
      </c>
      <c r="F4293" t="s">
        <v>17</v>
      </c>
      <c r="G4293" s="1" t="str">
        <f t="shared" ref="G4293:M4299" si="907">"X"</f>
        <v>X</v>
      </c>
      <c r="H4293" s="1" t="str">
        <f t="shared" si="907"/>
        <v>X</v>
      </c>
      <c r="I4293" s="1" t="str">
        <f t="shared" si="907"/>
        <v>X</v>
      </c>
      <c r="J4293" s="1" t="str">
        <f t="shared" si="907"/>
        <v>X</v>
      </c>
      <c r="K4293" s="1" t="str">
        <f t="shared" si="907"/>
        <v>X</v>
      </c>
      <c r="L4293" s="1" t="str">
        <f t="shared" si="907"/>
        <v>X</v>
      </c>
      <c r="M4293" s="1" t="str">
        <f t="shared" si="907"/>
        <v>X</v>
      </c>
      <c r="N4293" t="s">
        <v>27</v>
      </c>
    </row>
    <row r="4294" spans="1:14" x14ac:dyDescent="0.25">
      <c r="A4294" t="s">
        <v>41</v>
      </c>
      <c r="B4294" t="s">
        <v>39</v>
      </c>
      <c r="C4294" t="s">
        <v>38</v>
      </c>
      <c r="D4294" t="s">
        <v>31</v>
      </c>
      <c r="E4294" t="s">
        <v>23</v>
      </c>
      <c r="F4294" t="s">
        <v>18</v>
      </c>
      <c r="G4294" s="1" t="str">
        <f t="shared" si="907"/>
        <v>X</v>
      </c>
      <c r="H4294" s="1" t="str">
        <f t="shared" si="907"/>
        <v>X</v>
      </c>
      <c r="I4294" s="1" t="str">
        <f t="shared" si="907"/>
        <v>X</v>
      </c>
      <c r="J4294" s="1" t="str">
        <f t="shared" si="907"/>
        <v>X</v>
      </c>
      <c r="K4294" s="1" t="str">
        <f t="shared" si="907"/>
        <v>X</v>
      </c>
      <c r="L4294" s="1" t="str">
        <f t="shared" si="907"/>
        <v>X</v>
      </c>
      <c r="M4294" s="1" t="str">
        <f t="shared" si="907"/>
        <v>X</v>
      </c>
      <c r="N4294" t="s">
        <v>27</v>
      </c>
    </row>
    <row r="4295" spans="1:14" x14ac:dyDescent="0.25">
      <c r="A4295" t="s">
        <v>41</v>
      </c>
      <c r="B4295" t="s">
        <v>39</v>
      </c>
      <c r="C4295" t="s">
        <v>38</v>
      </c>
      <c r="D4295" t="s">
        <v>31</v>
      </c>
      <c r="E4295" t="s">
        <v>23</v>
      </c>
      <c r="F4295" t="s">
        <v>19</v>
      </c>
      <c r="G4295" s="1" t="str">
        <f t="shared" si="907"/>
        <v>X</v>
      </c>
      <c r="H4295" s="1" t="str">
        <f t="shared" si="907"/>
        <v>X</v>
      </c>
      <c r="I4295" s="1" t="str">
        <f t="shared" si="907"/>
        <v>X</v>
      </c>
      <c r="J4295" s="1" t="str">
        <f t="shared" si="907"/>
        <v>X</v>
      </c>
      <c r="K4295" s="1" t="str">
        <f t="shared" si="907"/>
        <v>X</v>
      </c>
      <c r="L4295" s="1" t="str">
        <f t="shared" si="907"/>
        <v>X</v>
      </c>
      <c r="M4295" s="1" t="str">
        <f t="shared" si="907"/>
        <v>X</v>
      </c>
      <c r="N4295" t="s">
        <v>27</v>
      </c>
    </row>
    <row r="4296" spans="1:14" x14ac:dyDescent="0.25">
      <c r="A4296" t="s">
        <v>41</v>
      </c>
      <c r="B4296" t="s">
        <v>39</v>
      </c>
      <c r="C4296" t="s">
        <v>38</v>
      </c>
      <c r="D4296" t="s">
        <v>31</v>
      </c>
      <c r="E4296" t="s">
        <v>23</v>
      </c>
      <c r="F4296" t="s">
        <v>20</v>
      </c>
      <c r="G4296" s="1" t="str">
        <f t="shared" si="907"/>
        <v>X</v>
      </c>
      <c r="H4296" s="1" t="str">
        <f t="shared" si="907"/>
        <v>X</v>
      </c>
      <c r="I4296" s="1" t="str">
        <f t="shared" si="907"/>
        <v>X</v>
      </c>
      <c r="J4296" s="1" t="str">
        <f t="shared" si="907"/>
        <v>X</v>
      </c>
      <c r="K4296" s="1" t="str">
        <f t="shared" si="907"/>
        <v>X</v>
      </c>
      <c r="L4296" s="1" t="str">
        <f t="shared" si="907"/>
        <v>X</v>
      </c>
      <c r="M4296" s="1" t="str">
        <f t="shared" si="907"/>
        <v>X</v>
      </c>
      <c r="N4296" t="s">
        <v>27</v>
      </c>
    </row>
    <row r="4297" spans="1:14" x14ac:dyDescent="0.25">
      <c r="A4297" t="s">
        <v>41</v>
      </c>
      <c r="B4297" t="s">
        <v>39</v>
      </c>
      <c r="C4297" t="s">
        <v>38</v>
      </c>
      <c r="D4297" t="s">
        <v>31</v>
      </c>
      <c r="E4297" t="s">
        <v>26</v>
      </c>
      <c r="F4297" t="s">
        <v>15</v>
      </c>
      <c r="G4297" s="1" t="str">
        <f t="shared" si="907"/>
        <v>X</v>
      </c>
      <c r="H4297" s="1" t="str">
        <f t="shared" si="907"/>
        <v>X</v>
      </c>
      <c r="I4297" s="1" t="str">
        <f t="shared" si="907"/>
        <v>X</v>
      </c>
      <c r="J4297" s="1" t="str">
        <f t="shared" si="907"/>
        <v>X</v>
      </c>
      <c r="K4297" s="1" t="str">
        <f t="shared" si="907"/>
        <v>X</v>
      </c>
      <c r="L4297" s="1" t="str">
        <f t="shared" si="907"/>
        <v>X</v>
      </c>
      <c r="M4297" s="1" t="str">
        <f t="shared" si="907"/>
        <v>X</v>
      </c>
      <c r="N4297" t="s">
        <v>27</v>
      </c>
    </row>
    <row r="4298" spans="1:14" x14ac:dyDescent="0.25">
      <c r="A4298" t="s">
        <v>41</v>
      </c>
      <c r="B4298" t="s">
        <v>39</v>
      </c>
      <c r="C4298" t="s">
        <v>38</v>
      </c>
      <c r="D4298" t="s">
        <v>31</v>
      </c>
      <c r="E4298" t="s">
        <v>26</v>
      </c>
      <c r="F4298" t="s">
        <v>17</v>
      </c>
      <c r="G4298" s="1" t="str">
        <f t="shared" si="907"/>
        <v>X</v>
      </c>
      <c r="H4298" s="1" t="str">
        <f t="shared" si="907"/>
        <v>X</v>
      </c>
      <c r="I4298" s="1" t="str">
        <f t="shared" si="907"/>
        <v>X</v>
      </c>
      <c r="J4298" s="1" t="str">
        <f t="shared" si="907"/>
        <v>X</v>
      </c>
      <c r="K4298" s="1" t="str">
        <f t="shared" si="907"/>
        <v>X</v>
      </c>
      <c r="L4298" s="1" t="str">
        <f t="shared" si="907"/>
        <v>X</v>
      </c>
      <c r="M4298" s="1" t="str">
        <f t="shared" si="907"/>
        <v>X</v>
      </c>
      <c r="N4298" t="s">
        <v>27</v>
      </c>
    </row>
    <row r="4299" spans="1:14" x14ac:dyDescent="0.25">
      <c r="A4299" t="s">
        <v>41</v>
      </c>
      <c r="B4299" t="s">
        <v>39</v>
      </c>
      <c r="C4299" t="s">
        <v>38</v>
      </c>
      <c r="D4299" t="s">
        <v>31</v>
      </c>
      <c r="E4299" t="s">
        <v>26</v>
      </c>
      <c r="F4299" t="s">
        <v>18</v>
      </c>
      <c r="G4299" s="1" t="str">
        <f t="shared" si="907"/>
        <v>X</v>
      </c>
      <c r="H4299" s="1" t="str">
        <f t="shared" si="907"/>
        <v>X</v>
      </c>
      <c r="I4299" s="1" t="str">
        <f t="shared" si="907"/>
        <v>X</v>
      </c>
      <c r="J4299" s="1" t="str">
        <f t="shared" si="907"/>
        <v>X</v>
      </c>
      <c r="K4299" s="1" t="str">
        <f t="shared" si="907"/>
        <v>X</v>
      </c>
      <c r="L4299" s="1" t="str">
        <f t="shared" si="907"/>
        <v>X</v>
      </c>
      <c r="M4299" s="1" t="str">
        <f t="shared" si="907"/>
        <v>X</v>
      </c>
      <c r="N4299" t="s">
        <v>27</v>
      </c>
    </row>
    <row r="4300" spans="1:14" x14ac:dyDescent="0.25">
      <c r="A4300" t="s">
        <v>41</v>
      </c>
      <c r="B4300" t="s">
        <v>39</v>
      </c>
      <c r="C4300" t="s">
        <v>38</v>
      </c>
      <c r="D4300" t="s">
        <v>31</v>
      </c>
      <c r="E4300" t="s">
        <v>26</v>
      </c>
      <c r="F4300" t="s">
        <v>19</v>
      </c>
      <c r="G4300" s="1" t="str">
        <f t="shared" ref="G4300:M4300" si="908">"..."</f>
        <v>...</v>
      </c>
      <c r="H4300" s="1" t="str">
        <f t="shared" si="908"/>
        <v>...</v>
      </c>
      <c r="I4300" s="1" t="str">
        <f t="shared" si="908"/>
        <v>...</v>
      </c>
      <c r="J4300" s="1" t="str">
        <f t="shared" si="908"/>
        <v>...</v>
      </c>
      <c r="K4300" s="1" t="str">
        <f t="shared" si="908"/>
        <v>...</v>
      </c>
      <c r="L4300" s="1" t="str">
        <f t="shared" si="908"/>
        <v>...</v>
      </c>
      <c r="M4300" s="1" t="str">
        <f t="shared" si="908"/>
        <v>...</v>
      </c>
      <c r="N4300" t="s">
        <v>30</v>
      </c>
    </row>
    <row r="4301" spans="1:14" x14ac:dyDescent="0.25">
      <c r="A4301" t="s">
        <v>41</v>
      </c>
      <c r="B4301" t="s">
        <v>39</v>
      </c>
      <c r="C4301" t="s">
        <v>38</v>
      </c>
      <c r="D4301" t="s">
        <v>31</v>
      </c>
      <c r="E4301" t="s">
        <v>26</v>
      </c>
      <c r="F4301" t="s">
        <v>20</v>
      </c>
      <c r="G4301" s="1" t="str">
        <f t="shared" ref="G4301:M4301" si="909">"X"</f>
        <v>X</v>
      </c>
      <c r="H4301" s="1" t="str">
        <f t="shared" si="909"/>
        <v>X</v>
      </c>
      <c r="I4301" s="1" t="str">
        <f t="shared" si="909"/>
        <v>X</v>
      </c>
      <c r="J4301" s="1" t="str">
        <f t="shared" si="909"/>
        <v>X</v>
      </c>
      <c r="K4301" s="1" t="str">
        <f t="shared" si="909"/>
        <v>X</v>
      </c>
      <c r="L4301" s="1" t="str">
        <f t="shared" si="909"/>
        <v>X</v>
      </c>
      <c r="M4301" s="1" t="str">
        <f t="shared" si="909"/>
        <v>X</v>
      </c>
      <c r="N4301" t="s">
        <v>27</v>
      </c>
    </row>
    <row r="4302" spans="1:14" x14ac:dyDescent="0.25">
      <c r="A4302" t="s">
        <v>41</v>
      </c>
      <c r="B4302" t="s">
        <v>39</v>
      </c>
      <c r="C4302" t="s">
        <v>38</v>
      </c>
      <c r="D4302" t="s">
        <v>32</v>
      </c>
      <c r="E4302" t="s">
        <v>15</v>
      </c>
      <c r="F4302" t="s">
        <v>15</v>
      </c>
      <c r="G4302" s="1">
        <f>VALUE(5386.4503155279)</f>
        <v>5386.4503155278999</v>
      </c>
      <c r="H4302" s="1">
        <f>VALUE(5325.1998203816)</f>
        <v>5325.1998203816001</v>
      </c>
      <c r="I4302" s="1">
        <f>VALUE(3715)</f>
        <v>3715</v>
      </c>
      <c r="J4302" s="1">
        <f>VALUE(4385)</f>
        <v>4385</v>
      </c>
      <c r="K4302" s="1">
        <f>VALUE(5304)</f>
        <v>5304</v>
      </c>
      <c r="L4302" s="1">
        <f>VALUE(6219)</f>
        <v>6219</v>
      </c>
      <c r="M4302" s="1">
        <f>VALUE(7551)</f>
        <v>7551</v>
      </c>
      <c r="N4302" t="s">
        <v>16</v>
      </c>
    </row>
    <row r="4303" spans="1:14" x14ac:dyDescent="0.25">
      <c r="A4303" t="s">
        <v>41</v>
      </c>
      <c r="B4303" t="s">
        <v>39</v>
      </c>
      <c r="C4303" t="s">
        <v>38</v>
      </c>
      <c r="D4303" t="s">
        <v>32</v>
      </c>
      <c r="E4303" t="s">
        <v>15</v>
      </c>
      <c r="F4303" t="s">
        <v>17</v>
      </c>
      <c r="G4303" s="2">
        <f>VALUE(693.352398236)</f>
        <v>693.352398236</v>
      </c>
      <c r="H4303" s="3">
        <f>VALUE(681.5445355755)</f>
        <v>681.54453557550005</v>
      </c>
      <c r="I4303" s="4">
        <f>VALUE(4132)</f>
        <v>4132</v>
      </c>
      <c r="J4303" s="5">
        <f>VALUE(5542)</f>
        <v>5542</v>
      </c>
      <c r="K4303" s="6">
        <f>VALUE(7143)</f>
        <v>7143</v>
      </c>
      <c r="L4303" s="7">
        <f>VALUE(10094)</f>
        <v>10094</v>
      </c>
      <c r="M4303" s="8">
        <f>VALUE(15518)</f>
        <v>15518</v>
      </c>
      <c r="N4303" t="s">
        <v>24</v>
      </c>
    </row>
    <row r="4304" spans="1:14" x14ac:dyDescent="0.25">
      <c r="A4304" t="s">
        <v>41</v>
      </c>
      <c r="B4304" t="s">
        <v>39</v>
      </c>
      <c r="C4304" t="s">
        <v>38</v>
      </c>
      <c r="D4304" t="s">
        <v>32</v>
      </c>
      <c r="E4304" t="s">
        <v>15</v>
      </c>
      <c r="F4304" t="s">
        <v>18</v>
      </c>
      <c r="G4304" s="2">
        <f>VALUE(575.9583356865)</f>
        <v>575.95833568650005</v>
      </c>
      <c r="H4304" s="3">
        <f>VALUE(554.8002457917)</f>
        <v>554.80024579170004</v>
      </c>
      <c r="I4304" s="4">
        <f>VALUE(4056)</f>
        <v>4056</v>
      </c>
      <c r="J4304" s="5">
        <f>VALUE(4983)</f>
        <v>4983</v>
      </c>
      <c r="K4304" s="1">
        <f>VALUE(5874)</f>
        <v>5874</v>
      </c>
      <c r="L4304" s="1">
        <f>VALUE(7089)</f>
        <v>7089</v>
      </c>
      <c r="M4304" s="1">
        <f>VALUE(8514)</f>
        <v>8514</v>
      </c>
      <c r="N4304" t="s">
        <v>25</v>
      </c>
    </row>
    <row r="4305" spans="1:14" x14ac:dyDescent="0.25">
      <c r="A4305" t="s">
        <v>41</v>
      </c>
      <c r="B4305" t="s">
        <v>39</v>
      </c>
      <c r="C4305" t="s">
        <v>38</v>
      </c>
      <c r="D4305" t="s">
        <v>32</v>
      </c>
      <c r="E4305" t="s">
        <v>15</v>
      </c>
      <c r="F4305" t="s">
        <v>19</v>
      </c>
      <c r="G4305" s="2">
        <f>VALUE(826.2940540406)</f>
        <v>826.29405404060003</v>
      </c>
      <c r="H4305" s="3">
        <f>VALUE(810.2335951755)</f>
        <v>810.2335951755</v>
      </c>
      <c r="I4305" s="1">
        <f>VALUE(3870)</f>
        <v>3870</v>
      </c>
      <c r="J4305" s="1">
        <f>VALUE(4426)</f>
        <v>4426</v>
      </c>
      <c r="K4305" s="1">
        <f>VALUE(5211)</f>
        <v>5211</v>
      </c>
      <c r="L4305" s="1">
        <f>VALUE(6440)</f>
        <v>6440</v>
      </c>
      <c r="M4305" s="1">
        <f>VALUE(7243)</f>
        <v>7243</v>
      </c>
      <c r="N4305" t="s">
        <v>25</v>
      </c>
    </row>
    <row r="4306" spans="1:14" x14ac:dyDescent="0.25">
      <c r="A4306" t="s">
        <v>41</v>
      </c>
      <c r="B4306" t="s">
        <v>39</v>
      </c>
      <c r="C4306" t="s">
        <v>38</v>
      </c>
      <c r="D4306" t="s">
        <v>32</v>
      </c>
      <c r="E4306" t="s">
        <v>15</v>
      </c>
      <c r="F4306" t="s">
        <v>20</v>
      </c>
      <c r="G4306" s="1">
        <f>VALUE(3290.8455275648)</f>
        <v>3290.8455275647998</v>
      </c>
      <c r="H4306" s="1">
        <f>VALUE(3278.6214438389)</f>
        <v>3278.6214438389002</v>
      </c>
      <c r="I4306" s="1">
        <f>VALUE(3545)</f>
        <v>3545</v>
      </c>
      <c r="J4306" s="1">
        <f>VALUE(4259)</f>
        <v>4259</v>
      </c>
      <c r="K4306" s="1">
        <f>VALUE(5059)</f>
        <v>5059</v>
      </c>
      <c r="L4306" s="1">
        <f>VALUE(5821)</f>
        <v>5821</v>
      </c>
      <c r="M4306" s="1">
        <f>VALUE(6438)</f>
        <v>6438</v>
      </c>
      <c r="N4306" t="s">
        <v>16</v>
      </c>
    </row>
    <row r="4307" spans="1:14" x14ac:dyDescent="0.25">
      <c r="A4307" t="s">
        <v>41</v>
      </c>
      <c r="B4307" t="s">
        <v>39</v>
      </c>
      <c r="C4307" t="s">
        <v>38</v>
      </c>
      <c r="D4307" t="s">
        <v>32</v>
      </c>
      <c r="E4307" t="s">
        <v>21</v>
      </c>
      <c r="F4307" t="s">
        <v>15</v>
      </c>
      <c r="G4307" s="2">
        <f>VALUE(672.0463490967)</f>
        <v>672.04634909670006</v>
      </c>
      <c r="H4307" s="3">
        <f>VALUE(611.7979413849)</f>
        <v>611.79794138490001</v>
      </c>
      <c r="I4307" s="4">
        <f>VALUE(3933)</f>
        <v>3933</v>
      </c>
      <c r="J4307" s="5">
        <f>VALUE(5571)</f>
        <v>5571</v>
      </c>
      <c r="K4307" s="1">
        <f>VALUE(7259)</f>
        <v>7259</v>
      </c>
      <c r="L4307" s="7">
        <f>VALUE(9641)</f>
        <v>9641</v>
      </c>
      <c r="M4307" s="8">
        <f>VALUE(15518)</f>
        <v>15518</v>
      </c>
      <c r="N4307" t="s">
        <v>25</v>
      </c>
    </row>
    <row r="4308" spans="1:14" x14ac:dyDescent="0.25">
      <c r="A4308" t="s">
        <v>41</v>
      </c>
      <c r="B4308" t="s">
        <v>39</v>
      </c>
      <c r="C4308" t="s">
        <v>38</v>
      </c>
      <c r="D4308" t="s">
        <v>32</v>
      </c>
      <c r="E4308" t="s">
        <v>21</v>
      </c>
      <c r="F4308" t="s">
        <v>17</v>
      </c>
      <c r="G4308" s="2">
        <f>VALUE(312.9497605495)</f>
        <v>312.94976054950001</v>
      </c>
      <c r="H4308" s="3">
        <f>VALUE(296.0136752812)</f>
        <v>296.01367528119999</v>
      </c>
      <c r="I4308" s="4">
        <f>VALUE(5000)</f>
        <v>5000</v>
      </c>
      <c r="J4308" s="5">
        <f>VALUE(6551)</f>
        <v>6551</v>
      </c>
      <c r="K4308" s="6">
        <f>VALUE(8846)</f>
        <v>8846</v>
      </c>
      <c r="L4308" s="7">
        <f>VALUE(14143)</f>
        <v>14143</v>
      </c>
      <c r="M4308" s="8">
        <f>VALUE(21246)</f>
        <v>21246</v>
      </c>
      <c r="N4308" t="s">
        <v>24</v>
      </c>
    </row>
    <row r="4309" spans="1:14" x14ac:dyDescent="0.25">
      <c r="A4309" t="s">
        <v>41</v>
      </c>
      <c r="B4309" t="s">
        <v>39</v>
      </c>
      <c r="C4309" t="s">
        <v>38</v>
      </c>
      <c r="D4309" t="s">
        <v>32</v>
      </c>
      <c r="E4309" t="s">
        <v>21</v>
      </c>
      <c r="F4309" t="s">
        <v>18</v>
      </c>
      <c r="G4309" s="1" t="str">
        <f t="shared" ref="G4309:M4310" si="910">"X"</f>
        <v>X</v>
      </c>
      <c r="H4309" s="1" t="str">
        <f t="shared" si="910"/>
        <v>X</v>
      </c>
      <c r="I4309" s="1" t="str">
        <f t="shared" si="910"/>
        <v>X</v>
      </c>
      <c r="J4309" s="1" t="str">
        <f t="shared" si="910"/>
        <v>X</v>
      </c>
      <c r="K4309" s="1" t="str">
        <f t="shared" si="910"/>
        <v>X</v>
      </c>
      <c r="L4309" s="1" t="str">
        <f t="shared" si="910"/>
        <v>X</v>
      </c>
      <c r="M4309" s="1" t="str">
        <f t="shared" si="910"/>
        <v>X</v>
      </c>
      <c r="N4309" t="s">
        <v>27</v>
      </c>
    </row>
    <row r="4310" spans="1:14" x14ac:dyDescent="0.25">
      <c r="A4310" t="s">
        <v>41</v>
      </c>
      <c r="B4310" t="s">
        <v>39</v>
      </c>
      <c r="C4310" t="s">
        <v>38</v>
      </c>
      <c r="D4310" t="s">
        <v>32</v>
      </c>
      <c r="E4310" t="s">
        <v>21</v>
      </c>
      <c r="F4310" t="s">
        <v>19</v>
      </c>
      <c r="G4310" s="1" t="str">
        <f t="shared" si="910"/>
        <v>X</v>
      </c>
      <c r="H4310" s="1" t="str">
        <f t="shared" si="910"/>
        <v>X</v>
      </c>
      <c r="I4310" s="1" t="str">
        <f t="shared" si="910"/>
        <v>X</v>
      </c>
      <c r="J4310" s="1" t="str">
        <f t="shared" si="910"/>
        <v>X</v>
      </c>
      <c r="K4310" s="1" t="str">
        <f t="shared" si="910"/>
        <v>X</v>
      </c>
      <c r="L4310" s="1" t="str">
        <f t="shared" si="910"/>
        <v>X</v>
      </c>
      <c r="M4310" s="1" t="str">
        <f t="shared" si="910"/>
        <v>X</v>
      </c>
      <c r="N4310" t="s">
        <v>27</v>
      </c>
    </row>
    <row r="4311" spans="1:14" x14ac:dyDescent="0.25">
      <c r="A4311" t="s">
        <v>41</v>
      </c>
      <c r="B4311" t="s">
        <v>39</v>
      </c>
      <c r="C4311" t="s">
        <v>38</v>
      </c>
      <c r="D4311" t="s">
        <v>32</v>
      </c>
      <c r="E4311" t="s">
        <v>21</v>
      </c>
      <c r="F4311" t="s">
        <v>20</v>
      </c>
      <c r="G4311" s="2">
        <f>VALUE(130.4749795173)</f>
        <v>130.4749795173</v>
      </c>
      <c r="H4311" s="3">
        <f>VALUE(123.2629145632)</f>
        <v>123.2629145632</v>
      </c>
      <c r="I4311" s="1">
        <f>VALUE(3258)</f>
        <v>3258</v>
      </c>
      <c r="J4311" s="5">
        <f>VALUE(4678)</f>
        <v>4678</v>
      </c>
      <c r="K4311" s="1">
        <f>VALUE(5901)</f>
        <v>5901</v>
      </c>
      <c r="L4311" s="1">
        <f>VALUE(7274)</f>
        <v>7274</v>
      </c>
      <c r="M4311" s="8">
        <f>VALUE(8750)</f>
        <v>8750</v>
      </c>
      <c r="N4311" t="s">
        <v>25</v>
      </c>
    </row>
    <row r="4312" spans="1:14" x14ac:dyDescent="0.25">
      <c r="A4312" t="s">
        <v>41</v>
      </c>
      <c r="B4312" t="s">
        <v>39</v>
      </c>
      <c r="C4312" t="s">
        <v>38</v>
      </c>
      <c r="D4312" t="s">
        <v>32</v>
      </c>
      <c r="E4312" t="s">
        <v>22</v>
      </c>
      <c r="F4312" t="s">
        <v>15</v>
      </c>
      <c r="G4312" s="1">
        <f>VALUE(1429.116439998)</f>
        <v>1429.116439998</v>
      </c>
      <c r="H4312" s="1">
        <f>VALUE(1426.8541074799)</f>
        <v>1426.8541074799</v>
      </c>
      <c r="I4312" s="1">
        <f>VALUE(3989)</f>
        <v>3989</v>
      </c>
      <c r="J4312" s="1">
        <f>VALUE(4792)</f>
        <v>4792</v>
      </c>
      <c r="K4312" s="1">
        <f>VALUE(5664)</f>
        <v>5664</v>
      </c>
      <c r="L4312" s="1">
        <f>VALUE(6530)</f>
        <v>6530</v>
      </c>
      <c r="M4312" s="1">
        <f>VALUE(7781)</f>
        <v>7781</v>
      </c>
      <c r="N4312" t="s">
        <v>16</v>
      </c>
    </row>
    <row r="4313" spans="1:14" x14ac:dyDescent="0.25">
      <c r="A4313" t="s">
        <v>41</v>
      </c>
      <c r="B4313" t="s">
        <v>39</v>
      </c>
      <c r="C4313" t="s">
        <v>38</v>
      </c>
      <c r="D4313" t="s">
        <v>32</v>
      </c>
      <c r="E4313" t="s">
        <v>22</v>
      </c>
      <c r="F4313" t="s">
        <v>17</v>
      </c>
      <c r="G4313" s="2">
        <f>VALUE(195.2966855737)</f>
        <v>195.29668557369999</v>
      </c>
      <c r="H4313" s="3">
        <f>VALUE(197.651996699)</f>
        <v>197.65199669899999</v>
      </c>
      <c r="I4313" s="4">
        <f>VALUE(4475)</f>
        <v>4475</v>
      </c>
      <c r="J4313" s="5">
        <f>VALUE(5710)</f>
        <v>5710</v>
      </c>
      <c r="K4313" s="6">
        <f>VALUE(6500)</f>
        <v>6500</v>
      </c>
      <c r="L4313" s="7">
        <f>VALUE(9330)</f>
        <v>9330</v>
      </c>
      <c r="M4313" s="1">
        <f>VALUE(11478)</f>
        <v>11478</v>
      </c>
      <c r="N4313" t="s">
        <v>25</v>
      </c>
    </row>
    <row r="4314" spans="1:14" x14ac:dyDescent="0.25">
      <c r="A4314" t="s">
        <v>41</v>
      </c>
      <c r="B4314" t="s">
        <v>39</v>
      </c>
      <c r="C4314" t="s">
        <v>38</v>
      </c>
      <c r="D4314" t="s">
        <v>32</v>
      </c>
      <c r="E4314" t="s">
        <v>22</v>
      </c>
      <c r="F4314" t="s">
        <v>18</v>
      </c>
      <c r="G4314" s="2">
        <f>VALUE(172.2712578081)</f>
        <v>172.27125780809999</v>
      </c>
      <c r="H4314" s="3">
        <f>VALUE(171.0697197103)</f>
        <v>171.06971971030001</v>
      </c>
      <c r="I4314" s="4">
        <f>VALUE(4363)</f>
        <v>4363</v>
      </c>
      <c r="J4314" s="1">
        <f>VALUE(5739)</f>
        <v>5739</v>
      </c>
      <c r="K4314" s="1">
        <f>VALUE(6350)</f>
        <v>6350</v>
      </c>
      <c r="L4314" s="7">
        <f>VALUE(7398)</f>
        <v>7398</v>
      </c>
      <c r="M4314" s="1">
        <f>VALUE(8667)</f>
        <v>8667</v>
      </c>
      <c r="N4314" t="s">
        <v>25</v>
      </c>
    </row>
    <row r="4315" spans="1:14" x14ac:dyDescent="0.25">
      <c r="A4315" t="s">
        <v>41</v>
      </c>
      <c r="B4315" t="s">
        <v>39</v>
      </c>
      <c r="C4315" t="s">
        <v>38</v>
      </c>
      <c r="D4315" t="s">
        <v>32</v>
      </c>
      <c r="E4315" t="s">
        <v>22</v>
      </c>
      <c r="F4315" t="s">
        <v>19</v>
      </c>
      <c r="G4315" s="2">
        <f>VALUE(271.0777474475)</f>
        <v>271.07774744749997</v>
      </c>
      <c r="H4315" s="3">
        <f>VALUE(275.1021560153)</f>
        <v>275.10215601530001</v>
      </c>
      <c r="I4315" s="1">
        <f>VALUE(4293)</f>
        <v>4293</v>
      </c>
      <c r="J4315" s="1">
        <f>VALUE(4997)</f>
        <v>4997</v>
      </c>
      <c r="K4315" s="1">
        <f>VALUE(5892)</f>
        <v>5892</v>
      </c>
      <c r="L4315" s="1">
        <f>VALUE(6631)</f>
        <v>6631</v>
      </c>
      <c r="M4315" s="1">
        <f>VALUE(7347)</f>
        <v>7347</v>
      </c>
      <c r="N4315" t="s">
        <v>25</v>
      </c>
    </row>
    <row r="4316" spans="1:14" x14ac:dyDescent="0.25">
      <c r="A4316" t="s">
        <v>41</v>
      </c>
      <c r="B4316" t="s">
        <v>39</v>
      </c>
      <c r="C4316" t="s">
        <v>38</v>
      </c>
      <c r="D4316" t="s">
        <v>32</v>
      </c>
      <c r="E4316" t="s">
        <v>22</v>
      </c>
      <c r="F4316" t="s">
        <v>20</v>
      </c>
      <c r="G4316" s="2">
        <f>VALUE(790.4707491687)</f>
        <v>790.47074916869997</v>
      </c>
      <c r="H4316" s="3">
        <f>VALUE(783.0302350553)</f>
        <v>783.03023505529995</v>
      </c>
      <c r="I4316" s="1">
        <f>VALUE(3721)</f>
        <v>3721</v>
      </c>
      <c r="J4316" s="1">
        <f>VALUE(4505)</f>
        <v>4505</v>
      </c>
      <c r="K4316" s="1">
        <f>VALUE(5240)</f>
        <v>5240</v>
      </c>
      <c r="L4316" s="1">
        <f>VALUE(6035)</f>
        <v>6035</v>
      </c>
      <c r="M4316" s="1">
        <f>VALUE(6822)</f>
        <v>6822</v>
      </c>
      <c r="N4316" t="s">
        <v>25</v>
      </c>
    </row>
    <row r="4317" spans="1:14" x14ac:dyDescent="0.25">
      <c r="A4317" t="s">
        <v>41</v>
      </c>
      <c r="B4317" t="s">
        <v>39</v>
      </c>
      <c r="C4317" t="s">
        <v>38</v>
      </c>
      <c r="D4317" t="s">
        <v>32</v>
      </c>
      <c r="E4317" t="s">
        <v>23</v>
      </c>
      <c r="F4317" t="s">
        <v>15</v>
      </c>
      <c r="G4317" s="1">
        <f>VALUE(3278.1551502626)</f>
        <v>3278.1551502625998</v>
      </c>
      <c r="H4317" s="1">
        <f>VALUE(3278.9900444922)</f>
        <v>3278.9900444922</v>
      </c>
      <c r="I4317" s="1">
        <f>VALUE(3558)</f>
        <v>3558</v>
      </c>
      <c r="J4317" s="1">
        <f>VALUE(4253)</f>
        <v>4253</v>
      </c>
      <c r="K4317" s="1">
        <f>VALUE(5025)</f>
        <v>5025</v>
      </c>
      <c r="L4317" s="1">
        <f>VALUE(5776)</f>
        <v>5776</v>
      </c>
      <c r="M4317" s="1">
        <f>VALUE(6470)</f>
        <v>6470</v>
      </c>
      <c r="N4317" t="s">
        <v>16</v>
      </c>
    </row>
    <row r="4318" spans="1:14" x14ac:dyDescent="0.25">
      <c r="A4318" t="s">
        <v>41</v>
      </c>
      <c r="B4318" t="s">
        <v>39</v>
      </c>
      <c r="C4318" t="s">
        <v>38</v>
      </c>
      <c r="D4318" t="s">
        <v>32</v>
      </c>
      <c r="E4318" t="s">
        <v>23</v>
      </c>
      <c r="F4318" t="s">
        <v>17</v>
      </c>
      <c r="G4318" s="1" t="str">
        <f t="shared" ref="G4318:M4318" si="911">"X"</f>
        <v>X</v>
      </c>
      <c r="H4318" s="1" t="str">
        <f t="shared" si="911"/>
        <v>X</v>
      </c>
      <c r="I4318" s="1" t="str">
        <f t="shared" si="911"/>
        <v>X</v>
      </c>
      <c r="J4318" s="1" t="str">
        <f t="shared" si="911"/>
        <v>X</v>
      </c>
      <c r="K4318" s="1" t="str">
        <f t="shared" si="911"/>
        <v>X</v>
      </c>
      <c r="L4318" s="1" t="str">
        <f t="shared" si="911"/>
        <v>X</v>
      </c>
      <c r="M4318" s="1" t="str">
        <f t="shared" si="911"/>
        <v>X</v>
      </c>
      <c r="N4318" t="s">
        <v>27</v>
      </c>
    </row>
    <row r="4319" spans="1:14" x14ac:dyDescent="0.25">
      <c r="A4319" t="s">
        <v>41</v>
      </c>
      <c r="B4319" t="s">
        <v>39</v>
      </c>
      <c r="C4319" t="s">
        <v>38</v>
      </c>
      <c r="D4319" t="s">
        <v>32</v>
      </c>
      <c r="E4319" t="s">
        <v>23</v>
      </c>
      <c r="F4319" t="s">
        <v>18</v>
      </c>
      <c r="G4319" s="2">
        <f>VALUE(281.5905896012)</f>
        <v>281.59058960120001</v>
      </c>
      <c r="H4319" s="3">
        <f>VALUE(275.337632323)</f>
        <v>275.33763232299998</v>
      </c>
      <c r="I4319" s="4">
        <f>VALUE(4117)</f>
        <v>4117</v>
      </c>
      <c r="J4319" s="5">
        <f>VALUE(4767)</f>
        <v>4767</v>
      </c>
      <c r="K4319" s="1">
        <f>VALUE(5403)</f>
        <v>5403</v>
      </c>
      <c r="L4319" s="7">
        <f>VALUE(5920)</f>
        <v>5920</v>
      </c>
      <c r="M4319" s="1">
        <f>VALUE(7089)</f>
        <v>7089</v>
      </c>
      <c r="N4319" t="s">
        <v>25</v>
      </c>
    </row>
    <row r="4320" spans="1:14" x14ac:dyDescent="0.25">
      <c r="A4320" t="s">
        <v>41</v>
      </c>
      <c r="B4320" t="s">
        <v>39</v>
      </c>
      <c r="C4320" t="s">
        <v>38</v>
      </c>
      <c r="D4320" t="s">
        <v>32</v>
      </c>
      <c r="E4320" t="s">
        <v>23</v>
      </c>
      <c r="F4320" t="s">
        <v>19</v>
      </c>
      <c r="G4320" s="2">
        <f>VALUE(447.2301543916)</f>
        <v>447.23015439160002</v>
      </c>
      <c r="H4320" s="3">
        <f>VALUE(449.4688983569)</f>
        <v>449.46889835690001</v>
      </c>
      <c r="I4320" s="1">
        <f>VALUE(3732)</f>
        <v>3732</v>
      </c>
      <c r="J4320" s="1">
        <f>VALUE(4283)</f>
        <v>4283</v>
      </c>
      <c r="K4320" s="1">
        <f>VALUE(4698)</f>
        <v>4698</v>
      </c>
      <c r="L4320" s="1">
        <f>VALUE(5861)</f>
        <v>5861</v>
      </c>
      <c r="M4320" s="1">
        <f>VALUE(6696)</f>
        <v>6696</v>
      </c>
      <c r="N4320" t="s">
        <v>25</v>
      </c>
    </row>
    <row r="4321" spans="1:14" x14ac:dyDescent="0.25">
      <c r="A4321" t="s">
        <v>41</v>
      </c>
      <c r="B4321" t="s">
        <v>39</v>
      </c>
      <c r="C4321" t="s">
        <v>38</v>
      </c>
      <c r="D4321" t="s">
        <v>32</v>
      </c>
      <c r="E4321" t="s">
        <v>23</v>
      </c>
      <c r="F4321" t="s">
        <v>20</v>
      </c>
      <c r="G4321" s="1">
        <f>VALUE(2369.8997988788)</f>
        <v>2369.8997988788001</v>
      </c>
      <c r="H4321" s="1">
        <f>VALUE(2372.3282942204)</f>
        <v>2372.3282942204</v>
      </c>
      <c r="I4321" s="1">
        <f>VALUE(3518)</f>
        <v>3518</v>
      </c>
      <c r="J4321" s="1">
        <f>VALUE(4194)</f>
        <v>4194</v>
      </c>
      <c r="K4321" s="1">
        <f>VALUE(4983)</f>
        <v>4983</v>
      </c>
      <c r="L4321" s="1">
        <f>VALUE(5685)</f>
        <v>5685</v>
      </c>
      <c r="M4321" s="1">
        <f>VALUE(6233)</f>
        <v>6233</v>
      </c>
      <c r="N4321" t="s">
        <v>16</v>
      </c>
    </row>
    <row r="4322" spans="1:14" x14ac:dyDescent="0.25">
      <c r="A4322" t="s">
        <v>41</v>
      </c>
      <c r="B4322" t="s">
        <v>39</v>
      </c>
      <c r="C4322" t="s">
        <v>38</v>
      </c>
      <c r="D4322" t="s">
        <v>32</v>
      </c>
      <c r="E4322" t="s">
        <v>26</v>
      </c>
      <c r="F4322" t="s">
        <v>15</v>
      </c>
      <c r="G4322" s="1" t="str">
        <f t="shared" ref="G4322:M4324" si="912">"X"</f>
        <v>X</v>
      </c>
      <c r="H4322" s="1" t="str">
        <f t="shared" si="912"/>
        <v>X</v>
      </c>
      <c r="I4322" s="1" t="str">
        <f t="shared" si="912"/>
        <v>X</v>
      </c>
      <c r="J4322" s="1" t="str">
        <f t="shared" si="912"/>
        <v>X</v>
      </c>
      <c r="K4322" s="1" t="str">
        <f t="shared" si="912"/>
        <v>X</v>
      </c>
      <c r="L4322" s="1" t="str">
        <f t="shared" si="912"/>
        <v>X</v>
      </c>
      <c r="M4322" s="1" t="str">
        <f t="shared" si="912"/>
        <v>X</v>
      </c>
      <c r="N4322" t="s">
        <v>27</v>
      </c>
    </row>
    <row r="4323" spans="1:14" x14ac:dyDescent="0.25">
      <c r="A4323" t="s">
        <v>41</v>
      </c>
      <c r="B4323" t="s">
        <v>39</v>
      </c>
      <c r="C4323" t="s">
        <v>38</v>
      </c>
      <c r="D4323" t="s">
        <v>32</v>
      </c>
      <c r="E4323" t="s">
        <v>26</v>
      </c>
      <c r="F4323" t="s">
        <v>17</v>
      </c>
      <c r="G4323" s="1" t="str">
        <f t="shared" si="912"/>
        <v>X</v>
      </c>
      <c r="H4323" s="1" t="str">
        <f t="shared" si="912"/>
        <v>X</v>
      </c>
      <c r="I4323" s="1" t="str">
        <f t="shared" si="912"/>
        <v>X</v>
      </c>
      <c r="J4323" s="1" t="str">
        <f t="shared" si="912"/>
        <v>X</v>
      </c>
      <c r="K4323" s="1" t="str">
        <f t="shared" si="912"/>
        <v>X</v>
      </c>
      <c r="L4323" s="1" t="str">
        <f t="shared" si="912"/>
        <v>X</v>
      </c>
      <c r="M4323" s="1" t="str">
        <f t="shared" si="912"/>
        <v>X</v>
      </c>
      <c r="N4323" t="s">
        <v>27</v>
      </c>
    </row>
    <row r="4324" spans="1:14" x14ac:dyDescent="0.25">
      <c r="A4324" t="s">
        <v>41</v>
      </c>
      <c r="B4324" t="s">
        <v>39</v>
      </c>
      <c r="C4324" t="s">
        <v>38</v>
      </c>
      <c r="D4324" t="s">
        <v>32</v>
      </c>
      <c r="E4324" t="s">
        <v>26</v>
      </c>
      <c r="F4324" t="s">
        <v>18</v>
      </c>
      <c r="G4324" s="1" t="str">
        <f t="shared" si="912"/>
        <v>X</v>
      </c>
      <c r="H4324" s="1" t="str">
        <f t="shared" si="912"/>
        <v>X</v>
      </c>
      <c r="I4324" s="1" t="str">
        <f t="shared" si="912"/>
        <v>X</v>
      </c>
      <c r="J4324" s="1" t="str">
        <f t="shared" si="912"/>
        <v>X</v>
      </c>
      <c r="K4324" s="1" t="str">
        <f t="shared" si="912"/>
        <v>X</v>
      </c>
      <c r="L4324" s="1" t="str">
        <f t="shared" si="912"/>
        <v>X</v>
      </c>
      <c r="M4324" s="1" t="str">
        <f t="shared" si="912"/>
        <v>X</v>
      </c>
      <c r="N4324" t="s">
        <v>27</v>
      </c>
    </row>
    <row r="4325" spans="1:14" x14ac:dyDescent="0.25">
      <c r="A4325" t="s">
        <v>41</v>
      </c>
      <c r="B4325" t="s">
        <v>39</v>
      </c>
      <c r="C4325" t="s">
        <v>38</v>
      </c>
      <c r="D4325" t="s">
        <v>32</v>
      </c>
      <c r="E4325" t="s">
        <v>26</v>
      </c>
      <c r="F4325" t="s">
        <v>19</v>
      </c>
      <c r="G4325" s="1" t="str">
        <f t="shared" ref="G4325:M4326" si="913">"..."</f>
        <v>...</v>
      </c>
      <c r="H4325" s="1" t="str">
        <f t="shared" si="913"/>
        <v>...</v>
      </c>
      <c r="I4325" s="1" t="str">
        <f t="shared" si="913"/>
        <v>...</v>
      </c>
      <c r="J4325" s="1" t="str">
        <f t="shared" si="913"/>
        <v>...</v>
      </c>
      <c r="K4325" s="1" t="str">
        <f t="shared" si="913"/>
        <v>...</v>
      </c>
      <c r="L4325" s="1" t="str">
        <f t="shared" si="913"/>
        <v>...</v>
      </c>
      <c r="M4325" s="1" t="str">
        <f t="shared" si="913"/>
        <v>...</v>
      </c>
      <c r="N4325" t="s">
        <v>30</v>
      </c>
    </row>
    <row r="4326" spans="1:14" x14ac:dyDescent="0.25">
      <c r="A4326" t="s">
        <v>41</v>
      </c>
      <c r="B4326" t="s">
        <v>39</v>
      </c>
      <c r="C4326" t="s">
        <v>38</v>
      </c>
      <c r="D4326" t="s">
        <v>32</v>
      </c>
      <c r="E4326" t="s">
        <v>26</v>
      </c>
      <c r="F4326" t="s">
        <v>20</v>
      </c>
      <c r="G4326" s="1" t="str">
        <f t="shared" si="913"/>
        <v>...</v>
      </c>
      <c r="H4326" s="1" t="str">
        <f t="shared" si="913"/>
        <v>...</v>
      </c>
      <c r="I4326" s="1" t="str">
        <f t="shared" si="913"/>
        <v>...</v>
      </c>
      <c r="J4326" s="1" t="str">
        <f t="shared" si="913"/>
        <v>...</v>
      </c>
      <c r="K4326" s="1" t="str">
        <f t="shared" si="913"/>
        <v>...</v>
      </c>
      <c r="L4326" s="1" t="str">
        <f t="shared" si="913"/>
        <v>...</v>
      </c>
      <c r="M4326" s="1" t="str">
        <f t="shared" si="913"/>
        <v>...</v>
      </c>
      <c r="N4326" t="s">
        <v>30</v>
      </c>
    </row>
    <row r="4327" spans="1:14" x14ac:dyDescent="0.25">
      <c r="A4327" t="s">
        <v>41</v>
      </c>
      <c r="B4327" t="s">
        <v>39</v>
      </c>
      <c r="C4327" t="s">
        <v>38</v>
      </c>
      <c r="D4327" t="s">
        <v>33</v>
      </c>
      <c r="E4327" t="s">
        <v>15</v>
      </c>
      <c r="F4327" t="s">
        <v>15</v>
      </c>
      <c r="G4327" s="1" t="str">
        <f t="shared" ref="G4327:M4338" si="914">"X"</f>
        <v>X</v>
      </c>
      <c r="H4327" s="1" t="str">
        <f t="shared" si="914"/>
        <v>X</v>
      </c>
      <c r="I4327" s="1" t="str">
        <f t="shared" si="914"/>
        <v>X</v>
      </c>
      <c r="J4327" s="1" t="str">
        <f t="shared" si="914"/>
        <v>X</v>
      </c>
      <c r="K4327" s="1" t="str">
        <f t="shared" si="914"/>
        <v>X</v>
      </c>
      <c r="L4327" s="1" t="str">
        <f t="shared" si="914"/>
        <v>X</v>
      </c>
      <c r="M4327" s="1" t="str">
        <f t="shared" si="914"/>
        <v>X</v>
      </c>
      <c r="N4327" t="s">
        <v>27</v>
      </c>
    </row>
    <row r="4328" spans="1:14" x14ac:dyDescent="0.25">
      <c r="A4328" t="s">
        <v>41</v>
      </c>
      <c r="B4328" t="s">
        <v>39</v>
      </c>
      <c r="C4328" t="s">
        <v>38</v>
      </c>
      <c r="D4328" t="s">
        <v>33</v>
      </c>
      <c r="E4328" t="s">
        <v>15</v>
      </c>
      <c r="F4328" t="s">
        <v>17</v>
      </c>
      <c r="G4328" s="1" t="str">
        <f t="shared" si="914"/>
        <v>X</v>
      </c>
      <c r="H4328" s="1" t="str">
        <f t="shared" si="914"/>
        <v>X</v>
      </c>
      <c r="I4328" s="1" t="str">
        <f t="shared" si="914"/>
        <v>X</v>
      </c>
      <c r="J4328" s="1" t="str">
        <f t="shared" si="914"/>
        <v>X</v>
      </c>
      <c r="K4328" s="1" t="str">
        <f t="shared" si="914"/>
        <v>X</v>
      </c>
      <c r="L4328" s="1" t="str">
        <f t="shared" si="914"/>
        <v>X</v>
      </c>
      <c r="M4328" s="1" t="str">
        <f t="shared" si="914"/>
        <v>X</v>
      </c>
      <c r="N4328" t="s">
        <v>27</v>
      </c>
    </row>
    <row r="4329" spans="1:14" x14ac:dyDescent="0.25">
      <c r="A4329" t="s">
        <v>41</v>
      </c>
      <c r="B4329" t="s">
        <v>39</v>
      </c>
      <c r="C4329" t="s">
        <v>38</v>
      </c>
      <c r="D4329" t="s">
        <v>33</v>
      </c>
      <c r="E4329" t="s">
        <v>15</v>
      </c>
      <c r="F4329" t="s">
        <v>18</v>
      </c>
      <c r="G4329" s="1" t="str">
        <f t="shared" si="914"/>
        <v>X</v>
      </c>
      <c r="H4329" s="1" t="str">
        <f t="shared" si="914"/>
        <v>X</v>
      </c>
      <c r="I4329" s="1" t="str">
        <f t="shared" si="914"/>
        <v>X</v>
      </c>
      <c r="J4329" s="1" t="str">
        <f t="shared" si="914"/>
        <v>X</v>
      </c>
      <c r="K4329" s="1" t="str">
        <f t="shared" si="914"/>
        <v>X</v>
      </c>
      <c r="L4329" s="1" t="str">
        <f t="shared" si="914"/>
        <v>X</v>
      </c>
      <c r="M4329" s="1" t="str">
        <f t="shared" si="914"/>
        <v>X</v>
      </c>
      <c r="N4329" t="s">
        <v>27</v>
      </c>
    </row>
    <row r="4330" spans="1:14" x14ac:dyDescent="0.25">
      <c r="A4330" t="s">
        <v>41</v>
      </c>
      <c r="B4330" t="s">
        <v>39</v>
      </c>
      <c r="C4330" t="s">
        <v>38</v>
      </c>
      <c r="D4330" t="s">
        <v>33</v>
      </c>
      <c r="E4330" t="s">
        <v>15</v>
      </c>
      <c r="F4330" t="s">
        <v>19</v>
      </c>
      <c r="G4330" s="1" t="str">
        <f t="shared" si="914"/>
        <v>X</v>
      </c>
      <c r="H4330" s="1" t="str">
        <f t="shared" si="914"/>
        <v>X</v>
      </c>
      <c r="I4330" s="1" t="str">
        <f t="shared" si="914"/>
        <v>X</v>
      </c>
      <c r="J4330" s="1" t="str">
        <f t="shared" si="914"/>
        <v>X</v>
      </c>
      <c r="K4330" s="1" t="str">
        <f t="shared" si="914"/>
        <v>X</v>
      </c>
      <c r="L4330" s="1" t="str">
        <f t="shared" si="914"/>
        <v>X</v>
      </c>
      <c r="M4330" s="1" t="str">
        <f t="shared" si="914"/>
        <v>X</v>
      </c>
      <c r="N4330" t="s">
        <v>27</v>
      </c>
    </row>
    <row r="4331" spans="1:14" x14ac:dyDescent="0.25">
      <c r="A4331" t="s">
        <v>41</v>
      </c>
      <c r="B4331" t="s">
        <v>39</v>
      </c>
      <c r="C4331" t="s">
        <v>38</v>
      </c>
      <c r="D4331" t="s">
        <v>33</v>
      </c>
      <c r="E4331" t="s">
        <v>15</v>
      </c>
      <c r="F4331" t="s">
        <v>20</v>
      </c>
      <c r="G4331" s="1" t="str">
        <f t="shared" si="914"/>
        <v>X</v>
      </c>
      <c r="H4331" s="1" t="str">
        <f t="shared" si="914"/>
        <v>X</v>
      </c>
      <c r="I4331" s="1" t="str">
        <f t="shared" si="914"/>
        <v>X</v>
      </c>
      <c r="J4331" s="1" t="str">
        <f t="shared" si="914"/>
        <v>X</v>
      </c>
      <c r="K4331" s="1" t="str">
        <f t="shared" si="914"/>
        <v>X</v>
      </c>
      <c r="L4331" s="1" t="str">
        <f t="shared" si="914"/>
        <v>X</v>
      </c>
      <c r="M4331" s="1" t="str">
        <f t="shared" si="914"/>
        <v>X</v>
      </c>
      <c r="N4331" t="s">
        <v>27</v>
      </c>
    </row>
    <row r="4332" spans="1:14" x14ac:dyDescent="0.25">
      <c r="A4332" t="s">
        <v>41</v>
      </c>
      <c r="B4332" t="s">
        <v>39</v>
      </c>
      <c r="C4332" t="s">
        <v>38</v>
      </c>
      <c r="D4332" t="s">
        <v>33</v>
      </c>
      <c r="E4332" t="s">
        <v>21</v>
      </c>
      <c r="F4332" t="s">
        <v>15</v>
      </c>
      <c r="G4332" s="1" t="str">
        <f t="shared" si="914"/>
        <v>X</v>
      </c>
      <c r="H4332" s="1" t="str">
        <f t="shared" si="914"/>
        <v>X</v>
      </c>
      <c r="I4332" s="1" t="str">
        <f t="shared" si="914"/>
        <v>X</v>
      </c>
      <c r="J4332" s="1" t="str">
        <f t="shared" si="914"/>
        <v>X</v>
      </c>
      <c r="K4332" s="1" t="str">
        <f t="shared" si="914"/>
        <v>X</v>
      </c>
      <c r="L4332" s="1" t="str">
        <f t="shared" si="914"/>
        <v>X</v>
      </c>
      <c r="M4332" s="1" t="str">
        <f t="shared" si="914"/>
        <v>X</v>
      </c>
      <c r="N4332" t="s">
        <v>27</v>
      </c>
    </row>
    <row r="4333" spans="1:14" x14ac:dyDescent="0.25">
      <c r="A4333" t="s">
        <v>41</v>
      </c>
      <c r="B4333" t="s">
        <v>39</v>
      </c>
      <c r="C4333" t="s">
        <v>38</v>
      </c>
      <c r="D4333" t="s">
        <v>33</v>
      </c>
      <c r="E4333" t="s">
        <v>21</v>
      </c>
      <c r="F4333" t="s">
        <v>17</v>
      </c>
      <c r="G4333" s="1" t="str">
        <f t="shared" si="914"/>
        <v>X</v>
      </c>
      <c r="H4333" s="1" t="str">
        <f t="shared" si="914"/>
        <v>X</v>
      </c>
      <c r="I4333" s="1" t="str">
        <f t="shared" si="914"/>
        <v>X</v>
      </c>
      <c r="J4333" s="1" t="str">
        <f t="shared" si="914"/>
        <v>X</v>
      </c>
      <c r="K4333" s="1" t="str">
        <f t="shared" si="914"/>
        <v>X</v>
      </c>
      <c r="L4333" s="1" t="str">
        <f t="shared" si="914"/>
        <v>X</v>
      </c>
      <c r="M4333" s="1" t="str">
        <f t="shared" si="914"/>
        <v>X</v>
      </c>
      <c r="N4333" t="s">
        <v>27</v>
      </c>
    </row>
    <row r="4334" spans="1:14" x14ac:dyDescent="0.25">
      <c r="A4334" t="s">
        <v>41</v>
      </c>
      <c r="B4334" t="s">
        <v>39</v>
      </c>
      <c r="C4334" t="s">
        <v>38</v>
      </c>
      <c r="D4334" t="s">
        <v>33</v>
      </c>
      <c r="E4334" t="s">
        <v>21</v>
      </c>
      <c r="F4334" t="s">
        <v>18</v>
      </c>
      <c r="G4334" s="1" t="str">
        <f t="shared" si="914"/>
        <v>X</v>
      </c>
      <c r="H4334" s="1" t="str">
        <f t="shared" si="914"/>
        <v>X</v>
      </c>
      <c r="I4334" s="1" t="str">
        <f t="shared" si="914"/>
        <v>X</v>
      </c>
      <c r="J4334" s="1" t="str">
        <f t="shared" si="914"/>
        <v>X</v>
      </c>
      <c r="K4334" s="1" t="str">
        <f t="shared" si="914"/>
        <v>X</v>
      </c>
      <c r="L4334" s="1" t="str">
        <f t="shared" si="914"/>
        <v>X</v>
      </c>
      <c r="M4334" s="1" t="str">
        <f t="shared" si="914"/>
        <v>X</v>
      </c>
      <c r="N4334" t="s">
        <v>27</v>
      </c>
    </row>
    <row r="4335" spans="1:14" x14ac:dyDescent="0.25">
      <c r="A4335" t="s">
        <v>41</v>
      </c>
      <c r="B4335" t="s">
        <v>39</v>
      </c>
      <c r="C4335" t="s">
        <v>38</v>
      </c>
      <c r="D4335" t="s">
        <v>33</v>
      </c>
      <c r="E4335" t="s">
        <v>21</v>
      </c>
      <c r="F4335" t="s">
        <v>19</v>
      </c>
      <c r="G4335" s="1" t="str">
        <f t="shared" si="914"/>
        <v>X</v>
      </c>
      <c r="H4335" s="1" t="str">
        <f t="shared" si="914"/>
        <v>X</v>
      </c>
      <c r="I4335" s="1" t="str">
        <f t="shared" si="914"/>
        <v>X</v>
      </c>
      <c r="J4335" s="1" t="str">
        <f t="shared" si="914"/>
        <v>X</v>
      </c>
      <c r="K4335" s="1" t="str">
        <f t="shared" si="914"/>
        <v>X</v>
      </c>
      <c r="L4335" s="1" t="str">
        <f t="shared" si="914"/>
        <v>X</v>
      </c>
      <c r="M4335" s="1" t="str">
        <f t="shared" si="914"/>
        <v>X</v>
      </c>
      <c r="N4335" t="s">
        <v>27</v>
      </c>
    </row>
    <row r="4336" spans="1:14" x14ac:dyDescent="0.25">
      <c r="A4336" t="s">
        <v>41</v>
      </c>
      <c r="B4336" t="s">
        <v>39</v>
      </c>
      <c r="C4336" t="s">
        <v>38</v>
      </c>
      <c r="D4336" t="s">
        <v>33</v>
      </c>
      <c r="E4336" t="s">
        <v>21</v>
      </c>
      <c r="F4336" t="s">
        <v>20</v>
      </c>
      <c r="G4336" s="1" t="str">
        <f t="shared" si="914"/>
        <v>X</v>
      </c>
      <c r="H4336" s="1" t="str">
        <f t="shared" si="914"/>
        <v>X</v>
      </c>
      <c r="I4336" s="1" t="str">
        <f t="shared" si="914"/>
        <v>X</v>
      </c>
      <c r="J4336" s="1" t="str">
        <f t="shared" si="914"/>
        <v>X</v>
      </c>
      <c r="K4336" s="1" t="str">
        <f t="shared" si="914"/>
        <v>X</v>
      </c>
      <c r="L4336" s="1" t="str">
        <f t="shared" si="914"/>
        <v>X</v>
      </c>
      <c r="M4336" s="1" t="str">
        <f t="shared" si="914"/>
        <v>X</v>
      </c>
      <c r="N4336" t="s">
        <v>27</v>
      </c>
    </row>
    <row r="4337" spans="1:14" x14ac:dyDescent="0.25">
      <c r="A4337" t="s">
        <v>41</v>
      </c>
      <c r="B4337" t="s">
        <v>39</v>
      </c>
      <c r="C4337" t="s">
        <v>38</v>
      </c>
      <c r="D4337" t="s">
        <v>33</v>
      </c>
      <c r="E4337" t="s">
        <v>22</v>
      </c>
      <c r="F4337" t="s">
        <v>15</v>
      </c>
      <c r="G4337" s="1" t="str">
        <f t="shared" si="914"/>
        <v>X</v>
      </c>
      <c r="H4337" s="1" t="str">
        <f t="shared" si="914"/>
        <v>X</v>
      </c>
      <c r="I4337" s="1" t="str">
        <f t="shared" si="914"/>
        <v>X</v>
      </c>
      <c r="J4337" s="1" t="str">
        <f t="shared" si="914"/>
        <v>X</v>
      </c>
      <c r="K4337" s="1" t="str">
        <f t="shared" si="914"/>
        <v>X</v>
      </c>
      <c r="L4337" s="1" t="str">
        <f t="shared" si="914"/>
        <v>X</v>
      </c>
      <c r="M4337" s="1" t="str">
        <f t="shared" si="914"/>
        <v>X</v>
      </c>
      <c r="N4337" t="s">
        <v>27</v>
      </c>
    </row>
    <row r="4338" spans="1:14" x14ac:dyDescent="0.25">
      <c r="A4338" t="s">
        <v>41</v>
      </c>
      <c r="B4338" t="s">
        <v>39</v>
      </c>
      <c r="C4338" t="s">
        <v>38</v>
      </c>
      <c r="D4338" t="s">
        <v>33</v>
      </c>
      <c r="E4338" t="s">
        <v>22</v>
      </c>
      <c r="F4338" t="s">
        <v>17</v>
      </c>
      <c r="G4338" s="1" t="str">
        <f t="shared" si="914"/>
        <v>X</v>
      </c>
      <c r="H4338" s="1" t="str">
        <f t="shared" si="914"/>
        <v>X</v>
      </c>
      <c r="I4338" s="1" t="str">
        <f t="shared" si="914"/>
        <v>X</v>
      </c>
      <c r="J4338" s="1" t="str">
        <f t="shared" si="914"/>
        <v>X</v>
      </c>
      <c r="K4338" s="1" t="str">
        <f t="shared" si="914"/>
        <v>X</v>
      </c>
      <c r="L4338" s="1" t="str">
        <f t="shared" si="914"/>
        <v>X</v>
      </c>
      <c r="M4338" s="1" t="str">
        <f t="shared" si="914"/>
        <v>X</v>
      </c>
      <c r="N4338" t="s">
        <v>27</v>
      </c>
    </row>
    <row r="4339" spans="1:14" x14ac:dyDescent="0.25">
      <c r="A4339" t="s">
        <v>41</v>
      </c>
      <c r="B4339" t="s">
        <v>39</v>
      </c>
      <c r="C4339" t="s">
        <v>38</v>
      </c>
      <c r="D4339" t="s">
        <v>33</v>
      </c>
      <c r="E4339" t="s">
        <v>22</v>
      </c>
      <c r="F4339" t="s">
        <v>18</v>
      </c>
      <c r="G4339" s="1" t="str">
        <f t="shared" ref="G4339:M4340" si="915">"..."</f>
        <v>...</v>
      </c>
      <c r="H4339" s="1" t="str">
        <f t="shared" si="915"/>
        <v>...</v>
      </c>
      <c r="I4339" s="1" t="str">
        <f t="shared" si="915"/>
        <v>...</v>
      </c>
      <c r="J4339" s="1" t="str">
        <f t="shared" si="915"/>
        <v>...</v>
      </c>
      <c r="K4339" s="1" t="str">
        <f t="shared" si="915"/>
        <v>...</v>
      </c>
      <c r="L4339" s="1" t="str">
        <f t="shared" si="915"/>
        <v>...</v>
      </c>
      <c r="M4339" s="1" t="str">
        <f t="shared" si="915"/>
        <v>...</v>
      </c>
      <c r="N4339" t="s">
        <v>30</v>
      </c>
    </row>
    <row r="4340" spans="1:14" x14ac:dyDescent="0.25">
      <c r="A4340" t="s">
        <v>41</v>
      </c>
      <c r="B4340" t="s">
        <v>39</v>
      </c>
      <c r="C4340" t="s">
        <v>38</v>
      </c>
      <c r="D4340" t="s">
        <v>33</v>
      </c>
      <c r="E4340" t="s">
        <v>22</v>
      </c>
      <c r="F4340" t="s">
        <v>19</v>
      </c>
      <c r="G4340" s="1" t="str">
        <f t="shared" si="915"/>
        <v>...</v>
      </c>
      <c r="H4340" s="1" t="str">
        <f t="shared" si="915"/>
        <v>...</v>
      </c>
      <c r="I4340" s="1" t="str">
        <f t="shared" si="915"/>
        <v>...</v>
      </c>
      <c r="J4340" s="1" t="str">
        <f t="shared" si="915"/>
        <v>...</v>
      </c>
      <c r="K4340" s="1" t="str">
        <f t="shared" si="915"/>
        <v>...</v>
      </c>
      <c r="L4340" s="1" t="str">
        <f t="shared" si="915"/>
        <v>...</v>
      </c>
      <c r="M4340" s="1" t="str">
        <f t="shared" si="915"/>
        <v>...</v>
      </c>
      <c r="N4340" t="s">
        <v>30</v>
      </c>
    </row>
    <row r="4341" spans="1:14" x14ac:dyDescent="0.25">
      <c r="A4341" t="s">
        <v>41</v>
      </c>
      <c r="B4341" t="s">
        <v>39</v>
      </c>
      <c r="C4341" t="s">
        <v>38</v>
      </c>
      <c r="D4341" t="s">
        <v>33</v>
      </c>
      <c r="E4341" t="s">
        <v>22</v>
      </c>
      <c r="F4341" t="s">
        <v>20</v>
      </c>
      <c r="G4341" s="1" t="str">
        <f t="shared" ref="G4341:M4346" si="916">"X"</f>
        <v>X</v>
      </c>
      <c r="H4341" s="1" t="str">
        <f t="shared" si="916"/>
        <v>X</v>
      </c>
      <c r="I4341" s="1" t="str">
        <f t="shared" si="916"/>
        <v>X</v>
      </c>
      <c r="J4341" s="1" t="str">
        <f t="shared" si="916"/>
        <v>X</v>
      </c>
      <c r="K4341" s="1" t="str">
        <f t="shared" si="916"/>
        <v>X</v>
      </c>
      <c r="L4341" s="1" t="str">
        <f t="shared" si="916"/>
        <v>X</v>
      </c>
      <c r="M4341" s="1" t="str">
        <f t="shared" si="916"/>
        <v>X</v>
      </c>
      <c r="N4341" t="s">
        <v>27</v>
      </c>
    </row>
    <row r="4342" spans="1:14" x14ac:dyDescent="0.25">
      <c r="A4342" t="s">
        <v>41</v>
      </c>
      <c r="B4342" t="s">
        <v>39</v>
      </c>
      <c r="C4342" t="s">
        <v>38</v>
      </c>
      <c r="D4342" t="s">
        <v>33</v>
      </c>
      <c r="E4342" t="s">
        <v>23</v>
      </c>
      <c r="F4342" t="s">
        <v>15</v>
      </c>
      <c r="G4342" s="1" t="str">
        <f t="shared" si="916"/>
        <v>X</v>
      </c>
      <c r="H4342" s="1" t="str">
        <f t="shared" si="916"/>
        <v>X</v>
      </c>
      <c r="I4342" s="1" t="str">
        <f t="shared" si="916"/>
        <v>X</v>
      </c>
      <c r="J4342" s="1" t="str">
        <f t="shared" si="916"/>
        <v>X</v>
      </c>
      <c r="K4342" s="1" t="str">
        <f t="shared" si="916"/>
        <v>X</v>
      </c>
      <c r="L4342" s="1" t="str">
        <f t="shared" si="916"/>
        <v>X</v>
      </c>
      <c r="M4342" s="1" t="str">
        <f t="shared" si="916"/>
        <v>X</v>
      </c>
      <c r="N4342" t="s">
        <v>27</v>
      </c>
    </row>
    <row r="4343" spans="1:14" x14ac:dyDescent="0.25">
      <c r="A4343" t="s">
        <v>41</v>
      </c>
      <c r="B4343" t="s">
        <v>39</v>
      </c>
      <c r="C4343" t="s">
        <v>38</v>
      </c>
      <c r="D4343" t="s">
        <v>33</v>
      </c>
      <c r="E4343" t="s">
        <v>23</v>
      </c>
      <c r="F4343" t="s">
        <v>17</v>
      </c>
      <c r="G4343" s="1" t="str">
        <f t="shared" si="916"/>
        <v>X</v>
      </c>
      <c r="H4343" s="1" t="str">
        <f t="shared" si="916"/>
        <v>X</v>
      </c>
      <c r="I4343" s="1" t="str">
        <f t="shared" si="916"/>
        <v>X</v>
      </c>
      <c r="J4343" s="1" t="str">
        <f t="shared" si="916"/>
        <v>X</v>
      </c>
      <c r="K4343" s="1" t="str">
        <f t="shared" si="916"/>
        <v>X</v>
      </c>
      <c r="L4343" s="1" t="str">
        <f t="shared" si="916"/>
        <v>X</v>
      </c>
      <c r="M4343" s="1" t="str">
        <f t="shared" si="916"/>
        <v>X</v>
      </c>
      <c r="N4343" t="s">
        <v>27</v>
      </c>
    </row>
    <row r="4344" spans="1:14" x14ac:dyDescent="0.25">
      <c r="A4344" t="s">
        <v>41</v>
      </c>
      <c r="B4344" t="s">
        <v>39</v>
      </c>
      <c r="C4344" t="s">
        <v>38</v>
      </c>
      <c r="D4344" t="s">
        <v>33</v>
      </c>
      <c r="E4344" t="s">
        <v>23</v>
      </c>
      <c r="F4344" t="s">
        <v>18</v>
      </c>
      <c r="G4344" s="1" t="str">
        <f t="shared" si="916"/>
        <v>X</v>
      </c>
      <c r="H4344" s="1" t="str">
        <f t="shared" si="916"/>
        <v>X</v>
      </c>
      <c r="I4344" s="1" t="str">
        <f t="shared" si="916"/>
        <v>X</v>
      </c>
      <c r="J4344" s="1" t="str">
        <f t="shared" si="916"/>
        <v>X</v>
      </c>
      <c r="K4344" s="1" t="str">
        <f t="shared" si="916"/>
        <v>X</v>
      </c>
      <c r="L4344" s="1" t="str">
        <f t="shared" si="916"/>
        <v>X</v>
      </c>
      <c r="M4344" s="1" t="str">
        <f t="shared" si="916"/>
        <v>X</v>
      </c>
      <c r="N4344" t="s">
        <v>27</v>
      </c>
    </row>
    <row r="4345" spans="1:14" x14ac:dyDescent="0.25">
      <c r="A4345" t="s">
        <v>41</v>
      </c>
      <c r="B4345" t="s">
        <v>39</v>
      </c>
      <c r="C4345" t="s">
        <v>38</v>
      </c>
      <c r="D4345" t="s">
        <v>33</v>
      </c>
      <c r="E4345" t="s">
        <v>23</v>
      </c>
      <c r="F4345" t="s">
        <v>19</v>
      </c>
      <c r="G4345" s="1" t="str">
        <f t="shared" si="916"/>
        <v>X</v>
      </c>
      <c r="H4345" s="1" t="str">
        <f t="shared" si="916"/>
        <v>X</v>
      </c>
      <c r="I4345" s="1" t="str">
        <f t="shared" si="916"/>
        <v>X</v>
      </c>
      <c r="J4345" s="1" t="str">
        <f t="shared" si="916"/>
        <v>X</v>
      </c>
      <c r="K4345" s="1" t="str">
        <f t="shared" si="916"/>
        <v>X</v>
      </c>
      <c r="L4345" s="1" t="str">
        <f t="shared" si="916"/>
        <v>X</v>
      </c>
      <c r="M4345" s="1" t="str">
        <f t="shared" si="916"/>
        <v>X</v>
      </c>
      <c r="N4345" t="s">
        <v>27</v>
      </c>
    </row>
    <row r="4346" spans="1:14" x14ac:dyDescent="0.25">
      <c r="A4346" t="s">
        <v>41</v>
      </c>
      <c r="B4346" t="s">
        <v>39</v>
      </c>
      <c r="C4346" t="s">
        <v>38</v>
      </c>
      <c r="D4346" t="s">
        <v>33</v>
      </c>
      <c r="E4346" t="s">
        <v>23</v>
      </c>
      <c r="F4346" t="s">
        <v>20</v>
      </c>
      <c r="G4346" s="1" t="str">
        <f t="shared" si="916"/>
        <v>X</v>
      </c>
      <c r="H4346" s="1" t="str">
        <f t="shared" si="916"/>
        <v>X</v>
      </c>
      <c r="I4346" s="1" t="str">
        <f t="shared" si="916"/>
        <v>X</v>
      </c>
      <c r="J4346" s="1" t="str">
        <f t="shared" si="916"/>
        <v>X</v>
      </c>
      <c r="K4346" s="1" t="str">
        <f t="shared" si="916"/>
        <v>X</v>
      </c>
      <c r="L4346" s="1" t="str">
        <f t="shared" si="916"/>
        <v>X</v>
      </c>
      <c r="M4346" s="1" t="str">
        <f t="shared" si="916"/>
        <v>X</v>
      </c>
      <c r="N4346" t="s">
        <v>27</v>
      </c>
    </row>
    <row r="4347" spans="1:14" x14ac:dyDescent="0.25">
      <c r="A4347" t="s">
        <v>41</v>
      </c>
      <c r="B4347" t="s">
        <v>39</v>
      </c>
      <c r="C4347" t="s">
        <v>38</v>
      </c>
      <c r="D4347" t="s">
        <v>33</v>
      </c>
      <c r="E4347" t="s">
        <v>26</v>
      </c>
      <c r="F4347" t="s">
        <v>15</v>
      </c>
      <c r="G4347" s="1" t="str">
        <f t="shared" ref="G4347:M4351" si="917">"..."</f>
        <v>...</v>
      </c>
      <c r="H4347" s="1" t="str">
        <f t="shared" si="917"/>
        <v>...</v>
      </c>
      <c r="I4347" s="1" t="str">
        <f t="shared" si="917"/>
        <v>...</v>
      </c>
      <c r="J4347" s="1" t="str">
        <f t="shared" si="917"/>
        <v>...</v>
      </c>
      <c r="K4347" s="1" t="str">
        <f t="shared" si="917"/>
        <v>...</v>
      </c>
      <c r="L4347" s="1" t="str">
        <f t="shared" si="917"/>
        <v>...</v>
      </c>
      <c r="M4347" s="1" t="str">
        <f t="shared" si="917"/>
        <v>...</v>
      </c>
      <c r="N4347" t="s">
        <v>30</v>
      </c>
    </row>
    <row r="4348" spans="1:14" x14ac:dyDescent="0.25">
      <c r="A4348" t="s">
        <v>41</v>
      </c>
      <c r="B4348" t="s">
        <v>39</v>
      </c>
      <c r="C4348" t="s">
        <v>38</v>
      </c>
      <c r="D4348" t="s">
        <v>33</v>
      </c>
      <c r="E4348" t="s">
        <v>26</v>
      </c>
      <c r="F4348" t="s">
        <v>17</v>
      </c>
      <c r="G4348" s="1" t="str">
        <f t="shared" si="917"/>
        <v>...</v>
      </c>
      <c r="H4348" s="1" t="str">
        <f t="shared" si="917"/>
        <v>...</v>
      </c>
      <c r="I4348" s="1" t="str">
        <f t="shared" si="917"/>
        <v>...</v>
      </c>
      <c r="J4348" s="1" t="str">
        <f t="shared" si="917"/>
        <v>...</v>
      </c>
      <c r="K4348" s="1" t="str">
        <f t="shared" si="917"/>
        <v>...</v>
      </c>
      <c r="L4348" s="1" t="str">
        <f t="shared" si="917"/>
        <v>...</v>
      </c>
      <c r="M4348" s="1" t="str">
        <f t="shared" si="917"/>
        <v>...</v>
      </c>
      <c r="N4348" t="s">
        <v>30</v>
      </c>
    </row>
    <row r="4349" spans="1:14" x14ac:dyDescent="0.25">
      <c r="A4349" t="s">
        <v>41</v>
      </c>
      <c r="B4349" t="s">
        <v>39</v>
      </c>
      <c r="C4349" t="s">
        <v>38</v>
      </c>
      <c r="D4349" t="s">
        <v>33</v>
      </c>
      <c r="E4349" t="s">
        <v>26</v>
      </c>
      <c r="F4349" t="s">
        <v>18</v>
      </c>
      <c r="G4349" s="1" t="str">
        <f t="shared" si="917"/>
        <v>...</v>
      </c>
      <c r="H4349" s="1" t="str">
        <f t="shared" si="917"/>
        <v>...</v>
      </c>
      <c r="I4349" s="1" t="str">
        <f t="shared" si="917"/>
        <v>...</v>
      </c>
      <c r="J4349" s="1" t="str">
        <f t="shared" si="917"/>
        <v>...</v>
      </c>
      <c r="K4349" s="1" t="str">
        <f t="shared" si="917"/>
        <v>...</v>
      </c>
      <c r="L4349" s="1" t="str">
        <f t="shared" si="917"/>
        <v>...</v>
      </c>
      <c r="M4349" s="1" t="str">
        <f t="shared" si="917"/>
        <v>...</v>
      </c>
      <c r="N4349" t="s">
        <v>30</v>
      </c>
    </row>
    <row r="4350" spans="1:14" x14ac:dyDescent="0.25">
      <c r="A4350" t="s">
        <v>41</v>
      </c>
      <c r="B4350" t="s">
        <v>39</v>
      </c>
      <c r="C4350" t="s">
        <v>38</v>
      </c>
      <c r="D4350" t="s">
        <v>33</v>
      </c>
      <c r="E4350" t="s">
        <v>26</v>
      </c>
      <c r="F4350" t="s">
        <v>19</v>
      </c>
      <c r="G4350" s="1" t="str">
        <f t="shared" si="917"/>
        <v>...</v>
      </c>
      <c r="H4350" s="1" t="str">
        <f t="shared" si="917"/>
        <v>...</v>
      </c>
      <c r="I4350" s="1" t="str">
        <f t="shared" si="917"/>
        <v>...</v>
      </c>
      <c r="J4350" s="1" t="str">
        <f t="shared" si="917"/>
        <v>...</v>
      </c>
      <c r="K4350" s="1" t="str">
        <f t="shared" si="917"/>
        <v>...</v>
      </c>
      <c r="L4350" s="1" t="str">
        <f t="shared" si="917"/>
        <v>...</v>
      </c>
      <c r="M4350" s="1" t="str">
        <f t="shared" si="917"/>
        <v>...</v>
      </c>
      <c r="N4350" t="s">
        <v>30</v>
      </c>
    </row>
    <row r="4351" spans="1:14" x14ac:dyDescent="0.25">
      <c r="A4351" t="s">
        <v>41</v>
      </c>
      <c r="B4351" t="s">
        <v>39</v>
      </c>
      <c r="C4351" t="s">
        <v>38</v>
      </c>
      <c r="D4351" t="s">
        <v>33</v>
      </c>
      <c r="E4351" t="s">
        <v>26</v>
      </c>
      <c r="F4351" t="s">
        <v>20</v>
      </c>
      <c r="G4351" s="1" t="str">
        <f t="shared" si="917"/>
        <v>...</v>
      </c>
      <c r="H4351" s="1" t="str">
        <f t="shared" si="917"/>
        <v>...</v>
      </c>
      <c r="I4351" s="1" t="str">
        <f t="shared" si="917"/>
        <v>...</v>
      </c>
      <c r="J4351" s="1" t="str">
        <f t="shared" si="917"/>
        <v>...</v>
      </c>
      <c r="K4351" s="1" t="str">
        <f t="shared" si="917"/>
        <v>...</v>
      </c>
      <c r="L4351" s="1" t="str">
        <f t="shared" si="917"/>
        <v>...</v>
      </c>
      <c r="M4351" s="1" t="str">
        <f t="shared" si="917"/>
        <v>...</v>
      </c>
      <c r="N4351" t="s">
        <v>30</v>
      </c>
    </row>
    <row r="4352" spans="1:14" x14ac:dyDescent="0.25">
      <c r="A4352" t="s">
        <v>41</v>
      </c>
      <c r="B4352" t="s">
        <v>39</v>
      </c>
      <c r="C4352" t="s">
        <v>38</v>
      </c>
      <c r="D4352" t="s">
        <v>34</v>
      </c>
      <c r="E4352" t="s">
        <v>15</v>
      </c>
      <c r="F4352" t="s">
        <v>15</v>
      </c>
      <c r="G4352" s="2">
        <f>VALUE(189.5283490425)</f>
        <v>189.5283490425</v>
      </c>
      <c r="H4352" s="3">
        <f>VALUE(165.4755121098)</f>
        <v>165.47551210980001</v>
      </c>
      <c r="I4352" s="1">
        <f>VALUE(4127)</f>
        <v>4127</v>
      </c>
      <c r="J4352" s="1">
        <f>VALUE(4569)</f>
        <v>4569</v>
      </c>
      <c r="K4352" s="1">
        <f>VALUE(5945)</f>
        <v>5945</v>
      </c>
      <c r="L4352" s="1">
        <f>VALUE(12698)</f>
        <v>12698</v>
      </c>
      <c r="M4352" s="1">
        <f>VALUE(20238)</f>
        <v>20238</v>
      </c>
      <c r="N4352" t="s">
        <v>25</v>
      </c>
    </row>
    <row r="4353" spans="1:14" x14ac:dyDescent="0.25">
      <c r="A4353" t="s">
        <v>41</v>
      </c>
      <c r="B4353" t="s">
        <v>39</v>
      </c>
      <c r="C4353" t="s">
        <v>38</v>
      </c>
      <c r="D4353" t="s">
        <v>34</v>
      </c>
      <c r="E4353" t="s">
        <v>15</v>
      </c>
      <c r="F4353" t="s">
        <v>17</v>
      </c>
      <c r="G4353" s="1" t="str">
        <f t="shared" ref="G4353:M4355" si="918">"X"</f>
        <v>X</v>
      </c>
      <c r="H4353" s="1" t="str">
        <f t="shared" si="918"/>
        <v>X</v>
      </c>
      <c r="I4353" s="1" t="str">
        <f t="shared" si="918"/>
        <v>X</v>
      </c>
      <c r="J4353" s="1" t="str">
        <f t="shared" si="918"/>
        <v>X</v>
      </c>
      <c r="K4353" s="1" t="str">
        <f t="shared" si="918"/>
        <v>X</v>
      </c>
      <c r="L4353" s="1" t="str">
        <f t="shared" si="918"/>
        <v>X</v>
      </c>
      <c r="M4353" s="1" t="str">
        <f t="shared" si="918"/>
        <v>X</v>
      </c>
      <c r="N4353" t="s">
        <v>27</v>
      </c>
    </row>
    <row r="4354" spans="1:14" x14ac:dyDescent="0.25">
      <c r="A4354" t="s">
        <v>41</v>
      </c>
      <c r="B4354" t="s">
        <v>39</v>
      </c>
      <c r="C4354" t="s">
        <v>38</v>
      </c>
      <c r="D4354" t="s">
        <v>34</v>
      </c>
      <c r="E4354" t="s">
        <v>15</v>
      </c>
      <c r="F4354" t="s">
        <v>18</v>
      </c>
      <c r="G4354" s="1" t="str">
        <f t="shared" si="918"/>
        <v>X</v>
      </c>
      <c r="H4354" s="1" t="str">
        <f t="shared" si="918"/>
        <v>X</v>
      </c>
      <c r="I4354" s="1" t="str">
        <f t="shared" si="918"/>
        <v>X</v>
      </c>
      <c r="J4354" s="1" t="str">
        <f t="shared" si="918"/>
        <v>X</v>
      </c>
      <c r="K4354" s="1" t="str">
        <f t="shared" si="918"/>
        <v>X</v>
      </c>
      <c r="L4354" s="1" t="str">
        <f t="shared" si="918"/>
        <v>X</v>
      </c>
      <c r="M4354" s="1" t="str">
        <f t="shared" si="918"/>
        <v>X</v>
      </c>
      <c r="N4354" t="s">
        <v>27</v>
      </c>
    </row>
    <row r="4355" spans="1:14" x14ac:dyDescent="0.25">
      <c r="A4355" t="s">
        <v>41</v>
      </c>
      <c r="B4355" t="s">
        <v>39</v>
      </c>
      <c r="C4355" t="s">
        <v>38</v>
      </c>
      <c r="D4355" t="s">
        <v>34</v>
      </c>
      <c r="E4355" t="s">
        <v>15</v>
      </c>
      <c r="F4355" t="s">
        <v>19</v>
      </c>
      <c r="G4355" s="1" t="str">
        <f t="shared" si="918"/>
        <v>X</v>
      </c>
      <c r="H4355" s="1" t="str">
        <f t="shared" si="918"/>
        <v>X</v>
      </c>
      <c r="I4355" s="1" t="str">
        <f t="shared" si="918"/>
        <v>X</v>
      </c>
      <c r="J4355" s="1" t="str">
        <f t="shared" si="918"/>
        <v>X</v>
      </c>
      <c r="K4355" s="1" t="str">
        <f t="shared" si="918"/>
        <v>X</v>
      </c>
      <c r="L4355" s="1" t="str">
        <f t="shared" si="918"/>
        <v>X</v>
      </c>
      <c r="M4355" s="1" t="str">
        <f t="shared" si="918"/>
        <v>X</v>
      </c>
      <c r="N4355" t="s">
        <v>27</v>
      </c>
    </row>
    <row r="4356" spans="1:14" x14ac:dyDescent="0.25">
      <c r="A4356" t="s">
        <v>41</v>
      </c>
      <c r="B4356" t="s">
        <v>39</v>
      </c>
      <c r="C4356" t="s">
        <v>38</v>
      </c>
      <c r="D4356" t="s">
        <v>34</v>
      </c>
      <c r="E4356" t="s">
        <v>15</v>
      </c>
      <c r="F4356" t="s">
        <v>20</v>
      </c>
      <c r="G4356" s="2">
        <f>VALUE(110.144360101)</f>
        <v>110.144360101</v>
      </c>
      <c r="H4356" s="3">
        <f>VALUE(85.8374439991)</f>
        <v>85.837443999100003</v>
      </c>
      <c r="I4356" s="1">
        <f>VALUE(3509)</f>
        <v>3509</v>
      </c>
      <c r="J4356" s="1">
        <f>VALUE(4345)</f>
        <v>4345</v>
      </c>
      <c r="K4356" s="1">
        <f>VALUE(5240)</f>
        <v>5240</v>
      </c>
      <c r="L4356" s="1">
        <f>VALUE(5968)</f>
        <v>5968</v>
      </c>
      <c r="M4356" s="1">
        <f>VALUE(8650)</f>
        <v>8650</v>
      </c>
      <c r="N4356" t="s">
        <v>25</v>
      </c>
    </row>
    <row r="4357" spans="1:14" x14ac:dyDescent="0.25">
      <c r="A4357" t="s">
        <v>41</v>
      </c>
      <c r="B4357" t="s">
        <v>39</v>
      </c>
      <c r="C4357" t="s">
        <v>38</v>
      </c>
      <c r="D4357" t="s">
        <v>34</v>
      </c>
      <c r="E4357" t="s">
        <v>21</v>
      </c>
      <c r="F4357" t="s">
        <v>15</v>
      </c>
      <c r="G4357" s="1" t="str">
        <f t="shared" ref="G4357:M4361" si="919">"X"</f>
        <v>X</v>
      </c>
      <c r="H4357" s="1" t="str">
        <f t="shared" si="919"/>
        <v>X</v>
      </c>
      <c r="I4357" s="1" t="str">
        <f t="shared" si="919"/>
        <v>X</v>
      </c>
      <c r="J4357" s="1" t="str">
        <f t="shared" si="919"/>
        <v>X</v>
      </c>
      <c r="K4357" s="1" t="str">
        <f t="shared" si="919"/>
        <v>X</v>
      </c>
      <c r="L4357" s="1" t="str">
        <f t="shared" si="919"/>
        <v>X</v>
      </c>
      <c r="M4357" s="1" t="str">
        <f t="shared" si="919"/>
        <v>X</v>
      </c>
      <c r="N4357" t="s">
        <v>27</v>
      </c>
    </row>
    <row r="4358" spans="1:14" x14ac:dyDescent="0.25">
      <c r="A4358" t="s">
        <v>41</v>
      </c>
      <c r="B4358" t="s">
        <v>39</v>
      </c>
      <c r="C4358" t="s">
        <v>38</v>
      </c>
      <c r="D4358" t="s">
        <v>34</v>
      </c>
      <c r="E4358" t="s">
        <v>21</v>
      </c>
      <c r="F4358" t="s">
        <v>17</v>
      </c>
      <c r="G4358" s="1" t="str">
        <f t="shared" si="919"/>
        <v>X</v>
      </c>
      <c r="H4358" s="1" t="str">
        <f t="shared" si="919"/>
        <v>X</v>
      </c>
      <c r="I4358" s="1" t="str">
        <f t="shared" si="919"/>
        <v>X</v>
      </c>
      <c r="J4358" s="1" t="str">
        <f t="shared" si="919"/>
        <v>X</v>
      </c>
      <c r="K4358" s="1" t="str">
        <f t="shared" si="919"/>
        <v>X</v>
      </c>
      <c r="L4358" s="1" t="str">
        <f t="shared" si="919"/>
        <v>X</v>
      </c>
      <c r="M4358" s="1" t="str">
        <f t="shared" si="919"/>
        <v>X</v>
      </c>
      <c r="N4358" t="s">
        <v>27</v>
      </c>
    </row>
    <row r="4359" spans="1:14" x14ac:dyDescent="0.25">
      <c r="A4359" t="s">
        <v>41</v>
      </c>
      <c r="B4359" t="s">
        <v>39</v>
      </c>
      <c r="C4359" t="s">
        <v>38</v>
      </c>
      <c r="D4359" t="s">
        <v>34</v>
      </c>
      <c r="E4359" t="s">
        <v>21</v>
      </c>
      <c r="F4359" t="s">
        <v>18</v>
      </c>
      <c r="G4359" s="1" t="str">
        <f t="shared" si="919"/>
        <v>X</v>
      </c>
      <c r="H4359" s="1" t="str">
        <f t="shared" si="919"/>
        <v>X</v>
      </c>
      <c r="I4359" s="1" t="str">
        <f t="shared" si="919"/>
        <v>X</v>
      </c>
      <c r="J4359" s="1" t="str">
        <f t="shared" si="919"/>
        <v>X</v>
      </c>
      <c r="K4359" s="1" t="str">
        <f t="shared" si="919"/>
        <v>X</v>
      </c>
      <c r="L4359" s="1" t="str">
        <f t="shared" si="919"/>
        <v>X</v>
      </c>
      <c r="M4359" s="1" t="str">
        <f t="shared" si="919"/>
        <v>X</v>
      </c>
      <c r="N4359" t="s">
        <v>27</v>
      </c>
    </row>
    <row r="4360" spans="1:14" x14ac:dyDescent="0.25">
      <c r="A4360" t="s">
        <v>41</v>
      </c>
      <c r="B4360" t="s">
        <v>39</v>
      </c>
      <c r="C4360" t="s">
        <v>38</v>
      </c>
      <c r="D4360" t="s">
        <v>34</v>
      </c>
      <c r="E4360" t="s">
        <v>21</v>
      </c>
      <c r="F4360" t="s">
        <v>19</v>
      </c>
      <c r="G4360" s="1" t="str">
        <f t="shared" si="919"/>
        <v>X</v>
      </c>
      <c r="H4360" s="1" t="str">
        <f t="shared" si="919"/>
        <v>X</v>
      </c>
      <c r="I4360" s="1" t="str">
        <f t="shared" si="919"/>
        <v>X</v>
      </c>
      <c r="J4360" s="1" t="str">
        <f t="shared" si="919"/>
        <v>X</v>
      </c>
      <c r="K4360" s="1" t="str">
        <f t="shared" si="919"/>
        <v>X</v>
      </c>
      <c r="L4360" s="1" t="str">
        <f t="shared" si="919"/>
        <v>X</v>
      </c>
      <c r="M4360" s="1" t="str">
        <f t="shared" si="919"/>
        <v>X</v>
      </c>
      <c r="N4360" t="s">
        <v>27</v>
      </c>
    </row>
    <row r="4361" spans="1:14" x14ac:dyDescent="0.25">
      <c r="A4361" t="s">
        <v>41</v>
      </c>
      <c r="B4361" t="s">
        <v>39</v>
      </c>
      <c r="C4361" t="s">
        <v>38</v>
      </c>
      <c r="D4361" t="s">
        <v>34</v>
      </c>
      <c r="E4361" t="s">
        <v>21</v>
      </c>
      <c r="F4361" t="s">
        <v>20</v>
      </c>
      <c r="G4361" s="1" t="str">
        <f t="shared" si="919"/>
        <v>X</v>
      </c>
      <c r="H4361" s="1" t="str">
        <f t="shared" si="919"/>
        <v>X</v>
      </c>
      <c r="I4361" s="1" t="str">
        <f t="shared" si="919"/>
        <v>X</v>
      </c>
      <c r="J4361" s="1" t="str">
        <f t="shared" si="919"/>
        <v>X</v>
      </c>
      <c r="K4361" s="1" t="str">
        <f t="shared" si="919"/>
        <v>X</v>
      </c>
      <c r="L4361" s="1" t="str">
        <f t="shared" si="919"/>
        <v>X</v>
      </c>
      <c r="M4361" s="1" t="str">
        <f t="shared" si="919"/>
        <v>X</v>
      </c>
      <c r="N4361" t="s">
        <v>27</v>
      </c>
    </row>
    <row r="4362" spans="1:14" x14ac:dyDescent="0.25">
      <c r="A4362" t="s">
        <v>41</v>
      </c>
      <c r="B4362" t="s">
        <v>39</v>
      </c>
      <c r="C4362" t="s">
        <v>38</v>
      </c>
      <c r="D4362" t="s">
        <v>34</v>
      </c>
      <c r="E4362" t="s">
        <v>22</v>
      </c>
      <c r="F4362" t="s">
        <v>15</v>
      </c>
      <c r="G4362" s="2">
        <f>VALUE(129.6209422879)</f>
        <v>129.62094228789999</v>
      </c>
      <c r="H4362" s="3">
        <f>VALUE(108.9188078858)</f>
        <v>108.91880788580001</v>
      </c>
      <c r="I4362" s="1">
        <f>VALUE(4127)</f>
        <v>4127</v>
      </c>
      <c r="J4362" s="1">
        <f>VALUE(4189)</f>
        <v>4189</v>
      </c>
      <c r="K4362" s="1">
        <f>VALUE(5298)</f>
        <v>5298</v>
      </c>
      <c r="L4362" s="1">
        <f>VALUE(9687)</f>
        <v>9687</v>
      </c>
      <c r="M4362" s="1">
        <f>VALUE(15702)</f>
        <v>15702</v>
      </c>
      <c r="N4362" t="s">
        <v>25</v>
      </c>
    </row>
    <row r="4363" spans="1:14" x14ac:dyDescent="0.25">
      <c r="A4363" t="s">
        <v>41</v>
      </c>
      <c r="B4363" t="s">
        <v>39</v>
      </c>
      <c r="C4363" t="s">
        <v>38</v>
      </c>
      <c r="D4363" t="s">
        <v>34</v>
      </c>
      <c r="E4363" t="s">
        <v>22</v>
      </c>
      <c r="F4363" t="s">
        <v>17</v>
      </c>
      <c r="G4363" s="1" t="str">
        <f t="shared" ref="G4363:M4368" si="920">"X"</f>
        <v>X</v>
      </c>
      <c r="H4363" s="1" t="str">
        <f t="shared" si="920"/>
        <v>X</v>
      </c>
      <c r="I4363" s="1" t="str">
        <f t="shared" si="920"/>
        <v>X</v>
      </c>
      <c r="J4363" s="1" t="str">
        <f t="shared" si="920"/>
        <v>X</v>
      </c>
      <c r="K4363" s="1" t="str">
        <f t="shared" si="920"/>
        <v>X</v>
      </c>
      <c r="L4363" s="1" t="str">
        <f t="shared" si="920"/>
        <v>X</v>
      </c>
      <c r="M4363" s="1" t="str">
        <f t="shared" si="920"/>
        <v>X</v>
      </c>
      <c r="N4363" t="s">
        <v>27</v>
      </c>
    </row>
    <row r="4364" spans="1:14" x14ac:dyDescent="0.25">
      <c r="A4364" t="s">
        <v>41</v>
      </c>
      <c r="B4364" t="s">
        <v>39</v>
      </c>
      <c r="C4364" t="s">
        <v>38</v>
      </c>
      <c r="D4364" t="s">
        <v>34</v>
      </c>
      <c r="E4364" t="s">
        <v>22</v>
      </c>
      <c r="F4364" t="s">
        <v>18</v>
      </c>
      <c r="G4364" s="1" t="str">
        <f t="shared" si="920"/>
        <v>X</v>
      </c>
      <c r="H4364" s="1" t="str">
        <f t="shared" si="920"/>
        <v>X</v>
      </c>
      <c r="I4364" s="1" t="str">
        <f t="shared" si="920"/>
        <v>X</v>
      </c>
      <c r="J4364" s="1" t="str">
        <f t="shared" si="920"/>
        <v>X</v>
      </c>
      <c r="K4364" s="1" t="str">
        <f t="shared" si="920"/>
        <v>X</v>
      </c>
      <c r="L4364" s="1" t="str">
        <f t="shared" si="920"/>
        <v>X</v>
      </c>
      <c r="M4364" s="1" t="str">
        <f t="shared" si="920"/>
        <v>X</v>
      </c>
      <c r="N4364" t="s">
        <v>27</v>
      </c>
    </row>
    <row r="4365" spans="1:14" x14ac:dyDescent="0.25">
      <c r="A4365" t="s">
        <v>41</v>
      </c>
      <c r="B4365" t="s">
        <v>39</v>
      </c>
      <c r="C4365" t="s">
        <v>38</v>
      </c>
      <c r="D4365" t="s">
        <v>34</v>
      </c>
      <c r="E4365" t="s">
        <v>22</v>
      </c>
      <c r="F4365" t="s">
        <v>19</v>
      </c>
      <c r="G4365" s="1" t="str">
        <f t="shared" si="920"/>
        <v>X</v>
      </c>
      <c r="H4365" s="1" t="str">
        <f t="shared" si="920"/>
        <v>X</v>
      </c>
      <c r="I4365" s="1" t="str">
        <f t="shared" si="920"/>
        <v>X</v>
      </c>
      <c r="J4365" s="1" t="str">
        <f t="shared" si="920"/>
        <v>X</v>
      </c>
      <c r="K4365" s="1" t="str">
        <f t="shared" si="920"/>
        <v>X</v>
      </c>
      <c r="L4365" s="1" t="str">
        <f t="shared" si="920"/>
        <v>X</v>
      </c>
      <c r="M4365" s="1" t="str">
        <f t="shared" si="920"/>
        <v>X</v>
      </c>
      <c r="N4365" t="s">
        <v>27</v>
      </c>
    </row>
    <row r="4366" spans="1:14" x14ac:dyDescent="0.25">
      <c r="A4366" t="s">
        <v>41</v>
      </c>
      <c r="B4366" t="s">
        <v>39</v>
      </c>
      <c r="C4366" t="s">
        <v>38</v>
      </c>
      <c r="D4366" t="s">
        <v>34</v>
      </c>
      <c r="E4366" t="s">
        <v>22</v>
      </c>
      <c r="F4366" t="s">
        <v>20</v>
      </c>
      <c r="G4366" s="1" t="str">
        <f t="shared" si="920"/>
        <v>X</v>
      </c>
      <c r="H4366" s="1" t="str">
        <f t="shared" si="920"/>
        <v>X</v>
      </c>
      <c r="I4366" s="1" t="str">
        <f t="shared" si="920"/>
        <v>X</v>
      </c>
      <c r="J4366" s="1" t="str">
        <f t="shared" si="920"/>
        <v>X</v>
      </c>
      <c r="K4366" s="1" t="str">
        <f t="shared" si="920"/>
        <v>X</v>
      </c>
      <c r="L4366" s="1" t="str">
        <f t="shared" si="920"/>
        <v>X</v>
      </c>
      <c r="M4366" s="1" t="str">
        <f t="shared" si="920"/>
        <v>X</v>
      </c>
      <c r="N4366" t="s">
        <v>27</v>
      </c>
    </row>
    <row r="4367" spans="1:14" x14ac:dyDescent="0.25">
      <c r="A4367" t="s">
        <v>41</v>
      </c>
      <c r="B4367" t="s">
        <v>39</v>
      </c>
      <c r="C4367" t="s">
        <v>38</v>
      </c>
      <c r="D4367" t="s">
        <v>34</v>
      </c>
      <c r="E4367" t="s">
        <v>23</v>
      </c>
      <c r="F4367" t="s">
        <v>15</v>
      </c>
      <c r="G4367" s="1" t="str">
        <f t="shared" si="920"/>
        <v>X</v>
      </c>
      <c r="H4367" s="1" t="str">
        <f t="shared" si="920"/>
        <v>X</v>
      </c>
      <c r="I4367" s="1" t="str">
        <f t="shared" si="920"/>
        <v>X</v>
      </c>
      <c r="J4367" s="1" t="str">
        <f t="shared" si="920"/>
        <v>X</v>
      </c>
      <c r="K4367" s="1" t="str">
        <f t="shared" si="920"/>
        <v>X</v>
      </c>
      <c r="L4367" s="1" t="str">
        <f t="shared" si="920"/>
        <v>X</v>
      </c>
      <c r="M4367" s="1" t="str">
        <f t="shared" si="920"/>
        <v>X</v>
      </c>
      <c r="N4367" t="s">
        <v>27</v>
      </c>
    </row>
    <row r="4368" spans="1:14" x14ac:dyDescent="0.25">
      <c r="A4368" t="s">
        <v>41</v>
      </c>
      <c r="B4368" t="s">
        <v>39</v>
      </c>
      <c r="C4368" t="s">
        <v>38</v>
      </c>
      <c r="D4368" t="s">
        <v>34</v>
      </c>
      <c r="E4368" t="s">
        <v>23</v>
      </c>
      <c r="F4368" t="s">
        <v>17</v>
      </c>
      <c r="G4368" s="1" t="str">
        <f t="shared" si="920"/>
        <v>X</v>
      </c>
      <c r="H4368" s="1" t="str">
        <f t="shared" si="920"/>
        <v>X</v>
      </c>
      <c r="I4368" s="1" t="str">
        <f t="shared" si="920"/>
        <v>X</v>
      </c>
      <c r="J4368" s="1" t="str">
        <f t="shared" si="920"/>
        <v>X</v>
      </c>
      <c r="K4368" s="1" t="str">
        <f t="shared" si="920"/>
        <v>X</v>
      </c>
      <c r="L4368" s="1" t="str">
        <f t="shared" si="920"/>
        <v>X</v>
      </c>
      <c r="M4368" s="1" t="str">
        <f t="shared" si="920"/>
        <v>X</v>
      </c>
      <c r="N4368" t="s">
        <v>27</v>
      </c>
    </row>
    <row r="4369" spans="1:14" x14ac:dyDescent="0.25">
      <c r="A4369" t="s">
        <v>41</v>
      </c>
      <c r="B4369" t="s">
        <v>39</v>
      </c>
      <c r="C4369" t="s">
        <v>38</v>
      </c>
      <c r="D4369" t="s">
        <v>34</v>
      </c>
      <c r="E4369" t="s">
        <v>23</v>
      </c>
      <c r="F4369" t="s">
        <v>18</v>
      </c>
      <c r="G4369" s="1" t="str">
        <f t="shared" ref="G4369:M4370" si="921">"..."</f>
        <v>...</v>
      </c>
      <c r="H4369" s="1" t="str">
        <f t="shared" si="921"/>
        <v>...</v>
      </c>
      <c r="I4369" s="1" t="str">
        <f t="shared" si="921"/>
        <v>...</v>
      </c>
      <c r="J4369" s="1" t="str">
        <f t="shared" si="921"/>
        <v>...</v>
      </c>
      <c r="K4369" s="1" t="str">
        <f t="shared" si="921"/>
        <v>...</v>
      </c>
      <c r="L4369" s="1" t="str">
        <f t="shared" si="921"/>
        <v>...</v>
      </c>
      <c r="M4369" s="1" t="str">
        <f t="shared" si="921"/>
        <v>...</v>
      </c>
      <c r="N4369" t="s">
        <v>30</v>
      </c>
    </row>
    <row r="4370" spans="1:14" x14ac:dyDescent="0.25">
      <c r="A4370" t="s">
        <v>41</v>
      </c>
      <c r="B4370" t="s">
        <v>39</v>
      </c>
      <c r="C4370" t="s">
        <v>38</v>
      </c>
      <c r="D4370" t="s">
        <v>34</v>
      </c>
      <c r="E4370" t="s">
        <v>23</v>
      </c>
      <c r="F4370" t="s">
        <v>19</v>
      </c>
      <c r="G4370" s="1" t="str">
        <f t="shared" si="921"/>
        <v>...</v>
      </c>
      <c r="H4370" s="1" t="str">
        <f t="shared" si="921"/>
        <v>...</v>
      </c>
      <c r="I4370" s="1" t="str">
        <f t="shared" si="921"/>
        <v>...</v>
      </c>
      <c r="J4370" s="1" t="str">
        <f t="shared" si="921"/>
        <v>...</v>
      </c>
      <c r="K4370" s="1" t="str">
        <f t="shared" si="921"/>
        <v>...</v>
      </c>
      <c r="L4370" s="1" t="str">
        <f t="shared" si="921"/>
        <v>...</v>
      </c>
      <c r="M4370" s="1" t="str">
        <f t="shared" si="921"/>
        <v>...</v>
      </c>
      <c r="N4370" t="s">
        <v>30</v>
      </c>
    </row>
    <row r="4371" spans="1:14" x14ac:dyDescent="0.25">
      <c r="A4371" t="s">
        <v>41</v>
      </c>
      <c r="B4371" t="s">
        <v>39</v>
      </c>
      <c r="C4371" t="s">
        <v>38</v>
      </c>
      <c r="D4371" t="s">
        <v>34</v>
      </c>
      <c r="E4371" t="s">
        <v>23</v>
      </c>
      <c r="F4371" t="s">
        <v>20</v>
      </c>
      <c r="G4371" s="1" t="str">
        <f t="shared" ref="G4371:M4372" si="922">"X"</f>
        <v>X</v>
      </c>
      <c r="H4371" s="1" t="str">
        <f t="shared" si="922"/>
        <v>X</v>
      </c>
      <c r="I4371" s="1" t="str">
        <f t="shared" si="922"/>
        <v>X</v>
      </c>
      <c r="J4371" s="1" t="str">
        <f t="shared" si="922"/>
        <v>X</v>
      </c>
      <c r="K4371" s="1" t="str">
        <f t="shared" si="922"/>
        <v>X</v>
      </c>
      <c r="L4371" s="1" t="str">
        <f t="shared" si="922"/>
        <v>X</v>
      </c>
      <c r="M4371" s="1" t="str">
        <f t="shared" si="922"/>
        <v>X</v>
      </c>
      <c r="N4371" t="s">
        <v>27</v>
      </c>
    </row>
    <row r="4372" spans="1:14" x14ac:dyDescent="0.25">
      <c r="A4372" t="s">
        <v>41</v>
      </c>
      <c r="B4372" t="s">
        <v>39</v>
      </c>
      <c r="C4372" t="s">
        <v>38</v>
      </c>
      <c r="D4372" t="s">
        <v>34</v>
      </c>
      <c r="E4372" t="s">
        <v>26</v>
      </c>
      <c r="F4372" t="s">
        <v>15</v>
      </c>
      <c r="G4372" s="1" t="str">
        <f t="shared" si="922"/>
        <v>X</v>
      </c>
      <c r="H4372" s="1" t="str">
        <f t="shared" si="922"/>
        <v>X</v>
      </c>
      <c r="I4372" s="1" t="str">
        <f t="shared" si="922"/>
        <v>X</v>
      </c>
      <c r="J4372" s="1" t="str">
        <f t="shared" si="922"/>
        <v>X</v>
      </c>
      <c r="K4372" s="1" t="str">
        <f t="shared" si="922"/>
        <v>X</v>
      </c>
      <c r="L4372" s="1" t="str">
        <f t="shared" si="922"/>
        <v>X</v>
      </c>
      <c r="M4372" s="1" t="str">
        <f t="shared" si="922"/>
        <v>X</v>
      </c>
      <c r="N4372" t="s">
        <v>27</v>
      </c>
    </row>
    <row r="4373" spans="1:14" x14ac:dyDescent="0.25">
      <c r="A4373" t="s">
        <v>41</v>
      </c>
      <c r="B4373" t="s">
        <v>39</v>
      </c>
      <c r="C4373" t="s">
        <v>38</v>
      </c>
      <c r="D4373" t="s">
        <v>34</v>
      </c>
      <c r="E4373" t="s">
        <v>26</v>
      </c>
      <c r="F4373" t="s">
        <v>17</v>
      </c>
      <c r="G4373" s="1" t="str">
        <f t="shared" ref="G4373:M4373" si="923">"..."</f>
        <v>...</v>
      </c>
      <c r="H4373" s="1" t="str">
        <f t="shared" si="923"/>
        <v>...</v>
      </c>
      <c r="I4373" s="1" t="str">
        <f t="shared" si="923"/>
        <v>...</v>
      </c>
      <c r="J4373" s="1" t="str">
        <f t="shared" si="923"/>
        <v>...</v>
      </c>
      <c r="K4373" s="1" t="str">
        <f t="shared" si="923"/>
        <v>...</v>
      </c>
      <c r="L4373" s="1" t="str">
        <f t="shared" si="923"/>
        <v>...</v>
      </c>
      <c r="M4373" s="1" t="str">
        <f t="shared" si="923"/>
        <v>...</v>
      </c>
      <c r="N4373" t="s">
        <v>30</v>
      </c>
    </row>
    <row r="4374" spans="1:14" x14ac:dyDescent="0.25">
      <c r="A4374" t="s">
        <v>41</v>
      </c>
      <c r="B4374" t="s">
        <v>39</v>
      </c>
      <c r="C4374" t="s">
        <v>38</v>
      </c>
      <c r="D4374" t="s">
        <v>34</v>
      </c>
      <c r="E4374" t="s">
        <v>26</v>
      </c>
      <c r="F4374" t="s">
        <v>18</v>
      </c>
      <c r="G4374" s="1" t="str">
        <f t="shared" ref="G4374:M4374" si="924">"X"</f>
        <v>X</v>
      </c>
      <c r="H4374" s="1" t="str">
        <f t="shared" si="924"/>
        <v>X</v>
      </c>
      <c r="I4374" s="1" t="str">
        <f t="shared" si="924"/>
        <v>X</v>
      </c>
      <c r="J4374" s="1" t="str">
        <f t="shared" si="924"/>
        <v>X</v>
      </c>
      <c r="K4374" s="1" t="str">
        <f t="shared" si="924"/>
        <v>X</v>
      </c>
      <c r="L4374" s="1" t="str">
        <f t="shared" si="924"/>
        <v>X</v>
      </c>
      <c r="M4374" s="1" t="str">
        <f t="shared" si="924"/>
        <v>X</v>
      </c>
      <c r="N4374" t="s">
        <v>27</v>
      </c>
    </row>
    <row r="4375" spans="1:14" x14ac:dyDescent="0.25">
      <c r="A4375" t="s">
        <v>41</v>
      </c>
      <c r="B4375" t="s">
        <v>39</v>
      </c>
      <c r="C4375" t="s">
        <v>38</v>
      </c>
      <c r="D4375" t="s">
        <v>34</v>
      </c>
      <c r="E4375" t="s">
        <v>26</v>
      </c>
      <c r="F4375" t="s">
        <v>19</v>
      </c>
      <c r="G4375" s="1" t="str">
        <f t="shared" ref="G4375:M4376" si="925">"..."</f>
        <v>...</v>
      </c>
      <c r="H4375" s="1" t="str">
        <f t="shared" si="925"/>
        <v>...</v>
      </c>
      <c r="I4375" s="1" t="str">
        <f t="shared" si="925"/>
        <v>...</v>
      </c>
      <c r="J4375" s="1" t="str">
        <f t="shared" si="925"/>
        <v>...</v>
      </c>
      <c r="K4375" s="1" t="str">
        <f t="shared" si="925"/>
        <v>...</v>
      </c>
      <c r="L4375" s="1" t="str">
        <f t="shared" si="925"/>
        <v>...</v>
      </c>
      <c r="M4375" s="1" t="str">
        <f t="shared" si="925"/>
        <v>...</v>
      </c>
      <c r="N4375" t="s">
        <v>30</v>
      </c>
    </row>
    <row r="4376" spans="1:14" x14ac:dyDescent="0.25">
      <c r="A4376" t="s">
        <v>41</v>
      </c>
      <c r="B4376" t="s">
        <v>39</v>
      </c>
      <c r="C4376" t="s">
        <v>38</v>
      </c>
      <c r="D4376" t="s">
        <v>34</v>
      </c>
      <c r="E4376" t="s">
        <v>26</v>
      </c>
      <c r="F4376" t="s">
        <v>20</v>
      </c>
      <c r="G4376" s="1" t="str">
        <f t="shared" si="925"/>
        <v>...</v>
      </c>
      <c r="H4376" s="1" t="str">
        <f t="shared" si="925"/>
        <v>...</v>
      </c>
      <c r="I4376" s="1" t="str">
        <f t="shared" si="925"/>
        <v>...</v>
      </c>
      <c r="J4376" s="1" t="str">
        <f t="shared" si="925"/>
        <v>...</v>
      </c>
      <c r="K4376" s="1" t="str">
        <f t="shared" si="925"/>
        <v>...</v>
      </c>
      <c r="L4376" s="1" t="str">
        <f t="shared" si="925"/>
        <v>...</v>
      </c>
      <c r="M4376" s="1" t="str">
        <f t="shared" si="925"/>
        <v>...</v>
      </c>
      <c r="N4376" t="s">
        <v>30</v>
      </c>
    </row>
    <row r="4377" spans="1:14" x14ac:dyDescent="0.25">
      <c r="A4377" t="s">
        <v>41</v>
      </c>
      <c r="B4377" t="s">
        <v>40</v>
      </c>
      <c r="C4377" t="s">
        <v>15</v>
      </c>
      <c r="D4377" t="s">
        <v>15</v>
      </c>
      <c r="E4377" t="s">
        <v>15</v>
      </c>
      <c r="F4377" t="s">
        <v>15</v>
      </c>
      <c r="G4377" s="1">
        <f>VALUE(48326.1631209415)</f>
        <v>48326.163120941499</v>
      </c>
      <c r="H4377" s="1">
        <f>VALUE(38667.8663157219)</f>
        <v>38667.866315722</v>
      </c>
      <c r="I4377" s="1">
        <f>VALUE(2794)</f>
        <v>2794</v>
      </c>
      <c r="J4377" s="1">
        <f>VALUE(3388)</f>
        <v>3388</v>
      </c>
      <c r="K4377" s="1">
        <f>VALUE(4290)</f>
        <v>4290</v>
      </c>
      <c r="L4377" s="1">
        <f>VALUE(5555)</f>
        <v>5555</v>
      </c>
      <c r="M4377" s="1">
        <f>VALUE(7277)</f>
        <v>7277</v>
      </c>
      <c r="N4377" t="s">
        <v>16</v>
      </c>
    </row>
    <row r="4378" spans="1:14" x14ac:dyDescent="0.25">
      <c r="A4378" t="s">
        <v>41</v>
      </c>
      <c r="B4378" t="s">
        <v>40</v>
      </c>
      <c r="C4378" t="s">
        <v>15</v>
      </c>
      <c r="D4378" t="s">
        <v>15</v>
      </c>
      <c r="E4378" t="s">
        <v>15</v>
      </c>
      <c r="F4378" t="s">
        <v>17</v>
      </c>
      <c r="G4378" s="1">
        <f>VALUE(4770.634044276)</f>
        <v>4770.6340442760002</v>
      </c>
      <c r="H4378" s="1">
        <f>VALUE(4112.8267572882)</f>
        <v>4112.8267572881996</v>
      </c>
      <c r="I4378" s="4">
        <f>VALUE(3297)</f>
        <v>3297</v>
      </c>
      <c r="J4378" s="1">
        <f>VALUE(4545)</f>
        <v>4545</v>
      </c>
      <c r="K4378" s="1">
        <f>VALUE(6175)</f>
        <v>6175</v>
      </c>
      <c r="L4378" s="1">
        <f>VALUE(8378)</f>
        <v>8378</v>
      </c>
      <c r="M4378" s="8">
        <f>VALUE(11917)</f>
        <v>11917</v>
      </c>
      <c r="N4378" t="s">
        <v>25</v>
      </c>
    </row>
    <row r="4379" spans="1:14" x14ac:dyDescent="0.25">
      <c r="A4379" t="s">
        <v>41</v>
      </c>
      <c r="B4379" t="s">
        <v>40</v>
      </c>
      <c r="C4379" t="s">
        <v>15</v>
      </c>
      <c r="D4379" t="s">
        <v>15</v>
      </c>
      <c r="E4379" t="s">
        <v>15</v>
      </c>
      <c r="F4379" t="s">
        <v>18</v>
      </c>
      <c r="G4379" s="1">
        <f>VALUE(5680.2406550994)</f>
        <v>5680.2406550994001</v>
      </c>
      <c r="H4379" s="1">
        <f>VALUE(4441.9754541976)</f>
        <v>4441.9754541975999</v>
      </c>
      <c r="I4379" s="1">
        <f>VALUE(3307)</f>
        <v>3307</v>
      </c>
      <c r="J4379" s="1">
        <f>VALUE(4266)</f>
        <v>4266</v>
      </c>
      <c r="K4379" s="1">
        <f>VALUE(5377)</f>
        <v>5377</v>
      </c>
      <c r="L4379" s="1">
        <f>VALUE(6992)</f>
        <v>6992</v>
      </c>
      <c r="M4379" s="1">
        <f>VALUE(8398)</f>
        <v>8398</v>
      </c>
      <c r="N4379" t="s">
        <v>16</v>
      </c>
    </row>
    <row r="4380" spans="1:14" x14ac:dyDescent="0.25">
      <c r="A4380" t="s">
        <v>41</v>
      </c>
      <c r="B4380" t="s">
        <v>40</v>
      </c>
      <c r="C4380" t="s">
        <v>15</v>
      </c>
      <c r="D4380" t="s">
        <v>15</v>
      </c>
      <c r="E4380" t="s">
        <v>15</v>
      </c>
      <c r="F4380" t="s">
        <v>19</v>
      </c>
      <c r="G4380" s="1">
        <f>VALUE(6179.7147564867)</f>
        <v>6179.7147564867</v>
      </c>
      <c r="H4380" s="1">
        <f>VALUE(4968.3722443597)</f>
        <v>4968.3722443596998</v>
      </c>
      <c r="I4380" s="1">
        <f>VALUE(3282)</f>
        <v>3282</v>
      </c>
      <c r="J4380" s="1">
        <f>VALUE(3905)</f>
        <v>3905</v>
      </c>
      <c r="K4380" s="1">
        <f>VALUE(4690)</f>
        <v>4690</v>
      </c>
      <c r="L4380" s="1">
        <f>VALUE(5778)</f>
        <v>5778</v>
      </c>
      <c r="M4380" s="1">
        <f>VALUE(7211)</f>
        <v>7211</v>
      </c>
      <c r="N4380" t="s">
        <v>16</v>
      </c>
    </row>
    <row r="4381" spans="1:14" x14ac:dyDescent="0.25">
      <c r="A4381" t="s">
        <v>41</v>
      </c>
      <c r="B4381" t="s">
        <v>40</v>
      </c>
      <c r="C4381" t="s">
        <v>15</v>
      </c>
      <c r="D4381" t="s">
        <v>15</v>
      </c>
      <c r="E4381" t="s">
        <v>15</v>
      </c>
      <c r="F4381" t="s">
        <v>20</v>
      </c>
      <c r="G4381" s="1">
        <f>VALUE(31584.9835493568)</f>
        <v>31584.983549356799</v>
      </c>
      <c r="H4381" s="1">
        <f>VALUE(25045.9954564295)</f>
        <v>25045.9954564295</v>
      </c>
      <c r="I4381" s="1">
        <f>VALUE(2708)</f>
        <v>2708</v>
      </c>
      <c r="J4381" s="1">
        <f>VALUE(3171)</f>
        <v>3171</v>
      </c>
      <c r="K4381" s="1">
        <f>VALUE(3911)</f>
        <v>3911</v>
      </c>
      <c r="L4381" s="1">
        <f>VALUE(4925)</f>
        <v>4925</v>
      </c>
      <c r="M4381" s="1">
        <f>VALUE(6091)</f>
        <v>6091</v>
      </c>
      <c r="N4381" t="s">
        <v>16</v>
      </c>
    </row>
    <row r="4382" spans="1:14" x14ac:dyDescent="0.25">
      <c r="A4382" t="s">
        <v>41</v>
      </c>
      <c r="B4382" t="s">
        <v>40</v>
      </c>
      <c r="C4382" t="s">
        <v>15</v>
      </c>
      <c r="D4382" t="s">
        <v>15</v>
      </c>
      <c r="E4382" t="s">
        <v>21</v>
      </c>
      <c r="F4382" t="s">
        <v>15</v>
      </c>
      <c r="G4382" s="1">
        <f>VALUE(10046.4442458634)</f>
        <v>10046.4442458634</v>
      </c>
      <c r="H4382" s="1">
        <f>VALUE(8048.2476642545)</f>
        <v>8048.2476642544998</v>
      </c>
      <c r="I4382" s="1">
        <f>VALUE(3467)</f>
        <v>3467</v>
      </c>
      <c r="J4382" s="1">
        <f>VALUE(4333)</f>
        <v>4333</v>
      </c>
      <c r="K4382" s="1">
        <f>VALUE(5555)</f>
        <v>5555</v>
      </c>
      <c r="L4382" s="1">
        <f>VALUE(7326)</f>
        <v>7326</v>
      </c>
      <c r="M4382" s="1">
        <f>VALUE(9206)</f>
        <v>9206</v>
      </c>
      <c r="N4382" t="s">
        <v>16</v>
      </c>
    </row>
    <row r="4383" spans="1:14" x14ac:dyDescent="0.25">
      <c r="A4383" t="s">
        <v>41</v>
      </c>
      <c r="B4383" t="s">
        <v>40</v>
      </c>
      <c r="C4383" t="s">
        <v>15</v>
      </c>
      <c r="D4383" t="s">
        <v>15</v>
      </c>
      <c r="E4383" t="s">
        <v>21</v>
      </c>
      <c r="F4383" t="s">
        <v>17</v>
      </c>
      <c r="G4383" s="1">
        <f>VALUE(2643.5142559279)</f>
        <v>2643.5142559279002</v>
      </c>
      <c r="H4383" s="1">
        <f>VALUE(2249.2259537357)</f>
        <v>2249.2259537356999</v>
      </c>
      <c r="I4383" s="4">
        <f>VALUE(3815)</f>
        <v>3815</v>
      </c>
      <c r="J4383" s="1">
        <f>VALUE(4952)</f>
        <v>4952</v>
      </c>
      <c r="K4383" s="1">
        <f>VALUE(6793)</f>
        <v>6793</v>
      </c>
      <c r="L4383" s="1">
        <f>VALUE(8990)</f>
        <v>8990</v>
      </c>
      <c r="M4383" s="8">
        <f>VALUE(12852)</f>
        <v>12852</v>
      </c>
      <c r="N4383" t="s">
        <v>25</v>
      </c>
    </row>
    <row r="4384" spans="1:14" x14ac:dyDescent="0.25">
      <c r="A4384" t="s">
        <v>41</v>
      </c>
      <c r="B4384" t="s">
        <v>40</v>
      </c>
      <c r="C4384" t="s">
        <v>15</v>
      </c>
      <c r="D4384" t="s">
        <v>15</v>
      </c>
      <c r="E4384" t="s">
        <v>21</v>
      </c>
      <c r="F4384" t="s">
        <v>18</v>
      </c>
      <c r="G4384" s="1">
        <f>VALUE(2287.0265552863)</f>
        <v>2287.0265552863002</v>
      </c>
      <c r="H4384" s="1">
        <f>VALUE(1747.9103636415)</f>
        <v>1747.9103636415</v>
      </c>
      <c r="I4384" s="4">
        <f>VALUE(3412)</f>
        <v>3412</v>
      </c>
      <c r="J4384" s="1">
        <f>VALUE(4376)</f>
        <v>4376</v>
      </c>
      <c r="K4384" s="1">
        <f>VALUE(6052)</f>
        <v>6052</v>
      </c>
      <c r="L4384" s="1">
        <f>VALUE(7691)</f>
        <v>7691</v>
      </c>
      <c r="M4384" s="1">
        <f>VALUE(8929)</f>
        <v>8929</v>
      </c>
      <c r="N4384" t="s">
        <v>25</v>
      </c>
    </row>
    <row r="4385" spans="1:14" x14ac:dyDescent="0.25">
      <c r="A4385" t="s">
        <v>41</v>
      </c>
      <c r="B4385" t="s">
        <v>40</v>
      </c>
      <c r="C4385" t="s">
        <v>15</v>
      </c>
      <c r="D4385" t="s">
        <v>15</v>
      </c>
      <c r="E4385" t="s">
        <v>21</v>
      </c>
      <c r="F4385" t="s">
        <v>19</v>
      </c>
      <c r="G4385" s="1">
        <f>VALUE(1898.3674672905)</f>
        <v>1898.3674672904999</v>
      </c>
      <c r="H4385" s="1">
        <f>VALUE(1415.5658204163)</f>
        <v>1415.5658204163001</v>
      </c>
      <c r="I4385" s="1">
        <f>VALUE(3810)</f>
        <v>3810</v>
      </c>
      <c r="J4385" s="1">
        <f>VALUE(4333)</f>
        <v>4333</v>
      </c>
      <c r="K4385" s="1">
        <f>VALUE(5275)</f>
        <v>5275</v>
      </c>
      <c r="L4385" s="1">
        <f>VALUE(6617)</f>
        <v>6617</v>
      </c>
      <c r="M4385" s="1">
        <f>VALUE(8003)</f>
        <v>8003</v>
      </c>
      <c r="N4385" t="s">
        <v>16</v>
      </c>
    </row>
    <row r="4386" spans="1:14" x14ac:dyDescent="0.25">
      <c r="A4386" t="s">
        <v>41</v>
      </c>
      <c r="B4386" t="s">
        <v>40</v>
      </c>
      <c r="C4386" t="s">
        <v>15</v>
      </c>
      <c r="D4386" t="s">
        <v>15</v>
      </c>
      <c r="E4386" t="s">
        <v>21</v>
      </c>
      <c r="F4386" t="s">
        <v>20</v>
      </c>
      <c r="G4386" s="1">
        <f>VALUE(3214.1561612497)</f>
        <v>3214.1561612496998</v>
      </c>
      <c r="H4386" s="1">
        <f>VALUE(2633.4370493428)</f>
        <v>2633.4370493428</v>
      </c>
      <c r="I4386" s="4">
        <f>VALUE(3250)</f>
        <v>3250</v>
      </c>
      <c r="J4386" s="1">
        <f>VALUE(3910)</f>
        <v>3910</v>
      </c>
      <c r="K4386" s="1">
        <f>VALUE(4947)</f>
        <v>4947</v>
      </c>
      <c r="L4386" s="1">
        <f>VALUE(6246)</f>
        <v>6246</v>
      </c>
      <c r="M4386" s="1">
        <f>VALUE(7530)</f>
        <v>7530</v>
      </c>
      <c r="N4386" t="s">
        <v>25</v>
      </c>
    </row>
    <row r="4387" spans="1:14" x14ac:dyDescent="0.25">
      <c r="A4387" t="s">
        <v>41</v>
      </c>
      <c r="B4387" t="s">
        <v>40</v>
      </c>
      <c r="C4387" t="s">
        <v>15</v>
      </c>
      <c r="D4387" t="s">
        <v>15</v>
      </c>
      <c r="E4387" t="s">
        <v>22</v>
      </c>
      <c r="F4387" t="s">
        <v>15</v>
      </c>
      <c r="G4387" s="1">
        <f>VALUE(18507.4496356433)</f>
        <v>18507.449635643301</v>
      </c>
      <c r="H4387" s="1">
        <f>VALUE(14889.6802694718)</f>
        <v>14889.680269471801</v>
      </c>
      <c r="I4387" s="1">
        <f>VALUE(3238)</f>
        <v>3238</v>
      </c>
      <c r="J4387" s="1">
        <f>VALUE(3942)</f>
        <v>3942</v>
      </c>
      <c r="K4387" s="1">
        <f>VALUE(4817)</f>
        <v>4817</v>
      </c>
      <c r="L4387" s="1">
        <f>VALUE(5810)</f>
        <v>5810</v>
      </c>
      <c r="M4387" s="1">
        <f>VALUE(7192)</f>
        <v>7192</v>
      </c>
      <c r="N4387" t="s">
        <v>16</v>
      </c>
    </row>
    <row r="4388" spans="1:14" x14ac:dyDescent="0.25">
      <c r="A4388" t="s">
        <v>41</v>
      </c>
      <c r="B4388" t="s">
        <v>40</v>
      </c>
      <c r="C4388" t="s">
        <v>15</v>
      </c>
      <c r="D4388" t="s">
        <v>15</v>
      </c>
      <c r="E4388" t="s">
        <v>22</v>
      </c>
      <c r="F4388" t="s">
        <v>17</v>
      </c>
      <c r="G4388" s="2">
        <f>VALUE(1674.089067015)</f>
        <v>1674.089067015</v>
      </c>
      <c r="H4388" s="3">
        <f>VALUE(1462.7391018213)</f>
        <v>1462.7391018213</v>
      </c>
      <c r="I4388" s="4">
        <f>VALUE(3243)</f>
        <v>3243</v>
      </c>
      <c r="J4388" s="1">
        <f>VALUE(4183)</f>
        <v>4183</v>
      </c>
      <c r="K4388" s="1">
        <f>VALUE(5488)</f>
        <v>5488</v>
      </c>
      <c r="L4388" s="1">
        <f>VALUE(7503)</f>
        <v>7503</v>
      </c>
      <c r="M4388" s="1">
        <f>VALUE(9286)</f>
        <v>9286</v>
      </c>
      <c r="N4388" t="s">
        <v>25</v>
      </c>
    </row>
    <row r="4389" spans="1:14" x14ac:dyDescent="0.25">
      <c r="A4389" t="s">
        <v>41</v>
      </c>
      <c r="B4389" t="s">
        <v>40</v>
      </c>
      <c r="C4389" t="s">
        <v>15</v>
      </c>
      <c r="D4389" t="s">
        <v>15</v>
      </c>
      <c r="E4389" t="s">
        <v>22</v>
      </c>
      <c r="F4389" t="s">
        <v>18</v>
      </c>
      <c r="G4389" s="1">
        <f>VALUE(2576.5246630574)</f>
        <v>2576.5246630574002</v>
      </c>
      <c r="H4389" s="1">
        <f>VALUE(2056.8468818489)</f>
        <v>2056.8468818489</v>
      </c>
      <c r="I4389" s="4">
        <f>VALUE(3606)</f>
        <v>3606</v>
      </c>
      <c r="J4389" s="1">
        <f>VALUE(4333)</f>
        <v>4333</v>
      </c>
      <c r="K4389" s="1">
        <f>VALUE(5112)</f>
        <v>5112</v>
      </c>
      <c r="L4389" s="1">
        <f>VALUE(6537)</f>
        <v>6537</v>
      </c>
      <c r="M4389" s="1">
        <f>VALUE(7683)</f>
        <v>7683</v>
      </c>
      <c r="N4389" t="s">
        <v>25</v>
      </c>
    </row>
    <row r="4390" spans="1:14" x14ac:dyDescent="0.25">
      <c r="A4390" t="s">
        <v>41</v>
      </c>
      <c r="B4390" t="s">
        <v>40</v>
      </c>
      <c r="C4390" t="s">
        <v>15</v>
      </c>
      <c r="D4390" t="s">
        <v>15</v>
      </c>
      <c r="E4390" t="s">
        <v>22</v>
      </c>
      <c r="F4390" t="s">
        <v>19</v>
      </c>
      <c r="G4390" s="1">
        <f>VALUE(2992.8078390771)</f>
        <v>2992.8078390771002</v>
      </c>
      <c r="H4390" s="1">
        <f>VALUE(2473.815589541)</f>
        <v>2473.815589541</v>
      </c>
      <c r="I4390" s="1">
        <f>VALUE(3426)</f>
        <v>3426</v>
      </c>
      <c r="J4390" s="1">
        <f>VALUE(4030)</f>
        <v>4030</v>
      </c>
      <c r="K4390" s="1">
        <f>VALUE(4853)</f>
        <v>4853</v>
      </c>
      <c r="L4390" s="1">
        <f>VALUE(5778)</f>
        <v>5778</v>
      </c>
      <c r="M4390" s="1">
        <f>VALUE(7134)</f>
        <v>7134</v>
      </c>
      <c r="N4390" t="s">
        <v>16</v>
      </c>
    </row>
    <row r="4391" spans="1:14" x14ac:dyDescent="0.25">
      <c r="A4391" t="s">
        <v>41</v>
      </c>
      <c r="B4391" t="s">
        <v>40</v>
      </c>
      <c r="C4391" t="s">
        <v>15</v>
      </c>
      <c r="D4391" t="s">
        <v>15</v>
      </c>
      <c r="E4391" t="s">
        <v>22</v>
      </c>
      <c r="F4391" t="s">
        <v>20</v>
      </c>
      <c r="G4391" s="1">
        <f>VALUE(11264.0280664938)</f>
        <v>11264.0280664938</v>
      </c>
      <c r="H4391" s="1">
        <f>VALUE(8896.2786962606)</f>
        <v>8896.2786962606006</v>
      </c>
      <c r="I4391" s="1">
        <f>VALUE(3133)</f>
        <v>3133</v>
      </c>
      <c r="J4391" s="1">
        <f>VALUE(3810)</f>
        <v>3810</v>
      </c>
      <c r="K4391" s="1">
        <f>VALUE(4653)</f>
        <v>4653</v>
      </c>
      <c r="L4391" s="1">
        <f>VALUE(5571)</f>
        <v>5571</v>
      </c>
      <c r="M4391" s="1">
        <f>VALUE(6606)</f>
        <v>6606</v>
      </c>
      <c r="N4391" t="s">
        <v>16</v>
      </c>
    </row>
    <row r="4392" spans="1:14" x14ac:dyDescent="0.25">
      <c r="A4392" t="s">
        <v>41</v>
      </c>
      <c r="B4392" t="s">
        <v>40</v>
      </c>
      <c r="C4392" t="s">
        <v>15</v>
      </c>
      <c r="D4392" t="s">
        <v>15</v>
      </c>
      <c r="E4392" t="s">
        <v>23</v>
      </c>
      <c r="F4392" t="s">
        <v>15</v>
      </c>
      <c r="G4392" s="1">
        <f>VALUE(19161.4200307701)</f>
        <v>19161.420030770099</v>
      </c>
      <c r="H4392" s="1">
        <f>VALUE(15140.2538929635)</f>
        <v>15140.253892963499</v>
      </c>
      <c r="I4392" s="1">
        <f>VALUE(2616)</f>
        <v>2616</v>
      </c>
      <c r="J4392" s="1">
        <f>VALUE(2924)</f>
        <v>2924</v>
      </c>
      <c r="K4392" s="1">
        <f>VALUE(3467)</f>
        <v>3467</v>
      </c>
      <c r="L4392" s="1">
        <f>VALUE(4081)</f>
        <v>4081</v>
      </c>
      <c r="M4392" s="1">
        <f>VALUE(4871)</f>
        <v>4871</v>
      </c>
      <c r="N4392" t="s">
        <v>16</v>
      </c>
    </row>
    <row r="4393" spans="1:14" x14ac:dyDescent="0.25">
      <c r="A4393" t="s">
        <v>41</v>
      </c>
      <c r="B4393" t="s">
        <v>40</v>
      </c>
      <c r="C4393" t="s">
        <v>15</v>
      </c>
      <c r="D4393" t="s">
        <v>15</v>
      </c>
      <c r="E4393" t="s">
        <v>23</v>
      </c>
      <c r="F4393" t="s">
        <v>17</v>
      </c>
      <c r="G4393" s="2">
        <f>VALUE(380.1588189008)</f>
        <v>380.15881890079999</v>
      </c>
      <c r="H4393" s="3">
        <f>VALUE(326.0772580901)</f>
        <v>326.07725809009997</v>
      </c>
      <c r="I4393" s="4">
        <f>VALUE(1934)</f>
        <v>1934</v>
      </c>
      <c r="J4393" s="5">
        <f>VALUE(3578)</f>
        <v>3578</v>
      </c>
      <c r="K4393" s="6">
        <f>VALUE(4810)</f>
        <v>4810</v>
      </c>
      <c r="L4393" s="7">
        <f>VALUE(6708)</f>
        <v>6708</v>
      </c>
      <c r="M4393" s="8">
        <f>VALUE(8394)</f>
        <v>8394</v>
      </c>
      <c r="N4393" t="s">
        <v>24</v>
      </c>
    </row>
    <row r="4394" spans="1:14" x14ac:dyDescent="0.25">
      <c r="A4394" t="s">
        <v>41</v>
      </c>
      <c r="B4394" t="s">
        <v>40</v>
      </c>
      <c r="C4394" t="s">
        <v>15</v>
      </c>
      <c r="D4394" t="s">
        <v>15</v>
      </c>
      <c r="E4394" t="s">
        <v>23</v>
      </c>
      <c r="F4394" t="s">
        <v>18</v>
      </c>
      <c r="G4394" s="2">
        <f>VALUE(688.1444230576)</f>
        <v>688.14442305759997</v>
      </c>
      <c r="H4394" s="3">
        <f>VALUE(509.9881233159)</f>
        <v>509.9881233159</v>
      </c>
      <c r="I4394" s="1">
        <f>VALUE(3033)</f>
        <v>3033</v>
      </c>
      <c r="J4394" s="5">
        <f>VALUE(3350)</f>
        <v>3350</v>
      </c>
      <c r="K4394" s="6">
        <f>VALUE(4186)</f>
        <v>4186</v>
      </c>
      <c r="L4394" s="1">
        <f>VALUE(5263)</f>
        <v>5263</v>
      </c>
      <c r="M4394" s="1">
        <f>VALUE(6492)</f>
        <v>6492</v>
      </c>
      <c r="N4394" t="s">
        <v>25</v>
      </c>
    </row>
    <row r="4395" spans="1:14" x14ac:dyDescent="0.25">
      <c r="A4395" t="s">
        <v>41</v>
      </c>
      <c r="B4395" t="s">
        <v>40</v>
      </c>
      <c r="C4395" t="s">
        <v>15</v>
      </c>
      <c r="D4395" t="s">
        <v>15</v>
      </c>
      <c r="E4395" t="s">
        <v>23</v>
      </c>
      <c r="F4395" t="s">
        <v>19</v>
      </c>
      <c r="G4395" s="2">
        <f>VALUE(1287.0784186703)</f>
        <v>1287.0784186702999</v>
      </c>
      <c r="H4395" s="3">
        <f>VALUE(1078.0703845897)</f>
        <v>1078.0703845897001</v>
      </c>
      <c r="I4395" s="1">
        <f>VALUE(3034)</f>
        <v>3034</v>
      </c>
      <c r="J4395" s="1">
        <f>VALUE(3343)</f>
        <v>3343</v>
      </c>
      <c r="K4395" s="1">
        <f>VALUE(3828)</f>
        <v>3828</v>
      </c>
      <c r="L4395" s="1">
        <f>VALUE(4339)</f>
        <v>4339</v>
      </c>
      <c r="M4395" s="1">
        <f>VALUE(5340)</f>
        <v>5340</v>
      </c>
      <c r="N4395" t="s">
        <v>25</v>
      </c>
    </row>
    <row r="4396" spans="1:14" x14ac:dyDescent="0.25">
      <c r="A4396" t="s">
        <v>41</v>
      </c>
      <c r="B4396" t="s">
        <v>40</v>
      </c>
      <c r="C4396" t="s">
        <v>15</v>
      </c>
      <c r="D4396" t="s">
        <v>15</v>
      </c>
      <c r="E4396" t="s">
        <v>23</v>
      </c>
      <c r="F4396" t="s">
        <v>20</v>
      </c>
      <c r="G4396" s="1">
        <f>VALUE(16801.8608899668)</f>
        <v>16801.8608899668</v>
      </c>
      <c r="H4396" s="1">
        <f>VALUE(13222.3764704461)</f>
        <v>13222.376470446099</v>
      </c>
      <c r="I4396" s="1">
        <f>VALUE(2592)</f>
        <v>2592</v>
      </c>
      <c r="J4396" s="1">
        <f>VALUE(2883)</f>
        <v>2883</v>
      </c>
      <c r="K4396" s="1">
        <f>VALUE(3411)</f>
        <v>3411</v>
      </c>
      <c r="L4396" s="1">
        <f>VALUE(3992)</f>
        <v>3992</v>
      </c>
      <c r="M4396" s="1">
        <f>VALUE(4721)</f>
        <v>4721</v>
      </c>
      <c r="N4396" t="s">
        <v>16</v>
      </c>
    </row>
    <row r="4397" spans="1:14" x14ac:dyDescent="0.25">
      <c r="A4397" t="s">
        <v>41</v>
      </c>
      <c r="B4397" t="s">
        <v>40</v>
      </c>
      <c r="C4397" t="s">
        <v>15</v>
      </c>
      <c r="D4397" t="s">
        <v>15</v>
      </c>
      <c r="E4397" t="s">
        <v>26</v>
      </c>
      <c r="F4397" t="s">
        <v>15</v>
      </c>
      <c r="G4397" s="2">
        <f>VALUE(610.8492086647)</f>
        <v>610.84920866469997</v>
      </c>
      <c r="H4397" s="1">
        <f>VALUE(589.6844890322)</f>
        <v>589.68448903219996</v>
      </c>
      <c r="I4397" s="1">
        <f>VALUE(4127)</f>
        <v>4127</v>
      </c>
      <c r="J4397" s="1">
        <f>VALUE(5476)</f>
        <v>5476</v>
      </c>
      <c r="K4397" s="1">
        <f>VALUE(6508)</f>
        <v>6508</v>
      </c>
      <c r="L4397" s="1">
        <f>VALUE(8651)</f>
        <v>8651</v>
      </c>
      <c r="M4397" s="1">
        <f>VALUE(13876)</f>
        <v>13876</v>
      </c>
      <c r="N4397" t="s">
        <v>25</v>
      </c>
    </row>
    <row r="4398" spans="1:14" x14ac:dyDescent="0.25">
      <c r="A4398" t="s">
        <v>41</v>
      </c>
      <c r="B4398" t="s">
        <v>40</v>
      </c>
      <c r="C4398" t="s">
        <v>15</v>
      </c>
      <c r="D4398" t="s">
        <v>15</v>
      </c>
      <c r="E4398" t="s">
        <v>26</v>
      </c>
      <c r="F4398" t="s">
        <v>17</v>
      </c>
      <c r="G4398" s="1" t="str">
        <f t="shared" ref="G4398:M4400" si="926">"X"</f>
        <v>X</v>
      </c>
      <c r="H4398" s="1" t="str">
        <f t="shared" si="926"/>
        <v>X</v>
      </c>
      <c r="I4398" s="1" t="str">
        <f t="shared" si="926"/>
        <v>X</v>
      </c>
      <c r="J4398" s="1" t="str">
        <f t="shared" si="926"/>
        <v>X</v>
      </c>
      <c r="K4398" s="1" t="str">
        <f t="shared" si="926"/>
        <v>X</v>
      </c>
      <c r="L4398" s="1" t="str">
        <f t="shared" si="926"/>
        <v>X</v>
      </c>
      <c r="M4398" s="1" t="str">
        <f t="shared" si="926"/>
        <v>X</v>
      </c>
      <c r="N4398" t="s">
        <v>27</v>
      </c>
    </row>
    <row r="4399" spans="1:14" x14ac:dyDescent="0.25">
      <c r="A4399" t="s">
        <v>41</v>
      </c>
      <c r="B4399" t="s">
        <v>40</v>
      </c>
      <c r="C4399" t="s">
        <v>15</v>
      </c>
      <c r="D4399" t="s">
        <v>15</v>
      </c>
      <c r="E4399" t="s">
        <v>26</v>
      </c>
      <c r="F4399" t="s">
        <v>18</v>
      </c>
      <c r="G4399" s="1" t="str">
        <f t="shared" si="926"/>
        <v>X</v>
      </c>
      <c r="H4399" s="1" t="str">
        <f t="shared" si="926"/>
        <v>X</v>
      </c>
      <c r="I4399" s="1" t="str">
        <f t="shared" si="926"/>
        <v>X</v>
      </c>
      <c r="J4399" s="1" t="str">
        <f t="shared" si="926"/>
        <v>X</v>
      </c>
      <c r="K4399" s="1" t="str">
        <f t="shared" si="926"/>
        <v>X</v>
      </c>
      <c r="L4399" s="1" t="str">
        <f t="shared" si="926"/>
        <v>X</v>
      </c>
      <c r="M4399" s="1" t="str">
        <f t="shared" si="926"/>
        <v>X</v>
      </c>
      <c r="N4399" t="s">
        <v>27</v>
      </c>
    </row>
    <row r="4400" spans="1:14" x14ac:dyDescent="0.25">
      <c r="A4400" t="s">
        <v>41</v>
      </c>
      <c r="B4400" t="s">
        <v>40</v>
      </c>
      <c r="C4400" t="s">
        <v>15</v>
      </c>
      <c r="D4400" t="s">
        <v>15</v>
      </c>
      <c r="E4400" t="s">
        <v>26</v>
      </c>
      <c r="F4400" t="s">
        <v>19</v>
      </c>
      <c r="G4400" s="1" t="str">
        <f t="shared" si="926"/>
        <v>X</v>
      </c>
      <c r="H4400" s="1" t="str">
        <f t="shared" si="926"/>
        <v>X</v>
      </c>
      <c r="I4400" s="1" t="str">
        <f t="shared" si="926"/>
        <v>X</v>
      </c>
      <c r="J4400" s="1" t="str">
        <f t="shared" si="926"/>
        <v>X</v>
      </c>
      <c r="K4400" s="1" t="str">
        <f t="shared" si="926"/>
        <v>X</v>
      </c>
      <c r="L4400" s="1" t="str">
        <f t="shared" si="926"/>
        <v>X</v>
      </c>
      <c r="M4400" s="1" t="str">
        <f t="shared" si="926"/>
        <v>X</v>
      </c>
      <c r="N4400" t="s">
        <v>27</v>
      </c>
    </row>
    <row r="4401" spans="1:14" x14ac:dyDescent="0.25">
      <c r="A4401" t="s">
        <v>41</v>
      </c>
      <c r="B4401" t="s">
        <v>40</v>
      </c>
      <c r="C4401" t="s">
        <v>15</v>
      </c>
      <c r="D4401" t="s">
        <v>15</v>
      </c>
      <c r="E4401" t="s">
        <v>26</v>
      </c>
      <c r="F4401" t="s">
        <v>20</v>
      </c>
      <c r="G4401" s="1">
        <f>VALUE(304.9384316465)</f>
        <v>304.93843164650002</v>
      </c>
      <c r="H4401" s="1">
        <f>VALUE(293.90324038)</f>
        <v>293.90324038</v>
      </c>
      <c r="I4401" s="1">
        <f>VALUE(4341)</f>
        <v>4341</v>
      </c>
      <c r="J4401" s="1">
        <f>VALUE(5269)</f>
        <v>5269</v>
      </c>
      <c r="K4401" s="1">
        <f>VALUE(6190)</f>
        <v>6190</v>
      </c>
      <c r="L4401" s="1">
        <f>VALUE(7045)</f>
        <v>7045</v>
      </c>
      <c r="M4401" s="1">
        <f>VALUE(7937)</f>
        <v>7937</v>
      </c>
      <c r="N4401" t="s">
        <v>16</v>
      </c>
    </row>
    <row r="4402" spans="1:14" x14ac:dyDescent="0.25">
      <c r="A4402" t="s">
        <v>41</v>
      </c>
      <c r="B4402" t="s">
        <v>40</v>
      </c>
      <c r="C4402" t="s">
        <v>15</v>
      </c>
      <c r="D4402" t="s">
        <v>28</v>
      </c>
      <c r="E4402" t="s">
        <v>15</v>
      </c>
      <c r="F4402" t="s">
        <v>15</v>
      </c>
      <c r="G4402" s="1">
        <f>VALUE(22578.2814023859)</f>
        <v>22578.281402385899</v>
      </c>
      <c r="H4402" s="1">
        <f>VALUE(16924.2279149932)</f>
        <v>16924.2279149932</v>
      </c>
      <c r="I4402" s="1">
        <f>VALUE(3346)</f>
        <v>3346</v>
      </c>
      <c r="J4402" s="1">
        <f>VALUE(4036)</f>
        <v>4036</v>
      </c>
      <c r="K4402" s="1">
        <f>VALUE(4902)</f>
        <v>4902</v>
      </c>
      <c r="L4402" s="1">
        <f>VALUE(6123)</f>
        <v>6123</v>
      </c>
      <c r="M4402" s="1">
        <f>VALUE(7693)</f>
        <v>7693</v>
      </c>
      <c r="N4402" t="s">
        <v>16</v>
      </c>
    </row>
    <row r="4403" spans="1:14" x14ac:dyDescent="0.25">
      <c r="A4403" t="s">
        <v>41</v>
      </c>
      <c r="B4403" t="s">
        <v>40</v>
      </c>
      <c r="C4403" t="s">
        <v>15</v>
      </c>
      <c r="D4403" t="s">
        <v>28</v>
      </c>
      <c r="E4403" t="s">
        <v>15</v>
      </c>
      <c r="F4403" t="s">
        <v>17</v>
      </c>
      <c r="G4403" s="1">
        <f>VALUE(3095.1161116592)</f>
        <v>3095.1161116592002</v>
      </c>
      <c r="H4403" s="1">
        <f>VALUE(2622.5189643922)</f>
        <v>2622.5189643921999</v>
      </c>
      <c r="I4403" s="1">
        <f>VALUE(3250)</f>
        <v>3250</v>
      </c>
      <c r="J4403" s="1">
        <f>VALUE(4442)</f>
        <v>4442</v>
      </c>
      <c r="K4403" s="1">
        <f>VALUE(5905)</f>
        <v>5905</v>
      </c>
      <c r="L4403" s="1">
        <f>VALUE(8000)</f>
        <v>8000</v>
      </c>
      <c r="M4403" s="1">
        <f>VALUE(10912)</f>
        <v>10912</v>
      </c>
      <c r="N4403" t="s">
        <v>16</v>
      </c>
    </row>
    <row r="4404" spans="1:14" x14ac:dyDescent="0.25">
      <c r="A4404" t="s">
        <v>41</v>
      </c>
      <c r="B4404" t="s">
        <v>40</v>
      </c>
      <c r="C4404" t="s">
        <v>15</v>
      </c>
      <c r="D4404" t="s">
        <v>28</v>
      </c>
      <c r="E4404" t="s">
        <v>15</v>
      </c>
      <c r="F4404" t="s">
        <v>18</v>
      </c>
      <c r="G4404" s="1">
        <f>VALUE(3589.3972526425)</f>
        <v>3589.3972526425</v>
      </c>
      <c r="H4404" s="1">
        <f>VALUE(2669.2276432356)</f>
        <v>2669.2276432356002</v>
      </c>
      <c r="I4404" s="1">
        <f>VALUE(3645)</f>
        <v>3645</v>
      </c>
      <c r="J4404" s="1">
        <f>VALUE(4439)</f>
        <v>4439</v>
      </c>
      <c r="K4404" s="1">
        <f>VALUE(5417)</f>
        <v>5417</v>
      </c>
      <c r="L4404" s="1">
        <f>VALUE(6897)</f>
        <v>6897</v>
      </c>
      <c r="M4404" s="1">
        <f>VALUE(8254)</f>
        <v>8254</v>
      </c>
      <c r="N4404" t="s">
        <v>16</v>
      </c>
    </row>
    <row r="4405" spans="1:14" x14ac:dyDescent="0.25">
      <c r="A4405" t="s">
        <v>41</v>
      </c>
      <c r="B4405" t="s">
        <v>40</v>
      </c>
      <c r="C4405" t="s">
        <v>15</v>
      </c>
      <c r="D4405" t="s">
        <v>28</v>
      </c>
      <c r="E4405" t="s">
        <v>15</v>
      </c>
      <c r="F4405" t="s">
        <v>19</v>
      </c>
      <c r="G4405" s="1">
        <f>VALUE(3299.3397196007)</f>
        <v>3299.3397196006999</v>
      </c>
      <c r="H4405" s="1">
        <f>VALUE(2519.308459931)</f>
        <v>2519.308459931</v>
      </c>
      <c r="I4405" s="1">
        <f>VALUE(3683)</f>
        <v>3683</v>
      </c>
      <c r="J4405" s="1">
        <f>VALUE(4218)</f>
        <v>4218</v>
      </c>
      <c r="K4405" s="1">
        <f>VALUE(4998)</f>
        <v>4998</v>
      </c>
      <c r="L4405" s="1">
        <f>VALUE(6033)</f>
        <v>6033</v>
      </c>
      <c r="M4405" s="1">
        <f>VALUE(7360)</f>
        <v>7360</v>
      </c>
      <c r="N4405" t="s">
        <v>16</v>
      </c>
    </row>
    <row r="4406" spans="1:14" x14ac:dyDescent="0.25">
      <c r="A4406" t="s">
        <v>41</v>
      </c>
      <c r="B4406" t="s">
        <v>40</v>
      </c>
      <c r="C4406" t="s">
        <v>15</v>
      </c>
      <c r="D4406" t="s">
        <v>28</v>
      </c>
      <c r="E4406" t="s">
        <v>15</v>
      </c>
      <c r="F4406" t="s">
        <v>20</v>
      </c>
      <c r="G4406" s="1">
        <f>VALUE(12585.4480151512)</f>
        <v>12585.4480151512</v>
      </c>
      <c r="H4406" s="1">
        <f>VALUE(9105.2416749047)</f>
        <v>9105.2416749047006</v>
      </c>
      <c r="I4406" s="1">
        <f>VALUE(3272)</f>
        <v>3272</v>
      </c>
      <c r="J4406" s="1">
        <f>VALUE(3879)</f>
        <v>3879</v>
      </c>
      <c r="K4406" s="1">
        <f>VALUE(4625)</f>
        <v>4625</v>
      </c>
      <c r="L4406" s="1">
        <f>VALUE(5550)</f>
        <v>5550</v>
      </c>
      <c r="M4406" s="1">
        <f>VALUE(6655)</f>
        <v>6655</v>
      </c>
      <c r="N4406" t="s">
        <v>16</v>
      </c>
    </row>
    <row r="4407" spans="1:14" x14ac:dyDescent="0.25">
      <c r="A4407" t="s">
        <v>41</v>
      </c>
      <c r="B4407" t="s">
        <v>40</v>
      </c>
      <c r="C4407" t="s">
        <v>15</v>
      </c>
      <c r="D4407" t="s">
        <v>28</v>
      </c>
      <c r="E4407" t="s">
        <v>21</v>
      </c>
      <c r="F4407" t="s">
        <v>15</v>
      </c>
      <c r="G4407" s="1">
        <f>VALUE(5257.4577806209)</f>
        <v>5257.4577806208999</v>
      </c>
      <c r="H4407" s="1">
        <f>VALUE(3984.605105831)</f>
        <v>3984.6051058309999</v>
      </c>
      <c r="I4407" s="1">
        <f>VALUE(3691)</f>
        <v>3691</v>
      </c>
      <c r="J4407" s="1">
        <f>VALUE(4561)</f>
        <v>4561</v>
      </c>
      <c r="K4407" s="1">
        <f>VALUE(5727)</f>
        <v>5727</v>
      </c>
      <c r="L4407" s="1">
        <f>VALUE(7398)</f>
        <v>7398</v>
      </c>
      <c r="M4407" s="1">
        <f>VALUE(9063)</f>
        <v>9063</v>
      </c>
      <c r="N4407" t="s">
        <v>16</v>
      </c>
    </row>
    <row r="4408" spans="1:14" x14ac:dyDescent="0.25">
      <c r="A4408" t="s">
        <v>41</v>
      </c>
      <c r="B4408" t="s">
        <v>40</v>
      </c>
      <c r="C4408" t="s">
        <v>15</v>
      </c>
      <c r="D4408" t="s">
        <v>28</v>
      </c>
      <c r="E4408" t="s">
        <v>21</v>
      </c>
      <c r="F4408" t="s">
        <v>17</v>
      </c>
      <c r="G4408" s="2">
        <f>VALUE(1618.5855094181)</f>
        <v>1618.5855094180999</v>
      </c>
      <c r="H4408" s="3">
        <f>VALUE(1358.2264434712)</f>
        <v>1358.2264434711999</v>
      </c>
      <c r="I4408" s="4">
        <f>VALUE(3415)</f>
        <v>3415</v>
      </c>
      <c r="J4408" s="1">
        <f>VALUE(4651)</f>
        <v>4651</v>
      </c>
      <c r="K4408" s="1">
        <f>VALUE(6300)</f>
        <v>6300</v>
      </c>
      <c r="L4408" s="1">
        <f>VALUE(8501)</f>
        <v>8501</v>
      </c>
      <c r="M4408" s="8">
        <f>VALUE(11819)</f>
        <v>11819</v>
      </c>
      <c r="N4408" t="s">
        <v>25</v>
      </c>
    </row>
    <row r="4409" spans="1:14" x14ac:dyDescent="0.25">
      <c r="A4409" t="s">
        <v>41</v>
      </c>
      <c r="B4409" t="s">
        <v>40</v>
      </c>
      <c r="C4409" t="s">
        <v>15</v>
      </c>
      <c r="D4409" t="s">
        <v>28</v>
      </c>
      <c r="E4409" t="s">
        <v>21</v>
      </c>
      <c r="F4409" t="s">
        <v>18</v>
      </c>
      <c r="G4409" s="2">
        <f>VALUE(1283.8571113109)</f>
        <v>1283.8571113109001</v>
      </c>
      <c r="H4409" s="3">
        <f>VALUE(900.7289079892)</f>
        <v>900.72890798920002</v>
      </c>
      <c r="I4409" s="4">
        <f>VALUE(3611)</f>
        <v>3611</v>
      </c>
      <c r="J4409" s="1">
        <f>VALUE(4746)</f>
        <v>4746</v>
      </c>
      <c r="K4409" s="1">
        <f>VALUE(6052)</f>
        <v>6052</v>
      </c>
      <c r="L4409" s="1">
        <f>VALUE(7541)</f>
        <v>7541</v>
      </c>
      <c r="M4409" s="1">
        <f>VALUE(8511)</f>
        <v>8511</v>
      </c>
      <c r="N4409" t="s">
        <v>25</v>
      </c>
    </row>
    <row r="4410" spans="1:14" x14ac:dyDescent="0.25">
      <c r="A4410" t="s">
        <v>41</v>
      </c>
      <c r="B4410" t="s">
        <v>40</v>
      </c>
      <c r="C4410" t="s">
        <v>15</v>
      </c>
      <c r="D4410" t="s">
        <v>28</v>
      </c>
      <c r="E4410" t="s">
        <v>21</v>
      </c>
      <c r="F4410" t="s">
        <v>19</v>
      </c>
      <c r="G4410" s="2">
        <f>VALUE(942.8077495553)</f>
        <v>942.80774955530001</v>
      </c>
      <c r="H4410" s="3">
        <f>VALUE(658.1060141061)</f>
        <v>658.10601410610002</v>
      </c>
      <c r="I4410" s="1">
        <f>VALUE(4041)</f>
        <v>4041</v>
      </c>
      <c r="J4410" s="1">
        <f>VALUE(4709)</f>
        <v>4709</v>
      </c>
      <c r="K4410" s="6">
        <f>VALUE(5366)</f>
        <v>5366</v>
      </c>
      <c r="L4410" s="1">
        <f>VALUE(6879)</f>
        <v>6879</v>
      </c>
      <c r="M4410" s="1">
        <f>VALUE(8045)</f>
        <v>8045</v>
      </c>
      <c r="N4410" t="s">
        <v>25</v>
      </c>
    </row>
    <row r="4411" spans="1:14" x14ac:dyDescent="0.25">
      <c r="A4411" t="s">
        <v>41</v>
      </c>
      <c r="B4411" t="s">
        <v>40</v>
      </c>
      <c r="C4411" t="s">
        <v>15</v>
      </c>
      <c r="D4411" t="s">
        <v>28</v>
      </c>
      <c r="E4411" t="s">
        <v>21</v>
      </c>
      <c r="F4411" t="s">
        <v>20</v>
      </c>
      <c r="G4411" s="2">
        <f>VALUE(1408.8276042276)</f>
        <v>1408.8276042276</v>
      </c>
      <c r="H4411" s="3">
        <f>VALUE(1065.4352631463)</f>
        <v>1065.4352631463</v>
      </c>
      <c r="I4411" s="1">
        <f>VALUE(3693)</f>
        <v>3693</v>
      </c>
      <c r="J4411" s="1">
        <f>VALUE(4333)</f>
        <v>4333</v>
      </c>
      <c r="K4411" s="1">
        <f>VALUE(5131)</f>
        <v>5131</v>
      </c>
      <c r="L4411" s="1">
        <f>VALUE(6525)</f>
        <v>6525</v>
      </c>
      <c r="M4411" s="1">
        <f>VALUE(7778)</f>
        <v>7778</v>
      </c>
      <c r="N4411" t="s">
        <v>25</v>
      </c>
    </row>
    <row r="4412" spans="1:14" x14ac:dyDescent="0.25">
      <c r="A4412" t="s">
        <v>41</v>
      </c>
      <c r="B4412" t="s">
        <v>40</v>
      </c>
      <c r="C4412" t="s">
        <v>15</v>
      </c>
      <c r="D4412" t="s">
        <v>28</v>
      </c>
      <c r="E4412" t="s">
        <v>22</v>
      </c>
      <c r="F4412" t="s">
        <v>15</v>
      </c>
      <c r="G4412" s="1">
        <f>VALUE(12336.7057941594)</f>
        <v>12336.705794159399</v>
      </c>
      <c r="H4412" s="1">
        <f>VALUE(9535.2506220606)</f>
        <v>9535.2506220605992</v>
      </c>
      <c r="I4412" s="1">
        <f>VALUE(3426)</f>
        <v>3426</v>
      </c>
      <c r="J4412" s="1">
        <f>VALUE(4133)</f>
        <v>4133</v>
      </c>
      <c r="K4412" s="1">
        <f>VALUE(4956)</f>
        <v>4956</v>
      </c>
      <c r="L4412" s="1">
        <f>VALUE(5952)</f>
        <v>5952</v>
      </c>
      <c r="M4412" s="1">
        <f>VALUE(7258)</f>
        <v>7258</v>
      </c>
      <c r="N4412" t="s">
        <v>16</v>
      </c>
    </row>
    <row r="4413" spans="1:14" x14ac:dyDescent="0.25">
      <c r="A4413" t="s">
        <v>41</v>
      </c>
      <c r="B4413" t="s">
        <v>40</v>
      </c>
      <c r="C4413" t="s">
        <v>15</v>
      </c>
      <c r="D4413" t="s">
        <v>28</v>
      </c>
      <c r="E4413" t="s">
        <v>22</v>
      </c>
      <c r="F4413" t="s">
        <v>17</v>
      </c>
      <c r="G4413" s="2">
        <f>VALUE(1297.2221655096)</f>
        <v>1297.2221655096</v>
      </c>
      <c r="H4413" s="3">
        <f>VALUE(1120.6863035417)</f>
        <v>1120.6863035417</v>
      </c>
      <c r="I4413" s="4">
        <f>VALUE(3184)</f>
        <v>3184</v>
      </c>
      <c r="J4413" s="5">
        <f>VALUE(4183)</f>
        <v>4183</v>
      </c>
      <c r="K4413" s="6">
        <f>VALUE(5231)</f>
        <v>5231</v>
      </c>
      <c r="L4413" s="1">
        <f>VALUE(7313)</f>
        <v>7313</v>
      </c>
      <c r="M4413" s="1">
        <f>VALUE(9286)</f>
        <v>9286</v>
      </c>
      <c r="N4413" t="s">
        <v>25</v>
      </c>
    </row>
    <row r="4414" spans="1:14" x14ac:dyDescent="0.25">
      <c r="A4414" t="s">
        <v>41</v>
      </c>
      <c r="B4414" t="s">
        <v>40</v>
      </c>
      <c r="C4414" t="s">
        <v>15</v>
      </c>
      <c r="D4414" t="s">
        <v>28</v>
      </c>
      <c r="E4414" t="s">
        <v>22</v>
      </c>
      <c r="F4414" t="s">
        <v>18</v>
      </c>
      <c r="G4414" s="1">
        <f>VALUE(1921.0676685712)</f>
        <v>1921.0676685712001</v>
      </c>
      <c r="H4414" s="1">
        <f>VALUE(1489.1349037968)</f>
        <v>1489.1349037968</v>
      </c>
      <c r="I4414" s="1">
        <f>VALUE(3900)</f>
        <v>3900</v>
      </c>
      <c r="J4414" s="1">
        <f>VALUE(4439)</f>
        <v>4439</v>
      </c>
      <c r="K4414" s="1">
        <f>VALUE(5170)</f>
        <v>5170</v>
      </c>
      <c r="L4414" s="1">
        <f>VALUE(6310)</f>
        <v>6310</v>
      </c>
      <c r="M4414" s="1">
        <f>VALUE(7774)</f>
        <v>7774</v>
      </c>
      <c r="N4414" t="s">
        <v>16</v>
      </c>
    </row>
    <row r="4415" spans="1:14" x14ac:dyDescent="0.25">
      <c r="A4415" t="s">
        <v>41</v>
      </c>
      <c r="B4415" t="s">
        <v>40</v>
      </c>
      <c r="C4415" t="s">
        <v>15</v>
      </c>
      <c r="D4415" t="s">
        <v>28</v>
      </c>
      <c r="E4415" t="s">
        <v>22</v>
      </c>
      <c r="F4415" t="s">
        <v>19</v>
      </c>
      <c r="G4415" s="1">
        <f>VALUE(2040.1481000805)</f>
        <v>2040.1481000804999</v>
      </c>
      <c r="H4415" s="1">
        <f>VALUE(1629.1630979)</f>
        <v>1629.1630978999999</v>
      </c>
      <c r="I4415" s="1">
        <f>VALUE(3667)</f>
        <v>3667</v>
      </c>
      <c r="J4415" s="1">
        <f>VALUE(4207)</f>
        <v>4207</v>
      </c>
      <c r="K4415" s="1">
        <f>VALUE(5001)</f>
        <v>5001</v>
      </c>
      <c r="L4415" s="1">
        <f>VALUE(5796)</f>
        <v>5796</v>
      </c>
      <c r="M4415" s="1">
        <f>VALUE(7075)</f>
        <v>7075</v>
      </c>
      <c r="N4415" t="s">
        <v>16</v>
      </c>
    </row>
    <row r="4416" spans="1:14" x14ac:dyDescent="0.25">
      <c r="A4416" t="s">
        <v>41</v>
      </c>
      <c r="B4416" t="s">
        <v>40</v>
      </c>
      <c r="C4416" t="s">
        <v>15</v>
      </c>
      <c r="D4416" t="s">
        <v>28</v>
      </c>
      <c r="E4416" t="s">
        <v>22</v>
      </c>
      <c r="F4416" t="s">
        <v>20</v>
      </c>
      <c r="G4416" s="1">
        <f>VALUE(7078.2678599981)</f>
        <v>7078.2678599981</v>
      </c>
      <c r="H4416" s="1">
        <f>VALUE(5296.2663168221)</f>
        <v>5296.2663168220997</v>
      </c>
      <c r="I4416" s="1">
        <f>VALUE(3326)</f>
        <v>3326</v>
      </c>
      <c r="J4416" s="1">
        <f>VALUE(4017)</f>
        <v>4017</v>
      </c>
      <c r="K4416" s="1">
        <f>VALUE(4836)</f>
        <v>4836</v>
      </c>
      <c r="L4416" s="1">
        <f>VALUE(5688)</f>
        <v>5688</v>
      </c>
      <c r="M4416" s="1">
        <f>VALUE(6668)</f>
        <v>6668</v>
      </c>
      <c r="N4416" t="s">
        <v>16</v>
      </c>
    </row>
    <row r="4417" spans="1:14" x14ac:dyDescent="0.25">
      <c r="A4417" t="s">
        <v>41</v>
      </c>
      <c r="B4417" t="s">
        <v>40</v>
      </c>
      <c r="C4417" t="s">
        <v>15</v>
      </c>
      <c r="D4417" t="s">
        <v>28</v>
      </c>
      <c r="E4417" t="s">
        <v>23</v>
      </c>
      <c r="F4417" t="s">
        <v>15</v>
      </c>
      <c r="G4417" s="1">
        <f>VALUE(4610.8438179651)</f>
        <v>4610.8438179651002</v>
      </c>
      <c r="H4417" s="1">
        <f>VALUE(3040.6160385999)</f>
        <v>3040.6160385999001</v>
      </c>
      <c r="I4417" s="1">
        <f>VALUE(3033)</f>
        <v>3033</v>
      </c>
      <c r="J4417" s="1">
        <f>VALUE(3514)</f>
        <v>3514</v>
      </c>
      <c r="K4417" s="1">
        <f>VALUE(4042)</f>
        <v>4042</v>
      </c>
      <c r="L4417" s="1">
        <f>VALUE(4704)</f>
        <v>4704</v>
      </c>
      <c r="M4417" s="1">
        <f>VALUE(5417)</f>
        <v>5417</v>
      </c>
      <c r="N4417" t="s">
        <v>16</v>
      </c>
    </row>
    <row r="4418" spans="1:14" x14ac:dyDescent="0.25">
      <c r="A4418" t="s">
        <v>41</v>
      </c>
      <c r="B4418" t="s">
        <v>40</v>
      </c>
      <c r="C4418" t="s">
        <v>15</v>
      </c>
      <c r="D4418" t="s">
        <v>28</v>
      </c>
      <c r="E4418" t="s">
        <v>23</v>
      </c>
      <c r="F4418" t="s">
        <v>17</v>
      </c>
      <c r="G4418" s="1" t="str">
        <f t="shared" ref="G4418:M4418" si="927">"X"</f>
        <v>X</v>
      </c>
      <c r="H4418" s="1" t="str">
        <f t="shared" si="927"/>
        <v>X</v>
      </c>
      <c r="I4418" s="1" t="str">
        <f t="shared" si="927"/>
        <v>X</v>
      </c>
      <c r="J4418" s="1" t="str">
        <f t="shared" si="927"/>
        <v>X</v>
      </c>
      <c r="K4418" s="1" t="str">
        <f t="shared" si="927"/>
        <v>X</v>
      </c>
      <c r="L4418" s="1" t="str">
        <f t="shared" si="927"/>
        <v>X</v>
      </c>
      <c r="M4418" s="1" t="str">
        <f t="shared" si="927"/>
        <v>X</v>
      </c>
      <c r="N4418" t="s">
        <v>27</v>
      </c>
    </row>
    <row r="4419" spans="1:14" x14ac:dyDescent="0.25">
      <c r="A4419" t="s">
        <v>41</v>
      </c>
      <c r="B4419" t="s">
        <v>40</v>
      </c>
      <c r="C4419" t="s">
        <v>15</v>
      </c>
      <c r="D4419" t="s">
        <v>28</v>
      </c>
      <c r="E4419" t="s">
        <v>23</v>
      </c>
      <c r="F4419" t="s">
        <v>18</v>
      </c>
      <c r="G4419" s="2">
        <f>VALUE(285.1480880383)</f>
        <v>285.14808803829999</v>
      </c>
      <c r="H4419" s="3">
        <f>VALUE(180.8210985549)</f>
        <v>180.8210985549</v>
      </c>
      <c r="I4419" s="4">
        <f>VALUE(2786)</f>
        <v>2786</v>
      </c>
      <c r="J4419" s="5">
        <f>VALUE(3467)</f>
        <v>3467</v>
      </c>
      <c r="K4419" s="6">
        <f>VALUE(4550)</f>
        <v>4550</v>
      </c>
      <c r="L4419" s="7">
        <f>VALUE(5583)</f>
        <v>5583</v>
      </c>
      <c r="M4419" s="1">
        <f>VALUE(7042)</f>
        <v>7042</v>
      </c>
      <c r="N4419" t="s">
        <v>25</v>
      </c>
    </row>
    <row r="4420" spans="1:14" x14ac:dyDescent="0.25">
      <c r="A4420" t="s">
        <v>41</v>
      </c>
      <c r="B4420" t="s">
        <v>40</v>
      </c>
      <c r="C4420" t="s">
        <v>15</v>
      </c>
      <c r="D4420" t="s">
        <v>28</v>
      </c>
      <c r="E4420" t="s">
        <v>23</v>
      </c>
      <c r="F4420" t="s">
        <v>19</v>
      </c>
      <c r="G4420" s="2">
        <f>VALUE(314.9228385161)</f>
        <v>314.9228385161</v>
      </c>
      <c r="H4420" s="3">
        <f>VALUE(231.1188981122)</f>
        <v>231.11889811219999</v>
      </c>
      <c r="I4420" s="1">
        <f>VALUE(3267)</f>
        <v>3267</v>
      </c>
      <c r="J4420" s="5">
        <f>VALUE(3787)</f>
        <v>3787</v>
      </c>
      <c r="K4420" s="1">
        <f>VALUE(4213)</f>
        <v>4213</v>
      </c>
      <c r="L4420" s="7">
        <f>VALUE(4893)</f>
        <v>4893</v>
      </c>
      <c r="M4420" s="1">
        <f>VALUE(6245)</f>
        <v>6245</v>
      </c>
      <c r="N4420" t="s">
        <v>25</v>
      </c>
    </row>
    <row r="4421" spans="1:14" x14ac:dyDescent="0.25">
      <c r="A4421" t="s">
        <v>41</v>
      </c>
      <c r="B4421" t="s">
        <v>40</v>
      </c>
      <c r="C4421" t="s">
        <v>15</v>
      </c>
      <c r="D4421" t="s">
        <v>28</v>
      </c>
      <c r="E4421" t="s">
        <v>23</v>
      </c>
      <c r="F4421" t="s">
        <v>20</v>
      </c>
      <c r="G4421" s="1">
        <f>VALUE(3878.0635448294)</f>
        <v>3878.0635448294001</v>
      </c>
      <c r="H4421" s="1">
        <f>VALUE(2532.6463957859)</f>
        <v>2532.6463957859</v>
      </c>
      <c r="I4421" s="1">
        <f>VALUE(3033)</f>
        <v>3033</v>
      </c>
      <c r="J4421" s="1">
        <f>VALUE(3514)</f>
        <v>3514</v>
      </c>
      <c r="K4421" s="1">
        <f>VALUE(3998)</f>
        <v>3998</v>
      </c>
      <c r="L4421" s="1">
        <f>VALUE(4636)</f>
        <v>4636</v>
      </c>
      <c r="M4421" s="1">
        <f>VALUE(5174)</f>
        <v>5174</v>
      </c>
      <c r="N4421" t="s">
        <v>16</v>
      </c>
    </row>
    <row r="4422" spans="1:14" x14ac:dyDescent="0.25">
      <c r="A4422" t="s">
        <v>41</v>
      </c>
      <c r="B4422" t="s">
        <v>40</v>
      </c>
      <c r="C4422" t="s">
        <v>15</v>
      </c>
      <c r="D4422" t="s">
        <v>28</v>
      </c>
      <c r="E4422" t="s">
        <v>26</v>
      </c>
      <c r="F4422" t="s">
        <v>15</v>
      </c>
      <c r="G4422" s="1">
        <f>VALUE(373.2740096405)</f>
        <v>373.27400964050003</v>
      </c>
      <c r="H4422" s="1">
        <f>VALUE(363.7561485017)</f>
        <v>363.75614850170001</v>
      </c>
      <c r="I4422" s="1">
        <f>VALUE(4841)</f>
        <v>4841</v>
      </c>
      <c r="J4422" s="1">
        <f>VALUE(5952)</f>
        <v>5952</v>
      </c>
      <c r="K4422" s="1">
        <f>VALUE(7064)</f>
        <v>7064</v>
      </c>
      <c r="L4422" s="1">
        <f>VALUE(9155)</f>
        <v>9155</v>
      </c>
      <c r="M4422" s="1">
        <f>VALUE(14882)</f>
        <v>14882</v>
      </c>
      <c r="N4422" t="s">
        <v>16</v>
      </c>
    </row>
    <row r="4423" spans="1:14" x14ac:dyDescent="0.25">
      <c r="A4423" t="s">
        <v>41</v>
      </c>
      <c r="B4423" t="s">
        <v>40</v>
      </c>
      <c r="C4423" t="s">
        <v>15</v>
      </c>
      <c r="D4423" t="s">
        <v>28</v>
      </c>
      <c r="E4423" t="s">
        <v>26</v>
      </c>
      <c r="F4423" t="s">
        <v>17</v>
      </c>
      <c r="G4423" s="1" t="str">
        <f t="shared" ref="G4423:M4426" si="928">"X"</f>
        <v>X</v>
      </c>
      <c r="H4423" s="1" t="str">
        <f t="shared" si="928"/>
        <v>X</v>
      </c>
      <c r="I4423" s="1" t="str">
        <f t="shared" si="928"/>
        <v>X</v>
      </c>
      <c r="J4423" s="1" t="str">
        <f t="shared" si="928"/>
        <v>X</v>
      </c>
      <c r="K4423" s="1" t="str">
        <f t="shared" si="928"/>
        <v>X</v>
      </c>
      <c r="L4423" s="1" t="str">
        <f t="shared" si="928"/>
        <v>X</v>
      </c>
      <c r="M4423" s="1" t="str">
        <f t="shared" si="928"/>
        <v>X</v>
      </c>
      <c r="N4423" t="s">
        <v>27</v>
      </c>
    </row>
    <row r="4424" spans="1:14" x14ac:dyDescent="0.25">
      <c r="A4424" t="s">
        <v>41</v>
      </c>
      <c r="B4424" t="s">
        <v>40</v>
      </c>
      <c r="C4424" t="s">
        <v>15</v>
      </c>
      <c r="D4424" t="s">
        <v>28</v>
      </c>
      <c r="E4424" t="s">
        <v>26</v>
      </c>
      <c r="F4424" t="s">
        <v>18</v>
      </c>
      <c r="G4424" s="1" t="str">
        <f t="shared" si="928"/>
        <v>X</v>
      </c>
      <c r="H4424" s="1" t="str">
        <f t="shared" si="928"/>
        <v>X</v>
      </c>
      <c r="I4424" s="1" t="str">
        <f t="shared" si="928"/>
        <v>X</v>
      </c>
      <c r="J4424" s="1" t="str">
        <f t="shared" si="928"/>
        <v>X</v>
      </c>
      <c r="K4424" s="1" t="str">
        <f t="shared" si="928"/>
        <v>X</v>
      </c>
      <c r="L4424" s="1" t="str">
        <f t="shared" si="928"/>
        <v>X</v>
      </c>
      <c r="M4424" s="1" t="str">
        <f t="shared" si="928"/>
        <v>X</v>
      </c>
      <c r="N4424" t="s">
        <v>27</v>
      </c>
    </row>
    <row r="4425" spans="1:14" x14ac:dyDescent="0.25">
      <c r="A4425" t="s">
        <v>41</v>
      </c>
      <c r="B4425" t="s">
        <v>40</v>
      </c>
      <c r="C4425" t="s">
        <v>15</v>
      </c>
      <c r="D4425" t="s">
        <v>28</v>
      </c>
      <c r="E4425" t="s">
        <v>26</v>
      </c>
      <c r="F4425" t="s">
        <v>19</v>
      </c>
      <c r="G4425" s="1" t="str">
        <f t="shared" si="928"/>
        <v>X</v>
      </c>
      <c r="H4425" s="1" t="str">
        <f t="shared" si="928"/>
        <v>X</v>
      </c>
      <c r="I4425" s="1" t="str">
        <f t="shared" si="928"/>
        <v>X</v>
      </c>
      <c r="J4425" s="1" t="str">
        <f t="shared" si="928"/>
        <v>X</v>
      </c>
      <c r="K4425" s="1" t="str">
        <f t="shared" si="928"/>
        <v>X</v>
      </c>
      <c r="L4425" s="1" t="str">
        <f t="shared" si="928"/>
        <v>X</v>
      </c>
      <c r="M4425" s="1" t="str">
        <f t="shared" si="928"/>
        <v>X</v>
      </c>
      <c r="N4425" t="s">
        <v>27</v>
      </c>
    </row>
    <row r="4426" spans="1:14" x14ac:dyDescent="0.25">
      <c r="A4426" t="s">
        <v>41</v>
      </c>
      <c r="B4426" t="s">
        <v>40</v>
      </c>
      <c r="C4426" t="s">
        <v>15</v>
      </c>
      <c r="D4426" t="s">
        <v>28</v>
      </c>
      <c r="E4426" t="s">
        <v>26</v>
      </c>
      <c r="F4426" t="s">
        <v>20</v>
      </c>
      <c r="G4426" s="1" t="str">
        <f t="shared" si="928"/>
        <v>X</v>
      </c>
      <c r="H4426" s="1" t="str">
        <f t="shared" si="928"/>
        <v>X</v>
      </c>
      <c r="I4426" s="1" t="str">
        <f t="shared" si="928"/>
        <v>X</v>
      </c>
      <c r="J4426" s="1" t="str">
        <f t="shared" si="928"/>
        <v>X</v>
      </c>
      <c r="K4426" s="1" t="str">
        <f t="shared" si="928"/>
        <v>X</v>
      </c>
      <c r="L4426" s="1" t="str">
        <f t="shared" si="928"/>
        <v>X</v>
      </c>
      <c r="M4426" s="1" t="str">
        <f t="shared" si="928"/>
        <v>X</v>
      </c>
      <c r="N4426" t="s">
        <v>27</v>
      </c>
    </row>
    <row r="4427" spans="1:14" x14ac:dyDescent="0.25">
      <c r="A4427" t="s">
        <v>41</v>
      </c>
      <c r="B4427" t="s">
        <v>40</v>
      </c>
      <c r="C4427" t="s">
        <v>15</v>
      </c>
      <c r="D4427" t="s">
        <v>29</v>
      </c>
      <c r="E4427" t="s">
        <v>15</v>
      </c>
      <c r="F4427" t="s">
        <v>15</v>
      </c>
      <c r="G4427" s="1">
        <f>VALUE(6181.9440092477)</f>
        <v>6181.9440092476998</v>
      </c>
      <c r="H4427" s="1">
        <f>VALUE(4827.2431134452)</f>
        <v>4827.2431134451999</v>
      </c>
      <c r="I4427" s="1">
        <f>VALUE(3151)</f>
        <v>3151</v>
      </c>
      <c r="J4427" s="1">
        <f>VALUE(3467)</f>
        <v>3467</v>
      </c>
      <c r="K4427" s="1">
        <f>VALUE(4127)</f>
        <v>4127</v>
      </c>
      <c r="L4427" s="1">
        <f>VALUE(5308)</f>
        <v>5308</v>
      </c>
      <c r="M4427" s="1">
        <f>VALUE(7504)</f>
        <v>7504</v>
      </c>
      <c r="N4427" t="s">
        <v>16</v>
      </c>
    </row>
    <row r="4428" spans="1:14" x14ac:dyDescent="0.25">
      <c r="A4428" t="s">
        <v>41</v>
      </c>
      <c r="B4428" t="s">
        <v>40</v>
      </c>
      <c r="C4428" t="s">
        <v>15</v>
      </c>
      <c r="D4428" t="s">
        <v>29</v>
      </c>
      <c r="E4428" t="s">
        <v>15</v>
      </c>
      <c r="F4428" t="s">
        <v>17</v>
      </c>
      <c r="G4428" s="2">
        <f>VALUE(548.8997342827)</f>
        <v>548.89973428270002</v>
      </c>
      <c r="H4428" s="3">
        <f>VALUE(502.6274917652)</f>
        <v>502.62749176519998</v>
      </c>
      <c r="I4428" s="4">
        <f>VALUE(3727)</f>
        <v>3727</v>
      </c>
      <c r="J4428" s="5">
        <f>VALUE(4333)</f>
        <v>4333</v>
      </c>
      <c r="K4428" s="6">
        <f>VALUE(6381)</f>
        <v>6381</v>
      </c>
      <c r="L4428" s="7">
        <f>VALUE(9783)</f>
        <v>9783</v>
      </c>
      <c r="M4428" s="8">
        <f>VALUE(15099)</f>
        <v>15099</v>
      </c>
      <c r="N4428" t="s">
        <v>24</v>
      </c>
    </row>
    <row r="4429" spans="1:14" x14ac:dyDescent="0.25">
      <c r="A4429" t="s">
        <v>41</v>
      </c>
      <c r="B4429" t="s">
        <v>40</v>
      </c>
      <c r="C4429" t="s">
        <v>15</v>
      </c>
      <c r="D4429" t="s">
        <v>29</v>
      </c>
      <c r="E4429" t="s">
        <v>15</v>
      </c>
      <c r="F4429" t="s">
        <v>18</v>
      </c>
      <c r="G4429" s="2">
        <f>VALUE(530.6869667364)</f>
        <v>530.6869667364</v>
      </c>
      <c r="H4429" s="3">
        <f>VALUE(427.5961592198)</f>
        <v>427.59615921979997</v>
      </c>
      <c r="I4429" s="4">
        <f>VALUE(3304)</f>
        <v>3304</v>
      </c>
      <c r="J4429" s="5">
        <f>VALUE(4269)</f>
        <v>4269</v>
      </c>
      <c r="K4429" s="6">
        <f>VALUE(5467)</f>
        <v>5467</v>
      </c>
      <c r="L4429" s="1">
        <f>VALUE(7698)</f>
        <v>7698</v>
      </c>
      <c r="M4429" s="1">
        <f>VALUE(9412)</f>
        <v>9412</v>
      </c>
      <c r="N4429" t="s">
        <v>25</v>
      </c>
    </row>
    <row r="4430" spans="1:14" x14ac:dyDescent="0.25">
      <c r="A4430" t="s">
        <v>41</v>
      </c>
      <c r="B4430" t="s">
        <v>40</v>
      </c>
      <c r="C4430" t="s">
        <v>15</v>
      </c>
      <c r="D4430" t="s">
        <v>29</v>
      </c>
      <c r="E4430" t="s">
        <v>15</v>
      </c>
      <c r="F4430" t="s">
        <v>19</v>
      </c>
      <c r="G4430" s="2">
        <f>VALUE(677.0543943147)</f>
        <v>677.05439431469995</v>
      </c>
      <c r="H4430" s="3">
        <f>VALUE(571.6207684782)</f>
        <v>571.62076847820003</v>
      </c>
      <c r="I4430" s="1">
        <f>VALUE(3393)</f>
        <v>3393</v>
      </c>
      <c r="J4430" s="5">
        <f>VALUE(3474)</f>
        <v>3474</v>
      </c>
      <c r="K4430" s="1">
        <f>VALUE(4107)</f>
        <v>4107</v>
      </c>
      <c r="L4430" s="1">
        <f>VALUE(5254)</f>
        <v>5254</v>
      </c>
      <c r="M4430" s="8">
        <f>VALUE(6500)</f>
        <v>6500</v>
      </c>
      <c r="N4430" t="s">
        <v>25</v>
      </c>
    </row>
    <row r="4431" spans="1:14" x14ac:dyDescent="0.25">
      <c r="A4431" t="s">
        <v>41</v>
      </c>
      <c r="B4431" t="s">
        <v>40</v>
      </c>
      <c r="C4431" t="s">
        <v>15</v>
      </c>
      <c r="D4431" t="s">
        <v>29</v>
      </c>
      <c r="E4431" t="s">
        <v>15</v>
      </c>
      <c r="F4431" t="s">
        <v>20</v>
      </c>
      <c r="G4431" s="1">
        <f>VALUE(4371.7807451009)</f>
        <v>4371.7807451009003</v>
      </c>
      <c r="H4431" s="1">
        <f>VALUE(3280.2560985317)</f>
        <v>3280.2560985317</v>
      </c>
      <c r="I4431" s="1">
        <f>VALUE(3050)</f>
        <v>3050</v>
      </c>
      <c r="J4431" s="1">
        <f>VALUE(3400)</f>
        <v>3400</v>
      </c>
      <c r="K4431" s="1">
        <f>VALUE(3922)</f>
        <v>3922</v>
      </c>
      <c r="L4431" s="1">
        <f>VALUE(4795)</f>
        <v>4795</v>
      </c>
      <c r="M4431" s="1">
        <f>VALUE(5793)</f>
        <v>5793</v>
      </c>
      <c r="N4431" t="s">
        <v>16</v>
      </c>
    </row>
    <row r="4432" spans="1:14" x14ac:dyDescent="0.25">
      <c r="A4432" t="s">
        <v>41</v>
      </c>
      <c r="B4432" t="s">
        <v>40</v>
      </c>
      <c r="C4432" t="s">
        <v>15</v>
      </c>
      <c r="D4432" t="s">
        <v>29</v>
      </c>
      <c r="E4432" t="s">
        <v>21</v>
      </c>
      <c r="F4432" t="s">
        <v>15</v>
      </c>
      <c r="G4432" s="2">
        <f>VALUE(854.4804840791)</f>
        <v>854.48048407910005</v>
      </c>
      <c r="H4432" s="3">
        <f>VALUE(687.704294381)</f>
        <v>687.70429438099995</v>
      </c>
      <c r="I4432" s="4">
        <f>VALUE(3540)</f>
        <v>3540</v>
      </c>
      <c r="J4432" s="1">
        <f>VALUE(5042)</f>
        <v>5042</v>
      </c>
      <c r="K4432" s="1">
        <f>VALUE(6417)</f>
        <v>6417</v>
      </c>
      <c r="L4432" s="7">
        <f>VALUE(8834)</f>
        <v>8834</v>
      </c>
      <c r="M4432" s="8">
        <f>VALUE(12610)</f>
        <v>12610</v>
      </c>
      <c r="N4432" t="s">
        <v>25</v>
      </c>
    </row>
    <row r="4433" spans="1:14" x14ac:dyDescent="0.25">
      <c r="A4433" t="s">
        <v>41</v>
      </c>
      <c r="B4433" t="s">
        <v>40</v>
      </c>
      <c r="C4433" t="s">
        <v>15</v>
      </c>
      <c r="D4433" t="s">
        <v>29</v>
      </c>
      <c r="E4433" t="s">
        <v>21</v>
      </c>
      <c r="F4433" t="s">
        <v>17</v>
      </c>
      <c r="G4433" s="2">
        <f>VALUE(251.739248136)</f>
        <v>251.73924813599999</v>
      </c>
      <c r="H4433" s="3">
        <f>VALUE(213.1053134264)</f>
        <v>213.10531342639999</v>
      </c>
      <c r="I4433" s="4">
        <f>VALUE(4117)</f>
        <v>4117</v>
      </c>
      <c r="J4433" s="5">
        <f>VALUE(5477)</f>
        <v>5477</v>
      </c>
      <c r="K4433" s="6">
        <f>VALUE(8336)</f>
        <v>8336</v>
      </c>
      <c r="L4433" s="7">
        <f>VALUE(12698)</f>
        <v>12698</v>
      </c>
      <c r="M4433" s="1">
        <f>VALUE(16969)</f>
        <v>16969</v>
      </c>
      <c r="N4433" t="s">
        <v>25</v>
      </c>
    </row>
    <row r="4434" spans="1:14" x14ac:dyDescent="0.25">
      <c r="A4434" t="s">
        <v>41</v>
      </c>
      <c r="B4434" t="s">
        <v>40</v>
      </c>
      <c r="C4434" t="s">
        <v>15</v>
      </c>
      <c r="D4434" t="s">
        <v>29</v>
      </c>
      <c r="E4434" t="s">
        <v>21</v>
      </c>
      <c r="F4434" t="s">
        <v>18</v>
      </c>
      <c r="G4434" s="2">
        <f>VALUE(210.3365661278)</f>
        <v>210.33656612780001</v>
      </c>
      <c r="H4434" s="3">
        <f>VALUE(165.2265844338)</f>
        <v>165.22658443380001</v>
      </c>
      <c r="I4434" s="4">
        <f>VALUE(4499)</f>
        <v>4499</v>
      </c>
      <c r="J4434" s="5">
        <f>VALUE(5381)</f>
        <v>5381</v>
      </c>
      <c r="K4434" s="6">
        <f>VALUE(7520)</f>
        <v>7520</v>
      </c>
      <c r="L4434" s="7">
        <f>VALUE(9000)</f>
        <v>9000</v>
      </c>
      <c r="M4434" s="8">
        <f>VALUE(10982)</f>
        <v>10982</v>
      </c>
      <c r="N4434" t="s">
        <v>24</v>
      </c>
    </row>
    <row r="4435" spans="1:14" x14ac:dyDescent="0.25">
      <c r="A4435" t="s">
        <v>41</v>
      </c>
      <c r="B4435" t="s">
        <v>40</v>
      </c>
      <c r="C4435" t="s">
        <v>15</v>
      </c>
      <c r="D4435" t="s">
        <v>29</v>
      </c>
      <c r="E4435" t="s">
        <v>21</v>
      </c>
      <c r="F4435" t="s">
        <v>19</v>
      </c>
      <c r="G4435" s="1" t="str">
        <f t="shared" ref="G4435:M4435" si="929">"X"</f>
        <v>X</v>
      </c>
      <c r="H4435" s="1" t="str">
        <f t="shared" si="929"/>
        <v>X</v>
      </c>
      <c r="I4435" s="1" t="str">
        <f t="shared" si="929"/>
        <v>X</v>
      </c>
      <c r="J4435" s="1" t="str">
        <f t="shared" si="929"/>
        <v>X</v>
      </c>
      <c r="K4435" s="1" t="str">
        <f t="shared" si="929"/>
        <v>X</v>
      </c>
      <c r="L4435" s="1" t="str">
        <f t="shared" si="929"/>
        <v>X</v>
      </c>
      <c r="M4435" s="1" t="str">
        <f t="shared" si="929"/>
        <v>X</v>
      </c>
      <c r="N4435" t="s">
        <v>27</v>
      </c>
    </row>
    <row r="4436" spans="1:14" x14ac:dyDescent="0.25">
      <c r="A4436" t="s">
        <v>41</v>
      </c>
      <c r="B4436" t="s">
        <v>40</v>
      </c>
      <c r="C4436" t="s">
        <v>15</v>
      </c>
      <c r="D4436" t="s">
        <v>29</v>
      </c>
      <c r="E4436" t="s">
        <v>21</v>
      </c>
      <c r="F4436" t="s">
        <v>20</v>
      </c>
      <c r="G4436" s="2">
        <f>VALUE(273.8116543348)</f>
        <v>273.81165433479998</v>
      </c>
      <c r="H4436" s="3">
        <f>VALUE(232.9480053717)</f>
        <v>232.94800537169999</v>
      </c>
      <c r="I4436" s="4">
        <f>VALUE(3540)</f>
        <v>3540</v>
      </c>
      <c r="J4436" s="5">
        <f>VALUE(4333)</f>
        <v>4333</v>
      </c>
      <c r="K4436" s="6">
        <f>VALUE(5744)</f>
        <v>5744</v>
      </c>
      <c r="L4436" s="1">
        <f>VALUE(6749)</f>
        <v>6749</v>
      </c>
      <c r="M4436" s="1">
        <f>VALUE(8151)</f>
        <v>8151</v>
      </c>
      <c r="N4436" t="s">
        <v>25</v>
      </c>
    </row>
    <row r="4437" spans="1:14" x14ac:dyDescent="0.25">
      <c r="A4437" t="s">
        <v>41</v>
      </c>
      <c r="B4437" t="s">
        <v>40</v>
      </c>
      <c r="C4437" t="s">
        <v>15</v>
      </c>
      <c r="D4437" t="s">
        <v>29</v>
      </c>
      <c r="E4437" t="s">
        <v>22</v>
      </c>
      <c r="F4437" t="s">
        <v>15</v>
      </c>
      <c r="G4437" s="1">
        <f>VALUE(1770.3109856151)</f>
        <v>1770.3109856151</v>
      </c>
      <c r="H4437" s="1">
        <f>VALUE(1504.6219778389)</f>
        <v>1504.6219778389</v>
      </c>
      <c r="I4437" s="4">
        <f>VALUE(3294)</f>
        <v>3294</v>
      </c>
      <c r="J4437" s="1">
        <f>VALUE(3939)</f>
        <v>3939</v>
      </c>
      <c r="K4437" s="1">
        <f>VALUE(4694)</f>
        <v>4694</v>
      </c>
      <c r="L4437" s="1">
        <f>VALUE(5567)</f>
        <v>5567</v>
      </c>
      <c r="M4437" s="1">
        <f>VALUE(7143)</f>
        <v>7143</v>
      </c>
      <c r="N4437" t="s">
        <v>25</v>
      </c>
    </row>
    <row r="4438" spans="1:14" x14ac:dyDescent="0.25">
      <c r="A4438" t="s">
        <v>41</v>
      </c>
      <c r="B4438" t="s">
        <v>40</v>
      </c>
      <c r="C4438" t="s">
        <v>15</v>
      </c>
      <c r="D4438" t="s">
        <v>29</v>
      </c>
      <c r="E4438" t="s">
        <v>22</v>
      </c>
      <c r="F4438" t="s">
        <v>17</v>
      </c>
      <c r="G4438" s="1" t="str">
        <f t="shared" ref="G4438:M4438" si="930">"X"</f>
        <v>X</v>
      </c>
      <c r="H4438" s="1" t="str">
        <f t="shared" si="930"/>
        <v>X</v>
      </c>
      <c r="I4438" s="1" t="str">
        <f t="shared" si="930"/>
        <v>X</v>
      </c>
      <c r="J4438" s="1" t="str">
        <f t="shared" si="930"/>
        <v>X</v>
      </c>
      <c r="K4438" s="1" t="str">
        <f t="shared" si="930"/>
        <v>X</v>
      </c>
      <c r="L4438" s="1" t="str">
        <f t="shared" si="930"/>
        <v>X</v>
      </c>
      <c r="M4438" s="1" t="str">
        <f t="shared" si="930"/>
        <v>X</v>
      </c>
      <c r="N4438" t="s">
        <v>27</v>
      </c>
    </row>
    <row r="4439" spans="1:14" x14ac:dyDescent="0.25">
      <c r="A4439" t="s">
        <v>41</v>
      </c>
      <c r="B4439" t="s">
        <v>40</v>
      </c>
      <c r="C4439" t="s">
        <v>15</v>
      </c>
      <c r="D4439" t="s">
        <v>29</v>
      </c>
      <c r="E4439" t="s">
        <v>22</v>
      </c>
      <c r="F4439" t="s">
        <v>18</v>
      </c>
      <c r="G4439" s="2">
        <f>VALUE(192.458989807)</f>
        <v>192.45898980699999</v>
      </c>
      <c r="H4439" s="3">
        <f>VALUE(151.5468203389)</f>
        <v>151.54682033890001</v>
      </c>
      <c r="I4439" s="1">
        <f>VALUE(3048)</f>
        <v>3048</v>
      </c>
      <c r="J4439" s="1">
        <f>VALUE(4363)</f>
        <v>4363</v>
      </c>
      <c r="K4439" s="1">
        <f>VALUE(5458)</f>
        <v>5458</v>
      </c>
      <c r="L4439" s="7">
        <f>VALUE(6784)</f>
        <v>6784</v>
      </c>
      <c r="M4439" s="1">
        <f>VALUE(8017)</f>
        <v>8017</v>
      </c>
      <c r="N4439" t="s">
        <v>25</v>
      </c>
    </row>
    <row r="4440" spans="1:14" x14ac:dyDescent="0.25">
      <c r="A4440" t="s">
        <v>41</v>
      </c>
      <c r="B4440" t="s">
        <v>40</v>
      </c>
      <c r="C4440" t="s">
        <v>15</v>
      </c>
      <c r="D4440" t="s">
        <v>29</v>
      </c>
      <c r="E4440" t="s">
        <v>22</v>
      </c>
      <c r="F4440" t="s">
        <v>19</v>
      </c>
      <c r="G4440" s="2">
        <f>VALUE(283.1503655126)</f>
        <v>283.15036551259999</v>
      </c>
      <c r="H4440" s="3">
        <f>VALUE(254.7006801615)</f>
        <v>254.7006801615</v>
      </c>
      <c r="I4440" s="1">
        <f>VALUE(3474)</f>
        <v>3474</v>
      </c>
      <c r="J4440" s="1">
        <f>VALUE(3922)</f>
        <v>3922</v>
      </c>
      <c r="K4440" s="1">
        <f>VALUE(4542)</f>
        <v>4542</v>
      </c>
      <c r="L4440" s="1">
        <f>VALUE(5457)</f>
        <v>5457</v>
      </c>
      <c r="M4440" s="8">
        <f>VALUE(6130)</f>
        <v>6130</v>
      </c>
      <c r="N4440" t="s">
        <v>25</v>
      </c>
    </row>
    <row r="4441" spans="1:14" x14ac:dyDescent="0.25">
      <c r="A4441" t="s">
        <v>41</v>
      </c>
      <c r="B4441" t="s">
        <v>40</v>
      </c>
      <c r="C4441" t="s">
        <v>15</v>
      </c>
      <c r="D4441" t="s">
        <v>29</v>
      </c>
      <c r="E4441" t="s">
        <v>22</v>
      </c>
      <c r="F4441" t="s">
        <v>20</v>
      </c>
      <c r="G4441" s="2">
        <f>VALUE(1132.6825424512)</f>
        <v>1132.6825424512001</v>
      </c>
      <c r="H4441" s="3">
        <f>VALUE(944.6464193606)</f>
        <v>944.64641936060002</v>
      </c>
      <c r="I4441" s="4">
        <f>VALUE(3280)</f>
        <v>3280</v>
      </c>
      <c r="J4441" s="1">
        <f>VALUE(3912)</f>
        <v>3912</v>
      </c>
      <c r="K4441" s="1">
        <f>VALUE(4622)</f>
        <v>4622</v>
      </c>
      <c r="L4441" s="1">
        <f>VALUE(5407)</f>
        <v>5407</v>
      </c>
      <c r="M4441" s="1">
        <f>VALUE(6323)</f>
        <v>6323</v>
      </c>
      <c r="N4441" t="s">
        <v>25</v>
      </c>
    </row>
    <row r="4442" spans="1:14" x14ac:dyDescent="0.25">
      <c r="A4442" t="s">
        <v>41</v>
      </c>
      <c r="B4442" t="s">
        <v>40</v>
      </c>
      <c r="C4442" t="s">
        <v>15</v>
      </c>
      <c r="D4442" t="s">
        <v>29</v>
      </c>
      <c r="E4442" t="s">
        <v>23</v>
      </c>
      <c r="F4442" t="s">
        <v>15</v>
      </c>
      <c r="G4442" s="1">
        <f>VALUE(3434.0392646548)</f>
        <v>3434.0392646547998</v>
      </c>
      <c r="H4442" s="1">
        <f>VALUE(2521.0935074292)</f>
        <v>2521.0935074292001</v>
      </c>
      <c r="I4442" s="1">
        <f>VALUE(3052)</f>
        <v>3052</v>
      </c>
      <c r="J4442" s="1">
        <f>VALUE(3310)</f>
        <v>3310</v>
      </c>
      <c r="K4442" s="1">
        <f>VALUE(3714)</f>
        <v>3714</v>
      </c>
      <c r="L4442" s="1">
        <f>VALUE(4200)</f>
        <v>4200</v>
      </c>
      <c r="M4442" s="1">
        <f>VALUE(4944)</f>
        <v>4944</v>
      </c>
      <c r="N4442" t="s">
        <v>16</v>
      </c>
    </row>
    <row r="4443" spans="1:14" x14ac:dyDescent="0.25">
      <c r="A4443" t="s">
        <v>41</v>
      </c>
      <c r="B4443" t="s">
        <v>40</v>
      </c>
      <c r="C4443" t="s">
        <v>15</v>
      </c>
      <c r="D4443" t="s">
        <v>29</v>
      </c>
      <c r="E4443" t="s">
        <v>23</v>
      </c>
      <c r="F4443" t="s">
        <v>17</v>
      </c>
      <c r="G4443" s="1" t="str">
        <f t="shared" ref="G4443:M4444" si="931">"X"</f>
        <v>X</v>
      </c>
      <c r="H4443" s="1" t="str">
        <f t="shared" si="931"/>
        <v>X</v>
      </c>
      <c r="I4443" s="1" t="str">
        <f t="shared" si="931"/>
        <v>X</v>
      </c>
      <c r="J4443" s="1" t="str">
        <f t="shared" si="931"/>
        <v>X</v>
      </c>
      <c r="K4443" s="1" t="str">
        <f t="shared" si="931"/>
        <v>X</v>
      </c>
      <c r="L4443" s="1" t="str">
        <f t="shared" si="931"/>
        <v>X</v>
      </c>
      <c r="M4443" s="1" t="str">
        <f t="shared" si="931"/>
        <v>X</v>
      </c>
      <c r="N4443" t="s">
        <v>27</v>
      </c>
    </row>
    <row r="4444" spans="1:14" x14ac:dyDescent="0.25">
      <c r="A4444" t="s">
        <v>41</v>
      </c>
      <c r="B4444" t="s">
        <v>40</v>
      </c>
      <c r="C4444" t="s">
        <v>15</v>
      </c>
      <c r="D4444" t="s">
        <v>29</v>
      </c>
      <c r="E4444" t="s">
        <v>23</v>
      </c>
      <c r="F4444" t="s">
        <v>18</v>
      </c>
      <c r="G4444" s="1" t="str">
        <f t="shared" si="931"/>
        <v>X</v>
      </c>
      <c r="H4444" s="1" t="str">
        <f t="shared" si="931"/>
        <v>X</v>
      </c>
      <c r="I4444" s="1" t="str">
        <f t="shared" si="931"/>
        <v>X</v>
      </c>
      <c r="J4444" s="1" t="str">
        <f t="shared" si="931"/>
        <v>X</v>
      </c>
      <c r="K4444" s="1" t="str">
        <f t="shared" si="931"/>
        <v>X</v>
      </c>
      <c r="L4444" s="1" t="str">
        <f t="shared" si="931"/>
        <v>X</v>
      </c>
      <c r="M4444" s="1" t="str">
        <f t="shared" si="931"/>
        <v>X</v>
      </c>
      <c r="N4444" t="s">
        <v>27</v>
      </c>
    </row>
    <row r="4445" spans="1:14" x14ac:dyDescent="0.25">
      <c r="A4445" t="s">
        <v>41</v>
      </c>
      <c r="B4445" t="s">
        <v>40</v>
      </c>
      <c r="C4445" t="s">
        <v>15</v>
      </c>
      <c r="D4445" t="s">
        <v>29</v>
      </c>
      <c r="E4445" t="s">
        <v>23</v>
      </c>
      <c r="F4445" t="s">
        <v>19</v>
      </c>
      <c r="G4445" s="2">
        <f>VALUE(275.3110133216)</f>
        <v>275.3110133216</v>
      </c>
      <c r="H4445" s="3">
        <f>VALUE(240.4956971676)</f>
        <v>240.49569716760001</v>
      </c>
      <c r="I4445" s="1">
        <f>VALUE(3184)</f>
        <v>3184</v>
      </c>
      <c r="J4445" s="1">
        <f>VALUE(3402)</f>
        <v>3402</v>
      </c>
      <c r="K4445" s="6">
        <f>VALUE(3467)</f>
        <v>3467</v>
      </c>
      <c r="L4445" s="1">
        <f>VALUE(4134)</f>
        <v>4134</v>
      </c>
      <c r="M4445" s="1">
        <f>VALUE(4512)</f>
        <v>4512</v>
      </c>
      <c r="N4445" t="s">
        <v>25</v>
      </c>
    </row>
    <row r="4446" spans="1:14" x14ac:dyDescent="0.25">
      <c r="A4446" t="s">
        <v>41</v>
      </c>
      <c r="B4446" t="s">
        <v>40</v>
      </c>
      <c r="C4446" t="s">
        <v>15</v>
      </c>
      <c r="D4446" t="s">
        <v>29</v>
      </c>
      <c r="E4446" t="s">
        <v>23</v>
      </c>
      <c r="F4446" t="s">
        <v>20</v>
      </c>
      <c r="G4446" s="1">
        <f>VALUE(2924.9160712052)</f>
        <v>2924.9160712051998</v>
      </c>
      <c r="H4446" s="1">
        <f>VALUE(2063.4353294608)</f>
        <v>2063.4353294607999</v>
      </c>
      <c r="I4446" s="1">
        <f>VALUE(2985)</f>
        <v>2985</v>
      </c>
      <c r="J4446" s="1">
        <f>VALUE(3296)</f>
        <v>3296</v>
      </c>
      <c r="K4446" s="1">
        <f>VALUE(3647)</f>
        <v>3647</v>
      </c>
      <c r="L4446" s="1">
        <f>VALUE(4127)</f>
        <v>4127</v>
      </c>
      <c r="M4446" s="1">
        <f>VALUE(4801)</f>
        <v>4801</v>
      </c>
      <c r="N4446" t="s">
        <v>16</v>
      </c>
    </row>
    <row r="4447" spans="1:14" x14ac:dyDescent="0.25">
      <c r="A4447" t="s">
        <v>41</v>
      </c>
      <c r="B4447" t="s">
        <v>40</v>
      </c>
      <c r="C4447" t="s">
        <v>15</v>
      </c>
      <c r="D4447" t="s">
        <v>29</v>
      </c>
      <c r="E4447" t="s">
        <v>26</v>
      </c>
      <c r="F4447" t="s">
        <v>15</v>
      </c>
      <c r="G4447" s="1" t="str">
        <f t="shared" ref="G4447:M4449" si="932">"X"</f>
        <v>X</v>
      </c>
      <c r="H4447" s="1" t="str">
        <f t="shared" si="932"/>
        <v>X</v>
      </c>
      <c r="I4447" s="1" t="str">
        <f t="shared" si="932"/>
        <v>X</v>
      </c>
      <c r="J4447" s="1" t="str">
        <f t="shared" si="932"/>
        <v>X</v>
      </c>
      <c r="K4447" s="1" t="str">
        <f t="shared" si="932"/>
        <v>X</v>
      </c>
      <c r="L4447" s="1" t="str">
        <f t="shared" si="932"/>
        <v>X</v>
      </c>
      <c r="M4447" s="1" t="str">
        <f t="shared" si="932"/>
        <v>X</v>
      </c>
      <c r="N4447" t="s">
        <v>27</v>
      </c>
    </row>
    <row r="4448" spans="1:14" x14ac:dyDescent="0.25">
      <c r="A4448" t="s">
        <v>41</v>
      </c>
      <c r="B4448" t="s">
        <v>40</v>
      </c>
      <c r="C4448" t="s">
        <v>15</v>
      </c>
      <c r="D4448" t="s">
        <v>29</v>
      </c>
      <c r="E4448" t="s">
        <v>26</v>
      </c>
      <c r="F4448" t="s">
        <v>17</v>
      </c>
      <c r="G4448" s="1" t="str">
        <f t="shared" si="932"/>
        <v>X</v>
      </c>
      <c r="H4448" s="1" t="str">
        <f t="shared" si="932"/>
        <v>X</v>
      </c>
      <c r="I4448" s="1" t="str">
        <f t="shared" si="932"/>
        <v>X</v>
      </c>
      <c r="J4448" s="1" t="str">
        <f t="shared" si="932"/>
        <v>X</v>
      </c>
      <c r="K4448" s="1" t="str">
        <f t="shared" si="932"/>
        <v>X</v>
      </c>
      <c r="L4448" s="1" t="str">
        <f t="shared" si="932"/>
        <v>X</v>
      </c>
      <c r="M4448" s="1" t="str">
        <f t="shared" si="932"/>
        <v>X</v>
      </c>
      <c r="N4448" t="s">
        <v>27</v>
      </c>
    </row>
    <row r="4449" spans="1:14" x14ac:dyDescent="0.25">
      <c r="A4449" t="s">
        <v>41</v>
      </c>
      <c r="B4449" t="s">
        <v>40</v>
      </c>
      <c r="C4449" t="s">
        <v>15</v>
      </c>
      <c r="D4449" t="s">
        <v>29</v>
      </c>
      <c r="E4449" t="s">
        <v>26</v>
      </c>
      <c r="F4449" t="s">
        <v>18</v>
      </c>
      <c r="G4449" s="1" t="str">
        <f t="shared" si="932"/>
        <v>X</v>
      </c>
      <c r="H4449" s="1" t="str">
        <f t="shared" si="932"/>
        <v>X</v>
      </c>
      <c r="I4449" s="1" t="str">
        <f t="shared" si="932"/>
        <v>X</v>
      </c>
      <c r="J4449" s="1" t="str">
        <f t="shared" si="932"/>
        <v>X</v>
      </c>
      <c r="K4449" s="1" t="str">
        <f t="shared" si="932"/>
        <v>X</v>
      </c>
      <c r="L4449" s="1" t="str">
        <f t="shared" si="932"/>
        <v>X</v>
      </c>
      <c r="M4449" s="1" t="str">
        <f t="shared" si="932"/>
        <v>X</v>
      </c>
      <c r="N4449" t="s">
        <v>27</v>
      </c>
    </row>
    <row r="4450" spans="1:14" x14ac:dyDescent="0.25">
      <c r="A4450" t="s">
        <v>41</v>
      </c>
      <c r="B4450" t="s">
        <v>40</v>
      </c>
      <c r="C4450" t="s">
        <v>15</v>
      </c>
      <c r="D4450" t="s">
        <v>29</v>
      </c>
      <c r="E4450" t="s">
        <v>26</v>
      </c>
      <c r="F4450" t="s">
        <v>19</v>
      </c>
      <c r="G4450" s="1" t="str">
        <f t="shared" ref="G4450:M4450" si="933">"..."</f>
        <v>...</v>
      </c>
      <c r="H4450" s="1" t="str">
        <f t="shared" si="933"/>
        <v>...</v>
      </c>
      <c r="I4450" s="1" t="str">
        <f t="shared" si="933"/>
        <v>...</v>
      </c>
      <c r="J4450" s="1" t="str">
        <f t="shared" si="933"/>
        <v>...</v>
      </c>
      <c r="K4450" s="1" t="str">
        <f t="shared" si="933"/>
        <v>...</v>
      </c>
      <c r="L4450" s="1" t="str">
        <f t="shared" si="933"/>
        <v>...</v>
      </c>
      <c r="M4450" s="1" t="str">
        <f t="shared" si="933"/>
        <v>...</v>
      </c>
      <c r="N4450" t="s">
        <v>30</v>
      </c>
    </row>
    <row r="4451" spans="1:14" x14ac:dyDescent="0.25">
      <c r="A4451" t="s">
        <v>41</v>
      </c>
      <c r="B4451" t="s">
        <v>40</v>
      </c>
      <c r="C4451" t="s">
        <v>15</v>
      </c>
      <c r="D4451" t="s">
        <v>29</v>
      </c>
      <c r="E4451" t="s">
        <v>26</v>
      </c>
      <c r="F4451" t="s">
        <v>20</v>
      </c>
      <c r="G4451" s="1" t="str">
        <f t="shared" ref="G4451:M4451" si="934">"X"</f>
        <v>X</v>
      </c>
      <c r="H4451" s="1" t="str">
        <f t="shared" si="934"/>
        <v>X</v>
      </c>
      <c r="I4451" s="1" t="str">
        <f t="shared" si="934"/>
        <v>X</v>
      </c>
      <c r="J4451" s="1" t="str">
        <f t="shared" si="934"/>
        <v>X</v>
      </c>
      <c r="K4451" s="1" t="str">
        <f t="shared" si="934"/>
        <v>X</v>
      </c>
      <c r="L4451" s="1" t="str">
        <f t="shared" si="934"/>
        <v>X</v>
      </c>
      <c r="M4451" s="1" t="str">
        <f t="shared" si="934"/>
        <v>X</v>
      </c>
      <c r="N4451" t="s">
        <v>27</v>
      </c>
    </row>
    <row r="4452" spans="1:14" x14ac:dyDescent="0.25">
      <c r="A4452" t="s">
        <v>41</v>
      </c>
      <c r="B4452" t="s">
        <v>40</v>
      </c>
      <c r="C4452" t="s">
        <v>15</v>
      </c>
      <c r="D4452" t="s">
        <v>31</v>
      </c>
      <c r="E4452" t="s">
        <v>15</v>
      </c>
      <c r="F4452" t="s">
        <v>15</v>
      </c>
      <c r="G4452" s="1">
        <f>VALUE(2942.1397910362)</f>
        <v>2942.1397910362002</v>
      </c>
      <c r="H4452" s="1">
        <f>VALUE(2357.5188482173)</f>
        <v>2357.5188482172998</v>
      </c>
      <c r="I4452" s="1">
        <f>VALUE(3023)</f>
        <v>3023</v>
      </c>
      <c r="J4452" s="1">
        <f>VALUE(3409)</f>
        <v>3409</v>
      </c>
      <c r="K4452" s="1">
        <f>VALUE(4176)</f>
        <v>4176</v>
      </c>
      <c r="L4452" s="7">
        <f>VALUE(5743)</f>
        <v>5743</v>
      </c>
      <c r="M4452" s="8">
        <f>VALUE(8094)</f>
        <v>8094</v>
      </c>
      <c r="N4452" t="s">
        <v>25</v>
      </c>
    </row>
    <row r="4453" spans="1:14" x14ac:dyDescent="0.25">
      <c r="A4453" t="s">
        <v>41</v>
      </c>
      <c r="B4453" t="s">
        <v>40</v>
      </c>
      <c r="C4453" t="s">
        <v>15</v>
      </c>
      <c r="D4453" t="s">
        <v>31</v>
      </c>
      <c r="E4453" t="s">
        <v>15</v>
      </c>
      <c r="F4453" t="s">
        <v>17</v>
      </c>
      <c r="G4453" s="2">
        <f>VALUE(297.6448770795)</f>
        <v>297.64487707950002</v>
      </c>
      <c r="H4453" s="3">
        <f>VALUE(266.6667458064)</f>
        <v>266.6667458064</v>
      </c>
      <c r="I4453" s="4">
        <f>VALUE(5340)</f>
        <v>5340</v>
      </c>
      <c r="J4453" s="5">
        <f>VALUE(5778)</f>
        <v>5778</v>
      </c>
      <c r="K4453" s="6">
        <f>VALUE(8155)</f>
        <v>8155</v>
      </c>
      <c r="L4453" s="7">
        <f>VALUE(13542)</f>
        <v>13542</v>
      </c>
      <c r="M4453" s="8">
        <f>VALUE(18102)</f>
        <v>18102</v>
      </c>
      <c r="N4453" t="s">
        <v>24</v>
      </c>
    </row>
    <row r="4454" spans="1:14" x14ac:dyDescent="0.25">
      <c r="A4454" t="s">
        <v>41</v>
      </c>
      <c r="B4454" t="s">
        <v>40</v>
      </c>
      <c r="C4454" t="s">
        <v>15</v>
      </c>
      <c r="D4454" t="s">
        <v>31</v>
      </c>
      <c r="E4454" t="s">
        <v>15</v>
      </c>
      <c r="F4454" t="s">
        <v>18</v>
      </c>
      <c r="G4454" s="2">
        <f>VALUE(321.6231277603)</f>
        <v>321.62312776030001</v>
      </c>
      <c r="H4454" s="3">
        <f>VALUE(267.2023036069)</f>
        <v>267.20230360689999</v>
      </c>
      <c r="I4454" s="4">
        <f>VALUE(3284)</f>
        <v>3284</v>
      </c>
      <c r="J4454" s="5">
        <f>VALUE(3851)</f>
        <v>3851</v>
      </c>
      <c r="K4454" s="6">
        <f>VALUE(5608)</f>
        <v>5608</v>
      </c>
      <c r="L4454" s="7">
        <f>VALUE(8175)</f>
        <v>8175</v>
      </c>
      <c r="M4454" s="8">
        <f>VALUE(8980)</f>
        <v>8980</v>
      </c>
      <c r="N4454" t="s">
        <v>24</v>
      </c>
    </row>
    <row r="4455" spans="1:14" x14ac:dyDescent="0.25">
      <c r="A4455" t="s">
        <v>41</v>
      </c>
      <c r="B4455" t="s">
        <v>40</v>
      </c>
      <c r="C4455" t="s">
        <v>15</v>
      </c>
      <c r="D4455" t="s">
        <v>31</v>
      </c>
      <c r="E4455" t="s">
        <v>15</v>
      </c>
      <c r="F4455" t="s">
        <v>19</v>
      </c>
      <c r="G4455" s="2">
        <f>VALUE(442.4925225378)</f>
        <v>442.49252253780003</v>
      </c>
      <c r="H4455" s="3">
        <f>VALUE(361.1216606935)</f>
        <v>361.12166069350002</v>
      </c>
      <c r="I4455" s="4">
        <f>VALUE(3237)</f>
        <v>3237</v>
      </c>
      <c r="J4455" s="5">
        <f>VALUE(3984)</f>
        <v>3984</v>
      </c>
      <c r="K4455" s="6">
        <f>VALUE(4767)</f>
        <v>4767</v>
      </c>
      <c r="L4455" s="7">
        <f>VALUE(5710)</f>
        <v>5710</v>
      </c>
      <c r="M4455" s="1">
        <f>VALUE(7192)</f>
        <v>7192</v>
      </c>
      <c r="N4455" t="s">
        <v>25</v>
      </c>
    </row>
    <row r="4456" spans="1:14" x14ac:dyDescent="0.25">
      <c r="A4456" t="s">
        <v>41</v>
      </c>
      <c r="B4456" t="s">
        <v>40</v>
      </c>
      <c r="C4456" t="s">
        <v>15</v>
      </c>
      <c r="D4456" t="s">
        <v>31</v>
      </c>
      <c r="E4456" t="s">
        <v>15</v>
      </c>
      <c r="F4456" t="s">
        <v>20</v>
      </c>
      <c r="G4456" s="2">
        <f>VALUE(1867.8811223671)</f>
        <v>1867.8811223671</v>
      </c>
      <c r="H4456" s="3">
        <f>VALUE(1450.2383819264)</f>
        <v>1450.2383819264001</v>
      </c>
      <c r="I4456" s="1">
        <f>VALUE(2900)</f>
        <v>2900</v>
      </c>
      <c r="J4456" s="1">
        <f>VALUE(3263)</f>
        <v>3263</v>
      </c>
      <c r="K4456" s="1">
        <f>VALUE(3800)</f>
        <v>3800</v>
      </c>
      <c r="L4456" s="1">
        <f>VALUE(4599)</f>
        <v>4599</v>
      </c>
      <c r="M4456" s="1">
        <f>VALUE(5872)</f>
        <v>5872</v>
      </c>
      <c r="N4456" t="s">
        <v>25</v>
      </c>
    </row>
    <row r="4457" spans="1:14" x14ac:dyDescent="0.25">
      <c r="A4457" t="s">
        <v>41</v>
      </c>
      <c r="B4457" t="s">
        <v>40</v>
      </c>
      <c r="C4457" t="s">
        <v>15</v>
      </c>
      <c r="D4457" t="s">
        <v>31</v>
      </c>
      <c r="E4457" t="s">
        <v>21</v>
      </c>
      <c r="F4457" t="s">
        <v>15</v>
      </c>
      <c r="G4457" s="2">
        <f>VALUE(1057.8436539054)</f>
        <v>1057.8436539054001</v>
      </c>
      <c r="H4457" s="3">
        <f>VALUE(850.0821717497)</f>
        <v>850.08217174970002</v>
      </c>
      <c r="I4457" s="4">
        <f>VALUE(3714)</f>
        <v>3714</v>
      </c>
      <c r="J4457" s="1">
        <f>VALUE(4800)</f>
        <v>4800</v>
      </c>
      <c r="K4457" s="1">
        <f>VALUE(5833)</f>
        <v>5833</v>
      </c>
      <c r="L4457" s="7">
        <f>VALUE(7584)</f>
        <v>7584</v>
      </c>
      <c r="M4457" s="8">
        <f>VALUE(10596)</f>
        <v>10596</v>
      </c>
      <c r="N4457" t="s">
        <v>25</v>
      </c>
    </row>
    <row r="4458" spans="1:14" x14ac:dyDescent="0.25">
      <c r="A4458" t="s">
        <v>41</v>
      </c>
      <c r="B4458" t="s">
        <v>40</v>
      </c>
      <c r="C4458" t="s">
        <v>15</v>
      </c>
      <c r="D4458" t="s">
        <v>31</v>
      </c>
      <c r="E4458" t="s">
        <v>21</v>
      </c>
      <c r="F4458" t="s">
        <v>17</v>
      </c>
      <c r="G4458" s="2">
        <f>VALUE(253.5567519658)</f>
        <v>253.5567519658</v>
      </c>
      <c r="H4458" s="3">
        <f>VALUE(221.7611519922)</f>
        <v>221.76115199220001</v>
      </c>
      <c r="I4458" s="4">
        <f>VALUE(5000)</f>
        <v>5000</v>
      </c>
      <c r="J4458" s="5">
        <f>VALUE(5833)</f>
        <v>5833</v>
      </c>
      <c r="K4458" s="6">
        <f>VALUE(7982)</f>
        <v>7982</v>
      </c>
      <c r="L4458" s="7">
        <f>VALUE(12257)</f>
        <v>12257</v>
      </c>
      <c r="M4458" s="8">
        <f>VALUE(18102)</f>
        <v>18102</v>
      </c>
      <c r="N4458" t="s">
        <v>24</v>
      </c>
    </row>
    <row r="4459" spans="1:14" x14ac:dyDescent="0.25">
      <c r="A4459" t="s">
        <v>41</v>
      </c>
      <c r="B4459" t="s">
        <v>40</v>
      </c>
      <c r="C4459" t="s">
        <v>15</v>
      </c>
      <c r="D4459" t="s">
        <v>31</v>
      </c>
      <c r="E4459" t="s">
        <v>21</v>
      </c>
      <c r="F4459" t="s">
        <v>18</v>
      </c>
      <c r="G4459" s="2">
        <f>VALUE(183.1220588881)</f>
        <v>183.12205888810001</v>
      </c>
      <c r="H4459" s="3">
        <f>VALUE(159.5077180731)</f>
        <v>159.50771807309999</v>
      </c>
      <c r="I4459" s="1">
        <f>VALUE(3587)</f>
        <v>3587</v>
      </c>
      <c r="J4459" s="1">
        <f>VALUE(4263)</f>
        <v>4263</v>
      </c>
      <c r="K4459" s="1">
        <f>VALUE(6402)</f>
        <v>6402</v>
      </c>
      <c r="L4459" s="1">
        <f>VALUE(8574)</f>
        <v>8574</v>
      </c>
      <c r="M4459" s="1">
        <f>VALUE(9092)</f>
        <v>9092</v>
      </c>
      <c r="N4459" t="s">
        <v>25</v>
      </c>
    </row>
    <row r="4460" spans="1:14" x14ac:dyDescent="0.25">
      <c r="A4460" t="s">
        <v>41</v>
      </c>
      <c r="B4460" t="s">
        <v>40</v>
      </c>
      <c r="C4460" t="s">
        <v>15</v>
      </c>
      <c r="D4460" t="s">
        <v>31</v>
      </c>
      <c r="E4460" t="s">
        <v>21</v>
      </c>
      <c r="F4460" t="s">
        <v>19</v>
      </c>
      <c r="G4460" s="2">
        <f>VALUE(276.6175484815)</f>
        <v>276.61754848150002</v>
      </c>
      <c r="H4460" s="3">
        <f>VALUE(204.3277730218)</f>
        <v>204.3277730218</v>
      </c>
      <c r="I4460" s="1">
        <f>VALUE(4187)</f>
        <v>4187</v>
      </c>
      <c r="J4460" s="1">
        <f>VALUE(4908)</f>
        <v>4908</v>
      </c>
      <c r="K4460" s="1">
        <f>VALUE(5641)</f>
        <v>5641</v>
      </c>
      <c r="L4460" s="1">
        <f>VALUE(6548)</f>
        <v>6548</v>
      </c>
      <c r="M4460" s="1">
        <f>VALUE(7211)</f>
        <v>7211</v>
      </c>
      <c r="N4460" t="s">
        <v>25</v>
      </c>
    </row>
    <row r="4461" spans="1:14" x14ac:dyDescent="0.25">
      <c r="A4461" t="s">
        <v>41</v>
      </c>
      <c r="B4461" t="s">
        <v>40</v>
      </c>
      <c r="C4461" t="s">
        <v>15</v>
      </c>
      <c r="D4461" t="s">
        <v>31</v>
      </c>
      <c r="E4461" t="s">
        <v>21</v>
      </c>
      <c r="F4461" t="s">
        <v>20</v>
      </c>
      <c r="G4461" s="2">
        <f>VALUE(344.54729457)</f>
        <v>344.54729457000002</v>
      </c>
      <c r="H4461" s="3">
        <f>VALUE(264.4855286626)</f>
        <v>264.48552866260002</v>
      </c>
      <c r="I4461" s="1">
        <f>VALUE(3389)</f>
        <v>3389</v>
      </c>
      <c r="J4461" s="5">
        <f>VALUE(4078)</f>
        <v>4078</v>
      </c>
      <c r="K4461" s="1">
        <f>VALUE(5169)</f>
        <v>5169</v>
      </c>
      <c r="L4461" s="1">
        <f>VALUE(6317)</f>
        <v>6317</v>
      </c>
      <c r="M4461" s="1">
        <f>VALUE(7299)</f>
        <v>7299</v>
      </c>
      <c r="N4461" t="s">
        <v>25</v>
      </c>
    </row>
    <row r="4462" spans="1:14" x14ac:dyDescent="0.25">
      <c r="A4462" t="s">
        <v>41</v>
      </c>
      <c r="B4462" t="s">
        <v>40</v>
      </c>
      <c r="C4462" t="s">
        <v>15</v>
      </c>
      <c r="D4462" t="s">
        <v>31</v>
      </c>
      <c r="E4462" t="s">
        <v>22</v>
      </c>
      <c r="F4462" t="s">
        <v>15</v>
      </c>
      <c r="G4462" s="2">
        <f>VALUE(513.0741328222)</f>
        <v>513.0741328222</v>
      </c>
      <c r="H4462" s="3">
        <f>VALUE(443.7812803951)</f>
        <v>443.7812803951</v>
      </c>
      <c r="I4462" s="1">
        <f>VALUE(3369)</f>
        <v>3369</v>
      </c>
      <c r="J4462" s="1">
        <f>VALUE(3884)</f>
        <v>3884</v>
      </c>
      <c r="K4462" s="1">
        <f>VALUE(4394)</f>
        <v>4394</v>
      </c>
      <c r="L4462" s="1">
        <f>VALUE(5352)</f>
        <v>5352</v>
      </c>
      <c r="M4462" s="1">
        <f>VALUE(7139)</f>
        <v>7139</v>
      </c>
      <c r="N4462" t="s">
        <v>25</v>
      </c>
    </row>
    <row r="4463" spans="1:14" x14ac:dyDescent="0.25">
      <c r="A4463" t="s">
        <v>41</v>
      </c>
      <c r="B4463" t="s">
        <v>40</v>
      </c>
      <c r="C4463" t="s">
        <v>15</v>
      </c>
      <c r="D4463" t="s">
        <v>31</v>
      </c>
      <c r="E4463" t="s">
        <v>22</v>
      </c>
      <c r="F4463" t="s">
        <v>17</v>
      </c>
      <c r="G4463" s="1" t="str">
        <f t="shared" ref="G4463:M4465" si="935">"X"</f>
        <v>X</v>
      </c>
      <c r="H4463" s="1" t="str">
        <f t="shared" si="935"/>
        <v>X</v>
      </c>
      <c r="I4463" s="1" t="str">
        <f t="shared" si="935"/>
        <v>X</v>
      </c>
      <c r="J4463" s="1" t="str">
        <f t="shared" si="935"/>
        <v>X</v>
      </c>
      <c r="K4463" s="1" t="str">
        <f t="shared" si="935"/>
        <v>X</v>
      </c>
      <c r="L4463" s="1" t="str">
        <f t="shared" si="935"/>
        <v>X</v>
      </c>
      <c r="M4463" s="1" t="str">
        <f t="shared" si="935"/>
        <v>X</v>
      </c>
      <c r="N4463" t="s">
        <v>27</v>
      </c>
    </row>
    <row r="4464" spans="1:14" x14ac:dyDescent="0.25">
      <c r="A4464" t="s">
        <v>41</v>
      </c>
      <c r="B4464" t="s">
        <v>40</v>
      </c>
      <c r="C4464" t="s">
        <v>15</v>
      </c>
      <c r="D4464" t="s">
        <v>31</v>
      </c>
      <c r="E4464" t="s">
        <v>22</v>
      </c>
      <c r="F4464" t="s">
        <v>18</v>
      </c>
      <c r="G4464" s="1" t="str">
        <f t="shared" si="935"/>
        <v>X</v>
      </c>
      <c r="H4464" s="1" t="str">
        <f t="shared" si="935"/>
        <v>X</v>
      </c>
      <c r="I4464" s="1" t="str">
        <f t="shared" si="935"/>
        <v>X</v>
      </c>
      <c r="J4464" s="1" t="str">
        <f t="shared" si="935"/>
        <v>X</v>
      </c>
      <c r="K4464" s="1" t="str">
        <f t="shared" si="935"/>
        <v>X</v>
      </c>
      <c r="L4464" s="1" t="str">
        <f t="shared" si="935"/>
        <v>X</v>
      </c>
      <c r="M4464" s="1" t="str">
        <f t="shared" si="935"/>
        <v>X</v>
      </c>
      <c r="N4464" t="s">
        <v>27</v>
      </c>
    </row>
    <row r="4465" spans="1:14" x14ac:dyDescent="0.25">
      <c r="A4465" t="s">
        <v>41</v>
      </c>
      <c r="B4465" t="s">
        <v>40</v>
      </c>
      <c r="C4465" t="s">
        <v>15</v>
      </c>
      <c r="D4465" t="s">
        <v>31</v>
      </c>
      <c r="E4465" t="s">
        <v>22</v>
      </c>
      <c r="F4465" t="s">
        <v>19</v>
      </c>
      <c r="G4465" s="1" t="str">
        <f t="shared" si="935"/>
        <v>X</v>
      </c>
      <c r="H4465" s="1" t="str">
        <f t="shared" si="935"/>
        <v>X</v>
      </c>
      <c r="I4465" s="1" t="str">
        <f t="shared" si="935"/>
        <v>X</v>
      </c>
      <c r="J4465" s="1" t="str">
        <f t="shared" si="935"/>
        <v>X</v>
      </c>
      <c r="K4465" s="1" t="str">
        <f t="shared" si="935"/>
        <v>X</v>
      </c>
      <c r="L4465" s="1" t="str">
        <f t="shared" si="935"/>
        <v>X</v>
      </c>
      <c r="M4465" s="1" t="str">
        <f t="shared" si="935"/>
        <v>X</v>
      </c>
      <c r="N4465" t="s">
        <v>27</v>
      </c>
    </row>
    <row r="4466" spans="1:14" x14ac:dyDescent="0.25">
      <c r="A4466" t="s">
        <v>41</v>
      </c>
      <c r="B4466" t="s">
        <v>40</v>
      </c>
      <c r="C4466" t="s">
        <v>15</v>
      </c>
      <c r="D4466" t="s">
        <v>31</v>
      </c>
      <c r="E4466" t="s">
        <v>22</v>
      </c>
      <c r="F4466" t="s">
        <v>20</v>
      </c>
      <c r="G4466" s="2">
        <f>VALUE(382.6368524701)</f>
        <v>382.6368524701</v>
      </c>
      <c r="H4466" s="3">
        <f>VALUE(317.422755325)</f>
        <v>317.42275532500003</v>
      </c>
      <c r="I4466" s="1">
        <f>VALUE(3274)</f>
        <v>3274</v>
      </c>
      <c r="J4466" s="1">
        <f>VALUE(3804)</f>
        <v>3804</v>
      </c>
      <c r="K4466" s="1">
        <f>VALUE(4285)</f>
        <v>4285</v>
      </c>
      <c r="L4466" s="7">
        <f>VALUE(4834)</f>
        <v>4834</v>
      </c>
      <c r="M4466" s="1">
        <f>VALUE(6123)</f>
        <v>6123</v>
      </c>
      <c r="N4466" t="s">
        <v>25</v>
      </c>
    </row>
    <row r="4467" spans="1:14" x14ac:dyDescent="0.25">
      <c r="A4467" t="s">
        <v>41</v>
      </c>
      <c r="B4467" t="s">
        <v>40</v>
      </c>
      <c r="C4467" t="s">
        <v>15</v>
      </c>
      <c r="D4467" t="s">
        <v>31</v>
      </c>
      <c r="E4467" t="s">
        <v>23</v>
      </c>
      <c r="F4467" t="s">
        <v>15</v>
      </c>
      <c r="G4467" s="2">
        <f>VALUE(1315.328914391)</f>
        <v>1315.3289143909999</v>
      </c>
      <c r="H4467" s="3">
        <f>VALUE(1008.24567476)</f>
        <v>1008.24567476</v>
      </c>
      <c r="I4467" s="1">
        <f>VALUE(2887)</f>
        <v>2887</v>
      </c>
      <c r="J4467" s="1">
        <f>VALUE(3194)</f>
        <v>3194</v>
      </c>
      <c r="K4467" s="1">
        <f>VALUE(3411)</f>
        <v>3411</v>
      </c>
      <c r="L4467" s="1">
        <f>VALUE(3870)</f>
        <v>3870</v>
      </c>
      <c r="M4467" s="1">
        <f>VALUE(4491)</f>
        <v>4491</v>
      </c>
      <c r="N4467" t="s">
        <v>25</v>
      </c>
    </row>
    <row r="4468" spans="1:14" x14ac:dyDescent="0.25">
      <c r="A4468" t="s">
        <v>41</v>
      </c>
      <c r="B4468" t="s">
        <v>40</v>
      </c>
      <c r="C4468" t="s">
        <v>15</v>
      </c>
      <c r="D4468" t="s">
        <v>31</v>
      </c>
      <c r="E4468" t="s">
        <v>23</v>
      </c>
      <c r="F4468" t="s">
        <v>17</v>
      </c>
      <c r="G4468" s="1" t="str">
        <f t="shared" ref="G4468:M4470" si="936">"X"</f>
        <v>X</v>
      </c>
      <c r="H4468" s="1" t="str">
        <f t="shared" si="936"/>
        <v>X</v>
      </c>
      <c r="I4468" s="1" t="str">
        <f t="shared" si="936"/>
        <v>X</v>
      </c>
      <c r="J4468" s="1" t="str">
        <f t="shared" si="936"/>
        <v>X</v>
      </c>
      <c r="K4468" s="1" t="str">
        <f t="shared" si="936"/>
        <v>X</v>
      </c>
      <c r="L4468" s="1" t="str">
        <f t="shared" si="936"/>
        <v>X</v>
      </c>
      <c r="M4468" s="1" t="str">
        <f t="shared" si="936"/>
        <v>X</v>
      </c>
      <c r="N4468" t="s">
        <v>27</v>
      </c>
    </row>
    <row r="4469" spans="1:14" x14ac:dyDescent="0.25">
      <c r="A4469" t="s">
        <v>41</v>
      </c>
      <c r="B4469" t="s">
        <v>40</v>
      </c>
      <c r="C4469" t="s">
        <v>15</v>
      </c>
      <c r="D4469" t="s">
        <v>31</v>
      </c>
      <c r="E4469" t="s">
        <v>23</v>
      </c>
      <c r="F4469" t="s">
        <v>18</v>
      </c>
      <c r="G4469" s="1" t="str">
        <f t="shared" si="936"/>
        <v>X</v>
      </c>
      <c r="H4469" s="1" t="str">
        <f t="shared" si="936"/>
        <v>X</v>
      </c>
      <c r="I4469" s="1" t="str">
        <f t="shared" si="936"/>
        <v>X</v>
      </c>
      <c r="J4469" s="1" t="str">
        <f t="shared" si="936"/>
        <v>X</v>
      </c>
      <c r="K4469" s="1" t="str">
        <f t="shared" si="936"/>
        <v>X</v>
      </c>
      <c r="L4469" s="1" t="str">
        <f t="shared" si="936"/>
        <v>X</v>
      </c>
      <c r="M4469" s="1" t="str">
        <f t="shared" si="936"/>
        <v>X</v>
      </c>
      <c r="N4469" t="s">
        <v>27</v>
      </c>
    </row>
    <row r="4470" spans="1:14" x14ac:dyDescent="0.25">
      <c r="A4470" t="s">
        <v>41</v>
      </c>
      <c r="B4470" t="s">
        <v>40</v>
      </c>
      <c r="C4470" t="s">
        <v>15</v>
      </c>
      <c r="D4470" t="s">
        <v>31</v>
      </c>
      <c r="E4470" t="s">
        <v>23</v>
      </c>
      <c r="F4470" t="s">
        <v>19</v>
      </c>
      <c r="G4470" s="1" t="str">
        <f t="shared" si="936"/>
        <v>X</v>
      </c>
      <c r="H4470" s="1" t="str">
        <f t="shared" si="936"/>
        <v>X</v>
      </c>
      <c r="I4470" s="1" t="str">
        <f t="shared" si="936"/>
        <v>X</v>
      </c>
      <c r="J4470" s="1" t="str">
        <f t="shared" si="936"/>
        <v>X</v>
      </c>
      <c r="K4470" s="1" t="str">
        <f t="shared" si="936"/>
        <v>X</v>
      </c>
      <c r="L4470" s="1" t="str">
        <f t="shared" si="936"/>
        <v>X</v>
      </c>
      <c r="M4470" s="1" t="str">
        <f t="shared" si="936"/>
        <v>X</v>
      </c>
      <c r="N4470" t="s">
        <v>27</v>
      </c>
    </row>
    <row r="4471" spans="1:14" x14ac:dyDescent="0.25">
      <c r="A4471" t="s">
        <v>41</v>
      </c>
      <c r="B4471" t="s">
        <v>40</v>
      </c>
      <c r="C4471" t="s">
        <v>15</v>
      </c>
      <c r="D4471" t="s">
        <v>31</v>
      </c>
      <c r="E4471" t="s">
        <v>23</v>
      </c>
      <c r="F4471" t="s">
        <v>20</v>
      </c>
      <c r="G4471" s="2">
        <f>VALUE(1117.7307131878)</f>
        <v>1117.7307131877999</v>
      </c>
      <c r="H4471" s="3">
        <f>VALUE(845.5146316237)</f>
        <v>845.51463162369998</v>
      </c>
      <c r="I4471" s="1">
        <f>VALUE(2857)</f>
        <v>2857</v>
      </c>
      <c r="J4471" s="1">
        <f>VALUE(3188)</f>
        <v>3188</v>
      </c>
      <c r="K4471" s="1">
        <f>VALUE(3411)</f>
        <v>3411</v>
      </c>
      <c r="L4471" s="1">
        <f>VALUE(3865)</f>
        <v>3865</v>
      </c>
      <c r="M4471" s="1">
        <f>VALUE(4333)</f>
        <v>4333</v>
      </c>
      <c r="N4471" t="s">
        <v>25</v>
      </c>
    </row>
    <row r="4472" spans="1:14" x14ac:dyDescent="0.25">
      <c r="A4472" t="s">
        <v>41</v>
      </c>
      <c r="B4472" t="s">
        <v>40</v>
      </c>
      <c r="C4472" t="s">
        <v>15</v>
      </c>
      <c r="D4472" t="s">
        <v>31</v>
      </c>
      <c r="E4472" t="s">
        <v>26</v>
      </c>
      <c r="F4472" t="s">
        <v>15</v>
      </c>
      <c r="G4472" s="1" t="str">
        <f t="shared" ref="G4472:M4474" si="937">"X"</f>
        <v>X</v>
      </c>
      <c r="H4472" s="1" t="str">
        <f t="shared" si="937"/>
        <v>X</v>
      </c>
      <c r="I4472" s="1" t="str">
        <f t="shared" si="937"/>
        <v>X</v>
      </c>
      <c r="J4472" s="1" t="str">
        <f t="shared" si="937"/>
        <v>X</v>
      </c>
      <c r="K4472" s="1" t="str">
        <f t="shared" si="937"/>
        <v>X</v>
      </c>
      <c r="L4472" s="1" t="str">
        <f t="shared" si="937"/>
        <v>X</v>
      </c>
      <c r="M4472" s="1" t="str">
        <f t="shared" si="937"/>
        <v>X</v>
      </c>
      <c r="N4472" t="s">
        <v>27</v>
      </c>
    </row>
    <row r="4473" spans="1:14" x14ac:dyDescent="0.25">
      <c r="A4473" t="s">
        <v>41</v>
      </c>
      <c r="B4473" t="s">
        <v>40</v>
      </c>
      <c r="C4473" t="s">
        <v>15</v>
      </c>
      <c r="D4473" t="s">
        <v>31</v>
      </c>
      <c r="E4473" t="s">
        <v>26</v>
      </c>
      <c r="F4473" t="s">
        <v>17</v>
      </c>
      <c r="G4473" s="1" t="str">
        <f t="shared" si="937"/>
        <v>X</v>
      </c>
      <c r="H4473" s="1" t="str">
        <f t="shared" si="937"/>
        <v>X</v>
      </c>
      <c r="I4473" s="1" t="str">
        <f t="shared" si="937"/>
        <v>X</v>
      </c>
      <c r="J4473" s="1" t="str">
        <f t="shared" si="937"/>
        <v>X</v>
      </c>
      <c r="K4473" s="1" t="str">
        <f t="shared" si="937"/>
        <v>X</v>
      </c>
      <c r="L4473" s="1" t="str">
        <f t="shared" si="937"/>
        <v>X</v>
      </c>
      <c r="M4473" s="1" t="str">
        <f t="shared" si="937"/>
        <v>X</v>
      </c>
      <c r="N4473" t="s">
        <v>27</v>
      </c>
    </row>
    <row r="4474" spans="1:14" x14ac:dyDescent="0.25">
      <c r="A4474" t="s">
        <v>41</v>
      </c>
      <c r="B4474" t="s">
        <v>40</v>
      </c>
      <c r="C4474" t="s">
        <v>15</v>
      </c>
      <c r="D4474" t="s">
        <v>31</v>
      </c>
      <c r="E4474" t="s">
        <v>26</v>
      </c>
      <c r="F4474" t="s">
        <v>18</v>
      </c>
      <c r="G4474" s="1" t="str">
        <f t="shared" si="937"/>
        <v>X</v>
      </c>
      <c r="H4474" s="1" t="str">
        <f t="shared" si="937"/>
        <v>X</v>
      </c>
      <c r="I4474" s="1" t="str">
        <f t="shared" si="937"/>
        <v>X</v>
      </c>
      <c r="J4474" s="1" t="str">
        <f t="shared" si="937"/>
        <v>X</v>
      </c>
      <c r="K4474" s="1" t="str">
        <f t="shared" si="937"/>
        <v>X</v>
      </c>
      <c r="L4474" s="1" t="str">
        <f t="shared" si="937"/>
        <v>X</v>
      </c>
      <c r="M4474" s="1" t="str">
        <f t="shared" si="937"/>
        <v>X</v>
      </c>
      <c r="N4474" t="s">
        <v>27</v>
      </c>
    </row>
    <row r="4475" spans="1:14" x14ac:dyDescent="0.25">
      <c r="A4475" t="s">
        <v>41</v>
      </c>
      <c r="B4475" t="s">
        <v>40</v>
      </c>
      <c r="C4475" t="s">
        <v>15</v>
      </c>
      <c r="D4475" t="s">
        <v>31</v>
      </c>
      <c r="E4475" t="s">
        <v>26</v>
      </c>
      <c r="F4475" t="s">
        <v>19</v>
      </c>
      <c r="G4475" s="1" t="str">
        <f t="shared" ref="G4475:M4475" si="938">"..."</f>
        <v>...</v>
      </c>
      <c r="H4475" s="1" t="str">
        <f t="shared" si="938"/>
        <v>...</v>
      </c>
      <c r="I4475" s="1" t="str">
        <f t="shared" si="938"/>
        <v>...</v>
      </c>
      <c r="J4475" s="1" t="str">
        <f t="shared" si="938"/>
        <v>...</v>
      </c>
      <c r="K4475" s="1" t="str">
        <f t="shared" si="938"/>
        <v>...</v>
      </c>
      <c r="L4475" s="1" t="str">
        <f t="shared" si="938"/>
        <v>...</v>
      </c>
      <c r="M4475" s="1" t="str">
        <f t="shared" si="938"/>
        <v>...</v>
      </c>
      <c r="N4475" t="s">
        <v>30</v>
      </c>
    </row>
    <row r="4476" spans="1:14" x14ac:dyDescent="0.25">
      <c r="A4476" t="s">
        <v>41</v>
      </c>
      <c r="B4476" t="s">
        <v>40</v>
      </c>
      <c r="C4476" t="s">
        <v>15</v>
      </c>
      <c r="D4476" t="s">
        <v>31</v>
      </c>
      <c r="E4476" t="s">
        <v>26</v>
      </c>
      <c r="F4476" t="s">
        <v>20</v>
      </c>
      <c r="G4476" s="1" t="str">
        <f t="shared" ref="G4476:M4476" si="939">"X"</f>
        <v>X</v>
      </c>
      <c r="H4476" s="1" t="str">
        <f t="shared" si="939"/>
        <v>X</v>
      </c>
      <c r="I4476" s="1" t="str">
        <f t="shared" si="939"/>
        <v>X</v>
      </c>
      <c r="J4476" s="1" t="str">
        <f t="shared" si="939"/>
        <v>X</v>
      </c>
      <c r="K4476" s="1" t="str">
        <f t="shared" si="939"/>
        <v>X</v>
      </c>
      <c r="L4476" s="1" t="str">
        <f t="shared" si="939"/>
        <v>X</v>
      </c>
      <c r="M4476" s="1" t="str">
        <f t="shared" si="939"/>
        <v>X</v>
      </c>
      <c r="N4476" t="s">
        <v>27</v>
      </c>
    </row>
    <row r="4477" spans="1:14" x14ac:dyDescent="0.25">
      <c r="A4477" t="s">
        <v>41</v>
      </c>
      <c r="B4477" t="s">
        <v>40</v>
      </c>
      <c r="C4477" t="s">
        <v>15</v>
      </c>
      <c r="D4477" t="s">
        <v>32</v>
      </c>
      <c r="E4477" t="s">
        <v>15</v>
      </c>
      <c r="F4477" t="s">
        <v>15</v>
      </c>
      <c r="G4477" s="1">
        <f>VALUE(15493.2418031488)</f>
        <v>15493.2418031488</v>
      </c>
      <c r="H4477" s="1">
        <f>VALUE(13631.8305281312)</f>
        <v>13631.8305281312</v>
      </c>
      <c r="I4477" s="1">
        <f>VALUE(2548)</f>
        <v>2548</v>
      </c>
      <c r="J4477" s="1">
        <f>VALUE(2862)</f>
        <v>2862</v>
      </c>
      <c r="K4477" s="1">
        <f>VALUE(3540)</f>
        <v>3540</v>
      </c>
      <c r="L4477" s="1">
        <f>VALUE(4560)</f>
        <v>4560</v>
      </c>
      <c r="M4477" s="1">
        <f>VALUE(6281)</f>
        <v>6281</v>
      </c>
      <c r="N4477" t="s">
        <v>16</v>
      </c>
    </row>
    <row r="4478" spans="1:14" x14ac:dyDescent="0.25">
      <c r="A4478" t="s">
        <v>41</v>
      </c>
      <c r="B4478" t="s">
        <v>40</v>
      </c>
      <c r="C4478" t="s">
        <v>15</v>
      </c>
      <c r="D4478" t="s">
        <v>32</v>
      </c>
      <c r="E4478" t="s">
        <v>15</v>
      </c>
      <c r="F4478" t="s">
        <v>17</v>
      </c>
      <c r="G4478" s="2">
        <f>VALUE(724.2369460911)</f>
        <v>724.23694609109998</v>
      </c>
      <c r="H4478" s="3">
        <f>VALUE(629.3786941304)</f>
        <v>629.37869413040005</v>
      </c>
      <c r="I4478" s="4">
        <f>VALUE(3000)</f>
        <v>3000</v>
      </c>
      <c r="J4478" s="5">
        <f>VALUE(4666)</f>
        <v>4666</v>
      </c>
      <c r="K4478" s="6">
        <f>VALUE(6225)</f>
        <v>6225</v>
      </c>
      <c r="L4478" s="1">
        <f>VALUE(8044)</f>
        <v>8044</v>
      </c>
      <c r="M4478" s="8">
        <f>VALUE(10060)</f>
        <v>10060</v>
      </c>
      <c r="N4478" t="s">
        <v>25</v>
      </c>
    </row>
    <row r="4479" spans="1:14" x14ac:dyDescent="0.25">
      <c r="A4479" t="s">
        <v>41</v>
      </c>
      <c r="B4479" t="s">
        <v>40</v>
      </c>
      <c r="C4479" t="s">
        <v>15</v>
      </c>
      <c r="D4479" t="s">
        <v>32</v>
      </c>
      <c r="E4479" t="s">
        <v>15</v>
      </c>
      <c r="F4479" t="s">
        <v>18</v>
      </c>
      <c r="G4479" s="2">
        <f>VALUE(1146.9662926338)</f>
        <v>1146.9662926338001</v>
      </c>
      <c r="H4479" s="3">
        <f>VALUE(1008.5746550292)</f>
        <v>1008.5746550292</v>
      </c>
      <c r="I4479" s="4">
        <f>VALUE(2733)</f>
        <v>2733</v>
      </c>
      <c r="J4479" s="5">
        <f>VALUE(3603)</f>
        <v>3603</v>
      </c>
      <c r="K4479" s="1">
        <f>VALUE(4826)</f>
        <v>4826</v>
      </c>
      <c r="L4479" s="1">
        <f>VALUE(6748)</f>
        <v>6748</v>
      </c>
      <c r="M4479" s="1">
        <f>VALUE(7783)</f>
        <v>7783</v>
      </c>
      <c r="N4479" t="s">
        <v>25</v>
      </c>
    </row>
    <row r="4480" spans="1:14" x14ac:dyDescent="0.25">
      <c r="A4480" t="s">
        <v>41</v>
      </c>
      <c r="B4480" t="s">
        <v>40</v>
      </c>
      <c r="C4480" t="s">
        <v>15</v>
      </c>
      <c r="D4480" t="s">
        <v>32</v>
      </c>
      <c r="E4480" t="s">
        <v>15</v>
      </c>
      <c r="F4480" t="s">
        <v>19</v>
      </c>
      <c r="G4480" s="1">
        <f>VALUE(1611.1334636794)</f>
        <v>1611.1334636793999</v>
      </c>
      <c r="H4480" s="1">
        <f>VALUE(1417.5201014413)</f>
        <v>1417.5201014413001</v>
      </c>
      <c r="I4480" s="1">
        <f>VALUE(3003)</f>
        <v>3003</v>
      </c>
      <c r="J4480" s="1">
        <f>VALUE(3575)</f>
        <v>3575</v>
      </c>
      <c r="K4480" s="1">
        <f>VALUE(4225)</f>
        <v>4225</v>
      </c>
      <c r="L4480" s="1">
        <f>VALUE(5319)</f>
        <v>5319</v>
      </c>
      <c r="M4480" s="1">
        <f>VALUE(7092)</f>
        <v>7092</v>
      </c>
      <c r="N4480" t="s">
        <v>16</v>
      </c>
    </row>
    <row r="4481" spans="1:14" x14ac:dyDescent="0.25">
      <c r="A4481" t="s">
        <v>41</v>
      </c>
      <c r="B4481" t="s">
        <v>40</v>
      </c>
      <c r="C4481" t="s">
        <v>15</v>
      </c>
      <c r="D4481" t="s">
        <v>32</v>
      </c>
      <c r="E4481" t="s">
        <v>15</v>
      </c>
      <c r="F4481" t="s">
        <v>20</v>
      </c>
      <c r="G4481" s="1">
        <f>VALUE(11989.9376727827)</f>
        <v>11989.9376727827</v>
      </c>
      <c r="H4481" s="1">
        <f>VALUE(10553.8445332474)</f>
        <v>10553.8445332474</v>
      </c>
      <c r="I4481" s="1">
        <f>VALUE(2514)</f>
        <v>2514</v>
      </c>
      <c r="J4481" s="1">
        <f>VALUE(2792)</f>
        <v>2792</v>
      </c>
      <c r="K4481" s="1">
        <f>VALUE(3320)</f>
        <v>3320</v>
      </c>
      <c r="L4481" s="1">
        <f>VALUE(4114)</f>
        <v>4114</v>
      </c>
      <c r="M4481" s="1">
        <f>VALUE(5262)</f>
        <v>5262</v>
      </c>
      <c r="N4481" t="s">
        <v>16</v>
      </c>
    </row>
    <row r="4482" spans="1:14" x14ac:dyDescent="0.25">
      <c r="A4482" t="s">
        <v>41</v>
      </c>
      <c r="B4482" t="s">
        <v>40</v>
      </c>
      <c r="C4482" t="s">
        <v>15</v>
      </c>
      <c r="D4482" t="s">
        <v>32</v>
      </c>
      <c r="E4482" t="s">
        <v>21</v>
      </c>
      <c r="F4482" t="s">
        <v>15</v>
      </c>
      <c r="G4482" s="1">
        <f>VALUE(2580.6907798998)</f>
        <v>2580.6907798998</v>
      </c>
      <c r="H4482" s="1">
        <f>VALUE(2313.271854082)</f>
        <v>2313.2718540820001</v>
      </c>
      <c r="I4482" s="4">
        <f>VALUE(2834)</f>
        <v>2834</v>
      </c>
      <c r="J4482" s="1">
        <f>VALUE(3718)</f>
        <v>3718</v>
      </c>
      <c r="K4482" s="1">
        <f>VALUE(4875)</f>
        <v>4875</v>
      </c>
      <c r="L4482" s="1">
        <f>VALUE(6525)</f>
        <v>6525</v>
      </c>
      <c r="M4482" s="1">
        <f>VALUE(8262)</f>
        <v>8262</v>
      </c>
      <c r="N4482" t="s">
        <v>25</v>
      </c>
    </row>
    <row r="4483" spans="1:14" x14ac:dyDescent="0.25">
      <c r="A4483" t="s">
        <v>41</v>
      </c>
      <c r="B4483" t="s">
        <v>40</v>
      </c>
      <c r="C4483" t="s">
        <v>15</v>
      </c>
      <c r="D4483" t="s">
        <v>32</v>
      </c>
      <c r="E4483" t="s">
        <v>21</v>
      </c>
      <c r="F4483" t="s">
        <v>17</v>
      </c>
      <c r="G4483" s="2">
        <f>VALUE(446.4241394955)</f>
        <v>446.42413949550001</v>
      </c>
      <c r="H4483" s="3">
        <f>VALUE(394.6996664651)</f>
        <v>394.69966646509999</v>
      </c>
      <c r="I4483" s="4">
        <f>VALUE(4333)</f>
        <v>4333</v>
      </c>
      <c r="J4483" s="5">
        <f>VALUE(5285)</f>
        <v>5285</v>
      </c>
      <c r="K4483" s="6">
        <f>VALUE(7192)</f>
        <v>7192</v>
      </c>
      <c r="L4483" s="1">
        <f>VALUE(8663)</f>
        <v>8663</v>
      </c>
      <c r="M4483" s="8">
        <f>VALUE(11289)</f>
        <v>11289</v>
      </c>
      <c r="N4483" t="s">
        <v>25</v>
      </c>
    </row>
    <row r="4484" spans="1:14" x14ac:dyDescent="0.25">
      <c r="A4484" t="s">
        <v>41</v>
      </c>
      <c r="B4484" t="s">
        <v>40</v>
      </c>
      <c r="C4484" t="s">
        <v>15</v>
      </c>
      <c r="D4484" t="s">
        <v>32</v>
      </c>
      <c r="E4484" t="s">
        <v>21</v>
      </c>
      <c r="F4484" t="s">
        <v>18</v>
      </c>
      <c r="G4484" s="2">
        <f>VALUE(546.0131051817)</f>
        <v>546.01310518169998</v>
      </c>
      <c r="H4484" s="3">
        <f>VALUE(476.1115074388)</f>
        <v>476.1115074388</v>
      </c>
      <c r="I4484" s="4">
        <f>VALUE(2730)</f>
        <v>2730</v>
      </c>
      <c r="J4484" s="5">
        <f>VALUE(3470)</f>
        <v>3470</v>
      </c>
      <c r="K4484" s="6">
        <f>VALUE(5079)</f>
        <v>5079</v>
      </c>
      <c r="L4484" s="1">
        <f>VALUE(6956)</f>
        <v>6956</v>
      </c>
      <c r="M4484" s="1">
        <f>VALUE(8271)</f>
        <v>8271</v>
      </c>
      <c r="N4484" t="s">
        <v>25</v>
      </c>
    </row>
    <row r="4485" spans="1:14" x14ac:dyDescent="0.25">
      <c r="A4485" t="s">
        <v>41</v>
      </c>
      <c r="B4485" t="s">
        <v>40</v>
      </c>
      <c r="C4485" t="s">
        <v>15</v>
      </c>
      <c r="D4485" t="s">
        <v>32</v>
      </c>
      <c r="E4485" t="s">
        <v>21</v>
      </c>
      <c r="F4485" t="s">
        <v>19</v>
      </c>
      <c r="G4485" s="2">
        <f>VALUE(469.0388888963)</f>
        <v>469.03888889630002</v>
      </c>
      <c r="H4485" s="3">
        <f>VALUE(427.2057345319)</f>
        <v>427.20573453190002</v>
      </c>
      <c r="I4485" s="4">
        <f>VALUE(3467)</f>
        <v>3467</v>
      </c>
      <c r="J4485" s="1">
        <f>VALUE(3928)</f>
        <v>3928</v>
      </c>
      <c r="K4485" s="1">
        <f>VALUE(4588)</f>
        <v>4588</v>
      </c>
      <c r="L4485" s="7">
        <f>VALUE(5674)</f>
        <v>5674</v>
      </c>
      <c r="M4485" s="8">
        <f>VALUE(7558)</f>
        <v>7558</v>
      </c>
      <c r="N4485" t="s">
        <v>25</v>
      </c>
    </row>
    <row r="4486" spans="1:14" x14ac:dyDescent="0.25">
      <c r="A4486" t="s">
        <v>41</v>
      </c>
      <c r="B4486" t="s">
        <v>40</v>
      </c>
      <c r="C4486" t="s">
        <v>15</v>
      </c>
      <c r="D4486" t="s">
        <v>32</v>
      </c>
      <c r="E4486" t="s">
        <v>21</v>
      </c>
      <c r="F4486" t="s">
        <v>20</v>
      </c>
      <c r="G4486" s="2">
        <f>VALUE(1119.2146463263)</f>
        <v>1119.2146463263</v>
      </c>
      <c r="H4486" s="3">
        <f>VALUE(1015.2549456462)</f>
        <v>1015.2549456462</v>
      </c>
      <c r="I4486" s="4">
        <f>VALUE(2639)</f>
        <v>2639</v>
      </c>
      <c r="J4486" s="1">
        <f>VALUE(3467)</f>
        <v>3467</v>
      </c>
      <c r="K4486" s="1">
        <f>VALUE(4225)</f>
        <v>4225</v>
      </c>
      <c r="L4486" s="7">
        <f>VALUE(5452)</f>
        <v>5452</v>
      </c>
      <c r="M4486" s="1">
        <f>VALUE(6939)</f>
        <v>6939</v>
      </c>
      <c r="N4486" t="s">
        <v>25</v>
      </c>
    </row>
    <row r="4487" spans="1:14" x14ac:dyDescent="0.25">
      <c r="A4487" t="s">
        <v>41</v>
      </c>
      <c r="B4487" t="s">
        <v>40</v>
      </c>
      <c r="C4487" t="s">
        <v>15</v>
      </c>
      <c r="D4487" t="s">
        <v>32</v>
      </c>
      <c r="E4487" t="s">
        <v>22</v>
      </c>
      <c r="F4487" t="s">
        <v>15</v>
      </c>
      <c r="G4487" s="1">
        <f>VALUE(3522.245453756)</f>
        <v>3522.2454537560002</v>
      </c>
      <c r="H4487" s="1">
        <f>VALUE(3081.4256661727)</f>
        <v>3081.4256661726999</v>
      </c>
      <c r="I4487" s="1">
        <f>VALUE(2733)</f>
        <v>2733</v>
      </c>
      <c r="J4487" s="1">
        <f>VALUE(3508)</f>
        <v>3508</v>
      </c>
      <c r="K4487" s="1">
        <f>VALUE(4374)</f>
        <v>4374</v>
      </c>
      <c r="L4487" s="1">
        <f>VALUE(5599)</f>
        <v>5599</v>
      </c>
      <c r="M4487" s="1">
        <f>VALUE(7083)</f>
        <v>7083</v>
      </c>
      <c r="N4487" t="s">
        <v>16</v>
      </c>
    </row>
    <row r="4488" spans="1:14" x14ac:dyDescent="0.25">
      <c r="A4488" t="s">
        <v>41</v>
      </c>
      <c r="B4488" t="s">
        <v>40</v>
      </c>
      <c r="C4488" t="s">
        <v>15</v>
      </c>
      <c r="D4488" t="s">
        <v>32</v>
      </c>
      <c r="E4488" t="s">
        <v>22</v>
      </c>
      <c r="F4488" t="s">
        <v>17</v>
      </c>
      <c r="G4488" s="2">
        <f>VALUE(165.741448971)</f>
        <v>165.74144897100001</v>
      </c>
      <c r="H4488" s="3">
        <f>VALUE(139.0087816924)</f>
        <v>139.00878169239999</v>
      </c>
      <c r="I4488" s="1">
        <f>VALUE(3772)</f>
        <v>3772</v>
      </c>
      <c r="J4488" s="1">
        <f>VALUE(4176)</f>
        <v>4176</v>
      </c>
      <c r="K4488" s="1">
        <f>VALUE(5532)</f>
        <v>5532</v>
      </c>
      <c r="L4488" s="1">
        <f>VALUE(7503)</f>
        <v>7503</v>
      </c>
      <c r="M4488" s="1">
        <f>VALUE(7992)</f>
        <v>7992</v>
      </c>
      <c r="N4488" t="s">
        <v>25</v>
      </c>
    </row>
    <row r="4489" spans="1:14" x14ac:dyDescent="0.25">
      <c r="A4489" t="s">
        <v>41</v>
      </c>
      <c r="B4489" t="s">
        <v>40</v>
      </c>
      <c r="C4489" t="s">
        <v>15</v>
      </c>
      <c r="D4489" t="s">
        <v>32</v>
      </c>
      <c r="E4489" t="s">
        <v>22</v>
      </c>
      <c r="F4489" t="s">
        <v>18</v>
      </c>
      <c r="G4489" s="2">
        <f>VALUE(406.8310860087)</f>
        <v>406.83108600870003</v>
      </c>
      <c r="H4489" s="3">
        <f>VALUE(367.4375968014)</f>
        <v>367.43759680139999</v>
      </c>
      <c r="I4489" s="4">
        <f>VALUE(2733)</f>
        <v>2733</v>
      </c>
      <c r="J4489" s="5">
        <f>VALUE(3760)</f>
        <v>3760</v>
      </c>
      <c r="K4489" s="6">
        <f>VALUE(4658)</f>
        <v>4658</v>
      </c>
      <c r="L4489" s="1">
        <f>VALUE(6901)</f>
        <v>6901</v>
      </c>
      <c r="M4489" s="1">
        <f>VALUE(7443)</f>
        <v>7443</v>
      </c>
      <c r="N4489" t="s">
        <v>25</v>
      </c>
    </row>
    <row r="4490" spans="1:14" x14ac:dyDescent="0.25">
      <c r="A4490" t="s">
        <v>41</v>
      </c>
      <c r="B4490" t="s">
        <v>40</v>
      </c>
      <c r="C4490" t="s">
        <v>15</v>
      </c>
      <c r="D4490" t="s">
        <v>32</v>
      </c>
      <c r="E4490" t="s">
        <v>22</v>
      </c>
      <c r="F4490" t="s">
        <v>19</v>
      </c>
      <c r="G4490" s="2">
        <f>VALUE(566.450419695)</f>
        <v>566.45041969500005</v>
      </c>
      <c r="H4490" s="3">
        <f>VALUE(495.6360858362)</f>
        <v>495.63608583619998</v>
      </c>
      <c r="I4490" s="1">
        <f>VALUE(3094)</f>
        <v>3094</v>
      </c>
      <c r="J4490" s="5">
        <f>VALUE(3765)</f>
        <v>3765</v>
      </c>
      <c r="K4490" s="1">
        <f>VALUE(4541)</f>
        <v>4541</v>
      </c>
      <c r="L4490" s="7">
        <f>VALUE(6296)</f>
        <v>6296</v>
      </c>
      <c r="M4490" s="1">
        <f>VALUE(7618)</f>
        <v>7618</v>
      </c>
      <c r="N4490" t="s">
        <v>25</v>
      </c>
    </row>
    <row r="4491" spans="1:14" x14ac:dyDescent="0.25">
      <c r="A4491" t="s">
        <v>41</v>
      </c>
      <c r="B4491" t="s">
        <v>40</v>
      </c>
      <c r="C4491" t="s">
        <v>15</v>
      </c>
      <c r="D4491" t="s">
        <v>32</v>
      </c>
      <c r="E4491" t="s">
        <v>22</v>
      </c>
      <c r="F4491" t="s">
        <v>20</v>
      </c>
      <c r="G4491" s="1">
        <f>VALUE(2383.2224990813)</f>
        <v>2383.2224990813002</v>
      </c>
      <c r="H4491" s="1">
        <f>VALUE(2079.3432018427)</f>
        <v>2079.3432018427002</v>
      </c>
      <c r="I4491" s="1">
        <f>VALUE(2670)</f>
        <v>2670</v>
      </c>
      <c r="J4491" s="1">
        <f>VALUE(3370)</f>
        <v>3370</v>
      </c>
      <c r="K4491" s="1">
        <f>VALUE(4181)</f>
        <v>4181</v>
      </c>
      <c r="L4491" s="1">
        <f>VALUE(5312)</f>
        <v>5312</v>
      </c>
      <c r="M4491" s="1">
        <f>VALUE(6485)</f>
        <v>6485</v>
      </c>
      <c r="N4491" t="s">
        <v>16</v>
      </c>
    </row>
    <row r="4492" spans="1:14" x14ac:dyDescent="0.25">
      <c r="A4492" t="s">
        <v>41</v>
      </c>
      <c r="B4492" t="s">
        <v>40</v>
      </c>
      <c r="C4492" t="s">
        <v>15</v>
      </c>
      <c r="D4492" t="s">
        <v>32</v>
      </c>
      <c r="E4492" t="s">
        <v>23</v>
      </c>
      <c r="F4492" t="s">
        <v>15</v>
      </c>
      <c r="G4492" s="1">
        <f>VALUE(9349.2808725067)</f>
        <v>9349.2808725067007</v>
      </c>
      <c r="H4492" s="1">
        <f>VALUE(8194.0194068928)</f>
        <v>8194.0194068927995</v>
      </c>
      <c r="I4492" s="1">
        <f>VALUE(2485)</f>
        <v>2485</v>
      </c>
      <c r="J4492" s="1">
        <f>VALUE(2753)</f>
        <v>2753</v>
      </c>
      <c r="K4492" s="1">
        <f>VALUE(3135)</f>
        <v>3135</v>
      </c>
      <c r="L4492" s="1">
        <f>VALUE(3792)</f>
        <v>3792</v>
      </c>
      <c r="M4492" s="1">
        <f>VALUE(4471)</f>
        <v>4471</v>
      </c>
      <c r="N4492" t="s">
        <v>16</v>
      </c>
    </row>
    <row r="4493" spans="1:14" x14ac:dyDescent="0.25">
      <c r="A4493" t="s">
        <v>41</v>
      </c>
      <c r="B4493" t="s">
        <v>40</v>
      </c>
      <c r="C4493" t="s">
        <v>15</v>
      </c>
      <c r="D4493" t="s">
        <v>32</v>
      </c>
      <c r="E4493" t="s">
        <v>23</v>
      </c>
      <c r="F4493" t="s">
        <v>17</v>
      </c>
      <c r="G4493" s="1" t="str">
        <f t="shared" ref="G4493:M4493" si="940">"X"</f>
        <v>X</v>
      </c>
      <c r="H4493" s="1" t="str">
        <f t="shared" si="940"/>
        <v>X</v>
      </c>
      <c r="I4493" s="1" t="str">
        <f t="shared" si="940"/>
        <v>X</v>
      </c>
      <c r="J4493" s="1" t="str">
        <f t="shared" si="940"/>
        <v>X</v>
      </c>
      <c r="K4493" s="1" t="str">
        <f t="shared" si="940"/>
        <v>X</v>
      </c>
      <c r="L4493" s="1" t="str">
        <f t="shared" si="940"/>
        <v>X</v>
      </c>
      <c r="M4493" s="1" t="str">
        <f t="shared" si="940"/>
        <v>X</v>
      </c>
      <c r="N4493" t="s">
        <v>27</v>
      </c>
    </row>
    <row r="4494" spans="1:14" x14ac:dyDescent="0.25">
      <c r="A4494" t="s">
        <v>41</v>
      </c>
      <c r="B4494" t="s">
        <v>40</v>
      </c>
      <c r="C4494" t="s">
        <v>15</v>
      </c>
      <c r="D4494" t="s">
        <v>32</v>
      </c>
      <c r="E4494" t="s">
        <v>23</v>
      </c>
      <c r="F4494" t="s">
        <v>18</v>
      </c>
      <c r="G4494" s="2">
        <f>VALUE(189.739007097)</f>
        <v>189.73900709700001</v>
      </c>
      <c r="H4494" s="3">
        <f>VALUE(160.4233017254)</f>
        <v>160.42330172539999</v>
      </c>
      <c r="I4494" s="1">
        <f>VALUE(2951)</f>
        <v>2951</v>
      </c>
      <c r="J4494" s="1">
        <f>VALUE(3415)</f>
        <v>3415</v>
      </c>
      <c r="K4494" s="1">
        <f>VALUE(4304)</f>
        <v>4304</v>
      </c>
      <c r="L4494" s="1">
        <f>VALUE(5500)</f>
        <v>5500</v>
      </c>
      <c r="M4494" s="1">
        <f>VALUE(6492)</f>
        <v>6492</v>
      </c>
      <c r="N4494" t="s">
        <v>25</v>
      </c>
    </row>
    <row r="4495" spans="1:14" x14ac:dyDescent="0.25">
      <c r="A4495" t="s">
        <v>41</v>
      </c>
      <c r="B4495" t="s">
        <v>40</v>
      </c>
      <c r="C4495" t="s">
        <v>15</v>
      </c>
      <c r="D4495" t="s">
        <v>32</v>
      </c>
      <c r="E4495" t="s">
        <v>23</v>
      </c>
      <c r="F4495" t="s">
        <v>19</v>
      </c>
      <c r="G4495" s="2">
        <f>VALUE(575.6441550881)</f>
        <v>575.64415508809998</v>
      </c>
      <c r="H4495" s="3">
        <f>VALUE(494.6782810732)</f>
        <v>494.67828107320003</v>
      </c>
      <c r="I4495" s="1">
        <f>VALUE(2733)</f>
        <v>2733</v>
      </c>
      <c r="J4495" s="1">
        <f>VALUE(3208)</f>
        <v>3208</v>
      </c>
      <c r="K4495" s="1">
        <f>VALUE(3786)</f>
        <v>3786</v>
      </c>
      <c r="L4495" s="1">
        <f>VALUE(4341)</f>
        <v>4341</v>
      </c>
      <c r="M4495" s="1">
        <f>VALUE(5236)</f>
        <v>5236</v>
      </c>
      <c r="N4495" t="s">
        <v>25</v>
      </c>
    </row>
    <row r="4496" spans="1:14" x14ac:dyDescent="0.25">
      <c r="A4496" t="s">
        <v>41</v>
      </c>
      <c r="B4496" t="s">
        <v>40</v>
      </c>
      <c r="C4496" t="s">
        <v>15</v>
      </c>
      <c r="D4496" t="s">
        <v>32</v>
      </c>
      <c r="E4496" t="s">
        <v>23</v>
      </c>
      <c r="F4496" t="s">
        <v>20</v>
      </c>
      <c r="G4496" s="1">
        <f>VALUE(8469.1099039712)</f>
        <v>8469.1099039712008</v>
      </c>
      <c r="H4496" s="1">
        <f>VALUE(7441.0400046208)</f>
        <v>7441.0400046207997</v>
      </c>
      <c r="I4496" s="1">
        <f>VALUE(2480)</f>
        <v>2480</v>
      </c>
      <c r="J4496" s="1">
        <f>VALUE(2739)</f>
        <v>2739</v>
      </c>
      <c r="K4496" s="1">
        <f>VALUE(3071)</f>
        <v>3071</v>
      </c>
      <c r="L4496" s="1">
        <f>VALUE(3683)</f>
        <v>3683</v>
      </c>
      <c r="M4496" s="1">
        <f>VALUE(4330)</f>
        <v>4330</v>
      </c>
      <c r="N4496" t="s">
        <v>16</v>
      </c>
    </row>
    <row r="4497" spans="1:14" x14ac:dyDescent="0.25">
      <c r="A4497" t="s">
        <v>41</v>
      </c>
      <c r="B4497" t="s">
        <v>40</v>
      </c>
      <c r="C4497" t="s">
        <v>15</v>
      </c>
      <c r="D4497" t="s">
        <v>32</v>
      </c>
      <c r="E4497" t="s">
        <v>26</v>
      </c>
      <c r="F4497" t="s">
        <v>15</v>
      </c>
      <c r="G4497" s="1" t="str">
        <f t="shared" ref="G4497:M4499" si="941">"X"</f>
        <v>X</v>
      </c>
      <c r="H4497" s="1" t="str">
        <f t="shared" si="941"/>
        <v>X</v>
      </c>
      <c r="I4497" s="1" t="str">
        <f t="shared" si="941"/>
        <v>X</v>
      </c>
      <c r="J4497" s="1" t="str">
        <f t="shared" si="941"/>
        <v>X</v>
      </c>
      <c r="K4497" s="1" t="str">
        <f t="shared" si="941"/>
        <v>X</v>
      </c>
      <c r="L4497" s="1" t="str">
        <f t="shared" si="941"/>
        <v>X</v>
      </c>
      <c r="M4497" s="1" t="str">
        <f t="shared" si="941"/>
        <v>X</v>
      </c>
      <c r="N4497" t="s">
        <v>27</v>
      </c>
    </row>
    <row r="4498" spans="1:14" x14ac:dyDescent="0.25">
      <c r="A4498" t="s">
        <v>41</v>
      </c>
      <c r="B4498" t="s">
        <v>40</v>
      </c>
      <c r="C4498" t="s">
        <v>15</v>
      </c>
      <c r="D4498" t="s">
        <v>32</v>
      </c>
      <c r="E4498" t="s">
        <v>26</v>
      </c>
      <c r="F4498" t="s">
        <v>17</v>
      </c>
      <c r="G4498" s="1" t="str">
        <f t="shared" si="941"/>
        <v>X</v>
      </c>
      <c r="H4498" s="1" t="str">
        <f t="shared" si="941"/>
        <v>X</v>
      </c>
      <c r="I4498" s="1" t="str">
        <f t="shared" si="941"/>
        <v>X</v>
      </c>
      <c r="J4498" s="1" t="str">
        <f t="shared" si="941"/>
        <v>X</v>
      </c>
      <c r="K4498" s="1" t="str">
        <f t="shared" si="941"/>
        <v>X</v>
      </c>
      <c r="L4498" s="1" t="str">
        <f t="shared" si="941"/>
        <v>X</v>
      </c>
      <c r="M4498" s="1" t="str">
        <f t="shared" si="941"/>
        <v>X</v>
      </c>
      <c r="N4498" t="s">
        <v>27</v>
      </c>
    </row>
    <row r="4499" spans="1:14" x14ac:dyDescent="0.25">
      <c r="A4499" t="s">
        <v>41</v>
      </c>
      <c r="B4499" t="s">
        <v>40</v>
      </c>
      <c r="C4499" t="s">
        <v>15</v>
      </c>
      <c r="D4499" t="s">
        <v>32</v>
      </c>
      <c r="E4499" t="s">
        <v>26</v>
      </c>
      <c r="F4499" t="s">
        <v>18</v>
      </c>
      <c r="G4499" s="1" t="str">
        <f t="shared" si="941"/>
        <v>X</v>
      </c>
      <c r="H4499" s="1" t="str">
        <f t="shared" si="941"/>
        <v>X</v>
      </c>
      <c r="I4499" s="1" t="str">
        <f t="shared" si="941"/>
        <v>X</v>
      </c>
      <c r="J4499" s="1" t="str">
        <f t="shared" si="941"/>
        <v>X</v>
      </c>
      <c r="K4499" s="1" t="str">
        <f t="shared" si="941"/>
        <v>X</v>
      </c>
      <c r="L4499" s="1" t="str">
        <f t="shared" si="941"/>
        <v>X</v>
      </c>
      <c r="M4499" s="1" t="str">
        <f t="shared" si="941"/>
        <v>X</v>
      </c>
      <c r="N4499" t="s">
        <v>27</v>
      </c>
    </row>
    <row r="4500" spans="1:14" x14ac:dyDescent="0.25">
      <c r="A4500" t="s">
        <v>41</v>
      </c>
      <c r="B4500" t="s">
        <v>40</v>
      </c>
      <c r="C4500" t="s">
        <v>15</v>
      </c>
      <c r="D4500" t="s">
        <v>32</v>
      </c>
      <c r="E4500" t="s">
        <v>26</v>
      </c>
      <c r="F4500" t="s">
        <v>19</v>
      </c>
      <c r="G4500" s="1" t="str">
        <f t="shared" ref="G4500:M4500" si="942">"..."</f>
        <v>...</v>
      </c>
      <c r="H4500" s="1" t="str">
        <f t="shared" si="942"/>
        <v>...</v>
      </c>
      <c r="I4500" s="1" t="str">
        <f t="shared" si="942"/>
        <v>...</v>
      </c>
      <c r="J4500" s="1" t="str">
        <f t="shared" si="942"/>
        <v>...</v>
      </c>
      <c r="K4500" s="1" t="str">
        <f t="shared" si="942"/>
        <v>...</v>
      </c>
      <c r="L4500" s="1" t="str">
        <f t="shared" si="942"/>
        <v>...</v>
      </c>
      <c r="M4500" s="1" t="str">
        <f t="shared" si="942"/>
        <v>...</v>
      </c>
      <c r="N4500" t="s">
        <v>30</v>
      </c>
    </row>
    <row r="4501" spans="1:14" x14ac:dyDescent="0.25">
      <c r="A4501" t="s">
        <v>41</v>
      </c>
      <c r="B4501" t="s">
        <v>40</v>
      </c>
      <c r="C4501" t="s">
        <v>15</v>
      </c>
      <c r="D4501" t="s">
        <v>32</v>
      </c>
      <c r="E4501" t="s">
        <v>26</v>
      </c>
      <c r="F4501" t="s">
        <v>20</v>
      </c>
      <c r="G4501" s="1" t="str">
        <f t="shared" ref="G4501:M4501" si="943">"X"</f>
        <v>X</v>
      </c>
      <c r="H4501" s="1" t="str">
        <f t="shared" si="943"/>
        <v>X</v>
      </c>
      <c r="I4501" s="1" t="str">
        <f t="shared" si="943"/>
        <v>X</v>
      </c>
      <c r="J4501" s="1" t="str">
        <f t="shared" si="943"/>
        <v>X</v>
      </c>
      <c r="K4501" s="1" t="str">
        <f t="shared" si="943"/>
        <v>X</v>
      </c>
      <c r="L4501" s="1" t="str">
        <f t="shared" si="943"/>
        <v>X</v>
      </c>
      <c r="M4501" s="1" t="str">
        <f t="shared" si="943"/>
        <v>X</v>
      </c>
      <c r="N4501" t="s">
        <v>27</v>
      </c>
    </row>
    <row r="4502" spans="1:14" x14ac:dyDescent="0.25">
      <c r="A4502" t="s">
        <v>41</v>
      </c>
      <c r="B4502" t="s">
        <v>40</v>
      </c>
      <c r="C4502" t="s">
        <v>15</v>
      </c>
      <c r="D4502" t="s">
        <v>33</v>
      </c>
      <c r="E4502" t="s">
        <v>15</v>
      </c>
      <c r="F4502" t="s">
        <v>15</v>
      </c>
      <c r="G4502" s="2">
        <f>VALUE(583.2034954769)</f>
        <v>583.2034954769</v>
      </c>
      <c r="H4502" s="3">
        <f>VALUE(474.3253966084)</f>
        <v>474.32539660840001</v>
      </c>
      <c r="I4502" s="4">
        <f>VALUE(2985)</f>
        <v>2985</v>
      </c>
      <c r="J4502" s="1">
        <f>VALUE(3240)</f>
        <v>3240</v>
      </c>
      <c r="K4502" s="6">
        <f>VALUE(3673)</f>
        <v>3673</v>
      </c>
      <c r="L4502" s="7">
        <f>VALUE(5317)</f>
        <v>5317</v>
      </c>
      <c r="M4502" s="1">
        <f>VALUE(7500)</f>
        <v>7500</v>
      </c>
      <c r="N4502" t="s">
        <v>25</v>
      </c>
    </row>
    <row r="4503" spans="1:14" x14ac:dyDescent="0.25">
      <c r="A4503" t="s">
        <v>41</v>
      </c>
      <c r="B4503" t="s">
        <v>40</v>
      </c>
      <c r="C4503" t="s">
        <v>15</v>
      </c>
      <c r="D4503" t="s">
        <v>33</v>
      </c>
      <c r="E4503" t="s">
        <v>15</v>
      </c>
      <c r="F4503" t="s">
        <v>17</v>
      </c>
      <c r="G4503" s="1" t="str">
        <f t="shared" ref="G4503:M4505" si="944">"X"</f>
        <v>X</v>
      </c>
      <c r="H4503" s="1" t="str">
        <f t="shared" si="944"/>
        <v>X</v>
      </c>
      <c r="I4503" s="1" t="str">
        <f t="shared" si="944"/>
        <v>X</v>
      </c>
      <c r="J4503" s="1" t="str">
        <f t="shared" si="944"/>
        <v>X</v>
      </c>
      <c r="K4503" s="1" t="str">
        <f t="shared" si="944"/>
        <v>X</v>
      </c>
      <c r="L4503" s="1" t="str">
        <f t="shared" si="944"/>
        <v>X</v>
      </c>
      <c r="M4503" s="1" t="str">
        <f t="shared" si="944"/>
        <v>X</v>
      </c>
      <c r="N4503" t="s">
        <v>27</v>
      </c>
    </row>
    <row r="4504" spans="1:14" x14ac:dyDescent="0.25">
      <c r="A4504" t="s">
        <v>41</v>
      </c>
      <c r="B4504" t="s">
        <v>40</v>
      </c>
      <c r="C4504" t="s">
        <v>15</v>
      </c>
      <c r="D4504" t="s">
        <v>33</v>
      </c>
      <c r="E4504" t="s">
        <v>15</v>
      </c>
      <c r="F4504" t="s">
        <v>18</v>
      </c>
      <c r="G4504" s="1" t="str">
        <f t="shared" si="944"/>
        <v>X</v>
      </c>
      <c r="H4504" s="1" t="str">
        <f t="shared" si="944"/>
        <v>X</v>
      </c>
      <c r="I4504" s="1" t="str">
        <f t="shared" si="944"/>
        <v>X</v>
      </c>
      <c r="J4504" s="1" t="str">
        <f t="shared" si="944"/>
        <v>X</v>
      </c>
      <c r="K4504" s="1" t="str">
        <f t="shared" si="944"/>
        <v>X</v>
      </c>
      <c r="L4504" s="1" t="str">
        <f t="shared" si="944"/>
        <v>X</v>
      </c>
      <c r="M4504" s="1" t="str">
        <f t="shared" si="944"/>
        <v>X</v>
      </c>
      <c r="N4504" t="s">
        <v>27</v>
      </c>
    </row>
    <row r="4505" spans="1:14" x14ac:dyDescent="0.25">
      <c r="A4505" t="s">
        <v>41</v>
      </c>
      <c r="B4505" t="s">
        <v>40</v>
      </c>
      <c r="C4505" t="s">
        <v>15</v>
      </c>
      <c r="D4505" t="s">
        <v>33</v>
      </c>
      <c r="E4505" t="s">
        <v>15</v>
      </c>
      <c r="F4505" t="s">
        <v>19</v>
      </c>
      <c r="G4505" s="1" t="str">
        <f t="shared" si="944"/>
        <v>X</v>
      </c>
      <c r="H4505" s="1" t="str">
        <f t="shared" si="944"/>
        <v>X</v>
      </c>
      <c r="I4505" s="1" t="str">
        <f t="shared" si="944"/>
        <v>X</v>
      </c>
      <c r="J4505" s="1" t="str">
        <f t="shared" si="944"/>
        <v>X</v>
      </c>
      <c r="K4505" s="1" t="str">
        <f t="shared" si="944"/>
        <v>X</v>
      </c>
      <c r="L4505" s="1" t="str">
        <f t="shared" si="944"/>
        <v>X</v>
      </c>
      <c r="M4505" s="1" t="str">
        <f t="shared" si="944"/>
        <v>X</v>
      </c>
      <c r="N4505" t="s">
        <v>27</v>
      </c>
    </row>
    <row r="4506" spans="1:14" x14ac:dyDescent="0.25">
      <c r="A4506" t="s">
        <v>41</v>
      </c>
      <c r="B4506" t="s">
        <v>40</v>
      </c>
      <c r="C4506" t="s">
        <v>15</v>
      </c>
      <c r="D4506" t="s">
        <v>33</v>
      </c>
      <c r="E4506" t="s">
        <v>15</v>
      </c>
      <c r="F4506" t="s">
        <v>20</v>
      </c>
      <c r="G4506" s="2">
        <f>VALUE(311.374568352)</f>
        <v>311.37456835199998</v>
      </c>
      <c r="H4506" s="3">
        <f>VALUE(278.0543361107)</f>
        <v>278.05433611069998</v>
      </c>
      <c r="I4506" s="4">
        <f>VALUE(2709)</f>
        <v>2709</v>
      </c>
      <c r="J4506" s="1">
        <f>VALUE(3100)</f>
        <v>3100</v>
      </c>
      <c r="K4506" s="6">
        <f>VALUE(3261)</f>
        <v>3261</v>
      </c>
      <c r="L4506" s="7">
        <f>VALUE(3687)</f>
        <v>3687</v>
      </c>
      <c r="M4506" s="8">
        <f>VALUE(4282)</f>
        <v>4282</v>
      </c>
      <c r="N4506" t="s">
        <v>25</v>
      </c>
    </row>
    <row r="4507" spans="1:14" x14ac:dyDescent="0.25">
      <c r="A4507" t="s">
        <v>41</v>
      </c>
      <c r="B4507" t="s">
        <v>40</v>
      </c>
      <c r="C4507" t="s">
        <v>15</v>
      </c>
      <c r="D4507" t="s">
        <v>33</v>
      </c>
      <c r="E4507" t="s">
        <v>21</v>
      </c>
      <c r="F4507" t="s">
        <v>15</v>
      </c>
      <c r="G4507" s="1" t="str">
        <f t="shared" ref="G4507:M4516" si="945">"X"</f>
        <v>X</v>
      </c>
      <c r="H4507" s="1" t="str">
        <f t="shared" si="945"/>
        <v>X</v>
      </c>
      <c r="I4507" s="1" t="str">
        <f t="shared" si="945"/>
        <v>X</v>
      </c>
      <c r="J4507" s="1" t="str">
        <f t="shared" si="945"/>
        <v>X</v>
      </c>
      <c r="K4507" s="1" t="str">
        <f t="shared" si="945"/>
        <v>X</v>
      </c>
      <c r="L4507" s="1" t="str">
        <f t="shared" si="945"/>
        <v>X</v>
      </c>
      <c r="M4507" s="1" t="str">
        <f t="shared" si="945"/>
        <v>X</v>
      </c>
      <c r="N4507" t="s">
        <v>27</v>
      </c>
    </row>
    <row r="4508" spans="1:14" x14ac:dyDescent="0.25">
      <c r="A4508" t="s">
        <v>41</v>
      </c>
      <c r="B4508" t="s">
        <v>40</v>
      </c>
      <c r="C4508" t="s">
        <v>15</v>
      </c>
      <c r="D4508" t="s">
        <v>33</v>
      </c>
      <c r="E4508" t="s">
        <v>21</v>
      </c>
      <c r="F4508" t="s">
        <v>17</v>
      </c>
      <c r="G4508" s="1" t="str">
        <f t="shared" si="945"/>
        <v>X</v>
      </c>
      <c r="H4508" s="1" t="str">
        <f t="shared" si="945"/>
        <v>X</v>
      </c>
      <c r="I4508" s="1" t="str">
        <f t="shared" si="945"/>
        <v>X</v>
      </c>
      <c r="J4508" s="1" t="str">
        <f t="shared" si="945"/>
        <v>X</v>
      </c>
      <c r="K4508" s="1" t="str">
        <f t="shared" si="945"/>
        <v>X</v>
      </c>
      <c r="L4508" s="1" t="str">
        <f t="shared" si="945"/>
        <v>X</v>
      </c>
      <c r="M4508" s="1" t="str">
        <f t="shared" si="945"/>
        <v>X</v>
      </c>
      <c r="N4508" t="s">
        <v>27</v>
      </c>
    </row>
    <row r="4509" spans="1:14" x14ac:dyDescent="0.25">
      <c r="A4509" t="s">
        <v>41</v>
      </c>
      <c r="B4509" t="s">
        <v>40</v>
      </c>
      <c r="C4509" t="s">
        <v>15</v>
      </c>
      <c r="D4509" t="s">
        <v>33</v>
      </c>
      <c r="E4509" t="s">
        <v>21</v>
      </c>
      <c r="F4509" t="s">
        <v>18</v>
      </c>
      <c r="G4509" s="1" t="str">
        <f t="shared" si="945"/>
        <v>X</v>
      </c>
      <c r="H4509" s="1" t="str">
        <f t="shared" si="945"/>
        <v>X</v>
      </c>
      <c r="I4509" s="1" t="str">
        <f t="shared" si="945"/>
        <v>X</v>
      </c>
      <c r="J4509" s="1" t="str">
        <f t="shared" si="945"/>
        <v>X</v>
      </c>
      <c r="K4509" s="1" t="str">
        <f t="shared" si="945"/>
        <v>X</v>
      </c>
      <c r="L4509" s="1" t="str">
        <f t="shared" si="945"/>
        <v>X</v>
      </c>
      <c r="M4509" s="1" t="str">
        <f t="shared" si="945"/>
        <v>X</v>
      </c>
      <c r="N4509" t="s">
        <v>27</v>
      </c>
    </row>
    <row r="4510" spans="1:14" x14ac:dyDescent="0.25">
      <c r="A4510" t="s">
        <v>41</v>
      </c>
      <c r="B4510" t="s">
        <v>40</v>
      </c>
      <c r="C4510" t="s">
        <v>15</v>
      </c>
      <c r="D4510" t="s">
        <v>33</v>
      </c>
      <c r="E4510" t="s">
        <v>21</v>
      </c>
      <c r="F4510" t="s">
        <v>19</v>
      </c>
      <c r="G4510" s="1" t="str">
        <f t="shared" si="945"/>
        <v>X</v>
      </c>
      <c r="H4510" s="1" t="str">
        <f t="shared" si="945"/>
        <v>X</v>
      </c>
      <c r="I4510" s="1" t="str">
        <f t="shared" si="945"/>
        <v>X</v>
      </c>
      <c r="J4510" s="1" t="str">
        <f t="shared" si="945"/>
        <v>X</v>
      </c>
      <c r="K4510" s="1" t="str">
        <f t="shared" si="945"/>
        <v>X</v>
      </c>
      <c r="L4510" s="1" t="str">
        <f t="shared" si="945"/>
        <v>X</v>
      </c>
      <c r="M4510" s="1" t="str">
        <f t="shared" si="945"/>
        <v>X</v>
      </c>
      <c r="N4510" t="s">
        <v>27</v>
      </c>
    </row>
    <row r="4511" spans="1:14" x14ac:dyDescent="0.25">
      <c r="A4511" t="s">
        <v>41</v>
      </c>
      <c r="B4511" t="s">
        <v>40</v>
      </c>
      <c r="C4511" t="s">
        <v>15</v>
      </c>
      <c r="D4511" t="s">
        <v>33</v>
      </c>
      <c r="E4511" t="s">
        <v>21</v>
      </c>
      <c r="F4511" t="s">
        <v>20</v>
      </c>
      <c r="G4511" s="1" t="str">
        <f t="shared" si="945"/>
        <v>X</v>
      </c>
      <c r="H4511" s="1" t="str">
        <f t="shared" si="945"/>
        <v>X</v>
      </c>
      <c r="I4511" s="1" t="str">
        <f t="shared" si="945"/>
        <v>X</v>
      </c>
      <c r="J4511" s="1" t="str">
        <f t="shared" si="945"/>
        <v>X</v>
      </c>
      <c r="K4511" s="1" t="str">
        <f t="shared" si="945"/>
        <v>X</v>
      </c>
      <c r="L4511" s="1" t="str">
        <f t="shared" si="945"/>
        <v>X</v>
      </c>
      <c r="M4511" s="1" t="str">
        <f t="shared" si="945"/>
        <v>X</v>
      </c>
      <c r="N4511" t="s">
        <v>27</v>
      </c>
    </row>
    <row r="4512" spans="1:14" x14ac:dyDescent="0.25">
      <c r="A4512" t="s">
        <v>41</v>
      </c>
      <c r="B4512" t="s">
        <v>40</v>
      </c>
      <c r="C4512" t="s">
        <v>15</v>
      </c>
      <c r="D4512" t="s">
        <v>33</v>
      </c>
      <c r="E4512" t="s">
        <v>22</v>
      </c>
      <c r="F4512" t="s">
        <v>15</v>
      </c>
      <c r="G4512" s="1" t="str">
        <f t="shared" si="945"/>
        <v>X</v>
      </c>
      <c r="H4512" s="1" t="str">
        <f t="shared" si="945"/>
        <v>X</v>
      </c>
      <c r="I4512" s="1" t="str">
        <f t="shared" si="945"/>
        <v>X</v>
      </c>
      <c r="J4512" s="1" t="str">
        <f t="shared" si="945"/>
        <v>X</v>
      </c>
      <c r="K4512" s="1" t="str">
        <f t="shared" si="945"/>
        <v>X</v>
      </c>
      <c r="L4512" s="1" t="str">
        <f t="shared" si="945"/>
        <v>X</v>
      </c>
      <c r="M4512" s="1" t="str">
        <f t="shared" si="945"/>
        <v>X</v>
      </c>
      <c r="N4512" t="s">
        <v>27</v>
      </c>
    </row>
    <row r="4513" spans="1:14" x14ac:dyDescent="0.25">
      <c r="A4513" t="s">
        <v>41</v>
      </c>
      <c r="B4513" t="s">
        <v>40</v>
      </c>
      <c r="C4513" t="s">
        <v>15</v>
      </c>
      <c r="D4513" t="s">
        <v>33</v>
      </c>
      <c r="E4513" t="s">
        <v>22</v>
      </c>
      <c r="F4513" t="s">
        <v>17</v>
      </c>
      <c r="G4513" s="1" t="str">
        <f t="shared" si="945"/>
        <v>X</v>
      </c>
      <c r="H4513" s="1" t="str">
        <f t="shared" si="945"/>
        <v>X</v>
      </c>
      <c r="I4513" s="1" t="str">
        <f t="shared" si="945"/>
        <v>X</v>
      </c>
      <c r="J4513" s="1" t="str">
        <f t="shared" si="945"/>
        <v>X</v>
      </c>
      <c r="K4513" s="1" t="str">
        <f t="shared" si="945"/>
        <v>X</v>
      </c>
      <c r="L4513" s="1" t="str">
        <f t="shared" si="945"/>
        <v>X</v>
      </c>
      <c r="M4513" s="1" t="str">
        <f t="shared" si="945"/>
        <v>X</v>
      </c>
      <c r="N4513" t="s">
        <v>27</v>
      </c>
    </row>
    <row r="4514" spans="1:14" x14ac:dyDescent="0.25">
      <c r="A4514" t="s">
        <v>41</v>
      </c>
      <c r="B4514" t="s">
        <v>40</v>
      </c>
      <c r="C4514" t="s">
        <v>15</v>
      </c>
      <c r="D4514" t="s">
        <v>33</v>
      </c>
      <c r="E4514" t="s">
        <v>22</v>
      </c>
      <c r="F4514" t="s">
        <v>18</v>
      </c>
      <c r="G4514" s="1" t="str">
        <f t="shared" si="945"/>
        <v>X</v>
      </c>
      <c r="H4514" s="1" t="str">
        <f t="shared" si="945"/>
        <v>X</v>
      </c>
      <c r="I4514" s="1" t="str">
        <f t="shared" si="945"/>
        <v>X</v>
      </c>
      <c r="J4514" s="1" t="str">
        <f t="shared" si="945"/>
        <v>X</v>
      </c>
      <c r="K4514" s="1" t="str">
        <f t="shared" si="945"/>
        <v>X</v>
      </c>
      <c r="L4514" s="1" t="str">
        <f t="shared" si="945"/>
        <v>X</v>
      </c>
      <c r="M4514" s="1" t="str">
        <f t="shared" si="945"/>
        <v>X</v>
      </c>
      <c r="N4514" t="s">
        <v>27</v>
      </c>
    </row>
    <row r="4515" spans="1:14" x14ac:dyDescent="0.25">
      <c r="A4515" t="s">
        <v>41</v>
      </c>
      <c r="B4515" t="s">
        <v>40</v>
      </c>
      <c r="C4515" t="s">
        <v>15</v>
      </c>
      <c r="D4515" t="s">
        <v>33</v>
      </c>
      <c r="E4515" t="s">
        <v>22</v>
      </c>
      <c r="F4515" t="s">
        <v>19</v>
      </c>
      <c r="G4515" s="1" t="str">
        <f t="shared" si="945"/>
        <v>X</v>
      </c>
      <c r="H4515" s="1" t="str">
        <f t="shared" si="945"/>
        <v>X</v>
      </c>
      <c r="I4515" s="1" t="str">
        <f t="shared" si="945"/>
        <v>X</v>
      </c>
      <c r="J4515" s="1" t="str">
        <f t="shared" si="945"/>
        <v>X</v>
      </c>
      <c r="K4515" s="1" t="str">
        <f t="shared" si="945"/>
        <v>X</v>
      </c>
      <c r="L4515" s="1" t="str">
        <f t="shared" si="945"/>
        <v>X</v>
      </c>
      <c r="M4515" s="1" t="str">
        <f t="shared" si="945"/>
        <v>X</v>
      </c>
      <c r="N4515" t="s">
        <v>27</v>
      </c>
    </row>
    <row r="4516" spans="1:14" x14ac:dyDescent="0.25">
      <c r="A4516" t="s">
        <v>41</v>
      </c>
      <c r="B4516" t="s">
        <v>40</v>
      </c>
      <c r="C4516" t="s">
        <v>15</v>
      </c>
      <c r="D4516" t="s">
        <v>33</v>
      </c>
      <c r="E4516" t="s">
        <v>22</v>
      </c>
      <c r="F4516" t="s">
        <v>20</v>
      </c>
      <c r="G4516" s="1" t="str">
        <f t="shared" si="945"/>
        <v>X</v>
      </c>
      <c r="H4516" s="1" t="str">
        <f t="shared" si="945"/>
        <v>X</v>
      </c>
      <c r="I4516" s="1" t="str">
        <f t="shared" si="945"/>
        <v>X</v>
      </c>
      <c r="J4516" s="1" t="str">
        <f t="shared" si="945"/>
        <v>X</v>
      </c>
      <c r="K4516" s="1" t="str">
        <f t="shared" si="945"/>
        <v>X</v>
      </c>
      <c r="L4516" s="1" t="str">
        <f t="shared" si="945"/>
        <v>X</v>
      </c>
      <c r="M4516" s="1" t="str">
        <f t="shared" si="945"/>
        <v>X</v>
      </c>
      <c r="N4516" t="s">
        <v>27</v>
      </c>
    </row>
    <row r="4517" spans="1:14" x14ac:dyDescent="0.25">
      <c r="A4517" t="s">
        <v>41</v>
      </c>
      <c r="B4517" t="s">
        <v>40</v>
      </c>
      <c r="C4517" t="s">
        <v>15</v>
      </c>
      <c r="D4517" t="s">
        <v>33</v>
      </c>
      <c r="E4517" t="s">
        <v>23</v>
      </c>
      <c r="F4517" t="s">
        <v>15</v>
      </c>
      <c r="G4517" s="1" t="str">
        <f t="shared" ref="G4517:M4522" si="946">"X"</f>
        <v>X</v>
      </c>
      <c r="H4517" s="1" t="str">
        <f t="shared" si="946"/>
        <v>X</v>
      </c>
      <c r="I4517" s="1" t="str">
        <f t="shared" si="946"/>
        <v>X</v>
      </c>
      <c r="J4517" s="1" t="str">
        <f t="shared" si="946"/>
        <v>X</v>
      </c>
      <c r="K4517" s="1" t="str">
        <f t="shared" si="946"/>
        <v>X</v>
      </c>
      <c r="L4517" s="1" t="str">
        <f t="shared" si="946"/>
        <v>X</v>
      </c>
      <c r="M4517" s="1" t="str">
        <f t="shared" si="946"/>
        <v>X</v>
      </c>
      <c r="N4517" t="s">
        <v>27</v>
      </c>
    </row>
    <row r="4518" spans="1:14" x14ac:dyDescent="0.25">
      <c r="A4518" t="s">
        <v>41</v>
      </c>
      <c r="B4518" t="s">
        <v>40</v>
      </c>
      <c r="C4518" t="s">
        <v>15</v>
      </c>
      <c r="D4518" t="s">
        <v>33</v>
      </c>
      <c r="E4518" t="s">
        <v>23</v>
      </c>
      <c r="F4518" t="s">
        <v>17</v>
      </c>
      <c r="G4518" s="1" t="str">
        <f t="shared" si="946"/>
        <v>X</v>
      </c>
      <c r="H4518" s="1" t="str">
        <f t="shared" si="946"/>
        <v>X</v>
      </c>
      <c r="I4518" s="1" t="str">
        <f t="shared" si="946"/>
        <v>X</v>
      </c>
      <c r="J4518" s="1" t="str">
        <f t="shared" si="946"/>
        <v>X</v>
      </c>
      <c r="K4518" s="1" t="str">
        <f t="shared" si="946"/>
        <v>X</v>
      </c>
      <c r="L4518" s="1" t="str">
        <f t="shared" si="946"/>
        <v>X</v>
      </c>
      <c r="M4518" s="1" t="str">
        <f t="shared" si="946"/>
        <v>X</v>
      </c>
      <c r="N4518" t="s">
        <v>27</v>
      </c>
    </row>
    <row r="4519" spans="1:14" x14ac:dyDescent="0.25">
      <c r="A4519" t="s">
        <v>41</v>
      </c>
      <c r="B4519" t="s">
        <v>40</v>
      </c>
      <c r="C4519" t="s">
        <v>15</v>
      </c>
      <c r="D4519" t="s">
        <v>33</v>
      </c>
      <c r="E4519" t="s">
        <v>23</v>
      </c>
      <c r="F4519" t="s">
        <v>18</v>
      </c>
      <c r="G4519" s="1" t="str">
        <f t="shared" si="946"/>
        <v>X</v>
      </c>
      <c r="H4519" s="1" t="str">
        <f t="shared" si="946"/>
        <v>X</v>
      </c>
      <c r="I4519" s="1" t="str">
        <f t="shared" si="946"/>
        <v>X</v>
      </c>
      <c r="J4519" s="1" t="str">
        <f t="shared" si="946"/>
        <v>X</v>
      </c>
      <c r="K4519" s="1" t="str">
        <f t="shared" si="946"/>
        <v>X</v>
      </c>
      <c r="L4519" s="1" t="str">
        <f t="shared" si="946"/>
        <v>X</v>
      </c>
      <c r="M4519" s="1" t="str">
        <f t="shared" si="946"/>
        <v>X</v>
      </c>
      <c r="N4519" t="s">
        <v>27</v>
      </c>
    </row>
    <row r="4520" spans="1:14" x14ac:dyDescent="0.25">
      <c r="A4520" t="s">
        <v>41</v>
      </c>
      <c r="B4520" t="s">
        <v>40</v>
      </c>
      <c r="C4520" t="s">
        <v>15</v>
      </c>
      <c r="D4520" t="s">
        <v>33</v>
      </c>
      <c r="E4520" t="s">
        <v>23</v>
      </c>
      <c r="F4520" t="s">
        <v>19</v>
      </c>
      <c r="G4520" s="1" t="str">
        <f t="shared" si="946"/>
        <v>X</v>
      </c>
      <c r="H4520" s="1" t="str">
        <f t="shared" si="946"/>
        <v>X</v>
      </c>
      <c r="I4520" s="1" t="str">
        <f t="shared" si="946"/>
        <v>X</v>
      </c>
      <c r="J4520" s="1" t="str">
        <f t="shared" si="946"/>
        <v>X</v>
      </c>
      <c r="K4520" s="1" t="str">
        <f t="shared" si="946"/>
        <v>X</v>
      </c>
      <c r="L4520" s="1" t="str">
        <f t="shared" si="946"/>
        <v>X</v>
      </c>
      <c r="M4520" s="1" t="str">
        <f t="shared" si="946"/>
        <v>X</v>
      </c>
      <c r="N4520" t="s">
        <v>27</v>
      </c>
    </row>
    <row r="4521" spans="1:14" x14ac:dyDescent="0.25">
      <c r="A4521" t="s">
        <v>41</v>
      </c>
      <c r="B4521" t="s">
        <v>40</v>
      </c>
      <c r="C4521" t="s">
        <v>15</v>
      </c>
      <c r="D4521" t="s">
        <v>33</v>
      </c>
      <c r="E4521" t="s">
        <v>23</v>
      </c>
      <c r="F4521" t="s">
        <v>20</v>
      </c>
      <c r="G4521" s="1" t="str">
        <f t="shared" si="946"/>
        <v>X</v>
      </c>
      <c r="H4521" s="1" t="str">
        <f t="shared" si="946"/>
        <v>X</v>
      </c>
      <c r="I4521" s="1" t="str">
        <f t="shared" si="946"/>
        <v>X</v>
      </c>
      <c r="J4521" s="1" t="str">
        <f t="shared" si="946"/>
        <v>X</v>
      </c>
      <c r="K4521" s="1" t="str">
        <f t="shared" si="946"/>
        <v>X</v>
      </c>
      <c r="L4521" s="1" t="str">
        <f t="shared" si="946"/>
        <v>X</v>
      </c>
      <c r="M4521" s="1" t="str">
        <f t="shared" si="946"/>
        <v>X</v>
      </c>
      <c r="N4521" t="s">
        <v>27</v>
      </c>
    </row>
    <row r="4522" spans="1:14" x14ac:dyDescent="0.25">
      <c r="A4522" t="s">
        <v>41</v>
      </c>
      <c r="B4522" t="s">
        <v>40</v>
      </c>
      <c r="C4522" t="s">
        <v>15</v>
      </c>
      <c r="D4522" t="s">
        <v>33</v>
      </c>
      <c r="E4522" t="s">
        <v>26</v>
      </c>
      <c r="F4522" t="s">
        <v>15</v>
      </c>
      <c r="G4522" s="1" t="str">
        <f t="shared" si="946"/>
        <v>X</v>
      </c>
      <c r="H4522" s="1" t="str">
        <f t="shared" si="946"/>
        <v>X</v>
      </c>
      <c r="I4522" s="1" t="str">
        <f t="shared" si="946"/>
        <v>X</v>
      </c>
      <c r="J4522" s="1" t="str">
        <f t="shared" si="946"/>
        <v>X</v>
      </c>
      <c r="K4522" s="1" t="str">
        <f t="shared" si="946"/>
        <v>X</v>
      </c>
      <c r="L4522" s="1" t="str">
        <f t="shared" si="946"/>
        <v>X</v>
      </c>
      <c r="M4522" s="1" t="str">
        <f t="shared" si="946"/>
        <v>X</v>
      </c>
      <c r="N4522" t="s">
        <v>27</v>
      </c>
    </row>
    <row r="4523" spans="1:14" x14ac:dyDescent="0.25">
      <c r="A4523" t="s">
        <v>41</v>
      </c>
      <c r="B4523" t="s">
        <v>40</v>
      </c>
      <c r="C4523" t="s">
        <v>15</v>
      </c>
      <c r="D4523" t="s">
        <v>33</v>
      </c>
      <c r="E4523" t="s">
        <v>26</v>
      </c>
      <c r="F4523" t="s">
        <v>17</v>
      </c>
      <c r="G4523" s="1" t="str">
        <f t="shared" ref="G4523:M4526" si="947">"..."</f>
        <v>...</v>
      </c>
      <c r="H4523" s="1" t="str">
        <f t="shared" si="947"/>
        <v>...</v>
      </c>
      <c r="I4523" s="1" t="str">
        <f t="shared" si="947"/>
        <v>...</v>
      </c>
      <c r="J4523" s="1" t="str">
        <f t="shared" si="947"/>
        <v>...</v>
      </c>
      <c r="K4523" s="1" t="str">
        <f t="shared" si="947"/>
        <v>...</v>
      </c>
      <c r="L4523" s="1" t="str">
        <f t="shared" si="947"/>
        <v>...</v>
      </c>
      <c r="M4523" s="1" t="str">
        <f t="shared" si="947"/>
        <v>...</v>
      </c>
      <c r="N4523" t="s">
        <v>30</v>
      </c>
    </row>
    <row r="4524" spans="1:14" x14ac:dyDescent="0.25">
      <c r="A4524" t="s">
        <v>41</v>
      </c>
      <c r="B4524" t="s">
        <v>40</v>
      </c>
      <c r="C4524" t="s">
        <v>15</v>
      </c>
      <c r="D4524" t="s">
        <v>33</v>
      </c>
      <c r="E4524" t="s">
        <v>26</v>
      </c>
      <c r="F4524" t="s">
        <v>18</v>
      </c>
      <c r="G4524" s="1" t="str">
        <f t="shared" si="947"/>
        <v>...</v>
      </c>
      <c r="H4524" s="1" t="str">
        <f t="shared" si="947"/>
        <v>...</v>
      </c>
      <c r="I4524" s="1" t="str">
        <f t="shared" si="947"/>
        <v>...</v>
      </c>
      <c r="J4524" s="1" t="str">
        <f t="shared" si="947"/>
        <v>...</v>
      </c>
      <c r="K4524" s="1" t="str">
        <f t="shared" si="947"/>
        <v>...</v>
      </c>
      <c r="L4524" s="1" t="str">
        <f t="shared" si="947"/>
        <v>...</v>
      </c>
      <c r="M4524" s="1" t="str">
        <f t="shared" si="947"/>
        <v>...</v>
      </c>
      <c r="N4524" t="s">
        <v>30</v>
      </c>
    </row>
    <row r="4525" spans="1:14" x14ac:dyDescent="0.25">
      <c r="A4525" t="s">
        <v>41</v>
      </c>
      <c r="B4525" t="s">
        <v>40</v>
      </c>
      <c r="C4525" t="s">
        <v>15</v>
      </c>
      <c r="D4525" t="s">
        <v>33</v>
      </c>
      <c r="E4525" t="s">
        <v>26</v>
      </c>
      <c r="F4525" t="s">
        <v>19</v>
      </c>
      <c r="G4525" s="1" t="str">
        <f t="shared" si="947"/>
        <v>...</v>
      </c>
      <c r="H4525" s="1" t="str">
        <f t="shared" si="947"/>
        <v>...</v>
      </c>
      <c r="I4525" s="1" t="str">
        <f t="shared" si="947"/>
        <v>...</v>
      </c>
      <c r="J4525" s="1" t="str">
        <f t="shared" si="947"/>
        <v>...</v>
      </c>
      <c r="K4525" s="1" t="str">
        <f t="shared" si="947"/>
        <v>...</v>
      </c>
      <c r="L4525" s="1" t="str">
        <f t="shared" si="947"/>
        <v>...</v>
      </c>
      <c r="M4525" s="1" t="str">
        <f t="shared" si="947"/>
        <v>...</v>
      </c>
      <c r="N4525" t="s">
        <v>30</v>
      </c>
    </row>
    <row r="4526" spans="1:14" x14ac:dyDescent="0.25">
      <c r="A4526" t="s">
        <v>41</v>
      </c>
      <c r="B4526" t="s">
        <v>40</v>
      </c>
      <c r="C4526" t="s">
        <v>15</v>
      </c>
      <c r="D4526" t="s">
        <v>33</v>
      </c>
      <c r="E4526" t="s">
        <v>26</v>
      </c>
      <c r="F4526" t="s">
        <v>20</v>
      </c>
      <c r="G4526" s="1" t="str">
        <f t="shared" si="947"/>
        <v>...</v>
      </c>
      <c r="H4526" s="1" t="str">
        <f t="shared" si="947"/>
        <v>...</v>
      </c>
      <c r="I4526" s="1" t="str">
        <f t="shared" si="947"/>
        <v>...</v>
      </c>
      <c r="J4526" s="1" t="str">
        <f t="shared" si="947"/>
        <v>...</v>
      </c>
      <c r="K4526" s="1" t="str">
        <f t="shared" si="947"/>
        <v>...</v>
      </c>
      <c r="L4526" s="1" t="str">
        <f t="shared" si="947"/>
        <v>...</v>
      </c>
      <c r="M4526" s="1" t="str">
        <f t="shared" si="947"/>
        <v>...</v>
      </c>
      <c r="N4526" t="s">
        <v>30</v>
      </c>
    </row>
    <row r="4527" spans="1:14" x14ac:dyDescent="0.25">
      <c r="A4527" t="s">
        <v>41</v>
      </c>
      <c r="B4527" t="s">
        <v>40</v>
      </c>
      <c r="C4527" t="s">
        <v>15</v>
      </c>
      <c r="D4527" t="s">
        <v>34</v>
      </c>
      <c r="E4527" t="s">
        <v>15</v>
      </c>
      <c r="F4527" t="s">
        <v>15</v>
      </c>
      <c r="G4527" s="2">
        <f>VALUE(547.352619646)</f>
        <v>547.35261964599999</v>
      </c>
      <c r="H4527" s="3">
        <f>VALUE(452.7205143267)</f>
        <v>452.72051432670003</v>
      </c>
      <c r="I4527" s="4">
        <f>VALUE(2983)</f>
        <v>2983</v>
      </c>
      <c r="J4527" s="5">
        <f>VALUE(3508)</f>
        <v>3508</v>
      </c>
      <c r="K4527" s="1">
        <f>VALUE(4952)</f>
        <v>4952</v>
      </c>
      <c r="L4527" s="1">
        <f>VALUE(6206)</f>
        <v>6206</v>
      </c>
      <c r="M4527" s="1">
        <f>VALUE(8095)</f>
        <v>8095</v>
      </c>
      <c r="N4527" t="s">
        <v>25</v>
      </c>
    </row>
    <row r="4528" spans="1:14" x14ac:dyDescent="0.25">
      <c r="A4528" t="s">
        <v>41</v>
      </c>
      <c r="B4528" t="s">
        <v>40</v>
      </c>
      <c r="C4528" t="s">
        <v>15</v>
      </c>
      <c r="D4528" t="s">
        <v>34</v>
      </c>
      <c r="E4528" t="s">
        <v>15</v>
      </c>
      <c r="F4528" t="s">
        <v>17</v>
      </c>
      <c r="G4528" s="1" t="str">
        <f t="shared" ref="G4528:M4530" si="948">"X"</f>
        <v>X</v>
      </c>
      <c r="H4528" s="1" t="str">
        <f t="shared" si="948"/>
        <v>X</v>
      </c>
      <c r="I4528" s="1" t="str">
        <f t="shared" si="948"/>
        <v>X</v>
      </c>
      <c r="J4528" s="1" t="str">
        <f t="shared" si="948"/>
        <v>X</v>
      </c>
      <c r="K4528" s="1" t="str">
        <f t="shared" si="948"/>
        <v>X</v>
      </c>
      <c r="L4528" s="1" t="str">
        <f t="shared" si="948"/>
        <v>X</v>
      </c>
      <c r="M4528" s="1" t="str">
        <f t="shared" si="948"/>
        <v>X</v>
      </c>
      <c r="N4528" t="s">
        <v>27</v>
      </c>
    </row>
    <row r="4529" spans="1:14" x14ac:dyDescent="0.25">
      <c r="A4529" t="s">
        <v>41</v>
      </c>
      <c r="B4529" t="s">
        <v>40</v>
      </c>
      <c r="C4529" t="s">
        <v>15</v>
      </c>
      <c r="D4529" t="s">
        <v>34</v>
      </c>
      <c r="E4529" t="s">
        <v>15</v>
      </c>
      <c r="F4529" t="s">
        <v>18</v>
      </c>
      <c r="G4529" s="1" t="str">
        <f t="shared" si="948"/>
        <v>X</v>
      </c>
      <c r="H4529" s="1" t="str">
        <f t="shared" si="948"/>
        <v>X</v>
      </c>
      <c r="I4529" s="1" t="str">
        <f t="shared" si="948"/>
        <v>X</v>
      </c>
      <c r="J4529" s="1" t="str">
        <f t="shared" si="948"/>
        <v>X</v>
      </c>
      <c r="K4529" s="1" t="str">
        <f t="shared" si="948"/>
        <v>X</v>
      </c>
      <c r="L4529" s="1" t="str">
        <f t="shared" si="948"/>
        <v>X</v>
      </c>
      <c r="M4529" s="1" t="str">
        <f t="shared" si="948"/>
        <v>X</v>
      </c>
      <c r="N4529" t="s">
        <v>27</v>
      </c>
    </row>
    <row r="4530" spans="1:14" x14ac:dyDescent="0.25">
      <c r="A4530" t="s">
        <v>41</v>
      </c>
      <c r="B4530" t="s">
        <v>40</v>
      </c>
      <c r="C4530" t="s">
        <v>15</v>
      </c>
      <c r="D4530" t="s">
        <v>34</v>
      </c>
      <c r="E4530" t="s">
        <v>15</v>
      </c>
      <c r="F4530" t="s">
        <v>19</v>
      </c>
      <c r="G4530" s="1" t="str">
        <f t="shared" si="948"/>
        <v>X</v>
      </c>
      <c r="H4530" s="1" t="str">
        <f t="shared" si="948"/>
        <v>X</v>
      </c>
      <c r="I4530" s="1" t="str">
        <f t="shared" si="948"/>
        <v>X</v>
      </c>
      <c r="J4530" s="1" t="str">
        <f t="shared" si="948"/>
        <v>X</v>
      </c>
      <c r="K4530" s="1" t="str">
        <f t="shared" si="948"/>
        <v>X</v>
      </c>
      <c r="L4530" s="1" t="str">
        <f t="shared" si="948"/>
        <v>X</v>
      </c>
      <c r="M4530" s="1" t="str">
        <f t="shared" si="948"/>
        <v>X</v>
      </c>
      <c r="N4530" t="s">
        <v>27</v>
      </c>
    </row>
    <row r="4531" spans="1:14" x14ac:dyDescent="0.25">
      <c r="A4531" t="s">
        <v>41</v>
      </c>
      <c r="B4531" t="s">
        <v>40</v>
      </c>
      <c r="C4531" t="s">
        <v>15</v>
      </c>
      <c r="D4531" t="s">
        <v>34</v>
      </c>
      <c r="E4531" t="s">
        <v>15</v>
      </c>
      <c r="F4531" t="s">
        <v>20</v>
      </c>
      <c r="G4531" s="2">
        <f>VALUE(458.5614256029)</f>
        <v>458.56142560289999</v>
      </c>
      <c r="H4531" s="3">
        <f>VALUE(378.3604317086)</f>
        <v>378.3604317086</v>
      </c>
      <c r="I4531" s="4">
        <f>VALUE(2929)</f>
        <v>2929</v>
      </c>
      <c r="J4531" s="5">
        <f>VALUE(3467)</f>
        <v>3467</v>
      </c>
      <c r="K4531" s="6">
        <f>VALUE(4856)</f>
        <v>4856</v>
      </c>
      <c r="L4531" s="1">
        <f>VALUE(5890)</f>
        <v>5890</v>
      </c>
      <c r="M4531" s="1">
        <f>VALUE(7104)</f>
        <v>7104</v>
      </c>
      <c r="N4531" t="s">
        <v>25</v>
      </c>
    </row>
    <row r="4532" spans="1:14" x14ac:dyDescent="0.25">
      <c r="A4532" t="s">
        <v>41</v>
      </c>
      <c r="B4532" t="s">
        <v>40</v>
      </c>
      <c r="C4532" t="s">
        <v>15</v>
      </c>
      <c r="D4532" t="s">
        <v>34</v>
      </c>
      <c r="E4532" t="s">
        <v>21</v>
      </c>
      <c r="F4532" t="s">
        <v>15</v>
      </c>
      <c r="G4532" s="2">
        <f>VALUE(82.4168720823)</f>
        <v>82.416872082300003</v>
      </c>
      <c r="H4532" s="3">
        <f>VALUE(68.344929487)</f>
        <v>68.344929487000002</v>
      </c>
      <c r="I4532" s="1">
        <f>VALUE(4738)</f>
        <v>4738</v>
      </c>
      <c r="J4532" s="1">
        <f>VALUE(5585)</f>
        <v>5585</v>
      </c>
      <c r="K4532" s="1">
        <f>VALUE(6350)</f>
        <v>6350</v>
      </c>
      <c r="L4532" s="1">
        <f>VALUE(8406)</f>
        <v>8406</v>
      </c>
      <c r="M4532" s="1">
        <f>VALUE(9976)</f>
        <v>9976</v>
      </c>
      <c r="N4532" t="s">
        <v>25</v>
      </c>
    </row>
    <row r="4533" spans="1:14" x14ac:dyDescent="0.25">
      <c r="A4533" t="s">
        <v>41</v>
      </c>
      <c r="B4533" t="s">
        <v>40</v>
      </c>
      <c r="C4533" t="s">
        <v>15</v>
      </c>
      <c r="D4533" t="s">
        <v>34</v>
      </c>
      <c r="E4533" t="s">
        <v>21</v>
      </c>
      <c r="F4533" t="s">
        <v>17</v>
      </c>
      <c r="G4533" s="1" t="str">
        <f t="shared" ref="G4533:M4536" si="949">"X"</f>
        <v>X</v>
      </c>
      <c r="H4533" s="1" t="str">
        <f t="shared" si="949"/>
        <v>X</v>
      </c>
      <c r="I4533" s="1" t="str">
        <f t="shared" si="949"/>
        <v>X</v>
      </c>
      <c r="J4533" s="1" t="str">
        <f t="shared" si="949"/>
        <v>X</v>
      </c>
      <c r="K4533" s="1" t="str">
        <f t="shared" si="949"/>
        <v>X</v>
      </c>
      <c r="L4533" s="1" t="str">
        <f t="shared" si="949"/>
        <v>X</v>
      </c>
      <c r="M4533" s="1" t="str">
        <f t="shared" si="949"/>
        <v>X</v>
      </c>
      <c r="N4533" t="s">
        <v>27</v>
      </c>
    </row>
    <row r="4534" spans="1:14" x14ac:dyDescent="0.25">
      <c r="A4534" t="s">
        <v>41</v>
      </c>
      <c r="B4534" t="s">
        <v>40</v>
      </c>
      <c r="C4534" t="s">
        <v>15</v>
      </c>
      <c r="D4534" t="s">
        <v>34</v>
      </c>
      <c r="E4534" t="s">
        <v>21</v>
      </c>
      <c r="F4534" t="s">
        <v>18</v>
      </c>
      <c r="G4534" s="1" t="str">
        <f t="shared" si="949"/>
        <v>X</v>
      </c>
      <c r="H4534" s="1" t="str">
        <f t="shared" si="949"/>
        <v>X</v>
      </c>
      <c r="I4534" s="1" t="str">
        <f t="shared" si="949"/>
        <v>X</v>
      </c>
      <c r="J4534" s="1" t="str">
        <f t="shared" si="949"/>
        <v>X</v>
      </c>
      <c r="K4534" s="1" t="str">
        <f t="shared" si="949"/>
        <v>X</v>
      </c>
      <c r="L4534" s="1" t="str">
        <f t="shared" si="949"/>
        <v>X</v>
      </c>
      <c r="M4534" s="1" t="str">
        <f t="shared" si="949"/>
        <v>X</v>
      </c>
      <c r="N4534" t="s">
        <v>27</v>
      </c>
    </row>
    <row r="4535" spans="1:14" x14ac:dyDescent="0.25">
      <c r="A4535" t="s">
        <v>41</v>
      </c>
      <c r="B4535" t="s">
        <v>40</v>
      </c>
      <c r="C4535" t="s">
        <v>15</v>
      </c>
      <c r="D4535" t="s">
        <v>34</v>
      </c>
      <c r="E4535" t="s">
        <v>21</v>
      </c>
      <c r="F4535" t="s">
        <v>19</v>
      </c>
      <c r="G4535" s="1" t="str">
        <f t="shared" si="949"/>
        <v>X</v>
      </c>
      <c r="H4535" s="1" t="str">
        <f t="shared" si="949"/>
        <v>X</v>
      </c>
      <c r="I4535" s="1" t="str">
        <f t="shared" si="949"/>
        <v>X</v>
      </c>
      <c r="J4535" s="1" t="str">
        <f t="shared" si="949"/>
        <v>X</v>
      </c>
      <c r="K4535" s="1" t="str">
        <f t="shared" si="949"/>
        <v>X</v>
      </c>
      <c r="L4535" s="1" t="str">
        <f t="shared" si="949"/>
        <v>X</v>
      </c>
      <c r="M4535" s="1" t="str">
        <f t="shared" si="949"/>
        <v>X</v>
      </c>
      <c r="N4535" t="s">
        <v>27</v>
      </c>
    </row>
    <row r="4536" spans="1:14" x14ac:dyDescent="0.25">
      <c r="A4536" t="s">
        <v>41</v>
      </c>
      <c r="B4536" t="s">
        <v>40</v>
      </c>
      <c r="C4536" t="s">
        <v>15</v>
      </c>
      <c r="D4536" t="s">
        <v>34</v>
      </c>
      <c r="E4536" t="s">
        <v>21</v>
      </c>
      <c r="F4536" t="s">
        <v>20</v>
      </c>
      <c r="G4536" s="1" t="str">
        <f t="shared" si="949"/>
        <v>X</v>
      </c>
      <c r="H4536" s="1" t="str">
        <f t="shared" si="949"/>
        <v>X</v>
      </c>
      <c r="I4536" s="1" t="str">
        <f t="shared" si="949"/>
        <v>X</v>
      </c>
      <c r="J4536" s="1" t="str">
        <f t="shared" si="949"/>
        <v>X</v>
      </c>
      <c r="K4536" s="1" t="str">
        <f t="shared" si="949"/>
        <v>X</v>
      </c>
      <c r="L4536" s="1" t="str">
        <f t="shared" si="949"/>
        <v>X</v>
      </c>
      <c r="M4536" s="1" t="str">
        <f t="shared" si="949"/>
        <v>X</v>
      </c>
      <c r="N4536" t="s">
        <v>27</v>
      </c>
    </row>
    <row r="4537" spans="1:14" x14ac:dyDescent="0.25">
      <c r="A4537" t="s">
        <v>41</v>
      </c>
      <c r="B4537" t="s">
        <v>40</v>
      </c>
      <c r="C4537" t="s">
        <v>15</v>
      </c>
      <c r="D4537" t="s">
        <v>34</v>
      </c>
      <c r="E4537" t="s">
        <v>22</v>
      </c>
      <c r="F4537" t="s">
        <v>15</v>
      </c>
      <c r="G4537" s="2">
        <f>VALUE(247.3859065042)</f>
        <v>247.38590650419999</v>
      </c>
      <c r="H4537" s="3">
        <f>VALUE(214.3480885636)</f>
        <v>214.34808856359999</v>
      </c>
      <c r="I4537" s="1">
        <f>VALUE(3412)</f>
        <v>3412</v>
      </c>
      <c r="J4537" s="1">
        <f>VALUE(4089)</f>
        <v>4089</v>
      </c>
      <c r="K4537" s="1">
        <f>VALUE(5223)</f>
        <v>5223</v>
      </c>
      <c r="L4537" s="1">
        <f>VALUE(6619)</f>
        <v>6619</v>
      </c>
      <c r="M4537" s="1">
        <f>VALUE(7936)</f>
        <v>7936</v>
      </c>
      <c r="N4537" t="s">
        <v>25</v>
      </c>
    </row>
    <row r="4538" spans="1:14" x14ac:dyDescent="0.25">
      <c r="A4538" t="s">
        <v>41</v>
      </c>
      <c r="B4538" t="s">
        <v>40</v>
      </c>
      <c r="C4538" t="s">
        <v>15</v>
      </c>
      <c r="D4538" t="s">
        <v>34</v>
      </c>
      <c r="E4538" t="s">
        <v>22</v>
      </c>
      <c r="F4538" t="s">
        <v>17</v>
      </c>
      <c r="G4538" s="1" t="str">
        <f t="shared" ref="G4538:M4540" si="950">"X"</f>
        <v>X</v>
      </c>
      <c r="H4538" s="1" t="str">
        <f t="shared" si="950"/>
        <v>X</v>
      </c>
      <c r="I4538" s="1" t="str">
        <f t="shared" si="950"/>
        <v>X</v>
      </c>
      <c r="J4538" s="1" t="str">
        <f t="shared" si="950"/>
        <v>X</v>
      </c>
      <c r="K4538" s="1" t="str">
        <f t="shared" si="950"/>
        <v>X</v>
      </c>
      <c r="L4538" s="1" t="str">
        <f t="shared" si="950"/>
        <v>X</v>
      </c>
      <c r="M4538" s="1" t="str">
        <f t="shared" si="950"/>
        <v>X</v>
      </c>
      <c r="N4538" t="s">
        <v>27</v>
      </c>
    </row>
    <row r="4539" spans="1:14" x14ac:dyDescent="0.25">
      <c r="A4539" t="s">
        <v>41</v>
      </c>
      <c r="B4539" t="s">
        <v>40</v>
      </c>
      <c r="C4539" t="s">
        <v>15</v>
      </c>
      <c r="D4539" t="s">
        <v>34</v>
      </c>
      <c r="E4539" t="s">
        <v>22</v>
      </c>
      <c r="F4539" t="s">
        <v>18</v>
      </c>
      <c r="G4539" s="1" t="str">
        <f t="shared" si="950"/>
        <v>X</v>
      </c>
      <c r="H4539" s="1" t="str">
        <f t="shared" si="950"/>
        <v>X</v>
      </c>
      <c r="I4539" s="1" t="str">
        <f t="shared" si="950"/>
        <v>X</v>
      </c>
      <c r="J4539" s="1" t="str">
        <f t="shared" si="950"/>
        <v>X</v>
      </c>
      <c r="K4539" s="1" t="str">
        <f t="shared" si="950"/>
        <v>X</v>
      </c>
      <c r="L4539" s="1" t="str">
        <f t="shared" si="950"/>
        <v>X</v>
      </c>
      <c r="M4539" s="1" t="str">
        <f t="shared" si="950"/>
        <v>X</v>
      </c>
      <c r="N4539" t="s">
        <v>27</v>
      </c>
    </row>
    <row r="4540" spans="1:14" x14ac:dyDescent="0.25">
      <c r="A4540" t="s">
        <v>41</v>
      </c>
      <c r="B4540" t="s">
        <v>40</v>
      </c>
      <c r="C4540" t="s">
        <v>15</v>
      </c>
      <c r="D4540" t="s">
        <v>34</v>
      </c>
      <c r="E4540" t="s">
        <v>22</v>
      </c>
      <c r="F4540" t="s">
        <v>19</v>
      </c>
      <c r="G4540" s="1" t="str">
        <f t="shared" si="950"/>
        <v>X</v>
      </c>
      <c r="H4540" s="1" t="str">
        <f t="shared" si="950"/>
        <v>X</v>
      </c>
      <c r="I4540" s="1" t="str">
        <f t="shared" si="950"/>
        <v>X</v>
      </c>
      <c r="J4540" s="1" t="str">
        <f t="shared" si="950"/>
        <v>X</v>
      </c>
      <c r="K4540" s="1" t="str">
        <f t="shared" si="950"/>
        <v>X</v>
      </c>
      <c r="L4540" s="1" t="str">
        <f t="shared" si="950"/>
        <v>X</v>
      </c>
      <c r="M4540" s="1" t="str">
        <f t="shared" si="950"/>
        <v>X</v>
      </c>
      <c r="N4540" t="s">
        <v>27</v>
      </c>
    </row>
    <row r="4541" spans="1:14" x14ac:dyDescent="0.25">
      <c r="A4541" t="s">
        <v>41</v>
      </c>
      <c r="B4541" t="s">
        <v>40</v>
      </c>
      <c r="C4541" t="s">
        <v>15</v>
      </c>
      <c r="D4541" t="s">
        <v>34</v>
      </c>
      <c r="E4541" t="s">
        <v>22</v>
      </c>
      <c r="F4541" t="s">
        <v>20</v>
      </c>
      <c r="G4541" s="2">
        <f>VALUE(214.2369138663)</f>
        <v>214.2369138663</v>
      </c>
      <c r="H4541" s="3">
        <f>VALUE(187.2793785964)</f>
        <v>187.27937859639999</v>
      </c>
      <c r="I4541" s="1">
        <f>VALUE(3412)</f>
        <v>3412</v>
      </c>
      <c r="J4541" s="5">
        <f>VALUE(3508)</f>
        <v>3508</v>
      </c>
      <c r="K4541" s="1">
        <f>VALUE(5214)</f>
        <v>5214</v>
      </c>
      <c r="L4541" s="1">
        <f>VALUE(6131)</f>
        <v>6131</v>
      </c>
      <c r="M4541" s="1">
        <f>VALUE(7222)</f>
        <v>7222</v>
      </c>
      <c r="N4541" t="s">
        <v>25</v>
      </c>
    </row>
    <row r="4542" spans="1:14" x14ac:dyDescent="0.25">
      <c r="A4542" t="s">
        <v>41</v>
      </c>
      <c r="B4542" t="s">
        <v>40</v>
      </c>
      <c r="C4542" t="s">
        <v>15</v>
      </c>
      <c r="D4542" t="s">
        <v>34</v>
      </c>
      <c r="E4542" t="s">
        <v>23</v>
      </c>
      <c r="F4542" t="s">
        <v>15</v>
      </c>
      <c r="G4542" s="2">
        <f>VALUE(214.6277781619)</f>
        <v>214.62777816190001</v>
      </c>
      <c r="H4542" s="3">
        <f>VALUE(167.2661468379)</f>
        <v>167.26614683790001</v>
      </c>
      <c r="I4542" s="1">
        <f>VALUE(2791)</f>
        <v>2791</v>
      </c>
      <c r="J4542" s="1">
        <f>VALUE(2979)</f>
        <v>2979</v>
      </c>
      <c r="K4542" s="6">
        <f>VALUE(3813)</f>
        <v>3813</v>
      </c>
      <c r="L4542" s="1">
        <f>VALUE(4901)</f>
        <v>4901</v>
      </c>
      <c r="M4542" s="1">
        <f>VALUE(5674)</f>
        <v>5674</v>
      </c>
      <c r="N4542" t="s">
        <v>25</v>
      </c>
    </row>
    <row r="4543" spans="1:14" x14ac:dyDescent="0.25">
      <c r="A4543" t="s">
        <v>41</v>
      </c>
      <c r="B4543" t="s">
        <v>40</v>
      </c>
      <c r="C4543" t="s">
        <v>15</v>
      </c>
      <c r="D4543" t="s">
        <v>34</v>
      </c>
      <c r="E4543" t="s">
        <v>23</v>
      </c>
      <c r="F4543" t="s">
        <v>17</v>
      </c>
      <c r="G4543" s="1" t="str">
        <f t="shared" ref="G4543:M4543" si="951">"X"</f>
        <v>X</v>
      </c>
      <c r="H4543" s="1" t="str">
        <f t="shared" si="951"/>
        <v>X</v>
      </c>
      <c r="I4543" s="1" t="str">
        <f t="shared" si="951"/>
        <v>X</v>
      </c>
      <c r="J4543" s="1" t="str">
        <f t="shared" si="951"/>
        <v>X</v>
      </c>
      <c r="K4543" s="1" t="str">
        <f t="shared" si="951"/>
        <v>X</v>
      </c>
      <c r="L4543" s="1" t="str">
        <f t="shared" si="951"/>
        <v>X</v>
      </c>
      <c r="M4543" s="1" t="str">
        <f t="shared" si="951"/>
        <v>X</v>
      </c>
      <c r="N4543" t="s">
        <v>27</v>
      </c>
    </row>
    <row r="4544" spans="1:14" x14ac:dyDescent="0.25">
      <c r="A4544" t="s">
        <v>41</v>
      </c>
      <c r="B4544" t="s">
        <v>40</v>
      </c>
      <c r="C4544" t="s">
        <v>15</v>
      </c>
      <c r="D4544" t="s">
        <v>34</v>
      </c>
      <c r="E4544" t="s">
        <v>23</v>
      </c>
      <c r="F4544" t="s">
        <v>18</v>
      </c>
      <c r="G4544" s="1" t="str">
        <f t="shared" ref="G4544:M4544" si="952">"..."</f>
        <v>...</v>
      </c>
      <c r="H4544" s="1" t="str">
        <f t="shared" si="952"/>
        <v>...</v>
      </c>
      <c r="I4544" s="1" t="str">
        <f t="shared" si="952"/>
        <v>...</v>
      </c>
      <c r="J4544" s="1" t="str">
        <f t="shared" si="952"/>
        <v>...</v>
      </c>
      <c r="K4544" s="1" t="str">
        <f t="shared" si="952"/>
        <v>...</v>
      </c>
      <c r="L4544" s="1" t="str">
        <f t="shared" si="952"/>
        <v>...</v>
      </c>
      <c r="M4544" s="1" t="str">
        <f t="shared" si="952"/>
        <v>...</v>
      </c>
      <c r="N4544" t="s">
        <v>30</v>
      </c>
    </row>
    <row r="4545" spans="1:14" x14ac:dyDescent="0.25">
      <c r="A4545" t="s">
        <v>41</v>
      </c>
      <c r="B4545" t="s">
        <v>40</v>
      </c>
      <c r="C4545" t="s">
        <v>15</v>
      </c>
      <c r="D4545" t="s">
        <v>34</v>
      </c>
      <c r="E4545" t="s">
        <v>23</v>
      </c>
      <c r="F4545" t="s">
        <v>19</v>
      </c>
      <c r="G4545" s="1" t="str">
        <f t="shared" ref="G4545:M4545" si="953">"X"</f>
        <v>X</v>
      </c>
      <c r="H4545" s="1" t="str">
        <f t="shared" si="953"/>
        <v>X</v>
      </c>
      <c r="I4545" s="1" t="str">
        <f t="shared" si="953"/>
        <v>X</v>
      </c>
      <c r="J4545" s="1" t="str">
        <f t="shared" si="953"/>
        <v>X</v>
      </c>
      <c r="K4545" s="1" t="str">
        <f t="shared" si="953"/>
        <v>X</v>
      </c>
      <c r="L4545" s="1" t="str">
        <f t="shared" si="953"/>
        <v>X</v>
      </c>
      <c r="M4545" s="1" t="str">
        <f t="shared" si="953"/>
        <v>X</v>
      </c>
      <c r="N4545" t="s">
        <v>27</v>
      </c>
    </row>
    <row r="4546" spans="1:14" x14ac:dyDescent="0.25">
      <c r="A4546" t="s">
        <v>41</v>
      </c>
      <c r="B4546" t="s">
        <v>40</v>
      </c>
      <c r="C4546" t="s">
        <v>15</v>
      </c>
      <c r="D4546" t="s">
        <v>34</v>
      </c>
      <c r="E4546" t="s">
        <v>23</v>
      </c>
      <c r="F4546" t="s">
        <v>20</v>
      </c>
      <c r="G4546" s="2">
        <f>VALUE(192.346575323)</f>
        <v>192.346575323</v>
      </c>
      <c r="H4546" s="3">
        <f>VALUE(147.8667655617)</f>
        <v>147.86676556169999</v>
      </c>
      <c r="I4546" s="1">
        <f>VALUE(2793)</f>
        <v>2793</v>
      </c>
      <c r="J4546" s="1">
        <f>VALUE(2929)</f>
        <v>2929</v>
      </c>
      <c r="K4546" s="1">
        <f>VALUE(3755)</f>
        <v>3755</v>
      </c>
      <c r="L4546" s="1">
        <f>VALUE(4901)</f>
        <v>4901</v>
      </c>
      <c r="M4546" s="1">
        <f>VALUE(5650)</f>
        <v>5650</v>
      </c>
      <c r="N4546" t="s">
        <v>25</v>
      </c>
    </row>
    <row r="4547" spans="1:14" x14ac:dyDescent="0.25">
      <c r="A4547" t="s">
        <v>41</v>
      </c>
      <c r="B4547" t="s">
        <v>40</v>
      </c>
      <c r="C4547" t="s">
        <v>15</v>
      </c>
      <c r="D4547" t="s">
        <v>34</v>
      </c>
      <c r="E4547" t="s">
        <v>26</v>
      </c>
      <c r="F4547" t="s">
        <v>15</v>
      </c>
      <c r="G4547" s="1" t="str">
        <f t="shared" ref="G4547:M4547" si="954">"X"</f>
        <v>X</v>
      </c>
      <c r="H4547" s="1" t="str">
        <f t="shared" si="954"/>
        <v>X</v>
      </c>
      <c r="I4547" s="1" t="str">
        <f t="shared" si="954"/>
        <v>X</v>
      </c>
      <c r="J4547" s="1" t="str">
        <f t="shared" si="954"/>
        <v>X</v>
      </c>
      <c r="K4547" s="1" t="str">
        <f t="shared" si="954"/>
        <v>X</v>
      </c>
      <c r="L4547" s="1" t="str">
        <f t="shared" si="954"/>
        <v>X</v>
      </c>
      <c r="M4547" s="1" t="str">
        <f t="shared" si="954"/>
        <v>X</v>
      </c>
      <c r="N4547" t="s">
        <v>27</v>
      </c>
    </row>
    <row r="4548" spans="1:14" x14ac:dyDescent="0.25">
      <c r="A4548" t="s">
        <v>41</v>
      </c>
      <c r="B4548" t="s">
        <v>40</v>
      </c>
      <c r="C4548" t="s">
        <v>15</v>
      </c>
      <c r="D4548" t="s">
        <v>34</v>
      </c>
      <c r="E4548" t="s">
        <v>26</v>
      </c>
      <c r="F4548" t="s">
        <v>17</v>
      </c>
      <c r="G4548" s="1" t="str">
        <f t="shared" ref="G4548:M4550" si="955">"..."</f>
        <v>...</v>
      </c>
      <c r="H4548" s="1" t="str">
        <f t="shared" si="955"/>
        <v>...</v>
      </c>
      <c r="I4548" s="1" t="str">
        <f t="shared" si="955"/>
        <v>...</v>
      </c>
      <c r="J4548" s="1" t="str">
        <f t="shared" si="955"/>
        <v>...</v>
      </c>
      <c r="K4548" s="1" t="str">
        <f t="shared" si="955"/>
        <v>...</v>
      </c>
      <c r="L4548" s="1" t="str">
        <f t="shared" si="955"/>
        <v>...</v>
      </c>
      <c r="M4548" s="1" t="str">
        <f t="shared" si="955"/>
        <v>...</v>
      </c>
      <c r="N4548" t="s">
        <v>30</v>
      </c>
    </row>
    <row r="4549" spans="1:14" x14ac:dyDescent="0.25">
      <c r="A4549" t="s">
        <v>41</v>
      </c>
      <c r="B4549" t="s">
        <v>40</v>
      </c>
      <c r="C4549" t="s">
        <v>15</v>
      </c>
      <c r="D4549" t="s">
        <v>34</v>
      </c>
      <c r="E4549" t="s">
        <v>26</v>
      </c>
      <c r="F4549" t="s">
        <v>18</v>
      </c>
      <c r="G4549" s="1" t="str">
        <f t="shared" si="955"/>
        <v>...</v>
      </c>
      <c r="H4549" s="1" t="str">
        <f t="shared" si="955"/>
        <v>...</v>
      </c>
      <c r="I4549" s="1" t="str">
        <f t="shared" si="955"/>
        <v>...</v>
      </c>
      <c r="J4549" s="1" t="str">
        <f t="shared" si="955"/>
        <v>...</v>
      </c>
      <c r="K4549" s="1" t="str">
        <f t="shared" si="955"/>
        <v>...</v>
      </c>
      <c r="L4549" s="1" t="str">
        <f t="shared" si="955"/>
        <v>...</v>
      </c>
      <c r="M4549" s="1" t="str">
        <f t="shared" si="955"/>
        <v>...</v>
      </c>
      <c r="N4549" t="s">
        <v>30</v>
      </c>
    </row>
    <row r="4550" spans="1:14" x14ac:dyDescent="0.25">
      <c r="A4550" t="s">
        <v>41</v>
      </c>
      <c r="B4550" t="s">
        <v>40</v>
      </c>
      <c r="C4550" t="s">
        <v>15</v>
      </c>
      <c r="D4550" t="s">
        <v>34</v>
      </c>
      <c r="E4550" t="s">
        <v>26</v>
      </c>
      <c r="F4550" t="s">
        <v>19</v>
      </c>
      <c r="G4550" s="1" t="str">
        <f t="shared" si="955"/>
        <v>...</v>
      </c>
      <c r="H4550" s="1" t="str">
        <f t="shared" si="955"/>
        <v>...</v>
      </c>
      <c r="I4550" s="1" t="str">
        <f t="shared" si="955"/>
        <v>...</v>
      </c>
      <c r="J4550" s="1" t="str">
        <f t="shared" si="955"/>
        <v>...</v>
      </c>
      <c r="K4550" s="1" t="str">
        <f t="shared" si="955"/>
        <v>...</v>
      </c>
      <c r="L4550" s="1" t="str">
        <f t="shared" si="955"/>
        <v>...</v>
      </c>
      <c r="M4550" s="1" t="str">
        <f t="shared" si="955"/>
        <v>...</v>
      </c>
      <c r="N4550" t="s">
        <v>30</v>
      </c>
    </row>
    <row r="4551" spans="1:14" x14ac:dyDescent="0.25">
      <c r="A4551" t="s">
        <v>41</v>
      </c>
      <c r="B4551" t="s">
        <v>40</v>
      </c>
      <c r="C4551" t="s">
        <v>15</v>
      </c>
      <c r="D4551" t="s">
        <v>34</v>
      </c>
      <c r="E4551" t="s">
        <v>26</v>
      </c>
      <c r="F4551" t="s">
        <v>20</v>
      </c>
      <c r="G4551" s="1" t="str">
        <f t="shared" ref="G4551:M4551" si="956">"X"</f>
        <v>X</v>
      </c>
      <c r="H4551" s="1" t="str">
        <f t="shared" si="956"/>
        <v>X</v>
      </c>
      <c r="I4551" s="1" t="str">
        <f t="shared" si="956"/>
        <v>X</v>
      </c>
      <c r="J4551" s="1" t="str">
        <f t="shared" si="956"/>
        <v>X</v>
      </c>
      <c r="K4551" s="1" t="str">
        <f t="shared" si="956"/>
        <v>X</v>
      </c>
      <c r="L4551" s="1" t="str">
        <f t="shared" si="956"/>
        <v>X</v>
      </c>
      <c r="M4551" s="1" t="str">
        <f t="shared" si="956"/>
        <v>X</v>
      </c>
      <c r="N4551" t="s">
        <v>27</v>
      </c>
    </row>
    <row r="4552" spans="1:14" x14ac:dyDescent="0.25">
      <c r="A4552" t="s">
        <v>41</v>
      </c>
      <c r="B4552" t="s">
        <v>40</v>
      </c>
      <c r="C4552" t="s">
        <v>35</v>
      </c>
      <c r="D4552" t="s">
        <v>15</v>
      </c>
      <c r="E4552" t="s">
        <v>15</v>
      </c>
      <c r="F4552" t="s">
        <v>15</v>
      </c>
      <c r="G4552" s="1">
        <f>VALUE(3111.4885548075)</f>
        <v>3111.4885548074999</v>
      </c>
      <c r="H4552" s="1">
        <f>VALUE(2693.8277710223)</f>
        <v>2693.8277710223001</v>
      </c>
      <c r="I4552" s="1">
        <f>VALUE(2660)</f>
        <v>2660</v>
      </c>
      <c r="J4552" s="1">
        <f>VALUE(2979)</f>
        <v>2979</v>
      </c>
      <c r="K4552" s="1">
        <f>VALUE(3482)</f>
        <v>3482</v>
      </c>
      <c r="L4552" s="1">
        <f>VALUE(4048)</f>
        <v>4048</v>
      </c>
      <c r="M4552" s="1">
        <f>VALUE(4641)</f>
        <v>4641</v>
      </c>
      <c r="N4552" t="s">
        <v>16</v>
      </c>
    </row>
    <row r="4553" spans="1:14" x14ac:dyDescent="0.25">
      <c r="A4553" t="s">
        <v>41</v>
      </c>
      <c r="B4553" t="s">
        <v>40</v>
      </c>
      <c r="C4553" t="s">
        <v>35</v>
      </c>
      <c r="D4553" t="s">
        <v>15</v>
      </c>
      <c r="E4553" t="s">
        <v>15</v>
      </c>
      <c r="F4553" t="s">
        <v>17</v>
      </c>
      <c r="G4553" s="1" t="str">
        <f t="shared" ref="G4553:M4553" si="957">"X"</f>
        <v>X</v>
      </c>
      <c r="H4553" s="1" t="str">
        <f t="shared" si="957"/>
        <v>X</v>
      </c>
      <c r="I4553" s="1" t="str">
        <f t="shared" si="957"/>
        <v>X</v>
      </c>
      <c r="J4553" s="1" t="str">
        <f t="shared" si="957"/>
        <v>X</v>
      </c>
      <c r="K4553" s="1" t="str">
        <f t="shared" si="957"/>
        <v>X</v>
      </c>
      <c r="L4553" s="1" t="str">
        <f t="shared" si="957"/>
        <v>X</v>
      </c>
      <c r="M4553" s="1" t="str">
        <f t="shared" si="957"/>
        <v>X</v>
      </c>
      <c r="N4553" t="s">
        <v>27</v>
      </c>
    </row>
    <row r="4554" spans="1:14" x14ac:dyDescent="0.25">
      <c r="A4554" t="s">
        <v>41</v>
      </c>
      <c r="B4554" t="s">
        <v>40</v>
      </c>
      <c r="C4554" t="s">
        <v>35</v>
      </c>
      <c r="D4554" t="s">
        <v>15</v>
      </c>
      <c r="E4554" t="s">
        <v>15</v>
      </c>
      <c r="F4554" t="s">
        <v>18</v>
      </c>
      <c r="G4554" s="2">
        <f>VALUE(169.5537950845)</f>
        <v>169.5537950845</v>
      </c>
      <c r="H4554" s="3">
        <f>VALUE(154.6962208154)</f>
        <v>154.69622081540001</v>
      </c>
      <c r="I4554" s="4">
        <f>VALUE(2844)</f>
        <v>2844</v>
      </c>
      <c r="J4554" s="5">
        <f>VALUE(3475)</f>
        <v>3475</v>
      </c>
      <c r="K4554" s="1">
        <f>VALUE(3645)</f>
        <v>3645</v>
      </c>
      <c r="L4554" s="1">
        <f>VALUE(4362)</f>
        <v>4362</v>
      </c>
      <c r="M4554" s="1">
        <f>VALUE(5179)</f>
        <v>5179</v>
      </c>
      <c r="N4554" t="s">
        <v>25</v>
      </c>
    </row>
    <row r="4555" spans="1:14" x14ac:dyDescent="0.25">
      <c r="A4555" t="s">
        <v>41</v>
      </c>
      <c r="B4555" t="s">
        <v>40</v>
      </c>
      <c r="C4555" t="s">
        <v>35</v>
      </c>
      <c r="D4555" t="s">
        <v>15</v>
      </c>
      <c r="E4555" t="s">
        <v>15</v>
      </c>
      <c r="F4555" t="s">
        <v>19</v>
      </c>
      <c r="G4555" s="2">
        <f>VALUE(325.0040928478)</f>
        <v>325.0040928478</v>
      </c>
      <c r="H4555" s="3">
        <f>VALUE(292.5790867589)</f>
        <v>292.57908675890002</v>
      </c>
      <c r="I4555" s="4">
        <f>VALUE(3048)</f>
        <v>3048</v>
      </c>
      <c r="J4555" s="1">
        <f>VALUE(3250)</f>
        <v>3250</v>
      </c>
      <c r="K4555" s="1">
        <f>VALUE(3828)</f>
        <v>3828</v>
      </c>
      <c r="L4555" s="1">
        <f>VALUE(4085)</f>
        <v>4085</v>
      </c>
      <c r="M4555" s="1">
        <f>VALUE(4705)</f>
        <v>4705</v>
      </c>
      <c r="N4555" t="s">
        <v>25</v>
      </c>
    </row>
    <row r="4556" spans="1:14" x14ac:dyDescent="0.25">
      <c r="A4556" t="s">
        <v>41</v>
      </c>
      <c r="B4556" t="s">
        <v>40</v>
      </c>
      <c r="C4556" t="s">
        <v>35</v>
      </c>
      <c r="D4556" t="s">
        <v>15</v>
      </c>
      <c r="E4556" t="s">
        <v>15</v>
      </c>
      <c r="F4556" t="s">
        <v>20</v>
      </c>
      <c r="G4556" s="1">
        <f>VALUE(2503.1465297)</f>
        <v>2503.1465297</v>
      </c>
      <c r="H4556" s="1">
        <f>VALUE(2144.7176259153)</f>
        <v>2144.7176259152998</v>
      </c>
      <c r="I4556" s="1">
        <f>VALUE(2636)</f>
        <v>2636</v>
      </c>
      <c r="J4556" s="1">
        <f>VALUE(2888)</f>
        <v>2888</v>
      </c>
      <c r="K4556" s="1">
        <f>VALUE(3365)</f>
        <v>3365</v>
      </c>
      <c r="L4556" s="1">
        <f>VALUE(3985)</f>
        <v>3985</v>
      </c>
      <c r="M4556" s="1">
        <f>VALUE(4547)</f>
        <v>4547</v>
      </c>
      <c r="N4556" t="s">
        <v>16</v>
      </c>
    </row>
    <row r="4557" spans="1:14" x14ac:dyDescent="0.25">
      <c r="A4557" t="s">
        <v>41</v>
      </c>
      <c r="B4557" t="s">
        <v>40</v>
      </c>
      <c r="C4557" t="s">
        <v>35</v>
      </c>
      <c r="D4557" t="s">
        <v>15</v>
      </c>
      <c r="E4557" t="s">
        <v>21</v>
      </c>
      <c r="F4557" t="s">
        <v>15</v>
      </c>
      <c r="G4557" s="2">
        <f>VALUE(415.112432176)</f>
        <v>415.11243217600003</v>
      </c>
      <c r="H4557" s="3">
        <f>VALUE(353.3746687252)</f>
        <v>353.37466872520002</v>
      </c>
      <c r="I4557" s="4">
        <f>VALUE(2857)</f>
        <v>2857</v>
      </c>
      <c r="J4557" s="1">
        <f>VALUE(3250)</f>
        <v>3250</v>
      </c>
      <c r="K4557" s="1">
        <f>VALUE(3660)</f>
        <v>3660</v>
      </c>
      <c r="L4557" s="1">
        <f>VALUE(4351)</f>
        <v>4351</v>
      </c>
      <c r="M4557" s="8">
        <f>VALUE(5283)</f>
        <v>5283</v>
      </c>
      <c r="N4557" t="s">
        <v>25</v>
      </c>
    </row>
    <row r="4558" spans="1:14" x14ac:dyDescent="0.25">
      <c r="A4558" t="s">
        <v>41</v>
      </c>
      <c r="B4558" t="s">
        <v>40</v>
      </c>
      <c r="C4558" t="s">
        <v>35</v>
      </c>
      <c r="D4558" t="s">
        <v>15</v>
      </c>
      <c r="E4558" t="s">
        <v>21</v>
      </c>
      <c r="F4558" t="s">
        <v>17</v>
      </c>
      <c r="G4558" s="1" t="str">
        <f t="shared" ref="G4558:M4560" si="958">"X"</f>
        <v>X</v>
      </c>
      <c r="H4558" s="1" t="str">
        <f t="shared" si="958"/>
        <v>X</v>
      </c>
      <c r="I4558" s="1" t="str">
        <f t="shared" si="958"/>
        <v>X</v>
      </c>
      <c r="J4558" s="1" t="str">
        <f t="shared" si="958"/>
        <v>X</v>
      </c>
      <c r="K4558" s="1" t="str">
        <f t="shared" si="958"/>
        <v>X</v>
      </c>
      <c r="L4558" s="1" t="str">
        <f t="shared" si="958"/>
        <v>X</v>
      </c>
      <c r="M4558" s="1" t="str">
        <f t="shared" si="958"/>
        <v>X</v>
      </c>
      <c r="N4558" t="s">
        <v>27</v>
      </c>
    </row>
    <row r="4559" spans="1:14" x14ac:dyDescent="0.25">
      <c r="A4559" t="s">
        <v>41</v>
      </c>
      <c r="B4559" t="s">
        <v>40</v>
      </c>
      <c r="C4559" t="s">
        <v>35</v>
      </c>
      <c r="D4559" t="s">
        <v>15</v>
      </c>
      <c r="E4559" t="s">
        <v>21</v>
      </c>
      <c r="F4559" t="s">
        <v>18</v>
      </c>
      <c r="G4559" s="1" t="str">
        <f t="shared" si="958"/>
        <v>X</v>
      </c>
      <c r="H4559" s="1" t="str">
        <f t="shared" si="958"/>
        <v>X</v>
      </c>
      <c r="I4559" s="1" t="str">
        <f t="shared" si="958"/>
        <v>X</v>
      </c>
      <c r="J4559" s="1" t="str">
        <f t="shared" si="958"/>
        <v>X</v>
      </c>
      <c r="K4559" s="1" t="str">
        <f t="shared" si="958"/>
        <v>X</v>
      </c>
      <c r="L4559" s="1" t="str">
        <f t="shared" si="958"/>
        <v>X</v>
      </c>
      <c r="M4559" s="1" t="str">
        <f t="shared" si="958"/>
        <v>X</v>
      </c>
      <c r="N4559" t="s">
        <v>27</v>
      </c>
    </row>
    <row r="4560" spans="1:14" x14ac:dyDescent="0.25">
      <c r="A4560" t="s">
        <v>41</v>
      </c>
      <c r="B4560" t="s">
        <v>40</v>
      </c>
      <c r="C4560" t="s">
        <v>35</v>
      </c>
      <c r="D4560" t="s">
        <v>15</v>
      </c>
      <c r="E4560" t="s">
        <v>21</v>
      </c>
      <c r="F4560" t="s">
        <v>19</v>
      </c>
      <c r="G4560" s="1" t="str">
        <f t="shared" si="958"/>
        <v>X</v>
      </c>
      <c r="H4560" s="1" t="str">
        <f t="shared" si="958"/>
        <v>X</v>
      </c>
      <c r="I4560" s="1" t="str">
        <f t="shared" si="958"/>
        <v>X</v>
      </c>
      <c r="J4560" s="1" t="str">
        <f t="shared" si="958"/>
        <v>X</v>
      </c>
      <c r="K4560" s="1" t="str">
        <f t="shared" si="958"/>
        <v>X</v>
      </c>
      <c r="L4560" s="1" t="str">
        <f t="shared" si="958"/>
        <v>X</v>
      </c>
      <c r="M4560" s="1" t="str">
        <f t="shared" si="958"/>
        <v>X</v>
      </c>
      <c r="N4560" t="s">
        <v>27</v>
      </c>
    </row>
    <row r="4561" spans="1:14" x14ac:dyDescent="0.25">
      <c r="A4561" t="s">
        <v>41</v>
      </c>
      <c r="B4561" t="s">
        <v>40</v>
      </c>
      <c r="C4561" t="s">
        <v>35</v>
      </c>
      <c r="D4561" t="s">
        <v>15</v>
      </c>
      <c r="E4561" t="s">
        <v>21</v>
      </c>
      <c r="F4561" t="s">
        <v>20</v>
      </c>
      <c r="G4561" s="2">
        <f>VALUE(244.3719194285)</f>
        <v>244.37191942850001</v>
      </c>
      <c r="H4561" s="3">
        <f>VALUE(210.7085695995)</f>
        <v>210.70856959950001</v>
      </c>
      <c r="I4561" s="4">
        <f>VALUE(2520)</f>
        <v>2520</v>
      </c>
      <c r="J4561" s="5">
        <f>VALUE(3250)</f>
        <v>3250</v>
      </c>
      <c r="K4561" s="1">
        <f>VALUE(3619)</f>
        <v>3619</v>
      </c>
      <c r="L4561" s="1">
        <f>VALUE(4127)</f>
        <v>4127</v>
      </c>
      <c r="M4561" s="8">
        <f>VALUE(4588)</f>
        <v>4588</v>
      </c>
      <c r="N4561" t="s">
        <v>25</v>
      </c>
    </row>
    <row r="4562" spans="1:14" x14ac:dyDescent="0.25">
      <c r="A4562" t="s">
        <v>41</v>
      </c>
      <c r="B4562" t="s">
        <v>40</v>
      </c>
      <c r="C4562" t="s">
        <v>35</v>
      </c>
      <c r="D4562" t="s">
        <v>15</v>
      </c>
      <c r="E4562" t="s">
        <v>22</v>
      </c>
      <c r="F4562" t="s">
        <v>15</v>
      </c>
      <c r="G4562" s="2">
        <f>VALUE(1454.0995128591)</f>
        <v>1454.0995128591001</v>
      </c>
      <c r="H4562" s="3">
        <f>VALUE(1318.7731517424)</f>
        <v>1318.7731517423999</v>
      </c>
      <c r="I4562" s="1">
        <f>VALUE(2824)</f>
        <v>2824</v>
      </c>
      <c r="J4562" s="1">
        <f>VALUE(3250)</f>
        <v>3250</v>
      </c>
      <c r="K4562" s="1">
        <f>VALUE(3705)</f>
        <v>3705</v>
      </c>
      <c r="L4562" s="1">
        <f>VALUE(4247)</f>
        <v>4247</v>
      </c>
      <c r="M4562" s="1">
        <f>VALUE(4767)</f>
        <v>4767</v>
      </c>
      <c r="N4562" t="s">
        <v>25</v>
      </c>
    </row>
    <row r="4563" spans="1:14" x14ac:dyDescent="0.25">
      <c r="A4563" t="s">
        <v>41</v>
      </c>
      <c r="B4563" t="s">
        <v>40</v>
      </c>
      <c r="C4563" t="s">
        <v>35</v>
      </c>
      <c r="D4563" t="s">
        <v>15</v>
      </c>
      <c r="E4563" t="s">
        <v>22</v>
      </c>
      <c r="F4563" t="s">
        <v>17</v>
      </c>
      <c r="G4563" s="1" t="str">
        <f t="shared" ref="G4563:M4564" si="959">"X"</f>
        <v>X</v>
      </c>
      <c r="H4563" s="1" t="str">
        <f t="shared" si="959"/>
        <v>X</v>
      </c>
      <c r="I4563" s="1" t="str">
        <f t="shared" si="959"/>
        <v>X</v>
      </c>
      <c r="J4563" s="1" t="str">
        <f t="shared" si="959"/>
        <v>X</v>
      </c>
      <c r="K4563" s="1" t="str">
        <f t="shared" si="959"/>
        <v>X</v>
      </c>
      <c r="L4563" s="1" t="str">
        <f t="shared" si="959"/>
        <v>X</v>
      </c>
      <c r="M4563" s="1" t="str">
        <f t="shared" si="959"/>
        <v>X</v>
      </c>
      <c r="N4563" t="s">
        <v>27</v>
      </c>
    </row>
    <row r="4564" spans="1:14" x14ac:dyDescent="0.25">
      <c r="A4564" t="s">
        <v>41</v>
      </c>
      <c r="B4564" t="s">
        <v>40</v>
      </c>
      <c r="C4564" t="s">
        <v>35</v>
      </c>
      <c r="D4564" t="s">
        <v>15</v>
      </c>
      <c r="E4564" t="s">
        <v>22</v>
      </c>
      <c r="F4564" t="s">
        <v>18</v>
      </c>
      <c r="G4564" s="1" t="str">
        <f t="shared" si="959"/>
        <v>X</v>
      </c>
      <c r="H4564" s="1" t="str">
        <f t="shared" si="959"/>
        <v>X</v>
      </c>
      <c r="I4564" s="1" t="str">
        <f t="shared" si="959"/>
        <v>X</v>
      </c>
      <c r="J4564" s="1" t="str">
        <f t="shared" si="959"/>
        <v>X</v>
      </c>
      <c r="K4564" s="1" t="str">
        <f t="shared" si="959"/>
        <v>X</v>
      </c>
      <c r="L4564" s="1" t="str">
        <f t="shared" si="959"/>
        <v>X</v>
      </c>
      <c r="M4564" s="1" t="str">
        <f t="shared" si="959"/>
        <v>X</v>
      </c>
      <c r="N4564" t="s">
        <v>27</v>
      </c>
    </row>
    <row r="4565" spans="1:14" x14ac:dyDescent="0.25">
      <c r="A4565" t="s">
        <v>41</v>
      </c>
      <c r="B4565" t="s">
        <v>40</v>
      </c>
      <c r="C4565" t="s">
        <v>35</v>
      </c>
      <c r="D4565" t="s">
        <v>15</v>
      </c>
      <c r="E4565" t="s">
        <v>22</v>
      </c>
      <c r="F4565" t="s">
        <v>19</v>
      </c>
      <c r="G4565" s="2">
        <f>VALUE(224.057333492)</f>
        <v>224.057333492</v>
      </c>
      <c r="H4565" s="3">
        <f>VALUE(211.6141052879)</f>
        <v>211.6141052879</v>
      </c>
      <c r="I4565" s="4">
        <f>VALUE(3235)</f>
        <v>3235</v>
      </c>
      <c r="J4565" s="1">
        <f>VALUE(3302)</f>
        <v>3302</v>
      </c>
      <c r="K4565" s="1">
        <f>VALUE(3832)</f>
        <v>3832</v>
      </c>
      <c r="L4565" s="1">
        <f>VALUE(4085)</f>
        <v>4085</v>
      </c>
      <c r="M4565" s="1">
        <f>VALUE(4642)</f>
        <v>4642</v>
      </c>
      <c r="N4565" t="s">
        <v>25</v>
      </c>
    </row>
    <row r="4566" spans="1:14" x14ac:dyDescent="0.25">
      <c r="A4566" t="s">
        <v>41</v>
      </c>
      <c r="B4566" t="s">
        <v>40</v>
      </c>
      <c r="C4566" t="s">
        <v>35</v>
      </c>
      <c r="D4566" t="s">
        <v>15</v>
      </c>
      <c r="E4566" t="s">
        <v>22</v>
      </c>
      <c r="F4566" t="s">
        <v>20</v>
      </c>
      <c r="G4566" s="2">
        <f>VALUE(1083.4148024004)</f>
        <v>1083.4148024004</v>
      </c>
      <c r="H4566" s="3">
        <f>VALUE(964.9227994519)</f>
        <v>964.9227994519</v>
      </c>
      <c r="I4566" s="1">
        <f>VALUE(2746)</f>
        <v>2746</v>
      </c>
      <c r="J4566" s="1">
        <f>VALUE(3200)</f>
        <v>3200</v>
      </c>
      <c r="K4566" s="1">
        <f>VALUE(3685)</f>
        <v>3685</v>
      </c>
      <c r="L4566" s="1">
        <f>VALUE(4247)</f>
        <v>4247</v>
      </c>
      <c r="M4566" s="1">
        <f>VALUE(4774)</f>
        <v>4774</v>
      </c>
      <c r="N4566" t="s">
        <v>25</v>
      </c>
    </row>
    <row r="4567" spans="1:14" x14ac:dyDescent="0.25">
      <c r="A4567" t="s">
        <v>41</v>
      </c>
      <c r="B4567" t="s">
        <v>40</v>
      </c>
      <c r="C4567" t="s">
        <v>35</v>
      </c>
      <c r="D4567" t="s">
        <v>15</v>
      </c>
      <c r="E4567" t="s">
        <v>23</v>
      </c>
      <c r="F4567" t="s">
        <v>15</v>
      </c>
      <c r="G4567" s="2">
        <f>VALUE(1201.4350222024)</f>
        <v>1201.4350222024</v>
      </c>
      <c r="H4567" s="3">
        <f>VALUE(979.4918109594)</f>
        <v>979.49181095940003</v>
      </c>
      <c r="I4567" s="1">
        <f>VALUE(2521)</f>
        <v>2521</v>
      </c>
      <c r="J4567" s="1">
        <f>VALUE(2776)</f>
        <v>2776</v>
      </c>
      <c r="K4567" s="1">
        <f>VALUE(3065)</f>
        <v>3065</v>
      </c>
      <c r="L4567" s="1">
        <f>VALUE(3410)</f>
        <v>3410</v>
      </c>
      <c r="M4567" s="1">
        <f>VALUE(3967)</f>
        <v>3967</v>
      </c>
      <c r="N4567" t="s">
        <v>25</v>
      </c>
    </row>
    <row r="4568" spans="1:14" x14ac:dyDescent="0.25">
      <c r="A4568" t="s">
        <v>41</v>
      </c>
      <c r="B4568" t="s">
        <v>40</v>
      </c>
      <c r="C4568" t="s">
        <v>35</v>
      </c>
      <c r="D4568" t="s">
        <v>15</v>
      </c>
      <c r="E4568" t="s">
        <v>23</v>
      </c>
      <c r="F4568" t="s">
        <v>17</v>
      </c>
      <c r="G4568" s="1" t="str">
        <f t="shared" ref="G4568:M4568" si="960">"..."</f>
        <v>...</v>
      </c>
      <c r="H4568" s="1" t="str">
        <f t="shared" si="960"/>
        <v>...</v>
      </c>
      <c r="I4568" s="1" t="str">
        <f t="shared" si="960"/>
        <v>...</v>
      </c>
      <c r="J4568" s="1" t="str">
        <f t="shared" si="960"/>
        <v>...</v>
      </c>
      <c r="K4568" s="1" t="str">
        <f t="shared" si="960"/>
        <v>...</v>
      </c>
      <c r="L4568" s="1" t="str">
        <f t="shared" si="960"/>
        <v>...</v>
      </c>
      <c r="M4568" s="1" t="str">
        <f t="shared" si="960"/>
        <v>...</v>
      </c>
      <c r="N4568" t="s">
        <v>30</v>
      </c>
    </row>
    <row r="4569" spans="1:14" x14ac:dyDescent="0.25">
      <c r="A4569" t="s">
        <v>41</v>
      </c>
      <c r="B4569" t="s">
        <v>40</v>
      </c>
      <c r="C4569" t="s">
        <v>35</v>
      </c>
      <c r="D4569" t="s">
        <v>15</v>
      </c>
      <c r="E4569" t="s">
        <v>23</v>
      </c>
      <c r="F4569" t="s">
        <v>18</v>
      </c>
      <c r="G4569" s="1" t="str">
        <f t="shared" ref="G4569:M4570" si="961">"X"</f>
        <v>X</v>
      </c>
      <c r="H4569" s="1" t="str">
        <f t="shared" si="961"/>
        <v>X</v>
      </c>
      <c r="I4569" s="1" t="str">
        <f t="shared" si="961"/>
        <v>X</v>
      </c>
      <c r="J4569" s="1" t="str">
        <f t="shared" si="961"/>
        <v>X</v>
      </c>
      <c r="K4569" s="1" t="str">
        <f t="shared" si="961"/>
        <v>X</v>
      </c>
      <c r="L4569" s="1" t="str">
        <f t="shared" si="961"/>
        <v>X</v>
      </c>
      <c r="M4569" s="1" t="str">
        <f t="shared" si="961"/>
        <v>X</v>
      </c>
      <c r="N4569" t="s">
        <v>27</v>
      </c>
    </row>
    <row r="4570" spans="1:14" x14ac:dyDescent="0.25">
      <c r="A4570" t="s">
        <v>41</v>
      </c>
      <c r="B4570" t="s">
        <v>40</v>
      </c>
      <c r="C4570" t="s">
        <v>35</v>
      </c>
      <c r="D4570" t="s">
        <v>15</v>
      </c>
      <c r="E4570" t="s">
        <v>23</v>
      </c>
      <c r="F4570" t="s">
        <v>19</v>
      </c>
      <c r="G4570" s="1" t="str">
        <f t="shared" si="961"/>
        <v>X</v>
      </c>
      <c r="H4570" s="1" t="str">
        <f t="shared" si="961"/>
        <v>X</v>
      </c>
      <c r="I4570" s="1" t="str">
        <f t="shared" si="961"/>
        <v>X</v>
      </c>
      <c r="J4570" s="1" t="str">
        <f t="shared" si="961"/>
        <v>X</v>
      </c>
      <c r="K4570" s="1" t="str">
        <f t="shared" si="961"/>
        <v>X</v>
      </c>
      <c r="L4570" s="1" t="str">
        <f t="shared" si="961"/>
        <v>X</v>
      </c>
      <c r="M4570" s="1" t="str">
        <f t="shared" si="961"/>
        <v>X</v>
      </c>
      <c r="N4570" t="s">
        <v>27</v>
      </c>
    </row>
    <row r="4571" spans="1:14" x14ac:dyDescent="0.25">
      <c r="A4571" t="s">
        <v>41</v>
      </c>
      <c r="B4571" t="s">
        <v>40</v>
      </c>
      <c r="C4571" t="s">
        <v>35</v>
      </c>
      <c r="D4571" t="s">
        <v>15</v>
      </c>
      <c r="E4571" t="s">
        <v>23</v>
      </c>
      <c r="F4571" t="s">
        <v>20</v>
      </c>
      <c r="G4571" s="2">
        <f>VALUE(1140.423215515)</f>
        <v>1140.423215515</v>
      </c>
      <c r="H4571" s="3">
        <f>VALUE(932.7915456389)</f>
        <v>932.79154563889995</v>
      </c>
      <c r="I4571" s="1">
        <f>VALUE(2514)</f>
        <v>2514</v>
      </c>
      <c r="J4571" s="1">
        <f>VALUE(2772)</f>
        <v>2772</v>
      </c>
      <c r="K4571" s="1">
        <f>VALUE(3058)</f>
        <v>3058</v>
      </c>
      <c r="L4571" s="1">
        <f>VALUE(3377)</f>
        <v>3377</v>
      </c>
      <c r="M4571" s="1">
        <f>VALUE(3930)</f>
        <v>3930</v>
      </c>
      <c r="N4571" t="s">
        <v>25</v>
      </c>
    </row>
    <row r="4572" spans="1:14" x14ac:dyDescent="0.25">
      <c r="A4572" t="s">
        <v>41</v>
      </c>
      <c r="B4572" t="s">
        <v>40</v>
      </c>
      <c r="C4572" t="s">
        <v>35</v>
      </c>
      <c r="D4572" t="s">
        <v>15</v>
      </c>
      <c r="E4572" t="s">
        <v>26</v>
      </c>
      <c r="F4572" t="s">
        <v>15</v>
      </c>
      <c r="G4572" s="1" t="str">
        <f t="shared" ref="G4572:M4572" si="962">"X"</f>
        <v>X</v>
      </c>
      <c r="H4572" s="1" t="str">
        <f t="shared" si="962"/>
        <v>X</v>
      </c>
      <c r="I4572" s="1" t="str">
        <f t="shared" si="962"/>
        <v>X</v>
      </c>
      <c r="J4572" s="1" t="str">
        <f t="shared" si="962"/>
        <v>X</v>
      </c>
      <c r="K4572" s="1" t="str">
        <f t="shared" si="962"/>
        <v>X</v>
      </c>
      <c r="L4572" s="1" t="str">
        <f t="shared" si="962"/>
        <v>X</v>
      </c>
      <c r="M4572" s="1" t="str">
        <f t="shared" si="962"/>
        <v>X</v>
      </c>
      <c r="N4572" t="s">
        <v>27</v>
      </c>
    </row>
    <row r="4573" spans="1:14" x14ac:dyDescent="0.25">
      <c r="A4573" t="s">
        <v>41</v>
      </c>
      <c r="B4573" t="s">
        <v>40</v>
      </c>
      <c r="C4573" t="s">
        <v>35</v>
      </c>
      <c r="D4573" t="s">
        <v>15</v>
      </c>
      <c r="E4573" t="s">
        <v>26</v>
      </c>
      <c r="F4573" t="s">
        <v>17</v>
      </c>
      <c r="G4573" s="1" t="str">
        <f t="shared" ref="G4573:M4573" si="963">"..."</f>
        <v>...</v>
      </c>
      <c r="H4573" s="1" t="str">
        <f t="shared" si="963"/>
        <v>...</v>
      </c>
      <c r="I4573" s="1" t="str">
        <f t="shared" si="963"/>
        <v>...</v>
      </c>
      <c r="J4573" s="1" t="str">
        <f t="shared" si="963"/>
        <v>...</v>
      </c>
      <c r="K4573" s="1" t="str">
        <f t="shared" si="963"/>
        <v>...</v>
      </c>
      <c r="L4573" s="1" t="str">
        <f t="shared" si="963"/>
        <v>...</v>
      </c>
      <c r="M4573" s="1" t="str">
        <f t="shared" si="963"/>
        <v>...</v>
      </c>
      <c r="N4573" t="s">
        <v>30</v>
      </c>
    </row>
    <row r="4574" spans="1:14" x14ac:dyDescent="0.25">
      <c r="A4574" t="s">
        <v>41</v>
      </c>
      <c r="B4574" t="s">
        <v>40</v>
      </c>
      <c r="C4574" t="s">
        <v>35</v>
      </c>
      <c r="D4574" t="s">
        <v>15</v>
      </c>
      <c r="E4574" t="s">
        <v>26</v>
      </c>
      <c r="F4574" t="s">
        <v>18</v>
      </c>
      <c r="G4574" s="1" t="str">
        <f t="shared" ref="G4574:M4574" si="964">"X"</f>
        <v>X</v>
      </c>
      <c r="H4574" s="1" t="str">
        <f t="shared" si="964"/>
        <v>X</v>
      </c>
      <c r="I4574" s="1" t="str">
        <f t="shared" si="964"/>
        <v>X</v>
      </c>
      <c r="J4574" s="1" t="str">
        <f t="shared" si="964"/>
        <v>X</v>
      </c>
      <c r="K4574" s="1" t="str">
        <f t="shared" si="964"/>
        <v>X</v>
      </c>
      <c r="L4574" s="1" t="str">
        <f t="shared" si="964"/>
        <v>X</v>
      </c>
      <c r="M4574" s="1" t="str">
        <f t="shared" si="964"/>
        <v>X</v>
      </c>
      <c r="N4574" t="s">
        <v>27</v>
      </c>
    </row>
    <row r="4575" spans="1:14" x14ac:dyDescent="0.25">
      <c r="A4575" t="s">
        <v>41</v>
      </c>
      <c r="B4575" t="s">
        <v>40</v>
      </c>
      <c r="C4575" t="s">
        <v>35</v>
      </c>
      <c r="D4575" t="s">
        <v>15</v>
      </c>
      <c r="E4575" t="s">
        <v>26</v>
      </c>
      <c r="F4575" t="s">
        <v>19</v>
      </c>
      <c r="G4575" s="1" t="str">
        <f t="shared" ref="G4575:M4575" si="965">"..."</f>
        <v>...</v>
      </c>
      <c r="H4575" s="1" t="str">
        <f t="shared" si="965"/>
        <v>...</v>
      </c>
      <c r="I4575" s="1" t="str">
        <f t="shared" si="965"/>
        <v>...</v>
      </c>
      <c r="J4575" s="1" t="str">
        <f t="shared" si="965"/>
        <v>...</v>
      </c>
      <c r="K4575" s="1" t="str">
        <f t="shared" si="965"/>
        <v>...</v>
      </c>
      <c r="L4575" s="1" t="str">
        <f t="shared" si="965"/>
        <v>...</v>
      </c>
      <c r="M4575" s="1" t="str">
        <f t="shared" si="965"/>
        <v>...</v>
      </c>
      <c r="N4575" t="s">
        <v>30</v>
      </c>
    </row>
    <row r="4576" spans="1:14" x14ac:dyDescent="0.25">
      <c r="A4576" t="s">
        <v>41</v>
      </c>
      <c r="B4576" t="s">
        <v>40</v>
      </c>
      <c r="C4576" t="s">
        <v>35</v>
      </c>
      <c r="D4576" t="s">
        <v>15</v>
      </c>
      <c r="E4576" t="s">
        <v>26</v>
      </c>
      <c r="F4576" t="s">
        <v>20</v>
      </c>
      <c r="G4576" s="1" t="str">
        <f t="shared" ref="G4576:M4576" si="966">"X"</f>
        <v>X</v>
      </c>
      <c r="H4576" s="1" t="str">
        <f t="shared" si="966"/>
        <v>X</v>
      </c>
      <c r="I4576" s="1" t="str">
        <f t="shared" si="966"/>
        <v>X</v>
      </c>
      <c r="J4576" s="1" t="str">
        <f t="shared" si="966"/>
        <v>X</v>
      </c>
      <c r="K4576" s="1" t="str">
        <f t="shared" si="966"/>
        <v>X</v>
      </c>
      <c r="L4576" s="1" t="str">
        <f t="shared" si="966"/>
        <v>X</v>
      </c>
      <c r="M4576" s="1" t="str">
        <f t="shared" si="966"/>
        <v>X</v>
      </c>
      <c r="N4576" t="s">
        <v>27</v>
      </c>
    </row>
    <row r="4577" spans="1:14" x14ac:dyDescent="0.25">
      <c r="A4577" t="s">
        <v>41</v>
      </c>
      <c r="B4577" t="s">
        <v>40</v>
      </c>
      <c r="C4577" t="s">
        <v>35</v>
      </c>
      <c r="D4577" t="s">
        <v>28</v>
      </c>
      <c r="E4577" t="s">
        <v>15</v>
      </c>
      <c r="F4577" t="s">
        <v>15</v>
      </c>
      <c r="G4577" s="2">
        <f>VALUE(1590.4915536237)</f>
        <v>1590.4915536236999</v>
      </c>
      <c r="H4577" s="3">
        <f>VALUE(1365.0602216465)</f>
        <v>1365.0602216464999</v>
      </c>
      <c r="I4577" s="1">
        <f>VALUE(2844)</f>
        <v>2844</v>
      </c>
      <c r="J4577" s="1">
        <f>VALUE(3296)</f>
        <v>3296</v>
      </c>
      <c r="K4577" s="1">
        <f>VALUE(3805)</f>
        <v>3805</v>
      </c>
      <c r="L4577" s="1">
        <f>VALUE(4304)</f>
        <v>4304</v>
      </c>
      <c r="M4577" s="1">
        <f>VALUE(4920)</f>
        <v>4920</v>
      </c>
      <c r="N4577" t="s">
        <v>25</v>
      </c>
    </row>
    <row r="4578" spans="1:14" x14ac:dyDescent="0.25">
      <c r="A4578" t="s">
        <v>41</v>
      </c>
      <c r="B4578" t="s">
        <v>40</v>
      </c>
      <c r="C4578" t="s">
        <v>35</v>
      </c>
      <c r="D4578" t="s">
        <v>28</v>
      </c>
      <c r="E4578" t="s">
        <v>15</v>
      </c>
      <c r="F4578" t="s">
        <v>17</v>
      </c>
      <c r="G4578" s="1" t="str">
        <f t="shared" ref="G4578:M4579" si="967">"X"</f>
        <v>X</v>
      </c>
      <c r="H4578" s="1" t="str">
        <f t="shared" si="967"/>
        <v>X</v>
      </c>
      <c r="I4578" s="1" t="str">
        <f t="shared" si="967"/>
        <v>X</v>
      </c>
      <c r="J4578" s="1" t="str">
        <f t="shared" si="967"/>
        <v>X</v>
      </c>
      <c r="K4578" s="1" t="str">
        <f t="shared" si="967"/>
        <v>X</v>
      </c>
      <c r="L4578" s="1" t="str">
        <f t="shared" si="967"/>
        <v>X</v>
      </c>
      <c r="M4578" s="1" t="str">
        <f t="shared" si="967"/>
        <v>X</v>
      </c>
      <c r="N4578" t="s">
        <v>27</v>
      </c>
    </row>
    <row r="4579" spans="1:14" x14ac:dyDescent="0.25">
      <c r="A4579" t="s">
        <v>41</v>
      </c>
      <c r="B4579" t="s">
        <v>40</v>
      </c>
      <c r="C4579" t="s">
        <v>35</v>
      </c>
      <c r="D4579" t="s">
        <v>28</v>
      </c>
      <c r="E4579" t="s">
        <v>15</v>
      </c>
      <c r="F4579" t="s">
        <v>18</v>
      </c>
      <c r="G4579" s="1" t="str">
        <f t="shared" si="967"/>
        <v>X</v>
      </c>
      <c r="H4579" s="1" t="str">
        <f t="shared" si="967"/>
        <v>X</v>
      </c>
      <c r="I4579" s="1" t="str">
        <f t="shared" si="967"/>
        <v>X</v>
      </c>
      <c r="J4579" s="1" t="str">
        <f t="shared" si="967"/>
        <v>X</v>
      </c>
      <c r="K4579" s="1" t="str">
        <f t="shared" si="967"/>
        <v>X</v>
      </c>
      <c r="L4579" s="1" t="str">
        <f t="shared" si="967"/>
        <v>X</v>
      </c>
      <c r="M4579" s="1" t="str">
        <f t="shared" si="967"/>
        <v>X</v>
      </c>
      <c r="N4579" t="s">
        <v>27</v>
      </c>
    </row>
    <row r="4580" spans="1:14" x14ac:dyDescent="0.25">
      <c r="A4580" t="s">
        <v>41</v>
      </c>
      <c r="B4580" t="s">
        <v>40</v>
      </c>
      <c r="C4580" t="s">
        <v>35</v>
      </c>
      <c r="D4580" t="s">
        <v>28</v>
      </c>
      <c r="E4580" t="s">
        <v>15</v>
      </c>
      <c r="F4580" t="s">
        <v>19</v>
      </c>
      <c r="G4580" s="2">
        <f>VALUE(230.6503445507)</f>
        <v>230.6503445507</v>
      </c>
      <c r="H4580" s="3">
        <f>VALUE(209.1820711029)</f>
        <v>209.18207110290001</v>
      </c>
      <c r="I4580" s="4">
        <f>VALUE(3235)</f>
        <v>3235</v>
      </c>
      <c r="J4580" s="1">
        <f>VALUE(3458)</f>
        <v>3458</v>
      </c>
      <c r="K4580" s="1">
        <f>VALUE(3900)</f>
        <v>3900</v>
      </c>
      <c r="L4580" s="1">
        <f>VALUE(4290)</f>
        <v>4290</v>
      </c>
      <c r="M4580" s="8">
        <f>VALUE(4788)</f>
        <v>4788</v>
      </c>
      <c r="N4580" t="s">
        <v>25</v>
      </c>
    </row>
    <row r="4581" spans="1:14" x14ac:dyDescent="0.25">
      <c r="A4581" t="s">
        <v>41</v>
      </c>
      <c r="B4581" t="s">
        <v>40</v>
      </c>
      <c r="C4581" t="s">
        <v>35</v>
      </c>
      <c r="D4581" t="s">
        <v>28</v>
      </c>
      <c r="E4581" t="s">
        <v>15</v>
      </c>
      <c r="F4581" t="s">
        <v>20</v>
      </c>
      <c r="G4581" s="2">
        <f>VALUE(1122.6302419789)</f>
        <v>1122.6302419788999</v>
      </c>
      <c r="H4581" s="3">
        <f>VALUE(944.9435185422)</f>
        <v>944.94351854219997</v>
      </c>
      <c r="I4581" s="1">
        <f>VALUE(2844)</f>
        <v>2844</v>
      </c>
      <c r="J4581" s="1">
        <f>VALUE(3277)</f>
        <v>3277</v>
      </c>
      <c r="K4581" s="1">
        <f>VALUE(3805)</f>
        <v>3805</v>
      </c>
      <c r="L4581" s="1">
        <f>VALUE(4282)</f>
        <v>4282</v>
      </c>
      <c r="M4581" s="1">
        <f>VALUE(4841)</f>
        <v>4841</v>
      </c>
      <c r="N4581" t="s">
        <v>25</v>
      </c>
    </row>
    <row r="4582" spans="1:14" x14ac:dyDescent="0.25">
      <c r="A4582" t="s">
        <v>41</v>
      </c>
      <c r="B4582" t="s">
        <v>40</v>
      </c>
      <c r="C4582" t="s">
        <v>35</v>
      </c>
      <c r="D4582" t="s">
        <v>28</v>
      </c>
      <c r="E4582" t="s">
        <v>21</v>
      </c>
      <c r="F4582" t="s">
        <v>15</v>
      </c>
      <c r="G4582" s="2">
        <f>VALUE(237.0577936985)</f>
        <v>237.05779369850001</v>
      </c>
      <c r="H4582" s="3">
        <f>VALUE(205.57314783)</f>
        <v>205.57314783000001</v>
      </c>
      <c r="I4582" s="4">
        <f>VALUE(2941)</f>
        <v>2941</v>
      </c>
      <c r="J4582" s="1">
        <f>VALUE(3540)</f>
        <v>3540</v>
      </c>
      <c r="K4582" s="1">
        <f>VALUE(3810)</f>
        <v>3810</v>
      </c>
      <c r="L4582" s="7">
        <f>VALUE(4547)</f>
        <v>4547</v>
      </c>
      <c r="M4582" s="1">
        <f>VALUE(5437)</f>
        <v>5437</v>
      </c>
      <c r="N4582" t="s">
        <v>25</v>
      </c>
    </row>
    <row r="4583" spans="1:14" x14ac:dyDescent="0.25">
      <c r="A4583" t="s">
        <v>41</v>
      </c>
      <c r="B4583" t="s">
        <v>40</v>
      </c>
      <c r="C4583" t="s">
        <v>35</v>
      </c>
      <c r="D4583" t="s">
        <v>28</v>
      </c>
      <c r="E4583" t="s">
        <v>21</v>
      </c>
      <c r="F4583" t="s">
        <v>17</v>
      </c>
      <c r="G4583" s="1" t="str">
        <f t="shared" ref="G4583:M4586" si="968">"X"</f>
        <v>X</v>
      </c>
      <c r="H4583" s="1" t="str">
        <f t="shared" si="968"/>
        <v>X</v>
      </c>
      <c r="I4583" s="1" t="str">
        <f t="shared" si="968"/>
        <v>X</v>
      </c>
      <c r="J4583" s="1" t="str">
        <f t="shared" si="968"/>
        <v>X</v>
      </c>
      <c r="K4583" s="1" t="str">
        <f t="shared" si="968"/>
        <v>X</v>
      </c>
      <c r="L4583" s="1" t="str">
        <f t="shared" si="968"/>
        <v>X</v>
      </c>
      <c r="M4583" s="1" t="str">
        <f t="shared" si="968"/>
        <v>X</v>
      </c>
      <c r="N4583" t="s">
        <v>27</v>
      </c>
    </row>
    <row r="4584" spans="1:14" x14ac:dyDescent="0.25">
      <c r="A4584" t="s">
        <v>41</v>
      </c>
      <c r="B4584" t="s">
        <v>40</v>
      </c>
      <c r="C4584" t="s">
        <v>35</v>
      </c>
      <c r="D4584" t="s">
        <v>28</v>
      </c>
      <c r="E4584" t="s">
        <v>21</v>
      </c>
      <c r="F4584" t="s">
        <v>18</v>
      </c>
      <c r="G4584" s="1" t="str">
        <f t="shared" si="968"/>
        <v>X</v>
      </c>
      <c r="H4584" s="1" t="str">
        <f t="shared" si="968"/>
        <v>X</v>
      </c>
      <c r="I4584" s="1" t="str">
        <f t="shared" si="968"/>
        <v>X</v>
      </c>
      <c r="J4584" s="1" t="str">
        <f t="shared" si="968"/>
        <v>X</v>
      </c>
      <c r="K4584" s="1" t="str">
        <f t="shared" si="968"/>
        <v>X</v>
      </c>
      <c r="L4584" s="1" t="str">
        <f t="shared" si="968"/>
        <v>X</v>
      </c>
      <c r="M4584" s="1" t="str">
        <f t="shared" si="968"/>
        <v>X</v>
      </c>
      <c r="N4584" t="s">
        <v>27</v>
      </c>
    </row>
    <row r="4585" spans="1:14" x14ac:dyDescent="0.25">
      <c r="A4585" t="s">
        <v>41</v>
      </c>
      <c r="B4585" t="s">
        <v>40</v>
      </c>
      <c r="C4585" t="s">
        <v>35</v>
      </c>
      <c r="D4585" t="s">
        <v>28</v>
      </c>
      <c r="E4585" t="s">
        <v>21</v>
      </c>
      <c r="F4585" t="s">
        <v>19</v>
      </c>
      <c r="G4585" s="1" t="str">
        <f t="shared" si="968"/>
        <v>X</v>
      </c>
      <c r="H4585" s="1" t="str">
        <f t="shared" si="968"/>
        <v>X</v>
      </c>
      <c r="I4585" s="1" t="str">
        <f t="shared" si="968"/>
        <v>X</v>
      </c>
      <c r="J4585" s="1" t="str">
        <f t="shared" si="968"/>
        <v>X</v>
      </c>
      <c r="K4585" s="1" t="str">
        <f t="shared" si="968"/>
        <v>X</v>
      </c>
      <c r="L4585" s="1" t="str">
        <f t="shared" si="968"/>
        <v>X</v>
      </c>
      <c r="M4585" s="1" t="str">
        <f t="shared" si="968"/>
        <v>X</v>
      </c>
      <c r="N4585" t="s">
        <v>27</v>
      </c>
    </row>
    <row r="4586" spans="1:14" x14ac:dyDescent="0.25">
      <c r="A4586" t="s">
        <v>41</v>
      </c>
      <c r="B4586" t="s">
        <v>40</v>
      </c>
      <c r="C4586" t="s">
        <v>35</v>
      </c>
      <c r="D4586" t="s">
        <v>28</v>
      </c>
      <c r="E4586" t="s">
        <v>21</v>
      </c>
      <c r="F4586" t="s">
        <v>20</v>
      </c>
      <c r="G4586" s="1" t="str">
        <f t="shared" si="968"/>
        <v>X</v>
      </c>
      <c r="H4586" s="1" t="str">
        <f t="shared" si="968"/>
        <v>X</v>
      </c>
      <c r="I4586" s="1" t="str">
        <f t="shared" si="968"/>
        <v>X</v>
      </c>
      <c r="J4586" s="1" t="str">
        <f t="shared" si="968"/>
        <v>X</v>
      </c>
      <c r="K4586" s="1" t="str">
        <f t="shared" si="968"/>
        <v>X</v>
      </c>
      <c r="L4586" s="1" t="str">
        <f t="shared" si="968"/>
        <v>X</v>
      </c>
      <c r="M4586" s="1" t="str">
        <f t="shared" si="968"/>
        <v>X</v>
      </c>
      <c r="N4586" t="s">
        <v>27</v>
      </c>
    </row>
    <row r="4587" spans="1:14" x14ac:dyDescent="0.25">
      <c r="A4587" t="s">
        <v>41</v>
      </c>
      <c r="B4587" t="s">
        <v>40</v>
      </c>
      <c r="C4587" t="s">
        <v>35</v>
      </c>
      <c r="D4587" t="s">
        <v>28</v>
      </c>
      <c r="E4587" t="s">
        <v>22</v>
      </c>
      <c r="F4587" t="s">
        <v>15</v>
      </c>
      <c r="G4587" s="2">
        <f>VALUE(1033.0653789688)</f>
        <v>1033.0653789687999</v>
      </c>
      <c r="H4587" s="3">
        <f>VALUE(957.633653628)</f>
        <v>957.63365362800005</v>
      </c>
      <c r="I4587" s="4">
        <f>VALUE(2844)</f>
        <v>2844</v>
      </c>
      <c r="J4587" s="1">
        <f>VALUE(3297)</f>
        <v>3297</v>
      </c>
      <c r="K4587" s="1">
        <f>VALUE(3800)</f>
        <v>3800</v>
      </c>
      <c r="L4587" s="1">
        <f>VALUE(4283)</f>
        <v>4283</v>
      </c>
      <c r="M4587" s="1">
        <f>VALUE(4788)</f>
        <v>4788</v>
      </c>
      <c r="N4587" t="s">
        <v>25</v>
      </c>
    </row>
    <row r="4588" spans="1:14" x14ac:dyDescent="0.25">
      <c r="A4588" t="s">
        <v>41</v>
      </c>
      <c r="B4588" t="s">
        <v>40</v>
      </c>
      <c r="C4588" t="s">
        <v>35</v>
      </c>
      <c r="D4588" t="s">
        <v>28</v>
      </c>
      <c r="E4588" t="s">
        <v>22</v>
      </c>
      <c r="F4588" t="s">
        <v>17</v>
      </c>
      <c r="G4588" s="1" t="str">
        <f t="shared" ref="G4588:M4589" si="969">"X"</f>
        <v>X</v>
      </c>
      <c r="H4588" s="1" t="str">
        <f t="shared" si="969"/>
        <v>X</v>
      </c>
      <c r="I4588" s="1" t="str">
        <f t="shared" si="969"/>
        <v>X</v>
      </c>
      <c r="J4588" s="1" t="str">
        <f t="shared" si="969"/>
        <v>X</v>
      </c>
      <c r="K4588" s="1" t="str">
        <f t="shared" si="969"/>
        <v>X</v>
      </c>
      <c r="L4588" s="1" t="str">
        <f t="shared" si="969"/>
        <v>X</v>
      </c>
      <c r="M4588" s="1" t="str">
        <f t="shared" si="969"/>
        <v>X</v>
      </c>
      <c r="N4588" t="s">
        <v>27</v>
      </c>
    </row>
    <row r="4589" spans="1:14" x14ac:dyDescent="0.25">
      <c r="A4589" t="s">
        <v>41</v>
      </c>
      <c r="B4589" t="s">
        <v>40</v>
      </c>
      <c r="C4589" t="s">
        <v>35</v>
      </c>
      <c r="D4589" t="s">
        <v>28</v>
      </c>
      <c r="E4589" t="s">
        <v>22</v>
      </c>
      <c r="F4589" t="s">
        <v>18</v>
      </c>
      <c r="G4589" s="1" t="str">
        <f t="shared" si="969"/>
        <v>X</v>
      </c>
      <c r="H4589" s="1" t="str">
        <f t="shared" si="969"/>
        <v>X</v>
      </c>
      <c r="I4589" s="1" t="str">
        <f t="shared" si="969"/>
        <v>X</v>
      </c>
      <c r="J4589" s="1" t="str">
        <f t="shared" si="969"/>
        <v>X</v>
      </c>
      <c r="K4589" s="1" t="str">
        <f t="shared" si="969"/>
        <v>X</v>
      </c>
      <c r="L4589" s="1" t="str">
        <f t="shared" si="969"/>
        <v>X</v>
      </c>
      <c r="M4589" s="1" t="str">
        <f t="shared" si="969"/>
        <v>X</v>
      </c>
      <c r="N4589" t="s">
        <v>27</v>
      </c>
    </row>
    <row r="4590" spans="1:14" x14ac:dyDescent="0.25">
      <c r="A4590" t="s">
        <v>41</v>
      </c>
      <c r="B4590" t="s">
        <v>40</v>
      </c>
      <c r="C4590" t="s">
        <v>35</v>
      </c>
      <c r="D4590" t="s">
        <v>28</v>
      </c>
      <c r="E4590" t="s">
        <v>22</v>
      </c>
      <c r="F4590" t="s">
        <v>19</v>
      </c>
      <c r="G4590" s="2">
        <f>VALUE(184.0434552419)</f>
        <v>184.04345524190001</v>
      </c>
      <c r="H4590" s="3">
        <f>VALUE(175.0284518808)</f>
        <v>175.02845188079999</v>
      </c>
      <c r="I4590" s="4">
        <f>VALUE(3250)</f>
        <v>3250</v>
      </c>
      <c r="J4590" s="1">
        <f>VALUE(3458)</f>
        <v>3458</v>
      </c>
      <c r="K4590" s="1">
        <f>VALUE(3832)</f>
        <v>3832</v>
      </c>
      <c r="L4590" s="7">
        <f>VALUE(4210)</f>
        <v>4210</v>
      </c>
      <c r="M4590" s="8">
        <f>VALUE(4784)</f>
        <v>4784</v>
      </c>
      <c r="N4590" t="s">
        <v>25</v>
      </c>
    </row>
    <row r="4591" spans="1:14" x14ac:dyDescent="0.25">
      <c r="A4591" t="s">
        <v>41</v>
      </c>
      <c r="B4591" t="s">
        <v>40</v>
      </c>
      <c r="C4591" t="s">
        <v>35</v>
      </c>
      <c r="D4591" t="s">
        <v>28</v>
      </c>
      <c r="E4591" t="s">
        <v>22</v>
      </c>
      <c r="F4591" t="s">
        <v>20</v>
      </c>
      <c r="G4591" s="2">
        <f>VALUE(716.6353447867)</f>
        <v>716.63534478669999</v>
      </c>
      <c r="H4591" s="3">
        <f>VALUE(655.1261559464)</f>
        <v>655.12615594639999</v>
      </c>
      <c r="I4591" s="4">
        <f>VALUE(2844)</f>
        <v>2844</v>
      </c>
      <c r="J4591" s="1">
        <f>VALUE(3277)</f>
        <v>3277</v>
      </c>
      <c r="K4591" s="1">
        <f>VALUE(3792)</f>
        <v>3792</v>
      </c>
      <c r="L4591" s="1">
        <f>VALUE(4269)</f>
        <v>4269</v>
      </c>
      <c r="M4591" s="1">
        <f>VALUE(4919)</f>
        <v>4919</v>
      </c>
      <c r="N4591" t="s">
        <v>25</v>
      </c>
    </row>
    <row r="4592" spans="1:14" x14ac:dyDescent="0.25">
      <c r="A4592" t="s">
        <v>41</v>
      </c>
      <c r="B4592" t="s">
        <v>40</v>
      </c>
      <c r="C4592" t="s">
        <v>35</v>
      </c>
      <c r="D4592" t="s">
        <v>28</v>
      </c>
      <c r="E4592" t="s">
        <v>23</v>
      </c>
      <c r="F4592" t="s">
        <v>15</v>
      </c>
      <c r="G4592" s="2">
        <f>VALUE(288.1648196641)</f>
        <v>288.16481966409998</v>
      </c>
      <c r="H4592" s="3">
        <f>VALUE(168.3464974366)</f>
        <v>168.3464974366</v>
      </c>
      <c r="I4592" s="4">
        <f>VALUE(2844)</f>
        <v>2844</v>
      </c>
      <c r="J4592" s="1">
        <f>VALUE(3111)</f>
        <v>3111</v>
      </c>
      <c r="K4592" s="6">
        <f>VALUE(3547)</f>
        <v>3547</v>
      </c>
      <c r="L4592" s="1">
        <f>VALUE(4042)</f>
        <v>4042</v>
      </c>
      <c r="M4592" s="1">
        <f>VALUE(4485)</f>
        <v>4485</v>
      </c>
      <c r="N4592" t="s">
        <v>25</v>
      </c>
    </row>
    <row r="4593" spans="1:14" x14ac:dyDescent="0.25">
      <c r="A4593" t="s">
        <v>41</v>
      </c>
      <c r="B4593" t="s">
        <v>40</v>
      </c>
      <c r="C4593" t="s">
        <v>35</v>
      </c>
      <c r="D4593" t="s">
        <v>28</v>
      </c>
      <c r="E4593" t="s">
        <v>23</v>
      </c>
      <c r="F4593" t="s">
        <v>17</v>
      </c>
      <c r="G4593" s="1" t="str">
        <f t="shared" ref="G4593:M4593" si="970">"..."</f>
        <v>...</v>
      </c>
      <c r="H4593" s="1" t="str">
        <f t="shared" si="970"/>
        <v>...</v>
      </c>
      <c r="I4593" s="1" t="str">
        <f t="shared" si="970"/>
        <v>...</v>
      </c>
      <c r="J4593" s="1" t="str">
        <f t="shared" si="970"/>
        <v>...</v>
      </c>
      <c r="K4593" s="1" t="str">
        <f t="shared" si="970"/>
        <v>...</v>
      </c>
      <c r="L4593" s="1" t="str">
        <f t="shared" si="970"/>
        <v>...</v>
      </c>
      <c r="M4593" s="1" t="str">
        <f t="shared" si="970"/>
        <v>...</v>
      </c>
      <c r="N4593" t="s">
        <v>30</v>
      </c>
    </row>
    <row r="4594" spans="1:14" x14ac:dyDescent="0.25">
      <c r="A4594" t="s">
        <v>41</v>
      </c>
      <c r="B4594" t="s">
        <v>40</v>
      </c>
      <c r="C4594" t="s">
        <v>35</v>
      </c>
      <c r="D4594" t="s">
        <v>28</v>
      </c>
      <c r="E4594" t="s">
        <v>23</v>
      </c>
      <c r="F4594" t="s">
        <v>18</v>
      </c>
      <c r="G4594" s="1" t="str">
        <f t="shared" ref="G4594:M4595" si="971">"X"</f>
        <v>X</v>
      </c>
      <c r="H4594" s="1" t="str">
        <f t="shared" si="971"/>
        <v>X</v>
      </c>
      <c r="I4594" s="1" t="str">
        <f t="shared" si="971"/>
        <v>X</v>
      </c>
      <c r="J4594" s="1" t="str">
        <f t="shared" si="971"/>
        <v>X</v>
      </c>
      <c r="K4594" s="1" t="str">
        <f t="shared" si="971"/>
        <v>X</v>
      </c>
      <c r="L4594" s="1" t="str">
        <f t="shared" si="971"/>
        <v>X</v>
      </c>
      <c r="M4594" s="1" t="str">
        <f t="shared" si="971"/>
        <v>X</v>
      </c>
      <c r="N4594" t="s">
        <v>27</v>
      </c>
    </row>
    <row r="4595" spans="1:14" x14ac:dyDescent="0.25">
      <c r="A4595" t="s">
        <v>41</v>
      </c>
      <c r="B4595" t="s">
        <v>40</v>
      </c>
      <c r="C4595" t="s">
        <v>35</v>
      </c>
      <c r="D4595" t="s">
        <v>28</v>
      </c>
      <c r="E4595" t="s">
        <v>23</v>
      </c>
      <c r="F4595" t="s">
        <v>19</v>
      </c>
      <c r="G4595" s="1" t="str">
        <f t="shared" si="971"/>
        <v>X</v>
      </c>
      <c r="H4595" s="1" t="str">
        <f t="shared" si="971"/>
        <v>X</v>
      </c>
      <c r="I4595" s="1" t="str">
        <f t="shared" si="971"/>
        <v>X</v>
      </c>
      <c r="J4595" s="1" t="str">
        <f t="shared" si="971"/>
        <v>X</v>
      </c>
      <c r="K4595" s="1" t="str">
        <f t="shared" si="971"/>
        <v>X</v>
      </c>
      <c r="L4595" s="1" t="str">
        <f t="shared" si="971"/>
        <v>X</v>
      </c>
      <c r="M4595" s="1" t="str">
        <f t="shared" si="971"/>
        <v>X</v>
      </c>
      <c r="N4595" t="s">
        <v>27</v>
      </c>
    </row>
    <row r="4596" spans="1:14" x14ac:dyDescent="0.25">
      <c r="A4596" t="s">
        <v>41</v>
      </c>
      <c r="B4596" t="s">
        <v>40</v>
      </c>
      <c r="C4596" t="s">
        <v>35</v>
      </c>
      <c r="D4596" t="s">
        <v>28</v>
      </c>
      <c r="E4596" t="s">
        <v>23</v>
      </c>
      <c r="F4596" t="s">
        <v>20</v>
      </c>
      <c r="G4596" s="2">
        <f>VALUE(268.6068596721)</f>
        <v>268.60685967209997</v>
      </c>
      <c r="H4596" s="3">
        <f>VALUE(159.1494637124)</f>
        <v>159.14946371240001</v>
      </c>
      <c r="I4596" s="1">
        <f>VALUE(2796)</f>
        <v>2796</v>
      </c>
      <c r="J4596" s="1">
        <f>VALUE(3111)</f>
        <v>3111</v>
      </c>
      <c r="K4596" s="6">
        <f>VALUE(3501)</f>
        <v>3501</v>
      </c>
      <c r="L4596" s="1">
        <f>VALUE(3988)</f>
        <v>3988</v>
      </c>
      <c r="M4596" s="1">
        <f>VALUE(4488)</f>
        <v>4488</v>
      </c>
      <c r="N4596" t="s">
        <v>25</v>
      </c>
    </row>
    <row r="4597" spans="1:14" x14ac:dyDescent="0.25">
      <c r="A4597" t="s">
        <v>41</v>
      </c>
      <c r="B4597" t="s">
        <v>40</v>
      </c>
      <c r="C4597" t="s">
        <v>35</v>
      </c>
      <c r="D4597" t="s">
        <v>28</v>
      </c>
      <c r="E4597" t="s">
        <v>26</v>
      </c>
      <c r="F4597" t="s">
        <v>15</v>
      </c>
      <c r="G4597" s="1" t="str">
        <f t="shared" ref="G4597:M4597" si="972">"X"</f>
        <v>X</v>
      </c>
      <c r="H4597" s="1" t="str">
        <f t="shared" si="972"/>
        <v>X</v>
      </c>
      <c r="I4597" s="1" t="str">
        <f t="shared" si="972"/>
        <v>X</v>
      </c>
      <c r="J4597" s="1" t="str">
        <f t="shared" si="972"/>
        <v>X</v>
      </c>
      <c r="K4597" s="1" t="str">
        <f t="shared" si="972"/>
        <v>X</v>
      </c>
      <c r="L4597" s="1" t="str">
        <f t="shared" si="972"/>
        <v>X</v>
      </c>
      <c r="M4597" s="1" t="str">
        <f t="shared" si="972"/>
        <v>X</v>
      </c>
      <c r="N4597" t="s">
        <v>27</v>
      </c>
    </row>
    <row r="4598" spans="1:14" x14ac:dyDescent="0.25">
      <c r="A4598" t="s">
        <v>41</v>
      </c>
      <c r="B4598" t="s">
        <v>40</v>
      </c>
      <c r="C4598" t="s">
        <v>35</v>
      </c>
      <c r="D4598" t="s">
        <v>28</v>
      </c>
      <c r="E4598" t="s">
        <v>26</v>
      </c>
      <c r="F4598" t="s">
        <v>17</v>
      </c>
      <c r="G4598" s="1" t="str">
        <f t="shared" ref="G4598:M4598" si="973">"..."</f>
        <v>...</v>
      </c>
      <c r="H4598" s="1" t="str">
        <f t="shared" si="973"/>
        <v>...</v>
      </c>
      <c r="I4598" s="1" t="str">
        <f t="shared" si="973"/>
        <v>...</v>
      </c>
      <c r="J4598" s="1" t="str">
        <f t="shared" si="973"/>
        <v>...</v>
      </c>
      <c r="K4598" s="1" t="str">
        <f t="shared" si="973"/>
        <v>...</v>
      </c>
      <c r="L4598" s="1" t="str">
        <f t="shared" si="973"/>
        <v>...</v>
      </c>
      <c r="M4598" s="1" t="str">
        <f t="shared" si="973"/>
        <v>...</v>
      </c>
      <c r="N4598" t="s">
        <v>30</v>
      </c>
    </row>
    <row r="4599" spans="1:14" x14ac:dyDescent="0.25">
      <c r="A4599" t="s">
        <v>41</v>
      </c>
      <c r="B4599" t="s">
        <v>40</v>
      </c>
      <c r="C4599" t="s">
        <v>35</v>
      </c>
      <c r="D4599" t="s">
        <v>28</v>
      </c>
      <c r="E4599" t="s">
        <v>26</v>
      </c>
      <c r="F4599" t="s">
        <v>18</v>
      </c>
      <c r="G4599" s="1" t="str">
        <f t="shared" ref="G4599:M4599" si="974">"X"</f>
        <v>X</v>
      </c>
      <c r="H4599" s="1" t="str">
        <f t="shared" si="974"/>
        <v>X</v>
      </c>
      <c r="I4599" s="1" t="str">
        <f t="shared" si="974"/>
        <v>X</v>
      </c>
      <c r="J4599" s="1" t="str">
        <f t="shared" si="974"/>
        <v>X</v>
      </c>
      <c r="K4599" s="1" t="str">
        <f t="shared" si="974"/>
        <v>X</v>
      </c>
      <c r="L4599" s="1" t="str">
        <f t="shared" si="974"/>
        <v>X</v>
      </c>
      <c r="M4599" s="1" t="str">
        <f t="shared" si="974"/>
        <v>X</v>
      </c>
      <c r="N4599" t="s">
        <v>27</v>
      </c>
    </row>
    <row r="4600" spans="1:14" x14ac:dyDescent="0.25">
      <c r="A4600" t="s">
        <v>41</v>
      </c>
      <c r="B4600" t="s">
        <v>40</v>
      </c>
      <c r="C4600" t="s">
        <v>35</v>
      </c>
      <c r="D4600" t="s">
        <v>28</v>
      </c>
      <c r="E4600" t="s">
        <v>26</v>
      </c>
      <c r="F4600" t="s">
        <v>19</v>
      </c>
      <c r="G4600" s="1" t="str">
        <f t="shared" ref="G4600:M4600" si="975">"..."</f>
        <v>...</v>
      </c>
      <c r="H4600" s="1" t="str">
        <f t="shared" si="975"/>
        <v>...</v>
      </c>
      <c r="I4600" s="1" t="str">
        <f t="shared" si="975"/>
        <v>...</v>
      </c>
      <c r="J4600" s="1" t="str">
        <f t="shared" si="975"/>
        <v>...</v>
      </c>
      <c r="K4600" s="1" t="str">
        <f t="shared" si="975"/>
        <v>...</v>
      </c>
      <c r="L4600" s="1" t="str">
        <f t="shared" si="975"/>
        <v>...</v>
      </c>
      <c r="M4600" s="1" t="str">
        <f t="shared" si="975"/>
        <v>...</v>
      </c>
      <c r="N4600" t="s">
        <v>30</v>
      </c>
    </row>
    <row r="4601" spans="1:14" x14ac:dyDescent="0.25">
      <c r="A4601" t="s">
        <v>41</v>
      </c>
      <c r="B4601" t="s">
        <v>40</v>
      </c>
      <c r="C4601" t="s">
        <v>35</v>
      </c>
      <c r="D4601" t="s">
        <v>28</v>
      </c>
      <c r="E4601" t="s">
        <v>26</v>
      </c>
      <c r="F4601" t="s">
        <v>20</v>
      </c>
      <c r="G4601" s="1" t="str">
        <f t="shared" ref="G4601:M4601" si="976">"X"</f>
        <v>X</v>
      </c>
      <c r="H4601" s="1" t="str">
        <f t="shared" si="976"/>
        <v>X</v>
      </c>
      <c r="I4601" s="1" t="str">
        <f t="shared" si="976"/>
        <v>X</v>
      </c>
      <c r="J4601" s="1" t="str">
        <f t="shared" si="976"/>
        <v>X</v>
      </c>
      <c r="K4601" s="1" t="str">
        <f t="shared" si="976"/>
        <v>X</v>
      </c>
      <c r="L4601" s="1" t="str">
        <f t="shared" si="976"/>
        <v>X</v>
      </c>
      <c r="M4601" s="1" t="str">
        <f t="shared" si="976"/>
        <v>X</v>
      </c>
      <c r="N4601" t="s">
        <v>27</v>
      </c>
    </row>
    <row r="4602" spans="1:14" x14ac:dyDescent="0.25">
      <c r="A4602" t="s">
        <v>41</v>
      </c>
      <c r="B4602" t="s">
        <v>40</v>
      </c>
      <c r="C4602" t="s">
        <v>35</v>
      </c>
      <c r="D4602" t="s">
        <v>29</v>
      </c>
      <c r="E4602" t="s">
        <v>15</v>
      </c>
      <c r="F4602" t="s">
        <v>15</v>
      </c>
      <c r="G4602" s="2">
        <f>VALUE(293.9706821871)</f>
        <v>293.97068218710001</v>
      </c>
      <c r="H4602" s="3">
        <f>VALUE(249.1499543128)</f>
        <v>249.14995431279999</v>
      </c>
      <c r="I4602" s="4">
        <f>VALUE(2868)</f>
        <v>2868</v>
      </c>
      <c r="J4602" s="5">
        <f>VALUE(3152)</f>
        <v>3152</v>
      </c>
      <c r="K4602" s="1">
        <f>VALUE(3574)</f>
        <v>3574</v>
      </c>
      <c r="L4602" s="1">
        <f>VALUE(3972)</f>
        <v>3972</v>
      </c>
      <c r="M4602" s="1">
        <f>VALUE(4249)</f>
        <v>4249</v>
      </c>
      <c r="N4602" t="s">
        <v>25</v>
      </c>
    </row>
    <row r="4603" spans="1:14" x14ac:dyDescent="0.25">
      <c r="A4603" t="s">
        <v>41</v>
      </c>
      <c r="B4603" t="s">
        <v>40</v>
      </c>
      <c r="C4603" t="s">
        <v>35</v>
      </c>
      <c r="D4603" t="s">
        <v>29</v>
      </c>
      <c r="E4603" t="s">
        <v>15</v>
      </c>
      <c r="F4603" t="s">
        <v>17</v>
      </c>
      <c r="G4603" s="1" t="str">
        <f t="shared" ref="G4603:M4605" si="977">"X"</f>
        <v>X</v>
      </c>
      <c r="H4603" s="1" t="str">
        <f t="shared" si="977"/>
        <v>X</v>
      </c>
      <c r="I4603" s="1" t="str">
        <f t="shared" si="977"/>
        <v>X</v>
      </c>
      <c r="J4603" s="1" t="str">
        <f t="shared" si="977"/>
        <v>X</v>
      </c>
      <c r="K4603" s="1" t="str">
        <f t="shared" si="977"/>
        <v>X</v>
      </c>
      <c r="L4603" s="1" t="str">
        <f t="shared" si="977"/>
        <v>X</v>
      </c>
      <c r="M4603" s="1" t="str">
        <f t="shared" si="977"/>
        <v>X</v>
      </c>
      <c r="N4603" t="s">
        <v>27</v>
      </c>
    </row>
    <row r="4604" spans="1:14" x14ac:dyDescent="0.25">
      <c r="A4604" t="s">
        <v>41</v>
      </c>
      <c r="B4604" t="s">
        <v>40</v>
      </c>
      <c r="C4604" t="s">
        <v>35</v>
      </c>
      <c r="D4604" t="s">
        <v>29</v>
      </c>
      <c r="E4604" t="s">
        <v>15</v>
      </c>
      <c r="F4604" t="s">
        <v>18</v>
      </c>
      <c r="G4604" s="1" t="str">
        <f t="shared" si="977"/>
        <v>X</v>
      </c>
      <c r="H4604" s="1" t="str">
        <f t="shared" si="977"/>
        <v>X</v>
      </c>
      <c r="I4604" s="1" t="str">
        <f t="shared" si="977"/>
        <v>X</v>
      </c>
      <c r="J4604" s="1" t="str">
        <f t="shared" si="977"/>
        <v>X</v>
      </c>
      <c r="K4604" s="1" t="str">
        <f t="shared" si="977"/>
        <v>X</v>
      </c>
      <c r="L4604" s="1" t="str">
        <f t="shared" si="977"/>
        <v>X</v>
      </c>
      <c r="M4604" s="1" t="str">
        <f t="shared" si="977"/>
        <v>X</v>
      </c>
      <c r="N4604" t="s">
        <v>27</v>
      </c>
    </row>
    <row r="4605" spans="1:14" x14ac:dyDescent="0.25">
      <c r="A4605" t="s">
        <v>41</v>
      </c>
      <c r="B4605" t="s">
        <v>40</v>
      </c>
      <c r="C4605" t="s">
        <v>35</v>
      </c>
      <c r="D4605" t="s">
        <v>29</v>
      </c>
      <c r="E4605" t="s">
        <v>15</v>
      </c>
      <c r="F4605" t="s">
        <v>19</v>
      </c>
      <c r="G4605" s="1" t="str">
        <f t="shared" si="977"/>
        <v>X</v>
      </c>
      <c r="H4605" s="1" t="str">
        <f t="shared" si="977"/>
        <v>X</v>
      </c>
      <c r="I4605" s="1" t="str">
        <f t="shared" si="977"/>
        <v>X</v>
      </c>
      <c r="J4605" s="1" t="str">
        <f t="shared" si="977"/>
        <v>X</v>
      </c>
      <c r="K4605" s="1" t="str">
        <f t="shared" si="977"/>
        <v>X</v>
      </c>
      <c r="L4605" s="1" t="str">
        <f t="shared" si="977"/>
        <v>X</v>
      </c>
      <c r="M4605" s="1" t="str">
        <f t="shared" si="977"/>
        <v>X</v>
      </c>
      <c r="N4605" t="s">
        <v>27</v>
      </c>
    </row>
    <row r="4606" spans="1:14" x14ac:dyDescent="0.25">
      <c r="A4606" t="s">
        <v>41</v>
      </c>
      <c r="B4606" t="s">
        <v>40</v>
      </c>
      <c r="C4606" t="s">
        <v>35</v>
      </c>
      <c r="D4606" t="s">
        <v>29</v>
      </c>
      <c r="E4606" t="s">
        <v>15</v>
      </c>
      <c r="F4606" t="s">
        <v>20</v>
      </c>
      <c r="G4606" s="2">
        <f>VALUE(267.8195707052)</f>
        <v>267.81957070520002</v>
      </c>
      <c r="H4606" s="3">
        <f>VALUE(222.5039445764)</f>
        <v>222.50394457639999</v>
      </c>
      <c r="I4606" s="4">
        <f>VALUE(2837)</f>
        <v>2837</v>
      </c>
      <c r="J4606" s="5">
        <f>VALUE(3152)</f>
        <v>3152</v>
      </c>
      <c r="K4606" s="6">
        <f>VALUE(3540)</f>
        <v>3540</v>
      </c>
      <c r="L4606" s="1">
        <f>VALUE(3972)</f>
        <v>3972</v>
      </c>
      <c r="M4606" s="1">
        <f>VALUE(4283)</f>
        <v>4283</v>
      </c>
      <c r="N4606" t="s">
        <v>25</v>
      </c>
    </row>
    <row r="4607" spans="1:14" x14ac:dyDescent="0.25">
      <c r="A4607" t="s">
        <v>41</v>
      </c>
      <c r="B4607" t="s">
        <v>40</v>
      </c>
      <c r="C4607" t="s">
        <v>35</v>
      </c>
      <c r="D4607" t="s">
        <v>29</v>
      </c>
      <c r="E4607" t="s">
        <v>21</v>
      </c>
      <c r="F4607" t="s">
        <v>15</v>
      </c>
      <c r="G4607" s="1" t="str">
        <f t="shared" ref="G4607:M4607" si="978">"X"</f>
        <v>X</v>
      </c>
      <c r="H4607" s="1" t="str">
        <f t="shared" si="978"/>
        <v>X</v>
      </c>
      <c r="I4607" s="1" t="str">
        <f t="shared" si="978"/>
        <v>X</v>
      </c>
      <c r="J4607" s="1" t="str">
        <f t="shared" si="978"/>
        <v>X</v>
      </c>
      <c r="K4607" s="1" t="str">
        <f t="shared" si="978"/>
        <v>X</v>
      </c>
      <c r="L4607" s="1" t="str">
        <f t="shared" si="978"/>
        <v>X</v>
      </c>
      <c r="M4607" s="1" t="str">
        <f t="shared" si="978"/>
        <v>X</v>
      </c>
      <c r="N4607" t="s">
        <v>27</v>
      </c>
    </row>
    <row r="4608" spans="1:14" x14ac:dyDescent="0.25">
      <c r="A4608" t="s">
        <v>41</v>
      </c>
      <c r="B4608" t="s">
        <v>40</v>
      </c>
      <c r="C4608" t="s">
        <v>35</v>
      </c>
      <c r="D4608" t="s">
        <v>29</v>
      </c>
      <c r="E4608" t="s">
        <v>21</v>
      </c>
      <c r="F4608" t="s">
        <v>17</v>
      </c>
      <c r="G4608" s="1" t="str">
        <f t="shared" ref="G4608:M4609" si="979">"..."</f>
        <v>...</v>
      </c>
      <c r="H4608" s="1" t="str">
        <f t="shared" si="979"/>
        <v>...</v>
      </c>
      <c r="I4608" s="1" t="str">
        <f t="shared" si="979"/>
        <v>...</v>
      </c>
      <c r="J4608" s="1" t="str">
        <f t="shared" si="979"/>
        <v>...</v>
      </c>
      <c r="K4608" s="1" t="str">
        <f t="shared" si="979"/>
        <v>...</v>
      </c>
      <c r="L4608" s="1" t="str">
        <f t="shared" si="979"/>
        <v>...</v>
      </c>
      <c r="M4608" s="1" t="str">
        <f t="shared" si="979"/>
        <v>...</v>
      </c>
      <c r="N4608" t="s">
        <v>30</v>
      </c>
    </row>
    <row r="4609" spans="1:14" x14ac:dyDescent="0.25">
      <c r="A4609" t="s">
        <v>41</v>
      </c>
      <c r="B4609" t="s">
        <v>40</v>
      </c>
      <c r="C4609" t="s">
        <v>35</v>
      </c>
      <c r="D4609" t="s">
        <v>29</v>
      </c>
      <c r="E4609" t="s">
        <v>21</v>
      </c>
      <c r="F4609" t="s">
        <v>18</v>
      </c>
      <c r="G4609" s="1" t="str">
        <f t="shared" si="979"/>
        <v>...</v>
      </c>
      <c r="H4609" s="1" t="str">
        <f t="shared" si="979"/>
        <v>...</v>
      </c>
      <c r="I4609" s="1" t="str">
        <f t="shared" si="979"/>
        <v>...</v>
      </c>
      <c r="J4609" s="1" t="str">
        <f t="shared" si="979"/>
        <v>...</v>
      </c>
      <c r="K4609" s="1" t="str">
        <f t="shared" si="979"/>
        <v>...</v>
      </c>
      <c r="L4609" s="1" t="str">
        <f t="shared" si="979"/>
        <v>...</v>
      </c>
      <c r="M4609" s="1" t="str">
        <f t="shared" si="979"/>
        <v>...</v>
      </c>
      <c r="N4609" t="s">
        <v>30</v>
      </c>
    </row>
    <row r="4610" spans="1:14" x14ac:dyDescent="0.25">
      <c r="A4610" t="s">
        <v>41</v>
      </c>
      <c r="B4610" t="s">
        <v>40</v>
      </c>
      <c r="C4610" t="s">
        <v>35</v>
      </c>
      <c r="D4610" t="s">
        <v>29</v>
      </c>
      <c r="E4610" t="s">
        <v>21</v>
      </c>
      <c r="F4610" t="s">
        <v>19</v>
      </c>
      <c r="G4610" s="1" t="str">
        <f t="shared" ref="G4610:M4617" si="980">"X"</f>
        <v>X</v>
      </c>
      <c r="H4610" s="1" t="str">
        <f t="shared" si="980"/>
        <v>X</v>
      </c>
      <c r="I4610" s="1" t="str">
        <f t="shared" si="980"/>
        <v>X</v>
      </c>
      <c r="J4610" s="1" t="str">
        <f t="shared" si="980"/>
        <v>X</v>
      </c>
      <c r="K4610" s="1" t="str">
        <f t="shared" si="980"/>
        <v>X</v>
      </c>
      <c r="L4610" s="1" t="str">
        <f t="shared" si="980"/>
        <v>X</v>
      </c>
      <c r="M4610" s="1" t="str">
        <f t="shared" si="980"/>
        <v>X</v>
      </c>
      <c r="N4610" t="s">
        <v>27</v>
      </c>
    </row>
    <row r="4611" spans="1:14" x14ac:dyDescent="0.25">
      <c r="A4611" t="s">
        <v>41</v>
      </c>
      <c r="B4611" t="s">
        <v>40</v>
      </c>
      <c r="C4611" t="s">
        <v>35</v>
      </c>
      <c r="D4611" t="s">
        <v>29</v>
      </c>
      <c r="E4611" t="s">
        <v>21</v>
      </c>
      <c r="F4611" t="s">
        <v>20</v>
      </c>
      <c r="G4611" s="1" t="str">
        <f t="shared" si="980"/>
        <v>X</v>
      </c>
      <c r="H4611" s="1" t="str">
        <f t="shared" si="980"/>
        <v>X</v>
      </c>
      <c r="I4611" s="1" t="str">
        <f t="shared" si="980"/>
        <v>X</v>
      </c>
      <c r="J4611" s="1" t="str">
        <f t="shared" si="980"/>
        <v>X</v>
      </c>
      <c r="K4611" s="1" t="str">
        <f t="shared" si="980"/>
        <v>X</v>
      </c>
      <c r="L4611" s="1" t="str">
        <f t="shared" si="980"/>
        <v>X</v>
      </c>
      <c r="M4611" s="1" t="str">
        <f t="shared" si="980"/>
        <v>X</v>
      </c>
      <c r="N4611" t="s">
        <v>27</v>
      </c>
    </row>
    <row r="4612" spans="1:14" x14ac:dyDescent="0.25">
      <c r="A4612" t="s">
        <v>41</v>
      </c>
      <c r="B4612" t="s">
        <v>40</v>
      </c>
      <c r="C4612" t="s">
        <v>35</v>
      </c>
      <c r="D4612" t="s">
        <v>29</v>
      </c>
      <c r="E4612" t="s">
        <v>22</v>
      </c>
      <c r="F4612" t="s">
        <v>15</v>
      </c>
      <c r="G4612" s="1" t="str">
        <f t="shared" si="980"/>
        <v>X</v>
      </c>
      <c r="H4612" s="1" t="str">
        <f t="shared" si="980"/>
        <v>X</v>
      </c>
      <c r="I4612" s="1" t="str">
        <f t="shared" si="980"/>
        <v>X</v>
      </c>
      <c r="J4612" s="1" t="str">
        <f t="shared" si="980"/>
        <v>X</v>
      </c>
      <c r="K4612" s="1" t="str">
        <f t="shared" si="980"/>
        <v>X</v>
      </c>
      <c r="L4612" s="1" t="str">
        <f t="shared" si="980"/>
        <v>X</v>
      </c>
      <c r="M4612" s="1" t="str">
        <f t="shared" si="980"/>
        <v>X</v>
      </c>
      <c r="N4612" t="s">
        <v>27</v>
      </c>
    </row>
    <row r="4613" spans="1:14" x14ac:dyDescent="0.25">
      <c r="A4613" t="s">
        <v>41</v>
      </c>
      <c r="B4613" t="s">
        <v>40</v>
      </c>
      <c r="C4613" t="s">
        <v>35</v>
      </c>
      <c r="D4613" t="s">
        <v>29</v>
      </c>
      <c r="E4613" t="s">
        <v>22</v>
      </c>
      <c r="F4613" t="s">
        <v>17</v>
      </c>
      <c r="G4613" s="1" t="str">
        <f t="shared" si="980"/>
        <v>X</v>
      </c>
      <c r="H4613" s="1" t="str">
        <f t="shared" si="980"/>
        <v>X</v>
      </c>
      <c r="I4613" s="1" t="str">
        <f t="shared" si="980"/>
        <v>X</v>
      </c>
      <c r="J4613" s="1" t="str">
        <f t="shared" si="980"/>
        <v>X</v>
      </c>
      <c r="K4613" s="1" t="str">
        <f t="shared" si="980"/>
        <v>X</v>
      </c>
      <c r="L4613" s="1" t="str">
        <f t="shared" si="980"/>
        <v>X</v>
      </c>
      <c r="M4613" s="1" t="str">
        <f t="shared" si="980"/>
        <v>X</v>
      </c>
      <c r="N4613" t="s">
        <v>27</v>
      </c>
    </row>
    <row r="4614" spans="1:14" x14ac:dyDescent="0.25">
      <c r="A4614" t="s">
        <v>41</v>
      </c>
      <c r="B4614" t="s">
        <v>40</v>
      </c>
      <c r="C4614" t="s">
        <v>35</v>
      </c>
      <c r="D4614" t="s">
        <v>29</v>
      </c>
      <c r="E4614" t="s">
        <v>22</v>
      </c>
      <c r="F4614" t="s">
        <v>18</v>
      </c>
      <c r="G4614" s="1" t="str">
        <f t="shared" si="980"/>
        <v>X</v>
      </c>
      <c r="H4614" s="1" t="str">
        <f t="shared" si="980"/>
        <v>X</v>
      </c>
      <c r="I4614" s="1" t="str">
        <f t="shared" si="980"/>
        <v>X</v>
      </c>
      <c r="J4614" s="1" t="str">
        <f t="shared" si="980"/>
        <v>X</v>
      </c>
      <c r="K4614" s="1" t="str">
        <f t="shared" si="980"/>
        <v>X</v>
      </c>
      <c r="L4614" s="1" t="str">
        <f t="shared" si="980"/>
        <v>X</v>
      </c>
      <c r="M4614" s="1" t="str">
        <f t="shared" si="980"/>
        <v>X</v>
      </c>
      <c r="N4614" t="s">
        <v>27</v>
      </c>
    </row>
    <row r="4615" spans="1:14" x14ac:dyDescent="0.25">
      <c r="A4615" t="s">
        <v>41</v>
      </c>
      <c r="B4615" t="s">
        <v>40</v>
      </c>
      <c r="C4615" t="s">
        <v>35</v>
      </c>
      <c r="D4615" t="s">
        <v>29</v>
      </c>
      <c r="E4615" t="s">
        <v>22</v>
      </c>
      <c r="F4615" t="s">
        <v>19</v>
      </c>
      <c r="G4615" s="1" t="str">
        <f t="shared" si="980"/>
        <v>X</v>
      </c>
      <c r="H4615" s="1" t="str">
        <f t="shared" si="980"/>
        <v>X</v>
      </c>
      <c r="I4615" s="1" t="str">
        <f t="shared" si="980"/>
        <v>X</v>
      </c>
      <c r="J4615" s="1" t="str">
        <f t="shared" si="980"/>
        <v>X</v>
      </c>
      <c r="K4615" s="1" t="str">
        <f t="shared" si="980"/>
        <v>X</v>
      </c>
      <c r="L4615" s="1" t="str">
        <f t="shared" si="980"/>
        <v>X</v>
      </c>
      <c r="M4615" s="1" t="str">
        <f t="shared" si="980"/>
        <v>X</v>
      </c>
      <c r="N4615" t="s">
        <v>27</v>
      </c>
    </row>
    <row r="4616" spans="1:14" x14ac:dyDescent="0.25">
      <c r="A4616" t="s">
        <v>41</v>
      </c>
      <c r="B4616" t="s">
        <v>40</v>
      </c>
      <c r="C4616" t="s">
        <v>35</v>
      </c>
      <c r="D4616" t="s">
        <v>29</v>
      </c>
      <c r="E4616" t="s">
        <v>22</v>
      </c>
      <c r="F4616" t="s">
        <v>20</v>
      </c>
      <c r="G4616" s="1" t="str">
        <f t="shared" si="980"/>
        <v>X</v>
      </c>
      <c r="H4616" s="1" t="str">
        <f t="shared" si="980"/>
        <v>X</v>
      </c>
      <c r="I4616" s="1" t="str">
        <f t="shared" si="980"/>
        <v>X</v>
      </c>
      <c r="J4616" s="1" t="str">
        <f t="shared" si="980"/>
        <v>X</v>
      </c>
      <c r="K4616" s="1" t="str">
        <f t="shared" si="980"/>
        <v>X</v>
      </c>
      <c r="L4616" s="1" t="str">
        <f t="shared" si="980"/>
        <v>X</v>
      </c>
      <c r="M4616" s="1" t="str">
        <f t="shared" si="980"/>
        <v>X</v>
      </c>
      <c r="N4616" t="s">
        <v>27</v>
      </c>
    </row>
    <row r="4617" spans="1:14" x14ac:dyDescent="0.25">
      <c r="A4617" t="s">
        <v>41</v>
      </c>
      <c r="B4617" t="s">
        <v>40</v>
      </c>
      <c r="C4617" t="s">
        <v>35</v>
      </c>
      <c r="D4617" t="s">
        <v>29</v>
      </c>
      <c r="E4617" t="s">
        <v>23</v>
      </c>
      <c r="F4617" t="s">
        <v>15</v>
      </c>
      <c r="G4617" s="1" t="str">
        <f t="shared" si="980"/>
        <v>X</v>
      </c>
      <c r="H4617" s="1" t="str">
        <f t="shared" si="980"/>
        <v>X</v>
      </c>
      <c r="I4617" s="1" t="str">
        <f t="shared" si="980"/>
        <v>X</v>
      </c>
      <c r="J4617" s="1" t="str">
        <f t="shared" si="980"/>
        <v>X</v>
      </c>
      <c r="K4617" s="1" t="str">
        <f t="shared" si="980"/>
        <v>X</v>
      </c>
      <c r="L4617" s="1" t="str">
        <f t="shared" si="980"/>
        <v>X</v>
      </c>
      <c r="M4617" s="1" t="str">
        <f t="shared" si="980"/>
        <v>X</v>
      </c>
      <c r="N4617" t="s">
        <v>27</v>
      </c>
    </row>
    <row r="4618" spans="1:14" x14ac:dyDescent="0.25">
      <c r="A4618" t="s">
        <v>41</v>
      </c>
      <c r="B4618" t="s">
        <v>40</v>
      </c>
      <c r="C4618" t="s">
        <v>35</v>
      </c>
      <c r="D4618" t="s">
        <v>29</v>
      </c>
      <c r="E4618" t="s">
        <v>23</v>
      </c>
      <c r="F4618" t="s">
        <v>17</v>
      </c>
      <c r="G4618" s="1" t="str">
        <f t="shared" ref="G4618:M4620" si="981">"..."</f>
        <v>...</v>
      </c>
      <c r="H4618" s="1" t="str">
        <f t="shared" si="981"/>
        <v>...</v>
      </c>
      <c r="I4618" s="1" t="str">
        <f t="shared" si="981"/>
        <v>...</v>
      </c>
      <c r="J4618" s="1" t="str">
        <f t="shared" si="981"/>
        <v>...</v>
      </c>
      <c r="K4618" s="1" t="str">
        <f t="shared" si="981"/>
        <v>...</v>
      </c>
      <c r="L4618" s="1" t="str">
        <f t="shared" si="981"/>
        <v>...</v>
      </c>
      <c r="M4618" s="1" t="str">
        <f t="shared" si="981"/>
        <v>...</v>
      </c>
      <c r="N4618" t="s">
        <v>30</v>
      </c>
    </row>
    <row r="4619" spans="1:14" x14ac:dyDescent="0.25">
      <c r="A4619" t="s">
        <v>41</v>
      </c>
      <c r="B4619" t="s">
        <v>40</v>
      </c>
      <c r="C4619" t="s">
        <v>35</v>
      </c>
      <c r="D4619" t="s">
        <v>29</v>
      </c>
      <c r="E4619" t="s">
        <v>23</v>
      </c>
      <c r="F4619" t="s">
        <v>18</v>
      </c>
      <c r="G4619" s="1" t="str">
        <f t="shared" si="981"/>
        <v>...</v>
      </c>
      <c r="H4619" s="1" t="str">
        <f t="shared" si="981"/>
        <v>...</v>
      </c>
      <c r="I4619" s="1" t="str">
        <f t="shared" si="981"/>
        <v>...</v>
      </c>
      <c r="J4619" s="1" t="str">
        <f t="shared" si="981"/>
        <v>...</v>
      </c>
      <c r="K4619" s="1" t="str">
        <f t="shared" si="981"/>
        <v>...</v>
      </c>
      <c r="L4619" s="1" t="str">
        <f t="shared" si="981"/>
        <v>...</v>
      </c>
      <c r="M4619" s="1" t="str">
        <f t="shared" si="981"/>
        <v>...</v>
      </c>
      <c r="N4619" t="s">
        <v>30</v>
      </c>
    </row>
    <row r="4620" spans="1:14" x14ac:dyDescent="0.25">
      <c r="A4620" t="s">
        <v>41</v>
      </c>
      <c r="B4620" t="s">
        <v>40</v>
      </c>
      <c r="C4620" t="s">
        <v>35</v>
      </c>
      <c r="D4620" t="s">
        <v>29</v>
      </c>
      <c r="E4620" t="s">
        <v>23</v>
      </c>
      <c r="F4620" t="s">
        <v>19</v>
      </c>
      <c r="G4620" s="1" t="str">
        <f t="shared" si="981"/>
        <v>...</v>
      </c>
      <c r="H4620" s="1" t="str">
        <f t="shared" si="981"/>
        <v>...</v>
      </c>
      <c r="I4620" s="1" t="str">
        <f t="shared" si="981"/>
        <v>...</v>
      </c>
      <c r="J4620" s="1" t="str">
        <f t="shared" si="981"/>
        <v>...</v>
      </c>
      <c r="K4620" s="1" t="str">
        <f t="shared" si="981"/>
        <v>...</v>
      </c>
      <c r="L4620" s="1" t="str">
        <f t="shared" si="981"/>
        <v>...</v>
      </c>
      <c r="M4620" s="1" t="str">
        <f t="shared" si="981"/>
        <v>...</v>
      </c>
      <c r="N4620" t="s">
        <v>30</v>
      </c>
    </row>
    <row r="4621" spans="1:14" x14ac:dyDescent="0.25">
      <c r="A4621" t="s">
        <v>41</v>
      </c>
      <c r="B4621" t="s">
        <v>40</v>
      </c>
      <c r="C4621" t="s">
        <v>35</v>
      </c>
      <c r="D4621" t="s">
        <v>29</v>
      </c>
      <c r="E4621" t="s">
        <v>23</v>
      </c>
      <c r="F4621" t="s">
        <v>20</v>
      </c>
      <c r="G4621" s="1" t="str">
        <f t="shared" ref="G4621:M4622" si="982">"X"</f>
        <v>X</v>
      </c>
      <c r="H4621" s="1" t="str">
        <f t="shared" si="982"/>
        <v>X</v>
      </c>
      <c r="I4621" s="1" t="str">
        <f t="shared" si="982"/>
        <v>X</v>
      </c>
      <c r="J4621" s="1" t="str">
        <f t="shared" si="982"/>
        <v>X</v>
      </c>
      <c r="K4621" s="1" t="str">
        <f t="shared" si="982"/>
        <v>X</v>
      </c>
      <c r="L4621" s="1" t="str">
        <f t="shared" si="982"/>
        <v>X</v>
      </c>
      <c r="M4621" s="1" t="str">
        <f t="shared" si="982"/>
        <v>X</v>
      </c>
      <c r="N4621" t="s">
        <v>27</v>
      </c>
    </row>
    <row r="4622" spans="1:14" x14ac:dyDescent="0.25">
      <c r="A4622" t="s">
        <v>41</v>
      </c>
      <c r="B4622" t="s">
        <v>40</v>
      </c>
      <c r="C4622" t="s">
        <v>35</v>
      </c>
      <c r="D4622" t="s">
        <v>29</v>
      </c>
      <c r="E4622" t="s">
        <v>26</v>
      </c>
      <c r="F4622" t="s">
        <v>15</v>
      </c>
      <c r="G4622" s="1" t="str">
        <f t="shared" si="982"/>
        <v>X</v>
      </c>
      <c r="H4622" s="1" t="str">
        <f t="shared" si="982"/>
        <v>X</v>
      </c>
      <c r="I4622" s="1" t="str">
        <f t="shared" si="982"/>
        <v>X</v>
      </c>
      <c r="J4622" s="1" t="str">
        <f t="shared" si="982"/>
        <v>X</v>
      </c>
      <c r="K4622" s="1" t="str">
        <f t="shared" si="982"/>
        <v>X</v>
      </c>
      <c r="L4622" s="1" t="str">
        <f t="shared" si="982"/>
        <v>X</v>
      </c>
      <c r="M4622" s="1" t="str">
        <f t="shared" si="982"/>
        <v>X</v>
      </c>
      <c r="N4622" t="s">
        <v>27</v>
      </c>
    </row>
    <row r="4623" spans="1:14" x14ac:dyDescent="0.25">
      <c r="A4623" t="s">
        <v>41</v>
      </c>
      <c r="B4623" t="s">
        <v>40</v>
      </c>
      <c r="C4623" t="s">
        <v>35</v>
      </c>
      <c r="D4623" t="s">
        <v>29</v>
      </c>
      <c r="E4623" t="s">
        <v>26</v>
      </c>
      <c r="F4623" t="s">
        <v>17</v>
      </c>
      <c r="G4623" s="1" t="str">
        <f t="shared" ref="G4623:M4625" si="983">"..."</f>
        <v>...</v>
      </c>
      <c r="H4623" s="1" t="str">
        <f t="shared" si="983"/>
        <v>...</v>
      </c>
      <c r="I4623" s="1" t="str">
        <f t="shared" si="983"/>
        <v>...</v>
      </c>
      <c r="J4623" s="1" t="str">
        <f t="shared" si="983"/>
        <v>...</v>
      </c>
      <c r="K4623" s="1" t="str">
        <f t="shared" si="983"/>
        <v>...</v>
      </c>
      <c r="L4623" s="1" t="str">
        <f t="shared" si="983"/>
        <v>...</v>
      </c>
      <c r="M4623" s="1" t="str">
        <f t="shared" si="983"/>
        <v>...</v>
      </c>
      <c r="N4623" t="s">
        <v>30</v>
      </c>
    </row>
    <row r="4624" spans="1:14" x14ac:dyDescent="0.25">
      <c r="A4624" t="s">
        <v>41</v>
      </c>
      <c r="B4624" t="s">
        <v>40</v>
      </c>
      <c r="C4624" t="s">
        <v>35</v>
      </c>
      <c r="D4624" t="s">
        <v>29</v>
      </c>
      <c r="E4624" t="s">
        <v>26</v>
      </c>
      <c r="F4624" t="s">
        <v>18</v>
      </c>
      <c r="G4624" s="1" t="str">
        <f t="shared" si="983"/>
        <v>...</v>
      </c>
      <c r="H4624" s="1" t="str">
        <f t="shared" si="983"/>
        <v>...</v>
      </c>
      <c r="I4624" s="1" t="str">
        <f t="shared" si="983"/>
        <v>...</v>
      </c>
      <c r="J4624" s="1" t="str">
        <f t="shared" si="983"/>
        <v>...</v>
      </c>
      <c r="K4624" s="1" t="str">
        <f t="shared" si="983"/>
        <v>...</v>
      </c>
      <c r="L4624" s="1" t="str">
        <f t="shared" si="983"/>
        <v>...</v>
      </c>
      <c r="M4624" s="1" t="str">
        <f t="shared" si="983"/>
        <v>...</v>
      </c>
      <c r="N4624" t="s">
        <v>30</v>
      </c>
    </row>
    <row r="4625" spans="1:14" x14ac:dyDescent="0.25">
      <c r="A4625" t="s">
        <v>41</v>
      </c>
      <c r="B4625" t="s">
        <v>40</v>
      </c>
      <c r="C4625" t="s">
        <v>35</v>
      </c>
      <c r="D4625" t="s">
        <v>29</v>
      </c>
      <c r="E4625" t="s">
        <v>26</v>
      </c>
      <c r="F4625" t="s">
        <v>19</v>
      </c>
      <c r="G4625" s="1" t="str">
        <f t="shared" si="983"/>
        <v>...</v>
      </c>
      <c r="H4625" s="1" t="str">
        <f t="shared" si="983"/>
        <v>...</v>
      </c>
      <c r="I4625" s="1" t="str">
        <f t="shared" si="983"/>
        <v>...</v>
      </c>
      <c r="J4625" s="1" t="str">
        <f t="shared" si="983"/>
        <v>...</v>
      </c>
      <c r="K4625" s="1" t="str">
        <f t="shared" si="983"/>
        <v>...</v>
      </c>
      <c r="L4625" s="1" t="str">
        <f t="shared" si="983"/>
        <v>...</v>
      </c>
      <c r="M4625" s="1" t="str">
        <f t="shared" si="983"/>
        <v>...</v>
      </c>
      <c r="N4625" t="s">
        <v>30</v>
      </c>
    </row>
    <row r="4626" spans="1:14" x14ac:dyDescent="0.25">
      <c r="A4626" t="s">
        <v>41</v>
      </c>
      <c r="B4626" t="s">
        <v>40</v>
      </c>
      <c r="C4626" t="s">
        <v>35</v>
      </c>
      <c r="D4626" t="s">
        <v>29</v>
      </c>
      <c r="E4626" t="s">
        <v>26</v>
      </c>
      <c r="F4626" t="s">
        <v>20</v>
      </c>
      <c r="G4626" s="1" t="str">
        <f t="shared" ref="G4626:M4626" si="984">"X"</f>
        <v>X</v>
      </c>
      <c r="H4626" s="1" t="str">
        <f t="shared" si="984"/>
        <v>X</v>
      </c>
      <c r="I4626" s="1" t="str">
        <f t="shared" si="984"/>
        <v>X</v>
      </c>
      <c r="J4626" s="1" t="str">
        <f t="shared" si="984"/>
        <v>X</v>
      </c>
      <c r="K4626" s="1" t="str">
        <f t="shared" si="984"/>
        <v>X</v>
      </c>
      <c r="L4626" s="1" t="str">
        <f t="shared" si="984"/>
        <v>X</v>
      </c>
      <c r="M4626" s="1" t="str">
        <f t="shared" si="984"/>
        <v>X</v>
      </c>
      <c r="N4626" t="s">
        <v>27</v>
      </c>
    </row>
    <row r="4627" spans="1:14" x14ac:dyDescent="0.25">
      <c r="A4627" t="s">
        <v>41</v>
      </c>
      <c r="B4627" t="s">
        <v>40</v>
      </c>
      <c r="C4627" t="s">
        <v>35</v>
      </c>
      <c r="D4627" t="s">
        <v>31</v>
      </c>
      <c r="E4627" t="s">
        <v>15</v>
      </c>
      <c r="F4627" t="s">
        <v>15</v>
      </c>
      <c r="G4627" s="2">
        <f>VALUE(249.1035682648)</f>
        <v>249.1035682648</v>
      </c>
      <c r="H4627" s="3">
        <f>VALUE(208.6423656407)</f>
        <v>208.64236564070001</v>
      </c>
      <c r="I4627" s="4">
        <f>VALUE(2888)</f>
        <v>2888</v>
      </c>
      <c r="J4627" s="5">
        <f>VALUE(3222)</f>
        <v>3222</v>
      </c>
      <c r="K4627" s="6">
        <f>VALUE(3452)</f>
        <v>3452</v>
      </c>
      <c r="L4627" s="1">
        <f>VALUE(4025)</f>
        <v>4025</v>
      </c>
      <c r="M4627" s="1">
        <f>VALUE(4540)</f>
        <v>4540</v>
      </c>
      <c r="N4627" t="s">
        <v>25</v>
      </c>
    </row>
    <row r="4628" spans="1:14" x14ac:dyDescent="0.25">
      <c r="A4628" t="s">
        <v>41</v>
      </c>
      <c r="B4628" t="s">
        <v>40</v>
      </c>
      <c r="C4628" t="s">
        <v>35</v>
      </c>
      <c r="D4628" t="s">
        <v>31</v>
      </c>
      <c r="E4628" t="s">
        <v>15</v>
      </c>
      <c r="F4628" t="s">
        <v>17</v>
      </c>
      <c r="G4628" s="1" t="str">
        <f t="shared" ref="G4628:M4637" si="985">"X"</f>
        <v>X</v>
      </c>
      <c r="H4628" s="1" t="str">
        <f t="shared" si="985"/>
        <v>X</v>
      </c>
      <c r="I4628" s="1" t="str">
        <f t="shared" si="985"/>
        <v>X</v>
      </c>
      <c r="J4628" s="1" t="str">
        <f t="shared" si="985"/>
        <v>X</v>
      </c>
      <c r="K4628" s="1" t="str">
        <f t="shared" si="985"/>
        <v>X</v>
      </c>
      <c r="L4628" s="1" t="str">
        <f t="shared" si="985"/>
        <v>X</v>
      </c>
      <c r="M4628" s="1" t="str">
        <f t="shared" si="985"/>
        <v>X</v>
      </c>
      <c r="N4628" t="s">
        <v>27</v>
      </c>
    </row>
    <row r="4629" spans="1:14" x14ac:dyDescent="0.25">
      <c r="A4629" t="s">
        <v>41</v>
      </c>
      <c r="B4629" t="s">
        <v>40</v>
      </c>
      <c r="C4629" t="s">
        <v>35</v>
      </c>
      <c r="D4629" t="s">
        <v>31</v>
      </c>
      <c r="E4629" t="s">
        <v>15</v>
      </c>
      <c r="F4629" t="s">
        <v>18</v>
      </c>
      <c r="G4629" s="1" t="str">
        <f t="shared" si="985"/>
        <v>X</v>
      </c>
      <c r="H4629" s="1" t="str">
        <f t="shared" si="985"/>
        <v>X</v>
      </c>
      <c r="I4629" s="1" t="str">
        <f t="shared" si="985"/>
        <v>X</v>
      </c>
      <c r="J4629" s="1" t="str">
        <f t="shared" si="985"/>
        <v>X</v>
      </c>
      <c r="K4629" s="1" t="str">
        <f t="shared" si="985"/>
        <v>X</v>
      </c>
      <c r="L4629" s="1" t="str">
        <f t="shared" si="985"/>
        <v>X</v>
      </c>
      <c r="M4629" s="1" t="str">
        <f t="shared" si="985"/>
        <v>X</v>
      </c>
      <c r="N4629" t="s">
        <v>27</v>
      </c>
    </row>
    <row r="4630" spans="1:14" x14ac:dyDescent="0.25">
      <c r="A4630" t="s">
        <v>41</v>
      </c>
      <c r="B4630" t="s">
        <v>40</v>
      </c>
      <c r="C4630" t="s">
        <v>35</v>
      </c>
      <c r="D4630" t="s">
        <v>31</v>
      </c>
      <c r="E4630" t="s">
        <v>15</v>
      </c>
      <c r="F4630" t="s">
        <v>19</v>
      </c>
      <c r="G4630" s="1" t="str">
        <f t="shared" si="985"/>
        <v>X</v>
      </c>
      <c r="H4630" s="1" t="str">
        <f t="shared" si="985"/>
        <v>X</v>
      </c>
      <c r="I4630" s="1" t="str">
        <f t="shared" si="985"/>
        <v>X</v>
      </c>
      <c r="J4630" s="1" t="str">
        <f t="shared" si="985"/>
        <v>X</v>
      </c>
      <c r="K4630" s="1" t="str">
        <f t="shared" si="985"/>
        <v>X</v>
      </c>
      <c r="L4630" s="1" t="str">
        <f t="shared" si="985"/>
        <v>X</v>
      </c>
      <c r="M4630" s="1" t="str">
        <f t="shared" si="985"/>
        <v>X</v>
      </c>
      <c r="N4630" t="s">
        <v>27</v>
      </c>
    </row>
    <row r="4631" spans="1:14" x14ac:dyDescent="0.25">
      <c r="A4631" t="s">
        <v>41</v>
      </c>
      <c r="B4631" t="s">
        <v>40</v>
      </c>
      <c r="C4631" t="s">
        <v>35</v>
      </c>
      <c r="D4631" t="s">
        <v>31</v>
      </c>
      <c r="E4631" t="s">
        <v>15</v>
      </c>
      <c r="F4631" t="s">
        <v>20</v>
      </c>
      <c r="G4631" s="1" t="str">
        <f t="shared" si="985"/>
        <v>X</v>
      </c>
      <c r="H4631" s="1" t="str">
        <f t="shared" si="985"/>
        <v>X</v>
      </c>
      <c r="I4631" s="1" t="str">
        <f t="shared" si="985"/>
        <v>X</v>
      </c>
      <c r="J4631" s="1" t="str">
        <f t="shared" si="985"/>
        <v>X</v>
      </c>
      <c r="K4631" s="1" t="str">
        <f t="shared" si="985"/>
        <v>X</v>
      </c>
      <c r="L4631" s="1" t="str">
        <f t="shared" si="985"/>
        <v>X</v>
      </c>
      <c r="M4631" s="1" t="str">
        <f t="shared" si="985"/>
        <v>X</v>
      </c>
      <c r="N4631" t="s">
        <v>27</v>
      </c>
    </row>
    <row r="4632" spans="1:14" x14ac:dyDescent="0.25">
      <c r="A4632" t="s">
        <v>41</v>
      </c>
      <c r="B4632" t="s">
        <v>40</v>
      </c>
      <c r="C4632" t="s">
        <v>35</v>
      </c>
      <c r="D4632" t="s">
        <v>31</v>
      </c>
      <c r="E4632" t="s">
        <v>21</v>
      </c>
      <c r="F4632" t="s">
        <v>15</v>
      </c>
      <c r="G4632" s="1" t="str">
        <f t="shared" si="985"/>
        <v>X</v>
      </c>
      <c r="H4632" s="1" t="str">
        <f t="shared" si="985"/>
        <v>X</v>
      </c>
      <c r="I4632" s="1" t="str">
        <f t="shared" si="985"/>
        <v>X</v>
      </c>
      <c r="J4632" s="1" t="str">
        <f t="shared" si="985"/>
        <v>X</v>
      </c>
      <c r="K4632" s="1" t="str">
        <f t="shared" si="985"/>
        <v>X</v>
      </c>
      <c r="L4632" s="1" t="str">
        <f t="shared" si="985"/>
        <v>X</v>
      </c>
      <c r="M4632" s="1" t="str">
        <f t="shared" si="985"/>
        <v>X</v>
      </c>
      <c r="N4632" t="s">
        <v>27</v>
      </c>
    </row>
    <row r="4633" spans="1:14" x14ac:dyDescent="0.25">
      <c r="A4633" t="s">
        <v>41</v>
      </c>
      <c r="B4633" t="s">
        <v>40</v>
      </c>
      <c r="C4633" t="s">
        <v>35</v>
      </c>
      <c r="D4633" t="s">
        <v>31</v>
      </c>
      <c r="E4633" t="s">
        <v>21</v>
      </c>
      <c r="F4633" t="s">
        <v>17</v>
      </c>
      <c r="G4633" s="1" t="str">
        <f t="shared" si="985"/>
        <v>X</v>
      </c>
      <c r="H4633" s="1" t="str">
        <f t="shared" si="985"/>
        <v>X</v>
      </c>
      <c r="I4633" s="1" t="str">
        <f t="shared" si="985"/>
        <v>X</v>
      </c>
      <c r="J4633" s="1" t="str">
        <f t="shared" si="985"/>
        <v>X</v>
      </c>
      <c r="K4633" s="1" t="str">
        <f t="shared" si="985"/>
        <v>X</v>
      </c>
      <c r="L4633" s="1" t="str">
        <f t="shared" si="985"/>
        <v>X</v>
      </c>
      <c r="M4633" s="1" t="str">
        <f t="shared" si="985"/>
        <v>X</v>
      </c>
      <c r="N4633" t="s">
        <v>27</v>
      </c>
    </row>
    <row r="4634" spans="1:14" x14ac:dyDescent="0.25">
      <c r="A4634" t="s">
        <v>41</v>
      </c>
      <c r="B4634" t="s">
        <v>40</v>
      </c>
      <c r="C4634" t="s">
        <v>35</v>
      </c>
      <c r="D4634" t="s">
        <v>31</v>
      </c>
      <c r="E4634" t="s">
        <v>21</v>
      </c>
      <c r="F4634" t="s">
        <v>18</v>
      </c>
      <c r="G4634" s="1" t="str">
        <f t="shared" si="985"/>
        <v>X</v>
      </c>
      <c r="H4634" s="1" t="str">
        <f t="shared" si="985"/>
        <v>X</v>
      </c>
      <c r="I4634" s="1" t="str">
        <f t="shared" si="985"/>
        <v>X</v>
      </c>
      <c r="J4634" s="1" t="str">
        <f t="shared" si="985"/>
        <v>X</v>
      </c>
      <c r="K4634" s="1" t="str">
        <f t="shared" si="985"/>
        <v>X</v>
      </c>
      <c r="L4634" s="1" t="str">
        <f t="shared" si="985"/>
        <v>X</v>
      </c>
      <c r="M4634" s="1" t="str">
        <f t="shared" si="985"/>
        <v>X</v>
      </c>
      <c r="N4634" t="s">
        <v>27</v>
      </c>
    </row>
    <row r="4635" spans="1:14" x14ac:dyDescent="0.25">
      <c r="A4635" t="s">
        <v>41</v>
      </c>
      <c r="B4635" t="s">
        <v>40</v>
      </c>
      <c r="C4635" t="s">
        <v>35</v>
      </c>
      <c r="D4635" t="s">
        <v>31</v>
      </c>
      <c r="E4635" t="s">
        <v>21</v>
      </c>
      <c r="F4635" t="s">
        <v>19</v>
      </c>
      <c r="G4635" s="1" t="str">
        <f t="shared" si="985"/>
        <v>X</v>
      </c>
      <c r="H4635" s="1" t="str">
        <f t="shared" si="985"/>
        <v>X</v>
      </c>
      <c r="I4635" s="1" t="str">
        <f t="shared" si="985"/>
        <v>X</v>
      </c>
      <c r="J4635" s="1" t="str">
        <f t="shared" si="985"/>
        <v>X</v>
      </c>
      <c r="K4635" s="1" t="str">
        <f t="shared" si="985"/>
        <v>X</v>
      </c>
      <c r="L4635" s="1" t="str">
        <f t="shared" si="985"/>
        <v>X</v>
      </c>
      <c r="M4635" s="1" t="str">
        <f t="shared" si="985"/>
        <v>X</v>
      </c>
      <c r="N4635" t="s">
        <v>27</v>
      </c>
    </row>
    <row r="4636" spans="1:14" x14ac:dyDescent="0.25">
      <c r="A4636" t="s">
        <v>41</v>
      </c>
      <c r="B4636" t="s">
        <v>40</v>
      </c>
      <c r="C4636" t="s">
        <v>35</v>
      </c>
      <c r="D4636" t="s">
        <v>31</v>
      </c>
      <c r="E4636" t="s">
        <v>21</v>
      </c>
      <c r="F4636" t="s">
        <v>20</v>
      </c>
      <c r="G4636" s="1" t="str">
        <f t="shared" si="985"/>
        <v>X</v>
      </c>
      <c r="H4636" s="1" t="str">
        <f t="shared" si="985"/>
        <v>X</v>
      </c>
      <c r="I4636" s="1" t="str">
        <f t="shared" si="985"/>
        <v>X</v>
      </c>
      <c r="J4636" s="1" t="str">
        <f t="shared" si="985"/>
        <v>X</v>
      </c>
      <c r="K4636" s="1" t="str">
        <f t="shared" si="985"/>
        <v>X</v>
      </c>
      <c r="L4636" s="1" t="str">
        <f t="shared" si="985"/>
        <v>X</v>
      </c>
      <c r="M4636" s="1" t="str">
        <f t="shared" si="985"/>
        <v>X</v>
      </c>
      <c r="N4636" t="s">
        <v>27</v>
      </c>
    </row>
    <row r="4637" spans="1:14" x14ac:dyDescent="0.25">
      <c r="A4637" t="s">
        <v>41</v>
      </c>
      <c r="B4637" t="s">
        <v>40</v>
      </c>
      <c r="C4637" t="s">
        <v>35</v>
      </c>
      <c r="D4637" t="s">
        <v>31</v>
      </c>
      <c r="E4637" t="s">
        <v>22</v>
      </c>
      <c r="F4637" t="s">
        <v>15</v>
      </c>
      <c r="G4637" s="1" t="str">
        <f t="shared" si="985"/>
        <v>X</v>
      </c>
      <c r="H4637" s="1" t="str">
        <f t="shared" si="985"/>
        <v>X</v>
      </c>
      <c r="I4637" s="1" t="str">
        <f t="shared" si="985"/>
        <v>X</v>
      </c>
      <c r="J4637" s="1" t="str">
        <f t="shared" si="985"/>
        <v>X</v>
      </c>
      <c r="K4637" s="1" t="str">
        <f t="shared" si="985"/>
        <v>X</v>
      </c>
      <c r="L4637" s="1" t="str">
        <f t="shared" si="985"/>
        <v>X</v>
      </c>
      <c r="M4637" s="1" t="str">
        <f t="shared" si="985"/>
        <v>X</v>
      </c>
      <c r="N4637" t="s">
        <v>27</v>
      </c>
    </row>
    <row r="4638" spans="1:14" x14ac:dyDescent="0.25">
      <c r="A4638" t="s">
        <v>41</v>
      </c>
      <c r="B4638" t="s">
        <v>40</v>
      </c>
      <c r="C4638" t="s">
        <v>35</v>
      </c>
      <c r="D4638" t="s">
        <v>31</v>
      </c>
      <c r="E4638" t="s">
        <v>22</v>
      </c>
      <c r="F4638" t="s">
        <v>17</v>
      </c>
      <c r="G4638" s="1" t="str">
        <f t="shared" ref="G4638:M4639" si="986">"..."</f>
        <v>...</v>
      </c>
      <c r="H4638" s="1" t="str">
        <f t="shared" si="986"/>
        <v>...</v>
      </c>
      <c r="I4638" s="1" t="str">
        <f t="shared" si="986"/>
        <v>...</v>
      </c>
      <c r="J4638" s="1" t="str">
        <f t="shared" si="986"/>
        <v>...</v>
      </c>
      <c r="K4638" s="1" t="str">
        <f t="shared" si="986"/>
        <v>...</v>
      </c>
      <c r="L4638" s="1" t="str">
        <f t="shared" si="986"/>
        <v>...</v>
      </c>
      <c r="M4638" s="1" t="str">
        <f t="shared" si="986"/>
        <v>...</v>
      </c>
      <c r="N4638" t="s">
        <v>30</v>
      </c>
    </row>
    <row r="4639" spans="1:14" x14ac:dyDescent="0.25">
      <c r="A4639" t="s">
        <v>41</v>
      </c>
      <c r="B4639" t="s">
        <v>40</v>
      </c>
      <c r="C4639" t="s">
        <v>35</v>
      </c>
      <c r="D4639" t="s">
        <v>31</v>
      </c>
      <c r="E4639" t="s">
        <v>22</v>
      </c>
      <c r="F4639" t="s">
        <v>18</v>
      </c>
      <c r="G4639" s="1" t="str">
        <f t="shared" si="986"/>
        <v>...</v>
      </c>
      <c r="H4639" s="1" t="str">
        <f t="shared" si="986"/>
        <v>...</v>
      </c>
      <c r="I4639" s="1" t="str">
        <f t="shared" si="986"/>
        <v>...</v>
      </c>
      <c r="J4639" s="1" t="str">
        <f t="shared" si="986"/>
        <v>...</v>
      </c>
      <c r="K4639" s="1" t="str">
        <f t="shared" si="986"/>
        <v>...</v>
      </c>
      <c r="L4639" s="1" t="str">
        <f t="shared" si="986"/>
        <v>...</v>
      </c>
      <c r="M4639" s="1" t="str">
        <f t="shared" si="986"/>
        <v>...</v>
      </c>
      <c r="N4639" t="s">
        <v>30</v>
      </c>
    </row>
    <row r="4640" spans="1:14" x14ac:dyDescent="0.25">
      <c r="A4640" t="s">
        <v>41</v>
      </c>
      <c r="B4640" t="s">
        <v>40</v>
      </c>
      <c r="C4640" t="s">
        <v>35</v>
      </c>
      <c r="D4640" t="s">
        <v>31</v>
      </c>
      <c r="E4640" t="s">
        <v>22</v>
      </c>
      <c r="F4640" t="s">
        <v>19</v>
      </c>
      <c r="G4640" s="1" t="str">
        <f t="shared" ref="G4640:M4642" si="987">"X"</f>
        <v>X</v>
      </c>
      <c r="H4640" s="1" t="str">
        <f t="shared" si="987"/>
        <v>X</v>
      </c>
      <c r="I4640" s="1" t="str">
        <f t="shared" si="987"/>
        <v>X</v>
      </c>
      <c r="J4640" s="1" t="str">
        <f t="shared" si="987"/>
        <v>X</v>
      </c>
      <c r="K4640" s="1" t="str">
        <f t="shared" si="987"/>
        <v>X</v>
      </c>
      <c r="L4640" s="1" t="str">
        <f t="shared" si="987"/>
        <v>X</v>
      </c>
      <c r="M4640" s="1" t="str">
        <f t="shared" si="987"/>
        <v>X</v>
      </c>
      <c r="N4640" t="s">
        <v>27</v>
      </c>
    </row>
    <row r="4641" spans="1:14" x14ac:dyDescent="0.25">
      <c r="A4641" t="s">
        <v>41</v>
      </c>
      <c r="B4641" t="s">
        <v>40</v>
      </c>
      <c r="C4641" t="s">
        <v>35</v>
      </c>
      <c r="D4641" t="s">
        <v>31</v>
      </c>
      <c r="E4641" t="s">
        <v>22</v>
      </c>
      <c r="F4641" t="s">
        <v>20</v>
      </c>
      <c r="G4641" s="1" t="str">
        <f t="shared" si="987"/>
        <v>X</v>
      </c>
      <c r="H4641" s="1" t="str">
        <f t="shared" si="987"/>
        <v>X</v>
      </c>
      <c r="I4641" s="1" t="str">
        <f t="shared" si="987"/>
        <v>X</v>
      </c>
      <c r="J4641" s="1" t="str">
        <f t="shared" si="987"/>
        <v>X</v>
      </c>
      <c r="K4641" s="1" t="str">
        <f t="shared" si="987"/>
        <v>X</v>
      </c>
      <c r="L4641" s="1" t="str">
        <f t="shared" si="987"/>
        <v>X</v>
      </c>
      <c r="M4641" s="1" t="str">
        <f t="shared" si="987"/>
        <v>X</v>
      </c>
      <c r="N4641" t="s">
        <v>27</v>
      </c>
    </row>
    <row r="4642" spans="1:14" x14ac:dyDescent="0.25">
      <c r="A4642" t="s">
        <v>41</v>
      </c>
      <c r="B4642" t="s">
        <v>40</v>
      </c>
      <c r="C4642" t="s">
        <v>35</v>
      </c>
      <c r="D4642" t="s">
        <v>31</v>
      </c>
      <c r="E4642" t="s">
        <v>23</v>
      </c>
      <c r="F4642" t="s">
        <v>15</v>
      </c>
      <c r="G4642" s="1" t="str">
        <f t="shared" si="987"/>
        <v>X</v>
      </c>
      <c r="H4642" s="1" t="str">
        <f t="shared" si="987"/>
        <v>X</v>
      </c>
      <c r="I4642" s="1" t="str">
        <f t="shared" si="987"/>
        <v>X</v>
      </c>
      <c r="J4642" s="1" t="str">
        <f t="shared" si="987"/>
        <v>X</v>
      </c>
      <c r="K4642" s="1" t="str">
        <f t="shared" si="987"/>
        <v>X</v>
      </c>
      <c r="L4642" s="1" t="str">
        <f t="shared" si="987"/>
        <v>X</v>
      </c>
      <c r="M4642" s="1" t="str">
        <f t="shared" si="987"/>
        <v>X</v>
      </c>
      <c r="N4642" t="s">
        <v>27</v>
      </c>
    </row>
    <row r="4643" spans="1:14" x14ac:dyDescent="0.25">
      <c r="A4643" t="s">
        <v>41</v>
      </c>
      <c r="B4643" t="s">
        <v>40</v>
      </c>
      <c r="C4643" t="s">
        <v>35</v>
      </c>
      <c r="D4643" t="s">
        <v>31</v>
      </c>
      <c r="E4643" t="s">
        <v>23</v>
      </c>
      <c r="F4643" t="s">
        <v>17</v>
      </c>
      <c r="G4643" s="1" t="str">
        <f t="shared" ref="G4643:M4643" si="988">"..."</f>
        <v>...</v>
      </c>
      <c r="H4643" s="1" t="str">
        <f t="shared" si="988"/>
        <v>...</v>
      </c>
      <c r="I4643" s="1" t="str">
        <f t="shared" si="988"/>
        <v>...</v>
      </c>
      <c r="J4643" s="1" t="str">
        <f t="shared" si="988"/>
        <v>...</v>
      </c>
      <c r="K4643" s="1" t="str">
        <f t="shared" si="988"/>
        <v>...</v>
      </c>
      <c r="L4643" s="1" t="str">
        <f t="shared" si="988"/>
        <v>...</v>
      </c>
      <c r="M4643" s="1" t="str">
        <f t="shared" si="988"/>
        <v>...</v>
      </c>
      <c r="N4643" t="s">
        <v>30</v>
      </c>
    </row>
    <row r="4644" spans="1:14" x14ac:dyDescent="0.25">
      <c r="A4644" t="s">
        <v>41</v>
      </c>
      <c r="B4644" t="s">
        <v>40</v>
      </c>
      <c r="C4644" t="s">
        <v>35</v>
      </c>
      <c r="D4644" t="s">
        <v>31</v>
      </c>
      <c r="E4644" t="s">
        <v>23</v>
      </c>
      <c r="F4644" t="s">
        <v>18</v>
      </c>
      <c r="G4644" s="1" t="str">
        <f t="shared" ref="G4644:M4647" si="989">"X"</f>
        <v>X</v>
      </c>
      <c r="H4644" s="1" t="str">
        <f t="shared" si="989"/>
        <v>X</v>
      </c>
      <c r="I4644" s="1" t="str">
        <f t="shared" si="989"/>
        <v>X</v>
      </c>
      <c r="J4644" s="1" t="str">
        <f t="shared" si="989"/>
        <v>X</v>
      </c>
      <c r="K4644" s="1" t="str">
        <f t="shared" si="989"/>
        <v>X</v>
      </c>
      <c r="L4644" s="1" t="str">
        <f t="shared" si="989"/>
        <v>X</v>
      </c>
      <c r="M4644" s="1" t="str">
        <f t="shared" si="989"/>
        <v>X</v>
      </c>
      <c r="N4644" t="s">
        <v>27</v>
      </c>
    </row>
    <row r="4645" spans="1:14" x14ac:dyDescent="0.25">
      <c r="A4645" t="s">
        <v>41</v>
      </c>
      <c r="B4645" t="s">
        <v>40</v>
      </c>
      <c r="C4645" t="s">
        <v>35</v>
      </c>
      <c r="D4645" t="s">
        <v>31</v>
      </c>
      <c r="E4645" t="s">
        <v>23</v>
      </c>
      <c r="F4645" t="s">
        <v>19</v>
      </c>
      <c r="G4645" s="1" t="str">
        <f t="shared" si="989"/>
        <v>X</v>
      </c>
      <c r="H4645" s="1" t="str">
        <f t="shared" si="989"/>
        <v>X</v>
      </c>
      <c r="I4645" s="1" t="str">
        <f t="shared" si="989"/>
        <v>X</v>
      </c>
      <c r="J4645" s="1" t="str">
        <f t="shared" si="989"/>
        <v>X</v>
      </c>
      <c r="K4645" s="1" t="str">
        <f t="shared" si="989"/>
        <v>X</v>
      </c>
      <c r="L4645" s="1" t="str">
        <f t="shared" si="989"/>
        <v>X</v>
      </c>
      <c r="M4645" s="1" t="str">
        <f t="shared" si="989"/>
        <v>X</v>
      </c>
      <c r="N4645" t="s">
        <v>27</v>
      </c>
    </row>
    <row r="4646" spans="1:14" x14ac:dyDescent="0.25">
      <c r="A4646" t="s">
        <v>41</v>
      </c>
      <c r="B4646" t="s">
        <v>40</v>
      </c>
      <c r="C4646" t="s">
        <v>35</v>
      </c>
      <c r="D4646" t="s">
        <v>31</v>
      </c>
      <c r="E4646" t="s">
        <v>23</v>
      </c>
      <c r="F4646" t="s">
        <v>20</v>
      </c>
      <c r="G4646" s="1" t="str">
        <f t="shared" si="989"/>
        <v>X</v>
      </c>
      <c r="H4646" s="1" t="str">
        <f t="shared" si="989"/>
        <v>X</v>
      </c>
      <c r="I4646" s="1" t="str">
        <f t="shared" si="989"/>
        <v>X</v>
      </c>
      <c r="J4646" s="1" t="str">
        <f t="shared" si="989"/>
        <v>X</v>
      </c>
      <c r="K4646" s="1" t="str">
        <f t="shared" si="989"/>
        <v>X</v>
      </c>
      <c r="L4646" s="1" t="str">
        <f t="shared" si="989"/>
        <v>X</v>
      </c>
      <c r="M4646" s="1" t="str">
        <f t="shared" si="989"/>
        <v>X</v>
      </c>
      <c r="N4646" t="s">
        <v>27</v>
      </c>
    </row>
    <row r="4647" spans="1:14" x14ac:dyDescent="0.25">
      <c r="A4647" t="s">
        <v>41</v>
      </c>
      <c r="B4647" t="s">
        <v>40</v>
      </c>
      <c r="C4647" t="s">
        <v>35</v>
      </c>
      <c r="D4647" t="s">
        <v>31</v>
      </c>
      <c r="E4647" t="s">
        <v>26</v>
      </c>
      <c r="F4647" t="s">
        <v>15</v>
      </c>
      <c r="G4647" s="1" t="str">
        <f t="shared" si="989"/>
        <v>X</v>
      </c>
      <c r="H4647" s="1" t="str">
        <f t="shared" si="989"/>
        <v>X</v>
      </c>
      <c r="I4647" s="1" t="str">
        <f t="shared" si="989"/>
        <v>X</v>
      </c>
      <c r="J4647" s="1" t="str">
        <f t="shared" si="989"/>
        <v>X</v>
      </c>
      <c r="K4647" s="1" t="str">
        <f t="shared" si="989"/>
        <v>X</v>
      </c>
      <c r="L4647" s="1" t="str">
        <f t="shared" si="989"/>
        <v>X</v>
      </c>
      <c r="M4647" s="1" t="str">
        <f t="shared" si="989"/>
        <v>X</v>
      </c>
      <c r="N4647" t="s">
        <v>27</v>
      </c>
    </row>
    <row r="4648" spans="1:14" x14ac:dyDescent="0.25">
      <c r="A4648" t="s">
        <v>41</v>
      </c>
      <c r="B4648" t="s">
        <v>40</v>
      </c>
      <c r="C4648" t="s">
        <v>35</v>
      </c>
      <c r="D4648" t="s">
        <v>31</v>
      </c>
      <c r="E4648" t="s">
        <v>26</v>
      </c>
      <c r="F4648" t="s">
        <v>17</v>
      </c>
      <c r="G4648" s="1" t="str">
        <f t="shared" ref="G4648:M4650" si="990">"..."</f>
        <v>...</v>
      </c>
      <c r="H4648" s="1" t="str">
        <f t="shared" si="990"/>
        <v>...</v>
      </c>
      <c r="I4648" s="1" t="str">
        <f t="shared" si="990"/>
        <v>...</v>
      </c>
      <c r="J4648" s="1" t="str">
        <f t="shared" si="990"/>
        <v>...</v>
      </c>
      <c r="K4648" s="1" t="str">
        <f t="shared" si="990"/>
        <v>...</v>
      </c>
      <c r="L4648" s="1" t="str">
        <f t="shared" si="990"/>
        <v>...</v>
      </c>
      <c r="M4648" s="1" t="str">
        <f t="shared" si="990"/>
        <v>...</v>
      </c>
      <c r="N4648" t="s">
        <v>30</v>
      </c>
    </row>
    <row r="4649" spans="1:14" x14ac:dyDescent="0.25">
      <c r="A4649" t="s">
        <v>41</v>
      </c>
      <c r="B4649" t="s">
        <v>40</v>
      </c>
      <c r="C4649" t="s">
        <v>35</v>
      </c>
      <c r="D4649" t="s">
        <v>31</v>
      </c>
      <c r="E4649" t="s">
        <v>26</v>
      </c>
      <c r="F4649" t="s">
        <v>18</v>
      </c>
      <c r="G4649" s="1" t="str">
        <f t="shared" si="990"/>
        <v>...</v>
      </c>
      <c r="H4649" s="1" t="str">
        <f t="shared" si="990"/>
        <v>...</v>
      </c>
      <c r="I4649" s="1" t="str">
        <f t="shared" si="990"/>
        <v>...</v>
      </c>
      <c r="J4649" s="1" t="str">
        <f t="shared" si="990"/>
        <v>...</v>
      </c>
      <c r="K4649" s="1" t="str">
        <f t="shared" si="990"/>
        <v>...</v>
      </c>
      <c r="L4649" s="1" t="str">
        <f t="shared" si="990"/>
        <v>...</v>
      </c>
      <c r="M4649" s="1" t="str">
        <f t="shared" si="990"/>
        <v>...</v>
      </c>
      <c r="N4649" t="s">
        <v>30</v>
      </c>
    </row>
    <row r="4650" spans="1:14" x14ac:dyDescent="0.25">
      <c r="A4650" t="s">
        <v>41</v>
      </c>
      <c r="B4650" t="s">
        <v>40</v>
      </c>
      <c r="C4650" t="s">
        <v>35</v>
      </c>
      <c r="D4650" t="s">
        <v>31</v>
      </c>
      <c r="E4650" t="s">
        <v>26</v>
      </c>
      <c r="F4650" t="s">
        <v>19</v>
      </c>
      <c r="G4650" s="1" t="str">
        <f t="shared" si="990"/>
        <v>...</v>
      </c>
      <c r="H4650" s="1" t="str">
        <f t="shared" si="990"/>
        <v>...</v>
      </c>
      <c r="I4650" s="1" t="str">
        <f t="shared" si="990"/>
        <v>...</v>
      </c>
      <c r="J4650" s="1" t="str">
        <f t="shared" si="990"/>
        <v>...</v>
      </c>
      <c r="K4650" s="1" t="str">
        <f t="shared" si="990"/>
        <v>...</v>
      </c>
      <c r="L4650" s="1" t="str">
        <f t="shared" si="990"/>
        <v>...</v>
      </c>
      <c r="M4650" s="1" t="str">
        <f t="shared" si="990"/>
        <v>...</v>
      </c>
      <c r="N4650" t="s">
        <v>30</v>
      </c>
    </row>
    <row r="4651" spans="1:14" x14ac:dyDescent="0.25">
      <c r="A4651" t="s">
        <v>41</v>
      </c>
      <c r="B4651" t="s">
        <v>40</v>
      </c>
      <c r="C4651" t="s">
        <v>35</v>
      </c>
      <c r="D4651" t="s">
        <v>31</v>
      </c>
      <c r="E4651" t="s">
        <v>26</v>
      </c>
      <c r="F4651" t="s">
        <v>20</v>
      </c>
      <c r="G4651" s="1" t="str">
        <f t="shared" ref="G4651:M4651" si="991">"X"</f>
        <v>X</v>
      </c>
      <c r="H4651" s="1" t="str">
        <f t="shared" si="991"/>
        <v>X</v>
      </c>
      <c r="I4651" s="1" t="str">
        <f t="shared" si="991"/>
        <v>X</v>
      </c>
      <c r="J4651" s="1" t="str">
        <f t="shared" si="991"/>
        <v>X</v>
      </c>
      <c r="K4651" s="1" t="str">
        <f t="shared" si="991"/>
        <v>X</v>
      </c>
      <c r="L4651" s="1" t="str">
        <f t="shared" si="991"/>
        <v>X</v>
      </c>
      <c r="M4651" s="1" t="str">
        <f t="shared" si="991"/>
        <v>X</v>
      </c>
      <c r="N4651" t="s">
        <v>27</v>
      </c>
    </row>
    <row r="4652" spans="1:14" x14ac:dyDescent="0.25">
      <c r="A4652" t="s">
        <v>41</v>
      </c>
      <c r="B4652" t="s">
        <v>40</v>
      </c>
      <c r="C4652" t="s">
        <v>35</v>
      </c>
      <c r="D4652" t="s">
        <v>32</v>
      </c>
      <c r="E4652" t="s">
        <v>15</v>
      </c>
      <c r="F4652" t="s">
        <v>15</v>
      </c>
      <c r="G4652" s="2">
        <f>VALUE(911.7195595413)</f>
        <v>911.71955954129999</v>
      </c>
      <c r="H4652" s="3">
        <f>VALUE(812.3648949932)</f>
        <v>812.36489499319998</v>
      </c>
      <c r="I4652" s="4">
        <f>VALUE(2441)</f>
        <v>2441</v>
      </c>
      <c r="J4652" s="1">
        <f>VALUE(2691)</f>
        <v>2691</v>
      </c>
      <c r="K4652" s="1">
        <f>VALUE(2946)</f>
        <v>2946</v>
      </c>
      <c r="L4652" s="1">
        <f>VALUE(3377)</f>
        <v>3377</v>
      </c>
      <c r="M4652" s="1">
        <f>VALUE(3868)</f>
        <v>3868</v>
      </c>
      <c r="N4652" t="s">
        <v>25</v>
      </c>
    </row>
    <row r="4653" spans="1:14" x14ac:dyDescent="0.25">
      <c r="A4653" t="s">
        <v>41</v>
      </c>
      <c r="B4653" t="s">
        <v>40</v>
      </c>
      <c r="C4653" t="s">
        <v>35</v>
      </c>
      <c r="D4653" t="s">
        <v>32</v>
      </c>
      <c r="E4653" t="s">
        <v>15</v>
      </c>
      <c r="F4653" t="s">
        <v>17</v>
      </c>
      <c r="G4653" s="1" t="str">
        <f t="shared" ref="G4653:M4655" si="992">"X"</f>
        <v>X</v>
      </c>
      <c r="H4653" s="1" t="str">
        <f t="shared" si="992"/>
        <v>X</v>
      </c>
      <c r="I4653" s="1" t="str">
        <f t="shared" si="992"/>
        <v>X</v>
      </c>
      <c r="J4653" s="1" t="str">
        <f t="shared" si="992"/>
        <v>X</v>
      </c>
      <c r="K4653" s="1" t="str">
        <f t="shared" si="992"/>
        <v>X</v>
      </c>
      <c r="L4653" s="1" t="str">
        <f t="shared" si="992"/>
        <v>X</v>
      </c>
      <c r="M4653" s="1" t="str">
        <f t="shared" si="992"/>
        <v>X</v>
      </c>
      <c r="N4653" t="s">
        <v>27</v>
      </c>
    </row>
    <row r="4654" spans="1:14" x14ac:dyDescent="0.25">
      <c r="A4654" t="s">
        <v>41</v>
      </c>
      <c r="B4654" t="s">
        <v>40</v>
      </c>
      <c r="C4654" t="s">
        <v>35</v>
      </c>
      <c r="D4654" t="s">
        <v>32</v>
      </c>
      <c r="E4654" t="s">
        <v>15</v>
      </c>
      <c r="F4654" t="s">
        <v>18</v>
      </c>
      <c r="G4654" s="1" t="str">
        <f t="shared" si="992"/>
        <v>X</v>
      </c>
      <c r="H4654" s="1" t="str">
        <f t="shared" si="992"/>
        <v>X</v>
      </c>
      <c r="I4654" s="1" t="str">
        <f t="shared" si="992"/>
        <v>X</v>
      </c>
      <c r="J4654" s="1" t="str">
        <f t="shared" si="992"/>
        <v>X</v>
      </c>
      <c r="K4654" s="1" t="str">
        <f t="shared" si="992"/>
        <v>X</v>
      </c>
      <c r="L4654" s="1" t="str">
        <f t="shared" si="992"/>
        <v>X</v>
      </c>
      <c r="M4654" s="1" t="str">
        <f t="shared" si="992"/>
        <v>X</v>
      </c>
      <c r="N4654" t="s">
        <v>27</v>
      </c>
    </row>
    <row r="4655" spans="1:14" x14ac:dyDescent="0.25">
      <c r="A4655" t="s">
        <v>41</v>
      </c>
      <c r="B4655" t="s">
        <v>40</v>
      </c>
      <c r="C4655" t="s">
        <v>35</v>
      </c>
      <c r="D4655" t="s">
        <v>32</v>
      </c>
      <c r="E4655" t="s">
        <v>15</v>
      </c>
      <c r="F4655" t="s">
        <v>19</v>
      </c>
      <c r="G4655" s="1" t="str">
        <f t="shared" si="992"/>
        <v>X</v>
      </c>
      <c r="H4655" s="1" t="str">
        <f t="shared" si="992"/>
        <v>X</v>
      </c>
      <c r="I4655" s="1" t="str">
        <f t="shared" si="992"/>
        <v>X</v>
      </c>
      <c r="J4655" s="1" t="str">
        <f t="shared" si="992"/>
        <v>X</v>
      </c>
      <c r="K4655" s="1" t="str">
        <f t="shared" si="992"/>
        <v>X</v>
      </c>
      <c r="L4655" s="1" t="str">
        <f t="shared" si="992"/>
        <v>X</v>
      </c>
      <c r="M4655" s="1" t="str">
        <f t="shared" si="992"/>
        <v>X</v>
      </c>
      <c r="N4655" t="s">
        <v>27</v>
      </c>
    </row>
    <row r="4656" spans="1:14" x14ac:dyDescent="0.25">
      <c r="A4656" t="s">
        <v>41</v>
      </c>
      <c r="B4656" t="s">
        <v>40</v>
      </c>
      <c r="C4656" t="s">
        <v>35</v>
      </c>
      <c r="D4656" t="s">
        <v>32</v>
      </c>
      <c r="E4656" t="s">
        <v>15</v>
      </c>
      <c r="F4656" t="s">
        <v>20</v>
      </c>
      <c r="G4656" s="2">
        <f>VALUE(844.9418740902)</f>
        <v>844.94187409020003</v>
      </c>
      <c r="H4656" s="3">
        <f>VALUE(757.1130365247)</f>
        <v>757.11303652469996</v>
      </c>
      <c r="I4656" s="1">
        <f>VALUE(2447)</f>
        <v>2447</v>
      </c>
      <c r="J4656" s="1">
        <f>VALUE(2691)</f>
        <v>2691</v>
      </c>
      <c r="K4656" s="1">
        <f>VALUE(2923)</f>
        <v>2923</v>
      </c>
      <c r="L4656" s="1">
        <f>VALUE(3365)</f>
        <v>3365</v>
      </c>
      <c r="M4656" s="1">
        <f>VALUE(3868)</f>
        <v>3868</v>
      </c>
      <c r="N4656" t="s">
        <v>25</v>
      </c>
    </row>
    <row r="4657" spans="1:14" x14ac:dyDescent="0.25">
      <c r="A4657" t="s">
        <v>41</v>
      </c>
      <c r="B4657" t="s">
        <v>40</v>
      </c>
      <c r="C4657" t="s">
        <v>35</v>
      </c>
      <c r="D4657" t="s">
        <v>32</v>
      </c>
      <c r="E4657" t="s">
        <v>21</v>
      </c>
      <c r="F4657" t="s">
        <v>15</v>
      </c>
      <c r="G4657" s="1" t="str">
        <f t="shared" ref="G4657:M4657" si="993">"X"</f>
        <v>X</v>
      </c>
      <c r="H4657" s="1" t="str">
        <f t="shared" si="993"/>
        <v>X</v>
      </c>
      <c r="I4657" s="1" t="str">
        <f t="shared" si="993"/>
        <v>X</v>
      </c>
      <c r="J4657" s="1" t="str">
        <f t="shared" si="993"/>
        <v>X</v>
      </c>
      <c r="K4657" s="1" t="str">
        <f t="shared" si="993"/>
        <v>X</v>
      </c>
      <c r="L4657" s="1" t="str">
        <f t="shared" si="993"/>
        <v>X</v>
      </c>
      <c r="M4657" s="1" t="str">
        <f t="shared" si="993"/>
        <v>X</v>
      </c>
      <c r="N4657" t="s">
        <v>27</v>
      </c>
    </row>
    <row r="4658" spans="1:14" x14ac:dyDescent="0.25">
      <c r="A4658" t="s">
        <v>41</v>
      </c>
      <c r="B4658" t="s">
        <v>40</v>
      </c>
      <c r="C4658" t="s">
        <v>35</v>
      </c>
      <c r="D4658" t="s">
        <v>32</v>
      </c>
      <c r="E4658" t="s">
        <v>21</v>
      </c>
      <c r="F4658" t="s">
        <v>17</v>
      </c>
      <c r="G4658" s="1" t="str">
        <f t="shared" ref="G4658:M4658" si="994">"..."</f>
        <v>...</v>
      </c>
      <c r="H4658" s="1" t="str">
        <f t="shared" si="994"/>
        <v>...</v>
      </c>
      <c r="I4658" s="1" t="str">
        <f t="shared" si="994"/>
        <v>...</v>
      </c>
      <c r="J4658" s="1" t="str">
        <f t="shared" si="994"/>
        <v>...</v>
      </c>
      <c r="K4658" s="1" t="str">
        <f t="shared" si="994"/>
        <v>...</v>
      </c>
      <c r="L4658" s="1" t="str">
        <f t="shared" si="994"/>
        <v>...</v>
      </c>
      <c r="M4658" s="1" t="str">
        <f t="shared" si="994"/>
        <v>...</v>
      </c>
      <c r="N4658" t="s">
        <v>30</v>
      </c>
    </row>
    <row r="4659" spans="1:14" x14ac:dyDescent="0.25">
      <c r="A4659" t="s">
        <v>41</v>
      </c>
      <c r="B4659" t="s">
        <v>40</v>
      </c>
      <c r="C4659" t="s">
        <v>35</v>
      </c>
      <c r="D4659" t="s">
        <v>32</v>
      </c>
      <c r="E4659" t="s">
        <v>21</v>
      </c>
      <c r="F4659" t="s">
        <v>18</v>
      </c>
      <c r="G4659" s="1" t="str">
        <f t="shared" ref="G4659:M4661" si="995">"X"</f>
        <v>X</v>
      </c>
      <c r="H4659" s="1" t="str">
        <f t="shared" si="995"/>
        <v>X</v>
      </c>
      <c r="I4659" s="1" t="str">
        <f t="shared" si="995"/>
        <v>X</v>
      </c>
      <c r="J4659" s="1" t="str">
        <f t="shared" si="995"/>
        <v>X</v>
      </c>
      <c r="K4659" s="1" t="str">
        <f t="shared" si="995"/>
        <v>X</v>
      </c>
      <c r="L4659" s="1" t="str">
        <f t="shared" si="995"/>
        <v>X</v>
      </c>
      <c r="M4659" s="1" t="str">
        <f t="shared" si="995"/>
        <v>X</v>
      </c>
      <c r="N4659" t="s">
        <v>27</v>
      </c>
    </row>
    <row r="4660" spans="1:14" x14ac:dyDescent="0.25">
      <c r="A4660" t="s">
        <v>41</v>
      </c>
      <c r="B4660" t="s">
        <v>40</v>
      </c>
      <c r="C4660" t="s">
        <v>35</v>
      </c>
      <c r="D4660" t="s">
        <v>32</v>
      </c>
      <c r="E4660" t="s">
        <v>21</v>
      </c>
      <c r="F4660" t="s">
        <v>19</v>
      </c>
      <c r="G4660" s="1" t="str">
        <f t="shared" si="995"/>
        <v>X</v>
      </c>
      <c r="H4660" s="1" t="str">
        <f t="shared" si="995"/>
        <v>X</v>
      </c>
      <c r="I4660" s="1" t="str">
        <f t="shared" si="995"/>
        <v>X</v>
      </c>
      <c r="J4660" s="1" t="str">
        <f t="shared" si="995"/>
        <v>X</v>
      </c>
      <c r="K4660" s="1" t="str">
        <f t="shared" si="995"/>
        <v>X</v>
      </c>
      <c r="L4660" s="1" t="str">
        <f t="shared" si="995"/>
        <v>X</v>
      </c>
      <c r="M4660" s="1" t="str">
        <f t="shared" si="995"/>
        <v>X</v>
      </c>
      <c r="N4660" t="s">
        <v>27</v>
      </c>
    </row>
    <row r="4661" spans="1:14" x14ac:dyDescent="0.25">
      <c r="A4661" t="s">
        <v>41</v>
      </c>
      <c r="B4661" t="s">
        <v>40</v>
      </c>
      <c r="C4661" t="s">
        <v>35</v>
      </c>
      <c r="D4661" t="s">
        <v>32</v>
      </c>
      <c r="E4661" t="s">
        <v>21</v>
      </c>
      <c r="F4661" t="s">
        <v>20</v>
      </c>
      <c r="G4661" s="1" t="str">
        <f t="shared" si="995"/>
        <v>X</v>
      </c>
      <c r="H4661" s="1" t="str">
        <f t="shared" si="995"/>
        <v>X</v>
      </c>
      <c r="I4661" s="1" t="str">
        <f t="shared" si="995"/>
        <v>X</v>
      </c>
      <c r="J4661" s="1" t="str">
        <f t="shared" si="995"/>
        <v>X</v>
      </c>
      <c r="K4661" s="1" t="str">
        <f t="shared" si="995"/>
        <v>X</v>
      </c>
      <c r="L4661" s="1" t="str">
        <f t="shared" si="995"/>
        <v>X</v>
      </c>
      <c r="M4661" s="1" t="str">
        <f t="shared" si="995"/>
        <v>X</v>
      </c>
      <c r="N4661" t="s">
        <v>27</v>
      </c>
    </row>
    <row r="4662" spans="1:14" x14ac:dyDescent="0.25">
      <c r="A4662" t="s">
        <v>41</v>
      </c>
      <c r="B4662" t="s">
        <v>40</v>
      </c>
      <c r="C4662" t="s">
        <v>35</v>
      </c>
      <c r="D4662" t="s">
        <v>32</v>
      </c>
      <c r="E4662" t="s">
        <v>22</v>
      </c>
      <c r="F4662" t="s">
        <v>15</v>
      </c>
      <c r="G4662" s="2">
        <f>VALUE(179.3279524539)</f>
        <v>179.3279524539</v>
      </c>
      <c r="H4662" s="3">
        <f>VALUE(165.7716212694)</f>
        <v>165.77162126939999</v>
      </c>
      <c r="I4662" s="1">
        <f>VALUE(2600)</f>
        <v>2600</v>
      </c>
      <c r="J4662" s="1">
        <f>VALUE(2923)</f>
        <v>2923</v>
      </c>
      <c r="K4662" s="6">
        <f>VALUE(3467)</f>
        <v>3467</v>
      </c>
      <c r="L4662" s="1">
        <f>VALUE(3868)</f>
        <v>3868</v>
      </c>
      <c r="M4662" s="8">
        <f>VALUE(4374)</f>
        <v>4374</v>
      </c>
      <c r="N4662" t="s">
        <v>25</v>
      </c>
    </row>
    <row r="4663" spans="1:14" x14ac:dyDescent="0.25">
      <c r="A4663" t="s">
        <v>41</v>
      </c>
      <c r="B4663" t="s">
        <v>40</v>
      </c>
      <c r="C4663" t="s">
        <v>35</v>
      </c>
      <c r="D4663" t="s">
        <v>32</v>
      </c>
      <c r="E4663" t="s">
        <v>22</v>
      </c>
      <c r="F4663" t="s">
        <v>17</v>
      </c>
      <c r="G4663" s="1" t="str">
        <f t="shared" ref="G4663:M4666" si="996">"X"</f>
        <v>X</v>
      </c>
      <c r="H4663" s="1" t="str">
        <f t="shared" si="996"/>
        <v>X</v>
      </c>
      <c r="I4663" s="1" t="str">
        <f t="shared" si="996"/>
        <v>X</v>
      </c>
      <c r="J4663" s="1" t="str">
        <f t="shared" si="996"/>
        <v>X</v>
      </c>
      <c r="K4663" s="1" t="str">
        <f t="shared" si="996"/>
        <v>X</v>
      </c>
      <c r="L4663" s="1" t="str">
        <f t="shared" si="996"/>
        <v>X</v>
      </c>
      <c r="M4663" s="1" t="str">
        <f t="shared" si="996"/>
        <v>X</v>
      </c>
      <c r="N4663" t="s">
        <v>27</v>
      </c>
    </row>
    <row r="4664" spans="1:14" x14ac:dyDescent="0.25">
      <c r="A4664" t="s">
        <v>41</v>
      </c>
      <c r="B4664" t="s">
        <v>40</v>
      </c>
      <c r="C4664" t="s">
        <v>35</v>
      </c>
      <c r="D4664" t="s">
        <v>32</v>
      </c>
      <c r="E4664" t="s">
        <v>22</v>
      </c>
      <c r="F4664" t="s">
        <v>18</v>
      </c>
      <c r="G4664" s="1" t="str">
        <f t="shared" si="996"/>
        <v>X</v>
      </c>
      <c r="H4664" s="1" t="str">
        <f t="shared" si="996"/>
        <v>X</v>
      </c>
      <c r="I4664" s="1" t="str">
        <f t="shared" si="996"/>
        <v>X</v>
      </c>
      <c r="J4664" s="1" t="str">
        <f t="shared" si="996"/>
        <v>X</v>
      </c>
      <c r="K4664" s="1" t="str">
        <f t="shared" si="996"/>
        <v>X</v>
      </c>
      <c r="L4664" s="1" t="str">
        <f t="shared" si="996"/>
        <v>X</v>
      </c>
      <c r="M4664" s="1" t="str">
        <f t="shared" si="996"/>
        <v>X</v>
      </c>
      <c r="N4664" t="s">
        <v>27</v>
      </c>
    </row>
    <row r="4665" spans="1:14" x14ac:dyDescent="0.25">
      <c r="A4665" t="s">
        <v>41</v>
      </c>
      <c r="B4665" t="s">
        <v>40</v>
      </c>
      <c r="C4665" t="s">
        <v>35</v>
      </c>
      <c r="D4665" t="s">
        <v>32</v>
      </c>
      <c r="E4665" t="s">
        <v>22</v>
      </c>
      <c r="F4665" t="s">
        <v>19</v>
      </c>
      <c r="G4665" s="1" t="str">
        <f t="shared" si="996"/>
        <v>X</v>
      </c>
      <c r="H4665" s="1" t="str">
        <f t="shared" si="996"/>
        <v>X</v>
      </c>
      <c r="I4665" s="1" t="str">
        <f t="shared" si="996"/>
        <v>X</v>
      </c>
      <c r="J4665" s="1" t="str">
        <f t="shared" si="996"/>
        <v>X</v>
      </c>
      <c r="K4665" s="1" t="str">
        <f t="shared" si="996"/>
        <v>X</v>
      </c>
      <c r="L4665" s="1" t="str">
        <f t="shared" si="996"/>
        <v>X</v>
      </c>
      <c r="M4665" s="1" t="str">
        <f t="shared" si="996"/>
        <v>X</v>
      </c>
      <c r="N4665" t="s">
        <v>27</v>
      </c>
    </row>
    <row r="4666" spans="1:14" x14ac:dyDescent="0.25">
      <c r="A4666" t="s">
        <v>41</v>
      </c>
      <c r="B4666" t="s">
        <v>40</v>
      </c>
      <c r="C4666" t="s">
        <v>35</v>
      </c>
      <c r="D4666" t="s">
        <v>32</v>
      </c>
      <c r="E4666" t="s">
        <v>22</v>
      </c>
      <c r="F4666" t="s">
        <v>20</v>
      </c>
      <c r="G4666" s="1" t="str">
        <f t="shared" si="996"/>
        <v>X</v>
      </c>
      <c r="H4666" s="1" t="str">
        <f t="shared" si="996"/>
        <v>X</v>
      </c>
      <c r="I4666" s="1" t="str">
        <f t="shared" si="996"/>
        <v>X</v>
      </c>
      <c r="J4666" s="1" t="str">
        <f t="shared" si="996"/>
        <v>X</v>
      </c>
      <c r="K4666" s="1" t="str">
        <f t="shared" si="996"/>
        <v>X</v>
      </c>
      <c r="L4666" s="1" t="str">
        <f t="shared" si="996"/>
        <v>X</v>
      </c>
      <c r="M4666" s="1" t="str">
        <f t="shared" si="996"/>
        <v>X</v>
      </c>
      <c r="N4666" t="s">
        <v>27</v>
      </c>
    </row>
    <row r="4667" spans="1:14" x14ac:dyDescent="0.25">
      <c r="A4667" t="s">
        <v>41</v>
      </c>
      <c r="B4667" t="s">
        <v>40</v>
      </c>
      <c r="C4667" t="s">
        <v>35</v>
      </c>
      <c r="D4667" t="s">
        <v>32</v>
      </c>
      <c r="E4667" t="s">
        <v>23</v>
      </c>
      <c r="F4667" t="s">
        <v>15</v>
      </c>
      <c r="G4667" s="2">
        <f>VALUE(617.2255369148)</f>
        <v>617.22553691480005</v>
      </c>
      <c r="H4667" s="3">
        <f>VALUE(555.6539339502)</f>
        <v>555.65393395019998</v>
      </c>
      <c r="I4667" s="1">
        <f>VALUE(2458)</f>
        <v>2458</v>
      </c>
      <c r="J4667" s="1">
        <f>VALUE(2660)</f>
        <v>2660</v>
      </c>
      <c r="K4667" s="1">
        <f>VALUE(2807)</f>
        <v>2807</v>
      </c>
      <c r="L4667" s="1">
        <f>VALUE(3184)</f>
        <v>3184</v>
      </c>
      <c r="M4667" s="1">
        <f>VALUE(3702)</f>
        <v>3702</v>
      </c>
      <c r="N4667" t="s">
        <v>25</v>
      </c>
    </row>
    <row r="4668" spans="1:14" x14ac:dyDescent="0.25">
      <c r="A4668" t="s">
        <v>41</v>
      </c>
      <c r="B4668" t="s">
        <v>40</v>
      </c>
      <c r="C4668" t="s">
        <v>35</v>
      </c>
      <c r="D4668" t="s">
        <v>32</v>
      </c>
      <c r="E4668" t="s">
        <v>23</v>
      </c>
      <c r="F4668" t="s">
        <v>17</v>
      </c>
      <c r="G4668" s="1" t="str">
        <f t="shared" ref="G4668:M4668" si="997">"..."</f>
        <v>...</v>
      </c>
      <c r="H4668" s="1" t="str">
        <f t="shared" si="997"/>
        <v>...</v>
      </c>
      <c r="I4668" s="1" t="str">
        <f t="shared" si="997"/>
        <v>...</v>
      </c>
      <c r="J4668" s="1" t="str">
        <f t="shared" si="997"/>
        <v>...</v>
      </c>
      <c r="K4668" s="1" t="str">
        <f t="shared" si="997"/>
        <v>...</v>
      </c>
      <c r="L4668" s="1" t="str">
        <f t="shared" si="997"/>
        <v>...</v>
      </c>
      <c r="M4668" s="1" t="str">
        <f t="shared" si="997"/>
        <v>...</v>
      </c>
      <c r="N4668" t="s">
        <v>30</v>
      </c>
    </row>
    <row r="4669" spans="1:14" x14ac:dyDescent="0.25">
      <c r="A4669" t="s">
        <v>41</v>
      </c>
      <c r="B4669" t="s">
        <v>40</v>
      </c>
      <c r="C4669" t="s">
        <v>35</v>
      </c>
      <c r="D4669" t="s">
        <v>32</v>
      </c>
      <c r="E4669" t="s">
        <v>23</v>
      </c>
      <c r="F4669" t="s">
        <v>18</v>
      </c>
      <c r="G4669" s="1" t="str">
        <f t="shared" ref="G4669:M4670" si="998">"X"</f>
        <v>X</v>
      </c>
      <c r="H4669" s="1" t="str">
        <f t="shared" si="998"/>
        <v>X</v>
      </c>
      <c r="I4669" s="1" t="str">
        <f t="shared" si="998"/>
        <v>X</v>
      </c>
      <c r="J4669" s="1" t="str">
        <f t="shared" si="998"/>
        <v>X</v>
      </c>
      <c r="K4669" s="1" t="str">
        <f t="shared" si="998"/>
        <v>X</v>
      </c>
      <c r="L4669" s="1" t="str">
        <f t="shared" si="998"/>
        <v>X</v>
      </c>
      <c r="M4669" s="1" t="str">
        <f t="shared" si="998"/>
        <v>X</v>
      </c>
      <c r="N4669" t="s">
        <v>27</v>
      </c>
    </row>
    <row r="4670" spans="1:14" x14ac:dyDescent="0.25">
      <c r="A4670" t="s">
        <v>41</v>
      </c>
      <c r="B4670" t="s">
        <v>40</v>
      </c>
      <c r="C4670" t="s">
        <v>35</v>
      </c>
      <c r="D4670" t="s">
        <v>32</v>
      </c>
      <c r="E4670" t="s">
        <v>23</v>
      </c>
      <c r="F4670" t="s">
        <v>19</v>
      </c>
      <c r="G4670" s="1" t="str">
        <f t="shared" si="998"/>
        <v>X</v>
      </c>
      <c r="H4670" s="1" t="str">
        <f t="shared" si="998"/>
        <v>X</v>
      </c>
      <c r="I4670" s="1" t="str">
        <f t="shared" si="998"/>
        <v>X</v>
      </c>
      <c r="J4670" s="1" t="str">
        <f t="shared" si="998"/>
        <v>X</v>
      </c>
      <c r="K4670" s="1" t="str">
        <f t="shared" si="998"/>
        <v>X</v>
      </c>
      <c r="L4670" s="1" t="str">
        <f t="shared" si="998"/>
        <v>X</v>
      </c>
      <c r="M4670" s="1" t="str">
        <f t="shared" si="998"/>
        <v>X</v>
      </c>
      <c r="N4670" t="s">
        <v>27</v>
      </c>
    </row>
    <row r="4671" spans="1:14" x14ac:dyDescent="0.25">
      <c r="A4671" t="s">
        <v>41</v>
      </c>
      <c r="B4671" t="s">
        <v>40</v>
      </c>
      <c r="C4671" t="s">
        <v>35</v>
      </c>
      <c r="D4671" t="s">
        <v>32</v>
      </c>
      <c r="E4671" t="s">
        <v>23</v>
      </c>
      <c r="F4671" t="s">
        <v>20</v>
      </c>
      <c r="G4671" s="2">
        <f>VALUE(594.8377283085)</f>
        <v>594.8377283085</v>
      </c>
      <c r="H4671" s="3">
        <f>VALUE(538.3366909884)</f>
        <v>538.33669098840005</v>
      </c>
      <c r="I4671" s="1">
        <f>VALUE(2441)</f>
        <v>2441</v>
      </c>
      <c r="J4671" s="1">
        <f>VALUE(2648)</f>
        <v>2648</v>
      </c>
      <c r="K4671" s="1">
        <f>VALUE(2800)</f>
        <v>2800</v>
      </c>
      <c r="L4671" s="1">
        <f>VALUE(3149)</f>
        <v>3149</v>
      </c>
      <c r="M4671" s="1">
        <f>VALUE(3599)</f>
        <v>3599</v>
      </c>
      <c r="N4671" t="s">
        <v>25</v>
      </c>
    </row>
    <row r="4672" spans="1:14" x14ac:dyDescent="0.25">
      <c r="A4672" t="s">
        <v>41</v>
      </c>
      <c r="B4672" t="s">
        <v>40</v>
      </c>
      <c r="C4672" t="s">
        <v>35</v>
      </c>
      <c r="D4672" t="s">
        <v>32</v>
      </c>
      <c r="E4672" t="s">
        <v>26</v>
      </c>
      <c r="F4672" t="s">
        <v>15</v>
      </c>
      <c r="G4672" s="1" t="str">
        <f t="shared" ref="G4672:M4676" si="999">"..."</f>
        <v>...</v>
      </c>
      <c r="H4672" s="1" t="str">
        <f t="shared" si="999"/>
        <v>...</v>
      </c>
      <c r="I4672" s="1" t="str">
        <f t="shared" si="999"/>
        <v>...</v>
      </c>
      <c r="J4672" s="1" t="str">
        <f t="shared" si="999"/>
        <v>...</v>
      </c>
      <c r="K4672" s="1" t="str">
        <f t="shared" si="999"/>
        <v>...</v>
      </c>
      <c r="L4672" s="1" t="str">
        <f t="shared" si="999"/>
        <v>...</v>
      </c>
      <c r="M4672" s="1" t="str">
        <f t="shared" si="999"/>
        <v>...</v>
      </c>
      <c r="N4672" t="s">
        <v>30</v>
      </c>
    </row>
    <row r="4673" spans="1:14" x14ac:dyDescent="0.25">
      <c r="A4673" t="s">
        <v>41</v>
      </c>
      <c r="B4673" t="s">
        <v>40</v>
      </c>
      <c r="C4673" t="s">
        <v>35</v>
      </c>
      <c r="D4673" t="s">
        <v>32</v>
      </c>
      <c r="E4673" t="s">
        <v>26</v>
      </c>
      <c r="F4673" t="s">
        <v>17</v>
      </c>
      <c r="G4673" s="1" t="str">
        <f t="shared" si="999"/>
        <v>...</v>
      </c>
      <c r="H4673" s="1" t="str">
        <f t="shared" si="999"/>
        <v>...</v>
      </c>
      <c r="I4673" s="1" t="str">
        <f t="shared" si="999"/>
        <v>...</v>
      </c>
      <c r="J4673" s="1" t="str">
        <f t="shared" si="999"/>
        <v>...</v>
      </c>
      <c r="K4673" s="1" t="str">
        <f t="shared" si="999"/>
        <v>...</v>
      </c>
      <c r="L4673" s="1" t="str">
        <f t="shared" si="999"/>
        <v>...</v>
      </c>
      <c r="M4673" s="1" t="str">
        <f t="shared" si="999"/>
        <v>...</v>
      </c>
      <c r="N4673" t="s">
        <v>30</v>
      </c>
    </row>
    <row r="4674" spans="1:14" x14ac:dyDescent="0.25">
      <c r="A4674" t="s">
        <v>41</v>
      </c>
      <c r="B4674" t="s">
        <v>40</v>
      </c>
      <c r="C4674" t="s">
        <v>35</v>
      </c>
      <c r="D4674" t="s">
        <v>32</v>
      </c>
      <c r="E4674" t="s">
        <v>26</v>
      </c>
      <c r="F4674" t="s">
        <v>18</v>
      </c>
      <c r="G4674" s="1" t="str">
        <f t="shared" si="999"/>
        <v>...</v>
      </c>
      <c r="H4674" s="1" t="str">
        <f t="shared" si="999"/>
        <v>...</v>
      </c>
      <c r="I4674" s="1" t="str">
        <f t="shared" si="999"/>
        <v>...</v>
      </c>
      <c r="J4674" s="1" t="str">
        <f t="shared" si="999"/>
        <v>...</v>
      </c>
      <c r="K4674" s="1" t="str">
        <f t="shared" si="999"/>
        <v>...</v>
      </c>
      <c r="L4674" s="1" t="str">
        <f t="shared" si="999"/>
        <v>...</v>
      </c>
      <c r="M4674" s="1" t="str">
        <f t="shared" si="999"/>
        <v>...</v>
      </c>
      <c r="N4674" t="s">
        <v>30</v>
      </c>
    </row>
    <row r="4675" spans="1:14" x14ac:dyDescent="0.25">
      <c r="A4675" t="s">
        <v>41</v>
      </c>
      <c r="B4675" t="s">
        <v>40</v>
      </c>
      <c r="C4675" t="s">
        <v>35</v>
      </c>
      <c r="D4675" t="s">
        <v>32</v>
      </c>
      <c r="E4675" t="s">
        <v>26</v>
      </c>
      <c r="F4675" t="s">
        <v>19</v>
      </c>
      <c r="G4675" s="1" t="str">
        <f t="shared" si="999"/>
        <v>...</v>
      </c>
      <c r="H4675" s="1" t="str">
        <f t="shared" si="999"/>
        <v>...</v>
      </c>
      <c r="I4675" s="1" t="str">
        <f t="shared" si="999"/>
        <v>...</v>
      </c>
      <c r="J4675" s="1" t="str">
        <f t="shared" si="999"/>
        <v>...</v>
      </c>
      <c r="K4675" s="1" t="str">
        <f t="shared" si="999"/>
        <v>...</v>
      </c>
      <c r="L4675" s="1" t="str">
        <f t="shared" si="999"/>
        <v>...</v>
      </c>
      <c r="M4675" s="1" t="str">
        <f t="shared" si="999"/>
        <v>...</v>
      </c>
      <c r="N4675" t="s">
        <v>30</v>
      </c>
    </row>
    <row r="4676" spans="1:14" x14ac:dyDescent="0.25">
      <c r="A4676" t="s">
        <v>41</v>
      </c>
      <c r="B4676" t="s">
        <v>40</v>
      </c>
      <c r="C4676" t="s">
        <v>35</v>
      </c>
      <c r="D4676" t="s">
        <v>32</v>
      </c>
      <c r="E4676" t="s">
        <v>26</v>
      </c>
      <c r="F4676" t="s">
        <v>20</v>
      </c>
      <c r="G4676" s="1" t="str">
        <f t="shared" si="999"/>
        <v>...</v>
      </c>
      <c r="H4676" s="1" t="str">
        <f t="shared" si="999"/>
        <v>...</v>
      </c>
      <c r="I4676" s="1" t="str">
        <f t="shared" si="999"/>
        <v>...</v>
      </c>
      <c r="J4676" s="1" t="str">
        <f t="shared" si="999"/>
        <v>...</v>
      </c>
      <c r="K4676" s="1" t="str">
        <f t="shared" si="999"/>
        <v>...</v>
      </c>
      <c r="L4676" s="1" t="str">
        <f t="shared" si="999"/>
        <v>...</v>
      </c>
      <c r="M4676" s="1" t="str">
        <f t="shared" si="999"/>
        <v>...</v>
      </c>
      <c r="N4676" t="s">
        <v>30</v>
      </c>
    </row>
    <row r="4677" spans="1:14" x14ac:dyDescent="0.25">
      <c r="A4677" t="s">
        <v>41</v>
      </c>
      <c r="B4677" t="s">
        <v>40</v>
      </c>
      <c r="C4677" t="s">
        <v>35</v>
      </c>
      <c r="D4677" t="s">
        <v>33</v>
      </c>
      <c r="E4677" t="s">
        <v>15</v>
      </c>
      <c r="F4677" t="s">
        <v>15</v>
      </c>
      <c r="G4677" s="1" t="str">
        <f t="shared" ref="G4677:M4677" si="1000">"X"</f>
        <v>X</v>
      </c>
      <c r="H4677" s="1" t="str">
        <f t="shared" si="1000"/>
        <v>X</v>
      </c>
      <c r="I4677" s="1" t="str">
        <f t="shared" si="1000"/>
        <v>X</v>
      </c>
      <c r="J4677" s="1" t="str">
        <f t="shared" si="1000"/>
        <v>X</v>
      </c>
      <c r="K4677" s="1" t="str">
        <f t="shared" si="1000"/>
        <v>X</v>
      </c>
      <c r="L4677" s="1" t="str">
        <f t="shared" si="1000"/>
        <v>X</v>
      </c>
      <c r="M4677" s="1" t="str">
        <f t="shared" si="1000"/>
        <v>X</v>
      </c>
      <c r="N4677" t="s">
        <v>27</v>
      </c>
    </row>
    <row r="4678" spans="1:14" x14ac:dyDescent="0.25">
      <c r="A4678" t="s">
        <v>41</v>
      </c>
      <c r="B4678" t="s">
        <v>40</v>
      </c>
      <c r="C4678" t="s">
        <v>35</v>
      </c>
      <c r="D4678" t="s">
        <v>33</v>
      </c>
      <c r="E4678" t="s">
        <v>15</v>
      </c>
      <c r="F4678" t="s">
        <v>17</v>
      </c>
      <c r="G4678" s="1" t="str">
        <f t="shared" ref="G4678:M4679" si="1001">"..."</f>
        <v>...</v>
      </c>
      <c r="H4678" s="1" t="str">
        <f t="shared" si="1001"/>
        <v>...</v>
      </c>
      <c r="I4678" s="1" t="str">
        <f t="shared" si="1001"/>
        <v>...</v>
      </c>
      <c r="J4678" s="1" t="str">
        <f t="shared" si="1001"/>
        <v>...</v>
      </c>
      <c r="K4678" s="1" t="str">
        <f t="shared" si="1001"/>
        <v>...</v>
      </c>
      <c r="L4678" s="1" t="str">
        <f t="shared" si="1001"/>
        <v>...</v>
      </c>
      <c r="M4678" s="1" t="str">
        <f t="shared" si="1001"/>
        <v>...</v>
      </c>
      <c r="N4678" t="s">
        <v>30</v>
      </c>
    </row>
    <row r="4679" spans="1:14" x14ac:dyDescent="0.25">
      <c r="A4679" t="s">
        <v>41</v>
      </c>
      <c r="B4679" t="s">
        <v>40</v>
      </c>
      <c r="C4679" t="s">
        <v>35</v>
      </c>
      <c r="D4679" t="s">
        <v>33</v>
      </c>
      <c r="E4679" t="s">
        <v>15</v>
      </c>
      <c r="F4679" t="s">
        <v>18</v>
      </c>
      <c r="G4679" s="1" t="str">
        <f t="shared" si="1001"/>
        <v>...</v>
      </c>
      <c r="H4679" s="1" t="str">
        <f t="shared" si="1001"/>
        <v>...</v>
      </c>
      <c r="I4679" s="1" t="str">
        <f t="shared" si="1001"/>
        <v>...</v>
      </c>
      <c r="J4679" s="1" t="str">
        <f t="shared" si="1001"/>
        <v>...</v>
      </c>
      <c r="K4679" s="1" t="str">
        <f t="shared" si="1001"/>
        <v>...</v>
      </c>
      <c r="L4679" s="1" t="str">
        <f t="shared" si="1001"/>
        <v>...</v>
      </c>
      <c r="M4679" s="1" t="str">
        <f t="shared" si="1001"/>
        <v>...</v>
      </c>
      <c r="N4679" t="s">
        <v>30</v>
      </c>
    </row>
    <row r="4680" spans="1:14" x14ac:dyDescent="0.25">
      <c r="A4680" t="s">
        <v>41</v>
      </c>
      <c r="B4680" t="s">
        <v>40</v>
      </c>
      <c r="C4680" t="s">
        <v>35</v>
      </c>
      <c r="D4680" t="s">
        <v>33</v>
      </c>
      <c r="E4680" t="s">
        <v>15</v>
      </c>
      <c r="F4680" t="s">
        <v>19</v>
      </c>
      <c r="G4680" s="1" t="str">
        <f t="shared" ref="G4680:M4682" si="1002">"X"</f>
        <v>X</v>
      </c>
      <c r="H4680" s="1" t="str">
        <f t="shared" si="1002"/>
        <v>X</v>
      </c>
      <c r="I4680" s="1" t="str">
        <f t="shared" si="1002"/>
        <v>X</v>
      </c>
      <c r="J4680" s="1" t="str">
        <f t="shared" si="1002"/>
        <v>X</v>
      </c>
      <c r="K4680" s="1" t="str">
        <f t="shared" si="1002"/>
        <v>X</v>
      </c>
      <c r="L4680" s="1" t="str">
        <f t="shared" si="1002"/>
        <v>X</v>
      </c>
      <c r="M4680" s="1" t="str">
        <f t="shared" si="1002"/>
        <v>X</v>
      </c>
      <c r="N4680" t="s">
        <v>27</v>
      </c>
    </row>
    <row r="4681" spans="1:14" x14ac:dyDescent="0.25">
      <c r="A4681" t="s">
        <v>41</v>
      </c>
      <c r="B4681" t="s">
        <v>40</v>
      </c>
      <c r="C4681" t="s">
        <v>35</v>
      </c>
      <c r="D4681" t="s">
        <v>33</v>
      </c>
      <c r="E4681" t="s">
        <v>15</v>
      </c>
      <c r="F4681" t="s">
        <v>20</v>
      </c>
      <c r="G4681" s="1" t="str">
        <f t="shared" si="1002"/>
        <v>X</v>
      </c>
      <c r="H4681" s="1" t="str">
        <f t="shared" si="1002"/>
        <v>X</v>
      </c>
      <c r="I4681" s="1" t="str">
        <f t="shared" si="1002"/>
        <v>X</v>
      </c>
      <c r="J4681" s="1" t="str">
        <f t="shared" si="1002"/>
        <v>X</v>
      </c>
      <c r="K4681" s="1" t="str">
        <f t="shared" si="1002"/>
        <v>X</v>
      </c>
      <c r="L4681" s="1" t="str">
        <f t="shared" si="1002"/>
        <v>X</v>
      </c>
      <c r="M4681" s="1" t="str">
        <f t="shared" si="1002"/>
        <v>X</v>
      </c>
      <c r="N4681" t="s">
        <v>27</v>
      </c>
    </row>
    <row r="4682" spans="1:14" x14ac:dyDescent="0.25">
      <c r="A4682" t="s">
        <v>41</v>
      </c>
      <c r="B4682" t="s">
        <v>40</v>
      </c>
      <c r="C4682" t="s">
        <v>35</v>
      </c>
      <c r="D4682" t="s">
        <v>33</v>
      </c>
      <c r="E4682" t="s">
        <v>21</v>
      </c>
      <c r="F4682" t="s">
        <v>15</v>
      </c>
      <c r="G4682" s="1" t="str">
        <f t="shared" si="1002"/>
        <v>X</v>
      </c>
      <c r="H4682" s="1" t="str">
        <f t="shared" si="1002"/>
        <v>X</v>
      </c>
      <c r="I4682" s="1" t="str">
        <f t="shared" si="1002"/>
        <v>X</v>
      </c>
      <c r="J4682" s="1" t="str">
        <f t="shared" si="1002"/>
        <v>X</v>
      </c>
      <c r="K4682" s="1" t="str">
        <f t="shared" si="1002"/>
        <v>X</v>
      </c>
      <c r="L4682" s="1" t="str">
        <f t="shared" si="1002"/>
        <v>X</v>
      </c>
      <c r="M4682" s="1" t="str">
        <f t="shared" si="1002"/>
        <v>X</v>
      </c>
      <c r="N4682" t="s">
        <v>27</v>
      </c>
    </row>
    <row r="4683" spans="1:14" x14ac:dyDescent="0.25">
      <c r="A4683" t="s">
        <v>41</v>
      </c>
      <c r="B4683" t="s">
        <v>40</v>
      </c>
      <c r="C4683" t="s">
        <v>35</v>
      </c>
      <c r="D4683" t="s">
        <v>33</v>
      </c>
      <c r="E4683" t="s">
        <v>21</v>
      </c>
      <c r="F4683" t="s">
        <v>17</v>
      </c>
      <c r="G4683" s="1" t="str">
        <f t="shared" ref="G4683:M4685" si="1003">"..."</f>
        <v>...</v>
      </c>
      <c r="H4683" s="1" t="str">
        <f t="shared" si="1003"/>
        <v>...</v>
      </c>
      <c r="I4683" s="1" t="str">
        <f t="shared" si="1003"/>
        <v>...</v>
      </c>
      <c r="J4683" s="1" t="str">
        <f t="shared" si="1003"/>
        <v>...</v>
      </c>
      <c r="K4683" s="1" t="str">
        <f t="shared" si="1003"/>
        <v>...</v>
      </c>
      <c r="L4683" s="1" t="str">
        <f t="shared" si="1003"/>
        <v>...</v>
      </c>
      <c r="M4683" s="1" t="str">
        <f t="shared" si="1003"/>
        <v>...</v>
      </c>
      <c r="N4683" t="s">
        <v>30</v>
      </c>
    </row>
    <row r="4684" spans="1:14" x14ac:dyDescent="0.25">
      <c r="A4684" t="s">
        <v>41</v>
      </c>
      <c r="B4684" t="s">
        <v>40</v>
      </c>
      <c r="C4684" t="s">
        <v>35</v>
      </c>
      <c r="D4684" t="s">
        <v>33</v>
      </c>
      <c r="E4684" t="s">
        <v>21</v>
      </c>
      <c r="F4684" t="s">
        <v>18</v>
      </c>
      <c r="G4684" s="1" t="str">
        <f t="shared" si="1003"/>
        <v>...</v>
      </c>
      <c r="H4684" s="1" t="str">
        <f t="shared" si="1003"/>
        <v>...</v>
      </c>
      <c r="I4684" s="1" t="str">
        <f t="shared" si="1003"/>
        <v>...</v>
      </c>
      <c r="J4684" s="1" t="str">
        <f t="shared" si="1003"/>
        <v>...</v>
      </c>
      <c r="K4684" s="1" t="str">
        <f t="shared" si="1003"/>
        <v>...</v>
      </c>
      <c r="L4684" s="1" t="str">
        <f t="shared" si="1003"/>
        <v>...</v>
      </c>
      <c r="M4684" s="1" t="str">
        <f t="shared" si="1003"/>
        <v>...</v>
      </c>
      <c r="N4684" t="s">
        <v>30</v>
      </c>
    </row>
    <row r="4685" spans="1:14" x14ac:dyDescent="0.25">
      <c r="A4685" t="s">
        <v>41</v>
      </c>
      <c r="B4685" t="s">
        <v>40</v>
      </c>
      <c r="C4685" t="s">
        <v>35</v>
      </c>
      <c r="D4685" t="s">
        <v>33</v>
      </c>
      <c r="E4685" t="s">
        <v>21</v>
      </c>
      <c r="F4685" t="s">
        <v>19</v>
      </c>
      <c r="G4685" s="1" t="str">
        <f t="shared" si="1003"/>
        <v>...</v>
      </c>
      <c r="H4685" s="1" t="str">
        <f t="shared" si="1003"/>
        <v>...</v>
      </c>
      <c r="I4685" s="1" t="str">
        <f t="shared" si="1003"/>
        <v>...</v>
      </c>
      <c r="J4685" s="1" t="str">
        <f t="shared" si="1003"/>
        <v>...</v>
      </c>
      <c r="K4685" s="1" t="str">
        <f t="shared" si="1003"/>
        <v>...</v>
      </c>
      <c r="L4685" s="1" t="str">
        <f t="shared" si="1003"/>
        <v>...</v>
      </c>
      <c r="M4685" s="1" t="str">
        <f t="shared" si="1003"/>
        <v>...</v>
      </c>
      <c r="N4685" t="s">
        <v>30</v>
      </c>
    </row>
    <row r="4686" spans="1:14" x14ac:dyDescent="0.25">
      <c r="A4686" t="s">
        <v>41</v>
      </c>
      <c r="B4686" t="s">
        <v>40</v>
      </c>
      <c r="C4686" t="s">
        <v>35</v>
      </c>
      <c r="D4686" t="s">
        <v>33</v>
      </c>
      <c r="E4686" t="s">
        <v>21</v>
      </c>
      <c r="F4686" t="s">
        <v>20</v>
      </c>
      <c r="G4686" s="1" t="str">
        <f t="shared" ref="G4686:M4687" si="1004">"X"</f>
        <v>X</v>
      </c>
      <c r="H4686" s="1" t="str">
        <f t="shared" si="1004"/>
        <v>X</v>
      </c>
      <c r="I4686" s="1" t="str">
        <f t="shared" si="1004"/>
        <v>X</v>
      </c>
      <c r="J4686" s="1" t="str">
        <f t="shared" si="1004"/>
        <v>X</v>
      </c>
      <c r="K4686" s="1" t="str">
        <f t="shared" si="1004"/>
        <v>X</v>
      </c>
      <c r="L4686" s="1" t="str">
        <f t="shared" si="1004"/>
        <v>X</v>
      </c>
      <c r="M4686" s="1" t="str">
        <f t="shared" si="1004"/>
        <v>X</v>
      </c>
      <c r="N4686" t="s">
        <v>27</v>
      </c>
    </row>
    <row r="4687" spans="1:14" x14ac:dyDescent="0.25">
      <c r="A4687" t="s">
        <v>41</v>
      </c>
      <c r="B4687" t="s">
        <v>40</v>
      </c>
      <c r="C4687" t="s">
        <v>35</v>
      </c>
      <c r="D4687" t="s">
        <v>33</v>
      </c>
      <c r="E4687" t="s">
        <v>22</v>
      </c>
      <c r="F4687" t="s">
        <v>15</v>
      </c>
      <c r="G4687" s="1" t="str">
        <f t="shared" si="1004"/>
        <v>X</v>
      </c>
      <c r="H4687" s="1" t="str">
        <f t="shared" si="1004"/>
        <v>X</v>
      </c>
      <c r="I4687" s="1" t="str">
        <f t="shared" si="1004"/>
        <v>X</v>
      </c>
      <c r="J4687" s="1" t="str">
        <f t="shared" si="1004"/>
        <v>X</v>
      </c>
      <c r="K4687" s="1" t="str">
        <f t="shared" si="1004"/>
        <v>X</v>
      </c>
      <c r="L4687" s="1" t="str">
        <f t="shared" si="1004"/>
        <v>X</v>
      </c>
      <c r="M4687" s="1" t="str">
        <f t="shared" si="1004"/>
        <v>X</v>
      </c>
      <c r="N4687" t="s">
        <v>27</v>
      </c>
    </row>
    <row r="4688" spans="1:14" x14ac:dyDescent="0.25">
      <c r="A4688" t="s">
        <v>41</v>
      </c>
      <c r="B4688" t="s">
        <v>40</v>
      </c>
      <c r="C4688" t="s">
        <v>35</v>
      </c>
      <c r="D4688" t="s">
        <v>33</v>
      </c>
      <c r="E4688" t="s">
        <v>22</v>
      </c>
      <c r="F4688" t="s">
        <v>17</v>
      </c>
      <c r="G4688" s="1" t="str">
        <f t="shared" ref="G4688:M4689" si="1005">"..."</f>
        <v>...</v>
      </c>
      <c r="H4688" s="1" t="str">
        <f t="shared" si="1005"/>
        <v>...</v>
      </c>
      <c r="I4688" s="1" t="str">
        <f t="shared" si="1005"/>
        <v>...</v>
      </c>
      <c r="J4688" s="1" t="str">
        <f t="shared" si="1005"/>
        <v>...</v>
      </c>
      <c r="K4688" s="1" t="str">
        <f t="shared" si="1005"/>
        <v>...</v>
      </c>
      <c r="L4688" s="1" t="str">
        <f t="shared" si="1005"/>
        <v>...</v>
      </c>
      <c r="M4688" s="1" t="str">
        <f t="shared" si="1005"/>
        <v>...</v>
      </c>
      <c r="N4688" t="s">
        <v>30</v>
      </c>
    </row>
    <row r="4689" spans="1:14" x14ac:dyDescent="0.25">
      <c r="A4689" t="s">
        <v>41</v>
      </c>
      <c r="B4689" t="s">
        <v>40</v>
      </c>
      <c r="C4689" t="s">
        <v>35</v>
      </c>
      <c r="D4689" t="s">
        <v>33</v>
      </c>
      <c r="E4689" t="s">
        <v>22</v>
      </c>
      <c r="F4689" t="s">
        <v>18</v>
      </c>
      <c r="G4689" s="1" t="str">
        <f t="shared" si="1005"/>
        <v>...</v>
      </c>
      <c r="H4689" s="1" t="str">
        <f t="shared" si="1005"/>
        <v>...</v>
      </c>
      <c r="I4689" s="1" t="str">
        <f t="shared" si="1005"/>
        <v>...</v>
      </c>
      <c r="J4689" s="1" t="str">
        <f t="shared" si="1005"/>
        <v>...</v>
      </c>
      <c r="K4689" s="1" t="str">
        <f t="shared" si="1005"/>
        <v>...</v>
      </c>
      <c r="L4689" s="1" t="str">
        <f t="shared" si="1005"/>
        <v>...</v>
      </c>
      <c r="M4689" s="1" t="str">
        <f t="shared" si="1005"/>
        <v>...</v>
      </c>
      <c r="N4689" t="s">
        <v>30</v>
      </c>
    </row>
    <row r="4690" spans="1:14" x14ac:dyDescent="0.25">
      <c r="A4690" t="s">
        <v>41</v>
      </c>
      <c r="B4690" t="s">
        <v>40</v>
      </c>
      <c r="C4690" t="s">
        <v>35</v>
      </c>
      <c r="D4690" t="s">
        <v>33</v>
      </c>
      <c r="E4690" t="s">
        <v>22</v>
      </c>
      <c r="F4690" t="s">
        <v>19</v>
      </c>
      <c r="G4690" s="1" t="str">
        <f t="shared" ref="G4690:M4692" si="1006">"X"</f>
        <v>X</v>
      </c>
      <c r="H4690" s="1" t="str">
        <f t="shared" si="1006"/>
        <v>X</v>
      </c>
      <c r="I4690" s="1" t="str">
        <f t="shared" si="1006"/>
        <v>X</v>
      </c>
      <c r="J4690" s="1" t="str">
        <f t="shared" si="1006"/>
        <v>X</v>
      </c>
      <c r="K4690" s="1" t="str">
        <f t="shared" si="1006"/>
        <v>X</v>
      </c>
      <c r="L4690" s="1" t="str">
        <f t="shared" si="1006"/>
        <v>X</v>
      </c>
      <c r="M4690" s="1" t="str">
        <f t="shared" si="1006"/>
        <v>X</v>
      </c>
      <c r="N4690" t="s">
        <v>27</v>
      </c>
    </row>
    <row r="4691" spans="1:14" x14ac:dyDescent="0.25">
      <c r="A4691" t="s">
        <v>41</v>
      </c>
      <c r="B4691" t="s">
        <v>40</v>
      </c>
      <c r="C4691" t="s">
        <v>35</v>
      </c>
      <c r="D4691" t="s">
        <v>33</v>
      </c>
      <c r="E4691" t="s">
        <v>22</v>
      </c>
      <c r="F4691" t="s">
        <v>20</v>
      </c>
      <c r="G4691" s="1" t="str">
        <f t="shared" si="1006"/>
        <v>X</v>
      </c>
      <c r="H4691" s="1" t="str">
        <f t="shared" si="1006"/>
        <v>X</v>
      </c>
      <c r="I4691" s="1" t="str">
        <f t="shared" si="1006"/>
        <v>X</v>
      </c>
      <c r="J4691" s="1" t="str">
        <f t="shared" si="1006"/>
        <v>X</v>
      </c>
      <c r="K4691" s="1" t="str">
        <f t="shared" si="1006"/>
        <v>X</v>
      </c>
      <c r="L4691" s="1" t="str">
        <f t="shared" si="1006"/>
        <v>X</v>
      </c>
      <c r="M4691" s="1" t="str">
        <f t="shared" si="1006"/>
        <v>X</v>
      </c>
      <c r="N4691" t="s">
        <v>27</v>
      </c>
    </row>
    <row r="4692" spans="1:14" x14ac:dyDescent="0.25">
      <c r="A4692" t="s">
        <v>41</v>
      </c>
      <c r="B4692" t="s">
        <v>40</v>
      </c>
      <c r="C4692" t="s">
        <v>35</v>
      </c>
      <c r="D4692" t="s">
        <v>33</v>
      </c>
      <c r="E4692" t="s">
        <v>23</v>
      </c>
      <c r="F4692" t="s">
        <v>15</v>
      </c>
      <c r="G4692" s="1" t="str">
        <f t="shared" si="1006"/>
        <v>X</v>
      </c>
      <c r="H4692" s="1" t="str">
        <f t="shared" si="1006"/>
        <v>X</v>
      </c>
      <c r="I4692" s="1" t="str">
        <f t="shared" si="1006"/>
        <v>X</v>
      </c>
      <c r="J4692" s="1" t="str">
        <f t="shared" si="1006"/>
        <v>X</v>
      </c>
      <c r="K4692" s="1" t="str">
        <f t="shared" si="1006"/>
        <v>X</v>
      </c>
      <c r="L4692" s="1" t="str">
        <f t="shared" si="1006"/>
        <v>X</v>
      </c>
      <c r="M4692" s="1" t="str">
        <f t="shared" si="1006"/>
        <v>X</v>
      </c>
      <c r="N4692" t="s">
        <v>27</v>
      </c>
    </row>
    <row r="4693" spans="1:14" x14ac:dyDescent="0.25">
      <c r="A4693" t="s">
        <v>41</v>
      </c>
      <c r="B4693" t="s">
        <v>40</v>
      </c>
      <c r="C4693" t="s">
        <v>35</v>
      </c>
      <c r="D4693" t="s">
        <v>33</v>
      </c>
      <c r="E4693" t="s">
        <v>23</v>
      </c>
      <c r="F4693" t="s">
        <v>17</v>
      </c>
      <c r="G4693" s="1" t="str">
        <f t="shared" ref="G4693:M4695" si="1007">"..."</f>
        <v>...</v>
      </c>
      <c r="H4693" s="1" t="str">
        <f t="shared" si="1007"/>
        <v>...</v>
      </c>
      <c r="I4693" s="1" t="str">
        <f t="shared" si="1007"/>
        <v>...</v>
      </c>
      <c r="J4693" s="1" t="str">
        <f t="shared" si="1007"/>
        <v>...</v>
      </c>
      <c r="K4693" s="1" t="str">
        <f t="shared" si="1007"/>
        <v>...</v>
      </c>
      <c r="L4693" s="1" t="str">
        <f t="shared" si="1007"/>
        <v>...</v>
      </c>
      <c r="M4693" s="1" t="str">
        <f t="shared" si="1007"/>
        <v>...</v>
      </c>
      <c r="N4693" t="s">
        <v>30</v>
      </c>
    </row>
    <row r="4694" spans="1:14" x14ac:dyDescent="0.25">
      <c r="A4694" t="s">
        <v>41</v>
      </c>
      <c r="B4694" t="s">
        <v>40</v>
      </c>
      <c r="C4694" t="s">
        <v>35</v>
      </c>
      <c r="D4694" t="s">
        <v>33</v>
      </c>
      <c r="E4694" t="s">
        <v>23</v>
      </c>
      <c r="F4694" t="s">
        <v>18</v>
      </c>
      <c r="G4694" s="1" t="str">
        <f t="shared" si="1007"/>
        <v>...</v>
      </c>
      <c r="H4694" s="1" t="str">
        <f t="shared" si="1007"/>
        <v>...</v>
      </c>
      <c r="I4694" s="1" t="str">
        <f t="shared" si="1007"/>
        <v>...</v>
      </c>
      <c r="J4694" s="1" t="str">
        <f t="shared" si="1007"/>
        <v>...</v>
      </c>
      <c r="K4694" s="1" t="str">
        <f t="shared" si="1007"/>
        <v>...</v>
      </c>
      <c r="L4694" s="1" t="str">
        <f t="shared" si="1007"/>
        <v>...</v>
      </c>
      <c r="M4694" s="1" t="str">
        <f t="shared" si="1007"/>
        <v>...</v>
      </c>
      <c r="N4694" t="s">
        <v>30</v>
      </c>
    </row>
    <row r="4695" spans="1:14" x14ac:dyDescent="0.25">
      <c r="A4695" t="s">
        <v>41</v>
      </c>
      <c r="B4695" t="s">
        <v>40</v>
      </c>
      <c r="C4695" t="s">
        <v>35</v>
      </c>
      <c r="D4695" t="s">
        <v>33</v>
      </c>
      <c r="E4695" t="s">
        <v>23</v>
      </c>
      <c r="F4695" t="s">
        <v>19</v>
      </c>
      <c r="G4695" s="1" t="str">
        <f t="shared" si="1007"/>
        <v>...</v>
      </c>
      <c r="H4695" s="1" t="str">
        <f t="shared" si="1007"/>
        <v>...</v>
      </c>
      <c r="I4695" s="1" t="str">
        <f t="shared" si="1007"/>
        <v>...</v>
      </c>
      <c r="J4695" s="1" t="str">
        <f t="shared" si="1007"/>
        <v>...</v>
      </c>
      <c r="K4695" s="1" t="str">
        <f t="shared" si="1007"/>
        <v>...</v>
      </c>
      <c r="L4695" s="1" t="str">
        <f t="shared" si="1007"/>
        <v>...</v>
      </c>
      <c r="M4695" s="1" t="str">
        <f t="shared" si="1007"/>
        <v>...</v>
      </c>
      <c r="N4695" t="s">
        <v>30</v>
      </c>
    </row>
    <row r="4696" spans="1:14" x14ac:dyDescent="0.25">
      <c r="A4696" t="s">
        <v>41</v>
      </c>
      <c r="B4696" t="s">
        <v>40</v>
      </c>
      <c r="C4696" t="s">
        <v>35</v>
      </c>
      <c r="D4696" t="s">
        <v>33</v>
      </c>
      <c r="E4696" t="s">
        <v>23</v>
      </c>
      <c r="F4696" t="s">
        <v>20</v>
      </c>
      <c r="G4696" s="1" t="str">
        <f t="shared" ref="G4696:M4696" si="1008">"X"</f>
        <v>X</v>
      </c>
      <c r="H4696" s="1" t="str">
        <f t="shared" si="1008"/>
        <v>X</v>
      </c>
      <c r="I4696" s="1" t="str">
        <f t="shared" si="1008"/>
        <v>X</v>
      </c>
      <c r="J4696" s="1" t="str">
        <f t="shared" si="1008"/>
        <v>X</v>
      </c>
      <c r="K4696" s="1" t="str">
        <f t="shared" si="1008"/>
        <v>X</v>
      </c>
      <c r="L4696" s="1" t="str">
        <f t="shared" si="1008"/>
        <v>X</v>
      </c>
      <c r="M4696" s="1" t="str">
        <f t="shared" si="1008"/>
        <v>X</v>
      </c>
      <c r="N4696" t="s">
        <v>27</v>
      </c>
    </row>
    <row r="4697" spans="1:14" x14ac:dyDescent="0.25">
      <c r="A4697" t="s">
        <v>41</v>
      </c>
      <c r="B4697" t="s">
        <v>40</v>
      </c>
      <c r="C4697" t="s">
        <v>35</v>
      </c>
      <c r="D4697" t="s">
        <v>33</v>
      </c>
      <c r="E4697" t="s">
        <v>26</v>
      </c>
      <c r="F4697" t="s">
        <v>15</v>
      </c>
      <c r="G4697" s="1" t="str">
        <f t="shared" ref="G4697:M4701" si="1009">"..."</f>
        <v>...</v>
      </c>
      <c r="H4697" s="1" t="str">
        <f t="shared" si="1009"/>
        <v>...</v>
      </c>
      <c r="I4697" s="1" t="str">
        <f t="shared" si="1009"/>
        <v>...</v>
      </c>
      <c r="J4697" s="1" t="str">
        <f t="shared" si="1009"/>
        <v>...</v>
      </c>
      <c r="K4697" s="1" t="str">
        <f t="shared" si="1009"/>
        <v>...</v>
      </c>
      <c r="L4697" s="1" t="str">
        <f t="shared" si="1009"/>
        <v>...</v>
      </c>
      <c r="M4697" s="1" t="str">
        <f t="shared" si="1009"/>
        <v>...</v>
      </c>
      <c r="N4697" t="s">
        <v>30</v>
      </c>
    </row>
    <row r="4698" spans="1:14" x14ac:dyDescent="0.25">
      <c r="A4698" t="s">
        <v>41</v>
      </c>
      <c r="B4698" t="s">
        <v>40</v>
      </c>
      <c r="C4698" t="s">
        <v>35</v>
      </c>
      <c r="D4698" t="s">
        <v>33</v>
      </c>
      <c r="E4698" t="s">
        <v>26</v>
      </c>
      <c r="F4698" t="s">
        <v>17</v>
      </c>
      <c r="G4698" s="1" t="str">
        <f t="shared" si="1009"/>
        <v>...</v>
      </c>
      <c r="H4698" s="1" t="str">
        <f t="shared" si="1009"/>
        <v>...</v>
      </c>
      <c r="I4698" s="1" t="str">
        <f t="shared" si="1009"/>
        <v>...</v>
      </c>
      <c r="J4698" s="1" t="str">
        <f t="shared" si="1009"/>
        <v>...</v>
      </c>
      <c r="K4698" s="1" t="str">
        <f t="shared" si="1009"/>
        <v>...</v>
      </c>
      <c r="L4698" s="1" t="str">
        <f t="shared" si="1009"/>
        <v>...</v>
      </c>
      <c r="M4698" s="1" t="str">
        <f t="shared" si="1009"/>
        <v>...</v>
      </c>
      <c r="N4698" t="s">
        <v>30</v>
      </c>
    </row>
    <row r="4699" spans="1:14" x14ac:dyDescent="0.25">
      <c r="A4699" t="s">
        <v>41</v>
      </c>
      <c r="B4699" t="s">
        <v>40</v>
      </c>
      <c r="C4699" t="s">
        <v>35</v>
      </c>
      <c r="D4699" t="s">
        <v>33</v>
      </c>
      <c r="E4699" t="s">
        <v>26</v>
      </c>
      <c r="F4699" t="s">
        <v>18</v>
      </c>
      <c r="G4699" s="1" t="str">
        <f t="shared" si="1009"/>
        <v>...</v>
      </c>
      <c r="H4699" s="1" t="str">
        <f t="shared" si="1009"/>
        <v>...</v>
      </c>
      <c r="I4699" s="1" t="str">
        <f t="shared" si="1009"/>
        <v>...</v>
      </c>
      <c r="J4699" s="1" t="str">
        <f t="shared" si="1009"/>
        <v>...</v>
      </c>
      <c r="K4699" s="1" t="str">
        <f t="shared" si="1009"/>
        <v>...</v>
      </c>
      <c r="L4699" s="1" t="str">
        <f t="shared" si="1009"/>
        <v>...</v>
      </c>
      <c r="M4699" s="1" t="str">
        <f t="shared" si="1009"/>
        <v>...</v>
      </c>
      <c r="N4699" t="s">
        <v>30</v>
      </c>
    </row>
    <row r="4700" spans="1:14" x14ac:dyDescent="0.25">
      <c r="A4700" t="s">
        <v>41</v>
      </c>
      <c r="B4700" t="s">
        <v>40</v>
      </c>
      <c r="C4700" t="s">
        <v>35</v>
      </c>
      <c r="D4700" t="s">
        <v>33</v>
      </c>
      <c r="E4700" t="s">
        <v>26</v>
      </c>
      <c r="F4700" t="s">
        <v>19</v>
      </c>
      <c r="G4700" s="1" t="str">
        <f t="shared" si="1009"/>
        <v>...</v>
      </c>
      <c r="H4700" s="1" t="str">
        <f t="shared" si="1009"/>
        <v>...</v>
      </c>
      <c r="I4700" s="1" t="str">
        <f t="shared" si="1009"/>
        <v>...</v>
      </c>
      <c r="J4700" s="1" t="str">
        <f t="shared" si="1009"/>
        <v>...</v>
      </c>
      <c r="K4700" s="1" t="str">
        <f t="shared" si="1009"/>
        <v>...</v>
      </c>
      <c r="L4700" s="1" t="str">
        <f t="shared" si="1009"/>
        <v>...</v>
      </c>
      <c r="M4700" s="1" t="str">
        <f t="shared" si="1009"/>
        <v>...</v>
      </c>
      <c r="N4700" t="s">
        <v>30</v>
      </c>
    </row>
    <row r="4701" spans="1:14" x14ac:dyDescent="0.25">
      <c r="A4701" t="s">
        <v>41</v>
      </c>
      <c r="B4701" t="s">
        <v>40</v>
      </c>
      <c r="C4701" t="s">
        <v>35</v>
      </c>
      <c r="D4701" t="s">
        <v>33</v>
      </c>
      <c r="E4701" t="s">
        <v>26</v>
      </c>
      <c r="F4701" t="s">
        <v>20</v>
      </c>
      <c r="G4701" s="1" t="str">
        <f t="shared" si="1009"/>
        <v>...</v>
      </c>
      <c r="H4701" s="1" t="str">
        <f t="shared" si="1009"/>
        <v>...</v>
      </c>
      <c r="I4701" s="1" t="str">
        <f t="shared" si="1009"/>
        <v>...</v>
      </c>
      <c r="J4701" s="1" t="str">
        <f t="shared" si="1009"/>
        <v>...</v>
      </c>
      <c r="K4701" s="1" t="str">
        <f t="shared" si="1009"/>
        <v>...</v>
      </c>
      <c r="L4701" s="1" t="str">
        <f t="shared" si="1009"/>
        <v>...</v>
      </c>
      <c r="M4701" s="1" t="str">
        <f t="shared" si="1009"/>
        <v>...</v>
      </c>
      <c r="N4701" t="s">
        <v>30</v>
      </c>
    </row>
    <row r="4702" spans="1:14" x14ac:dyDescent="0.25">
      <c r="A4702" t="s">
        <v>41</v>
      </c>
      <c r="B4702" t="s">
        <v>40</v>
      </c>
      <c r="C4702" t="s">
        <v>35</v>
      </c>
      <c r="D4702" t="s">
        <v>34</v>
      </c>
      <c r="E4702" t="s">
        <v>15</v>
      </c>
      <c r="F4702" t="s">
        <v>15</v>
      </c>
      <c r="G4702" s="1" t="str">
        <f t="shared" ref="G4702:M4702" si="1010">"X"</f>
        <v>X</v>
      </c>
      <c r="H4702" s="1" t="str">
        <f t="shared" si="1010"/>
        <v>X</v>
      </c>
      <c r="I4702" s="1" t="str">
        <f t="shared" si="1010"/>
        <v>X</v>
      </c>
      <c r="J4702" s="1" t="str">
        <f t="shared" si="1010"/>
        <v>X</v>
      </c>
      <c r="K4702" s="1" t="str">
        <f t="shared" si="1010"/>
        <v>X</v>
      </c>
      <c r="L4702" s="1" t="str">
        <f t="shared" si="1010"/>
        <v>X</v>
      </c>
      <c r="M4702" s="1" t="str">
        <f t="shared" si="1010"/>
        <v>X</v>
      </c>
      <c r="N4702" t="s">
        <v>27</v>
      </c>
    </row>
    <row r="4703" spans="1:14" x14ac:dyDescent="0.25">
      <c r="A4703" t="s">
        <v>41</v>
      </c>
      <c r="B4703" t="s">
        <v>40</v>
      </c>
      <c r="C4703" t="s">
        <v>35</v>
      </c>
      <c r="D4703" t="s">
        <v>34</v>
      </c>
      <c r="E4703" t="s">
        <v>15</v>
      </c>
      <c r="F4703" t="s">
        <v>17</v>
      </c>
      <c r="G4703" s="1" t="str">
        <f t="shared" ref="G4703:M4705" si="1011">"..."</f>
        <v>...</v>
      </c>
      <c r="H4703" s="1" t="str">
        <f t="shared" si="1011"/>
        <v>...</v>
      </c>
      <c r="I4703" s="1" t="str">
        <f t="shared" si="1011"/>
        <v>...</v>
      </c>
      <c r="J4703" s="1" t="str">
        <f t="shared" si="1011"/>
        <v>...</v>
      </c>
      <c r="K4703" s="1" t="str">
        <f t="shared" si="1011"/>
        <v>...</v>
      </c>
      <c r="L4703" s="1" t="str">
        <f t="shared" si="1011"/>
        <v>...</v>
      </c>
      <c r="M4703" s="1" t="str">
        <f t="shared" si="1011"/>
        <v>...</v>
      </c>
      <c r="N4703" t="s">
        <v>30</v>
      </c>
    </row>
    <row r="4704" spans="1:14" x14ac:dyDescent="0.25">
      <c r="A4704" t="s">
        <v>41</v>
      </c>
      <c r="B4704" t="s">
        <v>40</v>
      </c>
      <c r="C4704" t="s">
        <v>35</v>
      </c>
      <c r="D4704" t="s">
        <v>34</v>
      </c>
      <c r="E4704" t="s">
        <v>15</v>
      </c>
      <c r="F4704" t="s">
        <v>18</v>
      </c>
      <c r="G4704" s="1" t="str">
        <f t="shared" si="1011"/>
        <v>...</v>
      </c>
      <c r="H4704" s="1" t="str">
        <f t="shared" si="1011"/>
        <v>...</v>
      </c>
      <c r="I4704" s="1" t="str">
        <f t="shared" si="1011"/>
        <v>...</v>
      </c>
      <c r="J4704" s="1" t="str">
        <f t="shared" si="1011"/>
        <v>...</v>
      </c>
      <c r="K4704" s="1" t="str">
        <f t="shared" si="1011"/>
        <v>...</v>
      </c>
      <c r="L4704" s="1" t="str">
        <f t="shared" si="1011"/>
        <v>...</v>
      </c>
      <c r="M4704" s="1" t="str">
        <f t="shared" si="1011"/>
        <v>...</v>
      </c>
      <c r="N4704" t="s">
        <v>30</v>
      </c>
    </row>
    <row r="4705" spans="1:14" x14ac:dyDescent="0.25">
      <c r="A4705" t="s">
        <v>41</v>
      </c>
      <c r="B4705" t="s">
        <v>40</v>
      </c>
      <c r="C4705" t="s">
        <v>35</v>
      </c>
      <c r="D4705" t="s">
        <v>34</v>
      </c>
      <c r="E4705" t="s">
        <v>15</v>
      </c>
      <c r="F4705" t="s">
        <v>19</v>
      </c>
      <c r="G4705" s="1" t="str">
        <f t="shared" si="1011"/>
        <v>...</v>
      </c>
      <c r="H4705" s="1" t="str">
        <f t="shared" si="1011"/>
        <v>...</v>
      </c>
      <c r="I4705" s="1" t="str">
        <f t="shared" si="1011"/>
        <v>...</v>
      </c>
      <c r="J4705" s="1" t="str">
        <f t="shared" si="1011"/>
        <v>...</v>
      </c>
      <c r="K4705" s="1" t="str">
        <f t="shared" si="1011"/>
        <v>...</v>
      </c>
      <c r="L4705" s="1" t="str">
        <f t="shared" si="1011"/>
        <v>...</v>
      </c>
      <c r="M4705" s="1" t="str">
        <f t="shared" si="1011"/>
        <v>...</v>
      </c>
      <c r="N4705" t="s">
        <v>30</v>
      </c>
    </row>
    <row r="4706" spans="1:14" x14ac:dyDescent="0.25">
      <c r="A4706" t="s">
        <v>41</v>
      </c>
      <c r="B4706" t="s">
        <v>40</v>
      </c>
      <c r="C4706" t="s">
        <v>35</v>
      </c>
      <c r="D4706" t="s">
        <v>34</v>
      </c>
      <c r="E4706" t="s">
        <v>15</v>
      </c>
      <c r="F4706" t="s">
        <v>20</v>
      </c>
      <c r="G4706" s="1" t="str">
        <f t="shared" ref="G4706:M4707" si="1012">"X"</f>
        <v>X</v>
      </c>
      <c r="H4706" s="1" t="str">
        <f t="shared" si="1012"/>
        <v>X</v>
      </c>
      <c r="I4706" s="1" t="str">
        <f t="shared" si="1012"/>
        <v>X</v>
      </c>
      <c r="J4706" s="1" t="str">
        <f t="shared" si="1012"/>
        <v>X</v>
      </c>
      <c r="K4706" s="1" t="str">
        <f t="shared" si="1012"/>
        <v>X</v>
      </c>
      <c r="L4706" s="1" t="str">
        <f t="shared" si="1012"/>
        <v>X</v>
      </c>
      <c r="M4706" s="1" t="str">
        <f t="shared" si="1012"/>
        <v>X</v>
      </c>
      <c r="N4706" t="s">
        <v>27</v>
      </c>
    </row>
    <row r="4707" spans="1:14" x14ac:dyDescent="0.25">
      <c r="A4707" t="s">
        <v>41</v>
      </c>
      <c r="B4707" t="s">
        <v>40</v>
      </c>
      <c r="C4707" t="s">
        <v>35</v>
      </c>
      <c r="D4707" t="s">
        <v>34</v>
      </c>
      <c r="E4707" t="s">
        <v>21</v>
      </c>
      <c r="F4707" t="s">
        <v>15</v>
      </c>
      <c r="G4707" s="1" t="str">
        <f t="shared" si="1012"/>
        <v>X</v>
      </c>
      <c r="H4707" s="1" t="str">
        <f t="shared" si="1012"/>
        <v>X</v>
      </c>
      <c r="I4707" s="1" t="str">
        <f t="shared" si="1012"/>
        <v>X</v>
      </c>
      <c r="J4707" s="1" t="str">
        <f t="shared" si="1012"/>
        <v>X</v>
      </c>
      <c r="K4707" s="1" t="str">
        <f t="shared" si="1012"/>
        <v>X</v>
      </c>
      <c r="L4707" s="1" t="str">
        <f t="shared" si="1012"/>
        <v>X</v>
      </c>
      <c r="M4707" s="1" t="str">
        <f t="shared" si="1012"/>
        <v>X</v>
      </c>
      <c r="N4707" t="s">
        <v>27</v>
      </c>
    </row>
    <row r="4708" spans="1:14" x14ac:dyDescent="0.25">
      <c r="A4708" t="s">
        <v>41</v>
      </c>
      <c r="B4708" t="s">
        <v>40</v>
      </c>
      <c r="C4708" t="s">
        <v>35</v>
      </c>
      <c r="D4708" t="s">
        <v>34</v>
      </c>
      <c r="E4708" t="s">
        <v>21</v>
      </c>
      <c r="F4708" t="s">
        <v>17</v>
      </c>
      <c r="G4708" s="1" t="str">
        <f t="shared" ref="G4708:M4710" si="1013">"..."</f>
        <v>...</v>
      </c>
      <c r="H4708" s="1" t="str">
        <f t="shared" si="1013"/>
        <v>...</v>
      </c>
      <c r="I4708" s="1" t="str">
        <f t="shared" si="1013"/>
        <v>...</v>
      </c>
      <c r="J4708" s="1" t="str">
        <f t="shared" si="1013"/>
        <v>...</v>
      </c>
      <c r="K4708" s="1" t="str">
        <f t="shared" si="1013"/>
        <v>...</v>
      </c>
      <c r="L4708" s="1" t="str">
        <f t="shared" si="1013"/>
        <v>...</v>
      </c>
      <c r="M4708" s="1" t="str">
        <f t="shared" si="1013"/>
        <v>...</v>
      </c>
      <c r="N4708" t="s">
        <v>30</v>
      </c>
    </row>
    <row r="4709" spans="1:14" x14ac:dyDescent="0.25">
      <c r="A4709" t="s">
        <v>41</v>
      </c>
      <c r="B4709" t="s">
        <v>40</v>
      </c>
      <c r="C4709" t="s">
        <v>35</v>
      </c>
      <c r="D4709" t="s">
        <v>34</v>
      </c>
      <c r="E4709" t="s">
        <v>21</v>
      </c>
      <c r="F4709" t="s">
        <v>18</v>
      </c>
      <c r="G4709" s="1" t="str">
        <f t="shared" si="1013"/>
        <v>...</v>
      </c>
      <c r="H4709" s="1" t="str">
        <f t="shared" si="1013"/>
        <v>...</v>
      </c>
      <c r="I4709" s="1" t="str">
        <f t="shared" si="1013"/>
        <v>...</v>
      </c>
      <c r="J4709" s="1" t="str">
        <f t="shared" si="1013"/>
        <v>...</v>
      </c>
      <c r="K4709" s="1" t="str">
        <f t="shared" si="1013"/>
        <v>...</v>
      </c>
      <c r="L4709" s="1" t="str">
        <f t="shared" si="1013"/>
        <v>...</v>
      </c>
      <c r="M4709" s="1" t="str">
        <f t="shared" si="1013"/>
        <v>...</v>
      </c>
      <c r="N4709" t="s">
        <v>30</v>
      </c>
    </row>
    <row r="4710" spans="1:14" x14ac:dyDescent="0.25">
      <c r="A4710" t="s">
        <v>41</v>
      </c>
      <c r="B4710" t="s">
        <v>40</v>
      </c>
      <c r="C4710" t="s">
        <v>35</v>
      </c>
      <c r="D4710" t="s">
        <v>34</v>
      </c>
      <c r="E4710" t="s">
        <v>21</v>
      </c>
      <c r="F4710" t="s">
        <v>19</v>
      </c>
      <c r="G4710" s="1" t="str">
        <f t="shared" si="1013"/>
        <v>...</v>
      </c>
      <c r="H4710" s="1" t="str">
        <f t="shared" si="1013"/>
        <v>...</v>
      </c>
      <c r="I4710" s="1" t="str">
        <f t="shared" si="1013"/>
        <v>...</v>
      </c>
      <c r="J4710" s="1" t="str">
        <f t="shared" si="1013"/>
        <v>...</v>
      </c>
      <c r="K4710" s="1" t="str">
        <f t="shared" si="1013"/>
        <v>...</v>
      </c>
      <c r="L4710" s="1" t="str">
        <f t="shared" si="1013"/>
        <v>...</v>
      </c>
      <c r="M4710" s="1" t="str">
        <f t="shared" si="1013"/>
        <v>...</v>
      </c>
      <c r="N4710" t="s">
        <v>30</v>
      </c>
    </row>
    <row r="4711" spans="1:14" x14ac:dyDescent="0.25">
      <c r="A4711" t="s">
        <v>41</v>
      </c>
      <c r="B4711" t="s">
        <v>40</v>
      </c>
      <c r="C4711" t="s">
        <v>35</v>
      </c>
      <c r="D4711" t="s">
        <v>34</v>
      </c>
      <c r="E4711" t="s">
        <v>21</v>
      </c>
      <c r="F4711" t="s">
        <v>20</v>
      </c>
      <c r="G4711" s="1" t="str">
        <f t="shared" ref="G4711:M4712" si="1014">"X"</f>
        <v>X</v>
      </c>
      <c r="H4711" s="1" t="str">
        <f t="shared" si="1014"/>
        <v>X</v>
      </c>
      <c r="I4711" s="1" t="str">
        <f t="shared" si="1014"/>
        <v>X</v>
      </c>
      <c r="J4711" s="1" t="str">
        <f t="shared" si="1014"/>
        <v>X</v>
      </c>
      <c r="K4711" s="1" t="str">
        <f t="shared" si="1014"/>
        <v>X</v>
      </c>
      <c r="L4711" s="1" t="str">
        <f t="shared" si="1014"/>
        <v>X</v>
      </c>
      <c r="M4711" s="1" t="str">
        <f t="shared" si="1014"/>
        <v>X</v>
      </c>
      <c r="N4711" t="s">
        <v>27</v>
      </c>
    </row>
    <row r="4712" spans="1:14" x14ac:dyDescent="0.25">
      <c r="A4712" t="s">
        <v>41</v>
      </c>
      <c r="B4712" t="s">
        <v>40</v>
      </c>
      <c r="C4712" t="s">
        <v>35</v>
      </c>
      <c r="D4712" t="s">
        <v>34</v>
      </c>
      <c r="E4712" t="s">
        <v>22</v>
      </c>
      <c r="F4712" t="s">
        <v>15</v>
      </c>
      <c r="G4712" s="1" t="str">
        <f t="shared" si="1014"/>
        <v>X</v>
      </c>
      <c r="H4712" s="1" t="str">
        <f t="shared" si="1014"/>
        <v>X</v>
      </c>
      <c r="I4712" s="1" t="str">
        <f t="shared" si="1014"/>
        <v>X</v>
      </c>
      <c r="J4712" s="1" t="str">
        <f t="shared" si="1014"/>
        <v>X</v>
      </c>
      <c r="K4712" s="1" t="str">
        <f t="shared" si="1014"/>
        <v>X</v>
      </c>
      <c r="L4712" s="1" t="str">
        <f t="shared" si="1014"/>
        <v>X</v>
      </c>
      <c r="M4712" s="1" t="str">
        <f t="shared" si="1014"/>
        <v>X</v>
      </c>
      <c r="N4712" t="s">
        <v>27</v>
      </c>
    </row>
    <row r="4713" spans="1:14" x14ac:dyDescent="0.25">
      <c r="A4713" t="s">
        <v>41</v>
      </c>
      <c r="B4713" t="s">
        <v>40</v>
      </c>
      <c r="C4713" t="s">
        <v>35</v>
      </c>
      <c r="D4713" t="s">
        <v>34</v>
      </c>
      <c r="E4713" t="s">
        <v>22</v>
      </c>
      <c r="F4713" t="s">
        <v>17</v>
      </c>
      <c r="G4713" s="1" t="str">
        <f t="shared" ref="G4713:M4715" si="1015">"..."</f>
        <v>...</v>
      </c>
      <c r="H4713" s="1" t="str">
        <f t="shared" si="1015"/>
        <v>...</v>
      </c>
      <c r="I4713" s="1" t="str">
        <f t="shared" si="1015"/>
        <v>...</v>
      </c>
      <c r="J4713" s="1" t="str">
        <f t="shared" si="1015"/>
        <v>...</v>
      </c>
      <c r="K4713" s="1" t="str">
        <f t="shared" si="1015"/>
        <v>...</v>
      </c>
      <c r="L4713" s="1" t="str">
        <f t="shared" si="1015"/>
        <v>...</v>
      </c>
      <c r="M4713" s="1" t="str">
        <f t="shared" si="1015"/>
        <v>...</v>
      </c>
      <c r="N4713" t="s">
        <v>30</v>
      </c>
    </row>
    <row r="4714" spans="1:14" x14ac:dyDescent="0.25">
      <c r="A4714" t="s">
        <v>41</v>
      </c>
      <c r="B4714" t="s">
        <v>40</v>
      </c>
      <c r="C4714" t="s">
        <v>35</v>
      </c>
      <c r="D4714" t="s">
        <v>34</v>
      </c>
      <c r="E4714" t="s">
        <v>22</v>
      </c>
      <c r="F4714" t="s">
        <v>18</v>
      </c>
      <c r="G4714" s="1" t="str">
        <f t="shared" si="1015"/>
        <v>...</v>
      </c>
      <c r="H4714" s="1" t="str">
        <f t="shared" si="1015"/>
        <v>...</v>
      </c>
      <c r="I4714" s="1" t="str">
        <f t="shared" si="1015"/>
        <v>...</v>
      </c>
      <c r="J4714" s="1" t="str">
        <f t="shared" si="1015"/>
        <v>...</v>
      </c>
      <c r="K4714" s="1" t="str">
        <f t="shared" si="1015"/>
        <v>...</v>
      </c>
      <c r="L4714" s="1" t="str">
        <f t="shared" si="1015"/>
        <v>...</v>
      </c>
      <c r="M4714" s="1" t="str">
        <f t="shared" si="1015"/>
        <v>...</v>
      </c>
      <c r="N4714" t="s">
        <v>30</v>
      </c>
    </row>
    <row r="4715" spans="1:14" x14ac:dyDescent="0.25">
      <c r="A4715" t="s">
        <v>41</v>
      </c>
      <c r="B4715" t="s">
        <v>40</v>
      </c>
      <c r="C4715" t="s">
        <v>35</v>
      </c>
      <c r="D4715" t="s">
        <v>34</v>
      </c>
      <c r="E4715" t="s">
        <v>22</v>
      </c>
      <c r="F4715" t="s">
        <v>19</v>
      </c>
      <c r="G4715" s="1" t="str">
        <f t="shared" si="1015"/>
        <v>...</v>
      </c>
      <c r="H4715" s="1" t="str">
        <f t="shared" si="1015"/>
        <v>...</v>
      </c>
      <c r="I4715" s="1" t="str">
        <f t="shared" si="1015"/>
        <v>...</v>
      </c>
      <c r="J4715" s="1" t="str">
        <f t="shared" si="1015"/>
        <v>...</v>
      </c>
      <c r="K4715" s="1" t="str">
        <f t="shared" si="1015"/>
        <v>...</v>
      </c>
      <c r="L4715" s="1" t="str">
        <f t="shared" si="1015"/>
        <v>...</v>
      </c>
      <c r="M4715" s="1" t="str">
        <f t="shared" si="1015"/>
        <v>...</v>
      </c>
      <c r="N4715" t="s">
        <v>30</v>
      </c>
    </row>
    <row r="4716" spans="1:14" x14ac:dyDescent="0.25">
      <c r="A4716" t="s">
        <v>41</v>
      </c>
      <c r="B4716" t="s">
        <v>40</v>
      </c>
      <c r="C4716" t="s">
        <v>35</v>
      </c>
      <c r="D4716" t="s">
        <v>34</v>
      </c>
      <c r="E4716" t="s">
        <v>22</v>
      </c>
      <c r="F4716" t="s">
        <v>20</v>
      </c>
      <c r="G4716" s="1" t="str">
        <f t="shared" ref="G4716:M4717" si="1016">"X"</f>
        <v>X</v>
      </c>
      <c r="H4716" s="1" t="str">
        <f t="shared" si="1016"/>
        <v>X</v>
      </c>
      <c r="I4716" s="1" t="str">
        <f t="shared" si="1016"/>
        <v>X</v>
      </c>
      <c r="J4716" s="1" t="str">
        <f t="shared" si="1016"/>
        <v>X</v>
      </c>
      <c r="K4716" s="1" t="str">
        <f t="shared" si="1016"/>
        <v>X</v>
      </c>
      <c r="L4716" s="1" t="str">
        <f t="shared" si="1016"/>
        <v>X</v>
      </c>
      <c r="M4716" s="1" t="str">
        <f t="shared" si="1016"/>
        <v>X</v>
      </c>
      <c r="N4716" t="s">
        <v>27</v>
      </c>
    </row>
    <row r="4717" spans="1:14" x14ac:dyDescent="0.25">
      <c r="A4717" t="s">
        <v>41</v>
      </c>
      <c r="B4717" t="s">
        <v>40</v>
      </c>
      <c r="C4717" t="s">
        <v>35</v>
      </c>
      <c r="D4717" t="s">
        <v>34</v>
      </c>
      <c r="E4717" t="s">
        <v>23</v>
      </c>
      <c r="F4717" t="s">
        <v>15</v>
      </c>
      <c r="G4717" s="1" t="str">
        <f t="shared" si="1016"/>
        <v>X</v>
      </c>
      <c r="H4717" s="1" t="str">
        <f t="shared" si="1016"/>
        <v>X</v>
      </c>
      <c r="I4717" s="1" t="str">
        <f t="shared" si="1016"/>
        <v>X</v>
      </c>
      <c r="J4717" s="1" t="str">
        <f t="shared" si="1016"/>
        <v>X</v>
      </c>
      <c r="K4717" s="1" t="str">
        <f t="shared" si="1016"/>
        <v>X</v>
      </c>
      <c r="L4717" s="1" t="str">
        <f t="shared" si="1016"/>
        <v>X</v>
      </c>
      <c r="M4717" s="1" t="str">
        <f t="shared" si="1016"/>
        <v>X</v>
      </c>
      <c r="N4717" t="s">
        <v>27</v>
      </c>
    </row>
    <row r="4718" spans="1:14" x14ac:dyDescent="0.25">
      <c r="A4718" t="s">
        <v>41</v>
      </c>
      <c r="B4718" t="s">
        <v>40</v>
      </c>
      <c r="C4718" t="s">
        <v>35</v>
      </c>
      <c r="D4718" t="s">
        <v>34</v>
      </c>
      <c r="E4718" t="s">
        <v>23</v>
      </c>
      <c r="F4718" t="s">
        <v>17</v>
      </c>
      <c r="G4718" s="1" t="str">
        <f t="shared" ref="G4718:M4720" si="1017">"..."</f>
        <v>...</v>
      </c>
      <c r="H4718" s="1" t="str">
        <f t="shared" si="1017"/>
        <v>...</v>
      </c>
      <c r="I4718" s="1" t="str">
        <f t="shared" si="1017"/>
        <v>...</v>
      </c>
      <c r="J4718" s="1" t="str">
        <f t="shared" si="1017"/>
        <v>...</v>
      </c>
      <c r="K4718" s="1" t="str">
        <f t="shared" si="1017"/>
        <v>...</v>
      </c>
      <c r="L4718" s="1" t="str">
        <f t="shared" si="1017"/>
        <v>...</v>
      </c>
      <c r="M4718" s="1" t="str">
        <f t="shared" si="1017"/>
        <v>...</v>
      </c>
      <c r="N4718" t="s">
        <v>30</v>
      </c>
    </row>
    <row r="4719" spans="1:14" x14ac:dyDescent="0.25">
      <c r="A4719" t="s">
        <v>41</v>
      </c>
      <c r="B4719" t="s">
        <v>40</v>
      </c>
      <c r="C4719" t="s">
        <v>35</v>
      </c>
      <c r="D4719" t="s">
        <v>34</v>
      </c>
      <c r="E4719" t="s">
        <v>23</v>
      </c>
      <c r="F4719" t="s">
        <v>18</v>
      </c>
      <c r="G4719" s="1" t="str">
        <f t="shared" si="1017"/>
        <v>...</v>
      </c>
      <c r="H4719" s="1" t="str">
        <f t="shared" si="1017"/>
        <v>...</v>
      </c>
      <c r="I4719" s="1" t="str">
        <f t="shared" si="1017"/>
        <v>...</v>
      </c>
      <c r="J4719" s="1" t="str">
        <f t="shared" si="1017"/>
        <v>...</v>
      </c>
      <c r="K4719" s="1" t="str">
        <f t="shared" si="1017"/>
        <v>...</v>
      </c>
      <c r="L4719" s="1" t="str">
        <f t="shared" si="1017"/>
        <v>...</v>
      </c>
      <c r="M4719" s="1" t="str">
        <f t="shared" si="1017"/>
        <v>...</v>
      </c>
      <c r="N4719" t="s">
        <v>30</v>
      </c>
    </row>
    <row r="4720" spans="1:14" x14ac:dyDescent="0.25">
      <c r="A4720" t="s">
        <v>41</v>
      </c>
      <c r="B4720" t="s">
        <v>40</v>
      </c>
      <c r="C4720" t="s">
        <v>35</v>
      </c>
      <c r="D4720" t="s">
        <v>34</v>
      </c>
      <c r="E4720" t="s">
        <v>23</v>
      </c>
      <c r="F4720" t="s">
        <v>19</v>
      </c>
      <c r="G4720" s="1" t="str">
        <f t="shared" si="1017"/>
        <v>...</v>
      </c>
      <c r="H4720" s="1" t="str">
        <f t="shared" si="1017"/>
        <v>...</v>
      </c>
      <c r="I4720" s="1" t="str">
        <f t="shared" si="1017"/>
        <v>...</v>
      </c>
      <c r="J4720" s="1" t="str">
        <f t="shared" si="1017"/>
        <v>...</v>
      </c>
      <c r="K4720" s="1" t="str">
        <f t="shared" si="1017"/>
        <v>...</v>
      </c>
      <c r="L4720" s="1" t="str">
        <f t="shared" si="1017"/>
        <v>...</v>
      </c>
      <c r="M4720" s="1" t="str">
        <f t="shared" si="1017"/>
        <v>...</v>
      </c>
      <c r="N4720" t="s">
        <v>30</v>
      </c>
    </row>
    <row r="4721" spans="1:14" x14ac:dyDescent="0.25">
      <c r="A4721" t="s">
        <v>41</v>
      </c>
      <c r="B4721" t="s">
        <v>40</v>
      </c>
      <c r="C4721" t="s">
        <v>35</v>
      </c>
      <c r="D4721" t="s">
        <v>34</v>
      </c>
      <c r="E4721" t="s">
        <v>23</v>
      </c>
      <c r="F4721" t="s">
        <v>20</v>
      </c>
      <c r="G4721" s="1" t="str">
        <f t="shared" ref="G4721:M4721" si="1018">"X"</f>
        <v>X</v>
      </c>
      <c r="H4721" s="1" t="str">
        <f t="shared" si="1018"/>
        <v>X</v>
      </c>
      <c r="I4721" s="1" t="str">
        <f t="shared" si="1018"/>
        <v>X</v>
      </c>
      <c r="J4721" s="1" t="str">
        <f t="shared" si="1018"/>
        <v>X</v>
      </c>
      <c r="K4721" s="1" t="str">
        <f t="shared" si="1018"/>
        <v>X</v>
      </c>
      <c r="L4721" s="1" t="str">
        <f t="shared" si="1018"/>
        <v>X</v>
      </c>
      <c r="M4721" s="1" t="str">
        <f t="shared" si="1018"/>
        <v>X</v>
      </c>
      <c r="N4721" t="s">
        <v>27</v>
      </c>
    </row>
    <row r="4722" spans="1:14" x14ac:dyDescent="0.25">
      <c r="A4722" t="s">
        <v>41</v>
      </c>
      <c r="B4722" t="s">
        <v>40</v>
      </c>
      <c r="C4722" t="s">
        <v>35</v>
      </c>
      <c r="D4722" t="s">
        <v>34</v>
      </c>
      <c r="E4722" t="s">
        <v>26</v>
      </c>
      <c r="F4722" t="s">
        <v>15</v>
      </c>
      <c r="G4722" s="1" t="str">
        <f t="shared" ref="G4722:M4726" si="1019">"..."</f>
        <v>...</v>
      </c>
      <c r="H4722" s="1" t="str">
        <f t="shared" si="1019"/>
        <v>...</v>
      </c>
      <c r="I4722" s="1" t="str">
        <f t="shared" si="1019"/>
        <v>...</v>
      </c>
      <c r="J4722" s="1" t="str">
        <f t="shared" si="1019"/>
        <v>...</v>
      </c>
      <c r="K4722" s="1" t="str">
        <f t="shared" si="1019"/>
        <v>...</v>
      </c>
      <c r="L4722" s="1" t="str">
        <f t="shared" si="1019"/>
        <v>...</v>
      </c>
      <c r="M4722" s="1" t="str">
        <f t="shared" si="1019"/>
        <v>...</v>
      </c>
      <c r="N4722" t="s">
        <v>30</v>
      </c>
    </row>
    <row r="4723" spans="1:14" x14ac:dyDescent="0.25">
      <c r="A4723" t="s">
        <v>41</v>
      </c>
      <c r="B4723" t="s">
        <v>40</v>
      </c>
      <c r="C4723" t="s">
        <v>35</v>
      </c>
      <c r="D4723" t="s">
        <v>34</v>
      </c>
      <c r="E4723" t="s">
        <v>26</v>
      </c>
      <c r="F4723" t="s">
        <v>17</v>
      </c>
      <c r="G4723" s="1" t="str">
        <f t="shared" si="1019"/>
        <v>...</v>
      </c>
      <c r="H4723" s="1" t="str">
        <f t="shared" si="1019"/>
        <v>...</v>
      </c>
      <c r="I4723" s="1" t="str">
        <f t="shared" si="1019"/>
        <v>...</v>
      </c>
      <c r="J4723" s="1" t="str">
        <f t="shared" si="1019"/>
        <v>...</v>
      </c>
      <c r="K4723" s="1" t="str">
        <f t="shared" si="1019"/>
        <v>...</v>
      </c>
      <c r="L4723" s="1" t="str">
        <f t="shared" si="1019"/>
        <v>...</v>
      </c>
      <c r="M4723" s="1" t="str">
        <f t="shared" si="1019"/>
        <v>...</v>
      </c>
      <c r="N4723" t="s">
        <v>30</v>
      </c>
    </row>
    <row r="4724" spans="1:14" x14ac:dyDescent="0.25">
      <c r="A4724" t="s">
        <v>41</v>
      </c>
      <c r="B4724" t="s">
        <v>40</v>
      </c>
      <c r="C4724" t="s">
        <v>35</v>
      </c>
      <c r="D4724" t="s">
        <v>34</v>
      </c>
      <c r="E4724" t="s">
        <v>26</v>
      </c>
      <c r="F4724" t="s">
        <v>18</v>
      </c>
      <c r="G4724" s="1" t="str">
        <f t="shared" si="1019"/>
        <v>...</v>
      </c>
      <c r="H4724" s="1" t="str">
        <f t="shared" si="1019"/>
        <v>...</v>
      </c>
      <c r="I4724" s="1" t="str">
        <f t="shared" si="1019"/>
        <v>...</v>
      </c>
      <c r="J4724" s="1" t="str">
        <f t="shared" si="1019"/>
        <v>...</v>
      </c>
      <c r="K4724" s="1" t="str">
        <f t="shared" si="1019"/>
        <v>...</v>
      </c>
      <c r="L4724" s="1" t="str">
        <f t="shared" si="1019"/>
        <v>...</v>
      </c>
      <c r="M4724" s="1" t="str">
        <f t="shared" si="1019"/>
        <v>...</v>
      </c>
      <c r="N4724" t="s">
        <v>30</v>
      </c>
    </row>
    <row r="4725" spans="1:14" x14ac:dyDescent="0.25">
      <c r="A4725" t="s">
        <v>41</v>
      </c>
      <c r="B4725" t="s">
        <v>40</v>
      </c>
      <c r="C4725" t="s">
        <v>35</v>
      </c>
      <c r="D4725" t="s">
        <v>34</v>
      </c>
      <c r="E4725" t="s">
        <v>26</v>
      </c>
      <c r="F4725" t="s">
        <v>19</v>
      </c>
      <c r="G4725" s="1" t="str">
        <f t="shared" si="1019"/>
        <v>...</v>
      </c>
      <c r="H4725" s="1" t="str">
        <f t="shared" si="1019"/>
        <v>...</v>
      </c>
      <c r="I4725" s="1" t="str">
        <f t="shared" si="1019"/>
        <v>...</v>
      </c>
      <c r="J4725" s="1" t="str">
        <f t="shared" si="1019"/>
        <v>...</v>
      </c>
      <c r="K4725" s="1" t="str">
        <f t="shared" si="1019"/>
        <v>...</v>
      </c>
      <c r="L4725" s="1" t="str">
        <f t="shared" si="1019"/>
        <v>...</v>
      </c>
      <c r="M4725" s="1" t="str">
        <f t="shared" si="1019"/>
        <v>...</v>
      </c>
      <c r="N4725" t="s">
        <v>30</v>
      </c>
    </row>
    <row r="4726" spans="1:14" x14ac:dyDescent="0.25">
      <c r="A4726" t="s">
        <v>41</v>
      </c>
      <c r="B4726" t="s">
        <v>40</v>
      </c>
      <c r="C4726" t="s">
        <v>35</v>
      </c>
      <c r="D4726" t="s">
        <v>34</v>
      </c>
      <c r="E4726" t="s">
        <v>26</v>
      </c>
      <c r="F4726" t="s">
        <v>20</v>
      </c>
      <c r="G4726" s="1" t="str">
        <f t="shared" si="1019"/>
        <v>...</v>
      </c>
      <c r="H4726" s="1" t="str">
        <f t="shared" si="1019"/>
        <v>...</v>
      </c>
      <c r="I4726" s="1" t="str">
        <f t="shared" si="1019"/>
        <v>...</v>
      </c>
      <c r="J4726" s="1" t="str">
        <f t="shared" si="1019"/>
        <v>...</v>
      </c>
      <c r="K4726" s="1" t="str">
        <f t="shared" si="1019"/>
        <v>...</v>
      </c>
      <c r="L4726" s="1" t="str">
        <f t="shared" si="1019"/>
        <v>...</v>
      </c>
      <c r="M4726" s="1" t="str">
        <f t="shared" si="1019"/>
        <v>...</v>
      </c>
      <c r="N4726" t="s">
        <v>30</v>
      </c>
    </row>
    <row r="4727" spans="1:14" x14ac:dyDescent="0.25">
      <c r="A4727" t="s">
        <v>41</v>
      </c>
      <c r="B4727" t="s">
        <v>40</v>
      </c>
      <c r="C4727" t="s">
        <v>36</v>
      </c>
      <c r="D4727" t="s">
        <v>15</v>
      </c>
      <c r="E4727" t="s">
        <v>15</v>
      </c>
      <c r="F4727" t="s">
        <v>15</v>
      </c>
      <c r="G4727" s="1">
        <f>VALUE(12155.591587578)</f>
        <v>12155.591587577999</v>
      </c>
      <c r="H4727" s="1">
        <f>VALUE(10557.1729089419)</f>
        <v>10557.1729089419</v>
      </c>
      <c r="I4727" s="1">
        <f>VALUE(2815)</f>
        <v>2815</v>
      </c>
      <c r="J4727" s="1">
        <f>VALUE(3333)</f>
        <v>3333</v>
      </c>
      <c r="K4727" s="1">
        <f>VALUE(4198)</f>
        <v>4198</v>
      </c>
      <c r="L4727" s="1">
        <f>VALUE(5238)</f>
        <v>5238</v>
      </c>
      <c r="M4727" s="1">
        <f>VALUE(6349)</f>
        <v>6349</v>
      </c>
      <c r="N4727" t="s">
        <v>16</v>
      </c>
    </row>
    <row r="4728" spans="1:14" x14ac:dyDescent="0.25">
      <c r="A4728" t="s">
        <v>41</v>
      </c>
      <c r="B4728" t="s">
        <v>40</v>
      </c>
      <c r="C4728" t="s">
        <v>36</v>
      </c>
      <c r="D4728" t="s">
        <v>15</v>
      </c>
      <c r="E4728" t="s">
        <v>15</v>
      </c>
      <c r="F4728" t="s">
        <v>17</v>
      </c>
      <c r="G4728" s="2">
        <f>VALUE(875.8600239795)</f>
        <v>875.86002397950006</v>
      </c>
      <c r="H4728" s="3">
        <f>VALUE(798.4704593847)</f>
        <v>798.47045938470001</v>
      </c>
      <c r="I4728" s="4">
        <f>VALUE(3033)</f>
        <v>3033</v>
      </c>
      <c r="J4728" s="5">
        <f>VALUE(4235)</f>
        <v>4235</v>
      </c>
      <c r="K4728" s="1">
        <f>VALUE(5238)</f>
        <v>5238</v>
      </c>
      <c r="L4728" s="7">
        <f>VALUE(7017)</f>
        <v>7017</v>
      </c>
      <c r="M4728" s="8">
        <f>VALUE(10693)</f>
        <v>10693</v>
      </c>
      <c r="N4728" t="s">
        <v>25</v>
      </c>
    </row>
    <row r="4729" spans="1:14" x14ac:dyDescent="0.25">
      <c r="A4729" t="s">
        <v>41</v>
      </c>
      <c r="B4729" t="s">
        <v>40</v>
      </c>
      <c r="C4729" t="s">
        <v>36</v>
      </c>
      <c r="D4729" t="s">
        <v>15</v>
      </c>
      <c r="E4729" t="s">
        <v>15</v>
      </c>
      <c r="F4729" t="s">
        <v>18</v>
      </c>
      <c r="G4729" s="2">
        <f>VALUE(1473.3593706662)</f>
        <v>1473.3593706662</v>
      </c>
      <c r="H4729" s="3">
        <f>VALUE(1274.4050122693)</f>
        <v>1274.4050122693</v>
      </c>
      <c r="I4729" s="4">
        <f>VALUE(3198)</f>
        <v>3198</v>
      </c>
      <c r="J4729" s="1">
        <f>VALUE(3920)</f>
        <v>3920</v>
      </c>
      <c r="K4729" s="1">
        <f>VALUE(4826)</f>
        <v>4826</v>
      </c>
      <c r="L4729" s="1">
        <f>VALUE(6059)</f>
        <v>6059</v>
      </c>
      <c r="M4729" s="8">
        <f>VALUE(7277)</f>
        <v>7277</v>
      </c>
      <c r="N4729" t="s">
        <v>25</v>
      </c>
    </row>
    <row r="4730" spans="1:14" x14ac:dyDescent="0.25">
      <c r="A4730" t="s">
        <v>41</v>
      </c>
      <c r="B4730" t="s">
        <v>40</v>
      </c>
      <c r="C4730" t="s">
        <v>36</v>
      </c>
      <c r="D4730" t="s">
        <v>15</v>
      </c>
      <c r="E4730" t="s">
        <v>15</v>
      </c>
      <c r="F4730" t="s">
        <v>19</v>
      </c>
      <c r="G4730" s="1">
        <f>VALUE(1826.9348163368)</f>
        <v>1826.9348163367999</v>
      </c>
      <c r="H4730" s="1">
        <f>VALUE(1604.2618422644)</f>
        <v>1604.2618422644</v>
      </c>
      <c r="I4730" s="1">
        <f>VALUE(3392)</f>
        <v>3392</v>
      </c>
      <c r="J4730" s="1">
        <f>VALUE(3852)</f>
        <v>3852</v>
      </c>
      <c r="K4730" s="1">
        <f>VALUE(4658)</f>
        <v>4658</v>
      </c>
      <c r="L4730" s="1">
        <f>VALUE(5366)</f>
        <v>5366</v>
      </c>
      <c r="M4730" s="1">
        <f>VALUE(6508)</f>
        <v>6508</v>
      </c>
      <c r="N4730" t="s">
        <v>16</v>
      </c>
    </row>
    <row r="4731" spans="1:14" x14ac:dyDescent="0.25">
      <c r="A4731" t="s">
        <v>41</v>
      </c>
      <c r="B4731" t="s">
        <v>40</v>
      </c>
      <c r="C4731" t="s">
        <v>36</v>
      </c>
      <c r="D4731" t="s">
        <v>15</v>
      </c>
      <c r="E4731" t="s">
        <v>15</v>
      </c>
      <c r="F4731" t="s">
        <v>20</v>
      </c>
      <c r="G4731" s="1">
        <f>VALUE(7967.2179794983)</f>
        <v>7967.2179794983003</v>
      </c>
      <c r="H4731" s="1">
        <f>VALUE(6867.3069442075)</f>
        <v>6867.3069442075002</v>
      </c>
      <c r="I4731" s="1">
        <f>VALUE(2762)</f>
        <v>2762</v>
      </c>
      <c r="J4731" s="1">
        <f>VALUE(3198)</f>
        <v>3198</v>
      </c>
      <c r="K4731" s="1">
        <f>VALUE(3900)</f>
        <v>3900</v>
      </c>
      <c r="L4731" s="1">
        <f>VALUE(4860)</f>
        <v>4860</v>
      </c>
      <c r="M4731" s="1">
        <f>VALUE(5778)</f>
        <v>5778</v>
      </c>
      <c r="N4731" t="s">
        <v>16</v>
      </c>
    </row>
    <row r="4732" spans="1:14" x14ac:dyDescent="0.25">
      <c r="A4732" t="s">
        <v>41</v>
      </c>
      <c r="B4732" t="s">
        <v>40</v>
      </c>
      <c r="C4732" t="s">
        <v>36</v>
      </c>
      <c r="D4732" t="s">
        <v>15</v>
      </c>
      <c r="E4732" t="s">
        <v>21</v>
      </c>
      <c r="F4732" t="s">
        <v>15</v>
      </c>
      <c r="G4732" s="1">
        <f>VALUE(3422.4128864064)</f>
        <v>3422.4128864064</v>
      </c>
      <c r="H4732" s="1">
        <f>VALUE(2933.051746017)</f>
        <v>2933.0517460169999</v>
      </c>
      <c r="I4732" s="1">
        <f>VALUE(3469)</f>
        <v>3469</v>
      </c>
      <c r="J4732" s="1">
        <f>VALUE(4154)</f>
        <v>4154</v>
      </c>
      <c r="K4732" s="1">
        <f>VALUE(5143)</f>
        <v>5143</v>
      </c>
      <c r="L4732" s="1">
        <f>VALUE(6247)</f>
        <v>6247</v>
      </c>
      <c r="M4732" s="8">
        <f>VALUE(7420)</f>
        <v>7420</v>
      </c>
      <c r="N4732" t="s">
        <v>25</v>
      </c>
    </row>
    <row r="4733" spans="1:14" x14ac:dyDescent="0.25">
      <c r="A4733" t="s">
        <v>41</v>
      </c>
      <c r="B4733" t="s">
        <v>40</v>
      </c>
      <c r="C4733" t="s">
        <v>36</v>
      </c>
      <c r="D4733" t="s">
        <v>15</v>
      </c>
      <c r="E4733" t="s">
        <v>21</v>
      </c>
      <c r="F4733" t="s">
        <v>17</v>
      </c>
      <c r="G4733" s="2">
        <f>VALUE(584.020466862)</f>
        <v>584.02046686200003</v>
      </c>
      <c r="H4733" s="3">
        <f>VALUE(527.0714472342)</f>
        <v>527.07144723420004</v>
      </c>
      <c r="I4733" s="4">
        <f>VALUE(3297)</f>
        <v>3297</v>
      </c>
      <c r="J4733" s="1">
        <f>VALUE(4800)</f>
        <v>4800</v>
      </c>
      <c r="K4733" s="1">
        <f>VALUE(5833)</f>
        <v>5833</v>
      </c>
      <c r="L4733" s="7">
        <f>VALUE(7725)</f>
        <v>7725</v>
      </c>
      <c r="M4733" s="8">
        <f>VALUE(12257)</f>
        <v>12257</v>
      </c>
      <c r="N4733" t="s">
        <v>25</v>
      </c>
    </row>
    <row r="4734" spans="1:14" x14ac:dyDescent="0.25">
      <c r="A4734" t="s">
        <v>41</v>
      </c>
      <c r="B4734" t="s">
        <v>40</v>
      </c>
      <c r="C4734" t="s">
        <v>36</v>
      </c>
      <c r="D4734" t="s">
        <v>15</v>
      </c>
      <c r="E4734" t="s">
        <v>21</v>
      </c>
      <c r="F4734" t="s">
        <v>18</v>
      </c>
      <c r="G4734" s="2">
        <f>VALUE(655.1333054603)</f>
        <v>655.13330546029999</v>
      </c>
      <c r="H4734" s="3">
        <f>VALUE(548.334768194)</f>
        <v>548.33476819400005</v>
      </c>
      <c r="I4734" s="1">
        <f>VALUE(3587)</f>
        <v>3587</v>
      </c>
      <c r="J4734" s="1">
        <f>VALUE(4127)</f>
        <v>4127</v>
      </c>
      <c r="K4734" s="1">
        <f>VALUE(5317)</f>
        <v>5317</v>
      </c>
      <c r="L4734" s="1">
        <f>VALUE(6429)</f>
        <v>6429</v>
      </c>
      <c r="M4734" s="8">
        <f>VALUE(7717)</f>
        <v>7717</v>
      </c>
      <c r="N4734" t="s">
        <v>25</v>
      </c>
    </row>
    <row r="4735" spans="1:14" x14ac:dyDescent="0.25">
      <c r="A4735" t="s">
        <v>41</v>
      </c>
      <c r="B4735" t="s">
        <v>40</v>
      </c>
      <c r="C4735" t="s">
        <v>36</v>
      </c>
      <c r="D4735" t="s">
        <v>15</v>
      </c>
      <c r="E4735" t="s">
        <v>21</v>
      </c>
      <c r="F4735" t="s">
        <v>19</v>
      </c>
      <c r="G4735" s="2">
        <f>VALUE(853.9635648914)</f>
        <v>853.96356489139998</v>
      </c>
      <c r="H4735" s="3">
        <f>VALUE(720.8761696346)</f>
        <v>720.87616963460005</v>
      </c>
      <c r="I4735" s="1">
        <f>VALUE(3766)</f>
        <v>3766</v>
      </c>
      <c r="J4735" s="1">
        <f>VALUE(4300)</f>
        <v>4300</v>
      </c>
      <c r="K4735" s="1">
        <f>VALUE(5149)</f>
        <v>5149</v>
      </c>
      <c r="L4735" s="1">
        <f>VALUE(5953)</f>
        <v>5953</v>
      </c>
      <c r="M4735" s="1">
        <f>VALUE(7192)</f>
        <v>7192</v>
      </c>
      <c r="N4735" t="s">
        <v>25</v>
      </c>
    </row>
    <row r="4736" spans="1:14" x14ac:dyDescent="0.25">
      <c r="A4736" t="s">
        <v>41</v>
      </c>
      <c r="B4736" t="s">
        <v>40</v>
      </c>
      <c r="C4736" t="s">
        <v>36</v>
      </c>
      <c r="D4736" t="s">
        <v>15</v>
      </c>
      <c r="E4736" t="s">
        <v>21</v>
      </c>
      <c r="F4736" t="s">
        <v>20</v>
      </c>
      <c r="G4736" s="2">
        <f>VALUE(1329.2955491927)</f>
        <v>1329.2955491927</v>
      </c>
      <c r="H4736" s="1">
        <f>VALUE(1136.7693609542)</f>
        <v>1136.7693609542</v>
      </c>
      <c r="I4736" s="1">
        <f>VALUE(3391)</f>
        <v>3391</v>
      </c>
      <c r="J4736" s="1">
        <f>VALUE(4000)</f>
        <v>4000</v>
      </c>
      <c r="K4736" s="1">
        <f>VALUE(4850)</f>
        <v>4850</v>
      </c>
      <c r="L4736" s="1">
        <f>VALUE(5761)</f>
        <v>5761</v>
      </c>
      <c r="M4736" s="1">
        <f>VALUE(6649)</f>
        <v>6649</v>
      </c>
      <c r="N4736" t="s">
        <v>25</v>
      </c>
    </row>
    <row r="4737" spans="1:14" x14ac:dyDescent="0.25">
      <c r="A4737" t="s">
        <v>41</v>
      </c>
      <c r="B4737" t="s">
        <v>40</v>
      </c>
      <c r="C4737" t="s">
        <v>36</v>
      </c>
      <c r="D4737" t="s">
        <v>15</v>
      </c>
      <c r="E4737" t="s">
        <v>22</v>
      </c>
      <c r="F4737" t="s">
        <v>15</v>
      </c>
      <c r="G4737" s="1">
        <f>VALUE(4564.8180681841)</f>
        <v>4564.8180681841004</v>
      </c>
      <c r="H4737" s="1">
        <f>VALUE(4058.5845434167)</f>
        <v>4058.5845434166999</v>
      </c>
      <c r="I4737" s="1">
        <f>VALUE(3082)</f>
        <v>3082</v>
      </c>
      <c r="J4737" s="1">
        <f>VALUE(3765)</f>
        <v>3765</v>
      </c>
      <c r="K4737" s="1">
        <f>VALUE(4500)</f>
        <v>4500</v>
      </c>
      <c r="L4737" s="1">
        <f>VALUE(5200)</f>
        <v>5200</v>
      </c>
      <c r="M4737" s="1">
        <f>VALUE(5958)</f>
        <v>5958</v>
      </c>
      <c r="N4737" t="s">
        <v>16</v>
      </c>
    </row>
    <row r="4738" spans="1:14" x14ac:dyDescent="0.25">
      <c r="A4738" t="s">
        <v>41</v>
      </c>
      <c r="B4738" t="s">
        <v>40</v>
      </c>
      <c r="C4738" t="s">
        <v>36</v>
      </c>
      <c r="D4738" t="s">
        <v>15</v>
      </c>
      <c r="E4738" t="s">
        <v>22</v>
      </c>
      <c r="F4738" t="s">
        <v>17</v>
      </c>
      <c r="G4738" s="2">
        <f>VALUE(224.0240178059)</f>
        <v>224.0240178059</v>
      </c>
      <c r="H4738" s="3">
        <f>VALUE(213.3529927313)</f>
        <v>213.35299273129999</v>
      </c>
      <c r="I4738" s="4">
        <f>VALUE(3243)</f>
        <v>3243</v>
      </c>
      <c r="J4738" s="5">
        <f>VALUE(4006)</f>
        <v>4006</v>
      </c>
      <c r="K4738" s="6">
        <f>VALUE(4346)</f>
        <v>4346</v>
      </c>
      <c r="L4738" s="1">
        <f>VALUE(4929)</f>
        <v>4929</v>
      </c>
      <c r="M4738" s="1">
        <f>VALUE(5778)</f>
        <v>5778</v>
      </c>
      <c r="N4738" t="s">
        <v>25</v>
      </c>
    </row>
    <row r="4739" spans="1:14" x14ac:dyDescent="0.25">
      <c r="A4739" t="s">
        <v>41</v>
      </c>
      <c r="B4739" t="s">
        <v>40</v>
      </c>
      <c r="C4739" t="s">
        <v>36</v>
      </c>
      <c r="D4739" t="s">
        <v>15</v>
      </c>
      <c r="E4739" t="s">
        <v>22</v>
      </c>
      <c r="F4739" t="s">
        <v>18</v>
      </c>
      <c r="G4739" s="2">
        <f>VALUE(640.6426883267)</f>
        <v>640.64268832669995</v>
      </c>
      <c r="H4739" s="3">
        <f>VALUE(584.5421496308)</f>
        <v>584.54214963080005</v>
      </c>
      <c r="I4739" s="4">
        <f>VALUE(3059)</f>
        <v>3059</v>
      </c>
      <c r="J4739" s="5">
        <f>VALUE(3900)</f>
        <v>3900</v>
      </c>
      <c r="K4739" s="1">
        <f>VALUE(4599)</f>
        <v>4599</v>
      </c>
      <c r="L4739" s="1">
        <f>VALUE(5237)</f>
        <v>5237</v>
      </c>
      <c r="M4739" s="1">
        <f>VALUE(6797)</f>
        <v>6797</v>
      </c>
      <c r="N4739" t="s">
        <v>25</v>
      </c>
    </row>
    <row r="4740" spans="1:14" x14ac:dyDescent="0.25">
      <c r="A4740" t="s">
        <v>41</v>
      </c>
      <c r="B4740" t="s">
        <v>40</v>
      </c>
      <c r="C4740" t="s">
        <v>36</v>
      </c>
      <c r="D4740" t="s">
        <v>15</v>
      </c>
      <c r="E4740" t="s">
        <v>22</v>
      </c>
      <c r="F4740" t="s">
        <v>19</v>
      </c>
      <c r="G4740" s="2">
        <f>VALUE(699.1350896767)</f>
        <v>699.13508967669998</v>
      </c>
      <c r="H4740" s="3">
        <f>VALUE(642.9494636855)</f>
        <v>642.94946368549995</v>
      </c>
      <c r="I4740" s="1">
        <f>VALUE(3300)</f>
        <v>3300</v>
      </c>
      <c r="J4740" s="5">
        <f>VALUE(3937)</f>
        <v>3937</v>
      </c>
      <c r="K4740" s="1">
        <f>VALUE(4566)</f>
        <v>4566</v>
      </c>
      <c r="L4740" s="1">
        <f>VALUE(5179)</f>
        <v>5179</v>
      </c>
      <c r="M4740" s="1">
        <f>VALUE(6046)</f>
        <v>6046</v>
      </c>
      <c r="N4740" t="s">
        <v>25</v>
      </c>
    </row>
    <row r="4741" spans="1:14" x14ac:dyDescent="0.25">
      <c r="A4741" t="s">
        <v>41</v>
      </c>
      <c r="B4741" t="s">
        <v>40</v>
      </c>
      <c r="C4741" t="s">
        <v>36</v>
      </c>
      <c r="D4741" t="s">
        <v>15</v>
      </c>
      <c r="E4741" t="s">
        <v>22</v>
      </c>
      <c r="F4741" t="s">
        <v>20</v>
      </c>
      <c r="G4741" s="1">
        <f>VALUE(3001.0162723748)</f>
        <v>3001.0162723747999</v>
      </c>
      <c r="H4741" s="1">
        <f>VALUE(2617.7399373691)</f>
        <v>2617.7399373691001</v>
      </c>
      <c r="I4741" s="1">
        <f>VALUE(3041)</f>
        <v>3041</v>
      </c>
      <c r="J4741" s="1">
        <f>VALUE(3652)</f>
        <v>3652</v>
      </c>
      <c r="K4741" s="1">
        <f>VALUE(4454)</f>
        <v>4454</v>
      </c>
      <c r="L4741" s="1">
        <f>VALUE(5242)</f>
        <v>5242</v>
      </c>
      <c r="M4741" s="1">
        <f>VALUE(5909)</f>
        <v>5909</v>
      </c>
      <c r="N4741" t="s">
        <v>16</v>
      </c>
    </row>
    <row r="4742" spans="1:14" x14ac:dyDescent="0.25">
      <c r="A4742" t="s">
        <v>41</v>
      </c>
      <c r="B4742" t="s">
        <v>40</v>
      </c>
      <c r="C4742" t="s">
        <v>36</v>
      </c>
      <c r="D4742" t="s">
        <v>15</v>
      </c>
      <c r="E4742" t="s">
        <v>23</v>
      </c>
      <c r="F4742" t="s">
        <v>15</v>
      </c>
      <c r="G4742" s="1">
        <f>VALUE(4016.4976996869)</f>
        <v>4016.4976996869</v>
      </c>
      <c r="H4742" s="1">
        <f>VALUE(3411.7098183592)</f>
        <v>3411.7098183592002</v>
      </c>
      <c r="I4742" s="1">
        <f>VALUE(2618)</f>
        <v>2618</v>
      </c>
      <c r="J4742" s="1">
        <f>VALUE(2873)</f>
        <v>2873</v>
      </c>
      <c r="K4742" s="1">
        <f>VALUE(3306)</f>
        <v>3306</v>
      </c>
      <c r="L4742" s="1">
        <f>VALUE(3817)</f>
        <v>3817</v>
      </c>
      <c r="M4742" s="1">
        <f>VALUE(4422)</f>
        <v>4422</v>
      </c>
      <c r="N4742" t="s">
        <v>16</v>
      </c>
    </row>
    <row r="4743" spans="1:14" x14ac:dyDescent="0.25">
      <c r="A4743" t="s">
        <v>41</v>
      </c>
      <c r="B4743" t="s">
        <v>40</v>
      </c>
      <c r="C4743" t="s">
        <v>36</v>
      </c>
      <c r="D4743" t="s">
        <v>15</v>
      </c>
      <c r="E4743" t="s">
        <v>23</v>
      </c>
      <c r="F4743" t="s">
        <v>17</v>
      </c>
      <c r="G4743" s="1" t="str">
        <f t="shared" ref="G4743:M4744" si="1020">"X"</f>
        <v>X</v>
      </c>
      <c r="H4743" s="1" t="str">
        <f t="shared" si="1020"/>
        <v>X</v>
      </c>
      <c r="I4743" s="1" t="str">
        <f t="shared" si="1020"/>
        <v>X</v>
      </c>
      <c r="J4743" s="1" t="str">
        <f t="shared" si="1020"/>
        <v>X</v>
      </c>
      <c r="K4743" s="1" t="str">
        <f t="shared" si="1020"/>
        <v>X</v>
      </c>
      <c r="L4743" s="1" t="str">
        <f t="shared" si="1020"/>
        <v>X</v>
      </c>
      <c r="M4743" s="1" t="str">
        <f t="shared" si="1020"/>
        <v>X</v>
      </c>
      <c r="N4743" t="s">
        <v>27</v>
      </c>
    </row>
    <row r="4744" spans="1:14" x14ac:dyDescent="0.25">
      <c r="A4744" t="s">
        <v>41</v>
      </c>
      <c r="B4744" t="s">
        <v>40</v>
      </c>
      <c r="C4744" t="s">
        <v>36</v>
      </c>
      <c r="D4744" t="s">
        <v>15</v>
      </c>
      <c r="E4744" t="s">
        <v>23</v>
      </c>
      <c r="F4744" t="s">
        <v>18</v>
      </c>
      <c r="G4744" s="1" t="str">
        <f t="shared" si="1020"/>
        <v>X</v>
      </c>
      <c r="H4744" s="1" t="str">
        <f t="shared" si="1020"/>
        <v>X</v>
      </c>
      <c r="I4744" s="1" t="str">
        <f t="shared" si="1020"/>
        <v>X</v>
      </c>
      <c r="J4744" s="1" t="str">
        <f t="shared" si="1020"/>
        <v>X</v>
      </c>
      <c r="K4744" s="1" t="str">
        <f t="shared" si="1020"/>
        <v>X</v>
      </c>
      <c r="L4744" s="1" t="str">
        <f t="shared" si="1020"/>
        <v>X</v>
      </c>
      <c r="M4744" s="1" t="str">
        <f t="shared" si="1020"/>
        <v>X</v>
      </c>
      <c r="N4744" t="s">
        <v>27</v>
      </c>
    </row>
    <row r="4745" spans="1:14" x14ac:dyDescent="0.25">
      <c r="A4745" t="s">
        <v>41</v>
      </c>
      <c r="B4745" t="s">
        <v>40</v>
      </c>
      <c r="C4745" t="s">
        <v>36</v>
      </c>
      <c r="D4745" t="s">
        <v>15</v>
      </c>
      <c r="E4745" t="s">
        <v>23</v>
      </c>
      <c r="F4745" t="s">
        <v>19</v>
      </c>
      <c r="G4745" s="2">
        <f>VALUE(273.8361617687)</f>
        <v>273.83616176869998</v>
      </c>
      <c r="H4745" s="3">
        <f>VALUE(240.4362089443)</f>
        <v>240.43620894430001</v>
      </c>
      <c r="I4745" s="1">
        <f>VALUE(3090)</f>
        <v>3090</v>
      </c>
      <c r="J4745" s="5">
        <f>VALUE(3402)</f>
        <v>3402</v>
      </c>
      <c r="K4745" s="6">
        <f>VALUE(3467)</f>
        <v>3467</v>
      </c>
      <c r="L4745" s="1">
        <f>VALUE(3955)</f>
        <v>3955</v>
      </c>
      <c r="M4745" s="1">
        <f>VALUE(4363)</f>
        <v>4363</v>
      </c>
      <c r="N4745" t="s">
        <v>25</v>
      </c>
    </row>
    <row r="4746" spans="1:14" x14ac:dyDescent="0.25">
      <c r="A4746" t="s">
        <v>41</v>
      </c>
      <c r="B4746" t="s">
        <v>40</v>
      </c>
      <c r="C4746" t="s">
        <v>36</v>
      </c>
      <c r="D4746" t="s">
        <v>15</v>
      </c>
      <c r="E4746" t="s">
        <v>23</v>
      </c>
      <c r="F4746" t="s">
        <v>20</v>
      </c>
      <c r="G4746" s="1">
        <f>VALUE(3530.8663450498)</f>
        <v>3530.8663450498002</v>
      </c>
      <c r="H4746" s="1">
        <f>VALUE(3006.0629552262)</f>
        <v>3006.0629552261998</v>
      </c>
      <c r="I4746" s="1">
        <f>VALUE(2600)</f>
        <v>2600</v>
      </c>
      <c r="J4746" s="1">
        <f>VALUE(2839)</f>
        <v>2839</v>
      </c>
      <c r="K4746" s="1">
        <f>VALUE(3261)</f>
        <v>3261</v>
      </c>
      <c r="L4746" s="1">
        <f>VALUE(3735)</f>
        <v>3735</v>
      </c>
      <c r="M4746" s="1">
        <f>VALUE(4324)</f>
        <v>4324</v>
      </c>
      <c r="N4746" t="s">
        <v>16</v>
      </c>
    </row>
    <row r="4747" spans="1:14" x14ac:dyDescent="0.25">
      <c r="A4747" t="s">
        <v>41</v>
      </c>
      <c r="B4747" t="s">
        <v>40</v>
      </c>
      <c r="C4747" t="s">
        <v>36</v>
      </c>
      <c r="D4747" t="s">
        <v>15</v>
      </c>
      <c r="E4747" t="s">
        <v>26</v>
      </c>
      <c r="F4747" t="s">
        <v>15</v>
      </c>
      <c r="G4747" s="2">
        <f>VALUE(151.8629333006)</f>
        <v>151.86293330059999</v>
      </c>
      <c r="H4747" s="3">
        <f>VALUE(153.826801149)</f>
        <v>153.826801149</v>
      </c>
      <c r="I4747" s="1">
        <f>VALUE(4490)</f>
        <v>4490</v>
      </c>
      <c r="J4747" s="1">
        <f>VALUE(5476)</f>
        <v>5476</v>
      </c>
      <c r="K4747" s="1">
        <f>VALUE(6270)</f>
        <v>6270</v>
      </c>
      <c r="L4747" s="1">
        <f>VALUE(7778)</f>
        <v>7778</v>
      </c>
      <c r="M4747" s="1">
        <f>VALUE(9683)</f>
        <v>9683</v>
      </c>
      <c r="N4747" t="s">
        <v>25</v>
      </c>
    </row>
    <row r="4748" spans="1:14" x14ac:dyDescent="0.25">
      <c r="A4748" t="s">
        <v>41</v>
      </c>
      <c r="B4748" t="s">
        <v>40</v>
      </c>
      <c r="C4748" t="s">
        <v>36</v>
      </c>
      <c r="D4748" t="s">
        <v>15</v>
      </c>
      <c r="E4748" t="s">
        <v>26</v>
      </c>
      <c r="F4748" t="s">
        <v>17</v>
      </c>
      <c r="G4748" s="1" t="str">
        <f t="shared" ref="G4748:M4749" si="1021">"X"</f>
        <v>X</v>
      </c>
      <c r="H4748" s="1" t="str">
        <f t="shared" si="1021"/>
        <v>X</v>
      </c>
      <c r="I4748" s="1" t="str">
        <f t="shared" si="1021"/>
        <v>X</v>
      </c>
      <c r="J4748" s="1" t="str">
        <f t="shared" si="1021"/>
        <v>X</v>
      </c>
      <c r="K4748" s="1" t="str">
        <f t="shared" si="1021"/>
        <v>X</v>
      </c>
      <c r="L4748" s="1" t="str">
        <f t="shared" si="1021"/>
        <v>X</v>
      </c>
      <c r="M4748" s="1" t="str">
        <f t="shared" si="1021"/>
        <v>X</v>
      </c>
      <c r="N4748" t="s">
        <v>27</v>
      </c>
    </row>
    <row r="4749" spans="1:14" x14ac:dyDescent="0.25">
      <c r="A4749" t="s">
        <v>41</v>
      </c>
      <c r="B4749" t="s">
        <v>40</v>
      </c>
      <c r="C4749" t="s">
        <v>36</v>
      </c>
      <c r="D4749" t="s">
        <v>15</v>
      </c>
      <c r="E4749" t="s">
        <v>26</v>
      </c>
      <c r="F4749" t="s">
        <v>18</v>
      </c>
      <c r="G4749" s="1" t="str">
        <f t="shared" si="1021"/>
        <v>X</v>
      </c>
      <c r="H4749" s="1" t="str">
        <f t="shared" si="1021"/>
        <v>X</v>
      </c>
      <c r="I4749" s="1" t="str">
        <f t="shared" si="1021"/>
        <v>X</v>
      </c>
      <c r="J4749" s="1" t="str">
        <f t="shared" si="1021"/>
        <v>X</v>
      </c>
      <c r="K4749" s="1" t="str">
        <f t="shared" si="1021"/>
        <v>X</v>
      </c>
      <c r="L4749" s="1" t="str">
        <f t="shared" si="1021"/>
        <v>X</v>
      </c>
      <c r="M4749" s="1" t="str">
        <f t="shared" si="1021"/>
        <v>X</v>
      </c>
      <c r="N4749" t="s">
        <v>27</v>
      </c>
    </row>
    <row r="4750" spans="1:14" x14ac:dyDescent="0.25">
      <c r="A4750" t="s">
        <v>41</v>
      </c>
      <c r="B4750" t="s">
        <v>40</v>
      </c>
      <c r="C4750" t="s">
        <v>36</v>
      </c>
      <c r="D4750" t="s">
        <v>15</v>
      </c>
      <c r="E4750" t="s">
        <v>26</v>
      </c>
      <c r="F4750" t="s">
        <v>19</v>
      </c>
      <c r="G4750" s="1" t="str">
        <f t="shared" ref="G4750:M4750" si="1022">"..."</f>
        <v>...</v>
      </c>
      <c r="H4750" s="1" t="str">
        <f t="shared" si="1022"/>
        <v>...</v>
      </c>
      <c r="I4750" s="1" t="str">
        <f t="shared" si="1022"/>
        <v>...</v>
      </c>
      <c r="J4750" s="1" t="str">
        <f t="shared" si="1022"/>
        <v>...</v>
      </c>
      <c r="K4750" s="1" t="str">
        <f t="shared" si="1022"/>
        <v>...</v>
      </c>
      <c r="L4750" s="1" t="str">
        <f t="shared" si="1022"/>
        <v>...</v>
      </c>
      <c r="M4750" s="1" t="str">
        <f t="shared" si="1022"/>
        <v>...</v>
      </c>
      <c r="N4750" t="s">
        <v>30</v>
      </c>
    </row>
    <row r="4751" spans="1:14" x14ac:dyDescent="0.25">
      <c r="A4751" t="s">
        <v>41</v>
      </c>
      <c r="B4751" t="s">
        <v>40</v>
      </c>
      <c r="C4751" t="s">
        <v>36</v>
      </c>
      <c r="D4751" t="s">
        <v>15</v>
      </c>
      <c r="E4751" t="s">
        <v>26</v>
      </c>
      <c r="F4751" t="s">
        <v>20</v>
      </c>
      <c r="G4751" s="1" t="str">
        <f t="shared" ref="G4751:M4751" si="1023">"X"</f>
        <v>X</v>
      </c>
      <c r="H4751" s="1" t="str">
        <f t="shared" si="1023"/>
        <v>X</v>
      </c>
      <c r="I4751" s="1" t="str">
        <f t="shared" si="1023"/>
        <v>X</v>
      </c>
      <c r="J4751" s="1" t="str">
        <f t="shared" si="1023"/>
        <v>X</v>
      </c>
      <c r="K4751" s="1" t="str">
        <f t="shared" si="1023"/>
        <v>X</v>
      </c>
      <c r="L4751" s="1" t="str">
        <f t="shared" si="1023"/>
        <v>X</v>
      </c>
      <c r="M4751" s="1" t="str">
        <f t="shared" si="1023"/>
        <v>X</v>
      </c>
      <c r="N4751" t="s">
        <v>27</v>
      </c>
    </row>
    <row r="4752" spans="1:14" x14ac:dyDescent="0.25">
      <c r="A4752" t="s">
        <v>41</v>
      </c>
      <c r="B4752" t="s">
        <v>40</v>
      </c>
      <c r="C4752" t="s">
        <v>36</v>
      </c>
      <c r="D4752" t="s">
        <v>28</v>
      </c>
      <c r="E4752" t="s">
        <v>15</v>
      </c>
      <c r="F4752" t="s">
        <v>15</v>
      </c>
      <c r="G4752" s="1">
        <f>VALUE(4813.1931481581)</f>
        <v>4813.1931481580996</v>
      </c>
      <c r="H4752" s="1">
        <f>VALUE(4129.9143676492)</f>
        <v>4129.9143676492004</v>
      </c>
      <c r="I4752" s="1">
        <f>VALUE(3426)</f>
        <v>3426</v>
      </c>
      <c r="J4752" s="1">
        <f>VALUE(4127)</f>
        <v>4127</v>
      </c>
      <c r="K4752" s="1">
        <f>VALUE(4812)</f>
        <v>4812</v>
      </c>
      <c r="L4752" s="1">
        <f>VALUE(5635)</f>
        <v>5635</v>
      </c>
      <c r="M4752" s="1">
        <f>VALUE(6575)</f>
        <v>6575</v>
      </c>
      <c r="N4752" t="s">
        <v>16</v>
      </c>
    </row>
    <row r="4753" spans="1:14" x14ac:dyDescent="0.25">
      <c r="A4753" t="s">
        <v>41</v>
      </c>
      <c r="B4753" t="s">
        <v>40</v>
      </c>
      <c r="C4753" t="s">
        <v>36</v>
      </c>
      <c r="D4753" t="s">
        <v>28</v>
      </c>
      <c r="E4753" t="s">
        <v>15</v>
      </c>
      <c r="F4753" t="s">
        <v>17</v>
      </c>
      <c r="G4753" s="2">
        <f>VALUE(497.149890953)</f>
        <v>497.14989095300001</v>
      </c>
      <c r="H4753" s="3">
        <f>VALUE(473.3027588932)</f>
        <v>473.30275889320001</v>
      </c>
      <c r="I4753" s="4">
        <f>VALUE(3267)</f>
        <v>3267</v>
      </c>
      <c r="J4753" s="5">
        <f>VALUE(4183)</f>
        <v>4183</v>
      </c>
      <c r="K4753" s="1">
        <f>VALUE(4850)</f>
        <v>4850</v>
      </c>
      <c r="L4753" s="1">
        <f>VALUE(5905)</f>
        <v>5905</v>
      </c>
      <c r="M4753" s="8">
        <f>VALUE(8000)</f>
        <v>8000</v>
      </c>
      <c r="N4753" t="s">
        <v>25</v>
      </c>
    </row>
    <row r="4754" spans="1:14" x14ac:dyDescent="0.25">
      <c r="A4754" t="s">
        <v>41</v>
      </c>
      <c r="B4754" t="s">
        <v>40</v>
      </c>
      <c r="C4754" t="s">
        <v>36</v>
      </c>
      <c r="D4754" t="s">
        <v>28</v>
      </c>
      <c r="E4754" t="s">
        <v>15</v>
      </c>
      <c r="F4754" t="s">
        <v>18</v>
      </c>
      <c r="G4754" s="2">
        <f>VALUE(819.3985856442)</f>
        <v>819.39858564420001</v>
      </c>
      <c r="H4754" s="3">
        <f>VALUE(700.2631263947)</f>
        <v>700.26312639469995</v>
      </c>
      <c r="I4754" s="1">
        <f>VALUE(3738)</f>
        <v>3738</v>
      </c>
      <c r="J4754" s="1">
        <f>VALUE(4308)</f>
        <v>4308</v>
      </c>
      <c r="K4754" s="1">
        <f>VALUE(4984)</f>
        <v>4984</v>
      </c>
      <c r="L4754" s="1">
        <f>VALUE(5965)</f>
        <v>5965</v>
      </c>
      <c r="M4754" s="1">
        <f>VALUE(7175)</f>
        <v>7175</v>
      </c>
      <c r="N4754" t="s">
        <v>25</v>
      </c>
    </row>
    <row r="4755" spans="1:14" x14ac:dyDescent="0.25">
      <c r="A4755" t="s">
        <v>41</v>
      </c>
      <c r="B4755" t="s">
        <v>40</v>
      </c>
      <c r="C4755" t="s">
        <v>36</v>
      </c>
      <c r="D4755" t="s">
        <v>28</v>
      </c>
      <c r="E4755" t="s">
        <v>15</v>
      </c>
      <c r="F4755" t="s">
        <v>19</v>
      </c>
      <c r="G4755" s="2">
        <f>VALUE(808.8663562878)</f>
        <v>808.86635628780004</v>
      </c>
      <c r="H4755" s="3">
        <f>VALUE(689.3467376486)</f>
        <v>689.34673764859997</v>
      </c>
      <c r="I4755" s="1">
        <f>VALUE(3846)</f>
        <v>3846</v>
      </c>
      <c r="J4755" s="1">
        <f>VALUE(4388)</f>
        <v>4388</v>
      </c>
      <c r="K4755" s="1">
        <f>VALUE(4959)</f>
        <v>4959</v>
      </c>
      <c r="L4755" s="1">
        <f>VALUE(5796)</f>
        <v>5796</v>
      </c>
      <c r="M4755" s="1">
        <f>VALUE(6682)</f>
        <v>6682</v>
      </c>
      <c r="N4755" t="s">
        <v>25</v>
      </c>
    </row>
    <row r="4756" spans="1:14" x14ac:dyDescent="0.25">
      <c r="A4756" t="s">
        <v>41</v>
      </c>
      <c r="B4756" t="s">
        <v>40</v>
      </c>
      <c r="C4756" t="s">
        <v>36</v>
      </c>
      <c r="D4756" t="s">
        <v>28</v>
      </c>
      <c r="E4756" t="s">
        <v>15</v>
      </c>
      <c r="F4756" t="s">
        <v>20</v>
      </c>
      <c r="G4756" s="1">
        <f>VALUE(2686.6217818149)</f>
        <v>2686.6217818148998</v>
      </c>
      <c r="H4756" s="1">
        <f>VALUE(2265.8452112545)</f>
        <v>2265.8452112545001</v>
      </c>
      <c r="I4756" s="1">
        <f>VALUE(3333)</f>
        <v>3333</v>
      </c>
      <c r="J4756" s="1">
        <f>VALUE(3997)</f>
        <v>3997</v>
      </c>
      <c r="K4756" s="1">
        <f>VALUE(4684)</f>
        <v>4684</v>
      </c>
      <c r="L4756" s="1">
        <f>VALUE(5479)</f>
        <v>5479</v>
      </c>
      <c r="M4756" s="1">
        <f>VALUE(6257)</f>
        <v>6257</v>
      </c>
      <c r="N4756" t="s">
        <v>16</v>
      </c>
    </row>
    <row r="4757" spans="1:14" x14ac:dyDescent="0.25">
      <c r="A4757" t="s">
        <v>41</v>
      </c>
      <c r="B4757" t="s">
        <v>40</v>
      </c>
      <c r="C4757" t="s">
        <v>36</v>
      </c>
      <c r="D4757" t="s">
        <v>28</v>
      </c>
      <c r="E4757" t="s">
        <v>21</v>
      </c>
      <c r="F4757" t="s">
        <v>15</v>
      </c>
      <c r="G4757" s="2">
        <f>VALUE(1539.1682628955)</f>
        <v>1539.1682628955</v>
      </c>
      <c r="H4757" s="1">
        <f>VALUE(1311.5183205957)</f>
        <v>1311.5183205957001</v>
      </c>
      <c r="I4757" s="1">
        <f>VALUE(3810)</f>
        <v>3810</v>
      </c>
      <c r="J4757" s="1">
        <f>VALUE(4507)</f>
        <v>4507</v>
      </c>
      <c r="K4757" s="1">
        <f>VALUE(5238)</f>
        <v>5238</v>
      </c>
      <c r="L4757" s="1">
        <f>VALUE(6270)</f>
        <v>6270</v>
      </c>
      <c r="M4757" s="1">
        <f>VALUE(7325)</f>
        <v>7325</v>
      </c>
      <c r="N4757" t="s">
        <v>25</v>
      </c>
    </row>
    <row r="4758" spans="1:14" x14ac:dyDescent="0.25">
      <c r="A4758" t="s">
        <v>41</v>
      </c>
      <c r="B4758" t="s">
        <v>40</v>
      </c>
      <c r="C4758" t="s">
        <v>36</v>
      </c>
      <c r="D4758" t="s">
        <v>28</v>
      </c>
      <c r="E4758" t="s">
        <v>21</v>
      </c>
      <c r="F4758" t="s">
        <v>17</v>
      </c>
      <c r="G4758" s="2">
        <f>VALUE(303.6314171274)</f>
        <v>303.63141712740003</v>
      </c>
      <c r="H4758" s="3">
        <f>VALUE(289.5549394701)</f>
        <v>289.55493947010001</v>
      </c>
      <c r="I4758" s="4">
        <f>VALUE(3297)</f>
        <v>3297</v>
      </c>
      <c r="J4758" s="1">
        <f>VALUE(4651)</f>
        <v>4651</v>
      </c>
      <c r="K4758" s="1">
        <f>VALUE(5316)</f>
        <v>5316</v>
      </c>
      <c r="L4758" s="7">
        <f>VALUE(6500)</f>
        <v>6500</v>
      </c>
      <c r="M4758" s="1">
        <f>VALUE(8250)</f>
        <v>8250</v>
      </c>
      <c r="N4758" t="s">
        <v>25</v>
      </c>
    </row>
    <row r="4759" spans="1:14" x14ac:dyDescent="0.25">
      <c r="A4759" t="s">
        <v>41</v>
      </c>
      <c r="B4759" t="s">
        <v>40</v>
      </c>
      <c r="C4759" t="s">
        <v>36</v>
      </c>
      <c r="D4759" t="s">
        <v>28</v>
      </c>
      <c r="E4759" t="s">
        <v>21</v>
      </c>
      <c r="F4759" t="s">
        <v>18</v>
      </c>
      <c r="G4759" s="2">
        <f>VALUE(333.4968672463)</f>
        <v>333.49686724629998</v>
      </c>
      <c r="H4759" s="3">
        <f>VALUE(273.9248457839)</f>
        <v>273.92484578390003</v>
      </c>
      <c r="I4759" s="1">
        <f>VALUE(3765)</f>
        <v>3765</v>
      </c>
      <c r="J4759" s="5">
        <f>VALUE(4297)</f>
        <v>4297</v>
      </c>
      <c r="K4759" s="1">
        <f>VALUE(5446)</f>
        <v>5446</v>
      </c>
      <c r="L4759" s="1">
        <f>VALUE(6429)</f>
        <v>6429</v>
      </c>
      <c r="M4759" s="8">
        <f>VALUE(7495)</f>
        <v>7495</v>
      </c>
      <c r="N4759" t="s">
        <v>25</v>
      </c>
    </row>
    <row r="4760" spans="1:14" x14ac:dyDescent="0.25">
      <c r="A4760" t="s">
        <v>41</v>
      </c>
      <c r="B4760" t="s">
        <v>40</v>
      </c>
      <c r="C4760" t="s">
        <v>36</v>
      </c>
      <c r="D4760" t="s">
        <v>28</v>
      </c>
      <c r="E4760" t="s">
        <v>21</v>
      </c>
      <c r="F4760" t="s">
        <v>19</v>
      </c>
      <c r="G4760" s="2">
        <f>VALUE(383.8749431531)</f>
        <v>383.87494315309999</v>
      </c>
      <c r="H4760" s="3">
        <f>VALUE(315.6992709188)</f>
        <v>315.69927091879998</v>
      </c>
      <c r="I4760" s="1">
        <f>VALUE(4041)</f>
        <v>4041</v>
      </c>
      <c r="J4760" s="5">
        <f>VALUE(4727)</f>
        <v>4727</v>
      </c>
      <c r="K4760" s="1">
        <f>VALUE(5159)</f>
        <v>5159</v>
      </c>
      <c r="L4760" s="1">
        <f>VALUE(6174)</f>
        <v>6174</v>
      </c>
      <c r="M4760" s="1">
        <f>VALUE(7309)</f>
        <v>7309</v>
      </c>
      <c r="N4760" t="s">
        <v>25</v>
      </c>
    </row>
    <row r="4761" spans="1:14" x14ac:dyDescent="0.25">
      <c r="A4761" t="s">
        <v>41</v>
      </c>
      <c r="B4761" t="s">
        <v>40</v>
      </c>
      <c r="C4761" t="s">
        <v>36</v>
      </c>
      <c r="D4761" t="s">
        <v>28</v>
      </c>
      <c r="E4761" t="s">
        <v>21</v>
      </c>
      <c r="F4761" t="s">
        <v>20</v>
      </c>
      <c r="G4761" s="2">
        <f>VALUE(518.1650353687)</f>
        <v>518.16503536870005</v>
      </c>
      <c r="H4761" s="3">
        <f>VALUE(432.3392644229)</f>
        <v>432.33926442289999</v>
      </c>
      <c r="I4761" s="1">
        <f>VALUE(3953)</f>
        <v>3953</v>
      </c>
      <c r="J4761" s="1">
        <f>VALUE(4387)</f>
        <v>4387</v>
      </c>
      <c r="K4761" s="1">
        <f>VALUE(5118)</f>
        <v>5118</v>
      </c>
      <c r="L4761" s="1">
        <f>VALUE(6099)</f>
        <v>6099</v>
      </c>
      <c r="M4761" s="1">
        <f>VALUE(6899)</f>
        <v>6899</v>
      </c>
      <c r="N4761" t="s">
        <v>25</v>
      </c>
    </row>
    <row r="4762" spans="1:14" x14ac:dyDescent="0.25">
      <c r="A4762" t="s">
        <v>41</v>
      </c>
      <c r="B4762" t="s">
        <v>40</v>
      </c>
      <c r="C4762" t="s">
        <v>36</v>
      </c>
      <c r="D4762" t="s">
        <v>28</v>
      </c>
      <c r="E4762" t="s">
        <v>22</v>
      </c>
      <c r="F4762" t="s">
        <v>15</v>
      </c>
      <c r="G4762" s="1">
        <f>VALUE(2692.6779060654)</f>
        <v>2692.6779060653998</v>
      </c>
      <c r="H4762" s="1">
        <f>VALUE(2365.0420860739)</f>
        <v>2365.0420860739</v>
      </c>
      <c r="I4762" s="1">
        <f>VALUE(3340)</f>
        <v>3340</v>
      </c>
      <c r="J4762" s="1">
        <f>VALUE(4117)</f>
        <v>4117</v>
      </c>
      <c r="K4762" s="1">
        <f>VALUE(4700)</f>
        <v>4700</v>
      </c>
      <c r="L4762" s="1">
        <f>VALUE(5338)</f>
        <v>5338</v>
      </c>
      <c r="M4762" s="1">
        <f>VALUE(6023)</f>
        <v>6023</v>
      </c>
      <c r="N4762" t="s">
        <v>16</v>
      </c>
    </row>
    <row r="4763" spans="1:14" x14ac:dyDescent="0.25">
      <c r="A4763" t="s">
        <v>41</v>
      </c>
      <c r="B4763" t="s">
        <v>40</v>
      </c>
      <c r="C4763" t="s">
        <v>36</v>
      </c>
      <c r="D4763" t="s">
        <v>28</v>
      </c>
      <c r="E4763" t="s">
        <v>22</v>
      </c>
      <c r="F4763" t="s">
        <v>17</v>
      </c>
      <c r="G4763" s="1" t="str">
        <f t="shared" ref="G4763:M4763" si="1024">"X"</f>
        <v>X</v>
      </c>
      <c r="H4763" s="1" t="str">
        <f t="shared" si="1024"/>
        <v>X</v>
      </c>
      <c r="I4763" s="1" t="str">
        <f t="shared" si="1024"/>
        <v>X</v>
      </c>
      <c r="J4763" s="1" t="str">
        <f t="shared" si="1024"/>
        <v>X</v>
      </c>
      <c r="K4763" s="1" t="str">
        <f t="shared" si="1024"/>
        <v>X</v>
      </c>
      <c r="L4763" s="1" t="str">
        <f t="shared" si="1024"/>
        <v>X</v>
      </c>
      <c r="M4763" s="1" t="str">
        <f t="shared" si="1024"/>
        <v>X</v>
      </c>
      <c r="N4763" t="s">
        <v>27</v>
      </c>
    </row>
    <row r="4764" spans="1:14" x14ac:dyDescent="0.25">
      <c r="A4764" t="s">
        <v>41</v>
      </c>
      <c r="B4764" t="s">
        <v>40</v>
      </c>
      <c r="C4764" t="s">
        <v>36</v>
      </c>
      <c r="D4764" t="s">
        <v>28</v>
      </c>
      <c r="E4764" t="s">
        <v>22</v>
      </c>
      <c r="F4764" t="s">
        <v>18</v>
      </c>
      <c r="G4764" s="2">
        <f>VALUE(417.210629301)</f>
        <v>417.21062930099998</v>
      </c>
      <c r="H4764" s="3">
        <f>VALUE(374.1228084994)</f>
        <v>374.12280849939998</v>
      </c>
      <c r="I4764" s="4">
        <f>VALUE(3696)</f>
        <v>3696</v>
      </c>
      <c r="J4764" s="1">
        <f>VALUE(4285)</f>
        <v>4285</v>
      </c>
      <c r="K4764" s="1">
        <f>VALUE(4810)</f>
        <v>4810</v>
      </c>
      <c r="L4764" s="1">
        <f>VALUE(5250)</f>
        <v>5250</v>
      </c>
      <c r="M4764" s="8">
        <f>VALUE(6306)</f>
        <v>6306</v>
      </c>
      <c r="N4764" t="s">
        <v>25</v>
      </c>
    </row>
    <row r="4765" spans="1:14" x14ac:dyDescent="0.25">
      <c r="A4765" t="s">
        <v>41</v>
      </c>
      <c r="B4765" t="s">
        <v>40</v>
      </c>
      <c r="C4765" t="s">
        <v>36</v>
      </c>
      <c r="D4765" t="s">
        <v>28</v>
      </c>
      <c r="E4765" t="s">
        <v>22</v>
      </c>
      <c r="F4765" t="s">
        <v>19</v>
      </c>
      <c r="G4765" s="2">
        <f>VALUE(388.9975076836)</f>
        <v>388.99750768360002</v>
      </c>
      <c r="H4765" s="3">
        <f>VALUE(356.389570234)</f>
        <v>356.38957023400002</v>
      </c>
      <c r="I4765" s="4">
        <f>VALUE(3765)</f>
        <v>3765</v>
      </c>
      <c r="J4765" s="1">
        <f>VALUE(4357)</f>
        <v>4357</v>
      </c>
      <c r="K4765" s="1">
        <f>VALUE(4875)</f>
        <v>4875</v>
      </c>
      <c r="L4765" s="1">
        <f>VALUE(5416)</f>
        <v>5416</v>
      </c>
      <c r="M4765" s="1">
        <f>VALUE(6210)</f>
        <v>6210</v>
      </c>
      <c r="N4765" t="s">
        <v>25</v>
      </c>
    </row>
    <row r="4766" spans="1:14" x14ac:dyDescent="0.25">
      <c r="A4766" t="s">
        <v>41</v>
      </c>
      <c r="B4766" t="s">
        <v>40</v>
      </c>
      <c r="C4766" t="s">
        <v>36</v>
      </c>
      <c r="D4766" t="s">
        <v>28</v>
      </c>
      <c r="E4766" t="s">
        <v>22</v>
      </c>
      <c r="F4766" t="s">
        <v>20</v>
      </c>
      <c r="G4766" s="1">
        <f>VALUE(1698.8190170688)</f>
        <v>1698.8190170687999</v>
      </c>
      <c r="H4766" s="3">
        <f>VALUE(1456.8859998943)</f>
        <v>1456.8859998943001</v>
      </c>
      <c r="I4766" s="4">
        <f>VALUE(3294)</f>
        <v>3294</v>
      </c>
      <c r="J4766" s="1">
        <f>VALUE(4079)</f>
        <v>4079</v>
      </c>
      <c r="K4766" s="1">
        <f>VALUE(4684)</f>
        <v>4684</v>
      </c>
      <c r="L4766" s="1">
        <f>VALUE(5376)</f>
        <v>5376</v>
      </c>
      <c r="M4766" s="1">
        <f>VALUE(5958)</f>
        <v>5958</v>
      </c>
      <c r="N4766" t="s">
        <v>25</v>
      </c>
    </row>
    <row r="4767" spans="1:14" x14ac:dyDescent="0.25">
      <c r="A4767" t="s">
        <v>41</v>
      </c>
      <c r="B4767" t="s">
        <v>40</v>
      </c>
      <c r="C4767" t="s">
        <v>36</v>
      </c>
      <c r="D4767" t="s">
        <v>28</v>
      </c>
      <c r="E4767" t="s">
        <v>23</v>
      </c>
      <c r="F4767" t="s">
        <v>15</v>
      </c>
      <c r="G4767" s="2">
        <f>VALUE(485.223401567)</f>
        <v>485.223401567</v>
      </c>
      <c r="H4767" s="3">
        <f>VALUE(356.6971068728)</f>
        <v>356.69710687280002</v>
      </c>
      <c r="I4767" s="4">
        <f>VALUE(3021)</f>
        <v>3021</v>
      </c>
      <c r="J4767" s="1">
        <f>VALUE(3467)</f>
        <v>3467</v>
      </c>
      <c r="K4767" s="1">
        <f>VALUE(3934)</f>
        <v>3934</v>
      </c>
      <c r="L4767" s="1">
        <f>VALUE(4550)</f>
        <v>4550</v>
      </c>
      <c r="M4767" s="1">
        <f>VALUE(5182)</f>
        <v>5182</v>
      </c>
      <c r="N4767" t="s">
        <v>25</v>
      </c>
    </row>
    <row r="4768" spans="1:14" x14ac:dyDescent="0.25">
      <c r="A4768" t="s">
        <v>41</v>
      </c>
      <c r="B4768" t="s">
        <v>40</v>
      </c>
      <c r="C4768" t="s">
        <v>36</v>
      </c>
      <c r="D4768" t="s">
        <v>28</v>
      </c>
      <c r="E4768" t="s">
        <v>23</v>
      </c>
      <c r="F4768" t="s">
        <v>17</v>
      </c>
      <c r="G4768" s="1" t="str">
        <f t="shared" ref="G4768:M4770" si="1025">"X"</f>
        <v>X</v>
      </c>
      <c r="H4768" s="1" t="str">
        <f t="shared" si="1025"/>
        <v>X</v>
      </c>
      <c r="I4768" s="1" t="str">
        <f t="shared" si="1025"/>
        <v>X</v>
      </c>
      <c r="J4768" s="1" t="str">
        <f t="shared" si="1025"/>
        <v>X</v>
      </c>
      <c r="K4768" s="1" t="str">
        <f t="shared" si="1025"/>
        <v>X</v>
      </c>
      <c r="L4768" s="1" t="str">
        <f t="shared" si="1025"/>
        <v>X</v>
      </c>
      <c r="M4768" s="1" t="str">
        <f t="shared" si="1025"/>
        <v>X</v>
      </c>
      <c r="N4768" t="s">
        <v>27</v>
      </c>
    </row>
    <row r="4769" spans="1:14" x14ac:dyDescent="0.25">
      <c r="A4769" t="s">
        <v>41</v>
      </c>
      <c r="B4769" t="s">
        <v>40</v>
      </c>
      <c r="C4769" t="s">
        <v>36</v>
      </c>
      <c r="D4769" t="s">
        <v>28</v>
      </c>
      <c r="E4769" t="s">
        <v>23</v>
      </c>
      <c r="F4769" t="s">
        <v>18</v>
      </c>
      <c r="G4769" s="1" t="str">
        <f t="shared" si="1025"/>
        <v>X</v>
      </c>
      <c r="H4769" s="1" t="str">
        <f t="shared" si="1025"/>
        <v>X</v>
      </c>
      <c r="I4769" s="1" t="str">
        <f t="shared" si="1025"/>
        <v>X</v>
      </c>
      <c r="J4769" s="1" t="str">
        <f t="shared" si="1025"/>
        <v>X</v>
      </c>
      <c r="K4769" s="1" t="str">
        <f t="shared" si="1025"/>
        <v>X</v>
      </c>
      <c r="L4769" s="1" t="str">
        <f t="shared" si="1025"/>
        <v>X</v>
      </c>
      <c r="M4769" s="1" t="str">
        <f t="shared" si="1025"/>
        <v>X</v>
      </c>
      <c r="N4769" t="s">
        <v>27</v>
      </c>
    </row>
    <row r="4770" spans="1:14" x14ac:dyDescent="0.25">
      <c r="A4770" t="s">
        <v>41</v>
      </c>
      <c r="B4770" t="s">
        <v>40</v>
      </c>
      <c r="C4770" t="s">
        <v>36</v>
      </c>
      <c r="D4770" t="s">
        <v>28</v>
      </c>
      <c r="E4770" t="s">
        <v>23</v>
      </c>
      <c r="F4770" t="s">
        <v>19</v>
      </c>
      <c r="G4770" s="1" t="str">
        <f t="shared" si="1025"/>
        <v>X</v>
      </c>
      <c r="H4770" s="1" t="str">
        <f t="shared" si="1025"/>
        <v>X</v>
      </c>
      <c r="I4770" s="1" t="str">
        <f t="shared" si="1025"/>
        <v>X</v>
      </c>
      <c r="J4770" s="1" t="str">
        <f t="shared" si="1025"/>
        <v>X</v>
      </c>
      <c r="K4770" s="1" t="str">
        <f t="shared" si="1025"/>
        <v>X</v>
      </c>
      <c r="L4770" s="1" t="str">
        <f t="shared" si="1025"/>
        <v>X</v>
      </c>
      <c r="M4770" s="1" t="str">
        <f t="shared" si="1025"/>
        <v>X</v>
      </c>
      <c r="N4770" t="s">
        <v>27</v>
      </c>
    </row>
    <row r="4771" spans="1:14" x14ac:dyDescent="0.25">
      <c r="A4771" t="s">
        <v>41</v>
      </c>
      <c r="B4771" t="s">
        <v>40</v>
      </c>
      <c r="C4771" t="s">
        <v>36</v>
      </c>
      <c r="D4771" t="s">
        <v>28</v>
      </c>
      <c r="E4771" t="s">
        <v>23</v>
      </c>
      <c r="F4771" t="s">
        <v>20</v>
      </c>
      <c r="G4771" s="2">
        <f>VALUE(396.5861569374)</f>
        <v>396.58615693740001</v>
      </c>
      <c r="H4771" s="3">
        <f>VALUE(303.8240550025)</f>
        <v>303.82405500250002</v>
      </c>
      <c r="I4771" s="1">
        <f>VALUE(2947)</f>
        <v>2947</v>
      </c>
      <c r="J4771" s="1">
        <f>VALUE(3385)</f>
        <v>3385</v>
      </c>
      <c r="K4771" s="1">
        <f>VALUE(3911)</f>
        <v>3911</v>
      </c>
      <c r="L4771" s="1">
        <f>VALUE(4488)</f>
        <v>4488</v>
      </c>
      <c r="M4771" s="1">
        <f>VALUE(5039)</f>
        <v>5039</v>
      </c>
      <c r="N4771" t="s">
        <v>25</v>
      </c>
    </row>
    <row r="4772" spans="1:14" x14ac:dyDescent="0.25">
      <c r="A4772" t="s">
        <v>41</v>
      </c>
      <c r="B4772" t="s">
        <v>40</v>
      </c>
      <c r="C4772" t="s">
        <v>36</v>
      </c>
      <c r="D4772" t="s">
        <v>28</v>
      </c>
      <c r="E4772" t="s">
        <v>26</v>
      </c>
      <c r="F4772" t="s">
        <v>15</v>
      </c>
      <c r="G4772" s="1" t="str">
        <f t="shared" ref="G4772:M4772" si="1026">"X"</f>
        <v>X</v>
      </c>
      <c r="H4772" s="1" t="str">
        <f t="shared" si="1026"/>
        <v>X</v>
      </c>
      <c r="I4772" s="1" t="str">
        <f t="shared" si="1026"/>
        <v>X</v>
      </c>
      <c r="J4772" s="1" t="str">
        <f t="shared" si="1026"/>
        <v>X</v>
      </c>
      <c r="K4772" s="1" t="str">
        <f t="shared" si="1026"/>
        <v>X</v>
      </c>
      <c r="L4772" s="1" t="str">
        <f t="shared" si="1026"/>
        <v>X</v>
      </c>
      <c r="M4772" s="1" t="str">
        <f t="shared" si="1026"/>
        <v>X</v>
      </c>
      <c r="N4772" t="s">
        <v>27</v>
      </c>
    </row>
    <row r="4773" spans="1:14" x14ac:dyDescent="0.25">
      <c r="A4773" t="s">
        <v>41</v>
      </c>
      <c r="B4773" t="s">
        <v>40</v>
      </c>
      <c r="C4773" t="s">
        <v>36</v>
      </c>
      <c r="D4773" t="s">
        <v>28</v>
      </c>
      <c r="E4773" t="s">
        <v>26</v>
      </c>
      <c r="F4773" t="s">
        <v>17</v>
      </c>
      <c r="G4773" s="1" t="str">
        <f t="shared" ref="G4773:M4773" si="1027">"..."</f>
        <v>...</v>
      </c>
      <c r="H4773" s="1" t="str">
        <f t="shared" si="1027"/>
        <v>...</v>
      </c>
      <c r="I4773" s="1" t="str">
        <f t="shared" si="1027"/>
        <v>...</v>
      </c>
      <c r="J4773" s="1" t="str">
        <f t="shared" si="1027"/>
        <v>...</v>
      </c>
      <c r="K4773" s="1" t="str">
        <f t="shared" si="1027"/>
        <v>...</v>
      </c>
      <c r="L4773" s="1" t="str">
        <f t="shared" si="1027"/>
        <v>...</v>
      </c>
      <c r="M4773" s="1" t="str">
        <f t="shared" si="1027"/>
        <v>...</v>
      </c>
      <c r="N4773" t="s">
        <v>30</v>
      </c>
    </row>
    <row r="4774" spans="1:14" x14ac:dyDescent="0.25">
      <c r="A4774" t="s">
        <v>41</v>
      </c>
      <c r="B4774" t="s">
        <v>40</v>
      </c>
      <c r="C4774" t="s">
        <v>36</v>
      </c>
      <c r="D4774" t="s">
        <v>28</v>
      </c>
      <c r="E4774" t="s">
        <v>26</v>
      </c>
      <c r="F4774" t="s">
        <v>18</v>
      </c>
      <c r="G4774" s="1" t="str">
        <f t="shared" ref="G4774:M4774" si="1028">"X"</f>
        <v>X</v>
      </c>
      <c r="H4774" s="1" t="str">
        <f t="shared" si="1028"/>
        <v>X</v>
      </c>
      <c r="I4774" s="1" t="str">
        <f t="shared" si="1028"/>
        <v>X</v>
      </c>
      <c r="J4774" s="1" t="str">
        <f t="shared" si="1028"/>
        <v>X</v>
      </c>
      <c r="K4774" s="1" t="str">
        <f t="shared" si="1028"/>
        <v>X</v>
      </c>
      <c r="L4774" s="1" t="str">
        <f t="shared" si="1028"/>
        <v>X</v>
      </c>
      <c r="M4774" s="1" t="str">
        <f t="shared" si="1028"/>
        <v>X</v>
      </c>
      <c r="N4774" t="s">
        <v>27</v>
      </c>
    </row>
    <row r="4775" spans="1:14" x14ac:dyDescent="0.25">
      <c r="A4775" t="s">
        <v>41</v>
      </c>
      <c r="B4775" t="s">
        <v>40</v>
      </c>
      <c r="C4775" t="s">
        <v>36</v>
      </c>
      <c r="D4775" t="s">
        <v>28</v>
      </c>
      <c r="E4775" t="s">
        <v>26</v>
      </c>
      <c r="F4775" t="s">
        <v>19</v>
      </c>
      <c r="G4775" s="1" t="str">
        <f t="shared" ref="G4775:M4775" si="1029">"..."</f>
        <v>...</v>
      </c>
      <c r="H4775" s="1" t="str">
        <f t="shared" si="1029"/>
        <v>...</v>
      </c>
      <c r="I4775" s="1" t="str">
        <f t="shared" si="1029"/>
        <v>...</v>
      </c>
      <c r="J4775" s="1" t="str">
        <f t="shared" si="1029"/>
        <v>...</v>
      </c>
      <c r="K4775" s="1" t="str">
        <f t="shared" si="1029"/>
        <v>...</v>
      </c>
      <c r="L4775" s="1" t="str">
        <f t="shared" si="1029"/>
        <v>...</v>
      </c>
      <c r="M4775" s="1" t="str">
        <f t="shared" si="1029"/>
        <v>...</v>
      </c>
      <c r="N4775" t="s">
        <v>30</v>
      </c>
    </row>
    <row r="4776" spans="1:14" x14ac:dyDescent="0.25">
      <c r="A4776" t="s">
        <v>41</v>
      </c>
      <c r="B4776" t="s">
        <v>40</v>
      </c>
      <c r="C4776" t="s">
        <v>36</v>
      </c>
      <c r="D4776" t="s">
        <v>28</v>
      </c>
      <c r="E4776" t="s">
        <v>26</v>
      </c>
      <c r="F4776" t="s">
        <v>20</v>
      </c>
      <c r="G4776" s="1" t="str">
        <f t="shared" ref="G4776:M4776" si="1030">"X"</f>
        <v>X</v>
      </c>
      <c r="H4776" s="1" t="str">
        <f t="shared" si="1030"/>
        <v>X</v>
      </c>
      <c r="I4776" s="1" t="str">
        <f t="shared" si="1030"/>
        <v>X</v>
      </c>
      <c r="J4776" s="1" t="str">
        <f t="shared" si="1030"/>
        <v>X</v>
      </c>
      <c r="K4776" s="1" t="str">
        <f t="shared" si="1030"/>
        <v>X</v>
      </c>
      <c r="L4776" s="1" t="str">
        <f t="shared" si="1030"/>
        <v>X</v>
      </c>
      <c r="M4776" s="1" t="str">
        <f t="shared" si="1030"/>
        <v>X</v>
      </c>
      <c r="N4776" t="s">
        <v>27</v>
      </c>
    </row>
    <row r="4777" spans="1:14" x14ac:dyDescent="0.25">
      <c r="A4777" t="s">
        <v>41</v>
      </c>
      <c r="B4777" t="s">
        <v>40</v>
      </c>
      <c r="C4777" t="s">
        <v>36</v>
      </c>
      <c r="D4777" t="s">
        <v>29</v>
      </c>
      <c r="E4777" t="s">
        <v>15</v>
      </c>
      <c r="F4777" t="s">
        <v>15</v>
      </c>
      <c r="G4777" s="2">
        <f>VALUE(1172.3378851111)</f>
        <v>1172.3378851110999</v>
      </c>
      <c r="H4777" s="3">
        <f>VALUE(1000.4319443776)</f>
        <v>1000.4319443776</v>
      </c>
      <c r="I4777" s="1">
        <f>VALUE(3094)</f>
        <v>3094</v>
      </c>
      <c r="J4777" s="1">
        <f>VALUE(3371)</f>
        <v>3371</v>
      </c>
      <c r="K4777" s="1">
        <f>VALUE(4012)</f>
        <v>4012</v>
      </c>
      <c r="L4777" s="1">
        <f>VALUE(5135)</f>
        <v>5135</v>
      </c>
      <c r="M4777" s="8">
        <f>VALUE(6457)</f>
        <v>6457</v>
      </c>
      <c r="N4777" t="s">
        <v>25</v>
      </c>
    </row>
    <row r="4778" spans="1:14" x14ac:dyDescent="0.25">
      <c r="A4778" t="s">
        <v>41</v>
      </c>
      <c r="B4778" t="s">
        <v>40</v>
      </c>
      <c r="C4778" t="s">
        <v>36</v>
      </c>
      <c r="D4778" t="s">
        <v>29</v>
      </c>
      <c r="E4778" t="s">
        <v>15</v>
      </c>
      <c r="F4778" t="s">
        <v>17</v>
      </c>
      <c r="G4778" s="1" t="str">
        <f t="shared" ref="G4778:M4780" si="1031">"X"</f>
        <v>X</v>
      </c>
      <c r="H4778" s="1" t="str">
        <f t="shared" si="1031"/>
        <v>X</v>
      </c>
      <c r="I4778" s="1" t="str">
        <f t="shared" si="1031"/>
        <v>X</v>
      </c>
      <c r="J4778" s="1" t="str">
        <f t="shared" si="1031"/>
        <v>X</v>
      </c>
      <c r="K4778" s="1" t="str">
        <f t="shared" si="1031"/>
        <v>X</v>
      </c>
      <c r="L4778" s="1" t="str">
        <f t="shared" si="1031"/>
        <v>X</v>
      </c>
      <c r="M4778" s="1" t="str">
        <f t="shared" si="1031"/>
        <v>X</v>
      </c>
      <c r="N4778" t="s">
        <v>27</v>
      </c>
    </row>
    <row r="4779" spans="1:14" x14ac:dyDescent="0.25">
      <c r="A4779" t="s">
        <v>41</v>
      </c>
      <c r="B4779" t="s">
        <v>40</v>
      </c>
      <c r="C4779" t="s">
        <v>36</v>
      </c>
      <c r="D4779" t="s">
        <v>29</v>
      </c>
      <c r="E4779" t="s">
        <v>15</v>
      </c>
      <c r="F4779" t="s">
        <v>18</v>
      </c>
      <c r="G4779" s="1" t="str">
        <f t="shared" si="1031"/>
        <v>X</v>
      </c>
      <c r="H4779" s="1" t="str">
        <f t="shared" si="1031"/>
        <v>X</v>
      </c>
      <c r="I4779" s="1" t="str">
        <f t="shared" si="1031"/>
        <v>X</v>
      </c>
      <c r="J4779" s="1" t="str">
        <f t="shared" si="1031"/>
        <v>X</v>
      </c>
      <c r="K4779" s="1" t="str">
        <f t="shared" si="1031"/>
        <v>X</v>
      </c>
      <c r="L4779" s="1" t="str">
        <f t="shared" si="1031"/>
        <v>X</v>
      </c>
      <c r="M4779" s="1" t="str">
        <f t="shared" si="1031"/>
        <v>X</v>
      </c>
      <c r="N4779" t="s">
        <v>27</v>
      </c>
    </row>
    <row r="4780" spans="1:14" x14ac:dyDescent="0.25">
      <c r="A4780" t="s">
        <v>41</v>
      </c>
      <c r="B4780" t="s">
        <v>40</v>
      </c>
      <c r="C4780" t="s">
        <v>36</v>
      </c>
      <c r="D4780" t="s">
        <v>29</v>
      </c>
      <c r="E4780" t="s">
        <v>15</v>
      </c>
      <c r="F4780" t="s">
        <v>19</v>
      </c>
      <c r="G4780" s="1" t="str">
        <f t="shared" si="1031"/>
        <v>X</v>
      </c>
      <c r="H4780" s="1" t="str">
        <f t="shared" si="1031"/>
        <v>X</v>
      </c>
      <c r="I4780" s="1" t="str">
        <f t="shared" si="1031"/>
        <v>X</v>
      </c>
      <c r="J4780" s="1" t="str">
        <f t="shared" si="1031"/>
        <v>X</v>
      </c>
      <c r="K4780" s="1" t="str">
        <f t="shared" si="1031"/>
        <v>X</v>
      </c>
      <c r="L4780" s="1" t="str">
        <f t="shared" si="1031"/>
        <v>X</v>
      </c>
      <c r="M4780" s="1" t="str">
        <f t="shared" si="1031"/>
        <v>X</v>
      </c>
      <c r="N4780" t="s">
        <v>27</v>
      </c>
    </row>
    <row r="4781" spans="1:14" x14ac:dyDescent="0.25">
      <c r="A4781" t="s">
        <v>41</v>
      </c>
      <c r="B4781" t="s">
        <v>40</v>
      </c>
      <c r="C4781" t="s">
        <v>36</v>
      </c>
      <c r="D4781" t="s">
        <v>29</v>
      </c>
      <c r="E4781" t="s">
        <v>15</v>
      </c>
      <c r="F4781" t="s">
        <v>20</v>
      </c>
      <c r="G4781" s="2">
        <f>VALUE(792.4308699594)</f>
        <v>792.43086995939996</v>
      </c>
      <c r="H4781" s="3">
        <f>VALUE(641.8512480638)</f>
        <v>641.85124806379997</v>
      </c>
      <c r="I4781" s="1">
        <f>VALUE(3000)</f>
        <v>3000</v>
      </c>
      <c r="J4781" s="1">
        <f>VALUE(3284)</f>
        <v>3284</v>
      </c>
      <c r="K4781" s="1">
        <f>VALUE(3970)</f>
        <v>3970</v>
      </c>
      <c r="L4781" s="1">
        <f>VALUE(4866)</f>
        <v>4866</v>
      </c>
      <c r="M4781" s="1">
        <f>VALUE(5725)</f>
        <v>5725</v>
      </c>
      <c r="N4781" t="s">
        <v>25</v>
      </c>
    </row>
    <row r="4782" spans="1:14" x14ac:dyDescent="0.25">
      <c r="A4782" t="s">
        <v>41</v>
      </c>
      <c r="B4782" t="s">
        <v>40</v>
      </c>
      <c r="C4782" t="s">
        <v>36</v>
      </c>
      <c r="D4782" t="s">
        <v>29</v>
      </c>
      <c r="E4782" t="s">
        <v>21</v>
      </c>
      <c r="F4782" t="s">
        <v>15</v>
      </c>
      <c r="G4782" s="2">
        <f>VALUE(181.9016997696)</f>
        <v>181.90169976959999</v>
      </c>
      <c r="H4782" s="3">
        <f>VALUE(157.8065728421)</f>
        <v>157.8065728421</v>
      </c>
      <c r="I4782" s="4">
        <f>VALUE(3095)</f>
        <v>3095</v>
      </c>
      <c r="J4782" s="5">
        <f>VALUE(4588)</f>
        <v>4588</v>
      </c>
      <c r="K4782" s="1">
        <f>VALUE(5519)</f>
        <v>5519</v>
      </c>
      <c r="L4782" s="7">
        <f>VALUE(7698)</f>
        <v>7698</v>
      </c>
      <c r="M4782" s="8">
        <f>VALUE(11353)</f>
        <v>11353</v>
      </c>
      <c r="N4782" t="s">
        <v>25</v>
      </c>
    </row>
    <row r="4783" spans="1:14" x14ac:dyDescent="0.25">
      <c r="A4783" t="s">
        <v>41</v>
      </c>
      <c r="B4783" t="s">
        <v>40</v>
      </c>
      <c r="C4783" t="s">
        <v>36</v>
      </c>
      <c r="D4783" t="s">
        <v>29</v>
      </c>
      <c r="E4783" t="s">
        <v>21</v>
      </c>
      <c r="F4783" t="s">
        <v>17</v>
      </c>
      <c r="G4783" s="1" t="str">
        <f t="shared" ref="G4783:M4786" si="1032">"X"</f>
        <v>X</v>
      </c>
      <c r="H4783" s="1" t="str">
        <f t="shared" si="1032"/>
        <v>X</v>
      </c>
      <c r="I4783" s="1" t="str">
        <f t="shared" si="1032"/>
        <v>X</v>
      </c>
      <c r="J4783" s="1" t="str">
        <f t="shared" si="1032"/>
        <v>X</v>
      </c>
      <c r="K4783" s="1" t="str">
        <f t="shared" si="1032"/>
        <v>X</v>
      </c>
      <c r="L4783" s="1" t="str">
        <f t="shared" si="1032"/>
        <v>X</v>
      </c>
      <c r="M4783" s="1" t="str">
        <f t="shared" si="1032"/>
        <v>X</v>
      </c>
      <c r="N4783" t="s">
        <v>27</v>
      </c>
    </row>
    <row r="4784" spans="1:14" x14ac:dyDescent="0.25">
      <c r="A4784" t="s">
        <v>41</v>
      </c>
      <c r="B4784" t="s">
        <v>40</v>
      </c>
      <c r="C4784" t="s">
        <v>36</v>
      </c>
      <c r="D4784" t="s">
        <v>29</v>
      </c>
      <c r="E4784" t="s">
        <v>21</v>
      </c>
      <c r="F4784" t="s">
        <v>18</v>
      </c>
      <c r="G4784" s="1" t="str">
        <f t="shared" si="1032"/>
        <v>X</v>
      </c>
      <c r="H4784" s="1" t="str">
        <f t="shared" si="1032"/>
        <v>X</v>
      </c>
      <c r="I4784" s="1" t="str">
        <f t="shared" si="1032"/>
        <v>X</v>
      </c>
      <c r="J4784" s="1" t="str">
        <f t="shared" si="1032"/>
        <v>X</v>
      </c>
      <c r="K4784" s="1" t="str">
        <f t="shared" si="1032"/>
        <v>X</v>
      </c>
      <c r="L4784" s="1" t="str">
        <f t="shared" si="1032"/>
        <v>X</v>
      </c>
      <c r="M4784" s="1" t="str">
        <f t="shared" si="1032"/>
        <v>X</v>
      </c>
      <c r="N4784" t="s">
        <v>27</v>
      </c>
    </row>
    <row r="4785" spans="1:14" x14ac:dyDescent="0.25">
      <c r="A4785" t="s">
        <v>41</v>
      </c>
      <c r="B4785" t="s">
        <v>40</v>
      </c>
      <c r="C4785" t="s">
        <v>36</v>
      </c>
      <c r="D4785" t="s">
        <v>29</v>
      </c>
      <c r="E4785" t="s">
        <v>21</v>
      </c>
      <c r="F4785" t="s">
        <v>19</v>
      </c>
      <c r="G4785" s="1" t="str">
        <f t="shared" si="1032"/>
        <v>X</v>
      </c>
      <c r="H4785" s="1" t="str">
        <f t="shared" si="1032"/>
        <v>X</v>
      </c>
      <c r="I4785" s="1" t="str">
        <f t="shared" si="1032"/>
        <v>X</v>
      </c>
      <c r="J4785" s="1" t="str">
        <f t="shared" si="1032"/>
        <v>X</v>
      </c>
      <c r="K4785" s="1" t="str">
        <f t="shared" si="1032"/>
        <v>X</v>
      </c>
      <c r="L4785" s="1" t="str">
        <f t="shared" si="1032"/>
        <v>X</v>
      </c>
      <c r="M4785" s="1" t="str">
        <f t="shared" si="1032"/>
        <v>X</v>
      </c>
      <c r="N4785" t="s">
        <v>27</v>
      </c>
    </row>
    <row r="4786" spans="1:14" x14ac:dyDescent="0.25">
      <c r="A4786" t="s">
        <v>41</v>
      </c>
      <c r="B4786" t="s">
        <v>40</v>
      </c>
      <c r="C4786" t="s">
        <v>36</v>
      </c>
      <c r="D4786" t="s">
        <v>29</v>
      </c>
      <c r="E4786" t="s">
        <v>21</v>
      </c>
      <c r="F4786" t="s">
        <v>20</v>
      </c>
      <c r="G4786" s="1" t="str">
        <f t="shared" si="1032"/>
        <v>X</v>
      </c>
      <c r="H4786" s="1" t="str">
        <f t="shared" si="1032"/>
        <v>X</v>
      </c>
      <c r="I4786" s="1" t="str">
        <f t="shared" si="1032"/>
        <v>X</v>
      </c>
      <c r="J4786" s="1" t="str">
        <f t="shared" si="1032"/>
        <v>X</v>
      </c>
      <c r="K4786" s="1" t="str">
        <f t="shared" si="1032"/>
        <v>X</v>
      </c>
      <c r="L4786" s="1" t="str">
        <f t="shared" si="1032"/>
        <v>X</v>
      </c>
      <c r="M4786" s="1" t="str">
        <f t="shared" si="1032"/>
        <v>X</v>
      </c>
      <c r="N4786" t="s">
        <v>27</v>
      </c>
    </row>
    <row r="4787" spans="1:14" x14ac:dyDescent="0.25">
      <c r="A4787" t="s">
        <v>41</v>
      </c>
      <c r="B4787" t="s">
        <v>40</v>
      </c>
      <c r="C4787" t="s">
        <v>36</v>
      </c>
      <c r="D4787" t="s">
        <v>29</v>
      </c>
      <c r="E4787" t="s">
        <v>22</v>
      </c>
      <c r="F4787" t="s">
        <v>15</v>
      </c>
      <c r="G4787" s="2">
        <f>VALUE(481.6585672281)</f>
        <v>481.65856722810003</v>
      </c>
      <c r="H4787" s="3">
        <f>VALUE(438.7037867381)</f>
        <v>438.70378673810001</v>
      </c>
      <c r="I4787" s="1">
        <f>VALUE(3280)</f>
        <v>3280</v>
      </c>
      <c r="J4787" s="5">
        <f>VALUE(3508)</f>
        <v>3508</v>
      </c>
      <c r="K4787" s="1">
        <f>VALUE(4442)</f>
        <v>4442</v>
      </c>
      <c r="L4787" s="1">
        <f>VALUE(5158)</f>
        <v>5158</v>
      </c>
      <c r="M4787" s="1">
        <f>VALUE(5778)</f>
        <v>5778</v>
      </c>
      <c r="N4787" t="s">
        <v>25</v>
      </c>
    </row>
    <row r="4788" spans="1:14" x14ac:dyDescent="0.25">
      <c r="A4788" t="s">
        <v>41</v>
      </c>
      <c r="B4788" t="s">
        <v>40</v>
      </c>
      <c r="C4788" t="s">
        <v>36</v>
      </c>
      <c r="D4788" t="s">
        <v>29</v>
      </c>
      <c r="E4788" t="s">
        <v>22</v>
      </c>
      <c r="F4788" t="s">
        <v>17</v>
      </c>
      <c r="G4788" s="1" t="str">
        <f t="shared" ref="G4788:M4790" si="1033">"X"</f>
        <v>X</v>
      </c>
      <c r="H4788" s="1" t="str">
        <f t="shared" si="1033"/>
        <v>X</v>
      </c>
      <c r="I4788" s="1" t="str">
        <f t="shared" si="1033"/>
        <v>X</v>
      </c>
      <c r="J4788" s="1" t="str">
        <f t="shared" si="1033"/>
        <v>X</v>
      </c>
      <c r="K4788" s="1" t="str">
        <f t="shared" si="1033"/>
        <v>X</v>
      </c>
      <c r="L4788" s="1" t="str">
        <f t="shared" si="1033"/>
        <v>X</v>
      </c>
      <c r="M4788" s="1" t="str">
        <f t="shared" si="1033"/>
        <v>X</v>
      </c>
      <c r="N4788" t="s">
        <v>27</v>
      </c>
    </row>
    <row r="4789" spans="1:14" x14ac:dyDescent="0.25">
      <c r="A4789" t="s">
        <v>41</v>
      </c>
      <c r="B4789" t="s">
        <v>40</v>
      </c>
      <c r="C4789" t="s">
        <v>36</v>
      </c>
      <c r="D4789" t="s">
        <v>29</v>
      </c>
      <c r="E4789" t="s">
        <v>22</v>
      </c>
      <c r="F4789" t="s">
        <v>18</v>
      </c>
      <c r="G4789" s="1" t="str">
        <f t="shared" si="1033"/>
        <v>X</v>
      </c>
      <c r="H4789" s="1" t="str">
        <f t="shared" si="1033"/>
        <v>X</v>
      </c>
      <c r="I4789" s="1" t="str">
        <f t="shared" si="1033"/>
        <v>X</v>
      </c>
      <c r="J4789" s="1" t="str">
        <f t="shared" si="1033"/>
        <v>X</v>
      </c>
      <c r="K4789" s="1" t="str">
        <f t="shared" si="1033"/>
        <v>X</v>
      </c>
      <c r="L4789" s="1" t="str">
        <f t="shared" si="1033"/>
        <v>X</v>
      </c>
      <c r="M4789" s="1" t="str">
        <f t="shared" si="1033"/>
        <v>X</v>
      </c>
      <c r="N4789" t="s">
        <v>27</v>
      </c>
    </row>
    <row r="4790" spans="1:14" x14ac:dyDescent="0.25">
      <c r="A4790" t="s">
        <v>41</v>
      </c>
      <c r="B4790" t="s">
        <v>40</v>
      </c>
      <c r="C4790" t="s">
        <v>36</v>
      </c>
      <c r="D4790" t="s">
        <v>29</v>
      </c>
      <c r="E4790" t="s">
        <v>22</v>
      </c>
      <c r="F4790" t="s">
        <v>19</v>
      </c>
      <c r="G4790" s="1" t="str">
        <f t="shared" si="1033"/>
        <v>X</v>
      </c>
      <c r="H4790" s="1" t="str">
        <f t="shared" si="1033"/>
        <v>X</v>
      </c>
      <c r="I4790" s="1" t="str">
        <f t="shared" si="1033"/>
        <v>X</v>
      </c>
      <c r="J4790" s="1" t="str">
        <f t="shared" si="1033"/>
        <v>X</v>
      </c>
      <c r="K4790" s="1" t="str">
        <f t="shared" si="1033"/>
        <v>X</v>
      </c>
      <c r="L4790" s="1" t="str">
        <f t="shared" si="1033"/>
        <v>X</v>
      </c>
      <c r="M4790" s="1" t="str">
        <f t="shared" si="1033"/>
        <v>X</v>
      </c>
      <c r="N4790" t="s">
        <v>27</v>
      </c>
    </row>
    <row r="4791" spans="1:14" x14ac:dyDescent="0.25">
      <c r="A4791" t="s">
        <v>41</v>
      </c>
      <c r="B4791" t="s">
        <v>40</v>
      </c>
      <c r="C4791" t="s">
        <v>36</v>
      </c>
      <c r="D4791" t="s">
        <v>29</v>
      </c>
      <c r="E4791" t="s">
        <v>22</v>
      </c>
      <c r="F4791" t="s">
        <v>20</v>
      </c>
      <c r="G4791" s="2">
        <f>VALUE(316.9365259292)</f>
        <v>316.9365259292</v>
      </c>
      <c r="H4791" s="3">
        <f>VALUE(281.7830305687)</f>
        <v>281.78303056869998</v>
      </c>
      <c r="I4791" s="1">
        <f>VALUE(3280)</f>
        <v>3280</v>
      </c>
      <c r="J4791" s="5">
        <f>VALUE(3620)</f>
        <v>3620</v>
      </c>
      <c r="K4791" s="1">
        <f>VALUE(4622)</f>
        <v>4622</v>
      </c>
      <c r="L4791" s="1">
        <f>VALUE(5165)</f>
        <v>5165</v>
      </c>
      <c r="M4791" s="1">
        <f>VALUE(5725)</f>
        <v>5725</v>
      </c>
      <c r="N4791" t="s">
        <v>25</v>
      </c>
    </row>
    <row r="4792" spans="1:14" x14ac:dyDescent="0.25">
      <c r="A4792" t="s">
        <v>41</v>
      </c>
      <c r="B4792" t="s">
        <v>40</v>
      </c>
      <c r="C4792" t="s">
        <v>36</v>
      </c>
      <c r="D4792" t="s">
        <v>29</v>
      </c>
      <c r="E4792" t="s">
        <v>23</v>
      </c>
      <c r="F4792" t="s">
        <v>15</v>
      </c>
      <c r="G4792" s="2">
        <f>VALUE(492.7062721766)</f>
        <v>492.70627217660001</v>
      </c>
      <c r="H4792" s="3">
        <f>VALUE(387.6603047726)</f>
        <v>387.6603047726</v>
      </c>
      <c r="I4792" s="1">
        <f>VALUE(3034)</f>
        <v>3034</v>
      </c>
      <c r="J4792" s="1">
        <f>VALUE(3222)</f>
        <v>3222</v>
      </c>
      <c r="K4792" s="1">
        <f>VALUE(3402)</f>
        <v>3402</v>
      </c>
      <c r="L4792" s="1">
        <f>VALUE(3911)</f>
        <v>3911</v>
      </c>
      <c r="M4792" s="8">
        <f>VALUE(4330)</f>
        <v>4330</v>
      </c>
      <c r="N4792" t="s">
        <v>25</v>
      </c>
    </row>
    <row r="4793" spans="1:14" x14ac:dyDescent="0.25">
      <c r="A4793" t="s">
        <v>41</v>
      </c>
      <c r="B4793" t="s">
        <v>40</v>
      </c>
      <c r="C4793" t="s">
        <v>36</v>
      </c>
      <c r="D4793" t="s">
        <v>29</v>
      </c>
      <c r="E4793" t="s">
        <v>23</v>
      </c>
      <c r="F4793" t="s">
        <v>17</v>
      </c>
      <c r="G4793" s="1" t="str">
        <f t="shared" ref="G4793:M4795" si="1034">"X"</f>
        <v>X</v>
      </c>
      <c r="H4793" s="1" t="str">
        <f t="shared" si="1034"/>
        <v>X</v>
      </c>
      <c r="I4793" s="1" t="str">
        <f t="shared" si="1034"/>
        <v>X</v>
      </c>
      <c r="J4793" s="1" t="str">
        <f t="shared" si="1034"/>
        <v>X</v>
      </c>
      <c r="K4793" s="1" t="str">
        <f t="shared" si="1034"/>
        <v>X</v>
      </c>
      <c r="L4793" s="1" t="str">
        <f t="shared" si="1034"/>
        <v>X</v>
      </c>
      <c r="M4793" s="1" t="str">
        <f t="shared" si="1034"/>
        <v>X</v>
      </c>
      <c r="N4793" t="s">
        <v>27</v>
      </c>
    </row>
    <row r="4794" spans="1:14" x14ac:dyDescent="0.25">
      <c r="A4794" t="s">
        <v>41</v>
      </c>
      <c r="B4794" t="s">
        <v>40</v>
      </c>
      <c r="C4794" t="s">
        <v>36</v>
      </c>
      <c r="D4794" t="s">
        <v>29</v>
      </c>
      <c r="E4794" t="s">
        <v>23</v>
      </c>
      <c r="F4794" t="s">
        <v>18</v>
      </c>
      <c r="G4794" s="1" t="str">
        <f t="shared" si="1034"/>
        <v>X</v>
      </c>
      <c r="H4794" s="1" t="str">
        <f t="shared" si="1034"/>
        <v>X</v>
      </c>
      <c r="I4794" s="1" t="str">
        <f t="shared" si="1034"/>
        <v>X</v>
      </c>
      <c r="J4794" s="1" t="str">
        <f t="shared" si="1034"/>
        <v>X</v>
      </c>
      <c r="K4794" s="1" t="str">
        <f t="shared" si="1034"/>
        <v>X</v>
      </c>
      <c r="L4794" s="1" t="str">
        <f t="shared" si="1034"/>
        <v>X</v>
      </c>
      <c r="M4794" s="1" t="str">
        <f t="shared" si="1034"/>
        <v>X</v>
      </c>
      <c r="N4794" t="s">
        <v>27</v>
      </c>
    </row>
    <row r="4795" spans="1:14" x14ac:dyDescent="0.25">
      <c r="A4795" t="s">
        <v>41</v>
      </c>
      <c r="B4795" t="s">
        <v>40</v>
      </c>
      <c r="C4795" t="s">
        <v>36</v>
      </c>
      <c r="D4795" t="s">
        <v>29</v>
      </c>
      <c r="E4795" t="s">
        <v>23</v>
      </c>
      <c r="F4795" t="s">
        <v>19</v>
      </c>
      <c r="G4795" s="1" t="str">
        <f t="shared" si="1034"/>
        <v>X</v>
      </c>
      <c r="H4795" s="1" t="str">
        <f t="shared" si="1034"/>
        <v>X</v>
      </c>
      <c r="I4795" s="1" t="str">
        <f t="shared" si="1034"/>
        <v>X</v>
      </c>
      <c r="J4795" s="1" t="str">
        <f t="shared" si="1034"/>
        <v>X</v>
      </c>
      <c r="K4795" s="1" t="str">
        <f t="shared" si="1034"/>
        <v>X</v>
      </c>
      <c r="L4795" s="1" t="str">
        <f t="shared" si="1034"/>
        <v>X</v>
      </c>
      <c r="M4795" s="1" t="str">
        <f t="shared" si="1034"/>
        <v>X</v>
      </c>
      <c r="N4795" t="s">
        <v>27</v>
      </c>
    </row>
    <row r="4796" spans="1:14" x14ac:dyDescent="0.25">
      <c r="A4796" t="s">
        <v>41</v>
      </c>
      <c r="B4796" t="s">
        <v>40</v>
      </c>
      <c r="C4796" t="s">
        <v>36</v>
      </c>
      <c r="D4796" t="s">
        <v>29</v>
      </c>
      <c r="E4796" t="s">
        <v>23</v>
      </c>
      <c r="F4796" t="s">
        <v>20</v>
      </c>
      <c r="G4796" s="2">
        <f>VALUE(392.8516022889)</f>
        <v>392.85160228889998</v>
      </c>
      <c r="H4796" s="3">
        <f>VALUE(288.4733954022)</f>
        <v>288.47339540220003</v>
      </c>
      <c r="I4796" s="4">
        <f>VALUE(2873)</f>
        <v>2873</v>
      </c>
      <c r="J4796" s="1">
        <f>VALUE(3222)</f>
        <v>3222</v>
      </c>
      <c r="K4796" s="1">
        <f>VALUE(3371)</f>
        <v>3371</v>
      </c>
      <c r="L4796" s="1">
        <f>VALUE(3923)</f>
        <v>3923</v>
      </c>
      <c r="M4796" s="1">
        <f>VALUE(4324)</f>
        <v>4324</v>
      </c>
      <c r="N4796" t="s">
        <v>25</v>
      </c>
    </row>
    <row r="4797" spans="1:14" x14ac:dyDescent="0.25">
      <c r="A4797" t="s">
        <v>41</v>
      </c>
      <c r="B4797" t="s">
        <v>40</v>
      </c>
      <c r="C4797" t="s">
        <v>36</v>
      </c>
      <c r="D4797" t="s">
        <v>29</v>
      </c>
      <c r="E4797" t="s">
        <v>26</v>
      </c>
      <c r="F4797" t="s">
        <v>15</v>
      </c>
      <c r="G4797" s="1" t="str">
        <f t="shared" ref="G4797:M4797" si="1035">"X"</f>
        <v>X</v>
      </c>
      <c r="H4797" s="1" t="str">
        <f t="shared" si="1035"/>
        <v>X</v>
      </c>
      <c r="I4797" s="1" t="str">
        <f t="shared" si="1035"/>
        <v>X</v>
      </c>
      <c r="J4797" s="1" t="str">
        <f t="shared" si="1035"/>
        <v>X</v>
      </c>
      <c r="K4797" s="1" t="str">
        <f t="shared" si="1035"/>
        <v>X</v>
      </c>
      <c r="L4797" s="1" t="str">
        <f t="shared" si="1035"/>
        <v>X</v>
      </c>
      <c r="M4797" s="1" t="str">
        <f t="shared" si="1035"/>
        <v>X</v>
      </c>
      <c r="N4797" t="s">
        <v>27</v>
      </c>
    </row>
    <row r="4798" spans="1:14" x14ac:dyDescent="0.25">
      <c r="A4798" t="s">
        <v>41</v>
      </c>
      <c r="B4798" t="s">
        <v>40</v>
      </c>
      <c r="C4798" t="s">
        <v>36</v>
      </c>
      <c r="D4798" t="s">
        <v>29</v>
      </c>
      <c r="E4798" t="s">
        <v>26</v>
      </c>
      <c r="F4798" t="s">
        <v>17</v>
      </c>
      <c r="G4798" s="1" t="str">
        <f t="shared" ref="G4798:M4798" si="1036">"..."</f>
        <v>...</v>
      </c>
      <c r="H4798" s="1" t="str">
        <f t="shared" si="1036"/>
        <v>...</v>
      </c>
      <c r="I4798" s="1" t="str">
        <f t="shared" si="1036"/>
        <v>...</v>
      </c>
      <c r="J4798" s="1" t="str">
        <f t="shared" si="1036"/>
        <v>...</v>
      </c>
      <c r="K4798" s="1" t="str">
        <f t="shared" si="1036"/>
        <v>...</v>
      </c>
      <c r="L4798" s="1" t="str">
        <f t="shared" si="1036"/>
        <v>...</v>
      </c>
      <c r="M4798" s="1" t="str">
        <f t="shared" si="1036"/>
        <v>...</v>
      </c>
      <c r="N4798" t="s">
        <v>30</v>
      </c>
    </row>
    <row r="4799" spans="1:14" x14ac:dyDescent="0.25">
      <c r="A4799" t="s">
        <v>41</v>
      </c>
      <c r="B4799" t="s">
        <v>40</v>
      </c>
      <c r="C4799" t="s">
        <v>36</v>
      </c>
      <c r="D4799" t="s">
        <v>29</v>
      </c>
      <c r="E4799" t="s">
        <v>26</v>
      </c>
      <c r="F4799" t="s">
        <v>18</v>
      </c>
      <c r="G4799" s="1" t="str">
        <f t="shared" ref="G4799:M4799" si="1037">"X"</f>
        <v>X</v>
      </c>
      <c r="H4799" s="1" t="str">
        <f t="shared" si="1037"/>
        <v>X</v>
      </c>
      <c r="I4799" s="1" t="str">
        <f t="shared" si="1037"/>
        <v>X</v>
      </c>
      <c r="J4799" s="1" t="str">
        <f t="shared" si="1037"/>
        <v>X</v>
      </c>
      <c r="K4799" s="1" t="str">
        <f t="shared" si="1037"/>
        <v>X</v>
      </c>
      <c r="L4799" s="1" t="str">
        <f t="shared" si="1037"/>
        <v>X</v>
      </c>
      <c r="M4799" s="1" t="str">
        <f t="shared" si="1037"/>
        <v>X</v>
      </c>
      <c r="N4799" t="s">
        <v>27</v>
      </c>
    </row>
    <row r="4800" spans="1:14" x14ac:dyDescent="0.25">
      <c r="A4800" t="s">
        <v>41</v>
      </c>
      <c r="B4800" t="s">
        <v>40</v>
      </c>
      <c r="C4800" t="s">
        <v>36</v>
      </c>
      <c r="D4800" t="s">
        <v>29</v>
      </c>
      <c r="E4800" t="s">
        <v>26</v>
      </c>
      <c r="F4800" t="s">
        <v>19</v>
      </c>
      <c r="G4800" s="1" t="str">
        <f t="shared" ref="G4800:M4800" si="1038">"..."</f>
        <v>...</v>
      </c>
      <c r="H4800" s="1" t="str">
        <f t="shared" si="1038"/>
        <v>...</v>
      </c>
      <c r="I4800" s="1" t="str">
        <f t="shared" si="1038"/>
        <v>...</v>
      </c>
      <c r="J4800" s="1" t="str">
        <f t="shared" si="1038"/>
        <v>...</v>
      </c>
      <c r="K4800" s="1" t="str">
        <f t="shared" si="1038"/>
        <v>...</v>
      </c>
      <c r="L4800" s="1" t="str">
        <f t="shared" si="1038"/>
        <v>...</v>
      </c>
      <c r="M4800" s="1" t="str">
        <f t="shared" si="1038"/>
        <v>...</v>
      </c>
      <c r="N4800" t="s">
        <v>30</v>
      </c>
    </row>
    <row r="4801" spans="1:14" x14ac:dyDescent="0.25">
      <c r="A4801" t="s">
        <v>41</v>
      </c>
      <c r="B4801" t="s">
        <v>40</v>
      </c>
      <c r="C4801" t="s">
        <v>36</v>
      </c>
      <c r="D4801" t="s">
        <v>29</v>
      </c>
      <c r="E4801" t="s">
        <v>26</v>
      </c>
      <c r="F4801" t="s">
        <v>20</v>
      </c>
      <c r="G4801" s="1" t="str">
        <f t="shared" ref="G4801:M4801" si="1039">"X"</f>
        <v>X</v>
      </c>
      <c r="H4801" s="1" t="str">
        <f t="shared" si="1039"/>
        <v>X</v>
      </c>
      <c r="I4801" s="1" t="str">
        <f t="shared" si="1039"/>
        <v>X</v>
      </c>
      <c r="J4801" s="1" t="str">
        <f t="shared" si="1039"/>
        <v>X</v>
      </c>
      <c r="K4801" s="1" t="str">
        <f t="shared" si="1039"/>
        <v>X</v>
      </c>
      <c r="L4801" s="1" t="str">
        <f t="shared" si="1039"/>
        <v>X</v>
      </c>
      <c r="M4801" s="1" t="str">
        <f t="shared" si="1039"/>
        <v>X</v>
      </c>
      <c r="N4801" t="s">
        <v>27</v>
      </c>
    </row>
    <row r="4802" spans="1:14" x14ac:dyDescent="0.25">
      <c r="A4802" t="s">
        <v>41</v>
      </c>
      <c r="B4802" t="s">
        <v>40</v>
      </c>
      <c r="C4802" t="s">
        <v>36</v>
      </c>
      <c r="D4802" t="s">
        <v>31</v>
      </c>
      <c r="E4802" t="s">
        <v>15</v>
      </c>
      <c r="F4802" t="s">
        <v>15</v>
      </c>
      <c r="G4802" s="2">
        <f>VALUE(1384.3584582075)</f>
        <v>1384.3584582075</v>
      </c>
      <c r="H4802" s="3">
        <f>VALUE(1094.3501902529)</f>
        <v>1094.3501902528999</v>
      </c>
      <c r="I4802" s="1">
        <f>VALUE(3162)</f>
        <v>3162</v>
      </c>
      <c r="J4802" s="1">
        <f>VALUE(3411)</f>
        <v>3411</v>
      </c>
      <c r="K4802" s="6">
        <f>VALUE(4229)</f>
        <v>4229</v>
      </c>
      <c r="L4802" s="7">
        <f>VALUE(5778)</f>
        <v>5778</v>
      </c>
      <c r="M4802" s="8">
        <f>VALUE(7326)</f>
        <v>7326</v>
      </c>
      <c r="N4802" t="s">
        <v>25</v>
      </c>
    </row>
    <row r="4803" spans="1:14" x14ac:dyDescent="0.25">
      <c r="A4803" t="s">
        <v>41</v>
      </c>
      <c r="B4803" t="s">
        <v>40</v>
      </c>
      <c r="C4803" t="s">
        <v>36</v>
      </c>
      <c r="D4803" t="s">
        <v>31</v>
      </c>
      <c r="E4803" t="s">
        <v>15</v>
      </c>
      <c r="F4803" t="s">
        <v>17</v>
      </c>
      <c r="G4803" s="1" t="str">
        <f t="shared" ref="G4803:M4804" si="1040">"X"</f>
        <v>X</v>
      </c>
      <c r="H4803" s="1" t="str">
        <f t="shared" si="1040"/>
        <v>X</v>
      </c>
      <c r="I4803" s="1" t="str">
        <f t="shared" si="1040"/>
        <v>X</v>
      </c>
      <c r="J4803" s="1" t="str">
        <f t="shared" si="1040"/>
        <v>X</v>
      </c>
      <c r="K4803" s="1" t="str">
        <f t="shared" si="1040"/>
        <v>X</v>
      </c>
      <c r="L4803" s="1" t="str">
        <f t="shared" si="1040"/>
        <v>X</v>
      </c>
      <c r="M4803" s="1" t="str">
        <f t="shared" si="1040"/>
        <v>X</v>
      </c>
      <c r="N4803" t="s">
        <v>27</v>
      </c>
    </row>
    <row r="4804" spans="1:14" x14ac:dyDescent="0.25">
      <c r="A4804" t="s">
        <v>41</v>
      </c>
      <c r="B4804" t="s">
        <v>40</v>
      </c>
      <c r="C4804" t="s">
        <v>36</v>
      </c>
      <c r="D4804" t="s">
        <v>31</v>
      </c>
      <c r="E4804" t="s">
        <v>15</v>
      </c>
      <c r="F4804" t="s">
        <v>18</v>
      </c>
      <c r="G4804" s="1" t="str">
        <f t="shared" si="1040"/>
        <v>X</v>
      </c>
      <c r="H4804" s="1" t="str">
        <f t="shared" si="1040"/>
        <v>X</v>
      </c>
      <c r="I4804" s="1" t="str">
        <f t="shared" si="1040"/>
        <v>X</v>
      </c>
      <c r="J4804" s="1" t="str">
        <f t="shared" si="1040"/>
        <v>X</v>
      </c>
      <c r="K4804" s="1" t="str">
        <f t="shared" si="1040"/>
        <v>X</v>
      </c>
      <c r="L4804" s="1" t="str">
        <f t="shared" si="1040"/>
        <v>X</v>
      </c>
      <c r="M4804" s="1" t="str">
        <f t="shared" si="1040"/>
        <v>X</v>
      </c>
      <c r="N4804" t="s">
        <v>27</v>
      </c>
    </row>
    <row r="4805" spans="1:14" x14ac:dyDescent="0.25">
      <c r="A4805" t="s">
        <v>41</v>
      </c>
      <c r="B4805" t="s">
        <v>40</v>
      </c>
      <c r="C4805" t="s">
        <v>36</v>
      </c>
      <c r="D4805" t="s">
        <v>31</v>
      </c>
      <c r="E4805" t="s">
        <v>15</v>
      </c>
      <c r="F4805" t="s">
        <v>19</v>
      </c>
      <c r="G4805" s="2">
        <f>VALUE(286.40093471)</f>
        <v>286.40093471</v>
      </c>
      <c r="H4805" s="3">
        <f>VALUE(224.938511879)</f>
        <v>224.938511879</v>
      </c>
      <c r="I4805" s="1">
        <f>VALUE(3402)</f>
        <v>3402</v>
      </c>
      <c r="J4805" s="1">
        <f>VALUE(4049)</f>
        <v>4049</v>
      </c>
      <c r="K4805" s="1">
        <f>VALUE(4908)</f>
        <v>4908</v>
      </c>
      <c r="L4805" s="7">
        <f>VALUE(5953)</f>
        <v>5953</v>
      </c>
      <c r="M4805" s="1">
        <f>VALUE(7192)</f>
        <v>7192</v>
      </c>
      <c r="N4805" t="s">
        <v>25</v>
      </c>
    </row>
    <row r="4806" spans="1:14" x14ac:dyDescent="0.25">
      <c r="A4806" t="s">
        <v>41</v>
      </c>
      <c r="B4806" t="s">
        <v>40</v>
      </c>
      <c r="C4806" t="s">
        <v>36</v>
      </c>
      <c r="D4806" t="s">
        <v>31</v>
      </c>
      <c r="E4806" t="s">
        <v>15</v>
      </c>
      <c r="F4806" t="s">
        <v>20</v>
      </c>
      <c r="G4806" s="2">
        <f>VALUE(815.6521207979)</f>
        <v>815.65212079790001</v>
      </c>
      <c r="H4806" s="3">
        <f>VALUE(637.1767345672)</f>
        <v>637.17673456720001</v>
      </c>
      <c r="I4806" s="1">
        <f>VALUE(2952)</f>
        <v>2952</v>
      </c>
      <c r="J4806" s="1">
        <f>VALUE(3250)</f>
        <v>3250</v>
      </c>
      <c r="K4806" s="1">
        <f>VALUE(3690)</f>
        <v>3690</v>
      </c>
      <c r="L4806" s="1">
        <f>VALUE(4762)</f>
        <v>4762</v>
      </c>
      <c r="M4806" s="1">
        <f>VALUE(6025)</f>
        <v>6025</v>
      </c>
      <c r="N4806" t="s">
        <v>25</v>
      </c>
    </row>
    <row r="4807" spans="1:14" x14ac:dyDescent="0.25">
      <c r="A4807" t="s">
        <v>41</v>
      </c>
      <c r="B4807" t="s">
        <v>40</v>
      </c>
      <c r="C4807" t="s">
        <v>36</v>
      </c>
      <c r="D4807" t="s">
        <v>31</v>
      </c>
      <c r="E4807" t="s">
        <v>21</v>
      </c>
      <c r="F4807" t="s">
        <v>15</v>
      </c>
      <c r="G4807" s="2">
        <f>VALUE(622.3684402344)</f>
        <v>622.36844023440005</v>
      </c>
      <c r="H4807" s="3">
        <f>VALUE(479.4792461913)</f>
        <v>479.47924619129998</v>
      </c>
      <c r="I4807" s="4">
        <f>VALUE(3587)</f>
        <v>3587</v>
      </c>
      <c r="J4807" s="5">
        <f>VALUE(4821)</f>
        <v>4821</v>
      </c>
      <c r="K4807" s="6">
        <f>VALUE(5641)</f>
        <v>5641</v>
      </c>
      <c r="L4807" s="7">
        <f>VALUE(7059)</f>
        <v>7059</v>
      </c>
      <c r="M4807" s="8">
        <f>VALUE(8574)</f>
        <v>8574</v>
      </c>
      <c r="N4807" t="s">
        <v>24</v>
      </c>
    </row>
    <row r="4808" spans="1:14" x14ac:dyDescent="0.25">
      <c r="A4808" t="s">
        <v>41</v>
      </c>
      <c r="B4808" t="s">
        <v>40</v>
      </c>
      <c r="C4808" t="s">
        <v>36</v>
      </c>
      <c r="D4808" t="s">
        <v>31</v>
      </c>
      <c r="E4808" t="s">
        <v>21</v>
      </c>
      <c r="F4808" t="s">
        <v>17</v>
      </c>
      <c r="G4808" s="1" t="str">
        <f t="shared" ref="G4808:M4810" si="1041">"X"</f>
        <v>X</v>
      </c>
      <c r="H4808" s="1" t="str">
        <f t="shared" si="1041"/>
        <v>X</v>
      </c>
      <c r="I4808" s="1" t="str">
        <f t="shared" si="1041"/>
        <v>X</v>
      </c>
      <c r="J4808" s="1" t="str">
        <f t="shared" si="1041"/>
        <v>X</v>
      </c>
      <c r="K4808" s="1" t="str">
        <f t="shared" si="1041"/>
        <v>X</v>
      </c>
      <c r="L4808" s="1" t="str">
        <f t="shared" si="1041"/>
        <v>X</v>
      </c>
      <c r="M4808" s="1" t="str">
        <f t="shared" si="1041"/>
        <v>X</v>
      </c>
      <c r="N4808" t="s">
        <v>27</v>
      </c>
    </row>
    <row r="4809" spans="1:14" x14ac:dyDescent="0.25">
      <c r="A4809" t="s">
        <v>41</v>
      </c>
      <c r="B4809" t="s">
        <v>40</v>
      </c>
      <c r="C4809" t="s">
        <v>36</v>
      </c>
      <c r="D4809" t="s">
        <v>31</v>
      </c>
      <c r="E4809" t="s">
        <v>21</v>
      </c>
      <c r="F4809" t="s">
        <v>18</v>
      </c>
      <c r="G4809" s="1" t="str">
        <f t="shared" si="1041"/>
        <v>X</v>
      </c>
      <c r="H4809" s="1" t="str">
        <f t="shared" si="1041"/>
        <v>X</v>
      </c>
      <c r="I4809" s="1" t="str">
        <f t="shared" si="1041"/>
        <v>X</v>
      </c>
      <c r="J4809" s="1" t="str">
        <f t="shared" si="1041"/>
        <v>X</v>
      </c>
      <c r="K4809" s="1" t="str">
        <f t="shared" si="1041"/>
        <v>X</v>
      </c>
      <c r="L4809" s="1" t="str">
        <f t="shared" si="1041"/>
        <v>X</v>
      </c>
      <c r="M4809" s="1" t="str">
        <f t="shared" si="1041"/>
        <v>X</v>
      </c>
      <c r="N4809" t="s">
        <v>27</v>
      </c>
    </row>
    <row r="4810" spans="1:14" x14ac:dyDescent="0.25">
      <c r="A4810" t="s">
        <v>41</v>
      </c>
      <c r="B4810" t="s">
        <v>40</v>
      </c>
      <c r="C4810" t="s">
        <v>36</v>
      </c>
      <c r="D4810" t="s">
        <v>31</v>
      </c>
      <c r="E4810" t="s">
        <v>21</v>
      </c>
      <c r="F4810" t="s">
        <v>19</v>
      </c>
      <c r="G4810" s="1" t="str">
        <f t="shared" si="1041"/>
        <v>X</v>
      </c>
      <c r="H4810" s="1" t="str">
        <f t="shared" si="1041"/>
        <v>X</v>
      </c>
      <c r="I4810" s="1" t="str">
        <f t="shared" si="1041"/>
        <v>X</v>
      </c>
      <c r="J4810" s="1" t="str">
        <f t="shared" si="1041"/>
        <v>X</v>
      </c>
      <c r="K4810" s="1" t="str">
        <f t="shared" si="1041"/>
        <v>X</v>
      </c>
      <c r="L4810" s="1" t="str">
        <f t="shared" si="1041"/>
        <v>X</v>
      </c>
      <c r="M4810" s="1" t="str">
        <f t="shared" si="1041"/>
        <v>X</v>
      </c>
      <c r="N4810" t="s">
        <v>27</v>
      </c>
    </row>
    <row r="4811" spans="1:14" x14ac:dyDescent="0.25">
      <c r="A4811" t="s">
        <v>41</v>
      </c>
      <c r="B4811" t="s">
        <v>40</v>
      </c>
      <c r="C4811" t="s">
        <v>36</v>
      </c>
      <c r="D4811" t="s">
        <v>31</v>
      </c>
      <c r="E4811" t="s">
        <v>21</v>
      </c>
      <c r="F4811" t="s">
        <v>20</v>
      </c>
      <c r="G4811" s="2">
        <f>VALUE(219.7468920846)</f>
        <v>219.74689208460001</v>
      </c>
      <c r="H4811" s="3">
        <f>VALUE(168.4870036449)</f>
        <v>168.4870036449</v>
      </c>
      <c r="I4811" s="4">
        <f>VALUE(3524)</f>
        <v>3524</v>
      </c>
      <c r="J4811" s="5">
        <f>VALUE(3748)</f>
        <v>3748</v>
      </c>
      <c r="K4811" s="1">
        <f>VALUE(5000)</f>
        <v>5000</v>
      </c>
      <c r="L4811" s="1">
        <f>VALUE(6025)</f>
        <v>6025</v>
      </c>
      <c r="M4811" s="1">
        <f>VALUE(6744)</f>
        <v>6744</v>
      </c>
      <c r="N4811" t="s">
        <v>25</v>
      </c>
    </row>
    <row r="4812" spans="1:14" x14ac:dyDescent="0.25">
      <c r="A4812" t="s">
        <v>41</v>
      </c>
      <c r="B4812" t="s">
        <v>40</v>
      </c>
      <c r="C4812" t="s">
        <v>36</v>
      </c>
      <c r="D4812" t="s">
        <v>31</v>
      </c>
      <c r="E4812" t="s">
        <v>22</v>
      </c>
      <c r="F4812" t="s">
        <v>15</v>
      </c>
      <c r="G4812" s="2">
        <f>VALUE(196.0619489644)</f>
        <v>196.06194896439999</v>
      </c>
      <c r="H4812" s="3">
        <f>VALUE(167.3905889386)</f>
        <v>167.39058893859999</v>
      </c>
      <c r="I4812" s="1">
        <f>VALUE(3518)</f>
        <v>3518</v>
      </c>
      <c r="J4812" s="1">
        <f>VALUE(3926)</f>
        <v>3926</v>
      </c>
      <c r="K4812" s="1">
        <f>VALUE(4465)</f>
        <v>4465</v>
      </c>
      <c r="L4812" s="7">
        <f>VALUE(5000)</f>
        <v>5000</v>
      </c>
      <c r="M4812" s="8">
        <f>VALUE(6005)</f>
        <v>6005</v>
      </c>
      <c r="N4812" t="s">
        <v>25</v>
      </c>
    </row>
    <row r="4813" spans="1:14" x14ac:dyDescent="0.25">
      <c r="A4813" t="s">
        <v>41</v>
      </c>
      <c r="B4813" t="s">
        <v>40</v>
      </c>
      <c r="C4813" t="s">
        <v>36</v>
      </c>
      <c r="D4813" t="s">
        <v>31</v>
      </c>
      <c r="E4813" t="s">
        <v>22</v>
      </c>
      <c r="F4813" t="s">
        <v>17</v>
      </c>
      <c r="G4813" s="1" t="str">
        <f t="shared" ref="G4813:M4815" si="1042">"X"</f>
        <v>X</v>
      </c>
      <c r="H4813" s="1" t="str">
        <f t="shared" si="1042"/>
        <v>X</v>
      </c>
      <c r="I4813" s="1" t="str">
        <f t="shared" si="1042"/>
        <v>X</v>
      </c>
      <c r="J4813" s="1" t="str">
        <f t="shared" si="1042"/>
        <v>X</v>
      </c>
      <c r="K4813" s="1" t="str">
        <f t="shared" si="1042"/>
        <v>X</v>
      </c>
      <c r="L4813" s="1" t="str">
        <f t="shared" si="1042"/>
        <v>X</v>
      </c>
      <c r="M4813" s="1" t="str">
        <f t="shared" si="1042"/>
        <v>X</v>
      </c>
      <c r="N4813" t="s">
        <v>27</v>
      </c>
    </row>
    <row r="4814" spans="1:14" x14ac:dyDescent="0.25">
      <c r="A4814" t="s">
        <v>41</v>
      </c>
      <c r="B4814" t="s">
        <v>40</v>
      </c>
      <c r="C4814" t="s">
        <v>36</v>
      </c>
      <c r="D4814" t="s">
        <v>31</v>
      </c>
      <c r="E4814" t="s">
        <v>22</v>
      </c>
      <c r="F4814" t="s">
        <v>18</v>
      </c>
      <c r="G4814" s="1" t="str">
        <f t="shared" si="1042"/>
        <v>X</v>
      </c>
      <c r="H4814" s="1" t="str">
        <f t="shared" si="1042"/>
        <v>X</v>
      </c>
      <c r="I4814" s="1" t="str">
        <f t="shared" si="1042"/>
        <v>X</v>
      </c>
      <c r="J4814" s="1" t="str">
        <f t="shared" si="1042"/>
        <v>X</v>
      </c>
      <c r="K4814" s="1" t="str">
        <f t="shared" si="1042"/>
        <v>X</v>
      </c>
      <c r="L4814" s="1" t="str">
        <f t="shared" si="1042"/>
        <v>X</v>
      </c>
      <c r="M4814" s="1" t="str">
        <f t="shared" si="1042"/>
        <v>X</v>
      </c>
      <c r="N4814" t="s">
        <v>27</v>
      </c>
    </row>
    <row r="4815" spans="1:14" x14ac:dyDescent="0.25">
      <c r="A4815" t="s">
        <v>41</v>
      </c>
      <c r="B4815" t="s">
        <v>40</v>
      </c>
      <c r="C4815" t="s">
        <v>36</v>
      </c>
      <c r="D4815" t="s">
        <v>31</v>
      </c>
      <c r="E4815" t="s">
        <v>22</v>
      </c>
      <c r="F4815" t="s">
        <v>19</v>
      </c>
      <c r="G4815" s="1" t="str">
        <f t="shared" si="1042"/>
        <v>X</v>
      </c>
      <c r="H4815" s="1" t="str">
        <f t="shared" si="1042"/>
        <v>X</v>
      </c>
      <c r="I4815" s="1" t="str">
        <f t="shared" si="1042"/>
        <v>X</v>
      </c>
      <c r="J4815" s="1" t="str">
        <f t="shared" si="1042"/>
        <v>X</v>
      </c>
      <c r="K4815" s="1" t="str">
        <f t="shared" si="1042"/>
        <v>X</v>
      </c>
      <c r="L4815" s="1" t="str">
        <f t="shared" si="1042"/>
        <v>X</v>
      </c>
      <c r="M4815" s="1" t="str">
        <f t="shared" si="1042"/>
        <v>X</v>
      </c>
      <c r="N4815" t="s">
        <v>27</v>
      </c>
    </row>
    <row r="4816" spans="1:14" x14ac:dyDescent="0.25">
      <c r="A4816" t="s">
        <v>41</v>
      </c>
      <c r="B4816" t="s">
        <v>40</v>
      </c>
      <c r="C4816" t="s">
        <v>36</v>
      </c>
      <c r="D4816" t="s">
        <v>31</v>
      </c>
      <c r="E4816" t="s">
        <v>22</v>
      </c>
      <c r="F4816" t="s">
        <v>20</v>
      </c>
      <c r="G4816" s="2">
        <f>VALUE(134.423298595)</f>
        <v>134.42329859500001</v>
      </c>
      <c r="H4816" s="3">
        <f>VALUE(106.6076840095)</f>
        <v>106.60768400950001</v>
      </c>
      <c r="I4816" s="1">
        <f>VALUE(3208)</f>
        <v>3208</v>
      </c>
      <c r="J4816" s="1">
        <f>VALUE(3804)</f>
        <v>3804</v>
      </c>
      <c r="K4816" s="1">
        <f>VALUE(4175)</f>
        <v>4175</v>
      </c>
      <c r="L4816" s="1">
        <f>VALUE(4982)</f>
        <v>4982</v>
      </c>
      <c r="M4816" s="1">
        <f>VALUE(5842)</f>
        <v>5842</v>
      </c>
      <c r="N4816" t="s">
        <v>25</v>
      </c>
    </row>
    <row r="4817" spans="1:14" x14ac:dyDescent="0.25">
      <c r="A4817" t="s">
        <v>41</v>
      </c>
      <c r="B4817" t="s">
        <v>40</v>
      </c>
      <c r="C4817" t="s">
        <v>36</v>
      </c>
      <c r="D4817" t="s">
        <v>31</v>
      </c>
      <c r="E4817" t="s">
        <v>23</v>
      </c>
      <c r="F4817" t="s">
        <v>15</v>
      </c>
      <c r="G4817" s="2">
        <f>VALUE(537.3328279841)</f>
        <v>537.33282798410005</v>
      </c>
      <c r="H4817" s="3">
        <f>VALUE(417.4992415108)</f>
        <v>417.4992415108</v>
      </c>
      <c r="I4817" s="1">
        <f>VALUE(2917)</f>
        <v>2917</v>
      </c>
      <c r="J4817" s="1">
        <f>VALUE(3198)</f>
        <v>3198</v>
      </c>
      <c r="K4817" s="1">
        <f>VALUE(3402)</f>
        <v>3402</v>
      </c>
      <c r="L4817" s="1">
        <f>VALUE(3692)</f>
        <v>3692</v>
      </c>
      <c r="M4817" s="1">
        <f>VALUE(4127)</f>
        <v>4127</v>
      </c>
      <c r="N4817" t="s">
        <v>25</v>
      </c>
    </row>
    <row r="4818" spans="1:14" x14ac:dyDescent="0.25">
      <c r="A4818" t="s">
        <v>41</v>
      </c>
      <c r="B4818" t="s">
        <v>40</v>
      </c>
      <c r="C4818" t="s">
        <v>36</v>
      </c>
      <c r="D4818" t="s">
        <v>31</v>
      </c>
      <c r="E4818" t="s">
        <v>23</v>
      </c>
      <c r="F4818" t="s">
        <v>17</v>
      </c>
      <c r="G4818" s="1" t="str">
        <f t="shared" ref="G4818:M4818" si="1043">"..."</f>
        <v>...</v>
      </c>
      <c r="H4818" s="1" t="str">
        <f t="shared" si="1043"/>
        <v>...</v>
      </c>
      <c r="I4818" s="1" t="str">
        <f t="shared" si="1043"/>
        <v>...</v>
      </c>
      <c r="J4818" s="1" t="str">
        <f t="shared" si="1043"/>
        <v>...</v>
      </c>
      <c r="K4818" s="1" t="str">
        <f t="shared" si="1043"/>
        <v>...</v>
      </c>
      <c r="L4818" s="1" t="str">
        <f t="shared" si="1043"/>
        <v>...</v>
      </c>
      <c r="M4818" s="1" t="str">
        <f t="shared" si="1043"/>
        <v>...</v>
      </c>
      <c r="N4818" t="s">
        <v>30</v>
      </c>
    </row>
    <row r="4819" spans="1:14" x14ac:dyDescent="0.25">
      <c r="A4819" t="s">
        <v>41</v>
      </c>
      <c r="B4819" t="s">
        <v>40</v>
      </c>
      <c r="C4819" t="s">
        <v>36</v>
      </c>
      <c r="D4819" t="s">
        <v>31</v>
      </c>
      <c r="E4819" t="s">
        <v>23</v>
      </c>
      <c r="F4819" t="s">
        <v>18</v>
      </c>
      <c r="G4819" s="1" t="str">
        <f t="shared" ref="G4819:M4820" si="1044">"X"</f>
        <v>X</v>
      </c>
      <c r="H4819" s="1" t="str">
        <f t="shared" si="1044"/>
        <v>X</v>
      </c>
      <c r="I4819" s="1" t="str">
        <f t="shared" si="1044"/>
        <v>X</v>
      </c>
      <c r="J4819" s="1" t="str">
        <f t="shared" si="1044"/>
        <v>X</v>
      </c>
      <c r="K4819" s="1" t="str">
        <f t="shared" si="1044"/>
        <v>X</v>
      </c>
      <c r="L4819" s="1" t="str">
        <f t="shared" si="1044"/>
        <v>X</v>
      </c>
      <c r="M4819" s="1" t="str">
        <f t="shared" si="1044"/>
        <v>X</v>
      </c>
      <c r="N4819" t="s">
        <v>27</v>
      </c>
    </row>
    <row r="4820" spans="1:14" x14ac:dyDescent="0.25">
      <c r="A4820" t="s">
        <v>41</v>
      </c>
      <c r="B4820" t="s">
        <v>40</v>
      </c>
      <c r="C4820" t="s">
        <v>36</v>
      </c>
      <c r="D4820" t="s">
        <v>31</v>
      </c>
      <c r="E4820" t="s">
        <v>23</v>
      </c>
      <c r="F4820" t="s">
        <v>19</v>
      </c>
      <c r="G4820" s="1" t="str">
        <f t="shared" si="1044"/>
        <v>X</v>
      </c>
      <c r="H4820" s="1" t="str">
        <f t="shared" si="1044"/>
        <v>X</v>
      </c>
      <c r="I4820" s="1" t="str">
        <f t="shared" si="1044"/>
        <v>X</v>
      </c>
      <c r="J4820" s="1" t="str">
        <f t="shared" si="1044"/>
        <v>X</v>
      </c>
      <c r="K4820" s="1" t="str">
        <f t="shared" si="1044"/>
        <v>X</v>
      </c>
      <c r="L4820" s="1" t="str">
        <f t="shared" si="1044"/>
        <v>X</v>
      </c>
      <c r="M4820" s="1" t="str">
        <f t="shared" si="1044"/>
        <v>X</v>
      </c>
      <c r="N4820" t="s">
        <v>27</v>
      </c>
    </row>
    <row r="4821" spans="1:14" x14ac:dyDescent="0.25">
      <c r="A4821" t="s">
        <v>41</v>
      </c>
      <c r="B4821" t="s">
        <v>40</v>
      </c>
      <c r="C4821" t="s">
        <v>36</v>
      </c>
      <c r="D4821" t="s">
        <v>31</v>
      </c>
      <c r="E4821" t="s">
        <v>23</v>
      </c>
      <c r="F4821" t="s">
        <v>20</v>
      </c>
      <c r="G4821" s="2">
        <f>VALUE(446.8716156303)</f>
        <v>446.87161563030003</v>
      </c>
      <c r="H4821" s="3">
        <f>VALUE(346.7412167008)</f>
        <v>346.74121670080001</v>
      </c>
      <c r="I4821" s="1">
        <f>VALUE(2900)</f>
        <v>2900</v>
      </c>
      <c r="J4821" s="1">
        <f>VALUE(3194)</f>
        <v>3194</v>
      </c>
      <c r="K4821" s="1">
        <f>VALUE(3309)</f>
        <v>3309</v>
      </c>
      <c r="L4821" s="1">
        <f>VALUE(3692)</f>
        <v>3692</v>
      </c>
      <c r="M4821" s="1">
        <f>VALUE(4083)</f>
        <v>4083</v>
      </c>
      <c r="N4821" t="s">
        <v>25</v>
      </c>
    </row>
    <row r="4822" spans="1:14" x14ac:dyDescent="0.25">
      <c r="A4822" t="s">
        <v>41</v>
      </c>
      <c r="B4822" t="s">
        <v>40</v>
      </c>
      <c r="C4822" t="s">
        <v>36</v>
      </c>
      <c r="D4822" t="s">
        <v>31</v>
      </c>
      <c r="E4822" t="s">
        <v>26</v>
      </c>
      <c r="F4822" t="s">
        <v>15</v>
      </c>
      <c r="G4822" s="1" t="str">
        <f t="shared" ref="G4822:M4824" si="1045">"X"</f>
        <v>X</v>
      </c>
      <c r="H4822" s="1" t="str">
        <f t="shared" si="1045"/>
        <v>X</v>
      </c>
      <c r="I4822" s="1" t="str">
        <f t="shared" si="1045"/>
        <v>X</v>
      </c>
      <c r="J4822" s="1" t="str">
        <f t="shared" si="1045"/>
        <v>X</v>
      </c>
      <c r="K4822" s="1" t="str">
        <f t="shared" si="1045"/>
        <v>X</v>
      </c>
      <c r="L4822" s="1" t="str">
        <f t="shared" si="1045"/>
        <v>X</v>
      </c>
      <c r="M4822" s="1" t="str">
        <f t="shared" si="1045"/>
        <v>X</v>
      </c>
      <c r="N4822" t="s">
        <v>27</v>
      </c>
    </row>
    <row r="4823" spans="1:14" x14ac:dyDescent="0.25">
      <c r="A4823" t="s">
        <v>41</v>
      </c>
      <c r="B4823" t="s">
        <v>40</v>
      </c>
      <c r="C4823" t="s">
        <v>36</v>
      </c>
      <c r="D4823" t="s">
        <v>31</v>
      </c>
      <c r="E4823" t="s">
        <v>26</v>
      </c>
      <c r="F4823" t="s">
        <v>17</v>
      </c>
      <c r="G4823" s="1" t="str">
        <f t="shared" si="1045"/>
        <v>X</v>
      </c>
      <c r="H4823" s="1" t="str">
        <f t="shared" si="1045"/>
        <v>X</v>
      </c>
      <c r="I4823" s="1" t="str">
        <f t="shared" si="1045"/>
        <v>X</v>
      </c>
      <c r="J4823" s="1" t="str">
        <f t="shared" si="1045"/>
        <v>X</v>
      </c>
      <c r="K4823" s="1" t="str">
        <f t="shared" si="1045"/>
        <v>X</v>
      </c>
      <c r="L4823" s="1" t="str">
        <f t="shared" si="1045"/>
        <v>X</v>
      </c>
      <c r="M4823" s="1" t="str">
        <f t="shared" si="1045"/>
        <v>X</v>
      </c>
      <c r="N4823" t="s">
        <v>27</v>
      </c>
    </row>
    <row r="4824" spans="1:14" x14ac:dyDescent="0.25">
      <c r="A4824" t="s">
        <v>41</v>
      </c>
      <c r="B4824" t="s">
        <v>40</v>
      </c>
      <c r="C4824" t="s">
        <v>36</v>
      </c>
      <c r="D4824" t="s">
        <v>31</v>
      </c>
      <c r="E4824" t="s">
        <v>26</v>
      </c>
      <c r="F4824" t="s">
        <v>18</v>
      </c>
      <c r="G4824" s="1" t="str">
        <f t="shared" si="1045"/>
        <v>X</v>
      </c>
      <c r="H4824" s="1" t="str">
        <f t="shared" si="1045"/>
        <v>X</v>
      </c>
      <c r="I4824" s="1" t="str">
        <f t="shared" si="1045"/>
        <v>X</v>
      </c>
      <c r="J4824" s="1" t="str">
        <f t="shared" si="1045"/>
        <v>X</v>
      </c>
      <c r="K4824" s="1" t="str">
        <f t="shared" si="1045"/>
        <v>X</v>
      </c>
      <c r="L4824" s="1" t="str">
        <f t="shared" si="1045"/>
        <v>X</v>
      </c>
      <c r="M4824" s="1" t="str">
        <f t="shared" si="1045"/>
        <v>X</v>
      </c>
      <c r="N4824" t="s">
        <v>27</v>
      </c>
    </row>
    <row r="4825" spans="1:14" x14ac:dyDescent="0.25">
      <c r="A4825" t="s">
        <v>41</v>
      </c>
      <c r="B4825" t="s">
        <v>40</v>
      </c>
      <c r="C4825" t="s">
        <v>36</v>
      </c>
      <c r="D4825" t="s">
        <v>31</v>
      </c>
      <c r="E4825" t="s">
        <v>26</v>
      </c>
      <c r="F4825" t="s">
        <v>19</v>
      </c>
      <c r="G4825" s="1" t="str">
        <f t="shared" ref="G4825:M4825" si="1046">"..."</f>
        <v>...</v>
      </c>
      <c r="H4825" s="1" t="str">
        <f t="shared" si="1046"/>
        <v>...</v>
      </c>
      <c r="I4825" s="1" t="str">
        <f t="shared" si="1046"/>
        <v>...</v>
      </c>
      <c r="J4825" s="1" t="str">
        <f t="shared" si="1046"/>
        <v>...</v>
      </c>
      <c r="K4825" s="1" t="str">
        <f t="shared" si="1046"/>
        <v>...</v>
      </c>
      <c r="L4825" s="1" t="str">
        <f t="shared" si="1046"/>
        <v>...</v>
      </c>
      <c r="M4825" s="1" t="str">
        <f t="shared" si="1046"/>
        <v>...</v>
      </c>
      <c r="N4825" t="s">
        <v>30</v>
      </c>
    </row>
    <row r="4826" spans="1:14" x14ac:dyDescent="0.25">
      <c r="A4826" t="s">
        <v>41</v>
      </c>
      <c r="B4826" t="s">
        <v>40</v>
      </c>
      <c r="C4826" t="s">
        <v>36</v>
      </c>
      <c r="D4826" t="s">
        <v>31</v>
      </c>
      <c r="E4826" t="s">
        <v>26</v>
      </c>
      <c r="F4826" t="s">
        <v>20</v>
      </c>
      <c r="G4826" s="1" t="str">
        <f t="shared" ref="G4826:M4826" si="1047">"X"</f>
        <v>X</v>
      </c>
      <c r="H4826" s="1" t="str">
        <f t="shared" si="1047"/>
        <v>X</v>
      </c>
      <c r="I4826" s="1" t="str">
        <f t="shared" si="1047"/>
        <v>X</v>
      </c>
      <c r="J4826" s="1" t="str">
        <f t="shared" si="1047"/>
        <v>X</v>
      </c>
      <c r="K4826" s="1" t="str">
        <f t="shared" si="1047"/>
        <v>X</v>
      </c>
      <c r="L4826" s="1" t="str">
        <f t="shared" si="1047"/>
        <v>X</v>
      </c>
      <c r="M4826" s="1" t="str">
        <f t="shared" si="1047"/>
        <v>X</v>
      </c>
      <c r="N4826" t="s">
        <v>27</v>
      </c>
    </row>
    <row r="4827" spans="1:14" x14ac:dyDescent="0.25">
      <c r="A4827" t="s">
        <v>41</v>
      </c>
      <c r="B4827" t="s">
        <v>40</v>
      </c>
      <c r="C4827" t="s">
        <v>36</v>
      </c>
      <c r="D4827" t="s">
        <v>32</v>
      </c>
      <c r="E4827" t="s">
        <v>15</v>
      </c>
      <c r="F4827" t="s">
        <v>15</v>
      </c>
      <c r="G4827" s="1">
        <f>VALUE(4416.7531999841)</f>
        <v>4416.7531999841003</v>
      </c>
      <c r="H4827" s="1">
        <f>VALUE(4015.9227678915)</f>
        <v>4015.9227678914999</v>
      </c>
      <c r="I4827" s="1">
        <f>VALUE(2604)</f>
        <v>2604</v>
      </c>
      <c r="J4827" s="1">
        <f>VALUE(2880)</f>
        <v>2880</v>
      </c>
      <c r="K4827" s="1">
        <f>VALUE(3519)</f>
        <v>3519</v>
      </c>
      <c r="L4827" s="1">
        <f>VALUE(4325)</f>
        <v>4325</v>
      </c>
      <c r="M4827" s="1">
        <f>VALUE(5417)</f>
        <v>5417</v>
      </c>
      <c r="N4827" t="s">
        <v>16</v>
      </c>
    </row>
    <row r="4828" spans="1:14" x14ac:dyDescent="0.25">
      <c r="A4828" t="s">
        <v>41</v>
      </c>
      <c r="B4828" t="s">
        <v>40</v>
      </c>
      <c r="C4828" t="s">
        <v>36</v>
      </c>
      <c r="D4828" t="s">
        <v>32</v>
      </c>
      <c r="E4828" t="s">
        <v>15</v>
      </c>
      <c r="F4828" t="s">
        <v>17</v>
      </c>
      <c r="G4828" s="1" t="str">
        <f t="shared" ref="G4828:M4828" si="1048">"X"</f>
        <v>X</v>
      </c>
      <c r="H4828" s="1" t="str">
        <f t="shared" si="1048"/>
        <v>X</v>
      </c>
      <c r="I4828" s="1" t="str">
        <f t="shared" si="1048"/>
        <v>X</v>
      </c>
      <c r="J4828" s="1" t="str">
        <f t="shared" si="1048"/>
        <v>X</v>
      </c>
      <c r="K4828" s="1" t="str">
        <f t="shared" si="1048"/>
        <v>X</v>
      </c>
      <c r="L4828" s="1" t="str">
        <f t="shared" si="1048"/>
        <v>X</v>
      </c>
      <c r="M4828" s="1" t="str">
        <f t="shared" si="1048"/>
        <v>X</v>
      </c>
      <c r="N4828" t="s">
        <v>27</v>
      </c>
    </row>
    <row r="4829" spans="1:14" x14ac:dyDescent="0.25">
      <c r="A4829" t="s">
        <v>41</v>
      </c>
      <c r="B4829" t="s">
        <v>40</v>
      </c>
      <c r="C4829" t="s">
        <v>36</v>
      </c>
      <c r="D4829" t="s">
        <v>32</v>
      </c>
      <c r="E4829" t="s">
        <v>15</v>
      </c>
      <c r="F4829" t="s">
        <v>18</v>
      </c>
      <c r="G4829" s="2">
        <f>VALUE(355.9625165027)</f>
        <v>355.9625165027</v>
      </c>
      <c r="H4829" s="3">
        <f>VALUE(316.6548441707)</f>
        <v>316.65484417070002</v>
      </c>
      <c r="I4829" s="4">
        <f>VALUE(2733)</f>
        <v>2733</v>
      </c>
      <c r="J4829" s="5">
        <f>VALUE(3066)</f>
        <v>3066</v>
      </c>
      <c r="K4829" s="6">
        <f>VALUE(4127)</f>
        <v>4127</v>
      </c>
      <c r="L4829" s="7">
        <f>VALUE(5417)</f>
        <v>5417</v>
      </c>
      <c r="M4829" s="1">
        <f>VALUE(6672)</f>
        <v>6672</v>
      </c>
      <c r="N4829" t="s">
        <v>25</v>
      </c>
    </row>
    <row r="4830" spans="1:14" x14ac:dyDescent="0.25">
      <c r="A4830" t="s">
        <v>41</v>
      </c>
      <c r="B4830" t="s">
        <v>40</v>
      </c>
      <c r="C4830" t="s">
        <v>36</v>
      </c>
      <c r="D4830" t="s">
        <v>32</v>
      </c>
      <c r="E4830" t="s">
        <v>15</v>
      </c>
      <c r="F4830" t="s">
        <v>19</v>
      </c>
      <c r="G4830" s="2">
        <f>VALUE(498.7925969912)</f>
        <v>498.79259699120001</v>
      </c>
      <c r="H4830" s="3">
        <f>VALUE(472.3455355608)</f>
        <v>472.34553556079999</v>
      </c>
      <c r="I4830" s="1">
        <f>VALUE(2952)</f>
        <v>2952</v>
      </c>
      <c r="J4830" s="1">
        <f>VALUE(3376)</f>
        <v>3376</v>
      </c>
      <c r="K4830" s="1">
        <f>VALUE(4036)</f>
        <v>4036</v>
      </c>
      <c r="L4830" s="1">
        <f>VALUE(4767)</f>
        <v>4767</v>
      </c>
      <c r="M4830" s="1">
        <f>VALUE(5647)</f>
        <v>5647</v>
      </c>
      <c r="N4830" t="s">
        <v>25</v>
      </c>
    </row>
    <row r="4831" spans="1:14" x14ac:dyDescent="0.25">
      <c r="A4831" t="s">
        <v>41</v>
      </c>
      <c r="B4831" t="s">
        <v>40</v>
      </c>
      <c r="C4831" t="s">
        <v>36</v>
      </c>
      <c r="D4831" t="s">
        <v>32</v>
      </c>
      <c r="E4831" t="s">
        <v>15</v>
      </c>
      <c r="F4831" t="s">
        <v>20</v>
      </c>
      <c r="G4831" s="1">
        <f>VALUE(3392.4229533057)</f>
        <v>3392.4229533057</v>
      </c>
      <c r="H4831" s="1">
        <f>VALUE(3076.591082304)</f>
        <v>3076.5910823039999</v>
      </c>
      <c r="I4831" s="1">
        <f>VALUE(2551)</f>
        <v>2551</v>
      </c>
      <c r="J4831" s="1">
        <f>VALUE(2829)</f>
        <v>2829</v>
      </c>
      <c r="K4831" s="1">
        <f>VALUE(3370)</f>
        <v>3370</v>
      </c>
      <c r="L4831" s="1">
        <f>VALUE(4055)</f>
        <v>4055</v>
      </c>
      <c r="M4831" s="1">
        <f>VALUE(5053)</f>
        <v>5053</v>
      </c>
      <c r="N4831" t="s">
        <v>16</v>
      </c>
    </row>
    <row r="4832" spans="1:14" x14ac:dyDescent="0.25">
      <c r="A4832" t="s">
        <v>41</v>
      </c>
      <c r="B4832" t="s">
        <v>40</v>
      </c>
      <c r="C4832" t="s">
        <v>36</v>
      </c>
      <c r="D4832" t="s">
        <v>32</v>
      </c>
      <c r="E4832" t="s">
        <v>21</v>
      </c>
      <c r="F4832" t="s">
        <v>15</v>
      </c>
      <c r="G4832" s="2">
        <f>VALUE(973.4410219636)</f>
        <v>973.44102196359995</v>
      </c>
      <c r="H4832" s="3">
        <f>VALUE(899.2357442786)</f>
        <v>899.23574427860001</v>
      </c>
      <c r="I4832" s="1">
        <f>VALUE(3066)</f>
        <v>3066</v>
      </c>
      <c r="J4832" s="1">
        <f>VALUE(3667)</f>
        <v>3667</v>
      </c>
      <c r="K4832" s="1">
        <f>VALUE(4333)</f>
        <v>4333</v>
      </c>
      <c r="L4832" s="1">
        <f>VALUE(5408)</f>
        <v>5408</v>
      </c>
      <c r="M4832" s="1">
        <f>VALUE(6507)</f>
        <v>6507</v>
      </c>
      <c r="N4832" t="s">
        <v>25</v>
      </c>
    </row>
    <row r="4833" spans="1:14" x14ac:dyDescent="0.25">
      <c r="A4833" t="s">
        <v>41</v>
      </c>
      <c r="B4833" t="s">
        <v>40</v>
      </c>
      <c r="C4833" t="s">
        <v>36</v>
      </c>
      <c r="D4833" t="s">
        <v>32</v>
      </c>
      <c r="E4833" t="s">
        <v>21</v>
      </c>
      <c r="F4833" t="s">
        <v>17</v>
      </c>
      <c r="G4833" s="1" t="str">
        <f t="shared" ref="G4833:M4833" si="1049">"X"</f>
        <v>X</v>
      </c>
      <c r="H4833" s="1" t="str">
        <f t="shared" si="1049"/>
        <v>X</v>
      </c>
      <c r="I4833" s="1" t="str">
        <f t="shared" si="1049"/>
        <v>X</v>
      </c>
      <c r="J4833" s="1" t="str">
        <f t="shared" si="1049"/>
        <v>X</v>
      </c>
      <c r="K4833" s="1" t="str">
        <f t="shared" si="1049"/>
        <v>X</v>
      </c>
      <c r="L4833" s="1" t="str">
        <f t="shared" si="1049"/>
        <v>X</v>
      </c>
      <c r="M4833" s="1" t="str">
        <f t="shared" si="1049"/>
        <v>X</v>
      </c>
      <c r="N4833" t="s">
        <v>27</v>
      </c>
    </row>
    <row r="4834" spans="1:14" x14ac:dyDescent="0.25">
      <c r="A4834" t="s">
        <v>41</v>
      </c>
      <c r="B4834" t="s">
        <v>40</v>
      </c>
      <c r="C4834" t="s">
        <v>36</v>
      </c>
      <c r="D4834" t="s">
        <v>32</v>
      </c>
      <c r="E4834" t="s">
        <v>21</v>
      </c>
      <c r="F4834" t="s">
        <v>18</v>
      </c>
      <c r="G4834" s="2">
        <f>VALUE(183.057692156)</f>
        <v>183.057692156</v>
      </c>
      <c r="H4834" s="3">
        <f>VALUE(154.5073553835)</f>
        <v>154.5073553835</v>
      </c>
      <c r="I4834" s="1">
        <f>VALUE(2871)</f>
        <v>2871</v>
      </c>
      <c r="J4834" s="5">
        <f>VALUE(3603)</f>
        <v>3603</v>
      </c>
      <c r="K4834" s="6">
        <f>VALUE(4333)</f>
        <v>4333</v>
      </c>
      <c r="L4834" s="1">
        <f>VALUE(6067)</f>
        <v>6067</v>
      </c>
      <c r="M4834" s="1">
        <f>VALUE(6672)</f>
        <v>6672</v>
      </c>
      <c r="N4834" t="s">
        <v>25</v>
      </c>
    </row>
    <row r="4835" spans="1:14" x14ac:dyDescent="0.25">
      <c r="A4835" t="s">
        <v>41</v>
      </c>
      <c r="B4835" t="s">
        <v>40</v>
      </c>
      <c r="C4835" t="s">
        <v>36</v>
      </c>
      <c r="D4835" t="s">
        <v>32</v>
      </c>
      <c r="E4835" t="s">
        <v>21</v>
      </c>
      <c r="F4835" t="s">
        <v>19</v>
      </c>
      <c r="G4835" s="2">
        <f>VALUE(200.6166136037)</f>
        <v>200.61661360369999</v>
      </c>
      <c r="H4835" s="3">
        <f>VALUE(204.5854815792)</f>
        <v>204.58548157920001</v>
      </c>
      <c r="I4835" s="4">
        <f>VALUE(3250)</f>
        <v>3250</v>
      </c>
      <c r="J4835" s="1">
        <f>VALUE(3792)</f>
        <v>3792</v>
      </c>
      <c r="K4835" s="1">
        <f>VALUE(4324)</f>
        <v>4324</v>
      </c>
      <c r="L4835" s="1">
        <f>VALUE(5302)</f>
        <v>5302</v>
      </c>
      <c r="M4835" s="1">
        <f>VALUE(5952)</f>
        <v>5952</v>
      </c>
      <c r="N4835" t="s">
        <v>25</v>
      </c>
    </row>
    <row r="4836" spans="1:14" x14ac:dyDescent="0.25">
      <c r="A4836" t="s">
        <v>41</v>
      </c>
      <c r="B4836" t="s">
        <v>40</v>
      </c>
      <c r="C4836" t="s">
        <v>36</v>
      </c>
      <c r="D4836" t="s">
        <v>32</v>
      </c>
      <c r="E4836" t="s">
        <v>21</v>
      </c>
      <c r="F4836" t="s">
        <v>20</v>
      </c>
      <c r="G4836" s="2">
        <f>VALUE(479.5221930632)</f>
        <v>479.52219306320001</v>
      </c>
      <c r="H4836" s="3">
        <f>VALUE(440.9617523572)</f>
        <v>440.9617523572</v>
      </c>
      <c r="I4836" s="4">
        <f>VALUE(3181)</f>
        <v>3181</v>
      </c>
      <c r="J4836" s="1">
        <f>VALUE(3623)</f>
        <v>3623</v>
      </c>
      <c r="K4836" s="1">
        <f>VALUE(4150)</f>
        <v>4150</v>
      </c>
      <c r="L4836" s="1">
        <f>VALUE(5144)</f>
        <v>5144</v>
      </c>
      <c r="M4836" s="1">
        <f>VALUE(6066)</f>
        <v>6066</v>
      </c>
      <c r="N4836" t="s">
        <v>25</v>
      </c>
    </row>
    <row r="4837" spans="1:14" x14ac:dyDescent="0.25">
      <c r="A4837" t="s">
        <v>41</v>
      </c>
      <c r="B4837" t="s">
        <v>40</v>
      </c>
      <c r="C4837" t="s">
        <v>36</v>
      </c>
      <c r="D4837" t="s">
        <v>32</v>
      </c>
      <c r="E4837" t="s">
        <v>22</v>
      </c>
      <c r="F4837" t="s">
        <v>15</v>
      </c>
      <c r="G4837" s="2">
        <f>VALUE(1080.3163360656)</f>
        <v>1080.3163360655999</v>
      </c>
      <c r="H4837" s="3">
        <f>VALUE(982.783967195)</f>
        <v>982.78396719499995</v>
      </c>
      <c r="I4837" s="1">
        <f>VALUE(2708)</f>
        <v>2708</v>
      </c>
      <c r="J4837" s="1">
        <f>VALUE(3222)</f>
        <v>3222</v>
      </c>
      <c r="K4837" s="1">
        <f>VALUE(3939)</f>
        <v>3939</v>
      </c>
      <c r="L4837" s="1">
        <f>VALUE(4721)</f>
        <v>4721</v>
      </c>
      <c r="M4837" s="1">
        <f>VALUE(5674)</f>
        <v>5674</v>
      </c>
      <c r="N4837" t="s">
        <v>25</v>
      </c>
    </row>
    <row r="4838" spans="1:14" x14ac:dyDescent="0.25">
      <c r="A4838" t="s">
        <v>41</v>
      </c>
      <c r="B4838" t="s">
        <v>40</v>
      </c>
      <c r="C4838" t="s">
        <v>36</v>
      </c>
      <c r="D4838" t="s">
        <v>32</v>
      </c>
      <c r="E4838" t="s">
        <v>22</v>
      </c>
      <c r="F4838" t="s">
        <v>17</v>
      </c>
      <c r="G4838" s="1" t="str">
        <f t="shared" ref="G4838:M4839" si="1050">"X"</f>
        <v>X</v>
      </c>
      <c r="H4838" s="1" t="str">
        <f t="shared" si="1050"/>
        <v>X</v>
      </c>
      <c r="I4838" s="1" t="str">
        <f t="shared" si="1050"/>
        <v>X</v>
      </c>
      <c r="J4838" s="1" t="str">
        <f t="shared" si="1050"/>
        <v>X</v>
      </c>
      <c r="K4838" s="1" t="str">
        <f t="shared" si="1050"/>
        <v>X</v>
      </c>
      <c r="L4838" s="1" t="str">
        <f t="shared" si="1050"/>
        <v>X</v>
      </c>
      <c r="M4838" s="1" t="str">
        <f t="shared" si="1050"/>
        <v>X</v>
      </c>
      <c r="N4838" t="s">
        <v>27</v>
      </c>
    </row>
    <row r="4839" spans="1:14" x14ac:dyDescent="0.25">
      <c r="A4839" t="s">
        <v>41</v>
      </c>
      <c r="B4839" t="s">
        <v>40</v>
      </c>
      <c r="C4839" t="s">
        <v>36</v>
      </c>
      <c r="D4839" t="s">
        <v>32</v>
      </c>
      <c r="E4839" t="s">
        <v>22</v>
      </c>
      <c r="F4839" t="s">
        <v>18</v>
      </c>
      <c r="G4839" s="1" t="str">
        <f t="shared" si="1050"/>
        <v>X</v>
      </c>
      <c r="H4839" s="1" t="str">
        <f t="shared" si="1050"/>
        <v>X</v>
      </c>
      <c r="I4839" s="1" t="str">
        <f t="shared" si="1050"/>
        <v>X</v>
      </c>
      <c r="J4839" s="1" t="str">
        <f t="shared" si="1050"/>
        <v>X</v>
      </c>
      <c r="K4839" s="1" t="str">
        <f t="shared" si="1050"/>
        <v>X</v>
      </c>
      <c r="L4839" s="1" t="str">
        <f t="shared" si="1050"/>
        <v>X</v>
      </c>
      <c r="M4839" s="1" t="str">
        <f t="shared" si="1050"/>
        <v>X</v>
      </c>
      <c r="N4839" t="s">
        <v>27</v>
      </c>
    </row>
    <row r="4840" spans="1:14" x14ac:dyDescent="0.25">
      <c r="A4840" t="s">
        <v>41</v>
      </c>
      <c r="B4840" t="s">
        <v>40</v>
      </c>
      <c r="C4840" t="s">
        <v>36</v>
      </c>
      <c r="D4840" t="s">
        <v>32</v>
      </c>
      <c r="E4840" t="s">
        <v>22</v>
      </c>
      <c r="F4840" t="s">
        <v>19</v>
      </c>
      <c r="G4840" s="2">
        <f>VALUE(161.7918208197)</f>
        <v>161.79182081970001</v>
      </c>
      <c r="H4840" s="3">
        <f>VALUE(144.3920486063)</f>
        <v>144.39204860629999</v>
      </c>
      <c r="I4840" s="4">
        <f>VALUE(3023)</f>
        <v>3023</v>
      </c>
      <c r="J4840" s="1">
        <f>VALUE(3222)</f>
        <v>3222</v>
      </c>
      <c r="K4840" s="6">
        <f>VALUE(4036)</f>
        <v>4036</v>
      </c>
      <c r="L4840" s="1">
        <f>VALUE(4599)</f>
        <v>4599</v>
      </c>
      <c r="M4840" s="8">
        <f>VALUE(5540)</f>
        <v>5540</v>
      </c>
      <c r="N4840" t="s">
        <v>25</v>
      </c>
    </row>
    <row r="4841" spans="1:14" x14ac:dyDescent="0.25">
      <c r="A4841" t="s">
        <v>41</v>
      </c>
      <c r="B4841" t="s">
        <v>40</v>
      </c>
      <c r="C4841" t="s">
        <v>36</v>
      </c>
      <c r="D4841" t="s">
        <v>32</v>
      </c>
      <c r="E4841" t="s">
        <v>22</v>
      </c>
      <c r="F4841" t="s">
        <v>20</v>
      </c>
      <c r="G4841" s="2">
        <f>VALUE(752.7088862719)</f>
        <v>752.70888627190004</v>
      </c>
      <c r="H4841" s="3">
        <f>VALUE(681.3413393452)</f>
        <v>681.34133934520003</v>
      </c>
      <c r="I4841" s="1">
        <f>VALUE(2750)</f>
        <v>2750</v>
      </c>
      <c r="J4841" s="1">
        <f>VALUE(3238)</f>
        <v>3238</v>
      </c>
      <c r="K4841" s="1">
        <f>VALUE(3939)</f>
        <v>3939</v>
      </c>
      <c r="L4841" s="1">
        <f>VALUE(4749)</f>
        <v>4749</v>
      </c>
      <c r="M4841" s="1">
        <f>VALUE(5674)</f>
        <v>5674</v>
      </c>
      <c r="N4841" t="s">
        <v>25</v>
      </c>
    </row>
    <row r="4842" spans="1:14" x14ac:dyDescent="0.25">
      <c r="A4842" t="s">
        <v>41</v>
      </c>
      <c r="B4842" t="s">
        <v>40</v>
      </c>
      <c r="C4842" t="s">
        <v>36</v>
      </c>
      <c r="D4842" t="s">
        <v>32</v>
      </c>
      <c r="E4842" t="s">
        <v>23</v>
      </c>
      <c r="F4842" t="s">
        <v>15</v>
      </c>
      <c r="G4842" s="1">
        <f>VALUE(2353.3841046947)</f>
        <v>2353.3841046947</v>
      </c>
      <c r="H4842" s="1">
        <f>VALUE(2124.2027694297)</f>
        <v>2124.2027694296999</v>
      </c>
      <c r="I4842" s="1">
        <f>VALUE(2490)</f>
        <v>2490</v>
      </c>
      <c r="J4842" s="1">
        <f>VALUE(2777)</f>
        <v>2777</v>
      </c>
      <c r="K4842" s="1">
        <f>VALUE(3125)</f>
        <v>3125</v>
      </c>
      <c r="L4842" s="1">
        <f>VALUE(3636)</f>
        <v>3636</v>
      </c>
      <c r="M4842" s="1">
        <f>VALUE(4125)</f>
        <v>4125</v>
      </c>
      <c r="N4842" t="s">
        <v>16</v>
      </c>
    </row>
    <row r="4843" spans="1:14" x14ac:dyDescent="0.25">
      <c r="A4843" t="s">
        <v>41</v>
      </c>
      <c r="B4843" t="s">
        <v>40</v>
      </c>
      <c r="C4843" t="s">
        <v>36</v>
      </c>
      <c r="D4843" t="s">
        <v>32</v>
      </c>
      <c r="E4843" t="s">
        <v>23</v>
      </c>
      <c r="F4843" t="s">
        <v>17</v>
      </c>
      <c r="G4843" s="1" t="str">
        <f t="shared" ref="G4843:M4845" si="1051">"X"</f>
        <v>X</v>
      </c>
      <c r="H4843" s="1" t="str">
        <f t="shared" si="1051"/>
        <v>X</v>
      </c>
      <c r="I4843" s="1" t="str">
        <f t="shared" si="1051"/>
        <v>X</v>
      </c>
      <c r="J4843" s="1" t="str">
        <f t="shared" si="1051"/>
        <v>X</v>
      </c>
      <c r="K4843" s="1" t="str">
        <f t="shared" si="1051"/>
        <v>X</v>
      </c>
      <c r="L4843" s="1" t="str">
        <f t="shared" si="1051"/>
        <v>X</v>
      </c>
      <c r="M4843" s="1" t="str">
        <f t="shared" si="1051"/>
        <v>X</v>
      </c>
      <c r="N4843" t="s">
        <v>27</v>
      </c>
    </row>
    <row r="4844" spans="1:14" x14ac:dyDescent="0.25">
      <c r="A4844" t="s">
        <v>41</v>
      </c>
      <c r="B4844" t="s">
        <v>40</v>
      </c>
      <c r="C4844" t="s">
        <v>36</v>
      </c>
      <c r="D4844" t="s">
        <v>32</v>
      </c>
      <c r="E4844" t="s">
        <v>23</v>
      </c>
      <c r="F4844" t="s">
        <v>18</v>
      </c>
      <c r="G4844" s="1" t="str">
        <f t="shared" si="1051"/>
        <v>X</v>
      </c>
      <c r="H4844" s="1" t="str">
        <f t="shared" si="1051"/>
        <v>X</v>
      </c>
      <c r="I4844" s="1" t="str">
        <f t="shared" si="1051"/>
        <v>X</v>
      </c>
      <c r="J4844" s="1" t="str">
        <f t="shared" si="1051"/>
        <v>X</v>
      </c>
      <c r="K4844" s="1" t="str">
        <f t="shared" si="1051"/>
        <v>X</v>
      </c>
      <c r="L4844" s="1" t="str">
        <f t="shared" si="1051"/>
        <v>X</v>
      </c>
      <c r="M4844" s="1" t="str">
        <f t="shared" si="1051"/>
        <v>X</v>
      </c>
      <c r="N4844" t="s">
        <v>27</v>
      </c>
    </row>
    <row r="4845" spans="1:14" x14ac:dyDescent="0.25">
      <c r="A4845" t="s">
        <v>41</v>
      </c>
      <c r="B4845" t="s">
        <v>40</v>
      </c>
      <c r="C4845" t="s">
        <v>36</v>
      </c>
      <c r="D4845" t="s">
        <v>32</v>
      </c>
      <c r="E4845" t="s">
        <v>23</v>
      </c>
      <c r="F4845" t="s">
        <v>19</v>
      </c>
      <c r="G4845" s="1" t="str">
        <f t="shared" si="1051"/>
        <v>X</v>
      </c>
      <c r="H4845" s="1" t="str">
        <f t="shared" si="1051"/>
        <v>X</v>
      </c>
      <c r="I4845" s="1" t="str">
        <f t="shared" si="1051"/>
        <v>X</v>
      </c>
      <c r="J4845" s="1" t="str">
        <f t="shared" si="1051"/>
        <v>X</v>
      </c>
      <c r="K4845" s="1" t="str">
        <f t="shared" si="1051"/>
        <v>X</v>
      </c>
      <c r="L4845" s="1" t="str">
        <f t="shared" si="1051"/>
        <v>X</v>
      </c>
      <c r="M4845" s="1" t="str">
        <f t="shared" si="1051"/>
        <v>X</v>
      </c>
      <c r="N4845" t="s">
        <v>27</v>
      </c>
    </row>
    <row r="4846" spans="1:14" x14ac:dyDescent="0.25">
      <c r="A4846" t="s">
        <v>41</v>
      </c>
      <c r="B4846" t="s">
        <v>40</v>
      </c>
      <c r="C4846" t="s">
        <v>36</v>
      </c>
      <c r="D4846" t="s">
        <v>32</v>
      </c>
      <c r="E4846" t="s">
        <v>23</v>
      </c>
      <c r="F4846" t="s">
        <v>20</v>
      </c>
      <c r="G4846" s="1">
        <f>VALUE(2150.5801367104)</f>
        <v>2150.5801367104</v>
      </c>
      <c r="H4846" s="1">
        <f>VALUE(1944.5877036134)</f>
        <v>1944.5877036134</v>
      </c>
      <c r="I4846" s="1">
        <f>VALUE(2489)</f>
        <v>2489</v>
      </c>
      <c r="J4846" s="1">
        <f>VALUE(2771)</f>
        <v>2771</v>
      </c>
      <c r="K4846" s="1">
        <f>VALUE(3073)</f>
        <v>3073</v>
      </c>
      <c r="L4846" s="1">
        <f>VALUE(3585)</f>
        <v>3585</v>
      </c>
      <c r="M4846" s="1">
        <f>VALUE(4059)</f>
        <v>4059</v>
      </c>
      <c r="N4846" t="s">
        <v>16</v>
      </c>
    </row>
    <row r="4847" spans="1:14" x14ac:dyDescent="0.25">
      <c r="A4847" t="s">
        <v>41</v>
      </c>
      <c r="B4847" t="s">
        <v>40</v>
      </c>
      <c r="C4847" t="s">
        <v>36</v>
      </c>
      <c r="D4847" t="s">
        <v>32</v>
      </c>
      <c r="E4847" t="s">
        <v>26</v>
      </c>
      <c r="F4847" t="s">
        <v>15</v>
      </c>
      <c r="G4847" s="1" t="str">
        <f t="shared" ref="G4847:M4847" si="1052">"X"</f>
        <v>X</v>
      </c>
      <c r="H4847" s="1" t="str">
        <f t="shared" si="1052"/>
        <v>X</v>
      </c>
      <c r="I4847" s="1" t="str">
        <f t="shared" si="1052"/>
        <v>X</v>
      </c>
      <c r="J4847" s="1" t="str">
        <f t="shared" si="1052"/>
        <v>X</v>
      </c>
      <c r="K4847" s="1" t="str">
        <f t="shared" si="1052"/>
        <v>X</v>
      </c>
      <c r="L4847" s="1" t="str">
        <f t="shared" si="1052"/>
        <v>X</v>
      </c>
      <c r="M4847" s="1" t="str">
        <f t="shared" si="1052"/>
        <v>X</v>
      </c>
      <c r="N4847" t="s">
        <v>27</v>
      </c>
    </row>
    <row r="4848" spans="1:14" x14ac:dyDescent="0.25">
      <c r="A4848" t="s">
        <v>41</v>
      </c>
      <c r="B4848" t="s">
        <v>40</v>
      </c>
      <c r="C4848" t="s">
        <v>36</v>
      </c>
      <c r="D4848" t="s">
        <v>32</v>
      </c>
      <c r="E4848" t="s">
        <v>26</v>
      </c>
      <c r="F4848" t="s">
        <v>17</v>
      </c>
      <c r="G4848" s="1" t="str">
        <f t="shared" ref="G4848:M4850" si="1053">"..."</f>
        <v>...</v>
      </c>
      <c r="H4848" s="1" t="str">
        <f t="shared" si="1053"/>
        <v>...</v>
      </c>
      <c r="I4848" s="1" t="str">
        <f t="shared" si="1053"/>
        <v>...</v>
      </c>
      <c r="J4848" s="1" t="str">
        <f t="shared" si="1053"/>
        <v>...</v>
      </c>
      <c r="K4848" s="1" t="str">
        <f t="shared" si="1053"/>
        <v>...</v>
      </c>
      <c r="L4848" s="1" t="str">
        <f t="shared" si="1053"/>
        <v>...</v>
      </c>
      <c r="M4848" s="1" t="str">
        <f t="shared" si="1053"/>
        <v>...</v>
      </c>
      <c r="N4848" t="s">
        <v>30</v>
      </c>
    </row>
    <row r="4849" spans="1:14" x14ac:dyDescent="0.25">
      <c r="A4849" t="s">
        <v>41</v>
      </c>
      <c r="B4849" t="s">
        <v>40</v>
      </c>
      <c r="C4849" t="s">
        <v>36</v>
      </c>
      <c r="D4849" t="s">
        <v>32</v>
      </c>
      <c r="E4849" t="s">
        <v>26</v>
      </c>
      <c r="F4849" t="s">
        <v>18</v>
      </c>
      <c r="G4849" s="1" t="str">
        <f t="shared" si="1053"/>
        <v>...</v>
      </c>
      <c r="H4849" s="1" t="str">
        <f t="shared" si="1053"/>
        <v>...</v>
      </c>
      <c r="I4849" s="1" t="str">
        <f t="shared" si="1053"/>
        <v>...</v>
      </c>
      <c r="J4849" s="1" t="str">
        <f t="shared" si="1053"/>
        <v>...</v>
      </c>
      <c r="K4849" s="1" t="str">
        <f t="shared" si="1053"/>
        <v>...</v>
      </c>
      <c r="L4849" s="1" t="str">
        <f t="shared" si="1053"/>
        <v>...</v>
      </c>
      <c r="M4849" s="1" t="str">
        <f t="shared" si="1053"/>
        <v>...</v>
      </c>
      <c r="N4849" t="s">
        <v>30</v>
      </c>
    </row>
    <row r="4850" spans="1:14" x14ac:dyDescent="0.25">
      <c r="A4850" t="s">
        <v>41</v>
      </c>
      <c r="B4850" t="s">
        <v>40</v>
      </c>
      <c r="C4850" t="s">
        <v>36</v>
      </c>
      <c r="D4850" t="s">
        <v>32</v>
      </c>
      <c r="E4850" t="s">
        <v>26</v>
      </c>
      <c r="F4850" t="s">
        <v>19</v>
      </c>
      <c r="G4850" s="1" t="str">
        <f t="shared" si="1053"/>
        <v>...</v>
      </c>
      <c r="H4850" s="1" t="str">
        <f t="shared" si="1053"/>
        <v>...</v>
      </c>
      <c r="I4850" s="1" t="str">
        <f t="shared" si="1053"/>
        <v>...</v>
      </c>
      <c r="J4850" s="1" t="str">
        <f t="shared" si="1053"/>
        <v>...</v>
      </c>
      <c r="K4850" s="1" t="str">
        <f t="shared" si="1053"/>
        <v>...</v>
      </c>
      <c r="L4850" s="1" t="str">
        <f t="shared" si="1053"/>
        <v>...</v>
      </c>
      <c r="M4850" s="1" t="str">
        <f t="shared" si="1053"/>
        <v>...</v>
      </c>
      <c r="N4850" t="s">
        <v>30</v>
      </c>
    </row>
    <row r="4851" spans="1:14" x14ac:dyDescent="0.25">
      <c r="A4851" t="s">
        <v>41</v>
      </c>
      <c r="B4851" t="s">
        <v>40</v>
      </c>
      <c r="C4851" t="s">
        <v>36</v>
      </c>
      <c r="D4851" t="s">
        <v>32</v>
      </c>
      <c r="E4851" t="s">
        <v>26</v>
      </c>
      <c r="F4851" t="s">
        <v>20</v>
      </c>
      <c r="G4851" s="1" t="str">
        <f t="shared" ref="G4851:M4862" si="1054">"X"</f>
        <v>X</v>
      </c>
      <c r="H4851" s="1" t="str">
        <f t="shared" si="1054"/>
        <v>X</v>
      </c>
      <c r="I4851" s="1" t="str">
        <f t="shared" si="1054"/>
        <v>X</v>
      </c>
      <c r="J4851" s="1" t="str">
        <f t="shared" si="1054"/>
        <v>X</v>
      </c>
      <c r="K4851" s="1" t="str">
        <f t="shared" si="1054"/>
        <v>X</v>
      </c>
      <c r="L4851" s="1" t="str">
        <f t="shared" si="1054"/>
        <v>X</v>
      </c>
      <c r="M4851" s="1" t="str">
        <f t="shared" si="1054"/>
        <v>X</v>
      </c>
      <c r="N4851" t="s">
        <v>27</v>
      </c>
    </row>
    <row r="4852" spans="1:14" x14ac:dyDescent="0.25">
      <c r="A4852" t="s">
        <v>41</v>
      </c>
      <c r="B4852" t="s">
        <v>40</v>
      </c>
      <c r="C4852" t="s">
        <v>36</v>
      </c>
      <c r="D4852" t="s">
        <v>33</v>
      </c>
      <c r="E4852" t="s">
        <v>15</v>
      </c>
      <c r="F4852" t="s">
        <v>15</v>
      </c>
      <c r="G4852" s="1" t="str">
        <f t="shared" si="1054"/>
        <v>X</v>
      </c>
      <c r="H4852" s="1" t="str">
        <f t="shared" si="1054"/>
        <v>X</v>
      </c>
      <c r="I4852" s="1" t="str">
        <f t="shared" si="1054"/>
        <v>X</v>
      </c>
      <c r="J4852" s="1" t="str">
        <f t="shared" si="1054"/>
        <v>X</v>
      </c>
      <c r="K4852" s="1" t="str">
        <f t="shared" si="1054"/>
        <v>X</v>
      </c>
      <c r="L4852" s="1" t="str">
        <f t="shared" si="1054"/>
        <v>X</v>
      </c>
      <c r="M4852" s="1" t="str">
        <f t="shared" si="1054"/>
        <v>X</v>
      </c>
      <c r="N4852" t="s">
        <v>27</v>
      </c>
    </row>
    <row r="4853" spans="1:14" x14ac:dyDescent="0.25">
      <c r="A4853" t="s">
        <v>41</v>
      </c>
      <c r="B4853" t="s">
        <v>40</v>
      </c>
      <c r="C4853" t="s">
        <v>36</v>
      </c>
      <c r="D4853" t="s">
        <v>33</v>
      </c>
      <c r="E4853" t="s">
        <v>15</v>
      </c>
      <c r="F4853" t="s">
        <v>17</v>
      </c>
      <c r="G4853" s="1" t="str">
        <f t="shared" si="1054"/>
        <v>X</v>
      </c>
      <c r="H4853" s="1" t="str">
        <f t="shared" si="1054"/>
        <v>X</v>
      </c>
      <c r="I4853" s="1" t="str">
        <f t="shared" si="1054"/>
        <v>X</v>
      </c>
      <c r="J4853" s="1" t="str">
        <f t="shared" si="1054"/>
        <v>X</v>
      </c>
      <c r="K4853" s="1" t="str">
        <f t="shared" si="1054"/>
        <v>X</v>
      </c>
      <c r="L4853" s="1" t="str">
        <f t="shared" si="1054"/>
        <v>X</v>
      </c>
      <c r="M4853" s="1" t="str">
        <f t="shared" si="1054"/>
        <v>X</v>
      </c>
      <c r="N4853" t="s">
        <v>27</v>
      </c>
    </row>
    <row r="4854" spans="1:14" x14ac:dyDescent="0.25">
      <c r="A4854" t="s">
        <v>41</v>
      </c>
      <c r="B4854" t="s">
        <v>40</v>
      </c>
      <c r="C4854" t="s">
        <v>36</v>
      </c>
      <c r="D4854" t="s">
        <v>33</v>
      </c>
      <c r="E4854" t="s">
        <v>15</v>
      </c>
      <c r="F4854" t="s">
        <v>18</v>
      </c>
      <c r="G4854" s="1" t="str">
        <f t="shared" si="1054"/>
        <v>X</v>
      </c>
      <c r="H4854" s="1" t="str">
        <f t="shared" si="1054"/>
        <v>X</v>
      </c>
      <c r="I4854" s="1" t="str">
        <f t="shared" si="1054"/>
        <v>X</v>
      </c>
      <c r="J4854" s="1" t="str">
        <f t="shared" si="1054"/>
        <v>X</v>
      </c>
      <c r="K4854" s="1" t="str">
        <f t="shared" si="1054"/>
        <v>X</v>
      </c>
      <c r="L4854" s="1" t="str">
        <f t="shared" si="1054"/>
        <v>X</v>
      </c>
      <c r="M4854" s="1" t="str">
        <f t="shared" si="1054"/>
        <v>X</v>
      </c>
      <c r="N4854" t="s">
        <v>27</v>
      </c>
    </row>
    <row r="4855" spans="1:14" x14ac:dyDescent="0.25">
      <c r="A4855" t="s">
        <v>41</v>
      </c>
      <c r="B4855" t="s">
        <v>40</v>
      </c>
      <c r="C4855" t="s">
        <v>36</v>
      </c>
      <c r="D4855" t="s">
        <v>33</v>
      </c>
      <c r="E4855" t="s">
        <v>15</v>
      </c>
      <c r="F4855" t="s">
        <v>19</v>
      </c>
      <c r="G4855" s="1" t="str">
        <f t="shared" si="1054"/>
        <v>X</v>
      </c>
      <c r="H4855" s="1" t="str">
        <f t="shared" si="1054"/>
        <v>X</v>
      </c>
      <c r="I4855" s="1" t="str">
        <f t="shared" si="1054"/>
        <v>X</v>
      </c>
      <c r="J4855" s="1" t="str">
        <f t="shared" si="1054"/>
        <v>X</v>
      </c>
      <c r="K4855" s="1" t="str">
        <f t="shared" si="1054"/>
        <v>X</v>
      </c>
      <c r="L4855" s="1" t="str">
        <f t="shared" si="1054"/>
        <v>X</v>
      </c>
      <c r="M4855" s="1" t="str">
        <f t="shared" si="1054"/>
        <v>X</v>
      </c>
      <c r="N4855" t="s">
        <v>27</v>
      </c>
    </row>
    <row r="4856" spans="1:14" x14ac:dyDescent="0.25">
      <c r="A4856" t="s">
        <v>41</v>
      </c>
      <c r="B4856" t="s">
        <v>40</v>
      </c>
      <c r="C4856" t="s">
        <v>36</v>
      </c>
      <c r="D4856" t="s">
        <v>33</v>
      </c>
      <c r="E4856" t="s">
        <v>15</v>
      </c>
      <c r="F4856" t="s">
        <v>20</v>
      </c>
      <c r="G4856" s="1" t="str">
        <f t="shared" si="1054"/>
        <v>X</v>
      </c>
      <c r="H4856" s="1" t="str">
        <f t="shared" si="1054"/>
        <v>X</v>
      </c>
      <c r="I4856" s="1" t="str">
        <f t="shared" si="1054"/>
        <v>X</v>
      </c>
      <c r="J4856" s="1" t="str">
        <f t="shared" si="1054"/>
        <v>X</v>
      </c>
      <c r="K4856" s="1" t="str">
        <f t="shared" si="1054"/>
        <v>X</v>
      </c>
      <c r="L4856" s="1" t="str">
        <f t="shared" si="1054"/>
        <v>X</v>
      </c>
      <c r="M4856" s="1" t="str">
        <f t="shared" si="1054"/>
        <v>X</v>
      </c>
      <c r="N4856" t="s">
        <v>27</v>
      </c>
    </row>
    <row r="4857" spans="1:14" x14ac:dyDescent="0.25">
      <c r="A4857" t="s">
        <v>41</v>
      </c>
      <c r="B4857" t="s">
        <v>40</v>
      </c>
      <c r="C4857" t="s">
        <v>36</v>
      </c>
      <c r="D4857" t="s">
        <v>33</v>
      </c>
      <c r="E4857" t="s">
        <v>21</v>
      </c>
      <c r="F4857" t="s">
        <v>15</v>
      </c>
      <c r="G4857" s="1" t="str">
        <f t="shared" si="1054"/>
        <v>X</v>
      </c>
      <c r="H4857" s="1" t="str">
        <f t="shared" si="1054"/>
        <v>X</v>
      </c>
      <c r="I4857" s="1" t="str">
        <f t="shared" si="1054"/>
        <v>X</v>
      </c>
      <c r="J4857" s="1" t="str">
        <f t="shared" si="1054"/>
        <v>X</v>
      </c>
      <c r="K4857" s="1" t="str">
        <f t="shared" si="1054"/>
        <v>X</v>
      </c>
      <c r="L4857" s="1" t="str">
        <f t="shared" si="1054"/>
        <v>X</v>
      </c>
      <c r="M4857" s="1" t="str">
        <f t="shared" si="1054"/>
        <v>X</v>
      </c>
      <c r="N4857" t="s">
        <v>27</v>
      </c>
    </row>
    <row r="4858" spans="1:14" x14ac:dyDescent="0.25">
      <c r="A4858" t="s">
        <v>41</v>
      </c>
      <c r="B4858" t="s">
        <v>40</v>
      </c>
      <c r="C4858" t="s">
        <v>36</v>
      </c>
      <c r="D4858" t="s">
        <v>33</v>
      </c>
      <c r="E4858" t="s">
        <v>21</v>
      </c>
      <c r="F4858" t="s">
        <v>17</v>
      </c>
      <c r="G4858" s="1" t="str">
        <f t="shared" si="1054"/>
        <v>X</v>
      </c>
      <c r="H4858" s="1" t="str">
        <f t="shared" si="1054"/>
        <v>X</v>
      </c>
      <c r="I4858" s="1" t="str">
        <f t="shared" si="1054"/>
        <v>X</v>
      </c>
      <c r="J4858" s="1" t="str">
        <f t="shared" si="1054"/>
        <v>X</v>
      </c>
      <c r="K4858" s="1" t="str">
        <f t="shared" si="1054"/>
        <v>X</v>
      </c>
      <c r="L4858" s="1" t="str">
        <f t="shared" si="1054"/>
        <v>X</v>
      </c>
      <c r="M4858" s="1" t="str">
        <f t="shared" si="1054"/>
        <v>X</v>
      </c>
      <c r="N4858" t="s">
        <v>27</v>
      </c>
    </row>
    <row r="4859" spans="1:14" x14ac:dyDescent="0.25">
      <c r="A4859" t="s">
        <v>41</v>
      </c>
      <c r="B4859" t="s">
        <v>40</v>
      </c>
      <c r="C4859" t="s">
        <v>36</v>
      </c>
      <c r="D4859" t="s">
        <v>33</v>
      </c>
      <c r="E4859" t="s">
        <v>21</v>
      </c>
      <c r="F4859" t="s">
        <v>18</v>
      </c>
      <c r="G4859" s="1" t="str">
        <f t="shared" si="1054"/>
        <v>X</v>
      </c>
      <c r="H4859" s="1" t="str">
        <f t="shared" si="1054"/>
        <v>X</v>
      </c>
      <c r="I4859" s="1" t="str">
        <f t="shared" si="1054"/>
        <v>X</v>
      </c>
      <c r="J4859" s="1" t="str">
        <f t="shared" si="1054"/>
        <v>X</v>
      </c>
      <c r="K4859" s="1" t="str">
        <f t="shared" si="1054"/>
        <v>X</v>
      </c>
      <c r="L4859" s="1" t="str">
        <f t="shared" si="1054"/>
        <v>X</v>
      </c>
      <c r="M4859" s="1" t="str">
        <f t="shared" si="1054"/>
        <v>X</v>
      </c>
      <c r="N4859" t="s">
        <v>27</v>
      </c>
    </row>
    <row r="4860" spans="1:14" x14ac:dyDescent="0.25">
      <c r="A4860" t="s">
        <v>41</v>
      </c>
      <c r="B4860" t="s">
        <v>40</v>
      </c>
      <c r="C4860" t="s">
        <v>36</v>
      </c>
      <c r="D4860" t="s">
        <v>33</v>
      </c>
      <c r="E4860" t="s">
        <v>21</v>
      </c>
      <c r="F4860" t="s">
        <v>19</v>
      </c>
      <c r="G4860" s="1" t="str">
        <f t="shared" si="1054"/>
        <v>X</v>
      </c>
      <c r="H4860" s="1" t="str">
        <f t="shared" si="1054"/>
        <v>X</v>
      </c>
      <c r="I4860" s="1" t="str">
        <f t="shared" si="1054"/>
        <v>X</v>
      </c>
      <c r="J4860" s="1" t="str">
        <f t="shared" si="1054"/>
        <v>X</v>
      </c>
      <c r="K4860" s="1" t="str">
        <f t="shared" si="1054"/>
        <v>X</v>
      </c>
      <c r="L4860" s="1" t="str">
        <f t="shared" si="1054"/>
        <v>X</v>
      </c>
      <c r="M4860" s="1" t="str">
        <f t="shared" si="1054"/>
        <v>X</v>
      </c>
      <c r="N4860" t="s">
        <v>27</v>
      </c>
    </row>
    <row r="4861" spans="1:14" x14ac:dyDescent="0.25">
      <c r="A4861" t="s">
        <v>41</v>
      </c>
      <c r="B4861" t="s">
        <v>40</v>
      </c>
      <c r="C4861" t="s">
        <v>36</v>
      </c>
      <c r="D4861" t="s">
        <v>33</v>
      </c>
      <c r="E4861" t="s">
        <v>21</v>
      </c>
      <c r="F4861" t="s">
        <v>20</v>
      </c>
      <c r="G4861" s="1" t="str">
        <f t="shared" si="1054"/>
        <v>X</v>
      </c>
      <c r="H4861" s="1" t="str">
        <f t="shared" si="1054"/>
        <v>X</v>
      </c>
      <c r="I4861" s="1" t="str">
        <f t="shared" si="1054"/>
        <v>X</v>
      </c>
      <c r="J4861" s="1" t="str">
        <f t="shared" si="1054"/>
        <v>X</v>
      </c>
      <c r="K4861" s="1" t="str">
        <f t="shared" si="1054"/>
        <v>X</v>
      </c>
      <c r="L4861" s="1" t="str">
        <f t="shared" si="1054"/>
        <v>X</v>
      </c>
      <c r="M4861" s="1" t="str">
        <f t="shared" si="1054"/>
        <v>X</v>
      </c>
      <c r="N4861" t="s">
        <v>27</v>
      </c>
    </row>
    <row r="4862" spans="1:14" x14ac:dyDescent="0.25">
      <c r="A4862" t="s">
        <v>41</v>
      </c>
      <c r="B4862" t="s">
        <v>40</v>
      </c>
      <c r="C4862" t="s">
        <v>36</v>
      </c>
      <c r="D4862" t="s">
        <v>33</v>
      </c>
      <c r="E4862" t="s">
        <v>22</v>
      </c>
      <c r="F4862" t="s">
        <v>15</v>
      </c>
      <c r="G4862" s="1" t="str">
        <f t="shared" si="1054"/>
        <v>X</v>
      </c>
      <c r="H4862" s="1" t="str">
        <f t="shared" si="1054"/>
        <v>X</v>
      </c>
      <c r="I4862" s="1" t="str">
        <f t="shared" si="1054"/>
        <v>X</v>
      </c>
      <c r="J4862" s="1" t="str">
        <f t="shared" si="1054"/>
        <v>X</v>
      </c>
      <c r="K4862" s="1" t="str">
        <f t="shared" si="1054"/>
        <v>X</v>
      </c>
      <c r="L4862" s="1" t="str">
        <f t="shared" si="1054"/>
        <v>X</v>
      </c>
      <c r="M4862" s="1" t="str">
        <f t="shared" si="1054"/>
        <v>X</v>
      </c>
      <c r="N4862" t="s">
        <v>27</v>
      </c>
    </row>
    <row r="4863" spans="1:14" x14ac:dyDescent="0.25">
      <c r="A4863" t="s">
        <v>41</v>
      </c>
      <c r="B4863" t="s">
        <v>40</v>
      </c>
      <c r="C4863" t="s">
        <v>36</v>
      </c>
      <c r="D4863" t="s">
        <v>33</v>
      </c>
      <c r="E4863" t="s">
        <v>22</v>
      </c>
      <c r="F4863" t="s">
        <v>17</v>
      </c>
      <c r="G4863" s="1" t="str">
        <f t="shared" ref="G4863:M4863" si="1055">"..."</f>
        <v>...</v>
      </c>
      <c r="H4863" s="1" t="str">
        <f t="shared" si="1055"/>
        <v>...</v>
      </c>
      <c r="I4863" s="1" t="str">
        <f t="shared" si="1055"/>
        <v>...</v>
      </c>
      <c r="J4863" s="1" t="str">
        <f t="shared" si="1055"/>
        <v>...</v>
      </c>
      <c r="K4863" s="1" t="str">
        <f t="shared" si="1055"/>
        <v>...</v>
      </c>
      <c r="L4863" s="1" t="str">
        <f t="shared" si="1055"/>
        <v>...</v>
      </c>
      <c r="M4863" s="1" t="str">
        <f t="shared" si="1055"/>
        <v>...</v>
      </c>
      <c r="N4863" t="s">
        <v>30</v>
      </c>
    </row>
    <row r="4864" spans="1:14" x14ac:dyDescent="0.25">
      <c r="A4864" t="s">
        <v>41</v>
      </c>
      <c r="B4864" t="s">
        <v>40</v>
      </c>
      <c r="C4864" t="s">
        <v>36</v>
      </c>
      <c r="D4864" t="s">
        <v>33</v>
      </c>
      <c r="E4864" t="s">
        <v>22</v>
      </c>
      <c r="F4864" t="s">
        <v>18</v>
      </c>
      <c r="G4864" s="1" t="str">
        <f t="shared" ref="G4864:M4867" si="1056">"X"</f>
        <v>X</v>
      </c>
      <c r="H4864" s="1" t="str">
        <f t="shared" si="1056"/>
        <v>X</v>
      </c>
      <c r="I4864" s="1" t="str">
        <f t="shared" si="1056"/>
        <v>X</v>
      </c>
      <c r="J4864" s="1" t="str">
        <f t="shared" si="1056"/>
        <v>X</v>
      </c>
      <c r="K4864" s="1" t="str">
        <f t="shared" si="1056"/>
        <v>X</v>
      </c>
      <c r="L4864" s="1" t="str">
        <f t="shared" si="1056"/>
        <v>X</v>
      </c>
      <c r="M4864" s="1" t="str">
        <f t="shared" si="1056"/>
        <v>X</v>
      </c>
      <c r="N4864" t="s">
        <v>27</v>
      </c>
    </row>
    <row r="4865" spans="1:14" x14ac:dyDescent="0.25">
      <c r="A4865" t="s">
        <v>41</v>
      </c>
      <c r="B4865" t="s">
        <v>40</v>
      </c>
      <c r="C4865" t="s">
        <v>36</v>
      </c>
      <c r="D4865" t="s">
        <v>33</v>
      </c>
      <c r="E4865" t="s">
        <v>22</v>
      </c>
      <c r="F4865" t="s">
        <v>19</v>
      </c>
      <c r="G4865" s="1" t="str">
        <f t="shared" si="1056"/>
        <v>X</v>
      </c>
      <c r="H4865" s="1" t="str">
        <f t="shared" si="1056"/>
        <v>X</v>
      </c>
      <c r="I4865" s="1" t="str">
        <f t="shared" si="1056"/>
        <v>X</v>
      </c>
      <c r="J4865" s="1" t="str">
        <f t="shared" si="1056"/>
        <v>X</v>
      </c>
      <c r="K4865" s="1" t="str">
        <f t="shared" si="1056"/>
        <v>X</v>
      </c>
      <c r="L4865" s="1" t="str">
        <f t="shared" si="1056"/>
        <v>X</v>
      </c>
      <c r="M4865" s="1" t="str">
        <f t="shared" si="1056"/>
        <v>X</v>
      </c>
      <c r="N4865" t="s">
        <v>27</v>
      </c>
    </row>
    <row r="4866" spans="1:14" x14ac:dyDescent="0.25">
      <c r="A4866" t="s">
        <v>41</v>
      </c>
      <c r="B4866" t="s">
        <v>40</v>
      </c>
      <c r="C4866" t="s">
        <v>36</v>
      </c>
      <c r="D4866" t="s">
        <v>33</v>
      </c>
      <c r="E4866" t="s">
        <v>22</v>
      </c>
      <c r="F4866" t="s">
        <v>20</v>
      </c>
      <c r="G4866" s="1" t="str">
        <f t="shared" si="1056"/>
        <v>X</v>
      </c>
      <c r="H4866" s="1" t="str">
        <f t="shared" si="1056"/>
        <v>X</v>
      </c>
      <c r="I4866" s="1" t="str">
        <f t="shared" si="1056"/>
        <v>X</v>
      </c>
      <c r="J4866" s="1" t="str">
        <f t="shared" si="1056"/>
        <v>X</v>
      </c>
      <c r="K4866" s="1" t="str">
        <f t="shared" si="1056"/>
        <v>X</v>
      </c>
      <c r="L4866" s="1" t="str">
        <f t="shared" si="1056"/>
        <v>X</v>
      </c>
      <c r="M4866" s="1" t="str">
        <f t="shared" si="1056"/>
        <v>X</v>
      </c>
      <c r="N4866" t="s">
        <v>27</v>
      </c>
    </row>
    <row r="4867" spans="1:14" x14ac:dyDescent="0.25">
      <c r="A4867" t="s">
        <v>41</v>
      </c>
      <c r="B4867" t="s">
        <v>40</v>
      </c>
      <c r="C4867" t="s">
        <v>36</v>
      </c>
      <c r="D4867" t="s">
        <v>33</v>
      </c>
      <c r="E4867" t="s">
        <v>23</v>
      </c>
      <c r="F4867" t="s">
        <v>15</v>
      </c>
      <c r="G4867" s="1" t="str">
        <f t="shared" si="1056"/>
        <v>X</v>
      </c>
      <c r="H4867" s="1" t="str">
        <f t="shared" si="1056"/>
        <v>X</v>
      </c>
      <c r="I4867" s="1" t="str">
        <f t="shared" si="1056"/>
        <v>X</v>
      </c>
      <c r="J4867" s="1" t="str">
        <f t="shared" si="1056"/>
        <v>X</v>
      </c>
      <c r="K4867" s="1" t="str">
        <f t="shared" si="1056"/>
        <v>X</v>
      </c>
      <c r="L4867" s="1" t="str">
        <f t="shared" si="1056"/>
        <v>X</v>
      </c>
      <c r="M4867" s="1" t="str">
        <f t="shared" si="1056"/>
        <v>X</v>
      </c>
      <c r="N4867" t="s">
        <v>27</v>
      </c>
    </row>
    <row r="4868" spans="1:14" x14ac:dyDescent="0.25">
      <c r="A4868" t="s">
        <v>41</v>
      </c>
      <c r="B4868" t="s">
        <v>40</v>
      </c>
      <c r="C4868" t="s">
        <v>36</v>
      </c>
      <c r="D4868" t="s">
        <v>33</v>
      </c>
      <c r="E4868" t="s">
        <v>23</v>
      </c>
      <c r="F4868" t="s">
        <v>17</v>
      </c>
      <c r="G4868" s="1" t="str">
        <f t="shared" ref="G4868:M4869" si="1057">"..."</f>
        <v>...</v>
      </c>
      <c r="H4868" s="1" t="str">
        <f t="shared" si="1057"/>
        <v>...</v>
      </c>
      <c r="I4868" s="1" t="str">
        <f t="shared" si="1057"/>
        <v>...</v>
      </c>
      <c r="J4868" s="1" t="str">
        <f t="shared" si="1057"/>
        <v>...</v>
      </c>
      <c r="K4868" s="1" t="str">
        <f t="shared" si="1057"/>
        <v>...</v>
      </c>
      <c r="L4868" s="1" t="str">
        <f t="shared" si="1057"/>
        <v>...</v>
      </c>
      <c r="M4868" s="1" t="str">
        <f t="shared" si="1057"/>
        <v>...</v>
      </c>
      <c r="N4868" t="s">
        <v>30</v>
      </c>
    </row>
    <row r="4869" spans="1:14" x14ac:dyDescent="0.25">
      <c r="A4869" t="s">
        <v>41</v>
      </c>
      <c r="B4869" t="s">
        <v>40</v>
      </c>
      <c r="C4869" t="s">
        <v>36</v>
      </c>
      <c r="D4869" t="s">
        <v>33</v>
      </c>
      <c r="E4869" t="s">
        <v>23</v>
      </c>
      <c r="F4869" t="s">
        <v>18</v>
      </c>
      <c r="G4869" s="1" t="str">
        <f t="shared" si="1057"/>
        <v>...</v>
      </c>
      <c r="H4869" s="1" t="str">
        <f t="shared" si="1057"/>
        <v>...</v>
      </c>
      <c r="I4869" s="1" t="str">
        <f t="shared" si="1057"/>
        <v>...</v>
      </c>
      <c r="J4869" s="1" t="str">
        <f t="shared" si="1057"/>
        <v>...</v>
      </c>
      <c r="K4869" s="1" t="str">
        <f t="shared" si="1057"/>
        <v>...</v>
      </c>
      <c r="L4869" s="1" t="str">
        <f t="shared" si="1057"/>
        <v>...</v>
      </c>
      <c r="M4869" s="1" t="str">
        <f t="shared" si="1057"/>
        <v>...</v>
      </c>
      <c r="N4869" t="s">
        <v>30</v>
      </c>
    </row>
    <row r="4870" spans="1:14" x14ac:dyDescent="0.25">
      <c r="A4870" t="s">
        <v>41</v>
      </c>
      <c r="B4870" t="s">
        <v>40</v>
      </c>
      <c r="C4870" t="s">
        <v>36</v>
      </c>
      <c r="D4870" t="s">
        <v>33</v>
      </c>
      <c r="E4870" t="s">
        <v>23</v>
      </c>
      <c r="F4870" t="s">
        <v>19</v>
      </c>
      <c r="G4870" s="1" t="str">
        <f t="shared" ref="G4870:M4871" si="1058">"X"</f>
        <v>X</v>
      </c>
      <c r="H4870" s="1" t="str">
        <f t="shared" si="1058"/>
        <v>X</v>
      </c>
      <c r="I4870" s="1" t="str">
        <f t="shared" si="1058"/>
        <v>X</v>
      </c>
      <c r="J4870" s="1" t="str">
        <f t="shared" si="1058"/>
        <v>X</v>
      </c>
      <c r="K4870" s="1" t="str">
        <f t="shared" si="1058"/>
        <v>X</v>
      </c>
      <c r="L4870" s="1" t="str">
        <f t="shared" si="1058"/>
        <v>X</v>
      </c>
      <c r="M4870" s="1" t="str">
        <f t="shared" si="1058"/>
        <v>X</v>
      </c>
      <c r="N4870" t="s">
        <v>27</v>
      </c>
    </row>
    <row r="4871" spans="1:14" x14ac:dyDescent="0.25">
      <c r="A4871" t="s">
        <v>41</v>
      </c>
      <c r="B4871" t="s">
        <v>40</v>
      </c>
      <c r="C4871" t="s">
        <v>36</v>
      </c>
      <c r="D4871" t="s">
        <v>33</v>
      </c>
      <c r="E4871" t="s">
        <v>23</v>
      </c>
      <c r="F4871" t="s">
        <v>20</v>
      </c>
      <c r="G4871" s="1" t="str">
        <f t="shared" si="1058"/>
        <v>X</v>
      </c>
      <c r="H4871" s="1" t="str">
        <f t="shared" si="1058"/>
        <v>X</v>
      </c>
      <c r="I4871" s="1" t="str">
        <f t="shared" si="1058"/>
        <v>X</v>
      </c>
      <c r="J4871" s="1" t="str">
        <f t="shared" si="1058"/>
        <v>X</v>
      </c>
      <c r="K4871" s="1" t="str">
        <f t="shared" si="1058"/>
        <v>X</v>
      </c>
      <c r="L4871" s="1" t="str">
        <f t="shared" si="1058"/>
        <v>X</v>
      </c>
      <c r="M4871" s="1" t="str">
        <f t="shared" si="1058"/>
        <v>X</v>
      </c>
      <c r="N4871" t="s">
        <v>27</v>
      </c>
    </row>
    <row r="4872" spans="1:14" x14ac:dyDescent="0.25">
      <c r="A4872" t="s">
        <v>41</v>
      </c>
      <c r="B4872" t="s">
        <v>40</v>
      </c>
      <c r="C4872" t="s">
        <v>36</v>
      </c>
      <c r="D4872" t="s">
        <v>33</v>
      </c>
      <c r="E4872" t="s">
        <v>26</v>
      </c>
      <c r="F4872" t="s">
        <v>15</v>
      </c>
      <c r="G4872" s="1" t="str">
        <f t="shared" ref="G4872:M4876" si="1059">"..."</f>
        <v>...</v>
      </c>
      <c r="H4872" s="1" t="str">
        <f t="shared" si="1059"/>
        <v>...</v>
      </c>
      <c r="I4872" s="1" t="str">
        <f t="shared" si="1059"/>
        <v>...</v>
      </c>
      <c r="J4872" s="1" t="str">
        <f t="shared" si="1059"/>
        <v>...</v>
      </c>
      <c r="K4872" s="1" t="str">
        <f t="shared" si="1059"/>
        <v>...</v>
      </c>
      <c r="L4872" s="1" t="str">
        <f t="shared" si="1059"/>
        <v>...</v>
      </c>
      <c r="M4872" s="1" t="str">
        <f t="shared" si="1059"/>
        <v>...</v>
      </c>
      <c r="N4872" t="s">
        <v>30</v>
      </c>
    </row>
    <row r="4873" spans="1:14" x14ac:dyDescent="0.25">
      <c r="A4873" t="s">
        <v>41</v>
      </c>
      <c r="B4873" t="s">
        <v>40</v>
      </c>
      <c r="C4873" t="s">
        <v>36</v>
      </c>
      <c r="D4873" t="s">
        <v>33</v>
      </c>
      <c r="E4873" t="s">
        <v>26</v>
      </c>
      <c r="F4873" t="s">
        <v>17</v>
      </c>
      <c r="G4873" s="1" t="str">
        <f t="shared" si="1059"/>
        <v>...</v>
      </c>
      <c r="H4873" s="1" t="str">
        <f t="shared" si="1059"/>
        <v>...</v>
      </c>
      <c r="I4873" s="1" t="str">
        <f t="shared" si="1059"/>
        <v>...</v>
      </c>
      <c r="J4873" s="1" t="str">
        <f t="shared" si="1059"/>
        <v>...</v>
      </c>
      <c r="K4873" s="1" t="str">
        <f t="shared" si="1059"/>
        <v>...</v>
      </c>
      <c r="L4873" s="1" t="str">
        <f t="shared" si="1059"/>
        <v>...</v>
      </c>
      <c r="M4873" s="1" t="str">
        <f t="shared" si="1059"/>
        <v>...</v>
      </c>
      <c r="N4873" t="s">
        <v>30</v>
      </c>
    </row>
    <row r="4874" spans="1:14" x14ac:dyDescent="0.25">
      <c r="A4874" t="s">
        <v>41</v>
      </c>
      <c r="B4874" t="s">
        <v>40</v>
      </c>
      <c r="C4874" t="s">
        <v>36</v>
      </c>
      <c r="D4874" t="s">
        <v>33</v>
      </c>
      <c r="E4874" t="s">
        <v>26</v>
      </c>
      <c r="F4874" t="s">
        <v>18</v>
      </c>
      <c r="G4874" s="1" t="str">
        <f t="shared" si="1059"/>
        <v>...</v>
      </c>
      <c r="H4874" s="1" t="str">
        <f t="shared" si="1059"/>
        <v>...</v>
      </c>
      <c r="I4874" s="1" t="str">
        <f t="shared" si="1059"/>
        <v>...</v>
      </c>
      <c r="J4874" s="1" t="str">
        <f t="shared" si="1059"/>
        <v>...</v>
      </c>
      <c r="K4874" s="1" t="str">
        <f t="shared" si="1059"/>
        <v>...</v>
      </c>
      <c r="L4874" s="1" t="str">
        <f t="shared" si="1059"/>
        <v>...</v>
      </c>
      <c r="M4874" s="1" t="str">
        <f t="shared" si="1059"/>
        <v>...</v>
      </c>
      <c r="N4874" t="s">
        <v>30</v>
      </c>
    </row>
    <row r="4875" spans="1:14" x14ac:dyDescent="0.25">
      <c r="A4875" t="s">
        <v>41</v>
      </c>
      <c r="B4875" t="s">
        <v>40</v>
      </c>
      <c r="C4875" t="s">
        <v>36</v>
      </c>
      <c r="D4875" t="s">
        <v>33</v>
      </c>
      <c r="E4875" t="s">
        <v>26</v>
      </c>
      <c r="F4875" t="s">
        <v>19</v>
      </c>
      <c r="G4875" s="1" t="str">
        <f t="shared" si="1059"/>
        <v>...</v>
      </c>
      <c r="H4875" s="1" t="str">
        <f t="shared" si="1059"/>
        <v>...</v>
      </c>
      <c r="I4875" s="1" t="str">
        <f t="shared" si="1059"/>
        <v>...</v>
      </c>
      <c r="J4875" s="1" t="str">
        <f t="shared" si="1059"/>
        <v>...</v>
      </c>
      <c r="K4875" s="1" t="str">
        <f t="shared" si="1059"/>
        <v>...</v>
      </c>
      <c r="L4875" s="1" t="str">
        <f t="shared" si="1059"/>
        <v>...</v>
      </c>
      <c r="M4875" s="1" t="str">
        <f t="shared" si="1059"/>
        <v>...</v>
      </c>
      <c r="N4875" t="s">
        <v>30</v>
      </c>
    </row>
    <row r="4876" spans="1:14" x14ac:dyDescent="0.25">
      <c r="A4876" t="s">
        <v>41</v>
      </c>
      <c r="B4876" t="s">
        <v>40</v>
      </c>
      <c r="C4876" t="s">
        <v>36</v>
      </c>
      <c r="D4876" t="s">
        <v>33</v>
      </c>
      <c r="E4876" t="s">
        <v>26</v>
      </c>
      <c r="F4876" t="s">
        <v>20</v>
      </c>
      <c r="G4876" s="1" t="str">
        <f t="shared" si="1059"/>
        <v>...</v>
      </c>
      <c r="H4876" s="1" t="str">
        <f t="shared" si="1059"/>
        <v>...</v>
      </c>
      <c r="I4876" s="1" t="str">
        <f t="shared" si="1059"/>
        <v>...</v>
      </c>
      <c r="J4876" s="1" t="str">
        <f t="shared" si="1059"/>
        <v>...</v>
      </c>
      <c r="K4876" s="1" t="str">
        <f t="shared" si="1059"/>
        <v>...</v>
      </c>
      <c r="L4876" s="1" t="str">
        <f t="shared" si="1059"/>
        <v>...</v>
      </c>
      <c r="M4876" s="1" t="str">
        <f t="shared" si="1059"/>
        <v>...</v>
      </c>
      <c r="N4876" t="s">
        <v>30</v>
      </c>
    </row>
    <row r="4877" spans="1:14" x14ac:dyDescent="0.25">
      <c r="A4877" t="s">
        <v>41</v>
      </c>
      <c r="B4877" t="s">
        <v>40</v>
      </c>
      <c r="C4877" t="s">
        <v>36</v>
      </c>
      <c r="D4877" t="s">
        <v>34</v>
      </c>
      <c r="E4877" t="s">
        <v>15</v>
      </c>
      <c r="F4877" t="s">
        <v>15</v>
      </c>
      <c r="G4877" s="2">
        <f>VALUE(170.927696711)</f>
        <v>170.92769671100001</v>
      </c>
      <c r="H4877" s="3">
        <f>VALUE(142.503033911)</f>
        <v>142.50303391099999</v>
      </c>
      <c r="I4877" s="1">
        <f>VALUE(3141)</f>
        <v>3141</v>
      </c>
      <c r="J4877" s="5">
        <f>VALUE(3412)</f>
        <v>3412</v>
      </c>
      <c r="K4877" s="6">
        <f>VALUE(4489)</f>
        <v>4489</v>
      </c>
      <c r="L4877" s="7">
        <f>VALUE(5674)</f>
        <v>5674</v>
      </c>
      <c r="M4877" s="1">
        <f>VALUE(6619)</f>
        <v>6619</v>
      </c>
      <c r="N4877" t="s">
        <v>25</v>
      </c>
    </row>
    <row r="4878" spans="1:14" x14ac:dyDescent="0.25">
      <c r="A4878" t="s">
        <v>41</v>
      </c>
      <c r="B4878" t="s">
        <v>40</v>
      </c>
      <c r="C4878" t="s">
        <v>36</v>
      </c>
      <c r="D4878" t="s">
        <v>34</v>
      </c>
      <c r="E4878" t="s">
        <v>15</v>
      </c>
      <c r="F4878" t="s">
        <v>17</v>
      </c>
      <c r="G4878" s="1" t="str">
        <f t="shared" ref="G4878:M4880" si="1060">"X"</f>
        <v>X</v>
      </c>
      <c r="H4878" s="1" t="str">
        <f t="shared" si="1060"/>
        <v>X</v>
      </c>
      <c r="I4878" s="1" t="str">
        <f t="shared" si="1060"/>
        <v>X</v>
      </c>
      <c r="J4878" s="1" t="str">
        <f t="shared" si="1060"/>
        <v>X</v>
      </c>
      <c r="K4878" s="1" t="str">
        <f t="shared" si="1060"/>
        <v>X</v>
      </c>
      <c r="L4878" s="1" t="str">
        <f t="shared" si="1060"/>
        <v>X</v>
      </c>
      <c r="M4878" s="1" t="str">
        <f t="shared" si="1060"/>
        <v>X</v>
      </c>
      <c r="N4878" t="s">
        <v>27</v>
      </c>
    </row>
    <row r="4879" spans="1:14" x14ac:dyDescent="0.25">
      <c r="A4879" t="s">
        <v>41</v>
      </c>
      <c r="B4879" t="s">
        <v>40</v>
      </c>
      <c r="C4879" t="s">
        <v>36</v>
      </c>
      <c r="D4879" t="s">
        <v>34</v>
      </c>
      <c r="E4879" t="s">
        <v>15</v>
      </c>
      <c r="F4879" t="s">
        <v>18</v>
      </c>
      <c r="G4879" s="1" t="str">
        <f t="shared" si="1060"/>
        <v>X</v>
      </c>
      <c r="H4879" s="1" t="str">
        <f t="shared" si="1060"/>
        <v>X</v>
      </c>
      <c r="I4879" s="1" t="str">
        <f t="shared" si="1060"/>
        <v>X</v>
      </c>
      <c r="J4879" s="1" t="str">
        <f t="shared" si="1060"/>
        <v>X</v>
      </c>
      <c r="K4879" s="1" t="str">
        <f t="shared" si="1060"/>
        <v>X</v>
      </c>
      <c r="L4879" s="1" t="str">
        <f t="shared" si="1060"/>
        <v>X</v>
      </c>
      <c r="M4879" s="1" t="str">
        <f t="shared" si="1060"/>
        <v>X</v>
      </c>
      <c r="N4879" t="s">
        <v>27</v>
      </c>
    </row>
    <row r="4880" spans="1:14" x14ac:dyDescent="0.25">
      <c r="A4880" t="s">
        <v>41</v>
      </c>
      <c r="B4880" t="s">
        <v>40</v>
      </c>
      <c r="C4880" t="s">
        <v>36</v>
      </c>
      <c r="D4880" t="s">
        <v>34</v>
      </c>
      <c r="E4880" t="s">
        <v>15</v>
      </c>
      <c r="F4880" t="s">
        <v>19</v>
      </c>
      <c r="G4880" s="1" t="str">
        <f t="shared" si="1060"/>
        <v>X</v>
      </c>
      <c r="H4880" s="1" t="str">
        <f t="shared" si="1060"/>
        <v>X</v>
      </c>
      <c r="I4880" s="1" t="str">
        <f t="shared" si="1060"/>
        <v>X</v>
      </c>
      <c r="J4880" s="1" t="str">
        <f t="shared" si="1060"/>
        <v>X</v>
      </c>
      <c r="K4880" s="1" t="str">
        <f t="shared" si="1060"/>
        <v>X</v>
      </c>
      <c r="L4880" s="1" t="str">
        <f t="shared" si="1060"/>
        <v>X</v>
      </c>
      <c r="M4880" s="1" t="str">
        <f t="shared" si="1060"/>
        <v>X</v>
      </c>
      <c r="N4880" t="s">
        <v>27</v>
      </c>
    </row>
    <row r="4881" spans="1:14" x14ac:dyDescent="0.25">
      <c r="A4881" t="s">
        <v>41</v>
      </c>
      <c r="B4881" t="s">
        <v>40</v>
      </c>
      <c r="C4881" t="s">
        <v>36</v>
      </c>
      <c r="D4881" t="s">
        <v>34</v>
      </c>
      <c r="E4881" t="s">
        <v>15</v>
      </c>
      <c r="F4881" t="s">
        <v>20</v>
      </c>
      <c r="G4881" s="2">
        <f>VALUE(151.4308115834)</f>
        <v>151.43081158339999</v>
      </c>
      <c r="H4881" s="3">
        <f>VALUE(126.9707289955)</f>
        <v>126.9707289955</v>
      </c>
      <c r="I4881" s="1">
        <f>VALUE(3119)</f>
        <v>3119</v>
      </c>
      <c r="J4881" s="1">
        <f>VALUE(3373)</f>
        <v>3373</v>
      </c>
      <c r="K4881" s="6">
        <f>VALUE(4199)</f>
        <v>4199</v>
      </c>
      <c r="L4881" s="7">
        <f>VALUE(5238)</f>
        <v>5238</v>
      </c>
      <c r="M4881" s="8">
        <f>VALUE(6326)</f>
        <v>6326</v>
      </c>
      <c r="N4881" t="s">
        <v>25</v>
      </c>
    </row>
    <row r="4882" spans="1:14" x14ac:dyDescent="0.25">
      <c r="A4882" t="s">
        <v>41</v>
      </c>
      <c r="B4882" t="s">
        <v>40</v>
      </c>
      <c r="C4882" t="s">
        <v>36</v>
      </c>
      <c r="D4882" t="s">
        <v>34</v>
      </c>
      <c r="E4882" t="s">
        <v>21</v>
      </c>
      <c r="F4882" t="s">
        <v>15</v>
      </c>
      <c r="G4882" s="1" t="str">
        <f t="shared" ref="G4882:M4893" si="1061">"X"</f>
        <v>X</v>
      </c>
      <c r="H4882" s="1" t="str">
        <f t="shared" si="1061"/>
        <v>X</v>
      </c>
      <c r="I4882" s="1" t="str">
        <f t="shared" si="1061"/>
        <v>X</v>
      </c>
      <c r="J4882" s="1" t="str">
        <f t="shared" si="1061"/>
        <v>X</v>
      </c>
      <c r="K4882" s="1" t="str">
        <f t="shared" si="1061"/>
        <v>X</v>
      </c>
      <c r="L4882" s="1" t="str">
        <f t="shared" si="1061"/>
        <v>X</v>
      </c>
      <c r="M4882" s="1" t="str">
        <f t="shared" si="1061"/>
        <v>X</v>
      </c>
      <c r="N4882" t="s">
        <v>27</v>
      </c>
    </row>
    <row r="4883" spans="1:14" x14ac:dyDescent="0.25">
      <c r="A4883" t="s">
        <v>41</v>
      </c>
      <c r="B4883" t="s">
        <v>40</v>
      </c>
      <c r="C4883" t="s">
        <v>36</v>
      </c>
      <c r="D4883" t="s">
        <v>34</v>
      </c>
      <c r="E4883" t="s">
        <v>21</v>
      </c>
      <c r="F4883" t="s">
        <v>17</v>
      </c>
      <c r="G4883" s="1" t="str">
        <f t="shared" si="1061"/>
        <v>X</v>
      </c>
      <c r="H4883" s="1" t="str">
        <f t="shared" si="1061"/>
        <v>X</v>
      </c>
      <c r="I4883" s="1" t="str">
        <f t="shared" si="1061"/>
        <v>X</v>
      </c>
      <c r="J4883" s="1" t="str">
        <f t="shared" si="1061"/>
        <v>X</v>
      </c>
      <c r="K4883" s="1" t="str">
        <f t="shared" si="1061"/>
        <v>X</v>
      </c>
      <c r="L4883" s="1" t="str">
        <f t="shared" si="1061"/>
        <v>X</v>
      </c>
      <c r="M4883" s="1" t="str">
        <f t="shared" si="1061"/>
        <v>X</v>
      </c>
      <c r="N4883" t="s">
        <v>27</v>
      </c>
    </row>
    <row r="4884" spans="1:14" x14ac:dyDescent="0.25">
      <c r="A4884" t="s">
        <v>41</v>
      </c>
      <c r="B4884" t="s">
        <v>40</v>
      </c>
      <c r="C4884" t="s">
        <v>36</v>
      </c>
      <c r="D4884" t="s">
        <v>34</v>
      </c>
      <c r="E4884" t="s">
        <v>21</v>
      </c>
      <c r="F4884" t="s">
        <v>18</v>
      </c>
      <c r="G4884" s="1" t="str">
        <f t="shared" si="1061"/>
        <v>X</v>
      </c>
      <c r="H4884" s="1" t="str">
        <f t="shared" si="1061"/>
        <v>X</v>
      </c>
      <c r="I4884" s="1" t="str">
        <f t="shared" si="1061"/>
        <v>X</v>
      </c>
      <c r="J4884" s="1" t="str">
        <f t="shared" si="1061"/>
        <v>X</v>
      </c>
      <c r="K4884" s="1" t="str">
        <f t="shared" si="1061"/>
        <v>X</v>
      </c>
      <c r="L4884" s="1" t="str">
        <f t="shared" si="1061"/>
        <v>X</v>
      </c>
      <c r="M4884" s="1" t="str">
        <f t="shared" si="1061"/>
        <v>X</v>
      </c>
      <c r="N4884" t="s">
        <v>27</v>
      </c>
    </row>
    <row r="4885" spans="1:14" x14ac:dyDescent="0.25">
      <c r="A4885" t="s">
        <v>41</v>
      </c>
      <c r="B4885" t="s">
        <v>40</v>
      </c>
      <c r="C4885" t="s">
        <v>36</v>
      </c>
      <c r="D4885" t="s">
        <v>34</v>
      </c>
      <c r="E4885" t="s">
        <v>21</v>
      </c>
      <c r="F4885" t="s">
        <v>19</v>
      </c>
      <c r="G4885" s="1" t="str">
        <f t="shared" si="1061"/>
        <v>X</v>
      </c>
      <c r="H4885" s="1" t="str">
        <f t="shared" si="1061"/>
        <v>X</v>
      </c>
      <c r="I4885" s="1" t="str">
        <f t="shared" si="1061"/>
        <v>X</v>
      </c>
      <c r="J4885" s="1" t="str">
        <f t="shared" si="1061"/>
        <v>X</v>
      </c>
      <c r="K4885" s="1" t="str">
        <f t="shared" si="1061"/>
        <v>X</v>
      </c>
      <c r="L4885" s="1" t="str">
        <f t="shared" si="1061"/>
        <v>X</v>
      </c>
      <c r="M4885" s="1" t="str">
        <f t="shared" si="1061"/>
        <v>X</v>
      </c>
      <c r="N4885" t="s">
        <v>27</v>
      </c>
    </row>
    <row r="4886" spans="1:14" x14ac:dyDescent="0.25">
      <c r="A4886" t="s">
        <v>41</v>
      </c>
      <c r="B4886" t="s">
        <v>40</v>
      </c>
      <c r="C4886" t="s">
        <v>36</v>
      </c>
      <c r="D4886" t="s">
        <v>34</v>
      </c>
      <c r="E4886" t="s">
        <v>21</v>
      </c>
      <c r="F4886" t="s">
        <v>20</v>
      </c>
      <c r="G4886" s="1" t="str">
        <f t="shared" si="1061"/>
        <v>X</v>
      </c>
      <c r="H4886" s="1" t="str">
        <f t="shared" si="1061"/>
        <v>X</v>
      </c>
      <c r="I4886" s="1" t="str">
        <f t="shared" si="1061"/>
        <v>X</v>
      </c>
      <c r="J4886" s="1" t="str">
        <f t="shared" si="1061"/>
        <v>X</v>
      </c>
      <c r="K4886" s="1" t="str">
        <f t="shared" si="1061"/>
        <v>X</v>
      </c>
      <c r="L4886" s="1" t="str">
        <f t="shared" si="1061"/>
        <v>X</v>
      </c>
      <c r="M4886" s="1" t="str">
        <f t="shared" si="1061"/>
        <v>X</v>
      </c>
      <c r="N4886" t="s">
        <v>27</v>
      </c>
    </row>
    <row r="4887" spans="1:14" x14ac:dyDescent="0.25">
      <c r="A4887" t="s">
        <v>41</v>
      </c>
      <c r="B4887" t="s">
        <v>40</v>
      </c>
      <c r="C4887" t="s">
        <v>36</v>
      </c>
      <c r="D4887" t="s">
        <v>34</v>
      </c>
      <c r="E4887" t="s">
        <v>22</v>
      </c>
      <c r="F4887" t="s">
        <v>15</v>
      </c>
      <c r="G4887" s="1" t="str">
        <f t="shared" si="1061"/>
        <v>X</v>
      </c>
      <c r="H4887" s="1" t="str">
        <f t="shared" si="1061"/>
        <v>X</v>
      </c>
      <c r="I4887" s="1" t="str">
        <f t="shared" si="1061"/>
        <v>X</v>
      </c>
      <c r="J4887" s="1" t="str">
        <f t="shared" si="1061"/>
        <v>X</v>
      </c>
      <c r="K4887" s="1" t="str">
        <f t="shared" si="1061"/>
        <v>X</v>
      </c>
      <c r="L4887" s="1" t="str">
        <f t="shared" si="1061"/>
        <v>X</v>
      </c>
      <c r="M4887" s="1" t="str">
        <f t="shared" si="1061"/>
        <v>X</v>
      </c>
      <c r="N4887" t="s">
        <v>27</v>
      </c>
    </row>
    <row r="4888" spans="1:14" x14ac:dyDescent="0.25">
      <c r="A4888" t="s">
        <v>41</v>
      </c>
      <c r="B4888" t="s">
        <v>40</v>
      </c>
      <c r="C4888" t="s">
        <v>36</v>
      </c>
      <c r="D4888" t="s">
        <v>34</v>
      </c>
      <c r="E4888" t="s">
        <v>22</v>
      </c>
      <c r="F4888" t="s">
        <v>17</v>
      </c>
      <c r="G4888" s="1" t="str">
        <f t="shared" si="1061"/>
        <v>X</v>
      </c>
      <c r="H4888" s="1" t="str">
        <f t="shared" si="1061"/>
        <v>X</v>
      </c>
      <c r="I4888" s="1" t="str">
        <f t="shared" si="1061"/>
        <v>X</v>
      </c>
      <c r="J4888" s="1" t="str">
        <f t="shared" si="1061"/>
        <v>X</v>
      </c>
      <c r="K4888" s="1" t="str">
        <f t="shared" si="1061"/>
        <v>X</v>
      </c>
      <c r="L4888" s="1" t="str">
        <f t="shared" si="1061"/>
        <v>X</v>
      </c>
      <c r="M4888" s="1" t="str">
        <f t="shared" si="1061"/>
        <v>X</v>
      </c>
      <c r="N4888" t="s">
        <v>27</v>
      </c>
    </row>
    <row r="4889" spans="1:14" x14ac:dyDescent="0.25">
      <c r="A4889" t="s">
        <v>41</v>
      </c>
      <c r="B4889" t="s">
        <v>40</v>
      </c>
      <c r="C4889" t="s">
        <v>36</v>
      </c>
      <c r="D4889" t="s">
        <v>34</v>
      </c>
      <c r="E4889" t="s">
        <v>22</v>
      </c>
      <c r="F4889" t="s">
        <v>18</v>
      </c>
      <c r="G4889" s="1" t="str">
        <f t="shared" si="1061"/>
        <v>X</v>
      </c>
      <c r="H4889" s="1" t="str">
        <f t="shared" si="1061"/>
        <v>X</v>
      </c>
      <c r="I4889" s="1" t="str">
        <f t="shared" si="1061"/>
        <v>X</v>
      </c>
      <c r="J4889" s="1" t="str">
        <f t="shared" si="1061"/>
        <v>X</v>
      </c>
      <c r="K4889" s="1" t="str">
        <f t="shared" si="1061"/>
        <v>X</v>
      </c>
      <c r="L4889" s="1" t="str">
        <f t="shared" si="1061"/>
        <v>X</v>
      </c>
      <c r="M4889" s="1" t="str">
        <f t="shared" si="1061"/>
        <v>X</v>
      </c>
      <c r="N4889" t="s">
        <v>27</v>
      </c>
    </row>
    <row r="4890" spans="1:14" x14ac:dyDescent="0.25">
      <c r="A4890" t="s">
        <v>41</v>
      </c>
      <c r="B4890" t="s">
        <v>40</v>
      </c>
      <c r="C4890" t="s">
        <v>36</v>
      </c>
      <c r="D4890" t="s">
        <v>34</v>
      </c>
      <c r="E4890" t="s">
        <v>22</v>
      </c>
      <c r="F4890" t="s">
        <v>19</v>
      </c>
      <c r="G4890" s="1" t="str">
        <f t="shared" si="1061"/>
        <v>X</v>
      </c>
      <c r="H4890" s="1" t="str">
        <f t="shared" si="1061"/>
        <v>X</v>
      </c>
      <c r="I4890" s="1" t="str">
        <f t="shared" si="1061"/>
        <v>X</v>
      </c>
      <c r="J4890" s="1" t="str">
        <f t="shared" si="1061"/>
        <v>X</v>
      </c>
      <c r="K4890" s="1" t="str">
        <f t="shared" si="1061"/>
        <v>X</v>
      </c>
      <c r="L4890" s="1" t="str">
        <f t="shared" si="1061"/>
        <v>X</v>
      </c>
      <c r="M4890" s="1" t="str">
        <f t="shared" si="1061"/>
        <v>X</v>
      </c>
      <c r="N4890" t="s">
        <v>27</v>
      </c>
    </row>
    <row r="4891" spans="1:14" x14ac:dyDescent="0.25">
      <c r="A4891" t="s">
        <v>41</v>
      </c>
      <c r="B4891" t="s">
        <v>40</v>
      </c>
      <c r="C4891" t="s">
        <v>36</v>
      </c>
      <c r="D4891" t="s">
        <v>34</v>
      </c>
      <c r="E4891" t="s">
        <v>22</v>
      </c>
      <c r="F4891" t="s">
        <v>20</v>
      </c>
      <c r="G4891" s="1" t="str">
        <f t="shared" si="1061"/>
        <v>X</v>
      </c>
      <c r="H4891" s="1" t="str">
        <f t="shared" si="1061"/>
        <v>X</v>
      </c>
      <c r="I4891" s="1" t="str">
        <f t="shared" si="1061"/>
        <v>X</v>
      </c>
      <c r="J4891" s="1" t="str">
        <f t="shared" si="1061"/>
        <v>X</v>
      </c>
      <c r="K4891" s="1" t="str">
        <f t="shared" si="1061"/>
        <v>X</v>
      </c>
      <c r="L4891" s="1" t="str">
        <f t="shared" si="1061"/>
        <v>X</v>
      </c>
      <c r="M4891" s="1" t="str">
        <f t="shared" si="1061"/>
        <v>X</v>
      </c>
      <c r="N4891" t="s">
        <v>27</v>
      </c>
    </row>
    <row r="4892" spans="1:14" x14ac:dyDescent="0.25">
      <c r="A4892" t="s">
        <v>41</v>
      </c>
      <c r="B4892" t="s">
        <v>40</v>
      </c>
      <c r="C4892" t="s">
        <v>36</v>
      </c>
      <c r="D4892" t="s">
        <v>34</v>
      </c>
      <c r="E4892" t="s">
        <v>23</v>
      </c>
      <c r="F4892" t="s">
        <v>15</v>
      </c>
      <c r="G4892" s="1" t="str">
        <f t="shared" si="1061"/>
        <v>X</v>
      </c>
      <c r="H4892" s="1" t="str">
        <f t="shared" si="1061"/>
        <v>X</v>
      </c>
      <c r="I4892" s="1" t="str">
        <f t="shared" si="1061"/>
        <v>X</v>
      </c>
      <c r="J4892" s="1" t="str">
        <f t="shared" si="1061"/>
        <v>X</v>
      </c>
      <c r="K4892" s="1" t="str">
        <f t="shared" si="1061"/>
        <v>X</v>
      </c>
      <c r="L4892" s="1" t="str">
        <f t="shared" si="1061"/>
        <v>X</v>
      </c>
      <c r="M4892" s="1" t="str">
        <f t="shared" si="1061"/>
        <v>X</v>
      </c>
      <c r="N4892" t="s">
        <v>27</v>
      </c>
    </row>
    <row r="4893" spans="1:14" x14ac:dyDescent="0.25">
      <c r="A4893" t="s">
        <v>41</v>
      </c>
      <c r="B4893" t="s">
        <v>40</v>
      </c>
      <c r="C4893" t="s">
        <v>36</v>
      </c>
      <c r="D4893" t="s">
        <v>34</v>
      </c>
      <c r="E4893" t="s">
        <v>23</v>
      </c>
      <c r="F4893" t="s">
        <v>17</v>
      </c>
      <c r="G4893" s="1" t="str">
        <f t="shared" si="1061"/>
        <v>X</v>
      </c>
      <c r="H4893" s="1" t="str">
        <f t="shared" si="1061"/>
        <v>X</v>
      </c>
      <c r="I4893" s="1" t="str">
        <f t="shared" si="1061"/>
        <v>X</v>
      </c>
      <c r="J4893" s="1" t="str">
        <f t="shared" si="1061"/>
        <v>X</v>
      </c>
      <c r="K4893" s="1" t="str">
        <f t="shared" si="1061"/>
        <v>X</v>
      </c>
      <c r="L4893" s="1" t="str">
        <f t="shared" si="1061"/>
        <v>X</v>
      </c>
      <c r="M4893" s="1" t="str">
        <f t="shared" si="1061"/>
        <v>X</v>
      </c>
      <c r="N4893" t="s">
        <v>27</v>
      </c>
    </row>
    <row r="4894" spans="1:14" x14ac:dyDescent="0.25">
      <c r="A4894" t="s">
        <v>41</v>
      </c>
      <c r="B4894" t="s">
        <v>40</v>
      </c>
      <c r="C4894" t="s">
        <v>36</v>
      </c>
      <c r="D4894" t="s">
        <v>34</v>
      </c>
      <c r="E4894" t="s">
        <v>23</v>
      </c>
      <c r="F4894" t="s">
        <v>18</v>
      </c>
      <c r="G4894" s="1" t="str">
        <f t="shared" ref="G4894:M4895" si="1062">"..."</f>
        <v>...</v>
      </c>
      <c r="H4894" s="1" t="str">
        <f t="shared" si="1062"/>
        <v>...</v>
      </c>
      <c r="I4894" s="1" t="str">
        <f t="shared" si="1062"/>
        <v>...</v>
      </c>
      <c r="J4894" s="1" t="str">
        <f t="shared" si="1062"/>
        <v>...</v>
      </c>
      <c r="K4894" s="1" t="str">
        <f t="shared" si="1062"/>
        <v>...</v>
      </c>
      <c r="L4894" s="1" t="str">
        <f t="shared" si="1062"/>
        <v>...</v>
      </c>
      <c r="M4894" s="1" t="str">
        <f t="shared" si="1062"/>
        <v>...</v>
      </c>
      <c r="N4894" t="s">
        <v>30</v>
      </c>
    </row>
    <row r="4895" spans="1:14" x14ac:dyDescent="0.25">
      <c r="A4895" t="s">
        <v>41</v>
      </c>
      <c r="B4895" t="s">
        <v>40</v>
      </c>
      <c r="C4895" t="s">
        <v>36</v>
      </c>
      <c r="D4895" t="s">
        <v>34</v>
      </c>
      <c r="E4895" t="s">
        <v>23</v>
      </c>
      <c r="F4895" t="s">
        <v>19</v>
      </c>
      <c r="G4895" s="1" t="str">
        <f t="shared" si="1062"/>
        <v>...</v>
      </c>
      <c r="H4895" s="1" t="str">
        <f t="shared" si="1062"/>
        <v>...</v>
      </c>
      <c r="I4895" s="1" t="str">
        <f t="shared" si="1062"/>
        <v>...</v>
      </c>
      <c r="J4895" s="1" t="str">
        <f t="shared" si="1062"/>
        <v>...</v>
      </c>
      <c r="K4895" s="1" t="str">
        <f t="shared" si="1062"/>
        <v>...</v>
      </c>
      <c r="L4895" s="1" t="str">
        <f t="shared" si="1062"/>
        <v>...</v>
      </c>
      <c r="M4895" s="1" t="str">
        <f t="shared" si="1062"/>
        <v>...</v>
      </c>
      <c r="N4895" t="s">
        <v>30</v>
      </c>
    </row>
    <row r="4896" spans="1:14" x14ac:dyDescent="0.25">
      <c r="A4896" t="s">
        <v>41</v>
      </c>
      <c r="B4896" t="s">
        <v>40</v>
      </c>
      <c r="C4896" t="s">
        <v>36</v>
      </c>
      <c r="D4896" t="s">
        <v>34</v>
      </c>
      <c r="E4896" t="s">
        <v>23</v>
      </c>
      <c r="F4896" t="s">
        <v>20</v>
      </c>
      <c r="G4896" s="1" t="str">
        <f t="shared" ref="G4896:M4897" si="1063">"X"</f>
        <v>X</v>
      </c>
      <c r="H4896" s="1" t="str">
        <f t="shared" si="1063"/>
        <v>X</v>
      </c>
      <c r="I4896" s="1" t="str">
        <f t="shared" si="1063"/>
        <v>X</v>
      </c>
      <c r="J4896" s="1" t="str">
        <f t="shared" si="1063"/>
        <v>X</v>
      </c>
      <c r="K4896" s="1" t="str">
        <f t="shared" si="1063"/>
        <v>X</v>
      </c>
      <c r="L4896" s="1" t="str">
        <f t="shared" si="1063"/>
        <v>X</v>
      </c>
      <c r="M4896" s="1" t="str">
        <f t="shared" si="1063"/>
        <v>X</v>
      </c>
      <c r="N4896" t="s">
        <v>27</v>
      </c>
    </row>
    <row r="4897" spans="1:14" x14ac:dyDescent="0.25">
      <c r="A4897" t="s">
        <v>41</v>
      </c>
      <c r="B4897" t="s">
        <v>40</v>
      </c>
      <c r="C4897" t="s">
        <v>36</v>
      </c>
      <c r="D4897" t="s">
        <v>34</v>
      </c>
      <c r="E4897" t="s">
        <v>26</v>
      </c>
      <c r="F4897" t="s">
        <v>15</v>
      </c>
      <c r="G4897" s="1" t="str">
        <f t="shared" si="1063"/>
        <v>X</v>
      </c>
      <c r="H4897" s="1" t="str">
        <f t="shared" si="1063"/>
        <v>X</v>
      </c>
      <c r="I4897" s="1" t="str">
        <f t="shared" si="1063"/>
        <v>X</v>
      </c>
      <c r="J4897" s="1" t="str">
        <f t="shared" si="1063"/>
        <v>X</v>
      </c>
      <c r="K4897" s="1" t="str">
        <f t="shared" si="1063"/>
        <v>X</v>
      </c>
      <c r="L4897" s="1" t="str">
        <f t="shared" si="1063"/>
        <v>X</v>
      </c>
      <c r="M4897" s="1" t="str">
        <f t="shared" si="1063"/>
        <v>X</v>
      </c>
      <c r="N4897" t="s">
        <v>27</v>
      </c>
    </row>
    <row r="4898" spans="1:14" x14ac:dyDescent="0.25">
      <c r="A4898" t="s">
        <v>41</v>
      </c>
      <c r="B4898" t="s">
        <v>40</v>
      </c>
      <c r="C4898" t="s">
        <v>36</v>
      </c>
      <c r="D4898" t="s">
        <v>34</v>
      </c>
      <c r="E4898" t="s">
        <v>26</v>
      </c>
      <c r="F4898" t="s">
        <v>17</v>
      </c>
      <c r="G4898" s="1" t="str">
        <f t="shared" ref="G4898:M4900" si="1064">"..."</f>
        <v>...</v>
      </c>
      <c r="H4898" s="1" t="str">
        <f t="shared" si="1064"/>
        <v>...</v>
      </c>
      <c r="I4898" s="1" t="str">
        <f t="shared" si="1064"/>
        <v>...</v>
      </c>
      <c r="J4898" s="1" t="str">
        <f t="shared" si="1064"/>
        <v>...</v>
      </c>
      <c r="K4898" s="1" t="str">
        <f t="shared" si="1064"/>
        <v>...</v>
      </c>
      <c r="L4898" s="1" t="str">
        <f t="shared" si="1064"/>
        <v>...</v>
      </c>
      <c r="M4898" s="1" t="str">
        <f t="shared" si="1064"/>
        <v>...</v>
      </c>
      <c r="N4898" t="s">
        <v>30</v>
      </c>
    </row>
    <row r="4899" spans="1:14" x14ac:dyDescent="0.25">
      <c r="A4899" t="s">
        <v>41</v>
      </c>
      <c r="B4899" t="s">
        <v>40</v>
      </c>
      <c r="C4899" t="s">
        <v>36</v>
      </c>
      <c r="D4899" t="s">
        <v>34</v>
      </c>
      <c r="E4899" t="s">
        <v>26</v>
      </c>
      <c r="F4899" t="s">
        <v>18</v>
      </c>
      <c r="G4899" s="1" t="str">
        <f t="shared" si="1064"/>
        <v>...</v>
      </c>
      <c r="H4899" s="1" t="str">
        <f t="shared" si="1064"/>
        <v>...</v>
      </c>
      <c r="I4899" s="1" t="str">
        <f t="shared" si="1064"/>
        <v>...</v>
      </c>
      <c r="J4899" s="1" t="str">
        <f t="shared" si="1064"/>
        <v>...</v>
      </c>
      <c r="K4899" s="1" t="str">
        <f t="shared" si="1064"/>
        <v>...</v>
      </c>
      <c r="L4899" s="1" t="str">
        <f t="shared" si="1064"/>
        <v>...</v>
      </c>
      <c r="M4899" s="1" t="str">
        <f t="shared" si="1064"/>
        <v>...</v>
      </c>
      <c r="N4899" t="s">
        <v>30</v>
      </c>
    </row>
    <row r="4900" spans="1:14" x14ac:dyDescent="0.25">
      <c r="A4900" t="s">
        <v>41</v>
      </c>
      <c r="B4900" t="s">
        <v>40</v>
      </c>
      <c r="C4900" t="s">
        <v>36</v>
      </c>
      <c r="D4900" t="s">
        <v>34</v>
      </c>
      <c r="E4900" t="s">
        <v>26</v>
      </c>
      <c r="F4900" t="s">
        <v>19</v>
      </c>
      <c r="G4900" s="1" t="str">
        <f t="shared" si="1064"/>
        <v>...</v>
      </c>
      <c r="H4900" s="1" t="str">
        <f t="shared" si="1064"/>
        <v>...</v>
      </c>
      <c r="I4900" s="1" t="str">
        <f t="shared" si="1064"/>
        <v>...</v>
      </c>
      <c r="J4900" s="1" t="str">
        <f t="shared" si="1064"/>
        <v>...</v>
      </c>
      <c r="K4900" s="1" t="str">
        <f t="shared" si="1064"/>
        <v>...</v>
      </c>
      <c r="L4900" s="1" t="str">
        <f t="shared" si="1064"/>
        <v>...</v>
      </c>
      <c r="M4900" s="1" t="str">
        <f t="shared" si="1064"/>
        <v>...</v>
      </c>
      <c r="N4900" t="s">
        <v>30</v>
      </c>
    </row>
    <row r="4901" spans="1:14" x14ac:dyDescent="0.25">
      <c r="A4901" t="s">
        <v>41</v>
      </c>
      <c r="B4901" t="s">
        <v>40</v>
      </c>
      <c r="C4901" t="s">
        <v>36</v>
      </c>
      <c r="D4901" t="s">
        <v>34</v>
      </c>
      <c r="E4901" t="s">
        <v>26</v>
      </c>
      <c r="F4901" t="s">
        <v>20</v>
      </c>
      <c r="G4901" s="1" t="str">
        <f t="shared" ref="G4901:M4901" si="1065">"X"</f>
        <v>X</v>
      </c>
      <c r="H4901" s="1" t="str">
        <f t="shared" si="1065"/>
        <v>X</v>
      </c>
      <c r="I4901" s="1" t="str">
        <f t="shared" si="1065"/>
        <v>X</v>
      </c>
      <c r="J4901" s="1" t="str">
        <f t="shared" si="1065"/>
        <v>X</v>
      </c>
      <c r="K4901" s="1" t="str">
        <f t="shared" si="1065"/>
        <v>X</v>
      </c>
      <c r="L4901" s="1" t="str">
        <f t="shared" si="1065"/>
        <v>X</v>
      </c>
      <c r="M4901" s="1" t="str">
        <f t="shared" si="1065"/>
        <v>X</v>
      </c>
      <c r="N4901" t="s">
        <v>27</v>
      </c>
    </row>
    <row r="4902" spans="1:14" x14ac:dyDescent="0.25">
      <c r="A4902" t="s">
        <v>41</v>
      </c>
      <c r="B4902" t="s">
        <v>40</v>
      </c>
      <c r="C4902" t="s">
        <v>37</v>
      </c>
      <c r="D4902" t="s">
        <v>15</v>
      </c>
      <c r="E4902" t="s">
        <v>15</v>
      </c>
      <c r="F4902" t="s">
        <v>15</v>
      </c>
      <c r="G4902" s="1">
        <f>VALUE(22328.7859199469)</f>
        <v>22328.785919946899</v>
      </c>
      <c r="H4902" s="1">
        <f>VALUE(17592.9413534977)</f>
        <v>17592.941353497699</v>
      </c>
      <c r="I4902" s="1">
        <f>VALUE(2824)</f>
        <v>2824</v>
      </c>
      <c r="J4902" s="1">
        <f>VALUE(3475)</f>
        <v>3475</v>
      </c>
      <c r="K4902" s="1">
        <f>VALUE(4460)</f>
        <v>4460</v>
      </c>
      <c r="L4902" s="1">
        <f>VALUE(5976)</f>
        <v>5976</v>
      </c>
      <c r="M4902" s="1">
        <f>VALUE(7714)</f>
        <v>7714</v>
      </c>
      <c r="N4902" t="s">
        <v>16</v>
      </c>
    </row>
    <row r="4903" spans="1:14" x14ac:dyDescent="0.25">
      <c r="A4903" t="s">
        <v>41</v>
      </c>
      <c r="B4903" t="s">
        <v>40</v>
      </c>
      <c r="C4903" t="s">
        <v>37</v>
      </c>
      <c r="D4903" t="s">
        <v>15</v>
      </c>
      <c r="E4903" t="s">
        <v>15</v>
      </c>
      <c r="F4903" t="s">
        <v>17</v>
      </c>
      <c r="G4903" s="1">
        <f>VALUE(2481.8117096101)</f>
        <v>2481.8117096101</v>
      </c>
      <c r="H4903" s="1">
        <f>VALUE(2114.1883289385)</f>
        <v>2114.1883289385</v>
      </c>
      <c r="I4903" s="4">
        <f>VALUE(3777)</f>
        <v>3777</v>
      </c>
      <c r="J4903" s="1">
        <f>VALUE(4894)</f>
        <v>4894</v>
      </c>
      <c r="K4903" s="1">
        <f>VALUE(6628)</f>
        <v>6628</v>
      </c>
      <c r="L4903" s="1">
        <f>VALUE(8832)</f>
        <v>8832</v>
      </c>
      <c r="M4903" s="1">
        <f>VALUE(12698)</f>
        <v>12698</v>
      </c>
      <c r="N4903" t="s">
        <v>25</v>
      </c>
    </row>
    <row r="4904" spans="1:14" x14ac:dyDescent="0.25">
      <c r="A4904" t="s">
        <v>41</v>
      </c>
      <c r="B4904" t="s">
        <v>40</v>
      </c>
      <c r="C4904" t="s">
        <v>37</v>
      </c>
      <c r="D4904" t="s">
        <v>15</v>
      </c>
      <c r="E4904" t="s">
        <v>15</v>
      </c>
      <c r="F4904" t="s">
        <v>18</v>
      </c>
      <c r="G4904" s="1">
        <f>VALUE(2758.0036164201)</f>
        <v>2758.0036164201001</v>
      </c>
      <c r="H4904" s="1">
        <f>VALUE(2105.0873201093)</f>
        <v>2105.0873201093</v>
      </c>
      <c r="I4904" s="4">
        <f>VALUE(3580)</f>
        <v>3580</v>
      </c>
      <c r="J4904" s="1">
        <f>VALUE(4575)</f>
        <v>4575</v>
      </c>
      <c r="K4904" s="1">
        <f>VALUE(5786)</f>
        <v>5786</v>
      </c>
      <c r="L4904" s="1">
        <f>VALUE(7302)</f>
        <v>7302</v>
      </c>
      <c r="M4904" s="1">
        <f>VALUE(8716)</f>
        <v>8716</v>
      </c>
      <c r="N4904" t="s">
        <v>25</v>
      </c>
    </row>
    <row r="4905" spans="1:14" x14ac:dyDescent="0.25">
      <c r="A4905" t="s">
        <v>41</v>
      </c>
      <c r="B4905" t="s">
        <v>40</v>
      </c>
      <c r="C4905" t="s">
        <v>37</v>
      </c>
      <c r="D4905" t="s">
        <v>15</v>
      </c>
      <c r="E4905" t="s">
        <v>15</v>
      </c>
      <c r="F4905" t="s">
        <v>19</v>
      </c>
      <c r="G4905" s="1">
        <f>VALUE(2748.4080142145)</f>
        <v>2748.4080142144999</v>
      </c>
      <c r="H4905" s="1">
        <f>VALUE(2138.7321207427)</f>
        <v>2138.7321207426999</v>
      </c>
      <c r="I4905" s="1">
        <f>VALUE(3295)</f>
        <v>3295</v>
      </c>
      <c r="J4905" s="1">
        <f>VALUE(4048)</f>
        <v>4048</v>
      </c>
      <c r="K4905" s="1">
        <f>VALUE(4952)</f>
        <v>4952</v>
      </c>
      <c r="L4905" s="1">
        <f>VALUE(6163)</f>
        <v>6163</v>
      </c>
      <c r="M4905" s="1">
        <f>VALUE(7634)</f>
        <v>7634</v>
      </c>
      <c r="N4905" t="s">
        <v>16</v>
      </c>
    </row>
    <row r="4906" spans="1:14" x14ac:dyDescent="0.25">
      <c r="A4906" t="s">
        <v>41</v>
      </c>
      <c r="B4906" t="s">
        <v>40</v>
      </c>
      <c r="C4906" t="s">
        <v>37</v>
      </c>
      <c r="D4906" t="s">
        <v>15</v>
      </c>
      <c r="E4906" t="s">
        <v>15</v>
      </c>
      <c r="F4906" t="s">
        <v>20</v>
      </c>
      <c r="G4906" s="1">
        <f>VALUE(14277.8733890387)</f>
        <v>14277.873389038699</v>
      </c>
      <c r="H4906" s="1">
        <f>VALUE(11174.6953980552)</f>
        <v>11174.695398055201</v>
      </c>
      <c r="I4906" s="1">
        <f>VALUE(2708)</f>
        <v>2708</v>
      </c>
      <c r="J4906" s="1">
        <f>VALUE(3219)</f>
        <v>3219</v>
      </c>
      <c r="K4906" s="1">
        <f>VALUE(3949)</f>
        <v>3949</v>
      </c>
      <c r="L4906" s="1">
        <f>VALUE(5083)</f>
        <v>5083</v>
      </c>
      <c r="M4906" s="1">
        <f>VALUE(6458)</f>
        <v>6458</v>
      </c>
      <c r="N4906" t="s">
        <v>16</v>
      </c>
    </row>
    <row r="4907" spans="1:14" x14ac:dyDescent="0.25">
      <c r="A4907" t="s">
        <v>41</v>
      </c>
      <c r="B4907" t="s">
        <v>40</v>
      </c>
      <c r="C4907" t="s">
        <v>37</v>
      </c>
      <c r="D4907" t="s">
        <v>15</v>
      </c>
      <c r="E4907" t="s">
        <v>21</v>
      </c>
      <c r="F4907" t="s">
        <v>15</v>
      </c>
      <c r="G4907" s="1">
        <f>VALUE(4753.7649820789)</f>
        <v>4753.7649820789002</v>
      </c>
      <c r="H4907" s="1">
        <f>VALUE(3670.266011795)</f>
        <v>3670.2660117949999</v>
      </c>
      <c r="I4907" s="1">
        <f>VALUE(3596)</f>
        <v>3596</v>
      </c>
      <c r="J4907" s="1">
        <f>VALUE(4703)</f>
        <v>4703</v>
      </c>
      <c r="K4907" s="1">
        <f>VALUE(6192)</f>
        <v>6192</v>
      </c>
      <c r="L4907" s="1">
        <f>VALUE(7955)</f>
        <v>7955</v>
      </c>
      <c r="M4907" s="1">
        <f>VALUE(10227)</f>
        <v>10227</v>
      </c>
      <c r="N4907" t="s">
        <v>16</v>
      </c>
    </row>
    <row r="4908" spans="1:14" x14ac:dyDescent="0.25">
      <c r="A4908" t="s">
        <v>41</v>
      </c>
      <c r="B4908" t="s">
        <v>40</v>
      </c>
      <c r="C4908" t="s">
        <v>37</v>
      </c>
      <c r="D4908" t="s">
        <v>15</v>
      </c>
      <c r="E4908" t="s">
        <v>21</v>
      </c>
      <c r="F4908" t="s">
        <v>17</v>
      </c>
      <c r="G4908" s="2">
        <f>VALUE(1408.7695633033)</f>
        <v>1408.7695633032999</v>
      </c>
      <c r="H4908" s="3">
        <f>VALUE(1173.7354028483)</f>
        <v>1173.7354028483001</v>
      </c>
      <c r="I4908" s="4">
        <f>VALUE(4333)</f>
        <v>4333</v>
      </c>
      <c r="J4908" s="5">
        <f>VALUE(5417)</f>
        <v>5417</v>
      </c>
      <c r="K4908" s="1">
        <f>VALUE(7500)</f>
        <v>7500</v>
      </c>
      <c r="L4908" s="1">
        <f>VALUE(9756)</f>
        <v>9756</v>
      </c>
      <c r="M4908" s="1">
        <f>VALUE(13195)</f>
        <v>13195</v>
      </c>
      <c r="N4908" t="s">
        <v>25</v>
      </c>
    </row>
    <row r="4909" spans="1:14" x14ac:dyDescent="0.25">
      <c r="A4909" t="s">
        <v>41</v>
      </c>
      <c r="B4909" t="s">
        <v>40</v>
      </c>
      <c r="C4909" t="s">
        <v>37</v>
      </c>
      <c r="D4909" t="s">
        <v>15</v>
      </c>
      <c r="E4909" t="s">
        <v>21</v>
      </c>
      <c r="F4909" t="s">
        <v>18</v>
      </c>
      <c r="G4909" s="2">
        <f>VALUE(1197.674256919)</f>
        <v>1197.6742569190001</v>
      </c>
      <c r="H4909" s="3">
        <f>VALUE(877.3227820747)</f>
        <v>877.32278207469994</v>
      </c>
      <c r="I4909" s="4">
        <f>VALUE(3435)</f>
        <v>3435</v>
      </c>
      <c r="J4909" s="5">
        <f>VALUE(4823)</f>
        <v>4823</v>
      </c>
      <c r="K4909" s="1">
        <f>VALUE(6318)</f>
        <v>6318</v>
      </c>
      <c r="L4909" s="1">
        <f>VALUE(7806)</f>
        <v>7806</v>
      </c>
      <c r="M4909" s="1">
        <f>VALUE(9524)</f>
        <v>9524</v>
      </c>
      <c r="N4909" t="s">
        <v>25</v>
      </c>
    </row>
    <row r="4910" spans="1:14" x14ac:dyDescent="0.25">
      <c r="A4910" t="s">
        <v>41</v>
      </c>
      <c r="B4910" t="s">
        <v>40</v>
      </c>
      <c r="C4910" t="s">
        <v>37</v>
      </c>
      <c r="D4910" t="s">
        <v>15</v>
      </c>
      <c r="E4910" t="s">
        <v>21</v>
      </c>
      <c r="F4910" t="s">
        <v>19</v>
      </c>
      <c r="G4910" s="2">
        <f>VALUE(832.9617852358)</f>
        <v>832.96178523579999</v>
      </c>
      <c r="H4910" s="3">
        <f>VALUE(554.0092917381)</f>
        <v>554.00929173810005</v>
      </c>
      <c r="I4910" s="1">
        <f>VALUE(3983)</f>
        <v>3983</v>
      </c>
      <c r="J4910" s="1">
        <f>VALUE(4540)</f>
        <v>4540</v>
      </c>
      <c r="K4910" s="1">
        <f>VALUE(5667)</f>
        <v>5667</v>
      </c>
      <c r="L4910" s="1">
        <f>VALUE(7212)</f>
        <v>7212</v>
      </c>
      <c r="M4910" s="1">
        <f>VALUE(8294)</f>
        <v>8294</v>
      </c>
      <c r="N4910" t="s">
        <v>25</v>
      </c>
    </row>
    <row r="4911" spans="1:14" x14ac:dyDescent="0.25">
      <c r="A4911" t="s">
        <v>41</v>
      </c>
      <c r="B4911" t="s">
        <v>40</v>
      </c>
      <c r="C4911" t="s">
        <v>37</v>
      </c>
      <c r="D4911" t="s">
        <v>15</v>
      </c>
      <c r="E4911" t="s">
        <v>21</v>
      </c>
      <c r="F4911" t="s">
        <v>20</v>
      </c>
      <c r="G4911" s="2">
        <f>VALUE(1313.1930845691)</f>
        <v>1313.1930845690999</v>
      </c>
      <c r="H4911" s="3">
        <f>VALUE(1064.2266250908)</f>
        <v>1064.2266250908001</v>
      </c>
      <c r="I4911" s="4">
        <f>VALUE(3100)</f>
        <v>3100</v>
      </c>
      <c r="J4911" s="5">
        <f>VALUE(4000)</f>
        <v>4000</v>
      </c>
      <c r="K4911" s="1">
        <f>VALUE(5417)</f>
        <v>5417</v>
      </c>
      <c r="L4911" s="1">
        <f>VALUE(6865)</f>
        <v>6865</v>
      </c>
      <c r="M4911" s="1">
        <f>VALUE(8262)</f>
        <v>8262</v>
      </c>
      <c r="N4911" t="s">
        <v>25</v>
      </c>
    </row>
    <row r="4912" spans="1:14" x14ac:dyDescent="0.25">
      <c r="A4912" t="s">
        <v>41</v>
      </c>
      <c r="B4912" t="s">
        <v>40</v>
      </c>
      <c r="C4912" t="s">
        <v>37</v>
      </c>
      <c r="D4912" t="s">
        <v>15</v>
      </c>
      <c r="E4912" t="s">
        <v>22</v>
      </c>
      <c r="F4912" t="s">
        <v>15</v>
      </c>
      <c r="G4912" s="1">
        <f>VALUE(8274.0553236992)</f>
        <v>8274.0553236992</v>
      </c>
      <c r="H4912" s="1">
        <f>VALUE(6455.335097384)</f>
        <v>6455.3350973839997</v>
      </c>
      <c r="I4912" s="1">
        <f>VALUE(3508)</f>
        <v>3508</v>
      </c>
      <c r="J4912" s="1">
        <f>VALUE(4282)</f>
        <v>4282</v>
      </c>
      <c r="K4912" s="1">
        <f>VALUE(5164)</f>
        <v>5164</v>
      </c>
      <c r="L4912" s="1">
        <f>VALUE(6317)</f>
        <v>6317</v>
      </c>
      <c r="M4912" s="1">
        <f>VALUE(7542)</f>
        <v>7542</v>
      </c>
      <c r="N4912" t="s">
        <v>16</v>
      </c>
    </row>
    <row r="4913" spans="1:14" x14ac:dyDescent="0.25">
      <c r="A4913" t="s">
        <v>41</v>
      </c>
      <c r="B4913" t="s">
        <v>40</v>
      </c>
      <c r="C4913" t="s">
        <v>37</v>
      </c>
      <c r="D4913" t="s">
        <v>15</v>
      </c>
      <c r="E4913" t="s">
        <v>22</v>
      </c>
      <c r="F4913" t="s">
        <v>17</v>
      </c>
      <c r="G4913" s="2">
        <f>VALUE(828.1761224651)</f>
        <v>828.17612246509998</v>
      </c>
      <c r="H4913" s="3">
        <f>VALUE(721.8601812032)</f>
        <v>721.8601812032</v>
      </c>
      <c r="I4913" s="4">
        <f>VALUE(3738)</f>
        <v>3738</v>
      </c>
      <c r="J4913" s="5">
        <f>VALUE(4445)</f>
        <v>4445</v>
      </c>
      <c r="K4913" s="1">
        <f>VALUE(5833)</f>
        <v>5833</v>
      </c>
      <c r="L4913" s="1">
        <f>VALUE(7515)</f>
        <v>7515</v>
      </c>
      <c r="M4913" s="8">
        <f>VALUE(9150)</f>
        <v>9150</v>
      </c>
      <c r="N4913" t="s">
        <v>25</v>
      </c>
    </row>
    <row r="4914" spans="1:14" x14ac:dyDescent="0.25">
      <c r="A4914" t="s">
        <v>41</v>
      </c>
      <c r="B4914" t="s">
        <v>40</v>
      </c>
      <c r="C4914" t="s">
        <v>37</v>
      </c>
      <c r="D4914" t="s">
        <v>15</v>
      </c>
      <c r="E4914" t="s">
        <v>22</v>
      </c>
      <c r="F4914" t="s">
        <v>18</v>
      </c>
      <c r="G4914" s="2">
        <f>VALUE(1176.4182172834)</f>
        <v>1176.4182172834001</v>
      </c>
      <c r="H4914" s="3">
        <f>VALUE(914.6520394052)</f>
        <v>914.65203940519996</v>
      </c>
      <c r="I4914" s="1">
        <f>VALUE(4073)</f>
        <v>4073</v>
      </c>
      <c r="J4914" s="1">
        <f>VALUE(4658)</f>
        <v>4658</v>
      </c>
      <c r="K4914" s="1">
        <f>VALUE(5542)</f>
        <v>5542</v>
      </c>
      <c r="L4914" s="1">
        <f>VALUE(6901)</f>
        <v>6901</v>
      </c>
      <c r="M4914" s="1">
        <f>VALUE(7847)</f>
        <v>7847</v>
      </c>
      <c r="N4914" t="s">
        <v>25</v>
      </c>
    </row>
    <row r="4915" spans="1:14" x14ac:dyDescent="0.25">
      <c r="A4915" t="s">
        <v>41</v>
      </c>
      <c r="B4915" t="s">
        <v>40</v>
      </c>
      <c r="C4915" t="s">
        <v>37</v>
      </c>
      <c r="D4915" t="s">
        <v>15</v>
      </c>
      <c r="E4915" t="s">
        <v>22</v>
      </c>
      <c r="F4915" t="s">
        <v>19</v>
      </c>
      <c r="G4915" s="2">
        <f>VALUE(1339.3304210206)</f>
        <v>1339.3304210205999</v>
      </c>
      <c r="H4915" s="1">
        <f>VALUE(1078.8745953877)</f>
        <v>1078.8745953877001</v>
      </c>
      <c r="I4915" s="1">
        <f>VALUE(3821)</f>
        <v>3821</v>
      </c>
      <c r="J4915" s="1">
        <f>VALUE(4356)</f>
        <v>4356</v>
      </c>
      <c r="K4915" s="1">
        <f>VALUE(5267)</f>
        <v>5267</v>
      </c>
      <c r="L4915" s="1">
        <f>VALUE(6485)</f>
        <v>6485</v>
      </c>
      <c r="M4915" s="1">
        <f>VALUE(7633)</f>
        <v>7633</v>
      </c>
      <c r="N4915" t="s">
        <v>25</v>
      </c>
    </row>
    <row r="4916" spans="1:14" x14ac:dyDescent="0.25">
      <c r="A4916" t="s">
        <v>41</v>
      </c>
      <c r="B4916" t="s">
        <v>40</v>
      </c>
      <c r="C4916" t="s">
        <v>37</v>
      </c>
      <c r="D4916" t="s">
        <v>15</v>
      </c>
      <c r="E4916" t="s">
        <v>22</v>
      </c>
      <c r="F4916" t="s">
        <v>20</v>
      </c>
      <c r="G4916" s="1">
        <f>VALUE(4930.1305629301)</f>
        <v>4930.1305629300996</v>
      </c>
      <c r="H4916" s="1">
        <f>VALUE(3739.9482813879)</f>
        <v>3739.9482813878999</v>
      </c>
      <c r="I4916" s="1">
        <f>VALUE(3414)</f>
        <v>3414</v>
      </c>
      <c r="J4916" s="1">
        <f>VALUE(4065)</f>
        <v>4065</v>
      </c>
      <c r="K4916" s="1">
        <f>VALUE(4988)</f>
        <v>4988</v>
      </c>
      <c r="L4916" s="1">
        <f>VALUE(5913)</f>
        <v>5913</v>
      </c>
      <c r="M4916" s="1">
        <f>VALUE(7062)</f>
        <v>7062</v>
      </c>
      <c r="N4916" t="s">
        <v>16</v>
      </c>
    </row>
    <row r="4917" spans="1:14" x14ac:dyDescent="0.25">
      <c r="A4917" t="s">
        <v>41</v>
      </c>
      <c r="B4917" t="s">
        <v>40</v>
      </c>
      <c r="C4917" t="s">
        <v>37</v>
      </c>
      <c r="D4917" t="s">
        <v>15</v>
      </c>
      <c r="E4917" t="s">
        <v>23</v>
      </c>
      <c r="F4917" t="s">
        <v>15</v>
      </c>
      <c r="G4917" s="1">
        <f>VALUE(9016.7571622013)</f>
        <v>9016.7571622013002</v>
      </c>
      <c r="H4917" s="1">
        <f>VALUE(7198.2223627687)</f>
        <v>7198.2223627686999</v>
      </c>
      <c r="I4917" s="1">
        <f>VALUE(2623)</f>
        <v>2623</v>
      </c>
      <c r="J4917" s="1">
        <f>VALUE(2949)</f>
        <v>2949</v>
      </c>
      <c r="K4917" s="1">
        <f>VALUE(3505)</f>
        <v>3505</v>
      </c>
      <c r="L4917" s="1">
        <f>VALUE(4127)</f>
        <v>4127</v>
      </c>
      <c r="M4917" s="1">
        <f>VALUE(4901)</f>
        <v>4901</v>
      </c>
      <c r="N4917" t="s">
        <v>16</v>
      </c>
    </row>
    <row r="4918" spans="1:14" x14ac:dyDescent="0.25">
      <c r="A4918" t="s">
        <v>41</v>
      </c>
      <c r="B4918" t="s">
        <v>40</v>
      </c>
      <c r="C4918" t="s">
        <v>37</v>
      </c>
      <c r="D4918" t="s">
        <v>15</v>
      </c>
      <c r="E4918" t="s">
        <v>23</v>
      </c>
      <c r="F4918" t="s">
        <v>17</v>
      </c>
      <c r="G4918" s="1" t="str">
        <f t="shared" ref="G4918:M4918" si="1066">"X"</f>
        <v>X</v>
      </c>
      <c r="H4918" s="1" t="str">
        <f t="shared" si="1066"/>
        <v>X</v>
      </c>
      <c r="I4918" s="1" t="str">
        <f t="shared" si="1066"/>
        <v>X</v>
      </c>
      <c r="J4918" s="1" t="str">
        <f t="shared" si="1066"/>
        <v>X</v>
      </c>
      <c r="K4918" s="1" t="str">
        <f t="shared" si="1066"/>
        <v>X</v>
      </c>
      <c r="L4918" s="1" t="str">
        <f t="shared" si="1066"/>
        <v>X</v>
      </c>
      <c r="M4918" s="1" t="str">
        <f t="shared" si="1066"/>
        <v>X</v>
      </c>
      <c r="N4918" t="s">
        <v>27</v>
      </c>
    </row>
    <row r="4919" spans="1:14" x14ac:dyDescent="0.25">
      <c r="A4919" t="s">
        <v>41</v>
      </c>
      <c r="B4919" t="s">
        <v>40</v>
      </c>
      <c r="C4919" t="s">
        <v>37</v>
      </c>
      <c r="D4919" t="s">
        <v>15</v>
      </c>
      <c r="E4919" t="s">
        <v>23</v>
      </c>
      <c r="F4919" t="s">
        <v>18</v>
      </c>
      <c r="G4919" s="2">
        <f>VALUE(312.3463550228)</f>
        <v>312.34635502280003</v>
      </c>
      <c r="H4919" s="3">
        <f>VALUE(244.1775680439)</f>
        <v>244.17756804390001</v>
      </c>
      <c r="I4919" s="4">
        <f>VALUE(3120)</f>
        <v>3120</v>
      </c>
      <c r="J4919" s="5">
        <f>VALUE(3466)</f>
        <v>3466</v>
      </c>
      <c r="K4919" s="1">
        <f>VALUE(4552)</f>
        <v>4552</v>
      </c>
      <c r="L4919" s="1">
        <f>VALUE(5461)</f>
        <v>5461</v>
      </c>
      <c r="M4919" s="1">
        <f>VALUE(7095)</f>
        <v>7095</v>
      </c>
      <c r="N4919" t="s">
        <v>25</v>
      </c>
    </row>
    <row r="4920" spans="1:14" x14ac:dyDescent="0.25">
      <c r="A4920" t="s">
        <v>41</v>
      </c>
      <c r="B4920" t="s">
        <v>40</v>
      </c>
      <c r="C4920" t="s">
        <v>37</v>
      </c>
      <c r="D4920" t="s">
        <v>15</v>
      </c>
      <c r="E4920" t="s">
        <v>23</v>
      </c>
      <c r="F4920" t="s">
        <v>19</v>
      </c>
      <c r="G4920" s="2">
        <f>VALUE(574.6547765093)</f>
        <v>574.65477650929995</v>
      </c>
      <c r="H4920" s="3">
        <f>VALUE(504.9277838042)</f>
        <v>504.92778380419998</v>
      </c>
      <c r="I4920" s="4">
        <f>VALUE(2777)</f>
        <v>2777</v>
      </c>
      <c r="J4920" s="1">
        <f>VALUE(3268)</f>
        <v>3268</v>
      </c>
      <c r="K4920" s="1">
        <f>VALUE(3788)</f>
        <v>3788</v>
      </c>
      <c r="L4920" s="1">
        <f>VALUE(4389)</f>
        <v>4389</v>
      </c>
      <c r="M4920" s="1">
        <f>VALUE(5443)</f>
        <v>5443</v>
      </c>
      <c r="N4920" t="s">
        <v>25</v>
      </c>
    </row>
    <row r="4921" spans="1:14" x14ac:dyDescent="0.25">
      <c r="A4921" t="s">
        <v>41</v>
      </c>
      <c r="B4921" t="s">
        <v>40</v>
      </c>
      <c r="C4921" t="s">
        <v>37</v>
      </c>
      <c r="D4921" t="s">
        <v>15</v>
      </c>
      <c r="E4921" t="s">
        <v>23</v>
      </c>
      <c r="F4921" t="s">
        <v>20</v>
      </c>
      <c r="G4921" s="1">
        <f>VALUE(7941.8961774948)</f>
        <v>7941.8961774948002</v>
      </c>
      <c r="H4921" s="1">
        <f>VALUE(6289.2943889834)</f>
        <v>6289.2943889833996</v>
      </c>
      <c r="I4921" s="1">
        <f>VALUE(2609)</f>
        <v>2609</v>
      </c>
      <c r="J4921" s="1">
        <f>VALUE(2923)</f>
        <v>2923</v>
      </c>
      <c r="K4921" s="1">
        <f>VALUE(3475)</f>
        <v>3475</v>
      </c>
      <c r="L4921" s="1">
        <f>VALUE(4049)</f>
        <v>4049</v>
      </c>
      <c r="M4921" s="1">
        <f>VALUE(4748)</f>
        <v>4748</v>
      </c>
      <c r="N4921" t="s">
        <v>16</v>
      </c>
    </row>
    <row r="4922" spans="1:14" x14ac:dyDescent="0.25">
      <c r="A4922" t="s">
        <v>41</v>
      </c>
      <c r="B4922" t="s">
        <v>40</v>
      </c>
      <c r="C4922" t="s">
        <v>37</v>
      </c>
      <c r="D4922" t="s">
        <v>15</v>
      </c>
      <c r="E4922" t="s">
        <v>26</v>
      </c>
      <c r="F4922" t="s">
        <v>15</v>
      </c>
      <c r="G4922" s="2">
        <f>VALUE(284.2084519675)</f>
        <v>284.20845196750003</v>
      </c>
      <c r="H4922" s="3">
        <f>VALUE(269.11788155)</f>
        <v>269.11788154999999</v>
      </c>
      <c r="I4922" s="1">
        <f>VALUE(4334)</f>
        <v>4334</v>
      </c>
      <c r="J4922" s="1">
        <f>VALUE(5572)</f>
        <v>5572</v>
      </c>
      <c r="K4922" s="1">
        <f>VALUE(7375)</f>
        <v>7375</v>
      </c>
      <c r="L4922" s="1">
        <f>VALUE(11905)</f>
        <v>11905</v>
      </c>
      <c r="M4922" s="1">
        <f>VALUE(16667)</f>
        <v>16667</v>
      </c>
      <c r="N4922" t="s">
        <v>25</v>
      </c>
    </row>
    <row r="4923" spans="1:14" x14ac:dyDescent="0.25">
      <c r="A4923" t="s">
        <v>41</v>
      </c>
      <c r="B4923" t="s">
        <v>40</v>
      </c>
      <c r="C4923" t="s">
        <v>37</v>
      </c>
      <c r="D4923" t="s">
        <v>15</v>
      </c>
      <c r="E4923" t="s">
        <v>26</v>
      </c>
      <c r="F4923" t="s">
        <v>17</v>
      </c>
      <c r="G4923" s="1" t="str">
        <f t="shared" ref="G4923:M4925" si="1067">"X"</f>
        <v>X</v>
      </c>
      <c r="H4923" s="1" t="str">
        <f t="shared" si="1067"/>
        <v>X</v>
      </c>
      <c r="I4923" s="1" t="str">
        <f t="shared" si="1067"/>
        <v>X</v>
      </c>
      <c r="J4923" s="1" t="str">
        <f t="shared" si="1067"/>
        <v>X</v>
      </c>
      <c r="K4923" s="1" t="str">
        <f t="shared" si="1067"/>
        <v>X</v>
      </c>
      <c r="L4923" s="1" t="str">
        <f t="shared" si="1067"/>
        <v>X</v>
      </c>
      <c r="M4923" s="1" t="str">
        <f t="shared" si="1067"/>
        <v>X</v>
      </c>
      <c r="N4923" t="s">
        <v>27</v>
      </c>
    </row>
    <row r="4924" spans="1:14" x14ac:dyDescent="0.25">
      <c r="A4924" t="s">
        <v>41</v>
      </c>
      <c r="B4924" t="s">
        <v>40</v>
      </c>
      <c r="C4924" t="s">
        <v>37</v>
      </c>
      <c r="D4924" t="s">
        <v>15</v>
      </c>
      <c r="E4924" t="s">
        <v>26</v>
      </c>
      <c r="F4924" t="s">
        <v>18</v>
      </c>
      <c r="G4924" s="1" t="str">
        <f t="shared" si="1067"/>
        <v>X</v>
      </c>
      <c r="H4924" s="1" t="str">
        <f t="shared" si="1067"/>
        <v>X</v>
      </c>
      <c r="I4924" s="1" t="str">
        <f t="shared" si="1067"/>
        <v>X</v>
      </c>
      <c r="J4924" s="1" t="str">
        <f t="shared" si="1067"/>
        <v>X</v>
      </c>
      <c r="K4924" s="1" t="str">
        <f t="shared" si="1067"/>
        <v>X</v>
      </c>
      <c r="L4924" s="1" t="str">
        <f t="shared" si="1067"/>
        <v>X</v>
      </c>
      <c r="M4924" s="1" t="str">
        <f t="shared" si="1067"/>
        <v>X</v>
      </c>
      <c r="N4924" t="s">
        <v>27</v>
      </c>
    </row>
    <row r="4925" spans="1:14" x14ac:dyDescent="0.25">
      <c r="A4925" t="s">
        <v>41</v>
      </c>
      <c r="B4925" t="s">
        <v>40</v>
      </c>
      <c r="C4925" t="s">
        <v>37</v>
      </c>
      <c r="D4925" t="s">
        <v>15</v>
      </c>
      <c r="E4925" t="s">
        <v>26</v>
      </c>
      <c r="F4925" t="s">
        <v>19</v>
      </c>
      <c r="G4925" s="1" t="str">
        <f t="shared" si="1067"/>
        <v>X</v>
      </c>
      <c r="H4925" s="1" t="str">
        <f t="shared" si="1067"/>
        <v>X</v>
      </c>
      <c r="I4925" s="1" t="str">
        <f t="shared" si="1067"/>
        <v>X</v>
      </c>
      <c r="J4925" s="1" t="str">
        <f t="shared" si="1067"/>
        <v>X</v>
      </c>
      <c r="K4925" s="1" t="str">
        <f t="shared" si="1067"/>
        <v>X</v>
      </c>
      <c r="L4925" s="1" t="str">
        <f t="shared" si="1067"/>
        <v>X</v>
      </c>
      <c r="M4925" s="1" t="str">
        <f t="shared" si="1067"/>
        <v>X</v>
      </c>
      <c r="N4925" t="s">
        <v>27</v>
      </c>
    </row>
    <row r="4926" spans="1:14" x14ac:dyDescent="0.25">
      <c r="A4926" t="s">
        <v>41</v>
      </c>
      <c r="B4926" t="s">
        <v>40</v>
      </c>
      <c r="C4926" t="s">
        <v>37</v>
      </c>
      <c r="D4926" t="s">
        <v>15</v>
      </c>
      <c r="E4926" t="s">
        <v>26</v>
      </c>
      <c r="F4926" t="s">
        <v>20</v>
      </c>
      <c r="G4926" s="2">
        <f>VALUE(92.6535640447)</f>
        <v>92.653564044700005</v>
      </c>
      <c r="H4926" s="3">
        <f>VALUE(81.2261025931)</f>
        <v>81.226102593099995</v>
      </c>
      <c r="I4926" s="4">
        <f>VALUE(4445)</f>
        <v>4445</v>
      </c>
      <c r="J4926" s="1">
        <f>VALUE(5715)</f>
        <v>5715</v>
      </c>
      <c r="K4926" s="1">
        <f>VALUE(6349)</f>
        <v>6349</v>
      </c>
      <c r="L4926" s="1">
        <f>VALUE(7223)</f>
        <v>7223</v>
      </c>
      <c r="M4926" s="1">
        <f>VALUE(8095)</f>
        <v>8095</v>
      </c>
      <c r="N4926" t="s">
        <v>25</v>
      </c>
    </row>
    <row r="4927" spans="1:14" x14ac:dyDescent="0.25">
      <c r="A4927" t="s">
        <v>41</v>
      </c>
      <c r="B4927" t="s">
        <v>40</v>
      </c>
      <c r="C4927" t="s">
        <v>37</v>
      </c>
      <c r="D4927" t="s">
        <v>28</v>
      </c>
      <c r="E4927" t="s">
        <v>15</v>
      </c>
      <c r="F4927" t="s">
        <v>15</v>
      </c>
      <c r="G4927" s="1">
        <f>VALUE(9910.5179992451)</f>
        <v>9910.5179992450994</v>
      </c>
      <c r="H4927" s="1">
        <f>VALUE(7157.4408109881)</f>
        <v>7157.4408109880997</v>
      </c>
      <c r="I4927" s="1">
        <f>VALUE(3524)</f>
        <v>3524</v>
      </c>
      <c r="J4927" s="1">
        <f>VALUE(4253)</f>
        <v>4253</v>
      </c>
      <c r="K4927" s="1">
        <f>VALUE(5218)</f>
        <v>5218</v>
      </c>
      <c r="L4927" s="1">
        <f>VALUE(6633)</f>
        <v>6633</v>
      </c>
      <c r="M4927" s="1">
        <f>VALUE(8189)</f>
        <v>8189</v>
      </c>
      <c r="N4927" t="s">
        <v>16</v>
      </c>
    </row>
    <row r="4928" spans="1:14" x14ac:dyDescent="0.25">
      <c r="A4928" t="s">
        <v>41</v>
      </c>
      <c r="B4928" t="s">
        <v>40</v>
      </c>
      <c r="C4928" t="s">
        <v>37</v>
      </c>
      <c r="D4928" t="s">
        <v>28</v>
      </c>
      <c r="E4928" t="s">
        <v>15</v>
      </c>
      <c r="F4928" t="s">
        <v>17</v>
      </c>
      <c r="G4928" s="2">
        <f>VALUE(1533.2414723084)</f>
        <v>1533.2414723084</v>
      </c>
      <c r="H4928" s="3">
        <f>VALUE(1261.526274317)</f>
        <v>1261.5262743169999</v>
      </c>
      <c r="I4928" s="4">
        <f>VALUE(3578)</f>
        <v>3578</v>
      </c>
      <c r="J4928" s="1">
        <f>VALUE(4603)</f>
        <v>4603</v>
      </c>
      <c r="K4928" s="1">
        <f>VALUE(6392)</f>
        <v>6392</v>
      </c>
      <c r="L4928" s="1">
        <f>VALUE(8806)</f>
        <v>8806</v>
      </c>
      <c r="M4928" s="8">
        <f>VALUE(12829)</f>
        <v>12829</v>
      </c>
      <c r="N4928" t="s">
        <v>25</v>
      </c>
    </row>
    <row r="4929" spans="1:14" x14ac:dyDescent="0.25">
      <c r="A4929" t="s">
        <v>41</v>
      </c>
      <c r="B4929" t="s">
        <v>40</v>
      </c>
      <c r="C4929" t="s">
        <v>37</v>
      </c>
      <c r="D4929" t="s">
        <v>28</v>
      </c>
      <c r="E4929" t="s">
        <v>15</v>
      </c>
      <c r="F4929" t="s">
        <v>18</v>
      </c>
      <c r="G4929" s="1">
        <f>VALUE(1741.1787259409)</f>
        <v>1741.1787259409</v>
      </c>
      <c r="H4929" s="3">
        <f>VALUE(1260.8677668308)</f>
        <v>1260.8677668308001</v>
      </c>
      <c r="I4929" s="4">
        <f>VALUE(4000)</f>
        <v>4000</v>
      </c>
      <c r="J4929" s="1">
        <f>VALUE(4746)</f>
        <v>4746</v>
      </c>
      <c r="K4929" s="1">
        <f>VALUE(5984)</f>
        <v>5984</v>
      </c>
      <c r="L4929" s="1">
        <f>VALUE(7254)</f>
        <v>7254</v>
      </c>
      <c r="M4929" s="1">
        <f>VALUE(8610)</f>
        <v>8610</v>
      </c>
      <c r="N4929" t="s">
        <v>25</v>
      </c>
    </row>
    <row r="4930" spans="1:14" x14ac:dyDescent="0.25">
      <c r="A4930" t="s">
        <v>41</v>
      </c>
      <c r="B4930" t="s">
        <v>40</v>
      </c>
      <c r="C4930" t="s">
        <v>37</v>
      </c>
      <c r="D4930" t="s">
        <v>28</v>
      </c>
      <c r="E4930" t="s">
        <v>15</v>
      </c>
      <c r="F4930" t="s">
        <v>19</v>
      </c>
      <c r="G4930" s="2">
        <f>VALUE(1357.4653711666)</f>
        <v>1357.4653711666001</v>
      </c>
      <c r="H4930" s="1">
        <f>VALUE(989.4256566791)</f>
        <v>989.42565667910003</v>
      </c>
      <c r="I4930" s="1">
        <f>VALUE(4007)</f>
        <v>4007</v>
      </c>
      <c r="J4930" s="1">
        <f>VALUE(4518)</f>
        <v>4518</v>
      </c>
      <c r="K4930" s="1">
        <f>VALUE(5416)</f>
        <v>5416</v>
      </c>
      <c r="L4930" s="1">
        <f>VALUE(6607)</f>
        <v>6607</v>
      </c>
      <c r="M4930" s="1">
        <f>VALUE(7756)</f>
        <v>7756</v>
      </c>
      <c r="N4930" t="s">
        <v>25</v>
      </c>
    </row>
    <row r="4931" spans="1:14" x14ac:dyDescent="0.25">
      <c r="A4931" t="s">
        <v>41</v>
      </c>
      <c r="B4931" t="s">
        <v>40</v>
      </c>
      <c r="C4931" t="s">
        <v>37</v>
      </c>
      <c r="D4931" t="s">
        <v>28</v>
      </c>
      <c r="E4931" t="s">
        <v>15</v>
      </c>
      <c r="F4931" t="s">
        <v>20</v>
      </c>
      <c r="G4931" s="1">
        <f>VALUE(5277.4661377775)</f>
        <v>5277.4661377775001</v>
      </c>
      <c r="H4931" s="1">
        <f>VALUE(3644.6492031181)</f>
        <v>3644.6492031181001</v>
      </c>
      <c r="I4931" s="1">
        <f>VALUE(3467)</f>
        <v>3467</v>
      </c>
      <c r="J4931" s="1">
        <f>VALUE(3953)</f>
        <v>3953</v>
      </c>
      <c r="K4931" s="1">
        <f>VALUE(4778)</f>
        <v>4778</v>
      </c>
      <c r="L4931" s="1">
        <f>VALUE(5825)</f>
        <v>5825</v>
      </c>
      <c r="M4931" s="1">
        <f>VALUE(7092)</f>
        <v>7092</v>
      </c>
      <c r="N4931" t="s">
        <v>16</v>
      </c>
    </row>
    <row r="4932" spans="1:14" x14ac:dyDescent="0.25">
      <c r="A4932" t="s">
        <v>41</v>
      </c>
      <c r="B4932" t="s">
        <v>40</v>
      </c>
      <c r="C4932" t="s">
        <v>37</v>
      </c>
      <c r="D4932" t="s">
        <v>28</v>
      </c>
      <c r="E4932" t="s">
        <v>21</v>
      </c>
      <c r="F4932" t="s">
        <v>15</v>
      </c>
      <c r="G4932" s="1">
        <f>VALUE(2498.3409834575)</f>
        <v>2498.3409834575</v>
      </c>
      <c r="H4932" s="1">
        <f>VALUE(1769.1723931759)</f>
        <v>1769.1723931759</v>
      </c>
      <c r="I4932" s="4">
        <f>VALUE(3869)</f>
        <v>3869</v>
      </c>
      <c r="J4932" s="1">
        <f>VALUE(4767)</f>
        <v>4767</v>
      </c>
      <c r="K4932" s="1">
        <f>VALUE(6372)</f>
        <v>6372</v>
      </c>
      <c r="L4932" s="1">
        <f>VALUE(7925)</f>
        <v>7925</v>
      </c>
      <c r="M4932" s="1">
        <f>VALUE(10392)</f>
        <v>10392</v>
      </c>
      <c r="N4932" t="s">
        <v>25</v>
      </c>
    </row>
    <row r="4933" spans="1:14" x14ac:dyDescent="0.25">
      <c r="A4933" t="s">
        <v>41</v>
      </c>
      <c r="B4933" t="s">
        <v>40</v>
      </c>
      <c r="C4933" t="s">
        <v>37</v>
      </c>
      <c r="D4933" t="s">
        <v>28</v>
      </c>
      <c r="E4933" t="s">
        <v>21</v>
      </c>
      <c r="F4933" t="s">
        <v>17</v>
      </c>
      <c r="G4933" s="2">
        <f>VALUE(827.266221034)</f>
        <v>827.26622103399995</v>
      </c>
      <c r="H4933" s="3">
        <f>VALUE(663.0448555939)</f>
        <v>663.04485559390002</v>
      </c>
      <c r="I4933" s="4">
        <f>VALUE(3777)</f>
        <v>3777</v>
      </c>
      <c r="J4933" s="5">
        <f>VALUE(4857)</f>
        <v>4857</v>
      </c>
      <c r="K4933" s="6">
        <f>VALUE(6793)</f>
        <v>6793</v>
      </c>
      <c r="L4933" s="7">
        <f>VALUE(9276)</f>
        <v>9276</v>
      </c>
      <c r="M4933" s="8">
        <f>VALUE(13000)</f>
        <v>13000</v>
      </c>
      <c r="N4933" t="s">
        <v>24</v>
      </c>
    </row>
    <row r="4934" spans="1:14" x14ac:dyDescent="0.25">
      <c r="A4934" t="s">
        <v>41</v>
      </c>
      <c r="B4934" t="s">
        <v>40</v>
      </c>
      <c r="C4934" t="s">
        <v>37</v>
      </c>
      <c r="D4934" t="s">
        <v>28</v>
      </c>
      <c r="E4934" t="s">
        <v>21</v>
      </c>
      <c r="F4934" t="s">
        <v>18</v>
      </c>
      <c r="G4934" s="2">
        <f>VALUE(705.8100102706)</f>
        <v>705.81001027059995</v>
      </c>
      <c r="H4934" s="3">
        <f>VALUE(462.6439224686)</f>
        <v>462.64392246860001</v>
      </c>
      <c r="I4934" s="4">
        <f>VALUE(4006)</f>
        <v>4006</v>
      </c>
      <c r="J4934" s="5">
        <f>VALUE(5200)</f>
        <v>5200</v>
      </c>
      <c r="K4934" s="1">
        <f>VALUE(6371)</f>
        <v>6371</v>
      </c>
      <c r="L4934" s="1">
        <f>VALUE(7769)</f>
        <v>7769</v>
      </c>
      <c r="M4934" s="8">
        <f>VALUE(8839)</f>
        <v>8839</v>
      </c>
      <c r="N4934" t="s">
        <v>25</v>
      </c>
    </row>
    <row r="4935" spans="1:14" x14ac:dyDescent="0.25">
      <c r="A4935" t="s">
        <v>41</v>
      </c>
      <c r="B4935" t="s">
        <v>40</v>
      </c>
      <c r="C4935" t="s">
        <v>37</v>
      </c>
      <c r="D4935" t="s">
        <v>28</v>
      </c>
      <c r="E4935" t="s">
        <v>21</v>
      </c>
      <c r="F4935" t="s">
        <v>19</v>
      </c>
      <c r="G4935" s="2">
        <f>VALUE(405.8172346259)</f>
        <v>405.81723462590003</v>
      </c>
      <c r="H4935" s="3">
        <f>VALUE(249.3604885317)</f>
        <v>249.36048853170001</v>
      </c>
      <c r="I4935" s="1">
        <f>VALUE(4168)</f>
        <v>4168</v>
      </c>
      <c r="J4935" s="1">
        <f>VALUE(4740)</f>
        <v>4740</v>
      </c>
      <c r="K4935" s="1">
        <f>VALUE(5953)</f>
        <v>5953</v>
      </c>
      <c r="L4935" s="1">
        <f>VALUE(7373)</f>
        <v>7373</v>
      </c>
      <c r="M4935" s="8">
        <f>VALUE(8383)</f>
        <v>8383</v>
      </c>
      <c r="N4935" t="s">
        <v>25</v>
      </c>
    </row>
    <row r="4936" spans="1:14" x14ac:dyDescent="0.25">
      <c r="A4936" t="s">
        <v>41</v>
      </c>
      <c r="B4936" t="s">
        <v>40</v>
      </c>
      <c r="C4936" t="s">
        <v>37</v>
      </c>
      <c r="D4936" t="s">
        <v>28</v>
      </c>
      <c r="E4936" t="s">
        <v>21</v>
      </c>
      <c r="F4936" t="s">
        <v>20</v>
      </c>
      <c r="G4936" s="2">
        <f>VALUE(558.2812254753)</f>
        <v>558.28122547529995</v>
      </c>
      <c r="H4936" s="3">
        <f>VALUE(393.1512165386)</f>
        <v>393.15121653860001</v>
      </c>
      <c r="I4936" s="1">
        <f>VALUE(3734)</f>
        <v>3734</v>
      </c>
      <c r="J4936" s="1">
        <f>VALUE(4615)</f>
        <v>4615</v>
      </c>
      <c r="K4936" s="1">
        <f>VALUE(5710)</f>
        <v>5710</v>
      </c>
      <c r="L4936" s="1">
        <f>VALUE(7207)</f>
        <v>7207</v>
      </c>
      <c r="M4936" s="1">
        <f>VALUE(8586)</f>
        <v>8586</v>
      </c>
      <c r="N4936" t="s">
        <v>25</v>
      </c>
    </row>
    <row r="4937" spans="1:14" x14ac:dyDescent="0.25">
      <c r="A4937" t="s">
        <v>41</v>
      </c>
      <c r="B4937" t="s">
        <v>40</v>
      </c>
      <c r="C4937" t="s">
        <v>37</v>
      </c>
      <c r="D4937" t="s">
        <v>28</v>
      </c>
      <c r="E4937" t="s">
        <v>22</v>
      </c>
      <c r="F4937" t="s">
        <v>15</v>
      </c>
      <c r="G4937" s="1">
        <f>VALUE(5292.812418715)</f>
        <v>5292.8124187149997</v>
      </c>
      <c r="H4937" s="1">
        <f>VALUE(3887.9134627859)</f>
        <v>3887.9134627858998</v>
      </c>
      <c r="I4937" s="1">
        <f>VALUE(3772)</f>
        <v>3772</v>
      </c>
      <c r="J4937" s="1">
        <f>VALUE(4438)</f>
        <v>4438</v>
      </c>
      <c r="K4937" s="1">
        <f>VALUE(5285)</f>
        <v>5285</v>
      </c>
      <c r="L4937" s="1">
        <f>VALUE(6392)</f>
        <v>6392</v>
      </c>
      <c r="M4937" s="1">
        <f>VALUE(7557)</f>
        <v>7557</v>
      </c>
      <c r="N4937" t="s">
        <v>16</v>
      </c>
    </row>
    <row r="4938" spans="1:14" x14ac:dyDescent="0.25">
      <c r="A4938" t="s">
        <v>41</v>
      </c>
      <c r="B4938" t="s">
        <v>40</v>
      </c>
      <c r="C4938" t="s">
        <v>37</v>
      </c>
      <c r="D4938" t="s">
        <v>28</v>
      </c>
      <c r="E4938" t="s">
        <v>22</v>
      </c>
      <c r="F4938" t="s">
        <v>17</v>
      </c>
      <c r="G4938" s="2">
        <f>VALUE(590.2631010102)</f>
        <v>590.26310101019999</v>
      </c>
      <c r="H4938" s="3">
        <f>VALUE(504.8992283915)</f>
        <v>504.8992283915</v>
      </c>
      <c r="I4938" s="4">
        <f>VALUE(3356)</f>
        <v>3356</v>
      </c>
      <c r="J4938" s="5">
        <f>VALUE(4445)</f>
        <v>4445</v>
      </c>
      <c r="K4938" s="6">
        <f>VALUE(5833)</f>
        <v>5833</v>
      </c>
      <c r="L4938" s="1">
        <f>VALUE(7406)</f>
        <v>7406</v>
      </c>
      <c r="M4938" s="8">
        <f>VALUE(9100)</f>
        <v>9100</v>
      </c>
      <c r="N4938" t="s">
        <v>25</v>
      </c>
    </row>
    <row r="4939" spans="1:14" x14ac:dyDescent="0.25">
      <c r="A4939" t="s">
        <v>41</v>
      </c>
      <c r="B4939" t="s">
        <v>40</v>
      </c>
      <c r="C4939" t="s">
        <v>37</v>
      </c>
      <c r="D4939" t="s">
        <v>28</v>
      </c>
      <c r="E4939" t="s">
        <v>22</v>
      </c>
      <c r="F4939" t="s">
        <v>18</v>
      </c>
      <c r="G4939" s="2">
        <f>VALUE(865.6285584489)</f>
        <v>865.62855844889998</v>
      </c>
      <c r="H4939" s="3">
        <f>VALUE(657.7921015281)</f>
        <v>657.79210152810003</v>
      </c>
      <c r="I4939" s="4">
        <f>VALUE(4160)</f>
        <v>4160</v>
      </c>
      <c r="J4939" s="1">
        <f>VALUE(4692)</f>
        <v>4692</v>
      </c>
      <c r="K4939" s="1">
        <f>VALUE(5418)</f>
        <v>5418</v>
      </c>
      <c r="L4939" s="1">
        <f>VALUE(6758)</f>
        <v>6758</v>
      </c>
      <c r="M4939" s="1">
        <f>VALUE(7893)</f>
        <v>7893</v>
      </c>
      <c r="N4939" t="s">
        <v>25</v>
      </c>
    </row>
    <row r="4940" spans="1:14" x14ac:dyDescent="0.25">
      <c r="A4940" t="s">
        <v>41</v>
      </c>
      <c r="B4940" t="s">
        <v>40</v>
      </c>
      <c r="C4940" t="s">
        <v>37</v>
      </c>
      <c r="D4940" t="s">
        <v>28</v>
      </c>
      <c r="E4940" t="s">
        <v>22</v>
      </c>
      <c r="F4940" t="s">
        <v>19</v>
      </c>
      <c r="G4940" s="2">
        <f>VALUE(843.0689268725)</f>
        <v>843.06892687250001</v>
      </c>
      <c r="H4940" s="3">
        <f>VALUE(646.4098115669)</f>
        <v>646.40981156689998</v>
      </c>
      <c r="I4940" s="1">
        <f>VALUE(4171)</f>
        <v>4171</v>
      </c>
      <c r="J4940" s="1">
        <f>VALUE(4700)</f>
        <v>4700</v>
      </c>
      <c r="K4940" s="1">
        <f>VALUE(5416)</f>
        <v>5416</v>
      </c>
      <c r="L4940" s="1">
        <f>VALUE(6485)</f>
        <v>6485</v>
      </c>
      <c r="M4940" s="8">
        <f>VALUE(7655)</f>
        <v>7655</v>
      </c>
      <c r="N4940" t="s">
        <v>25</v>
      </c>
    </row>
    <row r="4941" spans="1:14" x14ac:dyDescent="0.25">
      <c r="A4941" t="s">
        <v>41</v>
      </c>
      <c r="B4941" t="s">
        <v>40</v>
      </c>
      <c r="C4941" t="s">
        <v>37</v>
      </c>
      <c r="D4941" t="s">
        <v>28</v>
      </c>
      <c r="E4941" t="s">
        <v>22</v>
      </c>
      <c r="F4941" t="s">
        <v>20</v>
      </c>
      <c r="G4941" s="1">
        <f>VALUE(2993.8518323834)</f>
        <v>2993.8518323834001</v>
      </c>
      <c r="H4941" s="1">
        <f>VALUE(2078.8123212994)</f>
        <v>2078.8123212994001</v>
      </c>
      <c r="I4941" s="1">
        <f>VALUE(3587)</f>
        <v>3587</v>
      </c>
      <c r="J4941" s="1">
        <f>VALUE(4333)</f>
        <v>4333</v>
      </c>
      <c r="K4941" s="1">
        <f>VALUE(5173)</f>
        <v>5173</v>
      </c>
      <c r="L4941" s="1">
        <f>VALUE(6094)</f>
        <v>6094</v>
      </c>
      <c r="M4941" s="1">
        <f>VALUE(7105)</f>
        <v>7105</v>
      </c>
      <c r="N4941" t="s">
        <v>16</v>
      </c>
    </row>
    <row r="4942" spans="1:14" x14ac:dyDescent="0.25">
      <c r="A4942" t="s">
        <v>41</v>
      </c>
      <c r="B4942" t="s">
        <v>40</v>
      </c>
      <c r="C4942" t="s">
        <v>37</v>
      </c>
      <c r="D4942" t="s">
        <v>28</v>
      </c>
      <c r="E4942" t="s">
        <v>23</v>
      </c>
      <c r="F4942" t="s">
        <v>15</v>
      </c>
      <c r="G4942" s="1">
        <f>VALUE(1953.3134245898)</f>
        <v>1953.3134245898</v>
      </c>
      <c r="H4942" s="1">
        <f>VALUE(1345.3561009774)</f>
        <v>1345.3561009774</v>
      </c>
      <c r="I4942" s="1">
        <f>VALUE(3116)</f>
        <v>3116</v>
      </c>
      <c r="J4942" s="1">
        <f>VALUE(3578)</f>
        <v>3578</v>
      </c>
      <c r="K4942" s="1">
        <f>VALUE(4078)</f>
        <v>4078</v>
      </c>
      <c r="L4942" s="1">
        <f>VALUE(4701)</f>
        <v>4701</v>
      </c>
      <c r="M4942" s="1">
        <f>VALUE(5465)</f>
        <v>5465</v>
      </c>
      <c r="N4942" t="s">
        <v>16</v>
      </c>
    </row>
    <row r="4943" spans="1:14" x14ac:dyDescent="0.25">
      <c r="A4943" t="s">
        <v>41</v>
      </c>
      <c r="B4943" t="s">
        <v>40</v>
      </c>
      <c r="C4943" t="s">
        <v>37</v>
      </c>
      <c r="D4943" t="s">
        <v>28</v>
      </c>
      <c r="E4943" t="s">
        <v>23</v>
      </c>
      <c r="F4943" t="s">
        <v>17</v>
      </c>
      <c r="G4943" s="1" t="str">
        <f t="shared" ref="G4943:M4944" si="1068">"X"</f>
        <v>X</v>
      </c>
      <c r="H4943" s="1" t="str">
        <f t="shared" si="1068"/>
        <v>X</v>
      </c>
      <c r="I4943" s="1" t="str">
        <f t="shared" si="1068"/>
        <v>X</v>
      </c>
      <c r="J4943" s="1" t="str">
        <f t="shared" si="1068"/>
        <v>X</v>
      </c>
      <c r="K4943" s="1" t="str">
        <f t="shared" si="1068"/>
        <v>X</v>
      </c>
      <c r="L4943" s="1" t="str">
        <f t="shared" si="1068"/>
        <v>X</v>
      </c>
      <c r="M4943" s="1" t="str">
        <f t="shared" si="1068"/>
        <v>X</v>
      </c>
      <c r="N4943" t="s">
        <v>27</v>
      </c>
    </row>
    <row r="4944" spans="1:14" x14ac:dyDescent="0.25">
      <c r="A4944" t="s">
        <v>41</v>
      </c>
      <c r="B4944" t="s">
        <v>40</v>
      </c>
      <c r="C4944" t="s">
        <v>37</v>
      </c>
      <c r="D4944" t="s">
        <v>28</v>
      </c>
      <c r="E4944" t="s">
        <v>23</v>
      </c>
      <c r="F4944" t="s">
        <v>18</v>
      </c>
      <c r="G4944" s="1" t="str">
        <f t="shared" si="1068"/>
        <v>X</v>
      </c>
      <c r="H4944" s="1" t="str">
        <f t="shared" si="1068"/>
        <v>X</v>
      </c>
      <c r="I4944" s="1" t="str">
        <f t="shared" si="1068"/>
        <v>X</v>
      </c>
      <c r="J4944" s="1" t="str">
        <f t="shared" si="1068"/>
        <v>X</v>
      </c>
      <c r="K4944" s="1" t="str">
        <f t="shared" si="1068"/>
        <v>X</v>
      </c>
      <c r="L4944" s="1" t="str">
        <f t="shared" si="1068"/>
        <v>X</v>
      </c>
      <c r="M4944" s="1" t="str">
        <f t="shared" si="1068"/>
        <v>X</v>
      </c>
      <c r="N4944" t="s">
        <v>27</v>
      </c>
    </row>
    <row r="4945" spans="1:14" x14ac:dyDescent="0.25">
      <c r="A4945" t="s">
        <v>41</v>
      </c>
      <c r="B4945" t="s">
        <v>40</v>
      </c>
      <c r="C4945" t="s">
        <v>37</v>
      </c>
      <c r="D4945" t="s">
        <v>28</v>
      </c>
      <c r="E4945" t="s">
        <v>23</v>
      </c>
      <c r="F4945" t="s">
        <v>19</v>
      </c>
      <c r="G4945" s="2">
        <f>VALUE(107.1181782194)</f>
        <v>107.11817821939999</v>
      </c>
      <c r="H4945" s="3">
        <f>VALUE(92.7349067678)</f>
        <v>92.734906767799998</v>
      </c>
      <c r="I4945" s="1">
        <f>VALUE(3250)</f>
        <v>3250</v>
      </c>
      <c r="J4945" s="1">
        <f>VALUE(3293)</f>
        <v>3293</v>
      </c>
      <c r="K4945" s="1">
        <f>VALUE(4117)</f>
        <v>4117</v>
      </c>
      <c r="L4945" s="1">
        <f>VALUE(4404)</f>
        <v>4404</v>
      </c>
      <c r="M4945" s="1">
        <f>VALUE(5443)</f>
        <v>5443</v>
      </c>
      <c r="N4945" t="s">
        <v>25</v>
      </c>
    </row>
    <row r="4946" spans="1:14" x14ac:dyDescent="0.25">
      <c r="A4946" t="s">
        <v>41</v>
      </c>
      <c r="B4946" t="s">
        <v>40</v>
      </c>
      <c r="C4946" t="s">
        <v>37</v>
      </c>
      <c r="D4946" t="s">
        <v>28</v>
      </c>
      <c r="E4946" t="s">
        <v>23</v>
      </c>
      <c r="F4946" t="s">
        <v>20</v>
      </c>
      <c r="G4946" s="1">
        <f>VALUE(1656.9913444979)</f>
        <v>1656.9913444978999</v>
      </c>
      <c r="H4946" s="3">
        <f>VALUE(1113.4881922628)</f>
        <v>1113.4881922628001</v>
      </c>
      <c r="I4946" s="1">
        <f>VALUE(3116)</f>
        <v>3116</v>
      </c>
      <c r="J4946" s="1">
        <f>VALUE(3611)</f>
        <v>3611</v>
      </c>
      <c r="K4946" s="1">
        <f>VALUE(4071)</f>
        <v>4071</v>
      </c>
      <c r="L4946" s="1">
        <f>VALUE(4643)</f>
        <v>4643</v>
      </c>
      <c r="M4946" s="1">
        <f>VALUE(5206)</f>
        <v>5206</v>
      </c>
      <c r="N4946" t="s">
        <v>25</v>
      </c>
    </row>
    <row r="4947" spans="1:14" x14ac:dyDescent="0.25">
      <c r="A4947" t="s">
        <v>41</v>
      </c>
      <c r="B4947" t="s">
        <v>40</v>
      </c>
      <c r="C4947" t="s">
        <v>37</v>
      </c>
      <c r="D4947" t="s">
        <v>28</v>
      </c>
      <c r="E4947" t="s">
        <v>26</v>
      </c>
      <c r="F4947" t="s">
        <v>15</v>
      </c>
      <c r="G4947" s="1" t="str">
        <f t="shared" ref="G4947:M4951" si="1069">"X"</f>
        <v>X</v>
      </c>
      <c r="H4947" s="1" t="str">
        <f t="shared" si="1069"/>
        <v>X</v>
      </c>
      <c r="I4947" s="1" t="str">
        <f t="shared" si="1069"/>
        <v>X</v>
      </c>
      <c r="J4947" s="1" t="str">
        <f t="shared" si="1069"/>
        <v>X</v>
      </c>
      <c r="K4947" s="1" t="str">
        <f t="shared" si="1069"/>
        <v>X</v>
      </c>
      <c r="L4947" s="1" t="str">
        <f t="shared" si="1069"/>
        <v>X</v>
      </c>
      <c r="M4947" s="1" t="str">
        <f t="shared" si="1069"/>
        <v>X</v>
      </c>
      <c r="N4947" t="s">
        <v>27</v>
      </c>
    </row>
    <row r="4948" spans="1:14" x14ac:dyDescent="0.25">
      <c r="A4948" t="s">
        <v>41</v>
      </c>
      <c r="B4948" t="s">
        <v>40</v>
      </c>
      <c r="C4948" t="s">
        <v>37</v>
      </c>
      <c r="D4948" t="s">
        <v>28</v>
      </c>
      <c r="E4948" t="s">
        <v>26</v>
      </c>
      <c r="F4948" t="s">
        <v>17</v>
      </c>
      <c r="G4948" s="1" t="str">
        <f t="shared" si="1069"/>
        <v>X</v>
      </c>
      <c r="H4948" s="1" t="str">
        <f t="shared" si="1069"/>
        <v>X</v>
      </c>
      <c r="I4948" s="1" t="str">
        <f t="shared" si="1069"/>
        <v>X</v>
      </c>
      <c r="J4948" s="1" t="str">
        <f t="shared" si="1069"/>
        <v>X</v>
      </c>
      <c r="K4948" s="1" t="str">
        <f t="shared" si="1069"/>
        <v>X</v>
      </c>
      <c r="L4948" s="1" t="str">
        <f t="shared" si="1069"/>
        <v>X</v>
      </c>
      <c r="M4948" s="1" t="str">
        <f t="shared" si="1069"/>
        <v>X</v>
      </c>
      <c r="N4948" t="s">
        <v>27</v>
      </c>
    </row>
    <row r="4949" spans="1:14" x14ac:dyDescent="0.25">
      <c r="A4949" t="s">
        <v>41</v>
      </c>
      <c r="B4949" t="s">
        <v>40</v>
      </c>
      <c r="C4949" t="s">
        <v>37</v>
      </c>
      <c r="D4949" t="s">
        <v>28</v>
      </c>
      <c r="E4949" t="s">
        <v>26</v>
      </c>
      <c r="F4949" t="s">
        <v>18</v>
      </c>
      <c r="G4949" s="1" t="str">
        <f t="shared" si="1069"/>
        <v>X</v>
      </c>
      <c r="H4949" s="1" t="str">
        <f t="shared" si="1069"/>
        <v>X</v>
      </c>
      <c r="I4949" s="1" t="str">
        <f t="shared" si="1069"/>
        <v>X</v>
      </c>
      <c r="J4949" s="1" t="str">
        <f t="shared" si="1069"/>
        <v>X</v>
      </c>
      <c r="K4949" s="1" t="str">
        <f t="shared" si="1069"/>
        <v>X</v>
      </c>
      <c r="L4949" s="1" t="str">
        <f t="shared" si="1069"/>
        <v>X</v>
      </c>
      <c r="M4949" s="1" t="str">
        <f t="shared" si="1069"/>
        <v>X</v>
      </c>
      <c r="N4949" t="s">
        <v>27</v>
      </c>
    </row>
    <row r="4950" spans="1:14" x14ac:dyDescent="0.25">
      <c r="A4950" t="s">
        <v>41</v>
      </c>
      <c r="B4950" t="s">
        <v>40</v>
      </c>
      <c r="C4950" t="s">
        <v>37</v>
      </c>
      <c r="D4950" t="s">
        <v>28</v>
      </c>
      <c r="E4950" t="s">
        <v>26</v>
      </c>
      <c r="F4950" t="s">
        <v>19</v>
      </c>
      <c r="G4950" s="1" t="str">
        <f t="shared" si="1069"/>
        <v>X</v>
      </c>
      <c r="H4950" s="1" t="str">
        <f t="shared" si="1069"/>
        <v>X</v>
      </c>
      <c r="I4950" s="1" t="str">
        <f t="shared" si="1069"/>
        <v>X</v>
      </c>
      <c r="J4950" s="1" t="str">
        <f t="shared" si="1069"/>
        <v>X</v>
      </c>
      <c r="K4950" s="1" t="str">
        <f t="shared" si="1069"/>
        <v>X</v>
      </c>
      <c r="L4950" s="1" t="str">
        <f t="shared" si="1069"/>
        <v>X</v>
      </c>
      <c r="M4950" s="1" t="str">
        <f t="shared" si="1069"/>
        <v>X</v>
      </c>
      <c r="N4950" t="s">
        <v>27</v>
      </c>
    </row>
    <row r="4951" spans="1:14" x14ac:dyDescent="0.25">
      <c r="A4951" t="s">
        <v>41</v>
      </c>
      <c r="B4951" t="s">
        <v>40</v>
      </c>
      <c r="C4951" t="s">
        <v>37</v>
      </c>
      <c r="D4951" t="s">
        <v>28</v>
      </c>
      <c r="E4951" t="s">
        <v>26</v>
      </c>
      <c r="F4951" t="s">
        <v>20</v>
      </c>
      <c r="G4951" s="1" t="str">
        <f t="shared" si="1069"/>
        <v>X</v>
      </c>
      <c r="H4951" s="1" t="str">
        <f t="shared" si="1069"/>
        <v>X</v>
      </c>
      <c r="I4951" s="1" t="str">
        <f t="shared" si="1069"/>
        <v>X</v>
      </c>
      <c r="J4951" s="1" t="str">
        <f t="shared" si="1069"/>
        <v>X</v>
      </c>
      <c r="K4951" s="1" t="str">
        <f t="shared" si="1069"/>
        <v>X</v>
      </c>
      <c r="L4951" s="1" t="str">
        <f t="shared" si="1069"/>
        <v>X</v>
      </c>
      <c r="M4951" s="1" t="str">
        <f t="shared" si="1069"/>
        <v>X</v>
      </c>
      <c r="N4951" t="s">
        <v>27</v>
      </c>
    </row>
    <row r="4952" spans="1:14" x14ac:dyDescent="0.25">
      <c r="A4952" t="s">
        <v>41</v>
      </c>
      <c r="B4952" t="s">
        <v>40</v>
      </c>
      <c r="C4952" t="s">
        <v>37</v>
      </c>
      <c r="D4952" t="s">
        <v>29</v>
      </c>
      <c r="E4952" t="s">
        <v>15</v>
      </c>
      <c r="F4952" t="s">
        <v>15</v>
      </c>
      <c r="G4952" s="1">
        <f>VALUE(3011.375104059)</f>
        <v>3011.375104059</v>
      </c>
      <c r="H4952" s="1">
        <f>VALUE(2353.9187958436)</f>
        <v>2353.9187958436</v>
      </c>
      <c r="I4952" s="1">
        <f>VALUE(3196)</f>
        <v>3196</v>
      </c>
      <c r="J4952" s="1">
        <f>VALUE(3560)</f>
        <v>3560</v>
      </c>
      <c r="K4952" s="1">
        <f>VALUE(4333)</f>
        <v>4333</v>
      </c>
      <c r="L4952" s="1">
        <f>VALUE(5572)</f>
        <v>5572</v>
      </c>
      <c r="M4952" s="1">
        <f>VALUE(7804)</f>
        <v>7804</v>
      </c>
      <c r="N4952" t="s">
        <v>16</v>
      </c>
    </row>
    <row r="4953" spans="1:14" x14ac:dyDescent="0.25">
      <c r="A4953" t="s">
        <v>41</v>
      </c>
      <c r="B4953" t="s">
        <v>40</v>
      </c>
      <c r="C4953" t="s">
        <v>37</v>
      </c>
      <c r="D4953" t="s">
        <v>29</v>
      </c>
      <c r="E4953" t="s">
        <v>15</v>
      </c>
      <c r="F4953" t="s">
        <v>17</v>
      </c>
      <c r="G4953" s="2">
        <f>VALUE(335.6496075732)</f>
        <v>335.6496075732</v>
      </c>
      <c r="H4953" s="3">
        <f>VALUE(310.2289114433)</f>
        <v>310.22891144329998</v>
      </c>
      <c r="I4953" s="4">
        <f>VALUE(4267)</f>
        <v>4267</v>
      </c>
      <c r="J4953" s="5">
        <f>VALUE(5150)</f>
        <v>5150</v>
      </c>
      <c r="K4953" s="6">
        <f>VALUE(6015)</f>
        <v>6015</v>
      </c>
      <c r="L4953" s="7">
        <f>VALUE(8769)</f>
        <v>8769</v>
      </c>
      <c r="M4953" s="1">
        <f>VALUE(12698)</f>
        <v>12698</v>
      </c>
      <c r="N4953" t="s">
        <v>25</v>
      </c>
    </row>
    <row r="4954" spans="1:14" x14ac:dyDescent="0.25">
      <c r="A4954" t="s">
        <v>41</v>
      </c>
      <c r="B4954" t="s">
        <v>40</v>
      </c>
      <c r="C4954" t="s">
        <v>37</v>
      </c>
      <c r="D4954" t="s">
        <v>29</v>
      </c>
      <c r="E4954" t="s">
        <v>15</v>
      </c>
      <c r="F4954" t="s">
        <v>18</v>
      </c>
      <c r="G4954" s="2">
        <f>VALUE(263.5147242583)</f>
        <v>263.51472425830002</v>
      </c>
      <c r="H4954" s="3">
        <f>VALUE(197.6346282561)</f>
        <v>197.6346282561</v>
      </c>
      <c r="I4954" s="1">
        <f>VALUE(3467)</f>
        <v>3467</v>
      </c>
      <c r="J4954" s="1">
        <f>VALUE(4839)</f>
        <v>4839</v>
      </c>
      <c r="K4954" s="6">
        <f>VALUE(6316)</f>
        <v>6316</v>
      </c>
      <c r="L4954" s="1">
        <f>VALUE(7993)</f>
        <v>7993</v>
      </c>
      <c r="M4954" s="1">
        <f>VALUE(10196)</f>
        <v>10196</v>
      </c>
      <c r="N4954" t="s">
        <v>25</v>
      </c>
    </row>
    <row r="4955" spans="1:14" x14ac:dyDescent="0.25">
      <c r="A4955" t="s">
        <v>41</v>
      </c>
      <c r="B4955" t="s">
        <v>40</v>
      </c>
      <c r="C4955" t="s">
        <v>37</v>
      </c>
      <c r="D4955" t="s">
        <v>29</v>
      </c>
      <c r="E4955" t="s">
        <v>15</v>
      </c>
      <c r="F4955" t="s">
        <v>19</v>
      </c>
      <c r="G4955" s="2">
        <f>VALUE(334.3617435707)</f>
        <v>334.36174357070001</v>
      </c>
      <c r="H4955" s="3">
        <f>VALUE(268.925461863)</f>
        <v>268.92546186300001</v>
      </c>
      <c r="I4955" s="4">
        <f>VALUE(3295)</f>
        <v>3295</v>
      </c>
      <c r="J4955" s="5">
        <f>VALUE(3488)</f>
        <v>3488</v>
      </c>
      <c r="K4955" s="1">
        <f>VALUE(4464)</f>
        <v>4464</v>
      </c>
      <c r="L4955" s="1">
        <f>VALUE(5469)</f>
        <v>5469</v>
      </c>
      <c r="M4955" s="8">
        <f>VALUE(7101)</f>
        <v>7101</v>
      </c>
      <c r="N4955" t="s">
        <v>25</v>
      </c>
    </row>
    <row r="4956" spans="1:14" x14ac:dyDescent="0.25">
      <c r="A4956" t="s">
        <v>41</v>
      </c>
      <c r="B4956" t="s">
        <v>40</v>
      </c>
      <c r="C4956" t="s">
        <v>37</v>
      </c>
      <c r="D4956" t="s">
        <v>29</v>
      </c>
      <c r="E4956" t="s">
        <v>15</v>
      </c>
      <c r="F4956" t="s">
        <v>20</v>
      </c>
      <c r="G4956" s="1">
        <f>VALUE(2051.9156323308)</f>
        <v>2051.9156323307998</v>
      </c>
      <c r="H4956" s="1">
        <f>VALUE(1551.1963979552)</f>
        <v>1551.1963979551999</v>
      </c>
      <c r="I4956" s="1">
        <f>VALUE(3135)</f>
        <v>3135</v>
      </c>
      <c r="J4956" s="1">
        <f>VALUE(3438)</f>
        <v>3438</v>
      </c>
      <c r="K4956" s="1">
        <f>VALUE(3939)</f>
        <v>3939</v>
      </c>
      <c r="L4956" s="1">
        <f>VALUE(4912)</f>
        <v>4912</v>
      </c>
      <c r="M4956" s="1">
        <f>VALUE(6350)</f>
        <v>6350</v>
      </c>
      <c r="N4956" t="s">
        <v>16</v>
      </c>
    </row>
    <row r="4957" spans="1:14" x14ac:dyDescent="0.25">
      <c r="A4957" t="s">
        <v>41</v>
      </c>
      <c r="B4957" t="s">
        <v>40</v>
      </c>
      <c r="C4957" t="s">
        <v>37</v>
      </c>
      <c r="D4957" t="s">
        <v>29</v>
      </c>
      <c r="E4957" t="s">
        <v>21</v>
      </c>
      <c r="F4957" t="s">
        <v>15</v>
      </c>
      <c r="G4957" s="2">
        <f>VALUE(501.8725854065)</f>
        <v>501.87258540649998</v>
      </c>
      <c r="H4957" s="3">
        <f>VALUE(402.8254589832)</f>
        <v>402.82545898320001</v>
      </c>
      <c r="I4957" s="4">
        <f>VALUE(4232)</f>
        <v>4232</v>
      </c>
      <c r="J4957" s="1">
        <f>VALUE(5252)</f>
        <v>5252</v>
      </c>
      <c r="K4957" s="6">
        <f>VALUE(6717)</f>
        <v>6717</v>
      </c>
      <c r="L4957" s="7">
        <f>VALUE(8829)</f>
        <v>8829</v>
      </c>
      <c r="M4957" s="8">
        <f>VALUE(12320)</f>
        <v>12320</v>
      </c>
      <c r="N4957" t="s">
        <v>25</v>
      </c>
    </row>
    <row r="4958" spans="1:14" x14ac:dyDescent="0.25">
      <c r="A4958" t="s">
        <v>41</v>
      </c>
      <c r="B4958" t="s">
        <v>40</v>
      </c>
      <c r="C4958" t="s">
        <v>37</v>
      </c>
      <c r="D4958" t="s">
        <v>29</v>
      </c>
      <c r="E4958" t="s">
        <v>21</v>
      </c>
      <c r="F4958" t="s">
        <v>17</v>
      </c>
      <c r="G4958" s="2">
        <f>VALUE(164.9166811662)</f>
        <v>164.91668116619999</v>
      </c>
      <c r="H4958" s="3">
        <f>VALUE(145.9556662804)</f>
        <v>145.95566628040001</v>
      </c>
      <c r="I4958" s="4">
        <f>VALUE(5042)</f>
        <v>5042</v>
      </c>
      <c r="J4958" s="1">
        <f>VALUE(5479)</f>
        <v>5479</v>
      </c>
      <c r="K4958" s="6">
        <f>VALUE(8125)</f>
        <v>8125</v>
      </c>
      <c r="L4958" s="7">
        <f>VALUE(11698)</f>
        <v>11698</v>
      </c>
      <c r="M4958" s="8">
        <f>VALUE(13454)</f>
        <v>13454</v>
      </c>
      <c r="N4958" t="s">
        <v>25</v>
      </c>
    </row>
    <row r="4959" spans="1:14" x14ac:dyDescent="0.25">
      <c r="A4959" t="s">
        <v>41</v>
      </c>
      <c r="B4959" t="s">
        <v>40</v>
      </c>
      <c r="C4959" t="s">
        <v>37</v>
      </c>
      <c r="D4959" t="s">
        <v>29</v>
      </c>
      <c r="E4959" t="s">
        <v>21</v>
      </c>
      <c r="F4959" t="s">
        <v>18</v>
      </c>
      <c r="G4959" s="1" t="str">
        <f t="shared" ref="G4959:M4960" si="1070">"X"</f>
        <v>X</v>
      </c>
      <c r="H4959" s="1" t="str">
        <f t="shared" si="1070"/>
        <v>X</v>
      </c>
      <c r="I4959" s="1" t="str">
        <f t="shared" si="1070"/>
        <v>X</v>
      </c>
      <c r="J4959" s="1" t="str">
        <f t="shared" si="1070"/>
        <v>X</v>
      </c>
      <c r="K4959" s="1" t="str">
        <f t="shared" si="1070"/>
        <v>X</v>
      </c>
      <c r="L4959" s="1" t="str">
        <f t="shared" si="1070"/>
        <v>X</v>
      </c>
      <c r="M4959" s="1" t="str">
        <f t="shared" si="1070"/>
        <v>X</v>
      </c>
      <c r="N4959" t="s">
        <v>27</v>
      </c>
    </row>
    <row r="4960" spans="1:14" x14ac:dyDescent="0.25">
      <c r="A4960" t="s">
        <v>41</v>
      </c>
      <c r="B4960" t="s">
        <v>40</v>
      </c>
      <c r="C4960" t="s">
        <v>37</v>
      </c>
      <c r="D4960" t="s">
        <v>29</v>
      </c>
      <c r="E4960" t="s">
        <v>21</v>
      </c>
      <c r="F4960" t="s">
        <v>19</v>
      </c>
      <c r="G4960" s="1" t="str">
        <f t="shared" si="1070"/>
        <v>X</v>
      </c>
      <c r="H4960" s="1" t="str">
        <f t="shared" si="1070"/>
        <v>X</v>
      </c>
      <c r="I4960" s="1" t="str">
        <f t="shared" si="1070"/>
        <v>X</v>
      </c>
      <c r="J4960" s="1" t="str">
        <f t="shared" si="1070"/>
        <v>X</v>
      </c>
      <c r="K4960" s="1" t="str">
        <f t="shared" si="1070"/>
        <v>X</v>
      </c>
      <c r="L4960" s="1" t="str">
        <f t="shared" si="1070"/>
        <v>X</v>
      </c>
      <c r="M4960" s="1" t="str">
        <f t="shared" si="1070"/>
        <v>X</v>
      </c>
      <c r="N4960" t="s">
        <v>27</v>
      </c>
    </row>
    <row r="4961" spans="1:14" x14ac:dyDescent="0.25">
      <c r="A4961" t="s">
        <v>41</v>
      </c>
      <c r="B4961" t="s">
        <v>40</v>
      </c>
      <c r="C4961" t="s">
        <v>37</v>
      </c>
      <c r="D4961" t="s">
        <v>29</v>
      </c>
      <c r="E4961" t="s">
        <v>21</v>
      </c>
      <c r="F4961" t="s">
        <v>20</v>
      </c>
      <c r="G4961" s="2">
        <f>VALUE(144.1471051808)</f>
        <v>144.1471051808</v>
      </c>
      <c r="H4961" s="3">
        <f>VALUE(126.832136501)</f>
        <v>126.83213650099999</v>
      </c>
      <c r="I4961" s="4">
        <f>VALUE(4232)</f>
        <v>4232</v>
      </c>
      <c r="J4961" s="5">
        <f>VALUE(5119)</f>
        <v>5119</v>
      </c>
      <c r="K4961" s="1">
        <f>VALUE(6397)</f>
        <v>6397</v>
      </c>
      <c r="L4961" s="1">
        <f>VALUE(7437)</f>
        <v>7437</v>
      </c>
      <c r="M4961" s="1">
        <f>VALUE(8628)</f>
        <v>8628</v>
      </c>
      <c r="N4961" t="s">
        <v>25</v>
      </c>
    </row>
    <row r="4962" spans="1:14" x14ac:dyDescent="0.25">
      <c r="A4962" t="s">
        <v>41</v>
      </c>
      <c r="B4962" t="s">
        <v>40</v>
      </c>
      <c r="C4962" t="s">
        <v>37</v>
      </c>
      <c r="D4962" t="s">
        <v>29</v>
      </c>
      <c r="E4962" t="s">
        <v>22</v>
      </c>
      <c r="F4962" t="s">
        <v>15</v>
      </c>
      <c r="G4962" s="2">
        <f>VALUE(817.0258108158)</f>
        <v>817.02581081580001</v>
      </c>
      <c r="H4962" s="3">
        <f>VALUE(677.8024997692)</f>
        <v>677.80249976920004</v>
      </c>
      <c r="I4962" s="1">
        <f>VALUE(3765)</f>
        <v>3765</v>
      </c>
      <c r="J4962" s="1">
        <f>VALUE(4321)</f>
        <v>4321</v>
      </c>
      <c r="K4962" s="1">
        <f>VALUE(5055)</f>
        <v>5055</v>
      </c>
      <c r="L4962" s="1">
        <f>VALUE(5969)</f>
        <v>5969</v>
      </c>
      <c r="M4962" s="1">
        <f>VALUE(7606)</f>
        <v>7606</v>
      </c>
      <c r="N4962" t="s">
        <v>25</v>
      </c>
    </row>
    <row r="4963" spans="1:14" x14ac:dyDescent="0.25">
      <c r="A4963" t="s">
        <v>41</v>
      </c>
      <c r="B4963" t="s">
        <v>40</v>
      </c>
      <c r="C4963" t="s">
        <v>37</v>
      </c>
      <c r="D4963" t="s">
        <v>29</v>
      </c>
      <c r="E4963" t="s">
        <v>22</v>
      </c>
      <c r="F4963" t="s">
        <v>17</v>
      </c>
      <c r="G4963" s="1" t="str">
        <f t="shared" ref="G4963:M4965" si="1071">"X"</f>
        <v>X</v>
      </c>
      <c r="H4963" s="1" t="str">
        <f t="shared" si="1071"/>
        <v>X</v>
      </c>
      <c r="I4963" s="1" t="str">
        <f t="shared" si="1071"/>
        <v>X</v>
      </c>
      <c r="J4963" s="1" t="str">
        <f t="shared" si="1071"/>
        <v>X</v>
      </c>
      <c r="K4963" s="1" t="str">
        <f t="shared" si="1071"/>
        <v>X</v>
      </c>
      <c r="L4963" s="1" t="str">
        <f t="shared" si="1071"/>
        <v>X</v>
      </c>
      <c r="M4963" s="1" t="str">
        <f t="shared" si="1071"/>
        <v>X</v>
      </c>
      <c r="N4963" t="s">
        <v>27</v>
      </c>
    </row>
    <row r="4964" spans="1:14" x14ac:dyDescent="0.25">
      <c r="A4964" t="s">
        <v>41</v>
      </c>
      <c r="B4964" t="s">
        <v>40</v>
      </c>
      <c r="C4964" t="s">
        <v>37</v>
      </c>
      <c r="D4964" t="s">
        <v>29</v>
      </c>
      <c r="E4964" t="s">
        <v>22</v>
      </c>
      <c r="F4964" t="s">
        <v>18</v>
      </c>
      <c r="G4964" s="1" t="str">
        <f t="shared" si="1071"/>
        <v>X</v>
      </c>
      <c r="H4964" s="1" t="str">
        <f t="shared" si="1071"/>
        <v>X</v>
      </c>
      <c r="I4964" s="1" t="str">
        <f t="shared" si="1071"/>
        <v>X</v>
      </c>
      <c r="J4964" s="1" t="str">
        <f t="shared" si="1071"/>
        <v>X</v>
      </c>
      <c r="K4964" s="1" t="str">
        <f t="shared" si="1071"/>
        <v>X</v>
      </c>
      <c r="L4964" s="1" t="str">
        <f t="shared" si="1071"/>
        <v>X</v>
      </c>
      <c r="M4964" s="1" t="str">
        <f t="shared" si="1071"/>
        <v>X</v>
      </c>
      <c r="N4964" t="s">
        <v>27</v>
      </c>
    </row>
    <row r="4965" spans="1:14" x14ac:dyDescent="0.25">
      <c r="A4965" t="s">
        <v>41</v>
      </c>
      <c r="B4965" t="s">
        <v>40</v>
      </c>
      <c r="C4965" t="s">
        <v>37</v>
      </c>
      <c r="D4965" t="s">
        <v>29</v>
      </c>
      <c r="E4965" t="s">
        <v>22</v>
      </c>
      <c r="F4965" t="s">
        <v>19</v>
      </c>
      <c r="G4965" s="1" t="str">
        <f t="shared" si="1071"/>
        <v>X</v>
      </c>
      <c r="H4965" s="1" t="str">
        <f t="shared" si="1071"/>
        <v>X</v>
      </c>
      <c r="I4965" s="1" t="str">
        <f t="shared" si="1071"/>
        <v>X</v>
      </c>
      <c r="J4965" s="1" t="str">
        <f t="shared" si="1071"/>
        <v>X</v>
      </c>
      <c r="K4965" s="1" t="str">
        <f t="shared" si="1071"/>
        <v>X</v>
      </c>
      <c r="L4965" s="1" t="str">
        <f t="shared" si="1071"/>
        <v>X</v>
      </c>
      <c r="M4965" s="1" t="str">
        <f t="shared" si="1071"/>
        <v>X</v>
      </c>
      <c r="N4965" t="s">
        <v>27</v>
      </c>
    </row>
    <row r="4966" spans="1:14" x14ac:dyDescent="0.25">
      <c r="A4966" t="s">
        <v>41</v>
      </c>
      <c r="B4966" t="s">
        <v>40</v>
      </c>
      <c r="C4966" t="s">
        <v>37</v>
      </c>
      <c r="D4966" t="s">
        <v>29</v>
      </c>
      <c r="E4966" t="s">
        <v>22</v>
      </c>
      <c r="F4966" t="s">
        <v>20</v>
      </c>
      <c r="G4966" s="2">
        <f>VALUE(488.8961126755)</f>
        <v>488.89611267549998</v>
      </c>
      <c r="H4966" s="3">
        <f>VALUE(401.720858908)</f>
        <v>401.72085890800003</v>
      </c>
      <c r="I4966" s="1">
        <f>VALUE(3593)</f>
        <v>3593</v>
      </c>
      <c r="J4966" s="1">
        <f>VALUE(4017)</f>
        <v>4017</v>
      </c>
      <c r="K4966" s="1">
        <f>VALUE(4755)</f>
        <v>4755</v>
      </c>
      <c r="L4966" s="1">
        <f>VALUE(5604)</f>
        <v>5604</v>
      </c>
      <c r="M4966" s="1">
        <f>VALUE(6983)</f>
        <v>6983</v>
      </c>
      <c r="N4966" t="s">
        <v>25</v>
      </c>
    </row>
    <row r="4967" spans="1:14" x14ac:dyDescent="0.25">
      <c r="A4967" t="s">
        <v>41</v>
      </c>
      <c r="B4967" t="s">
        <v>40</v>
      </c>
      <c r="C4967" t="s">
        <v>37</v>
      </c>
      <c r="D4967" t="s">
        <v>29</v>
      </c>
      <c r="E4967" t="s">
        <v>23</v>
      </c>
      <c r="F4967" t="s">
        <v>15</v>
      </c>
      <c r="G4967" s="2">
        <f>VALUE(1633.1959130185)</f>
        <v>1633.1959130185001</v>
      </c>
      <c r="H4967" s="3">
        <f>VALUE(1214.8329615526)</f>
        <v>1214.8329615526</v>
      </c>
      <c r="I4967" s="1">
        <f>VALUE(3086)</f>
        <v>3086</v>
      </c>
      <c r="J4967" s="1">
        <f>VALUE(3309)</f>
        <v>3309</v>
      </c>
      <c r="K4967" s="1">
        <f>VALUE(3686)</f>
        <v>3686</v>
      </c>
      <c r="L4967" s="1">
        <f>VALUE(4155)</f>
        <v>4155</v>
      </c>
      <c r="M4967" s="1">
        <f>VALUE(4981)</f>
        <v>4981</v>
      </c>
      <c r="N4967" t="s">
        <v>25</v>
      </c>
    </row>
    <row r="4968" spans="1:14" x14ac:dyDescent="0.25">
      <c r="A4968" t="s">
        <v>41</v>
      </c>
      <c r="B4968" t="s">
        <v>40</v>
      </c>
      <c r="C4968" t="s">
        <v>37</v>
      </c>
      <c r="D4968" t="s">
        <v>29</v>
      </c>
      <c r="E4968" t="s">
        <v>23</v>
      </c>
      <c r="F4968" t="s">
        <v>17</v>
      </c>
      <c r="G4968" s="1" t="str">
        <f t="shared" ref="G4968:M4970" si="1072">"X"</f>
        <v>X</v>
      </c>
      <c r="H4968" s="1" t="str">
        <f t="shared" si="1072"/>
        <v>X</v>
      </c>
      <c r="I4968" s="1" t="str">
        <f t="shared" si="1072"/>
        <v>X</v>
      </c>
      <c r="J4968" s="1" t="str">
        <f t="shared" si="1072"/>
        <v>X</v>
      </c>
      <c r="K4968" s="1" t="str">
        <f t="shared" si="1072"/>
        <v>X</v>
      </c>
      <c r="L4968" s="1" t="str">
        <f t="shared" si="1072"/>
        <v>X</v>
      </c>
      <c r="M4968" s="1" t="str">
        <f t="shared" si="1072"/>
        <v>X</v>
      </c>
      <c r="N4968" t="s">
        <v>27</v>
      </c>
    </row>
    <row r="4969" spans="1:14" x14ac:dyDescent="0.25">
      <c r="A4969" t="s">
        <v>41</v>
      </c>
      <c r="B4969" t="s">
        <v>40</v>
      </c>
      <c r="C4969" t="s">
        <v>37</v>
      </c>
      <c r="D4969" t="s">
        <v>29</v>
      </c>
      <c r="E4969" t="s">
        <v>23</v>
      </c>
      <c r="F4969" t="s">
        <v>18</v>
      </c>
      <c r="G4969" s="1" t="str">
        <f t="shared" si="1072"/>
        <v>X</v>
      </c>
      <c r="H4969" s="1" t="str">
        <f t="shared" si="1072"/>
        <v>X</v>
      </c>
      <c r="I4969" s="1" t="str">
        <f t="shared" si="1072"/>
        <v>X</v>
      </c>
      <c r="J4969" s="1" t="str">
        <f t="shared" si="1072"/>
        <v>X</v>
      </c>
      <c r="K4969" s="1" t="str">
        <f t="shared" si="1072"/>
        <v>X</v>
      </c>
      <c r="L4969" s="1" t="str">
        <f t="shared" si="1072"/>
        <v>X</v>
      </c>
      <c r="M4969" s="1" t="str">
        <f t="shared" si="1072"/>
        <v>X</v>
      </c>
      <c r="N4969" t="s">
        <v>27</v>
      </c>
    </row>
    <row r="4970" spans="1:14" x14ac:dyDescent="0.25">
      <c r="A4970" t="s">
        <v>41</v>
      </c>
      <c r="B4970" t="s">
        <v>40</v>
      </c>
      <c r="C4970" t="s">
        <v>37</v>
      </c>
      <c r="D4970" t="s">
        <v>29</v>
      </c>
      <c r="E4970" t="s">
        <v>23</v>
      </c>
      <c r="F4970" t="s">
        <v>19</v>
      </c>
      <c r="G4970" s="1" t="str">
        <f t="shared" si="1072"/>
        <v>X</v>
      </c>
      <c r="H4970" s="1" t="str">
        <f t="shared" si="1072"/>
        <v>X</v>
      </c>
      <c r="I4970" s="1" t="str">
        <f t="shared" si="1072"/>
        <v>X</v>
      </c>
      <c r="J4970" s="1" t="str">
        <f t="shared" si="1072"/>
        <v>X</v>
      </c>
      <c r="K4970" s="1" t="str">
        <f t="shared" si="1072"/>
        <v>X</v>
      </c>
      <c r="L4970" s="1" t="str">
        <f t="shared" si="1072"/>
        <v>X</v>
      </c>
      <c r="M4970" s="1" t="str">
        <f t="shared" si="1072"/>
        <v>X</v>
      </c>
      <c r="N4970" t="s">
        <v>27</v>
      </c>
    </row>
    <row r="4971" spans="1:14" x14ac:dyDescent="0.25">
      <c r="A4971" t="s">
        <v>41</v>
      </c>
      <c r="B4971" t="s">
        <v>40</v>
      </c>
      <c r="C4971" t="s">
        <v>37</v>
      </c>
      <c r="D4971" t="s">
        <v>29</v>
      </c>
      <c r="E4971" t="s">
        <v>23</v>
      </c>
      <c r="F4971" t="s">
        <v>20</v>
      </c>
      <c r="G4971" s="2">
        <f>VALUE(1401.5963619191)</f>
        <v>1401.5963619191</v>
      </c>
      <c r="H4971" s="3">
        <f>VALUE(1006.3802033584)</f>
        <v>1006.3802033584</v>
      </c>
      <c r="I4971" s="1">
        <f>VALUE(3050)</f>
        <v>3050</v>
      </c>
      <c r="J4971" s="1">
        <f>VALUE(3300)</f>
        <v>3300</v>
      </c>
      <c r="K4971" s="1">
        <f>VALUE(3645)</f>
        <v>3645</v>
      </c>
      <c r="L4971" s="1">
        <f>VALUE(4107)</f>
        <v>4107</v>
      </c>
      <c r="M4971" s="1">
        <f>VALUE(4831)</f>
        <v>4831</v>
      </c>
      <c r="N4971" t="s">
        <v>25</v>
      </c>
    </row>
    <row r="4972" spans="1:14" x14ac:dyDescent="0.25">
      <c r="A4972" t="s">
        <v>41</v>
      </c>
      <c r="B4972" t="s">
        <v>40</v>
      </c>
      <c r="C4972" t="s">
        <v>37</v>
      </c>
      <c r="D4972" t="s">
        <v>29</v>
      </c>
      <c r="E4972" t="s">
        <v>26</v>
      </c>
      <c r="F4972" t="s">
        <v>15</v>
      </c>
      <c r="G4972" s="1" t="str">
        <f t="shared" ref="G4972:M4974" si="1073">"X"</f>
        <v>X</v>
      </c>
      <c r="H4972" s="1" t="str">
        <f t="shared" si="1073"/>
        <v>X</v>
      </c>
      <c r="I4972" s="1" t="str">
        <f t="shared" si="1073"/>
        <v>X</v>
      </c>
      <c r="J4972" s="1" t="str">
        <f t="shared" si="1073"/>
        <v>X</v>
      </c>
      <c r="K4972" s="1" t="str">
        <f t="shared" si="1073"/>
        <v>X</v>
      </c>
      <c r="L4972" s="1" t="str">
        <f t="shared" si="1073"/>
        <v>X</v>
      </c>
      <c r="M4972" s="1" t="str">
        <f t="shared" si="1073"/>
        <v>X</v>
      </c>
      <c r="N4972" t="s">
        <v>27</v>
      </c>
    </row>
    <row r="4973" spans="1:14" x14ac:dyDescent="0.25">
      <c r="A4973" t="s">
        <v>41</v>
      </c>
      <c r="B4973" t="s">
        <v>40</v>
      </c>
      <c r="C4973" t="s">
        <v>37</v>
      </c>
      <c r="D4973" t="s">
        <v>29</v>
      </c>
      <c r="E4973" t="s">
        <v>26</v>
      </c>
      <c r="F4973" t="s">
        <v>17</v>
      </c>
      <c r="G4973" s="1" t="str">
        <f t="shared" si="1073"/>
        <v>X</v>
      </c>
      <c r="H4973" s="1" t="str">
        <f t="shared" si="1073"/>
        <v>X</v>
      </c>
      <c r="I4973" s="1" t="str">
        <f t="shared" si="1073"/>
        <v>X</v>
      </c>
      <c r="J4973" s="1" t="str">
        <f t="shared" si="1073"/>
        <v>X</v>
      </c>
      <c r="K4973" s="1" t="str">
        <f t="shared" si="1073"/>
        <v>X</v>
      </c>
      <c r="L4973" s="1" t="str">
        <f t="shared" si="1073"/>
        <v>X</v>
      </c>
      <c r="M4973" s="1" t="str">
        <f t="shared" si="1073"/>
        <v>X</v>
      </c>
      <c r="N4973" t="s">
        <v>27</v>
      </c>
    </row>
    <row r="4974" spans="1:14" x14ac:dyDescent="0.25">
      <c r="A4974" t="s">
        <v>41</v>
      </c>
      <c r="B4974" t="s">
        <v>40</v>
      </c>
      <c r="C4974" t="s">
        <v>37</v>
      </c>
      <c r="D4974" t="s">
        <v>29</v>
      </c>
      <c r="E4974" t="s">
        <v>26</v>
      </c>
      <c r="F4974" t="s">
        <v>18</v>
      </c>
      <c r="G4974" s="1" t="str">
        <f t="shared" si="1073"/>
        <v>X</v>
      </c>
      <c r="H4974" s="1" t="str">
        <f t="shared" si="1073"/>
        <v>X</v>
      </c>
      <c r="I4974" s="1" t="str">
        <f t="shared" si="1073"/>
        <v>X</v>
      </c>
      <c r="J4974" s="1" t="str">
        <f t="shared" si="1073"/>
        <v>X</v>
      </c>
      <c r="K4974" s="1" t="str">
        <f t="shared" si="1073"/>
        <v>X</v>
      </c>
      <c r="L4974" s="1" t="str">
        <f t="shared" si="1073"/>
        <v>X</v>
      </c>
      <c r="M4974" s="1" t="str">
        <f t="shared" si="1073"/>
        <v>X</v>
      </c>
      <c r="N4974" t="s">
        <v>27</v>
      </c>
    </row>
    <row r="4975" spans="1:14" x14ac:dyDescent="0.25">
      <c r="A4975" t="s">
        <v>41</v>
      </c>
      <c r="B4975" t="s">
        <v>40</v>
      </c>
      <c r="C4975" t="s">
        <v>37</v>
      </c>
      <c r="D4975" t="s">
        <v>29</v>
      </c>
      <c r="E4975" t="s">
        <v>26</v>
      </c>
      <c r="F4975" t="s">
        <v>19</v>
      </c>
      <c r="G4975" s="1" t="str">
        <f t="shared" ref="G4975:M4975" si="1074">"..."</f>
        <v>...</v>
      </c>
      <c r="H4975" s="1" t="str">
        <f t="shared" si="1074"/>
        <v>...</v>
      </c>
      <c r="I4975" s="1" t="str">
        <f t="shared" si="1074"/>
        <v>...</v>
      </c>
      <c r="J4975" s="1" t="str">
        <f t="shared" si="1074"/>
        <v>...</v>
      </c>
      <c r="K4975" s="1" t="str">
        <f t="shared" si="1074"/>
        <v>...</v>
      </c>
      <c r="L4975" s="1" t="str">
        <f t="shared" si="1074"/>
        <v>...</v>
      </c>
      <c r="M4975" s="1" t="str">
        <f t="shared" si="1074"/>
        <v>...</v>
      </c>
      <c r="N4975" t="s">
        <v>30</v>
      </c>
    </row>
    <row r="4976" spans="1:14" x14ac:dyDescent="0.25">
      <c r="A4976" t="s">
        <v>41</v>
      </c>
      <c r="B4976" t="s">
        <v>40</v>
      </c>
      <c r="C4976" t="s">
        <v>37</v>
      </c>
      <c r="D4976" t="s">
        <v>29</v>
      </c>
      <c r="E4976" t="s">
        <v>26</v>
      </c>
      <c r="F4976" t="s">
        <v>20</v>
      </c>
      <c r="G4976" s="1" t="str">
        <f t="shared" ref="G4976:M4976" si="1075">"X"</f>
        <v>X</v>
      </c>
      <c r="H4976" s="1" t="str">
        <f t="shared" si="1075"/>
        <v>X</v>
      </c>
      <c r="I4976" s="1" t="str">
        <f t="shared" si="1075"/>
        <v>X</v>
      </c>
      <c r="J4976" s="1" t="str">
        <f t="shared" si="1075"/>
        <v>X</v>
      </c>
      <c r="K4976" s="1" t="str">
        <f t="shared" si="1075"/>
        <v>X</v>
      </c>
      <c r="L4976" s="1" t="str">
        <f t="shared" si="1075"/>
        <v>X</v>
      </c>
      <c r="M4976" s="1" t="str">
        <f t="shared" si="1075"/>
        <v>X</v>
      </c>
      <c r="N4976" t="s">
        <v>27</v>
      </c>
    </row>
    <row r="4977" spans="1:14" x14ac:dyDescent="0.25">
      <c r="A4977" t="s">
        <v>41</v>
      </c>
      <c r="B4977" t="s">
        <v>40</v>
      </c>
      <c r="C4977" t="s">
        <v>37</v>
      </c>
      <c r="D4977" t="s">
        <v>31</v>
      </c>
      <c r="E4977" t="s">
        <v>15</v>
      </c>
      <c r="F4977" t="s">
        <v>15</v>
      </c>
      <c r="G4977" s="2">
        <f>VALUE(1100.0360106823)</f>
        <v>1100.0360106823</v>
      </c>
      <c r="H4977" s="3">
        <f>VALUE(903.0552553348)</f>
        <v>903.05525533479999</v>
      </c>
      <c r="I4977" s="1">
        <f>VALUE(2947)</f>
        <v>2947</v>
      </c>
      <c r="J4977" s="1">
        <f>VALUE(3467)</f>
        <v>3467</v>
      </c>
      <c r="K4977" s="1">
        <f>VALUE(4309)</f>
        <v>4309</v>
      </c>
      <c r="L4977" s="7">
        <f>VALUE(6190)</f>
        <v>6190</v>
      </c>
      <c r="M4977" s="8">
        <f>VALUE(9476)</f>
        <v>9476</v>
      </c>
      <c r="N4977" t="s">
        <v>25</v>
      </c>
    </row>
    <row r="4978" spans="1:14" x14ac:dyDescent="0.25">
      <c r="A4978" t="s">
        <v>41</v>
      </c>
      <c r="B4978" t="s">
        <v>40</v>
      </c>
      <c r="C4978" t="s">
        <v>37</v>
      </c>
      <c r="D4978" t="s">
        <v>31</v>
      </c>
      <c r="E4978" t="s">
        <v>15</v>
      </c>
      <c r="F4978" t="s">
        <v>17</v>
      </c>
      <c r="G4978" s="1" t="str">
        <f t="shared" ref="G4978:M4978" si="1076">"X"</f>
        <v>X</v>
      </c>
      <c r="H4978" s="1" t="str">
        <f t="shared" si="1076"/>
        <v>X</v>
      </c>
      <c r="I4978" s="1" t="str">
        <f t="shared" si="1076"/>
        <v>X</v>
      </c>
      <c r="J4978" s="1" t="str">
        <f t="shared" si="1076"/>
        <v>X</v>
      </c>
      <c r="K4978" s="1" t="str">
        <f t="shared" si="1076"/>
        <v>X</v>
      </c>
      <c r="L4978" s="1" t="str">
        <f t="shared" si="1076"/>
        <v>X</v>
      </c>
      <c r="M4978" s="1" t="str">
        <f t="shared" si="1076"/>
        <v>X</v>
      </c>
      <c r="N4978" t="s">
        <v>27</v>
      </c>
    </row>
    <row r="4979" spans="1:14" x14ac:dyDescent="0.25">
      <c r="A4979" t="s">
        <v>41</v>
      </c>
      <c r="B4979" t="s">
        <v>40</v>
      </c>
      <c r="C4979" t="s">
        <v>37</v>
      </c>
      <c r="D4979" t="s">
        <v>31</v>
      </c>
      <c r="E4979" t="s">
        <v>15</v>
      </c>
      <c r="F4979" t="s">
        <v>18</v>
      </c>
      <c r="G4979" s="2">
        <f>VALUE(156.838603125)</f>
        <v>156.83860312499999</v>
      </c>
      <c r="H4979" s="3">
        <f>VALUE(131.8177998811)</f>
        <v>131.8177998811</v>
      </c>
      <c r="I4979" s="4">
        <f>VALUE(3467)</f>
        <v>3467</v>
      </c>
      <c r="J4979" s="5">
        <f>VALUE(3851)</f>
        <v>3851</v>
      </c>
      <c r="K4979" s="6">
        <f>VALUE(5873)</f>
        <v>5873</v>
      </c>
      <c r="L4979" s="7">
        <f>VALUE(7986)</f>
        <v>7986</v>
      </c>
      <c r="M4979" s="1">
        <f>VALUE(9643)</f>
        <v>9643</v>
      </c>
      <c r="N4979" t="s">
        <v>25</v>
      </c>
    </row>
    <row r="4980" spans="1:14" x14ac:dyDescent="0.25">
      <c r="A4980" t="s">
        <v>41</v>
      </c>
      <c r="B4980" t="s">
        <v>40</v>
      </c>
      <c r="C4980" t="s">
        <v>37</v>
      </c>
      <c r="D4980" t="s">
        <v>31</v>
      </c>
      <c r="E4980" t="s">
        <v>15</v>
      </c>
      <c r="F4980" t="s">
        <v>19</v>
      </c>
      <c r="G4980" s="1" t="str">
        <f t="shared" ref="G4980:M4980" si="1077">"X"</f>
        <v>X</v>
      </c>
      <c r="H4980" s="1" t="str">
        <f t="shared" si="1077"/>
        <v>X</v>
      </c>
      <c r="I4980" s="1" t="str">
        <f t="shared" si="1077"/>
        <v>X</v>
      </c>
      <c r="J4980" s="1" t="str">
        <f t="shared" si="1077"/>
        <v>X</v>
      </c>
      <c r="K4980" s="1" t="str">
        <f t="shared" si="1077"/>
        <v>X</v>
      </c>
      <c r="L4980" s="1" t="str">
        <f t="shared" si="1077"/>
        <v>X</v>
      </c>
      <c r="M4980" s="1" t="str">
        <f t="shared" si="1077"/>
        <v>X</v>
      </c>
      <c r="N4980" t="s">
        <v>27</v>
      </c>
    </row>
    <row r="4981" spans="1:14" x14ac:dyDescent="0.25">
      <c r="A4981" t="s">
        <v>41</v>
      </c>
      <c r="B4981" t="s">
        <v>40</v>
      </c>
      <c r="C4981" t="s">
        <v>37</v>
      </c>
      <c r="D4981" t="s">
        <v>31</v>
      </c>
      <c r="E4981" t="s">
        <v>15</v>
      </c>
      <c r="F4981" t="s">
        <v>20</v>
      </c>
      <c r="G4981" s="2">
        <f>VALUE(707.2104016686)</f>
        <v>707.21040166859996</v>
      </c>
      <c r="H4981" s="3">
        <f>VALUE(559.1309395971)</f>
        <v>559.1309395971</v>
      </c>
      <c r="I4981" s="1">
        <f>VALUE(2858)</f>
        <v>2858</v>
      </c>
      <c r="J4981" s="1">
        <f>VALUE(3271)</f>
        <v>3271</v>
      </c>
      <c r="K4981" s="1">
        <f>VALUE(3838)</f>
        <v>3838</v>
      </c>
      <c r="L4981" s="1">
        <f>VALUE(4486)</f>
        <v>4486</v>
      </c>
      <c r="M4981" s="1">
        <f>VALUE(5905)</f>
        <v>5905</v>
      </c>
      <c r="N4981" t="s">
        <v>25</v>
      </c>
    </row>
    <row r="4982" spans="1:14" x14ac:dyDescent="0.25">
      <c r="A4982" t="s">
        <v>41</v>
      </c>
      <c r="B4982" t="s">
        <v>40</v>
      </c>
      <c r="C4982" t="s">
        <v>37</v>
      </c>
      <c r="D4982" t="s">
        <v>31</v>
      </c>
      <c r="E4982" t="s">
        <v>21</v>
      </c>
      <c r="F4982" t="s">
        <v>15</v>
      </c>
      <c r="G4982" s="2">
        <f>VALUE(356.309614309)</f>
        <v>356.30961430899998</v>
      </c>
      <c r="H4982" s="3">
        <f>VALUE(305.0788892402)</f>
        <v>305.0788892402</v>
      </c>
      <c r="I4982" s="4">
        <f>VALUE(3851)</f>
        <v>3851</v>
      </c>
      <c r="J4982" s="5">
        <f>VALUE(5144)</f>
        <v>5144</v>
      </c>
      <c r="K4982" s="6">
        <f>VALUE(6350)</f>
        <v>6350</v>
      </c>
      <c r="L4982" s="7">
        <f>VALUE(8730)</f>
        <v>8730</v>
      </c>
      <c r="M4982" s="8">
        <f>VALUE(10833)</f>
        <v>10833</v>
      </c>
      <c r="N4982" t="s">
        <v>24</v>
      </c>
    </row>
    <row r="4983" spans="1:14" x14ac:dyDescent="0.25">
      <c r="A4983" t="s">
        <v>41</v>
      </c>
      <c r="B4983" t="s">
        <v>40</v>
      </c>
      <c r="C4983" t="s">
        <v>37</v>
      </c>
      <c r="D4983" t="s">
        <v>31</v>
      </c>
      <c r="E4983" t="s">
        <v>21</v>
      </c>
      <c r="F4983" t="s">
        <v>17</v>
      </c>
      <c r="G4983" s="1" t="str">
        <f t="shared" ref="G4983:M4986" si="1078">"X"</f>
        <v>X</v>
      </c>
      <c r="H4983" s="1" t="str">
        <f t="shared" si="1078"/>
        <v>X</v>
      </c>
      <c r="I4983" s="1" t="str">
        <f t="shared" si="1078"/>
        <v>X</v>
      </c>
      <c r="J4983" s="1" t="str">
        <f t="shared" si="1078"/>
        <v>X</v>
      </c>
      <c r="K4983" s="1" t="str">
        <f t="shared" si="1078"/>
        <v>X</v>
      </c>
      <c r="L4983" s="1" t="str">
        <f t="shared" si="1078"/>
        <v>X</v>
      </c>
      <c r="M4983" s="1" t="str">
        <f t="shared" si="1078"/>
        <v>X</v>
      </c>
      <c r="N4983" t="s">
        <v>27</v>
      </c>
    </row>
    <row r="4984" spans="1:14" x14ac:dyDescent="0.25">
      <c r="A4984" t="s">
        <v>41</v>
      </c>
      <c r="B4984" t="s">
        <v>40</v>
      </c>
      <c r="C4984" t="s">
        <v>37</v>
      </c>
      <c r="D4984" t="s">
        <v>31</v>
      </c>
      <c r="E4984" t="s">
        <v>21</v>
      </c>
      <c r="F4984" t="s">
        <v>18</v>
      </c>
      <c r="G4984" s="1" t="str">
        <f t="shared" si="1078"/>
        <v>X</v>
      </c>
      <c r="H4984" s="1" t="str">
        <f t="shared" si="1078"/>
        <v>X</v>
      </c>
      <c r="I4984" s="1" t="str">
        <f t="shared" si="1078"/>
        <v>X</v>
      </c>
      <c r="J4984" s="1" t="str">
        <f t="shared" si="1078"/>
        <v>X</v>
      </c>
      <c r="K4984" s="1" t="str">
        <f t="shared" si="1078"/>
        <v>X</v>
      </c>
      <c r="L4984" s="1" t="str">
        <f t="shared" si="1078"/>
        <v>X</v>
      </c>
      <c r="M4984" s="1" t="str">
        <f t="shared" si="1078"/>
        <v>X</v>
      </c>
      <c r="N4984" t="s">
        <v>27</v>
      </c>
    </row>
    <row r="4985" spans="1:14" x14ac:dyDescent="0.25">
      <c r="A4985" t="s">
        <v>41</v>
      </c>
      <c r="B4985" t="s">
        <v>40</v>
      </c>
      <c r="C4985" t="s">
        <v>37</v>
      </c>
      <c r="D4985" t="s">
        <v>31</v>
      </c>
      <c r="E4985" t="s">
        <v>21</v>
      </c>
      <c r="F4985" t="s">
        <v>19</v>
      </c>
      <c r="G4985" s="1" t="str">
        <f t="shared" si="1078"/>
        <v>X</v>
      </c>
      <c r="H4985" s="1" t="str">
        <f t="shared" si="1078"/>
        <v>X</v>
      </c>
      <c r="I4985" s="1" t="str">
        <f t="shared" si="1078"/>
        <v>X</v>
      </c>
      <c r="J4985" s="1" t="str">
        <f t="shared" si="1078"/>
        <v>X</v>
      </c>
      <c r="K4985" s="1" t="str">
        <f t="shared" si="1078"/>
        <v>X</v>
      </c>
      <c r="L4985" s="1" t="str">
        <f t="shared" si="1078"/>
        <v>X</v>
      </c>
      <c r="M4985" s="1" t="str">
        <f t="shared" si="1078"/>
        <v>X</v>
      </c>
      <c r="N4985" t="s">
        <v>27</v>
      </c>
    </row>
    <row r="4986" spans="1:14" x14ac:dyDescent="0.25">
      <c r="A4986" t="s">
        <v>41</v>
      </c>
      <c r="B4986" t="s">
        <v>40</v>
      </c>
      <c r="C4986" t="s">
        <v>37</v>
      </c>
      <c r="D4986" t="s">
        <v>31</v>
      </c>
      <c r="E4986" t="s">
        <v>21</v>
      </c>
      <c r="F4986" t="s">
        <v>20</v>
      </c>
      <c r="G4986" s="1" t="str">
        <f t="shared" si="1078"/>
        <v>X</v>
      </c>
      <c r="H4986" s="1" t="str">
        <f t="shared" si="1078"/>
        <v>X</v>
      </c>
      <c r="I4986" s="1" t="str">
        <f t="shared" si="1078"/>
        <v>X</v>
      </c>
      <c r="J4986" s="1" t="str">
        <f t="shared" si="1078"/>
        <v>X</v>
      </c>
      <c r="K4986" s="1" t="str">
        <f t="shared" si="1078"/>
        <v>X</v>
      </c>
      <c r="L4986" s="1" t="str">
        <f t="shared" si="1078"/>
        <v>X</v>
      </c>
      <c r="M4986" s="1" t="str">
        <f t="shared" si="1078"/>
        <v>X</v>
      </c>
      <c r="N4986" t="s">
        <v>27</v>
      </c>
    </row>
    <row r="4987" spans="1:14" x14ac:dyDescent="0.25">
      <c r="A4987" t="s">
        <v>41</v>
      </c>
      <c r="B4987" t="s">
        <v>40</v>
      </c>
      <c r="C4987" t="s">
        <v>37</v>
      </c>
      <c r="D4987" t="s">
        <v>31</v>
      </c>
      <c r="E4987" t="s">
        <v>22</v>
      </c>
      <c r="F4987" t="s">
        <v>15</v>
      </c>
      <c r="G4987" s="2">
        <f>VALUE(225.1557972221)</f>
        <v>225.15579722210001</v>
      </c>
      <c r="H4987" s="3">
        <f>VALUE(214.4886891375)</f>
        <v>214.48868913749999</v>
      </c>
      <c r="I4987" s="4">
        <f>VALUE(3273)</f>
        <v>3273</v>
      </c>
      <c r="J4987" s="5">
        <f>VALUE(3884)</f>
        <v>3884</v>
      </c>
      <c r="K4987" s="6">
        <f>VALUE(4394)</f>
        <v>4394</v>
      </c>
      <c r="L4987" s="7">
        <f>VALUE(5613)</f>
        <v>5613</v>
      </c>
      <c r="M4987" s="8">
        <f>VALUE(7542)</f>
        <v>7542</v>
      </c>
      <c r="N4987" t="s">
        <v>24</v>
      </c>
    </row>
    <row r="4988" spans="1:14" x14ac:dyDescent="0.25">
      <c r="A4988" t="s">
        <v>41</v>
      </c>
      <c r="B4988" t="s">
        <v>40</v>
      </c>
      <c r="C4988" t="s">
        <v>37</v>
      </c>
      <c r="D4988" t="s">
        <v>31</v>
      </c>
      <c r="E4988" t="s">
        <v>22</v>
      </c>
      <c r="F4988" t="s">
        <v>17</v>
      </c>
      <c r="G4988" s="1" t="str">
        <f t="shared" ref="G4988:M4990" si="1079">"X"</f>
        <v>X</v>
      </c>
      <c r="H4988" s="1" t="str">
        <f t="shared" si="1079"/>
        <v>X</v>
      </c>
      <c r="I4988" s="1" t="str">
        <f t="shared" si="1079"/>
        <v>X</v>
      </c>
      <c r="J4988" s="1" t="str">
        <f t="shared" si="1079"/>
        <v>X</v>
      </c>
      <c r="K4988" s="1" t="str">
        <f t="shared" si="1079"/>
        <v>X</v>
      </c>
      <c r="L4988" s="1" t="str">
        <f t="shared" si="1079"/>
        <v>X</v>
      </c>
      <c r="M4988" s="1" t="str">
        <f t="shared" si="1079"/>
        <v>X</v>
      </c>
      <c r="N4988" t="s">
        <v>27</v>
      </c>
    </row>
    <row r="4989" spans="1:14" x14ac:dyDescent="0.25">
      <c r="A4989" t="s">
        <v>41</v>
      </c>
      <c r="B4989" t="s">
        <v>40</v>
      </c>
      <c r="C4989" t="s">
        <v>37</v>
      </c>
      <c r="D4989" t="s">
        <v>31</v>
      </c>
      <c r="E4989" t="s">
        <v>22</v>
      </c>
      <c r="F4989" t="s">
        <v>18</v>
      </c>
      <c r="G4989" s="1" t="str">
        <f t="shared" si="1079"/>
        <v>X</v>
      </c>
      <c r="H4989" s="1" t="str">
        <f t="shared" si="1079"/>
        <v>X</v>
      </c>
      <c r="I4989" s="1" t="str">
        <f t="shared" si="1079"/>
        <v>X</v>
      </c>
      <c r="J4989" s="1" t="str">
        <f t="shared" si="1079"/>
        <v>X</v>
      </c>
      <c r="K4989" s="1" t="str">
        <f t="shared" si="1079"/>
        <v>X</v>
      </c>
      <c r="L4989" s="1" t="str">
        <f t="shared" si="1079"/>
        <v>X</v>
      </c>
      <c r="M4989" s="1" t="str">
        <f t="shared" si="1079"/>
        <v>X</v>
      </c>
      <c r="N4989" t="s">
        <v>27</v>
      </c>
    </row>
    <row r="4990" spans="1:14" x14ac:dyDescent="0.25">
      <c r="A4990" t="s">
        <v>41</v>
      </c>
      <c r="B4990" t="s">
        <v>40</v>
      </c>
      <c r="C4990" t="s">
        <v>37</v>
      </c>
      <c r="D4990" t="s">
        <v>31</v>
      </c>
      <c r="E4990" t="s">
        <v>22</v>
      </c>
      <c r="F4990" t="s">
        <v>19</v>
      </c>
      <c r="G4990" s="1" t="str">
        <f t="shared" si="1079"/>
        <v>X</v>
      </c>
      <c r="H4990" s="1" t="str">
        <f t="shared" si="1079"/>
        <v>X</v>
      </c>
      <c r="I4990" s="1" t="str">
        <f t="shared" si="1079"/>
        <v>X</v>
      </c>
      <c r="J4990" s="1" t="str">
        <f t="shared" si="1079"/>
        <v>X</v>
      </c>
      <c r="K4990" s="1" t="str">
        <f t="shared" si="1079"/>
        <v>X</v>
      </c>
      <c r="L4990" s="1" t="str">
        <f t="shared" si="1079"/>
        <v>X</v>
      </c>
      <c r="M4990" s="1" t="str">
        <f t="shared" si="1079"/>
        <v>X</v>
      </c>
      <c r="N4990" t="s">
        <v>27</v>
      </c>
    </row>
    <row r="4991" spans="1:14" x14ac:dyDescent="0.25">
      <c r="A4991" t="s">
        <v>41</v>
      </c>
      <c r="B4991" t="s">
        <v>40</v>
      </c>
      <c r="C4991" t="s">
        <v>37</v>
      </c>
      <c r="D4991" t="s">
        <v>31</v>
      </c>
      <c r="E4991" t="s">
        <v>22</v>
      </c>
      <c r="F4991" t="s">
        <v>20</v>
      </c>
      <c r="G4991" s="2">
        <f>VALUE(160.6236771924)</f>
        <v>160.62367719240001</v>
      </c>
      <c r="H4991" s="3">
        <f>VALUE(153.4388101692)</f>
        <v>153.4388101692</v>
      </c>
      <c r="I4991" s="4">
        <f>VALUE(3273)</f>
        <v>3273</v>
      </c>
      <c r="J4991" s="5">
        <f>VALUE(3825)</f>
        <v>3825</v>
      </c>
      <c r="K4991" s="6">
        <f>VALUE(4394)</f>
        <v>4394</v>
      </c>
      <c r="L4991" s="7">
        <f>VALUE(4487)</f>
        <v>4487</v>
      </c>
      <c r="M4991" s="8">
        <f>VALUE(6172)</f>
        <v>6172</v>
      </c>
      <c r="N4991" t="s">
        <v>24</v>
      </c>
    </row>
    <row r="4992" spans="1:14" x14ac:dyDescent="0.25">
      <c r="A4992" t="s">
        <v>41</v>
      </c>
      <c r="B4992" t="s">
        <v>40</v>
      </c>
      <c r="C4992" t="s">
        <v>37</v>
      </c>
      <c r="D4992" t="s">
        <v>31</v>
      </c>
      <c r="E4992" t="s">
        <v>23</v>
      </c>
      <c r="F4992" t="s">
        <v>15</v>
      </c>
      <c r="G4992" s="2">
        <f>VALUE(498.4239912908)</f>
        <v>498.42399129080002</v>
      </c>
      <c r="H4992" s="3">
        <f>VALUE(364.3897588841)</f>
        <v>364.38975888409999</v>
      </c>
      <c r="I4992" s="1">
        <f>VALUE(2839)</f>
        <v>2839</v>
      </c>
      <c r="J4992" s="1">
        <f>VALUE(3120)</f>
        <v>3120</v>
      </c>
      <c r="K4992" s="1">
        <f>VALUE(3467)</f>
        <v>3467</v>
      </c>
      <c r="L4992" s="1">
        <f>VALUE(3911)</f>
        <v>3911</v>
      </c>
      <c r="M4992" s="1">
        <f>VALUE(4774)</f>
        <v>4774</v>
      </c>
      <c r="N4992" t="s">
        <v>25</v>
      </c>
    </row>
    <row r="4993" spans="1:14" x14ac:dyDescent="0.25">
      <c r="A4993" t="s">
        <v>41</v>
      </c>
      <c r="B4993" t="s">
        <v>40</v>
      </c>
      <c r="C4993" t="s">
        <v>37</v>
      </c>
      <c r="D4993" t="s">
        <v>31</v>
      </c>
      <c r="E4993" t="s">
        <v>23</v>
      </c>
      <c r="F4993" t="s">
        <v>17</v>
      </c>
      <c r="G4993" s="1" t="str">
        <f t="shared" ref="G4993:M4995" si="1080">"X"</f>
        <v>X</v>
      </c>
      <c r="H4993" s="1" t="str">
        <f t="shared" si="1080"/>
        <v>X</v>
      </c>
      <c r="I4993" s="1" t="str">
        <f t="shared" si="1080"/>
        <v>X</v>
      </c>
      <c r="J4993" s="1" t="str">
        <f t="shared" si="1080"/>
        <v>X</v>
      </c>
      <c r="K4993" s="1" t="str">
        <f t="shared" si="1080"/>
        <v>X</v>
      </c>
      <c r="L4993" s="1" t="str">
        <f t="shared" si="1080"/>
        <v>X</v>
      </c>
      <c r="M4993" s="1" t="str">
        <f t="shared" si="1080"/>
        <v>X</v>
      </c>
      <c r="N4993" t="s">
        <v>27</v>
      </c>
    </row>
    <row r="4994" spans="1:14" x14ac:dyDescent="0.25">
      <c r="A4994" t="s">
        <v>41</v>
      </c>
      <c r="B4994" t="s">
        <v>40</v>
      </c>
      <c r="C4994" t="s">
        <v>37</v>
      </c>
      <c r="D4994" t="s">
        <v>31</v>
      </c>
      <c r="E4994" t="s">
        <v>23</v>
      </c>
      <c r="F4994" t="s">
        <v>18</v>
      </c>
      <c r="G4994" s="1" t="str">
        <f t="shared" si="1080"/>
        <v>X</v>
      </c>
      <c r="H4994" s="1" t="str">
        <f t="shared" si="1080"/>
        <v>X</v>
      </c>
      <c r="I4994" s="1" t="str">
        <f t="shared" si="1080"/>
        <v>X</v>
      </c>
      <c r="J4994" s="1" t="str">
        <f t="shared" si="1080"/>
        <v>X</v>
      </c>
      <c r="K4994" s="1" t="str">
        <f t="shared" si="1080"/>
        <v>X</v>
      </c>
      <c r="L4994" s="1" t="str">
        <f t="shared" si="1080"/>
        <v>X</v>
      </c>
      <c r="M4994" s="1" t="str">
        <f t="shared" si="1080"/>
        <v>X</v>
      </c>
      <c r="N4994" t="s">
        <v>27</v>
      </c>
    </row>
    <row r="4995" spans="1:14" x14ac:dyDescent="0.25">
      <c r="A4995" t="s">
        <v>41</v>
      </c>
      <c r="B4995" t="s">
        <v>40</v>
      </c>
      <c r="C4995" t="s">
        <v>37</v>
      </c>
      <c r="D4995" t="s">
        <v>31</v>
      </c>
      <c r="E4995" t="s">
        <v>23</v>
      </c>
      <c r="F4995" t="s">
        <v>19</v>
      </c>
      <c r="G4995" s="1" t="str">
        <f t="shared" si="1080"/>
        <v>X</v>
      </c>
      <c r="H4995" s="1" t="str">
        <f t="shared" si="1080"/>
        <v>X</v>
      </c>
      <c r="I4995" s="1" t="str">
        <f t="shared" si="1080"/>
        <v>X</v>
      </c>
      <c r="J4995" s="1" t="str">
        <f t="shared" si="1080"/>
        <v>X</v>
      </c>
      <c r="K4995" s="1" t="str">
        <f t="shared" si="1080"/>
        <v>X</v>
      </c>
      <c r="L4995" s="1" t="str">
        <f t="shared" si="1080"/>
        <v>X</v>
      </c>
      <c r="M4995" s="1" t="str">
        <f t="shared" si="1080"/>
        <v>X</v>
      </c>
      <c r="N4995" t="s">
        <v>27</v>
      </c>
    </row>
    <row r="4996" spans="1:14" x14ac:dyDescent="0.25">
      <c r="A4996" t="s">
        <v>41</v>
      </c>
      <c r="B4996" t="s">
        <v>40</v>
      </c>
      <c r="C4996" t="s">
        <v>37</v>
      </c>
      <c r="D4996" t="s">
        <v>31</v>
      </c>
      <c r="E4996" t="s">
        <v>23</v>
      </c>
      <c r="F4996" t="s">
        <v>20</v>
      </c>
      <c r="G4996" s="2">
        <f>VALUE(439.9270223928)</f>
        <v>439.92702239279998</v>
      </c>
      <c r="H4996" s="3">
        <f>VALUE(319.4865866565)</f>
        <v>319.48658665649998</v>
      </c>
      <c r="I4996" s="1">
        <f>VALUE(2793)</f>
        <v>2793</v>
      </c>
      <c r="J4996" s="1">
        <f>VALUE(3044)</f>
        <v>3044</v>
      </c>
      <c r="K4996" s="1">
        <f>VALUE(3467)</f>
        <v>3467</v>
      </c>
      <c r="L4996" s="1">
        <f>VALUE(3870)</f>
        <v>3870</v>
      </c>
      <c r="M4996" s="1">
        <f>VALUE(4681)</f>
        <v>4681</v>
      </c>
      <c r="N4996" t="s">
        <v>25</v>
      </c>
    </row>
    <row r="4997" spans="1:14" x14ac:dyDescent="0.25">
      <c r="A4997" t="s">
        <v>41</v>
      </c>
      <c r="B4997" t="s">
        <v>40</v>
      </c>
      <c r="C4997" t="s">
        <v>37</v>
      </c>
      <c r="D4997" t="s">
        <v>31</v>
      </c>
      <c r="E4997" t="s">
        <v>26</v>
      </c>
      <c r="F4997" t="s">
        <v>15</v>
      </c>
      <c r="G4997" s="1" t="str">
        <f t="shared" ref="G4997:M4999" si="1081">"X"</f>
        <v>X</v>
      </c>
      <c r="H4997" s="1" t="str">
        <f t="shared" si="1081"/>
        <v>X</v>
      </c>
      <c r="I4997" s="1" t="str">
        <f t="shared" si="1081"/>
        <v>X</v>
      </c>
      <c r="J4997" s="1" t="str">
        <f t="shared" si="1081"/>
        <v>X</v>
      </c>
      <c r="K4997" s="1" t="str">
        <f t="shared" si="1081"/>
        <v>X</v>
      </c>
      <c r="L4997" s="1" t="str">
        <f t="shared" si="1081"/>
        <v>X</v>
      </c>
      <c r="M4997" s="1" t="str">
        <f t="shared" si="1081"/>
        <v>X</v>
      </c>
      <c r="N4997" t="s">
        <v>27</v>
      </c>
    </row>
    <row r="4998" spans="1:14" x14ac:dyDescent="0.25">
      <c r="A4998" t="s">
        <v>41</v>
      </c>
      <c r="B4998" t="s">
        <v>40</v>
      </c>
      <c r="C4998" t="s">
        <v>37</v>
      </c>
      <c r="D4998" t="s">
        <v>31</v>
      </c>
      <c r="E4998" t="s">
        <v>26</v>
      </c>
      <c r="F4998" t="s">
        <v>17</v>
      </c>
      <c r="G4998" s="1" t="str">
        <f t="shared" si="1081"/>
        <v>X</v>
      </c>
      <c r="H4998" s="1" t="str">
        <f t="shared" si="1081"/>
        <v>X</v>
      </c>
      <c r="I4998" s="1" t="str">
        <f t="shared" si="1081"/>
        <v>X</v>
      </c>
      <c r="J4998" s="1" t="str">
        <f t="shared" si="1081"/>
        <v>X</v>
      </c>
      <c r="K4998" s="1" t="str">
        <f t="shared" si="1081"/>
        <v>X</v>
      </c>
      <c r="L4998" s="1" t="str">
        <f t="shared" si="1081"/>
        <v>X</v>
      </c>
      <c r="M4998" s="1" t="str">
        <f t="shared" si="1081"/>
        <v>X</v>
      </c>
      <c r="N4998" t="s">
        <v>27</v>
      </c>
    </row>
    <row r="4999" spans="1:14" x14ac:dyDescent="0.25">
      <c r="A4999" t="s">
        <v>41</v>
      </c>
      <c r="B4999" t="s">
        <v>40</v>
      </c>
      <c r="C4999" t="s">
        <v>37</v>
      </c>
      <c r="D4999" t="s">
        <v>31</v>
      </c>
      <c r="E4999" t="s">
        <v>26</v>
      </c>
      <c r="F4999" t="s">
        <v>18</v>
      </c>
      <c r="G4999" s="1" t="str">
        <f t="shared" si="1081"/>
        <v>X</v>
      </c>
      <c r="H4999" s="1" t="str">
        <f t="shared" si="1081"/>
        <v>X</v>
      </c>
      <c r="I4999" s="1" t="str">
        <f t="shared" si="1081"/>
        <v>X</v>
      </c>
      <c r="J4999" s="1" t="str">
        <f t="shared" si="1081"/>
        <v>X</v>
      </c>
      <c r="K4999" s="1" t="str">
        <f t="shared" si="1081"/>
        <v>X</v>
      </c>
      <c r="L4999" s="1" t="str">
        <f t="shared" si="1081"/>
        <v>X</v>
      </c>
      <c r="M4999" s="1" t="str">
        <f t="shared" si="1081"/>
        <v>X</v>
      </c>
      <c r="N4999" t="s">
        <v>27</v>
      </c>
    </row>
    <row r="5000" spans="1:14" x14ac:dyDescent="0.25">
      <c r="A5000" t="s">
        <v>41</v>
      </c>
      <c r="B5000" t="s">
        <v>40</v>
      </c>
      <c r="C5000" t="s">
        <v>37</v>
      </c>
      <c r="D5000" t="s">
        <v>31</v>
      </c>
      <c r="E5000" t="s">
        <v>26</v>
      </c>
      <c r="F5000" t="s">
        <v>19</v>
      </c>
      <c r="G5000" s="1" t="str">
        <f t="shared" ref="G5000:M5000" si="1082">"..."</f>
        <v>...</v>
      </c>
      <c r="H5000" s="1" t="str">
        <f t="shared" si="1082"/>
        <v>...</v>
      </c>
      <c r="I5000" s="1" t="str">
        <f t="shared" si="1082"/>
        <v>...</v>
      </c>
      <c r="J5000" s="1" t="str">
        <f t="shared" si="1082"/>
        <v>...</v>
      </c>
      <c r="K5000" s="1" t="str">
        <f t="shared" si="1082"/>
        <v>...</v>
      </c>
      <c r="L5000" s="1" t="str">
        <f t="shared" si="1082"/>
        <v>...</v>
      </c>
      <c r="M5000" s="1" t="str">
        <f t="shared" si="1082"/>
        <v>...</v>
      </c>
      <c r="N5000" t="s">
        <v>30</v>
      </c>
    </row>
    <row r="5001" spans="1:14" x14ac:dyDescent="0.25">
      <c r="A5001" t="s">
        <v>41</v>
      </c>
      <c r="B5001" t="s">
        <v>40</v>
      </c>
      <c r="C5001" t="s">
        <v>37</v>
      </c>
      <c r="D5001" t="s">
        <v>31</v>
      </c>
      <c r="E5001" t="s">
        <v>26</v>
      </c>
      <c r="F5001" t="s">
        <v>20</v>
      </c>
      <c r="G5001" s="1" t="str">
        <f t="shared" ref="G5001:M5001" si="1083">"X"</f>
        <v>X</v>
      </c>
      <c r="H5001" s="1" t="str">
        <f t="shared" si="1083"/>
        <v>X</v>
      </c>
      <c r="I5001" s="1" t="str">
        <f t="shared" si="1083"/>
        <v>X</v>
      </c>
      <c r="J5001" s="1" t="str">
        <f t="shared" si="1083"/>
        <v>X</v>
      </c>
      <c r="K5001" s="1" t="str">
        <f t="shared" si="1083"/>
        <v>X</v>
      </c>
      <c r="L5001" s="1" t="str">
        <f t="shared" si="1083"/>
        <v>X</v>
      </c>
      <c r="M5001" s="1" t="str">
        <f t="shared" si="1083"/>
        <v>X</v>
      </c>
      <c r="N5001" t="s">
        <v>27</v>
      </c>
    </row>
    <row r="5002" spans="1:14" x14ac:dyDescent="0.25">
      <c r="A5002" t="s">
        <v>41</v>
      </c>
      <c r="B5002" t="s">
        <v>40</v>
      </c>
      <c r="C5002" t="s">
        <v>37</v>
      </c>
      <c r="D5002" t="s">
        <v>32</v>
      </c>
      <c r="E5002" t="s">
        <v>15</v>
      </c>
      <c r="F5002" t="s">
        <v>15</v>
      </c>
      <c r="G5002" s="1">
        <f>VALUE(7740.771472259)</f>
        <v>7740.7714722589999</v>
      </c>
      <c r="H5002" s="1">
        <f>VALUE(6740.4289766246)</f>
        <v>6740.4289766246002</v>
      </c>
      <c r="I5002" s="1">
        <f>VALUE(2566)</f>
        <v>2566</v>
      </c>
      <c r="J5002" s="1">
        <f>VALUE(2921)</f>
        <v>2921</v>
      </c>
      <c r="K5002" s="1">
        <f>VALUE(3717)</f>
        <v>3717</v>
      </c>
      <c r="L5002" s="1">
        <f>VALUE(4912)</f>
        <v>4912</v>
      </c>
      <c r="M5002" s="1">
        <f>VALUE(6770)</f>
        <v>6770</v>
      </c>
      <c r="N5002" t="s">
        <v>16</v>
      </c>
    </row>
    <row r="5003" spans="1:14" x14ac:dyDescent="0.25">
      <c r="A5003" t="s">
        <v>41</v>
      </c>
      <c r="B5003" t="s">
        <v>40</v>
      </c>
      <c r="C5003" t="s">
        <v>37</v>
      </c>
      <c r="D5003" t="s">
        <v>32</v>
      </c>
      <c r="E5003" t="s">
        <v>15</v>
      </c>
      <c r="F5003" t="s">
        <v>17</v>
      </c>
      <c r="G5003" s="2">
        <f>VALUE(407.6729213863)</f>
        <v>407.6729213863</v>
      </c>
      <c r="H5003" s="3">
        <f>VALUE(354.4807169906)</f>
        <v>354.4807169906</v>
      </c>
      <c r="I5003" s="4">
        <f>VALUE(3550)</f>
        <v>3550</v>
      </c>
      <c r="J5003" s="5">
        <f>VALUE(5200)</f>
        <v>5200</v>
      </c>
      <c r="K5003" s="6">
        <f>VALUE(7192)</f>
        <v>7192</v>
      </c>
      <c r="L5003" s="1">
        <f>VALUE(8663)</f>
        <v>8663</v>
      </c>
      <c r="M5003" s="8">
        <f>VALUE(10747)</f>
        <v>10747</v>
      </c>
      <c r="N5003" t="s">
        <v>25</v>
      </c>
    </row>
    <row r="5004" spans="1:14" x14ac:dyDescent="0.25">
      <c r="A5004" t="s">
        <v>41</v>
      </c>
      <c r="B5004" t="s">
        <v>40</v>
      </c>
      <c r="C5004" t="s">
        <v>37</v>
      </c>
      <c r="D5004" t="s">
        <v>32</v>
      </c>
      <c r="E5004" t="s">
        <v>15</v>
      </c>
      <c r="F5004" t="s">
        <v>18</v>
      </c>
      <c r="G5004" s="2">
        <f>VALUE(553.6536809577)</f>
        <v>553.65368095769998</v>
      </c>
      <c r="H5004" s="3">
        <f>VALUE(489.1774621372)</f>
        <v>489.1774621372</v>
      </c>
      <c r="I5004" s="4">
        <f>VALUE(3012)</f>
        <v>3012</v>
      </c>
      <c r="J5004" s="5">
        <f>VALUE(4055)</f>
        <v>4055</v>
      </c>
      <c r="K5004" s="1">
        <f>VALUE(5518)</f>
        <v>5518</v>
      </c>
      <c r="L5004" s="1">
        <f>VALUE(7042)</f>
        <v>7042</v>
      </c>
      <c r="M5004" s="1">
        <f>VALUE(8210)</f>
        <v>8210</v>
      </c>
      <c r="N5004" t="s">
        <v>25</v>
      </c>
    </row>
    <row r="5005" spans="1:14" x14ac:dyDescent="0.25">
      <c r="A5005" t="s">
        <v>41</v>
      </c>
      <c r="B5005" t="s">
        <v>40</v>
      </c>
      <c r="C5005" t="s">
        <v>37</v>
      </c>
      <c r="D5005" t="s">
        <v>32</v>
      </c>
      <c r="E5005" t="s">
        <v>15</v>
      </c>
      <c r="F5005" t="s">
        <v>19</v>
      </c>
      <c r="G5005" s="2">
        <f>VALUE(869.6956011413)</f>
        <v>869.69560114130002</v>
      </c>
      <c r="H5005" s="3">
        <f>VALUE(744.1854413247)</f>
        <v>744.18544132470004</v>
      </c>
      <c r="I5005" s="4">
        <f>VALUE(3102)</f>
        <v>3102</v>
      </c>
      <c r="J5005" s="1">
        <f>VALUE(3765)</f>
        <v>3765</v>
      </c>
      <c r="K5005" s="1">
        <f>VALUE(4442)</f>
        <v>4442</v>
      </c>
      <c r="L5005" s="7">
        <f>VALUE(5914)</f>
        <v>5914</v>
      </c>
      <c r="M5005" s="1">
        <f>VALUE(7587)</f>
        <v>7587</v>
      </c>
      <c r="N5005" t="s">
        <v>25</v>
      </c>
    </row>
    <row r="5006" spans="1:14" x14ac:dyDescent="0.25">
      <c r="A5006" t="s">
        <v>41</v>
      </c>
      <c r="B5006" t="s">
        <v>40</v>
      </c>
      <c r="C5006" t="s">
        <v>37</v>
      </c>
      <c r="D5006" t="s">
        <v>32</v>
      </c>
      <c r="E5006" t="s">
        <v>15</v>
      </c>
      <c r="F5006" t="s">
        <v>20</v>
      </c>
      <c r="G5006" s="1">
        <f>VALUE(5888.7818408119)</f>
        <v>5888.7818408119001</v>
      </c>
      <c r="H5006" s="1">
        <f>VALUE(5130.0728118892)</f>
        <v>5130.0728118892002</v>
      </c>
      <c r="I5006" s="1">
        <f>VALUE(2530)</f>
        <v>2530</v>
      </c>
      <c r="J5006" s="1">
        <f>VALUE(2821)</f>
        <v>2821</v>
      </c>
      <c r="K5006" s="1">
        <f>VALUE(3443)</f>
        <v>3443</v>
      </c>
      <c r="L5006" s="1">
        <f>VALUE(4292)</f>
        <v>4292</v>
      </c>
      <c r="M5006" s="1">
        <f>VALUE(5589)</f>
        <v>5589</v>
      </c>
      <c r="N5006" t="s">
        <v>16</v>
      </c>
    </row>
    <row r="5007" spans="1:14" x14ac:dyDescent="0.25">
      <c r="A5007" t="s">
        <v>41</v>
      </c>
      <c r="B5007" t="s">
        <v>40</v>
      </c>
      <c r="C5007" t="s">
        <v>37</v>
      </c>
      <c r="D5007" t="s">
        <v>32</v>
      </c>
      <c r="E5007" t="s">
        <v>21</v>
      </c>
      <c r="F5007" t="s">
        <v>15</v>
      </c>
      <c r="G5007" s="2">
        <f>VALUE(1253.5196454397)</f>
        <v>1253.5196454397001</v>
      </c>
      <c r="H5007" s="3">
        <f>VALUE(1110.1748755824)</f>
        <v>1110.1748755824001</v>
      </c>
      <c r="I5007" s="4">
        <f>VALUE(2733)</f>
        <v>2733</v>
      </c>
      <c r="J5007" s="5">
        <f>VALUE(3879)</f>
        <v>3879</v>
      </c>
      <c r="K5007" s="1">
        <f>VALUE(5493)</f>
        <v>5493</v>
      </c>
      <c r="L5007" s="1">
        <f>VALUE(7500)</f>
        <v>7500</v>
      </c>
      <c r="M5007" s="1">
        <f>VALUE(8752)</f>
        <v>8752</v>
      </c>
      <c r="N5007" t="s">
        <v>25</v>
      </c>
    </row>
    <row r="5008" spans="1:14" x14ac:dyDescent="0.25">
      <c r="A5008" t="s">
        <v>41</v>
      </c>
      <c r="B5008" t="s">
        <v>40</v>
      </c>
      <c r="C5008" t="s">
        <v>37</v>
      </c>
      <c r="D5008" t="s">
        <v>32</v>
      </c>
      <c r="E5008" t="s">
        <v>21</v>
      </c>
      <c r="F5008" t="s">
        <v>17</v>
      </c>
      <c r="G5008" s="2">
        <f>VALUE(265.8634452778)</f>
        <v>265.8634452778</v>
      </c>
      <c r="H5008" s="3">
        <f>VALUE(231.9644049597)</f>
        <v>231.9644049597</v>
      </c>
      <c r="I5008" s="4">
        <f>VALUE(4952)</f>
        <v>4952</v>
      </c>
      <c r="J5008" s="5">
        <f>VALUE(5958)</f>
        <v>5958</v>
      </c>
      <c r="K5008" s="1">
        <f>VALUE(7967)</f>
        <v>7967</v>
      </c>
      <c r="L5008" s="7">
        <f>VALUE(8770)</f>
        <v>8770</v>
      </c>
      <c r="M5008" s="8">
        <f>VALUE(11289)</f>
        <v>11289</v>
      </c>
      <c r="N5008" t="s">
        <v>25</v>
      </c>
    </row>
    <row r="5009" spans="1:14" x14ac:dyDescent="0.25">
      <c r="A5009" t="s">
        <v>41</v>
      </c>
      <c r="B5009" t="s">
        <v>40</v>
      </c>
      <c r="C5009" t="s">
        <v>37</v>
      </c>
      <c r="D5009" t="s">
        <v>32</v>
      </c>
      <c r="E5009" t="s">
        <v>21</v>
      </c>
      <c r="F5009" t="s">
        <v>18</v>
      </c>
      <c r="G5009" s="2">
        <f>VALUE(270.3714936027)</f>
        <v>270.37149360270001</v>
      </c>
      <c r="H5009" s="3">
        <f>VALUE(240.4486346435)</f>
        <v>240.44863464349999</v>
      </c>
      <c r="I5009" s="4">
        <f>VALUE(2733)</f>
        <v>2733</v>
      </c>
      <c r="J5009" s="5">
        <f>VALUE(3435)</f>
        <v>3435</v>
      </c>
      <c r="K5009" s="1">
        <f>VALUE(5571)</f>
        <v>5571</v>
      </c>
      <c r="L5009" s="1">
        <f>VALUE(7208)</f>
        <v>7208</v>
      </c>
      <c r="M5009" s="1">
        <f>VALUE(8723)</f>
        <v>8723</v>
      </c>
      <c r="N5009" t="s">
        <v>25</v>
      </c>
    </row>
    <row r="5010" spans="1:14" x14ac:dyDescent="0.25">
      <c r="A5010" t="s">
        <v>41</v>
      </c>
      <c r="B5010" t="s">
        <v>40</v>
      </c>
      <c r="C5010" t="s">
        <v>37</v>
      </c>
      <c r="D5010" t="s">
        <v>32</v>
      </c>
      <c r="E5010" t="s">
        <v>21</v>
      </c>
      <c r="F5010" t="s">
        <v>19</v>
      </c>
      <c r="G5010" s="2">
        <f>VALUE(233.9966384973)</f>
        <v>233.99663849730001</v>
      </c>
      <c r="H5010" s="3">
        <f>VALUE(194.7992058548)</f>
        <v>194.79920585479999</v>
      </c>
      <c r="I5010" s="1">
        <f>VALUE(3813)</f>
        <v>3813</v>
      </c>
      <c r="J5010" s="5">
        <f>VALUE(4012)</f>
        <v>4012</v>
      </c>
      <c r="K5010" s="6">
        <f>VALUE(4982)</f>
        <v>4982</v>
      </c>
      <c r="L5010" s="7">
        <f>VALUE(6607)</f>
        <v>6607</v>
      </c>
      <c r="M5010" s="1">
        <f>VALUE(8294)</f>
        <v>8294</v>
      </c>
      <c r="N5010" t="s">
        <v>25</v>
      </c>
    </row>
    <row r="5011" spans="1:14" x14ac:dyDescent="0.25">
      <c r="A5011" t="s">
        <v>41</v>
      </c>
      <c r="B5011" t="s">
        <v>40</v>
      </c>
      <c r="C5011" t="s">
        <v>37</v>
      </c>
      <c r="D5011" t="s">
        <v>32</v>
      </c>
      <c r="E5011" t="s">
        <v>21</v>
      </c>
      <c r="F5011" t="s">
        <v>20</v>
      </c>
      <c r="G5011" s="2">
        <f>VALUE(483.2880680619)</f>
        <v>483.28806806189999</v>
      </c>
      <c r="H5011" s="3">
        <f>VALUE(442.9626301244)</f>
        <v>442.96263012439999</v>
      </c>
      <c r="I5011" s="1">
        <f>VALUE(2558)</f>
        <v>2558</v>
      </c>
      <c r="J5011" s="1">
        <f>VALUE(3595)</f>
        <v>3595</v>
      </c>
      <c r="K5011" s="6">
        <f>VALUE(4525)</f>
        <v>4525</v>
      </c>
      <c r="L5011" s="1">
        <f>VALUE(6214)</f>
        <v>6214</v>
      </c>
      <c r="M5011" s="1">
        <f>VALUE(7530)</f>
        <v>7530</v>
      </c>
      <c r="N5011" t="s">
        <v>25</v>
      </c>
    </row>
    <row r="5012" spans="1:14" x14ac:dyDescent="0.25">
      <c r="A5012" t="s">
        <v>41</v>
      </c>
      <c r="B5012" t="s">
        <v>40</v>
      </c>
      <c r="C5012" t="s">
        <v>37</v>
      </c>
      <c r="D5012" t="s">
        <v>32</v>
      </c>
      <c r="E5012" t="s">
        <v>22</v>
      </c>
      <c r="F5012" t="s">
        <v>15</v>
      </c>
      <c r="G5012" s="1">
        <f>VALUE(1754.036058929)</f>
        <v>1754.0360589290001</v>
      </c>
      <c r="H5012" s="1">
        <f>VALUE(1509.08794907)</f>
        <v>1509.0879490699999</v>
      </c>
      <c r="I5012" s="1">
        <f>VALUE(3012)</f>
        <v>3012</v>
      </c>
      <c r="J5012" s="1">
        <f>VALUE(3837)</f>
        <v>3837</v>
      </c>
      <c r="K5012" s="1">
        <f>VALUE(4911)</f>
        <v>4911</v>
      </c>
      <c r="L5012" s="1">
        <f>VALUE(6222)</f>
        <v>6222</v>
      </c>
      <c r="M5012" s="1">
        <f>VALUE(7317)</f>
        <v>7317</v>
      </c>
      <c r="N5012" t="s">
        <v>16</v>
      </c>
    </row>
    <row r="5013" spans="1:14" x14ac:dyDescent="0.25">
      <c r="A5013" t="s">
        <v>41</v>
      </c>
      <c r="B5013" t="s">
        <v>40</v>
      </c>
      <c r="C5013" t="s">
        <v>37</v>
      </c>
      <c r="D5013" t="s">
        <v>32</v>
      </c>
      <c r="E5013" t="s">
        <v>22</v>
      </c>
      <c r="F5013" t="s">
        <v>17</v>
      </c>
      <c r="G5013" s="1" t="str">
        <f t="shared" ref="G5013:M5013" si="1084">"X"</f>
        <v>X</v>
      </c>
      <c r="H5013" s="1" t="str">
        <f t="shared" si="1084"/>
        <v>X</v>
      </c>
      <c r="I5013" s="1" t="str">
        <f t="shared" si="1084"/>
        <v>X</v>
      </c>
      <c r="J5013" s="1" t="str">
        <f t="shared" si="1084"/>
        <v>X</v>
      </c>
      <c r="K5013" s="1" t="str">
        <f t="shared" si="1084"/>
        <v>X</v>
      </c>
      <c r="L5013" s="1" t="str">
        <f t="shared" si="1084"/>
        <v>X</v>
      </c>
      <c r="M5013" s="1" t="str">
        <f t="shared" si="1084"/>
        <v>X</v>
      </c>
      <c r="N5013" t="s">
        <v>27</v>
      </c>
    </row>
    <row r="5014" spans="1:14" x14ac:dyDescent="0.25">
      <c r="A5014" t="s">
        <v>41</v>
      </c>
      <c r="B5014" t="s">
        <v>40</v>
      </c>
      <c r="C5014" t="s">
        <v>37</v>
      </c>
      <c r="D5014" t="s">
        <v>32</v>
      </c>
      <c r="E5014" t="s">
        <v>22</v>
      </c>
      <c r="F5014" t="s">
        <v>18</v>
      </c>
      <c r="G5014" s="2">
        <f>VALUE(185.6419125754)</f>
        <v>185.6419125754</v>
      </c>
      <c r="H5014" s="3">
        <f>VALUE(165.200691891)</f>
        <v>165.20069189099999</v>
      </c>
      <c r="I5014" s="1">
        <f>VALUE(3760)</f>
        <v>3760</v>
      </c>
      <c r="J5014" s="5">
        <f>VALUE(4160)</f>
        <v>4160</v>
      </c>
      <c r="K5014" s="1">
        <f>VALUE(6026)</f>
        <v>6026</v>
      </c>
      <c r="L5014" s="1">
        <f>VALUE(7128)</f>
        <v>7128</v>
      </c>
      <c r="M5014" s="1">
        <f>VALUE(7703)</f>
        <v>7703</v>
      </c>
      <c r="N5014" t="s">
        <v>25</v>
      </c>
    </row>
    <row r="5015" spans="1:14" x14ac:dyDescent="0.25">
      <c r="A5015" t="s">
        <v>41</v>
      </c>
      <c r="B5015" t="s">
        <v>40</v>
      </c>
      <c r="C5015" t="s">
        <v>37</v>
      </c>
      <c r="D5015" t="s">
        <v>32</v>
      </c>
      <c r="E5015" t="s">
        <v>22</v>
      </c>
      <c r="F5015" t="s">
        <v>19</v>
      </c>
      <c r="G5015" s="2">
        <f>VALUE(322.7330061117)</f>
        <v>322.73300611169998</v>
      </c>
      <c r="H5015" s="3">
        <f>VALUE(277.3826980216)</f>
        <v>277.38269802159999</v>
      </c>
      <c r="I5015" s="1">
        <f>VALUE(3543)</f>
        <v>3543</v>
      </c>
      <c r="J5015" s="1">
        <f>VALUE(4048)</f>
        <v>4048</v>
      </c>
      <c r="K5015" s="1">
        <f>VALUE(5000)</f>
        <v>5000</v>
      </c>
      <c r="L5015" s="1">
        <f>VALUE(6760)</f>
        <v>6760</v>
      </c>
      <c r="M5015" s="1">
        <f>VALUE(7666)</f>
        <v>7666</v>
      </c>
      <c r="N5015" t="s">
        <v>25</v>
      </c>
    </row>
    <row r="5016" spans="1:14" x14ac:dyDescent="0.25">
      <c r="A5016" t="s">
        <v>41</v>
      </c>
      <c r="B5016" t="s">
        <v>40</v>
      </c>
      <c r="C5016" t="s">
        <v>37</v>
      </c>
      <c r="D5016" t="s">
        <v>32</v>
      </c>
      <c r="E5016" t="s">
        <v>22</v>
      </c>
      <c r="F5016" t="s">
        <v>20</v>
      </c>
      <c r="G5016" s="1">
        <f>VALUE(1150.2765158648)</f>
        <v>1150.2765158648001</v>
      </c>
      <c r="H5016" s="1">
        <f>VALUE(983.2294499429)</f>
        <v>983.22944994290003</v>
      </c>
      <c r="I5016" s="1">
        <f>VALUE(2722)</f>
        <v>2722</v>
      </c>
      <c r="J5016" s="1">
        <f>VALUE(3650)</f>
        <v>3650</v>
      </c>
      <c r="K5016" s="1">
        <f>VALUE(4756)</f>
        <v>4756</v>
      </c>
      <c r="L5016" s="1">
        <f>VALUE(5722)</f>
        <v>5722</v>
      </c>
      <c r="M5016" s="1">
        <f>VALUE(6846)</f>
        <v>6846</v>
      </c>
      <c r="N5016" t="s">
        <v>16</v>
      </c>
    </row>
    <row r="5017" spans="1:14" x14ac:dyDescent="0.25">
      <c r="A5017" t="s">
        <v>41</v>
      </c>
      <c r="B5017" t="s">
        <v>40</v>
      </c>
      <c r="C5017" t="s">
        <v>37</v>
      </c>
      <c r="D5017" t="s">
        <v>32</v>
      </c>
      <c r="E5017" t="s">
        <v>23</v>
      </c>
      <c r="F5017" t="s">
        <v>15</v>
      </c>
      <c r="G5017" s="1">
        <f>VALUE(4709.1079654082)</f>
        <v>4709.1079654081996</v>
      </c>
      <c r="H5017" s="1">
        <f>VALUE(4095.4232530827)</f>
        <v>4095.4232530826998</v>
      </c>
      <c r="I5017" s="1">
        <f>VALUE(2490)</f>
        <v>2490</v>
      </c>
      <c r="J5017" s="1">
        <f>VALUE(2782)</f>
        <v>2782</v>
      </c>
      <c r="K5017" s="1">
        <f>VALUE(3217)</f>
        <v>3217</v>
      </c>
      <c r="L5017" s="1">
        <f>VALUE(3909)</f>
        <v>3909</v>
      </c>
      <c r="M5017" s="1">
        <f>VALUE(4582)</f>
        <v>4582</v>
      </c>
      <c r="N5017" t="s">
        <v>16</v>
      </c>
    </row>
    <row r="5018" spans="1:14" x14ac:dyDescent="0.25">
      <c r="A5018" t="s">
        <v>41</v>
      </c>
      <c r="B5018" t="s">
        <v>40</v>
      </c>
      <c r="C5018" t="s">
        <v>37</v>
      </c>
      <c r="D5018" t="s">
        <v>32</v>
      </c>
      <c r="E5018" t="s">
        <v>23</v>
      </c>
      <c r="F5018" t="s">
        <v>17</v>
      </c>
      <c r="G5018" s="1" t="str">
        <f t="shared" ref="G5018:M5019" si="1085">"X"</f>
        <v>X</v>
      </c>
      <c r="H5018" s="1" t="str">
        <f t="shared" si="1085"/>
        <v>X</v>
      </c>
      <c r="I5018" s="1" t="str">
        <f t="shared" si="1085"/>
        <v>X</v>
      </c>
      <c r="J5018" s="1" t="str">
        <f t="shared" si="1085"/>
        <v>X</v>
      </c>
      <c r="K5018" s="1" t="str">
        <f t="shared" si="1085"/>
        <v>X</v>
      </c>
      <c r="L5018" s="1" t="str">
        <f t="shared" si="1085"/>
        <v>X</v>
      </c>
      <c r="M5018" s="1" t="str">
        <f t="shared" si="1085"/>
        <v>X</v>
      </c>
      <c r="N5018" t="s">
        <v>27</v>
      </c>
    </row>
    <row r="5019" spans="1:14" x14ac:dyDescent="0.25">
      <c r="A5019" t="s">
        <v>41</v>
      </c>
      <c r="B5019" t="s">
        <v>40</v>
      </c>
      <c r="C5019" t="s">
        <v>37</v>
      </c>
      <c r="D5019" t="s">
        <v>32</v>
      </c>
      <c r="E5019" t="s">
        <v>23</v>
      </c>
      <c r="F5019" t="s">
        <v>18</v>
      </c>
      <c r="G5019" s="1" t="str">
        <f t="shared" si="1085"/>
        <v>X</v>
      </c>
      <c r="H5019" s="1" t="str">
        <f t="shared" si="1085"/>
        <v>X</v>
      </c>
      <c r="I5019" s="1" t="str">
        <f t="shared" si="1085"/>
        <v>X</v>
      </c>
      <c r="J5019" s="1" t="str">
        <f t="shared" si="1085"/>
        <v>X</v>
      </c>
      <c r="K5019" s="1" t="str">
        <f t="shared" si="1085"/>
        <v>X</v>
      </c>
      <c r="L5019" s="1" t="str">
        <f t="shared" si="1085"/>
        <v>X</v>
      </c>
      <c r="M5019" s="1" t="str">
        <f t="shared" si="1085"/>
        <v>X</v>
      </c>
      <c r="N5019" t="s">
        <v>27</v>
      </c>
    </row>
    <row r="5020" spans="1:14" x14ac:dyDescent="0.25">
      <c r="A5020" t="s">
        <v>41</v>
      </c>
      <c r="B5020" t="s">
        <v>40</v>
      </c>
      <c r="C5020" t="s">
        <v>37</v>
      </c>
      <c r="D5020" t="s">
        <v>32</v>
      </c>
      <c r="E5020" t="s">
        <v>23</v>
      </c>
      <c r="F5020" t="s">
        <v>19</v>
      </c>
      <c r="G5020" s="2">
        <f>VALUE(312.9659565323)</f>
        <v>312.96595653230003</v>
      </c>
      <c r="H5020" s="3">
        <f>VALUE(272.0035374483)</f>
        <v>272.00353744829999</v>
      </c>
      <c r="I5020" s="1">
        <f>VALUE(2635)</f>
        <v>2635</v>
      </c>
      <c r="J5020" s="1">
        <f>VALUE(3208)</f>
        <v>3208</v>
      </c>
      <c r="K5020" s="1">
        <f>VALUE(3838)</f>
        <v>3838</v>
      </c>
      <c r="L5020" s="1">
        <f>VALUE(4469)</f>
        <v>4469</v>
      </c>
      <c r="M5020" s="8">
        <f>VALUE(5469)</f>
        <v>5469</v>
      </c>
      <c r="N5020" t="s">
        <v>25</v>
      </c>
    </row>
    <row r="5021" spans="1:14" x14ac:dyDescent="0.25">
      <c r="A5021" t="s">
        <v>41</v>
      </c>
      <c r="B5021" t="s">
        <v>40</v>
      </c>
      <c r="C5021" t="s">
        <v>37</v>
      </c>
      <c r="D5021" t="s">
        <v>32</v>
      </c>
      <c r="E5021" t="s">
        <v>23</v>
      </c>
      <c r="F5021" t="s">
        <v>20</v>
      </c>
      <c r="G5021" s="1">
        <f>VALUE(4252.2824965367)</f>
        <v>4252.2824965366999</v>
      </c>
      <c r="H5021" s="1">
        <f>VALUE(3701.5109697572)</f>
        <v>3701.5109697572002</v>
      </c>
      <c r="I5021" s="1">
        <f>VALUE(2486)</f>
        <v>2486</v>
      </c>
      <c r="J5021" s="1">
        <f>VALUE(2764)</f>
        <v>2764</v>
      </c>
      <c r="K5021" s="1">
        <f>VALUE(3160)</f>
        <v>3160</v>
      </c>
      <c r="L5021" s="1">
        <f>VALUE(3831)</f>
        <v>3831</v>
      </c>
      <c r="M5021" s="1">
        <f>VALUE(4418)</f>
        <v>4418</v>
      </c>
      <c r="N5021" t="s">
        <v>16</v>
      </c>
    </row>
    <row r="5022" spans="1:14" x14ac:dyDescent="0.25">
      <c r="A5022" t="s">
        <v>41</v>
      </c>
      <c r="B5022" t="s">
        <v>40</v>
      </c>
      <c r="C5022" t="s">
        <v>37</v>
      </c>
      <c r="D5022" t="s">
        <v>32</v>
      </c>
      <c r="E5022" t="s">
        <v>26</v>
      </c>
      <c r="F5022" t="s">
        <v>15</v>
      </c>
      <c r="G5022" s="1" t="str">
        <f t="shared" ref="G5022:M5024" si="1086">"X"</f>
        <v>X</v>
      </c>
      <c r="H5022" s="1" t="str">
        <f t="shared" si="1086"/>
        <v>X</v>
      </c>
      <c r="I5022" s="1" t="str">
        <f t="shared" si="1086"/>
        <v>X</v>
      </c>
      <c r="J5022" s="1" t="str">
        <f t="shared" si="1086"/>
        <v>X</v>
      </c>
      <c r="K5022" s="1" t="str">
        <f t="shared" si="1086"/>
        <v>X</v>
      </c>
      <c r="L5022" s="1" t="str">
        <f t="shared" si="1086"/>
        <v>X</v>
      </c>
      <c r="M5022" s="1" t="str">
        <f t="shared" si="1086"/>
        <v>X</v>
      </c>
      <c r="N5022" t="s">
        <v>27</v>
      </c>
    </row>
    <row r="5023" spans="1:14" x14ac:dyDescent="0.25">
      <c r="A5023" t="s">
        <v>41</v>
      </c>
      <c r="B5023" t="s">
        <v>40</v>
      </c>
      <c r="C5023" t="s">
        <v>37</v>
      </c>
      <c r="D5023" t="s">
        <v>32</v>
      </c>
      <c r="E5023" t="s">
        <v>26</v>
      </c>
      <c r="F5023" t="s">
        <v>17</v>
      </c>
      <c r="G5023" s="1" t="str">
        <f t="shared" si="1086"/>
        <v>X</v>
      </c>
      <c r="H5023" s="1" t="str">
        <f t="shared" si="1086"/>
        <v>X</v>
      </c>
      <c r="I5023" s="1" t="str">
        <f t="shared" si="1086"/>
        <v>X</v>
      </c>
      <c r="J5023" s="1" t="str">
        <f t="shared" si="1086"/>
        <v>X</v>
      </c>
      <c r="K5023" s="1" t="str">
        <f t="shared" si="1086"/>
        <v>X</v>
      </c>
      <c r="L5023" s="1" t="str">
        <f t="shared" si="1086"/>
        <v>X</v>
      </c>
      <c r="M5023" s="1" t="str">
        <f t="shared" si="1086"/>
        <v>X</v>
      </c>
      <c r="N5023" t="s">
        <v>27</v>
      </c>
    </row>
    <row r="5024" spans="1:14" x14ac:dyDescent="0.25">
      <c r="A5024" t="s">
        <v>41</v>
      </c>
      <c r="B5024" t="s">
        <v>40</v>
      </c>
      <c r="C5024" t="s">
        <v>37</v>
      </c>
      <c r="D5024" t="s">
        <v>32</v>
      </c>
      <c r="E5024" t="s">
        <v>26</v>
      </c>
      <c r="F5024" t="s">
        <v>18</v>
      </c>
      <c r="G5024" s="1" t="str">
        <f t="shared" si="1086"/>
        <v>X</v>
      </c>
      <c r="H5024" s="1" t="str">
        <f t="shared" si="1086"/>
        <v>X</v>
      </c>
      <c r="I5024" s="1" t="str">
        <f t="shared" si="1086"/>
        <v>X</v>
      </c>
      <c r="J5024" s="1" t="str">
        <f t="shared" si="1086"/>
        <v>X</v>
      </c>
      <c r="K5024" s="1" t="str">
        <f t="shared" si="1086"/>
        <v>X</v>
      </c>
      <c r="L5024" s="1" t="str">
        <f t="shared" si="1086"/>
        <v>X</v>
      </c>
      <c r="M5024" s="1" t="str">
        <f t="shared" si="1086"/>
        <v>X</v>
      </c>
      <c r="N5024" t="s">
        <v>27</v>
      </c>
    </row>
    <row r="5025" spans="1:14" x14ac:dyDescent="0.25">
      <c r="A5025" t="s">
        <v>41</v>
      </c>
      <c r="B5025" t="s">
        <v>40</v>
      </c>
      <c r="C5025" t="s">
        <v>37</v>
      </c>
      <c r="D5025" t="s">
        <v>32</v>
      </c>
      <c r="E5025" t="s">
        <v>26</v>
      </c>
      <c r="F5025" t="s">
        <v>19</v>
      </c>
      <c r="G5025" s="1" t="str">
        <f t="shared" ref="G5025:M5025" si="1087">"..."</f>
        <v>...</v>
      </c>
      <c r="H5025" s="1" t="str">
        <f t="shared" si="1087"/>
        <v>...</v>
      </c>
      <c r="I5025" s="1" t="str">
        <f t="shared" si="1087"/>
        <v>...</v>
      </c>
      <c r="J5025" s="1" t="str">
        <f t="shared" si="1087"/>
        <v>...</v>
      </c>
      <c r="K5025" s="1" t="str">
        <f t="shared" si="1087"/>
        <v>...</v>
      </c>
      <c r="L5025" s="1" t="str">
        <f t="shared" si="1087"/>
        <v>...</v>
      </c>
      <c r="M5025" s="1" t="str">
        <f t="shared" si="1087"/>
        <v>...</v>
      </c>
      <c r="N5025" t="s">
        <v>30</v>
      </c>
    </row>
    <row r="5026" spans="1:14" x14ac:dyDescent="0.25">
      <c r="A5026" t="s">
        <v>41</v>
      </c>
      <c r="B5026" t="s">
        <v>40</v>
      </c>
      <c r="C5026" t="s">
        <v>37</v>
      </c>
      <c r="D5026" t="s">
        <v>32</v>
      </c>
      <c r="E5026" t="s">
        <v>26</v>
      </c>
      <c r="F5026" t="s">
        <v>20</v>
      </c>
      <c r="G5026" s="1" t="str">
        <f t="shared" ref="G5026:M5038" si="1088">"X"</f>
        <v>X</v>
      </c>
      <c r="H5026" s="1" t="str">
        <f t="shared" si="1088"/>
        <v>X</v>
      </c>
      <c r="I5026" s="1" t="str">
        <f t="shared" si="1088"/>
        <v>X</v>
      </c>
      <c r="J5026" s="1" t="str">
        <f t="shared" si="1088"/>
        <v>X</v>
      </c>
      <c r="K5026" s="1" t="str">
        <f t="shared" si="1088"/>
        <v>X</v>
      </c>
      <c r="L5026" s="1" t="str">
        <f t="shared" si="1088"/>
        <v>X</v>
      </c>
      <c r="M5026" s="1" t="str">
        <f t="shared" si="1088"/>
        <v>X</v>
      </c>
      <c r="N5026" t="s">
        <v>27</v>
      </c>
    </row>
    <row r="5027" spans="1:14" x14ac:dyDescent="0.25">
      <c r="A5027" t="s">
        <v>41</v>
      </c>
      <c r="B5027" t="s">
        <v>40</v>
      </c>
      <c r="C5027" t="s">
        <v>37</v>
      </c>
      <c r="D5027" t="s">
        <v>33</v>
      </c>
      <c r="E5027" t="s">
        <v>15</v>
      </c>
      <c r="F5027" t="s">
        <v>15</v>
      </c>
      <c r="G5027" s="1" t="str">
        <f t="shared" si="1088"/>
        <v>X</v>
      </c>
      <c r="H5027" s="1" t="str">
        <f t="shared" si="1088"/>
        <v>X</v>
      </c>
      <c r="I5027" s="1" t="str">
        <f t="shared" si="1088"/>
        <v>X</v>
      </c>
      <c r="J5027" s="1" t="str">
        <f t="shared" si="1088"/>
        <v>X</v>
      </c>
      <c r="K5027" s="1" t="str">
        <f t="shared" si="1088"/>
        <v>X</v>
      </c>
      <c r="L5027" s="1" t="str">
        <f t="shared" si="1088"/>
        <v>X</v>
      </c>
      <c r="M5027" s="1" t="str">
        <f t="shared" si="1088"/>
        <v>X</v>
      </c>
      <c r="N5027" t="s">
        <v>27</v>
      </c>
    </row>
    <row r="5028" spans="1:14" x14ac:dyDescent="0.25">
      <c r="A5028" t="s">
        <v>41</v>
      </c>
      <c r="B5028" t="s">
        <v>40</v>
      </c>
      <c r="C5028" t="s">
        <v>37</v>
      </c>
      <c r="D5028" t="s">
        <v>33</v>
      </c>
      <c r="E5028" t="s">
        <v>15</v>
      </c>
      <c r="F5028" t="s">
        <v>17</v>
      </c>
      <c r="G5028" s="1" t="str">
        <f t="shared" si="1088"/>
        <v>X</v>
      </c>
      <c r="H5028" s="1" t="str">
        <f t="shared" si="1088"/>
        <v>X</v>
      </c>
      <c r="I5028" s="1" t="str">
        <f t="shared" si="1088"/>
        <v>X</v>
      </c>
      <c r="J5028" s="1" t="str">
        <f t="shared" si="1088"/>
        <v>X</v>
      </c>
      <c r="K5028" s="1" t="str">
        <f t="shared" si="1088"/>
        <v>X</v>
      </c>
      <c r="L5028" s="1" t="str">
        <f t="shared" si="1088"/>
        <v>X</v>
      </c>
      <c r="M5028" s="1" t="str">
        <f t="shared" si="1088"/>
        <v>X</v>
      </c>
      <c r="N5028" t="s">
        <v>27</v>
      </c>
    </row>
    <row r="5029" spans="1:14" x14ac:dyDescent="0.25">
      <c r="A5029" t="s">
        <v>41</v>
      </c>
      <c r="B5029" t="s">
        <v>40</v>
      </c>
      <c r="C5029" t="s">
        <v>37</v>
      </c>
      <c r="D5029" t="s">
        <v>33</v>
      </c>
      <c r="E5029" t="s">
        <v>15</v>
      </c>
      <c r="F5029" t="s">
        <v>18</v>
      </c>
      <c r="G5029" s="1" t="str">
        <f t="shared" si="1088"/>
        <v>X</v>
      </c>
      <c r="H5029" s="1" t="str">
        <f t="shared" si="1088"/>
        <v>X</v>
      </c>
      <c r="I5029" s="1" t="str">
        <f t="shared" si="1088"/>
        <v>X</v>
      </c>
      <c r="J5029" s="1" t="str">
        <f t="shared" si="1088"/>
        <v>X</v>
      </c>
      <c r="K5029" s="1" t="str">
        <f t="shared" si="1088"/>
        <v>X</v>
      </c>
      <c r="L5029" s="1" t="str">
        <f t="shared" si="1088"/>
        <v>X</v>
      </c>
      <c r="M5029" s="1" t="str">
        <f t="shared" si="1088"/>
        <v>X</v>
      </c>
      <c r="N5029" t="s">
        <v>27</v>
      </c>
    </row>
    <row r="5030" spans="1:14" x14ac:dyDescent="0.25">
      <c r="A5030" t="s">
        <v>41</v>
      </c>
      <c r="B5030" t="s">
        <v>40</v>
      </c>
      <c r="C5030" t="s">
        <v>37</v>
      </c>
      <c r="D5030" t="s">
        <v>33</v>
      </c>
      <c r="E5030" t="s">
        <v>15</v>
      </c>
      <c r="F5030" t="s">
        <v>19</v>
      </c>
      <c r="G5030" s="1" t="str">
        <f t="shared" si="1088"/>
        <v>X</v>
      </c>
      <c r="H5030" s="1" t="str">
        <f t="shared" si="1088"/>
        <v>X</v>
      </c>
      <c r="I5030" s="1" t="str">
        <f t="shared" si="1088"/>
        <v>X</v>
      </c>
      <c r="J5030" s="1" t="str">
        <f t="shared" si="1088"/>
        <v>X</v>
      </c>
      <c r="K5030" s="1" t="str">
        <f t="shared" si="1088"/>
        <v>X</v>
      </c>
      <c r="L5030" s="1" t="str">
        <f t="shared" si="1088"/>
        <v>X</v>
      </c>
      <c r="M5030" s="1" t="str">
        <f t="shared" si="1088"/>
        <v>X</v>
      </c>
      <c r="N5030" t="s">
        <v>27</v>
      </c>
    </row>
    <row r="5031" spans="1:14" x14ac:dyDescent="0.25">
      <c r="A5031" t="s">
        <v>41</v>
      </c>
      <c r="B5031" t="s">
        <v>40</v>
      </c>
      <c r="C5031" t="s">
        <v>37</v>
      </c>
      <c r="D5031" t="s">
        <v>33</v>
      </c>
      <c r="E5031" t="s">
        <v>15</v>
      </c>
      <c r="F5031" t="s">
        <v>20</v>
      </c>
      <c r="G5031" s="1" t="str">
        <f t="shared" si="1088"/>
        <v>X</v>
      </c>
      <c r="H5031" s="1" t="str">
        <f t="shared" si="1088"/>
        <v>X</v>
      </c>
      <c r="I5031" s="1" t="str">
        <f t="shared" si="1088"/>
        <v>X</v>
      </c>
      <c r="J5031" s="1" t="str">
        <f t="shared" si="1088"/>
        <v>X</v>
      </c>
      <c r="K5031" s="1" t="str">
        <f t="shared" si="1088"/>
        <v>X</v>
      </c>
      <c r="L5031" s="1" t="str">
        <f t="shared" si="1088"/>
        <v>X</v>
      </c>
      <c r="M5031" s="1" t="str">
        <f t="shared" si="1088"/>
        <v>X</v>
      </c>
      <c r="N5031" t="s">
        <v>27</v>
      </c>
    </row>
    <row r="5032" spans="1:14" x14ac:dyDescent="0.25">
      <c r="A5032" t="s">
        <v>41</v>
      </c>
      <c r="B5032" t="s">
        <v>40</v>
      </c>
      <c r="C5032" t="s">
        <v>37</v>
      </c>
      <c r="D5032" t="s">
        <v>33</v>
      </c>
      <c r="E5032" t="s">
        <v>21</v>
      </c>
      <c r="F5032" t="s">
        <v>15</v>
      </c>
      <c r="G5032" s="1" t="str">
        <f t="shared" si="1088"/>
        <v>X</v>
      </c>
      <c r="H5032" s="1" t="str">
        <f t="shared" si="1088"/>
        <v>X</v>
      </c>
      <c r="I5032" s="1" t="str">
        <f t="shared" si="1088"/>
        <v>X</v>
      </c>
      <c r="J5032" s="1" t="str">
        <f t="shared" si="1088"/>
        <v>X</v>
      </c>
      <c r="K5032" s="1" t="str">
        <f t="shared" si="1088"/>
        <v>X</v>
      </c>
      <c r="L5032" s="1" t="str">
        <f t="shared" si="1088"/>
        <v>X</v>
      </c>
      <c r="M5032" s="1" t="str">
        <f t="shared" si="1088"/>
        <v>X</v>
      </c>
      <c r="N5032" t="s">
        <v>27</v>
      </c>
    </row>
    <row r="5033" spans="1:14" x14ac:dyDescent="0.25">
      <c r="A5033" t="s">
        <v>41</v>
      </c>
      <c r="B5033" t="s">
        <v>40</v>
      </c>
      <c r="C5033" t="s">
        <v>37</v>
      </c>
      <c r="D5033" t="s">
        <v>33</v>
      </c>
      <c r="E5033" t="s">
        <v>21</v>
      </c>
      <c r="F5033" t="s">
        <v>17</v>
      </c>
      <c r="G5033" s="1" t="str">
        <f t="shared" si="1088"/>
        <v>X</v>
      </c>
      <c r="H5033" s="1" t="str">
        <f t="shared" si="1088"/>
        <v>X</v>
      </c>
      <c r="I5033" s="1" t="str">
        <f t="shared" si="1088"/>
        <v>X</v>
      </c>
      <c r="J5033" s="1" t="str">
        <f t="shared" si="1088"/>
        <v>X</v>
      </c>
      <c r="K5033" s="1" t="str">
        <f t="shared" si="1088"/>
        <v>X</v>
      </c>
      <c r="L5033" s="1" t="str">
        <f t="shared" si="1088"/>
        <v>X</v>
      </c>
      <c r="M5033" s="1" t="str">
        <f t="shared" si="1088"/>
        <v>X</v>
      </c>
      <c r="N5033" t="s">
        <v>27</v>
      </c>
    </row>
    <row r="5034" spans="1:14" x14ac:dyDescent="0.25">
      <c r="A5034" t="s">
        <v>41</v>
      </c>
      <c r="B5034" t="s">
        <v>40</v>
      </c>
      <c r="C5034" t="s">
        <v>37</v>
      </c>
      <c r="D5034" t="s">
        <v>33</v>
      </c>
      <c r="E5034" t="s">
        <v>21</v>
      </c>
      <c r="F5034" t="s">
        <v>18</v>
      </c>
      <c r="G5034" s="1" t="str">
        <f t="shared" si="1088"/>
        <v>X</v>
      </c>
      <c r="H5034" s="1" t="str">
        <f t="shared" si="1088"/>
        <v>X</v>
      </c>
      <c r="I5034" s="1" t="str">
        <f t="shared" si="1088"/>
        <v>X</v>
      </c>
      <c r="J5034" s="1" t="str">
        <f t="shared" si="1088"/>
        <v>X</v>
      </c>
      <c r="K5034" s="1" t="str">
        <f t="shared" si="1088"/>
        <v>X</v>
      </c>
      <c r="L5034" s="1" t="str">
        <f t="shared" si="1088"/>
        <v>X</v>
      </c>
      <c r="M5034" s="1" t="str">
        <f t="shared" si="1088"/>
        <v>X</v>
      </c>
      <c r="N5034" t="s">
        <v>27</v>
      </c>
    </row>
    <row r="5035" spans="1:14" x14ac:dyDescent="0.25">
      <c r="A5035" t="s">
        <v>41</v>
      </c>
      <c r="B5035" t="s">
        <v>40</v>
      </c>
      <c r="C5035" t="s">
        <v>37</v>
      </c>
      <c r="D5035" t="s">
        <v>33</v>
      </c>
      <c r="E5035" t="s">
        <v>21</v>
      </c>
      <c r="F5035" t="s">
        <v>19</v>
      </c>
      <c r="G5035" s="1" t="str">
        <f t="shared" si="1088"/>
        <v>X</v>
      </c>
      <c r="H5035" s="1" t="str">
        <f t="shared" si="1088"/>
        <v>X</v>
      </c>
      <c r="I5035" s="1" t="str">
        <f t="shared" si="1088"/>
        <v>X</v>
      </c>
      <c r="J5035" s="1" t="str">
        <f t="shared" si="1088"/>
        <v>X</v>
      </c>
      <c r="K5035" s="1" t="str">
        <f t="shared" si="1088"/>
        <v>X</v>
      </c>
      <c r="L5035" s="1" t="str">
        <f t="shared" si="1088"/>
        <v>X</v>
      </c>
      <c r="M5035" s="1" t="str">
        <f t="shared" si="1088"/>
        <v>X</v>
      </c>
      <c r="N5035" t="s">
        <v>27</v>
      </c>
    </row>
    <row r="5036" spans="1:14" x14ac:dyDescent="0.25">
      <c r="A5036" t="s">
        <v>41</v>
      </c>
      <c r="B5036" t="s">
        <v>40</v>
      </c>
      <c r="C5036" t="s">
        <v>37</v>
      </c>
      <c r="D5036" t="s">
        <v>33</v>
      </c>
      <c r="E5036" t="s">
        <v>21</v>
      </c>
      <c r="F5036" t="s">
        <v>20</v>
      </c>
      <c r="G5036" s="1" t="str">
        <f t="shared" si="1088"/>
        <v>X</v>
      </c>
      <c r="H5036" s="1" t="str">
        <f t="shared" si="1088"/>
        <v>X</v>
      </c>
      <c r="I5036" s="1" t="str">
        <f t="shared" si="1088"/>
        <v>X</v>
      </c>
      <c r="J5036" s="1" t="str">
        <f t="shared" si="1088"/>
        <v>X</v>
      </c>
      <c r="K5036" s="1" t="str">
        <f t="shared" si="1088"/>
        <v>X</v>
      </c>
      <c r="L5036" s="1" t="str">
        <f t="shared" si="1088"/>
        <v>X</v>
      </c>
      <c r="M5036" s="1" t="str">
        <f t="shared" si="1088"/>
        <v>X</v>
      </c>
      <c r="N5036" t="s">
        <v>27</v>
      </c>
    </row>
    <row r="5037" spans="1:14" x14ac:dyDescent="0.25">
      <c r="A5037" t="s">
        <v>41</v>
      </c>
      <c r="B5037" t="s">
        <v>40</v>
      </c>
      <c r="C5037" t="s">
        <v>37</v>
      </c>
      <c r="D5037" t="s">
        <v>33</v>
      </c>
      <c r="E5037" t="s">
        <v>22</v>
      </c>
      <c r="F5037" t="s">
        <v>15</v>
      </c>
      <c r="G5037" s="1" t="str">
        <f t="shared" si="1088"/>
        <v>X</v>
      </c>
      <c r="H5037" s="1" t="str">
        <f t="shared" si="1088"/>
        <v>X</v>
      </c>
      <c r="I5037" s="1" t="str">
        <f t="shared" si="1088"/>
        <v>X</v>
      </c>
      <c r="J5037" s="1" t="str">
        <f t="shared" si="1088"/>
        <v>X</v>
      </c>
      <c r="K5037" s="1" t="str">
        <f t="shared" si="1088"/>
        <v>X</v>
      </c>
      <c r="L5037" s="1" t="str">
        <f t="shared" si="1088"/>
        <v>X</v>
      </c>
      <c r="M5037" s="1" t="str">
        <f t="shared" si="1088"/>
        <v>X</v>
      </c>
      <c r="N5037" t="s">
        <v>27</v>
      </c>
    </row>
    <row r="5038" spans="1:14" x14ac:dyDescent="0.25">
      <c r="A5038" t="s">
        <v>41</v>
      </c>
      <c r="B5038" t="s">
        <v>40</v>
      </c>
      <c r="C5038" t="s">
        <v>37</v>
      </c>
      <c r="D5038" t="s">
        <v>33</v>
      </c>
      <c r="E5038" t="s">
        <v>22</v>
      </c>
      <c r="F5038" t="s">
        <v>17</v>
      </c>
      <c r="G5038" s="1" t="str">
        <f t="shared" si="1088"/>
        <v>X</v>
      </c>
      <c r="H5038" s="1" t="str">
        <f t="shared" si="1088"/>
        <v>X</v>
      </c>
      <c r="I5038" s="1" t="str">
        <f t="shared" si="1088"/>
        <v>X</v>
      </c>
      <c r="J5038" s="1" t="str">
        <f t="shared" si="1088"/>
        <v>X</v>
      </c>
      <c r="K5038" s="1" t="str">
        <f t="shared" si="1088"/>
        <v>X</v>
      </c>
      <c r="L5038" s="1" t="str">
        <f t="shared" si="1088"/>
        <v>X</v>
      </c>
      <c r="M5038" s="1" t="str">
        <f t="shared" si="1088"/>
        <v>X</v>
      </c>
      <c r="N5038" t="s">
        <v>27</v>
      </c>
    </row>
    <row r="5039" spans="1:14" x14ac:dyDescent="0.25">
      <c r="A5039" t="s">
        <v>41</v>
      </c>
      <c r="B5039" t="s">
        <v>40</v>
      </c>
      <c r="C5039" t="s">
        <v>37</v>
      </c>
      <c r="D5039" t="s">
        <v>33</v>
      </c>
      <c r="E5039" t="s">
        <v>22</v>
      </c>
      <c r="F5039" t="s">
        <v>18</v>
      </c>
      <c r="G5039" s="1" t="str">
        <f t="shared" ref="G5039:M5039" si="1089">"..."</f>
        <v>...</v>
      </c>
      <c r="H5039" s="1" t="str">
        <f t="shared" si="1089"/>
        <v>...</v>
      </c>
      <c r="I5039" s="1" t="str">
        <f t="shared" si="1089"/>
        <v>...</v>
      </c>
      <c r="J5039" s="1" t="str">
        <f t="shared" si="1089"/>
        <v>...</v>
      </c>
      <c r="K5039" s="1" t="str">
        <f t="shared" si="1089"/>
        <v>...</v>
      </c>
      <c r="L5039" s="1" t="str">
        <f t="shared" si="1089"/>
        <v>...</v>
      </c>
      <c r="M5039" s="1" t="str">
        <f t="shared" si="1089"/>
        <v>...</v>
      </c>
      <c r="N5039" t="s">
        <v>30</v>
      </c>
    </row>
    <row r="5040" spans="1:14" x14ac:dyDescent="0.25">
      <c r="A5040" t="s">
        <v>41</v>
      </c>
      <c r="B5040" t="s">
        <v>40</v>
      </c>
      <c r="C5040" t="s">
        <v>37</v>
      </c>
      <c r="D5040" t="s">
        <v>33</v>
      </c>
      <c r="E5040" t="s">
        <v>22</v>
      </c>
      <c r="F5040" t="s">
        <v>19</v>
      </c>
      <c r="G5040" s="1" t="str">
        <f t="shared" ref="G5040:M5042" si="1090">"X"</f>
        <v>X</v>
      </c>
      <c r="H5040" s="1" t="str">
        <f t="shared" si="1090"/>
        <v>X</v>
      </c>
      <c r="I5040" s="1" t="str">
        <f t="shared" si="1090"/>
        <v>X</v>
      </c>
      <c r="J5040" s="1" t="str">
        <f t="shared" si="1090"/>
        <v>X</v>
      </c>
      <c r="K5040" s="1" t="str">
        <f t="shared" si="1090"/>
        <v>X</v>
      </c>
      <c r="L5040" s="1" t="str">
        <f t="shared" si="1090"/>
        <v>X</v>
      </c>
      <c r="M5040" s="1" t="str">
        <f t="shared" si="1090"/>
        <v>X</v>
      </c>
      <c r="N5040" t="s">
        <v>27</v>
      </c>
    </row>
    <row r="5041" spans="1:14" x14ac:dyDescent="0.25">
      <c r="A5041" t="s">
        <v>41</v>
      </c>
      <c r="B5041" t="s">
        <v>40</v>
      </c>
      <c r="C5041" t="s">
        <v>37</v>
      </c>
      <c r="D5041" t="s">
        <v>33</v>
      </c>
      <c r="E5041" t="s">
        <v>22</v>
      </c>
      <c r="F5041" t="s">
        <v>20</v>
      </c>
      <c r="G5041" s="1" t="str">
        <f t="shared" si="1090"/>
        <v>X</v>
      </c>
      <c r="H5041" s="1" t="str">
        <f t="shared" si="1090"/>
        <v>X</v>
      </c>
      <c r="I5041" s="1" t="str">
        <f t="shared" si="1090"/>
        <v>X</v>
      </c>
      <c r="J5041" s="1" t="str">
        <f t="shared" si="1090"/>
        <v>X</v>
      </c>
      <c r="K5041" s="1" t="str">
        <f t="shared" si="1090"/>
        <v>X</v>
      </c>
      <c r="L5041" s="1" t="str">
        <f t="shared" si="1090"/>
        <v>X</v>
      </c>
      <c r="M5041" s="1" t="str">
        <f t="shared" si="1090"/>
        <v>X</v>
      </c>
      <c r="N5041" t="s">
        <v>27</v>
      </c>
    </row>
    <row r="5042" spans="1:14" x14ac:dyDescent="0.25">
      <c r="A5042" t="s">
        <v>41</v>
      </c>
      <c r="B5042" t="s">
        <v>40</v>
      </c>
      <c r="C5042" t="s">
        <v>37</v>
      </c>
      <c r="D5042" t="s">
        <v>33</v>
      </c>
      <c r="E5042" t="s">
        <v>23</v>
      </c>
      <c r="F5042" t="s">
        <v>15</v>
      </c>
      <c r="G5042" s="1" t="str">
        <f t="shared" si="1090"/>
        <v>X</v>
      </c>
      <c r="H5042" s="1" t="str">
        <f t="shared" si="1090"/>
        <v>X</v>
      </c>
      <c r="I5042" s="1" t="str">
        <f t="shared" si="1090"/>
        <v>X</v>
      </c>
      <c r="J5042" s="1" t="str">
        <f t="shared" si="1090"/>
        <v>X</v>
      </c>
      <c r="K5042" s="1" t="str">
        <f t="shared" si="1090"/>
        <v>X</v>
      </c>
      <c r="L5042" s="1" t="str">
        <f t="shared" si="1090"/>
        <v>X</v>
      </c>
      <c r="M5042" s="1" t="str">
        <f t="shared" si="1090"/>
        <v>X</v>
      </c>
      <c r="N5042" t="s">
        <v>27</v>
      </c>
    </row>
    <row r="5043" spans="1:14" x14ac:dyDescent="0.25">
      <c r="A5043" t="s">
        <v>41</v>
      </c>
      <c r="B5043" t="s">
        <v>40</v>
      </c>
      <c r="C5043" t="s">
        <v>37</v>
      </c>
      <c r="D5043" t="s">
        <v>33</v>
      </c>
      <c r="E5043" t="s">
        <v>23</v>
      </c>
      <c r="F5043" t="s">
        <v>17</v>
      </c>
      <c r="G5043" s="1" t="str">
        <f t="shared" ref="G5043:M5043" si="1091">"..."</f>
        <v>...</v>
      </c>
      <c r="H5043" s="1" t="str">
        <f t="shared" si="1091"/>
        <v>...</v>
      </c>
      <c r="I5043" s="1" t="str">
        <f t="shared" si="1091"/>
        <v>...</v>
      </c>
      <c r="J5043" s="1" t="str">
        <f t="shared" si="1091"/>
        <v>...</v>
      </c>
      <c r="K5043" s="1" t="str">
        <f t="shared" si="1091"/>
        <v>...</v>
      </c>
      <c r="L5043" s="1" t="str">
        <f t="shared" si="1091"/>
        <v>...</v>
      </c>
      <c r="M5043" s="1" t="str">
        <f t="shared" si="1091"/>
        <v>...</v>
      </c>
      <c r="N5043" t="s">
        <v>30</v>
      </c>
    </row>
    <row r="5044" spans="1:14" x14ac:dyDescent="0.25">
      <c r="A5044" t="s">
        <v>41</v>
      </c>
      <c r="B5044" t="s">
        <v>40</v>
      </c>
      <c r="C5044" t="s">
        <v>37</v>
      </c>
      <c r="D5044" t="s">
        <v>33</v>
      </c>
      <c r="E5044" t="s">
        <v>23</v>
      </c>
      <c r="F5044" t="s">
        <v>18</v>
      </c>
      <c r="G5044" s="1" t="str">
        <f t="shared" ref="G5044:M5047" si="1092">"X"</f>
        <v>X</v>
      </c>
      <c r="H5044" s="1" t="str">
        <f t="shared" si="1092"/>
        <v>X</v>
      </c>
      <c r="I5044" s="1" t="str">
        <f t="shared" si="1092"/>
        <v>X</v>
      </c>
      <c r="J5044" s="1" t="str">
        <f t="shared" si="1092"/>
        <v>X</v>
      </c>
      <c r="K5044" s="1" t="str">
        <f t="shared" si="1092"/>
        <v>X</v>
      </c>
      <c r="L5044" s="1" t="str">
        <f t="shared" si="1092"/>
        <v>X</v>
      </c>
      <c r="M5044" s="1" t="str">
        <f t="shared" si="1092"/>
        <v>X</v>
      </c>
      <c r="N5044" t="s">
        <v>27</v>
      </c>
    </row>
    <row r="5045" spans="1:14" x14ac:dyDescent="0.25">
      <c r="A5045" t="s">
        <v>41</v>
      </c>
      <c r="B5045" t="s">
        <v>40</v>
      </c>
      <c r="C5045" t="s">
        <v>37</v>
      </c>
      <c r="D5045" t="s">
        <v>33</v>
      </c>
      <c r="E5045" t="s">
        <v>23</v>
      </c>
      <c r="F5045" t="s">
        <v>19</v>
      </c>
      <c r="G5045" s="1" t="str">
        <f t="shared" si="1092"/>
        <v>X</v>
      </c>
      <c r="H5045" s="1" t="str">
        <f t="shared" si="1092"/>
        <v>X</v>
      </c>
      <c r="I5045" s="1" t="str">
        <f t="shared" si="1092"/>
        <v>X</v>
      </c>
      <c r="J5045" s="1" t="str">
        <f t="shared" si="1092"/>
        <v>X</v>
      </c>
      <c r="K5045" s="1" t="str">
        <f t="shared" si="1092"/>
        <v>X</v>
      </c>
      <c r="L5045" s="1" t="str">
        <f t="shared" si="1092"/>
        <v>X</v>
      </c>
      <c r="M5045" s="1" t="str">
        <f t="shared" si="1092"/>
        <v>X</v>
      </c>
      <c r="N5045" t="s">
        <v>27</v>
      </c>
    </row>
    <row r="5046" spans="1:14" x14ac:dyDescent="0.25">
      <c r="A5046" t="s">
        <v>41</v>
      </c>
      <c r="B5046" t="s">
        <v>40</v>
      </c>
      <c r="C5046" t="s">
        <v>37</v>
      </c>
      <c r="D5046" t="s">
        <v>33</v>
      </c>
      <c r="E5046" t="s">
        <v>23</v>
      </c>
      <c r="F5046" t="s">
        <v>20</v>
      </c>
      <c r="G5046" s="1" t="str">
        <f t="shared" si="1092"/>
        <v>X</v>
      </c>
      <c r="H5046" s="1" t="str">
        <f t="shared" si="1092"/>
        <v>X</v>
      </c>
      <c r="I5046" s="1" t="str">
        <f t="shared" si="1092"/>
        <v>X</v>
      </c>
      <c r="J5046" s="1" t="str">
        <f t="shared" si="1092"/>
        <v>X</v>
      </c>
      <c r="K5046" s="1" t="str">
        <f t="shared" si="1092"/>
        <v>X</v>
      </c>
      <c r="L5046" s="1" t="str">
        <f t="shared" si="1092"/>
        <v>X</v>
      </c>
      <c r="M5046" s="1" t="str">
        <f t="shared" si="1092"/>
        <v>X</v>
      </c>
      <c r="N5046" t="s">
        <v>27</v>
      </c>
    </row>
    <row r="5047" spans="1:14" x14ac:dyDescent="0.25">
      <c r="A5047" t="s">
        <v>41</v>
      </c>
      <c r="B5047" t="s">
        <v>40</v>
      </c>
      <c r="C5047" t="s">
        <v>37</v>
      </c>
      <c r="D5047" t="s">
        <v>33</v>
      </c>
      <c r="E5047" t="s">
        <v>26</v>
      </c>
      <c r="F5047" t="s">
        <v>15</v>
      </c>
      <c r="G5047" s="1" t="str">
        <f t="shared" si="1092"/>
        <v>X</v>
      </c>
      <c r="H5047" s="1" t="str">
        <f t="shared" si="1092"/>
        <v>X</v>
      </c>
      <c r="I5047" s="1" t="str">
        <f t="shared" si="1092"/>
        <v>X</v>
      </c>
      <c r="J5047" s="1" t="str">
        <f t="shared" si="1092"/>
        <v>X</v>
      </c>
      <c r="K5047" s="1" t="str">
        <f t="shared" si="1092"/>
        <v>X</v>
      </c>
      <c r="L5047" s="1" t="str">
        <f t="shared" si="1092"/>
        <v>X</v>
      </c>
      <c r="M5047" s="1" t="str">
        <f t="shared" si="1092"/>
        <v>X</v>
      </c>
      <c r="N5047" t="s">
        <v>27</v>
      </c>
    </row>
    <row r="5048" spans="1:14" x14ac:dyDescent="0.25">
      <c r="A5048" t="s">
        <v>41</v>
      </c>
      <c r="B5048" t="s">
        <v>40</v>
      </c>
      <c r="C5048" t="s">
        <v>37</v>
      </c>
      <c r="D5048" t="s">
        <v>33</v>
      </c>
      <c r="E5048" t="s">
        <v>26</v>
      </c>
      <c r="F5048" t="s">
        <v>17</v>
      </c>
      <c r="G5048" s="1" t="str">
        <f t="shared" ref="G5048:M5051" si="1093">"..."</f>
        <v>...</v>
      </c>
      <c r="H5048" s="1" t="str">
        <f t="shared" si="1093"/>
        <v>...</v>
      </c>
      <c r="I5048" s="1" t="str">
        <f t="shared" si="1093"/>
        <v>...</v>
      </c>
      <c r="J5048" s="1" t="str">
        <f t="shared" si="1093"/>
        <v>...</v>
      </c>
      <c r="K5048" s="1" t="str">
        <f t="shared" si="1093"/>
        <v>...</v>
      </c>
      <c r="L5048" s="1" t="str">
        <f t="shared" si="1093"/>
        <v>...</v>
      </c>
      <c r="M5048" s="1" t="str">
        <f t="shared" si="1093"/>
        <v>...</v>
      </c>
      <c r="N5048" t="s">
        <v>30</v>
      </c>
    </row>
    <row r="5049" spans="1:14" x14ac:dyDescent="0.25">
      <c r="A5049" t="s">
        <v>41</v>
      </c>
      <c r="B5049" t="s">
        <v>40</v>
      </c>
      <c r="C5049" t="s">
        <v>37</v>
      </c>
      <c r="D5049" t="s">
        <v>33</v>
      </c>
      <c r="E5049" t="s">
        <v>26</v>
      </c>
      <c r="F5049" t="s">
        <v>18</v>
      </c>
      <c r="G5049" s="1" t="str">
        <f t="shared" si="1093"/>
        <v>...</v>
      </c>
      <c r="H5049" s="1" t="str">
        <f t="shared" si="1093"/>
        <v>...</v>
      </c>
      <c r="I5049" s="1" t="str">
        <f t="shared" si="1093"/>
        <v>...</v>
      </c>
      <c r="J5049" s="1" t="str">
        <f t="shared" si="1093"/>
        <v>...</v>
      </c>
      <c r="K5049" s="1" t="str">
        <f t="shared" si="1093"/>
        <v>...</v>
      </c>
      <c r="L5049" s="1" t="str">
        <f t="shared" si="1093"/>
        <v>...</v>
      </c>
      <c r="M5049" s="1" t="str">
        <f t="shared" si="1093"/>
        <v>...</v>
      </c>
      <c r="N5049" t="s">
        <v>30</v>
      </c>
    </row>
    <row r="5050" spans="1:14" x14ac:dyDescent="0.25">
      <c r="A5050" t="s">
        <v>41</v>
      </c>
      <c r="B5050" t="s">
        <v>40</v>
      </c>
      <c r="C5050" t="s">
        <v>37</v>
      </c>
      <c r="D5050" t="s">
        <v>33</v>
      </c>
      <c r="E5050" t="s">
        <v>26</v>
      </c>
      <c r="F5050" t="s">
        <v>19</v>
      </c>
      <c r="G5050" s="1" t="str">
        <f t="shared" si="1093"/>
        <v>...</v>
      </c>
      <c r="H5050" s="1" t="str">
        <f t="shared" si="1093"/>
        <v>...</v>
      </c>
      <c r="I5050" s="1" t="str">
        <f t="shared" si="1093"/>
        <v>...</v>
      </c>
      <c r="J5050" s="1" t="str">
        <f t="shared" si="1093"/>
        <v>...</v>
      </c>
      <c r="K5050" s="1" t="str">
        <f t="shared" si="1093"/>
        <v>...</v>
      </c>
      <c r="L5050" s="1" t="str">
        <f t="shared" si="1093"/>
        <v>...</v>
      </c>
      <c r="M5050" s="1" t="str">
        <f t="shared" si="1093"/>
        <v>...</v>
      </c>
      <c r="N5050" t="s">
        <v>30</v>
      </c>
    </row>
    <row r="5051" spans="1:14" x14ac:dyDescent="0.25">
      <c r="A5051" t="s">
        <v>41</v>
      </c>
      <c r="B5051" t="s">
        <v>40</v>
      </c>
      <c r="C5051" t="s">
        <v>37</v>
      </c>
      <c r="D5051" t="s">
        <v>33</v>
      </c>
      <c r="E5051" t="s">
        <v>26</v>
      </c>
      <c r="F5051" t="s">
        <v>20</v>
      </c>
      <c r="G5051" s="1" t="str">
        <f t="shared" si="1093"/>
        <v>...</v>
      </c>
      <c r="H5051" s="1" t="str">
        <f t="shared" si="1093"/>
        <v>...</v>
      </c>
      <c r="I5051" s="1" t="str">
        <f t="shared" si="1093"/>
        <v>...</v>
      </c>
      <c r="J5051" s="1" t="str">
        <f t="shared" si="1093"/>
        <v>...</v>
      </c>
      <c r="K5051" s="1" t="str">
        <f t="shared" si="1093"/>
        <v>...</v>
      </c>
      <c r="L5051" s="1" t="str">
        <f t="shared" si="1093"/>
        <v>...</v>
      </c>
      <c r="M5051" s="1" t="str">
        <f t="shared" si="1093"/>
        <v>...</v>
      </c>
      <c r="N5051" t="s">
        <v>30</v>
      </c>
    </row>
    <row r="5052" spans="1:14" x14ac:dyDescent="0.25">
      <c r="A5052" t="s">
        <v>41</v>
      </c>
      <c r="B5052" t="s">
        <v>40</v>
      </c>
      <c r="C5052" t="s">
        <v>37</v>
      </c>
      <c r="D5052" t="s">
        <v>34</v>
      </c>
      <c r="E5052" t="s">
        <v>15</v>
      </c>
      <c r="F5052" t="s">
        <v>15</v>
      </c>
      <c r="G5052" s="2">
        <f>VALUE(288.4901321763)</f>
        <v>288.49013217629999</v>
      </c>
      <c r="H5052" s="3">
        <f>VALUE(238.0642842535)</f>
        <v>238.06428425350001</v>
      </c>
      <c r="I5052" s="4">
        <f>VALUE(3149)</f>
        <v>3149</v>
      </c>
      <c r="J5052" s="5">
        <f>VALUE(3639)</f>
        <v>3639</v>
      </c>
      <c r="K5052" s="1">
        <f>VALUE(5150)</f>
        <v>5150</v>
      </c>
      <c r="L5052" s="1">
        <f>VALUE(6699)</f>
        <v>6699</v>
      </c>
      <c r="M5052" s="1">
        <f>VALUE(8406)</f>
        <v>8406</v>
      </c>
      <c r="N5052" t="s">
        <v>25</v>
      </c>
    </row>
    <row r="5053" spans="1:14" x14ac:dyDescent="0.25">
      <c r="A5053" t="s">
        <v>41</v>
      </c>
      <c r="B5053" t="s">
        <v>40</v>
      </c>
      <c r="C5053" t="s">
        <v>37</v>
      </c>
      <c r="D5053" t="s">
        <v>34</v>
      </c>
      <c r="E5053" t="s">
        <v>15</v>
      </c>
      <c r="F5053" t="s">
        <v>17</v>
      </c>
      <c r="G5053" s="1" t="str">
        <f t="shared" ref="G5053:M5055" si="1094">"X"</f>
        <v>X</v>
      </c>
      <c r="H5053" s="1" t="str">
        <f t="shared" si="1094"/>
        <v>X</v>
      </c>
      <c r="I5053" s="1" t="str">
        <f t="shared" si="1094"/>
        <v>X</v>
      </c>
      <c r="J5053" s="1" t="str">
        <f t="shared" si="1094"/>
        <v>X</v>
      </c>
      <c r="K5053" s="1" t="str">
        <f t="shared" si="1094"/>
        <v>X</v>
      </c>
      <c r="L5053" s="1" t="str">
        <f t="shared" si="1094"/>
        <v>X</v>
      </c>
      <c r="M5053" s="1" t="str">
        <f t="shared" si="1094"/>
        <v>X</v>
      </c>
      <c r="N5053" t="s">
        <v>27</v>
      </c>
    </row>
    <row r="5054" spans="1:14" x14ac:dyDescent="0.25">
      <c r="A5054" t="s">
        <v>41</v>
      </c>
      <c r="B5054" t="s">
        <v>40</v>
      </c>
      <c r="C5054" t="s">
        <v>37</v>
      </c>
      <c r="D5054" t="s">
        <v>34</v>
      </c>
      <c r="E5054" t="s">
        <v>15</v>
      </c>
      <c r="F5054" t="s">
        <v>18</v>
      </c>
      <c r="G5054" s="1" t="str">
        <f t="shared" si="1094"/>
        <v>X</v>
      </c>
      <c r="H5054" s="1" t="str">
        <f t="shared" si="1094"/>
        <v>X</v>
      </c>
      <c r="I5054" s="1" t="str">
        <f t="shared" si="1094"/>
        <v>X</v>
      </c>
      <c r="J5054" s="1" t="str">
        <f t="shared" si="1094"/>
        <v>X</v>
      </c>
      <c r="K5054" s="1" t="str">
        <f t="shared" si="1094"/>
        <v>X</v>
      </c>
      <c r="L5054" s="1" t="str">
        <f t="shared" si="1094"/>
        <v>X</v>
      </c>
      <c r="M5054" s="1" t="str">
        <f t="shared" si="1094"/>
        <v>X</v>
      </c>
      <c r="N5054" t="s">
        <v>27</v>
      </c>
    </row>
    <row r="5055" spans="1:14" x14ac:dyDescent="0.25">
      <c r="A5055" t="s">
        <v>41</v>
      </c>
      <c r="B5055" t="s">
        <v>40</v>
      </c>
      <c r="C5055" t="s">
        <v>37</v>
      </c>
      <c r="D5055" t="s">
        <v>34</v>
      </c>
      <c r="E5055" t="s">
        <v>15</v>
      </c>
      <c r="F5055" t="s">
        <v>19</v>
      </c>
      <c r="G5055" s="1" t="str">
        <f t="shared" si="1094"/>
        <v>X</v>
      </c>
      <c r="H5055" s="1" t="str">
        <f t="shared" si="1094"/>
        <v>X</v>
      </c>
      <c r="I5055" s="1" t="str">
        <f t="shared" si="1094"/>
        <v>X</v>
      </c>
      <c r="J5055" s="1" t="str">
        <f t="shared" si="1094"/>
        <v>X</v>
      </c>
      <c r="K5055" s="1" t="str">
        <f t="shared" si="1094"/>
        <v>X</v>
      </c>
      <c r="L5055" s="1" t="str">
        <f t="shared" si="1094"/>
        <v>X</v>
      </c>
      <c r="M5055" s="1" t="str">
        <f t="shared" si="1094"/>
        <v>X</v>
      </c>
      <c r="N5055" t="s">
        <v>27</v>
      </c>
    </row>
    <row r="5056" spans="1:14" x14ac:dyDescent="0.25">
      <c r="A5056" t="s">
        <v>41</v>
      </c>
      <c r="B5056" t="s">
        <v>40</v>
      </c>
      <c r="C5056" t="s">
        <v>37</v>
      </c>
      <c r="D5056" t="s">
        <v>34</v>
      </c>
      <c r="E5056" t="s">
        <v>15</v>
      </c>
      <c r="F5056" t="s">
        <v>20</v>
      </c>
      <c r="G5056" s="2">
        <f>VALUE(233.4329859063)</f>
        <v>233.43298590629999</v>
      </c>
      <c r="H5056" s="3">
        <f>VALUE(190.4584001596)</f>
        <v>190.45840015959999</v>
      </c>
      <c r="I5056" s="4">
        <f>VALUE(2983)</f>
        <v>2983</v>
      </c>
      <c r="J5056" s="1">
        <f>VALUE(3508)</f>
        <v>3508</v>
      </c>
      <c r="K5056" s="1">
        <f>VALUE(5108)</f>
        <v>5108</v>
      </c>
      <c r="L5056" s="1">
        <f>VALUE(6135)</f>
        <v>6135</v>
      </c>
      <c r="M5056" s="1">
        <f>VALUE(7354)</f>
        <v>7354</v>
      </c>
      <c r="N5056" t="s">
        <v>25</v>
      </c>
    </row>
    <row r="5057" spans="1:14" x14ac:dyDescent="0.25">
      <c r="A5057" t="s">
        <v>41</v>
      </c>
      <c r="B5057" t="s">
        <v>40</v>
      </c>
      <c r="C5057" t="s">
        <v>37</v>
      </c>
      <c r="D5057" t="s">
        <v>34</v>
      </c>
      <c r="E5057" t="s">
        <v>21</v>
      </c>
      <c r="F5057" t="s">
        <v>15</v>
      </c>
      <c r="G5057" s="1" t="str">
        <f t="shared" ref="G5057:M5061" si="1095">"X"</f>
        <v>X</v>
      </c>
      <c r="H5057" s="1" t="str">
        <f t="shared" si="1095"/>
        <v>X</v>
      </c>
      <c r="I5057" s="1" t="str">
        <f t="shared" si="1095"/>
        <v>X</v>
      </c>
      <c r="J5057" s="1" t="str">
        <f t="shared" si="1095"/>
        <v>X</v>
      </c>
      <c r="K5057" s="1" t="str">
        <f t="shared" si="1095"/>
        <v>X</v>
      </c>
      <c r="L5057" s="1" t="str">
        <f t="shared" si="1095"/>
        <v>X</v>
      </c>
      <c r="M5057" s="1" t="str">
        <f t="shared" si="1095"/>
        <v>X</v>
      </c>
      <c r="N5057" t="s">
        <v>27</v>
      </c>
    </row>
    <row r="5058" spans="1:14" x14ac:dyDescent="0.25">
      <c r="A5058" t="s">
        <v>41</v>
      </c>
      <c r="B5058" t="s">
        <v>40</v>
      </c>
      <c r="C5058" t="s">
        <v>37</v>
      </c>
      <c r="D5058" t="s">
        <v>34</v>
      </c>
      <c r="E5058" t="s">
        <v>21</v>
      </c>
      <c r="F5058" t="s">
        <v>17</v>
      </c>
      <c r="G5058" s="1" t="str">
        <f t="shared" si="1095"/>
        <v>X</v>
      </c>
      <c r="H5058" s="1" t="str">
        <f t="shared" si="1095"/>
        <v>X</v>
      </c>
      <c r="I5058" s="1" t="str">
        <f t="shared" si="1095"/>
        <v>X</v>
      </c>
      <c r="J5058" s="1" t="str">
        <f t="shared" si="1095"/>
        <v>X</v>
      </c>
      <c r="K5058" s="1" t="str">
        <f t="shared" si="1095"/>
        <v>X</v>
      </c>
      <c r="L5058" s="1" t="str">
        <f t="shared" si="1095"/>
        <v>X</v>
      </c>
      <c r="M5058" s="1" t="str">
        <f t="shared" si="1095"/>
        <v>X</v>
      </c>
      <c r="N5058" t="s">
        <v>27</v>
      </c>
    </row>
    <row r="5059" spans="1:14" x14ac:dyDescent="0.25">
      <c r="A5059" t="s">
        <v>41</v>
      </c>
      <c r="B5059" t="s">
        <v>40</v>
      </c>
      <c r="C5059" t="s">
        <v>37</v>
      </c>
      <c r="D5059" t="s">
        <v>34</v>
      </c>
      <c r="E5059" t="s">
        <v>21</v>
      </c>
      <c r="F5059" t="s">
        <v>18</v>
      </c>
      <c r="G5059" s="1" t="str">
        <f t="shared" si="1095"/>
        <v>X</v>
      </c>
      <c r="H5059" s="1" t="str">
        <f t="shared" si="1095"/>
        <v>X</v>
      </c>
      <c r="I5059" s="1" t="str">
        <f t="shared" si="1095"/>
        <v>X</v>
      </c>
      <c r="J5059" s="1" t="str">
        <f t="shared" si="1095"/>
        <v>X</v>
      </c>
      <c r="K5059" s="1" t="str">
        <f t="shared" si="1095"/>
        <v>X</v>
      </c>
      <c r="L5059" s="1" t="str">
        <f t="shared" si="1095"/>
        <v>X</v>
      </c>
      <c r="M5059" s="1" t="str">
        <f t="shared" si="1095"/>
        <v>X</v>
      </c>
      <c r="N5059" t="s">
        <v>27</v>
      </c>
    </row>
    <row r="5060" spans="1:14" x14ac:dyDescent="0.25">
      <c r="A5060" t="s">
        <v>41</v>
      </c>
      <c r="B5060" t="s">
        <v>40</v>
      </c>
      <c r="C5060" t="s">
        <v>37</v>
      </c>
      <c r="D5060" t="s">
        <v>34</v>
      </c>
      <c r="E5060" t="s">
        <v>21</v>
      </c>
      <c r="F5060" t="s">
        <v>19</v>
      </c>
      <c r="G5060" s="1" t="str">
        <f t="shared" si="1095"/>
        <v>X</v>
      </c>
      <c r="H5060" s="1" t="str">
        <f t="shared" si="1095"/>
        <v>X</v>
      </c>
      <c r="I5060" s="1" t="str">
        <f t="shared" si="1095"/>
        <v>X</v>
      </c>
      <c r="J5060" s="1" t="str">
        <f t="shared" si="1095"/>
        <v>X</v>
      </c>
      <c r="K5060" s="1" t="str">
        <f t="shared" si="1095"/>
        <v>X</v>
      </c>
      <c r="L5060" s="1" t="str">
        <f t="shared" si="1095"/>
        <v>X</v>
      </c>
      <c r="M5060" s="1" t="str">
        <f t="shared" si="1095"/>
        <v>X</v>
      </c>
      <c r="N5060" t="s">
        <v>27</v>
      </c>
    </row>
    <row r="5061" spans="1:14" x14ac:dyDescent="0.25">
      <c r="A5061" t="s">
        <v>41</v>
      </c>
      <c r="B5061" t="s">
        <v>40</v>
      </c>
      <c r="C5061" t="s">
        <v>37</v>
      </c>
      <c r="D5061" t="s">
        <v>34</v>
      </c>
      <c r="E5061" t="s">
        <v>21</v>
      </c>
      <c r="F5061" t="s">
        <v>20</v>
      </c>
      <c r="G5061" s="1" t="str">
        <f t="shared" si="1095"/>
        <v>X</v>
      </c>
      <c r="H5061" s="1" t="str">
        <f t="shared" si="1095"/>
        <v>X</v>
      </c>
      <c r="I5061" s="1" t="str">
        <f t="shared" si="1095"/>
        <v>X</v>
      </c>
      <c r="J5061" s="1" t="str">
        <f t="shared" si="1095"/>
        <v>X</v>
      </c>
      <c r="K5061" s="1" t="str">
        <f t="shared" si="1095"/>
        <v>X</v>
      </c>
      <c r="L5061" s="1" t="str">
        <f t="shared" si="1095"/>
        <v>X</v>
      </c>
      <c r="M5061" s="1" t="str">
        <f t="shared" si="1095"/>
        <v>X</v>
      </c>
      <c r="N5061" t="s">
        <v>27</v>
      </c>
    </row>
    <row r="5062" spans="1:14" x14ac:dyDescent="0.25">
      <c r="A5062" t="s">
        <v>41</v>
      </c>
      <c r="B5062" t="s">
        <v>40</v>
      </c>
      <c r="C5062" t="s">
        <v>37</v>
      </c>
      <c r="D5062" t="s">
        <v>34</v>
      </c>
      <c r="E5062" t="s">
        <v>22</v>
      </c>
      <c r="F5062" t="s">
        <v>15</v>
      </c>
      <c r="G5062" s="2">
        <f>VALUE(127.9100326501)</f>
        <v>127.91003265010001</v>
      </c>
      <c r="H5062" s="3">
        <f>VALUE(110.9250034671)</f>
        <v>110.9250034671</v>
      </c>
      <c r="I5062" s="1">
        <f>VALUE(3508)</f>
        <v>3508</v>
      </c>
      <c r="J5062" s="1">
        <f>VALUE(4746)</f>
        <v>4746</v>
      </c>
      <c r="K5062" s="1">
        <f>VALUE(5604)</f>
        <v>5604</v>
      </c>
      <c r="L5062" s="1">
        <f>VALUE(6889)</f>
        <v>6889</v>
      </c>
      <c r="M5062" s="1">
        <f>VALUE(8405)</f>
        <v>8405</v>
      </c>
      <c r="N5062" t="s">
        <v>25</v>
      </c>
    </row>
    <row r="5063" spans="1:14" x14ac:dyDescent="0.25">
      <c r="A5063" t="s">
        <v>41</v>
      </c>
      <c r="B5063" t="s">
        <v>40</v>
      </c>
      <c r="C5063" t="s">
        <v>37</v>
      </c>
      <c r="D5063" t="s">
        <v>34</v>
      </c>
      <c r="E5063" t="s">
        <v>22</v>
      </c>
      <c r="F5063" t="s">
        <v>17</v>
      </c>
      <c r="G5063" s="1" t="str">
        <f t="shared" ref="G5063:M5065" si="1096">"X"</f>
        <v>X</v>
      </c>
      <c r="H5063" s="1" t="str">
        <f t="shared" si="1096"/>
        <v>X</v>
      </c>
      <c r="I5063" s="1" t="str">
        <f t="shared" si="1096"/>
        <v>X</v>
      </c>
      <c r="J5063" s="1" t="str">
        <f t="shared" si="1096"/>
        <v>X</v>
      </c>
      <c r="K5063" s="1" t="str">
        <f t="shared" si="1096"/>
        <v>X</v>
      </c>
      <c r="L5063" s="1" t="str">
        <f t="shared" si="1096"/>
        <v>X</v>
      </c>
      <c r="M5063" s="1" t="str">
        <f t="shared" si="1096"/>
        <v>X</v>
      </c>
      <c r="N5063" t="s">
        <v>27</v>
      </c>
    </row>
    <row r="5064" spans="1:14" x14ac:dyDescent="0.25">
      <c r="A5064" t="s">
        <v>41</v>
      </c>
      <c r="B5064" t="s">
        <v>40</v>
      </c>
      <c r="C5064" t="s">
        <v>37</v>
      </c>
      <c r="D5064" t="s">
        <v>34</v>
      </c>
      <c r="E5064" t="s">
        <v>22</v>
      </c>
      <c r="F5064" t="s">
        <v>18</v>
      </c>
      <c r="G5064" s="1" t="str">
        <f t="shared" si="1096"/>
        <v>X</v>
      </c>
      <c r="H5064" s="1" t="str">
        <f t="shared" si="1096"/>
        <v>X</v>
      </c>
      <c r="I5064" s="1" t="str">
        <f t="shared" si="1096"/>
        <v>X</v>
      </c>
      <c r="J5064" s="1" t="str">
        <f t="shared" si="1096"/>
        <v>X</v>
      </c>
      <c r="K5064" s="1" t="str">
        <f t="shared" si="1096"/>
        <v>X</v>
      </c>
      <c r="L5064" s="1" t="str">
        <f t="shared" si="1096"/>
        <v>X</v>
      </c>
      <c r="M5064" s="1" t="str">
        <f t="shared" si="1096"/>
        <v>X</v>
      </c>
      <c r="N5064" t="s">
        <v>27</v>
      </c>
    </row>
    <row r="5065" spans="1:14" x14ac:dyDescent="0.25">
      <c r="A5065" t="s">
        <v>41</v>
      </c>
      <c r="B5065" t="s">
        <v>40</v>
      </c>
      <c r="C5065" t="s">
        <v>37</v>
      </c>
      <c r="D5065" t="s">
        <v>34</v>
      </c>
      <c r="E5065" t="s">
        <v>22</v>
      </c>
      <c r="F5065" t="s">
        <v>19</v>
      </c>
      <c r="G5065" s="1" t="str">
        <f t="shared" si="1096"/>
        <v>X</v>
      </c>
      <c r="H5065" s="1" t="str">
        <f t="shared" si="1096"/>
        <v>X</v>
      </c>
      <c r="I5065" s="1" t="str">
        <f t="shared" si="1096"/>
        <v>X</v>
      </c>
      <c r="J5065" s="1" t="str">
        <f t="shared" si="1096"/>
        <v>X</v>
      </c>
      <c r="K5065" s="1" t="str">
        <f t="shared" si="1096"/>
        <v>X</v>
      </c>
      <c r="L5065" s="1" t="str">
        <f t="shared" si="1096"/>
        <v>X</v>
      </c>
      <c r="M5065" s="1" t="str">
        <f t="shared" si="1096"/>
        <v>X</v>
      </c>
      <c r="N5065" t="s">
        <v>27</v>
      </c>
    </row>
    <row r="5066" spans="1:14" x14ac:dyDescent="0.25">
      <c r="A5066" t="s">
        <v>41</v>
      </c>
      <c r="B5066" t="s">
        <v>40</v>
      </c>
      <c r="C5066" t="s">
        <v>37</v>
      </c>
      <c r="D5066" t="s">
        <v>34</v>
      </c>
      <c r="E5066" t="s">
        <v>22</v>
      </c>
      <c r="F5066" t="s">
        <v>20</v>
      </c>
      <c r="G5066" s="2">
        <f>VALUE(107.8024705742)</f>
        <v>107.8024705742</v>
      </c>
      <c r="H5066" s="3">
        <f>VALUE(92.762173297)</f>
        <v>92.762173297000004</v>
      </c>
      <c r="I5066" s="1">
        <f>VALUE(3508)</f>
        <v>3508</v>
      </c>
      <c r="J5066" s="1">
        <f>VALUE(4746)</f>
        <v>4746</v>
      </c>
      <c r="K5066" s="1">
        <f>VALUE(5556)</f>
        <v>5556</v>
      </c>
      <c r="L5066" s="1">
        <f>VALUE(6762)</f>
        <v>6762</v>
      </c>
      <c r="M5066" s="1">
        <f>VALUE(7302)</f>
        <v>7302</v>
      </c>
      <c r="N5066" t="s">
        <v>25</v>
      </c>
    </row>
    <row r="5067" spans="1:14" x14ac:dyDescent="0.25">
      <c r="A5067" t="s">
        <v>41</v>
      </c>
      <c r="B5067" t="s">
        <v>40</v>
      </c>
      <c r="C5067" t="s">
        <v>37</v>
      </c>
      <c r="D5067" t="s">
        <v>34</v>
      </c>
      <c r="E5067" t="s">
        <v>23</v>
      </c>
      <c r="F5067" t="s">
        <v>15</v>
      </c>
      <c r="G5067" s="2">
        <f>VALUE(122.0744257104)</f>
        <v>122.07442571040001</v>
      </c>
      <c r="H5067" s="3">
        <f>VALUE(96.888392052)</f>
        <v>96.888392052</v>
      </c>
      <c r="I5067" s="1">
        <f>VALUE(2793)</f>
        <v>2793</v>
      </c>
      <c r="J5067" s="5">
        <f>VALUE(3149)</f>
        <v>3149</v>
      </c>
      <c r="K5067" s="6">
        <f>VALUE(3755)</f>
        <v>3755</v>
      </c>
      <c r="L5067" s="1">
        <f>VALUE(5159)</f>
        <v>5159</v>
      </c>
      <c r="M5067" s="8">
        <f>VALUE(6067)</f>
        <v>6067</v>
      </c>
      <c r="N5067" t="s">
        <v>25</v>
      </c>
    </row>
    <row r="5068" spans="1:14" x14ac:dyDescent="0.25">
      <c r="A5068" t="s">
        <v>41</v>
      </c>
      <c r="B5068" t="s">
        <v>40</v>
      </c>
      <c r="C5068" t="s">
        <v>37</v>
      </c>
      <c r="D5068" t="s">
        <v>34</v>
      </c>
      <c r="E5068" t="s">
        <v>23</v>
      </c>
      <c r="F5068" t="s">
        <v>17</v>
      </c>
      <c r="G5068" s="1" t="str">
        <f t="shared" ref="G5068:M5068" si="1097">"X"</f>
        <v>X</v>
      </c>
      <c r="H5068" s="1" t="str">
        <f t="shared" si="1097"/>
        <v>X</v>
      </c>
      <c r="I5068" s="1" t="str">
        <f t="shared" si="1097"/>
        <v>X</v>
      </c>
      <c r="J5068" s="1" t="str">
        <f t="shared" si="1097"/>
        <v>X</v>
      </c>
      <c r="K5068" s="1" t="str">
        <f t="shared" si="1097"/>
        <v>X</v>
      </c>
      <c r="L5068" s="1" t="str">
        <f t="shared" si="1097"/>
        <v>X</v>
      </c>
      <c r="M5068" s="1" t="str">
        <f t="shared" si="1097"/>
        <v>X</v>
      </c>
      <c r="N5068" t="s">
        <v>27</v>
      </c>
    </row>
    <row r="5069" spans="1:14" x14ac:dyDescent="0.25">
      <c r="A5069" t="s">
        <v>41</v>
      </c>
      <c r="B5069" t="s">
        <v>40</v>
      </c>
      <c r="C5069" t="s">
        <v>37</v>
      </c>
      <c r="D5069" t="s">
        <v>34</v>
      </c>
      <c r="E5069" t="s">
        <v>23</v>
      </c>
      <c r="F5069" t="s">
        <v>18</v>
      </c>
      <c r="G5069" s="1" t="str">
        <f t="shared" ref="G5069:M5069" si="1098">"..."</f>
        <v>...</v>
      </c>
      <c r="H5069" s="1" t="str">
        <f t="shared" si="1098"/>
        <v>...</v>
      </c>
      <c r="I5069" s="1" t="str">
        <f t="shared" si="1098"/>
        <v>...</v>
      </c>
      <c r="J5069" s="1" t="str">
        <f t="shared" si="1098"/>
        <v>...</v>
      </c>
      <c r="K5069" s="1" t="str">
        <f t="shared" si="1098"/>
        <v>...</v>
      </c>
      <c r="L5069" s="1" t="str">
        <f t="shared" si="1098"/>
        <v>...</v>
      </c>
      <c r="M5069" s="1" t="str">
        <f t="shared" si="1098"/>
        <v>...</v>
      </c>
      <c r="N5069" t="s">
        <v>30</v>
      </c>
    </row>
    <row r="5070" spans="1:14" x14ac:dyDescent="0.25">
      <c r="A5070" t="s">
        <v>41</v>
      </c>
      <c r="B5070" t="s">
        <v>40</v>
      </c>
      <c r="C5070" t="s">
        <v>37</v>
      </c>
      <c r="D5070" t="s">
        <v>34</v>
      </c>
      <c r="E5070" t="s">
        <v>23</v>
      </c>
      <c r="F5070" t="s">
        <v>19</v>
      </c>
      <c r="G5070" s="1" t="str">
        <f t="shared" ref="G5070:M5070" si="1099">"X"</f>
        <v>X</v>
      </c>
      <c r="H5070" s="1" t="str">
        <f t="shared" si="1099"/>
        <v>X</v>
      </c>
      <c r="I5070" s="1" t="str">
        <f t="shared" si="1099"/>
        <v>X</v>
      </c>
      <c r="J5070" s="1" t="str">
        <f t="shared" si="1099"/>
        <v>X</v>
      </c>
      <c r="K5070" s="1" t="str">
        <f t="shared" si="1099"/>
        <v>X</v>
      </c>
      <c r="L5070" s="1" t="str">
        <f t="shared" si="1099"/>
        <v>X</v>
      </c>
      <c r="M5070" s="1" t="str">
        <f t="shared" si="1099"/>
        <v>X</v>
      </c>
      <c r="N5070" t="s">
        <v>27</v>
      </c>
    </row>
    <row r="5071" spans="1:14" x14ac:dyDescent="0.25">
      <c r="A5071" t="s">
        <v>41</v>
      </c>
      <c r="B5071" t="s">
        <v>40</v>
      </c>
      <c r="C5071" t="s">
        <v>37</v>
      </c>
      <c r="D5071" t="s">
        <v>34</v>
      </c>
      <c r="E5071" t="s">
        <v>23</v>
      </c>
      <c r="F5071" t="s">
        <v>20</v>
      </c>
      <c r="G5071" s="2">
        <f>VALUE(103.2706870962)</f>
        <v>103.27068709620001</v>
      </c>
      <c r="H5071" s="3">
        <f>VALUE(80.3095453995)</f>
        <v>80.309545399499996</v>
      </c>
      <c r="I5071" s="1">
        <f>VALUE(2793)</f>
        <v>2793</v>
      </c>
      <c r="J5071" s="5">
        <f>VALUE(3098)</f>
        <v>3098</v>
      </c>
      <c r="K5071" s="6">
        <f>VALUE(3677)</f>
        <v>3677</v>
      </c>
      <c r="L5071" s="1">
        <f>VALUE(5143)</f>
        <v>5143</v>
      </c>
      <c r="M5071" s="1">
        <f>VALUE(5984)</f>
        <v>5984</v>
      </c>
      <c r="N5071" t="s">
        <v>25</v>
      </c>
    </row>
    <row r="5072" spans="1:14" x14ac:dyDescent="0.25">
      <c r="A5072" t="s">
        <v>41</v>
      </c>
      <c r="B5072" t="s">
        <v>40</v>
      </c>
      <c r="C5072" t="s">
        <v>37</v>
      </c>
      <c r="D5072" t="s">
        <v>34</v>
      </c>
      <c r="E5072" t="s">
        <v>26</v>
      </c>
      <c r="F5072" t="s">
        <v>15</v>
      </c>
      <c r="G5072" s="1" t="str">
        <f t="shared" ref="G5072:M5076" si="1100">"..."</f>
        <v>...</v>
      </c>
      <c r="H5072" s="1" t="str">
        <f t="shared" si="1100"/>
        <v>...</v>
      </c>
      <c r="I5072" s="1" t="str">
        <f t="shared" si="1100"/>
        <v>...</v>
      </c>
      <c r="J5072" s="1" t="str">
        <f t="shared" si="1100"/>
        <v>...</v>
      </c>
      <c r="K5072" s="1" t="str">
        <f t="shared" si="1100"/>
        <v>...</v>
      </c>
      <c r="L5072" s="1" t="str">
        <f t="shared" si="1100"/>
        <v>...</v>
      </c>
      <c r="M5072" s="1" t="str">
        <f t="shared" si="1100"/>
        <v>...</v>
      </c>
      <c r="N5072" t="s">
        <v>30</v>
      </c>
    </row>
    <row r="5073" spans="1:14" x14ac:dyDescent="0.25">
      <c r="A5073" t="s">
        <v>41</v>
      </c>
      <c r="B5073" t="s">
        <v>40</v>
      </c>
      <c r="C5073" t="s">
        <v>37</v>
      </c>
      <c r="D5073" t="s">
        <v>34</v>
      </c>
      <c r="E5073" t="s">
        <v>26</v>
      </c>
      <c r="F5073" t="s">
        <v>17</v>
      </c>
      <c r="G5073" s="1" t="str">
        <f t="shared" si="1100"/>
        <v>...</v>
      </c>
      <c r="H5073" s="1" t="str">
        <f t="shared" si="1100"/>
        <v>...</v>
      </c>
      <c r="I5073" s="1" t="str">
        <f t="shared" si="1100"/>
        <v>...</v>
      </c>
      <c r="J5073" s="1" t="str">
        <f t="shared" si="1100"/>
        <v>...</v>
      </c>
      <c r="K5073" s="1" t="str">
        <f t="shared" si="1100"/>
        <v>...</v>
      </c>
      <c r="L5073" s="1" t="str">
        <f t="shared" si="1100"/>
        <v>...</v>
      </c>
      <c r="M5073" s="1" t="str">
        <f t="shared" si="1100"/>
        <v>...</v>
      </c>
      <c r="N5073" t="s">
        <v>30</v>
      </c>
    </row>
    <row r="5074" spans="1:14" x14ac:dyDescent="0.25">
      <c r="A5074" t="s">
        <v>41</v>
      </c>
      <c r="B5074" t="s">
        <v>40</v>
      </c>
      <c r="C5074" t="s">
        <v>37</v>
      </c>
      <c r="D5074" t="s">
        <v>34</v>
      </c>
      <c r="E5074" t="s">
        <v>26</v>
      </c>
      <c r="F5074" t="s">
        <v>18</v>
      </c>
      <c r="G5074" s="1" t="str">
        <f t="shared" si="1100"/>
        <v>...</v>
      </c>
      <c r="H5074" s="1" t="str">
        <f t="shared" si="1100"/>
        <v>...</v>
      </c>
      <c r="I5074" s="1" t="str">
        <f t="shared" si="1100"/>
        <v>...</v>
      </c>
      <c r="J5074" s="1" t="str">
        <f t="shared" si="1100"/>
        <v>...</v>
      </c>
      <c r="K5074" s="1" t="str">
        <f t="shared" si="1100"/>
        <v>...</v>
      </c>
      <c r="L5074" s="1" t="str">
        <f t="shared" si="1100"/>
        <v>...</v>
      </c>
      <c r="M5074" s="1" t="str">
        <f t="shared" si="1100"/>
        <v>...</v>
      </c>
      <c r="N5074" t="s">
        <v>30</v>
      </c>
    </row>
    <row r="5075" spans="1:14" x14ac:dyDescent="0.25">
      <c r="A5075" t="s">
        <v>41</v>
      </c>
      <c r="B5075" t="s">
        <v>40</v>
      </c>
      <c r="C5075" t="s">
        <v>37</v>
      </c>
      <c r="D5075" t="s">
        <v>34</v>
      </c>
      <c r="E5075" t="s">
        <v>26</v>
      </c>
      <c r="F5075" t="s">
        <v>19</v>
      </c>
      <c r="G5075" s="1" t="str">
        <f t="shared" si="1100"/>
        <v>...</v>
      </c>
      <c r="H5075" s="1" t="str">
        <f t="shared" si="1100"/>
        <v>...</v>
      </c>
      <c r="I5075" s="1" t="str">
        <f t="shared" si="1100"/>
        <v>...</v>
      </c>
      <c r="J5075" s="1" t="str">
        <f t="shared" si="1100"/>
        <v>...</v>
      </c>
      <c r="K5075" s="1" t="str">
        <f t="shared" si="1100"/>
        <v>...</v>
      </c>
      <c r="L5075" s="1" t="str">
        <f t="shared" si="1100"/>
        <v>...</v>
      </c>
      <c r="M5075" s="1" t="str">
        <f t="shared" si="1100"/>
        <v>...</v>
      </c>
      <c r="N5075" t="s">
        <v>30</v>
      </c>
    </row>
    <row r="5076" spans="1:14" x14ac:dyDescent="0.25">
      <c r="A5076" t="s">
        <v>41</v>
      </c>
      <c r="B5076" t="s">
        <v>40</v>
      </c>
      <c r="C5076" t="s">
        <v>37</v>
      </c>
      <c r="D5076" t="s">
        <v>34</v>
      </c>
      <c r="E5076" t="s">
        <v>26</v>
      </c>
      <c r="F5076" t="s">
        <v>20</v>
      </c>
      <c r="G5076" s="1" t="str">
        <f t="shared" si="1100"/>
        <v>...</v>
      </c>
      <c r="H5076" s="1" t="str">
        <f t="shared" si="1100"/>
        <v>...</v>
      </c>
      <c r="I5076" s="1" t="str">
        <f t="shared" si="1100"/>
        <v>...</v>
      </c>
      <c r="J5076" s="1" t="str">
        <f t="shared" si="1100"/>
        <v>...</v>
      </c>
      <c r="K5076" s="1" t="str">
        <f t="shared" si="1100"/>
        <v>...</v>
      </c>
      <c r="L5076" s="1" t="str">
        <f t="shared" si="1100"/>
        <v>...</v>
      </c>
      <c r="M5076" s="1" t="str">
        <f t="shared" si="1100"/>
        <v>...</v>
      </c>
      <c r="N5076" t="s">
        <v>30</v>
      </c>
    </row>
    <row r="5077" spans="1:14" x14ac:dyDescent="0.25">
      <c r="A5077" t="s">
        <v>41</v>
      </c>
      <c r="B5077" t="s">
        <v>40</v>
      </c>
      <c r="C5077" t="s">
        <v>38</v>
      </c>
      <c r="D5077" t="s">
        <v>15</v>
      </c>
      <c r="E5077" t="s">
        <v>15</v>
      </c>
      <c r="F5077" t="s">
        <v>15</v>
      </c>
      <c r="G5077" s="1">
        <f>VALUE(10730.2970586091)</f>
        <v>10730.2970586091</v>
      </c>
      <c r="H5077" s="1">
        <f>VALUE(7823.9242822601)</f>
        <v>7823.9242822601</v>
      </c>
      <c r="I5077" s="1">
        <f>VALUE(2794)</f>
        <v>2794</v>
      </c>
      <c r="J5077" s="1">
        <f>VALUE(3518)</f>
        <v>3518</v>
      </c>
      <c r="K5077" s="1">
        <f>VALUE(4507)</f>
        <v>4507</v>
      </c>
      <c r="L5077" s="1">
        <f>VALUE(5896)</f>
        <v>5896</v>
      </c>
      <c r="M5077" s="1">
        <f>VALUE(7787)</f>
        <v>7787</v>
      </c>
      <c r="N5077" t="s">
        <v>16</v>
      </c>
    </row>
    <row r="5078" spans="1:14" x14ac:dyDescent="0.25">
      <c r="A5078" t="s">
        <v>41</v>
      </c>
      <c r="B5078" t="s">
        <v>40</v>
      </c>
      <c r="C5078" t="s">
        <v>38</v>
      </c>
      <c r="D5078" t="s">
        <v>15</v>
      </c>
      <c r="E5078" t="s">
        <v>15</v>
      </c>
      <c r="F5078" t="s">
        <v>17</v>
      </c>
      <c r="G5078" s="2">
        <f>VALUE(1303.6221372763)</f>
        <v>1303.6221372763</v>
      </c>
      <c r="H5078" s="3">
        <f>VALUE(1102.9992933856)</f>
        <v>1102.9992933855999</v>
      </c>
      <c r="I5078" s="4">
        <f>VALUE(3184)</f>
        <v>3184</v>
      </c>
      <c r="J5078" s="5">
        <f>VALUE(4444)</f>
        <v>4444</v>
      </c>
      <c r="K5078" s="6">
        <f>VALUE(6700)</f>
        <v>6700</v>
      </c>
      <c r="L5078" s="1">
        <f>VALUE(8642)</f>
        <v>8642</v>
      </c>
      <c r="M5078" s="1">
        <f>VALUE(11702)</f>
        <v>11702</v>
      </c>
      <c r="N5078" t="s">
        <v>25</v>
      </c>
    </row>
    <row r="5079" spans="1:14" x14ac:dyDescent="0.25">
      <c r="A5079" t="s">
        <v>41</v>
      </c>
      <c r="B5079" t="s">
        <v>40</v>
      </c>
      <c r="C5079" t="s">
        <v>38</v>
      </c>
      <c r="D5079" t="s">
        <v>15</v>
      </c>
      <c r="E5079" t="s">
        <v>15</v>
      </c>
      <c r="F5079" t="s">
        <v>18</v>
      </c>
      <c r="G5079" s="2">
        <f>VALUE(1279.3238729286)</f>
        <v>1279.3238729285999</v>
      </c>
      <c r="H5079" s="3">
        <f>VALUE(907.7869010036)</f>
        <v>907.78690100359995</v>
      </c>
      <c r="I5079" s="4">
        <f>VALUE(3253)</f>
        <v>3253</v>
      </c>
      <c r="J5079" s="1">
        <f>VALUE(4400)</f>
        <v>4400</v>
      </c>
      <c r="K5079" s="1">
        <f>VALUE(5857)</f>
        <v>5857</v>
      </c>
      <c r="L5079" s="1">
        <f>VALUE(7475)</f>
        <v>7475</v>
      </c>
      <c r="M5079" s="8">
        <f>VALUE(8992)</f>
        <v>8992</v>
      </c>
      <c r="N5079" t="s">
        <v>25</v>
      </c>
    </row>
    <row r="5080" spans="1:14" x14ac:dyDescent="0.25">
      <c r="A5080" t="s">
        <v>41</v>
      </c>
      <c r="B5080" t="s">
        <v>40</v>
      </c>
      <c r="C5080" t="s">
        <v>38</v>
      </c>
      <c r="D5080" t="s">
        <v>15</v>
      </c>
      <c r="E5080" t="s">
        <v>15</v>
      </c>
      <c r="F5080" t="s">
        <v>19</v>
      </c>
      <c r="G5080" s="2">
        <f>VALUE(1279.3678330876)</f>
        <v>1279.3678330876</v>
      </c>
      <c r="H5080" s="3">
        <f>VALUE(932.7991945937)</f>
        <v>932.79919459370001</v>
      </c>
      <c r="I5080" s="1">
        <f>VALUE(3351)</f>
        <v>3351</v>
      </c>
      <c r="J5080" s="1">
        <f>VALUE(4021)</f>
        <v>4021</v>
      </c>
      <c r="K5080" s="1">
        <f>VALUE(4690)</f>
        <v>4690</v>
      </c>
      <c r="L5080" s="7">
        <f>VALUE(5815)</f>
        <v>5815</v>
      </c>
      <c r="M5080" s="1">
        <f>VALUE(7737)</f>
        <v>7737</v>
      </c>
      <c r="N5080" t="s">
        <v>25</v>
      </c>
    </row>
    <row r="5081" spans="1:14" x14ac:dyDescent="0.25">
      <c r="A5081" t="s">
        <v>41</v>
      </c>
      <c r="B5081" t="s">
        <v>40</v>
      </c>
      <c r="C5081" t="s">
        <v>38</v>
      </c>
      <c r="D5081" t="s">
        <v>15</v>
      </c>
      <c r="E5081" t="s">
        <v>15</v>
      </c>
      <c r="F5081" t="s">
        <v>20</v>
      </c>
      <c r="G5081" s="1">
        <f>VALUE(6836.7456511198)</f>
        <v>6836.7456511197997</v>
      </c>
      <c r="H5081" s="1">
        <f>VALUE(4859.2754882515)</f>
        <v>4859.2754882515001</v>
      </c>
      <c r="I5081" s="1">
        <f>VALUE(2689)</f>
        <v>2689</v>
      </c>
      <c r="J5081" s="1">
        <f>VALUE(3267)</f>
        <v>3267</v>
      </c>
      <c r="K5081" s="1">
        <f>VALUE(4068)</f>
        <v>4068</v>
      </c>
      <c r="L5081" s="1">
        <f>VALUE(5120)</f>
        <v>5120</v>
      </c>
      <c r="M5081" s="1">
        <f>VALUE(6281)</f>
        <v>6281</v>
      </c>
      <c r="N5081" t="s">
        <v>16</v>
      </c>
    </row>
    <row r="5082" spans="1:14" x14ac:dyDescent="0.25">
      <c r="A5082" t="s">
        <v>41</v>
      </c>
      <c r="B5082" t="s">
        <v>40</v>
      </c>
      <c r="C5082" t="s">
        <v>38</v>
      </c>
      <c r="D5082" t="s">
        <v>15</v>
      </c>
      <c r="E5082" t="s">
        <v>21</v>
      </c>
      <c r="F5082" t="s">
        <v>15</v>
      </c>
      <c r="G5082" s="2">
        <f>VALUE(1455.1539452021)</f>
        <v>1455.1539452021</v>
      </c>
      <c r="H5082" s="3">
        <f>VALUE(1091.5552377173)</f>
        <v>1091.5552377173001</v>
      </c>
      <c r="I5082" s="4">
        <f>VALUE(3810)</f>
        <v>3810</v>
      </c>
      <c r="J5082" s="1">
        <f>VALUE(4761)</f>
        <v>4761</v>
      </c>
      <c r="K5082" s="1">
        <f>VALUE(6771)</f>
        <v>6771</v>
      </c>
      <c r="L5082" s="1">
        <f>VALUE(8504)</f>
        <v>8504</v>
      </c>
      <c r="M5082" s="1">
        <f>VALUE(11033)</f>
        <v>11033</v>
      </c>
      <c r="N5082" t="s">
        <v>25</v>
      </c>
    </row>
    <row r="5083" spans="1:14" x14ac:dyDescent="0.25">
      <c r="A5083" t="s">
        <v>41</v>
      </c>
      <c r="B5083" t="s">
        <v>40</v>
      </c>
      <c r="C5083" t="s">
        <v>38</v>
      </c>
      <c r="D5083" t="s">
        <v>15</v>
      </c>
      <c r="E5083" t="s">
        <v>21</v>
      </c>
      <c r="F5083" t="s">
        <v>17</v>
      </c>
      <c r="G5083" s="2">
        <f>VALUE(591.2682219986)</f>
        <v>591.26822199859998</v>
      </c>
      <c r="H5083" s="3">
        <f>VALUE(497.9192239389)</f>
        <v>497.91922393890002</v>
      </c>
      <c r="I5083" s="4">
        <f>VALUE(4000)</f>
        <v>4000</v>
      </c>
      <c r="J5083" s="5">
        <f>VALUE(4750)</f>
        <v>4750</v>
      </c>
      <c r="K5083" s="6">
        <f>VALUE(7000)</f>
        <v>7000</v>
      </c>
      <c r="L5083" s="7">
        <f>VALUE(9524)</f>
        <v>9524</v>
      </c>
      <c r="M5083" s="8">
        <f>VALUE(13333)</f>
        <v>13333</v>
      </c>
      <c r="N5083" t="s">
        <v>24</v>
      </c>
    </row>
    <row r="5084" spans="1:14" x14ac:dyDescent="0.25">
      <c r="A5084" t="s">
        <v>41</v>
      </c>
      <c r="B5084" t="s">
        <v>40</v>
      </c>
      <c r="C5084" t="s">
        <v>38</v>
      </c>
      <c r="D5084" t="s">
        <v>15</v>
      </c>
      <c r="E5084" t="s">
        <v>21</v>
      </c>
      <c r="F5084" t="s">
        <v>18</v>
      </c>
      <c r="G5084" s="2">
        <f>VALUE(378.930684218)</f>
        <v>378.93068421800001</v>
      </c>
      <c r="H5084" s="3">
        <f>VALUE(272.5465466053)</f>
        <v>272.54654660530002</v>
      </c>
      <c r="I5084" s="4">
        <f>VALUE(2948)</f>
        <v>2948</v>
      </c>
      <c r="J5084" s="5">
        <f>VALUE(4762)</f>
        <v>4762</v>
      </c>
      <c r="K5084" s="1">
        <f>VALUE(7286)</f>
        <v>7286</v>
      </c>
      <c r="L5084" s="1">
        <f>VALUE(8338)</f>
        <v>8338</v>
      </c>
      <c r="M5084" s="8">
        <f>VALUE(9524)</f>
        <v>9524</v>
      </c>
      <c r="N5084" t="s">
        <v>25</v>
      </c>
    </row>
    <row r="5085" spans="1:14" x14ac:dyDescent="0.25">
      <c r="A5085" t="s">
        <v>41</v>
      </c>
      <c r="B5085" t="s">
        <v>40</v>
      </c>
      <c r="C5085" t="s">
        <v>38</v>
      </c>
      <c r="D5085" t="s">
        <v>15</v>
      </c>
      <c r="E5085" t="s">
        <v>21</v>
      </c>
      <c r="F5085" t="s">
        <v>19</v>
      </c>
      <c r="G5085" s="2">
        <f>VALUE(155.4459168688)</f>
        <v>155.4459168688</v>
      </c>
      <c r="H5085" s="3">
        <f>VALUE(98.2204063997)</f>
        <v>98.220406399699996</v>
      </c>
      <c r="I5085" s="4">
        <f>VALUE(3810)</f>
        <v>3810</v>
      </c>
      <c r="J5085" s="5">
        <f>VALUE(4762)</f>
        <v>4762</v>
      </c>
      <c r="K5085" s="6">
        <f>VALUE(7003)</f>
        <v>7003</v>
      </c>
      <c r="L5085" s="7">
        <f>VALUE(8568)</f>
        <v>8568</v>
      </c>
      <c r="M5085" s="8">
        <f>VALUE(9910)</f>
        <v>9910</v>
      </c>
      <c r="N5085" t="s">
        <v>24</v>
      </c>
    </row>
    <row r="5086" spans="1:14" x14ac:dyDescent="0.25">
      <c r="A5086" t="s">
        <v>41</v>
      </c>
      <c r="B5086" t="s">
        <v>40</v>
      </c>
      <c r="C5086" t="s">
        <v>38</v>
      </c>
      <c r="D5086" t="s">
        <v>15</v>
      </c>
      <c r="E5086" t="s">
        <v>21</v>
      </c>
      <c r="F5086" t="s">
        <v>20</v>
      </c>
      <c r="G5086" s="2">
        <f>VALUE(327.2956080594)</f>
        <v>327.29560805940002</v>
      </c>
      <c r="H5086" s="3">
        <f>VALUE(221.7324936983)</f>
        <v>221.7324936983</v>
      </c>
      <c r="I5086" s="1">
        <f>VALUE(4083)</f>
        <v>4083</v>
      </c>
      <c r="J5086" s="5">
        <f>VALUE(4706)</f>
        <v>4706</v>
      </c>
      <c r="K5086" s="1">
        <f>VALUE(5553)</f>
        <v>5553</v>
      </c>
      <c r="L5086" s="1">
        <f>VALUE(7273)</f>
        <v>7273</v>
      </c>
      <c r="M5086" s="1">
        <f>VALUE(8628)</f>
        <v>8628</v>
      </c>
      <c r="N5086" t="s">
        <v>25</v>
      </c>
    </row>
    <row r="5087" spans="1:14" x14ac:dyDescent="0.25">
      <c r="A5087" t="s">
        <v>41</v>
      </c>
      <c r="B5087" t="s">
        <v>40</v>
      </c>
      <c r="C5087" t="s">
        <v>38</v>
      </c>
      <c r="D5087" t="s">
        <v>15</v>
      </c>
      <c r="E5087" t="s">
        <v>22</v>
      </c>
      <c r="F5087" t="s">
        <v>15</v>
      </c>
      <c r="G5087" s="1">
        <f>VALUE(4214.4767309009)</f>
        <v>4214.4767309009003</v>
      </c>
      <c r="H5087" s="1">
        <f>VALUE(3056.9874769287)</f>
        <v>3056.9874769286998</v>
      </c>
      <c r="I5087" s="1">
        <f>VALUE(3385)</f>
        <v>3385</v>
      </c>
      <c r="J5087" s="1">
        <f>VALUE(4177)</f>
        <v>4177</v>
      </c>
      <c r="K5087" s="1">
        <f>VALUE(5254)</f>
        <v>5254</v>
      </c>
      <c r="L5087" s="1">
        <f>VALUE(6561)</f>
        <v>6561</v>
      </c>
      <c r="M5087" s="1">
        <f>VALUE(7855)</f>
        <v>7855</v>
      </c>
      <c r="N5087" t="s">
        <v>16</v>
      </c>
    </row>
    <row r="5088" spans="1:14" x14ac:dyDescent="0.25">
      <c r="A5088" t="s">
        <v>41</v>
      </c>
      <c r="B5088" t="s">
        <v>40</v>
      </c>
      <c r="C5088" t="s">
        <v>38</v>
      </c>
      <c r="D5088" t="s">
        <v>15</v>
      </c>
      <c r="E5088" t="s">
        <v>22</v>
      </c>
      <c r="F5088" t="s">
        <v>17</v>
      </c>
      <c r="G5088" s="2">
        <f>VALUE(572.0047570979)</f>
        <v>572.00475709789998</v>
      </c>
      <c r="H5088" s="3">
        <f>VALUE(480.8571320217)</f>
        <v>480.85713202170001</v>
      </c>
      <c r="I5088" s="4">
        <f>VALUE(3184)</f>
        <v>3184</v>
      </c>
      <c r="J5088" s="5">
        <f>VALUE(4148)</f>
        <v>4148</v>
      </c>
      <c r="K5088" s="6">
        <f>VALUE(6537)</f>
        <v>6537</v>
      </c>
      <c r="L5088" s="7">
        <f>VALUE(7863)</f>
        <v>7863</v>
      </c>
      <c r="M5088" s="1">
        <f>VALUE(10145)</f>
        <v>10145</v>
      </c>
      <c r="N5088" t="s">
        <v>25</v>
      </c>
    </row>
    <row r="5089" spans="1:14" x14ac:dyDescent="0.25">
      <c r="A5089" t="s">
        <v>41</v>
      </c>
      <c r="B5089" t="s">
        <v>40</v>
      </c>
      <c r="C5089" t="s">
        <v>38</v>
      </c>
      <c r="D5089" t="s">
        <v>15</v>
      </c>
      <c r="E5089" t="s">
        <v>22</v>
      </c>
      <c r="F5089" t="s">
        <v>18</v>
      </c>
      <c r="G5089" s="2">
        <f>VALUE(662.7205501267)</f>
        <v>662.7205501267</v>
      </c>
      <c r="H5089" s="3">
        <f>VALUE(462.0852416754)</f>
        <v>462.08524167540003</v>
      </c>
      <c r="I5089" s="4">
        <f>VALUE(3856)</f>
        <v>3856</v>
      </c>
      <c r="J5089" s="1">
        <f>VALUE(4740)</f>
        <v>4740</v>
      </c>
      <c r="K5089" s="1">
        <f>VALUE(5638)</f>
        <v>5638</v>
      </c>
      <c r="L5089" s="1">
        <f>VALUE(7182)</f>
        <v>7182</v>
      </c>
      <c r="M5089" s="8">
        <f>VALUE(8167)</f>
        <v>8167</v>
      </c>
      <c r="N5089" t="s">
        <v>25</v>
      </c>
    </row>
    <row r="5090" spans="1:14" x14ac:dyDescent="0.25">
      <c r="A5090" t="s">
        <v>41</v>
      </c>
      <c r="B5090" t="s">
        <v>40</v>
      </c>
      <c r="C5090" t="s">
        <v>38</v>
      </c>
      <c r="D5090" t="s">
        <v>15</v>
      </c>
      <c r="E5090" t="s">
        <v>22</v>
      </c>
      <c r="F5090" t="s">
        <v>19</v>
      </c>
      <c r="G5090" s="2">
        <f>VALUE(730.2849948878)</f>
        <v>730.28499488780005</v>
      </c>
      <c r="H5090" s="3">
        <f>VALUE(540.3774251799)</f>
        <v>540.3774251799</v>
      </c>
      <c r="I5090" s="4">
        <f>VALUE(3790)</f>
        <v>3790</v>
      </c>
      <c r="J5090" s="1">
        <f>VALUE(4133)</f>
        <v>4133</v>
      </c>
      <c r="K5090" s="1">
        <f>VALUE(5038)</f>
        <v>5038</v>
      </c>
      <c r="L5090" s="7">
        <f>VALUE(5981)</f>
        <v>5981</v>
      </c>
      <c r="M5090" s="8">
        <f>VALUE(7424)</f>
        <v>7424</v>
      </c>
      <c r="N5090" t="s">
        <v>25</v>
      </c>
    </row>
    <row r="5091" spans="1:14" x14ac:dyDescent="0.25">
      <c r="A5091" t="s">
        <v>41</v>
      </c>
      <c r="B5091" t="s">
        <v>40</v>
      </c>
      <c r="C5091" t="s">
        <v>38</v>
      </c>
      <c r="D5091" t="s">
        <v>15</v>
      </c>
      <c r="E5091" t="s">
        <v>22</v>
      </c>
      <c r="F5091" t="s">
        <v>20</v>
      </c>
      <c r="G5091" s="1">
        <f>VALUE(2249.4664287885)</f>
        <v>2249.4664287884998</v>
      </c>
      <c r="H5091" s="1">
        <f>VALUE(1573.6676780517)</f>
        <v>1573.6676780517</v>
      </c>
      <c r="I5091" s="4">
        <f>VALUE(3395)</f>
        <v>3395</v>
      </c>
      <c r="J5091" s="1">
        <f>VALUE(4072)</f>
        <v>4072</v>
      </c>
      <c r="K5091" s="1">
        <f>VALUE(5073)</f>
        <v>5073</v>
      </c>
      <c r="L5091" s="1">
        <f>VALUE(6003)</f>
        <v>6003</v>
      </c>
      <c r="M5091" s="1">
        <f>VALUE(7161)</f>
        <v>7161</v>
      </c>
      <c r="N5091" t="s">
        <v>25</v>
      </c>
    </row>
    <row r="5092" spans="1:14" x14ac:dyDescent="0.25">
      <c r="A5092" t="s">
        <v>41</v>
      </c>
      <c r="B5092" t="s">
        <v>40</v>
      </c>
      <c r="C5092" t="s">
        <v>38</v>
      </c>
      <c r="D5092" t="s">
        <v>15</v>
      </c>
      <c r="E5092" t="s">
        <v>23</v>
      </c>
      <c r="F5092" t="s">
        <v>15</v>
      </c>
      <c r="G5092" s="1">
        <f>VALUE(4926.7301466795)</f>
        <v>4926.7301466794997</v>
      </c>
      <c r="H5092" s="1">
        <f>VALUE(3550.8299008762)</f>
        <v>3550.8299008762001</v>
      </c>
      <c r="I5092" s="1">
        <f>VALUE(2623)</f>
        <v>2623</v>
      </c>
      <c r="J5092" s="1">
        <f>VALUE(2991)</f>
        <v>2991</v>
      </c>
      <c r="K5092" s="1">
        <f>VALUE(3790)</f>
        <v>3790</v>
      </c>
      <c r="L5092" s="1">
        <f>VALUE(4483)</f>
        <v>4483</v>
      </c>
      <c r="M5092" s="1">
        <f>VALUE(5186)</f>
        <v>5186</v>
      </c>
      <c r="N5092" t="s">
        <v>16</v>
      </c>
    </row>
    <row r="5093" spans="1:14" x14ac:dyDescent="0.25">
      <c r="A5093" t="s">
        <v>41</v>
      </c>
      <c r="B5093" t="s">
        <v>40</v>
      </c>
      <c r="C5093" t="s">
        <v>38</v>
      </c>
      <c r="D5093" t="s">
        <v>15</v>
      </c>
      <c r="E5093" t="s">
        <v>23</v>
      </c>
      <c r="F5093" t="s">
        <v>17</v>
      </c>
      <c r="G5093" s="1" t="str">
        <f t="shared" ref="G5093:M5093" si="1101">"X"</f>
        <v>X</v>
      </c>
      <c r="H5093" s="1" t="str">
        <f t="shared" si="1101"/>
        <v>X</v>
      </c>
      <c r="I5093" s="1" t="str">
        <f t="shared" si="1101"/>
        <v>X</v>
      </c>
      <c r="J5093" s="1" t="str">
        <f t="shared" si="1101"/>
        <v>X</v>
      </c>
      <c r="K5093" s="1" t="str">
        <f t="shared" si="1101"/>
        <v>X</v>
      </c>
      <c r="L5093" s="1" t="str">
        <f t="shared" si="1101"/>
        <v>X</v>
      </c>
      <c r="M5093" s="1" t="str">
        <f t="shared" si="1101"/>
        <v>X</v>
      </c>
      <c r="N5093" t="s">
        <v>27</v>
      </c>
    </row>
    <row r="5094" spans="1:14" x14ac:dyDescent="0.25">
      <c r="A5094" t="s">
        <v>41</v>
      </c>
      <c r="B5094" t="s">
        <v>40</v>
      </c>
      <c r="C5094" t="s">
        <v>38</v>
      </c>
      <c r="D5094" t="s">
        <v>15</v>
      </c>
      <c r="E5094" t="s">
        <v>23</v>
      </c>
      <c r="F5094" t="s">
        <v>18</v>
      </c>
      <c r="G5094" s="2">
        <f>VALUE(214.2961354031)</f>
        <v>214.29613540310001</v>
      </c>
      <c r="H5094" s="3">
        <f>VALUE(148.9166009879)</f>
        <v>148.91660098790001</v>
      </c>
      <c r="I5094" s="4">
        <f>VALUE(2951)</f>
        <v>2951</v>
      </c>
      <c r="J5094" s="5">
        <f>VALUE(3628)</f>
        <v>3628</v>
      </c>
      <c r="K5094" s="6">
        <f>VALUE(4127)</f>
        <v>4127</v>
      </c>
      <c r="L5094" s="7">
        <f>VALUE(5525)</f>
        <v>5525</v>
      </c>
      <c r="M5094" s="1">
        <f>VALUE(6505)</f>
        <v>6505</v>
      </c>
      <c r="N5094" t="s">
        <v>25</v>
      </c>
    </row>
    <row r="5095" spans="1:14" x14ac:dyDescent="0.25">
      <c r="A5095" t="s">
        <v>41</v>
      </c>
      <c r="B5095" t="s">
        <v>40</v>
      </c>
      <c r="C5095" t="s">
        <v>38</v>
      </c>
      <c r="D5095" t="s">
        <v>15</v>
      </c>
      <c r="E5095" t="s">
        <v>23</v>
      </c>
      <c r="F5095" t="s">
        <v>19</v>
      </c>
      <c r="G5095" s="2">
        <f>VALUE(393.636921331)</f>
        <v>393.636921331</v>
      </c>
      <c r="H5095" s="3">
        <f>VALUE(294.2013630141)</f>
        <v>294.20136301410002</v>
      </c>
      <c r="I5095" s="4">
        <f>VALUE(3255)</f>
        <v>3255</v>
      </c>
      <c r="J5095" s="5">
        <f>VALUE(3603)</f>
        <v>3603</v>
      </c>
      <c r="K5095" s="1">
        <f>VALUE(4161)</f>
        <v>4161</v>
      </c>
      <c r="L5095" s="7">
        <f>VALUE(4625)</f>
        <v>4625</v>
      </c>
      <c r="M5095" s="8">
        <f>VALUE(5815)</f>
        <v>5815</v>
      </c>
      <c r="N5095" t="s">
        <v>25</v>
      </c>
    </row>
    <row r="5096" spans="1:14" x14ac:dyDescent="0.25">
      <c r="A5096" t="s">
        <v>41</v>
      </c>
      <c r="B5096" t="s">
        <v>40</v>
      </c>
      <c r="C5096" t="s">
        <v>38</v>
      </c>
      <c r="D5096" t="s">
        <v>15</v>
      </c>
      <c r="E5096" t="s">
        <v>23</v>
      </c>
      <c r="F5096" t="s">
        <v>20</v>
      </c>
      <c r="G5096" s="1">
        <f>VALUE(4188.6751519072)</f>
        <v>4188.6751519072004</v>
      </c>
      <c r="H5096" s="1">
        <f>VALUE(2994.2275805976)</f>
        <v>2994.2275805976001</v>
      </c>
      <c r="I5096" s="1">
        <f>VALUE(2600)</f>
        <v>2600</v>
      </c>
      <c r="J5096" s="1">
        <f>VALUE(2947)</f>
        <v>2947</v>
      </c>
      <c r="K5096" s="1">
        <f>VALUE(3663)</f>
        <v>3663</v>
      </c>
      <c r="L5096" s="1">
        <f>VALUE(4389)</f>
        <v>4389</v>
      </c>
      <c r="M5096" s="1">
        <f>VALUE(5016)</f>
        <v>5016</v>
      </c>
      <c r="N5096" t="s">
        <v>16</v>
      </c>
    </row>
    <row r="5097" spans="1:14" x14ac:dyDescent="0.25">
      <c r="A5097" t="s">
        <v>41</v>
      </c>
      <c r="B5097" t="s">
        <v>40</v>
      </c>
      <c r="C5097" t="s">
        <v>38</v>
      </c>
      <c r="D5097" t="s">
        <v>15</v>
      </c>
      <c r="E5097" t="s">
        <v>26</v>
      </c>
      <c r="F5097" t="s">
        <v>15</v>
      </c>
      <c r="G5097" s="2">
        <f>VALUE(133.9362358266)</f>
        <v>133.93623582660001</v>
      </c>
      <c r="H5097" s="3">
        <f>VALUE(124.5516667379)</f>
        <v>124.55166673790001</v>
      </c>
      <c r="I5097" s="4">
        <f>VALUE(4882)</f>
        <v>4882</v>
      </c>
      <c r="J5097" s="1">
        <f>VALUE(5556)</f>
        <v>5556</v>
      </c>
      <c r="K5097" s="1">
        <f>VALUE(6588)</f>
        <v>6588</v>
      </c>
      <c r="L5097" s="1">
        <f>VALUE(7778)</f>
        <v>7778</v>
      </c>
      <c r="M5097" s="8">
        <f>VALUE(13254)</f>
        <v>13254</v>
      </c>
      <c r="N5097" t="s">
        <v>25</v>
      </c>
    </row>
    <row r="5098" spans="1:14" x14ac:dyDescent="0.25">
      <c r="A5098" t="s">
        <v>41</v>
      </c>
      <c r="B5098" t="s">
        <v>40</v>
      </c>
      <c r="C5098" t="s">
        <v>38</v>
      </c>
      <c r="D5098" t="s">
        <v>15</v>
      </c>
      <c r="E5098" t="s">
        <v>26</v>
      </c>
      <c r="F5098" t="s">
        <v>17</v>
      </c>
      <c r="G5098" s="1" t="str">
        <f t="shared" ref="G5098:M5099" si="1102">"X"</f>
        <v>X</v>
      </c>
      <c r="H5098" s="1" t="str">
        <f t="shared" si="1102"/>
        <v>X</v>
      </c>
      <c r="I5098" s="1" t="str">
        <f t="shared" si="1102"/>
        <v>X</v>
      </c>
      <c r="J5098" s="1" t="str">
        <f t="shared" si="1102"/>
        <v>X</v>
      </c>
      <c r="K5098" s="1" t="str">
        <f t="shared" si="1102"/>
        <v>X</v>
      </c>
      <c r="L5098" s="1" t="str">
        <f t="shared" si="1102"/>
        <v>X</v>
      </c>
      <c r="M5098" s="1" t="str">
        <f t="shared" si="1102"/>
        <v>X</v>
      </c>
      <c r="N5098" t="s">
        <v>27</v>
      </c>
    </row>
    <row r="5099" spans="1:14" x14ac:dyDescent="0.25">
      <c r="A5099" t="s">
        <v>41</v>
      </c>
      <c r="B5099" t="s">
        <v>40</v>
      </c>
      <c r="C5099" t="s">
        <v>38</v>
      </c>
      <c r="D5099" t="s">
        <v>15</v>
      </c>
      <c r="E5099" t="s">
        <v>26</v>
      </c>
      <c r="F5099" t="s">
        <v>18</v>
      </c>
      <c r="G5099" s="1" t="str">
        <f t="shared" si="1102"/>
        <v>X</v>
      </c>
      <c r="H5099" s="1" t="str">
        <f t="shared" si="1102"/>
        <v>X</v>
      </c>
      <c r="I5099" s="1" t="str">
        <f t="shared" si="1102"/>
        <v>X</v>
      </c>
      <c r="J5099" s="1" t="str">
        <f t="shared" si="1102"/>
        <v>X</v>
      </c>
      <c r="K5099" s="1" t="str">
        <f t="shared" si="1102"/>
        <v>X</v>
      </c>
      <c r="L5099" s="1" t="str">
        <f t="shared" si="1102"/>
        <v>X</v>
      </c>
      <c r="M5099" s="1" t="str">
        <f t="shared" si="1102"/>
        <v>X</v>
      </c>
      <c r="N5099" t="s">
        <v>27</v>
      </c>
    </row>
    <row r="5100" spans="1:14" x14ac:dyDescent="0.25">
      <c r="A5100" t="s">
        <v>41</v>
      </c>
      <c r="B5100" t="s">
        <v>40</v>
      </c>
      <c r="C5100" t="s">
        <v>38</v>
      </c>
      <c r="D5100" t="s">
        <v>15</v>
      </c>
      <c r="E5100" t="s">
        <v>26</v>
      </c>
      <c r="F5100" t="s">
        <v>19</v>
      </c>
      <c r="G5100" s="1" t="str">
        <f t="shared" ref="G5100:M5100" si="1103">"..."</f>
        <v>...</v>
      </c>
      <c r="H5100" s="1" t="str">
        <f t="shared" si="1103"/>
        <v>...</v>
      </c>
      <c r="I5100" s="1" t="str">
        <f t="shared" si="1103"/>
        <v>...</v>
      </c>
      <c r="J5100" s="1" t="str">
        <f t="shared" si="1103"/>
        <v>...</v>
      </c>
      <c r="K5100" s="1" t="str">
        <f t="shared" si="1103"/>
        <v>...</v>
      </c>
      <c r="L5100" s="1" t="str">
        <f t="shared" si="1103"/>
        <v>...</v>
      </c>
      <c r="M5100" s="1" t="str">
        <f t="shared" si="1103"/>
        <v>...</v>
      </c>
      <c r="N5100" t="s">
        <v>30</v>
      </c>
    </row>
    <row r="5101" spans="1:14" x14ac:dyDescent="0.25">
      <c r="A5101" t="s">
        <v>41</v>
      </c>
      <c r="B5101" t="s">
        <v>40</v>
      </c>
      <c r="C5101" t="s">
        <v>38</v>
      </c>
      <c r="D5101" t="s">
        <v>15</v>
      </c>
      <c r="E5101" t="s">
        <v>26</v>
      </c>
      <c r="F5101" t="s">
        <v>20</v>
      </c>
      <c r="G5101" s="1" t="str">
        <f t="shared" ref="G5101:M5101" si="1104">"X"</f>
        <v>X</v>
      </c>
      <c r="H5101" s="1" t="str">
        <f t="shared" si="1104"/>
        <v>X</v>
      </c>
      <c r="I5101" s="1" t="str">
        <f t="shared" si="1104"/>
        <v>X</v>
      </c>
      <c r="J5101" s="1" t="str">
        <f t="shared" si="1104"/>
        <v>X</v>
      </c>
      <c r="K5101" s="1" t="str">
        <f t="shared" si="1104"/>
        <v>X</v>
      </c>
      <c r="L5101" s="1" t="str">
        <f t="shared" si="1104"/>
        <v>X</v>
      </c>
      <c r="M5101" s="1" t="str">
        <f t="shared" si="1104"/>
        <v>X</v>
      </c>
      <c r="N5101" t="s">
        <v>27</v>
      </c>
    </row>
    <row r="5102" spans="1:14" x14ac:dyDescent="0.25">
      <c r="A5102" t="s">
        <v>41</v>
      </c>
      <c r="B5102" t="s">
        <v>40</v>
      </c>
      <c r="C5102" t="s">
        <v>38</v>
      </c>
      <c r="D5102" t="s">
        <v>28</v>
      </c>
      <c r="E5102" t="s">
        <v>15</v>
      </c>
      <c r="F5102" t="s">
        <v>15</v>
      </c>
      <c r="G5102" s="1">
        <f>VALUE(6264.078701359)</f>
        <v>6264.0787013589998</v>
      </c>
      <c r="H5102" s="1">
        <f>VALUE(4271.8125147094)</f>
        <v>4271.8125147093997</v>
      </c>
      <c r="I5102" s="1">
        <f>VALUE(3333)</f>
        <v>3333</v>
      </c>
      <c r="J5102" s="1">
        <f>VALUE(4060)</f>
        <v>4060</v>
      </c>
      <c r="K5102" s="1">
        <f>VALUE(5011)</f>
        <v>5011</v>
      </c>
      <c r="L5102" s="1">
        <f>VALUE(6475)</f>
        <v>6475</v>
      </c>
      <c r="M5102" s="1">
        <f>VALUE(8119)</f>
        <v>8119</v>
      </c>
      <c r="N5102" t="s">
        <v>16</v>
      </c>
    </row>
    <row r="5103" spans="1:14" x14ac:dyDescent="0.25">
      <c r="A5103" t="s">
        <v>41</v>
      </c>
      <c r="B5103" t="s">
        <v>40</v>
      </c>
      <c r="C5103" t="s">
        <v>38</v>
      </c>
      <c r="D5103" t="s">
        <v>28</v>
      </c>
      <c r="E5103" t="s">
        <v>15</v>
      </c>
      <c r="F5103" t="s">
        <v>17</v>
      </c>
      <c r="G5103" s="2">
        <f>VALUE(973.3886908344)</f>
        <v>973.38869083439999</v>
      </c>
      <c r="H5103" s="3">
        <f>VALUE(809.3808603105)</f>
        <v>809.3808603105</v>
      </c>
      <c r="I5103" s="4">
        <f>VALUE(3048)</f>
        <v>3048</v>
      </c>
      <c r="J5103" s="5">
        <f>VALUE(4444)</f>
        <v>4444</v>
      </c>
      <c r="K5103" s="1">
        <f>VALUE(6500)</f>
        <v>6500</v>
      </c>
      <c r="L5103" s="7">
        <f>VALUE(8345)</f>
        <v>8345</v>
      </c>
      <c r="M5103" s="1">
        <f>VALUE(10833)</f>
        <v>10833</v>
      </c>
      <c r="N5103" t="s">
        <v>25</v>
      </c>
    </row>
    <row r="5104" spans="1:14" x14ac:dyDescent="0.25">
      <c r="A5104" t="s">
        <v>41</v>
      </c>
      <c r="B5104" t="s">
        <v>40</v>
      </c>
      <c r="C5104" t="s">
        <v>38</v>
      </c>
      <c r="D5104" t="s">
        <v>28</v>
      </c>
      <c r="E5104" t="s">
        <v>15</v>
      </c>
      <c r="F5104" t="s">
        <v>18</v>
      </c>
      <c r="G5104" s="2">
        <f>VALUE(887.3889952918)</f>
        <v>887.38899529180003</v>
      </c>
      <c r="H5104" s="3">
        <f>VALUE(580.1373508335)</f>
        <v>580.13735083350002</v>
      </c>
      <c r="I5104" s="4">
        <f>VALUE(4063)</f>
        <v>4063</v>
      </c>
      <c r="J5104" s="1">
        <f>VALUE(4682)</f>
        <v>4682</v>
      </c>
      <c r="K5104" s="1">
        <f>VALUE(5730)</f>
        <v>5730</v>
      </c>
      <c r="L5104" s="1">
        <f>VALUE(7344)</f>
        <v>7344</v>
      </c>
      <c r="M5104" s="8">
        <f>VALUE(8730)</f>
        <v>8730</v>
      </c>
      <c r="N5104" t="s">
        <v>25</v>
      </c>
    </row>
    <row r="5105" spans="1:14" x14ac:dyDescent="0.25">
      <c r="A5105" t="s">
        <v>41</v>
      </c>
      <c r="B5105" t="s">
        <v>40</v>
      </c>
      <c r="C5105" t="s">
        <v>38</v>
      </c>
      <c r="D5105" t="s">
        <v>28</v>
      </c>
      <c r="E5105" t="s">
        <v>15</v>
      </c>
      <c r="F5105" t="s">
        <v>19</v>
      </c>
      <c r="G5105" s="2">
        <f>VALUE(902.3576475956)</f>
        <v>902.35764759560004</v>
      </c>
      <c r="H5105" s="3">
        <f>VALUE(631.3539945004)</f>
        <v>631.35399450039995</v>
      </c>
      <c r="I5105" s="4">
        <f>VALUE(3787)</f>
        <v>3787</v>
      </c>
      <c r="J5105" s="1">
        <f>VALUE(4133)</f>
        <v>4133</v>
      </c>
      <c r="K5105" s="1">
        <f>VALUE(5012)</f>
        <v>5012</v>
      </c>
      <c r="L5105" s="7">
        <f>VALUE(6031)</f>
        <v>6031</v>
      </c>
      <c r="M5105" s="8">
        <f>VALUE(7496)</f>
        <v>7496</v>
      </c>
      <c r="N5105" t="s">
        <v>25</v>
      </c>
    </row>
    <row r="5106" spans="1:14" x14ac:dyDescent="0.25">
      <c r="A5106" t="s">
        <v>41</v>
      </c>
      <c r="B5106" t="s">
        <v>40</v>
      </c>
      <c r="C5106" t="s">
        <v>38</v>
      </c>
      <c r="D5106" t="s">
        <v>28</v>
      </c>
      <c r="E5106" t="s">
        <v>15</v>
      </c>
      <c r="F5106" t="s">
        <v>20</v>
      </c>
      <c r="G5106" s="1">
        <f>VALUE(3498.7298535799)</f>
        <v>3498.7298535799</v>
      </c>
      <c r="H5106" s="1">
        <f>VALUE(2249.8037419899)</f>
        <v>2249.8037419899001</v>
      </c>
      <c r="I5106" s="4">
        <f>VALUE(3326)</f>
        <v>3326</v>
      </c>
      <c r="J5106" s="1">
        <f>VALUE(3909)</f>
        <v>3909</v>
      </c>
      <c r="K5106" s="1">
        <f>VALUE(4730)</f>
        <v>4730</v>
      </c>
      <c r="L5106" s="1">
        <f>VALUE(5619)</f>
        <v>5619</v>
      </c>
      <c r="M5106" s="1">
        <f>VALUE(6830)</f>
        <v>6830</v>
      </c>
      <c r="N5106" t="s">
        <v>25</v>
      </c>
    </row>
    <row r="5107" spans="1:14" x14ac:dyDescent="0.25">
      <c r="A5107" t="s">
        <v>41</v>
      </c>
      <c r="B5107" t="s">
        <v>40</v>
      </c>
      <c r="C5107" t="s">
        <v>38</v>
      </c>
      <c r="D5107" t="s">
        <v>28</v>
      </c>
      <c r="E5107" t="s">
        <v>21</v>
      </c>
      <c r="F5107" t="s">
        <v>15</v>
      </c>
      <c r="G5107" s="2">
        <f>VALUE(982.8907405694)</f>
        <v>982.89074056940001</v>
      </c>
      <c r="H5107" s="3">
        <f>VALUE(698.3412442294)</f>
        <v>698.34124422939999</v>
      </c>
      <c r="I5107" s="4">
        <f>VALUE(4069)</f>
        <v>4069</v>
      </c>
      <c r="J5107" s="1">
        <f>VALUE(4707)</f>
        <v>4707</v>
      </c>
      <c r="K5107" s="1">
        <f>VALUE(6475)</f>
        <v>6475</v>
      </c>
      <c r="L5107" s="1">
        <f>VALUE(8310)</f>
        <v>8310</v>
      </c>
      <c r="M5107" s="1">
        <f>VALUE(10640)</f>
        <v>10640</v>
      </c>
      <c r="N5107" t="s">
        <v>25</v>
      </c>
    </row>
    <row r="5108" spans="1:14" x14ac:dyDescent="0.25">
      <c r="A5108" t="s">
        <v>41</v>
      </c>
      <c r="B5108" t="s">
        <v>40</v>
      </c>
      <c r="C5108" t="s">
        <v>38</v>
      </c>
      <c r="D5108" t="s">
        <v>28</v>
      </c>
      <c r="E5108" t="s">
        <v>21</v>
      </c>
      <c r="F5108" t="s">
        <v>17</v>
      </c>
      <c r="G5108" s="2">
        <f>VALUE(442.8539418167)</f>
        <v>442.8539418167</v>
      </c>
      <c r="H5108" s="3">
        <f>VALUE(370.4799467329)</f>
        <v>370.47994673289998</v>
      </c>
      <c r="I5108" s="4">
        <f>VALUE(3792)</f>
        <v>3792</v>
      </c>
      <c r="J5108" s="5">
        <f>VALUE(4507)</f>
        <v>4507</v>
      </c>
      <c r="K5108" s="6">
        <f>VALUE(6753)</f>
        <v>6753</v>
      </c>
      <c r="L5108" s="7">
        <f>VALUE(8823)</f>
        <v>8823</v>
      </c>
      <c r="M5108" s="8">
        <f>VALUE(11731)</f>
        <v>11731</v>
      </c>
      <c r="N5108" t="s">
        <v>24</v>
      </c>
    </row>
    <row r="5109" spans="1:14" x14ac:dyDescent="0.25">
      <c r="A5109" t="s">
        <v>41</v>
      </c>
      <c r="B5109" t="s">
        <v>40</v>
      </c>
      <c r="C5109" t="s">
        <v>38</v>
      </c>
      <c r="D5109" t="s">
        <v>28</v>
      </c>
      <c r="E5109" t="s">
        <v>21</v>
      </c>
      <c r="F5109" t="s">
        <v>18</v>
      </c>
      <c r="G5109" s="2">
        <f>VALUE(200.0918918323)</f>
        <v>200.09189183230001</v>
      </c>
      <c r="H5109" s="3">
        <f>VALUE(123.1169471569)</f>
        <v>123.1169471569</v>
      </c>
      <c r="I5109" s="4">
        <f>VALUE(3896)</f>
        <v>3896</v>
      </c>
      <c r="J5109" s="5">
        <f>VALUE(4762)</f>
        <v>4762</v>
      </c>
      <c r="K5109" s="1">
        <f>VALUE(7057)</f>
        <v>7057</v>
      </c>
      <c r="L5109" s="1">
        <f>VALUE(8241)</f>
        <v>8241</v>
      </c>
      <c r="M5109" s="8">
        <f>VALUE(9524)</f>
        <v>9524</v>
      </c>
      <c r="N5109" t="s">
        <v>25</v>
      </c>
    </row>
    <row r="5110" spans="1:14" x14ac:dyDescent="0.25">
      <c r="A5110" t="s">
        <v>41</v>
      </c>
      <c r="B5110" t="s">
        <v>40</v>
      </c>
      <c r="C5110" t="s">
        <v>38</v>
      </c>
      <c r="D5110" t="s">
        <v>28</v>
      </c>
      <c r="E5110" t="s">
        <v>21</v>
      </c>
      <c r="F5110" t="s">
        <v>19</v>
      </c>
      <c r="G5110" s="1" t="str">
        <f t="shared" ref="G5110:M5110" si="1105">"X"</f>
        <v>X</v>
      </c>
      <c r="H5110" s="1" t="str">
        <f t="shared" si="1105"/>
        <v>X</v>
      </c>
      <c r="I5110" s="1" t="str">
        <f t="shared" si="1105"/>
        <v>X</v>
      </c>
      <c r="J5110" s="1" t="str">
        <f t="shared" si="1105"/>
        <v>X</v>
      </c>
      <c r="K5110" s="1" t="str">
        <f t="shared" si="1105"/>
        <v>X</v>
      </c>
      <c r="L5110" s="1" t="str">
        <f t="shared" si="1105"/>
        <v>X</v>
      </c>
      <c r="M5110" s="1" t="str">
        <f t="shared" si="1105"/>
        <v>X</v>
      </c>
      <c r="N5110" t="s">
        <v>27</v>
      </c>
    </row>
    <row r="5111" spans="1:14" x14ac:dyDescent="0.25">
      <c r="A5111" t="s">
        <v>41</v>
      </c>
      <c r="B5111" t="s">
        <v>40</v>
      </c>
      <c r="C5111" t="s">
        <v>38</v>
      </c>
      <c r="D5111" t="s">
        <v>28</v>
      </c>
      <c r="E5111" t="s">
        <v>21</v>
      </c>
      <c r="F5111" t="s">
        <v>20</v>
      </c>
      <c r="G5111" s="2">
        <f>VALUE(221.2918719419)</f>
        <v>221.29187194190001</v>
      </c>
      <c r="H5111" s="3">
        <f>VALUE(136.890377683)</f>
        <v>136.890377683</v>
      </c>
      <c r="I5111" s="4">
        <f>VALUE(4126)</f>
        <v>4126</v>
      </c>
      <c r="J5111" s="5">
        <f>VALUE(4707)</f>
        <v>4707</v>
      </c>
      <c r="K5111" s="6">
        <f>VALUE(5553)</f>
        <v>5553</v>
      </c>
      <c r="L5111" s="7">
        <f>VALUE(7273)</f>
        <v>7273</v>
      </c>
      <c r="M5111" s="1">
        <f>VALUE(8666)</f>
        <v>8666</v>
      </c>
      <c r="N5111" t="s">
        <v>25</v>
      </c>
    </row>
    <row r="5112" spans="1:14" x14ac:dyDescent="0.25">
      <c r="A5112" t="s">
        <v>41</v>
      </c>
      <c r="B5112" t="s">
        <v>40</v>
      </c>
      <c r="C5112" t="s">
        <v>38</v>
      </c>
      <c r="D5112" t="s">
        <v>28</v>
      </c>
      <c r="E5112" t="s">
        <v>22</v>
      </c>
      <c r="F5112" t="s">
        <v>15</v>
      </c>
      <c r="G5112" s="1">
        <f>VALUE(3318.1500904102)</f>
        <v>3318.1500904101999</v>
      </c>
      <c r="H5112" s="1">
        <f>VALUE(2324.6614195728)</f>
        <v>2324.6614195727998</v>
      </c>
      <c r="I5112" s="4">
        <f>VALUE(3576)</f>
        <v>3576</v>
      </c>
      <c r="J5112" s="1">
        <f>VALUE(4332)</f>
        <v>4332</v>
      </c>
      <c r="K5112" s="1">
        <f>VALUE(5292)</f>
        <v>5292</v>
      </c>
      <c r="L5112" s="1">
        <f>VALUE(6607)</f>
        <v>6607</v>
      </c>
      <c r="M5112" s="1">
        <f>VALUE(7916)</f>
        <v>7916</v>
      </c>
      <c r="N5112" t="s">
        <v>25</v>
      </c>
    </row>
    <row r="5113" spans="1:14" x14ac:dyDescent="0.25">
      <c r="A5113" t="s">
        <v>41</v>
      </c>
      <c r="B5113" t="s">
        <v>40</v>
      </c>
      <c r="C5113" t="s">
        <v>38</v>
      </c>
      <c r="D5113" t="s">
        <v>28</v>
      </c>
      <c r="E5113" t="s">
        <v>22</v>
      </c>
      <c r="F5113" t="s">
        <v>17</v>
      </c>
      <c r="G5113" s="2">
        <f>VALUE(472.806184364)</f>
        <v>472.80618436399999</v>
      </c>
      <c r="H5113" s="3">
        <f>VALUE(394.9809985068)</f>
        <v>394.98099850680001</v>
      </c>
      <c r="I5113" s="4">
        <f>VALUE(3048)</f>
        <v>3048</v>
      </c>
      <c r="J5113" s="5">
        <f>VALUE(4373)</f>
        <v>4373</v>
      </c>
      <c r="K5113" s="6">
        <f>VALUE(6700)</f>
        <v>6700</v>
      </c>
      <c r="L5113" s="7">
        <f>VALUE(7920)</f>
        <v>7920</v>
      </c>
      <c r="M5113" s="1">
        <f>VALUE(9980)</f>
        <v>9980</v>
      </c>
      <c r="N5113" t="s">
        <v>25</v>
      </c>
    </row>
    <row r="5114" spans="1:14" x14ac:dyDescent="0.25">
      <c r="A5114" t="s">
        <v>41</v>
      </c>
      <c r="B5114" t="s">
        <v>40</v>
      </c>
      <c r="C5114" t="s">
        <v>38</v>
      </c>
      <c r="D5114" t="s">
        <v>28</v>
      </c>
      <c r="E5114" t="s">
        <v>22</v>
      </c>
      <c r="F5114" t="s">
        <v>18</v>
      </c>
      <c r="G5114" s="2">
        <f>VALUE(552.3440300045)</f>
        <v>552.34403000450004</v>
      </c>
      <c r="H5114" s="3">
        <f>VALUE(372.9033171657)</f>
        <v>372.9033171657</v>
      </c>
      <c r="I5114" s="1">
        <f>VALUE(4203)</f>
        <v>4203</v>
      </c>
      <c r="J5114" s="1">
        <f>VALUE(4817)</f>
        <v>4817</v>
      </c>
      <c r="K5114" s="1">
        <f>VALUE(5638)</f>
        <v>5638</v>
      </c>
      <c r="L5114" s="7">
        <f>VALUE(7042)</f>
        <v>7042</v>
      </c>
      <c r="M5114" s="8">
        <f>VALUE(8364)</f>
        <v>8364</v>
      </c>
      <c r="N5114" t="s">
        <v>25</v>
      </c>
    </row>
    <row r="5115" spans="1:14" x14ac:dyDescent="0.25">
      <c r="A5115" t="s">
        <v>41</v>
      </c>
      <c r="B5115" t="s">
        <v>40</v>
      </c>
      <c r="C5115" t="s">
        <v>38</v>
      </c>
      <c r="D5115" t="s">
        <v>28</v>
      </c>
      <c r="E5115" t="s">
        <v>22</v>
      </c>
      <c r="F5115" t="s">
        <v>19</v>
      </c>
      <c r="G5115" s="2">
        <f>VALUE(624.0382102825)</f>
        <v>624.03821028250002</v>
      </c>
      <c r="H5115" s="3">
        <f>VALUE(451.3352642183)</f>
        <v>451.33526421829998</v>
      </c>
      <c r="I5115" s="4">
        <f>VALUE(3803)</f>
        <v>3803</v>
      </c>
      <c r="J5115" s="1">
        <f>VALUE(4133)</f>
        <v>4133</v>
      </c>
      <c r="K5115" s="6">
        <f>VALUE(5012)</f>
        <v>5012</v>
      </c>
      <c r="L5115" s="7">
        <f>VALUE(5754)</f>
        <v>5754</v>
      </c>
      <c r="M5115" s="1">
        <f>VALUE(7102)</f>
        <v>7102</v>
      </c>
      <c r="N5115" t="s">
        <v>25</v>
      </c>
    </row>
    <row r="5116" spans="1:14" x14ac:dyDescent="0.25">
      <c r="A5116" t="s">
        <v>41</v>
      </c>
      <c r="B5116" t="s">
        <v>40</v>
      </c>
      <c r="C5116" t="s">
        <v>38</v>
      </c>
      <c r="D5116" t="s">
        <v>28</v>
      </c>
      <c r="E5116" t="s">
        <v>22</v>
      </c>
      <c r="F5116" t="s">
        <v>20</v>
      </c>
      <c r="G5116" s="1">
        <f>VALUE(1668.9616657592)</f>
        <v>1668.9616657592001</v>
      </c>
      <c r="H5116" s="1">
        <f>VALUE(1105.441839682)</f>
        <v>1105.4418396819999</v>
      </c>
      <c r="I5116" s="1">
        <f>VALUE(3611)</f>
        <v>3611</v>
      </c>
      <c r="J5116" s="1">
        <f>VALUE(4261)</f>
        <v>4261</v>
      </c>
      <c r="K5116" s="1">
        <f>VALUE(5158)</f>
        <v>5158</v>
      </c>
      <c r="L5116" s="1">
        <f>VALUE(6054)</f>
        <v>6054</v>
      </c>
      <c r="M5116" s="1">
        <f>VALUE(7165)</f>
        <v>7165</v>
      </c>
      <c r="N5116" t="s">
        <v>16</v>
      </c>
    </row>
    <row r="5117" spans="1:14" x14ac:dyDescent="0.25">
      <c r="A5117" t="s">
        <v>41</v>
      </c>
      <c r="B5117" t="s">
        <v>40</v>
      </c>
      <c r="C5117" t="s">
        <v>38</v>
      </c>
      <c r="D5117" t="s">
        <v>28</v>
      </c>
      <c r="E5117" t="s">
        <v>23</v>
      </c>
      <c r="F5117" t="s">
        <v>15</v>
      </c>
      <c r="G5117" s="2">
        <f>VALUE(1884.1421721442)</f>
        <v>1884.1421721442</v>
      </c>
      <c r="H5117" s="1">
        <f>VALUE(1170.2163333131)</f>
        <v>1170.2163333131</v>
      </c>
      <c r="I5117" s="4">
        <f>VALUE(2969)</f>
        <v>2969</v>
      </c>
      <c r="J5117" s="1">
        <f>VALUE(3590)</f>
        <v>3590</v>
      </c>
      <c r="K5117" s="1">
        <f>VALUE(4086)</f>
        <v>4086</v>
      </c>
      <c r="L5117" s="1">
        <f>VALUE(4843)</f>
        <v>4843</v>
      </c>
      <c r="M5117" s="1">
        <f>VALUE(5547)</f>
        <v>5547</v>
      </c>
      <c r="N5117" t="s">
        <v>25</v>
      </c>
    </row>
    <row r="5118" spans="1:14" x14ac:dyDescent="0.25">
      <c r="A5118" t="s">
        <v>41</v>
      </c>
      <c r="B5118" t="s">
        <v>40</v>
      </c>
      <c r="C5118" t="s">
        <v>38</v>
      </c>
      <c r="D5118" t="s">
        <v>28</v>
      </c>
      <c r="E5118" t="s">
        <v>23</v>
      </c>
      <c r="F5118" t="s">
        <v>17</v>
      </c>
      <c r="G5118" s="1" t="str">
        <f t="shared" ref="G5118:M5119" si="1106">"X"</f>
        <v>X</v>
      </c>
      <c r="H5118" s="1" t="str">
        <f t="shared" si="1106"/>
        <v>X</v>
      </c>
      <c r="I5118" s="1" t="str">
        <f t="shared" si="1106"/>
        <v>X</v>
      </c>
      <c r="J5118" s="1" t="str">
        <f t="shared" si="1106"/>
        <v>X</v>
      </c>
      <c r="K5118" s="1" t="str">
        <f t="shared" si="1106"/>
        <v>X</v>
      </c>
      <c r="L5118" s="1" t="str">
        <f t="shared" si="1106"/>
        <v>X</v>
      </c>
      <c r="M5118" s="1" t="str">
        <f t="shared" si="1106"/>
        <v>X</v>
      </c>
      <c r="N5118" t="s">
        <v>27</v>
      </c>
    </row>
    <row r="5119" spans="1:14" x14ac:dyDescent="0.25">
      <c r="A5119" t="s">
        <v>41</v>
      </c>
      <c r="B5119" t="s">
        <v>40</v>
      </c>
      <c r="C5119" t="s">
        <v>38</v>
      </c>
      <c r="D5119" t="s">
        <v>28</v>
      </c>
      <c r="E5119" t="s">
        <v>23</v>
      </c>
      <c r="F5119" t="s">
        <v>18</v>
      </c>
      <c r="G5119" s="1" t="str">
        <f t="shared" si="1106"/>
        <v>X</v>
      </c>
      <c r="H5119" s="1" t="str">
        <f t="shared" si="1106"/>
        <v>X</v>
      </c>
      <c r="I5119" s="1" t="str">
        <f t="shared" si="1106"/>
        <v>X</v>
      </c>
      <c r="J5119" s="1" t="str">
        <f t="shared" si="1106"/>
        <v>X</v>
      </c>
      <c r="K5119" s="1" t="str">
        <f t="shared" si="1106"/>
        <v>X</v>
      </c>
      <c r="L5119" s="1" t="str">
        <f t="shared" si="1106"/>
        <v>X</v>
      </c>
      <c r="M5119" s="1" t="str">
        <f t="shared" si="1106"/>
        <v>X</v>
      </c>
      <c r="N5119" t="s">
        <v>27</v>
      </c>
    </row>
    <row r="5120" spans="1:14" x14ac:dyDescent="0.25">
      <c r="A5120" t="s">
        <v>41</v>
      </c>
      <c r="B5120" t="s">
        <v>40</v>
      </c>
      <c r="C5120" t="s">
        <v>38</v>
      </c>
      <c r="D5120" t="s">
        <v>28</v>
      </c>
      <c r="E5120" t="s">
        <v>23</v>
      </c>
      <c r="F5120" t="s">
        <v>19</v>
      </c>
      <c r="G5120" s="2">
        <f>VALUE(161.8799163919)</f>
        <v>161.8799163919</v>
      </c>
      <c r="H5120" s="3">
        <f>VALUE(113.3013247006)</f>
        <v>113.30132470060001</v>
      </c>
      <c r="I5120" s="4">
        <f>VALUE(3748)</f>
        <v>3748</v>
      </c>
      <c r="J5120" s="5">
        <f>VALUE(4021)</f>
        <v>4021</v>
      </c>
      <c r="K5120" s="6">
        <f>VALUE(4438)</f>
        <v>4438</v>
      </c>
      <c r="L5120" s="7">
        <f>VALUE(5815)</f>
        <v>5815</v>
      </c>
      <c r="M5120" s="1">
        <f>VALUE(6822)</f>
        <v>6822</v>
      </c>
      <c r="N5120" t="s">
        <v>25</v>
      </c>
    </row>
    <row r="5121" spans="1:14" x14ac:dyDescent="0.25">
      <c r="A5121" t="s">
        <v>41</v>
      </c>
      <c r="B5121" t="s">
        <v>40</v>
      </c>
      <c r="C5121" t="s">
        <v>38</v>
      </c>
      <c r="D5121" t="s">
        <v>28</v>
      </c>
      <c r="E5121" t="s">
        <v>23</v>
      </c>
      <c r="F5121" t="s">
        <v>20</v>
      </c>
      <c r="G5121" s="2">
        <f>VALUE(1555.879183722)</f>
        <v>1555.8791837220001</v>
      </c>
      <c r="H5121" s="1">
        <f>VALUE(956.1846848082)</f>
        <v>956.18468480820002</v>
      </c>
      <c r="I5121" s="4">
        <f>VALUE(2994)</f>
        <v>2994</v>
      </c>
      <c r="J5121" s="1">
        <f>VALUE(3590)</f>
        <v>3590</v>
      </c>
      <c r="K5121" s="1">
        <f>VALUE(4060)</f>
        <v>4060</v>
      </c>
      <c r="L5121" s="1">
        <f>VALUE(4806)</f>
        <v>4806</v>
      </c>
      <c r="M5121" s="1">
        <f>VALUE(5289)</f>
        <v>5289</v>
      </c>
      <c r="N5121" t="s">
        <v>25</v>
      </c>
    </row>
    <row r="5122" spans="1:14" x14ac:dyDescent="0.25">
      <c r="A5122" t="s">
        <v>41</v>
      </c>
      <c r="B5122" t="s">
        <v>40</v>
      </c>
      <c r="C5122" t="s">
        <v>38</v>
      </c>
      <c r="D5122" t="s">
        <v>28</v>
      </c>
      <c r="E5122" t="s">
        <v>26</v>
      </c>
      <c r="F5122" t="s">
        <v>15</v>
      </c>
      <c r="G5122" s="1" t="str">
        <f t="shared" ref="G5122:M5124" si="1107">"X"</f>
        <v>X</v>
      </c>
      <c r="H5122" s="1" t="str">
        <f t="shared" si="1107"/>
        <v>X</v>
      </c>
      <c r="I5122" s="1" t="str">
        <f t="shared" si="1107"/>
        <v>X</v>
      </c>
      <c r="J5122" s="1" t="str">
        <f t="shared" si="1107"/>
        <v>X</v>
      </c>
      <c r="K5122" s="1" t="str">
        <f t="shared" si="1107"/>
        <v>X</v>
      </c>
      <c r="L5122" s="1" t="str">
        <f t="shared" si="1107"/>
        <v>X</v>
      </c>
      <c r="M5122" s="1" t="str">
        <f t="shared" si="1107"/>
        <v>X</v>
      </c>
      <c r="N5122" t="s">
        <v>27</v>
      </c>
    </row>
    <row r="5123" spans="1:14" x14ac:dyDescent="0.25">
      <c r="A5123" t="s">
        <v>41</v>
      </c>
      <c r="B5123" t="s">
        <v>40</v>
      </c>
      <c r="C5123" t="s">
        <v>38</v>
      </c>
      <c r="D5123" t="s">
        <v>28</v>
      </c>
      <c r="E5123" t="s">
        <v>26</v>
      </c>
      <c r="F5123" t="s">
        <v>17</v>
      </c>
      <c r="G5123" s="1" t="str">
        <f t="shared" si="1107"/>
        <v>X</v>
      </c>
      <c r="H5123" s="1" t="str">
        <f t="shared" si="1107"/>
        <v>X</v>
      </c>
      <c r="I5123" s="1" t="str">
        <f t="shared" si="1107"/>
        <v>X</v>
      </c>
      <c r="J5123" s="1" t="str">
        <f t="shared" si="1107"/>
        <v>X</v>
      </c>
      <c r="K5123" s="1" t="str">
        <f t="shared" si="1107"/>
        <v>X</v>
      </c>
      <c r="L5123" s="1" t="str">
        <f t="shared" si="1107"/>
        <v>X</v>
      </c>
      <c r="M5123" s="1" t="str">
        <f t="shared" si="1107"/>
        <v>X</v>
      </c>
      <c r="N5123" t="s">
        <v>27</v>
      </c>
    </row>
    <row r="5124" spans="1:14" x14ac:dyDescent="0.25">
      <c r="A5124" t="s">
        <v>41</v>
      </c>
      <c r="B5124" t="s">
        <v>40</v>
      </c>
      <c r="C5124" t="s">
        <v>38</v>
      </c>
      <c r="D5124" t="s">
        <v>28</v>
      </c>
      <c r="E5124" t="s">
        <v>26</v>
      </c>
      <c r="F5124" t="s">
        <v>18</v>
      </c>
      <c r="G5124" s="1" t="str">
        <f t="shared" si="1107"/>
        <v>X</v>
      </c>
      <c r="H5124" s="1" t="str">
        <f t="shared" si="1107"/>
        <v>X</v>
      </c>
      <c r="I5124" s="1" t="str">
        <f t="shared" si="1107"/>
        <v>X</v>
      </c>
      <c r="J5124" s="1" t="str">
        <f t="shared" si="1107"/>
        <v>X</v>
      </c>
      <c r="K5124" s="1" t="str">
        <f t="shared" si="1107"/>
        <v>X</v>
      </c>
      <c r="L5124" s="1" t="str">
        <f t="shared" si="1107"/>
        <v>X</v>
      </c>
      <c r="M5124" s="1" t="str">
        <f t="shared" si="1107"/>
        <v>X</v>
      </c>
      <c r="N5124" t="s">
        <v>27</v>
      </c>
    </row>
    <row r="5125" spans="1:14" x14ac:dyDescent="0.25">
      <c r="A5125" t="s">
        <v>41</v>
      </c>
      <c r="B5125" t="s">
        <v>40</v>
      </c>
      <c r="C5125" t="s">
        <v>38</v>
      </c>
      <c r="D5125" t="s">
        <v>28</v>
      </c>
      <c r="E5125" t="s">
        <v>26</v>
      </c>
      <c r="F5125" t="s">
        <v>19</v>
      </c>
      <c r="G5125" s="1" t="str">
        <f t="shared" ref="G5125:M5125" si="1108">"..."</f>
        <v>...</v>
      </c>
      <c r="H5125" s="1" t="str">
        <f t="shared" si="1108"/>
        <v>...</v>
      </c>
      <c r="I5125" s="1" t="str">
        <f t="shared" si="1108"/>
        <v>...</v>
      </c>
      <c r="J5125" s="1" t="str">
        <f t="shared" si="1108"/>
        <v>...</v>
      </c>
      <c r="K5125" s="1" t="str">
        <f t="shared" si="1108"/>
        <v>...</v>
      </c>
      <c r="L5125" s="1" t="str">
        <f t="shared" si="1108"/>
        <v>...</v>
      </c>
      <c r="M5125" s="1" t="str">
        <f t="shared" si="1108"/>
        <v>...</v>
      </c>
      <c r="N5125" t="s">
        <v>30</v>
      </c>
    </row>
    <row r="5126" spans="1:14" x14ac:dyDescent="0.25">
      <c r="A5126" t="s">
        <v>41</v>
      </c>
      <c r="B5126" t="s">
        <v>40</v>
      </c>
      <c r="C5126" t="s">
        <v>38</v>
      </c>
      <c r="D5126" t="s">
        <v>28</v>
      </c>
      <c r="E5126" t="s">
        <v>26</v>
      </c>
      <c r="F5126" t="s">
        <v>20</v>
      </c>
      <c r="G5126" s="1" t="str">
        <f t="shared" ref="G5126:M5126" si="1109">"X"</f>
        <v>X</v>
      </c>
      <c r="H5126" s="1" t="str">
        <f t="shared" si="1109"/>
        <v>X</v>
      </c>
      <c r="I5126" s="1" t="str">
        <f t="shared" si="1109"/>
        <v>X</v>
      </c>
      <c r="J5126" s="1" t="str">
        <f t="shared" si="1109"/>
        <v>X</v>
      </c>
      <c r="K5126" s="1" t="str">
        <f t="shared" si="1109"/>
        <v>X</v>
      </c>
      <c r="L5126" s="1" t="str">
        <f t="shared" si="1109"/>
        <v>X</v>
      </c>
      <c r="M5126" s="1" t="str">
        <f t="shared" si="1109"/>
        <v>X</v>
      </c>
      <c r="N5126" t="s">
        <v>27</v>
      </c>
    </row>
    <row r="5127" spans="1:14" x14ac:dyDescent="0.25">
      <c r="A5127" t="s">
        <v>41</v>
      </c>
      <c r="B5127" t="s">
        <v>40</v>
      </c>
      <c r="C5127" t="s">
        <v>38</v>
      </c>
      <c r="D5127" t="s">
        <v>29</v>
      </c>
      <c r="E5127" t="s">
        <v>15</v>
      </c>
      <c r="F5127" t="s">
        <v>15</v>
      </c>
      <c r="G5127" s="2">
        <f>VALUE(1704.2603378905)</f>
        <v>1704.2603378905001</v>
      </c>
      <c r="H5127" s="3">
        <f>VALUE(1223.7424189112)</f>
        <v>1223.7424189112</v>
      </c>
      <c r="I5127" s="1">
        <f>VALUE(3032)</f>
        <v>3032</v>
      </c>
      <c r="J5127" s="1">
        <f>VALUE(3490)</f>
        <v>3490</v>
      </c>
      <c r="K5127" s="1">
        <f>VALUE(4109)</f>
        <v>4109</v>
      </c>
      <c r="L5127" s="1">
        <f>VALUE(5275)</f>
        <v>5275</v>
      </c>
      <c r="M5127" s="8">
        <f>VALUE(7438)</f>
        <v>7438</v>
      </c>
      <c r="N5127" t="s">
        <v>25</v>
      </c>
    </row>
    <row r="5128" spans="1:14" x14ac:dyDescent="0.25">
      <c r="A5128" t="s">
        <v>41</v>
      </c>
      <c r="B5128" t="s">
        <v>40</v>
      </c>
      <c r="C5128" t="s">
        <v>38</v>
      </c>
      <c r="D5128" t="s">
        <v>29</v>
      </c>
      <c r="E5128" t="s">
        <v>15</v>
      </c>
      <c r="F5128" t="s">
        <v>17</v>
      </c>
      <c r="G5128" s="1" t="str">
        <f t="shared" ref="G5128:M5130" si="1110">"X"</f>
        <v>X</v>
      </c>
      <c r="H5128" s="1" t="str">
        <f t="shared" si="1110"/>
        <v>X</v>
      </c>
      <c r="I5128" s="1" t="str">
        <f t="shared" si="1110"/>
        <v>X</v>
      </c>
      <c r="J5128" s="1" t="str">
        <f t="shared" si="1110"/>
        <v>X</v>
      </c>
      <c r="K5128" s="1" t="str">
        <f t="shared" si="1110"/>
        <v>X</v>
      </c>
      <c r="L5128" s="1" t="str">
        <f t="shared" si="1110"/>
        <v>X</v>
      </c>
      <c r="M5128" s="1" t="str">
        <f t="shared" si="1110"/>
        <v>X</v>
      </c>
      <c r="N5128" t="s">
        <v>27</v>
      </c>
    </row>
    <row r="5129" spans="1:14" x14ac:dyDescent="0.25">
      <c r="A5129" t="s">
        <v>41</v>
      </c>
      <c r="B5129" t="s">
        <v>40</v>
      </c>
      <c r="C5129" t="s">
        <v>38</v>
      </c>
      <c r="D5129" t="s">
        <v>29</v>
      </c>
      <c r="E5129" t="s">
        <v>15</v>
      </c>
      <c r="F5129" t="s">
        <v>18</v>
      </c>
      <c r="G5129" s="1" t="str">
        <f t="shared" si="1110"/>
        <v>X</v>
      </c>
      <c r="H5129" s="1" t="str">
        <f t="shared" si="1110"/>
        <v>X</v>
      </c>
      <c r="I5129" s="1" t="str">
        <f t="shared" si="1110"/>
        <v>X</v>
      </c>
      <c r="J5129" s="1" t="str">
        <f t="shared" si="1110"/>
        <v>X</v>
      </c>
      <c r="K5129" s="1" t="str">
        <f t="shared" si="1110"/>
        <v>X</v>
      </c>
      <c r="L5129" s="1" t="str">
        <f t="shared" si="1110"/>
        <v>X</v>
      </c>
      <c r="M5129" s="1" t="str">
        <f t="shared" si="1110"/>
        <v>X</v>
      </c>
      <c r="N5129" t="s">
        <v>27</v>
      </c>
    </row>
    <row r="5130" spans="1:14" x14ac:dyDescent="0.25">
      <c r="A5130" t="s">
        <v>41</v>
      </c>
      <c r="B5130" t="s">
        <v>40</v>
      </c>
      <c r="C5130" t="s">
        <v>38</v>
      </c>
      <c r="D5130" t="s">
        <v>29</v>
      </c>
      <c r="E5130" t="s">
        <v>15</v>
      </c>
      <c r="F5130" t="s">
        <v>19</v>
      </c>
      <c r="G5130" s="1" t="str">
        <f t="shared" si="1110"/>
        <v>X</v>
      </c>
      <c r="H5130" s="1" t="str">
        <f t="shared" si="1110"/>
        <v>X</v>
      </c>
      <c r="I5130" s="1" t="str">
        <f t="shared" si="1110"/>
        <v>X</v>
      </c>
      <c r="J5130" s="1" t="str">
        <f t="shared" si="1110"/>
        <v>X</v>
      </c>
      <c r="K5130" s="1" t="str">
        <f t="shared" si="1110"/>
        <v>X</v>
      </c>
      <c r="L5130" s="1" t="str">
        <f t="shared" si="1110"/>
        <v>X</v>
      </c>
      <c r="M5130" s="1" t="str">
        <f t="shared" si="1110"/>
        <v>X</v>
      </c>
      <c r="N5130" t="s">
        <v>27</v>
      </c>
    </row>
    <row r="5131" spans="1:14" x14ac:dyDescent="0.25">
      <c r="A5131" t="s">
        <v>41</v>
      </c>
      <c r="B5131" t="s">
        <v>40</v>
      </c>
      <c r="C5131" t="s">
        <v>38</v>
      </c>
      <c r="D5131" t="s">
        <v>29</v>
      </c>
      <c r="E5131" t="s">
        <v>15</v>
      </c>
      <c r="F5131" t="s">
        <v>20</v>
      </c>
      <c r="G5131" s="2">
        <f>VALUE(1259.6146721055)</f>
        <v>1259.6146721054999</v>
      </c>
      <c r="H5131" s="3">
        <f>VALUE(864.7045079363)</f>
        <v>864.70450793630005</v>
      </c>
      <c r="I5131" s="4">
        <f>VALUE(2948)</f>
        <v>2948</v>
      </c>
      <c r="J5131" s="1">
        <f>VALUE(3490)</f>
        <v>3490</v>
      </c>
      <c r="K5131" s="1">
        <f>VALUE(3984)</f>
        <v>3984</v>
      </c>
      <c r="L5131" s="1">
        <f>VALUE(4782)</f>
        <v>4782</v>
      </c>
      <c r="M5131" s="1">
        <f>VALUE(5571)</f>
        <v>5571</v>
      </c>
      <c r="N5131" t="s">
        <v>25</v>
      </c>
    </row>
    <row r="5132" spans="1:14" x14ac:dyDescent="0.25">
      <c r="A5132" t="s">
        <v>41</v>
      </c>
      <c r="B5132" t="s">
        <v>40</v>
      </c>
      <c r="C5132" t="s">
        <v>38</v>
      </c>
      <c r="D5132" t="s">
        <v>29</v>
      </c>
      <c r="E5132" t="s">
        <v>21</v>
      </c>
      <c r="F5132" t="s">
        <v>15</v>
      </c>
      <c r="G5132" s="1" t="str">
        <f t="shared" ref="G5132:M5136" si="1111">"X"</f>
        <v>X</v>
      </c>
      <c r="H5132" s="1" t="str">
        <f t="shared" si="1111"/>
        <v>X</v>
      </c>
      <c r="I5132" s="1" t="str">
        <f t="shared" si="1111"/>
        <v>X</v>
      </c>
      <c r="J5132" s="1" t="str">
        <f t="shared" si="1111"/>
        <v>X</v>
      </c>
      <c r="K5132" s="1" t="str">
        <f t="shared" si="1111"/>
        <v>X</v>
      </c>
      <c r="L5132" s="1" t="str">
        <f t="shared" si="1111"/>
        <v>X</v>
      </c>
      <c r="M5132" s="1" t="str">
        <f t="shared" si="1111"/>
        <v>X</v>
      </c>
      <c r="N5132" t="s">
        <v>27</v>
      </c>
    </row>
    <row r="5133" spans="1:14" x14ac:dyDescent="0.25">
      <c r="A5133" t="s">
        <v>41</v>
      </c>
      <c r="B5133" t="s">
        <v>40</v>
      </c>
      <c r="C5133" t="s">
        <v>38</v>
      </c>
      <c r="D5133" t="s">
        <v>29</v>
      </c>
      <c r="E5133" t="s">
        <v>21</v>
      </c>
      <c r="F5133" t="s">
        <v>17</v>
      </c>
      <c r="G5133" s="1" t="str">
        <f t="shared" si="1111"/>
        <v>X</v>
      </c>
      <c r="H5133" s="1" t="str">
        <f t="shared" si="1111"/>
        <v>X</v>
      </c>
      <c r="I5133" s="1" t="str">
        <f t="shared" si="1111"/>
        <v>X</v>
      </c>
      <c r="J5133" s="1" t="str">
        <f t="shared" si="1111"/>
        <v>X</v>
      </c>
      <c r="K5133" s="1" t="str">
        <f t="shared" si="1111"/>
        <v>X</v>
      </c>
      <c r="L5133" s="1" t="str">
        <f t="shared" si="1111"/>
        <v>X</v>
      </c>
      <c r="M5133" s="1" t="str">
        <f t="shared" si="1111"/>
        <v>X</v>
      </c>
      <c r="N5133" t="s">
        <v>27</v>
      </c>
    </row>
    <row r="5134" spans="1:14" x14ac:dyDescent="0.25">
      <c r="A5134" t="s">
        <v>41</v>
      </c>
      <c r="B5134" t="s">
        <v>40</v>
      </c>
      <c r="C5134" t="s">
        <v>38</v>
      </c>
      <c r="D5134" t="s">
        <v>29</v>
      </c>
      <c r="E5134" t="s">
        <v>21</v>
      </c>
      <c r="F5134" t="s">
        <v>18</v>
      </c>
      <c r="G5134" s="1" t="str">
        <f t="shared" si="1111"/>
        <v>X</v>
      </c>
      <c r="H5134" s="1" t="str">
        <f t="shared" si="1111"/>
        <v>X</v>
      </c>
      <c r="I5134" s="1" t="str">
        <f t="shared" si="1111"/>
        <v>X</v>
      </c>
      <c r="J5134" s="1" t="str">
        <f t="shared" si="1111"/>
        <v>X</v>
      </c>
      <c r="K5134" s="1" t="str">
        <f t="shared" si="1111"/>
        <v>X</v>
      </c>
      <c r="L5134" s="1" t="str">
        <f t="shared" si="1111"/>
        <v>X</v>
      </c>
      <c r="M5134" s="1" t="str">
        <f t="shared" si="1111"/>
        <v>X</v>
      </c>
      <c r="N5134" t="s">
        <v>27</v>
      </c>
    </row>
    <row r="5135" spans="1:14" x14ac:dyDescent="0.25">
      <c r="A5135" t="s">
        <v>41</v>
      </c>
      <c r="B5135" t="s">
        <v>40</v>
      </c>
      <c r="C5135" t="s">
        <v>38</v>
      </c>
      <c r="D5135" t="s">
        <v>29</v>
      </c>
      <c r="E5135" t="s">
        <v>21</v>
      </c>
      <c r="F5135" t="s">
        <v>19</v>
      </c>
      <c r="G5135" s="1" t="str">
        <f t="shared" si="1111"/>
        <v>X</v>
      </c>
      <c r="H5135" s="1" t="str">
        <f t="shared" si="1111"/>
        <v>X</v>
      </c>
      <c r="I5135" s="1" t="str">
        <f t="shared" si="1111"/>
        <v>X</v>
      </c>
      <c r="J5135" s="1" t="str">
        <f t="shared" si="1111"/>
        <v>X</v>
      </c>
      <c r="K5135" s="1" t="str">
        <f t="shared" si="1111"/>
        <v>X</v>
      </c>
      <c r="L5135" s="1" t="str">
        <f t="shared" si="1111"/>
        <v>X</v>
      </c>
      <c r="M5135" s="1" t="str">
        <f t="shared" si="1111"/>
        <v>X</v>
      </c>
      <c r="N5135" t="s">
        <v>27</v>
      </c>
    </row>
    <row r="5136" spans="1:14" x14ac:dyDescent="0.25">
      <c r="A5136" t="s">
        <v>41</v>
      </c>
      <c r="B5136" t="s">
        <v>40</v>
      </c>
      <c r="C5136" t="s">
        <v>38</v>
      </c>
      <c r="D5136" t="s">
        <v>29</v>
      </c>
      <c r="E5136" t="s">
        <v>21</v>
      </c>
      <c r="F5136" t="s">
        <v>20</v>
      </c>
      <c r="G5136" s="1" t="str">
        <f t="shared" si="1111"/>
        <v>X</v>
      </c>
      <c r="H5136" s="1" t="str">
        <f t="shared" si="1111"/>
        <v>X</v>
      </c>
      <c r="I5136" s="1" t="str">
        <f t="shared" si="1111"/>
        <v>X</v>
      </c>
      <c r="J5136" s="1" t="str">
        <f t="shared" si="1111"/>
        <v>X</v>
      </c>
      <c r="K5136" s="1" t="str">
        <f t="shared" si="1111"/>
        <v>X</v>
      </c>
      <c r="L5136" s="1" t="str">
        <f t="shared" si="1111"/>
        <v>X</v>
      </c>
      <c r="M5136" s="1" t="str">
        <f t="shared" si="1111"/>
        <v>X</v>
      </c>
      <c r="N5136" t="s">
        <v>27</v>
      </c>
    </row>
    <row r="5137" spans="1:14" x14ac:dyDescent="0.25">
      <c r="A5137" t="s">
        <v>41</v>
      </c>
      <c r="B5137" t="s">
        <v>40</v>
      </c>
      <c r="C5137" t="s">
        <v>38</v>
      </c>
      <c r="D5137" t="s">
        <v>29</v>
      </c>
      <c r="E5137" t="s">
        <v>22</v>
      </c>
      <c r="F5137" t="s">
        <v>15</v>
      </c>
      <c r="G5137" s="2">
        <f>VALUE(322.4476031082)</f>
        <v>322.44760310819998</v>
      </c>
      <c r="H5137" s="3">
        <f>VALUE(256.3760301904)</f>
        <v>256.3760301904</v>
      </c>
      <c r="I5137" s="4">
        <f>VALUE(3294)</f>
        <v>3294</v>
      </c>
      <c r="J5137" s="5">
        <f>VALUE(3939)</f>
        <v>3939</v>
      </c>
      <c r="K5137" s="6">
        <f>VALUE(5293)</f>
        <v>5293</v>
      </c>
      <c r="L5137" s="7">
        <f>VALUE(5985)</f>
        <v>5985</v>
      </c>
      <c r="M5137" s="1">
        <f>VALUE(7504)</f>
        <v>7504</v>
      </c>
      <c r="N5137" t="s">
        <v>25</v>
      </c>
    </row>
    <row r="5138" spans="1:14" x14ac:dyDescent="0.25">
      <c r="A5138" t="s">
        <v>41</v>
      </c>
      <c r="B5138" t="s">
        <v>40</v>
      </c>
      <c r="C5138" t="s">
        <v>38</v>
      </c>
      <c r="D5138" t="s">
        <v>29</v>
      </c>
      <c r="E5138" t="s">
        <v>22</v>
      </c>
      <c r="F5138" t="s">
        <v>17</v>
      </c>
      <c r="G5138" s="1" t="str">
        <f t="shared" ref="G5138:M5140" si="1112">"X"</f>
        <v>X</v>
      </c>
      <c r="H5138" s="1" t="str">
        <f t="shared" si="1112"/>
        <v>X</v>
      </c>
      <c r="I5138" s="1" t="str">
        <f t="shared" si="1112"/>
        <v>X</v>
      </c>
      <c r="J5138" s="1" t="str">
        <f t="shared" si="1112"/>
        <v>X</v>
      </c>
      <c r="K5138" s="1" t="str">
        <f t="shared" si="1112"/>
        <v>X</v>
      </c>
      <c r="L5138" s="1" t="str">
        <f t="shared" si="1112"/>
        <v>X</v>
      </c>
      <c r="M5138" s="1" t="str">
        <f t="shared" si="1112"/>
        <v>X</v>
      </c>
      <c r="N5138" t="s">
        <v>27</v>
      </c>
    </row>
    <row r="5139" spans="1:14" x14ac:dyDescent="0.25">
      <c r="A5139" t="s">
        <v>41</v>
      </c>
      <c r="B5139" t="s">
        <v>40</v>
      </c>
      <c r="C5139" t="s">
        <v>38</v>
      </c>
      <c r="D5139" t="s">
        <v>29</v>
      </c>
      <c r="E5139" t="s">
        <v>22</v>
      </c>
      <c r="F5139" t="s">
        <v>18</v>
      </c>
      <c r="G5139" s="1" t="str">
        <f t="shared" si="1112"/>
        <v>X</v>
      </c>
      <c r="H5139" s="1" t="str">
        <f t="shared" si="1112"/>
        <v>X</v>
      </c>
      <c r="I5139" s="1" t="str">
        <f t="shared" si="1112"/>
        <v>X</v>
      </c>
      <c r="J5139" s="1" t="str">
        <f t="shared" si="1112"/>
        <v>X</v>
      </c>
      <c r="K5139" s="1" t="str">
        <f t="shared" si="1112"/>
        <v>X</v>
      </c>
      <c r="L5139" s="1" t="str">
        <f t="shared" si="1112"/>
        <v>X</v>
      </c>
      <c r="M5139" s="1" t="str">
        <f t="shared" si="1112"/>
        <v>X</v>
      </c>
      <c r="N5139" t="s">
        <v>27</v>
      </c>
    </row>
    <row r="5140" spans="1:14" x14ac:dyDescent="0.25">
      <c r="A5140" t="s">
        <v>41</v>
      </c>
      <c r="B5140" t="s">
        <v>40</v>
      </c>
      <c r="C5140" t="s">
        <v>38</v>
      </c>
      <c r="D5140" t="s">
        <v>29</v>
      </c>
      <c r="E5140" t="s">
        <v>22</v>
      </c>
      <c r="F5140" t="s">
        <v>19</v>
      </c>
      <c r="G5140" s="1" t="str">
        <f t="shared" si="1112"/>
        <v>X</v>
      </c>
      <c r="H5140" s="1" t="str">
        <f t="shared" si="1112"/>
        <v>X</v>
      </c>
      <c r="I5140" s="1" t="str">
        <f t="shared" si="1112"/>
        <v>X</v>
      </c>
      <c r="J5140" s="1" t="str">
        <f t="shared" si="1112"/>
        <v>X</v>
      </c>
      <c r="K5140" s="1" t="str">
        <f t="shared" si="1112"/>
        <v>X</v>
      </c>
      <c r="L5140" s="1" t="str">
        <f t="shared" si="1112"/>
        <v>X</v>
      </c>
      <c r="M5140" s="1" t="str">
        <f t="shared" si="1112"/>
        <v>X</v>
      </c>
      <c r="N5140" t="s">
        <v>27</v>
      </c>
    </row>
    <row r="5141" spans="1:14" x14ac:dyDescent="0.25">
      <c r="A5141" t="s">
        <v>41</v>
      </c>
      <c r="B5141" t="s">
        <v>40</v>
      </c>
      <c r="C5141" t="s">
        <v>38</v>
      </c>
      <c r="D5141" t="s">
        <v>29</v>
      </c>
      <c r="E5141" t="s">
        <v>22</v>
      </c>
      <c r="F5141" t="s">
        <v>20</v>
      </c>
      <c r="G5141" s="2">
        <f>VALUE(202.4301316654)</f>
        <v>202.43013166540001</v>
      </c>
      <c r="H5141" s="3">
        <f>VALUE(154.5874053191)</f>
        <v>154.58740531909999</v>
      </c>
      <c r="I5141" s="1">
        <f>VALUE(3805)</f>
        <v>3805</v>
      </c>
      <c r="J5141" s="1">
        <f>VALUE(4142)</f>
        <v>4142</v>
      </c>
      <c r="K5141" s="1">
        <f>VALUE(5357)</f>
        <v>5357</v>
      </c>
      <c r="L5141" s="1">
        <f>VALUE(5720)</f>
        <v>5720</v>
      </c>
      <c r="M5141" s="1">
        <f>VALUE(7392)</f>
        <v>7392</v>
      </c>
      <c r="N5141" t="s">
        <v>25</v>
      </c>
    </row>
    <row r="5142" spans="1:14" x14ac:dyDescent="0.25">
      <c r="A5142" t="s">
        <v>41</v>
      </c>
      <c r="B5142" t="s">
        <v>40</v>
      </c>
      <c r="C5142" t="s">
        <v>38</v>
      </c>
      <c r="D5142" t="s">
        <v>29</v>
      </c>
      <c r="E5142" t="s">
        <v>23</v>
      </c>
      <c r="F5142" t="s">
        <v>15</v>
      </c>
      <c r="G5142" s="2">
        <f>VALUE(1194.5850833817)</f>
        <v>1194.5850833817001</v>
      </c>
      <c r="H5142" s="3">
        <f>VALUE(831.3254875972)</f>
        <v>831.32548759719998</v>
      </c>
      <c r="I5142" s="4">
        <f>VALUE(2960)</f>
        <v>2960</v>
      </c>
      <c r="J5142" s="1">
        <f>VALUE(3434)</f>
        <v>3434</v>
      </c>
      <c r="K5142" s="1">
        <f>VALUE(3860)</f>
        <v>3860</v>
      </c>
      <c r="L5142" s="1">
        <f>VALUE(4505)</f>
        <v>4505</v>
      </c>
      <c r="M5142" s="8">
        <f>VALUE(5110)</f>
        <v>5110</v>
      </c>
      <c r="N5142" t="s">
        <v>25</v>
      </c>
    </row>
    <row r="5143" spans="1:14" x14ac:dyDescent="0.25">
      <c r="A5143" t="s">
        <v>41</v>
      </c>
      <c r="B5143" t="s">
        <v>40</v>
      </c>
      <c r="C5143" t="s">
        <v>38</v>
      </c>
      <c r="D5143" t="s">
        <v>29</v>
      </c>
      <c r="E5143" t="s">
        <v>23</v>
      </c>
      <c r="F5143" t="s">
        <v>17</v>
      </c>
      <c r="G5143" s="1" t="str">
        <f t="shared" ref="G5143:M5145" si="1113">"X"</f>
        <v>X</v>
      </c>
      <c r="H5143" s="1" t="str">
        <f t="shared" si="1113"/>
        <v>X</v>
      </c>
      <c r="I5143" s="1" t="str">
        <f t="shared" si="1113"/>
        <v>X</v>
      </c>
      <c r="J5143" s="1" t="str">
        <f t="shared" si="1113"/>
        <v>X</v>
      </c>
      <c r="K5143" s="1" t="str">
        <f t="shared" si="1113"/>
        <v>X</v>
      </c>
      <c r="L5143" s="1" t="str">
        <f t="shared" si="1113"/>
        <v>X</v>
      </c>
      <c r="M5143" s="1" t="str">
        <f t="shared" si="1113"/>
        <v>X</v>
      </c>
      <c r="N5143" t="s">
        <v>27</v>
      </c>
    </row>
    <row r="5144" spans="1:14" x14ac:dyDescent="0.25">
      <c r="A5144" t="s">
        <v>41</v>
      </c>
      <c r="B5144" t="s">
        <v>40</v>
      </c>
      <c r="C5144" t="s">
        <v>38</v>
      </c>
      <c r="D5144" t="s">
        <v>29</v>
      </c>
      <c r="E5144" t="s">
        <v>23</v>
      </c>
      <c r="F5144" t="s">
        <v>18</v>
      </c>
      <c r="G5144" s="1" t="str">
        <f t="shared" si="1113"/>
        <v>X</v>
      </c>
      <c r="H5144" s="1" t="str">
        <f t="shared" si="1113"/>
        <v>X</v>
      </c>
      <c r="I5144" s="1" t="str">
        <f t="shared" si="1113"/>
        <v>X</v>
      </c>
      <c r="J5144" s="1" t="str">
        <f t="shared" si="1113"/>
        <v>X</v>
      </c>
      <c r="K5144" s="1" t="str">
        <f t="shared" si="1113"/>
        <v>X</v>
      </c>
      <c r="L5144" s="1" t="str">
        <f t="shared" si="1113"/>
        <v>X</v>
      </c>
      <c r="M5144" s="1" t="str">
        <f t="shared" si="1113"/>
        <v>X</v>
      </c>
      <c r="N5144" t="s">
        <v>27</v>
      </c>
    </row>
    <row r="5145" spans="1:14" x14ac:dyDescent="0.25">
      <c r="A5145" t="s">
        <v>41</v>
      </c>
      <c r="B5145" t="s">
        <v>40</v>
      </c>
      <c r="C5145" t="s">
        <v>38</v>
      </c>
      <c r="D5145" t="s">
        <v>29</v>
      </c>
      <c r="E5145" t="s">
        <v>23</v>
      </c>
      <c r="F5145" t="s">
        <v>19</v>
      </c>
      <c r="G5145" s="1" t="str">
        <f t="shared" si="1113"/>
        <v>X</v>
      </c>
      <c r="H5145" s="1" t="str">
        <f t="shared" si="1113"/>
        <v>X</v>
      </c>
      <c r="I5145" s="1" t="str">
        <f t="shared" si="1113"/>
        <v>X</v>
      </c>
      <c r="J5145" s="1" t="str">
        <f t="shared" si="1113"/>
        <v>X</v>
      </c>
      <c r="K5145" s="1" t="str">
        <f t="shared" si="1113"/>
        <v>X</v>
      </c>
      <c r="L5145" s="1" t="str">
        <f t="shared" si="1113"/>
        <v>X</v>
      </c>
      <c r="M5145" s="1" t="str">
        <f t="shared" si="1113"/>
        <v>X</v>
      </c>
      <c r="N5145" t="s">
        <v>27</v>
      </c>
    </row>
    <row r="5146" spans="1:14" x14ac:dyDescent="0.25">
      <c r="A5146" t="s">
        <v>41</v>
      </c>
      <c r="B5146" t="s">
        <v>40</v>
      </c>
      <c r="C5146" t="s">
        <v>38</v>
      </c>
      <c r="D5146" t="s">
        <v>29</v>
      </c>
      <c r="E5146" t="s">
        <v>23</v>
      </c>
      <c r="F5146" t="s">
        <v>20</v>
      </c>
      <c r="G5146" s="2">
        <f>VALUE(1016.9161109192)</f>
        <v>1016.9161109192</v>
      </c>
      <c r="H5146" s="3">
        <f>VALUE(681.3069771934)</f>
        <v>681.30697719340003</v>
      </c>
      <c r="I5146" s="1">
        <f>VALUE(2912)</f>
        <v>2912</v>
      </c>
      <c r="J5146" s="1">
        <f>VALUE(3400)</f>
        <v>3400</v>
      </c>
      <c r="K5146" s="1">
        <f>VALUE(3836)</f>
        <v>3836</v>
      </c>
      <c r="L5146" s="1">
        <f>VALUE(4485)</f>
        <v>4485</v>
      </c>
      <c r="M5146" s="1">
        <f>VALUE(4880)</f>
        <v>4880</v>
      </c>
      <c r="N5146" t="s">
        <v>25</v>
      </c>
    </row>
    <row r="5147" spans="1:14" x14ac:dyDescent="0.25">
      <c r="A5147" t="s">
        <v>41</v>
      </c>
      <c r="B5147" t="s">
        <v>40</v>
      </c>
      <c r="C5147" t="s">
        <v>38</v>
      </c>
      <c r="D5147" t="s">
        <v>29</v>
      </c>
      <c r="E5147" t="s">
        <v>26</v>
      </c>
      <c r="F5147" t="s">
        <v>15</v>
      </c>
      <c r="G5147" s="1" t="str">
        <f t="shared" ref="G5147:M5148" si="1114">"X"</f>
        <v>X</v>
      </c>
      <c r="H5147" s="1" t="str">
        <f t="shared" si="1114"/>
        <v>X</v>
      </c>
      <c r="I5147" s="1" t="str">
        <f t="shared" si="1114"/>
        <v>X</v>
      </c>
      <c r="J5147" s="1" t="str">
        <f t="shared" si="1114"/>
        <v>X</v>
      </c>
      <c r="K5147" s="1" t="str">
        <f t="shared" si="1114"/>
        <v>X</v>
      </c>
      <c r="L5147" s="1" t="str">
        <f t="shared" si="1114"/>
        <v>X</v>
      </c>
      <c r="M5147" s="1" t="str">
        <f t="shared" si="1114"/>
        <v>X</v>
      </c>
      <c r="N5147" t="s">
        <v>27</v>
      </c>
    </row>
    <row r="5148" spans="1:14" x14ac:dyDescent="0.25">
      <c r="A5148" t="s">
        <v>41</v>
      </c>
      <c r="B5148" t="s">
        <v>40</v>
      </c>
      <c r="C5148" t="s">
        <v>38</v>
      </c>
      <c r="D5148" t="s">
        <v>29</v>
      </c>
      <c r="E5148" t="s">
        <v>26</v>
      </c>
      <c r="F5148" t="s">
        <v>17</v>
      </c>
      <c r="G5148" s="1" t="str">
        <f t="shared" si="1114"/>
        <v>X</v>
      </c>
      <c r="H5148" s="1" t="str">
        <f t="shared" si="1114"/>
        <v>X</v>
      </c>
      <c r="I5148" s="1" t="str">
        <f t="shared" si="1114"/>
        <v>X</v>
      </c>
      <c r="J5148" s="1" t="str">
        <f t="shared" si="1114"/>
        <v>X</v>
      </c>
      <c r="K5148" s="1" t="str">
        <f t="shared" si="1114"/>
        <v>X</v>
      </c>
      <c r="L5148" s="1" t="str">
        <f t="shared" si="1114"/>
        <v>X</v>
      </c>
      <c r="M5148" s="1" t="str">
        <f t="shared" si="1114"/>
        <v>X</v>
      </c>
      <c r="N5148" t="s">
        <v>27</v>
      </c>
    </row>
    <row r="5149" spans="1:14" x14ac:dyDescent="0.25">
      <c r="A5149" t="s">
        <v>41</v>
      </c>
      <c r="B5149" t="s">
        <v>40</v>
      </c>
      <c r="C5149" t="s">
        <v>38</v>
      </c>
      <c r="D5149" t="s">
        <v>29</v>
      </c>
      <c r="E5149" t="s">
        <v>26</v>
      </c>
      <c r="F5149" t="s">
        <v>18</v>
      </c>
      <c r="G5149" s="1" t="str">
        <f t="shared" ref="G5149:M5150" si="1115">"..."</f>
        <v>...</v>
      </c>
      <c r="H5149" s="1" t="str">
        <f t="shared" si="1115"/>
        <v>...</v>
      </c>
      <c r="I5149" s="1" t="str">
        <f t="shared" si="1115"/>
        <v>...</v>
      </c>
      <c r="J5149" s="1" t="str">
        <f t="shared" si="1115"/>
        <v>...</v>
      </c>
      <c r="K5149" s="1" t="str">
        <f t="shared" si="1115"/>
        <v>...</v>
      </c>
      <c r="L5149" s="1" t="str">
        <f t="shared" si="1115"/>
        <v>...</v>
      </c>
      <c r="M5149" s="1" t="str">
        <f t="shared" si="1115"/>
        <v>...</v>
      </c>
      <c r="N5149" t="s">
        <v>30</v>
      </c>
    </row>
    <row r="5150" spans="1:14" x14ac:dyDescent="0.25">
      <c r="A5150" t="s">
        <v>41</v>
      </c>
      <c r="B5150" t="s">
        <v>40</v>
      </c>
      <c r="C5150" t="s">
        <v>38</v>
      </c>
      <c r="D5150" t="s">
        <v>29</v>
      </c>
      <c r="E5150" t="s">
        <v>26</v>
      </c>
      <c r="F5150" t="s">
        <v>19</v>
      </c>
      <c r="G5150" s="1" t="str">
        <f t="shared" si="1115"/>
        <v>...</v>
      </c>
      <c r="H5150" s="1" t="str">
        <f t="shared" si="1115"/>
        <v>...</v>
      </c>
      <c r="I5150" s="1" t="str">
        <f t="shared" si="1115"/>
        <v>...</v>
      </c>
      <c r="J5150" s="1" t="str">
        <f t="shared" si="1115"/>
        <v>...</v>
      </c>
      <c r="K5150" s="1" t="str">
        <f t="shared" si="1115"/>
        <v>...</v>
      </c>
      <c r="L5150" s="1" t="str">
        <f t="shared" si="1115"/>
        <v>...</v>
      </c>
      <c r="M5150" s="1" t="str">
        <f t="shared" si="1115"/>
        <v>...</v>
      </c>
      <c r="N5150" t="s">
        <v>30</v>
      </c>
    </row>
    <row r="5151" spans="1:14" x14ac:dyDescent="0.25">
      <c r="A5151" t="s">
        <v>41</v>
      </c>
      <c r="B5151" t="s">
        <v>40</v>
      </c>
      <c r="C5151" t="s">
        <v>38</v>
      </c>
      <c r="D5151" t="s">
        <v>29</v>
      </c>
      <c r="E5151" t="s">
        <v>26</v>
      </c>
      <c r="F5151" t="s">
        <v>20</v>
      </c>
      <c r="G5151" s="1" t="str">
        <f t="shared" ref="G5151:M5151" si="1116">"X"</f>
        <v>X</v>
      </c>
      <c r="H5151" s="1" t="str">
        <f t="shared" si="1116"/>
        <v>X</v>
      </c>
      <c r="I5151" s="1" t="str">
        <f t="shared" si="1116"/>
        <v>X</v>
      </c>
      <c r="J5151" s="1" t="str">
        <f t="shared" si="1116"/>
        <v>X</v>
      </c>
      <c r="K5151" s="1" t="str">
        <f t="shared" si="1116"/>
        <v>X</v>
      </c>
      <c r="L5151" s="1" t="str">
        <f t="shared" si="1116"/>
        <v>X</v>
      </c>
      <c r="M5151" s="1" t="str">
        <f t="shared" si="1116"/>
        <v>X</v>
      </c>
      <c r="N5151" t="s">
        <v>27</v>
      </c>
    </row>
    <row r="5152" spans="1:14" x14ac:dyDescent="0.25">
      <c r="A5152" t="s">
        <v>41</v>
      </c>
      <c r="B5152" t="s">
        <v>40</v>
      </c>
      <c r="C5152" t="s">
        <v>38</v>
      </c>
      <c r="D5152" t="s">
        <v>31</v>
      </c>
      <c r="E5152" t="s">
        <v>15</v>
      </c>
      <c r="F5152" t="s">
        <v>15</v>
      </c>
      <c r="G5152" s="2">
        <f>VALUE(208.6417538816)</f>
        <v>208.64175388160001</v>
      </c>
      <c r="H5152" s="3">
        <f>VALUE(151.4710369889)</f>
        <v>151.47103698890001</v>
      </c>
      <c r="I5152" s="4">
        <f>VALUE(2931)</f>
        <v>2931</v>
      </c>
      <c r="J5152" s="5">
        <f>VALUE(3825)</f>
        <v>3825</v>
      </c>
      <c r="K5152" s="6">
        <f>VALUE(4232)</f>
        <v>4232</v>
      </c>
      <c r="L5152" s="7">
        <f>VALUE(6059)</f>
        <v>6059</v>
      </c>
      <c r="M5152" s="8">
        <f>VALUE(9837)</f>
        <v>9837</v>
      </c>
      <c r="N5152" t="s">
        <v>24</v>
      </c>
    </row>
    <row r="5153" spans="1:14" x14ac:dyDescent="0.25">
      <c r="A5153" t="s">
        <v>41</v>
      </c>
      <c r="B5153" t="s">
        <v>40</v>
      </c>
      <c r="C5153" t="s">
        <v>38</v>
      </c>
      <c r="D5153" t="s">
        <v>31</v>
      </c>
      <c r="E5153" t="s">
        <v>15</v>
      </c>
      <c r="F5153" t="s">
        <v>17</v>
      </c>
      <c r="G5153" s="1" t="str">
        <f t="shared" ref="G5153:M5162" si="1117">"X"</f>
        <v>X</v>
      </c>
      <c r="H5153" s="1" t="str">
        <f t="shared" si="1117"/>
        <v>X</v>
      </c>
      <c r="I5153" s="1" t="str">
        <f t="shared" si="1117"/>
        <v>X</v>
      </c>
      <c r="J5153" s="1" t="str">
        <f t="shared" si="1117"/>
        <v>X</v>
      </c>
      <c r="K5153" s="1" t="str">
        <f t="shared" si="1117"/>
        <v>X</v>
      </c>
      <c r="L5153" s="1" t="str">
        <f t="shared" si="1117"/>
        <v>X</v>
      </c>
      <c r="M5153" s="1" t="str">
        <f t="shared" si="1117"/>
        <v>X</v>
      </c>
      <c r="N5153" t="s">
        <v>27</v>
      </c>
    </row>
    <row r="5154" spans="1:14" x14ac:dyDescent="0.25">
      <c r="A5154" t="s">
        <v>41</v>
      </c>
      <c r="B5154" t="s">
        <v>40</v>
      </c>
      <c r="C5154" t="s">
        <v>38</v>
      </c>
      <c r="D5154" t="s">
        <v>31</v>
      </c>
      <c r="E5154" t="s">
        <v>15</v>
      </c>
      <c r="F5154" t="s">
        <v>18</v>
      </c>
      <c r="G5154" s="1" t="str">
        <f t="shared" si="1117"/>
        <v>X</v>
      </c>
      <c r="H5154" s="1" t="str">
        <f t="shared" si="1117"/>
        <v>X</v>
      </c>
      <c r="I5154" s="1" t="str">
        <f t="shared" si="1117"/>
        <v>X</v>
      </c>
      <c r="J5154" s="1" t="str">
        <f t="shared" si="1117"/>
        <v>X</v>
      </c>
      <c r="K5154" s="1" t="str">
        <f t="shared" si="1117"/>
        <v>X</v>
      </c>
      <c r="L5154" s="1" t="str">
        <f t="shared" si="1117"/>
        <v>X</v>
      </c>
      <c r="M5154" s="1" t="str">
        <f t="shared" si="1117"/>
        <v>X</v>
      </c>
      <c r="N5154" t="s">
        <v>27</v>
      </c>
    </row>
    <row r="5155" spans="1:14" x14ac:dyDescent="0.25">
      <c r="A5155" t="s">
        <v>41</v>
      </c>
      <c r="B5155" t="s">
        <v>40</v>
      </c>
      <c r="C5155" t="s">
        <v>38</v>
      </c>
      <c r="D5155" t="s">
        <v>31</v>
      </c>
      <c r="E5155" t="s">
        <v>15</v>
      </c>
      <c r="F5155" t="s">
        <v>19</v>
      </c>
      <c r="G5155" s="1" t="str">
        <f t="shared" si="1117"/>
        <v>X</v>
      </c>
      <c r="H5155" s="1" t="str">
        <f t="shared" si="1117"/>
        <v>X</v>
      </c>
      <c r="I5155" s="1" t="str">
        <f t="shared" si="1117"/>
        <v>X</v>
      </c>
      <c r="J5155" s="1" t="str">
        <f t="shared" si="1117"/>
        <v>X</v>
      </c>
      <c r="K5155" s="1" t="str">
        <f t="shared" si="1117"/>
        <v>X</v>
      </c>
      <c r="L5155" s="1" t="str">
        <f t="shared" si="1117"/>
        <v>X</v>
      </c>
      <c r="M5155" s="1" t="str">
        <f t="shared" si="1117"/>
        <v>X</v>
      </c>
      <c r="N5155" t="s">
        <v>27</v>
      </c>
    </row>
    <row r="5156" spans="1:14" x14ac:dyDescent="0.25">
      <c r="A5156" t="s">
        <v>41</v>
      </c>
      <c r="B5156" t="s">
        <v>40</v>
      </c>
      <c r="C5156" t="s">
        <v>38</v>
      </c>
      <c r="D5156" t="s">
        <v>31</v>
      </c>
      <c r="E5156" t="s">
        <v>15</v>
      </c>
      <c r="F5156" t="s">
        <v>20</v>
      </c>
      <c r="G5156" s="1" t="str">
        <f t="shared" si="1117"/>
        <v>X</v>
      </c>
      <c r="H5156" s="1" t="str">
        <f t="shared" si="1117"/>
        <v>X</v>
      </c>
      <c r="I5156" s="1" t="str">
        <f t="shared" si="1117"/>
        <v>X</v>
      </c>
      <c r="J5156" s="1" t="str">
        <f t="shared" si="1117"/>
        <v>X</v>
      </c>
      <c r="K5156" s="1" t="str">
        <f t="shared" si="1117"/>
        <v>X</v>
      </c>
      <c r="L5156" s="1" t="str">
        <f t="shared" si="1117"/>
        <v>X</v>
      </c>
      <c r="M5156" s="1" t="str">
        <f t="shared" si="1117"/>
        <v>X</v>
      </c>
      <c r="N5156" t="s">
        <v>27</v>
      </c>
    </row>
    <row r="5157" spans="1:14" x14ac:dyDescent="0.25">
      <c r="A5157" t="s">
        <v>41</v>
      </c>
      <c r="B5157" t="s">
        <v>40</v>
      </c>
      <c r="C5157" t="s">
        <v>38</v>
      </c>
      <c r="D5157" t="s">
        <v>31</v>
      </c>
      <c r="E5157" t="s">
        <v>21</v>
      </c>
      <c r="F5157" t="s">
        <v>15</v>
      </c>
      <c r="G5157" s="1" t="str">
        <f t="shared" si="1117"/>
        <v>X</v>
      </c>
      <c r="H5157" s="1" t="str">
        <f t="shared" si="1117"/>
        <v>X</v>
      </c>
      <c r="I5157" s="1" t="str">
        <f t="shared" si="1117"/>
        <v>X</v>
      </c>
      <c r="J5157" s="1" t="str">
        <f t="shared" si="1117"/>
        <v>X</v>
      </c>
      <c r="K5157" s="1" t="str">
        <f t="shared" si="1117"/>
        <v>X</v>
      </c>
      <c r="L5157" s="1" t="str">
        <f t="shared" si="1117"/>
        <v>X</v>
      </c>
      <c r="M5157" s="1" t="str">
        <f t="shared" si="1117"/>
        <v>X</v>
      </c>
      <c r="N5157" t="s">
        <v>27</v>
      </c>
    </row>
    <row r="5158" spans="1:14" x14ac:dyDescent="0.25">
      <c r="A5158" t="s">
        <v>41</v>
      </c>
      <c r="B5158" t="s">
        <v>40</v>
      </c>
      <c r="C5158" t="s">
        <v>38</v>
      </c>
      <c r="D5158" t="s">
        <v>31</v>
      </c>
      <c r="E5158" t="s">
        <v>21</v>
      </c>
      <c r="F5158" t="s">
        <v>17</v>
      </c>
      <c r="G5158" s="1" t="str">
        <f t="shared" si="1117"/>
        <v>X</v>
      </c>
      <c r="H5158" s="1" t="str">
        <f t="shared" si="1117"/>
        <v>X</v>
      </c>
      <c r="I5158" s="1" t="str">
        <f t="shared" si="1117"/>
        <v>X</v>
      </c>
      <c r="J5158" s="1" t="str">
        <f t="shared" si="1117"/>
        <v>X</v>
      </c>
      <c r="K5158" s="1" t="str">
        <f t="shared" si="1117"/>
        <v>X</v>
      </c>
      <c r="L5158" s="1" t="str">
        <f t="shared" si="1117"/>
        <v>X</v>
      </c>
      <c r="M5158" s="1" t="str">
        <f t="shared" si="1117"/>
        <v>X</v>
      </c>
      <c r="N5158" t="s">
        <v>27</v>
      </c>
    </row>
    <row r="5159" spans="1:14" x14ac:dyDescent="0.25">
      <c r="A5159" t="s">
        <v>41</v>
      </c>
      <c r="B5159" t="s">
        <v>40</v>
      </c>
      <c r="C5159" t="s">
        <v>38</v>
      </c>
      <c r="D5159" t="s">
        <v>31</v>
      </c>
      <c r="E5159" t="s">
        <v>21</v>
      </c>
      <c r="F5159" t="s">
        <v>18</v>
      </c>
      <c r="G5159" s="1" t="str">
        <f t="shared" si="1117"/>
        <v>X</v>
      </c>
      <c r="H5159" s="1" t="str">
        <f t="shared" si="1117"/>
        <v>X</v>
      </c>
      <c r="I5159" s="1" t="str">
        <f t="shared" si="1117"/>
        <v>X</v>
      </c>
      <c r="J5159" s="1" t="str">
        <f t="shared" si="1117"/>
        <v>X</v>
      </c>
      <c r="K5159" s="1" t="str">
        <f t="shared" si="1117"/>
        <v>X</v>
      </c>
      <c r="L5159" s="1" t="str">
        <f t="shared" si="1117"/>
        <v>X</v>
      </c>
      <c r="M5159" s="1" t="str">
        <f t="shared" si="1117"/>
        <v>X</v>
      </c>
      <c r="N5159" t="s">
        <v>27</v>
      </c>
    </row>
    <row r="5160" spans="1:14" x14ac:dyDescent="0.25">
      <c r="A5160" t="s">
        <v>41</v>
      </c>
      <c r="B5160" t="s">
        <v>40</v>
      </c>
      <c r="C5160" t="s">
        <v>38</v>
      </c>
      <c r="D5160" t="s">
        <v>31</v>
      </c>
      <c r="E5160" t="s">
        <v>21</v>
      </c>
      <c r="F5160" t="s">
        <v>19</v>
      </c>
      <c r="G5160" s="1" t="str">
        <f t="shared" si="1117"/>
        <v>X</v>
      </c>
      <c r="H5160" s="1" t="str">
        <f t="shared" si="1117"/>
        <v>X</v>
      </c>
      <c r="I5160" s="1" t="str">
        <f t="shared" si="1117"/>
        <v>X</v>
      </c>
      <c r="J5160" s="1" t="str">
        <f t="shared" si="1117"/>
        <v>X</v>
      </c>
      <c r="K5160" s="1" t="str">
        <f t="shared" si="1117"/>
        <v>X</v>
      </c>
      <c r="L5160" s="1" t="str">
        <f t="shared" si="1117"/>
        <v>X</v>
      </c>
      <c r="M5160" s="1" t="str">
        <f t="shared" si="1117"/>
        <v>X</v>
      </c>
      <c r="N5160" t="s">
        <v>27</v>
      </c>
    </row>
    <row r="5161" spans="1:14" x14ac:dyDescent="0.25">
      <c r="A5161" t="s">
        <v>41</v>
      </c>
      <c r="B5161" t="s">
        <v>40</v>
      </c>
      <c r="C5161" t="s">
        <v>38</v>
      </c>
      <c r="D5161" t="s">
        <v>31</v>
      </c>
      <c r="E5161" t="s">
        <v>21</v>
      </c>
      <c r="F5161" t="s">
        <v>20</v>
      </c>
      <c r="G5161" s="1" t="str">
        <f t="shared" si="1117"/>
        <v>X</v>
      </c>
      <c r="H5161" s="1" t="str">
        <f t="shared" si="1117"/>
        <v>X</v>
      </c>
      <c r="I5161" s="1" t="str">
        <f t="shared" si="1117"/>
        <v>X</v>
      </c>
      <c r="J5161" s="1" t="str">
        <f t="shared" si="1117"/>
        <v>X</v>
      </c>
      <c r="K5161" s="1" t="str">
        <f t="shared" si="1117"/>
        <v>X</v>
      </c>
      <c r="L5161" s="1" t="str">
        <f t="shared" si="1117"/>
        <v>X</v>
      </c>
      <c r="M5161" s="1" t="str">
        <f t="shared" si="1117"/>
        <v>X</v>
      </c>
      <c r="N5161" t="s">
        <v>27</v>
      </c>
    </row>
    <row r="5162" spans="1:14" x14ac:dyDescent="0.25">
      <c r="A5162" t="s">
        <v>41</v>
      </c>
      <c r="B5162" t="s">
        <v>40</v>
      </c>
      <c r="C5162" t="s">
        <v>38</v>
      </c>
      <c r="D5162" t="s">
        <v>31</v>
      </c>
      <c r="E5162" t="s">
        <v>22</v>
      </c>
      <c r="F5162" t="s">
        <v>15</v>
      </c>
      <c r="G5162" s="1" t="str">
        <f t="shared" si="1117"/>
        <v>X</v>
      </c>
      <c r="H5162" s="1" t="str">
        <f t="shared" si="1117"/>
        <v>X</v>
      </c>
      <c r="I5162" s="1" t="str">
        <f t="shared" si="1117"/>
        <v>X</v>
      </c>
      <c r="J5162" s="1" t="str">
        <f t="shared" si="1117"/>
        <v>X</v>
      </c>
      <c r="K5162" s="1" t="str">
        <f t="shared" si="1117"/>
        <v>X</v>
      </c>
      <c r="L5162" s="1" t="str">
        <f t="shared" si="1117"/>
        <v>X</v>
      </c>
      <c r="M5162" s="1" t="str">
        <f t="shared" si="1117"/>
        <v>X</v>
      </c>
      <c r="N5162" t="s">
        <v>27</v>
      </c>
    </row>
    <row r="5163" spans="1:14" x14ac:dyDescent="0.25">
      <c r="A5163" t="s">
        <v>41</v>
      </c>
      <c r="B5163" t="s">
        <v>40</v>
      </c>
      <c r="C5163" t="s">
        <v>38</v>
      </c>
      <c r="D5163" t="s">
        <v>31</v>
      </c>
      <c r="E5163" t="s">
        <v>22</v>
      </c>
      <c r="F5163" t="s">
        <v>17</v>
      </c>
      <c r="G5163" s="1" t="str">
        <f t="shared" ref="G5163:M5163" si="1118">"..."</f>
        <v>...</v>
      </c>
      <c r="H5163" s="1" t="str">
        <f t="shared" si="1118"/>
        <v>...</v>
      </c>
      <c r="I5163" s="1" t="str">
        <f t="shared" si="1118"/>
        <v>...</v>
      </c>
      <c r="J5163" s="1" t="str">
        <f t="shared" si="1118"/>
        <v>...</v>
      </c>
      <c r="K5163" s="1" t="str">
        <f t="shared" si="1118"/>
        <v>...</v>
      </c>
      <c r="L5163" s="1" t="str">
        <f t="shared" si="1118"/>
        <v>...</v>
      </c>
      <c r="M5163" s="1" t="str">
        <f t="shared" si="1118"/>
        <v>...</v>
      </c>
      <c r="N5163" t="s">
        <v>30</v>
      </c>
    </row>
    <row r="5164" spans="1:14" x14ac:dyDescent="0.25">
      <c r="A5164" t="s">
        <v>41</v>
      </c>
      <c r="B5164" t="s">
        <v>40</v>
      </c>
      <c r="C5164" t="s">
        <v>38</v>
      </c>
      <c r="D5164" t="s">
        <v>31</v>
      </c>
      <c r="E5164" t="s">
        <v>22</v>
      </c>
      <c r="F5164" t="s">
        <v>18</v>
      </c>
      <c r="G5164" s="1" t="str">
        <f t="shared" ref="G5164:M5164" si="1119">"X"</f>
        <v>X</v>
      </c>
      <c r="H5164" s="1" t="str">
        <f t="shared" si="1119"/>
        <v>X</v>
      </c>
      <c r="I5164" s="1" t="str">
        <f t="shared" si="1119"/>
        <v>X</v>
      </c>
      <c r="J5164" s="1" t="str">
        <f t="shared" si="1119"/>
        <v>X</v>
      </c>
      <c r="K5164" s="1" t="str">
        <f t="shared" si="1119"/>
        <v>X</v>
      </c>
      <c r="L5164" s="1" t="str">
        <f t="shared" si="1119"/>
        <v>X</v>
      </c>
      <c r="M5164" s="1" t="str">
        <f t="shared" si="1119"/>
        <v>X</v>
      </c>
      <c r="N5164" t="s">
        <v>27</v>
      </c>
    </row>
    <row r="5165" spans="1:14" x14ac:dyDescent="0.25">
      <c r="A5165" t="s">
        <v>41</v>
      </c>
      <c r="B5165" t="s">
        <v>40</v>
      </c>
      <c r="C5165" t="s">
        <v>38</v>
      </c>
      <c r="D5165" t="s">
        <v>31</v>
      </c>
      <c r="E5165" t="s">
        <v>22</v>
      </c>
      <c r="F5165" t="s">
        <v>19</v>
      </c>
      <c r="G5165" s="1" t="str">
        <f t="shared" ref="G5165:M5165" si="1120">"..."</f>
        <v>...</v>
      </c>
      <c r="H5165" s="1" t="str">
        <f t="shared" si="1120"/>
        <v>...</v>
      </c>
      <c r="I5165" s="1" t="str">
        <f t="shared" si="1120"/>
        <v>...</v>
      </c>
      <c r="J5165" s="1" t="str">
        <f t="shared" si="1120"/>
        <v>...</v>
      </c>
      <c r="K5165" s="1" t="str">
        <f t="shared" si="1120"/>
        <v>...</v>
      </c>
      <c r="L5165" s="1" t="str">
        <f t="shared" si="1120"/>
        <v>...</v>
      </c>
      <c r="M5165" s="1" t="str">
        <f t="shared" si="1120"/>
        <v>...</v>
      </c>
      <c r="N5165" t="s">
        <v>30</v>
      </c>
    </row>
    <row r="5166" spans="1:14" x14ac:dyDescent="0.25">
      <c r="A5166" t="s">
        <v>41</v>
      </c>
      <c r="B5166" t="s">
        <v>40</v>
      </c>
      <c r="C5166" t="s">
        <v>38</v>
      </c>
      <c r="D5166" t="s">
        <v>31</v>
      </c>
      <c r="E5166" t="s">
        <v>22</v>
      </c>
      <c r="F5166" t="s">
        <v>20</v>
      </c>
      <c r="G5166" s="1" t="str">
        <f t="shared" ref="G5166:M5167" si="1121">"X"</f>
        <v>X</v>
      </c>
      <c r="H5166" s="1" t="str">
        <f t="shared" si="1121"/>
        <v>X</v>
      </c>
      <c r="I5166" s="1" t="str">
        <f t="shared" si="1121"/>
        <v>X</v>
      </c>
      <c r="J5166" s="1" t="str">
        <f t="shared" si="1121"/>
        <v>X</v>
      </c>
      <c r="K5166" s="1" t="str">
        <f t="shared" si="1121"/>
        <v>X</v>
      </c>
      <c r="L5166" s="1" t="str">
        <f t="shared" si="1121"/>
        <v>X</v>
      </c>
      <c r="M5166" s="1" t="str">
        <f t="shared" si="1121"/>
        <v>X</v>
      </c>
      <c r="N5166" t="s">
        <v>27</v>
      </c>
    </row>
    <row r="5167" spans="1:14" x14ac:dyDescent="0.25">
      <c r="A5167" t="s">
        <v>41</v>
      </c>
      <c r="B5167" t="s">
        <v>40</v>
      </c>
      <c r="C5167" t="s">
        <v>38</v>
      </c>
      <c r="D5167" t="s">
        <v>31</v>
      </c>
      <c r="E5167" t="s">
        <v>23</v>
      </c>
      <c r="F5167" t="s">
        <v>15</v>
      </c>
      <c r="G5167" s="1" t="str">
        <f t="shared" si="1121"/>
        <v>X</v>
      </c>
      <c r="H5167" s="1" t="str">
        <f t="shared" si="1121"/>
        <v>X</v>
      </c>
      <c r="I5167" s="1" t="str">
        <f t="shared" si="1121"/>
        <v>X</v>
      </c>
      <c r="J5167" s="1" t="str">
        <f t="shared" si="1121"/>
        <v>X</v>
      </c>
      <c r="K5167" s="1" t="str">
        <f t="shared" si="1121"/>
        <v>X</v>
      </c>
      <c r="L5167" s="1" t="str">
        <f t="shared" si="1121"/>
        <v>X</v>
      </c>
      <c r="M5167" s="1" t="str">
        <f t="shared" si="1121"/>
        <v>X</v>
      </c>
      <c r="N5167" t="s">
        <v>27</v>
      </c>
    </row>
    <row r="5168" spans="1:14" x14ac:dyDescent="0.25">
      <c r="A5168" t="s">
        <v>41</v>
      </c>
      <c r="B5168" t="s">
        <v>40</v>
      </c>
      <c r="C5168" t="s">
        <v>38</v>
      </c>
      <c r="D5168" t="s">
        <v>31</v>
      </c>
      <c r="E5168" t="s">
        <v>23</v>
      </c>
      <c r="F5168" t="s">
        <v>17</v>
      </c>
      <c r="G5168" s="1" t="str">
        <f t="shared" ref="G5168:M5168" si="1122">"..."</f>
        <v>...</v>
      </c>
      <c r="H5168" s="1" t="str">
        <f t="shared" si="1122"/>
        <v>...</v>
      </c>
      <c r="I5168" s="1" t="str">
        <f t="shared" si="1122"/>
        <v>...</v>
      </c>
      <c r="J5168" s="1" t="str">
        <f t="shared" si="1122"/>
        <v>...</v>
      </c>
      <c r="K5168" s="1" t="str">
        <f t="shared" si="1122"/>
        <v>...</v>
      </c>
      <c r="L5168" s="1" t="str">
        <f t="shared" si="1122"/>
        <v>...</v>
      </c>
      <c r="M5168" s="1" t="str">
        <f t="shared" si="1122"/>
        <v>...</v>
      </c>
      <c r="N5168" t="s">
        <v>30</v>
      </c>
    </row>
    <row r="5169" spans="1:14" x14ac:dyDescent="0.25">
      <c r="A5169" t="s">
        <v>41</v>
      </c>
      <c r="B5169" t="s">
        <v>40</v>
      </c>
      <c r="C5169" t="s">
        <v>38</v>
      </c>
      <c r="D5169" t="s">
        <v>31</v>
      </c>
      <c r="E5169" t="s">
        <v>23</v>
      </c>
      <c r="F5169" t="s">
        <v>18</v>
      </c>
      <c r="G5169" s="1" t="str">
        <f t="shared" ref="G5169:M5173" si="1123">"X"</f>
        <v>X</v>
      </c>
      <c r="H5169" s="1" t="str">
        <f t="shared" si="1123"/>
        <v>X</v>
      </c>
      <c r="I5169" s="1" t="str">
        <f t="shared" si="1123"/>
        <v>X</v>
      </c>
      <c r="J5169" s="1" t="str">
        <f t="shared" si="1123"/>
        <v>X</v>
      </c>
      <c r="K5169" s="1" t="str">
        <f t="shared" si="1123"/>
        <v>X</v>
      </c>
      <c r="L5169" s="1" t="str">
        <f t="shared" si="1123"/>
        <v>X</v>
      </c>
      <c r="M5169" s="1" t="str">
        <f t="shared" si="1123"/>
        <v>X</v>
      </c>
      <c r="N5169" t="s">
        <v>27</v>
      </c>
    </row>
    <row r="5170" spans="1:14" x14ac:dyDescent="0.25">
      <c r="A5170" t="s">
        <v>41</v>
      </c>
      <c r="B5170" t="s">
        <v>40</v>
      </c>
      <c r="C5170" t="s">
        <v>38</v>
      </c>
      <c r="D5170" t="s">
        <v>31</v>
      </c>
      <c r="E5170" t="s">
        <v>23</v>
      </c>
      <c r="F5170" t="s">
        <v>19</v>
      </c>
      <c r="G5170" s="1" t="str">
        <f t="shared" si="1123"/>
        <v>X</v>
      </c>
      <c r="H5170" s="1" t="str">
        <f t="shared" si="1123"/>
        <v>X</v>
      </c>
      <c r="I5170" s="1" t="str">
        <f t="shared" si="1123"/>
        <v>X</v>
      </c>
      <c r="J5170" s="1" t="str">
        <f t="shared" si="1123"/>
        <v>X</v>
      </c>
      <c r="K5170" s="1" t="str">
        <f t="shared" si="1123"/>
        <v>X</v>
      </c>
      <c r="L5170" s="1" t="str">
        <f t="shared" si="1123"/>
        <v>X</v>
      </c>
      <c r="M5170" s="1" t="str">
        <f t="shared" si="1123"/>
        <v>X</v>
      </c>
      <c r="N5170" t="s">
        <v>27</v>
      </c>
    </row>
    <row r="5171" spans="1:14" x14ac:dyDescent="0.25">
      <c r="A5171" t="s">
        <v>41</v>
      </c>
      <c r="B5171" t="s">
        <v>40</v>
      </c>
      <c r="C5171" t="s">
        <v>38</v>
      </c>
      <c r="D5171" t="s">
        <v>31</v>
      </c>
      <c r="E5171" t="s">
        <v>23</v>
      </c>
      <c r="F5171" t="s">
        <v>20</v>
      </c>
      <c r="G5171" s="1" t="str">
        <f t="shared" si="1123"/>
        <v>X</v>
      </c>
      <c r="H5171" s="1" t="str">
        <f t="shared" si="1123"/>
        <v>X</v>
      </c>
      <c r="I5171" s="1" t="str">
        <f t="shared" si="1123"/>
        <v>X</v>
      </c>
      <c r="J5171" s="1" t="str">
        <f t="shared" si="1123"/>
        <v>X</v>
      </c>
      <c r="K5171" s="1" t="str">
        <f t="shared" si="1123"/>
        <v>X</v>
      </c>
      <c r="L5171" s="1" t="str">
        <f t="shared" si="1123"/>
        <v>X</v>
      </c>
      <c r="M5171" s="1" t="str">
        <f t="shared" si="1123"/>
        <v>X</v>
      </c>
      <c r="N5171" t="s">
        <v>27</v>
      </c>
    </row>
    <row r="5172" spans="1:14" x14ac:dyDescent="0.25">
      <c r="A5172" t="s">
        <v>41</v>
      </c>
      <c r="B5172" t="s">
        <v>40</v>
      </c>
      <c r="C5172" t="s">
        <v>38</v>
      </c>
      <c r="D5172" t="s">
        <v>31</v>
      </c>
      <c r="E5172" t="s">
        <v>26</v>
      </c>
      <c r="F5172" t="s">
        <v>15</v>
      </c>
      <c r="G5172" s="1" t="str">
        <f t="shared" si="1123"/>
        <v>X</v>
      </c>
      <c r="H5172" s="1" t="str">
        <f t="shared" si="1123"/>
        <v>X</v>
      </c>
      <c r="I5172" s="1" t="str">
        <f t="shared" si="1123"/>
        <v>X</v>
      </c>
      <c r="J5172" s="1" t="str">
        <f t="shared" si="1123"/>
        <v>X</v>
      </c>
      <c r="K5172" s="1" t="str">
        <f t="shared" si="1123"/>
        <v>X</v>
      </c>
      <c r="L5172" s="1" t="str">
        <f t="shared" si="1123"/>
        <v>X</v>
      </c>
      <c r="M5172" s="1" t="str">
        <f t="shared" si="1123"/>
        <v>X</v>
      </c>
      <c r="N5172" t="s">
        <v>27</v>
      </c>
    </row>
    <row r="5173" spans="1:14" x14ac:dyDescent="0.25">
      <c r="A5173" t="s">
        <v>41</v>
      </c>
      <c r="B5173" t="s">
        <v>40</v>
      </c>
      <c r="C5173" t="s">
        <v>38</v>
      </c>
      <c r="D5173" t="s">
        <v>31</v>
      </c>
      <c r="E5173" t="s">
        <v>26</v>
      </c>
      <c r="F5173" t="s">
        <v>17</v>
      </c>
      <c r="G5173" s="1" t="str">
        <f t="shared" si="1123"/>
        <v>X</v>
      </c>
      <c r="H5173" s="1" t="str">
        <f t="shared" si="1123"/>
        <v>X</v>
      </c>
      <c r="I5173" s="1" t="str">
        <f t="shared" si="1123"/>
        <v>X</v>
      </c>
      <c r="J5173" s="1" t="str">
        <f t="shared" si="1123"/>
        <v>X</v>
      </c>
      <c r="K5173" s="1" t="str">
        <f t="shared" si="1123"/>
        <v>X</v>
      </c>
      <c r="L5173" s="1" t="str">
        <f t="shared" si="1123"/>
        <v>X</v>
      </c>
      <c r="M5173" s="1" t="str">
        <f t="shared" si="1123"/>
        <v>X</v>
      </c>
      <c r="N5173" t="s">
        <v>27</v>
      </c>
    </row>
    <row r="5174" spans="1:14" x14ac:dyDescent="0.25">
      <c r="A5174" t="s">
        <v>41</v>
      </c>
      <c r="B5174" t="s">
        <v>40</v>
      </c>
      <c r="C5174" t="s">
        <v>38</v>
      </c>
      <c r="D5174" t="s">
        <v>31</v>
      </c>
      <c r="E5174" t="s">
        <v>26</v>
      </c>
      <c r="F5174" t="s">
        <v>18</v>
      </c>
      <c r="G5174" s="1" t="str">
        <f t="shared" ref="G5174:M5176" si="1124">"..."</f>
        <v>...</v>
      </c>
      <c r="H5174" s="1" t="str">
        <f t="shared" si="1124"/>
        <v>...</v>
      </c>
      <c r="I5174" s="1" t="str">
        <f t="shared" si="1124"/>
        <v>...</v>
      </c>
      <c r="J5174" s="1" t="str">
        <f t="shared" si="1124"/>
        <v>...</v>
      </c>
      <c r="K5174" s="1" t="str">
        <f t="shared" si="1124"/>
        <v>...</v>
      </c>
      <c r="L5174" s="1" t="str">
        <f t="shared" si="1124"/>
        <v>...</v>
      </c>
      <c r="M5174" s="1" t="str">
        <f t="shared" si="1124"/>
        <v>...</v>
      </c>
      <c r="N5174" t="s">
        <v>30</v>
      </c>
    </row>
    <row r="5175" spans="1:14" x14ac:dyDescent="0.25">
      <c r="A5175" t="s">
        <v>41</v>
      </c>
      <c r="B5175" t="s">
        <v>40</v>
      </c>
      <c r="C5175" t="s">
        <v>38</v>
      </c>
      <c r="D5175" t="s">
        <v>31</v>
      </c>
      <c r="E5175" t="s">
        <v>26</v>
      </c>
      <c r="F5175" t="s">
        <v>19</v>
      </c>
      <c r="G5175" s="1" t="str">
        <f t="shared" si="1124"/>
        <v>...</v>
      </c>
      <c r="H5175" s="1" t="str">
        <f t="shared" si="1124"/>
        <v>...</v>
      </c>
      <c r="I5175" s="1" t="str">
        <f t="shared" si="1124"/>
        <v>...</v>
      </c>
      <c r="J5175" s="1" t="str">
        <f t="shared" si="1124"/>
        <v>...</v>
      </c>
      <c r="K5175" s="1" t="str">
        <f t="shared" si="1124"/>
        <v>...</v>
      </c>
      <c r="L5175" s="1" t="str">
        <f t="shared" si="1124"/>
        <v>...</v>
      </c>
      <c r="M5175" s="1" t="str">
        <f t="shared" si="1124"/>
        <v>...</v>
      </c>
      <c r="N5175" t="s">
        <v>30</v>
      </c>
    </row>
    <row r="5176" spans="1:14" x14ac:dyDescent="0.25">
      <c r="A5176" t="s">
        <v>41</v>
      </c>
      <c r="B5176" t="s">
        <v>40</v>
      </c>
      <c r="C5176" t="s">
        <v>38</v>
      </c>
      <c r="D5176" t="s">
        <v>31</v>
      </c>
      <c r="E5176" t="s">
        <v>26</v>
      </c>
      <c r="F5176" t="s">
        <v>20</v>
      </c>
      <c r="G5176" s="1" t="str">
        <f t="shared" si="1124"/>
        <v>...</v>
      </c>
      <c r="H5176" s="1" t="str">
        <f t="shared" si="1124"/>
        <v>...</v>
      </c>
      <c r="I5176" s="1" t="str">
        <f t="shared" si="1124"/>
        <v>...</v>
      </c>
      <c r="J5176" s="1" t="str">
        <f t="shared" si="1124"/>
        <v>...</v>
      </c>
      <c r="K5176" s="1" t="str">
        <f t="shared" si="1124"/>
        <v>...</v>
      </c>
      <c r="L5176" s="1" t="str">
        <f t="shared" si="1124"/>
        <v>...</v>
      </c>
      <c r="M5176" s="1" t="str">
        <f t="shared" si="1124"/>
        <v>...</v>
      </c>
      <c r="N5176" t="s">
        <v>30</v>
      </c>
    </row>
    <row r="5177" spans="1:14" x14ac:dyDescent="0.25">
      <c r="A5177" t="s">
        <v>41</v>
      </c>
      <c r="B5177" t="s">
        <v>40</v>
      </c>
      <c r="C5177" t="s">
        <v>38</v>
      </c>
      <c r="D5177" t="s">
        <v>32</v>
      </c>
      <c r="E5177" t="s">
        <v>15</v>
      </c>
      <c r="F5177" t="s">
        <v>15</v>
      </c>
      <c r="G5177" s="1">
        <f>VALUE(2423.9975713644)</f>
        <v>2423.9975713643998</v>
      </c>
      <c r="H5177" s="1">
        <f>VALUE(2063.1138886219)</f>
        <v>2063.1138886219001</v>
      </c>
      <c r="I5177" s="1">
        <f>VALUE(2495)</f>
        <v>2495</v>
      </c>
      <c r="J5177" s="1">
        <f>VALUE(2775)</f>
        <v>2775</v>
      </c>
      <c r="K5177" s="1">
        <f>VALUE(3492)</f>
        <v>3492</v>
      </c>
      <c r="L5177" s="1">
        <f>VALUE(4793)</f>
        <v>4793</v>
      </c>
      <c r="M5177" s="1">
        <f>VALUE(6719)</f>
        <v>6719</v>
      </c>
      <c r="N5177" t="s">
        <v>16</v>
      </c>
    </row>
    <row r="5178" spans="1:14" x14ac:dyDescent="0.25">
      <c r="A5178" t="s">
        <v>41</v>
      </c>
      <c r="B5178" t="s">
        <v>40</v>
      </c>
      <c r="C5178" t="s">
        <v>38</v>
      </c>
      <c r="D5178" t="s">
        <v>32</v>
      </c>
      <c r="E5178" t="s">
        <v>15</v>
      </c>
      <c r="F5178" t="s">
        <v>17</v>
      </c>
      <c r="G5178" s="2">
        <f>VALUE(144.9987291976)</f>
        <v>144.9987291976</v>
      </c>
      <c r="H5178" s="3">
        <f>VALUE(122.4521238159)</f>
        <v>122.45212381589999</v>
      </c>
      <c r="I5178" s="4">
        <f>VALUE(4566)</f>
        <v>4566</v>
      </c>
      <c r="J5178" s="1">
        <f>VALUE(4957)</f>
        <v>4957</v>
      </c>
      <c r="K5178" s="6">
        <f>VALUE(5956)</f>
        <v>5956</v>
      </c>
      <c r="L5178" s="1">
        <f>VALUE(7741)</f>
        <v>7741</v>
      </c>
      <c r="M5178" s="8">
        <f>VALUE(10113)</f>
        <v>10113</v>
      </c>
      <c r="N5178" t="s">
        <v>25</v>
      </c>
    </row>
    <row r="5179" spans="1:14" x14ac:dyDescent="0.25">
      <c r="A5179" t="s">
        <v>41</v>
      </c>
      <c r="B5179" t="s">
        <v>40</v>
      </c>
      <c r="C5179" t="s">
        <v>38</v>
      </c>
      <c r="D5179" t="s">
        <v>32</v>
      </c>
      <c r="E5179" t="s">
        <v>15</v>
      </c>
      <c r="F5179" t="s">
        <v>18</v>
      </c>
      <c r="G5179" s="2">
        <f>VALUE(219.6003812854)</f>
        <v>219.6003812854</v>
      </c>
      <c r="H5179" s="3">
        <f>VALUE(186.9130481311)</f>
        <v>186.9130481311</v>
      </c>
      <c r="I5179" s="4">
        <f>VALUE(2419)</f>
        <v>2419</v>
      </c>
      <c r="J5179" s="5">
        <f>VALUE(3252)</f>
        <v>3252</v>
      </c>
      <c r="K5179" s="6">
        <f>VALUE(5474)</f>
        <v>5474</v>
      </c>
      <c r="L5179" s="1">
        <f>VALUE(7420)</f>
        <v>7420</v>
      </c>
      <c r="M5179" s="1">
        <f>VALUE(8236)</f>
        <v>8236</v>
      </c>
      <c r="N5179" t="s">
        <v>25</v>
      </c>
    </row>
    <row r="5180" spans="1:14" x14ac:dyDescent="0.25">
      <c r="A5180" t="s">
        <v>41</v>
      </c>
      <c r="B5180" t="s">
        <v>40</v>
      </c>
      <c r="C5180" t="s">
        <v>38</v>
      </c>
      <c r="D5180" t="s">
        <v>32</v>
      </c>
      <c r="E5180" t="s">
        <v>15</v>
      </c>
      <c r="F5180" t="s">
        <v>19</v>
      </c>
      <c r="G5180" s="2">
        <f>VALUE(195.6074563065)</f>
        <v>195.60745630650001</v>
      </c>
      <c r="H5180" s="3">
        <f>VALUE(163.6811141454)</f>
        <v>163.68111414539999</v>
      </c>
      <c r="I5180" s="1">
        <f>VALUE(3034)</f>
        <v>3034</v>
      </c>
      <c r="J5180" s="1">
        <f>VALUE(3705)</f>
        <v>3705</v>
      </c>
      <c r="K5180" s="1">
        <f>VALUE(4260)</f>
        <v>4260</v>
      </c>
      <c r="L5180" s="7">
        <f>VALUE(5960)</f>
        <v>5960</v>
      </c>
      <c r="M5180" s="1">
        <f>VALUE(9100)</f>
        <v>9100</v>
      </c>
      <c r="N5180" t="s">
        <v>25</v>
      </c>
    </row>
    <row r="5181" spans="1:14" x14ac:dyDescent="0.25">
      <c r="A5181" t="s">
        <v>41</v>
      </c>
      <c r="B5181" t="s">
        <v>40</v>
      </c>
      <c r="C5181" t="s">
        <v>38</v>
      </c>
      <c r="D5181" t="s">
        <v>32</v>
      </c>
      <c r="E5181" t="s">
        <v>15</v>
      </c>
      <c r="F5181" t="s">
        <v>20</v>
      </c>
      <c r="G5181" s="1">
        <f>VALUE(1863.7910045749)</f>
        <v>1863.7910045748999</v>
      </c>
      <c r="H5181" s="1">
        <f>VALUE(1590.0676025295)</f>
        <v>1590.0676025294999</v>
      </c>
      <c r="I5181" s="1">
        <f>VALUE(2474)</f>
        <v>2474</v>
      </c>
      <c r="J5181" s="1">
        <f>VALUE(2717)</f>
        <v>2717</v>
      </c>
      <c r="K5181" s="1">
        <f>VALUE(3155)</f>
        <v>3155</v>
      </c>
      <c r="L5181" s="1">
        <f>VALUE(4093)</f>
        <v>4093</v>
      </c>
      <c r="M5181" s="1">
        <f>VALUE(5388)</f>
        <v>5388</v>
      </c>
      <c r="N5181" t="s">
        <v>16</v>
      </c>
    </row>
    <row r="5182" spans="1:14" x14ac:dyDescent="0.25">
      <c r="A5182" t="s">
        <v>41</v>
      </c>
      <c r="B5182" t="s">
        <v>40</v>
      </c>
      <c r="C5182" t="s">
        <v>38</v>
      </c>
      <c r="D5182" t="s">
        <v>32</v>
      </c>
      <c r="E5182" t="s">
        <v>21</v>
      </c>
      <c r="F5182" t="s">
        <v>15</v>
      </c>
      <c r="G5182" s="2">
        <f>VALUE(238.5640423239)</f>
        <v>238.5640423239</v>
      </c>
      <c r="H5182" s="3">
        <f>VALUE(212.9218944474)</f>
        <v>212.92189444740001</v>
      </c>
      <c r="I5182" s="4">
        <f>VALUE(2720)</f>
        <v>2720</v>
      </c>
      <c r="J5182" s="1">
        <f>VALUE(4334)</f>
        <v>4334</v>
      </c>
      <c r="K5182" s="6">
        <f>VALUE(5956)</f>
        <v>5956</v>
      </c>
      <c r="L5182" s="1">
        <f>VALUE(7742)</f>
        <v>7742</v>
      </c>
      <c r="M5182" s="1">
        <f>VALUE(9560)</f>
        <v>9560</v>
      </c>
      <c r="N5182" t="s">
        <v>25</v>
      </c>
    </row>
    <row r="5183" spans="1:14" x14ac:dyDescent="0.25">
      <c r="A5183" t="s">
        <v>41</v>
      </c>
      <c r="B5183" t="s">
        <v>40</v>
      </c>
      <c r="C5183" t="s">
        <v>38</v>
      </c>
      <c r="D5183" t="s">
        <v>32</v>
      </c>
      <c r="E5183" t="s">
        <v>21</v>
      </c>
      <c r="F5183" t="s">
        <v>17</v>
      </c>
      <c r="G5183" s="1" t="str">
        <f t="shared" ref="G5183:M5186" si="1125">"X"</f>
        <v>X</v>
      </c>
      <c r="H5183" s="1" t="str">
        <f t="shared" si="1125"/>
        <v>X</v>
      </c>
      <c r="I5183" s="1" t="str">
        <f t="shared" si="1125"/>
        <v>X</v>
      </c>
      <c r="J5183" s="1" t="str">
        <f t="shared" si="1125"/>
        <v>X</v>
      </c>
      <c r="K5183" s="1" t="str">
        <f t="shared" si="1125"/>
        <v>X</v>
      </c>
      <c r="L5183" s="1" t="str">
        <f t="shared" si="1125"/>
        <v>X</v>
      </c>
      <c r="M5183" s="1" t="str">
        <f t="shared" si="1125"/>
        <v>X</v>
      </c>
      <c r="N5183" t="s">
        <v>27</v>
      </c>
    </row>
    <row r="5184" spans="1:14" x14ac:dyDescent="0.25">
      <c r="A5184" t="s">
        <v>41</v>
      </c>
      <c r="B5184" t="s">
        <v>40</v>
      </c>
      <c r="C5184" t="s">
        <v>38</v>
      </c>
      <c r="D5184" t="s">
        <v>32</v>
      </c>
      <c r="E5184" t="s">
        <v>21</v>
      </c>
      <c r="F5184" t="s">
        <v>18</v>
      </c>
      <c r="G5184" s="1" t="str">
        <f t="shared" si="1125"/>
        <v>X</v>
      </c>
      <c r="H5184" s="1" t="str">
        <f t="shared" si="1125"/>
        <v>X</v>
      </c>
      <c r="I5184" s="1" t="str">
        <f t="shared" si="1125"/>
        <v>X</v>
      </c>
      <c r="J5184" s="1" t="str">
        <f t="shared" si="1125"/>
        <v>X</v>
      </c>
      <c r="K5184" s="1" t="str">
        <f t="shared" si="1125"/>
        <v>X</v>
      </c>
      <c r="L5184" s="1" t="str">
        <f t="shared" si="1125"/>
        <v>X</v>
      </c>
      <c r="M5184" s="1" t="str">
        <f t="shared" si="1125"/>
        <v>X</v>
      </c>
      <c r="N5184" t="s">
        <v>27</v>
      </c>
    </row>
    <row r="5185" spans="1:14" x14ac:dyDescent="0.25">
      <c r="A5185" t="s">
        <v>41</v>
      </c>
      <c r="B5185" t="s">
        <v>40</v>
      </c>
      <c r="C5185" t="s">
        <v>38</v>
      </c>
      <c r="D5185" t="s">
        <v>32</v>
      </c>
      <c r="E5185" t="s">
        <v>21</v>
      </c>
      <c r="F5185" t="s">
        <v>19</v>
      </c>
      <c r="G5185" s="1" t="str">
        <f t="shared" si="1125"/>
        <v>X</v>
      </c>
      <c r="H5185" s="1" t="str">
        <f t="shared" si="1125"/>
        <v>X</v>
      </c>
      <c r="I5185" s="1" t="str">
        <f t="shared" si="1125"/>
        <v>X</v>
      </c>
      <c r="J5185" s="1" t="str">
        <f t="shared" si="1125"/>
        <v>X</v>
      </c>
      <c r="K5185" s="1" t="str">
        <f t="shared" si="1125"/>
        <v>X</v>
      </c>
      <c r="L5185" s="1" t="str">
        <f t="shared" si="1125"/>
        <v>X</v>
      </c>
      <c r="M5185" s="1" t="str">
        <f t="shared" si="1125"/>
        <v>X</v>
      </c>
      <c r="N5185" t="s">
        <v>27</v>
      </c>
    </row>
    <row r="5186" spans="1:14" x14ac:dyDescent="0.25">
      <c r="A5186" t="s">
        <v>41</v>
      </c>
      <c r="B5186" t="s">
        <v>40</v>
      </c>
      <c r="C5186" t="s">
        <v>38</v>
      </c>
      <c r="D5186" t="s">
        <v>32</v>
      </c>
      <c r="E5186" t="s">
        <v>21</v>
      </c>
      <c r="F5186" t="s">
        <v>20</v>
      </c>
      <c r="G5186" s="1" t="str">
        <f t="shared" si="1125"/>
        <v>X</v>
      </c>
      <c r="H5186" s="1" t="str">
        <f t="shared" si="1125"/>
        <v>X</v>
      </c>
      <c r="I5186" s="1" t="str">
        <f t="shared" si="1125"/>
        <v>X</v>
      </c>
      <c r="J5186" s="1" t="str">
        <f t="shared" si="1125"/>
        <v>X</v>
      </c>
      <c r="K5186" s="1" t="str">
        <f t="shared" si="1125"/>
        <v>X</v>
      </c>
      <c r="L5186" s="1" t="str">
        <f t="shared" si="1125"/>
        <v>X</v>
      </c>
      <c r="M5186" s="1" t="str">
        <f t="shared" si="1125"/>
        <v>X</v>
      </c>
      <c r="N5186" t="s">
        <v>27</v>
      </c>
    </row>
    <row r="5187" spans="1:14" x14ac:dyDescent="0.25">
      <c r="A5187" t="s">
        <v>41</v>
      </c>
      <c r="B5187" t="s">
        <v>40</v>
      </c>
      <c r="C5187" t="s">
        <v>38</v>
      </c>
      <c r="D5187" t="s">
        <v>32</v>
      </c>
      <c r="E5187" t="s">
        <v>22</v>
      </c>
      <c r="F5187" t="s">
        <v>15</v>
      </c>
      <c r="G5187" s="2">
        <f>VALUE(508.5651063075)</f>
        <v>508.5651063075</v>
      </c>
      <c r="H5187" s="3">
        <f>VALUE(423.7821286383)</f>
        <v>423.78212863829998</v>
      </c>
      <c r="I5187" s="1">
        <f>VALUE(2534)</f>
        <v>2534</v>
      </c>
      <c r="J5187" s="5">
        <f>VALUE(3560)</f>
        <v>3560</v>
      </c>
      <c r="K5187" s="1">
        <f>VALUE(4823)</f>
        <v>4823</v>
      </c>
      <c r="L5187" s="1">
        <f>VALUE(6500)</f>
        <v>6500</v>
      </c>
      <c r="M5187" s="1">
        <f>VALUE(7773)</f>
        <v>7773</v>
      </c>
      <c r="N5187" t="s">
        <v>25</v>
      </c>
    </row>
    <row r="5188" spans="1:14" x14ac:dyDescent="0.25">
      <c r="A5188" t="s">
        <v>41</v>
      </c>
      <c r="B5188" t="s">
        <v>40</v>
      </c>
      <c r="C5188" t="s">
        <v>38</v>
      </c>
      <c r="D5188" t="s">
        <v>32</v>
      </c>
      <c r="E5188" t="s">
        <v>22</v>
      </c>
      <c r="F5188" t="s">
        <v>17</v>
      </c>
      <c r="G5188" s="1" t="str">
        <f t="shared" ref="G5188:M5190" si="1126">"X"</f>
        <v>X</v>
      </c>
      <c r="H5188" s="1" t="str">
        <f t="shared" si="1126"/>
        <v>X</v>
      </c>
      <c r="I5188" s="1" t="str">
        <f t="shared" si="1126"/>
        <v>X</v>
      </c>
      <c r="J5188" s="1" t="str">
        <f t="shared" si="1126"/>
        <v>X</v>
      </c>
      <c r="K5188" s="1" t="str">
        <f t="shared" si="1126"/>
        <v>X</v>
      </c>
      <c r="L5188" s="1" t="str">
        <f t="shared" si="1126"/>
        <v>X</v>
      </c>
      <c r="M5188" s="1" t="str">
        <f t="shared" si="1126"/>
        <v>X</v>
      </c>
      <c r="N5188" t="s">
        <v>27</v>
      </c>
    </row>
    <row r="5189" spans="1:14" x14ac:dyDescent="0.25">
      <c r="A5189" t="s">
        <v>41</v>
      </c>
      <c r="B5189" t="s">
        <v>40</v>
      </c>
      <c r="C5189" t="s">
        <v>38</v>
      </c>
      <c r="D5189" t="s">
        <v>32</v>
      </c>
      <c r="E5189" t="s">
        <v>22</v>
      </c>
      <c r="F5189" t="s">
        <v>18</v>
      </c>
      <c r="G5189" s="1" t="str">
        <f t="shared" si="1126"/>
        <v>X</v>
      </c>
      <c r="H5189" s="1" t="str">
        <f t="shared" si="1126"/>
        <v>X</v>
      </c>
      <c r="I5189" s="1" t="str">
        <f t="shared" si="1126"/>
        <v>X</v>
      </c>
      <c r="J5189" s="1" t="str">
        <f t="shared" si="1126"/>
        <v>X</v>
      </c>
      <c r="K5189" s="1" t="str">
        <f t="shared" si="1126"/>
        <v>X</v>
      </c>
      <c r="L5189" s="1" t="str">
        <f t="shared" si="1126"/>
        <v>X</v>
      </c>
      <c r="M5189" s="1" t="str">
        <f t="shared" si="1126"/>
        <v>X</v>
      </c>
      <c r="N5189" t="s">
        <v>27</v>
      </c>
    </row>
    <row r="5190" spans="1:14" x14ac:dyDescent="0.25">
      <c r="A5190" t="s">
        <v>41</v>
      </c>
      <c r="B5190" t="s">
        <v>40</v>
      </c>
      <c r="C5190" t="s">
        <v>38</v>
      </c>
      <c r="D5190" t="s">
        <v>32</v>
      </c>
      <c r="E5190" t="s">
        <v>22</v>
      </c>
      <c r="F5190" t="s">
        <v>19</v>
      </c>
      <c r="G5190" s="1" t="str">
        <f t="shared" si="1126"/>
        <v>X</v>
      </c>
      <c r="H5190" s="1" t="str">
        <f t="shared" si="1126"/>
        <v>X</v>
      </c>
      <c r="I5190" s="1" t="str">
        <f t="shared" si="1126"/>
        <v>X</v>
      </c>
      <c r="J5190" s="1" t="str">
        <f t="shared" si="1126"/>
        <v>X</v>
      </c>
      <c r="K5190" s="1" t="str">
        <f t="shared" si="1126"/>
        <v>X</v>
      </c>
      <c r="L5190" s="1" t="str">
        <f t="shared" si="1126"/>
        <v>X</v>
      </c>
      <c r="M5190" s="1" t="str">
        <f t="shared" si="1126"/>
        <v>X</v>
      </c>
      <c r="N5190" t="s">
        <v>27</v>
      </c>
    </row>
    <row r="5191" spans="1:14" x14ac:dyDescent="0.25">
      <c r="A5191" t="s">
        <v>41</v>
      </c>
      <c r="B5191" t="s">
        <v>40</v>
      </c>
      <c r="C5191" t="s">
        <v>38</v>
      </c>
      <c r="D5191" t="s">
        <v>32</v>
      </c>
      <c r="E5191" t="s">
        <v>22</v>
      </c>
      <c r="F5191" t="s">
        <v>20</v>
      </c>
      <c r="G5191" s="2">
        <f>VALUE(325.0369405654)</f>
        <v>325.03694056540002</v>
      </c>
      <c r="H5191" s="3">
        <f>VALUE(271.7291101199)</f>
        <v>271.72911011989999</v>
      </c>
      <c r="I5191" s="1">
        <f>VALUE(2516)</f>
        <v>2516</v>
      </c>
      <c r="J5191" s="5">
        <f>VALUE(3200)</f>
        <v>3200</v>
      </c>
      <c r="K5191" s="6">
        <f>VALUE(4232)</f>
        <v>4232</v>
      </c>
      <c r="L5191" s="7">
        <f>VALUE(5494)</f>
        <v>5494</v>
      </c>
      <c r="M5191" s="1">
        <f>VALUE(6745)</f>
        <v>6745</v>
      </c>
      <c r="N5191" t="s">
        <v>25</v>
      </c>
    </row>
    <row r="5192" spans="1:14" x14ac:dyDescent="0.25">
      <c r="A5192" t="s">
        <v>41</v>
      </c>
      <c r="B5192" t="s">
        <v>40</v>
      </c>
      <c r="C5192" t="s">
        <v>38</v>
      </c>
      <c r="D5192" t="s">
        <v>32</v>
      </c>
      <c r="E5192" t="s">
        <v>23</v>
      </c>
      <c r="F5192" t="s">
        <v>15</v>
      </c>
      <c r="G5192" s="1">
        <f>VALUE(1669.563265489)</f>
        <v>1669.5632654890001</v>
      </c>
      <c r="H5192" s="1">
        <f>VALUE(1418.7394504302)</f>
        <v>1418.7394504301999</v>
      </c>
      <c r="I5192" s="1">
        <f>VALUE(2457)</f>
        <v>2457</v>
      </c>
      <c r="J5192" s="1">
        <f>VALUE(2721)</f>
        <v>2721</v>
      </c>
      <c r="K5192" s="1">
        <f>VALUE(3061)</f>
        <v>3061</v>
      </c>
      <c r="L5192" s="1">
        <f>VALUE(3943)</f>
        <v>3943</v>
      </c>
      <c r="M5192" s="1">
        <f>VALUE(4887)</f>
        <v>4887</v>
      </c>
      <c r="N5192" t="s">
        <v>16</v>
      </c>
    </row>
    <row r="5193" spans="1:14" x14ac:dyDescent="0.25">
      <c r="A5193" t="s">
        <v>41</v>
      </c>
      <c r="B5193" t="s">
        <v>40</v>
      </c>
      <c r="C5193" t="s">
        <v>38</v>
      </c>
      <c r="D5193" t="s">
        <v>32</v>
      </c>
      <c r="E5193" t="s">
        <v>23</v>
      </c>
      <c r="F5193" t="s">
        <v>17</v>
      </c>
      <c r="G5193" s="1" t="str">
        <f t="shared" ref="G5193:M5195" si="1127">"X"</f>
        <v>X</v>
      </c>
      <c r="H5193" s="1" t="str">
        <f t="shared" si="1127"/>
        <v>X</v>
      </c>
      <c r="I5193" s="1" t="str">
        <f t="shared" si="1127"/>
        <v>X</v>
      </c>
      <c r="J5193" s="1" t="str">
        <f t="shared" si="1127"/>
        <v>X</v>
      </c>
      <c r="K5193" s="1" t="str">
        <f t="shared" si="1127"/>
        <v>X</v>
      </c>
      <c r="L5193" s="1" t="str">
        <f t="shared" si="1127"/>
        <v>X</v>
      </c>
      <c r="M5193" s="1" t="str">
        <f t="shared" si="1127"/>
        <v>X</v>
      </c>
      <c r="N5193" t="s">
        <v>27</v>
      </c>
    </row>
    <row r="5194" spans="1:14" x14ac:dyDescent="0.25">
      <c r="A5194" t="s">
        <v>41</v>
      </c>
      <c r="B5194" t="s">
        <v>40</v>
      </c>
      <c r="C5194" t="s">
        <v>38</v>
      </c>
      <c r="D5194" t="s">
        <v>32</v>
      </c>
      <c r="E5194" t="s">
        <v>23</v>
      </c>
      <c r="F5194" t="s">
        <v>18</v>
      </c>
      <c r="G5194" s="1" t="str">
        <f t="shared" si="1127"/>
        <v>X</v>
      </c>
      <c r="H5194" s="1" t="str">
        <f t="shared" si="1127"/>
        <v>X</v>
      </c>
      <c r="I5194" s="1" t="str">
        <f t="shared" si="1127"/>
        <v>X</v>
      </c>
      <c r="J5194" s="1" t="str">
        <f t="shared" si="1127"/>
        <v>X</v>
      </c>
      <c r="K5194" s="1" t="str">
        <f t="shared" si="1127"/>
        <v>X</v>
      </c>
      <c r="L5194" s="1" t="str">
        <f t="shared" si="1127"/>
        <v>X</v>
      </c>
      <c r="M5194" s="1" t="str">
        <f t="shared" si="1127"/>
        <v>X</v>
      </c>
      <c r="N5194" t="s">
        <v>27</v>
      </c>
    </row>
    <row r="5195" spans="1:14" x14ac:dyDescent="0.25">
      <c r="A5195" t="s">
        <v>41</v>
      </c>
      <c r="B5195" t="s">
        <v>40</v>
      </c>
      <c r="C5195" t="s">
        <v>38</v>
      </c>
      <c r="D5195" t="s">
        <v>32</v>
      </c>
      <c r="E5195" t="s">
        <v>23</v>
      </c>
      <c r="F5195" t="s">
        <v>19</v>
      </c>
      <c r="G5195" s="1" t="str">
        <f t="shared" si="1127"/>
        <v>X</v>
      </c>
      <c r="H5195" s="1" t="str">
        <f t="shared" si="1127"/>
        <v>X</v>
      </c>
      <c r="I5195" s="1" t="str">
        <f t="shared" si="1127"/>
        <v>X</v>
      </c>
      <c r="J5195" s="1" t="str">
        <f t="shared" si="1127"/>
        <v>X</v>
      </c>
      <c r="K5195" s="1" t="str">
        <f t="shared" si="1127"/>
        <v>X</v>
      </c>
      <c r="L5195" s="1" t="str">
        <f t="shared" si="1127"/>
        <v>X</v>
      </c>
      <c r="M5195" s="1" t="str">
        <f t="shared" si="1127"/>
        <v>X</v>
      </c>
      <c r="N5195" t="s">
        <v>27</v>
      </c>
    </row>
    <row r="5196" spans="1:14" x14ac:dyDescent="0.25">
      <c r="A5196" t="s">
        <v>41</v>
      </c>
      <c r="B5196" t="s">
        <v>40</v>
      </c>
      <c r="C5196" t="s">
        <v>38</v>
      </c>
      <c r="D5196" t="s">
        <v>32</v>
      </c>
      <c r="E5196" t="s">
        <v>23</v>
      </c>
      <c r="F5196" t="s">
        <v>20</v>
      </c>
      <c r="G5196" s="1">
        <f>VALUE(1471.4095424156)</f>
        <v>1471.4095424156001</v>
      </c>
      <c r="H5196" s="1">
        <f>VALUE(1256.6046402618)</f>
        <v>1256.6046402617999</v>
      </c>
      <c r="I5196" s="1">
        <f>VALUE(2428)</f>
        <v>2428</v>
      </c>
      <c r="J5196" s="1">
        <f>VALUE(2693)</f>
        <v>2693</v>
      </c>
      <c r="K5196" s="1">
        <f>VALUE(3010)</f>
        <v>3010</v>
      </c>
      <c r="L5196" s="1">
        <f>VALUE(3792)</f>
        <v>3792</v>
      </c>
      <c r="M5196" s="1">
        <f>VALUE(4592)</f>
        <v>4592</v>
      </c>
      <c r="N5196" t="s">
        <v>16</v>
      </c>
    </row>
    <row r="5197" spans="1:14" x14ac:dyDescent="0.25">
      <c r="A5197" t="s">
        <v>41</v>
      </c>
      <c r="B5197" t="s">
        <v>40</v>
      </c>
      <c r="C5197" t="s">
        <v>38</v>
      </c>
      <c r="D5197" t="s">
        <v>32</v>
      </c>
      <c r="E5197" t="s">
        <v>26</v>
      </c>
      <c r="F5197" t="s">
        <v>15</v>
      </c>
      <c r="G5197" s="1" t="str">
        <f t="shared" ref="G5197:M5197" si="1128">"X"</f>
        <v>X</v>
      </c>
      <c r="H5197" s="1" t="str">
        <f t="shared" si="1128"/>
        <v>X</v>
      </c>
      <c r="I5197" s="1" t="str">
        <f t="shared" si="1128"/>
        <v>X</v>
      </c>
      <c r="J5197" s="1" t="str">
        <f t="shared" si="1128"/>
        <v>X</v>
      </c>
      <c r="K5197" s="1" t="str">
        <f t="shared" si="1128"/>
        <v>X</v>
      </c>
      <c r="L5197" s="1" t="str">
        <f t="shared" si="1128"/>
        <v>X</v>
      </c>
      <c r="M5197" s="1" t="str">
        <f t="shared" si="1128"/>
        <v>X</v>
      </c>
      <c r="N5197" t="s">
        <v>27</v>
      </c>
    </row>
    <row r="5198" spans="1:14" x14ac:dyDescent="0.25">
      <c r="A5198" t="s">
        <v>41</v>
      </c>
      <c r="B5198" t="s">
        <v>40</v>
      </c>
      <c r="C5198" t="s">
        <v>38</v>
      </c>
      <c r="D5198" t="s">
        <v>32</v>
      </c>
      <c r="E5198" t="s">
        <v>26</v>
      </c>
      <c r="F5198" t="s">
        <v>17</v>
      </c>
      <c r="G5198" s="1" t="str">
        <f t="shared" ref="G5198:M5198" si="1129">"..."</f>
        <v>...</v>
      </c>
      <c r="H5198" s="1" t="str">
        <f t="shared" si="1129"/>
        <v>...</v>
      </c>
      <c r="I5198" s="1" t="str">
        <f t="shared" si="1129"/>
        <v>...</v>
      </c>
      <c r="J5198" s="1" t="str">
        <f t="shared" si="1129"/>
        <v>...</v>
      </c>
      <c r="K5198" s="1" t="str">
        <f t="shared" si="1129"/>
        <v>...</v>
      </c>
      <c r="L5198" s="1" t="str">
        <f t="shared" si="1129"/>
        <v>...</v>
      </c>
      <c r="M5198" s="1" t="str">
        <f t="shared" si="1129"/>
        <v>...</v>
      </c>
      <c r="N5198" t="s">
        <v>30</v>
      </c>
    </row>
    <row r="5199" spans="1:14" x14ac:dyDescent="0.25">
      <c r="A5199" t="s">
        <v>41</v>
      </c>
      <c r="B5199" t="s">
        <v>40</v>
      </c>
      <c r="C5199" t="s">
        <v>38</v>
      </c>
      <c r="D5199" t="s">
        <v>32</v>
      </c>
      <c r="E5199" t="s">
        <v>26</v>
      </c>
      <c r="F5199" t="s">
        <v>18</v>
      </c>
      <c r="G5199" s="1" t="str">
        <f t="shared" ref="G5199:M5199" si="1130">"X"</f>
        <v>X</v>
      </c>
      <c r="H5199" s="1" t="str">
        <f t="shared" si="1130"/>
        <v>X</v>
      </c>
      <c r="I5199" s="1" t="str">
        <f t="shared" si="1130"/>
        <v>X</v>
      </c>
      <c r="J5199" s="1" t="str">
        <f t="shared" si="1130"/>
        <v>X</v>
      </c>
      <c r="K5199" s="1" t="str">
        <f t="shared" si="1130"/>
        <v>X</v>
      </c>
      <c r="L5199" s="1" t="str">
        <f t="shared" si="1130"/>
        <v>X</v>
      </c>
      <c r="M5199" s="1" t="str">
        <f t="shared" si="1130"/>
        <v>X</v>
      </c>
      <c r="N5199" t="s">
        <v>27</v>
      </c>
    </row>
    <row r="5200" spans="1:14" x14ac:dyDescent="0.25">
      <c r="A5200" t="s">
        <v>41</v>
      </c>
      <c r="B5200" t="s">
        <v>40</v>
      </c>
      <c r="C5200" t="s">
        <v>38</v>
      </c>
      <c r="D5200" t="s">
        <v>32</v>
      </c>
      <c r="E5200" t="s">
        <v>26</v>
      </c>
      <c r="F5200" t="s">
        <v>19</v>
      </c>
      <c r="G5200" s="1" t="str">
        <f t="shared" ref="G5200:M5200" si="1131">"..."</f>
        <v>...</v>
      </c>
      <c r="H5200" s="1" t="str">
        <f t="shared" si="1131"/>
        <v>...</v>
      </c>
      <c r="I5200" s="1" t="str">
        <f t="shared" si="1131"/>
        <v>...</v>
      </c>
      <c r="J5200" s="1" t="str">
        <f t="shared" si="1131"/>
        <v>...</v>
      </c>
      <c r="K5200" s="1" t="str">
        <f t="shared" si="1131"/>
        <v>...</v>
      </c>
      <c r="L5200" s="1" t="str">
        <f t="shared" si="1131"/>
        <v>...</v>
      </c>
      <c r="M5200" s="1" t="str">
        <f t="shared" si="1131"/>
        <v>...</v>
      </c>
      <c r="N5200" t="s">
        <v>30</v>
      </c>
    </row>
    <row r="5201" spans="1:14" x14ac:dyDescent="0.25">
      <c r="A5201" t="s">
        <v>41</v>
      </c>
      <c r="B5201" t="s">
        <v>40</v>
      </c>
      <c r="C5201" t="s">
        <v>38</v>
      </c>
      <c r="D5201" t="s">
        <v>32</v>
      </c>
      <c r="E5201" t="s">
        <v>26</v>
      </c>
      <c r="F5201" t="s">
        <v>20</v>
      </c>
      <c r="G5201" s="1" t="str">
        <f t="shared" ref="G5201:M5209" si="1132">"X"</f>
        <v>X</v>
      </c>
      <c r="H5201" s="1" t="str">
        <f t="shared" si="1132"/>
        <v>X</v>
      </c>
      <c r="I5201" s="1" t="str">
        <f t="shared" si="1132"/>
        <v>X</v>
      </c>
      <c r="J5201" s="1" t="str">
        <f t="shared" si="1132"/>
        <v>X</v>
      </c>
      <c r="K5201" s="1" t="str">
        <f t="shared" si="1132"/>
        <v>X</v>
      </c>
      <c r="L5201" s="1" t="str">
        <f t="shared" si="1132"/>
        <v>X</v>
      </c>
      <c r="M5201" s="1" t="str">
        <f t="shared" si="1132"/>
        <v>X</v>
      </c>
      <c r="N5201" t="s">
        <v>27</v>
      </c>
    </row>
    <row r="5202" spans="1:14" x14ac:dyDescent="0.25">
      <c r="A5202" t="s">
        <v>41</v>
      </c>
      <c r="B5202" t="s">
        <v>40</v>
      </c>
      <c r="C5202" t="s">
        <v>38</v>
      </c>
      <c r="D5202" t="s">
        <v>33</v>
      </c>
      <c r="E5202" t="s">
        <v>15</v>
      </c>
      <c r="F5202" t="s">
        <v>15</v>
      </c>
      <c r="G5202" s="1" t="str">
        <f t="shared" si="1132"/>
        <v>X</v>
      </c>
      <c r="H5202" s="1" t="str">
        <f t="shared" si="1132"/>
        <v>X</v>
      </c>
      <c r="I5202" s="1" t="str">
        <f t="shared" si="1132"/>
        <v>X</v>
      </c>
      <c r="J5202" s="1" t="str">
        <f t="shared" si="1132"/>
        <v>X</v>
      </c>
      <c r="K5202" s="1" t="str">
        <f t="shared" si="1132"/>
        <v>X</v>
      </c>
      <c r="L5202" s="1" t="str">
        <f t="shared" si="1132"/>
        <v>X</v>
      </c>
      <c r="M5202" s="1" t="str">
        <f t="shared" si="1132"/>
        <v>X</v>
      </c>
      <c r="N5202" t="s">
        <v>27</v>
      </c>
    </row>
    <row r="5203" spans="1:14" x14ac:dyDescent="0.25">
      <c r="A5203" t="s">
        <v>41</v>
      </c>
      <c r="B5203" t="s">
        <v>40</v>
      </c>
      <c r="C5203" t="s">
        <v>38</v>
      </c>
      <c r="D5203" t="s">
        <v>33</v>
      </c>
      <c r="E5203" t="s">
        <v>15</v>
      </c>
      <c r="F5203" t="s">
        <v>17</v>
      </c>
      <c r="G5203" s="1" t="str">
        <f t="shared" si="1132"/>
        <v>X</v>
      </c>
      <c r="H5203" s="1" t="str">
        <f t="shared" si="1132"/>
        <v>X</v>
      </c>
      <c r="I5203" s="1" t="str">
        <f t="shared" si="1132"/>
        <v>X</v>
      </c>
      <c r="J5203" s="1" t="str">
        <f t="shared" si="1132"/>
        <v>X</v>
      </c>
      <c r="K5203" s="1" t="str">
        <f t="shared" si="1132"/>
        <v>X</v>
      </c>
      <c r="L5203" s="1" t="str">
        <f t="shared" si="1132"/>
        <v>X</v>
      </c>
      <c r="M5203" s="1" t="str">
        <f t="shared" si="1132"/>
        <v>X</v>
      </c>
      <c r="N5203" t="s">
        <v>27</v>
      </c>
    </row>
    <row r="5204" spans="1:14" x14ac:dyDescent="0.25">
      <c r="A5204" t="s">
        <v>41</v>
      </c>
      <c r="B5204" t="s">
        <v>40</v>
      </c>
      <c r="C5204" t="s">
        <v>38</v>
      </c>
      <c r="D5204" t="s">
        <v>33</v>
      </c>
      <c r="E5204" t="s">
        <v>15</v>
      </c>
      <c r="F5204" t="s">
        <v>18</v>
      </c>
      <c r="G5204" s="1" t="str">
        <f t="shared" si="1132"/>
        <v>X</v>
      </c>
      <c r="H5204" s="1" t="str">
        <f t="shared" si="1132"/>
        <v>X</v>
      </c>
      <c r="I5204" s="1" t="str">
        <f t="shared" si="1132"/>
        <v>X</v>
      </c>
      <c r="J5204" s="1" t="str">
        <f t="shared" si="1132"/>
        <v>X</v>
      </c>
      <c r="K5204" s="1" t="str">
        <f t="shared" si="1132"/>
        <v>X</v>
      </c>
      <c r="L5204" s="1" t="str">
        <f t="shared" si="1132"/>
        <v>X</v>
      </c>
      <c r="M5204" s="1" t="str">
        <f t="shared" si="1132"/>
        <v>X</v>
      </c>
      <c r="N5204" t="s">
        <v>27</v>
      </c>
    </row>
    <row r="5205" spans="1:14" x14ac:dyDescent="0.25">
      <c r="A5205" t="s">
        <v>41</v>
      </c>
      <c r="B5205" t="s">
        <v>40</v>
      </c>
      <c r="C5205" t="s">
        <v>38</v>
      </c>
      <c r="D5205" t="s">
        <v>33</v>
      </c>
      <c r="E5205" t="s">
        <v>15</v>
      </c>
      <c r="F5205" t="s">
        <v>19</v>
      </c>
      <c r="G5205" s="1" t="str">
        <f t="shared" si="1132"/>
        <v>X</v>
      </c>
      <c r="H5205" s="1" t="str">
        <f t="shared" si="1132"/>
        <v>X</v>
      </c>
      <c r="I5205" s="1" t="str">
        <f t="shared" si="1132"/>
        <v>X</v>
      </c>
      <c r="J5205" s="1" t="str">
        <f t="shared" si="1132"/>
        <v>X</v>
      </c>
      <c r="K5205" s="1" t="str">
        <f t="shared" si="1132"/>
        <v>X</v>
      </c>
      <c r="L5205" s="1" t="str">
        <f t="shared" si="1132"/>
        <v>X</v>
      </c>
      <c r="M5205" s="1" t="str">
        <f t="shared" si="1132"/>
        <v>X</v>
      </c>
      <c r="N5205" t="s">
        <v>27</v>
      </c>
    </row>
    <row r="5206" spans="1:14" x14ac:dyDescent="0.25">
      <c r="A5206" t="s">
        <v>41</v>
      </c>
      <c r="B5206" t="s">
        <v>40</v>
      </c>
      <c r="C5206" t="s">
        <v>38</v>
      </c>
      <c r="D5206" t="s">
        <v>33</v>
      </c>
      <c r="E5206" t="s">
        <v>15</v>
      </c>
      <c r="F5206" t="s">
        <v>20</v>
      </c>
      <c r="G5206" s="1" t="str">
        <f t="shared" si="1132"/>
        <v>X</v>
      </c>
      <c r="H5206" s="1" t="str">
        <f t="shared" si="1132"/>
        <v>X</v>
      </c>
      <c r="I5206" s="1" t="str">
        <f t="shared" si="1132"/>
        <v>X</v>
      </c>
      <c r="J5206" s="1" t="str">
        <f t="shared" si="1132"/>
        <v>X</v>
      </c>
      <c r="K5206" s="1" t="str">
        <f t="shared" si="1132"/>
        <v>X</v>
      </c>
      <c r="L5206" s="1" t="str">
        <f t="shared" si="1132"/>
        <v>X</v>
      </c>
      <c r="M5206" s="1" t="str">
        <f t="shared" si="1132"/>
        <v>X</v>
      </c>
      <c r="N5206" t="s">
        <v>27</v>
      </c>
    </row>
    <row r="5207" spans="1:14" x14ac:dyDescent="0.25">
      <c r="A5207" t="s">
        <v>41</v>
      </c>
      <c r="B5207" t="s">
        <v>40</v>
      </c>
      <c r="C5207" t="s">
        <v>38</v>
      </c>
      <c r="D5207" t="s">
        <v>33</v>
      </c>
      <c r="E5207" t="s">
        <v>21</v>
      </c>
      <c r="F5207" t="s">
        <v>15</v>
      </c>
      <c r="G5207" s="1" t="str">
        <f t="shared" si="1132"/>
        <v>X</v>
      </c>
      <c r="H5207" s="1" t="str">
        <f t="shared" si="1132"/>
        <v>X</v>
      </c>
      <c r="I5207" s="1" t="str">
        <f t="shared" si="1132"/>
        <v>X</v>
      </c>
      <c r="J5207" s="1" t="str">
        <f t="shared" si="1132"/>
        <v>X</v>
      </c>
      <c r="K5207" s="1" t="str">
        <f t="shared" si="1132"/>
        <v>X</v>
      </c>
      <c r="L5207" s="1" t="str">
        <f t="shared" si="1132"/>
        <v>X</v>
      </c>
      <c r="M5207" s="1" t="str">
        <f t="shared" si="1132"/>
        <v>X</v>
      </c>
      <c r="N5207" t="s">
        <v>27</v>
      </c>
    </row>
    <row r="5208" spans="1:14" x14ac:dyDescent="0.25">
      <c r="A5208" t="s">
        <v>41</v>
      </c>
      <c r="B5208" t="s">
        <v>40</v>
      </c>
      <c r="C5208" t="s">
        <v>38</v>
      </c>
      <c r="D5208" t="s">
        <v>33</v>
      </c>
      <c r="E5208" t="s">
        <v>21</v>
      </c>
      <c r="F5208" t="s">
        <v>17</v>
      </c>
      <c r="G5208" s="1" t="str">
        <f t="shared" si="1132"/>
        <v>X</v>
      </c>
      <c r="H5208" s="1" t="str">
        <f t="shared" si="1132"/>
        <v>X</v>
      </c>
      <c r="I5208" s="1" t="str">
        <f t="shared" si="1132"/>
        <v>X</v>
      </c>
      <c r="J5208" s="1" t="str">
        <f t="shared" si="1132"/>
        <v>X</v>
      </c>
      <c r="K5208" s="1" t="str">
        <f t="shared" si="1132"/>
        <v>X</v>
      </c>
      <c r="L5208" s="1" t="str">
        <f t="shared" si="1132"/>
        <v>X</v>
      </c>
      <c r="M5208" s="1" t="str">
        <f t="shared" si="1132"/>
        <v>X</v>
      </c>
      <c r="N5208" t="s">
        <v>27</v>
      </c>
    </row>
    <row r="5209" spans="1:14" x14ac:dyDescent="0.25">
      <c r="A5209" t="s">
        <v>41</v>
      </c>
      <c r="B5209" t="s">
        <v>40</v>
      </c>
      <c r="C5209" t="s">
        <v>38</v>
      </c>
      <c r="D5209" t="s">
        <v>33</v>
      </c>
      <c r="E5209" t="s">
        <v>21</v>
      </c>
      <c r="F5209" t="s">
        <v>18</v>
      </c>
      <c r="G5209" s="1" t="str">
        <f t="shared" si="1132"/>
        <v>X</v>
      </c>
      <c r="H5209" s="1" t="str">
        <f t="shared" si="1132"/>
        <v>X</v>
      </c>
      <c r="I5209" s="1" t="str">
        <f t="shared" si="1132"/>
        <v>X</v>
      </c>
      <c r="J5209" s="1" t="str">
        <f t="shared" si="1132"/>
        <v>X</v>
      </c>
      <c r="K5209" s="1" t="str">
        <f t="shared" si="1132"/>
        <v>X</v>
      </c>
      <c r="L5209" s="1" t="str">
        <f t="shared" si="1132"/>
        <v>X</v>
      </c>
      <c r="M5209" s="1" t="str">
        <f t="shared" si="1132"/>
        <v>X</v>
      </c>
      <c r="N5209" t="s">
        <v>27</v>
      </c>
    </row>
    <row r="5210" spans="1:14" x14ac:dyDescent="0.25">
      <c r="A5210" t="s">
        <v>41</v>
      </c>
      <c r="B5210" t="s">
        <v>40</v>
      </c>
      <c r="C5210" t="s">
        <v>38</v>
      </c>
      <c r="D5210" t="s">
        <v>33</v>
      </c>
      <c r="E5210" t="s">
        <v>21</v>
      </c>
      <c r="F5210" t="s">
        <v>19</v>
      </c>
      <c r="G5210" s="1" t="str">
        <f t="shared" ref="G5210:M5211" si="1133">"..."</f>
        <v>...</v>
      </c>
      <c r="H5210" s="1" t="str">
        <f t="shared" si="1133"/>
        <v>...</v>
      </c>
      <c r="I5210" s="1" t="str">
        <f t="shared" si="1133"/>
        <v>...</v>
      </c>
      <c r="J5210" s="1" t="str">
        <f t="shared" si="1133"/>
        <v>...</v>
      </c>
      <c r="K5210" s="1" t="str">
        <f t="shared" si="1133"/>
        <v>...</v>
      </c>
      <c r="L5210" s="1" t="str">
        <f t="shared" si="1133"/>
        <v>...</v>
      </c>
      <c r="M5210" s="1" t="str">
        <f t="shared" si="1133"/>
        <v>...</v>
      </c>
      <c r="N5210" t="s">
        <v>30</v>
      </c>
    </row>
    <row r="5211" spans="1:14" x14ac:dyDescent="0.25">
      <c r="A5211" t="s">
        <v>41</v>
      </c>
      <c r="B5211" t="s">
        <v>40</v>
      </c>
      <c r="C5211" t="s">
        <v>38</v>
      </c>
      <c r="D5211" t="s">
        <v>33</v>
      </c>
      <c r="E5211" t="s">
        <v>21</v>
      </c>
      <c r="F5211" t="s">
        <v>20</v>
      </c>
      <c r="G5211" s="1" t="str">
        <f t="shared" si="1133"/>
        <v>...</v>
      </c>
      <c r="H5211" s="1" t="str">
        <f t="shared" si="1133"/>
        <v>...</v>
      </c>
      <c r="I5211" s="1" t="str">
        <f t="shared" si="1133"/>
        <v>...</v>
      </c>
      <c r="J5211" s="1" t="str">
        <f t="shared" si="1133"/>
        <v>...</v>
      </c>
      <c r="K5211" s="1" t="str">
        <f t="shared" si="1133"/>
        <v>...</v>
      </c>
      <c r="L5211" s="1" t="str">
        <f t="shared" si="1133"/>
        <v>...</v>
      </c>
      <c r="M5211" s="1" t="str">
        <f t="shared" si="1133"/>
        <v>...</v>
      </c>
      <c r="N5211" t="s">
        <v>30</v>
      </c>
    </row>
    <row r="5212" spans="1:14" x14ac:dyDescent="0.25">
      <c r="A5212" t="s">
        <v>41</v>
      </c>
      <c r="B5212" t="s">
        <v>40</v>
      </c>
      <c r="C5212" t="s">
        <v>38</v>
      </c>
      <c r="D5212" t="s">
        <v>33</v>
      </c>
      <c r="E5212" t="s">
        <v>22</v>
      </c>
      <c r="F5212" t="s">
        <v>15</v>
      </c>
      <c r="G5212" s="1" t="str">
        <f t="shared" ref="G5212:M5213" si="1134">"X"</f>
        <v>X</v>
      </c>
      <c r="H5212" s="1" t="str">
        <f t="shared" si="1134"/>
        <v>X</v>
      </c>
      <c r="I5212" s="1" t="str">
        <f t="shared" si="1134"/>
        <v>X</v>
      </c>
      <c r="J5212" s="1" t="str">
        <f t="shared" si="1134"/>
        <v>X</v>
      </c>
      <c r="K5212" s="1" t="str">
        <f t="shared" si="1134"/>
        <v>X</v>
      </c>
      <c r="L5212" s="1" t="str">
        <f t="shared" si="1134"/>
        <v>X</v>
      </c>
      <c r="M5212" s="1" t="str">
        <f t="shared" si="1134"/>
        <v>X</v>
      </c>
      <c r="N5212" t="s">
        <v>27</v>
      </c>
    </row>
    <row r="5213" spans="1:14" x14ac:dyDescent="0.25">
      <c r="A5213" t="s">
        <v>41</v>
      </c>
      <c r="B5213" t="s">
        <v>40</v>
      </c>
      <c r="C5213" t="s">
        <v>38</v>
      </c>
      <c r="D5213" t="s">
        <v>33</v>
      </c>
      <c r="E5213" t="s">
        <v>22</v>
      </c>
      <c r="F5213" t="s">
        <v>17</v>
      </c>
      <c r="G5213" s="1" t="str">
        <f t="shared" si="1134"/>
        <v>X</v>
      </c>
      <c r="H5213" s="1" t="str">
        <f t="shared" si="1134"/>
        <v>X</v>
      </c>
      <c r="I5213" s="1" t="str">
        <f t="shared" si="1134"/>
        <v>X</v>
      </c>
      <c r="J5213" s="1" t="str">
        <f t="shared" si="1134"/>
        <v>X</v>
      </c>
      <c r="K5213" s="1" t="str">
        <f t="shared" si="1134"/>
        <v>X</v>
      </c>
      <c r="L5213" s="1" t="str">
        <f t="shared" si="1134"/>
        <v>X</v>
      </c>
      <c r="M5213" s="1" t="str">
        <f t="shared" si="1134"/>
        <v>X</v>
      </c>
      <c r="N5213" t="s">
        <v>27</v>
      </c>
    </row>
    <row r="5214" spans="1:14" x14ac:dyDescent="0.25">
      <c r="A5214" t="s">
        <v>41</v>
      </c>
      <c r="B5214" t="s">
        <v>40</v>
      </c>
      <c r="C5214" t="s">
        <v>38</v>
      </c>
      <c r="D5214" t="s">
        <v>33</v>
      </c>
      <c r="E5214" t="s">
        <v>22</v>
      </c>
      <c r="F5214" t="s">
        <v>18</v>
      </c>
      <c r="G5214" s="1" t="str">
        <f t="shared" ref="G5214:M5214" si="1135">"..."</f>
        <v>...</v>
      </c>
      <c r="H5214" s="1" t="str">
        <f t="shared" si="1135"/>
        <v>...</v>
      </c>
      <c r="I5214" s="1" t="str">
        <f t="shared" si="1135"/>
        <v>...</v>
      </c>
      <c r="J5214" s="1" t="str">
        <f t="shared" si="1135"/>
        <v>...</v>
      </c>
      <c r="K5214" s="1" t="str">
        <f t="shared" si="1135"/>
        <v>...</v>
      </c>
      <c r="L5214" s="1" t="str">
        <f t="shared" si="1135"/>
        <v>...</v>
      </c>
      <c r="M5214" s="1" t="str">
        <f t="shared" si="1135"/>
        <v>...</v>
      </c>
      <c r="N5214" t="s">
        <v>30</v>
      </c>
    </row>
    <row r="5215" spans="1:14" x14ac:dyDescent="0.25">
      <c r="A5215" t="s">
        <v>41</v>
      </c>
      <c r="B5215" t="s">
        <v>40</v>
      </c>
      <c r="C5215" t="s">
        <v>38</v>
      </c>
      <c r="D5215" t="s">
        <v>33</v>
      </c>
      <c r="E5215" t="s">
        <v>22</v>
      </c>
      <c r="F5215" t="s">
        <v>19</v>
      </c>
      <c r="G5215" s="1" t="str">
        <f t="shared" ref="G5215:M5218" si="1136">"X"</f>
        <v>X</v>
      </c>
      <c r="H5215" s="1" t="str">
        <f t="shared" si="1136"/>
        <v>X</v>
      </c>
      <c r="I5215" s="1" t="str">
        <f t="shared" si="1136"/>
        <v>X</v>
      </c>
      <c r="J5215" s="1" t="str">
        <f t="shared" si="1136"/>
        <v>X</v>
      </c>
      <c r="K5215" s="1" t="str">
        <f t="shared" si="1136"/>
        <v>X</v>
      </c>
      <c r="L5215" s="1" t="str">
        <f t="shared" si="1136"/>
        <v>X</v>
      </c>
      <c r="M5215" s="1" t="str">
        <f t="shared" si="1136"/>
        <v>X</v>
      </c>
      <c r="N5215" t="s">
        <v>27</v>
      </c>
    </row>
    <row r="5216" spans="1:14" x14ac:dyDescent="0.25">
      <c r="A5216" t="s">
        <v>41</v>
      </c>
      <c r="B5216" t="s">
        <v>40</v>
      </c>
      <c r="C5216" t="s">
        <v>38</v>
      </c>
      <c r="D5216" t="s">
        <v>33</v>
      </c>
      <c r="E5216" t="s">
        <v>22</v>
      </c>
      <c r="F5216" t="s">
        <v>20</v>
      </c>
      <c r="G5216" s="1" t="str">
        <f t="shared" si="1136"/>
        <v>X</v>
      </c>
      <c r="H5216" s="1" t="str">
        <f t="shared" si="1136"/>
        <v>X</v>
      </c>
      <c r="I5216" s="1" t="str">
        <f t="shared" si="1136"/>
        <v>X</v>
      </c>
      <c r="J5216" s="1" t="str">
        <f t="shared" si="1136"/>
        <v>X</v>
      </c>
      <c r="K5216" s="1" t="str">
        <f t="shared" si="1136"/>
        <v>X</v>
      </c>
      <c r="L5216" s="1" t="str">
        <f t="shared" si="1136"/>
        <v>X</v>
      </c>
      <c r="M5216" s="1" t="str">
        <f t="shared" si="1136"/>
        <v>X</v>
      </c>
      <c r="N5216" t="s">
        <v>27</v>
      </c>
    </row>
    <row r="5217" spans="1:14" x14ac:dyDescent="0.25">
      <c r="A5217" t="s">
        <v>41</v>
      </c>
      <c r="B5217" t="s">
        <v>40</v>
      </c>
      <c r="C5217" t="s">
        <v>38</v>
      </c>
      <c r="D5217" t="s">
        <v>33</v>
      </c>
      <c r="E5217" t="s">
        <v>23</v>
      </c>
      <c r="F5217" t="s">
        <v>15</v>
      </c>
      <c r="G5217" s="1" t="str">
        <f t="shared" si="1136"/>
        <v>X</v>
      </c>
      <c r="H5217" s="1" t="str">
        <f t="shared" si="1136"/>
        <v>X</v>
      </c>
      <c r="I5217" s="1" t="str">
        <f t="shared" si="1136"/>
        <v>X</v>
      </c>
      <c r="J5217" s="1" t="str">
        <f t="shared" si="1136"/>
        <v>X</v>
      </c>
      <c r="K5217" s="1" t="str">
        <f t="shared" si="1136"/>
        <v>X</v>
      </c>
      <c r="L5217" s="1" t="str">
        <f t="shared" si="1136"/>
        <v>X</v>
      </c>
      <c r="M5217" s="1" t="str">
        <f t="shared" si="1136"/>
        <v>X</v>
      </c>
      <c r="N5217" t="s">
        <v>27</v>
      </c>
    </row>
    <row r="5218" spans="1:14" x14ac:dyDescent="0.25">
      <c r="A5218" t="s">
        <v>41</v>
      </c>
      <c r="B5218" t="s">
        <v>40</v>
      </c>
      <c r="C5218" t="s">
        <v>38</v>
      </c>
      <c r="D5218" t="s">
        <v>33</v>
      </c>
      <c r="E5218" t="s">
        <v>23</v>
      </c>
      <c r="F5218" t="s">
        <v>17</v>
      </c>
      <c r="G5218" s="1" t="str">
        <f t="shared" si="1136"/>
        <v>X</v>
      </c>
      <c r="H5218" s="1" t="str">
        <f t="shared" si="1136"/>
        <v>X</v>
      </c>
      <c r="I5218" s="1" t="str">
        <f t="shared" si="1136"/>
        <v>X</v>
      </c>
      <c r="J5218" s="1" t="str">
        <f t="shared" si="1136"/>
        <v>X</v>
      </c>
      <c r="K5218" s="1" t="str">
        <f t="shared" si="1136"/>
        <v>X</v>
      </c>
      <c r="L5218" s="1" t="str">
        <f t="shared" si="1136"/>
        <v>X</v>
      </c>
      <c r="M5218" s="1" t="str">
        <f t="shared" si="1136"/>
        <v>X</v>
      </c>
      <c r="N5218" t="s">
        <v>27</v>
      </c>
    </row>
    <row r="5219" spans="1:14" x14ac:dyDescent="0.25">
      <c r="A5219" t="s">
        <v>41</v>
      </c>
      <c r="B5219" t="s">
        <v>40</v>
      </c>
      <c r="C5219" t="s">
        <v>38</v>
      </c>
      <c r="D5219" t="s">
        <v>33</v>
      </c>
      <c r="E5219" t="s">
        <v>23</v>
      </c>
      <c r="F5219" t="s">
        <v>18</v>
      </c>
      <c r="G5219" s="1" t="str">
        <f t="shared" ref="G5219:M5220" si="1137">"..."</f>
        <v>...</v>
      </c>
      <c r="H5219" s="1" t="str">
        <f t="shared" si="1137"/>
        <v>...</v>
      </c>
      <c r="I5219" s="1" t="str">
        <f t="shared" si="1137"/>
        <v>...</v>
      </c>
      <c r="J5219" s="1" t="str">
        <f t="shared" si="1137"/>
        <v>...</v>
      </c>
      <c r="K5219" s="1" t="str">
        <f t="shared" si="1137"/>
        <v>...</v>
      </c>
      <c r="L5219" s="1" t="str">
        <f t="shared" si="1137"/>
        <v>...</v>
      </c>
      <c r="M5219" s="1" t="str">
        <f t="shared" si="1137"/>
        <v>...</v>
      </c>
      <c r="N5219" t="s">
        <v>30</v>
      </c>
    </row>
    <row r="5220" spans="1:14" x14ac:dyDescent="0.25">
      <c r="A5220" t="s">
        <v>41</v>
      </c>
      <c r="B5220" t="s">
        <v>40</v>
      </c>
      <c r="C5220" t="s">
        <v>38</v>
      </c>
      <c r="D5220" t="s">
        <v>33</v>
      </c>
      <c r="E5220" t="s">
        <v>23</v>
      </c>
      <c r="F5220" t="s">
        <v>19</v>
      </c>
      <c r="G5220" s="1" t="str">
        <f t="shared" si="1137"/>
        <v>...</v>
      </c>
      <c r="H5220" s="1" t="str">
        <f t="shared" si="1137"/>
        <v>...</v>
      </c>
      <c r="I5220" s="1" t="str">
        <f t="shared" si="1137"/>
        <v>...</v>
      </c>
      <c r="J5220" s="1" t="str">
        <f t="shared" si="1137"/>
        <v>...</v>
      </c>
      <c r="K5220" s="1" t="str">
        <f t="shared" si="1137"/>
        <v>...</v>
      </c>
      <c r="L5220" s="1" t="str">
        <f t="shared" si="1137"/>
        <v>...</v>
      </c>
      <c r="M5220" s="1" t="str">
        <f t="shared" si="1137"/>
        <v>...</v>
      </c>
      <c r="N5220" t="s">
        <v>30</v>
      </c>
    </row>
    <row r="5221" spans="1:14" x14ac:dyDescent="0.25">
      <c r="A5221" t="s">
        <v>41</v>
      </c>
      <c r="B5221" t="s">
        <v>40</v>
      </c>
      <c r="C5221" t="s">
        <v>38</v>
      </c>
      <c r="D5221" t="s">
        <v>33</v>
      </c>
      <c r="E5221" t="s">
        <v>23</v>
      </c>
      <c r="F5221" t="s">
        <v>20</v>
      </c>
      <c r="G5221" s="1" t="str">
        <f t="shared" ref="G5221:M5221" si="1138">"X"</f>
        <v>X</v>
      </c>
      <c r="H5221" s="1" t="str">
        <f t="shared" si="1138"/>
        <v>X</v>
      </c>
      <c r="I5221" s="1" t="str">
        <f t="shared" si="1138"/>
        <v>X</v>
      </c>
      <c r="J5221" s="1" t="str">
        <f t="shared" si="1138"/>
        <v>X</v>
      </c>
      <c r="K5221" s="1" t="str">
        <f t="shared" si="1138"/>
        <v>X</v>
      </c>
      <c r="L5221" s="1" t="str">
        <f t="shared" si="1138"/>
        <v>X</v>
      </c>
      <c r="M5221" s="1" t="str">
        <f t="shared" si="1138"/>
        <v>X</v>
      </c>
      <c r="N5221" t="s">
        <v>27</v>
      </c>
    </row>
    <row r="5222" spans="1:14" x14ac:dyDescent="0.25">
      <c r="A5222" t="s">
        <v>41</v>
      </c>
      <c r="B5222" t="s">
        <v>40</v>
      </c>
      <c r="C5222" t="s">
        <v>38</v>
      </c>
      <c r="D5222" t="s">
        <v>33</v>
      </c>
      <c r="E5222" t="s">
        <v>26</v>
      </c>
      <c r="F5222" t="s">
        <v>15</v>
      </c>
      <c r="G5222" s="1" t="str">
        <f t="shared" ref="G5222:M5226" si="1139">"..."</f>
        <v>...</v>
      </c>
      <c r="H5222" s="1" t="str">
        <f t="shared" si="1139"/>
        <v>...</v>
      </c>
      <c r="I5222" s="1" t="str">
        <f t="shared" si="1139"/>
        <v>...</v>
      </c>
      <c r="J5222" s="1" t="str">
        <f t="shared" si="1139"/>
        <v>...</v>
      </c>
      <c r="K5222" s="1" t="str">
        <f t="shared" si="1139"/>
        <v>...</v>
      </c>
      <c r="L5222" s="1" t="str">
        <f t="shared" si="1139"/>
        <v>...</v>
      </c>
      <c r="M5222" s="1" t="str">
        <f t="shared" si="1139"/>
        <v>...</v>
      </c>
      <c r="N5222" t="s">
        <v>30</v>
      </c>
    </row>
    <row r="5223" spans="1:14" x14ac:dyDescent="0.25">
      <c r="A5223" t="s">
        <v>41</v>
      </c>
      <c r="B5223" t="s">
        <v>40</v>
      </c>
      <c r="C5223" t="s">
        <v>38</v>
      </c>
      <c r="D5223" t="s">
        <v>33</v>
      </c>
      <c r="E5223" t="s">
        <v>26</v>
      </c>
      <c r="F5223" t="s">
        <v>17</v>
      </c>
      <c r="G5223" s="1" t="str">
        <f t="shared" si="1139"/>
        <v>...</v>
      </c>
      <c r="H5223" s="1" t="str">
        <f t="shared" si="1139"/>
        <v>...</v>
      </c>
      <c r="I5223" s="1" t="str">
        <f t="shared" si="1139"/>
        <v>...</v>
      </c>
      <c r="J5223" s="1" t="str">
        <f t="shared" si="1139"/>
        <v>...</v>
      </c>
      <c r="K5223" s="1" t="str">
        <f t="shared" si="1139"/>
        <v>...</v>
      </c>
      <c r="L5223" s="1" t="str">
        <f t="shared" si="1139"/>
        <v>...</v>
      </c>
      <c r="M5223" s="1" t="str">
        <f t="shared" si="1139"/>
        <v>...</v>
      </c>
      <c r="N5223" t="s">
        <v>30</v>
      </c>
    </row>
    <row r="5224" spans="1:14" x14ac:dyDescent="0.25">
      <c r="A5224" t="s">
        <v>41</v>
      </c>
      <c r="B5224" t="s">
        <v>40</v>
      </c>
      <c r="C5224" t="s">
        <v>38</v>
      </c>
      <c r="D5224" t="s">
        <v>33</v>
      </c>
      <c r="E5224" t="s">
        <v>26</v>
      </c>
      <c r="F5224" t="s">
        <v>18</v>
      </c>
      <c r="G5224" s="1" t="str">
        <f t="shared" si="1139"/>
        <v>...</v>
      </c>
      <c r="H5224" s="1" t="str">
        <f t="shared" si="1139"/>
        <v>...</v>
      </c>
      <c r="I5224" s="1" t="str">
        <f t="shared" si="1139"/>
        <v>...</v>
      </c>
      <c r="J5224" s="1" t="str">
        <f t="shared" si="1139"/>
        <v>...</v>
      </c>
      <c r="K5224" s="1" t="str">
        <f t="shared" si="1139"/>
        <v>...</v>
      </c>
      <c r="L5224" s="1" t="str">
        <f t="shared" si="1139"/>
        <v>...</v>
      </c>
      <c r="M5224" s="1" t="str">
        <f t="shared" si="1139"/>
        <v>...</v>
      </c>
      <c r="N5224" t="s">
        <v>30</v>
      </c>
    </row>
    <row r="5225" spans="1:14" x14ac:dyDescent="0.25">
      <c r="A5225" t="s">
        <v>41</v>
      </c>
      <c r="B5225" t="s">
        <v>40</v>
      </c>
      <c r="C5225" t="s">
        <v>38</v>
      </c>
      <c r="D5225" t="s">
        <v>33</v>
      </c>
      <c r="E5225" t="s">
        <v>26</v>
      </c>
      <c r="F5225" t="s">
        <v>19</v>
      </c>
      <c r="G5225" s="1" t="str">
        <f t="shared" si="1139"/>
        <v>...</v>
      </c>
      <c r="H5225" s="1" t="str">
        <f t="shared" si="1139"/>
        <v>...</v>
      </c>
      <c r="I5225" s="1" t="str">
        <f t="shared" si="1139"/>
        <v>...</v>
      </c>
      <c r="J5225" s="1" t="str">
        <f t="shared" si="1139"/>
        <v>...</v>
      </c>
      <c r="K5225" s="1" t="str">
        <f t="shared" si="1139"/>
        <v>...</v>
      </c>
      <c r="L5225" s="1" t="str">
        <f t="shared" si="1139"/>
        <v>...</v>
      </c>
      <c r="M5225" s="1" t="str">
        <f t="shared" si="1139"/>
        <v>...</v>
      </c>
      <c r="N5225" t="s">
        <v>30</v>
      </c>
    </row>
    <row r="5226" spans="1:14" x14ac:dyDescent="0.25">
      <c r="A5226" t="s">
        <v>41</v>
      </c>
      <c r="B5226" t="s">
        <v>40</v>
      </c>
      <c r="C5226" t="s">
        <v>38</v>
      </c>
      <c r="D5226" t="s">
        <v>33</v>
      </c>
      <c r="E5226" t="s">
        <v>26</v>
      </c>
      <c r="F5226" t="s">
        <v>20</v>
      </c>
      <c r="G5226" s="1" t="str">
        <f t="shared" si="1139"/>
        <v>...</v>
      </c>
      <c r="H5226" s="1" t="str">
        <f t="shared" si="1139"/>
        <v>...</v>
      </c>
      <c r="I5226" s="1" t="str">
        <f t="shared" si="1139"/>
        <v>...</v>
      </c>
      <c r="J5226" s="1" t="str">
        <f t="shared" si="1139"/>
        <v>...</v>
      </c>
      <c r="K5226" s="1" t="str">
        <f t="shared" si="1139"/>
        <v>...</v>
      </c>
      <c r="L5226" s="1" t="str">
        <f t="shared" si="1139"/>
        <v>...</v>
      </c>
      <c r="M5226" s="1" t="str">
        <f t="shared" si="1139"/>
        <v>...</v>
      </c>
      <c r="N5226" t="s">
        <v>30</v>
      </c>
    </row>
    <row r="5227" spans="1:14" x14ac:dyDescent="0.25">
      <c r="A5227" t="s">
        <v>41</v>
      </c>
      <c r="B5227" t="s">
        <v>40</v>
      </c>
      <c r="C5227" t="s">
        <v>38</v>
      </c>
      <c r="D5227" t="s">
        <v>34</v>
      </c>
      <c r="E5227" t="s">
        <v>15</v>
      </c>
      <c r="F5227" t="s">
        <v>15</v>
      </c>
      <c r="G5227" s="2">
        <f>VALUE(68.9467885426)</f>
        <v>68.946788542600004</v>
      </c>
      <c r="H5227" s="3">
        <f>VALUE(54.4896591258)</f>
        <v>54.489659125800003</v>
      </c>
      <c r="I5227" s="4">
        <f>VALUE(3987)</f>
        <v>3987</v>
      </c>
      <c r="J5227" s="1">
        <f>VALUE(4976)</f>
        <v>4976</v>
      </c>
      <c r="K5227" s="1">
        <f>VALUE(5683)</f>
        <v>5683</v>
      </c>
      <c r="L5227" s="1">
        <f>VALUE(6945)</f>
        <v>6945</v>
      </c>
      <c r="M5227" s="1">
        <f>VALUE(11350)</f>
        <v>11350</v>
      </c>
      <c r="N5227" t="s">
        <v>25</v>
      </c>
    </row>
    <row r="5228" spans="1:14" x14ac:dyDescent="0.25">
      <c r="A5228" t="s">
        <v>41</v>
      </c>
      <c r="B5228" t="s">
        <v>40</v>
      </c>
      <c r="C5228" t="s">
        <v>38</v>
      </c>
      <c r="D5228" t="s">
        <v>34</v>
      </c>
      <c r="E5228" t="s">
        <v>15</v>
      </c>
      <c r="F5228" t="s">
        <v>17</v>
      </c>
      <c r="G5228" s="1" t="str">
        <f t="shared" ref="G5228:M5234" si="1140">"X"</f>
        <v>X</v>
      </c>
      <c r="H5228" s="1" t="str">
        <f t="shared" si="1140"/>
        <v>X</v>
      </c>
      <c r="I5228" s="1" t="str">
        <f t="shared" si="1140"/>
        <v>X</v>
      </c>
      <c r="J5228" s="1" t="str">
        <f t="shared" si="1140"/>
        <v>X</v>
      </c>
      <c r="K5228" s="1" t="str">
        <f t="shared" si="1140"/>
        <v>X</v>
      </c>
      <c r="L5228" s="1" t="str">
        <f t="shared" si="1140"/>
        <v>X</v>
      </c>
      <c r="M5228" s="1" t="str">
        <f t="shared" si="1140"/>
        <v>X</v>
      </c>
      <c r="N5228" t="s">
        <v>27</v>
      </c>
    </row>
    <row r="5229" spans="1:14" x14ac:dyDescent="0.25">
      <c r="A5229" t="s">
        <v>41</v>
      </c>
      <c r="B5229" t="s">
        <v>40</v>
      </c>
      <c r="C5229" t="s">
        <v>38</v>
      </c>
      <c r="D5229" t="s">
        <v>34</v>
      </c>
      <c r="E5229" t="s">
        <v>15</v>
      </c>
      <c r="F5229" t="s">
        <v>18</v>
      </c>
      <c r="G5229" s="1" t="str">
        <f t="shared" si="1140"/>
        <v>X</v>
      </c>
      <c r="H5229" s="1" t="str">
        <f t="shared" si="1140"/>
        <v>X</v>
      </c>
      <c r="I5229" s="1" t="str">
        <f t="shared" si="1140"/>
        <v>X</v>
      </c>
      <c r="J5229" s="1" t="str">
        <f t="shared" si="1140"/>
        <v>X</v>
      </c>
      <c r="K5229" s="1" t="str">
        <f t="shared" si="1140"/>
        <v>X</v>
      </c>
      <c r="L5229" s="1" t="str">
        <f t="shared" si="1140"/>
        <v>X</v>
      </c>
      <c r="M5229" s="1" t="str">
        <f t="shared" si="1140"/>
        <v>X</v>
      </c>
      <c r="N5229" t="s">
        <v>27</v>
      </c>
    </row>
    <row r="5230" spans="1:14" x14ac:dyDescent="0.25">
      <c r="A5230" t="s">
        <v>41</v>
      </c>
      <c r="B5230" t="s">
        <v>40</v>
      </c>
      <c r="C5230" t="s">
        <v>38</v>
      </c>
      <c r="D5230" t="s">
        <v>34</v>
      </c>
      <c r="E5230" t="s">
        <v>15</v>
      </c>
      <c r="F5230" t="s">
        <v>19</v>
      </c>
      <c r="G5230" s="1" t="str">
        <f t="shared" si="1140"/>
        <v>X</v>
      </c>
      <c r="H5230" s="1" t="str">
        <f t="shared" si="1140"/>
        <v>X</v>
      </c>
      <c r="I5230" s="1" t="str">
        <f t="shared" si="1140"/>
        <v>X</v>
      </c>
      <c r="J5230" s="1" t="str">
        <f t="shared" si="1140"/>
        <v>X</v>
      </c>
      <c r="K5230" s="1" t="str">
        <f t="shared" si="1140"/>
        <v>X</v>
      </c>
      <c r="L5230" s="1" t="str">
        <f t="shared" si="1140"/>
        <v>X</v>
      </c>
      <c r="M5230" s="1" t="str">
        <f t="shared" si="1140"/>
        <v>X</v>
      </c>
      <c r="N5230" t="s">
        <v>27</v>
      </c>
    </row>
    <row r="5231" spans="1:14" x14ac:dyDescent="0.25">
      <c r="A5231" t="s">
        <v>41</v>
      </c>
      <c r="B5231" t="s">
        <v>40</v>
      </c>
      <c r="C5231" t="s">
        <v>38</v>
      </c>
      <c r="D5231" t="s">
        <v>34</v>
      </c>
      <c r="E5231" t="s">
        <v>15</v>
      </c>
      <c r="F5231" t="s">
        <v>20</v>
      </c>
      <c r="G5231" s="1" t="str">
        <f t="shared" si="1140"/>
        <v>X</v>
      </c>
      <c r="H5231" s="1" t="str">
        <f t="shared" si="1140"/>
        <v>X</v>
      </c>
      <c r="I5231" s="1" t="str">
        <f t="shared" si="1140"/>
        <v>X</v>
      </c>
      <c r="J5231" s="1" t="str">
        <f t="shared" si="1140"/>
        <v>X</v>
      </c>
      <c r="K5231" s="1" t="str">
        <f t="shared" si="1140"/>
        <v>X</v>
      </c>
      <c r="L5231" s="1" t="str">
        <f t="shared" si="1140"/>
        <v>X</v>
      </c>
      <c r="M5231" s="1" t="str">
        <f t="shared" si="1140"/>
        <v>X</v>
      </c>
      <c r="N5231" t="s">
        <v>27</v>
      </c>
    </row>
    <row r="5232" spans="1:14" x14ac:dyDescent="0.25">
      <c r="A5232" t="s">
        <v>41</v>
      </c>
      <c r="B5232" t="s">
        <v>40</v>
      </c>
      <c r="C5232" t="s">
        <v>38</v>
      </c>
      <c r="D5232" t="s">
        <v>34</v>
      </c>
      <c r="E5232" t="s">
        <v>21</v>
      </c>
      <c r="F5232" t="s">
        <v>15</v>
      </c>
      <c r="G5232" s="1" t="str">
        <f t="shared" si="1140"/>
        <v>X</v>
      </c>
      <c r="H5232" s="1" t="str">
        <f t="shared" si="1140"/>
        <v>X</v>
      </c>
      <c r="I5232" s="1" t="str">
        <f t="shared" si="1140"/>
        <v>X</v>
      </c>
      <c r="J5232" s="1" t="str">
        <f t="shared" si="1140"/>
        <v>X</v>
      </c>
      <c r="K5232" s="1" t="str">
        <f t="shared" si="1140"/>
        <v>X</v>
      </c>
      <c r="L5232" s="1" t="str">
        <f t="shared" si="1140"/>
        <v>X</v>
      </c>
      <c r="M5232" s="1" t="str">
        <f t="shared" si="1140"/>
        <v>X</v>
      </c>
      <c r="N5232" t="s">
        <v>27</v>
      </c>
    </row>
    <row r="5233" spans="1:14" x14ac:dyDescent="0.25">
      <c r="A5233" t="s">
        <v>41</v>
      </c>
      <c r="B5233" t="s">
        <v>40</v>
      </c>
      <c r="C5233" t="s">
        <v>38</v>
      </c>
      <c r="D5233" t="s">
        <v>34</v>
      </c>
      <c r="E5233" t="s">
        <v>21</v>
      </c>
      <c r="F5233" t="s">
        <v>17</v>
      </c>
      <c r="G5233" s="1" t="str">
        <f t="shared" si="1140"/>
        <v>X</v>
      </c>
      <c r="H5233" s="1" t="str">
        <f t="shared" si="1140"/>
        <v>X</v>
      </c>
      <c r="I5233" s="1" t="str">
        <f t="shared" si="1140"/>
        <v>X</v>
      </c>
      <c r="J5233" s="1" t="str">
        <f t="shared" si="1140"/>
        <v>X</v>
      </c>
      <c r="K5233" s="1" t="str">
        <f t="shared" si="1140"/>
        <v>X</v>
      </c>
      <c r="L5233" s="1" t="str">
        <f t="shared" si="1140"/>
        <v>X</v>
      </c>
      <c r="M5233" s="1" t="str">
        <f t="shared" si="1140"/>
        <v>X</v>
      </c>
      <c r="N5233" t="s">
        <v>27</v>
      </c>
    </row>
    <row r="5234" spans="1:14" x14ac:dyDescent="0.25">
      <c r="A5234" t="s">
        <v>41</v>
      </c>
      <c r="B5234" t="s">
        <v>40</v>
      </c>
      <c r="C5234" t="s">
        <v>38</v>
      </c>
      <c r="D5234" t="s">
        <v>34</v>
      </c>
      <c r="E5234" t="s">
        <v>21</v>
      </c>
      <c r="F5234" t="s">
        <v>18</v>
      </c>
      <c r="G5234" s="1" t="str">
        <f t="shared" si="1140"/>
        <v>X</v>
      </c>
      <c r="H5234" s="1" t="str">
        <f t="shared" si="1140"/>
        <v>X</v>
      </c>
      <c r="I5234" s="1" t="str">
        <f t="shared" si="1140"/>
        <v>X</v>
      </c>
      <c r="J5234" s="1" t="str">
        <f t="shared" si="1140"/>
        <v>X</v>
      </c>
      <c r="K5234" s="1" t="str">
        <f t="shared" si="1140"/>
        <v>X</v>
      </c>
      <c r="L5234" s="1" t="str">
        <f t="shared" si="1140"/>
        <v>X</v>
      </c>
      <c r="M5234" s="1" t="str">
        <f t="shared" si="1140"/>
        <v>X</v>
      </c>
      <c r="N5234" t="s">
        <v>27</v>
      </c>
    </row>
    <row r="5235" spans="1:14" x14ac:dyDescent="0.25">
      <c r="A5235" t="s">
        <v>41</v>
      </c>
      <c r="B5235" t="s">
        <v>40</v>
      </c>
      <c r="C5235" t="s">
        <v>38</v>
      </c>
      <c r="D5235" t="s">
        <v>34</v>
      </c>
      <c r="E5235" t="s">
        <v>21</v>
      </c>
      <c r="F5235" t="s">
        <v>19</v>
      </c>
      <c r="G5235" s="1" t="str">
        <f t="shared" ref="G5235:M5235" si="1141">"..."</f>
        <v>...</v>
      </c>
      <c r="H5235" s="1" t="str">
        <f t="shared" si="1141"/>
        <v>...</v>
      </c>
      <c r="I5235" s="1" t="str">
        <f t="shared" si="1141"/>
        <v>...</v>
      </c>
      <c r="J5235" s="1" t="str">
        <f t="shared" si="1141"/>
        <v>...</v>
      </c>
      <c r="K5235" s="1" t="str">
        <f t="shared" si="1141"/>
        <v>...</v>
      </c>
      <c r="L5235" s="1" t="str">
        <f t="shared" si="1141"/>
        <v>...</v>
      </c>
      <c r="M5235" s="1" t="str">
        <f t="shared" si="1141"/>
        <v>...</v>
      </c>
      <c r="N5235" t="s">
        <v>30</v>
      </c>
    </row>
    <row r="5236" spans="1:14" x14ac:dyDescent="0.25">
      <c r="A5236" t="s">
        <v>41</v>
      </c>
      <c r="B5236" t="s">
        <v>40</v>
      </c>
      <c r="C5236" t="s">
        <v>38</v>
      </c>
      <c r="D5236" t="s">
        <v>34</v>
      </c>
      <c r="E5236" t="s">
        <v>21</v>
      </c>
      <c r="F5236" t="s">
        <v>20</v>
      </c>
      <c r="G5236" s="1" t="str">
        <f t="shared" ref="G5236:M5239" si="1142">"X"</f>
        <v>X</v>
      </c>
      <c r="H5236" s="1" t="str">
        <f t="shared" si="1142"/>
        <v>X</v>
      </c>
      <c r="I5236" s="1" t="str">
        <f t="shared" si="1142"/>
        <v>X</v>
      </c>
      <c r="J5236" s="1" t="str">
        <f t="shared" si="1142"/>
        <v>X</v>
      </c>
      <c r="K5236" s="1" t="str">
        <f t="shared" si="1142"/>
        <v>X</v>
      </c>
      <c r="L5236" s="1" t="str">
        <f t="shared" si="1142"/>
        <v>X</v>
      </c>
      <c r="M5236" s="1" t="str">
        <f t="shared" si="1142"/>
        <v>X</v>
      </c>
      <c r="N5236" t="s">
        <v>27</v>
      </c>
    </row>
    <row r="5237" spans="1:14" x14ac:dyDescent="0.25">
      <c r="A5237" t="s">
        <v>41</v>
      </c>
      <c r="B5237" t="s">
        <v>40</v>
      </c>
      <c r="C5237" t="s">
        <v>38</v>
      </c>
      <c r="D5237" t="s">
        <v>34</v>
      </c>
      <c r="E5237" t="s">
        <v>22</v>
      </c>
      <c r="F5237" t="s">
        <v>15</v>
      </c>
      <c r="G5237" s="1" t="str">
        <f t="shared" si="1142"/>
        <v>X</v>
      </c>
      <c r="H5237" s="1" t="str">
        <f t="shared" si="1142"/>
        <v>X</v>
      </c>
      <c r="I5237" s="1" t="str">
        <f t="shared" si="1142"/>
        <v>X</v>
      </c>
      <c r="J5237" s="1" t="str">
        <f t="shared" si="1142"/>
        <v>X</v>
      </c>
      <c r="K5237" s="1" t="str">
        <f t="shared" si="1142"/>
        <v>X</v>
      </c>
      <c r="L5237" s="1" t="str">
        <f t="shared" si="1142"/>
        <v>X</v>
      </c>
      <c r="M5237" s="1" t="str">
        <f t="shared" si="1142"/>
        <v>X</v>
      </c>
      <c r="N5237" t="s">
        <v>27</v>
      </c>
    </row>
    <row r="5238" spans="1:14" x14ac:dyDescent="0.25">
      <c r="A5238" t="s">
        <v>41</v>
      </c>
      <c r="B5238" t="s">
        <v>40</v>
      </c>
      <c r="C5238" t="s">
        <v>38</v>
      </c>
      <c r="D5238" t="s">
        <v>34</v>
      </c>
      <c r="E5238" t="s">
        <v>22</v>
      </c>
      <c r="F5238" t="s">
        <v>17</v>
      </c>
      <c r="G5238" s="1" t="str">
        <f t="shared" si="1142"/>
        <v>X</v>
      </c>
      <c r="H5238" s="1" t="str">
        <f t="shared" si="1142"/>
        <v>X</v>
      </c>
      <c r="I5238" s="1" t="str">
        <f t="shared" si="1142"/>
        <v>X</v>
      </c>
      <c r="J5238" s="1" t="str">
        <f t="shared" si="1142"/>
        <v>X</v>
      </c>
      <c r="K5238" s="1" t="str">
        <f t="shared" si="1142"/>
        <v>X</v>
      </c>
      <c r="L5238" s="1" t="str">
        <f t="shared" si="1142"/>
        <v>X</v>
      </c>
      <c r="M5238" s="1" t="str">
        <f t="shared" si="1142"/>
        <v>X</v>
      </c>
      <c r="N5238" t="s">
        <v>27</v>
      </c>
    </row>
    <row r="5239" spans="1:14" x14ac:dyDescent="0.25">
      <c r="A5239" t="s">
        <v>41</v>
      </c>
      <c r="B5239" t="s">
        <v>40</v>
      </c>
      <c r="C5239" t="s">
        <v>38</v>
      </c>
      <c r="D5239" t="s">
        <v>34</v>
      </c>
      <c r="E5239" t="s">
        <v>22</v>
      </c>
      <c r="F5239" t="s">
        <v>18</v>
      </c>
      <c r="G5239" s="1" t="str">
        <f t="shared" si="1142"/>
        <v>X</v>
      </c>
      <c r="H5239" s="1" t="str">
        <f t="shared" si="1142"/>
        <v>X</v>
      </c>
      <c r="I5239" s="1" t="str">
        <f t="shared" si="1142"/>
        <v>X</v>
      </c>
      <c r="J5239" s="1" t="str">
        <f t="shared" si="1142"/>
        <v>X</v>
      </c>
      <c r="K5239" s="1" t="str">
        <f t="shared" si="1142"/>
        <v>X</v>
      </c>
      <c r="L5239" s="1" t="str">
        <f t="shared" si="1142"/>
        <v>X</v>
      </c>
      <c r="M5239" s="1" t="str">
        <f t="shared" si="1142"/>
        <v>X</v>
      </c>
      <c r="N5239" t="s">
        <v>27</v>
      </c>
    </row>
    <row r="5240" spans="1:14" x14ac:dyDescent="0.25">
      <c r="A5240" t="s">
        <v>41</v>
      </c>
      <c r="B5240" t="s">
        <v>40</v>
      </c>
      <c r="C5240" t="s">
        <v>38</v>
      </c>
      <c r="D5240" t="s">
        <v>34</v>
      </c>
      <c r="E5240" t="s">
        <v>22</v>
      </c>
      <c r="F5240" t="s">
        <v>19</v>
      </c>
      <c r="G5240" s="1" t="str">
        <f t="shared" ref="G5240:M5240" si="1143">"..."</f>
        <v>...</v>
      </c>
      <c r="H5240" s="1" t="str">
        <f t="shared" si="1143"/>
        <v>...</v>
      </c>
      <c r="I5240" s="1" t="str">
        <f t="shared" si="1143"/>
        <v>...</v>
      </c>
      <c r="J5240" s="1" t="str">
        <f t="shared" si="1143"/>
        <v>...</v>
      </c>
      <c r="K5240" s="1" t="str">
        <f t="shared" si="1143"/>
        <v>...</v>
      </c>
      <c r="L5240" s="1" t="str">
        <f t="shared" si="1143"/>
        <v>...</v>
      </c>
      <c r="M5240" s="1" t="str">
        <f t="shared" si="1143"/>
        <v>...</v>
      </c>
      <c r="N5240" t="s">
        <v>30</v>
      </c>
    </row>
    <row r="5241" spans="1:14" x14ac:dyDescent="0.25">
      <c r="A5241" t="s">
        <v>41</v>
      </c>
      <c r="B5241" t="s">
        <v>40</v>
      </c>
      <c r="C5241" t="s">
        <v>38</v>
      </c>
      <c r="D5241" t="s">
        <v>34</v>
      </c>
      <c r="E5241" t="s">
        <v>22</v>
      </c>
      <c r="F5241" t="s">
        <v>20</v>
      </c>
      <c r="G5241" s="1" t="str">
        <f t="shared" ref="G5241:M5243" si="1144">"X"</f>
        <v>X</v>
      </c>
      <c r="H5241" s="1" t="str">
        <f t="shared" si="1144"/>
        <v>X</v>
      </c>
      <c r="I5241" s="1" t="str">
        <f t="shared" si="1144"/>
        <v>X</v>
      </c>
      <c r="J5241" s="1" t="str">
        <f t="shared" si="1144"/>
        <v>X</v>
      </c>
      <c r="K5241" s="1" t="str">
        <f t="shared" si="1144"/>
        <v>X</v>
      </c>
      <c r="L5241" s="1" t="str">
        <f t="shared" si="1144"/>
        <v>X</v>
      </c>
      <c r="M5241" s="1" t="str">
        <f t="shared" si="1144"/>
        <v>X</v>
      </c>
      <c r="N5241" t="s">
        <v>27</v>
      </c>
    </row>
    <row r="5242" spans="1:14" x14ac:dyDescent="0.25">
      <c r="A5242" t="s">
        <v>41</v>
      </c>
      <c r="B5242" t="s">
        <v>40</v>
      </c>
      <c r="C5242" t="s">
        <v>38</v>
      </c>
      <c r="D5242" t="s">
        <v>34</v>
      </c>
      <c r="E5242" t="s">
        <v>23</v>
      </c>
      <c r="F5242" t="s">
        <v>15</v>
      </c>
      <c r="G5242" s="1" t="str">
        <f t="shared" si="1144"/>
        <v>X</v>
      </c>
      <c r="H5242" s="1" t="str">
        <f t="shared" si="1144"/>
        <v>X</v>
      </c>
      <c r="I5242" s="1" t="str">
        <f t="shared" si="1144"/>
        <v>X</v>
      </c>
      <c r="J5242" s="1" t="str">
        <f t="shared" si="1144"/>
        <v>X</v>
      </c>
      <c r="K5242" s="1" t="str">
        <f t="shared" si="1144"/>
        <v>X</v>
      </c>
      <c r="L5242" s="1" t="str">
        <f t="shared" si="1144"/>
        <v>X</v>
      </c>
      <c r="M5242" s="1" t="str">
        <f t="shared" si="1144"/>
        <v>X</v>
      </c>
      <c r="N5242" t="s">
        <v>27</v>
      </c>
    </row>
    <row r="5243" spans="1:14" x14ac:dyDescent="0.25">
      <c r="A5243" t="s">
        <v>41</v>
      </c>
      <c r="B5243" t="s">
        <v>40</v>
      </c>
      <c r="C5243" t="s">
        <v>38</v>
      </c>
      <c r="D5243" t="s">
        <v>34</v>
      </c>
      <c r="E5243" t="s">
        <v>23</v>
      </c>
      <c r="F5243" t="s">
        <v>17</v>
      </c>
      <c r="G5243" s="1" t="str">
        <f t="shared" si="1144"/>
        <v>X</v>
      </c>
      <c r="H5243" s="1" t="str">
        <f t="shared" si="1144"/>
        <v>X</v>
      </c>
      <c r="I5243" s="1" t="str">
        <f t="shared" si="1144"/>
        <v>X</v>
      </c>
      <c r="J5243" s="1" t="str">
        <f t="shared" si="1144"/>
        <v>X</v>
      </c>
      <c r="K5243" s="1" t="str">
        <f t="shared" si="1144"/>
        <v>X</v>
      </c>
      <c r="L5243" s="1" t="str">
        <f t="shared" si="1144"/>
        <v>X</v>
      </c>
      <c r="M5243" s="1" t="str">
        <f t="shared" si="1144"/>
        <v>X</v>
      </c>
      <c r="N5243" t="s">
        <v>27</v>
      </c>
    </row>
    <row r="5244" spans="1:14" x14ac:dyDescent="0.25">
      <c r="A5244" t="s">
        <v>41</v>
      </c>
      <c r="B5244" t="s">
        <v>40</v>
      </c>
      <c r="C5244" t="s">
        <v>38</v>
      </c>
      <c r="D5244" t="s">
        <v>34</v>
      </c>
      <c r="E5244" t="s">
        <v>23</v>
      </c>
      <c r="F5244" t="s">
        <v>18</v>
      </c>
      <c r="G5244" s="1" t="str">
        <f t="shared" ref="G5244:M5244" si="1145">"..."</f>
        <v>...</v>
      </c>
      <c r="H5244" s="1" t="str">
        <f t="shared" si="1145"/>
        <v>...</v>
      </c>
      <c r="I5244" s="1" t="str">
        <f t="shared" si="1145"/>
        <v>...</v>
      </c>
      <c r="J5244" s="1" t="str">
        <f t="shared" si="1145"/>
        <v>...</v>
      </c>
      <c r="K5244" s="1" t="str">
        <f t="shared" si="1145"/>
        <v>...</v>
      </c>
      <c r="L5244" s="1" t="str">
        <f t="shared" si="1145"/>
        <v>...</v>
      </c>
      <c r="M5244" s="1" t="str">
        <f t="shared" si="1145"/>
        <v>...</v>
      </c>
      <c r="N5244" t="s">
        <v>30</v>
      </c>
    </row>
    <row r="5245" spans="1:14" x14ac:dyDescent="0.25">
      <c r="A5245" t="s">
        <v>41</v>
      </c>
      <c r="B5245" t="s">
        <v>40</v>
      </c>
      <c r="C5245" t="s">
        <v>38</v>
      </c>
      <c r="D5245" t="s">
        <v>34</v>
      </c>
      <c r="E5245" t="s">
        <v>23</v>
      </c>
      <c r="F5245" t="s">
        <v>19</v>
      </c>
      <c r="G5245" s="1" t="str">
        <f t="shared" ref="G5245:M5247" si="1146">"X"</f>
        <v>X</v>
      </c>
      <c r="H5245" s="1" t="str">
        <f t="shared" si="1146"/>
        <v>X</v>
      </c>
      <c r="I5245" s="1" t="str">
        <f t="shared" si="1146"/>
        <v>X</v>
      </c>
      <c r="J5245" s="1" t="str">
        <f t="shared" si="1146"/>
        <v>X</v>
      </c>
      <c r="K5245" s="1" t="str">
        <f t="shared" si="1146"/>
        <v>X</v>
      </c>
      <c r="L5245" s="1" t="str">
        <f t="shared" si="1146"/>
        <v>X</v>
      </c>
      <c r="M5245" s="1" t="str">
        <f t="shared" si="1146"/>
        <v>X</v>
      </c>
      <c r="N5245" t="s">
        <v>27</v>
      </c>
    </row>
    <row r="5246" spans="1:14" x14ac:dyDescent="0.25">
      <c r="A5246" t="s">
        <v>41</v>
      </c>
      <c r="B5246" t="s">
        <v>40</v>
      </c>
      <c r="C5246" t="s">
        <v>38</v>
      </c>
      <c r="D5246" t="s">
        <v>34</v>
      </c>
      <c r="E5246" t="s">
        <v>23</v>
      </c>
      <c r="F5246" t="s">
        <v>20</v>
      </c>
      <c r="G5246" s="1" t="str">
        <f t="shared" si="1146"/>
        <v>X</v>
      </c>
      <c r="H5246" s="1" t="str">
        <f t="shared" si="1146"/>
        <v>X</v>
      </c>
      <c r="I5246" s="1" t="str">
        <f t="shared" si="1146"/>
        <v>X</v>
      </c>
      <c r="J5246" s="1" t="str">
        <f t="shared" si="1146"/>
        <v>X</v>
      </c>
      <c r="K5246" s="1" t="str">
        <f t="shared" si="1146"/>
        <v>X</v>
      </c>
      <c r="L5246" s="1" t="str">
        <f t="shared" si="1146"/>
        <v>X</v>
      </c>
      <c r="M5246" s="1" t="str">
        <f t="shared" si="1146"/>
        <v>X</v>
      </c>
      <c r="N5246" t="s">
        <v>27</v>
      </c>
    </row>
    <row r="5247" spans="1:14" x14ac:dyDescent="0.25">
      <c r="A5247" t="s">
        <v>41</v>
      </c>
      <c r="B5247" t="s">
        <v>40</v>
      </c>
      <c r="C5247" t="s">
        <v>38</v>
      </c>
      <c r="D5247" t="s">
        <v>34</v>
      </c>
      <c r="E5247" t="s">
        <v>26</v>
      </c>
      <c r="F5247" t="s">
        <v>15</v>
      </c>
      <c r="G5247" s="1" t="str">
        <f t="shared" si="1146"/>
        <v>X</v>
      </c>
      <c r="H5247" s="1" t="str">
        <f t="shared" si="1146"/>
        <v>X</v>
      </c>
      <c r="I5247" s="1" t="str">
        <f t="shared" si="1146"/>
        <v>X</v>
      </c>
      <c r="J5247" s="1" t="str">
        <f t="shared" si="1146"/>
        <v>X</v>
      </c>
      <c r="K5247" s="1" t="str">
        <f t="shared" si="1146"/>
        <v>X</v>
      </c>
      <c r="L5247" s="1" t="str">
        <f t="shared" si="1146"/>
        <v>X</v>
      </c>
      <c r="M5247" s="1" t="str">
        <f t="shared" si="1146"/>
        <v>X</v>
      </c>
      <c r="N5247" t="s">
        <v>27</v>
      </c>
    </row>
    <row r="5248" spans="1:14" x14ac:dyDescent="0.25">
      <c r="A5248" t="s">
        <v>41</v>
      </c>
      <c r="B5248" t="s">
        <v>40</v>
      </c>
      <c r="C5248" t="s">
        <v>38</v>
      </c>
      <c r="D5248" t="s">
        <v>34</v>
      </c>
      <c r="E5248" t="s">
        <v>26</v>
      </c>
      <c r="F5248" t="s">
        <v>17</v>
      </c>
      <c r="G5248" s="1" t="str">
        <f t="shared" ref="G5248:M5250" si="1147">"..."</f>
        <v>...</v>
      </c>
      <c r="H5248" s="1" t="str">
        <f t="shared" si="1147"/>
        <v>...</v>
      </c>
      <c r="I5248" s="1" t="str">
        <f t="shared" si="1147"/>
        <v>...</v>
      </c>
      <c r="J5248" s="1" t="str">
        <f t="shared" si="1147"/>
        <v>...</v>
      </c>
      <c r="K5248" s="1" t="str">
        <f t="shared" si="1147"/>
        <v>...</v>
      </c>
      <c r="L5248" s="1" t="str">
        <f t="shared" si="1147"/>
        <v>...</v>
      </c>
      <c r="M5248" s="1" t="str">
        <f t="shared" si="1147"/>
        <v>...</v>
      </c>
      <c r="N5248" t="s">
        <v>30</v>
      </c>
    </row>
    <row r="5249" spans="1:14" x14ac:dyDescent="0.25">
      <c r="A5249" t="s">
        <v>41</v>
      </c>
      <c r="B5249" t="s">
        <v>40</v>
      </c>
      <c r="C5249" t="s">
        <v>38</v>
      </c>
      <c r="D5249" t="s">
        <v>34</v>
      </c>
      <c r="E5249" t="s">
        <v>26</v>
      </c>
      <c r="F5249" t="s">
        <v>18</v>
      </c>
      <c r="G5249" s="1" t="str">
        <f t="shared" si="1147"/>
        <v>...</v>
      </c>
      <c r="H5249" s="1" t="str">
        <f t="shared" si="1147"/>
        <v>...</v>
      </c>
      <c r="I5249" s="1" t="str">
        <f t="shared" si="1147"/>
        <v>...</v>
      </c>
      <c r="J5249" s="1" t="str">
        <f t="shared" si="1147"/>
        <v>...</v>
      </c>
      <c r="K5249" s="1" t="str">
        <f t="shared" si="1147"/>
        <v>...</v>
      </c>
      <c r="L5249" s="1" t="str">
        <f t="shared" si="1147"/>
        <v>...</v>
      </c>
      <c r="M5249" s="1" t="str">
        <f t="shared" si="1147"/>
        <v>...</v>
      </c>
      <c r="N5249" t="s">
        <v>30</v>
      </c>
    </row>
    <row r="5250" spans="1:14" x14ac:dyDescent="0.25">
      <c r="A5250" t="s">
        <v>41</v>
      </c>
      <c r="B5250" t="s">
        <v>40</v>
      </c>
      <c r="C5250" t="s">
        <v>38</v>
      </c>
      <c r="D5250" t="s">
        <v>34</v>
      </c>
      <c r="E5250" t="s">
        <v>26</v>
      </c>
      <c r="F5250" t="s">
        <v>19</v>
      </c>
      <c r="G5250" s="1" t="str">
        <f t="shared" si="1147"/>
        <v>...</v>
      </c>
      <c r="H5250" s="1" t="str">
        <f t="shared" si="1147"/>
        <v>...</v>
      </c>
      <c r="I5250" s="1" t="str">
        <f t="shared" si="1147"/>
        <v>...</v>
      </c>
      <c r="J5250" s="1" t="str">
        <f t="shared" si="1147"/>
        <v>...</v>
      </c>
      <c r="K5250" s="1" t="str">
        <f t="shared" si="1147"/>
        <v>...</v>
      </c>
      <c r="L5250" s="1" t="str">
        <f t="shared" si="1147"/>
        <v>...</v>
      </c>
      <c r="M5250" s="1" t="str">
        <f t="shared" si="1147"/>
        <v>...</v>
      </c>
      <c r="N5250" t="s">
        <v>30</v>
      </c>
    </row>
    <row r="5251" spans="1:14" x14ac:dyDescent="0.25">
      <c r="A5251" t="s">
        <v>41</v>
      </c>
      <c r="B5251" t="s">
        <v>40</v>
      </c>
      <c r="C5251" t="s">
        <v>38</v>
      </c>
      <c r="D5251" t="s">
        <v>34</v>
      </c>
      <c r="E5251" t="s">
        <v>26</v>
      </c>
      <c r="F5251" t="s">
        <v>20</v>
      </c>
      <c r="G5251" s="1" t="str">
        <f t="shared" ref="G5251:M5251" si="1148">"X"</f>
        <v>X</v>
      </c>
      <c r="H5251" s="1" t="str">
        <f t="shared" si="1148"/>
        <v>X</v>
      </c>
      <c r="I5251" s="1" t="str">
        <f t="shared" si="1148"/>
        <v>X</v>
      </c>
      <c r="J5251" s="1" t="str">
        <f t="shared" si="1148"/>
        <v>X</v>
      </c>
      <c r="K5251" s="1" t="str">
        <f t="shared" si="1148"/>
        <v>X</v>
      </c>
      <c r="L5251" s="1" t="str">
        <f t="shared" si="1148"/>
        <v>X</v>
      </c>
      <c r="M5251" s="1" t="str">
        <f t="shared" si="1148"/>
        <v>X</v>
      </c>
      <c r="N5251" t="s">
        <v>27</v>
      </c>
    </row>
    <row r="5252" spans="1:14" x14ac:dyDescent="0.25">
      <c r="A5252" t="s">
        <v>42</v>
      </c>
      <c r="B5252" t="s">
        <v>15</v>
      </c>
      <c r="C5252" t="s">
        <v>15</v>
      </c>
      <c r="D5252" t="s">
        <v>15</v>
      </c>
      <c r="E5252" t="s">
        <v>15</v>
      </c>
      <c r="F5252" t="s">
        <v>15</v>
      </c>
      <c r="G5252" s="1">
        <f>VALUE(121771.29)</f>
        <v>121771.29</v>
      </c>
      <c r="H5252" s="1">
        <f>VALUE(111724.66)</f>
        <v>111724.66</v>
      </c>
      <c r="I5252" s="1">
        <f>VALUE(3106)</f>
        <v>3106</v>
      </c>
      <c r="J5252" s="1">
        <f>VALUE(3951)</f>
        <v>3951</v>
      </c>
      <c r="K5252" s="1">
        <f>VALUE(5091)</f>
        <v>5091</v>
      </c>
      <c r="L5252" s="1">
        <f>VALUE(6538)</f>
        <v>6538</v>
      </c>
      <c r="M5252" s="1">
        <f>VALUE(9038)</f>
        <v>9038</v>
      </c>
      <c r="N5252" t="s">
        <v>16</v>
      </c>
    </row>
    <row r="5253" spans="1:14" x14ac:dyDescent="0.25">
      <c r="A5253" t="s">
        <v>42</v>
      </c>
      <c r="B5253" t="s">
        <v>15</v>
      </c>
      <c r="C5253" t="s">
        <v>15</v>
      </c>
      <c r="D5253" t="s">
        <v>15</v>
      </c>
      <c r="E5253" t="s">
        <v>15</v>
      </c>
      <c r="F5253" t="s">
        <v>17</v>
      </c>
      <c r="G5253" s="1">
        <f>VALUE(18098.24)</f>
        <v>18098.240000000002</v>
      </c>
      <c r="H5253" s="1">
        <f>VALUE(17546.8)</f>
        <v>17546.8</v>
      </c>
      <c r="I5253" s="1">
        <f>VALUE(3832)</f>
        <v>3832</v>
      </c>
      <c r="J5253" s="1">
        <f>VALUE(5404)</f>
        <v>5404</v>
      </c>
      <c r="K5253" s="1">
        <f>VALUE(8000)</f>
        <v>8000</v>
      </c>
      <c r="L5253" s="1">
        <f>VALUE(11388)</f>
        <v>11388</v>
      </c>
      <c r="M5253" s="1">
        <f>VALUE(16785)</f>
        <v>16785</v>
      </c>
      <c r="N5253" t="s">
        <v>16</v>
      </c>
    </row>
    <row r="5254" spans="1:14" x14ac:dyDescent="0.25">
      <c r="A5254" t="s">
        <v>42</v>
      </c>
      <c r="B5254" t="s">
        <v>15</v>
      </c>
      <c r="C5254" t="s">
        <v>15</v>
      </c>
      <c r="D5254" t="s">
        <v>15</v>
      </c>
      <c r="E5254" t="s">
        <v>15</v>
      </c>
      <c r="F5254" t="s">
        <v>18</v>
      </c>
      <c r="G5254" s="1">
        <f>VALUE(10449.09)</f>
        <v>10449.09</v>
      </c>
      <c r="H5254" s="1">
        <f>VALUE(9451.23)</f>
        <v>9451.23</v>
      </c>
      <c r="I5254" s="1">
        <f>VALUE(3573)</f>
        <v>3573</v>
      </c>
      <c r="J5254" s="1">
        <f>VALUE(4705)</f>
        <v>4705</v>
      </c>
      <c r="K5254" s="1">
        <f>VALUE(6000)</f>
        <v>6000</v>
      </c>
      <c r="L5254" s="1">
        <f>VALUE(7945)</f>
        <v>7945</v>
      </c>
      <c r="M5254" s="1">
        <f>VALUE(9917)</f>
        <v>9917</v>
      </c>
      <c r="N5254" t="s">
        <v>16</v>
      </c>
    </row>
    <row r="5255" spans="1:14" x14ac:dyDescent="0.25">
      <c r="A5255" t="s">
        <v>42</v>
      </c>
      <c r="B5255" t="s">
        <v>15</v>
      </c>
      <c r="C5255" t="s">
        <v>15</v>
      </c>
      <c r="D5255" t="s">
        <v>15</v>
      </c>
      <c r="E5255" t="s">
        <v>15</v>
      </c>
      <c r="F5255" t="s">
        <v>19</v>
      </c>
      <c r="G5255" s="1">
        <f>VALUE(15340.31)</f>
        <v>15340.31</v>
      </c>
      <c r="H5255" s="1">
        <f>VALUE(14450.99)</f>
        <v>14450.99</v>
      </c>
      <c r="I5255" s="1">
        <f>VALUE(3200)</f>
        <v>3200</v>
      </c>
      <c r="J5255" s="1">
        <f>VALUE(4127)</f>
        <v>4127</v>
      </c>
      <c r="K5255" s="1">
        <f>VALUE(5217)</f>
        <v>5217</v>
      </c>
      <c r="L5255" s="1">
        <f>VALUE(6448)</f>
        <v>6448</v>
      </c>
      <c r="M5255" s="1">
        <f>VALUE(7924)</f>
        <v>7924</v>
      </c>
      <c r="N5255" t="s">
        <v>16</v>
      </c>
    </row>
    <row r="5256" spans="1:14" x14ac:dyDescent="0.25">
      <c r="A5256" t="s">
        <v>42</v>
      </c>
      <c r="B5256" t="s">
        <v>15</v>
      </c>
      <c r="C5256" t="s">
        <v>15</v>
      </c>
      <c r="D5256" t="s">
        <v>15</v>
      </c>
      <c r="E5256" t="s">
        <v>15</v>
      </c>
      <c r="F5256" t="s">
        <v>20</v>
      </c>
      <c r="G5256" s="1">
        <f>VALUE(77883.65)</f>
        <v>77883.649999999994</v>
      </c>
      <c r="H5256" s="1">
        <f>VALUE(70275.64)</f>
        <v>70275.64</v>
      </c>
      <c r="I5256" s="1">
        <f>VALUE(2970)</f>
        <v>2970</v>
      </c>
      <c r="J5256" s="1">
        <f>VALUE(3709)</f>
        <v>3709</v>
      </c>
      <c r="K5256" s="1">
        <f>VALUE(4664)</f>
        <v>4664</v>
      </c>
      <c r="L5256" s="1">
        <f>VALUE(5783)</f>
        <v>5783</v>
      </c>
      <c r="M5256" s="1">
        <f>VALUE(6912)</f>
        <v>6912</v>
      </c>
      <c r="N5256" t="s">
        <v>16</v>
      </c>
    </row>
    <row r="5257" spans="1:14" x14ac:dyDescent="0.25">
      <c r="A5257" t="s">
        <v>42</v>
      </c>
      <c r="B5257" t="s">
        <v>15</v>
      </c>
      <c r="C5257" t="s">
        <v>15</v>
      </c>
      <c r="D5257" t="s">
        <v>15</v>
      </c>
      <c r="E5257" t="s">
        <v>21</v>
      </c>
      <c r="F5257" t="s">
        <v>15</v>
      </c>
      <c r="G5257" s="1">
        <f>VALUE(25007.59)</f>
        <v>25007.59</v>
      </c>
      <c r="H5257" s="1">
        <f>VALUE(22878.43)</f>
        <v>22878.43</v>
      </c>
      <c r="I5257" s="1">
        <f>VALUE(3810)</f>
        <v>3810</v>
      </c>
      <c r="J5257" s="1">
        <f>VALUE(5080)</f>
        <v>5080</v>
      </c>
      <c r="K5257" s="1">
        <f>VALUE(7006)</f>
        <v>7006</v>
      </c>
      <c r="L5257" s="1">
        <f>VALUE(9720)</f>
        <v>9720</v>
      </c>
      <c r="M5257" s="1">
        <f>VALUE(13545)</f>
        <v>13545</v>
      </c>
      <c r="N5257" t="s">
        <v>16</v>
      </c>
    </row>
    <row r="5258" spans="1:14" x14ac:dyDescent="0.25">
      <c r="A5258" t="s">
        <v>42</v>
      </c>
      <c r="B5258" t="s">
        <v>15</v>
      </c>
      <c r="C5258" t="s">
        <v>15</v>
      </c>
      <c r="D5258" t="s">
        <v>15</v>
      </c>
      <c r="E5258" t="s">
        <v>21</v>
      </c>
      <c r="F5258" t="s">
        <v>17</v>
      </c>
      <c r="G5258" s="1">
        <f>VALUE(8974.88)</f>
        <v>8974.8799999999992</v>
      </c>
      <c r="H5258" s="1">
        <f>VALUE(8647.37)</f>
        <v>8647.3700000000008</v>
      </c>
      <c r="I5258" s="4">
        <f>VALUE(4654)</f>
        <v>4654</v>
      </c>
      <c r="J5258" s="1">
        <f>VALUE(6666)</f>
        <v>6666</v>
      </c>
      <c r="K5258" s="1">
        <f>VALUE(9482)</f>
        <v>9482</v>
      </c>
      <c r="L5258" s="1">
        <f>VALUE(12897)</f>
        <v>12897</v>
      </c>
      <c r="M5258" s="8">
        <f>VALUE(19289)</f>
        <v>19289</v>
      </c>
      <c r="N5258" t="s">
        <v>25</v>
      </c>
    </row>
    <row r="5259" spans="1:14" x14ac:dyDescent="0.25">
      <c r="A5259" t="s">
        <v>42</v>
      </c>
      <c r="B5259" t="s">
        <v>15</v>
      </c>
      <c r="C5259" t="s">
        <v>15</v>
      </c>
      <c r="D5259" t="s">
        <v>15</v>
      </c>
      <c r="E5259" t="s">
        <v>21</v>
      </c>
      <c r="F5259" t="s">
        <v>18</v>
      </c>
      <c r="G5259" s="1">
        <f>VALUE(3892.82)</f>
        <v>3892.82</v>
      </c>
      <c r="H5259" s="1">
        <f>VALUE(3465.56)</f>
        <v>3465.56</v>
      </c>
      <c r="I5259" s="4">
        <f>VALUE(4282)</f>
        <v>4282</v>
      </c>
      <c r="J5259" s="1">
        <f>VALUE(5601)</f>
        <v>5601</v>
      </c>
      <c r="K5259" s="1">
        <f>VALUE(7317)</f>
        <v>7317</v>
      </c>
      <c r="L5259" s="1">
        <f>VALUE(9357)</f>
        <v>9357</v>
      </c>
      <c r="M5259" s="1">
        <f>VALUE(11352)</f>
        <v>11352</v>
      </c>
      <c r="N5259" t="s">
        <v>25</v>
      </c>
    </row>
    <row r="5260" spans="1:14" x14ac:dyDescent="0.25">
      <c r="A5260" t="s">
        <v>42</v>
      </c>
      <c r="B5260" t="s">
        <v>15</v>
      </c>
      <c r="C5260" t="s">
        <v>15</v>
      </c>
      <c r="D5260" t="s">
        <v>15</v>
      </c>
      <c r="E5260" t="s">
        <v>21</v>
      </c>
      <c r="F5260" t="s">
        <v>19</v>
      </c>
      <c r="G5260" s="1">
        <f>VALUE(3168.04)</f>
        <v>3168.04</v>
      </c>
      <c r="H5260" s="1">
        <f>VALUE(3014.49)</f>
        <v>3014.49</v>
      </c>
      <c r="I5260" s="1">
        <f>VALUE(3792)</f>
        <v>3792</v>
      </c>
      <c r="J5260" s="1">
        <f>VALUE(4586)</f>
        <v>4586</v>
      </c>
      <c r="K5260" s="1">
        <f>VALUE(6162)</f>
        <v>6162</v>
      </c>
      <c r="L5260" s="1">
        <f>VALUE(7834)</f>
        <v>7834</v>
      </c>
      <c r="M5260" s="8">
        <f>VALUE(9750)</f>
        <v>9750</v>
      </c>
      <c r="N5260" t="s">
        <v>25</v>
      </c>
    </row>
    <row r="5261" spans="1:14" x14ac:dyDescent="0.25">
      <c r="A5261" t="s">
        <v>42</v>
      </c>
      <c r="B5261" t="s">
        <v>15</v>
      </c>
      <c r="C5261" t="s">
        <v>15</v>
      </c>
      <c r="D5261" t="s">
        <v>15</v>
      </c>
      <c r="E5261" t="s">
        <v>21</v>
      </c>
      <c r="F5261" t="s">
        <v>20</v>
      </c>
      <c r="G5261" s="1">
        <f>VALUE(8971.85)</f>
        <v>8971.85</v>
      </c>
      <c r="H5261" s="1">
        <f>VALUE(7751.01)</f>
        <v>7751.01</v>
      </c>
      <c r="I5261" s="1">
        <f>VALUE(3372)</f>
        <v>3372</v>
      </c>
      <c r="J5261" s="1">
        <f>VALUE(4360)</f>
        <v>4360</v>
      </c>
      <c r="K5261" s="1">
        <f>VALUE(5706)</f>
        <v>5706</v>
      </c>
      <c r="L5261" s="1">
        <f>VALUE(7380)</f>
        <v>7380</v>
      </c>
      <c r="M5261" s="1">
        <f>VALUE(8911)</f>
        <v>8911</v>
      </c>
      <c r="N5261" t="s">
        <v>16</v>
      </c>
    </row>
    <row r="5262" spans="1:14" x14ac:dyDescent="0.25">
      <c r="A5262" t="s">
        <v>42</v>
      </c>
      <c r="B5262" t="s">
        <v>15</v>
      </c>
      <c r="C5262" t="s">
        <v>15</v>
      </c>
      <c r="D5262" t="s">
        <v>15</v>
      </c>
      <c r="E5262" t="s">
        <v>22</v>
      </c>
      <c r="F5262" t="s">
        <v>15</v>
      </c>
      <c r="G5262" s="1">
        <f>VALUE(54349.81)</f>
        <v>54349.81</v>
      </c>
      <c r="H5262" s="1">
        <f>VALUE(49989.48)</f>
        <v>49989.48</v>
      </c>
      <c r="I5262" s="1">
        <f>VALUE(3488)</f>
        <v>3488</v>
      </c>
      <c r="J5262" s="1">
        <f>VALUE(4308)</f>
        <v>4308</v>
      </c>
      <c r="K5262" s="1">
        <f>VALUE(5307)</f>
        <v>5307</v>
      </c>
      <c r="L5262" s="1">
        <f>VALUE(6501)</f>
        <v>6501</v>
      </c>
      <c r="M5262" s="1">
        <f>VALUE(8242)</f>
        <v>8242</v>
      </c>
      <c r="N5262" t="s">
        <v>16</v>
      </c>
    </row>
    <row r="5263" spans="1:14" x14ac:dyDescent="0.25">
      <c r="A5263" t="s">
        <v>42</v>
      </c>
      <c r="B5263" t="s">
        <v>15</v>
      </c>
      <c r="C5263" t="s">
        <v>15</v>
      </c>
      <c r="D5263" t="s">
        <v>15</v>
      </c>
      <c r="E5263" t="s">
        <v>22</v>
      </c>
      <c r="F5263" t="s">
        <v>17</v>
      </c>
      <c r="G5263" s="1">
        <f>VALUE(7255.1)</f>
        <v>7255.1</v>
      </c>
      <c r="H5263" s="1">
        <f>VALUE(7111.84)</f>
        <v>7111.84</v>
      </c>
      <c r="I5263" s="1">
        <f>VALUE(3764)</f>
        <v>3764</v>
      </c>
      <c r="J5263" s="1">
        <f>VALUE(4987)</f>
        <v>4987</v>
      </c>
      <c r="K5263" s="1">
        <f>VALUE(7100)</f>
        <v>7100</v>
      </c>
      <c r="L5263" s="1">
        <f>VALUE(10238)</f>
        <v>10238</v>
      </c>
      <c r="M5263" s="1">
        <f>VALUE(14761)</f>
        <v>14761</v>
      </c>
      <c r="N5263" t="s">
        <v>16</v>
      </c>
    </row>
    <row r="5264" spans="1:14" x14ac:dyDescent="0.25">
      <c r="A5264" t="s">
        <v>42</v>
      </c>
      <c r="B5264" t="s">
        <v>15</v>
      </c>
      <c r="C5264" t="s">
        <v>15</v>
      </c>
      <c r="D5264" t="s">
        <v>15</v>
      </c>
      <c r="E5264" t="s">
        <v>22</v>
      </c>
      <c r="F5264" t="s">
        <v>18</v>
      </c>
      <c r="G5264" s="1">
        <f>VALUE(4889.52)</f>
        <v>4889.5200000000004</v>
      </c>
      <c r="H5264" s="1">
        <f>VALUE(4402.63)</f>
        <v>4402.63</v>
      </c>
      <c r="I5264" s="1">
        <f>VALUE(3714)</f>
        <v>3714</v>
      </c>
      <c r="J5264" s="1">
        <f>VALUE(4732)</f>
        <v>4732</v>
      </c>
      <c r="K5264" s="1">
        <f>VALUE(5809)</f>
        <v>5809</v>
      </c>
      <c r="L5264" s="1">
        <f>VALUE(7510)</f>
        <v>7510</v>
      </c>
      <c r="M5264" s="1">
        <f>VALUE(8951)</f>
        <v>8951</v>
      </c>
      <c r="N5264" t="s">
        <v>16</v>
      </c>
    </row>
    <row r="5265" spans="1:14" x14ac:dyDescent="0.25">
      <c r="A5265" t="s">
        <v>42</v>
      </c>
      <c r="B5265" t="s">
        <v>15</v>
      </c>
      <c r="C5265" t="s">
        <v>15</v>
      </c>
      <c r="D5265" t="s">
        <v>15</v>
      </c>
      <c r="E5265" t="s">
        <v>22</v>
      </c>
      <c r="F5265" t="s">
        <v>19</v>
      </c>
      <c r="G5265" s="1">
        <f>VALUE(8172.4)</f>
        <v>8172.4</v>
      </c>
      <c r="H5265" s="1">
        <f>VALUE(7465.05)</f>
        <v>7465.05</v>
      </c>
      <c r="I5265" s="1">
        <f>VALUE(3738)</f>
        <v>3738</v>
      </c>
      <c r="J5265" s="1">
        <f>VALUE(4510)</f>
        <v>4510</v>
      </c>
      <c r="K5265" s="1">
        <f>VALUE(5396)</f>
        <v>5396</v>
      </c>
      <c r="L5265" s="1">
        <f>VALUE(6456)</f>
        <v>6456</v>
      </c>
      <c r="M5265" s="1">
        <f>VALUE(7685)</f>
        <v>7685</v>
      </c>
      <c r="N5265" t="s">
        <v>16</v>
      </c>
    </row>
    <row r="5266" spans="1:14" x14ac:dyDescent="0.25">
      <c r="A5266" t="s">
        <v>42</v>
      </c>
      <c r="B5266" t="s">
        <v>15</v>
      </c>
      <c r="C5266" t="s">
        <v>15</v>
      </c>
      <c r="D5266" t="s">
        <v>15</v>
      </c>
      <c r="E5266" t="s">
        <v>22</v>
      </c>
      <c r="F5266" t="s">
        <v>20</v>
      </c>
      <c r="G5266" s="1">
        <f>VALUE(34032.79)</f>
        <v>34032.79</v>
      </c>
      <c r="H5266" s="1">
        <f>VALUE(31009.96)</f>
        <v>31009.96</v>
      </c>
      <c r="I5266" s="1">
        <f>VALUE(3353)</f>
        <v>3353</v>
      </c>
      <c r="J5266" s="1">
        <f>VALUE(4141)</f>
        <v>4141</v>
      </c>
      <c r="K5266" s="1">
        <f>VALUE(5058)</f>
        <v>5058</v>
      </c>
      <c r="L5266" s="1">
        <f>VALUE(6013)</f>
        <v>6013</v>
      </c>
      <c r="M5266" s="1">
        <f>VALUE(7042)</f>
        <v>7042</v>
      </c>
      <c r="N5266" t="s">
        <v>16</v>
      </c>
    </row>
    <row r="5267" spans="1:14" x14ac:dyDescent="0.25">
      <c r="A5267" t="s">
        <v>42</v>
      </c>
      <c r="B5267" t="s">
        <v>15</v>
      </c>
      <c r="C5267" t="s">
        <v>15</v>
      </c>
      <c r="D5267" t="s">
        <v>15</v>
      </c>
      <c r="E5267" t="s">
        <v>23</v>
      </c>
      <c r="F5267" t="s">
        <v>15</v>
      </c>
      <c r="G5267" s="1">
        <f>VALUE(38535.59)</f>
        <v>38535.589999999997</v>
      </c>
      <c r="H5267" s="1">
        <f>VALUE(35189.33)</f>
        <v>35189.33</v>
      </c>
      <c r="I5267" s="1">
        <f>VALUE(2792)</f>
        <v>2792</v>
      </c>
      <c r="J5267" s="1">
        <f>VALUE(3367)</f>
        <v>3367</v>
      </c>
      <c r="K5267" s="1">
        <f>VALUE(4120)</f>
        <v>4120</v>
      </c>
      <c r="L5267" s="1">
        <f>VALUE(5177)</f>
        <v>5177</v>
      </c>
      <c r="M5267" s="1">
        <f>VALUE(6148)</f>
        <v>6148</v>
      </c>
      <c r="N5267" t="s">
        <v>16</v>
      </c>
    </row>
    <row r="5268" spans="1:14" x14ac:dyDescent="0.25">
      <c r="A5268" t="s">
        <v>42</v>
      </c>
      <c r="B5268" t="s">
        <v>15</v>
      </c>
      <c r="C5268" t="s">
        <v>15</v>
      </c>
      <c r="D5268" t="s">
        <v>15</v>
      </c>
      <c r="E5268" t="s">
        <v>23</v>
      </c>
      <c r="F5268" t="s">
        <v>17</v>
      </c>
      <c r="G5268" s="2">
        <f>VALUE(1450.68)</f>
        <v>1450.68</v>
      </c>
      <c r="H5268" s="3">
        <f>VALUE(1377.85)</f>
        <v>1377.85</v>
      </c>
      <c r="I5268" s="4">
        <f>VALUE(2992)</f>
        <v>2992</v>
      </c>
      <c r="J5268" s="5">
        <f>VALUE(3664)</f>
        <v>3664</v>
      </c>
      <c r="K5268" s="6">
        <f>VALUE(4643)</f>
        <v>4643</v>
      </c>
      <c r="L5268" s="7">
        <f>VALUE(6667)</f>
        <v>6667</v>
      </c>
      <c r="M5268" s="8">
        <f>VALUE(9911)</f>
        <v>9911</v>
      </c>
      <c r="N5268" t="s">
        <v>24</v>
      </c>
    </row>
    <row r="5269" spans="1:14" x14ac:dyDescent="0.25">
      <c r="A5269" t="s">
        <v>42</v>
      </c>
      <c r="B5269" t="s">
        <v>15</v>
      </c>
      <c r="C5269" t="s">
        <v>15</v>
      </c>
      <c r="D5269" t="s">
        <v>15</v>
      </c>
      <c r="E5269" t="s">
        <v>23</v>
      </c>
      <c r="F5269" t="s">
        <v>18</v>
      </c>
      <c r="G5269" s="2">
        <f>VALUE(1519.69)</f>
        <v>1519.69</v>
      </c>
      <c r="H5269" s="3">
        <f>VALUE(1438.67)</f>
        <v>1438.67</v>
      </c>
      <c r="I5269" s="1">
        <f>VALUE(3200)</f>
        <v>3200</v>
      </c>
      <c r="J5269" s="1">
        <f>VALUE(3790)</f>
        <v>3790</v>
      </c>
      <c r="K5269" s="1">
        <f>VALUE(4684)</f>
        <v>4684</v>
      </c>
      <c r="L5269" s="1">
        <f>VALUE(5571)</f>
        <v>5571</v>
      </c>
      <c r="M5269" s="1">
        <f>VALUE(6778)</f>
        <v>6778</v>
      </c>
      <c r="N5269" t="s">
        <v>25</v>
      </c>
    </row>
    <row r="5270" spans="1:14" x14ac:dyDescent="0.25">
      <c r="A5270" t="s">
        <v>42</v>
      </c>
      <c r="B5270" t="s">
        <v>15</v>
      </c>
      <c r="C5270" t="s">
        <v>15</v>
      </c>
      <c r="D5270" t="s">
        <v>15</v>
      </c>
      <c r="E5270" t="s">
        <v>23</v>
      </c>
      <c r="F5270" t="s">
        <v>19</v>
      </c>
      <c r="G5270" s="1">
        <f>VALUE(3872.82)</f>
        <v>3872.82</v>
      </c>
      <c r="H5270" s="1">
        <f>VALUE(3854.42)</f>
        <v>3854.42</v>
      </c>
      <c r="I5270" s="1">
        <f>VALUE(2831)</f>
        <v>2831</v>
      </c>
      <c r="J5270" s="5">
        <f>VALUE(3187)</f>
        <v>3187</v>
      </c>
      <c r="K5270" s="6">
        <f>VALUE(4181)</f>
        <v>4181</v>
      </c>
      <c r="L5270" s="1">
        <f>VALUE(5401)</f>
        <v>5401</v>
      </c>
      <c r="M5270" s="1">
        <f>VALUE(6279)</f>
        <v>6279</v>
      </c>
      <c r="N5270" t="s">
        <v>25</v>
      </c>
    </row>
    <row r="5271" spans="1:14" x14ac:dyDescent="0.25">
      <c r="A5271" t="s">
        <v>42</v>
      </c>
      <c r="B5271" t="s">
        <v>15</v>
      </c>
      <c r="C5271" t="s">
        <v>15</v>
      </c>
      <c r="D5271" t="s">
        <v>15</v>
      </c>
      <c r="E5271" t="s">
        <v>23</v>
      </c>
      <c r="F5271" t="s">
        <v>20</v>
      </c>
      <c r="G5271" s="1">
        <f>VALUE(31692.4)</f>
        <v>31692.400000000001</v>
      </c>
      <c r="H5271" s="1">
        <f>VALUE(28518.39)</f>
        <v>28518.39</v>
      </c>
      <c r="I5271" s="1">
        <f>VALUE(2751)</f>
        <v>2751</v>
      </c>
      <c r="J5271" s="1">
        <f>VALUE(3367)</f>
        <v>3367</v>
      </c>
      <c r="K5271" s="1">
        <f>VALUE(4078)</f>
        <v>4078</v>
      </c>
      <c r="L5271" s="1">
        <f>VALUE(5075)</f>
        <v>5075</v>
      </c>
      <c r="M5271" s="1">
        <f>VALUE(5981)</f>
        <v>5981</v>
      </c>
      <c r="N5271" t="s">
        <v>16</v>
      </c>
    </row>
    <row r="5272" spans="1:14" x14ac:dyDescent="0.25">
      <c r="A5272" t="s">
        <v>42</v>
      </c>
      <c r="B5272" t="s">
        <v>15</v>
      </c>
      <c r="C5272" t="s">
        <v>15</v>
      </c>
      <c r="D5272" t="s">
        <v>15</v>
      </c>
      <c r="E5272" t="s">
        <v>26</v>
      </c>
      <c r="F5272" t="s">
        <v>15</v>
      </c>
      <c r="G5272" s="1">
        <f>VALUE(3878.3)</f>
        <v>3878.3</v>
      </c>
      <c r="H5272" s="1">
        <f>VALUE(3667.42)</f>
        <v>3667.42</v>
      </c>
      <c r="I5272" s="4">
        <f>VALUE(2777)</f>
        <v>2777</v>
      </c>
      <c r="J5272" s="1">
        <f>VALUE(3529)</f>
        <v>3529</v>
      </c>
      <c r="K5272" s="6">
        <f>VALUE(4668)</f>
        <v>4668</v>
      </c>
      <c r="L5272" s="1">
        <f>VALUE(6190)</f>
        <v>6190</v>
      </c>
      <c r="M5272" s="8">
        <f>VALUE(8333)</f>
        <v>8333</v>
      </c>
      <c r="N5272" t="s">
        <v>25</v>
      </c>
    </row>
    <row r="5273" spans="1:14" x14ac:dyDescent="0.25">
      <c r="A5273" t="s">
        <v>42</v>
      </c>
      <c r="B5273" t="s">
        <v>15</v>
      </c>
      <c r="C5273" t="s">
        <v>15</v>
      </c>
      <c r="D5273" t="s">
        <v>15</v>
      </c>
      <c r="E5273" t="s">
        <v>26</v>
      </c>
      <c r="F5273" t="s">
        <v>17</v>
      </c>
      <c r="G5273" s="2">
        <f>VALUE(417.58)</f>
        <v>417.58</v>
      </c>
      <c r="H5273" s="3">
        <f>VALUE(409.74)</f>
        <v>409.74</v>
      </c>
      <c r="I5273" s="4">
        <f>VALUE(3913)</f>
        <v>3913</v>
      </c>
      <c r="J5273" s="5">
        <f>VALUE(4333)</f>
        <v>4333</v>
      </c>
      <c r="K5273" s="6">
        <f>VALUE(6504)</f>
        <v>6504</v>
      </c>
      <c r="L5273" s="7">
        <f>VALUE(10668)</f>
        <v>10668</v>
      </c>
      <c r="M5273" s="8">
        <f>VALUE(16364)</f>
        <v>16364</v>
      </c>
      <c r="N5273" t="s">
        <v>24</v>
      </c>
    </row>
    <row r="5274" spans="1:14" x14ac:dyDescent="0.25">
      <c r="A5274" t="s">
        <v>42</v>
      </c>
      <c r="B5274" t="s">
        <v>15</v>
      </c>
      <c r="C5274" t="s">
        <v>15</v>
      </c>
      <c r="D5274" t="s">
        <v>15</v>
      </c>
      <c r="E5274" t="s">
        <v>26</v>
      </c>
      <c r="F5274" t="s">
        <v>18</v>
      </c>
      <c r="G5274" s="2">
        <f>VALUE(147.06)</f>
        <v>147.06</v>
      </c>
      <c r="H5274" s="3">
        <f>VALUE(144.37)</f>
        <v>144.37</v>
      </c>
      <c r="I5274" s="1">
        <f>VALUE(3508)</f>
        <v>3508</v>
      </c>
      <c r="J5274" s="5">
        <f>VALUE(4984)</f>
        <v>4984</v>
      </c>
      <c r="K5274" s="6">
        <f>VALUE(7016)</f>
        <v>7016</v>
      </c>
      <c r="L5274" s="1">
        <f>VALUE(9260)</f>
        <v>9260</v>
      </c>
      <c r="M5274" s="1">
        <f>VALUE(11205)</f>
        <v>11205</v>
      </c>
      <c r="N5274" t="s">
        <v>25</v>
      </c>
    </row>
    <row r="5275" spans="1:14" x14ac:dyDescent="0.25">
      <c r="A5275" t="s">
        <v>42</v>
      </c>
      <c r="B5275" t="s">
        <v>15</v>
      </c>
      <c r="C5275" t="s">
        <v>15</v>
      </c>
      <c r="D5275" t="s">
        <v>15</v>
      </c>
      <c r="E5275" t="s">
        <v>26</v>
      </c>
      <c r="F5275" t="s">
        <v>19</v>
      </c>
      <c r="G5275" s="1" t="str">
        <f t="shared" ref="G5275:M5275" si="1149">"X"</f>
        <v>X</v>
      </c>
      <c r="H5275" s="1" t="str">
        <f t="shared" si="1149"/>
        <v>X</v>
      </c>
      <c r="I5275" s="1" t="str">
        <f t="shared" si="1149"/>
        <v>X</v>
      </c>
      <c r="J5275" s="1" t="str">
        <f t="shared" si="1149"/>
        <v>X</v>
      </c>
      <c r="K5275" s="1" t="str">
        <f t="shared" si="1149"/>
        <v>X</v>
      </c>
      <c r="L5275" s="1" t="str">
        <f t="shared" si="1149"/>
        <v>X</v>
      </c>
      <c r="M5275" s="1" t="str">
        <f t="shared" si="1149"/>
        <v>X</v>
      </c>
      <c r="N5275" t="s">
        <v>27</v>
      </c>
    </row>
    <row r="5276" spans="1:14" x14ac:dyDescent="0.25">
      <c r="A5276" t="s">
        <v>42</v>
      </c>
      <c r="B5276" t="s">
        <v>15</v>
      </c>
      <c r="C5276" t="s">
        <v>15</v>
      </c>
      <c r="D5276" t="s">
        <v>15</v>
      </c>
      <c r="E5276" t="s">
        <v>26</v>
      </c>
      <c r="F5276" t="s">
        <v>20</v>
      </c>
      <c r="G5276" s="1">
        <f>VALUE(3186.61)</f>
        <v>3186.61</v>
      </c>
      <c r="H5276" s="1">
        <f>VALUE(2996.28)</f>
        <v>2996.28</v>
      </c>
      <c r="I5276" s="4">
        <f>VALUE(2674)</f>
        <v>2674</v>
      </c>
      <c r="J5276" s="1">
        <f>VALUE(3508)</f>
        <v>3508</v>
      </c>
      <c r="K5276" s="6">
        <f>VALUE(4410)</f>
        <v>4410</v>
      </c>
      <c r="L5276" s="1">
        <f>VALUE(5803)</f>
        <v>5803</v>
      </c>
      <c r="M5276" s="1">
        <f>VALUE(7088)</f>
        <v>7088</v>
      </c>
      <c r="N5276" t="s">
        <v>25</v>
      </c>
    </row>
    <row r="5277" spans="1:14" x14ac:dyDescent="0.25">
      <c r="A5277" t="s">
        <v>42</v>
      </c>
      <c r="B5277" t="s">
        <v>15</v>
      </c>
      <c r="C5277" t="s">
        <v>15</v>
      </c>
      <c r="D5277" t="s">
        <v>28</v>
      </c>
      <c r="E5277" t="s">
        <v>15</v>
      </c>
      <c r="F5277" t="s">
        <v>15</v>
      </c>
      <c r="G5277" s="1">
        <f>VALUE(53051.85)</f>
        <v>53051.85</v>
      </c>
      <c r="H5277" s="1">
        <f>VALUE(46641.08)</f>
        <v>46641.08</v>
      </c>
      <c r="I5277" s="1">
        <f>VALUE(3611)</f>
        <v>3611</v>
      </c>
      <c r="J5277" s="1">
        <f>VALUE(4500)</f>
        <v>4500</v>
      </c>
      <c r="K5277" s="1">
        <f>VALUE(5733)</f>
        <v>5733</v>
      </c>
      <c r="L5277" s="1">
        <f>VALUE(7467)</f>
        <v>7467</v>
      </c>
      <c r="M5277" s="1">
        <f>VALUE(10383)</f>
        <v>10383</v>
      </c>
      <c r="N5277" t="s">
        <v>16</v>
      </c>
    </row>
    <row r="5278" spans="1:14" x14ac:dyDescent="0.25">
      <c r="A5278" t="s">
        <v>42</v>
      </c>
      <c r="B5278" t="s">
        <v>15</v>
      </c>
      <c r="C5278" t="s">
        <v>15</v>
      </c>
      <c r="D5278" t="s">
        <v>28</v>
      </c>
      <c r="E5278" t="s">
        <v>15</v>
      </c>
      <c r="F5278" t="s">
        <v>17</v>
      </c>
      <c r="G5278" s="1">
        <f>VALUE(11417.99)</f>
        <v>11417.99</v>
      </c>
      <c r="H5278" s="1">
        <f>VALUE(11012.02)</f>
        <v>11012.02</v>
      </c>
      <c r="I5278" s="1">
        <f>VALUE(3884)</f>
        <v>3884</v>
      </c>
      <c r="J5278" s="1">
        <f>VALUE(5571)</f>
        <v>5571</v>
      </c>
      <c r="K5278" s="1">
        <f>VALUE(8254)</f>
        <v>8254</v>
      </c>
      <c r="L5278" s="1">
        <f>VALUE(11679)</f>
        <v>11679</v>
      </c>
      <c r="M5278" s="1">
        <f>VALUE(16119)</f>
        <v>16119</v>
      </c>
      <c r="N5278" t="s">
        <v>16</v>
      </c>
    </row>
    <row r="5279" spans="1:14" x14ac:dyDescent="0.25">
      <c r="A5279" t="s">
        <v>42</v>
      </c>
      <c r="B5279" t="s">
        <v>15</v>
      </c>
      <c r="C5279" t="s">
        <v>15</v>
      </c>
      <c r="D5279" t="s">
        <v>28</v>
      </c>
      <c r="E5279" t="s">
        <v>15</v>
      </c>
      <c r="F5279" t="s">
        <v>18</v>
      </c>
      <c r="G5279" s="1">
        <f>VALUE(5255.85)</f>
        <v>5255.85</v>
      </c>
      <c r="H5279" s="1">
        <f>VALUE(4514.18)</f>
        <v>4514.18</v>
      </c>
      <c r="I5279" s="1">
        <f>VALUE(3873)</f>
        <v>3873</v>
      </c>
      <c r="J5279" s="1">
        <f>VALUE(4950)</f>
        <v>4950</v>
      </c>
      <c r="K5279" s="1">
        <f>VALUE(6406)</f>
        <v>6406</v>
      </c>
      <c r="L5279" s="1">
        <f>VALUE(8285)</f>
        <v>8285</v>
      </c>
      <c r="M5279" s="1">
        <f>VALUE(10152)</f>
        <v>10152</v>
      </c>
      <c r="N5279" t="s">
        <v>16</v>
      </c>
    </row>
    <row r="5280" spans="1:14" x14ac:dyDescent="0.25">
      <c r="A5280" t="s">
        <v>42</v>
      </c>
      <c r="B5280" t="s">
        <v>15</v>
      </c>
      <c r="C5280" t="s">
        <v>15</v>
      </c>
      <c r="D5280" t="s">
        <v>28</v>
      </c>
      <c r="E5280" t="s">
        <v>15</v>
      </c>
      <c r="F5280" t="s">
        <v>19</v>
      </c>
      <c r="G5280" s="1">
        <f>VALUE(6039.36)</f>
        <v>6039.36</v>
      </c>
      <c r="H5280" s="1">
        <f>VALUE(5315.97)</f>
        <v>5315.97</v>
      </c>
      <c r="I5280" s="1">
        <f>VALUE(3899)</f>
        <v>3899</v>
      </c>
      <c r="J5280" s="1">
        <f>VALUE(4615)</f>
        <v>4615</v>
      </c>
      <c r="K5280" s="1">
        <f>VALUE(5666)</f>
        <v>5666</v>
      </c>
      <c r="L5280" s="1">
        <f>VALUE(6919)</f>
        <v>6919</v>
      </c>
      <c r="M5280" s="1">
        <f>VALUE(8485)</f>
        <v>8485</v>
      </c>
      <c r="N5280" t="s">
        <v>16</v>
      </c>
    </row>
    <row r="5281" spans="1:14" x14ac:dyDescent="0.25">
      <c r="A5281" t="s">
        <v>42</v>
      </c>
      <c r="B5281" t="s">
        <v>15</v>
      </c>
      <c r="C5281" t="s">
        <v>15</v>
      </c>
      <c r="D5281" t="s">
        <v>28</v>
      </c>
      <c r="E5281" t="s">
        <v>15</v>
      </c>
      <c r="F5281" t="s">
        <v>20</v>
      </c>
      <c r="G5281" s="1">
        <f>VALUE(30338.65)</f>
        <v>30338.65</v>
      </c>
      <c r="H5281" s="1">
        <f>VALUE(25798.91)</f>
        <v>25798.91</v>
      </c>
      <c r="I5281" s="1">
        <f>VALUE(3493)</f>
        <v>3493</v>
      </c>
      <c r="J5281" s="1">
        <f>VALUE(4255)</f>
        <v>4255</v>
      </c>
      <c r="K5281" s="1">
        <f>VALUE(5296)</f>
        <v>5296</v>
      </c>
      <c r="L5281" s="1">
        <f>VALUE(6365)</f>
        <v>6365</v>
      </c>
      <c r="M5281" s="1">
        <f>VALUE(7628)</f>
        <v>7628</v>
      </c>
      <c r="N5281" t="s">
        <v>16</v>
      </c>
    </row>
    <row r="5282" spans="1:14" x14ac:dyDescent="0.25">
      <c r="A5282" t="s">
        <v>42</v>
      </c>
      <c r="B5282" t="s">
        <v>15</v>
      </c>
      <c r="C5282" t="s">
        <v>15</v>
      </c>
      <c r="D5282" t="s">
        <v>28</v>
      </c>
      <c r="E5282" t="s">
        <v>21</v>
      </c>
      <c r="F5282" t="s">
        <v>15</v>
      </c>
      <c r="G5282" s="1">
        <f>VALUE(12900.39)</f>
        <v>12900.39</v>
      </c>
      <c r="H5282" s="1">
        <f>VALUE(11488.5)</f>
        <v>11488.5</v>
      </c>
      <c r="I5282" s="1">
        <f>VALUE(4279)</f>
        <v>4279</v>
      </c>
      <c r="J5282" s="1">
        <f>VALUE(5749)</f>
        <v>5749</v>
      </c>
      <c r="K5282" s="1">
        <f>VALUE(7738)</f>
        <v>7738</v>
      </c>
      <c r="L5282" s="1">
        <f>VALUE(10460)</f>
        <v>10460</v>
      </c>
      <c r="M5282" s="1">
        <f>VALUE(14554)</f>
        <v>14554</v>
      </c>
      <c r="N5282" t="s">
        <v>16</v>
      </c>
    </row>
    <row r="5283" spans="1:14" x14ac:dyDescent="0.25">
      <c r="A5283" t="s">
        <v>42</v>
      </c>
      <c r="B5283" t="s">
        <v>15</v>
      </c>
      <c r="C5283" t="s">
        <v>15</v>
      </c>
      <c r="D5283" t="s">
        <v>28</v>
      </c>
      <c r="E5283" t="s">
        <v>21</v>
      </c>
      <c r="F5283" t="s">
        <v>17</v>
      </c>
      <c r="G5283" s="1">
        <f>VALUE(5530.81)</f>
        <v>5530.81</v>
      </c>
      <c r="H5283" s="1">
        <f>VALUE(5281.65)</f>
        <v>5281.65</v>
      </c>
      <c r="I5283" s="4">
        <f>VALUE(4762)</f>
        <v>4762</v>
      </c>
      <c r="J5283" s="1">
        <f>VALUE(7084)</f>
        <v>7084</v>
      </c>
      <c r="K5283" s="1">
        <f>VALUE(9490)</f>
        <v>9490</v>
      </c>
      <c r="L5283" s="1">
        <f>VALUE(13027)</f>
        <v>13027</v>
      </c>
      <c r="M5283" s="1">
        <f>VALUE(18064)</f>
        <v>18064</v>
      </c>
      <c r="N5283" t="s">
        <v>25</v>
      </c>
    </row>
    <row r="5284" spans="1:14" x14ac:dyDescent="0.25">
      <c r="A5284" t="s">
        <v>42</v>
      </c>
      <c r="B5284" t="s">
        <v>15</v>
      </c>
      <c r="C5284" t="s">
        <v>15</v>
      </c>
      <c r="D5284" t="s">
        <v>28</v>
      </c>
      <c r="E5284" t="s">
        <v>21</v>
      </c>
      <c r="F5284" t="s">
        <v>18</v>
      </c>
      <c r="G5284" s="1">
        <f>VALUE(1891.41)</f>
        <v>1891.41</v>
      </c>
      <c r="H5284" s="3">
        <f>VALUE(1596.97)</f>
        <v>1596.97</v>
      </c>
      <c r="I5284" s="4">
        <f>VALUE(4442)</f>
        <v>4442</v>
      </c>
      <c r="J5284" s="1">
        <f>VALUE(5846)</f>
        <v>5846</v>
      </c>
      <c r="K5284" s="1">
        <f>VALUE(7653)</f>
        <v>7653</v>
      </c>
      <c r="L5284" s="1">
        <f>VALUE(9804)</f>
        <v>9804</v>
      </c>
      <c r="M5284" s="1">
        <f>VALUE(11836)</f>
        <v>11836</v>
      </c>
      <c r="N5284" t="s">
        <v>25</v>
      </c>
    </row>
    <row r="5285" spans="1:14" x14ac:dyDescent="0.25">
      <c r="A5285" t="s">
        <v>42</v>
      </c>
      <c r="B5285" t="s">
        <v>15</v>
      </c>
      <c r="C5285" t="s">
        <v>15</v>
      </c>
      <c r="D5285" t="s">
        <v>28</v>
      </c>
      <c r="E5285" t="s">
        <v>21</v>
      </c>
      <c r="F5285" t="s">
        <v>19</v>
      </c>
      <c r="G5285" s="2">
        <f>VALUE(1210.93)</f>
        <v>1210.93</v>
      </c>
      <c r="H5285" s="3">
        <f>VALUE(1105.18)</f>
        <v>1105.18</v>
      </c>
      <c r="I5285" s="1">
        <f>VALUE(4160)</f>
        <v>4160</v>
      </c>
      <c r="J5285" s="5">
        <f>VALUE(5214)</f>
        <v>5214</v>
      </c>
      <c r="K5285" s="1">
        <f>VALUE(6700)</f>
        <v>6700</v>
      </c>
      <c r="L5285" s="1">
        <f>VALUE(8474)</f>
        <v>8474</v>
      </c>
      <c r="M5285" s="8">
        <f>VALUE(10152)</f>
        <v>10152</v>
      </c>
      <c r="N5285" t="s">
        <v>25</v>
      </c>
    </row>
    <row r="5286" spans="1:14" x14ac:dyDescent="0.25">
      <c r="A5286" t="s">
        <v>42</v>
      </c>
      <c r="B5286" t="s">
        <v>15</v>
      </c>
      <c r="C5286" t="s">
        <v>15</v>
      </c>
      <c r="D5286" t="s">
        <v>28</v>
      </c>
      <c r="E5286" t="s">
        <v>21</v>
      </c>
      <c r="F5286" t="s">
        <v>20</v>
      </c>
      <c r="G5286" s="1">
        <f>VALUE(4267.24)</f>
        <v>4267.24</v>
      </c>
      <c r="H5286" s="1">
        <f>VALUE(3504.7)</f>
        <v>3504.7</v>
      </c>
      <c r="I5286" s="1">
        <f>VALUE(4010)</f>
        <v>4010</v>
      </c>
      <c r="J5286" s="1">
        <f>VALUE(5002)</f>
        <v>5002</v>
      </c>
      <c r="K5286" s="1">
        <f>VALUE(6463)</f>
        <v>6463</v>
      </c>
      <c r="L5286" s="1">
        <f>VALUE(8014)</f>
        <v>8014</v>
      </c>
      <c r="M5286" s="1">
        <f>VALUE(9619)</f>
        <v>9619</v>
      </c>
      <c r="N5286" t="s">
        <v>16</v>
      </c>
    </row>
    <row r="5287" spans="1:14" x14ac:dyDescent="0.25">
      <c r="A5287" t="s">
        <v>42</v>
      </c>
      <c r="B5287" t="s">
        <v>15</v>
      </c>
      <c r="C5287" t="s">
        <v>15</v>
      </c>
      <c r="D5287" t="s">
        <v>28</v>
      </c>
      <c r="E5287" t="s">
        <v>22</v>
      </c>
      <c r="F5287" t="s">
        <v>15</v>
      </c>
      <c r="G5287" s="1">
        <f>VALUE(31899.76)</f>
        <v>31899.759999999998</v>
      </c>
      <c r="H5287" s="1">
        <f>VALUE(28485.12)</f>
        <v>28485.119999999999</v>
      </c>
      <c r="I5287" s="1">
        <f>VALUE(3671)</f>
        <v>3671</v>
      </c>
      <c r="J5287" s="1">
        <f>VALUE(4525)</f>
        <v>4525</v>
      </c>
      <c r="K5287" s="1">
        <f>VALUE(5579)</f>
        <v>5579</v>
      </c>
      <c r="L5287" s="1">
        <f>VALUE(6821)</f>
        <v>6821</v>
      </c>
      <c r="M5287" s="1">
        <f>VALUE(8685)</f>
        <v>8685</v>
      </c>
      <c r="N5287" t="s">
        <v>16</v>
      </c>
    </row>
    <row r="5288" spans="1:14" x14ac:dyDescent="0.25">
      <c r="A5288" t="s">
        <v>42</v>
      </c>
      <c r="B5288" t="s">
        <v>15</v>
      </c>
      <c r="C5288" t="s">
        <v>15</v>
      </c>
      <c r="D5288" t="s">
        <v>28</v>
      </c>
      <c r="E5288" t="s">
        <v>22</v>
      </c>
      <c r="F5288" t="s">
        <v>17</v>
      </c>
      <c r="G5288" s="1">
        <f>VALUE(5191.2)</f>
        <v>5191.2</v>
      </c>
      <c r="H5288" s="1">
        <f>VALUE(5048.94)</f>
        <v>5048.9399999999996</v>
      </c>
      <c r="I5288" s="4">
        <f>VALUE(3660)</f>
        <v>3660</v>
      </c>
      <c r="J5288" s="1">
        <f>VALUE(4940)</f>
        <v>4940</v>
      </c>
      <c r="K5288" s="1">
        <f>VALUE(7101)</f>
        <v>7101</v>
      </c>
      <c r="L5288" s="1">
        <f>VALUE(10170)</f>
        <v>10170</v>
      </c>
      <c r="M5288" s="1">
        <f>VALUE(14270)</f>
        <v>14270</v>
      </c>
      <c r="N5288" t="s">
        <v>25</v>
      </c>
    </row>
    <row r="5289" spans="1:14" x14ac:dyDescent="0.25">
      <c r="A5289" t="s">
        <v>42</v>
      </c>
      <c r="B5289" t="s">
        <v>15</v>
      </c>
      <c r="C5289" t="s">
        <v>15</v>
      </c>
      <c r="D5289" t="s">
        <v>28</v>
      </c>
      <c r="E5289" t="s">
        <v>22</v>
      </c>
      <c r="F5289" t="s">
        <v>18</v>
      </c>
      <c r="G5289" s="1">
        <f>VALUE(2957.55)</f>
        <v>2957.55</v>
      </c>
      <c r="H5289" s="1">
        <f>VALUE(2556.1)</f>
        <v>2556.1</v>
      </c>
      <c r="I5289" s="4">
        <f>VALUE(3848)</f>
        <v>3848</v>
      </c>
      <c r="J5289" s="1">
        <f>VALUE(4876)</f>
        <v>4876</v>
      </c>
      <c r="K5289" s="1">
        <f>VALUE(5936)</f>
        <v>5936</v>
      </c>
      <c r="L5289" s="1">
        <f>VALUE(7600)</f>
        <v>7600</v>
      </c>
      <c r="M5289" s="1">
        <f>VALUE(8983)</f>
        <v>8983</v>
      </c>
      <c r="N5289" t="s">
        <v>25</v>
      </c>
    </row>
    <row r="5290" spans="1:14" x14ac:dyDescent="0.25">
      <c r="A5290" t="s">
        <v>42</v>
      </c>
      <c r="B5290" t="s">
        <v>15</v>
      </c>
      <c r="C5290" t="s">
        <v>15</v>
      </c>
      <c r="D5290" t="s">
        <v>28</v>
      </c>
      <c r="E5290" t="s">
        <v>22</v>
      </c>
      <c r="F5290" t="s">
        <v>19</v>
      </c>
      <c r="G5290" s="1">
        <f>VALUE(4210.25)</f>
        <v>4210.25</v>
      </c>
      <c r="H5290" s="1">
        <f>VALUE(3655.88)</f>
        <v>3655.88</v>
      </c>
      <c r="I5290" s="1">
        <f>VALUE(3900)</f>
        <v>3900</v>
      </c>
      <c r="J5290" s="1">
        <f>VALUE(4607)</f>
        <v>4607</v>
      </c>
      <c r="K5290" s="1">
        <f>VALUE(5571)</f>
        <v>5571</v>
      </c>
      <c r="L5290" s="1">
        <f>VALUE(6606)</f>
        <v>6606</v>
      </c>
      <c r="M5290" s="1">
        <f>VALUE(7908)</f>
        <v>7908</v>
      </c>
      <c r="N5290" t="s">
        <v>16</v>
      </c>
    </row>
    <row r="5291" spans="1:14" x14ac:dyDescent="0.25">
      <c r="A5291" t="s">
        <v>42</v>
      </c>
      <c r="B5291" t="s">
        <v>15</v>
      </c>
      <c r="C5291" t="s">
        <v>15</v>
      </c>
      <c r="D5291" t="s">
        <v>28</v>
      </c>
      <c r="E5291" t="s">
        <v>22</v>
      </c>
      <c r="F5291" t="s">
        <v>20</v>
      </c>
      <c r="G5291" s="1">
        <f>VALUE(19540.76)</f>
        <v>19540.759999999998</v>
      </c>
      <c r="H5291" s="1">
        <f>VALUE(17224.2)</f>
        <v>17224.2</v>
      </c>
      <c r="I5291" s="1">
        <f>VALUE(3611)</f>
        <v>3611</v>
      </c>
      <c r="J5291" s="1">
        <f>VALUE(4366)</f>
        <v>4366</v>
      </c>
      <c r="K5291" s="1">
        <f>VALUE(5349)</f>
        <v>5349</v>
      </c>
      <c r="L5291" s="1">
        <f>VALUE(6300)</f>
        <v>6300</v>
      </c>
      <c r="M5291" s="1">
        <f>VALUE(7327)</f>
        <v>7327</v>
      </c>
      <c r="N5291" t="s">
        <v>16</v>
      </c>
    </row>
    <row r="5292" spans="1:14" x14ac:dyDescent="0.25">
      <c r="A5292" t="s">
        <v>42</v>
      </c>
      <c r="B5292" t="s">
        <v>15</v>
      </c>
      <c r="C5292" t="s">
        <v>15</v>
      </c>
      <c r="D5292" t="s">
        <v>28</v>
      </c>
      <c r="E5292" t="s">
        <v>23</v>
      </c>
      <c r="F5292" t="s">
        <v>15</v>
      </c>
      <c r="G5292" s="1">
        <f>VALUE(7148.76)</f>
        <v>7148.76</v>
      </c>
      <c r="H5292" s="1">
        <f>VALUE(5668.04)</f>
        <v>5668.04</v>
      </c>
      <c r="I5292" s="4">
        <f>VALUE(3095)</f>
        <v>3095</v>
      </c>
      <c r="J5292" s="1">
        <f>VALUE(3714)</f>
        <v>3714</v>
      </c>
      <c r="K5292" s="1">
        <f>VALUE(4468)</f>
        <v>4468</v>
      </c>
      <c r="L5292" s="1">
        <f>VALUE(5531)</f>
        <v>5531</v>
      </c>
      <c r="M5292" s="1">
        <f>VALUE(6628)</f>
        <v>6628</v>
      </c>
      <c r="N5292" t="s">
        <v>25</v>
      </c>
    </row>
    <row r="5293" spans="1:14" x14ac:dyDescent="0.25">
      <c r="A5293" t="s">
        <v>42</v>
      </c>
      <c r="B5293" t="s">
        <v>15</v>
      </c>
      <c r="C5293" t="s">
        <v>15</v>
      </c>
      <c r="D5293" t="s">
        <v>28</v>
      </c>
      <c r="E5293" t="s">
        <v>23</v>
      </c>
      <c r="F5293" t="s">
        <v>17</v>
      </c>
      <c r="G5293" s="2">
        <f>VALUE(476.95)</f>
        <v>476.95</v>
      </c>
      <c r="H5293" s="3">
        <f>VALUE(470.76)</f>
        <v>470.76</v>
      </c>
      <c r="I5293" s="4">
        <f>VALUE(3140)</f>
        <v>3140</v>
      </c>
      <c r="J5293" s="5">
        <f>VALUE(3714)</f>
        <v>3714</v>
      </c>
      <c r="K5293" s="6">
        <f>VALUE(5522)</f>
        <v>5522</v>
      </c>
      <c r="L5293" s="7">
        <f>VALUE(7049)</f>
        <v>7049</v>
      </c>
      <c r="M5293" s="8">
        <f>VALUE(10376)</f>
        <v>10376</v>
      </c>
      <c r="N5293" t="s">
        <v>24</v>
      </c>
    </row>
    <row r="5294" spans="1:14" x14ac:dyDescent="0.25">
      <c r="A5294" t="s">
        <v>42</v>
      </c>
      <c r="B5294" t="s">
        <v>15</v>
      </c>
      <c r="C5294" t="s">
        <v>15</v>
      </c>
      <c r="D5294" t="s">
        <v>28</v>
      </c>
      <c r="E5294" t="s">
        <v>23</v>
      </c>
      <c r="F5294" t="s">
        <v>18</v>
      </c>
      <c r="G5294" s="2">
        <f>VALUE(378.86)</f>
        <v>378.86</v>
      </c>
      <c r="H5294" s="3">
        <f>VALUE(334.79)</f>
        <v>334.79</v>
      </c>
      <c r="I5294" s="1">
        <f>VALUE(3366)</f>
        <v>3366</v>
      </c>
      <c r="J5294" s="5">
        <f>VALUE(4000)</f>
        <v>4000</v>
      </c>
      <c r="K5294" s="6">
        <f>VALUE(4732)</f>
        <v>4732</v>
      </c>
      <c r="L5294" s="7">
        <f>VALUE(5807)</f>
        <v>5807</v>
      </c>
      <c r="M5294" s="1">
        <f>VALUE(6778)</f>
        <v>6778</v>
      </c>
      <c r="N5294" t="s">
        <v>25</v>
      </c>
    </row>
    <row r="5295" spans="1:14" x14ac:dyDescent="0.25">
      <c r="A5295" t="s">
        <v>42</v>
      </c>
      <c r="B5295" t="s">
        <v>15</v>
      </c>
      <c r="C5295" t="s">
        <v>15</v>
      </c>
      <c r="D5295" t="s">
        <v>28</v>
      </c>
      <c r="E5295" t="s">
        <v>23</v>
      </c>
      <c r="F5295" t="s">
        <v>19</v>
      </c>
      <c r="G5295" s="2">
        <f>VALUE(558.87)</f>
        <v>558.87</v>
      </c>
      <c r="H5295" s="3">
        <f>VALUE(504.77)</f>
        <v>504.77</v>
      </c>
      <c r="I5295" s="4">
        <f>VALUE(3393)</f>
        <v>3393</v>
      </c>
      <c r="J5295" s="1">
        <f>VALUE(4044)</f>
        <v>4044</v>
      </c>
      <c r="K5295" s="1">
        <f>VALUE(4869)</f>
        <v>4869</v>
      </c>
      <c r="L5295" s="7">
        <f>VALUE(5852)</f>
        <v>5852</v>
      </c>
      <c r="M5295" s="1">
        <f>VALUE(7412)</f>
        <v>7412</v>
      </c>
      <c r="N5295" t="s">
        <v>25</v>
      </c>
    </row>
    <row r="5296" spans="1:14" x14ac:dyDescent="0.25">
      <c r="A5296" t="s">
        <v>42</v>
      </c>
      <c r="B5296" t="s">
        <v>15</v>
      </c>
      <c r="C5296" t="s">
        <v>15</v>
      </c>
      <c r="D5296" t="s">
        <v>28</v>
      </c>
      <c r="E5296" t="s">
        <v>23</v>
      </c>
      <c r="F5296" t="s">
        <v>20</v>
      </c>
      <c r="G5296" s="1">
        <f>VALUE(5734.08)</f>
        <v>5734.08</v>
      </c>
      <c r="H5296" s="1">
        <f>VALUE(4357.72)</f>
        <v>4357.72</v>
      </c>
      <c r="I5296" s="4">
        <f>VALUE(3019)</f>
        <v>3019</v>
      </c>
      <c r="J5296" s="1">
        <f>VALUE(3661)</f>
        <v>3661</v>
      </c>
      <c r="K5296" s="1">
        <f>VALUE(4396)</f>
        <v>4396</v>
      </c>
      <c r="L5296" s="1">
        <f>VALUE(5315)</f>
        <v>5315</v>
      </c>
      <c r="M5296" s="1">
        <f>VALUE(6283)</f>
        <v>6283</v>
      </c>
      <c r="N5296" t="s">
        <v>25</v>
      </c>
    </row>
    <row r="5297" spans="1:14" x14ac:dyDescent="0.25">
      <c r="A5297" t="s">
        <v>42</v>
      </c>
      <c r="B5297" t="s">
        <v>15</v>
      </c>
      <c r="C5297" t="s">
        <v>15</v>
      </c>
      <c r="D5297" t="s">
        <v>28</v>
      </c>
      <c r="E5297" t="s">
        <v>26</v>
      </c>
      <c r="F5297" t="s">
        <v>15</v>
      </c>
      <c r="G5297" s="2">
        <f>VALUE(1102.94)</f>
        <v>1102.94</v>
      </c>
      <c r="H5297" s="3">
        <f>VALUE(999.42)</f>
        <v>999.42</v>
      </c>
      <c r="I5297" s="4">
        <f>VALUE(3508)</f>
        <v>3508</v>
      </c>
      <c r="J5297" s="1">
        <f>VALUE(4127)</f>
        <v>4127</v>
      </c>
      <c r="K5297" s="6">
        <f>VALUE(5112)</f>
        <v>5112</v>
      </c>
      <c r="L5297" s="1">
        <f>VALUE(6700)</f>
        <v>6700</v>
      </c>
      <c r="M5297" s="8">
        <f>VALUE(9756)</f>
        <v>9756</v>
      </c>
      <c r="N5297" t="s">
        <v>25</v>
      </c>
    </row>
    <row r="5298" spans="1:14" x14ac:dyDescent="0.25">
      <c r="A5298" t="s">
        <v>42</v>
      </c>
      <c r="B5298" t="s">
        <v>15</v>
      </c>
      <c r="C5298" t="s">
        <v>15</v>
      </c>
      <c r="D5298" t="s">
        <v>28</v>
      </c>
      <c r="E5298" t="s">
        <v>26</v>
      </c>
      <c r="F5298" t="s">
        <v>17</v>
      </c>
      <c r="G5298" s="1" t="str">
        <f t="shared" ref="G5298:M5300" si="1150">"X"</f>
        <v>X</v>
      </c>
      <c r="H5298" s="1" t="str">
        <f t="shared" si="1150"/>
        <v>X</v>
      </c>
      <c r="I5298" s="1" t="str">
        <f t="shared" si="1150"/>
        <v>X</v>
      </c>
      <c r="J5298" s="1" t="str">
        <f t="shared" si="1150"/>
        <v>X</v>
      </c>
      <c r="K5298" s="1" t="str">
        <f t="shared" si="1150"/>
        <v>X</v>
      </c>
      <c r="L5298" s="1" t="str">
        <f t="shared" si="1150"/>
        <v>X</v>
      </c>
      <c r="M5298" s="1" t="str">
        <f t="shared" si="1150"/>
        <v>X</v>
      </c>
      <c r="N5298" t="s">
        <v>27</v>
      </c>
    </row>
    <row r="5299" spans="1:14" x14ac:dyDescent="0.25">
      <c r="A5299" t="s">
        <v>42</v>
      </c>
      <c r="B5299" t="s">
        <v>15</v>
      </c>
      <c r="C5299" t="s">
        <v>15</v>
      </c>
      <c r="D5299" t="s">
        <v>28</v>
      </c>
      <c r="E5299" t="s">
        <v>26</v>
      </c>
      <c r="F5299" t="s">
        <v>18</v>
      </c>
      <c r="G5299" s="1" t="str">
        <f t="shared" si="1150"/>
        <v>X</v>
      </c>
      <c r="H5299" s="1" t="str">
        <f t="shared" si="1150"/>
        <v>X</v>
      </c>
      <c r="I5299" s="1" t="str">
        <f t="shared" si="1150"/>
        <v>X</v>
      </c>
      <c r="J5299" s="1" t="str">
        <f t="shared" si="1150"/>
        <v>X</v>
      </c>
      <c r="K5299" s="1" t="str">
        <f t="shared" si="1150"/>
        <v>X</v>
      </c>
      <c r="L5299" s="1" t="str">
        <f t="shared" si="1150"/>
        <v>X</v>
      </c>
      <c r="M5299" s="1" t="str">
        <f t="shared" si="1150"/>
        <v>X</v>
      </c>
      <c r="N5299" t="s">
        <v>27</v>
      </c>
    </row>
    <row r="5300" spans="1:14" x14ac:dyDescent="0.25">
      <c r="A5300" t="s">
        <v>42</v>
      </c>
      <c r="B5300" t="s">
        <v>15</v>
      </c>
      <c r="C5300" t="s">
        <v>15</v>
      </c>
      <c r="D5300" t="s">
        <v>28</v>
      </c>
      <c r="E5300" t="s">
        <v>26</v>
      </c>
      <c r="F5300" t="s">
        <v>19</v>
      </c>
      <c r="G5300" s="1" t="str">
        <f t="shared" si="1150"/>
        <v>X</v>
      </c>
      <c r="H5300" s="1" t="str">
        <f t="shared" si="1150"/>
        <v>X</v>
      </c>
      <c r="I5300" s="1" t="str">
        <f t="shared" si="1150"/>
        <v>X</v>
      </c>
      <c r="J5300" s="1" t="str">
        <f t="shared" si="1150"/>
        <v>X</v>
      </c>
      <c r="K5300" s="1" t="str">
        <f t="shared" si="1150"/>
        <v>X</v>
      </c>
      <c r="L5300" s="1" t="str">
        <f t="shared" si="1150"/>
        <v>X</v>
      </c>
      <c r="M5300" s="1" t="str">
        <f t="shared" si="1150"/>
        <v>X</v>
      </c>
      <c r="N5300" t="s">
        <v>27</v>
      </c>
    </row>
    <row r="5301" spans="1:14" x14ac:dyDescent="0.25">
      <c r="A5301" t="s">
        <v>42</v>
      </c>
      <c r="B5301" t="s">
        <v>15</v>
      </c>
      <c r="C5301" t="s">
        <v>15</v>
      </c>
      <c r="D5301" t="s">
        <v>28</v>
      </c>
      <c r="E5301" t="s">
        <v>26</v>
      </c>
      <c r="F5301" t="s">
        <v>20</v>
      </c>
      <c r="G5301" s="2">
        <f>VALUE(796.57)</f>
        <v>796.57</v>
      </c>
      <c r="H5301" s="3">
        <f>VALUE(712.29)</f>
        <v>712.29</v>
      </c>
      <c r="I5301" s="4">
        <f>VALUE(3480)</f>
        <v>3480</v>
      </c>
      <c r="J5301" s="1">
        <f>VALUE(4127)</f>
        <v>4127</v>
      </c>
      <c r="K5301" s="1">
        <f>VALUE(5097)</f>
        <v>5097</v>
      </c>
      <c r="L5301" s="1">
        <f>VALUE(6194)</f>
        <v>6194</v>
      </c>
      <c r="M5301" s="1">
        <f>VALUE(8095)</f>
        <v>8095</v>
      </c>
      <c r="N5301" t="s">
        <v>25</v>
      </c>
    </row>
    <row r="5302" spans="1:14" x14ac:dyDescent="0.25">
      <c r="A5302" t="s">
        <v>42</v>
      </c>
      <c r="B5302" t="s">
        <v>15</v>
      </c>
      <c r="C5302" t="s">
        <v>15</v>
      </c>
      <c r="D5302" t="s">
        <v>29</v>
      </c>
      <c r="E5302" t="s">
        <v>15</v>
      </c>
      <c r="F5302" t="s">
        <v>15</v>
      </c>
      <c r="G5302" s="1">
        <f>VALUE(16660.53)</f>
        <v>16660.53</v>
      </c>
      <c r="H5302" s="1">
        <f>VALUE(15138.39)</f>
        <v>15138.39</v>
      </c>
      <c r="I5302" s="1">
        <f>VALUE(3529)</f>
        <v>3529</v>
      </c>
      <c r="J5302" s="1">
        <f>VALUE(4228)</f>
        <v>4228</v>
      </c>
      <c r="K5302" s="1">
        <f>VALUE(5295)</f>
        <v>5295</v>
      </c>
      <c r="L5302" s="1">
        <f>VALUE(6644)</f>
        <v>6644</v>
      </c>
      <c r="M5302" s="1">
        <f>VALUE(9141)</f>
        <v>9141</v>
      </c>
      <c r="N5302" t="s">
        <v>16</v>
      </c>
    </row>
    <row r="5303" spans="1:14" x14ac:dyDescent="0.25">
      <c r="A5303" t="s">
        <v>42</v>
      </c>
      <c r="B5303" t="s">
        <v>15</v>
      </c>
      <c r="C5303" t="s">
        <v>15</v>
      </c>
      <c r="D5303" t="s">
        <v>29</v>
      </c>
      <c r="E5303" t="s">
        <v>15</v>
      </c>
      <c r="F5303" t="s">
        <v>17</v>
      </c>
      <c r="G5303" s="2">
        <f>VALUE(2458.85)</f>
        <v>2458.85</v>
      </c>
      <c r="H5303" s="3">
        <f>VALUE(2391.09)</f>
        <v>2391.09</v>
      </c>
      <c r="I5303" s="1">
        <f>VALUE(3648)</f>
        <v>3648</v>
      </c>
      <c r="J5303" s="5">
        <f>VALUE(4746)</f>
        <v>4746</v>
      </c>
      <c r="K5303" s="6">
        <f>VALUE(8077)</f>
        <v>8077</v>
      </c>
      <c r="L5303" s="7">
        <f>VALUE(12034)</f>
        <v>12034</v>
      </c>
      <c r="M5303" s="8">
        <f>VALUE(21863)</f>
        <v>21863</v>
      </c>
      <c r="N5303" t="s">
        <v>25</v>
      </c>
    </row>
    <row r="5304" spans="1:14" x14ac:dyDescent="0.25">
      <c r="A5304" t="s">
        <v>42</v>
      </c>
      <c r="B5304" t="s">
        <v>15</v>
      </c>
      <c r="C5304" t="s">
        <v>15</v>
      </c>
      <c r="D5304" t="s">
        <v>29</v>
      </c>
      <c r="E5304" t="s">
        <v>15</v>
      </c>
      <c r="F5304" t="s">
        <v>18</v>
      </c>
      <c r="G5304" s="2">
        <f>VALUE(1319.35)</f>
        <v>1319.35</v>
      </c>
      <c r="H5304" s="3">
        <f>VALUE(1242.07)</f>
        <v>1242.07</v>
      </c>
      <c r="I5304" s="4">
        <f>VALUE(4024)</f>
        <v>4024</v>
      </c>
      <c r="J5304" s="1">
        <f>VALUE(5038)</f>
        <v>5038</v>
      </c>
      <c r="K5304" s="1">
        <f>VALUE(6449)</f>
        <v>6449</v>
      </c>
      <c r="L5304" s="1">
        <f>VALUE(8161)</f>
        <v>8161</v>
      </c>
      <c r="M5304" s="1">
        <f>VALUE(10437)</f>
        <v>10437</v>
      </c>
      <c r="N5304" t="s">
        <v>25</v>
      </c>
    </row>
    <row r="5305" spans="1:14" x14ac:dyDescent="0.25">
      <c r="A5305" t="s">
        <v>42</v>
      </c>
      <c r="B5305" t="s">
        <v>15</v>
      </c>
      <c r="C5305" t="s">
        <v>15</v>
      </c>
      <c r="D5305" t="s">
        <v>29</v>
      </c>
      <c r="E5305" t="s">
        <v>15</v>
      </c>
      <c r="F5305" t="s">
        <v>19</v>
      </c>
      <c r="G5305" s="2">
        <f>VALUE(1980.67)</f>
        <v>1980.67</v>
      </c>
      <c r="H5305" s="1">
        <f>VALUE(1885.84)</f>
        <v>1885.84</v>
      </c>
      <c r="I5305" s="1">
        <f>VALUE(3948)</f>
        <v>3948</v>
      </c>
      <c r="J5305" s="1">
        <f>VALUE(4643)</f>
        <v>4643</v>
      </c>
      <c r="K5305" s="1">
        <f>VALUE(5606)</f>
        <v>5606</v>
      </c>
      <c r="L5305" s="1">
        <f>VALUE(6656)</f>
        <v>6656</v>
      </c>
      <c r="M5305" s="1">
        <f>VALUE(8031)</f>
        <v>8031</v>
      </c>
      <c r="N5305" t="s">
        <v>25</v>
      </c>
    </row>
    <row r="5306" spans="1:14" x14ac:dyDescent="0.25">
      <c r="A5306" t="s">
        <v>42</v>
      </c>
      <c r="B5306" t="s">
        <v>15</v>
      </c>
      <c r="C5306" t="s">
        <v>15</v>
      </c>
      <c r="D5306" t="s">
        <v>29</v>
      </c>
      <c r="E5306" t="s">
        <v>15</v>
      </c>
      <c r="F5306" t="s">
        <v>20</v>
      </c>
      <c r="G5306" s="1">
        <f>VALUE(10901.66)</f>
        <v>10901.66</v>
      </c>
      <c r="H5306" s="1">
        <f>VALUE(9619.39)</f>
        <v>9619.39</v>
      </c>
      <c r="I5306" s="1">
        <f>VALUE(3488)</f>
        <v>3488</v>
      </c>
      <c r="J5306" s="1">
        <f>VALUE(4063)</f>
        <v>4063</v>
      </c>
      <c r="K5306" s="1">
        <f>VALUE(4991)</f>
        <v>4991</v>
      </c>
      <c r="L5306" s="1">
        <f>VALUE(5850)</f>
        <v>5850</v>
      </c>
      <c r="M5306" s="1">
        <f>VALUE(6950)</f>
        <v>6950</v>
      </c>
      <c r="N5306" t="s">
        <v>16</v>
      </c>
    </row>
    <row r="5307" spans="1:14" x14ac:dyDescent="0.25">
      <c r="A5307" t="s">
        <v>42</v>
      </c>
      <c r="B5307" t="s">
        <v>15</v>
      </c>
      <c r="C5307" t="s">
        <v>15</v>
      </c>
      <c r="D5307" t="s">
        <v>29</v>
      </c>
      <c r="E5307" t="s">
        <v>21</v>
      </c>
      <c r="F5307" t="s">
        <v>15</v>
      </c>
      <c r="G5307" s="1">
        <f>VALUE(2498.24)</f>
        <v>2498.2399999999998</v>
      </c>
      <c r="H5307" s="1">
        <f>VALUE(2323.02)</f>
        <v>2323.02</v>
      </c>
      <c r="I5307" s="1">
        <f>VALUE(4353)</f>
        <v>4353</v>
      </c>
      <c r="J5307" s="1">
        <f>VALUE(5768)</f>
        <v>5768</v>
      </c>
      <c r="K5307" s="1">
        <f>VALUE(7843)</f>
        <v>7843</v>
      </c>
      <c r="L5307" s="1">
        <f>VALUE(11000)</f>
        <v>11000</v>
      </c>
      <c r="M5307" s="8">
        <f>VALUE(18370)</f>
        <v>18370</v>
      </c>
      <c r="N5307" t="s">
        <v>25</v>
      </c>
    </row>
    <row r="5308" spans="1:14" x14ac:dyDescent="0.25">
      <c r="A5308" t="s">
        <v>42</v>
      </c>
      <c r="B5308" t="s">
        <v>15</v>
      </c>
      <c r="C5308" t="s">
        <v>15</v>
      </c>
      <c r="D5308" t="s">
        <v>29</v>
      </c>
      <c r="E5308" t="s">
        <v>21</v>
      </c>
      <c r="F5308" t="s">
        <v>17</v>
      </c>
      <c r="G5308" s="2">
        <f>VALUE(985.31)</f>
        <v>985.31</v>
      </c>
      <c r="H5308" s="3">
        <f>VALUE(957.27)</f>
        <v>957.27</v>
      </c>
      <c r="I5308" s="4">
        <f>VALUE(4075)</f>
        <v>4075</v>
      </c>
      <c r="J5308" s="5">
        <f>VALUE(7316)</f>
        <v>7316</v>
      </c>
      <c r="K5308" s="6">
        <f>VALUE(10430)</f>
        <v>10430</v>
      </c>
      <c r="L5308" s="7">
        <f>VALUE(17417)</f>
        <v>17417</v>
      </c>
      <c r="M5308" s="8">
        <f>VALUE(27451)</f>
        <v>27451</v>
      </c>
      <c r="N5308" t="s">
        <v>24</v>
      </c>
    </row>
    <row r="5309" spans="1:14" x14ac:dyDescent="0.25">
      <c r="A5309" t="s">
        <v>42</v>
      </c>
      <c r="B5309" t="s">
        <v>15</v>
      </c>
      <c r="C5309" t="s">
        <v>15</v>
      </c>
      <c r="D5309" t="s">
        <v>29</v>
      </c>
      <c r="E5309" t="s">
        <v>21</v>
      </c>
      <c r="F5309" t="s">
        <v>18</v>
      </c>
      <c r="G5309" s="2">
        <f>VALUE(429.68)</f>
        <v>429.68</v>
      </c>
      <c r="H5309" s="3">
        <f>VALUE(391.66)</f>
        <v>391.66</v>
      </c>
      <c r="I5309" s="4">
        <f>VALUE(4353)</f>
        <v>4353</v>
      </c>
      <c r="J5309" s="5">
        <f>VALUE(5760)</f>
        <v>5760</v>
      </c>
      <c r="K5309" s="1">
        <f>VALUE(7728)</f>
        <v>7728</v>
      </c>
      <c r="L5309" s="7">
        <f>VALUE(9802)</f>
        <v>9802</v>
      </c>
      <c r="M5309" s="8">
        <f>VALUE(12423)</f>
        <v>12423</v>
      </c>
      <c r="N5309" t="s">
        <v>25</v>
      </c>
    </row>
    <row r="5310" spans="1:14" x14ac:dyDescent="0.25">
      <c r="A5310" t="s">
        <v>42</v>
      </c>
      <c r="B5310" t="s">
        <v>15</v>
      </c>
      <c r="C5310" t="s">
        <v>15</v>
      </c>
      <c r="D5310" t="s">
        <v>29</v>
      </c>
      <c r="E5310" t="s">
        <v>21</v>
      </c>
      <c r="F5310" t="s">
        <v>19</v>
      </c>
      <c r="G5310" s="2">
        <f>VALUE(321.19)</f>
        <v>321.19</v>
      </c>
      <c r="H5310" s="3">
        <f>VALUE(309.94)</f>
        <v>309.94</v>
      </c>
      <c r="I5310" s="1">
        <f>VALUE(4594)</f>
        <v>4594</v>
      </c>
      <c r="J5310" s="1">
        <f>VALUE(5365)</f>
        <v>5365</v>
      </c>
      <c r="K5310" s="1">
        <f>VALUE(6280)</f>
        <v>6280</v>
      </c>
      <c r="L5310" s="1">
        <f>VALUE(8310)</f>
        <v>8310</v>
      </c>
      <c r="M5310" s="1">
        <f>VALUE(11106)</f>
        <v>11106</v>
      </c>
      <c r="N5310" t="s">
        <v>25</v>
      </c>
    </row>
    <row r="5311" spans="1:14" x14ac:dyDescent="0.25">
      <c r="A5311" t="s">
        <v>42</v>
      </c>
      <c r="B5311" t="s">
        <v>15</v>
      </c>
      <c r="C5311" t="s">
        <v>15</v>
      </c>
      <c r="D5311" t="s">
        <v>29</v>
      </c>
      <c r="E5311" t="s">
        <v>21</v>
      </c>
      <c r="F5311" t="s">
        <v>20</v>
      </c>
      <c r="G5311" s="2">
        <f>VALUE(762.06)</f>
        <v>762.06</v>
      </c>
      <c r="H5311" s="3">
        <f>VALUE(664.15)</f>
        <v>664.15</v>
      </c>
      <c r="I5311" s="1">
        <f>VALUE(4415)</f>
        <v>4415</v>
      </c>
      <c r="J5311" s="1">
        <f>VALUE(5469)</f>
        <v>5469</v>
      </c>
      <c r="K5311" s="1">
        <f>VALUE(6749)</f>
        <v>6749</v>
      </c>
      <c r="L5311" s="1">
        <f>VALUE(8242)</f>
        <v>8242</v>
      </c>
      <c r="M5311" s="1">
        <f>VALUE(9841)</f>
        <v>9841</v>
      </c>
      <c r="N5311" t="s">
        <v>25</v>
      </c>
    </row>
    <row r="5312" spans="1:14" x14ac:dyDescent="0.25">
      <c r="A5312" t="s">
        <v>42</v>
      </c>
      <c r="B5312" t="s">
        <v>15</v>
      </c>
      <c r="C5312" t="s">
        <v>15</v>
      </c>
      <c r="D5312" t="s">
        <v>29</v>
      </c>
      <c r="E5312" t="s">
        <v>22</v>
      </c>
      <c r="F5312" t="s">
        <v>15</v>
      </c>
      <c r="G5312" s="1">
        <f>VALUE(6495.39)</f>
        <v>6495.39</v>
      </c>
      <c r="H5312" s="1">
        <f>VALUE(6141.14)</f>
        <v>6141.14</v>
      </c>
      <c r="I5312" s="1">
        <f>VALUE(3792)</f>
        <v>3792</v>
      </c>
      <c r="J5312" s="1">
        <f>VALUE(4619)</f>
        <v>4619</v>
      </c>
      <c r="K5312" s="1">
        <f>VALUE(5531)</f>
        <v>5531</v>
      </c>
      <c r="L5312" s="1">
        <f>VALUE(6728)</f>
        <v>6728</v>
      </c>
      <c r="M5312" s="8">
        <f>VALUE(8529)</f>
        <v>8529</v>
      </c>
      <c r="N5312" t="s">
        <v>25</v>
      </c>
    </row>
    <row r="5313" spans="1:14" x14ac:dyDescent="0.25">
      <c r="A5313" t="s">
        <v>42</v>
      </c>
      <c r="B5313" t="s">
        <v>15</v>
      </c>
      <c r="C5313" t="s">
        <v>15</v>
      </c>
      <c r="D5313" t="s">
        <v>29</v>
      </c>
      <c r="E5313" t="s">
        <v>22</v>
      </c>
      <c r="F5313" t="s">
        <v>17</v>
      </c>
      <c r="G5313" s="2">
        <f>VALUE(862.75)</f>
        <v>862.75</v>
      </c>
      <c r="H5313" s="3">
        <f>VALUE(862.79)</f>
        <v>862.79</v>
      </c>
      <c r="I5313" s="4">
        <f>VALUE(4000)</f>
        <v>4000</v>
      </c>
      <c r="J5313" s="5">
        <f>VALUE(6318)</f>
        <v>6318</v>
      </c>
      <c r="K5313" s="6">
        <f>VALUE(8113)</f>
        <v>8113</v>
      </c>
      <c r="L5313" s="7">
        <f>VALUE(11191)</f>
        <v>11191</v>
      </c>
      <c r="M5313" s="8">
        <f>VALUE(18657)</f>
        <v>18657</v>
      </c>
      <c r="N5313" t="s">
        <v>24</v>
      </c>
    </row>
    <row r="5314" spans="1:14" x14ac:dyDescent="0.25">
      <c r="A5314" t="s">
        <v>42</v>
      </c>
      <c r="B5314" t="s">
        <v>15</v>
      </c>
      <c r="C5314" t="s">
        <v>15</v>
      </c>
      <c r="D5314" t="s">
        <v>29</v>
      </c>
      <c r="E5314" t="s">
        <v>22</v>
      </c>
      <c r="F5314" t="s">
        <v>18</v>
      </c>
      <c r="G5314" s="2">
        <f>VALUE(596.47)</f>
        <v>596.47</v>
      </c>
      <c r="H5314" s="3">
        <f>VALUE(562.9)</f>
        <v>562.9</v>
      </c>
      <c r="I5314" s="1">
        <f>VALUE(4500)</f>
        <v>4500</v>
      </c>
      <c r="J5314" s="1">
        <f>VALUE(5359)</f>
        <v>5359</v>
      </c>
      <c r="K5314" s="1">
        <f>VALUE(6583)</f>
        <v>6583</v>
      </c>
      <c r="L5314" s="1">
        <f>VALUE(7913)</f>
        <v>7913</v>
      </c>
      <c r="M5314" s="1">
        <f>VALUE(9024)</f>
        <v>9024</v>
      </c>
      <c r="N5314" t="s">
        <v>25</v>
      </c>
    </row>
    <row r="5315" spans="1:14" x14ac:dyDescent="0.25">
      <c r="A5315" t="s">
        <v>42</v>
      </c>
      <c r="B5315" t="s">
        <v>15</v>
      </c>
      <c r="C5315" t="s">
        <v>15</v>
      </c>
      <c r="D5315" t="s">
        <v>29</v>
      </c>
      <c r="E5315" t="s">
        <v>22</v>
      </c>
      <c r="F5315" t="s">
        <v>19</v>
      </c>
      <c r="G5315" s="2">
        <f>VALUE(1121.17)</f>
        <v>1121.17</v>
      </c>
      <c r="H5315" s="3">
        <f>VALUE(1063.33)</f>
        <v>1063.33</v>
      </c>
      <c r="I5315" s="1">
        <f>VALUE(4079)</f>
        <v>4079</v>
      </c>
      <c r="J5315" s="1">
        <f>VALUE(4770)</f>
        <v>4770</v>
      </c>
      <c r="K5315" s="1">
        <f>VALUE(5651)</f>
        <v>5651</v>
      </c>
      <c r="L5315" s="1">
        <f>VALUE(6615)</f>
        <v>6615</v>
      </c>
      <c r="M5315" s="1">
        <f>VALUE(7780)</f>
        <v>7780</v>
      </c>
      <c r="N5315" t="s">
        <v>25</v>
      </c>
    </row>
    <row r="5316" spans="1:14" x14ac:dyDescent="0.25">
      <c r="A5316" t="s">
        <v>42</v>
      </c>
      <c r="B5316" t="s">
        <v>15</v>
      </c>
      <c r="C5316" t="s">
        <v>15</v>
      </c>
      <c r="D5316" t="s">
        <v>29</v>
      </c>
      <c r="E5316" t="s">
        <v>22</v>
      </c>
      <c r="F5316" t="s">
        <v>20</v>
      </c>
      <c r="G5316" s="1">
        <f>VALUE(3915)</f>
        <v>3915</v>
      </c>
      <c r="H5316" s="1">
        <f>VALUE(3652.12)</f>
        <v>3652.12</v>
      </c>
      <c r="I5316" s="1">
        <f>VALUE(3611)</f>
        <v>3611</v>
      </c>
      <c r="J5316" s="1">
        <f>VALUE(4385)</f>
        <v>4385</v>
      </c>
      <c r="K5316" s="1">
        <f>VALUE(5200)</f>
        <v>5200</v>
      </c>
      <c r="L5316" s="1">
        <f>VALUE(6030)</f>
        <v>6030</v>
      </c>
      <c r="M5316" s="1">
        <f>VALUE(7134)</f>
        <v>7134</v>
      </c>
      <c r="N5316" t="s">
        <v>16</v>
      </c>
    </row>
    <row r="5317" spans="1:14" x14ac:dyDescent="0.25">
      <c r="A5317" t="s">
        <v>42</v>
      </c>
      <c r="B5317" t="s">
        <v>15</v>
      </c>
      <c r="C5317" t="s">
        <v>15</v>
      </c>
      <c r="D5317" t="s">
        <v>29</v>
      </c>
      <c r="E5317" t="s">
        <v>23</v>
      </c>
      <c r="F5317" t="s">
        <v>15</v>
      </c>
      <c r="G5317" s="1">
        <f>VALUE(7135.44)</f>
        <v>7135.44</v>
      </c>
      <c r="H5317" s="1">
        <f>VALUE(6167.63)</f>
        <v>6167.63</v>
      </c>
      <c r="I5317" s="1">
        <f>VALUE(3388)</f>
        <v>3388</v>
      </c>
      <c r="J5317" s="1">
        <f>VALUE(3890)</f>
        <v>3890</v>
      </c>
      <c r="K5317" s="1">
        <f>VALUE(4621)</f>
        <v>4621</v>
      </c>
      <c r="L5317" s="1">
        <f>VALUE(5566)</f>
        <v>5566</v>
      </c>
      <c r="M5317" s="1">
        <f>VALUE(6422)</f>
        <v>6422</v>
      </c>
      <c r="N5317" t="s">
        <v>16</v>
      </c>
    </row>
    <row r="5318" spans="1:14" x14ac:dyDescent="0.25">
      <c r="A5318" t="s">
        <v>42</v>
      </c>
      <c r="B5318" t="s">
        <v>15</v>
      </c>
      <c r="C5318" t="s">
        <v>15</v>
      </c>
      <c r="D5318" t="s">
        <v>29</v>
      </c>
      <c r="E5318" t="s">
        <v>23</v>
      </c>
      <c r="F5318" t="s">
        <v>17</v>
      </c>
      <c r="G5318" s="2">
        <f>VALUE(513.14)</f>
        <v>513.14</v>
      </c>
      <c r="H5318" s="3">
        <f>VALUE(472.9)</f>
        <v>472.9</v>
      </c>
      <c r="I5318" s="4">
        <f>VALUE(3125)</f>
        <v>3125</v>
      </c>
      <c r="J5318" s="5">
        <f>VALUE(3739)</f>
        <v>3739</v>
      </c>
      <c r="K5318" s="6">
        <f>VALUE(3911)</f>
        <v>3911</v>
      </c>
      <c r="L5318" s="7">
        <f>VALUE(6298)</f>
        <v>6298</v>
      </c>
      <c r="M5318" s="8">
        <f>VALUE(9905)</f>
        <v>9905</v>
      </c>
      <c r="N5318" t="s">
        <v>24</v>
      </c>
    </row>
    <row r="5319" spans="1:14" x14ac:dyDescent="0.25">
      <c r="A5319" t="s">
        <v>42</v>
      </c>
      <c r="B5319" t="s">
        <v>15</v>
      </c>
      <c r="C5319" t="s">
        <v>15</v>
      </c>
      <c r="D5319" t="s">
        <v>29</v>
      </c>
      <c r="E5319" t="s">
        <v>23</v>
      </c>
      <c r="F5319" t="s">
        <v>18</v>
      </c>
      <c r="G5319" s="2">
        <f>VALUE(260.17)</f>
        <v>260.17</v>
      </c>
      <c r="H5319" s="3">
        <f>VALUE(253.51)</f>
        <v>253.51</v>
      </c>
      <c r="I5319" s="4">
        <f>VALUE(3453)</f>
        <v>3453</v>
      </c>
      <c r="J5319" s="5">
        <f>VALUE(4024)</f>
        <v>4024</v>
      </c>
      <c r="K5319" s="1">
        <f>VALUE(4962)</f>
        <v>4962</v>
      </c>
      <c r="L5319" s="7">
        <f>VALUE(5525)</f>
        <v>5525</v>
      </c>
      <c r="M5319" s="8">
        <f>VALUE(7776)</f>
        <v>7776</v>
      </c>
      <c r="N5319" t="s">
        <v>25</v>
      </c>
    </row>
    <row r="5320" spans="1:14" x14ac:dyDescent="0.25">
      <c r="A5320" t="s">
        <v>42</v>
      </c>
      <c r="B5320" t="s">
        <v>15</v>
      </c>
      <c r="C5320" t="s">
        <v>15</v>
      </c>
      <c r="D5320" t="s">
        <v>29</v>
      </c>
      <c r="E5320" t="s">
        <v>23</v>
      </c>
      <c r="F5320" t="s">
        <v>19</v>
      </c>
      <c r="G5320" s="2">
        <f>VALUE(530.22)</f>
        <v>530.22</v>
      </c>
      <c r="H5320" s="3">
        <f>VALUE(505.36)</f>
        <v>505.36</v>
      </c>
      <c r="I5320" s="4">
        <f>VALUE(3438)</f>
        <v>3438</v>
      </c>
      <c r="J5320" s="1">
        <f>VALUE(4150)</f>
        <v>4150</v>
      </c>
      <c r="K5320" s="6">
        <f>VALUE(5215)</f>
        <v>5215</v>
      </c>
      <c r="L5320" s="1">
        <f>VALUE(5852)</f>
        <v>5852</v>
      </c>
      <c r="M5320" s="1">
        <f>VALUE(6725)</f>
        <v>6725</v>
      </c>
      <c r="N5320" t="s">
        <v>25</v>
      </c>
    </row>
    <row r="5321" spans="1:14" x14ac:dyDescent="0.25">
      <c r="A5321" t="s">
        <v>42</v>
      </c>
      <c r="B5321" t="s">
        <v>15</v>
      </c>
      <c r="C5321" t="s">
        <v>15</v>
      </c>
      <c r="D5321" t="s">
        <v>29</v>
      </c>
      <c r="E5321" t="s">
        <v>23</v>
      </c>
      <c r="F5321" t="s">
        <v>20</v>
      </c>
      <c r="G5321" s="1">
        <f>VALUE(5831.91)</f>
        <v>5831.91</v>
      </c>
      <c r="H5321" s="1">
        <f>VALUE(4935.86)</f>
        <v>4935.8599999999997</v>
      </c>
      <c r="I5321" s="1">
        <f>VALUE(3393)</f>
        <v>3393</v>
      </c>
      <c r="J5321" s="1">
        <f>VALUE(3926)</f>
        <v>3926</v>
      </c>
      <c r="K5321" s="1">
        <f>VALUE(4618)</f>
        <v>4618</v>
      </c>
      <c r="L5321" s="1">
        <f>VALUE(5500)</f>
        <v>5500</v>
      </c>
      <c r="M5321" s="1">
        <f>VALUE(6278)</f>
        <v>6278</v>
      </c>
      <c r="N5321" t="s">
        <v>16</v>
      </c>
    </row>
    <row r="5322" spans="1:14" x14ac:dyDescent="0.25">
      <c r="A5322" t="s">
        <v>42</v>
      </c>
      <c r="B5322" t="s">
        <v>15</v>
      </c>
      <c r="C5322" t="s">
        <v>15</v>
      </c>
      <c r="D5322" t="s">
        <v>29</v>
      </c>
      <c r="E5322" t="s">
        <v>26</v>
      </c>
      <c r="F5322" t="s">
        <v>15</v>
      </c>
      <c r="G5322" s="2">
        <f>VALUE(531.46)</f>
        <v>531.46</v>
      </c>
      <c r="H5322" s="3">
        <f>VALUE(506.6)</f>
        <v>506.6</v>
      </c>
      <c r="I5322" s="4">
        <f>VALUE(3227)</f>
        <v>3227</v>
      </c>
      <c r="J5322" s="5">
        <f>VALUE(3508)</f>
        <v>3508</v>
      </c>
      <c r="K5322" s="6">
        <f>VALUE(4746)</f>
        <v>4746</v>
      </c>
      <c r="L5322" s="7">
        <f>VALUE(6451)</f>
        <v>6451</v>
      </c>
      <c r="M5322" s="8">
        <f>VALUE(10107)</f>
        <v>10107</v>
      </c>
      <c r="N5322" t="s">
        <v>24</v>
      </c>
    </row>
    <row r="5323" spans="1:14" x14ac:dyDescent="0.25">
      <c r="A5323" t="s">
        <v>42</v>
      </c>
      <c r="B5323" t="s">
        <v>15</v>
      </c>
      <c r="C5323" t="s">
        <v>15</v>
      </c>
      <c r="D5323" t="s">
        <v>29</v>
      </c>
      <c r="E5323" t="s">
        <v>26</v>
      </c>
      <c r="F5323" t="s">
        <v>17</v>
      </c>
      <c r="G5323" s="1" t="str">
        <f t="shared" ref="G5323:M5325" si="1151">"X"</f>
        <v>X</v>
      </c>
      <c r="H5323" s="1" t="str">
        <f t="shared" si="1151"/>
        <v>X</v>
      </c>
      <c r="I5323" s="1" t="str">
        <f t="shared" si="1151"/>
        <v>X</v>
      </c>
      <c r="J5323" s="1" t="str">
        <f t="shared" si="1151"/>
        <v>X</v>
      </c>
      <c r="K5323" s="1" t="str">
        <f t="shared" si="1151"/>
        <v>X</v>
      </c>
      <c r="L5323" s="1" t="str">
        <f t="shared" si="1151"/>
        <v>X</v>
      </c>
      <c r="M5323" s="1" t="str">
        <f t="shared" si="1151"/>
        <v>X</v>
      </c>
      <c r="N5323" t="s">
        <v>27</v>
      </c>
    </row>
    <row r="5324" spans="1:14" x14ac:dyDescent="0.25">
      <c r="A5324" t="s">
        <v>42</v>
      </c>
      <c r="B5324" t="s">
        <v>15</v>
      </c>
      <c r="C5324" t="s">
        <v>15</v>
      </c>
      <c r="D5324" t="s">
        <v>29</v>
      </c>
      <c r="E5324" t="s">
        <v>26</v>
      </c>
      <c r="F5324" t="s">
        <v>18</v>
      </c>
      <c r="G5324" s="1" t="str">
        <f t="shared" si="1151"/>
        <v>X</v>
      </c>
      <c r="H5324" s="1" t="str">
        <f t="shared" si="1151"/>
        <v>X</v>
      </c>
      <c r="I5324" s="1" t="str">
        <f t="shared" si="1151"/>
        <v>X</v>
      </c>
      <c r="J5324" s="1" t="str">
        <f t="shared" si="1151"/>
        <v>X</v>
      </c>
      <c r="K5324" s="1" t="str">
        <f t="shared" si="1151"/>
        <v>X</v>
      </c>
      <c r="L5324" s="1" t="str">
        <f t="shared" si="1151"/>
        <v>X</v>
      </c>
      <c r="M5324" s="1" t="str">
        <f t="shared" si="1151"/>
        <v>X</v>
      </c>
      <c r="N5324" t="s">
        <v>27</v>
      </c>
    </row>
    <row r="5325" spans="1:14" x14ac:dyDescent="0.25">
      <c r="A5325" t="s">
        <v>42</v>
      </c>
      <c r="B5325" t="s">
        <v>15</v>
      </c>
      <c r="C5325" t="s">
        <v>15</v>
      </c>
      <c r="D5325" t="s">
        <v>29</v>
      </c>
      <c r="E5325" t="s">
        <v>26</v>
      </c>
      <c r="F5325" t="s">
        <v>19</v>
      </c>
      <c r="G5325" s="1" t="str">
        <f t="shared" si="1151"/>
        <v>X</v>
      </c>
      <c r="H5325" s="1" t="str">
        <f t="shared" si="1151"/>
        <v>X</v>
      </c>
      <c r="I5325" s="1" t="str">
        <f t="shared" si="1151"/>
        <v>X</v>
      </c>
      <c r="J5325" s="1" t="str">
        <f t="shared" si="1151"/>
        <v>X</v>
      </c>
      <c r="K5325" s="1" t="str">
        <f t="shared" si="1151"/>
        <v>X</v>
      </c>
      <c r="L5325" s="1" t="str">
        <f t="shared" si="1151"/>
        <v>X</v>
      </c>
      <c r="M5325" s="1" t="str">
        <f t="shared" si="1151"/>
        <v>X</v>
      </c>
      <c r="N5325" t="s">
        <v>27</v>
      </c>
    </row>
    <row r="5326" spans="1:14" x14ac:dyDescent="0.25">
      <c r="A5326" t="s">
        <v>42</v>
      </c>
      <c r="B5326" t="s">
        <v>15</v>
      </c>
      <c r="C5326" t="s">
        <v>15</v>
      </c>
      <c r="D5326" t="s">
        <v>29</v>
      </c>
      <c r="E5326" t="s">
        <v>26</v>
      </c>
      <c r="F5326" t="s">
        <v>20</v>
      </c>
      <c r="G5326" s="2">
        <f>VALUE(392.69)</f>
        <v>392.69</v>
      </c>
      <c r="H5326" s="3">
        <f>VALUE(367.26)</f>
        <v>367.26</v>
      </c>
      <c r="I5326" s="4">
        <f>VALUE(3200)</f>
        <v>3200</v>
      </c>
      <c r="J5326" s="1">
        <f>VALUE(3508)</f>
        <v>3508</v>
      </c>
      <c r="K5326" s="6">
        <f>VALUE(4333)</f>
        <v>4333</v>
      </c>
      <c r="L5326" s="7">
        <f>VALUE(6150)</f>
        <v>6150</v>
      </c>
      <c r="M5326" s="8">
        <f>VALUE(7149)</f>
        <v>7149</v>
      </c>
      <c r="N5326" t="s">
        <v>25</v>
      </c>
    </row>
    <row r="5327" spans="1:14" x14ac:dyDescent="0.25">
      <c r="A5327" t="s">
        <v>42</v>
      </c>
      <c r="B5327" t="s">
        <v>15</v>
      </c>
      <c r="C5327" t="s">
        <v>15</v>
      </c>
      <c r="D5327" t="s">
        <v>31</v>
      </c>
      <c r="E5327" t="s">
        <v>15</v>
      </c>
      <c r="F5327" t="s">
        <v>15</v>
      </c>
      <c r="G5327" s="1">
        <f>VALUE(7915.18)</f>
        <v>7915.18</v>
      </c>
      <c r="H5327" s="1">
        <f>VALUE(7202.88)</f>
        <v>7202.88</v>
      </c>
      <c r="I5327" s="1">
        <f>VALUE(3261)</f>
        <v>3261</v>
      </c>
      <c r="J5327" s="1">
        <f>VALUE(3848)</f>
        <v>3848</v>
      </c>
      <c r="K5327" s="1">
        <f>VALUE(4951)</f>
        <v>4951</v>
      </c>
      <c r="L5327" s="1">
        <f>VALUE(6454)</f>
        <v>6454</v>
      </c>
      <c r="M5327" s="1">
        <f>VALUE(9491)</f>
        <v>9491</v>
      </c>
      <c r="N5327" t="s">
        <v>16</v>
      </c>
    </row>
    <row r="5328" spans="1:14" x14ac:dyDescent="0.25">
      <c r="A5328" t="s">
        <v>42</v>
      </c>
      <c r="B5328" t="s">
        <v>15</v>
      </c>
      <c r="C5328" t="s">
        <v>15</v>
      </c>
      <c r="D5328" t="s">
        <v>31</v>
      </c>
      <c r="E5328" t="s">
        <v>15</v>
      </c>
      <c r="F5328" t="s">
        <v>17</v>
      </c>
      <c r="G5328" s="2">
        <f>VALUE(906.2)</f>
        <v>906.2</v>
      </c>
      <c r="H5328" s="3">
        <f>VALUE(898.29)</f>
        <v>898.29</v>
      </c>
      <c r="I5328" s="4">
        <f>VALUE(4117)</f>
        <v>4117</v>
      </c>
      <c r="J5328" s="5">
        <f>VALUE(5674)</f>
        <v>5674</v>
      </c>
      <c r="K5328" s="6">
        <f>VALUE(8286)</f>
        <v>8286</v>
      </c>
      <c r="L5328" s="7">
        <f>VALUE(13846)</f>
        <v>13846</v>
      </c>
      <c r="M5328" s="8">
        <f>VALUE(30358)</f>
        <v>30358</v>
      </c>
      <c r="N5328" t="s">
        <v>24</v>
      </c>
    </row>
    <row r="5329" spans="1:14" x14ac:dyDescent="0.25">
      <c r="A5329" t="s">
        <v>42</v>
      </c>
      <c r="B5329" t="s">
        <v>15</v>
      </c>
      <c r="C5329" t="s">
        <v>15</v>
      </c>
      <c r="D5329" t="s">
        <v>31</v>
      </c>
      <c r="E5329" t="s">
        <v>15</v>
      </c>
      <c r="F5329" t="s">
        <v>18</v>
      </c>
      <c r="G5329" s="2">
        <f>VALUE(789.17)</f>
        <v>789.17</v>
      </c>
      <c r="H5329" s="3">
        <f>VALUE(726.45)</f>
        <v>726.45</v>
      </c>
      <c r="I5329" s="4">
        <f>VALUE(3283)</f>
        <v>3283</v>
      </c>
      <c r="J5329" s="5">
        <f>VALUE(4333)</f>
        <v>4333</v>
      </c>
      <c r="K5329" s="6">
        <f>VALUE(6111)</f>
        <v>6111</v>
      </c>
      <c r="L5329" s="7">
        <f>VALUE(8628)</f>
        <v>8628</v>
      </c>
      <c r="M5329" s="8">
        <f>VALUE(10317)</f>
        <v>10317</v>
      </c>
      <c r="N5329" t="s">
        <v>24</v>
      </c>
    </row>
    <row r="5330" spans="1:14" x14ac:dyDescent="0.25">
      <c r="A5330" t="s">
        <v>42</v>
      </c>
      <c r="B5330" t="s">
        <v>15</v>
      </c>
      <c r="C5330" t="s">
        <v>15</v>
      </c>
      <c r="D5330" t="s">
        <v>31</v>
      </c>
      <c r="E5330" t="s">
        <v>15</v>
      </c>
      <c r="F5330" t="s">
        <v>19</v>
      </c>
      <c r="G5330" s="2">
        <f>VALUE(848.09)</f>
        <v>848.09</v>
      </c>
      <c r="H5330" s="3">
        <f>VALUE(799.63)</f>
        <v>799.63</v>
      </c>
      <c r="I5330" s="4">
        <f>VALUE(3810)</f>
        <v>3810</v>
      </c>
      <c r="J5330" s="1">
        <f>VALUE(4545)</f>
        <v>4545</v>
      </c>
      <c r="K5330" s="1">
        <f>VALUE(5499)</f>
        <v>5499</v>
      </c>
      <c r="L5330" s="7">
        <f>VALUE(6921)</f>
        <v>6921</v>
      </c>
      <c r="M5330" s="8">
        <f>VALUE(9690)</f>
        <v>9690</v>
      </c>
      <c r="N5330" t="s">
        <v>25</v>
      </c>
    </row>
    <row r="5331" spans="1:14" x14ac:dyDescent="0.25">
      <c r="A5331" t="s">
        <v>42</v>
      </c>
      <c r="B5331" t="s">
        <v>15</v>
      </c>
      <c r="C5331" t="s">
        <v>15</v>
      </c>
      <c r="D5331" t="s">
        <v>31</v>
      </c>
      <c r="E5331" t="s">
        <v>15</v>
      </c>
      <c r="F5331" t="s">
        <v>20</v>
      </c>
      <c r="G5331" s="1">
        <f>VALUE(5371.72)</f>
        <v>5371.72</v>
      </c>
      <c r="H5331" s="1">
        <f>VALUE(4778.51)</f>
        <v>4778.51</v>
      </c>
      <c r="I5331" s="1">
        <f>VALUE(3152)</f>
        <v>3152</v>
      </c>
      <c r="J5331" s="1">
        <f>VALUE(3665)</f>
        <v>3665</v>
      </c>
      <c r="K5331" s="1">
        <f>VALUE(4444)</f>
        <v>4444</v>
      </c>
      <c r="L5331" s="1">
        <f>VALUE(5498)</f>
        <v>5498</v>
      </c>
      <c r="M5331" s="1">
        <f>VALUE(6730)</f>
        <v>6730</v>
      </c>
      <c r="N5331" t="s">
        <v>16</v>
      </c>
    </row>
    <row r="5332" spans="1:14" x14ac:dyDescent="0.25">
      <c r="A5332" t="s">
        <v>42</v>
      </c>
      <c r="B5332" t="s">
        <v>15</v>
      </c>
      <c r="C5332" t="s">
        <v>15</v>
      </c>
      <c r="D5332" t="s">
        <v>31</v>
      </c>
      <c r="E5332" t="s">
        <v>21</v>
      </c>
      <c r="F5332" t="s">
        <v>15</v>
      </c>
      <c r="G5332" s="1">
        <f>VALUE(2205.47)</f>
        <v>2205.4699999999998</v>
      </c>
      <c r="H5332" s="1">
        <f>VALUE(2082.54)</f>
        <v>2082.54</v>
      </c>
      <c r="I5332" s="1">
        <f>VALUE(4000)</f>
        <v>4000</v>
      </c>
      <c r="J5332" s="1">
        <f>VALUE(5134)</f>
        <v>5134</v>
      </c>
      <c r="K5332" s="1">
        <f>VALUE(6565)</f>
        <v>6565</v>
      </c>
      <c r="L5332" s="1">
        <f>VALUE(9334)</f>
        <v>9334</v>
      </c>
      <c r="M5332" s="8">
        <f>VALUE(14558)</f>
        <v>14558</v>
      </c>
      <c r="N5332" t="s">
        <v>25</v>
      </c>
    </row>
    <row r="5333" spans="1:14" x14ac:dyDescent="0.25">
      <c r="A5333" t="s">
        <v>42</v>
      </c>
      <c r="B5333" t="s">
        <v>15</v>
      </c>
      <c r="C5333" t="s">
        <v>15</v>
      </c>
      <c r="D5333" t="s">
        <v>31</v>
      </c>
      <c r="E5333" t="s">
        <v>21</v>
      </c>
      <c r="F5333" t="s">
        <v>17</v>
      </c>
      <c r="G5333" s="2">
        <f>VALUE(506.92)</f>
        <v>506.92</v>
      </c>
      <c r="H5333" s="3">
        <f>VALUE(504.82)</f>
        <v>504.82</v>
      </c>
      <c r="I5333" s="1">
        <f>VALUE(4810)</f>
        <v>4810</v>
      </c>
      <c r="J5333" s="5">
        <f>VALUE(6973)</f>
        <v>6973</v>
      </c>
      <c r="K5333" s="6">
        <f>VALUE(11822)</f>
        <v>11822</v>
      </c>
      <c r="L5333" s="7">
        <f>VALUE(22702)</f>
        <v>22702</v>
      </c>
      <c r="M5333" s="8">
        <f>VALUE(45252)</f>
        <v>45252</v>
      </c>
      <c r="N5333" t="s">
        <v>25</v>
      </c>
    </row>
    <row r="5334" spans="1:14" x14ac:dyDescent="0.25">
      <c r="A5334" t="s">
        <v>42</v>
      </c>
      <c r="B5334" t="s">
        <v>15</v>
      </c>
      <c r="C5334" t="s">
        <v>15</v>
      </c>
      <c r="D5334" t="s">
        <v>31</v>
      </c>
      <c r="E5334" t="s">
        <v>21</v>
      </c>
      <c r="F5334" t="s">
        <v>18</v>
      </c>
      <c r="G5334" s="2">
        <f>VALUE(433.54)</f>
        <v>433.54</v>
      </c>
      <c r="H5334" s="3">
        <f>VALUE(409.61)</f>
        <v>409.61</v>
      </c>
      <c r="I5334" s="4">
        <f>VALUE(5116)</f>
        <v>5116</v>
      </c>
      <c r="J5334" s="1">
        <f>VALUE(5878)</f>
        <v>5878</v>
      </c>
      <c r="K5334" s="1">
        <f>VALUE(7606)</f>
        <v>7606</v>
      </c>
      <c r="L5334" s="1">
        <f>VALUE(9666)</f>
        <v>9666</v>
      </c>
      <c r="M5334" s="8">
        <f>VALUE(11905)</f>
        <v>11905</v>
      </c>
      <c r="N5334" t="s">
        <v>25</v>
      </c>
    </row>
    <row r="5335" spans="1:14" x14ac:dyDescent="0.25">
      <c r="A5335" t="s">
        <v>42</v>
      </c>
      <c r="B5335" t="s">
        <v>15</v>
      </c>
      <c r="C5335" t="s">
        <v>15</v>
      </c>
      <c r="D5335" t="s">
        <v>31</v>
      </c>
      <c r="E5335" t="s">
        <v>21</v>
      </c>
      <c r="F5335" t="s">
        <v>19</v>
      </c>
      <c r="G5335" s="2">
        <f>VALUE(383.95)</f>
        <v>383.95</v>
      </c>
      <c r="H5335" s="3">
        <f>VALUE(367.85)</f>
        <v>367.85</v>
      </c>
      <c r="I5335" s="1">
        <f>VALUE(3810)</f>
        <v>3810</v>
      </c>
      <c r="J5335" s="5">
        <f>VALUE(5000)</f>
        <v>5000</v>
      </c>
      <c r="K5335" s="1">
        <f>VALUE(6454)</f>
        <v>6454</v>
      </c>
      <c r="L5335" s="7">
        <f>VALUE(8354)</f>
        <v>8354</v>
      </c>
      <c r="M5335" s="8">
        <f>VALUE(11470)</f>
        <v>11470</v>
      </c>
      <c r="N5335" t="s">
        <v>25</v>
      </c>
    </row>
    <row r="5336" spans="1:14" x14ac:dyDescent="0.25">
      <c r="A5336" t="s">
        <v>42</v>
      </c>
      <c r="B5336" t="s">
        <v>15</v>
      </c>
      <c r="C5336" t="s">
        <v>15</v>
      </c>
      <c r="D5336" t="s">
        <v>31</v>
      </c>
      <c r="E5336" t="s">
        <v>21</v>
      </c>
      <c r="F5336" t="s">
        <v>20</v>
      </c>
      <c r="G5336" s="2">
        <f>VALUE(881.06)</f>
        <v>881.06</v>
      </c>
      <c r="H5336" s="3">
        <f>VALUE(800.26)</f>
        <v>800.26</v>
      </c>
      <c r="I5336" s="1">
        <f>VALUE(3762)</f>
        <v>3762</v>
      </c>
      <c r="J5336" s="1">
        <f>VALUE(4452)</f>
        <v>4452</v>
      </c>
      <c r="K5336" s="1">
        <f>VALUE(5633)</f>
        <v>5633</v>
      </c>
      <c r="L5336" s="1">
        <f>VALUE(6922)</f>
        <v>6922</v>
      </c>
      <c r="M5336" s="1">
        <f>VALUE(8095)</f>
        <v>8095</v>
      </c>
      <c r="N5336" t="s">
        <v>25</v>
      </c>
    </row>
    <row r="5337" spans="1:14" x14ac:dyDescent="0.25">
      <c r="A5337" t="s">
        <v>42</v>
      </c>
      <c r="B5337" t="s">
        <v>15</v>
      </c>
      <c r="C5337" t="s">
        <v>15</v>
      </c>
      <c r="D5337" t="s">
        <v>31</v>
      </c>
      <c r="E5337" t="s">
        <v>22</v>
      </c>
      <c r="F5337" t="s">
        <v>15</v>
      </c>
      <c r="G5337" s="2">
        <f>VALUE(2168.56)</f>
        <v>2168.56</v>
      </c>
      <c r="H5337" s="3">
        <f>VALUE(2028.57)</f>
        <v>2028.57</v>
      </c>
      <c r="I5337" s="1">
        <f>VALUE(3337)</f>
        <v>3337</v>
      </c>
      <c r="J5337" s="1">
        <f>VALUE(4091)</f>
        <v>4091</v>
      </c>
      <c r="K5337" s="1">
        <f>VALUE(4902)</f>
        <v>4902</v>
      </c>
      <c r="L5337" s="1">
        <f>VALUE(5907)</f>
        <v>5907</v>
      </c>
      <c r="M5337" s="8">
        <f>VALUE(8059)</f>
        <v>8059</v>
      </c>
      <c r="N5337" t="s">
        <v>25</v>
      </c>
    </row>
    <row r="5338" spans="1:14" x14ac:dyDescent="0.25">
      <c r="A5338" t="s">
        <v>42</v>
      </c>
      <c r="B5338" t="s">
        <v>15</v>
      </c>
      <c r="C5338" t="s">
        <v>15</v>
      </c>
      <c r="D5338" t="s">
        <v>31</v>
      </c>
      <c r="E5338" t="s">
        <v>22</v>
      </c>
      <c r="F5338" t="s">
        <v>17</v>
      </c>
      <c r="G5338" s="2">
        <f>VALUE(241.95)</f>
        <v>241.95</v>
      </c>
      <c r="H5338" s="3">
        <f>VALUE(246.86)</f>
        <v>246.86</v>
      </c>
      <c r="I5338" s="4">
        <f>VALUE(4579)</f>
        <v>4579</v>
      </c>
      <c r="J5338" s="1">
        <f>VALUE(5369)</f>
        <v>5369</v>
      </c>
      <c r="K5338" s="6">
        <f>VALUE(7396)</f>
        <v>7396</v>
      </c>
      <c r="L5338" s="7">
        <f>VALUE(10098)</f>
        <v>10098</v>
      </c>
      <c r="M5338" s="8">
        <f>VALUE(15595)</f>
        <v>15595</v>
      </c>
      <c r="N5338" t="s">
        <v>25</v>
      </c>
    </row>
    <row r="5339" spans="1:14" x14ac:dyDescent="0.25">
      <c r="A5339" t="s">
        <v>42</v>
      </c>
      <c r="B5339" t="s">
        <v>15</v>
      </c>
      <c r="C5339" t="s">
        <v>15</v>
      </c>
      <c r="D5339" t="s">
        <v>31</v>
      </c>
      <c r="E5339" t="s">
        <v>22</v>
      </c>
      <c r="F5339" t="s">
        <v>18</v>
      </c>
      <c r="G5339" s="2">
        <f>VALUE(170.68)</f>
        <v>170.68</v>
      </c>
      <c r="H5339" s="3">
        <f>VALUE(158.42)</f>
        <v>158.41999999999999</v>
      </c>
      <c r="I5339" s="4">
        <f>VALUE(3295)</f>
        <v>3295</v>
      </c>
      <c r="J5339" s="5">
        <f>VALUE(3644)</f>
        <v>3644</v>
      </c>
      <c r="K5339" s="6">
        <f>VALUE(5607)</f>
        <v>5607</v>
      </c>
      <c r="L5339" s="7">
        <f>VALUE(7936)</f>
        <v>7936</v>
      </c>
      <c r="M5339" s="8">
        <f>VALUE(9560)</f>
        <v>9560</v>
      </c>
      <c r="N5339" t="s">
        <v>24</v>
      </c>
    </row>
    <row r="5340" spans="1:14" x14ac:dyDescent="0.25">
      <c r="A5340" t="s">
        <v>42</v>
      </c>
      <c r="B5340" t="s">
        <v>15</v>
      </c>
      <c r="C5340" t="s">
        <v>15</v>
      </c>
      <c r="D5340" t="s">
        <v>31</v>
      </c>
      <c r="E5340" t="s">
        <v>22</v>
      </c>
      <c r="F5340" t="s">
        <v>19</v>
      </c>
      <c r="G5340" s="2">
        <f>VALUE(317.83)</f>
        <v>317.83</v>
      </c>
      <c r="H5340" s="3">
        <f>VALUE(311.83)</f>
        <v>311.83</v>
      </c>
      <c r="I5340" s="1">
        <f>VALUE(4184)</f>
        <v>4184</v>
      </c>
      <c r="J5340" s="5">
        <f>VALUE(4859)</f>
        <v>4859</v>
      </c>
      <c r="K5340" s="1">
        <f>VALUE(5103)</f>
        <v>5103</v>
      </c>
      <c r="L5340" s="1">
        <f>VALUE(5984)</f>
        <v>5984</v>
      </c>
      <c r="M5340" s="8">
        <f>VALUE(7653)</f>
        <v>7653</v>
      </c>
      <c r="N5340" t="s">
        <v>25</v>
      </c>
    </row>
    <row r="5341" spans="1:14" x14ac:dyDescent="0.25">
      <c r="A5341" t="s">
        <v>42</v>
      </c>
      <c r="B5341" t="s">
        <v>15</v>
      </c>
      <c r="C5341" t="s">
        <v>15</v>
      </c>
      <c r="D5341" t="s">
        <v>31</v>
      </c>
      <c r="E5341" t="s">
        <v>22</v>
      </c>
      <c r="F5341" t="s">
        <v>20</v>
      </c>
      <c r="G5341" s="2">
        <f>VALUE(1438.1)</f>
        <v>1438.1</v>
      </c>
      <c r="H5341" s="3">
        <f>VALUE(1311.46)</f>
        <v>1311.46</v>
      </c>
      <c r="I5341" s="1">
        <f>VALUE(3256)</f>
        <v>3256</v>
      </c>
      <c r="J5341" s="1">
        <f>VALUE(3817)</f>
        <v>3817</v>
      </c>
      <c r="K5341" s="1">
        <f>VALUE(4500)</f>
        <v>4500</v>
      </c>
      <c r="L5341" s="1">
        <f>VALUE(5311)</f>
        <v>5311</v>
      </c>
      <c r="M5341" s="1">
        <f>VALUE(6347)</f>
        <v>6347</v>
      </c>
      <c r="N5341" t="s">
        <v>25</v>
      </c>
    </row>
    <row r="5342" spans="1:14" x14ac:dyDescent="0.25">
      <c r="A5342" t="s">
        <v>42</v>
      </c>
      <c r="B5342" t="s">
        <v>15</v>
      </c>
      <c r="C5342" t="s">
        <v>15</v>
      </c>
      <c r="D5342" t="s">
        <v>31</v>
      </c>
      <c r="E5342" t="s">
        <v>23</v>
      </c>
      <c r="F5342" t="s">
        <v>15</v>
      </c>
      <c r="G5342" s="1">
        <f>VALUE(3100.31)</f>
        <v>3100.31</v>
      </c>
      <c r="H5342" s="1">
        <f>VALUE(2690.71)</f>
        <v>2690.71</v>
      </c>
      <c r="I5342" s="1">
        <f>VALUE(2934)</f>
        <v>2934</v>
      </c>
      <c r="J5342" s="1">
        <f>VALUE(3508)</f>
        <v>3508</v>
      </c>
      <c r="K5342" s="1">
        <f>VALUE(4056)</f>
        <v>4056</v>
      </c>
      <c r="L5342" s="1">
        <f>VALUE(5236)</f>
        <v>5236</v>
      </c>
      <c r="M5342" s="1">
        <f>VALUE(6148)</f>
        <v>6148</v>
      </c>
      <c r="N5342" t="s">
        <v>16</v>
      </c>
    </row>
    <row r="5343" spans="1:14" x14ac:dyDescent="0.25">
      <c r="A5343" t="s">
        <v>42</v>
      </c>
      <c r="B5343" t="s">
        <v>15</v>
      </c>
      <c r="C5343" t="s">
        <v>15</v>
      </c>
      <c r="D5343" t="s">
        <v>31</v>
      </c>
      <c r="E5343" t="s">
        <v>23</v>
      </c>
      <c r="F5343" t="s">
        <v>17</v>
      </c>
      <c r="G5343" s="1" t="str">
        <f t="shared" ref="G5343:M5345" si="1152">"X"</f>
        <v>X</v>
      </c>
      <c r="H5343" s="1" t="str">
        <f t="shared" si="1152"/>
        <v>X</v>
      </c>
      <c r="I5343" s="1" t="str">
        <f t="shared" si="1152"/>
        <v>X</v>
      </c>
      <c r="J5343" s="1" t="str">
        <f t="shared" si="1152"/>
        <v>X</v>
      </c>
      <c r="K5343" s="1" t="str">
        <f t="shared" si="1152"/>
        <v>X</v>
      </c>
      <c r="L5343" s="1" t="str">
        <f t="shared" si="1152"/>
        <v>X</v>
      </c>
      <c r="M5343" s="1" t="str">
        <f t="shared" si="1152"/>
        <v>X</v>
      </c>
      <c r="N5343" t="s">
        <v>27</v>
      </c>
    </row>
    <row r="5344" spans="1:14" x14ac:dyDescent="0.25">
      <c r="A5344" t="s">
        <v>42</v>
      </c>
      <c r="B5344" t="s">
        <v>15</v>
      </c>
      <c r="C5344" t="s">
        <v>15</v>
      </c>
      <c r="D5344" t="s">
        <v>31</v>
      </c>
      <c r="E5344" t="s">
        <v>23</v>
      </c>
      <c r="F5344" t="s">
        <v>18</v>
      </c>
      <c r="G5344" s="1" t="str">
        <f t="shared" si="1152"/>
        <v>X</v>
      </c>
      <c r="H5344" s="1" t="str">
        <f t="shared" si="1152"/>
        <v>X</v>
      </c>
      <c r="I5344" s="1" t="str">
        <f t="shared" si="1152"/>
        <v>X</v>
      </c>
      <c r="J5344" s="1" t="str">
        <f t="shared" si="1152"/>
        <v>X</v>
      </c>
      <c r="K5344" s="1" t="str">
        <f t="shared" si="1152"/>
        <v>X</v>
      </c>
      <c r="L5344" s="1" t="str">
        <f t="shared" si="1152"/>
        <v>X</v>
      </c>
      <c r="M5344" s="1" t="str">
        <f t="shared" si="1152"/>
        <v>X</v>
      </c>
      <c r="N5344" t="s">
        <v>27</v>
      </c>
    </row>
    <row r="5345" spans="1:14" x14ac:dyDescent="0.25">
      <c r="A5345" t="s">
        <v>42</v>
      </c>
      <c r="B5345" t="s">
        <v>15</v>
      </c>
      <c r="C5345" t="s">
        <v>15</v>
      </c>
      <c r="D5345" t="s">
        <v>31</v>
      </c>
      <c r="E5345" t="s">
        <v>23</v>
      </c>
      <c r="F5345" t="s">
        <v>19</v>
      </c>
      <c r="G5345" s="1" t="str">
        <f t="shared" si="1152"/>
        <v>X</v>
      </c>
      <c r="H5345" s="1" t="str">
        <f t="shared" si="1152"/>
        <v>X</v>
      </c>
      <c r="I5345" s="1" t="str">
        <f t="shared" si="1152"/>
        <v>X</v>
      </c>
      <c r="J5345" s="1" t="str">
        <f t="shared" si="1152"/>
        <v>X</v>
      </c>
      <c r="K5345" s="1" t="str">
        <f t="shared" si="1152"/>
        <v>X</v>
      </c>
      <c r="L5345" s="1" t="str">
        <f t="shared" si="1152"/>
        <v>X</v>
      </c>
      <c r="M5345" s="1" t="str">
        <f t="shared" si="1152"/>
        <v>X</v>
      </c>
      <c r="N5345" t="s">
        <v>27</v>
      </c>
    </row>
    <row r="5346" spans="1:14" x14ac:dyDescent="0.25">
      <c r="A5346" t="s">
        <v>42</v>
      </c>
      <c r="B5346" t="s">
        <v>15</v>
      </c>
      <c r="C5346" t="s">
        <v>15</v>
      </c>
      <c r="D5346" t="s">
        <v>31</v>
      </c>
      <c r="E5346" t="s">
        <v>23</v>
      </c>
      <c r="F5346" t="s">
        <v>20</v>
      </c>
      <c r="G5346" s="1">
        <f>VALUE(2677.48)</f>
        <v>2677.48</v>
      </c>
      <c r="H5346" s="3">
        <f>VALUE(2331.33)</f>
        <v>2331.33</v>
      </c>
      <c r="I5346" s="4">
        <f>VALUE(2985)</f>
        <v>2985</v>
      </c>
      <c r="J5346" s="1">
        <f>VALUE(3509)</f>
        <v>3509</v>
      </c>
      <c r="K5346" s="1">
        <f>VALUE(4042)</f>
        <v>4042</v>
      </c>
      <c r="L5346" s="1">
        <f>VALUE(5195)</f>
        <v>5195</v>
      </c>
      <c r="M5346" s="1">
        <f>VALUE(6034)</f>
        <v>6034</v>
      </c>
      <c r="N5346" t="s">
        <v>25</v>
      </c>
    </row>
    <row r="5347" spans="1:14" x14ac:dyDescent="0.25">
      <c r="A5347" t="s">
        <v>42</v>
      </c>
      <c r="B5347" t="s">
        <v>15</v>
      </c>
      <c r="C5347" t="s">
        <v>15</v>
      </c>
      <c r="D5347" t="s">
        <v>31</v>
      </c>
      <c r="E5347" t="s">
        <v>26</v>
      </c>
      <c r="F5347" t="s">
        <v>15</v>
      </c>
      <c r="G5347" s="2">
        <f>VALUE(440.84)</f>
        <v>440.84</v>
      </c>
      <c r="H5347" s="3">
        <f>VALUE(401.06)</f>
        <v>401.06</v>
      </c>
      <c r="I5347" s="4">
        <f>VALUE(3244)</f>
        <v>3244</v>
      </c>
      <c r="J5347" s="1">
        <f>VALUE(3513)</f>
        <v>3513</v>
      </c>
      <c r="K5347" s="6">
        <f>VALUE(4755)</f>
        <v>4755</v>
      </c>
      <c r="L5347" s="7">
        <f>VALUE(6452)</f>
        <v>6452</v>
      </c>
      <c r="M5347" s="8">
        <f>VALUE(8571)</f>
        <v>8571</v>
      </c>
      <c r="N5347" t="s">
        <v>25</v>
      </c>
    </row>
    <row r="5348" spans="1:14" x14ac:dyDescent="0.25">
      <c r="A5348" t="s">
        <v>42</v>
      </c>
      <c r="B5348" t="s">
        <v>15</v>
      </c>
      <c r="C5348" t="s">
        <v>15</v>
      </c>
      <c r="D5348" t="s">
        <v>31</v>
      </c>
      <c r="E5348" t="s">
        <v>26</v>
      </c>
      <c r="F5348" t="s">
        <v>17</v>
      </c>
      <c r="G5348" s="1" t="str">
        <f t="shared" ref="G5348:M5350" si="1153">"X"</f>
        <v>X</v>
      </c>
      <c r="H5348" s="1" t="str">
        <f t="shared" si="1153"/>
        <v>X</v>
      </c>
      <c r="I5348" s="1" t="str">
        <f t="shared" si="1153"/>
        <v>X</v>
      </c>
      <c r="J5348" s="1" t="str">
        <f t="shared" si="1153"/>
        <v>X</v>
      </c>
      <c r="K5348" s="1" t="str">
        <f t="shared" si="1153"/>
        <v>X</v>
      </c>
      <c r="L5348" s="1" t="str">
        <f t="shared" si="1153"/>
        <v>X</v>
      </c>
      <c r="M5348" s="1" t="str">
        <f t="shared" si="1153"/>
        <v>X</v>
      </c>
      <c r="N5348" t="s">
        <v>27</v>
      </c>
    </row>
    <row r="5349" spans="1:14" x14ac:dyDescent="0.25">
      <c r="A5349" t="s">
        <v>42</v>
      </c>
      <c r="B5349" t="s">
        <v>15</v>
      </c>
      <c r="C5349" t="s">
        <v>15</v>
      </c>
      <c r="D5349" t="s">
        <v>31</v>
      </c>
      <c r="E5349" t="s">
        <v>26</v>
      </c>
      <c r="F5349" t="s">
        <v>18</v>
      </c>
      <c r="G5349" s="1" t="str">
        <f t="shared" si="1153"/>
        <v>X</v>
      </c>
      <c r="H5349" s="1" t="str">
        <f t="shared" si="1153"/>
        <v>X</v>
      </c>
      <c r="I5349" s="1" t="str">
        <f t="shared" si="1153"/>
        <v>X</v>
      </c>
      <c r="J5349" s="1" t="str">
        <f t="shared" si="1153"/>
        <v>X</v>
      </c>
      <c r="K5349" s="1" t="str">
        <f t="shared" si="1153"/>
        <v>X</v>
      </c>
      <c r="L5349" s="1" t="str">
        <f t="shared" si="1153"/>
        <v>X</v>
      </c>
      <c r="M5349" s="1" t="str">
        <f t="shared" si="1153"/>
        <v>X</v>
      </c>
      <c r="N5349" t="s">
        <v>27</v>
      </c>
    </row>
    <row r="5350" spans="1:14" x14ac:dyDescent="0.25">
      <c r="A5350" t="s">
        <v>42</v>
      </c>
      <c r="B5350" t="s">
        <v>15</v>
      </c>
      <c r="C5350" t="s">
        <v>15</v>
      </c>
      <c r="D5350" t="s">
        <v>31</v>
      </c>
      <c r="E5350" t="s">
        <v>26</v>
      </c>
      <c r="F5350" t="s">
        <v>19</v>
      </c>
      <c r="G5350" s="1" t="str">
        <f t="shared" si="1153"/>
        <v>X</v>
      </c>
      <c r="H5350" s="1" t="str">
        <f t="shared" si="1153"/>
        <v>X</v>
      </c>
      <c r="I5350" s="1" t="str">
        <f t="shared" si="1153"/>
        <v>X</v>
      </c>
      <c r="J5350" s="1" t="str">
        <f t="shared" si="1153"/>
        <v>X</v>
      </c>
      <c r="K5350" s="1" t="str">
        <f t="shared" si="1153"/>
        <v>X</v>
      </c>
      <c r="L5350" s="1" t="str">
        <f t="shared" si="1153"/>
        <v>X</v>
      </c>
      <c r="M5350" s="1" t="str">
        <f t="shared" si="1153"/>
        <v>X</v>
      </c>
      <c r="N5350" t="s">
        <v>27</v>
      </c>
    </row>
    <row r="5351" spans="1:14" x14ac:dyDescent="0.25">
      <c r="A5351" t="s">
        <v>42</v>
      </c>
      <c r="B5351" t="s">
        <v>15</v>
      </c>
      <c r="C5351" t="s">
        <v>15</v>
      </c>
      <c r="D5351" t="s">
        <v>31</v>
      </c>
      <c r="E5351" t="s">
        <v>26</v>
      </c>
      <c r="F5351" t="s">
        <v>20</v>
      </c>
      <c r="G5351" s="2">
        <f>VALUE(375.08)</f>
        <v>375.08</v>
      </c>
      <c r="H5351" s="3">
        <f>VALUE(335.46)</f>
        <v>335.46</v>
      </c>
      <c r="I5351" s="4">
        <f>VALUE(3215)</f>
        <v>3215</v>
      </c>
      <c r="J5351" s="1">
        <f>VALUE(3508)</f>
        <v>3508</v>
      </c>
      <c r="K5351" s="6">
        <f>VALUE(4251)</f>
        <v>4251</v>
      </c>
      <c r="L5351" s="1">
        <f>VALUE(5840)</f>
        <v>5840</v>
      </c>
      <c r="M5351" s="1">
        <f>VALUE(7631)</f>
        <v>7631</v>
      </c>
      <c r="N5351" t="s">
        <v>25</v>
      </c>
    </row>
    <row r="5352" spans="1:14" x14ac:dyDescent="0.25">
      <c r="A5352" t="s">
        <v>42</v>
      </c>
      <c r="B5352" t="s">
        <v>15</v>
      </c>
      <c r="C5352" t="s">
        <v>15</v>
      </c>
      <c r="D5352" t="s">
        <v>32</v>
      </c>
      <c r="E5352" t="s">
        <v>15</v>
      </c>
      <c r="F5352" t="s">
        <v>15</v>
      </c>
      <c r="G5352" s="1">
        <f>VALUE(43229.79)</f>
        <v>43229.79</v>
      </c>
      <c r="H5352" s="1">
        <f>VALUE(41868.67)</f>
        <v>41868.67</v>
      </c>
      <c r="I5352" s="1">
        <f>VALUE(2823)</f>
        <v>2823</v>
      </c>
      <c r="J5352" s="1">
        <f>VALUE(3442)</f>
        <v>3442</v>
      </c>
      <c r="K5352" s="1">
        <f>VALUE(4393)</f>
        <v>4393</v>
      </c>
      <c r="L5352" s="1">
        <f>VALUE(5598)</f>
        <v>5598</v>
      </c>
      <c r="M5352" s="1">
        <f>VALUE(6996)</f>
        <v>6996</v>
      </c>
      <c r="N5352" t="s">
        <v>16</v>
      </c>
    </row>
    <row r="5353" spans="1:14" x14ac:dyDescent="0.25">
      <c r="A5353" t="s">
        <v>42</v>
      </c>
      <c r="B5353" t="s">
        <v>15</v>
      </c>
      <c r="C5353" t="s">
        <v>15</v>
      </c>
      <c r="D5353" t="s">
        <v>32</v>
      </c>
      <c r="E5353" t="s">
        <v>15</v>
      </c>
      <c r="F5353" t="s">
        <v>17</v>
      </c>
      <c r="G5353" s="2">
        <f>VALUE(3198.72)</f>
        <v>3198.72</v>
      </c>
      <c r="H5353" s="3">
        <f>VALUE(3153.83)</f>
        <v>3153.83</v>
      </c>
      <c r="I5353" s="4">
        <f>VALUE(3823)</f>
        <v>3823</v>
      </c>
      <c r="J5353" s="5">
        <f>VALUE(5143)</f>
        <v>5143</v>
      </c>
      <c r="K5353" s="6">
        <f>VALUE(7042)</f>
        <v>7042</v>
      </c>
      <c r="L5353" s="7">
        <f>VALUE(11209)</f>
        <v>11209</v>
      </c>
      <c r="M5353" s="8">
        <f>VALUE(13418)</f>
        <v>13418</v>
      </c>
      <c r="N5353" t="s">
        <v>24</v>
      </c>
    </row>
    <row r="5354" spans="1:14" x14ac:dyDescent="0.25">
      <c r="A5354" t="s">
        <v>42</v>
      </c>
      <c r="B5354" t="s">
        <v>15</v>
      </c>
      <c r="C5354" t="s">
        <v>15</v>
      </c>
      <c r="D5354" t="s">
        <v>32</v>
      </c>
      <c r="E5354" t="s">
        <v>15</v>
      </c>
      <c r="F5354" t="s">
        <v>18</v>
      </c>
      <c r="G5354" s="1">
        <f>VALUE(2960.22)</f>
        <v>2960.22</v>
      </c>
      <c r="H5354" s="1">
        <f>VALUE(2859.52)</f>
        <v>2859.52</v>
      </c>
      <c r="I5354" s="1">
        <f>VALUE(3240)</f>
        <v>3240</v>
      </c>
      <c r="J5354" s="1">
        <f>VALUE(4333)</f>
        <v>4333</v>
      </c>
      <c r="K5354" s="1">
        <f>VALUE(5481)</f>
        <v>5481</v>
      </c>
      <c r="L5354" s="1">
        <f>VALUE(6985)</f>
        <v>6985</v>
      </c>
      <c r="M5354" s="1">
        <f>VALUE(9080)</f>
        <v>9080</v>
      </c>
      <c r="N5354" t="s">
        <v>16</v>
      </c>
    </row>
    <row r="5355" spans="1:14" x14ac:dyDescent="0.25">
      <c r="A5355" t="s">
        <v>42</v>
      </c>
      <c r="B5355" t="s">
        <v>15</v>
      </c>
      <c r="C5355" t="s">
        <v>15</v>
      </c>
      <c r="D5355" t="s">
        <v>32</v>
      </c>
      <c r="E5355" t="s">
        <v>15</v>
      </c>
      <c r="F5355" t="s">
        <v>19</v>
      </c>
      <c r="G5355" s="1">
        <f>VALUE(6405.66)</f>
        <v>6405.66</v>
      </c>
      <c r="H5355" s="1">
        <f>VALUE(6382.42)</f>
        <v>6382.42</v>
      </c>
      <c r="I5355" s="1">
        <f>VALUE(2968)</f>
        <v>2968</v>
      </c>
      <c r="J5355" s="5">
        <f>VALUE(3586)</f>
        <v>3586</v>
      </c>
      <c r="K5355" s="1">
        <f>VALUE(4580)</f>
        <v>4580</v>
      </c>
      <c r="L5355" s="1">
        <f>VALUE(5747)</f>
        <v>5747</v>
      </c>
      <c r="M5355" s="1">
        <f>VALUE(7034)</f>
        <v>7034</v>
      </c>
      <c r="N5355" t="s">
        <v>25</v>
      </c>
    </row>
    <row r="5356" spans="1:14" x14ac:dyDescent="0.25">
      <c r="A5356" t="s">
        <v>42</v>
      </c>
      <c r="B5356" t="s">
        <v>15</v>
      </c>
      <c r="C5356" t="s">
        <v>15</v>
      </c>
      <c r="D5356" t="s">
        <v>32</v>
      </c>
      <c r="E5356" t="s">
        <v>15</v>
      </c>
      <c r="F5356" t="s">
        <v>20</v>
      </c>
      <c r="G5356" s="1">
        <f>VALUE(30665.19)</f>
        <v>30665.19</v>
      </c>
      <c r="H5356" s="1">
        <f>VALUE(29472.9)</f>
        <v>29472.9</v>
      </c>
      <c r="I5356" s="1">
        <f>VALUE(2718)</f>
        <v>2718</v>
      </c>
      <c r="J5356" s="1">
        <f>VALUE(3292)</f>
        <v>3292</v>
      </c>
      <c r="K5356" s="1">
        <f>VALUE(4129)</f>
        <v>4129</v>
      </c>
      <c r="L5356" s="1">
        <f>VALUE(5153)</f>
        <v>5153</v>
      </c>
      <c r="M5356" s="1">
        <f>VALUE(6137)</f>
        <v>6137</v>
      </c>
      <c r="N5356" t="s">
        <v>16</v>
      </c>
    </row>
    <row r="5357" spans="1:14" x14ac:dyDescent="0.25">
      <c r="A5357" t="s">
        <v>42</v>
      </c>
      <c r="B5357" t="s">
        <v>15</v>
      </c>
      <c r="C5357" t="s">
        <v>15</v>
      </c>
      <c r="D5357" t="s">
        <v>32</v>
      </c>
      <c r="E5357" t="s">
        <v>21</v>
      </c>
      <c r="F5357" t="s">
        <v>15</v>
      </c>
      <c r="G5357" s="1">
        <f>VALUE(7167.84)</f>
        <v>7167.84</v>
      </c>
      <c r="H5357" s="1">
        <f>VALUE(6782.9)</f>
        <v>6782.9</v>
      </c>
      <c r="I5357" s="1">
        <f>VALUE(3250)</f>
        <v>3250</v>
      </c>
      <c r="J5357" s="1">
        <f>VALUE(4201)</f>
        <v>4201</v>
      </c>
      <c r="K5357" s="1">
        <f>VALUE(5634)</f>
        <v>5634</v>
      </c>
      <c r="L5357" s="7">
        <f>VALUE(7833)</f>
        <v>7833</v>
      </c>
      <c r="M5357" s="1">
        <f>VALUE(11250)</f>
        <v>11250</v>
      </c>
      <c r="N5357" t="s">
        <v>25</v>
      </c>
    </row>
    <row r="5358" spans="1:14" x14ac:dyDescent="0.25">
      <c r="A5358" t="s">
        <v>42</v>
      </c>
      <c r="B5358" t="s">
        <v>15</v>
      </c>
      <c r="C5358" t="s">
        <v>15</v>
      </c>
      <c r="D5358" t="s">
        <v>32</v>
      </c>
      <c r="E5358" t="s">
        <v>21</v>
      </c>
      <c r="F5358" t="s">
        <v>17</v>
      </c>
      <c r="G5358" s="2">
        <f>VALUE(1874.25)</f>
        <v>1874.25</v>
      </c>
      <c r="H5358" s="3">
        <f>VALUE(1841.79)</f>
        <v>1841.79</v>
      </c>
      <c r="I5358" s="4">
        <f>VALUE(4561)</f>
        <v>4561</v>
      </c>
      <c r="J5358" s="5">
        <f>VALUE(5734)</f>
        <v>5734</v>
      </c>
      <c r="K5358" s="6">
        <f>VALUE(8104)</f>
        <v>8104</v>
      </c>
      <c r="L5358" s="1">
        <f>VALUE(11250)</f>
        <v>11250</v>
      </c>
      <c r="M5358" s="8">
        <f>VALUE(13960)</f>
        <v>13960</v>
      </c>
      <c r="N5358" t="s">
        <v>25</v>
      </c>
    </row>
    <row r="5359" spans="1:14" x14ac:dyDescent="0.25">
      <c r="A5359" t="s">
        <v>42</v>
      </c>
      <c r="B5359" t="s">
        <v>15</v>
      </c>
      <c r="C5359" t="s">
        <v>15</v>
      </c>
      <c r="D5359" t="s">
        <v>32</v>
      </c>
      <c r="E5359" t="s">
        <v>21</v>
      </c>
      <c r="F5359" t="s">
        <v>18</v>
      </c>
      <c r="G5359" s="2">
        <f>VALUE(1038.58)</f>
        <v>1038.58</v>
      </c>
      <c r="H5359" s="3">
        <f>VALUE(980.63)</f>
        <v>980.63</v>
      </c>
      <c r="I5359" s="4">
        <f>VALUE(3228)</f>
        <v>3228</v>
      </c>
      <c r="J5359" s="5">
        <f>VALUE(4969)</f>
        <v>4969</v>
      </c>
      <c r="K5359" s="1">
        <f>VALUE(6424)</f>
        <v>6424</v>
      </c>
      <c r="L5359" s="1">
        <f>VALUE(8244)</f>
        <v>8244</v>
      </c>
      <c r="M5359" s="1">
        <f>VALUE(10084)</f>
        <v>10084</v>
      </c>
      <c r="N5359" t="s">
        <v>25</v>
      </c>
    </row>
    <row r="5360" spans="1:14" x14ac:dyDescent="0.25">
      <c r="A5360" t="s">
        <v>42</v>
      </c>
      <c r="B5360" t="s">
        <v>15</v>
      </c>
      <c r="C5360" t="s">
        <v>15</v>
      </c>
      <c r="D5360" t="s">
        <v>32</v>
      </c>
      <c r="E5360" t="s">
        <v>21</v>
      </c>
      <c r="F5360" t="s">
        <v>19</v>
      </c>
      <c r="G5360" s="2">
        <f>VALUE(1228.57)</f>
        <v>1228.57</v>
      </c>
      <c r="H5360" s="3">
        <f>VALUE(1207.15)</f>
        <v>1207.1500000000001</v>
      </c>
      <c r="I5360" s="1">
        <f>VALUE(3550)</f>
        <v>3550</v>
      </c>
      <c r="J5360" s="1">
        <f>VALUE(4089)</f>
        <v>4089</v>
      </c>
      <c r="K5360" s="6">
        <f>VALUE(5373)</f>
        <v>5373</v>
      </c>
      <c r="L5360" s="1">
        <f>VALUE(6831)</f>
        <v>6831</v>
      </c>
      <c r="M5360" s="8">
        <f>VALUE(8436)</f>
        <v>8436</v>
      </c>
      <c r="N5360" t="s">
        <v>25</v>
      </c>
    </row>
    <row r="5361" spans="1:14" x14ac:dyDescent="0.25">
      <c r="A5361" t="s">
        <v>42</v>
      </c>
      <c r="B5361" t="s">
        <v>15</v>
      </c>
      <c r="C5361" t="s">
        <v>15</v>
      </c>
      <c r="D5361" t="s">
        <v>32</v>
      </c>
      <c r="E5361" t="s">
        <v>21</v>
      </c>
      <c r="F5361" t="s">
        <v>20</v>
      </c>
      <c r="G5361" s="1">
        <f>VALUE(3026.44)</f>
        <v>3026.44</v>
      </c>
      <c r="H5361" s="1">
        <f>VALUE(2753.33)</f>
        <v>2753.33</v>
      </c>
      <c r="I5361" s="1">
        <f>VALUE(2916)</f>
        <v>2916</v>
      </c>
      <c r="J5361" s="1">
        <f>VALUE(3714)</f>
        <v>3714</v>
      </c>
      <c r="K5361" s="1">
        <f>VALUE(4652)</f>
        <v>4652</v>
      </c>
      <c r="L5361" s="1">
        <f>VALUE(6042)</f>
        <v>6042</v>
      </c>
      <c r="M5361" s="1">
        <f>VALUE(7551)</f>
        <v>7551</v>
      </c>
      <c r="N5361" t="s">
        <v>16</v>
      </c>
    </row>
    <row r="5362" spans="1:14" x14ac:dyDescent="0.25">
      <c r="A5362" t="s">
        <v>42</v>
      </c>
      <c r="B5362" t="s">
        <v>15</v>
      </c>
      <c r="C5362" t="s">
        <v>15</v>
      </c>
      <c r="D5362" t="s">
        <v>32</v>
      </c>
      <c r="E5362" t="s">
        <v>22</v>
      </c>
      <c r="F5362" t="s">
        <v>15</v>
      </c>
      <c r="G5362" s="1">
        <f>VALUE(13560.64)</f>
        <v>13560.64</v>
      </c>
      <c r="H5362" s="1">
        <f>VALUE(13136.76)</f>
        <v>13136.76</v>
      </c>
      <c r="I5362" s="1">
        <f>VALUE(3156)</f>
        <v>3156</v>
      </c>
      <c r="J5362" s="1">
        <f>VALUE(3921)</f>
        <v>3921</v>
      </c>
      <c r="K5362" s="1">
        <f>VALUE(4761)</f>
        <v>4761</v>
      </c>
      <c r="L5362" s="1">
        <f>VALUE(5731)</f>
        <v>5731</v>
      </c>
      <c r="M5362" s="1">
        <f>VALUE(7042)</f>
        <v>7042</v>
      </c>
      <c r="N5362" t="s">
        <v>16</v>
      </c>
    </row>
    <row r="5363" spans="1:14" x14ac:dyDescent="0.25">
      <c r="A5363" t="s">
        <v>42</v>
      </c>
      <c r="B5363" t="s">
        <v>15</v>
      </c>
      <c r="C5363" t="s">
        <v>15</v>
      </c>
      <c r="D5363" t="s">
        <v>32</v>
      </c>
      <c r="E5363" t="s">
        <v>22</v>
      </c>
      <c r="F5363" t="s">
        <v>17</v>
      </c>
      <c r="G5363" s="2">
        <f>VALUE(925.32)</f>
        <v>925.32</v>
      </c>
      <c r="H5363" s="3">
        <f>VALUE(928.53)</f>
        <v>928.53</v>
      </c>
      <c r="I5363" s="1">
        <f>VALUE(3764)</f>
        <v>3764</v>
      </c>
      <c r="J5363" s="5">
        <f>VALUE(4520)</f>
        <v>4520</v>
      </c>
      <c r="K5363" s="1">
        <f>VALUE(6409)</f>
        <v>6409</v>
      </c>
      <c r="L5363" s="7">
        <f>VALUE(8396)</f>
        <v>8396</v>
      </c>
      <c r="M5363" s="8">
        <f>VALUE(13168)</f>
        <v>13168</v>
      </c>
      <c r="N5363" t="s">
        <v>25</v>
      </c>
    </row>
    <row r="5364" spans="1:14" x14ac:dyDescent="0.25">
      <c r="A5364" t="s">
        <v>42</v>
      </c>
      <c r="B5364" t="s">
        <v>15</v>
      </c>
      <c r="C5364" t="s">
        <v>15</v>
      </c>
      <c r="D5364" t="s">
        <v>32</v>
      </c>
      <c r="E5364" t="s">
        <v>22</v>
      </c>
      <c r="F5364" t="s">
        <v>18</v>
      </c>
      <c r="G5364" s="2">
        <f>VALUE(1155.41)</f>
        <v>1155.4100000000001</v>
      </c>
      <c r="H5364" s="3">
        <f>VALUE(1116.72)</f>
        <v>1116.72</v>
      </c>
      <c r="I5364" s="4">
        <f>VALUE(3449)</f>
        <v>3449</v>
      </c>
      <c r="J5364" s="1">
        <f>VALUE(4361)</f>
        <v>4361</v>
      </c>
      <c r="K5364" s="1">
        <f>VALUE(5308)</f>
        <v>5308</v>
      </c>
      <c r="L5364" s="1">
        <f>VALUE(6432)</f>
        <v>6432</v>
      </c>
      <c r="M5364" s="8">
        <f>VALUE(8181)</f>
        <v>8181</v>
      </c>
      <c r="N5364" t="s">
        <v>25</v>
      </c>
    </row>
    <row r="5365" spans="1:14" x14ac:dyDescent="0.25">
      <c r="A5365" t="s">
        <v>42</v>
      </c>
      <c r="B5365" t="s">
        <v>15</v>
      </c>
      <c r="C5365" t="s">
        <v>15</v>
      </c>
      <c r="D5365" t="s">
        <v>32</v>
      </c>
      <c r="E5365" t="s">
        <v>22</v>
      </c>
      <c r="F5365" t="s">
        <v>19</v>
      </c>
      <c r="G5365" s="1">
        <f>VALUE(2505.56)</f>
        <v>2505.56</v>
      </c>
      <c r="H5365" s="1">
        <f>VALUE(2418.73)</f>
        <v>2418.73</v>
      </c>
      <c r="I5365" s="1">
        <f>VALUE(3482)</f>
        <v>3482</v>
      </c>
      <c r="J5365" s="1">
        <f>VALUE(4127)</f>
        <v>4127</v>
      </c>
      <c r="K5365" s="1">
        <f>VALUE(5064)</f>
        <v>5064</v>
      </c>
      <c r="L5365" s="1">
        <f>VALUE(6023)</f>
        <v>6023</v>
      </c>
      <c r="M5365" s="1">
        <f>VALUE(7195)</f>
        <v>7195</v>
      </c>
      <c r="N5365" t="s">
        <v>16</v>
      </c>
    </row>
    <row r="5366" spans="1:14" x14ac:dyDescent="0.25">
      <c r="A5366" t="s">
        <v>42</v>
      </c>
      <c r="B5366" t="s">
        <v>15</v>
      </c>
      <c r="C5366" t="s">
        <v>15</v>
      </c>
      <c r="D5366" t="s">
        <v>32</v>
      </c>
      <c r="E5366" t="s">
        <v>22</v>
      </c>
      <c r="F5366" t="s">
        <v>20</v>
      </c>
      <c r="G5366" s="1">
        <f>VALUE(8974.35)</f>
        <v>8974.35</v>
      </c>
      <c r="H5366" s="1">
        <f>VALUE(8672.78)</f>
        <v>8672.7800000000007</v>
      </c>
      <c r="I5366" s="1">
        <f>VALUE(3031)</f>
        <v>3031</v>
      </c>
      <c r="J5366" s="1">
        <f>VALUE(3742)</f>
        <v>3742</v>
      </c>
      <c r="K5366" s="1">
        <f>VALUE(4567)</f>
        <v>4567</v>
      </c>
      <c r="L5366" s="1">
        <f>VALUE(5417)</f>
        <v>5417</v>
      </c>
      <c r="M5366" s="1">
        <f>VALUE(6300)</f>
        <v>6300</v>
      </c>
      <c r="N5366" t="s">
        <v>16</v>
      </c>
    </row>
    <row r="5367" spans="1:14" x14ac:dyDescent="0.25">
      <c r="A5367" t="s">
        <v>42</v>
      </c>
      <c r="B5367" t="s">
        <v>15</v>
      </c>
      <c r="C5367" t="s">
        <v>15</v>
      </c>
      <c r="D5367" t="s">
        <v>32</v>
      </c>
      <c r="E5367" t="s">
        <v>23</v>
      </c>
      <c r="F5367" t="s">
        <v>15</v>
      </c>
      <c r="G5367" s="1">
        <f>VALUE(20750.83)</f>
        <v>20750.830000000002</v>
      </c>
      <c r="H5367" s="1">
        <f>VALUE(20243.81)</f>
        <v>20243.810000000001</v>
      </c>
      <c r="I5367" s="1">
        <f>VALUE(2703)</f>
        <v>2703</v>
      </c>
      <c r="J5367" s="1">
        <f>VALUE(3120)</f>
        <v>3120</v>
      </c>
      <c r="K5367" s="1">
        <f>VALUE(3832)</f>
        <v>3832</v>
      </c>
      <c r="L5367" s="1">
        <f>VALUE(4864)</f>
        <v>4864</v>
      </c>
      <c r="M5367" s="1">
        <f>VALUE(5867)</f>
        <v>5867</v>
      </c>
      <c r="N5367" t="s">
        <v>16</v>
      </c>
    </row>
    <row r="5368" spans="1:14" x14ac:dyDescent="0.25">
      <c r="A5368" t="s">
        <v>42</v>
      </c>
      <c r="B5368" t="s">
        <v>15</v>
      </c>
      <c r="C5368" t="s">
        <v>15</v>
      </c>
      <c r="D5368" t="s">
        <v>32</v>
      </c>
      <c r="E5368" t="s">
        <v>23</v>
      </c>
      <c r="F5368" t="s">
        <v>17</v>
      </c>
      <c r="G5368" s="2">
        <f>VALUE(346.63)</f>
        <v>346.63</v>
      </c>
      <c r="H5368" s="3">
        <f>VALUE(332.29)</f>
        <v>332.29</v>
      </c>
      <c r="I5368" s="4">
        <f>VALUE(3098)</f>
        <v>3098</v>
      </c>
      <c r="J5368" s="5">
        <f>VALUE(3652)</f>
        <v>3652</v>
      </c>
      <c r="K5368" s="6">
        <f>VALUE(4894)</f>
        <v>4894</v>
      </c>
      <c r="L5368" s="7">
        <f>VALUE(6708)</f>
        <v>6708</v>
      </c>
      <c r="M5368" s="8">
        <f>VALUE(10428)</f>
        <v>10428</v>
      </c>
      <c r="N5368" t="s">
        <v>24</v>
      </c>
    </row>
    <row r="5369" spans="1:14" x14ac:dyDescent="0.25">
      <c r="A5369" t="s">
        <v>42</v>
      </c>
      <c r="B5369" t="s">
        <v>15</v>
      </c>
      <c r="C5369" t="s">
        <v>15</v>
      </c>
      <c r="D5369" t="s">
        <v>32</v>
      </c>
      <c r="E5369" t="s">
        <v>23</v>
      </c>
      <c r="F5369" t="s">
        <v>18</v>
      </c>
      <c r="G5369" s="2">
        <f>VALUE(699.48)</f>
        <v>699.48</v>
      </c>
      <c r="H5369" s="3">
        <f>VALUE(695.81)</f>
        <v>695.81</v>
      </c>
      <c r="I5369" s="4">
        <f>VALUE(3200)</f>
        <v>3200</v>
      </c>
      <c r="J5369" s="1">
        <f>VALUE(3670)</f>
        <v>3670</v>
      </c>
      <c r="K5369" s="1">
        <f>VALUE(4693)</f>
        <v>4693</v>
      </c>
      <c r="L5369" s="1">
        <f>VALUE(5668)</f>
        <v>5668</v>
      </c>
      <c r="M5369" s="8">
        <f>VALUE(6807)</f>
        <v>6807</v>
      </c>
      <c r="N5369" t="s">
        <v>25</v>
      </c>
    </row>
    <row r="5370" spans="1:14" x14ac:dyDescent="0.25">
      <c r="A5370" t="s">
        <v>42</v>
      </c>
      <c r="B5370" t="s">
        <v>15</v>
      </c>
      <c r="C5370" t="s">
        <v>15</v>
      </c>
      <c r="D5370" t="s">
        <v>32</v>
      </c>
      <c r="E5370" t="s">
        <v>23</v>
      </c>
      <c r="F5370" t="s">
        <v>19</v>
      </c>
      <c r="G5370" s="1">
        <f>VALUE(2613.25)</f>
        <v>2613.25</v>
      </c>
      <c r="H5370" s="1">
        <f>VALUE(2698.29)</f>
        <v>2698.29</v>
      </c>
      <c r="I5370" s="1">
        <f>VALUE(2809)</f>
        <v>2809</v>
      </c>
      <c r="J5370" s="1">
        <f>VALUE(3072)</f>
        <v>3072</v>
      </c>
      <c r="K5370" s="6">
        <f>VALUE(3859)</f>
        <v>3859</v>
      </c>
      <c r="L5370" s="7">
        <f>VALUE(4925)</f>
        <v>4925</v>
      </c>
      <c r="M5370" s="1">
        <f>VALUE(6000)</f>
        <v>6000</v>
      </c>
      <c r="N5370" t="s">
        <v>25</v>
      </c>
    </row>
    <row r="5371" spans="1:14" x14ac:dyDescent="0.25">
      <c r="A5371" t="s">
        <v>42</v>
      </c>
      <c r="B5371" t="s">
        <v>15</v>
      </c>
      <c r="C5371" t="s">
        <v>15</v>
      </c>
      <c r="D5371" t="s">
        <v>32</v>
      </c>
      <c r="E5371" t="s">
        <v>23</v>
      </c>
      <c r="F5371" t="s">
        <v>20</v>
      </c>
      <c r="G5371" s="1">
        <f>VALUE(17091.47)</f>
        <v>17091.47</v>
      </c>
      <c r="H5371" s="1">
        <f>VALUE(16517.42)</f>
        <v>16517.419999999998</v>
      </c>
      <c r="I5371" s="1">
        <f>VALUE(2648)</f>
        <v>2648</v>
      </c>
      <c r="J5371" s="1">
        <f>VALUE(3112)</f>
        <v>3112</v>
      </c>
      <c r="K5371" s="1">
        <f>VALUE(3798)</f>
        <v>3798</v>
      </c>
      <c r="L5371" s="1">
        <f>VALUE(4768)</f>
        <v>4768</v>
      </c>
      <c r="M5371" s="1">
        <f>VALUE(5786)</f>
        <v>5786</v>
      </c>
      <c r="N5371" t="s">
        <v>16</v>
      </c>
    </row>
    <row r="5372" spans="1:14" x14ac:dyDescent="0.25">
      <c r="A5372" t="s">
        <v>42</v>
      </c>
      <c r="B5372" t="s">
        <v>15</v>
      </c>
      <c r="C5372" t="s">
        <v>15</v>
      </c>
      <c r="D5372" t="s">
        <v>32</v>
      </c>
      <c r="E5372" t="s">
        <v>26</v>
      </c>
      <c r="F5372" t="s">
        <v>15</v>
      </c>
      <c r="G5372" s="1">
        <f>VALUE(1750.48)</f>
        <v>1750.48</v>
      </c>
      <c r="H5372" s="1">
        <f>VALUE(1705.2)</f>
        <v>1705.2</v>
      </c>
      <c r="I5372" s="4">
        <f>VALUE(2430)</f>
        <v>2430</v>
      </c>
      <c r="J5372" s="5">
        <f>VALUE(3378)</f>
        <v>3378</v>
      </c>
      <c r="K5372" s="1">
        <f>VALUE(4364)</f>
        <v>4364</v>
      </c>
      <c r="L5372" s="1">
        <f>VALUE(5748)</f>
        <v>5748</v>
      </c>
      <c r="M5372" s="8">
        <f>VALUE(7234)</f>
        <v>7234</v>
      </c>
      <c r="N5372" t="s">
        <v>25</v>
      </c>
    </row>
    <row r="5373" spans="1:14" x14ac:dyDescent="0.25">
      <c r="A5373" t="s">
        <v>42</v>
      </c>
      <c r="B5373" t="s">
        <v>15</v>
      </c>
      <c r="C5373" t="s">
        <v>15</v>
      </c>
      <c r="D5373" t="s">
        <v>32</v>
      </c>
      <c r="E5373" t="s">
        <v>26</v>
      </c>
      <c r="F5373" t="s">
        <v>17</v>
      </c>
      <c r="G5373" s="1" t="str">
        <f t="shared" ref="G5373:M5375" si="1154">"X"</f>
        <v>X</v>
      </c>
      <c r="H5373" s="1" t="str">
        <f t="shared" si="1154"/>
        <v>X</v>
      </c>
      <c r="I5373" s="1" t="str">
        <f t="shared" si="1154"/>
        <v>X</v>
      </c>
      <c r="J5373" s="1" t="str">
        <f t="shared" si="1154"/>
        <v>X</v>
      </c>
      <c r="K5373" s="1" t="str">
        <f t="shared" si="1154"/>
        <v>X</v>
      </c>
      <c r="L5373" s="1" t="str">
        <f t="shared" si="1154"/>
        <v>X</v>
      </c>
      <c r="M5373" s="1" t="str">
        <f t="shared" si="1154"/>
        <v>X</v>
      </c>
      <c r="N5373" t="s">
        <v>27</v>
      </c>
    </row>
    <row r="5374" spans="1:14" x14ac:dyDescent="0.25">
      <c r="A5374" t="s">
        <v>42</v>
      </c>
      <c r="B5374" t="s">
        <v>15</v>
      </c>
      <c r="C5374" t="s">
        <v>15</v>
      </c>
      <c r="D5374" t="s">
        <v>32</v>
      </c>
      <c r="E5374" t="s">
        <v>26</v>
      </c>
      <c r="F5374" t="s">
        <v>18</v>
      </c>
      <c r="G5374" s="1" t="str">
        <f t="shared" si="1154"/>
        <v>X</v>
      </c>
      <c r="H5374" s="1" t="str">
        <f t="shared" si="1154"/>
        <v>X</v>
      </c>
      <c r="I5374" s="1" t="str">
        <f t="shared" si="1154"/>
        <v>X</v>
      </c>
      <c r="J5374" s="1" t="str">
        <f t="shared" si="1154"/>
        <v>X</v>
      </c>
      <c r="K5374" s="1" t="str">
        <f t="shared" si="1154"/>
        <v>X</v>
      </c>
      <c r="L5374" s="1" t="str">
        <f t="shared" si="1154"/>
        <v>X</v>
      </c>
      <c r="M5374" s="1" t="str">
        <f t="shared" si="1154"/>
        <v>X</v>
      </c>
      <c r="N5374" t="s">
        <v>27</v>
      </c>
    </row>
    <row r="5375" spans="1:14" x14ac:dyDescent="0.25">
      <c r="A5375" t="s">
        <v>42</v>
      </c>
      <c r="B5375" t="s">
        <v>15</v>
      </c>
      <c r="C5375" t="s">
        <v>15</v>
      </c>
      <c r="D5375" t="s">
        <v>32</v>
      </c>
      <c r="E5375" t="s">
        <v>26</v>
      </c>
      <c r="F5375" t="s">
        <v>19</v>
      </c>
      <c r="G5375" s="1" t="str">
        <f t="shared" si="1154"/>
        <v>X</v>
      </c>
      <c r="H5375" s="1" t="str">
        <f t="shared" si="1154"/>
        <v>X</v>
      </c>
      <c r="I5375" s="1" t="str">
        <f t="shared" si="1154"/>
        <v>X</v>
      </c>
      <c r="J5375" s="1" t="str">
        <f t="shared" si="1154"/>
        <v>X</v>
      </c>
      <c r="K5375" s="1" t="str">
        <f t="shared" si="1154"/>
        <v>X</v>
      </c>
      <c r="L5375" s="1" t="str">
        <f t="shared" si="1154"/>
        <v>X</v>
      </c>
      <c r="M5375" s="1" t="str">
        <f t="shared" si="1154"/>
        <v>X</v>
      </c>
      <c r="N5375" t="s">
        <v>27</v>
      </c>
    </row>
    <row r="5376" spans="1:14" x14ac:dyDescent="0.25">
      <c r="A5376" t="s">
        <v>42</v>
      </c>
      <c r="B5376" t="s">
        <v>15</v>
      </c>
      <c r="C5376" t="s">
        <v>15</v>
      </c>
      <c r="D5376" t="s">
        <v>32</v>
      </c>
      <c r="E5376" t="s">
        <v>26</v>
      </c>
      <c r="F5376" t="s">
        <v>20</v>
      </c>
      <c r="G5376" s="2">
        <f>VALUE(1572.93)</f>
        <v>1572.93</v>
      </c>
      <c r="H5376" s="1">
        <f>VALUE(1529.37)</f>
        <v>1529.37</v>
      </c>
      <c r="I5376" s="4">
        <f>VALUE(2400)</f>
        <v>2400</v>
      </c>
      <c r="J5376" s="1">
        <f>VALUE(3223)</f>
        <v>3223</v>
      </c>
      <c r="K5376" s="6">
        <f>VALUE(4122)</f>
        <v>4122</v>
      </c>
      <c r="L5376" s="1">
        <f>VALUE(5433)</f>
        <v>5433</v>
      </c>
      <c r="M5376" s="1">
        <f>VALUE(6512)</f>
        <v>6512</v>
      </c>
      <c r="N5376" t="s">
        <v>25</v>
      </c>
    </row>
    <row r="5377" spans="1:14" x14ac:dyDescent="0.25">
      <c r="A5377" t="s">
        <v>42</v>
      </c>
      <c r="B5377" t="s">
        <v>15</v>
      </c>
      <c r="C5377" t="s">
        <v>15</v>
      </c>
      <c r="D5377" t="s">
        <v>33</v>
      </c>
      <c r="E5377" t="s">
        <v>15</v>
      </c>
      <c r="F5377" t="s">
        <v>15</v>
      </c>
      <c r="G5377" s="2">
        <f>VALUE(823.69)</f>
        <v>823.69</v>
      </c>
      <c r="H5377" s="3">
        <f>VALUE(788.69)</f>
        <v>788.69</v>
      </c>
      <c r="I5377" s="4">
        <f>VALUE(2484)</f>
        <v>2484</v>
      </c>
      <c r="J5377" s="1">
        <f>VALUE(3410)</f>
        <v>3410</v>
      </c>
      <c r="K5377" s="1">
        <f>VALUE(4005)</f>
        <v>4005</v>
      </c>
      <c r="L5377" s="1">
        <f>VALUE(6053)</f>
        <v>6053</v>
      </c>
      <c r="M5377" s="8">
        <f>VALUE(9523)</f>
        <v>9523</v>
      </c>
      <c r="N5377" t="s">
        <v>25</v>
      </c>
    </row>
    <row r="5378" spans="1:14" x14ac:dyDescent="0.25">
      <c r="A5378" t="s">
        <v>42</v>
      </c>
      <c r="B5378" t="s">
        <v>15</v>
      </c>
      <c r="C5378" t="s">
        <v>15</v>
      </c>
      <c r="D5378" t="s">
        <v>33</v>
      </c>
      <c r="E5378" t="s">
        <v>15</v>
      </c>
      <c r="F5378" t="s">
        <v>17</v>
      </c>
      <c r="G5378" s="1" t="str">
        <f t="shared" ref="G5378:M5380" si="1155">"X"</f>
        <v>X</v>
      </c>
      <c r="H5378" s="1" t="str">
        <f t="shared" si="1155"/>
        <v>X</v>
      </c>
      <c r="I5378" s="1" t="str">
        <f t="shared" si="1155"/>
        <v>X</v>
      </c>
      <c r="J5378" s="1" t="str">
        <f t="shared" si="1155"/>
        <v>X</v>
      </c>
      <c r="K5378" s="1" t="str">
        <f t="shared" si="1155"/>
        <v>X</v>
      </c>
      <c r="L5378" s="1" t="str">
        <f t="shared" si="1155"/>
        <v>X</v>
      </c>
      <c r="M5378" s="1" t="str">
        <f t="shared" si="1155"/>
        <v>X</v>
      </c>
      <c r="N5378" t="s">
        <v>27</v>
      </c>
    </row>
    <row r="5379" spans="1:14" x14ac:dyDescent="0.25">
      <c r="A5379" t="s">
        <v>42</v>
      </c>
      <c r="B5379" t="s">
        <v>15</v>
      </c>
      <c r="C5379" t="s">
        <v>15</v>
      </c>
      <c r="D5379" t="s">
        <v>33</v>
      </c>
      <c r="E5379" t="s">
        <v>15</v>
      </c>
      <c r="F5379" t="s">
        <v>18</v>
      </c>
      <c r="G5379" s="1" t="str">
        <f t="shared" si="1155"/>
        <v>X</v>
      </c>
      <c r="H5379" s="1" t="str">
        <f t="shared" si="1155"/>
        <v>X</v>
      </c>
      <c r="I5379" s="1" t="str">
        <f t="shared" si="1155"/>
        <v>X</v>
      </c>
      <c r="J5379" s="1" t="str">
        <f t="shared" si="1155"/>
        <v>X</v>
      </c>
      <c r="K5379" s="1" t="str">
        <f t="shared" si="1155"/>
        <v>X</v>
      </c>
      <c r="L5379" s="1" t="str">
        <f t="shared" si="1155"/>
        <v>X</v>
      </c>
      <c r="M5379" s="1" t="str">
        <f t="shared" si="1155"/>
        <v>X</v>
      </c>
      <c r="N5379" t="s">
        <v>27</v>
      </c>
    </row>
    <row r="5380" spans="1:14" x14ac:dyDescent="0.25">
      <c r="A5380" t="s">
        <v>42</v>
      </c>
      <c r="B5380" t="s">
        <v>15</v>
      </c>
      <c r="C5380" t="s">
        <v>15</v>
      </c>
      <c r="D5380" t="s">
        <v>33</v>
      </c>
      <c r="E5380" t="s">
        <v>15</v>
      </c>
      <c r="F5380" t="s">
        <v>19</v>
      </c>
      <c r="G5380" s="1" t="str">
        <f t="shared" si="1155"/>
        <v>X</v>
      </c>
      <c r="H5380" s="1" t="str">
        <f t="shared" si="1155"/>
        <v>X</v>
      </c>
      <c r="I5380" s="1" t="str">
        <f t="shared" si="1155"/>
        <v>X</v>
      </c>
      <c r="J5380" s="1" t="str">
        <f t="shared" si="1155"/>
        <v>X</v>
      </c>
      <c r="K5380" s="1" t="str">
        <f t="shared" si="1155"/>
        <v>X</v>
      </c>
      <c r="L5380" s="1" t="str">
        <f t="shared" si="1155"/>
        <v>X</v>
      </c>
      <c r="M5380" s="1" t="str">
        <f t="shared" si="1155"/>
        <v>X</v>
      </c>
      <c r="N5380" t="s">
        <v>27</v>
      </c>
    </row>
    <row r="5381" spans="1:14" x14ac:dyDescent="0.25">
      <c r="A5381" t="s">
        <v>42</v>
      </c>
      <c r="B5381" t="s">
        <v>15</v>
      </c>
      <c r="C5381" t="s">
        <v>15</v>
      </c>
      <c r="D5381" t="s">
        <v>33</v>
      </c>
      <c r="E5381" t="s">
        <v>15</v>
      </c>
      <c r="F5381" t="s">
        <v>20</v>
      </c>
      <c r="G5381" s="2">
        <f>VALUE(518.71)</f>
        <v>518.71</v>
      </c>
      <c r="H5381" s="3">
        <f>VALUE(523.53)</f>
        <v>523.53</v>
      </c>
      <c r="I5381" s="4">
        <f>VALUE(2890)</f>
        <v>2890</v>
      </c>
      <c r="J5381" s="1">
        <f>VALUE(3403)</f>
        <v>3403</v>
      </c>
      <c r="K5381" s="1">
        <f>VALUE(3676)</f>
        <v>3676</v>
      </c>
      <c r="L5381" s="7">
        <f>VALUE(4632)</f>
        <v>4632</v>
      </c>
      <c r="M5381" s="8">
        <f>VALUE(6191)</f>
        <v>6191</v>
      </c>
      <c r="N5381" t="s">
        <v>25</v>
      </c>
    </row>
    <row r="5382" spans="1:14" x14ac:dyDescent="0.25">
      <c r="A5382" t="s">
        <v>42</v>
      </c>
      <c r="B5382" t="s">
        <v>15</v>
      </c>
      <c r="C5382" t="s">
        <v>15</v>
      </c>
      <c r="D5382" t="s">
        <v>33</v>
      </c>
      <c r="E5382" t="s">
        <v>21</v>
      </c>
      <c r="F5382" t="s">
        <v>15</v>
      </c>
      <c r="G5382" s="2">
        <f>VALUE(234.35)</f>
        <v>234.35</v>
      </c>
      <c r="H5382" s="3">
        <f>VALUE(200.17)</f>
        <v>200.17</v>
      </c>
      <c r="I5382" s="4">
        <f>VALUE(1905)</f>
        <v>1905</v>
      </c>
      <c r="J5382" s="5">
        <f>VALUE(4583)</f>
        <v>4583</v>
      </c>
      <c r="K5382" s="6">
        <f>VALUE(6645)</f>
        <v>6645</v>
      </c>
      <c r="L5382" s="7">
        <f>VALUE(11259)</f>
        <v>11259</v>
      </c>
      <c r="M5382" s="8">
        <f>VALUE(15641)</f>
        <v>15641</v>
      </c>
      <c r="N5382" t="s">
        <v>24</v>
      </c>
    </row>
    <row r="5383" spans="1:14" x14ac:dyDescent="0.25">
      <c r="A5383" t="s">
        <v>42</v>
      </c>
      <c r="B5383" t="s">
        <v>15</v>
      </c>
      <c r="C5383" t="s">
        <v>15</v>
      </c>
      <c r="D5383" t="s">
        <v>33</v>
      </c>
      <c r="E5383" t="s">
        <v>21</v>
      </c>
      <c r="F5383" t="s">
        <v>17</v>
      </c>
      <c r="G5383" s="1" t="str">
        <f t="shared" ref="G5383:M5386" si="1156">"X"</f>
        <v>X</v>
      </c>
      <c r="H5383" s="1" t="str">
        <f t="shared" si="1156"/>
        <v>X</v>
      </c>
      <c r="I5383" s="1" t="str">
        <f t="shared" si="1156"/>
        <v>X</v>
      </c>
      <c r="J5383" s="1" t="str">
        <f t="shared" si="1156"/>
        <v>X</v>
      </c>
      <c r="K5383" s="1" t="str">
        <f t="shared" si="1156"/>
        <v>X</v>
      </c>
      <c r="L5383" s="1" t="str">
        <f t="shared" si="1156"/>
        <v>X</v>
      </c>
      <c r="M5383" s="1" t="str">
        <f t="shared" si="1156"/>
        <v>X</v>
      </c>
      <c r="N5383" t="s">
        <v>27</v>
      </c>
    </row>
    <row r="5384" spans="1:14" x14ac:dyDescent="0.25">
      <c r="A5384" t="s">
        <v>42</v>
      </c>
      <c r="B5384" t="s">
        <v>15</v>
      </c>
      <c r="C5384" t="s">
        <v>15</v>
      </c>
      <c r="D5384" t="s">
        <v>33</v>
      </c>
      <c r="E5384" t="s">
        <v>21</v>
      </c>
      <c r="F5384" t="s">
        <v>18</v>
      </c>
      <c r="G5384" s="1" t="str">
        <f t="shared" si="1156"/>
        <v>X</v>
      </c>
      <c r="H5384" s="1" t="str">
        <f t="shared" si="1156"/>
        <v>X</v>
      </c>
      <c r="I5384" s="1" t="str">
        <f t="shared" si="1156"/>
        <v>X</v>
      </c>
      <c r="J5384" s="1" t="str">
        <f t="shared" si="1156"/>
        <v>X</v>
      </c>
      <c r="K5384" s="1" t="str">
        <f t="shared" si="1156"/>
        <v>X</v>
      </c>
      <c r="L5384" s="1" t="str">
        <f t="shared" si="1156"/>
        <v>X</v>
      </c>
      <c r="M5384" s="1" t="str">
        <f t="shared" si="1156"/>
        <v>X</v>
      </c>
      <c r="N5384" t="s">
        <v>27</v>
      </c>
    </row>
    <row r="5385" spans="1:14" x14ac:dyDescent="0.25">
      <c r="A5385" t="s">
        <v>42</v>
      </c>
      <c r="B5385" t="s">
        <v>15</v>
      </c>
      <c r="C5385" t="s">
        <v>15</v>
      </c>
      <c r="D5385" t="s">
        <v>33</v>
      </c>
      <c r="E5385" t="s">
        <v>21</v>
      </c>
      <c r="F5385" t="s">
        <v>19</v>
      </c>
      <c r="G5385" s="1" t="str">
        <f t="shared" si="1156"/>
        <v>X</v>
      </c>
      <c r="H5385" s="1" t="str">
        <f t="shared" si="1156"/>
        <v>X</v>
      </c>
      <c r="I5385" s="1" t="str">
        <f t="shared" si="1156"/>
        <v>X</v>
      </c>
      <c r="J5385" s="1" t="str">
        <f t="shared" si="1156"/>
        <v>X</v>
      </c>
      <c r="K5385" s="1" t="str">
        <f t="shared" si="1156"/>
        <v>X</v>
      </c>
      <c r="L5385" s="1" t="str">
        <f t="shared" si="1156"/>
        <v>X</v>
      </c>
      <c r="M5385" s="1" t="str">
        <f t="shared" si="1156"/>
        <v>X</v>
      </c>
      <c r="N5385" t="s">
        <v>27</v>
      </c>
    </row>
    <row r="5386" spans="1:14" x14ac:dyDescent="0.25">
      <c r="A5386" t="s">
        <v>42</v>
      </c>
      <c r="B5386" t="s">
        <v>15</v>
      </c>
      <c r="C5386" t="s">
        <v>15</v>
      </c>
      <c r="D5386" t="s">
        <v>33</v>
      </c>
      <c r="E5386" t="s">
        <v>21</v>
      </c>
      <c r="F5386" t="s">
        <v>20</v>
      </c>
      <c r="G5386" s="1" t="str">
        <f t="shared" si="1156"/>
        <v>X</v>
      </c>
      <c r="H5386" s="1" t="str">
        <f t="shared" si="1156"/>
        <v>X</v>
      </c>
      <c r="I5386" s="1" t="str">
        <f t="shared" si="1156"/>
        <v>X</v>
      </c>
      <c r="J5386" s="1" t="str">
        <f t="shared" si="1156"/>
        <v>X</v>
      </c>
      <c r="K5386" s="1" t="str">
        <f t="shared" si="1156"/>
        <v>X</v>
      </c>
      <c r="L5386" s="1" t="str">
        <f t="shared" si="1156"/>
        <v>X</v>
      </c>
      <c r="M5386" s="1" t="str">
        <f t="shared" si="1156"/>
        <v>X</v>
      </c>
      <c r="N5386" t="s">
        <v>27</v>
      </c>
    </row>
    <row r="5387" spans="1:14" x14ac:dyDescent="0.25">
      <c r="A5387" t="s">
        <v>42</v>
      </c>
      <c r="B5387" t="s">
        <v>15</v>
      </c>
      <c r="C5387" t="s">
        <v>15</v>
      </c>
      <c r="D5387" t="s">
        <v>33</v>
      </c>
      <c r="E5387" t="s">
        <v>22</v>
      </c>
      <c r="F5387" t="s">
        <v>15</v>
      </c>
      <c r="G5387" s="2">
        <f>VALUE(217.89)</f>
        <v>217.89</v>
      </c>
      <c r="H5387" s="3">
        <f>VALUE(190.62)</f>
        <v>190.62</v>
      </c>
      <c r="I5387" s="4">
        <f>VALUE(2383)</f>
        <v>2383</v>
      </c>
      <c r="J5387" s="5">
        <f>VALUE(3746)</f>
        <v>3746</v>
      </c>
      <c r="K5387" s="1">
        <f>VALUE(4166)</f>
        <v>4166</v>
      </c>
      <c r="L5387" s="7">
        <f>VALUE(5000)</f>
        <v>5000</v>
      </c>
      <c r="M5387" s="8">
        <f>VALUE(6896)</f>
        <v>6896</v>
      </c>
      <c r="N5387" t="s">
        <v>25</v>
      </c>
    </row>
    <row r="5388" spans="1:14" x14ac:dyDescent="0.25">
      <c r="A5388" t="s">
        <v>42</v>
      </c>
      <c r="B5388" t="s">
        <v>15</v>
      </c>
      <c r="C5388" t="s">
        <v>15</v>
      </c>
      <c r="D5388" t="s">
        <v>33</v>
      </c>
      <c r="E5388" t="s">
        <v>22</v>
      </c>
      <c r="F5388" t="s">
        <v>17</v>
      </c>
      <c r="G5388" s="1" t="str">
        <f t="shared" ref="G5388:M5390" si="1157">"X"</f>
        <v>X</v>
      </c>
      <c r="H5388" s="1" t="str">
        <f t="shared" si="1157"/>
        <v>X</v>
      </c>
      <c r="I5388" s="1" t="str">
        <f t="shared" si="1157"/>
        <v>X</v>
      </c>
      <c r="J5388" s="1" t="str">
        <f t="shared" si="1157"/>
        <v>X</v>
      </c>
      <c r="K5388" s="1" t="str">
        <f t="shared" si="1157"/>
        <v>X</v>
      </c>
      <c r="L5388" s="1" t="str">
        <f t="shared" si="1157"/>
        <v>X</v>
      </c>
      <c r="M5388" s="1" t="str">
        <f t="shared" si="1157"/>
        <v>X</v>
      </c>
      <c r="N5388" t="s">
        <v>27</v>
      </c>
    </row>
    <row r="5389" spans="1:14" x14ac:dyDescent="0.25">
      <c r="A5389" t="s">
        <v>42</v>
      </c>
      <c r="B5389" t="s">
        <v>15</v>
      </c>
      <c r="C5389" t="s">
        <v>15</v>
      </c>
      <c r="D5389" t="s">
        <v>33</v>
      </c>
      <c r="E5389" t="s">
        <v>22</v>
      </c>
      <c r="F5389" t="s">
        <v>18</v>
      </c>
      <c r="G5389" s="1" t="str">
        <f t="shared" si="1157"/>
        <v>X</v>
      </c>
      <c r="H5389" s="1" t="str">
        <f t="shared" si="1157"/>
        <v>X</v>
      </c>
      <c r="I5389" s="1" t="str">
        <f t="shared" si="1157"/>
        <v>X</v>
      </c>
      <c r="J5389" s="1" t="str">
        <f t="shared" si="1157"/>
        <v>X</v>
      </c>
      <c r="K5389" s="1" t="str">
        <f t="shared" si="1157"/>
        <v>X</v>
      </c>
      <c r="L5389" s="1" t="str">
        <f t="shared" si="1157"/>
        <v>X</v>
      </c>
      <c r="M5389" s="1" t="str">
        <f t="shared" si="1157"/>
        <v>X</v>
      </c>
      <c r="N5389" t="s">
        <v>27</v>
      </c>
    </row>
    <row r="5390" spans="1:14" x14ac:dyDescent="0.25">
      <c r="A5390" t="s">
        <v>42</v>
      </c>
      <c r="B5390" t="s">
        <v>15</v>
      </c>
      <c r="C5390" t="s">
        <v>15</v>
      </c>
      <c r="D5390" t="s">
        <v>33</v>
      </c>
      <c r="E5390" t="s">
        <v>22</v>
      </c>
      <c r="F5390" t="s">
        <v>19</v>
      </c>
      <c r="G5390" s="1" t="str">
        <f t="shared" si="1157"/>
        <v>X</v>
      </c>
      <c r="H5390" s="1" t="str">
        <f t="shared" si="1157"/>
        <v>X</v>
      </c>
      <c r="I5390" s="1" t="str">
        <f t="shared" si="1157"/>
        <v>X</v>
      </c>
      <c r="J5390" s="1" t="str">
        <f t="shared" si="1157"/>
        <v>X</v>
      </c>
      <c r="K5390" s="1" t="str">
        <f t="shared" si="1157"/>
        <v>X</v>
      </c>
      <c r="L5390" s="1" t="str">
        <f t="shared" si="1157"/>
        <v>X</v>
      </c>
      <c r="M5390" s="1" t="str">
        <f t="shared" si="1157"/>
        <v>X</v>
      </c>
      <c r="N5390" t="s">
        <v>27</v>
      </c>
    </row>
    <row r="5391" spans="1:14" x14ac:dyDescent="0.25">
      <c r="A5391" t="s">
        <v>42</v>
      </c>
      <c r="B5391" t="s">
        <v>15</v>
      </c>
      <c r="C5391" t="s">
        <v>15</v>
      </c>
      <c r="D5391" t="s">
        <v>33</v>
      </c>
      <c r="E5391" t="s">
        <v>22</v>
      </c>
      <c r="F5391" t="s">
        <v>20</v>
      </c>
      <c r="G5391" s="2">
        <f>VALUE(158.24)</f>
        <v>158.24</v>
      </c>
      <c r="H5391" s="3">
        <f>VALUE(143.38)</f>
        <v>143.38</v>
      </c>
      <c r="I5391" s="4">
        <f>VALUE(2401)</f>
        <v>2401</v>
      </c>
      <c r="J5391" s="5">
        <f>VALUE(3510)</f>
        <v>3510</v>
      </c>
      <c r="K5391" s="1">
        <f>VALUE(3951)</f>
        <v>3951</v>
      </c>
      <c r="L5391" s="7">
        <f>VALUE(4314)</f>
        <v>4314</v>
      </c>
      <c r="M5391" s="8">
        <f>VALUE(6353)</f>
        <v>6353</v>
      </c>
      <c r="N5391" t="s">
        <v>25</v>
      </c>
    </row>
    <row r="5392" spans="1:14" x14ac:dyDescent="0.25">
      <c r="A5392" t="s">
        <v>42</v>
      </c>
      <c r="B5392" t="s">
        <v>15</v>
      </c>
      <c r="C5392" t="s">
        <v>15</v>
      </c>
      <c r="D5392" t="s">
        <v>33</v>
      </c>
      <c r="E5392" t="s">
        <v>23</v>
      </c>
      <c r="F5392" t="s">
        <v>15</v>
      </c>
      <c r="G5392" s="2">
        <f>VALUE(344.99)</f>
        <v>344.99</v>
      </c>
      <c r="H5392" s="3">
        <f>VALUE(370.2)</f>
        <v>370.2</v>
      </c>
      <c r="I5392" s="4">
        <f>VALUE(2992)</f>
        <v>2992</v>
      </c>
      <c r="J5392" s="1">
        <f>VALUE(3401)</f>
        <v>3401</v>
      </c>
      <c r="K5392" s="1">
        <f>VALUE(3539)</f>
        <v>3539</v>
      </c>
      <c r="L5392" s="7">
        <f>VALUE(4332)</f>
        <v>4332</v>
      </c>
      <c r="M5392" s="1">
        <f>VALUE(6053)</f>
        <v>6053</v>
      </c>
      <c r="N5392" t="s">
        <v>25</v>
      </c>
    </row>
    <row r="5393" spans="1:14" x14ac:dyDescent="0.25">
      <c r="A5393" t="s">
        <v>42</v>
      </c>
      <c r="B5393" t="s">
        <v>15</v>
      </c>
      <c r="C5393" t="s">
        <v>15</v>
      </c>
      <c r="D5393" t="s">
        <v>33</v>
      </c>
      <c r="E5393" t="s">
        <v>23</v>
      </c>
      <c r="F5393" t="s">
        <v>17</v>
      </c>
      <c r="G5393" s="1" t="str">
        <f t="shared" ref="G5393:M5395" si="1158">"X"</f>
        <v>X</v>
      </c>
      <c r="H5393" s="1" t="str">
        <f t="shared" si="1158"/>
        <v>X</v>
      </c>
      <c r="I5393" s="1" t="str">
        <f t="shared" si="1158"/>
        <v>X</v>
      </c>
      <c r="J5393" s="1" t="str">
        <f t="shared" si="1158"/>
        <v>X</v>
      </c>
      <c r="K5393" s="1" t="str">
        <f t="shared" si="1158"/>
        <v>X</v>
      </c>
      <c r="L5393" s="1" t="str">
        <f t="shared" si="1158"/>
        <v>X</v>
      </c>
      <c r="M5393" s="1" t="str">
        <f t="shared" si="1158"/>
        <v>X</v>
      </c>
      <c r="N5393" t="s">
        <v>27</v>
      </c>
    </row>
    <row r="5394" spans="1:14" x14ac:dyDescent="0.25">
      <c r="A5394" t="s">
        <v>42</v>
      </c>
      <c r="B5394" t="s">
        <v>15</v>
      </c>
      <c r="C5394" t="s">
        <v>15</v>
      </c>
      <c r="D5394" t="s">
        <v>33</v>
      </c>
      <c r="E5394" t="s">
        <v>23</v>
      </c>
      <c r="F5394" t="s">
        <v>18</v>
      </c>
      <c r="G5394" s="1" t="str">
        <f t="shared" si="1158"/>
        <v>X</v>
      </c>
      <c r="H5394" s="1" t="str">
        <f t="shared" si="1158"/>
        <v>X</v>
      </c>
      <c r="I5394" s="1" t="str">
        <f t="shared" si="1158"/>
        <v>X</v>
      </c>
      <c r="J5394" s="1" t="str">
        <f t="shared" si="1158"/>
        <v>X</v>
      </c>
      <c r="K5394" s="1" t="str">
        <f t="shared" si="1158"/>
        <v>X</v>
      </c>
      <c r="L5394" s="1" t="str">
        <f t="shared" si="1158"/>
        <v>X</v>
      </c>
      <c r="M5394" s="1" t="str">
        <f t="shared" si="1158"/>
        <v>X</v>
      </c>
      <c r="N5394" t="s">
        <v>27</v>
      </c>
    </row>
    <row r="5395" spans="1:14" x14ac:dyDescent="0.25">
      <c r="A5395" t="s">
        <v>42</v>
      </c>
      <c r="B5395" t="s">
        <v>15</v>
      </c>
      <c r="C5395" t="s">
        <v>15</v>
      </c>
      <c r="D5395" t="s">
        <v>33</v>
      </c>
      <c r="E5395" t="s">
        <v>23</v>
      </c>
      <c r="F5395" t="s">
        <v>19</v>
      </c>
      <c r="G5395" s="1" t="str">
        <f t="shared" si="1158"/>
        <v>X</v>
      </c>
      <c r="H5395" s="1" t="str">
        <f t="shared" si="1158"/>
        <v>X</v>
      </c>
      <c r="I5395" s="1" t="str">
        <f t="shared" si="1158"/>
        <v>X</v>
      </c>
      <c r="J5395" s="1" t="str">
        <f t="shared" si="1158"/>
        <v>X</v>
      </c>
      <c r="K5395" s="1" t="str">
        <f t="shared" si="1158"/>
        <v>X</v>
      </c>
      <c r="L5395" s="1" t="str">
        <f t="shared" si="1158"/>
        <v>X</v>
      </c>
      <c r="M5395" s="1" t="str">
        <f t="shared" si="1158"/>
        <v>X</v>
      </c>
      <c r="N5395" t="s">
        <v>27</v>
      </c>
    </row>
    <row r="5396" spans="1:14" x14ac:dyDescent="0.25">
      <c r="A5396" t="s">
        <v>42</v>
      </c>
      <c r="B5396" t="s">
        <v>15</v>
      </c>
      <c r="C5396" t="s">
        <v>15</v>
      </c>
      <c r="D5396" t="s">
        <v>33</v>
      </c>
      <c r="E5396" t="s">
        <v>23</v>
      </c>
      <c r="F5396" t="s">
        <v>20</v>
      </c>
      <c r="G5396" s="2">
        <f>VALUE(302.2)</f>
        <v>302.2</v>
      </c>
      <c r="H5396" s="3">
        <f>VALUE(327.12)</f>
        <v>327.12</v>
      </c>
      <c r="I5396" s="4">
        <f>VALUE(3087)</f>
        <v>3087</v>
      </c>
      <c r="J5396" s="1">
        <f>VALUE(3403)</f>
        <v>3403</v>
      </c>
      <c r="K5396" s="1">
        <f>VALUE(3539)</f>
        <v>3539</v>
      </c>
      <c r="L5396" s="7">
        <f>VALUE(4320)</f>
        <v>4320</v>
      </c>
      <c r="M5396" s="1">
        <f>VALUE(6053)</f>
        <v>6053</v>
      </c>
      <c r="N5396" t="s">
        <v>25</v>
      </c>
    </row>
    <row r="5397" spans="1:14" x14ac:dyDescent="0.25">
      <c r="A5397" t="s">
        <v>42</v>
      </c>
      <c r="B5397" t="s">
        <v>15</v>
      </c>
      <c r="C5397" t="s">
        <v>15</v>
      </c>
      <c r="D5397" t="s">
        <v>33</v>
      </c>
      <c r="E5397" t="s">
        <v>26</v>
      </c>
      <c r="F5397" t="s">
        <v>15</v>
      </c>
      <c r="G5397" s="1" t="str">
        <f t="shared" ref="G5397:M5397" si="1159">"X"</f>
        <v>X</v>
      </c>
      <c r="H5397" s="1" t="str">
        <f t="shared" si="1159"/>
        <v>X</v>
      </c>
      <c r="I5397" s="1" t="str">
        <f t="shared" si="1159"/>
        <v>X</v>
      </c>
      <c r="J5397" s="1" t="str">
        <f t="shared" si="1159"/>
        <v>X</v>
      </c>
      <c r="K5397" s="1" t="str">
        <f t="shared" si="1159"/>
        <v>X</v>
      </c>
      <c r="L5397" s="1" t="str">
        <f t="shared" si="1159"/>
        <v>X</v>
      </c>
      <c r="M5397" s="1" t="str">
        <f t="shared" si="1159"/>
        <v>X</v>
      </c>
      <c r="N5397" t="s">
        <v>27</v>
      </c>
    </row>
    <row r="5398" spans="1:14" x14ac:dyDescent="0.25">
      <c r="A5398" t="s">
        <v>42</v>
      </c>
      <c r="B5398" t="s">
        <v>15</v>
      </c>
      <c r="C5398" t="s">
        <v>15</v>
      </c>
      <c r="D5398" t="s">
        <v>33</v>
      </c>
      <c r="E5398" t="s">
        <v>26</v>
      </c>
      <c r="F5398" t="s">
        <v>17</v>
      </c>
      <c r="G5398" s="1" t="str">
        <f t="shared" ref="G5398:M5398" si="1160">"..."</f>
        <v>...</v>
      </c>
      <c r="H5398" s="1" t="str">
        <f t="shared" si="1160"/>
        <v>...</v>
      </c>
      <c r="I5398" s="1" t="str">
        <f t="shared" si="1160"/>
        <v>...</v>
      </c>
      <c r="J5398" s="1" t="str">
        <f t="shared" si="1160"/>
        <v>...</v>
      </c>
      <c r="K5398" s="1" t="str">
        <f t="shared" si="1160"/>
        <v>...</v>
      </c>
      <c r="L5398" s="1" t="str">
        <f t="shared" si="1160"/>
        <v>...</v>
      </c>
      <c r="M5398" s="1" t="str">
        <f t="shared" si="1160"/>
        <v>...</v>
      </c>
      <c r="N5398" t="s">
        <v>30</v>
      </c>
    </row>
    <row r="5399" spans="1:14" x14ac:dyDescent="0.25">
      <c r="A5399" t="s">
        <v>42</v>
      </c>
      <c r="B5399" t="s">
        <v>15</v>
      </c>
      <c r="C5399" t="s">
        <v>15</v>
      </c>
      <c r="D5399" t="s">
        <v>33</v>
      </c>
      <c r="E5399" t="s">
        <v>26</v>
      </c>
      <c r="F5399" t="s">
        <v>18</v>
      </c>
      <c r="G5399" s="1" t="str">
        <f t="shared" ref="G5399:M5399" si="1161">"X"</f>
        <v>X</v>
      </c>
      <c r="H5399" s="1" t="str">
        <f t="shared" si="1161"/>
        <v>X</v>
      </c>
      <c r="I5399" s="1" t="str">
        <f t="shared" si="1161"/>
        <v>X</v>
      </c>
      <c r="J5399" s="1" t="str">
        <f t="shared" si="1161"/>
        <v>X</v>
      </c>
      <c r="K5399" s="1" t="str">
        <f t="shared" si="1161"/>
        <v>X</v>
      </c>
      <c r="L5399" s="1" t="str">
        <f t="shared" si="1161"/>
        <v>X</v>
      </c>
      <c r="M5399" s="1" t="str">
        <f t="shared" si="1161"/>
        <v>X</v>
      </c>
      <c r="N5399" t="s">
        <v>27</v>
      </c>
    </row>
    <row r="5400" spans="1:14" x14ac:dyDescent="0.25">
      <c r="A5400" t="s">
        <v>42</v>
      </c>
      <c r="B5400" t="s">
        <v>15</v>
      </c>
      <c r="C5400" t="s">
        <v>15</v>
      </c>
      <c r="D5400" t="s">
        <v>33</v>
      </c>
      <c r="E5400" t="s">
        <v>26</v>
      </c>
      <c r="F5400" t="s">
        <v>19</v>
      </c>
      <c r="G5400" s="1" t="str">
        <f t="shared" ref="G5400:M5400" si="1162">"..."</f>
        <v>...</v>
      </c>
      <c r="H5400" s="1" t="str">
        <f t="shared" si="1162"/>
        <v>...</v>
      </c>
      <c r="I5400" s="1" t="str">
        <f t="shared" si="1162"/>
        <v>...</v>
      </c>
      <c r="J5400" s="1" t="str">
        <f t="shared" si="1162"/>
        <v>...</v>
      </c>
      <c r="K5400" s="1" t="str">
        <f t="shared" si="1162"/>
        <v>...</v>
      </c>
      <c r="L5400" s="1" t="str">
        <f t="shared" si="1162"/>
        <v>...</v>
      </c>
      <c r="M5400" s="1" t="str">
        <f t="shared" si="1162"/>
        <v>...</v>
      </c>
      <c r="N5400" t="s">
        <v>30</v>
      </c>
    </row>
    <row r="5401" spans="1:14" x14ac:dyDescent="0.25">
      <c r="A5401" t="s">
        <v>42</v>
      </c>
      <c r="B5401" t="s">
        <v>15</v>
      </c>
      <c r="C5401" t="s">
        <v>15</v>
      </c>
      <c r="D5401" t="s">
        <v>33</v>
      </c>
      <c r="E5401" t="s">
        <v>26</v>
      </c>
      <c r="F5401" t="s">
        <v>20</v>
      </c>
      <c r="G5401" s="1" t="str">
        <f t="shared" ref="G5401:M5404" si="1163">"X"</f>
        <v>X</v>
      </c>
      <c r="H5401" s="1" t="str">
        <f t="shared" si="1163"/>
        <v>X</v>
      </c>
      <c r="I5401" s="1" t="str">
        <f t="shared" si="1163"/>
        <v>X</v>
      </c>
      <c r="J5401" s="1" t="str">
        <f t="shared" si="1163"/>
        <v>X</v>
      </c>
      <c r="K5401" s="1" t="str">
        <f t="shared" si="1163"/>
        <v>X</v>
      </c>
      <c r="L5401" s="1" t="str">
        <f t="shared" si="1163"/>
        <v>X</v>
      </c>
      <c r="M5401" s="1" t="str">
        <f t="shared" si="1163"/>
        <v>X</v>
      </c>
      <c r="N5401" t="s">
        <v>27</v>
      </c>
    </row>
    <row r="5402" spans="1:14" x14ac:dyDescent="0.25">
      <c r="A5402" t="s">
        <v>42</v>
      </c>
      <c r="B5402" t="s">
        <v>15</v>
      </c>
      <c r="C5402" t="s">
        <v>15</v>
      </c>
      <c r="D5402" t="s">
        <v>34</v>
      </c>
      <c r="E5402" t="s">
        <v>15</v>
      </c>
      <c r="F5402" t="s">
        <v>15</v>
      </c>
      <c r="G5402" s="1" t="str">
        <f t="shared" si="1163"/>
        <v>X</v>
      </c>
      <c r="H5402" s="1" t="str">
        <f t="shared" si="1163"/>
        <v>X</v>
      </c>
      <c r="I5402" s="1" t="str">
        <f t="shared" si="1163"/>
        <v>X</v>
      </c>
      <c r="J5402" s="1" t="str">
        <f t="shared" si="1163"/>
        <v>X</v>
      </c>
      <c r="K5402" s="1" t="str">
        <f t="shared" si="1163"/>
        <v>X</v>
      </c>
      <c r="L5402" s="1" t="str">
        <f t="shared" si="1163"/>
        <v>X</v>
      </c>
      <c r="M5402" s="1" t="str">
        <f t="shared" si="1163"/>
        <v>X</v>
      </c>
      <c r="N5402" t="s">
        <v>27</v>
      </c>
    </row>
    <row r="5403" spans="1:14" x14ac:dyDescent="0.25">
      <c r="A5403" t="s">
        <v>42</v>
      </c>
      <c r="B5403" t="s">
        <v>15</v>
      </c>
      <c r="C5403" t="s">
        <v>15</v>
      </c>
      <c r="D5403" t="s">
        <v>34</v>
      </c>
      <c r="E5403" t="s">
        <v>15</v>
      </c>
      <c r="F5403" t="s">
        <v>17</v>
      </c>
      <c r="G5403" s="1" t="str">
        <f t="shared" si="1163"/>
        <v>X</v>
      </c>
      <c r="H5403" s="1" t="str">
        <f t="shared" si="1163"/>
        <v>X</v>
      </c>
      <c r="I5403" s="1" t="str">
        <f t="shared" si="1163"/>
        <v>X</v>
      </c>
      <c r="J5403" s="1" t="str">
        <f t="shared" si="1163"/>
        <v>X</v>
      </c>
      <c r="K5403" s="1" t="str">
        <f t="shared" si="1163"/>
        <v>X</v>
      </c>
      <c r="L5403" s="1" t="str">
        <f t="shared" si="1163"/>
        <v>X</v>
      </c>
      <c r="M5403" s="1" t="str">
        <f t="shared" si="1163"/>
        <v>X</v>
      </c>
      <c r="N5403" t="s">
        <v>27</v>
      </c>
    </row>
    <row r="5404" spans="1:14" x14ac:dyDescent="0.25">
      <c r="A5404" t="s">
        <v>42</v>
      </c>
      <c r="B5404" t="s">
        <v>15</v>
      </c>
      <c r="C5404" t="s">
        <v>15</v>
      </c>
      <c r="D5404" t="s">
        <v>34</v>
      </c>
      <c r="E5404" t="s">
        <v>15</v>
      </c>
      <c r="F5404" t="s">
        <v>18</v>
      </c>
      <c r="G5404" s="1" t="str">
        <f t="shared" si="1163"/>
        <v>X</v>
      </c>
      <c r="H5404" s="1" t="str">
        <f t="shared" si="1163"/>
        <v>X</v>
      </c>
      <c r="I5404" s="1" t="str">
        <f t="shared" si="1163"/>
        <v>X</v>
      </c>
      <c r="J5404" s="1" t="str">
        <f t="shared" si="1163"/>
        <v>X</v>
      </c>
      <c r="K5404" s="1" t="str">
        <f t="shared" si="1163"/>
        <v>X</v>
      </c>
      <c r="L5404" s="1" t="str">
        <f t="shared" si="1163"/>
        <v>X</v>
      </c>
      <c r="M5404" s="1" t="str">
        <f t="shared" si="1163"/>
        <v>X</v>
      </c>
      <c r="N5404" t="s">
        <v>27</v>
      </c>
    </row>
    <row r="5405" spans="1:14" x14ac:dyDescent="0.25">
      <c r="A5405" t="s">
        <v>42</v>
      </c>
      <c r="B5405" t="s">
        <v>15</v>
      </c>
      <c r="C5405" t="s">
        <v>15</v>
      </c>
      <c r="D5405" t="s">
        <v>34</v>
      </c>
      <c r="E5405" t="s">
        <v>15</v>
      </c>
      <c r="F5405" t="s">
        <v>19</v>
      </c>
      <c r="G5405" s="1" t="str">
        <f t="shared" ref="G5405:M5405" si="1164">"..."</f>
        <v>...</v>
      </c>
      <c r="H5405" s="1" t="str">
        <f t="shared" si="1164"/>
        <v>...</v>
      </c>
      <c r="I5405" s="1" t="str">
        <f t="shared" si="1164"/>
        <v>...</v>
      </c>
      <c r="J5405" s="1" t="str">
        <f t="shared" si="1164"/>
        <v>...</v>
      </c>
      <c r="K5405" s="1" t="str">
        <f t="shared" si="1164"/>
        <v>...</v>
      </c>
      <c r="L5405" s="1" t="str">
        <f t="shared" si="1164"/>
        <v>...</v>
      </c>
      <c r="M5405" s="1" t="str">
        <f t="shared" si="1164"/>
        <v>...</v>
      </c>
      <c r="N5405" t="s">
        <v>30</v>
      </c>
    </row>
    <row r="5406" spans="1:14" x14ac:dyDescent="0.25">
      <c r="A5406" t="s">
        <v>42</v>
      </c>
      <c r="B5406" t="s">
        <v>15</v>
      </c>
      <c r="C5406" t="s">
        <v>15</v>
      </c>
      <c r="D5406" t="s">
        <v>34</v>
      </c>
      <c r="E5406" t="s">
        <v>15</v>
      </c>
      <c r="F5406" t="s">
        <v>20</v>
      </c>
      <c r="G5406" s="1" t="str">
        <f t="shared" ref="G5406:M5408" si="1165">"X"</f>
        <v>X</v>
      </c>
      <c r="H5406" s="1" t="str">
        <f t="shared" si="1165"/>
        <v>X</v>
      </c>
      <c r="I5406" s="1" t="str">
        <f t="shared" si="1165"/>
        <v>X</v>
      </c>
      <c r="J5406" s="1" t="str">
        <f t="shared" si="1165"/>
        <v>X</v>
      </c>
      <c r="K5406" s="1" t="str">
        <f t="shared" si="1165"/>
        <v>X</v>
      </c>
      <c r="L5406" s="1" t="str">
        <f t="shared" si="1165"/>
        <v>X</v>
      </c>
      <c r="M5406" s="1" t="str">
        <f t="shared" si="1165"/>
        <v>X</v>
      </c>
      <c r="N5406" t="s">
        <v>27</v>
      </c>
    </row>
    <row r="5407" spans="1:14" x14ac:dyDescent="0.25">
      <c r="A5407" t="s">
        <v>42</v>
      </c>
      <c r="B5407" t="s">
        <v>15</v>
      </c>
      <c r="C5407" t="s">
        <v>15</v>
      </c>
      <c r="D5407" t="s">
        <v>34</v>
      </c>
      <c r="E5407" t="s">
        <v>21</v>
      </c>
      <c r="F5407" t="s">
        <v>15</v>
      </c>
      <c r="G5407" s="1" t="str">
        <f t="shared" si="1165"/>
        <v>X</v>
      </c>
      <c r="H5407" s="1" t="str">
        <f t="shared" si="1165"/>
        <v>X</v>
      </c>
      <c r="I5407" s="1" t="str">
        <f t="shared" si="1165"/>
        <v>X</v>
      </c>
      <c r="J5407" s="1" t="str">
        <f t="shared" si="1165"/>
        <v>X</v>
      </c>
      <c r="K5407" s="1" t="str">
        <f t="shared" si="1165"/>
        <v>X</v>
      </c>
      <c r="L5407" s="1" t="str">
        <f t="shared" si="1165"/>
        <v>X</v>
      </c>
      <c r="M5407" s="1" t="str">
        <f t="shared" si="1165"/>
        <v>X</v>
      </c>
      <c r="N5407" t="s">
        <v>27</v>
      </c>
    </row>
    <row r="5408" spans="1:14" x14ac:dyDescent="0.25">
      <c r="A5408" t="s">
        <v>42</v>
      </c>
      <c r="B5408" t="s">
        <v>15</v>
      </c>
      <c r="C5408" t="s">
        <v>15</v>
      </c>
      <c r="D5408" t="s">
        <v>34</v>
      </c>
      <c r="E5408" t="s">
        <v>21</v>
      </c>
      <c r="F5408" t="s">
        <v>17</v>
      </c>
      <c r="G5408" s="1" t="str">
        <f t="shared" si="1165"/>
        <v>X</v>
      </c>
      <c r="H5408" s="1" t="str">
        <f t="shared" si="1165"/>
        <v>X</v>
      </c>
      <c r="I5408" s="1" t="str">
        <f t="shared" si="1165"/>
        <v>X</v>
      </c>
      <c r="J5408" s="1" t="str">
        <f t="shared" si="1165"/>
        <v>X</v>
      </c>
      <c r="K5408" s="1" t="str">
        <f t="shared" si="1165"/>
        <v>X</v>
      </c>
      <c r="L5408" s="1" t="str">
        <f t="shared" si="1165"/>
        <v>X</v>
      </c>
      <c r="M5408" s="1" t="str">
        <f t="shared" si="1165"/>
        <v>X</v>
      </c>
      <c r="N5408" t="s">
        <v>27</v>
      </c>
    </row>
    <row r="5409" spans="1:14" x14ac:dyDescent="0.25">
      <c r="A5409" t="s">
        <v>42</v>
      </c>
      <c r="B5409" t="s">
        <v>15</v>
      </c>
      <c r="C5409" t="s">
        <v>15</v>
      </c>
      <c r="D5409" t="s">
        <v>34</v>
      </c>
      <c r="E5409" t="s">
        <v>21</v>
      </c>
      <c r="F5409" t="s">
        <v>18</v>
      </c>
      <c r="G5409" s="1" t="str">
        <f t="shared" ref="G5409:M5411" si="1166">"..."</f>
        <v>...</v>
      </c>
      <c r="H5409" s="1" t="str">
        <f t="shared" si="1166"/>
        <v>...</v>
      </c>
      <c r="I5409" s="1" t="str">
        <f t="shared" si="1166"/>
        <v>...</v>
      </c>
      <c r="J5409" s="1" t="str">
        <f t="shared" si="1166"/>
        <v>...</v>
      </c>
      <c r="K5409" s="1" t="str">
        <f t="shared" si="1166"/>
        <v>...</v>
      </c>
      <c r="L5409" s="1" t="str">
        <f t="shared" si="1166"/>
        <v>...</v>
      </c>
      <c r="M5409" s="1" t="str">
        <f t="shared" si="1166"/>
        <v>...</v>
      </c>
      <c r="N5409" t="s">
        <v>30</v>
      </c>
    </row>
    <row r="5410" spans="1:14" x14ac:dyDescent="0.25">
      <c r="A5410" t="s">
        <v>42</v>
      </c>
      <c r="B5410" t="s">
        <v>15</v>
      </c>
      <c r="C5410" t="s">
        <v>15</v>
      </c>
      <c r="D5410" t="s">
        <v>34</v>
      </c>
      <c r="E5410" t="s">
        <v>21</v>
      </c>
      <c r="F5410" t="s">
        <v>19</v>
      </c>
      <c r="G5410" s="1" t="str">
        <f t="shared" si="1166"/>
        <v>...</v>
      </c>
      <c r="H5410" s="1" t="str">
        <f t="shared" si="1166"/>
        <v>...</v>
      </c>
      <c r="I5410" s="1" t="str">
        <f t="shared" si="1166"/>
        <v>...</v>
      </c>
      <c r="J5410" s="1" t="str">
        <f t="shared" si="1166"/>
        <v>...</v>
      </c>
      <c r="K5410" s="1" t="str">
        <f t="shared" si="1166"/>
        <v>...</v>
      </c>
      <c r="L5410" s="1" t="str">
        <f t="shared" si="1166"/>
        <v>...</v>
      </c>
      <c r="M5410" s="1" t="str">
        <f t="shared" si="1166"/>
        <v>...</v>
      </c>
      <c r="N5410" t="s">
        <v>30</v>
      </c>
    </row>
    <row r="5411" spans="1:14" x14ac:dyDescent="0.25">
      <c r="A5411" t="s">
        <v>42</v>
      </c>
      <c r="B5411" t="s">
        <v>15</v>
      </c>
      <c r="C5411" t="s">
        <v>15</v>
      </c>
      <c r="D5411" t="s">
        <v>34</v>
      </c>
      <c r="E5411" t="s">
        <v>21</v>
      </c>
      <c r="F5411" t="s">
        <v>20</v>
      </c>
      <c r="G5411" s="1" t="str">
        <f t="shared" si="1166"/>
        <v>...</v>
      </c>
      <c r="H5411" s="1" t="str">
        <f t="shared" si="1166"/>
        <v>...</v>
      </c>
      <c r="I5411" s="1" t="str">
        <f t="shared" si="1166"/>
        <v>...</v>
      </c>
      <c r="J5411" s="1" t="str">
        <f t="shared" si="1166"/>
        <v>...</v>
      </c>
      <c r="K5411" s="1" t="str">
        <f t="shared" si="1166"/>
        <v>...</v>
      </c>
      <c r="L5411" s="1" t="str">
        <f t="shared" si="1166"/>
        <v>...</v>
      </c>
      <c r="M5411" s="1" t="str">
        <f t="shared" si="1166"/>
        <v>...</v>
      </c>
      <c r="N5411" t="s">
        <v>30</v>
      </c>
    </row>
    <row r="5412" spans="1:14" x14ac:dyDescent="0.25">
      <c r="A5412" t="s">
        <v>42</v>
      </c>
      <c r="B5412" t="s">
        <v>15</v>
      </c>
      <c r="C5412" t="s">
        <v>15</v>
      </c>
      <c r="D5412" t="s">
        <v>34</v>
      </c>
      <c r="E5412" t="s">
        <v>22</v>
      </c>
      <c r="F5412" t="s">
        <v>15</v>
      </c>
      <c r="G5412" s="1" t="str">
        <f t="shared" ref="G5412:M5412" si="1167">"X"</f>
        <v>X</v>
      </c>
      <c r="H5412" s="1" t="str">
        <f t="shared" si="1167"/>
        <v>X</v>
      </c>
      <c r="I5412" s="1" t="str">
        <f t="shared" si="1167"/>
        <v>X</v>
      </c>
      <c r="J5412" s="1" t="str">
        <f t="shared" si="1167"/>
        <v>X</v>
      </c>
      <c r="K5412" s="1" t="str">
        <f t="shared" si="1167"/>
        <v>X</v>
      </c>
      <c r="L5412" s="1" t="str">
        <f t="shared" si="1167"/>
        <v>X</v>
      </c>
      <c r="M5412" s="1" t="str">
        <f t="shared" si="1167"/>
        <v>X</v>
      </c>
      <c r="N5412" t="s">
        <v>27</v>
      </c>
    </row>
    <row r="5413" spans="1:14" x14ac:dyDescent="0.25">
      <c r="A5413" t="s">
        <v>42</v>
      </c>
      <c r="B5413" t="s">
        <v>15</v>
      </c>
      <c r="C5413" t="s">
        <v>15</v>
      </c>
      <c r="D5413" t="s">
        <v>34</v>
      </c>
      <c r="E5413" t="s">
        <v>22</v>
      </c>
      <c r="F5413" t="s">
        <v>17</v>
      </c>
      <c r="G5413" s="1" t="str">
        <f t="shared" ref="G5413:M5413" si="1168">"..."</f>
        <v>...</v>
      </c>
      <c r="H5413" s="1" t="str">
        <f t="shared" si="1168"/>
        <v>...</v>
      </c>
      <c r="I5413" s="1" t="str">
        <f t="shared" si="1168"/>
        <v>...</v>
      </c>
      <c r="J5413" s="1" t="str">
        <f t="shared" si="1168"/>
        <v>...</v>
      </c>
      <c r="K5413" s="1" t="str">
        <f t="shared" si="1168"/>
        <v>...</v>
      </c>
      <c r="L5413" s="1" t="str">
        <f t="shared" si="1168"/>
        <v>...</v>
      </c>
      <c r="M5413" s="1" t="str">
        <f t="shared" si="1168"/>
        <v>...</v>
      </c>
      <c r="N5413" t="s">
        <v>30</v>
      </c>
    </row>
    <row r="5414" spans="1:14" x14ac:dyDescent="0.25">
      <c r="A5414" t="s">
        <v>42</v>
      </c>
      <c r="B5414" t="s">
        <v>15</v>
      </c>
      <c r="C5414" t="s">
        <v>15</v>
      </c>
      <c r="D5414" t="s">
        <v>34</v>
      </c>
      <c r="E5414" t="s">
        <v>22</v>
      </c>
      <c r="F5414" t="s">
        <v>18</v>
      </c>
      <c r="G5414" s="1" t="str">
        <f t="shared" ref="G5414:M5414" si="1169">"X"</f>
        <v>X</v>
      </c>
      <c r="H5414" s="1" t="str">
        <f t="shared" si="1169"/>
        <v>X</v>
      </c>
      <c r="I5414" s="1" t="str">
        <f t="shared" si="1169"/>
        <v>X</v>
      </c>
      <c r="J5414" s="1" t="str">
        <f t="shared" si="1169"/>
        <v>X</v>
      </c>
      <c r="K5414" s="1" t="str">
        <f t="shared" si="1169"/>
        <v>X</v>
      </c>
      <c r="L5414" s="1" t="str">
        <f t="shared" si="1169"/>
        <v>X</v>
      </c>
      <c r="M5414" s="1" t="str">
        <f t="shared" si="1169"/>
        <v>X</v>
      </c>
      <c r="N5414" t="s">
        <v>27</v>
      </c>
    </row>
    <row r="5415" spans="1:14" x14ac:dyDescent="0.25">
      <c r="A5415" t="s">
        <v>42</v>
      </c>
      <c r="B5415" t="s">
        <v>15</v>
      </c>
      <c r="C5415" t="s">
        <v>15</v>
      </c>
      <c r="D5415" t="s">
        <v>34</v>
      </c>
      <c r="E5415" t="s">
        <v>22</v>
      </c>
      <c r="F5415" t="s">
        <v>19</v>
      </c>
      <c r="G5415" s="1" t="str">
        <f t="shared" ref="G5415:M5415" si="1170">"..."</f>
        <v>...</v>
      </c>
      <c r="H5415" s="1" t="str">
        <f t="shared" si="1170"/>
        <v>...</v>
      </c>
      <c r="I5415" s="1" t="str">
        <f t="shared" si="1170"/>
        <v>...</v>
      </c>
      <c r="J5415" s="1" t="str">
        <f t="shared" si="1170"/>
        <v>...</v>
      </c>
      <c r="K5415" s="1" t="str">
        <f t="shared" si="1170"/>
        <v>...</v>
      </c>
      <c r="L5415" s="1" t="str">
        <f t="shared" si="1170"/>
        <v>...</v>
      </c>
      <c r="M5415" s="1" t="str">
        <f t="shared" si="1170"/>
        <v>...</v>
      </c>
      <c r="N5415" t="s">
        <v>30</v>
      </c>
    </row>
    <row r="5416" spans="1:14" x14ac:dyDescent="0.25">
      <c r="A5416" t="s">
        <v>42</v>
      </c>
      <c r="B5416" t="s">
        <v>15</v>
      </c>
      <c r="C5416" t="s">
        <v>15</v>
      </c>
      <c r="D5416" t="s">
        <v>34</v>
      </c>
      <c r="E5416" t="s">
        <v>22</v>
      </c>
      <c r="F5416" t="s">
        <v>20</v>
      </c>
      <c r="G5416" s="1" t="str">
        <f t="shared" ref="G5416:M5417" si="1171">"X"</f>
        <v>X</v>
      </c>
      <c r="H5416" s="1" t="str">
        <f t="shared" si="1171"/>
        <v>X</v>
      </c>
      <c r="I5416" s="1" t="str">
        <f t="shared" si="1171"/>
        <v>X</v>
      </c>
      <c r="J5416" s="1" t="str">
        <f t="shared" si="1171"/>
        <v>X</v>
      </c>
      <c r="K5416" s="1" t="str">
        <f t="shared" si="1171"/>
        <v>X</v>
      </c>
      <c r="L5416" s="1" t="str">
        <f t="shared" si="1171"/>
        <v>X</v>
      </c>
      <c r="M5416" s="1" t="str">
        <f t="shared" si="1171"/>
        <v>X</v>
      </c>
      <c r="N5416" t="s">
        <v>27</v>
      </c>
    </row>
    <row r="5417" spans="1:14" x14ac:dyDescent="0.25">
      <c r="A5417" t="s">
        <v>42</v>
      </c>
      <c r="B5417" t="s">
        <v>15</v>
      </c>
      <c r="C5417" t="s">
        <v>15</v>
      </c>
      <c r="D5417" t="s">
        <v>34</v>
      </c>
      <c r="E5417" t="s">
        <v>23</v>
      </c>
      <c r="F5417" t="s">
        <v>15</v>
      </c>
      <c r="G5417" s="1" t="str">
        <f t="shared" si="1171"/>
        <v>X</v>
      </c>
      <c r="H5417" s="1" t="str">
        <f t="shared" si="1171"/>
        <v>X</v>
      </c>
      <c r="I5417" s="1" t="str">
        <f t="shared" si="1171"/>
        <v>X</v>
      </c>
      <c r="J5417" s="1" t="str">
        <f t="shared" si="1171"/>
        <v>X</v>
      </c>
      <c r="K5417" s="1" t="str">
        <f t="shared" si="1171"/>
        <v>X</v>
      </c>
      <c r="L5417" s="1" t="str">
        <f t="shared" si="1171"/>
        <v>X</v>
      </c>
      <c r="M5417" s="1" t="str">
        <f t="shared" si="1171"/>
        <v>X</v>
      </c>
      <c r="N5417" t="s">
        <v>27</v>
      </c>
    </row>
    <row r="5418" spans="1:14" x14ac:dyDescent="0.25">
      <c r="A5418" t="s">
        <v>42</v>
      </c>
      <c r="B5418" t="s">
        <v>15</v>
      </c>
      <c r="C5418" t="s">
        <v>15</v>
      </c>
      <c r="D5418" t="s">
        <v>34</v>
      </c>
      <c r="E5418" t="s">
        <v>23</v>
      </c>
      <c r="F5418" t="s">
        <v>17</v>
      </c>
      <c r="G5418" s="1" t="str">
        <f t="shared" ref="G5418:M5420" si="1172">"..."</f>
        <v>...</v>
      </c>
      <c r="H5418" s="1" t="str">
        <f t="shared" si="1172"/>
        <v>...</v>
      </c>
      <c r="I5418" s="1" t="str">
        <f t="shared" si="1172"/>
        <v>...</v>
      </c>
      <c r="J5418" s="1" t="str">
        <f t="shared" si="1172"/>
        <v>...</v>
      </c>
      <c r="K5418" s="1" t="str">
        <f t="shared" si="1172"/>
        <v>...</v>
      </c>
      <c r="L5418" s="1" t="str">
        <f t="shared" si="1172"/>
        <v>...</v>
      </c>
      <c r="M5418" s="1" t="str">
        <f t="shared" si="1172"/>
        <v>...</v>
      </c>
      <c r="N5418" t="s">
        <v>30</v>
      </c>
    </row>
    <row r="5419" spans="1:14" x14ac:dyDescent="0.25">
      <c r="A5419" t="s">
        <v>42</v>
      </c>
      <c r="B5419" t="s">
        <v>15</v>
      </c>
      <c r="C5419" t="s">
        <v>15</v>
      </c>
      <c r="D5419" t="s">
        <v>34</v>
      </c>
      <c r="E5419" t="s">
        <v>23</v>
      </c>
      <c r="F5419" t="s">
        <v>18</v>
      </c>
      <c r="G5419" s="1" t="str">
        <f t="shared" si="1172"/>
        <v>...</v>
      </c>
      <c r="H5419" s="1" t="str">
        <f t="shared" si="1172"/>
        <v>...</v>
      </c>
      <c r="I5419" s="1" t="str">
        <f t="shared" si="1172"/>
        <v>...</v>
      </c>
      <c r="J5419" s="1" t="str">
        <f t="shared" si="1172"/>
        <v>...</v>
      </c>
      <c r="K5419" s="1" t="str">
        <f t="shared" si="1172"/>
        <v>...</v>
      </c>
      <c r="L5419" s="1" t="str">
        <f t="shared" si="1172"/>
        <v>...</v>
      </c>
      <c r="M5419" s="1" t="str">
        <f t="shared" si="1172"/>
        <v>...</v>
      </c>
      <c r="N5419" t="s">
        <v>30</v>
      </c>
    </row>
    <row r="5420" spans="1:14" x14ac:dyDescent="0.25">
      <c r="A5420" t="s">
        <v>42</v>
      </c>
      <c r="B5420" t="s">
        <v>15</v>
      </c>
      <c r="C5420" t="s">
        <v>15</v>
      </c>
      <c r="D5420" t="s">
        <v>34</v>
      </c>
      <c r="E5420" t="s">
        <v>23</v>
      </c>
      <c r="F5420" t="s">
        <v>19</v>
      </c>
      <c r="G5420" s="1" t="str">
        <f t="shared" si="1172"/>
        <v>...</v>
      </c>
      <c r="H5420" s="1" t="str">
        <f t="shared" si="1172"/>
        <v>...</v>
      </c>
      <c r="I5420" s="1" t="str">
        <f t="shared" si="1172"/>
        <v>...</v>
      </c>
      <c r="J5420" s="1" t="str">
        <f t="shared" si="1172"/>
        <v>...</v>
      </c>
      <c r="K5420" s="1" t="str">
        <f t="shared" si="1172"/>
        <v>...</v>
      </c>
      <c r="L5420" s="1" t="str">
        <f t="shared" si="1172"/>
        <v>...</v>
      </c>
      <c r="M5420" s="1" t="str">
        <f t="shared" si="1172"/>
        <v>...</v>
      </c>
      <c r="N5420" t="s">
        <v>30</v>
      </c>
    </row>
    <row r="5421" spans="1:14" x14ac:dyDescent="0.25">
      <c r="A5421" t="s">
        <v>42</v>
      </c>
      <c r="B5421" t="s">
        <v>15</v>
      </c>
      <c r="C5421" t="s">
        <v>15</v>
      </c>
      <c r="D5421" t="s">
        <v>34</v>
      </c>
      <c r="E5421" t="s">
        <v>23</v>
      </c>
      <c r="F5421" t="s">
        <v>20</v>
      </c>
      <c r="G5421" s="1" t="str">
        <f t="shared" ref="G5421:M5422" si="1173">"X"</f>
        <v>X</v>
      </c>
      <c r="H5421" s="1" t="str">
        <f t="shared" si="1173"/>
        <v>X</v>
      </c>
      <c r="I5421" s="1" t="str">
        <f t="shared" si="1173"/>
        <v>X</v>
      </c>
      <c r="J5421" s="1" t="str">
        <f t="shared" si="1173"/>
        <v>X</v>
      </c>
      <c r="K5421" s="1" t="str">
        <f t="shared" si="1173"/>
        <v>X</v>
      </c>
      <c r="L5421" s="1" t="str">
        <f t="shared" si="1173"/>
        <v>X</v>
      </c>
      <c r="M5421" s="1" t="str">
        <f t="shared" si="1173"/>
        <v>X</v>
      </c>
      <c r="N5421" t="s">
        <v>27</v>
      </c>
    </row>
    <row r="5422" spans="1:14" x14ac:dyDescent="0.25">
      <c r="A5422" t="s">
        <v>42</v>
      </c>
      <c r="B5422" t="s">
        <v>15</v>
      </c>
      <c r="C5422" t="s">
        <v>15</v>
      </c>
      <c r="D5422" t="s">
        <v>34</v>
      </c>
      <c r="E5422" t="s">
        <v>26</v>
      </c>
      <c r="F5422" t="s">
        <v>15</v>
      </c>
      <c r="G5422" s="1" t="str">
        <f t="shared" si="1173"/>
        <v>X</v>
      </c>
      <c r="H5422" s="1" t="str">
        <f t="shared" si="1173"/>
        <v>X</v>
      </c>
      <c r="I5422" s="1" t="str">
        <f t="shared" si="1173"/>
        <v>X</v>
      </c>
      <c r="J5422" s="1" t="str">
        <f t="shared" si="1173"/>
        <v>X</v>
      </c>
      <c r="K5422" s="1" t="str">
        <f t="shared" si="1173"/>
        <v>X</v>
      </c>
      <c r="L5422" s="1" t="str">
        <f t="shared" si="1173"/>
        <v>X</v>
      </c>
      <c r="M5422" s="1" t="str">
        <f t="shared" si="1173"/>
        <v>X</v>
      </c>
      <c r="N5422" t="s">
        <v>27</v>
      </c>
    </row>
    <row r="5423" spans="1:14" x14ac:dyDescent="0.25">
      <c r="A5423" t="s">
        <v>42</v>
      </c>
      <c r="B5423" t="s">
        <v>15</v>
      </c>
      <c r="C5423" t="s">
        <v>15</v>
      </c>
      <c r="D5423" t="s">
        <v>34</v>
      </c>
      <c r="E5423" t="s">
        <v>26</v>
      </c>
      <c r="F5423" t="s">
        <v>17</v>
      </c>
      <c r="G5423" s="1" t="str">
        <f t="shared" ref="G5423:M5425" si="1174">"..."</f>
        <v>...</v>
      </c>
      <c r="H5423" s="1" t="str">
        <f t="shared" si="1174"/>
        <v>...</v>
      </c>
      <c r="I5423" s="1" t="str">
        <f t="shared" si="1174"/>
        <v>...</v>
      </c>
      <c r="J5423" s="1" t="str">
        <f t="shared" si="1174"/>
        <v>...</v>
      </c>
      <c r="K5423" s="1" t="str">
        <f t="shared" si="1174"/>
        <v>...</v>
      </c>
      <c r="L5423" s="1" t="str">
        <f t="shared" si="1174"/>
        <v>...</v>
      </c>
      <c r="M5423" s="1" t="str">
        <f t="shared" si="1174"/>
        <v>...</v>
      </c>
      <c r="N5423" t="s">
        <v>30</v>
      </c>
    </row>
    <row r="5424" spans="1:14" x14ac:dyDescent="0.25">
      <c r="A5424" t="s">
        <v>42</v>
      </c>
      <c r="B5424" t="s">
        <v>15</v>
      </c>
      <c r="C5424" t="s">
        <v>15</v>
      </c>
      <c r="D5424" t="s">
        <v>34</v>
      </c>
      <c r="E5424" t="s">
        <v>26</v>
      </c>
      <c r="F5424" t="s">
        <v>18</v>
      </c>
      <c r="G5424" s="1" t="str">
        <f t="shared" si="1174"/>
        <v>...</v>
      </c>
      <c r="H5424" s="1" t="str">
        <f t="shared" si="1174"/>
        <v>...</v>
      </c>
      <c r="I5424" s="1" t="str">
        <f t="shared" si="1174"/>
        <v>...</v>
      </c>
      <c r="J5424" s="1" t="str">
        <f t="shared" si="1174"/>
        <v>...</v>
      </c>
      <c r="K5424" s="1" t="str">
        <f t="shared" si="1174"/>
        <v>...</v>
      </c>
      <c r="L5424" s="1" t="str">
        <f t="shared" si="1174"/>
        <v>...</v>
      </c>
      <c r="M5424" s="1" t="str">
        <f t="shared" si="1174"/>
        <v>...</v>
      </c>
      <c r="N5424" t="s">
        <v>30</v>
      </c>
    </row>
    <row r="5425" spans="1:14" x14ac:dyDescent="0.25">
      <c r="A5425" t="s">
        <v>42</v>
      </c>
      <c r="B5425" t="s">
        <v>15</v>
      </c>
      <c r="C5425" t="s">
        <v>15</v>
      </c>
      <c r="D5425" t="s">
        <v>34</v>
      </c>
      <c r="E5425" t="s">
        <v>26</v>
      </c>
      <c r="F5425" t="s">
        <v>19</v>
      </c>
      <c r="G5425" s="1" t="str">
        <f t="shared" si="1174"/>
        <v>...</v>
      </c>
      <c r="H5425" s="1" t="str">
        <f t="shared" si="1174"/>
        <v>...</v>
      </c>
      <c r="I5425" s="1" t="str">
        <f t="shared" si="1174"/>
        <v>...</v>
      </c>
      <c r="J5425" s="1" t="str">
        <f t="shared" si="1174"/>
        <v>...</v>
      </c>
      <c r="K5425" s="1" t="str">
        <f t="shared" si="1174"/>
        <v>...</v>
      </c>
      <c r="L5425" s="1" t="str">
        <f t="shared" si="1174"/>
        <v>...</v>
      </c>
      <c r="M5425" s="1" t="str">
        <f t="shared" si="1174"/>
        <v>...</v>
      </c>
      <c r="N5425" t="s">
        <v>30</v>
      </c>
    </row>
    <row r="5426" spans="1:14" x14ac:dyDescent="0.25">
      <c r="A5426" t="s">
        <v>42</v>
      </c>
      <c r="B5426" t="s">
        <v>15</v>
      </c>
      <c r="C5426" t="s">
        <v>15</v>
      </c>
      <c r="D5426" t="s">
        <v>34</v>
      </c>
      <c r="E5426" t="s">
        <v>26</v>
      </c>
      <c r="F5426" t="s">
        <v>20</v>
      </c>
      <c r="G5426" s="1" t="str">
        <f t="shared" ref="G5426:M5426" si="1175">"X"</f>
        <v>X</v>
      </c>
      <c r="H5426" s="1" t="str">
        <f t="shared" si="1175"/>
        <v>X</v>
      </c>
      <c r="I5426" s="1" t="str">
        <f t="shared" si="1175"/>
        <v>X</v>
      </c>
      <c r="J5426" s="1" t="str">
        <f t="shared" si="1175"/>
        <v>X</v>
      </c>
      <c r="K5426" s="1" t="str">
        <f t="shared" si="1175"/>
        <v>X</v>
      </c>
      <c r="L5426" s="1" t="str">
        <f t="shared" si="1175"/>
        <v>X</v>
      </c>
      <c r="M5426" s="1" t="str">
        <f t="shared" si="1175"/>
        <v>X</v>
      </c>
      <c r="N5426" t="s">
        <v>27</v>
      </c>
    </row>
    <row r="5427" spans="1:14" x14ac:dyDescent="0.25">
      <c r="A5427" t="s">
        <v>42</v>
      </c>
      <c r="B5427" t="s">
        <v>15</v>
      </c>
      <c r="C5427" t="s">
        <v>35</v>
      </c>
      <c r="D5427" t="s">
        <v>15</v>
      </c>
      <c r="E5427" t="s">
        <v>15</v>
      </c>
      <c r="F5427" t="s">
        <v>15</v>
      </c>
      <c r="G5427" s="1">
        <f>VALUE(7035.23)</f>
        <v>7035.23</v>
      </c>
      <c r="H5427" s="1">
        <f>VALUE(6549.58)</f>
        <v>6549.58</v>
      </c>
      <c r="I5427" s="4">
        <f>VALUE(2271)</f>
        <v>2271</v>
      </c>
      <c r="J5427" s="1">
        <f>VALUE(3048)</f>
        <v>3048</v>
      </c>
      <c r="K5427" s="1">
        <f>VALUE(3716)</f>
        <v>3716</v>
      </c>
      <c r="L5427" s="1">
        <f>VALUE(4301)</f>
        <v>4301</v>
      </c>
      <c r="M5427" s="1">
        <f>VALUE(4978)</f>
        <v>4978</v>
      </c>
      <c r="N5427" t="s">
        <v>25</v>
      </c>
    </row>
    <row r="5428" spans="1:14" x14ac:dyDescent="0.25">
      <c r="A5428" t="s">
        <v>42</v>
      </c>
      <c r="B5428" t="s">
        <v>15</v>
      </c>
      <c r="C5428" t="s">
        <v>35</v>
      </c>
      <c r="D5428" t="s">
        <v>15</v>
      </c>
      <c r="E5428" t="s">
        <v>15</v>
      </c>
      <c r="F5428" t="s">
        <v>17</v>
      </c>
      <c r="G5428" s="1" t="str">
        <f t="shared" ref="G5428:M5428" si="1176">"X"</f>
        <v>X</v>
      </c>
      <c r="H5428" s="1" t="str">
        <f t="shared" si="1176"/>
        <v>X</v>
      </c>
      <c r="I5428" s="1" t="str">
        <f t="shared" si="1176"/>
        <v>X</v>
      </c>
      <c r="J5428" s="1" t="str">
        <f t="shared" si="1176"/>
        <v>X</v>
      </c>
      <c r="K5428" s="1" t="str">
        <f t="shared" si="1176"/>
        <v>X</v>
      </c>
      <c r="L5428" s="1" t="str">
        <f t="shared" si="1176"/>
        <v>X</v>
      </c>
      <c r="M5428" s="1" t="str">
        <f t="shared" si="1176"/>
        <v>X</v>
      </c>
      <c r="N5428" t="s">
        <v>27</v>
      </c>
    </row>
    <row r="5429" spans="1:14" x14ac:dyDescent="0.25">
      <c r="A5429" t="s">
        <v>42</v>
      </c>
      <c r="B5429" t="s">
        <v>15</v>
      </c>
      <c r="C5429" t="s">
        <v>35</v>
      </c>
      <c r="D5429" t="s">
        <v>15</v>
      </c>
      <c r="E5429" t="s">
        <v>15</v>
      </c>
      <c r="F5429" t="s">
        <v>18</v>
      </c>
      <c r="G5429" s="2">
        <f>VALUE(373.64)</f>
        <v>373.64</v>
      </c>
      <c r="H5429" s="3">
        <f>VALUE(345.49)</f>
        <v>345.49</v>
      </c>
      <c r="I5429" s="4">
        <f>VALUE(2694)</f>
        <v>2694</v>
      </c>
      <c r="J5429" s="5">
        <f>VALUE(3150)</f>
        <v>3150</v>
      </c>
      <c r="K5429" s="6">
        <f>VALUE(3768)</f>
        <v>3768</v>
      </c>
      <c r="L5429" s="1">
        <f>VALUE(4468)</f>
        <v>4468</v>
      </c>
      <c r="M5429" s="8">
        <f>VALUE(4914)</f>
        <v>4914</v>
      </c>
      <c r="N5429" t="s">
        <v>25</v>
      </c>
    </row>
    <row r="5430" spans="1:14" x14ac:dyDescent="0.25">
      <c r="A5430" t="s">
        <v>42</v>
      </c>
      <c r="B5430" t="s">
        <v>15</v>
      </c>
      <c r="C5430" t="s">
        <v>35</v>
      </c>
      <c r="D5430" t="s">
        <v>15</v>
      </c>
      <c r="E5430" t="s">
        <v>15</v>
      </c>
      <c r="F5430" t="s">
        <v>19</v>
      </c>
      <c r="G5430" s="2">
        <f>VALUE(635.51)</f>
        <v>635.51</v>
      </c>
      <c r="H5430" s="3">
        <f>VALUE(598.31)</f>
        <v>598.30999999999995</v>
      </c>
      <c r="I5430" s="1">
        <f>VALUE(2962)</f>
        <v>2962</v>
      </c>
      <c r="J5430" s="1">
        <f>VALUE(3480)</f>
        <v>3480</v>
      </c>
      <c r="K5430" s="1">
        <f>VALUE(4021)</f>
        <v>4021</v>
      </c>
      <c r="L5430" s="1">
        <f>VALUE(4510)</f>
        <v>4510</v>
      </c>
      <c r="M5430" s="1">
        <f>VALUE(5103)</f>
        <v>5103</v>
      </c>
      <c r="N5430" t="s">
        <v>25</v>
      </c>
    </row>
    <row r="5431" spans="1:14" x14ac:dyDescent="0.25">
      <c r="A5431" t="s">
        <v>42</v>
      </c>
      <c r="B5431" t="s">
        <v>15</v>
      </c>
      <c r="C5431" t="s">
        <v>35</v>
      </c>
      <c r="D5431" t="s">
        <v>15</v>
      </c>
      <c r="E5431" t="s">
        <v>15</v>
      </c>
      <c r="F5431" t="s">
        <v>20</v>
      </c>
      <c r="G5431" s="1">
        <f>VALUE(5870.56)</f>
        <v>5870.56</v>
      </c>
      <c r="H5431" s="1">
        <f>VALUE(5476.3)</f>
        <v>5476.3</v>
      </c>
      <c r="I5431" s="4">
        <f>VALUE(2167)</f>
        <v>2167</v>
      </c>
      <c r="J5431" s="1">
        <f>VALUE(2966)</f>
        <v>2966</v>
      </c>
      <c r="K5431" s="1">
        <f>VALUE(3656)</f>
        <v>3656</v>
      </c>
      <c r="L5431" s="1">
        <f>VALUE(4255)</f>
        <v>4255</v>
      </c>
      <c r="M5431" s="1">
        <f>VALUE(4933)</f>
        <v>4933</v>
      </c>
      <c r="N5431" t="s">
        <v>25</v>
      </c>
    </row>
    <row r="5432" spans="1:14" x14ac:dyDescent="0.25">
      <c r="A5432" t="s">
        <v>42</v>
      </c>
      <c r="B5432" t="s">
        <v>15</v>
      </c>
      <c r="C5432" t="s">
        <v>35</v>
      </c>
      <c r="D5432" t="s">
        <v>15</v>
      </c>
      <c r="E5432" t="s">
        <v>21</v>
      </c>
      <c r="F5432" t="s">
        <v>15</v>
      </c>
      <c r="G5432" s="2">
        <f>VALUE(617.79)</f>
        <v>617.79</v>
      </c>
      <c r="H5432" s="3">
        <f>VALUE(571.34)</f>
        <v>571.34</v>
      </c>
      <c r="I5432" s="4">
        <f>VALUE(2263)</f>
        <v>2263</v>
      </c>
      <c r="J5432" s="5">
        <f>VALUE(3529)</f>
        <v>3529</v>
      </c>
      <c r="K5432" s="1">
        <f>VALUE(4024)</f>
        <v>4024</v>
      </c>
      <c r="L5432" s="1">
        <f>VALUE(4629)</f>
        <v>4629</v>
      </c>
      <c r="M5432" s="1">
        <f>VALUE(5468)</f>
        <v>5468</v>
      </c>
      <c r="N5432" t="s">
        <v>25</v>
      </c>
    </row>
    <row r="5433" spans="1:14" x14ac:dyDescent="0.25">
      <c r="A5433" t="s">
        <v>42</v>
      </c>
      <c r="B5433" t="s">
        <v>15</v>
      </c>
      <c r="C5433" t="s">
        <v>35</v>
      </c>
      <c r="D5433" t="s">
        <v>15</v>
      </c>
      <c r="E5433" t="s">
        <v>21</v>
      </c>
      <c r="F5433" t="s">
        <v>17</v>
      </c>
      <c r="G5433" s="1" t="str">
        <f t="shared" ref="G5433:M5435" si="1177">"X"</f>
        <v>X</v>
      </c>
      <c r="H5433" s="1" t="str">
        <f t="shared" si="1177"/>
        <v>X</v>
      </c>
      <c r="I5433" s="1" t="str">
        <f t="shared" si="1177"/>
        <v>X</v>
      </c>
      <c r="J5433" s="1" t="str">
        <f t="shared" si="1177"/>
        <v>X</v>
      </c>
      <c r="K5433" s="1" t="str">
        <f t="shared" si="1177"/>
        <v>X</v>
      </c>
      <c r="L5433" s="1" t="str">
        <f t="shared" si="1177"/>
        <v>X</v>
      </c>
      <c r="M5433" s="1" t="str">
        <f t="shared" si="1177"/>
        <v>X</v>
      </c>
      <c r="N5433" t="s">
        <v>27</v>
      </c>
    </row>
    <row r="5434" spans="1:14" x14ac:dyDescent="0.25">
      <c r="A5434" t="s">
        <v>42</v>
      </c>
      <c r="B5434" t="s">
        <v>15</v>
      </c>
      <c r="C5434" t="s">
        <v>35</v>
      </c>
      <c r="D5434" t="s">
        <v>15</v>
      </c>
      <c r="E5434" t="s">
        <v>21</v>
      </c>
      <c r="F5434" t="s">
        <v>18</v>
      </c>
      <c r="G5434" s="1" t="str">
        <f t="shared" si="1177"/>
        <v>X</v>
      </c>
      <c r="H5434" s="1" t="str">
        <f t="shared" si="1177"/>
        <v>X</v>
      </c>
      <c r="I5434" s="1" t="str">
        <f t="shared" si="1177"/>
        <v>X</v>
      </c>
      <c r="J5434" s="1" t="str">
        <f t="shared" si="1177"/>
        <v>X</v>
      </c>
      <c r="K5434" s="1" t="str">
        <f t="shared" si="1177"/>
        <v>X</v>
      </c>
      <c r="L5434" s="1" t="str">
        <f t="shared" si="1177"/>
        <v>X</v>
      </c>
      <c r="M5434" s="1" t="str">
        <f t="shared" si="1177"/>
        <v>X</v>
      </c>
      <c r="N5434" t="s">
        <v>27</v>
      </c>
    </row>
    <row r="5435" spans="1:14" x14ac:dyDescent="0.25">
      <c r="A5435" t="s">
        <v>42</v>
      </c>
      <c r="B5435" t="s">
        <v>15</v>
      </c>
      <c r="C5435" t="s">
        <v>35</v>
      </c>
      <c r="D5435" t="s">
        <v>15</v>
      </c>
      <c r="E5435" t="s">
        <v>21</v>
      </c>
      <c r="F5435" t="s">
        <v>19</v>
      </c>
      <c r="G5435" s="1" t="str">
        <f t="shared" si="1177"/>
        <v>X</v>
      </c>
      <c r="H5435" s="1" t="str">
        <f t="shared" si="1177"/>
        <v>X</v>
      </c>
      <c r="I5435" s="1" t="str">
        <f t="shared" si="1177"/>
        <v>X</v>
      </c>
      <c r="J5435" s="1" t="str">
        <f t="shared" si="1177"/>
        <v>X</v>
      </c>
      <c r="K5435" s="1" t="str">
        <f t="shared" si="1177"/>
        <v>X</v>
      </c>
      <c r="L5435" s="1" t="str">
        <f t="shared" si="1177"/>
        <v>X</v>
      </c>
      <c r="M5435" s="1" t="str">
        <f t="shared" si="1177"/>
        <v>X</v>
      </c>
      <c r="N5435" t="s">
        <v>27</v>
      </c>
    </row>
    <row r="5436" spans="1:14" x14ac:dyDescent="0.25">
      <c r="A5436" t="s">
        <v>42</v>
      </c>
      <c r="B5436" t="s">
        <v>15</v>
      </c>
      <c r="C5436" t="s">
        <v>35</v>
      </c>
      <c r="D5436" t="s">
        <v>15</v>
      </c>
      <c r="E5436" t="s">
        <v>21</v>
      </c>
      <c r="F5436" t="s">
        <v>20</v>
      </c>
      <c r="G5436" s="2">
        <f>VALUE(374.05)</f>
        <v>374.05</v>
      </c>
      <c r="H5436" s="3">
        <f>VALUE(345.92)</f>
        <v>345.92</v>
      </c>
      <c r="I5436" s="4">
        <f>VALUE(1429)</f>
        <v>1429</v>
      </c>
      <c r="J5436" s="5">
        <f>VALUE(3417)</f>
        <v>3417</v>
      </c>
      <c r="K5436" s="1">
        <f>VALUE(4010)</f>
        <v>4010</v>
      </c>
      <c r="L5436" s="7">
        <f>VALUE(4400)</f>
        <v>4400</v>
      </c>
      <c r="M5436" s="1">
        <f>VALUE(5417)</f>
        <v>5417</v>
      </c>
      <c r="N5436" t="s">
        <v>25</v>
      </c>
    </row>
    <row r="5437" spans="1:14" x14ac:dyDescent="0.25">
      <c r="A5437" t="s">
        <v>42</v>
      </c>
      <c r="B5437" t="s">
        <v>15</v>
      </c>
      <c r="C5437" t="s">
        <v>35</v>
      </c>
      <c r="D5437" t="s">
        <v>15</v>
      </c>
      <c r="E5437" t="s">
        <v>22</v>
      </c>
      <c r="F5437" t="s">
        <v>15</v>
      </c>
      <c r="G5437" s="1">
        <f>VALUE(4015.39)</f>
        <v>4015.39</v>
      </c>
      <c r="H5437" s="1">
        <f>VALUE(3846.34)</f>
        <v>3846.34</v>
      </c>
      <c r="I5437" s="4">
        <f>VALUE(2575)</f>
        <v>2575</v>
      </c>
      <c r="J5437" s="1">
        <f>VALUE(3378)</f>
        <v>3378</v>
      </c>
      <c r="K5437" s="1">
        <f>VALUE(3977)</f>
        <v>3977</v>
      </c>
      <c r="L5437" s="1">
        <f>VALUE(4442)</f>
        <v>4442</v>
      </c>
      <c r="M5437" s="1">
        <f>VALUE(5031)</f>
        <v>5031</v>
      </c>
      <c r="N5437" t="s">
        <v>25</v>
      </c>
    </row>
    <row r="5438" spans="1:14" x14ac:dyDescent="0.25">
      <c r="A5438" t="s">
        <v>42</v>
      </c>
      <c r="B5438" t="s">
        <v>15</v>
      </c>
      <c r="C5438" t="s">
        <v>35</v>
      </c>
      <c r="D5438" t="s">
        <v>15</v>
      </c>
      <c r="E5438" t="s">
        <v>22</v>
      </c>
      <c r="F5438" t="s">
        <v>17</v>
      </c>
      <c r="G5438" s="1" t="str">
        <f t="shared" ref="G5438:M5439" si="1178">"X"</f>
        <v>X</v>
      </c>
      <c r="H5438" s="1" t="str">
        <f t="shared" si="1178"/>
        <v>X</v>
      </c>
      <c r="I5438" s="1" t="str">
        <f t="shared" si="1178"/>
        <v>X</v>
      </c>
      <c r="J5438" s="1" t="str">
        <f t="shared" si="1178"/>
        <v>X</v>
      </c>
      <c r="K5438" s="1" t="str">
        <f t="shared" si="1178"/>
        <v>X</v>
      </c>
      <c r="L5438" s="1" t="str">
        <f t="shared" si="1178"/>
        <v>X</v>
      </c>
      <c r="M5438" s="1" t="str">
        <f t="shared" si="1178"/>
        <v>X</v>
      </c>
      <c r="N5438" t="s">
        <v>27</v>
      </c>
    </row>
    <row r="5439" spans="1:14" x14ac:dyDescent="0.25">
      <c r="A5439" t="s">
        <v>42</v>
      </c>
      <c r="B5439" t="s">
        <v>15</v>
      </c>
      <c r="C5439" t="s">
        <v>35</v>
      </c>
      <c r="D5439" t="s">
        <v>15</v>
      </c>
      <c r="E5439" t="s">
        <v>22</v>
      </c>
      <c r="F5439" t="s">
        <v>18</v>
      </c>
      <c r="G5439" s="1" t="str">
        <f t="shared" si="1178"/>
        <v>X</v>
      </c>
      <c r="H5439" s="1" t="str">
        <f t="shared" si="1178"/>
        <v>X</v>
      </c>
      <c r="I5439" s="1" t="str">
        <f t="shared" si="1178"/>
        <v>X</v>
      </c>
      <c r="J5439" s="1" t="str">
        <f t="shared" si="1178"/>
        <v>X</v>
      </c>
      <c r="K5439" s="1" t="str">
        <f t="shared" si="1178"/>
        <v>X</v>
      </c>
      <c r="L5439" s="1" t="str">
        <f t="shared" si="1178"/>
        <v>X</v>
      </c>
      <c r="M5439" s="1" t="str">
        <f t="shared" si="1178"/>
        <v>X</v>
      </c>
      <c r="N5439" t="s">
        <v>27</v>
      </c>
    </row>
    <row r="5440" spans="1:14" x14ac:dyDescent="0.25">
      <c r="A5440" t="s">
        <v>42</v>
      </c>
      <c r="B5440" t="s">
        <v>15</v>
      </c>
      <c r="C5440" t="s">
        <v>35</v>
      </c>
      <c r="D5440" t="s">
        <v>15</v>
      </c>
      <c r="E5440" t="s">
        <v>22</v>
      </c>
      <c r="F5440" t="s">
        <v>19</v>
      </c>
      <c r="G5440" s="2">
        <f>VALUE(435.41)</f>
        <v>435.41</v>
      </c>
      <c r="H5440" s="3">
        <f>VALUE(408.28)</f>
        <v>408.28</v>
      </c>
      <c r="I5440" s="4">
        <f>VALUE(3290)</f>
        <v>3290</v>
      </c>
      <c r="J5440" s="5">
        <f>VALUE(3496)</f>
        <v>3496</v>
      </c>
      <c r="K5440" s="6">
        <f>VALUE(4065)</f>
        <v>4065</v>
      </c>
      <c r="L5440" s="1">
        <f>VALUE(4510)</f>
        <v>4510</v>
      </c>
      <c r="M5440" s="1">
        <f>VALUE(5103)</f>
        <v>5103</v>
      </c>
      <c r="N5440" t="s">
        <v>25</v>
      </c>
    </row>
    <row r="5441" spans="1:14" x14ac:dyDescent="0.25">
      <c r="A5441" t="s">
        <v>42</v>
      </c>
      <c r="B5441" t="s">
        <v>15</v>
      </c>
      <c r="C5441" t="s">
        <v>35</v>
      </c>
      <c r="D5441" t="s">
        <v>15</v>
      </c>
      <c r="E5441" t="s">
        <v>22</v>
      </c>
      <c r="F5441" t="s">
        <v>20</v>
      </c>
      <c r="G5441" s="1">
        <f>VALUE(3261.1)</f>
        <v>3261.1</v>
      </c>
      <c r="H5441" s="1">
        <f>VALUE(3152.34)</f>
        <v>3152.34</v>
      </c>
      <c r="I5441" s="4">
        <f>VALUE(2481)</f>
        <v>2481</v>
      </c>
      <c r="J5441" s="1">
        <f>VALUE(3354)</f>
        <v>3354</v>
      </c>
      <c r="K5441" s="1">
        <f>VALUE(3952)</f>
        <v>3952</v>
      </c>
      <c r="L5441" s="1">
        <f>VALUE(4412)</f>
        <v>4412</v>
      </c>
      <c r="M5441" s="1">
        <f>VALUE(5006)</f>
        <v>5006</v>
      </c>
      <c r="N5441" t="s">
        <v>25</v>
      </c>
    </row>
    <row r="5442" spans="1:14" x14ac:dyDescent="0.25">
      <c r="A5442" t="s">
        <v>42</v>
      </c>
      <c r="B5442" t="s">
        <v>15</v>
      </c>
      <c r="C5442" t="s">
        <v>35</v>
      </c>
      <c r="D5442" t="s">
        <v>15</v>
      </c>
      <c r="E5442" t="s">
        <v>23</v>
      </c>
      <c r="F5442" t="s">
        <v>15</v>
      </c>
      <c r="G5442" s="1">
        <f>VALUE(2192.59)</f>
        <v>2192.59</v>
      </c>
      <c r="H5442" s="1">
        <f>VALUE(1954.18)</f>
        <v>1954.18</v>
      </c>
      <c r="I5442" s="4">
        <f>VALUE(2203)</f>
        <v>2203</v>
      </c>
      <c r="J5442" s="1">
        <f>VALUE(2600)</f>
        <v>2600</v>
      </c>
      <c r="K5442" s="1">
        <f>VALUE(3184)</f>
        <v>3184</v>
      </c>
      <c r="L5442" s="1">
        <f>VALUE(3610)</f>
        <v>3610</v>
      </c>
      <c r="M5442" s="1">
        <f>VALUE(4211)</f>
        <v>4211</v>
      </c>
      <c r="N5442" t="s">
        <v>25</v>
      </c>
    </row>
    <row r="5443" spans="1:14" x14ac:dyDescent="0.25">
      <c r="A5443" t="s">
        <v>42</v>
      </c>
      <c r="B5443" t="s">
        <v>15</v>
      </c>
      <c r="C5443" t="s">
        <v>35</v>
      </c>
      <c r="D5443" t="s">
        <v>15</v>
      </c>
      <c r="E5443" t="s">
        <v>23</v>
      </c>
      <c r="F5443" t="s">
        <v>17</v>
      </c>
      <c r="G5443" s="1" t="str">
        <f t="shared" ref="G5443:M5445" si="1179">"X"</f>
        <v>X</v>
      </c>
      <c r="H5443" s="1" t="str">
        <f t="shared" si="1179"/>
        <v>X</v>
      </c>
      <c r="I5443" s="1" t="str">
        <f t="shared" si="1179"/>
        <v>X</v>
      </c>
      <c r="J5443" s="1" t="str">
        <f t="shared" si="1179"/>
        <v>X</v>
      </c>
      <c r="K5443" s="1" t="str">
        <f t="shared" si="1179"/>
        <v>X</v>
      </c>
      <c r="L5443" s="1" t="str">
        <f t="shared" si="1179"/>
        <v>X</v>
      </c>
      <c r="M5443" s="1" t="str">
        <f t="shared" si="1179"/>
        <v>X</v>
      </c>
      <c r="N5443" t="s">
        <v>27</v>
      </c>
    </row>
    <row r="5444" spans="1:14" x14ac:dyDescent="0.25">
      <c r="A5444" t="s">
        <v>42</v>
      </c>
      <c r="B5444" t="s">
        <v>15</v>
      </c>
      <c r="C5444" t="s">
        <v>35</v>
      </c>
      <c r="D5444" t="s">
        <v>15</v>
      </c>
      <c r="E5444" t="s">
        <v>23</v>
      </c>
      <c r="F5444" t="s">
        <v>18</v>
      </c>
      <c r="G5444" s="1" t="str">
        <f t="shared" si="1179"/>
        <v>X</v>
      </c>
      <c r="H5444" s="1" t="str">
        <f t="shared" si="1179"/>
        <v>X</v>
      </c>
      <c r="I5444" s="1" t="str">
        <f t="shared" si="1179"/>
        <v>X</v>
      </c>
      <c r="J5444" s="1" t="str">
        <f t="shared" si="1179"/>
        <v>X</v>
      </c>
      <c r="K5444" s="1" t="str">
        <f t="shared" si="1179"/>
        <v>X</v>
      </c>
      <c r="L5444" s="1" t="str">
        <f t="shared" si="1179"/>
        <v>X</v>
      </c>
      <c r="M5444" s="1" t="str">
        <f t="shared" si="1179"/>
        <v>X</v>
      </c>
      <c r="N5444" t="s">
        <v>27</v>
      </c>
    </row>
    <row r="5445" spans="1:14" x14ac:dyDescent="0.25">
      <c r="A5445" t="s">
        <v>42</v>
      </c>
      <c r="B5445" t="s">
        <v>15</v>
      </c>
      <c r="C5445" t="s">
        <v>35</v>
      </c>
      <c r="D5445" t="s">
        <v>15</v>
      </c>
      <c r="E5445" t="s">
        <v>23</v>
      </c>
      <c r="F5445" t="s">
        <v>19</v>
      </c>
      <c r="G5445" s="1" t="str">
        <f t="shared" si="1179"/>
        <v>X</v>
      </c>
      <c r="H5445" s="1" t="str">
        <f t="shared" si="1179"/>
        <v>X</v>
      </c>
      <c r="I5445" s="1" t="str">
        <f t="shared" si="1179"/>
        <v>X</v>
      </c>
      <c r="J5445" s="1" t="str">
        <f t="shared" si="1179"/>
        <v>X</v>
      </c>
      <c r="K5445" s="1" t="str">
        <f t="shared" si="1179"/>
        <v>X</v>
      </c>
      <c r="L5445" s="1" t="str">
        <f t="shared" si="1179"/>
        <v>X</v>
      </c>
      <c r="M5445" s="1" t="str">
        <f t="shared" si="1179"/>
        <v>X</v>
      </c>
      <c r="N5445" t="s">
        <v>27</v>
      </c>
    </row>
    <row r="5446" spans="1:14" x14ac:dyDescent="0.25">
      <c r="A5446" t="s">
        <v>42</v>
      </c>
      <c r="B5446" t="s">
        <v>15</v>
      </c>
      <c r="C5446" t="s">
        <v>35</v>
      </c>
      <c r="D5446" t="s">
        <v>15</v>
      </c>
      <c r="E5446" t="s">
        <v>23</v>
      </c>
      <c r="F5446" t="s">
        <v>20</v>
      </c>
      <c r="G5446" s="1">
        <f>VALUE(2027.22)</f>
        <v>2027.22</v>
      </c>
      <c r="H5446" s="1">
        <f>VALUE(1801.59)</f>
        <v>1801.59</v>
      </c>
      <c r="I5446" s="4">
        <f>VALUE(2174)</f>
        <v>2174</v>
      </c>
      <c r="J5446" s="1">
        <f>VALUE(2600)</f>
        <v>2600</v>
      </c>
      <c r="K5446" s="1">
        <f>VALUE(3166)</f>
        <v>3166</v>
      </c>
      <c r="L5446" s="1">
        <f>VALUE(3584)</f>
        <v>3584</v>
      </c>
      <c r="M5446" s="1">
        <f>VALUE(4202)</f>
        <v>4202</v>
      </c>
      <c r="N5446" t="s">
        <v>25</v>
      </c>
    </row>
    <row r="5447" spans="1:14" x14ac:dyDescent="0.25">
      <c r="A5447" t="s">
        <v>42</v>
      </c>
      <c r="B5447" t="s">
        <v>15</v>
      </c>
      <c r="C5447" t="s">
        <v>35</v>
      </c>
      <c r="D5447" t="s">
        <v>15</v>
      </c>
      <c r="E5447" t="s">
        <v>26</v>
      </c>
      <c r="F5447" t="s">
        <v>15</v>
      </c>
      <c r="G5447" s="2">
        <f>VALUE(209.46)</f>
        <v>209.46</v>
      </c>
      <c r="H5447" s="3">
        <f>VALUE(177.72)</f>
        <v>177.72</v>
      </c>
      <c r="I5447" s="4">
        <f>VALUE(1467)</f>
        <v>1467</v>
      </c>
      <c r="J5447" s="5">
        <f>VALUE(2600)</f>
        <v>2600</v>
      </c>
      <c r="K5447" s="1">
        <f>VALUE(3699)</f>
        <v>3699</v>
      </c>
      <c r="L5447" s="1">
        <f>VALUE(4400)</f>
        <v>4400</v>
      </c>
      <c r="M5447" s="1">
        <f>VALUE(4930)</f>
        <v>4930</v>
      </c>
      <c r="N5447" t="s">
        <v>25</v>
      </c>
    </row>
    <row r="5448" spans="1:14" x14ac:dyDescent="0.25">
      <c r="A5448" t="s">
        <v>42</v>
      </c>
      <c r="B5448" t="s">
        <v>15</v>
      </c>
      <c r="C5448" t="s">
        <v>35</v>
      </c>
      <c r="D5448" t="s">
        <v>15</v>
      </c>
      <c r="E5448" t="s">
        <v>26</v>
      </c>
      <c r="F5448" t="s">
        <v>17</v>
      </c>
      <c r="G5448" s="1" t="str">
        <f t="shared" ref="G5448:M5449" si="1180">"..."</f>
        <v>...</v>
      </c>
      <c r="H5448" s="1" t="str">
        <f t="shared" si="1180"/>
        <v>...</v>
      </c>
      <c r="I5448" s="1" t="str">
        <f t="shared" si="1180"/>
        <v>...</v>
      </c>
      <c r="J5448" s="1" t="str">
        <f t="shared" si="1180"/>
        <v>...</v>
      </c>
      <c r="K5448" s="1" t="str">
        <f t="shared" si="1180"/>
        <v>...</v>
      </c>
      <c r="L5448" s="1" t="str">
        <f t="shared" si="1180"/>
        <v>...</v>
      </c>
      <c r="M5448" s="1" t="str">
        <f t="shared" si="1180"/>
        <v>...</v>
      </c>
      <c r="N5448" t="s">
        <v>30</v>
      </c>
    </row>
    <row r="5449" spans="1:14" x14ac:dyDescent="0.25">
      <c r="A5449" t="s">
        <v>42</v>
      </c>
      <c r="B5449" t="s">
        <v>15</v>
      </c>
      <c r="C5449" t="s">
        <v>35</v>
      </c>
      <c r="D5449" t="s">
        <v>15</v>
      </c>
      <c r="E5449" t="s">
        <v>26</v>
      </c>
      <c r="F5449" t="s">
        <v>18</v>
      </c>
      <c r="G5449" s="1" t="str">
        <f t="shared" si="1180"/>
        <v>...</v>
      </c>
      <c r="H5449" s="1" t="str">
        <f t="shared" si="1180"/>
        <v>...</v>
      </c>
      <c r="I5449" s="1" t="str">
        <f t="shared" si="1180"/>
        <v>...</v>
      </c>
      <c r="J5449" s="1" t="str">
        <f t="shared" si="1180"/>
        <v>...</v>
      </c>
      <c r="K5449" s="1" t="str">
        <f t="shared" si="1180"/>
        <v>...</v>
      </c>
      <c r="L5449" s="1" t="str">
        <f t="shared" si="1180"/>
        <v>...</v>
      </c>
      <c r="M5449" s="1" t="str">
        <f t="shared" si="1180"/>
        <v>...</v>
      </c>
      <c r="N5449" t="s">
        <v>30</v>
      </c>
    </row>
    <row r="5450" spans="1:14" x14ac:dyDescent="0.25">
      <c r="A5450" t="s">
        <v>42</v>
      </c>
      <c r="B5450" t="s">
        <v>15</v>
      </c>
      <c r="C5450" t="s">
        <v>35</v>
      </c>
      <c r="D5450" t="s">
        <v>15</v>
      </c>
      <c r="E5450" t="s">
        <v>26</v>
      </c>
      <c r="F5450" t="s">
        <v>19</v>
      </c>
      <c r="G5450" s="1" t="str">
        <f t="shared" ref="G5450:M5450" si="1181">"X"</f>
        <v>X</v>
      </c>
      <c r="H5450" s="1" t="str">
        <f t="shared" si="1181"/>
        <v>X</v>
      </c>
      <c r="I5450" s="1" t="str">
        <f t="shared" si="1181"/>
        <v>X</v>
      </c>
      <c r="J5450" s="1" t="str">
        <f t="shared" si="1181"/>
        <v>X</v>
      </c>
      <c r="K5450" s="1" t="str">
        <f t="shared" si="1181"/>
        <v>X</v>
      </c>
      <c r="L5450" s="1" t="str">
        <f t="shared" si="1181"/>
        <v>X</v>
      </c>
      <c r="M5450" s="1" t="str">
        <f t="shared" si="1181"/>
        <v>X</v>
      </c>
      <c r="N5450" t="s">
        <v>27</v>
      </c>
    </row>
    <row r="5451" spans="1:14" x14ac:dyDescent="0.25">
      <c r="A5451" t="s">
        <v>42</v>
      </c>
      <c r="B5451" t="s">
        <v>15</v>
      </c>
      <c r="C5451" t="s">
        <v>35</v>
      </c>
      <c r="D5451" t="s">
        <v>15</v>
      </c>
      <c r="E5451" t="s">
        <v>26</v>
      </c>
      <c r="F5451" t="s">
        <v>20</v>
      </c>
      <c r="G5451" s="2">
        <f>VALUE(208.19)</f>
        <v>208.19</v>
      </c>
      <c r="H5451" s="3">
        <f>VALUE(176.45)</f>
        <v>176.45</v>
      </c>
      <c r="I5451" s="4">
        <f>VALUE(1467)</f>
        <v>1467</v>
      </c>
      <c r="J5451" s="5">
        <f>VALUE(2600)</f>
        <v>2600</v>
      </c>
      <c r="K5451" s="1">
        <f>VALUE(3660)</f>
        <v>3660</v>
      </c>
      <c r="L5451" s="1">
        <f>VALUE(4400)</f>
        <v>4400</v>
      </c>
      <c r="M5451" s="1">
        <f>VALUE(4930)</f>
        <v>4930</v>
      </c>
      <c r="N5451" t="s">
        <v>25</v>
      </c>
    </row>
    <row r="5452" spans="1:14" x14ac:dyDescent="0.25">
      <c r="A5452" t="s">
        <v>42</v>
      </c>
      <c r="B5452" t="s">
        <v>15</v>
      </c>
      <c r="C5452" t="s">
        <v>35</v>
      </c>
      <c r="D5452" t="s">
        <v>28</v>
      </c>
      <c r="E5452" t="s">
        <v>15</v>
      </c>
      <c r="F5452" t="s">
        <v>15</v>
      </c>
      <c r="G5452" s="1">
        <f>VALUE(3527.4)</f>
        <v>3527.4</v>
      </c>
      <c r="H5452" s="1">
        <f>VALUE(3233.81)</f>
        <v>3233.81</v>
      </c>
      <c r="I5452" s="4">
        <f>VALUE(2000)</f>
        <v>2000</v>
      </c>
      <c r="J5452" s="1">
        <f>VALUE(3420)</f>
        <v>3420</v>
      </c>
      <c r="K5452" s="1">
        <f>VALUE(3975)</f>
        <v>3975</v>
      </c>
      <c r="L5452" s="1">
        <f>VALUE(4445)</f>
        <v>4445</v>
      </c>
      <c r="M5452" s="1">
        <f>VALUE(5031)</f>
        <v>5031</v>
      </c>
      <c r="N5452" t="s">
        <v>25</v>
      </c>
    </row>
    <row r="5453" spans="1:14" x14ac:dyDescent="0.25">
      <c r="A5453" t="s">
        <v>42</v>
      </c>
      <c r="B5453" t="s">
        <v>15</v>
      </c>
      <c r="C5453" t="s">
        <v>35</v>
      </c>
      <c r="D5453" t="s">
        <v>28</v>
      </c>
      <c r="E5453" t="s">
        <v>15</v>
      </c>
      <c r="F5453" t="s">
        <v>17</v>
      </c>
      <c r="G5453" s="1" t="str">
        <f t="shared" ref="G5453:M5454" si="1182">"X"</f>
        <v>X</v>
      </c>
      <c r="H5453" s="1" t="str">
        <f t="shared" si="1182"/>
        <v>X</v>
      </c>
      <c r="I5453" s="1" t="str">
        <f t="shared" si="1182"/>
        <v>X</v>
      </c>
      <c r="J5453" s="1" t="str">
        <f t="shared" si="1182"/>
        <v>X</v>
      </c>
      <c r="K5453" s="1" t="str">
        <f t="shared" si="1182"/>
        <v>X</v>
      </c>
      <c r="L5453" s="1" t="str">
        <f t="shared" si="1182"/>
        <v>X</v>
      </c>
      <c r="M5453" s="1" t="str">
        <f t="shared" si="1182"/>
        <v>X</v>
      </c>
      <c r="N5453" t="s">
        <v>27</v>
      </c>
    </row>
    <row r="5454" spans="1:14" x14ac:dyDescent="0.25">
      <c r="A5454" t="s">
        <v>42</v>
      </c>
      <c r="B5454" t="s">
        <v>15</v>
      </c>
      <c r="C5454" t="s">
        <v>35</v>
      </c>
      <c r="D5454" t="s">
        <v>28</v>
      </c>
      <c r="E5454" t="s">
        <v>15</v>
      </c>
      <c r="F5454" t="s">
        <v>18</v>
      </c>
      <c r="G5454" s="1" t="str">
        <f t="shared" si="1182"/>
        <v>X</v>
      </c>
      <c r="H5454" s="1" t="str">
        <f t="shared" si="1182"/>
        <v>X</v>
      </c>
      <c r="I5454" s="1" t="str">
        <f t="shared" si="1182"/>
        <v>X</v>
      </c>
      <c r="J5454" s="1" t="str">
        <f t="shared" si="1182"/>
        <v>X</v>
      </c>
      <c r="K5454" s="1" t="str">
        <f t="shared" si="1182"/>
        <v>X</v>
      </c>
      <c r="L5454" s="1" t="str">
        <f t="shared" si="1182"/>
        <v>X</v>
      </c>
      <c r="M5454" s="1" t="str">
        <f t="shared" si="1182"/>
        <v>X</v>
      </c>
      <c r="N5454" t="s">
        <v>27</v>
      </c>
    </row>
    <row r="5455" spans="1:14" x14ac:dyDescent="0.25">
      <c r="A5455" t="s">
        <v>42</v>
      </c>
      <c r="B5455" t="s">
        <v>15</v>
      </c>
      <c r="C5455" t="s">
        <v>35</v>
      </c>
      <c r="D5455" t="s">
        <v>28</v>
      </c>
      <c r="E5455" t="s">
        <v>15</v>
      </c>
      <c r="F5455" t="s">
        <v>19</v>
      </c>
      <c r="G5455" s="2">
        <f>VALUE(373.14)</f>
        <v>373.14</v>
      </c>
      <c r="H5455" s="3">
        <f>VALUE(339.56)</f>
        <v>339.56</v>
      </c>
      <c r="I5455" s="4">
        <f>VALUE(3290)</f>
        <v>3290</v>
      </c>
      <c r="J5455" s="1">
        <f>VALUE(3560)</f>
        <v>3560</v>
      </c>
      <c r="K5455" s="1">
        <f>VALUE(3958)</f>
        <v>3958</v>
      </c>
      <c r="L5455" s="1">
        <f>VALUE(4384)</f>
        <v>4384</v>
      </c>
      <c r="M5455" s="1">
        <f>VALUE(4951)</f>
        <v>4951</v>
      </c>
      <c r="N5455" t="s">
        <v>25</v>
      </c>
    </row>
    <row r="5456" spans="1:14" x14ac:dyDescent="0.25">
      <c r="A5456" t="s">
        <v>42</v>
      </c>
      <c r="B5456" t="s">
        <v>15</v>
      </c>
      <c r="C5456" t="s">
        <v>35</v>
      </c>
      <c r="D5456" t="s">
        <v>28</v>
      </c>
      <c r="E5456" t="s">
        <v>15</v>
      </c>
      <c r="F5456" t="s">
        <v>20</v>
      </c>
      <c r="G5456" s="1">
        <f>VALUE(2868.93)</f>
        <v>2868.93</v>
      </c>
      <c r="H5456" s="1">
        <f>VALUE(2640.28)</f>
        <v>2640.28</v>
      </c>
      <c r="I5456" s="4">
        <f>VALUE(1660)</f>
        <v>1660</v>
      </c>
      <c r="J5456" s="1">
        <f>VALUE(3371)</f>
        <v>3371</v>
      </c>
      <c r="K5456" s="1">
        <f>VALUE(3974)</f>
        <v>3974</v>
      </c>
      <c r="L5456" s="1">
        <f>VALUE(4445)</f>
        <v>4445</v>
      </c>
      <c r="M5456" s="1">
        <f>VALUE(5081)</f>
        <v>5081</v>
      </c>
      <c r="N5456" t="s">
        <v>25</v>
      </c>
    </row>
    <row r="5457" spans="1:14" x14ac:dyDescent="0.25">
      <c r="A5457" t="s">
        <v>42</v>
      </c>
      <c r="B5457" t="s">
        <v>15</v>
      </c>
      <c r="C5457" t="s">
        <v>35</v>
      </c>
      <c r="D5457" t="s">
        <v>28</v>
      </c>
      <c r="E5457" t="s">
        <v>21</v>
      </c>
      <c r="F5457" t="s">
        <v>15</v>
      </c>
      <c r="G5457" s="2">
        <f>VALUE(337.25)</f>
        <v>337.25</v>
      </c>
      <c r="H5457" s="3">
        <f>VALUE(298.98)</f>
        <v>298.98</v>
      </c>
      <c r="I5457" s="4">
        <f>VALUE(2078)</f>
        <v>2078</v>
      </c>
      <c r="J5457" s="5">
        <f>VALUE(3707)</f>
        <v>3707</v>
      </c>
      <c r="K5457" s="1">
        <f>VALUE(4082)</f>
        <v>4082</v>
      </c>
      <c r="L5457" s="7">
        <f>VALUE(4629)</f>
        <v>4629</v>
      </c>
      <c r="M5457" s="1">
        <f>VALUE(5468)</f>
        <v>5468</v>
      </c>
      <c r="N5457" t="s">
        <v>25</v>
      </c>
    </row>
    <row r="5458" spans="1:14" x14ac:dyDescent="0.25">
      <c r="A5458" t="s">
        <v>42</v>
      </c>
      <c r="B5458" t="s">
        <v>15</v>
      </c>
      <c r="C5458" t="s">
        <v>35</v>
      </c>
      <c r="D5458" t="s">
        <v>28</v>
      </c>
      <c r="E5458" t="s">
        <v>21</v>
      </c>
      <c r="F5458" t="s">
        <v>17</v>
      </c>
      <c r="G5458" s="1" t="str">
        <f t="shared" ref="G5458:M5460" si="1183">"X"</f>
        <v>X</v>
      </c>
      <c r="H5458" s="1" t="str">
        <f t="shared" si="1183"/>
        <v>X</v>
      </c>
      <c r="I5458" s="1" t="str">
        <f t="shared" si="1183"/>
        <v>X</v>
      </c>
      <c r="J5458" s="1" t="str">
        <f t="shared" si="1183"/>
        <v>X</v>
      </c>
      <c r="K5458" s="1" t="str">
        <f t="shared" si="1183"/>
        <v>X</v>
      </c>
      <c r="L5458" s="1" t="str">
        <f t="shared" si="1183"/>
        <v>X</v>
      </c>
      <c r="M5458" s="1" t="str">
        <f t="shared" si="1183"/>
        <v>X</v>
      </c>
      <c r="N5458" t="s">
        <v>27</v>
      </c>
    </row>
    <row r="5459" spans="1:14" x14ac:dyDescent="0.25">
      <c r="A5459" t="s">
        <v>42</v>
      </c>
      <c r="B5459" t="s">
        <v>15</v>
      </c>
      <c r="C5459" t="s">
        <v>35</v>
      </c>
      <c r="D5459" t="s">
        <v>28</v>
      </c>
      <c r="E5459" t="s">
        <v>21</v>
      </c>
      <c r="F5459" t="s">
        <v>18</v>
      </c>
      <c r="G5459" s="1" t="str">
        <f t="shared" si="1183"/>
        <v>X</v>
      </c>
      <c r="H5459" s="1" t="str">
        <f t="shared" si="1183"/>
        <v>X</v>
      </c>
      <c r="I5459" s="1" t="str">
        <f t="shared" si="1183"/>
        <v>X</v>
      </c>
      <c r="J5459" s="1" t="str">
        <f t="shared" si="1183"/>
        <v>X</v>
      </c>
      <c r="K5459" s="1" t="str">
        <f t="shared" si="1183"/>
        <v>X</v>
      </c>
      <c r="L5459" s="1" t="str">
        <f t="shared" si="1183"/>
        <v>X</v>
      </c>
      <c r="M5459" s="1" t="str">
        <f t="shared" si="1183"/>
        <v>X</v>
      </c>
      <c r="N5459" t="s">
        <v>27</v>
      </c>
    </row>
    <row r="5460" spans="1:14" x14ac:dyDescent="0.25">
      <c r="A5460" t="s">
        <v>42</v>
      </c>
      <c r="B5460" t="s">
        <v>15</v>
      </c>
      <c r="C5460" t="s">
        <v>35</v>
      </c>
      <c r="D5460" t="s">
        <v>28</v>
      </c>
      <c r="E5460" t="s">
        <v>21</v>
      </c>
      <c r="F5460" t="s">
        <v>19</v>
      </c>
      <c r="G5460" s="1" t="str">
        <f t="shared" si="1183"/>
        <v>X</v>
      </c>
      <c r="H5460" s="1" t="str">
        <f t="shared" si="1183"/>
        <v>X</v>
      </c>
      <c r="I5460" s="1" t="str">
        <f t="shared" si="1183"/>
        <v>X</v>
      </c>
      <c r="J5460" s="1" t="str">
        <f t="shared" si="1183"/>
        <v>X</v>
      </c>
      <c r="K5460" s="1" t="str">
        <f t="shared" si="1183"/>
        <v>X</v>
      </c>
      <c r="L5460" s="1" t="str">
        <f t="shared" si="1183"/>
        <v>X</v>
      </c>
      <c r="M5460" s="1" t="str">
        <f t="shared" si="1183"/>
        <v>X</v>
      </c>
      <c r="N5460" t="s">
        <v>27</v>
      </c>
    </row>
    <row r="5461" spans="1:14" x14ac:dyDescent="0.25">
      <c r="A5461" t="s">
        <v>42</v>
      </c>
      <c r="B5461" t="s">
        <v>15</v>
      </c>
      <c r="C5461" t="s">
        <v>35</v>
      </c>
      <c r="D5461" t="s">
        <v>28</v>
      </c>
      <c r="E5461" t="s">
        <v>21</v>
      </c>
      <c r="F5461" t="s">
        <v>20</v>
      </c>
      <c r="G5461" s="2">
        <f>VALUE(207.09)</f>
        <v>207.09</v>
      </c>
      <c r="H5461" s="3">
        <f>VALUE(185.64)</f>
        <v>185.64</v>
      </c>
      <c r="I5461" s="4">
        <f>VALUE(1372)</f>
        <v>1372</v>
      </c>
      <c r="J5461" s="5">
        <f>VALUE(3707)</f>
        <v>3707</v>
      </c>
      <c r="K5461" s="1">
        <f>VALUE(4010)</f>
        <v>4010</v>
      </c>
      <c r="L5461" s="7">
        <f>VALUE(4903)</f>
        <v>4903</v>
      </c>
      <c r="M5461" s="1">
        <f>VALUE(5468)</f>
        <v>5468</v>
      </c>
      <c r="N5461" t="s">
        <v>25</v>
      </c>
    </row>
    <row r="5462" spans="1:14" x14ac:dyDescent="0.25">
      <c r="A5462" t="s">
        <v>42</v>
      </c>
      <c r="B5462" t="s">
        <v>15</v>
      </c>
      <c r="C5462" t="s">
        <v>35</v>
      </c>
      <c r="D5462" t="s">
        <v>28</v>
      </c>
      <c r="E5462" t="s">
        <v>22</v>
      </c>
      <c r="F5462" t="s">
        <v>15</v>
      </c>
      <c r="G5462" s="2">
        <f>VALUE(2616.15)</f>
        <v>2616.15</v>
      </c>
      <c r="H5462" s="3">
        <f>VALUE(2501.56)</f>
        <v>2501.56</v>
      </c>
      <c r="I5462" s="4">
        <f>VALUE(2481)</f>
        <v>2481</v>
      </c>
      <c r="J5462" s="1">
        <f>VALUE(3499)</f>
        <v>3499</v>
      </c>
      <c r="K5462" s="1">
        <f>VALUE(3994)</f>
        <v>3994</v>
      </c>
      <c r="L5462" s="1">
        <f>VALUE(4462)</f>
        <v>4462</v>
      </c>
      <c r="M5462" s="1">
        <f>VALUE(5001)</f>
        <v>5001</v>
      </c>
      <c r="N5462" t="s">
        <v>25</v>
      </c>
    </row>
    <row r="5463" spans="1:14" x14ac:dyDescent="0.25">
      <c r="A5463" t="s">
        <v>42</v>
      </c>
      <c r="B5463" t="s">
        <v>15</v>
      </c>
      <c r="C5463" t="s">
        <v>35</v>
      </c>
      <c r="D5463" t="s">
        <v>28</v>
      </c>
      <c r="E5463" t="s">
        <v>22</v>
      </c>
      <c r="F5463" t="s">
        <v>17</v>
      </c>
      <c r="G5463" s="1" t="str">
        <f t="shared" ref="G5463:M5464" si="1184">"X"</f>
        <v>X</v>
      </c>
      <c r="H5463" s="1" t="str">
        <f t="shared" si="1184"/>
        <v>X</v>
      </c>
      <c r="I5463" s="1" t="str">
        <f t="shared" si="1184"/>
        <v>X</v>
      </c>
      <c r="J5463" s="1" t="str">
        <f t="shared" si="1184"/>
        <v>X</v>
      </c>
      <c r="K5463" s="1" t="str">
        <f t="shared" si="1184"/>
        <v>X</v>
      </c>
      <c r="L5463" s="1" t="str">
        <f t="shared" si="1184"/>
        <v>X</v>
      </c>
      <c r="M5463" s="1" t="str">
        <f t="shared" si="1184"/>
        <v>X</v>
      </c>
      <c r="N5463" t="s">
        <v>27</v>
      </c>
    </row>
    <row r="5464" spans="1:14" x14ac:dyDescent="0.25">
      <c r="A5464" t="s">
        <v>42</v>
      </c>
      <c r="B5464" t="s">
        <v>15</v>
      </c>
      <c r="C5464" t="s">
        <v>35</v>
      </c>
      <c r="D5464" t="s">
        <v>28</v>
      </c>
      <c r="E5464" t="s">
        <v>22</v>
      </c>
      <c r="F5464" t="s">
        <v>18</v>
      </c>
      <c r="G5464" s="1" t="str">
        <f t="shared" si="1184"/>
        <v>X</v>
      </c>
      <c r="H5464" s="1" t="str">
        <f t="shared" si="1184"/>
        <v>X</v>
      </c>
      <c r="I5464" s="1" t="str">
        <f t="shared" si="1184"/>
        <v>X</v>
      </c>
      <c r="J5464" s="1" t="str">
        <f t="shared" si="1184"/>
        <v>X</v>
      </c>
      <c r="K5464" s="1" t="str">
        <f t="shared" si="1184"/>
        <v>X</v>
      </c>
      <c r="L5464" s="1" t="str">
        <f t="shared" si="1184"/>
        <v>X</v>
      </c>
      <c r="M5464" s="1" t="str">
        <f t="shared" si="1184"/>
        <v>X</v>
      </c>
      <c r="N5464" t="s">
        <v>27</v>
      </c>
    </row>
    <row r="5465" spans="1:14" x14ac:dyDescent="0.25">
      <c r="A5465" t="s">
        <v>42</v>
      </c>
      <c r="B5465" t="s">
        <v>15</v>
      </c>
      <c r="C5465" t="s">
        <v>35</v>
      </c>
      <c r="D5465" t="s">
        <v>28</v>
      </c>
      <c r="E5465" t="s">
        <v>22</v>
      </c>
      <c r="F5465" t="s">
        <v>19</v>
      </c>
      <c r="G5465" s="2">
        <f>VALUE(275.08)</f>
        <v>275.08</v>
      </c>
      <c r="H5465" s="3">
        <f>VALUE(251.68)</f>
        <v>251.68</v>
      </c>
      <c r="I5465" s="4">
        <f>VALUE(3290)</f>
        <v>3290</v>
      </c>
      <c r="J5465" s="5">
        <f>VALUE(3507)</f>
        <v>3507</v>
      </c>
      <c r="K5465" s="1">
        <f>VALUE(3910)</f>
        <v>3910</v>
      </c>
      <c r="L5465" s="1">
        <f>VALUE(4384)</f>
        <v>4384</v>
      </c>
      <c r="M5465" s="1">
        <f>VALUE(4857)</f>
        <v>4857</v>
      </c>
      <c r="N5465" t="s">
        <v>25</v>
      </c>
    </row>
    <row r="5466" spans="1:14" x14ac:dyDescent="0.25">
      <c r="A5466" t="s">
        <v>42</v>
      </c>
      <c r="B5466" t="s">
        <v>15</v>
      </c>
      <c r="C5466" t="s">
        <v>35</v>
      </c>
      <c r="D5466" t="s">
        <v>28</v>
      </c>
      <c r="E5466" t="s">
        <v>22</v>
      </c>
      <c r="F5466" t="s">
        <v>20</v>
      </c>
      <c r="G5466" s="2">
        <f>VALUE(2128.11)</f>
        <v>2128.11</v>
      </c>
      <c r="H5466" s="3">
        <f>VALUE(2060.23)</f>
        <v>2060.23</v>
      </c>
      <c r="I5466" s="4">
        <f>VALUE(2184)</f>
        <v>2184</v>
      </c>
      <c r="J5466" s="1">
        <f>VALUE(3485)</f>
        <v>3485</v>
      </c>
      <c r="K5466" s="1">
        <f>VALUE(3994)</f>
        <v>3994</v>
      </c>
      <c r="L5466" s="1">
        <f>VALUE(4473)</f>
        <v>4473</v>
      </c>
      <c r="M5466" s="8">
        <f>VALUE(5030)</f>
        <v>5030</v>
      </c>
      <c r="N5466" t="s">
        <v>25</v>
      </c>
    </row>
    <row r="5467" spans="1:14" x14ac:dyDescent="0.25">
      <c r="A5467" t="s">
        <v>42</v>
      </c>
      <c r="B5467" t="s">
        <v>15</v>
      </c>
      <c r="C5467" t="s">
        <v>35</v>
      </c>
      <c r="D5467" t="s">
        <v>28</v>
      </c>
      <c r="E5467" t="s">
        <v>23</v>
      </c>
      <c r="F5467" t="s">
        <v>15</v>
      </c>
      <c r="G5467" s="2">
        <f>VALUE(502.95)</f>
        <v>502.95</v>
      </c>
      <c r="H5467" s="3">
        <f>VALUE(371.15)</f>
        <v>371.15</v>
      </c>
      <c r="I5467" s="4">
        <f>VALUE(1219)</f>
        <v>1219</v>
      </c>
      <c r="J5467" s="5">
        <f>VALUE(2381)</f>
        <v>2381</v>
      </c>
      <c r="K5467" s="1">
        <f>VALUE(3418)</f>
        <v>3418</v>
      </c>
      <c r="L5467" s="1">
        <f>VALUE(4059)</f>
        <v>4059</v>
      </c>
      <c r="M5467" s="8">
        <f>VALUE(4781)</f>
        <v>4781</v>
      </c>
      <c r="N5467" t="s">
        <v>25</v>
      </c>
    </row>
    <row r="5468" spans="1:14" x14ac:dyDescent="0.25">
      <c r="A5468" t="s">
        <v>42</v>
      </c>
      <c r="B5468" t="s">
        <v>15</v>
      </c>
      <c r="C5468" t="s">
        <v>35</v>
      </c>
      <c r="D5468" t="s">
        <v>28</v>
      </c>
      <c r="E5468" t="s">
        <v>23</v>
      </c>
      <c r="F5468" t="s">
        <v>17</v>
      </c>
      <c r="G5468" s="1" t="str">
        <f t="shared" ref="G5468:M5468" si="1185">"..."</f>
        <v>...</v>
      </c>
      <c r="H5468" s="1" t="str">
        <f t="shared" si="1185"/>
        <v>...</v>
      </c>
      <c r="I5468" s="1" t="str">
        <f t="shared" si="1185"/>
        <v>...</v>
      </c>
      <c r="J5468" s="1" t="str">
        <f t="shared" si="1185"/>
        <v>...</v>
      </c>
      <c r="K5468" s="1" t="str">
        <f t="shared" si="1185"/>
        <v>...</v>
      </c>
      <c r="L5468" s="1" t="str">
        <f t="shared" si="1185"/>
        <v>...</v>
      </c>
      <c r="M5468" s="1" t="str">
        <f t="shared" si="1185"/>
        <v>...</v>
      </c>
      <c r="N5468" t="s">
        <v>30</v>
      </c>
    </row>
    <row r="5469" spans="1:14" x14ac:dyDescent="0.25">
      <c r="A5469" t="s">
        <v>42</v>
      </c>
      <c r="B5469" t="s">
        <v>15</v>
      </c>
      <c r="C5469" t="s">
        <v>35</v>
      </c>
      <c r="D5469" t="s">
        <v>28</v>
      </c>
      <c r="E5469" t="s">
        <v>23</v>
      </c>
      <c r="F5469" t="s">
        <v>18</v>
      </c>
      <c r="G5469" s="1" t="str">
        <f t="shared" ref="G5469:M5470" si="1186">"X"</f>
        <v>X</v>
      </c>
      <c r="H5469" s="1" t="str">
        <f t="shared" si="1186"/>
        <v>X</v>
      </c>
      <c r="I5469" s="1" t="str">
        <f t="shared" si="1186"/>
        <v>X</v>
      </c>
      <c r="J5469" s="1" t="str">
        <f t="shared" si="1186"/>
        <v>X</v>
      </c>
      <c r="K5469" s="1" t="str">
        <f t="shared" si="1186"/>
        <v>X</v>
      </c>
      <c r="L5469" s="1" t="str">
        <f t="shared" si="1186"/>
        <v>X</v>
      </c>
      <c r="M5469" s="1" t="str">
        <f t="shared" si="1186"/>
        <v>X</v>
      </c>
      <c r="N5469" t="s">
        <v>27</v>
      </c>
    </row>
    <row r="5470" spans="1:14" x14ac:dyDescent="0.25">
      <c r="A5470" t="s">
        <v>42</v>
      </c>
      <c r="B5470" t="s">
        <v>15</v>
      </c>
      <c r="C5470" t="s">
        <v>35</v>
      </c>
      <c r="D5470" t="s">
        <v>28</v>
      </c>
      <c r="E5470" t="s">
        <v>23</v>
      </c>
      <c r="F5470" t="s">
        <v>19</v>
      </c>
      <c r="G5470" s="1" t="str">
        <f t="shared" si="1186"/>
        <v>X</v>
      </c>
      <c r="H5470" s="1" t="str">
        <f t="shared" si="1186"/>
        <v>X</v>
      </c>
      <c r="I5470" s="1" t="str">
        <f t="shared" si="1186"/>
        <v>X</v>
      </c>
      <c r="J5470" s="1" t="str">
        <f t="shared" si="1186"/>
        <v>X</v>
      </c>
      <c r="K5470" s="1" t="str">
        <f t="shared" si="1186"/>
        <v>X</v>
      </c>
      <c r="L5470" s="1" t="str">
        <f t="shared" si="1186"/>
        <v>X</v>
      </c>
      <c r="M5470" s="1" t="str">
        <f t="shared" si="1186"/>
        <v>X</v>
      </c>
      <c r="N5470" t="s">
        <v>27</v>
      </c>
    </row>
    <row r="5471" spans="1:14" x14ac:dyDescent="0.25">
      <c r="A5471" t="s">
        <v>42</v>
      </c>
      <c r="B5471" t="s">
        <v>15</v>
      </c>
      <c r="C5471" t="s">
        <v>35</v>
      </c>
      <c r="D5471" t="s">
        <v>28</v>
      </c>
      <c r="E5471" t="s">
        <v>23</v>
      </c>
      <c r="F5471" t="s">
        <v>20</v>
      </c>
      <c r="G5471" s="2">
        <f>VALUE(462.68)</f>
        <v>462.68</v>
      </c>
      <c r="H5471" s="3">
        <f>VALUE(332.29)</f>
        <v>332.29</v>
      </c>
      <c r="I5471" s="4">
        <f>VALUE(1183)</f>
        <v>1183</v>
      </c>
      <c r="J5471" s="5">
        <f>VALUE(2375)</f>
        <v>2375</v>
      </c>
      <c r="K5471" s="1">
        <f>VALUE(3371)</f>
        <v>3371</v>
      </c>
      <c r="L5471" s="1">
        <f>VALUE(4062)</f>
        <v>4062</v>
      </c>
      <c r="M5471" s="8">
        <f>VALUE(4829)</f>
        <v>4829</v>
      </c>
      <c r="N5471" t="s">
        <v>25</v>
      </c>
    </row>
    <row r="5472" spans="1:14" x14ac:dyDescent="0.25">
      <c r="A5472" t="s">
        <v>42</v>
      </c>
      <c r="B5472" t="s">
        <v>15</v>
      </c>
      <c r="C5472" t="s">
        <v>35</v>
      </c>
      <c r="D5472" t="s">
        <v>28</v>
      </c>
      <c r="E5472" t="s">
        <v>26</v>
      </c>
      <c r="F5472" t="s">
        <v>15</v>
      </c>
      <c r="G5472" s="1" t="str">
        <f t="shared" ref="G5472:M5472" si="1187">"X"</f>
        <v>X</v>
      </c>
      <c r="H5472" s="1" t="str">
        <f t="shared" si="1187"/>
        <v>X</v>
      </c>
      <c r="I5472" s="1" t="str">
        <f t="shared" si="1187"/>
        <v>X</v>
      </c>
      <c r="J5472" s="1" t="str">
        <f t="shared" si="1187"/>
        <v>X</v>
      </c>
      <c r="K5472" s="1" t="str">
        <f t="shared" si="1187"/>
        <v>X</v>
      </c>
      <c r="L5472" s="1" t="str">
        <f t="shared" si="1187"/>
        <v>X</v>
      </c>
      <c r="M5472" s="1" t="str">
        <f t="shared" si="1187"/>
        <v>X</v>
      </c>
      <c r="N5472" t="s">
        <v>27</v>
      </c>
    </row>
    <row r="5473" spans="1:14" x14ac:dyDescent="0.25">
      <c r="A5473" t="s">
        <v>42</v>
      </c>
      <c r="B5473" t="s">
        <v>15</v>
      </c>
      <c r="C5473" t="s">
        <v>35</v>
      </c>
      <c r="D5473" t="s">
        <v>28</v>
      </c>
      <c r="E5473" t="s">
        <v>26</v>
      </c>
      <c r="F5473" t="s">
        <v>17</v>
      </c>
      <c r="G5473" s="1" t="str">
        <f t="shared" ref="G5473:M5475" si="1188">"..."</f>
        <v>...</v>
      </c>
      <c r="H5473" s="1" t="str">
        <f t="shared" si="1188"/>
        <v>...</v>
      </c>
      <c r="I5473" s="1" t="str">
        <f t="shared" si="1188"/>
        <v>...</v>
      </c>
      <c r="J5473" s="1" t="str">
        <f t="shared" si="1188"/>
        <v>...</v>
      </c>
      <c r="K5473" s="1" t="str">
        <f t="shared" si="1188"/>
        <v>...</v>
      </c>
      <c r="L5473" s="1" t="str">
        <f t="shared" si="1188"/>
        <v>...</v>
      </c>
      <c r="M5473" s="1" t="str">
        <f t="shared" si="1188"/>
        <v>...</v>
      </c>
      <c r="N5473" t="s">
        <v>30</v>
      </c>
    </row>
    <row r="5474" spans="1:14" x14ac:dyDescent="0.25">
      <c r="A5474" t="s">
        <v>42</v>
      </c>
      <c r="B5474" t="s">
        <v>15</v>
      </c>
      <c r="C5474" t="s">
        <v>35</v>
      </c>
      <c r="D5474" t="s">
        <v>28</v>
      </c>
      <c r="E5474" t="s">
        <v>26</v>
      </c>
      <c r="F5474" t="s">
        <v>18</v>
      </c>
      <c r="G5474" s="1" t="str">
        <f t="shared" si="1188"/>
        <v>...</v>
      </c>
      <c r="H5474" s="1" t="str">
        <f t="shared" si="1188"/>
        <v>...</v>
      </c>
      <c r="I5474" s="1" t="str">
        <f t="shared" si="1188"/>
        <v>...</v>
      </c>
      <c r="J5474" s="1" t="str">
        <f t="shared" si="1188"/>
        <v>...</v>
      </c>
      <c r="K5474" s="1" t="str">
        <f t="shared" si="1188"/>
        <v>...</v>
      </c>
      <c r="L5474" s="1" t="str">
        <f t="shared" si="1188"/>
        <v>...</v>
      </c>
      <c r="M5474" s="1" t="str">
        <f t="shared" si="1188"/>
        <v>...</v>
      </c>
      <c r="N5474" t="s">
        <v>30</v>
      </c>
    </row>
    <row r="5475" spans="1:14" x14ac:dyDescent="0.25">
      <c r="A5475" t="s">
        <v>42</v>
      </c>
      <c r="B5475" t="s">
        <v>15</v>
      </c>
      <c r="C5475" t="s">
        <v>35</v>
      </c>
      <c r="D5475" t="s">
        <v>28</v>
      </c>
      <c r="E5475" t="s">
        <v>26</v>
      </c>
      <c r="F5475" t="s">
        <v>19</v>
      </c>
      <c r="G5475" s="1" t="str">
        <f t="shared" si="1188"/>
        <v>...</v>
      </c>
      <c r="H5475" s="1" t="str">
        <f t="shared" si="1188"/>
        <v>...</v>
      </c>
      <c r="I5475" s="1" t="str">
        <f t="shared" si="1188"/>
        <v>...</v>
      </c>
      <c r="J5475" s="1" t="str">
        <f t="shared" si="1188"/>
        <v>...</v>
      </c>
      <c r="K5475" s="1" t="str">
        <f t="shared" si="1188"/>
        <v>...</v>
      </c>
      <c r="L5475" s="1" t="str">
        <f t="shared" si="1188"/>
        <v>...</v>
      </c>
      <c r="M5475" s="1" t="str">
        <f t="shared" si="1188"/>
        <v>...</v>
      </c>
      <c r="N5475" t="s">
        <v>30</v>
      </c>
    </row>
    <row r="5476" spans="1:14" x14ac:dyDescent="0.25">
      <c r="A5476" t="s">
        <v>42</v>
      </c>
      <c r="B5476" t="s">
        <v>15</v>
      </c>
      <c r="C5476" t="s">
        <v>35</v>
      </c>
      <c r="D5476" t="s">
        <v>28</v>
      </c>
      <c r="E5476" t="s">
        <v>26</v>
      </c>
      <c r="F5476" t="s">
        <v>20</v>
      </c>
      <c r="G5476" s="1" t="str">
        <f t="shared" ref="G5476:M5476" si="1189">"X"</f>
        <v>X</v>
      </c>
      <c r="H5476" s="1" t="str">
        <f t="shared" si="1189"/>
        <v>X</v>
      </c>
      <c r="I5476" s="1" t="str">
        <f t="shared" si="1189"/>
        <v>X</v>
      </c>
      <c r="J5476" s="1" t="str">
        <f t="shared" si="1189"/>
        <v>X</v>
      </c>
      <c r="K5476" s="1" t="str">
        <f t="shared" si="1189"/>
        <v>X</v>
      </c>
      <c r="L5476" s="1" t="str">
        <f t="shared" si="1189"/>
        <v>X</v>
      </c>
      <c r="M5476" s="1" t="str">
        <f t="shared" si="1189"/>
        <v>X</v>
      </c>
      <c r="N5476" t="s">
        <v>27</v>
      </c>
    </row>
    <row r="5477" spans="1:14" x14ac:dyDescent="0.25">
      <c r="A5477" t="s">
        <v>42</v>
      </c>
      <c r="B5477" t="s">
        <v>15</v>
      </c>
      <c r="C5477" t="s">
        <v>35</v>
      </c>
      <c r="D5477" t="s">
        <v>29</v>
      </c>
      <c r="E5477" t="s">
        <v>15</v>
      </c>
      <c r="F5477" t="s">
        <v>15</v>
      </c>
      <c r="G5477" s="2">
        <f>VALUE(539.83)</f>
        <v>539.83000000000004</v>
      </c>
      <c r="H5477" s="3">
        <f>VALUE(508.69)</f>
        <v>508.69</v>
      </c>
      <c r="I5477" s="4">
        <f>VALUE(2857)</f>
        <v>2857</v>
      </c>
      <c r="J5477" s="1">
        <f>VALUE(3370)</f>
        <v>3370</v>
      </c>
      <c r="K5477" s="1">
        <f>VALUE(3832)</f>
        <v>3832</v>
      </c>
      <c r="L5477" s="7">
        <f>VALUE(4538)</f>
        <v>4538</v>
      </c>
      <c r="M5477" s="8">
        <f>VALUE(5956)</f>
        <v>5956</v>
      </c>
      <c r="N5477" t="s">
        <v>25</v>
      </c>
    </row>
    <row r="5478" spans="1:14" x14ac:dyDescent="0.25">
      <c r="A5478" t="s">
        <v>42</v>
      </c>
      <c r="B5478" t="s">
        <v>15</v>
      </c>
      <c r="C5478" t="s">
        <v>35</v>
      </c>
      <c r="D5478" t="s">
        <v>29</v>
      </c>
      <c r="E5478" t="s">
        <v>15</v>
      </c>
      <c r="F5478" t="s">
        <v>17</v>
      </c>
      <c r="G5478" s="1" t="str">
        <f t="shared" ref="G5478:M5480" si="1190">"X"</f>
        <v>X</v>
      </c>
      <c r="H5478" s="1" t="str">
        <f t="shared" si="1190"/>
        <v>X</v>
      </c>
      <c r="I5478" s="1" t="str">
        <f t="shared" si="1190"/>
        <v>X</v>
      </c>
      <c r="J5478" s="1" t="str">
        <f t="shared" si="1190"/>
        <v>X</v>
      </c>
      <c r="K5478" s="1" t="str">
        <f t="shared" si="1190"/>
        <v>X</v>
      </c>
      <c r="L5478" s="1" t="str">
        <f t="shared" si="1190"/>
        <v>X</v>
      </c>
      <c r="M5478" s="1" t="str">
        <f t="shared" si="1190"/>
        <v>X</v>
      </c>
      <c r="N5478" t="s">
        <v>27</v>
      </c>
    </row>
    <row r="5479" spans="1:14" x14ac:dyDescent="0.25">
      <c r="A5479" t="s">
        <v>42</v>
      </c>
      <c r="B5479" t="s">
        <v>15</v>
      </c>
      <c r="C5479" t="s">
        <v>35</v>
      </c>
      <c r="D5479" t="s">
        <v>29</v>
      </c>
      <c r="E5479" t="s">
        <v>15</v>
      </c>
      <c r="F5479" t="s">
        <v>18</v>
      </c>
      <c r="G5479" s="1" t="str">
        <f t="shared" si="1190"/>
        <v>X</v>
      </c>
      <c r="H5479" s="1" t="str">
        <f t="shared" si="1190"/>
        <v>X</v>
      </c>
      <c r="I5479" s="1" t="str">
        <f t="shared" si="1190"/>
        <v>X</v>
      </c>
      <c r="J5479" s="1" t="str">
        <f t="shared" si="1190"/>
        <v>X</v>
      </c>
      <c r="K5479" s="1" t="str">
        <f t="shared" si="1190"/>
        <v>X</v>
      </c>
      <c r="L5479" s="1" t="str">
        <f t="shared" si="1190"/>
        <v>X</v>
      </c>
      <c r="M5479" s="1" t="str">
        <f t="shared" si="1190"/>
        <v>X</v>
      </c>
      <c r="N5479" t="s">
        <v>27</v>
      </c>
    </row>
    <row r="5480" spans="1:14" x14ac:dyDescent="0.25">
      <c r="A5480" t="s">
        <v>42</v>
      </c>
      <c r="B5480" t="s">
        <v>15</v>
      </c>
      <c r="C5480" t="s">
        <v>35</v>
      </c>
      <c r="D5480" t="s">
        <v>29</v>
      </c>
      <c r="E5480" t="s">
        <v>15</v>
      </c>
      <c r="F5480" t="s">
        <v>19</v>
      </c>
      <c r="G5480" s="1" t="str">
        <f t="shared" si="1190"/>
        <v>X</v>
      </c>
      <c r="H5480" s="1" t="str">
        <f t="shared" si="1190"/>
        <v>X</v>
      </c>
      <c r="I5480" s="1" t="str">
        <f t="shared" si="1190"/>
        <v>X</v>
      </c>
      <c r="J5480" s="1" t="str">
        <f t="shared" si="1190"/>
        <v>X</v>
      </c>
      <c r="K5480" s="1" t="str">
        <f t="shared" si="1190"/>
        <v>X</v>
      </c>
      <c r="L5480" s="1" t="str">
        <f t="shared" si="1190"/>
        <v>X</v>
      </c>
      <c r="M5480" s="1" t="str">
        <f t="shared" si="1190"/>
        <v>X</v>
      </c>
      <c r="N5480" t="s">
        <v>27</v>
      </c>
    </row>
    <row r="5481" spans="1:14" x14ac:dyDescent="0.25">
      <c r="A5481" t="s">
        <v>42</v>
      </c>
      <c r="B5481" t="s">
        <v>15</v>
      </c>
      <c r="C5481" t="s">
        <v>35</v>
      </c>
      <c r="D5481" t="s">
        <v>29</v>
      </c>
      <c r="E5481" t="s">
        <v>15</v>
      </c>
      <c r="F5481" t="s">
        <v>20</v>
      </c>
      <c r="G5481" s="2">
        <f>VALUE(413.65)</f>
        <v>413.65</v>
      </c>
      <c r="H5481" s="3">
        <f>VALUE(389.99)</f>
        <v>389.99</v>
      </c>
      <c r="I5481" s="4">
        <f>VALUE(2659)</f>
        <v>2659</v>
      </c>
      <c r="J5481" s="5">
        <f>VALUE(3393)</f>
        <v>3393</v>
      </c>
      <c r="K5481" s="1">
        <f>VALUE(3831)</f>
        <v>3831</v>
      </c>
      <c r="L5481" s="1">
        <f>VALUE(4463)</f>
        <v>4463</v>
      </c>
      <c r="M5481" s="8">
        <f>VALUE(5338)</f>
        <v>5338</v>
      </c>
      <c r="N5481" t="s">
        <v>25</v>
      </c>
    </row>
    <row r="5482" spans="1:14" x14ac:dyDescent="0.25">
      <c r="A5482" t="s">
        <v>42</v>
      </c>
      <c r="B5482" t="s">
        <v>15</v>
      </c>
      <c r="C5482" t="s">
        <v>35</v>
      </c>
      <c r="D5482" t="s">
        <v>29</v>
      </c>
      <c r="E5482" t="s">
        <v>21</v>
      </c>
      <c r="F5482" t="s">
        <v>15</v>
      </c>
      <c r="G5482" s="1" t="str">
        <f t="shared" ref="G5482:M5483" si="1191">"X"</f>
        <v>X</v>
      </c>
      <c r="H5482" s="1" t="str">
        <f t="shared" si="1191"/>
        <v>X</v>
      </c>
      <c r="I5482" s="1" t="str">
        <f t="shared" si="1191"/>
        <v>X</v>
      </c>
      <c r="J5482" s="1" t="str">
        <f t="shared" si="1191"/>
        <v>X</v>
      </c>
      <c r="K5482" s="1" t="str">
        <f t="shared" si="1191"/>
        <v>X</v>
      </c>
      <c r="L5482" s="1" t="str">
        <f t="shared" si="1191"/>
        <v>X</v>
      </c>
      <c r="M5482" s="1" t="str">
        <f t="shared" si="1191"/>
        <v>X</v>
      </c>
      <c r="N5482" t="s">
        <v>27</v>
      </c>
    </row>
    <row r="5483" spans="1:14" x14ac:dyDescent="0.25">
      <c r="A5483" t="s">
        <v>42</v>
      </c>
      <c r="B5483" t="s">
        <v>15</v>
      </c>
      <c r="C5483" t="s">
        <v>35</v>
      </c>
      <c r="D5483" t="s">
        <v>29</v>
      </c>
      <c r="E5483" t="s">
        <v>21</v>
      </c>
      <c r="F5483" t="s">
        <v>17</v>
      </c>
      <c r="G5483" s="1" t="str">
        <f t="shared" si="1191"/>
        <v>X</v>
      </c>
      <c r="H5483" s="1" t="str">
        <f t="shared" si="1191"/>
        <v>X</v>
      </c>
      <c r="I5483" s="1" t="str">
        <f t="shared" si="1191"/>
        <v>X</v>
      </c>
      <c r="J5483" s="1" t="str">
        <f t="shared" si="1191"/>
        <v>X</v>
      </c>
      <c r="K5483" s="1" t="str">
        <f t="shared" si="1191"/>
        <v>X</v>
      </c>
      <c r="L5483" s="1" t="str">
        <f t="shared" si="1191"/>
        <v>X</v>
      </c>
      <c r="M5483" s="1" t="str">
        <f t="shared" si="1191"/>
        <v>X</v>
      </c>
      <c r="N5483" t="s">
        <v>27</v>
      </c>
    </row>
    <row r="5484" spans="1:14" x14ac:dyDescent="0.25">
      <c r="A5484" t="s">
        <v>42</v>
      </c>
      <c r="B5484" t="s">
        <v>15</v>
      </c>
      <c r="C5484" t="s">
        <v>35</v>
      </c>
      <c r="D5484" t="s">
        <v>29</v>
      </c>
      <c r="E5484" t="s">
        <v>21</v>
      </c>
      <c r="F5484" t="s">
        <v>18</v>
      </c>
      <c r="G5484" s="1" t="str">
        <f t="shared" ref="G5484:M5484" si="1192">"..."</f>
        <v>...</v>
      </c>
      <c r="H5484" s="1" t="str">
        <f t="shared" si="1192"/>
        <v>...</v>
      </c>
      <c r="I5484" s="1" t="str">
        <f t="shared" si="1192"/>
        <v>...</v>
      </c>
      <c r="J5484" s="1" t="str">
        <f t="shared" si="1192"/>
        <v>...</v>
      </c>
      <c r="K5484" s="1" t="str">
        <f t="shared" si="1192"/>
        <v>...</v>
      </c>
      <c r="L5484" s="1" t="str">
        <f t="shared" si="1192"/>
        <v>...</v>
      </c>
      <c r="M5484" s="1" t="str">
        <f t="shared" si="1192"/>
        <v>...</v>
      </c>
      <c r="N5484" t="s">
        <v>30</v>
      </c>
    </row>
    <row r="5485" spans="1:14" x14ac:dyDescent="0.25">
      <c r="A5485" t="s">
        <v>42</v>
      </c>
      <c r="B5485" t="s">
        <v>15</v>
      </c>
      <c r="C5485" t="s">
        <v>35</v>
      </c>
      <c r="D5485" t="s">
        <v>29</v>
      </c>
      <c r="E5485" t="s">
        <v>21</v>
      </c>
      <c r="F5485" t="s">
        <v>19</v>
      </c>
      <c r="G5485" s="1" t="str">
        <f t="shared" ref="G5485:M5486" si="1193">"X"</f>
        <v>X</v>
      </c>
      <c r="H5485" s="1" t="str">
        <f t="shared" si="1193"/>
        <v>X</v>
      </c>
      <c r="I5485" s="1" t="str">
        <f t="shared" si="1193"/>
        <v>X</v>
      </c>
      <c r="J5485" s="1" t="str">
        <f t="shared" si="1193"/>
        <v>X</v>
      </c>
      <c r="K5485" s="1" t="str">
        <f t="shared" si="1193"/>
        <v>X</v>
      </c>
      <c r="L5485" s="1" t="str">
        <f t="shared" si="1193"/>
        <v>X</v>
      </c>
      <c r="M5485" s="1" t="str">
        <f t="shared" si="1193"/>
        <v>X</v>
      </c>
      <c r="N5485" t="s">
        <v>27</v>
      </c>
    </row>
    <row r="5486" spans="1:14" x14ac:dyDescent="0.25">
      <c r="A5486" t="s">
        <v>42</v>
      </c>
      <c r="B5486" t="s">
        <v>15</v>
      </c>
      <c r="C5486" t="s">
        <v>35</v>
      </c>
      <c r="D5486" t="s">
        <v>29</v>
      </c>
      <c r="E5486" t="s">
        <v>21</v>
      </c>
      <c r="F5486" t="s">
        <v>20</v>
      </c>
      <c r="G5486" s="1" t="str">
        <f t="shared" si="1193"/>
        <v>X</v>
      </c>
      <c r="H5486" s="1" t="str">
        <f t="shared" si="1193"/>
        <v>X</v>
      </c>
      <c r="I5486" s="1" t="str">
        <f t="shared" si="1193"/>
        <v>X</v>
      </c>
      <c r="J5486" s="1" t="str">
        <f t="shared" si="1193"/>
        <v>X</v>
      </c>
      <c r="K5486" s="1" t="str">
        <f t="shared" si="1193"/>
        <v>X</v>
      </c>
      <c r="L5486" s="1" t="str">
        <f t="shared" si="1193"/>
        <v>X</v>
      </c>
      <c r="M5486" s="1" t="str">
        <f t="shared" si="1193"/>
        <v>X</v>
      </c>
      <c r="N5486" t="s">
        <v>27</v>
      </c>
    </row>
    <row r="5487" spans="1:14" x14ac:dyDescent="0.25">
      <c r="A5487" t="s">
        <v>42</v>
      </c>
      <c r="B5487" t="s">
        <v>15</v>
      </c>
      <c r="C5487" t="s">
        <v>35</v>
      </c>
      <c r="D5487" t="s">
        <v>29</v>
      </c>
      <c r="E5487" t="s">
        <v>22</v>
      </c>
      <c r="F5487" t="s">
        <v>15</v>
      </c>
      <c r="G5487" s="2">
        <f>VALUE(366.38)</f>
        <v>366.38</v>
      </c>
      <c r="H5487" s="3">
        <f>VALUE(359.82)</f>
        <v>359.82</v>
      </c>
      <c r="I5487" s="4">
        <f>VALUE(3040)</f>
        <v>3040</v>
      </c>
      <c r="J5487" s="5">
        <f>VALUE(3520)</f>
        <v>3520</v>
      </c>
      <c r="K5487" s="1">
        <f>VALUE(3983)</f>
        <v>3983</v>
      </c>
      <c r="L5487" s="1">
        <f>VALUE(4689)</f>
        <v>4689</v>
      </c>
      <c r="M5487" s="8">
        <f>VALUE(6071)</f>
        <v>6071</v>
      </c>
      <c r="N5487" t="s">
        <v>25</v>
      </c>
    </row>
    <row r="5488" spans="1:14" x14ac:dyDescent="0.25">
      <c r="A5488" t="s">
        <v>42</v>
      </c>
      <c r="B5488" t="s">
        <v>15</v>
      </c>
      <c r="C5488" t="s">
        <v>35</v>
      </c>
      <c r="D5488" t="s">
        <v>29</v>
      </c>
      <c r="E5488" t="s">
        <v>22</v>
      </c>
      <c r="F5488" t="s">
        <v>17</v>
      </c>
      <c r="G5488" s="1" t="str">
        <f t="shared" ref="G5488:M5490" si="1194">"X"</f>
        <v>X</v>
      </c>
      <c r="H5488" s="1" t="str">
        <f t="shared" si="1194"/>
        <v>X</v>
      </c>
      <c r="I5488" s="1" t="str">
        <f t="shared" si="1194"/>
        <v>X</v>
      </c>
      <c r="J5488" s="1" t="str">
        <f t="shared" si="1194"/>
        <v>X</v>
      </c>
      <c r="K5488" s="1" t="str">
        <f t="shared" si="1194"/>
        <v>X</v>
      </c>
      <c r="L5488" s="1" t="str">
        <f t="shared" si="1194"/>
        <v>X</v>
      </c>
      <c r="M5488" s="1" t="str">
        <f t="shared" si="1194"/>
        <v>X</v>
      </c>
      <c r="N5488" t="s">
        <v>27</v>
      </c>
    </row>
    <row r="5489" spans="1:14" x14ac:dyDescent="0.25">
      <c r="A5489" t="s">
        <v>42</v>
      </c>
      <c r="B5489" t="s">
        <v>15</v>
      </c>
      <c r="C5489" t="s">
        <v>35</v>
      </c>
      <c r="D5489" t="s">
        <v>29</v>
      </c>
      <c r="E5489" t="s">
        <v>22</v>
      </c>
      <c r="F5489" t="s">
        <v>18</v>
      </c>
      <c r="G5489" s="1" t="str">
        <f t="shared" si="1194"/>
        <v>X</v>
      </c>
      <c r="H5489" s="1" t="str">
        <f t="shared" si="1194"/>
        <v>X</v>
      </c>
      <c r="I5489" s="1" t="str">
        <f t="shared" si="1194"/>
        <v>X</v>
      </c>
      <c r="J5489" s="1" t="str">
        <f t="shared" si="1194"/>
        <v>X</v>
      </c>
      <c r="K5489" s="1" t="str">
        <f t="shared" si="1194"/>
        <v>X</v>
      </c>
      <c r="L5489" s="1" t="str">
        <f t="shared" si="1194"/>
        <v>X</v>
      </c>
      <c r="M5489" s="1" t="str">
        <f t="shared" si="1194"/>
        <v>X</v>
      </c>
      <c r="N5489" t="s">
        <v>27</v>
      </c>
    </row>
    <row r="5490" spans="1:14" x14ac:dyDescent="0.25">
      <c r="A5490" t="s">
        <v>42</v>
      </c>
      <c r="B5490" t="s">
        <v>15</v>
      </c>
      <c r="C5490" t="s">
        <v>35</v>
      </c>
      <c r="D5490" t="s">
        <v>29</v>
      </c>
      <c r="E5490" t="s">
        <v>22</v>
      </c>
      <c r="F5490" t="s">
        <v>19</v>
      </c>
      <c r="G5490" s="1" t="str">
        <f t="shared" si="1194"/>
        <v>X</v>
      </c>
      <c r="H5490" s="1" t="str">
        <f t="shared" si="1194"/>
        <v>X</v>
      </c>
      <c r="I5490" s="1" t="str">
        <f t="shared" si="1194"/>
        <v>X</v>
      </c>
      <c r="J5490" s="1" t="str">
        <f t="shared" si="1194"/>
        <v>X</v>
      </c>
      <c r="K5490" s="1" t="str">
        <f t="shared" si="1194"/>
        <v>X</v>
      </c>
      <c r="L5490" s="1" t="str">
        <f t="shared" si="1194"/>
        <v>X</v>
      </c>
      <c r="M5490" s="1" t="str">
        <f t="shared" si="1194"/>
        <v>X</v>
      </c>
      <c r="N5490" t="s">
        <v>27</v>
      </c>
    </row>
    <row r="5491" spans="1:14" x14ac:dyDescent="0.25">
      <c r="A5491" t="s">
        <v>42</v>
      </c>
      <c r="B5491" t="s">
        <v>15</v>
      </c>
      <c r="C5491" t="s">
        <v>35</v>
      </c>
      <c r="D5491" t="s">
        <v>29</v>
      </c>
      <c r="E5491" t="s">
        <v>22</v>
      </c>
      <c r="F5491" t="s">
        <v>20</v>
      </c>
      <c r="G5491" s="2">
        <f>VALUE(277.34)</f>
        <v>277.33999999999997</v>
      </c>
      <c r="H5491" s="3">
        <f>VALUE(272.27)</f>
        <v>272.27</v>
      </c>
      <c r="I5491" s="4">
        <f>VALUE(2969)</f>
        <v>2969</v>
      </c>
      <c r="J5491" s="5">
        <f>VALUE(3381)</f>
        <v>3381</v>
      </c>
      <c r="K5491" s="1">
        <f>VALUE(3831)</f>
        <v>3831</v>
      </c>
      <c r="L5491" s="1">
        <f>VALUE(4482)</f>
        <v>4482</v>
      </c>
      <c r="M5491" s="1">
        <f>VALUE(4992)</f>
        <v>4992</v>
      </c>
      <c r="N5491" t="s">
        <v>25</v>
      </c>
    </row>
    <row r="5492" spans="1:14" x14ac:dyDescent="0.25">
      <c r="A5492" t="s">
        <v>42</v>
      </c>
      <c r="B5492" t="s">
        <v>15</v>
      </c>
      <c r="C5492" t="s">
        <v>35</v>
      </c>
      <c r="D5492" t="s">
        <v>29</v>
      </c>
      <c r="E5492" t="s">
        <v>23</v>
      </c>
      <c r="F5492" t="s">
        <v>15</v>
      </c>
      <c r="G5492" s="1" t="str">
        <f t="shared" ref="G5492:M5497" si="1195">"X"</f>
        <v>X</v>
      </c>
      <c r="H5492" s="1" t="str">
        <f t="shared" si="1195"/>
        <v>X</v>
      </c>
      <c r="I5492" s="1" t="str">
        <f t="shared" si="1195"/>
        <v>X</v>
      </c>
      <c r="J5492" s="1" t="str">
        <f t="shared" si="1195"/>
        <v>X</v>
      </c>
      <c r="K5492" s="1" t="str">
        <f t="shared" si="1195"/>
        <v>X</v>
      </c>
      <c r="L5492" s="1" t="str">
        <f t="shared" si="1195"/>
        <v>X</v>
      </c>
      <c r="M5492" s="1" t="str">
        <f t="shared" si="1195"/>
        <v>X</v>
      </c>
      <c r="N5492" t="s">
        <v>27</v>
      </c>
    </row>
    <row r="5493" spans="1:14" x14ac:dyDescent="0.25">
      <c r="A5493" t="s">
        <v>42</v>
      </c>
      <c r="B5493" t="s">
        <v>15</v>
      </c>
      <c r="C5493" t="s">
        <v>35</v>
      </c>
      <c r="D5493" t="s">
        <v>29</v>
      </c>
      <c r="E5493" t="s">
        <v>23</v>
      </c>
      <c r="F5493" t="s">
        <v>17</v>
      </c>
      <c r="G5493" s="1" t="str">
        <f t="shared" si="1195"/>
        <v>X</v>
      </c>
      <c r="H5493" s="1" t="str">
        <f t="shared" si="1195"/>
        <v>X</v>
      </c>
      <c r="I5493" s="1" t="str">
        <f t="shared" si="1195"/>
        <v>X</v>
      </c>
      <c r="J5493" s="1" t="str">
        <f t="shared" si="1195"/>
        <v>X</v>
      </c>
      <c r="K5493" s="1" t="str">
        <f t="shared" si="1195"/>
        <v>X</v>
      </c>
      <c r="L5493" s="1" t="str">
        <f t="shared" si="1195"/>
        <v>X</v>
      </c>
      <c r="M5493" s="1" t="str">
        <f t="shared" si="1195"/>
        <v>X</v>
      </c>
      <c r="N5493" t="s">
        <v>27</v>
      </c>
    </row>
    <row r="5494" spans="1:14" x14ac:dyDescent="0.25">
      <c r="A5494" t="s">
        <v>42</v>
      </c>
      <c r="B5494" t="s">
        <v>15</v>
      </c>
      <c r="C5494" t="s">
        <v>35</v>
      </c>
      <c r="D5494" t="s">
        <v>29</v>
      </c>
      <c r="E5494" t="s">
        <v>23</v>
      </c>
      <c r="F5494" t="s">
        <v>18</v>
      </c>
      <c r="G5494" s="1" t="str">
        <f t="shared" si="1195"/>
        <v>X</v>
      </c>
      <c r="H5494" s="1" t="str">
        <f t="shared" si="1195"/>
        <v>X</v>
      </c>
      <c r="I5494" s="1" t="str">
        <f t="shared" si="1195"/>
        <v>X</v>
      </c>
      <c r="J5494" s="1" t="str">
        <f t="shared" si="1195"/>
        <v>X</v>
      </c>
      <c r="K5494" s="1" t="str">
        <f t="shared" si="1195"/>
        <v>X</v>
      </c>
      <c r="L5494" s="1" t="str">
        <f t="shared" si="1195"/>
        <v>X</v>
      </c>
      <c r="M5494" s="1" t="str">
        <f t="shared" si="1195"/>
        <v>X</v>
      </c>
      <c r="N5494" t="s">
        <v>27</v>
      </c>
    </row>
    <row r="5495" spans="1:14" x14ac:dyDescent="0.25">
      <c r="A5495" t="s">
        <v>42</v>
      </c>
      <c r="B5495" t="s">
        <v>15</v>
      </c>
      <c r="C5495" t="s">
        <v>35</v>
      </c>
      <c r="D5495" t="s">
        <v>29</v>
      </c>
      <c r="E5495" t="s">
        <v>23</v>
      </c>
      <c r="F5495" t="s">
        <v>19</v>
      </c>
      <c r="G5495" s="1" t="str">
        <f t="shared" si="1195"/>
        <v>X</v>
      </c>
      <c r="H5495" s="1" t="str">
        <f t="shared" si="1195"/>
        <v>X</v>
      </c>
      <c r="I5495" s="1" t="str">
        <f t="shared" si="1195"/>
        <v>X</v>
      </c>
      <c r="J5495" s="1" t="str">
        <f t="shared" si="1195"/>
        <v>X</v>
      </c>
      <c r="K5495" s="1" t="str">
        <f t="shared" si="1195"/>
        <v>X</v>
      </c>
      <c r="L5495" s="1" t="str">
        <f t="shared" si="1195"/>
        <v>X</v>
      </c>
      <c r="M5495" s="1" t="str">
        <f t="shared" si="1195"/>
        <v>X</v>
      </c>
      <c r="N5495" t="s">
        <v>27</v>
      </c>
    </row>
    <row r="5496" spans="1:14" x14ac:dyDescent="0.25">
      <c r="A5496" t="s">
        <v>42</v>
      </c>
      <c r="B5496" t="s">
        <v>15</v>
      </c>
      <c r="C5496" t="s">
        <v>35</v>
      </c>
      <c r="D5496" t="s">
        <v>29</v>
      </c>
      <c r="E5496" t="s">
        <v>23</v>
      </c>
      <c r="F5496" t="s">
        <v>20</v>
      </c>
      <c r="G5496" s="1" t="str">
        <f t="shared" si="1195"/>
        <v>X</v>
      </c>
      <c r="H5496" s="1" t="str">
        <f t="shared" si="1195"/>
        <v>X</v>
      </c>
      <c r="I5496" s="1" t="str">
        <f t="shared" si="1195"/>
        <v>X</v>
      </c>
      <c r="J5496" s="1" t="str">
        <f t="shared" si="1195"/>
        <v>X</v>
      </c>
      <c r="K5496" s="1" t="str">
        <f t="shared" si="1195"/>
        <v>X</v>
      </c>
      <c r="L5496" s="1" t="str">
        <f t="shared" si="1195"/>
        <v>X</v>
      </c>
      <c r="M5496" s="1" t="str">
        <f t="shared" si="1195"/>
        <v>X</v>
      </c>
      <c r="N5496" t="s">
        <v>27</v>
      </c>
    </row>
    <row r="5497" spans="1:14" x14ac:dyDescent="0.25">
      <c r="A5497" t="s">
        <v>42</v>
      </c>
      <c r="B5497" t="s">
        <v>15</v>
      </c>
      <c r="C5497" t="s">
        <v>35</v>
      </c>
      <c r="D5497" t="s">
        <v>29</v>
      </c>
      <c r="E5497" t="s">
        <v>26</v>
      </c>
      <c r="F5497" t="s">
        <v>15</v>
      </c>
      <c r="G5497" s="1" t="str">
        <f t="shared" si="1195"/>
        <v>X</v>
      </c>
      <c r="H5497" s="1" t="str">
        <f t="shared" si="1195"/>
        <v>X</v>
      </c>
      <c r="I5497" s="1" t="str">
        <f t="shared" si="1195"/>
        <v>X</v>
      </c>
      <c r="J5497" s="1" t="str">
        <f t="shared" si="1195"/>
        <v>X</v>
      </c>
      <c r="K5497" s="1" t="str">
        <f t="shared" si="1195"/>
        <v>X</v>
      </c>
      <c r="L5497" s="1" t="str">
        <f t="shared" si="1195"/>
        <v>X</v>
      </c>
      <c r="M5497" s="1" t="str">
        <f t="shared" si="1195"/>
        <v>X</v>
      </c>
      <c r="N5497" t="s">
        <v>27</v>
      </c>
    </row>
    <row r="5498" spans="1:14" x14ac:dyDescent="0.25">
      <c r="A5498" t="s">
        <v>42</v>
      </c>
      <c r="B5498" t="s">
        <v>15</v>
      </c>
      <c r="C5498" t="s">
        <v>35</v>
      </c>
      <c r="D5498" t="s">
        <v>29</v>
      </c>
      <c r="E5498" t="s">
        <v>26</v>
      </c>
      <c r="F5498" t="s">
        <v>17</v>
      </c>
      <c r="G5498" s="1" t="str">
        <f t="shared" ref="G5498:M5500" si="1196">"..."</f>
        <v>...</v>
      </c>
      <c r="H5498" s="1" t="str">
        <f t="shared" si="1196"/>
        <v>...</v>
      </c>
      <c r="I5498" s="1" t="str">
        <f t="shared" si="1196"/>
        <v>...</v>
      </c>
      <c r="J5498" s="1" t="str">
        <f t="shared" si="1196"/>
        <v>...</v>
      </c>
      <c r="K5498" s="1" t="str">
        <f t="shared" si="1196"/>
        <v>...</v>
      </c>
      <c r="L5498" s="1" t="str">
        <f t="shared" si="1196"/>
        <v>...</v>
      </c>
      <c r="M5498" s="1" t="str">
        <f t="shared" si="1196"/>
        <v>...</v>
      </c>
      <c r="N5498" t="s">
        <v>30</v>
      </c>
    </row>
    <row r="5499" spans="1:14" x14ac:dyDescent="0.25">
      <c r="A5499" t="s">
        <v>42</v>
      </c>
      <c r="B5499" t="s">
        <v>15</v>
      </c>
      <c r="C5499" t="s">
        <v>35</v>
      </c>
      <c r="D5499" t="s">
        <v>29</v>
      </c>
      <c r="E5499" t="s">
        <v>26</v>
      </c>
      <c r="F5499" t="s">
        <v>18</v>
      </c>
      <c r="G5499" s="1" t="str">
        <f t="shared" si="1196"/>
        <v>...</v>
      </c>
      <c r="H5499" s="1" t="str">
        <f t="shared" si="1196"/>
        <v>...</v>
      </c>
      <c r="I5499" s="1" t="str">
        <f t="shared" si="1196"/>
        <v>...</v>
      </c>
      <c r="J5499" s="1" t="str">
        <f t="shared" si="1196"/>
        <v>...</v>
      </c>
      <c r="K5499" s="1" t="str">
        <f t="shared" si="1196"/>
        <v>...</v>
      </c>
      <c r="L5499" s="1" t="str">
        <f t="shared" si="1196"/>
        <v>...</v>
      </c>
      <c r="M5499" s="1" t="str">
        <f t="shared" si="1196"/>
        <v>...</v>
      </c>
      <c r="N5499" t="s">
        <v>30</v>
      </c>
    </row>
    <row r="5500" spans="1:14" x14ac:dyDescent="0.25">
      <c r="A5500" t="s">
        <v>42</v>
      </c>
      <c r="B5500" t="s">
        <v>15</v>
      </c>
      <c r="C5500" t="s">
        <v>35</v>
      </c>
      <c r="D5500" t="s">
        <v>29</v>
      </c>
      <c r="E5500" t="s">
        <v>26</v>
      </c>
      <c r="F5500" t="s">
        <v>19</v>
      </c>
      <c r="G5500" s="1" t="str">
        <f t="shared" si="1196"/>
        <v>...</v>
      </c>
      <c r="H5500" s="1" t="str">
        <f t="shared" si="1196"/>
        <v>...</v>
      </c>
      <c r="I5500" s="1" t="str">
        <f t="shared" si="1196"/>
        <v>...</v>
      </c>
      <c r="J5500" s="1" t="str">
        <f t="shared" si="1196"/>
        <v>...</v>
      </c>
      <c r="K5500" s="1" t="str">
        <f t="shared" si="1196"/>
        <v>...</v>
      </c>
      <c r="L5500" s="1" t="str">
        <f t="shared" si="1196"/>
        <v>...</v>
      </c>
      <c r="M5500" s="1" t="str">
        <f t="shared" si="1196"/>
        <v>...</v>
      </c>
      <c r="N5500" t="s">
        <v>30</v>
      </c>
    </row>
    <row r="5501" spans="1:14" x14ac:dyDescent="0.25">
      <c r="A5501" t="s">
        <v>42</v>
      </c>
      <c r="B5501" t="s">
        <v>15</v>
      </c>
      <c r="C5501" t="s">
        <v>35</v>
      </c>
      <c r="D5501" t="s">
        <v>29</v>
      </c>
      <c r="E5501" t="s">
        <v>26</v>
      </c>
      <c r="F5501" t="s">
        <v>20</v>
      </c>
      <c r="G5501" s="1" t="str">
        <f t="shared" ref="G5501:M5501" si="1197">"X"</f>
        <v>X</v>
      </c>
      <c r="H5501" s="1" t="str">
        <f t="shared" si="1197"/>
        <v>X</v>
      </c>
      <c r="I5501" s="1" t="str">
        <f t="shared" si="1197"/>
        <v>X</v>
      </c>
      <c r="J5501" s="1" t="str">
        <f t="shared" si="1197"/>
        <v>X</v>
      </c>
      <c r="K5501" s="1" t="str">
        <f t="shared" si="1197"/>
        <v>X</v>
      </c>
      <c r="L5501" s="1" t="str">
        <f t="shared" si="1197"/>
        <v>X</v>
      </c>
      <c r="M5501" s="1" t="str">
        <f t="shared" si="1197"/>
        <v>X</v>
      </c>
      <c r="N5501" t="s">
        <v>27</v>
      </c>
    </row>
    <row r="5502" spans="1:14" x14ac:dyDescent="0.25">
      <c r="A5502" t="s">
        <v>42</v>
      </c>
      <c r="B5502" t="s">
        <v>15</v>
      </c>
      <c r="C5502" t="s">
        <v>35</v>
      </c>
      <c r="D5502" t="s">
        <v>31</v>
      </c>
      <c r="E5502" t="s">
        <v>15</v>
      </c>
      <c r="F5502" t="s">
        <v>15</v>
      </c>
      <c r="G5502" s="2">
        <f>VALUE(461.92)</f>
        <v>461.92</v>
      </c>
      <c r="H5502" s="3">
        <f>VALUE(380.45)</f>
        <v>380.45</v>
      </c>
      <c r="I5502" s="4">
        <f>VALUE(3095)</f>
        <v>3095</v>
      </c>
      <c r="J5502" s="1">
        <f>VALUE(3658)</f>
        <v>3658</v>
      </c>
      <c r="K5502" s="1">
        <f>VALUE(4086)</f>
        <v>4086</v>
      </c>
      <c r="L5502" s="1">
        <f>VALUE(4694)</f>
        <v>4694</v>
      </c>
      <c r="M5502" s="1">
        <f>VALUE(5478)</f>
        <v>5478</v>
      </c>
      <c r="N5502" t="s">
        <v>25</v>
      </c>
    </row>
    <row r="5503" spans="1:14" x14ac:dyDescent="0.25">
      <c r="A5503" t="s">
        <v>42</v>
      </c>
      <c r="B5503" t="s">
        <v>15</v>
      </c>
      <c r="C5503" t="s">
        <v>35</v>
      </c>
      <c r="D5503" t="s">
        <v>31</v>
      </c>
      <c r="E5503" t="s">
        <v>15</v>
      </c>
      <c r="F5503" t="s">
        <v>17</v>
      </c>
      <c r="G5503" s="1" t="str">
        <f t="shared" ref="G5503:M5505" si="1198">"X"</f>
        <v>X</v>
      </c>
      <c r="H5503" s="1" t="str">
        <f t="shared" si="1198"/>
        <v>X</v>
      </c>
      <c r="I5503" s="1" t="str">
        <f t="shared" si="1198"/>
        <v>X</v>
      </c>
      <c r="J5503" s="1" t="str">
        <f t="shared" si="1198"/>
        <v>X</v>
      </c>
      <c r="K5503" s="1" t="str">
        <f t="shared" si="1198"/>
        <v>X</v>
      </c>
      <c r="L5503" s="1" t="str">
        <f t="shared" si="1198"/>
        <v>X</v>
      </c>
      <c r="M5503" s="1" t="str">
        <f t="shared" si="1198"/>
        <v>X</v>
      </c>
      <c r="N5503" t="s">
        <v>27</v>
      </c>
    </row>
    <row r="5504" spans="1:14" x14ac:dyDescent="0.25">
      <c r="A5504" t="s">
        <v>42</v>
      </c>
      <c r="B5504" t="s">
        <v>15</v>
      </c>
      <c r="C5504" t="s">
        <v>35</v>
      </c>
      <c r="D5504" t="s">
        <v>31</v>
      </c>
      <c r="E5504" t="s">
        <v>15</v>
      </c>
      <c r="F5504" t="s">
        <v>18</v>
      </c>
      <c r="G5504" s="1" t="str">
        <f t="shared" si="1198"/>
        <v>X</v>
      </c>
      <c r="H5504" s="1" t="str">
        <f t="shared" si="1198"/>
        <v>X</v>
      </c>
      <c r="I5504" s="1" t="str">
        <f t="shared" si="1198"/>
        <v>X</v>
      </c>
      <c r="J5504" s="1" t="str">
        <f t="shared" si="1198"/>
        <v>X</v>
      </c>
      <c r="K5504" s="1" t="str">
        <f t="shared" si="1198"/>
        <v>X</v>
      </c>
      <c r="L5504" s="1" t="str">
        <f t="shared" si="1198"/>
        <v>X</v>
      </c>
      <c r="M5504" s="1" t="str">
        <f t="shared" si="1198"/>
        <v>X</v>
      </c>
      <c r="N5504" t="s">
        <v>27</v>
      </c>
    </row>
    <row r="5505" spans="1:14" x14ac:dyDescent="0.25">
      <c r="A5505" t="s">
        <v>42</v>
      </c>
      <c r="B5505" t="s">
        <v>15</v>
      </c>
      <c r="C5505" t="s">
        <v>35</v>
      </c>
      <c r="D5505" t="s">
        <v>31</v>
      </c>
      <c r="E5505" t="s">
        <v>15</v>
      </c>
      <c r="F5505" t="s">
        <v>19</v>
      </c>
      <c r="G5505" s="1" t="str">
        <f t="shared" si="1198"/>
        <v>X</v>
      </c>
      <c r="H5505" s="1" t="str">
        <f t="shared" si="1198"/>
        <v>X</v>
      </c>
      <c r="I5505" s="1" t="str">
        <f t="shared" si="1198"/>
        <v>X</v>
      </c>
      <c r="J5505" s="1" t="str">
        <f t="shared" si="1198"/>
        <v>X</v>
      </c>
      <c r="K5505" s="1" t="str">
        <f t="shared" si="1198"/>
        <v>X</v>
      </c>
      <c r="L5505" s="1" t="str">
        <f t="shared" si="1198"/>
        <v>X</v>
      </c>
      <c r="M5505" s="1" t="str">
        <f t="shared" si="1198"/>
        <v>X</v>
      </c>
      <c r="N5505" t="s">
        <v>27</v>
      </c>
    </row>
    <row r="5506" spans="1:14" x14ac:dyDescent="0.25">
      <c r="A5506" t="s">
        <v>42</v>
      </c>
      <c r="B5506" t="s">
        <v>15</v>
      </c>
      <c r="C5506" t="s">
        <v>35</v>
      </c>
      <c r="D5506" t="s">
        <v>31</v>
      </c>
      <c r="E5506" t="s">
        <v>15</v>
      </c>
      <c r="F5506" t="s">
        <v>20</v>
      </c>
      <c r="G5506" s="2">
        <f>VALUE(380.56)</f>
        <v>380.56</v>
      </c>
      <c r="H5506" s="3">
        <f>VALUE(314.44)</f>
        <v>314.44</v>
      </c>
      <c r="I5506" s="4">
        <f>VALUE(2729)</f>
        <v>2729</v>
      </c>
      <c r="J5506" s="1">
        <f>VALUE(3519)</f>
        <v>3519</v>
      </c>
      <c r="K5506" s="1">
        <f>VALUE(3967)</f>
        <v>3967</v>
      </c>
      <c r="L5506" s="1">
        <f>VALUE(4378)</f>
        <v>4378</v>
      </c>
      <c r="M5506" s="1">
        <f>VALUE(5006)</f>
        <v>5006</v>
      </c>
      <c r="N5506" t="s">
        <v>25</v>
      </c>
    </row>
    <row r="5507" spans="1:14" x14ac:dyDescent="0.25">
      <c r="A5507" t="s">
        <v>42</v>
      </c>
      <c r="B5507" t="s">
        <v>15</v>
      </c>
      <c r="C5507" t="s">
        <v>35</v>
      </c>
      <c r="D5507" t="s">
        <v>31</v>
      </c>
      <c r="E5507" t="s">
        <v>21</v>
      </c>
      <c r="F5507" t="s">
        <v>15</v>
      </c>
      <c r="G5507" s="1" t="str">
        <f t="shared" ref="G5507:M5519" si="1199">"X"</f>
        <v>X</v>
      </c>
      <c r="H5507" s="1" t="str">
        <f t="shared" si="1199"/>
        <v>X</v>
      </c>
      <c r="I5507" s="1" t="str">
        <f t="shared" si="1199"/>
        <v>X</v>
      </c>
      <c r="J5507" s="1" t="str">
        <f t="shared" si="1199"/>
        <v>X</v>
      </c>
      <c r="K5507" s="1" t="str">
        <f t="shared" si="1199"/>
        <v>X</v>
      </c>
      <c r="L5507" s="1" t="str">
        <f t="shared" si="1199"/>
        <v>X</v>
      </c>
      <c r="M5507" s="1" t="str">
        <f t="shared" si="1199"/>
        <v>X</v>
      </c>
      <c r="N5507" t="s">
        <v>27</v>
      </c>
    </row>
    <row r="5508" spans="1:14" x14ac:dyDescent="0.25">
      <c r="A5508" t="s">
        <v>42</v>
      </c>
      <c r="B5508" t="s">
        <v>15</v>
      </c>
      <c r="C5508" t="s">
        <v>35</v>
      </c>
      <c r="D5508" t="s">
        <v>31</v>
      </c>
      <c r="E5508" t="s">
        <v>21</v>
      </c>
      <c r="F5508" t="s">
        <v>17</v>
      </c>
      <c r="G5508" s="1" t="str">
        <f t="shared" si="1199"/>
        <v>X</v>
      </c>
      <c r="H5508" s="1" t="str">
        <f t="shared" si="1199"/>
        <v>X</v>
      </c>
      <c r="I5508" s="1" t="str">
        <f t="shared" si="1199"/>
        <v>X</v>
      </c>
      <c r="J5508" s="1" t="str">
        <f t="shared" si="1199"/>
        <v>X</v>
      </c>
      <c r="K5508" s="1" t="str">
        <f t="shared" si="1199"/>
        <v>X</v>
      </c>
      <c r="L5508" s="1" t="str">
        <f t="shared" si="1199"/>
        <v>X</v>
      </c>
      <c r="M5508" s="1" t="str">
        <f t="shared" si="1199"/>
        <v>X</v>
      </c>
      <c r="N5508" t="s">
        <v>27</v>
      </c>
    </row>
    <row r="5509" spans="1:14" x14ac:dyDescent="0.25">
      <c r="A5509" t="s">
        <v>42</v>
      </c>
      <c r="B5509" t="s">
        <v>15</v>
      </c>
      <c r="C5509" t="s">
        <v>35</v>
      </c>
      <c r="D5509" t="s">
        <v>31</v>
      </c>
      <c r="E5509" t="s">
        <v>21</v>
      </c>
      <c r="F5509" t="s">
        <v>18</v>
      </c>
      <c r="G5509" s="1" t="str">
        <f t="shared" si="1199"/>
        <v>X</v>
      </c>
      <c r="H5509" s="1" t="str">
        <f t="shared" si="1199"/>
        <v>X</v>
      </c>
      <c r="I5509" s="1" t="str">
        <f t="shared" si="1199"/>
        <v>X</v>
      </c>
      <c r="J5509" s="1" t="str">
        <f t="shared" si="1199"/>
        <v>X</v>
      </c>
      <c r="K5509" s="1" t="str">
        <f t="shared" si="1199"/>
        <v>X</v>
      </c>
      <c r="L5509" s="1" t="str">
        <f t="shared" si="1199"/>
        <v>X</v>
      </c>
      <c r="M5509" s="1" t="str">
        <f t="shared" si="1199"/>
        <v>X</v>
      </c>
      <c r="N5509" t="s">
        <v>27</v>
      </c>
    </row>
    <row r="5510" spans="1:14" x14ac:dyDescent="0.25">
      <c r="A5510" t="s">
        <v>42</v>
      </c>
      <c r="B5510" t="s">
        <v>15</v>
      </c>
      <c r="C5510" t="s">
        <v>35</v>
      </c>
      <c r="D5510" t="s">
        <v>31</v>
      </c>
      <c r="E5510" t="s">
        <v>21</v>
      </c>
      <c r="F5510" t="s">
        <v>19</v>
      </c>
      <c r="G5510" s="1" t="str">
        <f t="shared" si="1199"/>
        <v>X</v>
      </c>
      <c r="H5510" s="1" t="str">
        <f t="shared" si="1199"/>
        <v>X</v>
      </c>
      <c r="I5510" s="1" t="str">
        <f t="shared" si="1199"/>
        <v>X</v>
      </c>
      <c r="J5510" s="1" t="str">
        <f t="shared" si="1199"/>
        <v>X</v>
      </c>
      <c r="K5510" s="1" t="str">
        <f t="shared" si="1199"/>
        <v>X</v>
      </c>
      <c r="L5510" s="1" t="str">
        <f t="shared" si="1199"/>
        <v>X</v>
      </c>
      <c r="M5510" s="1" t="str">
        <f t="shared" si="1199"/>
        <v>X</v>
      </c>
      <c r="N5510" t="s">
        <v>27</v>
      </c>
    </row>
    <row r="5511" spans="1:14" x14ac:dyDescent="0.25">
      <c r="A5511" t="s">
        <v>42</v>
      </c>
      <c r="B5511" t="s">
        <v>15</v>
      </c>
      <c r="C5511" t="s">
        <v>35</v>
      </c>
      <c r="D5511" t="s">
        <v>31</v>
      </c>
      <c r="E5511" t="s">
        <v>21</v>
      </c>
      <c r="F5511" t="s">
        <v>20</v>
      </c>
      <c r="G5511" s="1" t="str">
        <f t="shared" si="1199"/>
        <v>X</v>
      </c>
      <c r="H5511" s="1" t="str">
        <f t="shared" si="1199"/>
        <v>X</v>
      </c>
      <c r="I5511" s="1" t="str">
        <f t="shared" si="1199"/>
        <v>X</v>
      </c>
      <c r="J5511" s="1" t="str">
        <f t="shared" si="1199"/>
        <v>X</v>
      </c>
      <c r="K5511" s="1" t="str">
        <f t="shared" si="1199"/>
        <v>X</v>
      </c>
      <c r="L5511" s="1" t="str">
        <f t="shared" si="1199"/>
        <v>X</v>
      </c>
      <c r="M5511" s="1" t="str">
        <f t="shared" si="1199"/>
        <v>X</v>
      </c>
      <c r="N5511" t="s">
        <v>27</v>
      </c>
    </row>
    <row r="5512" spans="1:14" x14ac:dyDescent="0.25">
      <c r="A5512" t="s">
        <v>42</v>
      </c>
      <c r="B5512" t="s">
        <v>15</v>
      </c>
      <c r="C5512" t="s">
        <v>35</v>
      </c>
      <c r="D5512" t="s">
        <v>31</v>
      </c>
      <c r="E5512" t="s">
        <v>22</v>
      </c>
      <c r="F5512" t="s">
        <v>15</v>
      </c>
      <c r="G5512" s="1" t="str">
        <f t="shared" si="1199"/>
        <v>X</v>
      </c>
      <c r="H5512" s="1" t="str">
        <f t="shared" si="1199"/>
        <v>X</v>
      </c>
      <c r="I5512" s="1" t="str">
        <f t="shared" si="1199"/>
        <v>X</v>
      </c>
      <c r="J5512" s="1" t="str">
        <f t="shared" si="1199"/>
        <v>X</v>
      </c>
      <c r="K5512" s="1" t="str">
        <f t="shared" si="1199"/>
        <v>X</v>
      </c>
      <c r="L5512" s="1" t="str">
        <f t="shared" si="1199"/>
        <v>X</v>
      </c>
      <c r="M5512" s="1" t="str">
        <f t="shared" si="1199"/>
        <v>X</v>
      </c>
      <c r="N5512" t="s">
        <v>27</v>
      </c>
    </row>
    <row r="5513" spans="1:14" x14ac:dyDescent="0.25">
      <c r="A5513" t="s">
        <v>42</v>
      </c>
      <c r="B5513" t="s">
        <v>15</v>
      </c>
      <c r="C5513" t="s">
        <v>35</v>
      </c>
      <c r="D5513" t="s">
        <v>31</v>
      </c>
      <c r="E5513" t="s">
        <v>22</v>
      </c>
      <c r="F5513" t="s">
        <v>17</v>
      </c>
      <c r="G5513" s="1" t="str">
        <f t="shared" si="1199"/>
        <v>X</v>
      </c>
      <c r="H5513" s="1" t="str">
        <f t="shared" si="1199"/>
        <v>X</v>
      </c>
      <c r="I5513" s="1" t="str">
        <f t="shared" si="1199"/>
        <v>X</v>
      </c>
      <c r="J5513" s="1" t="str">
        <f t="shared" si="1199"/>
        <v>X</v>
      </c>
      <c r="K5513" s="1" t="str">
        <f t="shared" si="1199"/>
        <v>X</v>
      </c>
      <c r="L5513" s="1" t="str">
        <f t="shared" si="1199"/>
        <v>X</v>
      </c>
      <c r="M5513" s="1" t="str">
        <f t="shared" si="1199"/>
        <v>X</v>
      </c>
      <c r="N5513" t="s">
        <v>27</v>
      </c>
    </row>
    <row r="5514" spans="1:14" x14ac:dyDescent="0.25">
      <c r="A5514" t="s">
        <v>42</v>
      </c>
      <c r="B5514" t="s">
        <v>15</v>
      </c>
      <c r="C5514" t="s">
        <v>35</v>
      </c>
      <c r="D5514" t="s">
        <v>31</v>
      </c>
      <c r="E5514" t="s">
        <v>22</v>
      </c>
      <c r="F5514" t="s">
        <v>18</v>
      </c>
      <c r="G5514" s="1" t="str">
        <f t="shared" si="1199"/>
        <v>X</v>
      </c>
      <c r="H5514" s="1" t="str">
        <f t="shared" si="1199"/>
        <v>X</v>
      </c>
      <c r="I5514" s="1" t="str">
        <f t="shared" si="1199"/>
        <v>X</v>
      </c>
      <c r="J5514" s="1" t="str">
        <f t="shared" si="1199"/>
        <v>X</v>
      </c>
      <c r="K5514" s="1" t="str">
        <f t="shared" si="1199"/>
        <v>X</v>
      </c>
      <c r="L5514" s="1" t="str">
        <f t="shared" si="1199"/>
        <v>X</v>
      </c>
      <c r="M5514" s="1" t="str">
        <f t="shared" si="1199"/>
        <v>X</v>
      </c>
      <c r="N5514" t="s">
        <v>27</v>
      </c>
    </row>
    <row r="5515" spans="1:14" x14ac:dyDescent="0.25">
      <c r="A5515" t="s">
        <v>42</v>
      </c>
      <c r="B5515" t="s">
        <v>15</v>
      </c>
      <c r="C5515" t="s">
        <v>35</v>
      </c>
      <c r="D5515" t="s">
        <v>31</v>
      </c>
      <c r="E5515" t="s">
        <v>22</v>
      </c>
      <c r="F5515" t="s">
        <v>19</v>
      </c>
      <c r="G5515" s="1" t="str">
        <f t="shared" si="1199"/>
        <v>X</v>
      </c>
      <c r="H5515" s="1" t="str">
        <f t="shared" si="1199"/>
        <v>X</v>
      </c>
      <c r="I5515" s="1" t="str">
        <f t="shared" si="1199"/>
        <v>X</v>
      </c>
      <c r="J5515" s="1" t="str">
        <f t="shared" si="1199"/>
        <v>X</v>
      </c>
      <c r="K5515" s="1" t="str">
        <f t="shared" si="1199"/>
        <v>X</v>
      </c>
      <c r="L5515" s="1" t="str">
        <f t="shared" si="1199"/>
        <v>X</v>
      </c>
      <c r="M5515" s="1" t="str">
        <f t="shared" si="1199"/>
        <v>X</v>
      </c>
      <c r="N5515" t="s">
        <v>27</v>
      </c>
    </row>
    <row r="5516" spans="1:14" x14ac:dyDescent="0.25">
      <c r="A5516" t="s">
        <v>42</v>
      </c>
      <c r="B5516" t="s">
        <v>15</v>
      </c>
      <c r="C5516" t="s">
        <v>35</v>
      </c>
      <c r="D5516" t="s">
        <v>31</v>
      </c>
      <c r="E5516" t="s">
        <v>22</v>
      </c>
      <c r="F5516" t="s">
        <v>20</v>
      </c>
      <c r="G5516" s="1" t="str">
        <f t="shared" si="1199"/>
        <v>X</v>
      </c>
      <c r="H5516" s="1" t="str">
        <f t="shared" si="1199"/>
        <v>X</v>
      </c>
      <c r="I5516" s="1" t="str">
        <f t="shared" si="1199"/>
        <v>X</v>
      </c>
      <c r="J5516" s="1" t="str">
        <f t="shared" si="1199"/>
        <v>X</v>
      </c>
      <c r="K5516" s="1" t="str">
        <f t="shared" si="1199"/>
        <v>X</v>
      </c>
      <c r="L5516" s="1" t="str">
        <f t="shared" si="1199"/>
        <v>X</v>
      </c>
      <c r="M5516" s="1" t="str">
        <f t="shared" si="1199"/>
        <v>X</v>
      </c>
      <c r="N5516" t="s">
        <v>27</v>
      </c>
    </row>
    <row r="5517" spans="1:14" x14ac:dyDescent="0.25">
      <c r="A5517" t="s">
        <v>42</v>
      </c>
      <c r="B5517" t="s">
        <v>15</v>
      </c>
      <c r="C5517" t="s">
        <v>35</v>
      </c>
      <c r="D5517" t="s">
        <v>31</v>
      </c>
      <c r="E5517" t="s">
        <v>23</v>
      </c>
      <c r="F5517" t="s">
        <v>15</v>
      </c>
      <c r="G5517" s="1" t="str">
        <f t="shared" si="1199"/>
        <v>X</v>
      </c>
      <c r="H5517" s="1" t="str">
        <f t="shared" si="1199"/>
        <v>X</v>
      </c>
      <c r="I5517" s="1" t="str">
        <f t="shared" si="1199"/>
        <v>X</v>
      </c>
      <c r="J5517" s="1" t="str">
        <f t="shared" si="1199"/>
        <v>X</v>
      </c>
      <c r="K5517" s="1" t="str">
        <f t="shared" si="1199"/>
        <v>X</v>
      </c>
      <c r="L5517" s="1" t="str">
        <f t="shared" si="1199"/>
        <v>X</v>
      </c>
      <c r="M5517" s="1" t="str">
        <f t="shared" si="1199"/>
        <v>X</v>
      </c>
      <c r="N5517" t="s">
        <v>27</v>
      </c>
    </row>
    <row r="5518" spans="1:14" x14ac:dyDescent="0.25">
      <c r="A5518" t="s">
        <v>42</v>
      </c>
      <c r="B5518" t="s">
        <v>15</v>
      </c>
      <c r="C5518" t="s">
        <v>35</v>
      </c>
      <c r="D5518" t="s">
        <v>31</v>
      </c>
      <c r="E5518" t="s">
        <v>23</v>
      </c>
      <c r="F5518" t="s">
        <v>17</v>
      </c>
      <c r="G5518" s="1" t="str">
        <f t="shared" si="1199"/>
        <v>X</v>
      </c>
      <c r="H5518" s="1" t="str">
        <f t="shared" si="1199"/>
        <v>X</v>
      </c>
      <c r="I5518" s="1" t="str">
        <f t="shared" si="1199"/>
        <v>X</v>
      </c>
      <c r="J5518" s="1" t="str">
        <f t="shared" si="1199"/>
        <v>X</v>
      </c>
      <c r="K5518" s="1" t="str">
        <f t="shared" si="1199"/>
        <v>X</v>
      </c>
      <c r="L5518" s="1" t="str">
        <f t="shared" si="1199"/>
        <v>X</v>
      </c>
      <c r="M5518" s="1" t="str">
        <f t="shared" si="1199"/>
        <v>X</v>
      </c>
      <c r="N5518" t="s">
        <v>27</v>
      </c>
    </row>
    <row r="5519" spans="1:14" x14ac:dyDescent="0.25">
      <c r="A5519" t="s">
        <v>42</v>
      </c>
      <c r="B5519" t="s">
        <v>15</v>
      </c>
      <c r="C5519" t="s">
        <v>35</v>
      </c>
      <c r="D5519" t="s">
        <v>31</v>
      </c>
      <c r="E5519" t="s">
        <v>23</v>
      </c>
      <c r="F5519" t="s">
        <v>18</v>
      </c>
      <c r="G5519" s="1" t="str">
        <f t="shared" si="1199"/>
        <v>X</v>
      </c>
      <c r="H5519" s="1" t="str">
        <f t="shared" si="1199"/>
        <v>X</v>
      </c>
      <c r="I5519" s="1" t="str">
        <f t="shared" si="1199"/>
        <v>X</v>
      </c>
      <c r="J5519" s="1" t="str">
        <f t="shared" si="1199"/>
        <v>X</v>
      </c>
      <c r="K5519" s="1" t="str">
        <f t="shared" si="1199"/>
        <v>X</v>
      </c>
      <c r="L5519" s="1" t="str">
        <f t="shared" si="1199"/>
        <v>X</v>
      </c>
      <c r="M5519" s="1" t="str">
        <f t="shared" si="1199"/>
        <v>X</v>
      </c>
      <c r="N5519" t="s">
        <v>27</v>
      </c>
    </row>
    <row r="5520" spans="1:14" x14ac:dyDescent="0.25">
      <c r="A5520" t="s">
        <v>42</v>
      </c>
      <c r="B5520" t="s">
        <v>15</v>
      </c>
      <c r="C5520" t="s">
        <v>35</v>
      </c>
      <c r="D5520" t="s">
        <v>31</v>
      </c>
      <c r="E5520" t="s">
        <v>23</v>
      </c>
      <c r="F5520" t="s">
        <v>19</v>
      </c>
      <c r="G5520" s="1" t="str">
        <f t="shared" ref="G5520:M5520" si="1200">"..."</f>
        <v>...</v>
      </c>
      <c r="H5520" s="1" t="str">
        <f t="shared" si="1200"/>
        <v>...</v>
      </c>
      <c r="I5520" s="1" t="str">
        <f t="shared" si="1200"/>
        <v>...</v>
      </c>
      <c r="J5520" s="1" t="str">
        <f t="shared" si="1200"/>
        <v>...</v>
      </c>
      <c r="K5520" s="1" t="str">
        <f t="shared" si="1200"/>
        <v>...</v>
      </c>
      <c r="L5520" s="1" t="str">
        <f t="shared" si="1200"/>
        <v>...</v>
      </c>
      <c r="M5520" s="1" t="str">
        <f t="shared" si="1200"/>
        <v>...</v>
      </c>
      <c r="N5520" t="s">
        <v>30</v>
      </c>
    </row>
    <row r="5521" spans="1:14" x14ac:dyDescent="0.25">
      <c r="A5521" t="s">
        <v>42</v>
      </c>
      <c r="B5521" t="s">
        <v>15</v>
      </c>
      <c r="C5521" t="s">
        <v>35</v>
      </c>
      <c r="D5521" t="s">
        <v>31</v>
      </c>
      <c r="E5521" t="s">
        <v>23</v>
      </c>
      <c r="F5521" t="s">
        <v>20</v>
      </c>
      <c r="G5521" s="1" t="str">
        <f t="shared" ref="G5521:M5522" si="1201">"X"</f>
        <v>X</v>
      </c>
      <c r="H5521" s="1" t="str">
        <f t="shared" si="1201"/>
        <v>X</v>
      </c>
      <c r="I5521" s="1" t="str">
        <f t="shared" si="1201"/>
        <v>X</v>
      </c>
      <c r="J5521" s="1" t="str">
        <f t="shared" si="1201"/>
        <v>X</v>
      </c>
      <c r="K5521" s="1" t="str">
        <f t="shared" si="1201"/>
        <v>X</v>
      </c>
      <c r="L5521" s="1" t="str">
        <f t="shared" si="1201"/>
        <v>X</v>
      </c>
      <c r="M5521" s="1" t="str">
        <f t="shared" si="1201"/>
        <v>X</v>
      </c>
      <c r="N5521" t="s">
        <v>27</v>
      </c>
    </row>
    <row r="5522" spans="1:14" x14ac:dyDescent="0.25">
      <c r="A5522" t="s">
        <v>42</v>
      </c>
      <c r="B5522" t="s">
        <v>15</v>
      </c>
      <c r="C5522" t="s">
        <v>35</v>
      </c>
      <c r="D5522" t="s">
        <v>31</v>
      </c>
      <c r="E5522" t="s">
        <v>26</v>
      </c>
      <c r="F5522" t="s">
        <v>15</v>
      </c>
      <c r="G5522" s="1" t="str">
        <f t="shared" si="1201"/>
        <v>X</v>
      </c>
      <c r="H5522" s="1" t="str">
        <f t="shared" si="1201"/>
        <v>X</v>
      </c>
      <c r="I5522" s="1" t="str">
        <f t="shared" si="1201"/>
        <v>X</v>
      </c>
      <c r="J5522" s="1" t="str">
        <f t="shared" si="1201"/>
        <v>X</v>
      </c>
      <c r="K5522" s="1" t="str">
        <f t="shared" si="1201"/>
        <v>X</v>
      </c>
      <c r="L5522" s="1" t="str">
        <f t="shared" si="1201"/>
        <v>X</v>
      </c>
      <c r="M5522" s="1" t="str">
        <f t="shared" si="1201"/>
        <v>X</v>
      </c>
      <c r="N5522" t="s">
        <v>27</v>
      </c>
    </row>
    <row r="5523" spans="1:14" x14ac:dyDescent="0.25">
      <c r="A5523" t="s">
        <v>42</v>
      </c>
      <c r="B5523" t="s">
        <v>15</v>
      </c>
      <c r="C5523" t="s">
        <v>35</v>
      </c>
      <c r="D5523" t="s">
        <v>31</v>
      </c>
      <c r="E5523" t="s">
        <v>26</v>
      </c>
      <c r="F5523" t="s">
        <v>17</v>
      </c>
      <c r="G5523" s="1" t="str">
        <f t="shared" ref="G5523:M5525" si="1202">"..."</f>
        <v>...</v>
      </c>
      <c r="H5523" s="1" t="str">
        <f t="shared" si="1202"/>
        <v>...</v>
      </c>
      <c r="I5523" s="1" t="str">
        <f t="shared" si="1202"/>
        <v>...</v>
      </c>
      <c r="J5523" s="1" t="str">
        <f t="shared" si="1202"/>
        <v>...</v>
      </c>
      <c r="K5523" s="1" t="str">
        <f t="shared" si="1202"/>
        <v>...</v>
      </c>
      <c r="L5523" s="1" t="str">
        <f t="shared" si="1202"/>
        <v>...</v>
      </c>
      <c r="M5523" s="1" t="str">
        <f t="shared" si="1202"/>
        <v>...</v>
      </c>
      <c r="N5523" t="s">
        <v>30</v>
      </c>
    </row>
    <row r="5524" spans="1:14" x14ac:dyDescent="0.25">
      <c r="A5524" t="s">
        <v>42</v>
      </c>
      <c r="B5524" t="s">
        <v>15</v>
      </c>
      <c r="C5524" t="s">
        <v>35</v>
      </c>
      <c r="D5524" t="s">
        <v>31</v>
      </c>
      <c r="E5524" t="s">
        <v>26</v>
      </c>
      <c r="F5524" t="s">
        <v>18</v>
      </c>
      <c r="G5524" s="1" t="str">
        <f t="shared" si="1202"/>
        <v>...</v>
      </c>
      <c r="H5524" s="1" t="str">
        <f t="shared" si="1202"/>
        <v>...</v>
      </c>
      <c r="I5524" s="1" t="str">
        <f t="shared" si="1202"/>
        <v>...</v>
      </c>
      <c r="J5524" s="1" t="str">
        <f t="shared" si="1202"/>
        <v>...</v>
      </c>
      <c r="K5524" s="1" t="str">
        <f t="shared" si="1202"/>
        <v>...</v>
      </c>
      <c r="L5524" s="1" t="str">
        <f t="shared" si="1202"/>
        <v>...</v>
      </c>
      <c r="M5524" s="1" t="str">
        <f t="shared" si="1202"/>
        <v>...</v>
      </c>
      <c r="N5524" t="s">
        <v>30</v>
      </c>
    </row>
    <row r="5525" spans="1:14" x14ac:dyDescent="0.25">
      <c r="A5525" t="s">
        <v>42</v>
      </c>
      <c r="B5525" t="s">
        <v>15</v>
      </c>
      <c r="C5525" t="s">
        <v>35</v>
      </c>
      <c r="D5525" t="s">
        <v>31</v>
      </c>
      <c r="E5525" t="s">
        <v>26</v>
      </c>
      <c r="F5525" t="s">
        <v>19</v>
      </c>
      <c r="G5525" s="1" t="str">
        <f t="shared" si="1202"/>
        <v>...</v>
      </c>
      <c r="H5525" s="1" t="str">
        <f t="shared" si="1202"/>
        <v>...</v>
      </c>
      <c r="I5525" s="1" t="str">
        <f t="shared" si="1202"/>
        <v>...</v>
      </c>
      <c r="J5525" s="1" t="str">
        <f t="shared" si="1202"/>
        <v>...</v>
      </c>
      <c r="K5525" s="1" t="str">
        <f t="shared" si="1202"/>
        <v>...</v>
      </c>
      <c r="L5525" s="1" t="str">
        <f t="shared" si="1202"/>
        <v>...</v>
      </c>
      <c r="M5525" s="1" t="str">
        <f t="shared" si="1202"/>
        <v>...</v>
      </c>
      <c r="N5525" t="s">
        <v>30</v>
      </c>
    </row>
    <row r="5526" spans="1:14" x14ac:dyDescent="0.25">
      <c r="A5526" t="s">
        <v>42</v>
      </c>
      <c r="B5526" t="s">
        <v>15</v>
      </c>
      <c r="C5526" t="s">
        <v>35</v>
      </c>
      <c r="D5526" t="s">
        <v>31</v>
      </c>
      <c r="E5526" t="s">
        <v>26</v>
      </c>
      <c r="F5526" t="s">
        <v>20</v>
      </c>
      <c r="G5526" s="1" t="str">
        <f t="shared" ref="G5526:M5526" si="1203">"X"</f>
        <v>X</v>
      </c>
      <c r="H5526" s="1" t="str">
        <f t="shared" si="1203"/>
        <v>X</v>
      </c>
      <c r="I5526" s="1" t="str">
        <f t="shared" si="1203"/>
        <v>X</v>
      </c>
      <c r="J5526" s="1" t="str">
        <f t="shared" si="1203"/>
        <v>X</v>
      </c>
      <c r="K5526" s="1" t="str">
        <f t="shared" si="1203"/>
        <v>X</v>
      </c>
      <c r="L5526" s="1" t="str">
        <f t="shared" si="1203"/>
        <v>X</v>
      </c>
      <c r="M5526" s="1" t="str">
        <f t="shared" si="1203"/>
        <v>X</v>
      </c>
      <c r="N5526" t="s">
        <v>27</v>
      </c>
    </row>
    <row r="5527" spans="1:14" x14ac:dyDescent="0.25">
      <c r="A5527" t="s">
        <v>42</v>
      </c>
      <c r="B5527" t="s">
        <v>15</v>
      </c>
      <c r="C5527" t="s">
        <v>35</v>
      </c>
      <c r="D5527" t="s">
        <v>32</v>
      </c>
      <c r="E5527" t="s">
        <v>15</v>
      </c>
      <c r="F5527" t="s">
        <v>15</v>
      </c>
      <c r="G5527" s="1">
        <f>VALUE(2401.59)</f>
        <v>2401.59</v>
      </c>
      <c r="H5527" s="1">
        <f>VALUE(2321.88)</f>
        <v>2321.88</v>
      </c>
      <c r="I5527" s="4">
        <f>VALUE(2318)</f>
        <v>2318</v>
      </c>
      <c r="J5527" s="1">
        <f>VALUE(2635)</f>
        <v>2635</v>
      </c>
      <c r="K5527" s="1">
        <f>VALUE(3224)</f>
        <v>3224</v>
      </c>
      <c r="L5527" s="1">
        <f>VALUE(3805)</f>
        <v>3805</v>
      </c>
      <c r="M5527" s="1">
        <f>VALUE(4415)</f>
        <v>4415</v>
      </c>
      <c r="N5527" t="s">
        <v>25</v>
      </c>
    </row>
    <row r="5528" spans="1:14" x14ac:dyDescent="0.25">
      <c r="A5528" t="s">
        <v>42</v>
      </c>
      <c r="B5528" t="s">
        <v>15</v>
      </c>
      <c r="C5528" t="s">
        <v>35</v>
      </c>
      <c r="D5528" t="s">
        <v>32</v>
      </c>
      <c r="E5528" t="s">
        <v>15</v>
      </c>
      <c r="F5528" t="s">
        <v>17</v>
      </c>
      <c r="G5528" s="1" t="str">
        <f t="shared" ref="G5528:M5529" si="1204">"X"</f>
        <v>X</v>
      </c>
      <c r="H5528" s="1" t="str">
        <f t="shared" si="1204"/>
        <v>X</v>
      </c>
      <c r="I5528" s="1" t="str">
        <f t="shared" si="1204"/>
        <v>X</v>
      </c>
      <c r="J5528" s="1" t="str">
        <f t="shared" si="1204"/>
        <v>X</v>
      </c>
      <c r="K5528" s="1" t="str">
        <f t="shared" si="1204"/>
        <v>X</v>
      </c>
      <c r="L5528" s="1" t="str">
        <f t="shared" si="1204"/>
        <v>X</v>
      </c>
      <c r="M5528" s="1" t="str">
        <f t="shared" si="1204"/>
        <v>X</v>
      </c>
      <c r="N5528" t="s">
        <v>27</v>
      </c>
    </row>
    <row r="5529" spans="1:14" x14ac:dyDescent="0.25">
      <c r="A5529" t="s">
        <v>42</v>
      </c>
      <c r="B5529" t="s">
        <v>15</v>
      </c>
      <c r="C5529" t="s">
        <v>35</v>
      </c>
      <c r="D5529" t="s">
        <v>32</v>
      </c>
      <c r="E5529" t="s">
        <v>15</v>
      </c>
      <c r="F5529" t="s">
        <v>18</v>
      </c>
      <c r="G5529" s="1" t="str">
        <f t="shared" si="1204"/>
        <v>X</v>
      </c>
      <c r="H5529" s="1" t="str">
        <f t="shared" si="1204"/>
        <v>X</v>
      </c>
      <c r="I5529" s="1" t="str">
        <f t="shared" si="1204"/>
        <v>X</v>
      </c>
      <c r="J5529" s="1" t="str">
        <f t="shared" si="1204"/>
        <v>X</v>
      </c>
      <c r="K5529" s="1" t="str">
        <f t="shared" si="1204"/>
        <v>X</v>
      </c>
      <c r="L5529" s="1" t="str">
        <f t="shared" si="1204"/>
        <v>X</v>
      </c>
      <c r="M5529" s="1" t="str">
        <f t="shared" si="1204"/>
        <v>X</v>
      </c>
      <c r="N5529" t="s">
        <v>27</v>
      </c>
    </row>
    <row r="5530" spans="1:14" x14ac:dyDescent="0.25">
      <c r="A5530" t="s">
        <v>42</v>
      </c>
      <c r="B5530" t="s">
        <v>15</v>
      </c>
      <c r="C5530" t="s">
        <v>35</v>
      </c>
      <c r="D5530" t="s">
        <v>32</v>
      </c>
      <c r="E5530" t="s">
        <v>15</v>
      </c>
      <c r="F5530" t="s">
        <v>19</v>
      </c>
      <c r="G5530" s="2">
        <f>VALUE(172.12)</f>
        <v>172.12</v>
      </c>
      <c r="H5530" s="3">
        <f>VALUE(169.39)</f>
        <v>169.39</v>
      </c>
      <c r="I5530" s="1">
        <f>VALUE(2702)</f>
        <v>2702</v>
      </c>
      <c r="J5530" s="1">
        <f>VALUE(3095)</f>
        <v>3095</v>
      </c>
      <c r="K5530" s="6">
        <f>VALUE(3910)</f>
        <v>3910</v>
      </c>
      <c r="L5530" s="1">
        <f>VALUE(4510)</f>
        <v>4510</v>
      </c>
      <c r="M5530" s="8">
        <f>VALUE(4821)</f>
        <v>4821</v>
      </c>
      <c r="N5530" t="s">
        <v>25</v>
      </c>
    </row>
    <row r="5531" spans="1:14" x14ac:dyDescent="0.25">
      <c r="A5531" t="s">
        <v>42</v>
      </c>
      <c r="B5531" t="s">
        <v>15</v>
      </c>
      <c r="C5531" t="s">
        <v>35</v>
      </c>
      <c r="D5531" t="s">
        <v>32</v>
      </c>
      <c r="E5531" t="s">
        <v>15</v>
      </c>
      <c r="F5531" t="s">
        <v>20</v>
      </c>
      <c r="G5531" s="1">
        <f>VALUE(2112.95)</f>
        <v>2112.9499999999998</v>
      </c>
      <c r="H5531" s="1">
        <f>VALUE(2037.36)</f>
        <v>2037.36</v>
      </c>
      <c r="I5531" s="4">
        <f>VALUE(2270)</f>
        <v>2270</v>
      </c>
      <c r="J5531" s="1">
        <f>VALUE(2600)</f>
        <v>2600</v>
      </c>
      <c r="K5531" s="1">
        <f>VALUE(3184)</f>
        <v>3184</v>
      </c>
      <c r="L5531" s="1">
        <f>VALUE(3700)</f>
        <v>3700</v>
      </c>
      <c r="M5531" s="1">
        <f>VALUE(4377)</f>
        <v>4377</v>
      </c>
      <c r="N5531" t="s">
        <v>25</v>
      </c>
    </row>
    <row r="5532" spans="1:14" x14ac:dyDescent="0.25">
      <c r="A5532" t="s">
        <v>42</v>
      </c>
      <c r="B5532" t="s">
        <v>15</v>
      </c>
      <c r="C5532" t="s">
        <v>35</v>
      </c>
      <c r="D5532" t="s">
        <v>32</v>
      </c>
      <c r="E5532" t="s">
        <v>21</v>
      </c>
      <c r="F5532" t="s">
        <v>15</v>
      </c>
      <c r="G5532" s="1" t="str">
        <f t="shared" ref="G5532:M5536" si="1205">"X"</f>
        <v>X</v>
      </c>
      <c r="H5532" s="1" t="str">
        <f t="shared" si="1205"/>
        <v>X</v>
      </c>
      <c r="I5532" s="1" t="str">
        <f t="shared" si="1205"/>
        <v>X</v>
      </c>
      <c r="J5532" s="1" t="str">
        <f t="shared" si="1205"/>
        <v>X</v>
      </c>
      <c r="K5532" s="1" t="str">
        <f t="shared" si="1205"/>
        <v>X</v>
      </c>
      <c r="L5532" s="1" t="str">
        <f t="shared" si="1205"/>
        <v>X</v>
      </c>
      <c r="M5532" s="1" t="str">
        <f t="shared" si="1205"/>
        <v>X</v>
      </c>
      <c r="N5532" t="s">
        <v>27</v>
      </c>
    </row>
    <row r="5533" spans="1:14" x14ac:dyDescent="0.25">
      <c r="A5533" t="s">
        <v>42</v>
      </c>
      <c r="B5533" t="s">
        <v>15</v>
      </c>
      <c r="C5533" t="s">
        <v>35</v>
      </c>
      <c r="D5533" t="s">
        <v>32</v>
      </c>
      <c r="E5533" t="s">
        <v>21</v>
      </c>
      <c r="F5533" t="s">
        <v>17</v>
      </c>
      <c r="G5533" s="1" t="str">
        <f t="shared" si="1205"/>
        <v>X</v>
      </c>
      <c r="H5533" s="1" t="str">
        <f t="shared" si="1205"/>
        <v>X</v>
      </c>
      <c r="I5533" s="1" t="str">
        <f t="shared" si="1205"/>
        <v>X</v>
      </c>
      <c r="J5533" s="1" t="str">
        <f t="shared" si="1205"/>
        <v>X</v>
      </c>
      <c r="K5533" s="1" t="str">
        <f t="shared" si="1205"/>
        <v>X</v>
      </c>
      <c r="L5533" s="1" t="str">
        <f t="shared" si="1205"/>
        <v>X</v>
      </c>
      <c r="M5533" s="1" t="str">
        <f t="shared" si="1205"/>
        <v>X</v>
      </c>
      <c r="N5533" t="s">
        <v>27</v>
      </c>
    </row>
    <row r="5534" spans="1:14" x14ac:dyDescent="0.25">
      <c r="A5534" t="s">
        <v>42</v>
      </c>
      <c r="B5534" t="s">
        <v>15</v>
      </c>
      <c r="C5534" t="s">
        <v>35</v>
      </c>
      <c r="D5534" t="s">
        <v>32</v>
      </c>
      <c r="E5534" t="s">
        <v>21</v>
      </c>
      <c r="F5534" t="s">
        <v>18</v>
      </c>
      <c r="G5534" s="1" t="str">
        <f t="shared" si="1205"/>
        <v>X</v>
      </c>
      <c r="H5534" s="1" t="str">
        <f t="shared" si="1205"/>
        <v>X</v>
      </c>
      <c r="I5534" s="1" t="str">
        <f t="shared" si="1205"/>
        <v>X</v>
      </c>
      <c r="J5534" s="1" t="str">
        <f t="shared" si="1205"/>
        <v>X</v>
      </c>
      <c r="K5534" s="1" t="str">
        <f t="shared" si="1205"/>
        <v>X</v>
      </c>
      <c r="L5534" s="1" t="str">
        <f t="shared" si="1205"/>
        <v>X</v>
      </c>
      <c r="M5534" s="1" t="str">
        <f t="shared" si="1205"/>
        <v>X</v>
      </c>
      <c r="N5534" t="s">
        <v>27</v>
      </c>
    </row>
    <row r="5535" spans="1:14" x14ac:dyDescent="0.25">
      <c r="A5535" t="s">
        <v>42</v>
      </c>
      <c r="B5535" t="s">
        <v>15</v>
      </c>
      <c r="C5535" t="s">
        <v>35</v>
      </c>
      <c r="D5535" t="s">
        <v>32</v>
      </c>
      <c r="E5535" t="s">
        <v>21</v>
      </c>
      <c r="F5535" t="s">
        <v>19</v>
      </c>
      <c r="G5535" s="1" t="str">
        <f t="shared" si="1205"/>
        <v>X</v>
      </c>
      <c r="H5535" s="1" t="str">
        <f t="shared" si="1205"/>
        <v>X</v>
      </c>
      <c r="I5535" s="1" t="str">
        <f t="shared" si="1205"/>
        <v>X</v>
      </c>
      <c r="J5535" s="1" t="str">
        <f t="shared" si="1205"/>
        <v>X</v>
      </c>
      <c r="K5535" s="1" t="str">
        <f t="shared" si="1205"/>
        <v>X</v>
      </c>
      <c r="L5535" s="1" t="str">
        <f t="shared" si="1205"/>
        <v>X</v>
      </c>
      <c r="M5535" s="1" t="str">
        <f t="shared" si="1205"/>
        <v>X</v>
      </c>
      <c r="N5535" t="s">
        <v>27</v>
      </c>
    </row>
    <row r="5536" spans="1:14" x14ac:dyDescent="0.25">
      <c r="A5536" t="s">
        <v>42</v>
      </c>
      <c r="B5536" t="s">
        <v>15</v>
      </c>
      <c r="C5536" t="s">
        <v>35</v>
      </c>
      <c r="D5536" t="s">
        <v>32</v>
      </c>
      <c r="E5536" t="s">
        <v>21</v>
      </c>
      <c r="F5536" t="s">
        <v>20</v>
      </c>
      <c r="G5536" s="1" t="str">
        <f t="shared" si="1205"/>
        <v>X</v>
      </c>
      <c r="H5536" s="1" t="str">
        <f t="shared" si="1205"/>
        <v>X</v>
      </c>
      <c r="I5536" s="1" t="str">
        <f t="shared" si="1205"/>
        <v>X</v>
      </c>
      <c r="J5536" s="1" t="str">
        <f t="shared" si="1205"/>
        <v>X</v>
      </c>
      <c r="K5536" s="1" t="str">
        <f t="shared" si="1205"/>
        <v>X</v>
      </c>
      <c r="L5536" s="1" t="str">
        <f t="shared" si="1205"/>
        <v>X</v>
      </c>
      <c r="M5536" s="1" t="str">
        <f t="shared" si="1205"/>
        <v>X</v>
      </c>
      <c r="N5536" t="s">
        <v>27</v>
      </c>
    </row>
    <row r="5537" spans="1:14" x14ac:dyDescent="0.25">
      <c r="A5537" t="s">
        <v>42</v>
      </c>
      <c r="B5537" t="s">
        <v>15</v>
      </c>
      <c r="C5537" t="s">
        <v>35</v>
      </c>
      <c r="D5537" t="s">
        <v>32</v>
      </c>
      <c r="E5537" t="s">
        <v>22</v>
      </c>
      <c r="F5537" t="s">
        <v>15</v>
      </c>
      <c r="G5537" s="2">
        <f>VALUE(828.3)</f>
        <v>828.3</v>
      </c>
      <c r="H5537" s="3">
        <f>VALUE(800)</f>
        <v>800</v>
      </c>
      <c r="I5537" s="4">
        <f>VALUE(2167)</f>
        <v>2167</v>
      </c>
      <c r="J5537" s="1">
        <f>VALUE(3090)</f>
        <v>3090</v>
      </c>
      <c r="K5537" s="6">
        <f>VALUE(3580)</f>
        <v>3580</v>
      </c>
      <c r="L5537" s="1">
        <f>VALUE(4397)</f>
        <v>4397</v>
      </c>
      <c r="M5537" s="1">
        <f>VALUE(4803)</f>
        <v>4803</v>
      </c>
      <c r="N5537" t="s">
        <v>25</v>
      </c>
    </row>
    <row r="5538" spans="1:14" x14ac:dyDescent="0.25">
      <c r="A5538" t="s">
        <v>42</v>
      </c>
      <c r="B5538" t="s">
        <v>15</v>
      </c>
      <c r="C5538" t="s">
        <v>35</v>
      </c>
      <c r="D5538" t="s">
        <v>32</v>
      </c>
      <c r="E5538" t="s">
        <v>22</v>
      </c>
      <c r="F5538" t="s">
        <v>17</v>
      </c>
      <c r="G5538" s="1" t="str">
        <f t="shared" ref="G5538:M5540" si="1206">"X"</f>
        <v>X</v>
      </c>
      <c r="H5538" s="1" t="str">
        <f t="shared" si="1206"/>
        <v>X</v>
      </c>
      <c r="I5538" s="1" t="str">
        <f t="shared" si="1206"/>
        <v>X</v>
      </c>
      <c r="J5538" s="1" t="str">
        <f t="shared" si="1206"/>
        <v>X</v>
      </c>
      <c r="K5538" s="1" t="str">
        <f t="shared" si="1206"/>
        <v>X</v>
      </c>
      <c r="L5538" s="1" t="str">
        <f t="shared" si="1206"/>
        <v>X</v>
      </c>
      <c r="M5538" s="1" t="str">
        <f t="shared" si="1206"/>
        <v>X</v>
      </c>
      <c r="N5538" t="s">
        <v>27</v>
      </c>
    </row>
    <row r="5539" spans="1:14" x14ac:dyDescent="0.25">
      <c r="A5539" t="s">
        <v>42</v>
      </c>
      <c r="B5539" t="s">
        <v>15</v>
      </c>
      <c r="C5539" t="s">
        <v>35</v>
      </c>
      <c r="D5539" t="s">
        <v>32</v>
      </c>
      <c r="E5539" t="s">
        <v>22</v>
      </c>
      <c r="F5539" t="s">
        <v>18</v>
      </c>
      <c r="G5539" s="1" t="str">
        <f t="shared" si="1206"/>
        <v>X</v>
      </c>
      <c r="H5539" s="1" t="str">
        <f t="shared" si="1206"/>
        <v>X</v>
      </c>
      <c r="I5539" s="1" t="str">
        <f t="shared" si="1206"/>
        <v>X</v>
      </c>
      <c r="J5539" s="1" t="str">
        <f t="shared" si="1206"/>
        <v>X</v>
      </c>
      <c r="K5539" s="1" t="str">
        <f t="shared" si="1206"/>
        <v>X</v>
      </c>
      <c r="L5539" s="1" t="str">
        <f t="shared" si="1206"/>
        <v>X</v>
      </c>
      <c r="M5539" s="1" t="str">
        <f t="shared" si="1206"/>
        <v>X</v>
      </c>
      <c r="N5539" t="s">
        <v>27</v>
      </c>
    </row>
    <row r="5540" spans="1:14" x14ac:dyDescent="0.25">
      <c r="A5540" t="s">
        <v>42</v>
      </c>
      <c r="B5540" t="s">
        <v>15</v>
      </c>
      <c r="C5540" t="s">
        <v>35</v>
      </c>
      <c r="D5540" t="s">
        <v>32</v>
      </c>
      <c r="E5540" t="s">
        <v>22</v>
      </c>
      <c r="F5540" t="s">
        <v>19</v>
      </c>
      <c r="G5540" s="1" t="str">
        <f t="shared" si="1206"/>
        <v>X</v>
      </c>
      <c r="H5540" s="1" t="str">
        <f t="shared" si="1206"/>
        <v>X</v>
      </c>
      <c r="I5540" s="1" t="str">
        <f t="shared" si="1206"/>
        <v>X</v>
      </c>
      <c r="J5540" s="1" t="str">
        <f t="shared" si="1206"/>
        <v>X</v>
      </c>
      <c r="K5540" s="1" t="str">
        <f t="shared" si="1206"/>
        <v>X</v>
      </c>
      <c r="L5540" s="1" t="str">
        <f t="shared" si="1206"/>
        <v>X</v>
      </c>
      <c r="M5540" s="1" t="str">
        <f t="shared" si="1206"/>
        <v>X</v>
      </c>
      <c r="N5540" t="s">
        <v>27</v>
      </c>
    </row>
    <row r="5541" spans="1:14" x14ac:dyDescent="0.25">
      <c r="A5541" t="s">
        <v>42</v>
      </c>
      <c r="B5541" t="s">
        <v>15</v>
      </c>
      <c r="C5541" t="s">
        <v>35</v>
      </c>
      <c r="D5541" t="s">
        <v>32</v>
      </c>
      <c r="E5541" t="s">
        <v>22</v>
      </c>
      <c r="F5541" t="s">
        <v>20</v>
      </c>
      <c r="G5541" s="2">
        <f>VALUE(709.07)</f>
        <v>709.07</v>
      </c>
      <c r="H5541" s="3">
        <f>VALUE(683.01)</f>
        <v>683.01</v>
      </c>
      <c r="I5541" s="4">
        <f>VALUE(2381)</f>
        <v>2381</v>
      </c>
      <c r="J5541" s="1">
        <f>VALUE(3076)</f>
        <v>3076</v>
      </c>
      <c r="K5541" s="6">
        <f>VALUE(3580)</f>
        <v>3580</v>
      </c>
      <c r="L5541" s="1">
        <f>VALUE(4310)</f>
        <v>4310</v>
      </c>
      <c r="M5541" s="1">
        <f>VALUE(4803)</f>
        <v>4803</v>
      </c>
      <c r="N5541" t="s">
        <v>25</v>
      </c>
    </row>
    <row r="5542" spans="1:14" x14ac:dyDescent="0.25">
      <c r="A5542" t="s">
        <v>42</v>
      </c>
      <c r="B5542" t="s">
        <v>15</v>
      </c>
      <c r="C5542" t="s">
        <v>35</v>
      </c>
      <c r="D5542" t="s">
        <v>32</v>
      </c>
      <c r="E5542" t="s">
        <v>23</v>
      </c>
      <c r="F5542" t="s">
        <v>15</v>
      </c>
      <c r="G5542" s="2">
        <f>VALUE(1301.1)</f>
        <v>1301.0999999999999</v>
      </c>
      <c r="H5542" s="3">
        <f>VALUE(1275.67)</f>
        <v>1275.67</v>
      </c>
      <c r="I5542" s="4">
        <f>VALUE(2372)</f>
        <v>2372</v>
      </c>
      <c r="J5542" s="1">
        <f>VALUE(2600)</f>
        <v>2600</v>
      </c>
      <c r="K5542" s="1">
        <f>VALUE(2892)</f>
        <v>2892</v>
      </c>
      <c r="L5542" s="1">
        <f>VALUE(3452)</f>
        <v>3452</v>
      </c>
      <c r="M5542" s="1">
        <f>VALUE(3785)</f>
        <v>3785</v>
      </c>
      <c r="N5542" t="s">
        <v>25</v>
      </c>
    </row>
    <row r="5543" spans="1:14" x14ac:dyDescent="0.25">
      <c r="A5543" t="s">
        <v>42</v>
      </c>
      <c r="B5543" t="s">
        <v>15</v>
      </c>
      <c r="C5543" t="s">
        <v>35</v>
      </c>
      <c r="D5543" t="s">
        <v>32</v>
      </c>
      <c r="E5543" t="s">
        <v>23</v>
      </c>
      <c r="F5543" t="s">
        <v>17</v>
      </c>
      <c r="G5543" s="1" t="str">
        <f t="shared" ref="G5543:M5543" si="1207">"..."</f>
        <v>...</v>
      </c>
      <c r="H5543" s="1" t="str">
        <f t="shared" si="1207"/>
        <v>...</v>
      </c>
      <c r="I5543" s="1" t="str">
        <f t="shared" si="1207"/>
        <v>...</v>
      </c>
      <c r="J5543" s="1" t="str">
        <f t="shared" si="1207"/>
        <v>...</v>
      </c>
      <c r="K5543" s="1" t="str">
        <f t="shared" si="1207"/>
        <v>...</v>
      </c>
      <c r="L5543" s="1" t="str">
        <f t="shared" si="1207"/>
        <v>...</v>
      </c>
      <c r="M5543" s="1" t="str">
        <f t="shared" si="1207"/>
        <v>...</v>
      </c>
      <c r="N5543" t="s">
        <v>30</v>
      </c>
    </row>
    <row r="5544" spans="1:14" x14ac:dyDescent="0.25">
      <c r="A5544" t="s">
        <v>42</v>
      </c>
      <c r="B5544" t="s">
        <v>15</v>
      </c>
      <c r="C5544" t="s">
        <v>35</v>
      </c>
      <c r="D5544" t="s">
        <v>32</v>
      </c>
      <c r="E5544" t="s">
        <v>23</v>
      </c>
      <c r="F5544" t="s">
        <v>18</v>
      </c>
      <c r="G5544" s="1" t="str">
        <f t="shared" ref="G5544:M5545" si="1208">"X"</f>
        <v>X</v>
      </c>
      <c r="H5544" s="1" t="str">
        <f t="shared" si="1208"/>
        <v>X</v>
      </c>
      <c r="I5544" s="1" t="str">
        <f t="shared" si="1208"/>
        <v>X</v>
      </c>
      <c r="J5544" s="1" t="str">
        <f t="shared" si="1208"/>
        <v>X</v>
      </c>
      <c r="K5544" s="1" t="str">
        <f t="shared" si="1208"/>
        <v>X</v>
      </c>
      <c r="L5544" s="1" t="str">
        <f t="shared" si="1208"/>
        <v>X</v>
      </c>
      <c r="M5544" s="1" t="str">
        <f t="shared" si="1208"/>
        <v>X</v>
      </c>
      <c r="N5544" t="s">
        <v>27</v>
      </c>
    </row>
    <row r="5545" spans="1:14" x14ac:dyDescent="0.25">
      <c r="A5545" t="s">
        <v>42</v>
      </c>
      <c r="B5545" t="s">
        <v>15</v>
      </c>
      <c r="C5545" t="s">
        <v>35</v>
      </c>
      <c r="D5545" t="s">
        <v>32</v>
      </c>
      <c r="E5545" t="s">
        <v>23</v>
      </c>
      <c r="F5545" t="s">
        <v>19</v>
      </c>
      <c r="G5545" s="1" t="str">
        <f t="shared" si="1208"/>
        <v>X</v>
      </c>
      <c r="H5545" s="1" t="str">
        <f t="shared" si="1208"/>
        <v>X</v>
      </c>
      <c r="I5545" s="1" t="str">
        <f t="shared" si="1208"/>
        <v>X</v>
      </c>
      <c r="J5545" s="1" t="str">
        <f t="shared" si="1208"/>
        <v>X</v>
      </c>
      <c r="K5545" s="1" t="str">
        <f t="shared" si="1208"/>
        <v>X</v>
      </c>
      <c r="L5545" s="1" t="str">
        <f t="shared" si="1208"/>
        <v>X</v>
      </c>
      <c r="M5545" s="1" t="str">
        <f t="shared" si="1208"/>
        <v>X</v>
      </c>
      <c r="N5545" t="s">
        <v>27</v>
      </c>
    </row>
    <row r="5546" spans="1:14" x14ac:dyDescent="0.25">
      <c r="A5546" t="s">
        <v>42</v>
      </c>
      <c r="B5546" t="s">
        <v>15</v>
      </c>
      <c r="C5546" t="s">
        <v>35</v>
      </c>
      <c r="D5546" t="s">
        <v>32</v>
      </c>
      <c r="E5546" t="s">
        <v>23</v>
      </c>
      <c r="F5546" t="s">
        <v>20</v>
      </c>
      <c r="G5546" s="2">
        <f>VALUE(1218.41)</f>
        <v>1218.4100000000001</v>
      </c>
      <c r="H5546" s="3">
        <f>VALUE(1191.98)</f>
        <v>1191.98</v>
      </c>
      <c r="I5546" s="4">
        <f>VALUE(2360)</f>
        <v>2360</v>
      </c>
      <c r="J5546" s="1">
        <f>VALUE(2600)</f>
        <v>2600</v>
      </c>
      <c r="K5546" s="1">
        <f>VALUE(2891)</f>
        <v>2891</v>
      </c>
      <c r="L5546" s="1">
        <f>VALUE(3449)</f>
        <v>3449</v>
      </c>
      <c r="M5546" s="1">
        <f>VALUE(3716)</f>
        <v>3716</v>
      </c>
      <c r="N5546" t="s">
        <v>25</v>
      </c>
    </row>
    <row r="5547" spans="1:14" x14ac:dyDescent="0.25">
      <c r="A5547" t="s">
        <v>42</v>
      </c>
      <c r="B5547" t="s">
        <v>15</v>
      </c>
      <c r="C5547" t="s">
        <v>35</v>
      </c>
      <c r="D5547" t="s">
        <v>32</v>
      </c>
      <c r="E5547" t="s">
        <v>26</v>
      </c>
      <c r="F5547" t="s">
        <v>15</v>
      </c>
      <c r="G5547" s="1" t="str">
        <f t="shared" ref="G5547:M5547" si="1209">"X"</f>
        <v>X</v>
      </c>
      <c r="H5547" s="1" t="str">
        <f t="shared" si="1209"/>
        <v>X</v>
      </c>
      <c r="I5547" s="1" t="str">
        <f t="shared" si="1209"/>
        <v>X</v>
      </c>
      <c r="J5547" s="1" t="str">
        <f t="shared" si="1209"/>
        <v>X</v>
      </c>
      <c r="K5547" s="1" t="str">
        <f t="shared" si="1209"/>
        <v>X</v>
      </c>
      <c r="L5547" s="1" t="str">
        <f t="shared" si="1209"/>
        <v>X</v>
      </c>
      <c r="M5547" s="1" t="str">
        <f t="shared" si="1209"/>
        <v>X</v>
      </c>
      <c r="N5547" t="s">
        <v>27</v>
      </c>
    </row>
    <row r="5548" spans="1:14" x14ac:dyDescent="0.25">
      <c r="A5548" t="s">
        <v>42</v>
      </c>
      <c r="B5548" t="s">
        <v>15</v>
      </c>
      <c r="C5548" t="s">
        <v>35</v>
      </c>
      <c r="D5548" t="s">
        <v>32</v>
      </c>
      <c r="E5548" t="s">
        <v>26</v>
      </c>
      <c r="F5548" t="s">
        <v>17</v>
      </c>
      <c r="G5548" s="1" t="str">
        <f t="shared" ref="G5548:M5549" si="1210">"..."</f>
        <v>...</v>
      </c>
      <c r="H5548" s="1" t="str">
        <f t="shared" si="1210"/>
        <v>...</v>
      </c>
      <c r="I5548" s="1" t="str">
        <f t="shared" si="1210"/>
        <v>...</v>
      </c>
      <c r="J5548" s="1" t="str">
        <f t="shared" si="1210"/>
        <v>...</v>
      </c>
      <c r="K5548" s="1" t="str">
        <f t="shared" si="1210"/>
        <v>...</v>
      </c>
      <c r="L5548" s="1" t="str">
        <f t="shared" si="1210"/>
        <v>...</v>
      </c>
      <c r="M5548" s="1" t="str">
        <f t="shared" si="1210"/>
        <v>...</v>
      </c>
      <c r="N5548" t="s">
        <v>30</v>
      </c>
    </row>
    <row r="5549" spans="1:14" x14ac:dyDescent="0.25">
      <c r="A5549" t="s">
        <v>42</v>
      </c>
      <c r="B5549" t="s">
        <v>15</v>
      </c>
      <c r="C5549" t="s">
        <v>35</v>
      </c>
      <c r="D5549" t="s">
        <v>32</v>
      </c>
      <c r="E5549" t="s">
        <v>26</v>
      </c>
      <c r="F5549" t="s">
        <v>18</v>
      </c>
      <c r="G5549" s="1" t="str">
        <f t="shared" si="1210"/>
        <v>...</v>
      </c>
      <c r="H5549" s="1" t="str">
        <f t="shared" si="1210"/>
        <v>...</v>
      </c>
      <c r="I5549" s="1" t="str">
        <f t="shared" si="1210"/>
        <v>...</v>
      </c>
      <c r="J5549" s="1" t="str">
        <f t="shared" si="1210"/>
        <v>...</v>
      </c>
      <c r="K5549" s="1" t="str">
        <f t="shared" si="1210"/>
        <v>...</v>
      </c>
      <c r="L5549" s="1" t="str">
        <f t="shared" si="1210"/>
        <v>...</v>
      </c>
      <c r="M5549" s="1" t="str">
        <f t="shared" si="1210"/>
        <v>...</v>
      </c>
      <c r="N5549" t="s">
        <v>30</v>
      </c>
    </row>
    <row r="5550" spans="1:14" x14ac:dyDescent="0.25">
      <c r="A5550" t="s">
        <v>42</v>
      </c>
      <c r="B5550" t="s">
        <v>15</v>
      </c>
      <c r="C5550" t="s">
        <v>35</v>
      </c>
      <c r="D5550" t="s">
        <v>32</v>
      </c>
      <c r="E5550" t="s">
        <v>26</v>
      </c>
      <c r="F5550" t="s">
        <v>19</v>
      </c>
      <c r="G5550" s="1" t="str">
        <f t="shared" ref="G5550:M5552" si="1211">"X"</f>
        <v>X</v>
      </c>
      <c r="H5550" s="1" t="str">
        <f t="shared" si="1211"/>
        <v>X</v>
      </c>
      <c r="I5550" s="1" t="str">
        <f t="shared" si="1211"/>
        <v>X</v>
      </c>
      <c r="J5550" s="1" t="str">
        <f t="shared" si="1211"/>
        <v>X</v>
      </c>
      <c r="K5550" s="1" t="str">
        <f t="shared" si="1211"/>
        <v>X</v>
      </c>
      <c r="L5550" s="1" t="str">
        <f t="shared" si="1211"/>
        <v>X</v>
      </c>
      <c r="M5550" s="1" t="str">
        <f t="shared" si="1211"/>
        <v>X</v>
      </c>
      <c r="N5550" t="s">
        <v>27</v>
      </c>
    </row>
    <row r="5551" spans="1:14" x14ac:dyDescent="0.25">
      <c r="A5551" t="s">
        <v>42</v>
      </c>
      <c r="B5551" t="s">
        <v>15</v>
      </c>
      <c r="C5551" t="s">
        <v>35</v>
      </c>
      <c r="D5551" t="s">
        <v>32</v>
      </c>
      <c r="E5551" t="s">
        <v>26</v>
      </c>
      <c r="F5551" t="s">
        <v>20</v>
      </c>
      <c r="G5551" s="1" t="str">
        <f t="shared" si="1211"/>
        <v>X</v>
      </c>
      <c r="H5551" s="1" t="str">
        <f t="shared" si="1211"/>
        <v>X</v>
      </c>
      <c r="I5551" s="1" t="str">
        <f t="shared" si="1211"/>
        <v>X</v>
      </c>
      <c r="J5551" s="1" t="str">
        <f t="shared" si="1211"/>
        <v>X</v>
      </c>
      <c r="K5551" s="1" t="str">
        <f t="shared" si="1211"/>
        <v>X</v>
      </c>
      <c r="L5551" s="1" t="str">
        <f t="shared" si="1211"/>
        <v>X</v>
      </c>
      <c r="M5551" s="1" t="str">
        <f t="shared" si="1211"/>
        <v>X</v>
      </c>
      <c r="N5551" t="s">
        <v>27</v>
      </c>
    </row>
    <row r="5552" spans="1:14" x14ac:dyDescent="0.25">
      <c r="A5552" t="s">
        <v>42</v>
      </c>
      <c r="B5552" t="s">
        <v>15</v>
      </c>
      <c r="C5552" t="s">
        <v>35</v>
      </c>
      <c r="D5552" t="s">
        <v>33</v>
      </c>
      <c r="E5552" t="s">
        <v>15</v>
      </c>
      <c r="F5552" t="s">
        <v>15</v>
      </c>
      <c r="G5552" s="1" t="str">
        <f t="shared" si="1211"/>
        <v>X</v>
      </c>
      <c r="H5552" s="1" t="str">
        <f t="shared" si="1211"/>
        <v>X</v>
      </c>
      <c r="I5552" s="1" t="str">
        <f t="shared" si="1211"/>
        <v>X</v>
      </c>
      <c r="J5552" s="1" t="str">
        <f t="shared" si="1211"/>
        <v>X</v>
      </c>
      <c r="K5552" s="1" t="str">
        <f t="shared" si="1211"/>
        <v>X</v>
      </c>
      <c r="L5552" s="1" t="str">
        <f t="shared" si="1211"/>
        <v>X</v>
      </c>
      <c r="M5552" s="1" t="str">
        <f t="shared" si="1211"/>
        <v>X</v>
      </c>
      <c r="N5552" t="s">
        <v>27</v>
      </c>
    </row>
    <row r="5553" spans="1:14" x14ac:dyDescent="0.25">
      <c r="A5553" t="s">
        <v>42</v>
      </c>
      <c r="B5553" t="s">
        <v>15</v>
      </c>
      <c r="C5553" t="s">
        <v>35</v>
      </c>
      <c r="D5553" t="s">
        <v>33</v>
      </c>
      <c r="E5553" t="s">
        <v>15</v>
      </c>
      <c r="F5553" t="s">
        <v>17</v>
      </c>
      <c r="G5553" s="1" t="str">
        <f t="shared" ref="G5553:M5553" si="1212">"..."</f>
        <v>...</v>
      </c>
      <c r="H5553" s="1" t="str">
        <f t="shared" si="1212"/>
        <v>...</v>
      </c>
      <c r="I5553" s="1" t="str">
        <f t="shared" si="1212"/>
        <v>...</v>
      </c>
      <c r="J5553" s="1" t="str">
        <f t="shared" si="1212"/>
        <v>...</v>
      </c>
      <c r="K5553" s="1" t="str">
        <f t="shared" si="1212"/>
        <v>...</v>
      </c>
      <c r="L5553" s="1" t="str">
        <f t="shared" si="1212"/>
        <v>...</v>
      </c>
      <c r="M5553" s="1" t="str">
        <f t="shared" si="1212"/>
        <v>...</v>
      </c>
      <c r="N5553" t="s">
        <v>30</v>
      </c>
    </row>
    <row r="5554" spans="1:14" x14ac:dyDescent="0.25">
      <c r="A5554" t="s">
        <v>42</v>
      </c>
      <c r="B5554" t="s">
        <v>15</v>
      </c>
      <c r="C5554" t="s">
        <v>35</v>
      </c>
      <c r="D5554" t="s">
        <v>33</v>
      </c>
      <c r="E5554" t="s">
        <v>15</v>
      </c>
      <c r="F5554" t="s">
        <v>18</v>
      </c>
      <c r="G5554" s="1" t="str">
        <f t="shared" ref="G5554:M5554" si="1213">"X"</f>
        <v>X</v>
      </c>
      <c r="H5554" s="1" t="str">
        <f t="shared" si="1213"/>
        <v>X</v>
      </c>
      <c r="I5554" s="1" t="str">
        <f t="shared" si="1213"/>
        <v>X</v>
      </c>
      <c r="J5554" s="1" t="str">
        <f t="shared" si="1213"/>
        <v>X</v>
      </c>
      <c r="K5554" s="1" t="str">
        <f t="shared" si="1213"/>
        <v>X</v>
      </c>
      <c r="L5554" s="1" t="str">
        <f t="shared" si="1213"/>
        <v>X</v>
      </c>
      <c r="M5554" s="1" t="str">
        <f t="shared" si="1213"/>
        <v>X</v>
      </c>
      <c r="N5554" t="s">
        <v>27</v>
      </c>
    </row>
    <row r="5555" spans="1:14" x14ac:dyDescent="0.25">
      <c r="A5555" t="s">
        <v>42</v>
      </c>
      <c r="B5555" t="s">
        <v>15</v>
      </c>
      <c r="C5555" t="s">
        <v>35</v>
      </c>
      <c r="D5555" t="s">
        <v>33</v>
      </c>
      <c r="E5555" t="s">
        <v>15</v>
      </c>
      <c r="F5555" t="s">
        <v>19</v>
      </c>
      <c r="G5555" s="1" t="str">
        <f t="shared" ref="G5555:M5555" si="1214">"..."</f>
        <v>...</v>
      </c>
      <c r="H5555" s="1" t="str">
        <f t="shared" si="1214"/>
        <v>...</v>
      </c>
      <c r="I5555" s="1" t="str">
        <f t="shared" si="1214"/>
        <v>...</v>
      </c>
      <c r="J5555" s="1" t="str">
        <f t="shared" si="1214"/>
        <v>...</v>
      </c>
      <c r="K5555" s="1" t="str">
        <f t="shared" si="1214"/>
        <v>...</v>
      </c>
      <c r="L5555" s="1" t="str">
        <f t="shared" si="1214"/>
        <v>...</v>
      </c>
      <c r="M5555" s="1" t="str">
        <f t="shared" si="1214"/>
        <v>...</v>
      </c>
      <c r="N5555" t="s">
        <v>30</v>
      </c>
    </row>
    <row r="5556" spans="1:14" x14ac:dyDescent="0.25">
      <c r="A5556" t="s">
        <v>42</v>
      </c>
      <c r="B5556" t="s">
        <v>15</v>
      </c>
      <c r="C5556" t="s">
        <v>35</v>
      </c>
      <c r="D5556" t="s">
        <v>33</v>
      </c>
      <c r="E5556" t="s">
        <v>15</v>
      </c>
      <c r="F5556" t="s">
        <v>20</v>
      </c>
      <c r="G5556" s="1" t="str">
        <f t="shared" ref="G5556:M5557" si="1215">"X"</f>
        <v>X</v>
      </c>
      <c r="H5556" s="1" t="str">
        <f t="shared" si="1215"/>
        <v>X</v>
      </c>
      <c r="I5556" s="1" t="str">
        <f t="shared" si="1215"/>
        <v>X</v>
      </c>
      <c r="J5556" s="1" t="str">
        <f t="shared" si="1215"/>
        <v>X</v>
      </c>
      <c r="K5556" s="1" t="str">
        <f t="shared" si="1215"/>
        <v>X</v>
      </c>
      <c r="L5556" s="1" t="str">
        <f t="shared" si="1215"/>
        <v>X</v>
      </c>
      <c r="M5556" s="1" t="str">
        <f t="shared" si="1215"/>
        <v>X</v>
      </c>
      <c r="N5556" t="s">
        <v>27</v>
      </c>
    </row>
    <row r="5557" spans="1:14" x14ac:dyDescent="0.25">
      <c r="A5557" t="s">
        <v>42</v>
      </c>
      <c r="B5557" t="s">
        <v>15</v>
      </c>
      <c r="C5557" t="s">
        <v>35</v>
      </c>
      <c r="D5557" t="s">
        <v>33</v>
      </c>
      <c r="E5557" t="s">
        <v>21</v>
      </c>
      <c r="F5557" t="s">
        <v>15</v>
      </c>
      <c r="G5557" s="1" t="str">
        <f t="shared" si="1215"/>
        <v>X</v>
      </c>
      <c r="H5557" s="1" t="str">
        <f t="shared" si="1215"/>
        <v>X</v>
      </c>
      <c r="I5557" s="1" t="str">
        <f t="shared" si="1215"/>
        <v>X</v>
      </c>
      <c r="J5557" s="1" t="str">
        <f t="shared" si="1215"/>
        <v>X</v>
      </c>
      <c r="K5557" s="1" t="str">
        <f t="shared" si="1215"/>
        <v>X</v>
      </c>
      <c r="L5557" s="1" t="str">
        <f t="shared" si="1215"/>
        <v>X</v>
      </c>
      <c r="M5557" s="1" t="str">
        <f t="shared" si="1215"/>
        <v>X</v>
      </c>
      <c r="N5557" t="s">
        <v>27</v>
      </c>
    </row>
    <row r="5558" spans="1:14" x14ac:dyDescent="0.25">
      <c r="A5558" t="s">
        <v>42</v>
      </c>
      <c r="B5558" t="s">
        <v>15</v>
      </c>
      <c r="C5558" t="s">
        <v>35</v>
      </c>
      <c r="D5558" t="s">
        <v>33</v>
      </c>
      <c r="E5558" t="s">
        <v>21</v>
      </c>
      <c r="F5558" t="s">
        <v>17</v>
      </c>
      <c r="G5558" s="1" t="str">
        <f t="shared" ref="G5558:M5558" si="1216">"..."</f>
        <v>...</v>
      </c>
      <c r="H5558" s="1" t="str">
        <f t="shared" si="1216"/>
        <v>...</v>
      </c>
      <c r="I5558" s="1" t="str">
        <f t="shared" si="1216"/>
        <v>...</v>
      </c>
      <c r="J5558" s="1" t="str">
        <f t="shared" si="1216"/>
        <v>...</v>
      </c>
      <c r="K5558" s="1" t="str">
        <f t="shared" si="1216"/>
        <v>...</v>
      </c>
      <c r="L5558" s="1" t="str">
        <f t="shared" si="1216"/>
        <v>...</v>
      </c>
      <c r="M5558" s="1" t="str">
        <f t="shared" si="1216"/>
        <v>...</v>
      </c>
      <c r="N5558" t="s">
        <v>30</v>
      </c>
    </row>
    <row r="5559" spans="1:14" x14ac:dyDescent="0.25">
      <c r="A5559" t="s">
        <v>42</v>
      </c>
      <c r="B5559" t="s">
        <v>15</v>
      </c>
      <c r="C5559" t="s">
        <v>35</v>
      </c>
      <c r="D5559" t="s">
        <v>33</v>
      </c>
      <c r="E5559" t="s">
        <v>21</v>
      </c>
      <c r="F5559" t="s">
        <v>18</v>
      </c>
      <c r="G5559" s="1" t="str">
        <f t="shared" ref="G5559:M5559" si="1217">"X"</f>
        <v>X</v>
      </c>
      <c r="H5559" s="1" t="str">
        <f t="shared" si="1217"/>
        <v>X</v>
      </c>
      <c r="I5559" s="1" t="str">
        <f t="shared" si="1217"/>
        <v>X</v>
      </c>
      <c r="J5559" s="1" t="str">
        <f t="shared" si="1217"/>
        <v>X</v>
      </c>
      <c r="K5559" s="1" t="str">
        <f t="shared" si="1217"/>
        <v>X</v>
      </c>
      <c r="L5559" s="1" t="str">
        <f t="shared" si="1217"/>
        <v>X</v>
      </c>
      <c r="M5559" s="1" t="str">
        <f t="shared" si="1217"/>
        <v>X</v>
      </c>
      <c r="N5559" t="s">
        <v>27</v>
      </c>
    </row>
    <row r="5560" spans="1:14" x14ac:dyDescent="0.25">
      <c r="A5560" t="s">
        <v>42</v>
      </c>
      <c r="B5560" t="s">
        <v>15</v>
      </c>
      <c r="C5560" t="s">
        <v>35</v>
      </c>
      <c r="D5560" t="s">
        <v>33</v>
      </c>
      <c r="E5560" t="s">
        <v>21</v>
      </c>
      <c r="F5560" t="s">
        <v>19</v>
      </c>
      <c r="G5560" s="1" t="str">
        <f t="shared" ref="G5560:M5560" si="1218">"..."</f>
        <v>...</v>
      </c>
      <c r="H5560" s="1" t="str">
        <f t="shared" si="1218"/>
        <v>...</v>
      </c>
      <c r="I5560" s="1" t="str">
        <f t="shared" si="1218"/>
        <v>...</v>
      </c>
      <c r="J5560" s="1" t="str">
        <f t="shared" si="1218"/>
        <v>...</v>
      </c>
      <c r="K5560" s="1" t="str">
        <f t="shared" si="1218"/>
        <v>...</v>
      </c>
      <c r="L5560" s="1" t="str">
        <f t="shared" si="1218"/>
        <v>...</v>
      </c>
      <c r="M5560" s="1" t="str">
        <f t="shared" si="1218"/>
        <v>...</v>
      </c>
      <c r="N5560" t="s">
        <v>30</v>
      </c>
    </row>
    <row r="5561" spans="1:14" x14ac:dyDescent="0.25">
      <c r="A5561" t="s">
        <v>42</v>
      </c>
      <c r="B5561" t="s">
        <v>15</v>
      </c>
      <c r="C5561" t="s">
        <v>35</v>
      </c>
      <c r="D5561" t="s">
        <v>33</v>
      </c>
      <c r="E5561" t="s">
        <v>21</v>
      </c>
      <c r="F5561" t="s">
        <v>20</v>
      </c>
      <c r="G5561" s="1" t="str">
        <f t="shared" ref="G5561:M5562" si="1219">"X"</f>
        <v>X</v>
      </c>
      <c r="H5561" s="1" t="str">
        <f t="shared" si="1219"/>
        <v>X</v>
      </c>
      <c r="I5561" s="1" t="str">
        <f t="shared" si="1219"/>
        <v>X</v>
      </c>
      <c r="J5561" s="1" t="str">
        <f t="shared" si="1219"/>
        <v>X</v>
      </c>
      <c r="K5561" s="1" t="str">
        <f t="shared" si="1219"/>
        <v>X</v>
      </c>
      <c r="L5561" s="1" t="str">
        <f t="shared" si="1219"/>
        <v>X</v>
      </c>
      <c r="M5561" s="1" t="str">
        <f t="shared" si="1219"/>
        <v>X</v>
      </c>
      <c r="N5561" t="s">
        <v>27</v>
      </c>
    </row>
    <row r="5562" spans="1:14" x14ac:dyDescent="0.25">
      <c r="A5562" t="s">
        <v>42</v>
      </c>
      <c r="B5562" t="s">
        <v>15</v>
      </c>
      <c r="C5562" t="s">
        <v>35</v>
      </c>
      <c r="D5562" t="s">
        <v>33</v>
      </c>
      <c r="E5562" t="s">
        <v>22</v>
      </c>
      <c r="F5562" t="s">
        <v>15</v>
      </c>
      <c r="G5562" s="1" t="str">
        <f t="shared" si="1219"/>
        <v>X</v>
      </c>
      <c r="H5562" s="1" t="str">
        <f t="shared" si="1219"/>
        <v>X</v>
      </c>
      <c r="I5562" s="1" t="str">
        <f t="shared" si="1219"/>
        <v>X</v>
      </c>
      <c r="J5562" s="1" t="str">
        <f t="shared" si="1219"/>
        <v>X</v>
      </c>
      <c r="K5562" s="1" t="str">
        <f t="shared" si="1219"/>
        <v>X</v>
      </c>
      <c r="L5562" s="1" t="str">
        <f t="shared" si="1219"/>
        <v>X</v>
      </c>
      <c r="M5562" s="1" t="str">
        <f t="shared" si="1219"/>
        <v>X</v>
      </c>
      <c r="N5562" t="s">
        <v>27</v>
      </c>
    </row>
    <row r="5563" spans="1:14" x14ac:dyDescent="0.25">
      <c r="A5563" t="s">
        <v>42</v>
      </c>
      <c r="B5563" t="s">
        <v>15</v>
      </c>
      <c r="C5563" t="s">
        <v>35</v>
      </c>
      <c r="D5563" t="s">
        <v>33</v>
      </c>
      <c r="E5563" t="s">
        <v>22</v>
      </c>
      <c r="F5563" t="s">
        <v>17</v>
      </c>
      <c r="G5563" s="1" t="str">
        <f t="shared" ref="G5563:M5565" si="1220">"..."</f>
        <v>...</v>
      </c>
      <c r="H5563" s="1" t="str">
        <f t="shared" si="1220"/>
        <v>...</v>
      </c>
      <c r="I5563" s="1" t="str">
        <f t="shared" si="1220"/>
        <v>...</v>
      </c>
      <c r="J5563" s="1" t="str">
        <f t="shared" si="1220"/>
        <v>...</v>
      </c>
      <c r="K5563" s="1" t="str">
        <f t="shared" si="1220"/>
        <v>...</v>
      </c>
      <c r="L5563" s="1" t="str">
        <f t="shared" si="1220"/>
        <v>...</v>
      </c>
      <c r="M5563" s="1" t="str">
        <f t="shared" si="1220"/>
        <v>...</v>
      </c>
      <c r="N5563" t="s">
        <v>30</v>
      </c>
    </row>
    <row r="5564" spans="1:14" x14ac:dyDescent="0.25">
      <c r="A5564" t="s">
        <v>42</v>
      </c>
      <c r="B5564" t="s">
        <v>15</v>
      </c>
      <c r="C5564" t="s">
        <v>35</v>
      </c>
      <c r="D5564" t="s">
        <v>33</v>
      </c>
      <c r="E5564" t="s">
        <v>22</v>
      </c>
      <c r="F5564" t="s">
        <v>18</v>
      </c>
      <c r="G5564" s="1" t="str">
        <f t="shared" si="1220"/>
        <v>...</v>
      </c>
      <c r="H5564" s="1" t="str">
        <f t="shared" si="1220"/>
        <v>...</v>
      </c>
      <c r="I5564" s="1" t="str">
        <f t="shared" si="1220"/>
        <v>...</v>
      </c>
      <c r="J5564" s="1" t="str">
        <f t="shared" si="1220"/>
        <v>...</v>
      </c>
      <c r="K5564" s="1" t="str">
        <f t="shared" si="1220"/>
        <v>...</v>
      </c>
      <c r="L5564" s="1" t="str">
        <f t="shared" si="1220"/>
        <v>...</v>
      </c>
      <c r="M5564" s="1" t="str">
        <f t="shared" si="1220"/>
        <v>...</v>
      </c>
      <c r="N5564" t="s">
        <v>30</v>
      </c>
    </row>
    <row r="5565" spans="1:14" x14ac:dyDescent="0.25">
      <c r="A5565" t="s">
        <v>42</v>
      </c>
      <c r="B5565" t="s">
        <v>15</v>
      </c>
      <c r="C5565" t="s">
        <v>35</v>
      </c>
      <c r="D5565" t="s">
        <v>33</v>
      </c>
      <c r="E5565" t="s">
        <v>22</v>
      </c>
      <c r="F5565" t="s">
        <v>19</v>
      </c>
      <c r="G5565" s="1" t="str">
        <f t="shared" si="1220"/>
        <v>...</v>
      </c>
      <c r="H5565" s="1" t="str">
        <f t="shared" si="1220"/>
        <v>...</v>
      </c>
      <c r="I5565" s="1" t="str">
        <f t="shared" si="1220"/>
        <v>...</v>
      </c>
      <c r="J5565" s="1" t="str">
        <f t="shared" si="1220"/>
        <v>...</v>
      </c>
      <c r="K5565" s="1" t="str">
        <f t="shared" si="1220"/>
        <v>...</v>
      </c>
      <c r="L5565" s="1" t="str">
        <f t="shared" si="1220"/>
        <v>...</v>
      </c>
      <c r="M5565" s="1" t="str">
        <f t="shared" si="1220"/>
        <v>...</v>
      </c>
      <c r="N5565" t="s">
        <v>30</v>
      </c>
    </row>
    <row r="5566" spans="1:14" x14ac:dyDescent="0.25">
      <c r="A5566" t="s">
        <v>42</v>
      </c>
      <c r="B5566" t="s">
        <v>15</v>
      </c>
      <c r="C5566" t="s">
        <v>35</v>
      </c>
      <c r="D5566" t="s">
        <v>33</v>
      </c>
      <c r="E5566" t="s">
        <v>22</v>
      </c>
      <c r="F5566" t="s">
        <v>20</v>
      </c>
      <c r="G5566" s="1" t="str">
        <f t="shared" ref="G5566:M5567" si="1221">"X"</f>
        <v>X</v>
      </c>
      <c r="H5566" s="1" t="str">
        <f t="shared" si="1221"/>
        <v>X</v>
      </c>
      <c r="I5566" s="1" t="str">
        <f t="shared" si="1221"/>
        <v>X</v>
      </c>
      <c r="J5566" s="1" t="str">
        <f t="shared" si="1221"/>
        <v>X</v>
      </c>
      <c r="K5566" s="1" t="str">
        <f t="shared" si="1221"/>
        <v>X</v>
      </c>
      <c r="L5566" s="1" t="str">
        <f t="shared" si="1221"/>
        <v>X</v>
      </c>
      <c r="M5566" s="1" t="str">
        <f t="shared" si="1221"/>
        <v>X</v>
      </c>
      <c r="N5566" t="s">
        <v>27</v>
      </c>
    </row>
    <row r="5567" spans="1:14" x14ac:dyDescent="0.25">
      <c r="A5567" t="s">
        <v>42</v>
      </c>
      <c r="B5567" t="s">
        <v>15</v>
      </c>
      <c r="C5567" t="s">
        <v>35</v>
      </c>
      <c r="D5567" t="s">
        <v>33</v>
      </c>
      <c r="E5567" t="s">
        <v>23</v>
      </c>
      <c r="F5567" t="s">
        <v>15</v>
      </c>
      <c r="G5567" s="1" t="str">
        <f t="shared" si="1221"/>
        <v>X</v>
      </c>
      <c r="H5567" s="1" t="str">
        <f t="shared" si="1221"/>
        <v>X</v>
      </c>
      <c r="I5567" s="1" t="str">
        <f t="shared" si="1221"/>
        <v>X</v>
      </c>
      <c r="J5567" s="1" t="str">
        <f t="shared" si="1221"/>
        <v>X</v>
      </c>
      <c r="K5567" s="1" t="str">
        <f t="shared" si="1221"/>
        <v>X</v>
      </c>
      <c r="L5567" s="1" t="str">
        <f t="shared" si="1221"/>
        <v>X</v>
      </c>
      <c r="M5567" s="1" t="str">
        <f t="shared" si="1221"/>
        <v>X</v>
      </c>
      <c r="N5567" t="s">
        <v>27</v>
      </c>
    </row>
    <row r="5568" spans="1:14" x14ac:dyDescent="0.25">
      <c r="A5568" t="s">
        <v>42</v>
      </c>
      <c r="B5568" t="s">
        <v>15</v>
      </c>
      <c r="C5568" t="s">
        <v>35</v>
      </c>
      <c r="D5568" t="s">
        <v>33</v>
      </c>
      <c r="E5568" t="s">
        <v>23</v>
      </c>
      <c r="F5568" t="s">
        <v>17</v>
      </c>
      <c r="G5568" s="1" t="str">
        <f t="shared" ref="G5568:M5570" si="1222">"..."</f>
        <v>...</v>
      </c>
      <c r="H5568" s="1" t="str">
        <f t="shared" si="1222"/>
        <v>...</v>
      </c>
      <c r="I5568" s="1" t="str">
        <f t="shared" si="1222"/>
        <v>...</v>
      </c>
      <c r="J5568" s="1" t="str">
        <f t="shared" si="1222"/>
        <v>...</v>
      </c>
      <c r="K5568" s="1" t="str">
        <f t="shared" si="1222"/>
        <v>...</v>
      </c>
      <c r="L5568" s="1" t="str">
        <f t="shared" si="1222"/>
        <v>...</v>
      </c>
      <c r="M5568" s="1" t="str">
        <f t="shared" si="1222"/>
        <v>...</v>
      </c>
      <c r="N5568" t="s">
        <v>30</v>
      </c>
    </row>
    <row r="5569" spans="1:14" x14ac:dyDescent="0.25">
      <c r="A5569" t="s">
        <v>42</v>
      </c>
      <c r="B5569" t="s">
        <v>15</v>
      </c>
      <c r="C5569" t="s">
        <v>35</v>
      </c>
      <c r="D5569" t="s">
        <v>33</v>
      </c>
      <c r="E5569" t="s">
        <v>23</v>
      </c>
      <c r="F5569" t="s">
        <v>18</v>
      </c>
      <c r="G5569" s="1" t="str">
        <f t="shared" si="1222"/>
        <v>...</v>
      </c>
      <c r="H5569" s="1" t="str">
        <f t="shared" si="1222"/>
        <v>...</v>
      </c>
      <c r="I5569" s="1" t="str">
        <f t="shared" si="1222"/>
        <v>...</v>
      </c>
      <c r="J5569" s="1" t="str">
        <f t="shared" si="1222"/>
        <v>...</v>
      </c>
      <c r="K5569" s="1" t="str">
        <f t="shared" si="1222"/>
        <v>...</v>
      </c>
      <c r="L5569" s="1" t="str">
        <f t="shared" si="1222"/>
        <v>...</v>
      </c>
      <c r="M5569" s="1" t="str">
        <f t="shared" si="1222"/>
        <v>...</v>
      </c>
      <c r="N5569" t="s">
        <v>30</v>
      </c>
    </row>
    <row r="5570" spans="1:14" x14ac:dyDescent="0.25">
      <c r="A5570" t="s">
        <v>42</v>
      </c>
      <c r="B5570" t="s">
        <v>15</v>
      </c>
      <c r="C5570" t="s">
        <v>35</v>
      </c>
      <c r="D5570" t="s">
        <v>33</v>
      </c>
      <c r="E5570" t="s">
        <v>23</v>
      </c>
      <c r="F5570" t="s">
        <v>19</v>
      </c>
      <c r="G5570" s="1" t="str">
        <f t="shared" si="1222"/>
        <v>...</v>
      </c>
      <c r="H5570" s="1" t="str">
        <f t="shared" si="1222"/>
        <v>...</v>
      </c>
      <c r="I5570" s="1" t="str">
        <f t="shared" si="1222"/>
        <v>...</v>
      </c>
      <c r="J5570" s="1" t="str">
        <f t="shared" si="1222"/>
        <v>...</v>
      </c>
      <c r="K5570" s="1" t="str">
        <f t="shared" si="1222"/>
        <v>...</v>
      </c>
      <c r="L5570" s="1" t="str">
        <f t="shared" si="1222"/>
        <v>...</v>
      </c>
      <c r="M5570" s="1" t="str">
        <f t="shared" si="1222"/>
        <v>...</v>
      </c>
      <c r="N5570" t="s">
        <v>30</v>
      </c>
    </row>
    <row r="5571" spans="1:14" x14ac:dyDescent="0.25">
      <c r="A5571" t="s">
        <v>42</v>
      </c>
      <c r="B5571" t="s">
        <v>15</v>
      </c>
      <c r="C5571" t="s">
        <v>35</v>
      </c>
      <c r="D5571" t="s">
        <v>33</v>
      </c>
      <c r="E5571" t="s">
        <v>23</v>
      </c>
      <c r="F5571" t="s">
        <v>20</v>
      </c>
      <c r="G5571" s="1" t="str">
        <f t="shared" ref="G5571:M5571" si="1223">"X"</f>
        <v>X</v>
      </c>
      <c r="H5571" s="1" t="str">
        <f t="shared" si="1223"/>
        <v>X</v>
      </c>
      <c r="I5571" s="1" t="str">
        <f t="shared" si="1223"/>
        <v>X</v>
      </c>
      <c r="J5571" s="1" t="str">
        <f t="shared" si="1223"/>
        <v>X</v>
      </c>
      <c r="K5571" s="1" t="str">
        <f t="shared" si="1223"/>
        <v>X</v>
      </c>
      <c r="L5571" s="1" t="str">
        <f t="shared" si="1223"/>
        <v>X</v>
      </c>
      <c r="M5571" s="1" t="str">
        <f t="shared" si="1223"/>
        <v>X</v>
      </c>
      <c r="N5571" t="s">
        <v>27</v>
      </c>
    </row>
    <row r="5572" spans="1:14" x14ac:dyDescent="0.25">
      <c r="A5572" t="s">
        <v>42</v>
      </c>
      <c r="B5572" t="s">
        <v>15</v>
      </c>
      <c r="C5572" t="s">
        <v>35</v>
      </c>
      <c r="D5572" t="s">
        <v>33</v>
      </c>
      <c r="E5572" t="s">
        <v>26</v>
      </c>
      <c r="F5572" t="s">
        <v>15</v>
      </c>
      <c r="G5572" s="1" t="str">
        <f t="shared" ref="G5572:M5576" si="1224">"..."</f>
        <v>...</v>
      </c>
      <c r="H5572" s="1" t="str">
        <f t="shared" si="1224"/>
        <v>...</v>
      </c>
      <c r="I5572" s="1" t="str">
        <f t="shared" si="1224"/>
        <v>...</v>
      </c>
      <c r="J5572" s="1" t="str">
        <f t="shared" si="1224"/>
        <v>...</v>
      </c>
      <c r="K5572" s="1" t="str">
        <f t="shared" si="1224"/>
        <v>...</v>
      </c>
      <c r="L5572" s="1" t="str">
        <f t="shared" si="1224"/>
        <v>...</v>
      </c>
      <c r="M5572" s="1" t="str">
        <f t="shared" si="1224"/>
        <v>...</v>
      </c>
      <c r="N5572" t="s">
        <v>30</v>
      </c>
    </row>
    <row r="5573" spans="1:14" x14ac:dyDescent="0.25">
      <c r="A5573" t="s">
        <v>42</v>
      </c>
      <c r="B5573" t="s">
        <v>15</v>
      </c>
      <c r="C5573" t="s">
        <v>35</v>
      </c>
      <c r="D5573" t="s">
        <v>33</v>
      </c>
      <c r="E5573" t="s">
        <v>26</v>
      </c>
      <c r="F5573" t="s">
        <v>17</v>
      </c>
      <c r="G5573" s="1" t="str">
        <f t="shared" si="1224"/>
        <v>...</v>
      </c>
      <c r="H5573" s="1" t="str">
        <f t="shared" si="1224"/>
        <v>...</v>
      </c>
      <c r="I5573" s="1" t="str">
        <f t="shared" si="1224"/>
        <v>...</v>
      </c>
      <c r="J5573" s="1" t="str">
        <f t="shared" si="1224"/>
        <v>...</v>
      </c>
      <c r="K5573" s="1" t="str">
        <f t="shared" si="1224"/>
        <v>...</v>
      </c>
      <c r="L5573" s="1" t="str">
        <f t="shared" si="1224"/>
        <v>...</v>
      </c>
      <c r="M5573" s="1" t="str">
        <f t="shared" si="1224"/>
        <v>...</v>
      </c>
      <c r="N5573" t="s">
        <v>30</v>
      </c>
    </row>
    <row r="5574" spans="1:14" x14ac:dyDescent="0.25">
      <c r="A5574" t="s">
        <v>42</v>
      </c>
      <c r="B5574" t="s">
        <v>15</v>
      </c>
      <c r="C5574" t="s">
        <v>35</v>
      </c>
      <c r="D5574" t="s">
        <v>33</v>
      </c>
      <c r="E5574" t="s">
        <v>26</v>
      </c>
      <c r="F5574" t="s">
        <v>18</v>
      </c>
      <c r="G5574" s="1" t="str">
        <f t="shared" si="1224"/>
        <v>...</v>
      </c>
      <c r="H5574" s="1" t="str">
        <f t="shared" si="1224"/>
        <v>...</v>
      </c>
      <c r="I5574" s="1" t="str">
        <f t="shared" si="1224"/>
        <v>...</v>
      </c>
      <c r="J5574" s="1" t="str">
        <f t="shared" si="1224"/>
        <v>...</v>
      </c>
      <c r="K5574" s="1" t="str">
        <f t="shared" si="1224"/>
        <v>...</v>
      </c>
      <c r="L5574" s="1" t="str">
        <f t="shared" si="1224"/>
        <v>...</v>
      </c>
      <c r="M5574" s="1" t="str">
        <f t="shared" si="1224"/>
        <v>...</v>
      </c>
      <c r="N5574" t="s">
        <v>30</v>
      </c>
    </row>
    <row r="5575" spans="1:14" x14ac:dyDescent="0.25">
      <c r="A5575" t="s">
        <v>42</v>
      </c>
      <c r="B5575" t="s">
        <v>15</v>
      </c>
      <c r="C5575" t="s">
        <v>35</v>
      </c>
      <c r="D5575" t="s">
        <v>33</v>
      </c>
      <c r="E5575" t="s">
        <v>26</v>
      </c>
      <c r="F5575" t="s">
        <v>19</v>
      </c>
      <c r="G5575" s="1" t="str">
        <f t="shared" si="1224"/>
        <v>...</v>
      </c>
      <c r="H5575" s="1" t="str">
        <f t="shared" si="1224"/>
        <v>...</v>
      </c>
      <c r="I5575" s="1" t="str">
        <f t="shared" si="1224"/>
        <v>...</v>
      </c>
      <c r="J5575" s="1" t="str">
        <f t="shared" si="1224"/>
        <v>...</v>
      </c>
      <c r="K5575" s="1" t="str">
        <f t="shared" si="1224"/>
        <v>...</v>
      </c>
      <c r="L5575" s="1" t="str">
        <f t="shared" si="1224"/>
        <v>...</v>
      </c>
      <c r="M5575" s="1" t="str">
        <f t="shared" si="1224"/>
        <v>...</v>
      </c>
      <c r="N5575" t="s">
        <v>30</v>
      </c>
    </row>
    <row r="5576" spans="1:14" x14ac:dyDescent="0.25">
      <c r="A5576" t="s">
        <v>42</v>
      </c>
      <c r="B5576" t="s">
        <v>15</v>
      </c>
      <c r="C5576" t="s">
        <v>35</v>
      </c>
      <c r="D5576" t="s">
        <v>33</v>
      </c>
      <c r="E5576" t="s">
        <v>26</v>
      </c>
      <c r="F5576" t="s">
        <v>20</v>
      </c>
      <c r="G5576" s="1" t="str">
        <f t="shared" si="1224"/>
        <v>...</v>
      </c>
      <c r="H5576" s="1" t="str">
        <f t="shared" si="1224"/>
        <v>...</v>
      </c>
      <c r="I5576" s="1" t="str">
        <f t="shared" si="1224"/>
        <v>...</v>
      </c>
      <c r="J5576" s="1" t="str">
        <f t="shared" si="1224"/>
        <v>...</v>
      </c>
      <c r="K5576" s="1" t="str">
        <f t="shared" si="1224"/>
        <v>...</v>
      </c>
      <c r="L5576" s="1" t="str">
        <f t="shared" si="1224"/>
        <v>...</v>
      </c>
      <c r="M5576" s="1" t="str">
        <f t="shared" si="1224"/>
        <v>...</v>
      </c>
      <c r="N5576" t="s">
        <v>30</v>
      </c>
    </row>
    <row r="5577" spans="1:14" x14ac:dyDescent="0.25">
      <c r="A5577" t="s">
        <v>42</v>
      </c>
      <c r="B5577" t="s">
        <v>15</v>
      </c>
      <c r="C5577" t="s">
        <v>35</v>
      </c>
      <c r="D5577" t="s">
        <v>34</v>
      </c>
      <c r="E5577" t="s">
        <v>15</v>
      </c>
      <c r="F5577" t="s">
        <v>15</v>
      </c>
      <c r="G5577" s="1" t="str">
        <f t="shared" ref="G5577:M5577" si="1225">"X"</f>
        <v>X</v>
      </c>
      <c r="H5577" s="1" t="str">
        <f t="shared" si="1225"/>
        <v>X</v>
      </c>
      <c r="I5577" s="1" t="str">
        <f t="shared" si="1225"/>
        <v>X</v>
      </c>
      <c r="J5577" s="1" t="str">
        <f t="shared" si="1225"/>
        <v>X</v>
      </c>
      <c r="K5577" s="1" t="str">
        <f t="shared" si="1225"/>
        <v>X</v>
      </c>
      <c r="L5577" s="1" t="str">
        <f t="shared" si="1225"/>
        <v>X</v>
      </c>
      <c r="M5577" s="1" t="str">
        <f t="shared" si="1225"/>
        <v>X</v>
      </c>
      <c r="N5577" t="s">
        <v>27</v>
      </c>
    </row>
    <row r="5578" spans="1:14" x14ac:dyDescent="0.25">
      <c r="A5578" t="s">
        <v>42</v>
      </c>
      <c r="B5578" t="s">
        <v>15</v>
      </c>
      <c r="C5578" t="s">
        <v>35</v>
      </c>
      <c r="D5578" t="s">
        <v>34</v>
      </c>
      <c r="E5578" t="s">
        <v>15</v>
      </c>
      <c r="F5578" t="s">
        <v>17</v>
      </c>
      <c r="G5578" s="1" t="str">
        <f t="shared" ref="G5578:M5580" si="1226">"..."</f>
        <v>...</v>
      </c>
      <c r="H5578" s="1" t="str">
        <f t="shared" si="1226"/>
        <v>...</v>
      </c>
      <c r="I5578" s="1" t="str">
        <f t="shared" si="1226"/>
        <v>...</v>
      </c>
      <c r="J5578" s="1" t="str">
        <f t="shared" si="1226"/>
        <v>...</v>
      </c>
      <c r="K5578" s="1" t="str">
        <f t="shared" si="1226"/>
        <v>...</v>
      </c>
      <c r="L5578" s="1" t="str">
        <f t="shared" si="1226"/>
        <v>...</v>
      </c>
      <c r="M5578" s="1" t="str">
        <f t="shared" si="1226"/>
        <v>...</v>
      </c>
      <c r="N5578" t="s">
        <v>30</v>
      </c>
    </row>
    <row r="5579" spans="1:14" x14ac:dyDescent="0.25">
      <c r="A5579" t="s">
        <v>42</v>
      </c>
      <c r="B5579" t="s">
        <v>15</v>
      </c>
      <c r="C5579" t="s">
        <v>35</v>
      </c>
      <c r="D5579" t="s">
        <v>34</v>
      </c>
      <c r="E5579" t="s">
        <v>15</v>
      </c>
      <c r="F5579" t="s">
        <v>18</v>
      </c>
      <c r="G5579" s="1" t="str">
        <f t="shared" si="1226"/>
        <v>...</v>
      </c>
      <c r="H5579" s="1" t="str">
        <f t="shared" si="1226"/>
        <v>...</v>
      </c>
      <c r="I5579" s="1" t="str">
        <f t="shared" si="1226"/>
        <v>...</v>
      </c>
      <c r="J5579" s="1" t="str">
        <f t="shared" si="1226"/>
        <v>...</v>
      </c>
      <c r="K5579" s="1" t="str">
        <f t="shared" si="1226"/>
        <v>...</v>
      </c>
      <c r="L5579" s="1" t="str">
        <f t="shared" si="1226"/>
        <v>...</v>
      </c>
      <c r="M5579" s="1" t="str">
        <f t="shared" si="1226"/>
        <v>...</v>
      </c>
      <c r="N5579" t="s">
        <v>30</v>
      </c>
    </row>
    <row r="5580" spans="1:14" x14ac:dyDescent="0.25">
      <c r="A5580" t="s">
        <v>42</v>
      </c>
      <c r="B5580" t="s">
        <v>15</v>
      </c>
      <c r="C5580" t="s">
        <v>35</v>
      </c>
      <c r="D5580" t="s">
        <v>34</v>
      </c>
      <c r="E5580" t="s">
        <v>15</v>
      </c>
      <c r="F5580" t="s">
        <v>19</v>
      </c>
      <c r="G5580" s="1" t="str">
        <f t="shared" si="1226"/>
        <v>...</v>
      </c>
      <c r="H5580" s="1" t="str">
        <f t="shared" si="1226"/>
        <v>...</v>
      </c>
      <c r="I5580" s="1" t="str">
        <f t="shared" si="1226"/>
        <v>...</v>
      </c>
      <c r="J5580" s="1" t="str">
        <f t="shared" si="1226"/>
        <v>...</v>
      </c>
      <c r="K5580" s="1" t="str">
        <f t="shared" si="1226"/>
        <v>...</v>
      </c>
      <c r="L5580" s="1" t="str">
        <f t="shared" si="1226"/>
        <v>...</v>
      </c>
      <c r="M5580" s="1" t="str">
        <f t="shared" si="1226"/>
        <v>...</v>
      </c>
      <c r="N5580" t="s">
        <v>30</v>
      </c>
    </row>
    <row r="5581" spans="1:14" x14ac:dyDescent="0.25">
      <c r="A5581" t="s">
        <v>42</v>
      </c>
      <c r="B5581" t="s">
        <v>15</v>
      </c>
      <c r="C5581" t="s">
        <v>35</v>
      </c>
      <c r="D5581" t="s">
        <v>34</v>
      </c>
      <c r="E5581" t="s">
        <v>15</v>
      </c>
      <c r="F5581" t="s">
        <v>20</v>
      </c>
      <c r="G5581" s="1" t="str">
        <f t="shared" ref="G5581:M5581" si="1227">"X"</f>
        <v>X</v>
      </c>
      <c r="H5581" s="1" t="str">
        <f t="shared" si="1227"/>
        <v>X</v>
      </c>
      <c r="I5581" s="1" t="str">
        <f t="shared" si="1227"/>
        <v>X</v>
      </c>
      <c r="J5581" s="1" t="str">
        <f t="shared" si="1227"/>
        <v>X</v>
      </c>
      <c r="K5581" s="1" t="str">
        <f t="shared" si="1227"/>
        <v>X</v>
      </c>
      <c r="L5581" s="1" t="str">
        <f t="shared" si="1227"/>
        <v>X</v>
      </c>
      <c r="M5581" s="1" t="str">
        <f t="shared" si="1227"/>
        <v>X</v>
      </c>
      <c r="N5581" t="s">
        <v>27</v>
      </c>
    </row>
    <row r="5582" spans="1:14" x14ac:dyDescent="0.25">
      <c r="A5582" t="s">
        <v>42</v>
      </c>
      <c r="B5582" t="s">
        <v>15</v>
      </c>
      <c r="C5582" t="s">
        <v>35</v>
      </c>
      <c r="D5582" t="s">
        <v>34</v>
      </c>
      <c r="E5582" t="s">
        <v>21</v>
      </c>
      <c r="F5582" t="s">
        <v>15</v>
      </c>
      <c r="G5582" s="1" t="str">
        <f t="shared" ref="G5582:M5586" si="1228">"..."</f>
        <v>...</v>
      </c>
      <c r="H5582" s="1" t="str">
        <f t="shared" si="1228"/>
        <v>...</v>
      </c>
      <c r="I5582" s="1" t="str">
        <f t="shared" si="1228"/>
        <v>...</v>
      </c>
      <c r="J5582" s="1" t="str">
        <f t="shared" si="1228"/>
        <v>...</v>
      </c>
      <c r="K5582" s="1" t="str">
        <f t="shared" si="1228"/>
        <v>...</v>
      </c>
      <c r="L5582" s="1" t="str">
        <f t="shared" si="1228"/>
        <v>...</v>
      </c>
      <c r="M5582" s="1" t="str">
        <f t="shared" si="1228"/>
        <v>...</v>
      </c>
      <c r="N5582" t="s">
        <v>30</v>
      </c>
    </row>
    <row r="5583" spans="1:14" x14ac:dyDescent="0.25">
      <c r="A5583" t="s">
        <v>42</v>
      </c>
      <c r="B5583" t="s">
        <v>15</v>
      </c>
      <c r="C5583" t="s">
        <v>35</v>
      </c>
      <c r="D5583" t="s">
        <v>34</v>
      </c>
      <c r="E5583" t="s">
        <v>21</v>
      </c>
      <c r="F5583" t="s">
        <v>17</v>
      </c>
      <c r="G5583" s="1" t="str">
        <f t="shared" si="1228"/>
        <v>...</v>
      </c>
      <c r="H5583" s="1" t="str">
        <f t="shared" si="1228"/>
        <v>...</v>
      </c>
      <c r="I5583" s="1" t="str">
        <f t="shared" si="1228"/>
        <v>...</v>
      </c>
      <c r="J5583" s="1" t="str">
        <f t="shared" si="1228"/>
        <v>...</v>
      </c>
      <c r="K5583" s="1" t="str">
        <f t="shared" si="1228"/>
        <v>...</v>
      </c>
      <c r="L5583" s="1" t="str">
        <f t="shared" si="1228"/>
        <v>...</v>
      </c>
      <c r="M5583" s="1" t="str">
        <f t="shared" si="1228"/>
        <v>...</v>
      </c>
      <c r="N5583" t="s">
        <v>30</v>
      </c>
    </row>
    <row r="5584" spans="1:14" x14ac:dyDescent="0.25">
      <c r="A5584" t="s">
        <v>42</v>
      </c>
      <c r="B5584" t="s">
        <v>15</v>
      </c>
      <c r="C5584" t="s">
        <v>35</v>
      </c>
      <c r="D5584" t="s">
        <v>34</v>
      </c>
      <c r="E5584" t="s">
        <v>21</v>
      </c>
      <c r="F5584" t="s">
        <v>18</v>
      </c>
      <c r="G5584" s="1" t="str">
        <f t="shared" si="1228"/>
        <v>...</v>
      </c>
      <c r="H5584" s="1" t="str">
        <f t="shared" si="1228"/>
        <v>...</v>
      </c>
      <c r="I5584" s="1" t="str">
        <f t="shared" si="1228"/>
        <v>...</v>
      </c>
      <c r="J5584" s="1" t="str">
        <f t="shared" si="1228"/>
        <v>...</v>
      </c>
      <c r="K5584" s="1" t="str">
        <f t="shared" si="1228"/>
        <v>...</v>
      </c>
      <c r="L5584" s="1" t="str">
        <f t="shared" si="1228"/>
        <v>...</v>
      </c>
      <c r="M5584" s="1" t="str">
        <f t="shared" si="1228"/>
        <v>...</v>
      </c>
      <c r="N5584" t="s">
        <v>30</v>
      </c>
    </row>
    <row r="5585" spans="1:14" x14ac:dyDescent="0.25">
      <c r="A5585" t="s">
        <v>42</v>
      </c>
      <c r="B5585" t="s">
        <v>15</v>
      </c>
      <c r="C5585" t="s">
        <v>35</v>
      </c>
      <c r="D5585" t="s">
        <v>34</v>
      </c>
      <c r="E5585" t="s">
        <v>21</v>
      </c>
      <c r="F5585" t="s">
        <v>19</v>
      </c>
      <c r="G5585" s="1" t="str">
        <f t="shared" si="1228"/>
        <v>...</v>
      </c>
      <c r="H5585" s="1" t="str">
        <f t="shared" si="1228"/>
        <v>...</v>
      </c>
      <c r="I5585" s="1" t="str">
        <f t="shared" si="1228"/>
        <v>...</v>
      </c>
      <c r="J5585" s="1" t="str">
        <f t="shared" si="1228"/>
        <v>...</v>
      </c>
      <c r="K5585" s="1" t="str">
        <f t="shared" si="1228"/>
        <v>...</v>
      </c>
      <c r="L5585" s="1" t="str">
        <f t="shared" si="1228"/>
        <v>...</v>
      </c>
      <c r="M5585" s="1" t="str">
        <f t="shared" si="1228"/>
        <v>...</v>
      </c>
      <c r="N5585" t="s">
        <v>30</v>
      </c>
    </row>
    <row r="5586" spans="1:14" x14ac:dyDescent="0.25">
      <c r="A5586" t="s">
        <v>42</v>
      </c>
      <c r="B5586" t="s">
        <v>15</v>
      </c>
      <c r="C5586" t="s">
        <v>35</v>
      </c>
      <c r="D5586" t="s">
        <v>34</v>
      </c>
      <c r="E5586" t="s">
        <v>21</v>
      </c>
      <c r="F5586" t="s">
        <v>20</v>
      </c>
      <c r="G5586" s="1" t="str">
        <f t="shared" si="1228"/>
        <v>...</v>
      </c>
      <c r="H5586" s="1" t="str">
        <f t="shared" si="1228"/>
        <v>...</v>
      </c>
      <c r="I5586" s="1" t="str">
        <f t="shared" si="1228"/>
        <v>...</v>
      </c>
      <c r="J5586" s="1" t="str">
        <f t="shared" si="1228"/>
        <v>...</v>
      </c>
      <c r="K5586" s="1" t="str">
        <f t="shared" si="1228"/>
        <v>...</v>
      </c>
      <c r="L5586" s="1" t="str">
        <f t="shared" si="1228"/>
        <v>...</v>
      </c>
      <c r="M5586" s="1" t="str">
        <f t="shared" si="1228"/>
        <v>...</v>
      </c>
      <c r="N5586" t="s">
        <v>30</v>
      </c>
    </row>
    <row r="5587" spans="1:14" x14ac:dyDescent="0.25">
      <c r="A5587" t="s">
        <v>42</v>
      </c>
      <c r="B5587" t="s">
        <v>15</v>
      </c>
      <c r="C5587" t="s">
        <v>35</v>
      </c>
      <c r="D5587" t="s">
        <v>34</v>
      </c>
      <c r="E5587" t="s">
        <v>22</v>
      </c>
      <c r="F5587" t="s">
        <v>15</v>
      </c>
      <c r="G5587" s="1" t="str">
        <f t="shared" ref="G5587:M5587" si="1229">"X"</f>
        <v>X</v>
      </c>
      <c r="H5587" s="1" t="str">
        <f t="shared" si="1229"/>
        <v>X</v>
      </c>
      <c r="I5587" s="1" t="str">
        <f t="shared" si="1229"/>
        <v>X</v>
      </c>
      <c r="J5587" s="1" t="str">
        <f t="shared" si="1229"/>
        <v>X</v>
      </c>
      <c r="K5587" s="1" t="str">
        <f t="shared" si="1229"/>
        <v>X</v>
      </c>
      <c r="L5587" s="1" t="str">
        <f t="shared" si="1229"/>
        <v>X</v>
      </c>
      <c r="M5587" s="1" t="str">
        <f t="shared" si="1229"/>
        <v>X</v>
      </c>
      <c r="N5587" t="s">
        <v>27</v>
      </c>
    </row>
    <row r="5588" spans="1:14" x14ac:dyDescent="0.25">
      <c r="A5588" t="s">
        <v>42</v>
      </c>
      <c r="B5588" t="s">
        <v>15</v>
      </c>
      <c r="C5588" t="s">
        <v>35</v>
      </c>
      <c r="D5588" t="s">
        <v>34</v>
      </c>
      <c r="E5588" t="s">
        <v>22</v>
      </c>
      <c r="F5588" t="s">
        <v>17</v>
      </c>
      <c r="G5588" s="1" t="str">
        <f t="shared" ref="G5588:M5590" si="1230">"..."</f>
        <v>...</v>
      </c>
      <c r="H5588" s="1" t="str">
        <f t="shared" si="1230"/>
        <v>...</v>
      </c>
      <c r="I5588" s="1" t="str">
        <f t="shared" si="1230"/>
        <v>...</v>
      </c>
      <c r="J5588" s="1" t="str">
        <f t="shared" si="1230"/>
        <v>...</v>
      </c>
      <c r="K5588" s="1" t="str">
        <f t="shared" si="1230"/>
        <v>...</v>
      </c>
      <c r="L5588" s="1" t="str">
        <f t="shared" si="1230"/>
        <v>...</v>
      </c>
      <c r="M5588" s="1" t="str">
        <f t="shared" si="1230"/>
        <v>...</v>
      </c>
      <c r="N5588" t="s">
        <v>30</v>
      </c>
    </row>
    <row r="5589" spans="1:14" x14ac:dyDescent="0.25">
      <c r="A5589" t="s">
        <v>42</v>
      </c>
      <c r="B5589" t="s">
        <v>15</v>
      </c>
      <c r="C5589" t="s">
        <v>35</v>
      </c>
      <c r="D5589" t="s">
        <v>34</v>
      </c>
      <c r="E5589" t="s">
        <v>22</v>
      </c>
      <c r="F5589" t="s">
        <v>18</v>
      </c>
      <c r="G5589" s="1" t="str">
        <f t="shared" si="1230"/>
        <v>...</v>
      </c>
      <c r="H5589" s="1" t="str">
        <f t="shared" si="1230"/>
        <v>...</v>
      </c>
      <c r="I5589" s="1" t="str">
        <f t="shared" si="1230"/>
        <v>...</v>
      </c>
      <c r="J5589" s="1" t="str">
        <f t="shared" si="1230"/>
        <v>...</v>
      </c>
      <c r="K5589" s="1" t="str">
        <f t="shared" si="1230"/>
        <v>...</v>
      </c>
      <c r="L5589" s="1" t="str">
        <f t="shared" si="1230"/>
        <v>...</v>
      </c>
      <c r="M5589" s="1" t="str">
        <f t="shared" si="1230"/>
        <v>...</v>
      </c>
      <c r="N5589" t="s">
        <v>30</v>
      </c>
    </row>
    <row r="5590" spans="1:14" x14ac:dyDescent="0.25">
      <c r="A5590" t="s">
        <v>42</v>
      </c>
      <c r="B5590" t="s">
        <v>15</v>
      </c>
      <c r="C5590" t="s">
        <v>35</v>
      </c>
      <c r="D5590" t="s">
        <v>34</v>
      </c>
      <c r="E5590" t="s">
        <v>22</v>
      </c>
      <c r="F5590" t="s">
        <v>19</v>
      </c>
      <c r="G5590" s="1" t="str">
        <f t="shared" si="1230"/>
        <v>...</v>
      </c>
      <c r="H5590" s="1" t="str">
        <f t="shared" si="1230"/>
        <v>...</v>
      </c>
      <c r="I5590" s="1" t="str">
        <f t="shared" si="1230"/>
        <v>...</v>
      </c>
      <c r="J5590" s="1" t="str">
        <f t="shared" si="1230"/>
        <v>...</v>
      </c>
      <c r="K5590" s="1" t="str">
        <f t="shared" si="1230"/>
        <v>...</v>
      </c>
      <c r="L5590" s="1" t="str">
        <f t="shared" si="1230"/>
        <v>...</v>
      </c>
      <c r="M5590" s="1" t="str">
        <f t="shared" si="1230"/>
        <v>...</v>
      </c>
      <c r="N5590" t="s">
        <v>30</v>
      </c>
    </row>
    <row r="5591" spans="1:14" x14ac:dyDescent="0.25">
      <c r="A5591" t="s">
        <v>42</v>
      </c>
      <c r="B5591" t="s">
        <v>15</v>
      </c>
      <c r="C5591" t="s">
        <v>35</v>
      </c>
      <c r="D5591" t="s">
        <v>34</v>
      </c>
      <c r="E5591" t="s">
        <v>22</v>
      </c>
      <c r="F5591" t="s">
        <v>20</v>
      </c>
      <c r="G5591" s="1" t="str">
        <f t="shared" ref="G5591:M5592" si="1231">"X"</f>
        <v>X</v>
      </c>
      <c r="H5591" s="1" t="str">
        <f t="shared" si="1231"/>
        <v>X</v>
      </c>
      <c r="I5591" s="1" t="str">
        <f t="shared" si="1231"/>
        <v>X</v>
      </c>
      <c r="J5591" s="1" t="str">
        <f t="shared" si="1231"/>
        <v>X</v>
      </c>
      <c r="K5591" s="1" t="str">
        <f t="shared" si="1231"/>
        <v>X</v>
      </c>
      <c r="L5591" s="1" t="str">
        <f t="shared" si="1231"/>
        <v>X</v>
      </c>
      <c r="M5591" s="1" t="str">
        <f t="shared" si="1231"/>
        <v>X</v>
      </c>
      <c r="N5591" t="s">
        <v>27</v>
      </c>
    </row>
    <row r="5592" spans="1:14" x14ac:dyDescent="0.25">
      <c r="A5592" t="s">
        <v>42</v>
      </c>
      <c r="B5592" t="s">
        <v>15</v>
      </c>
      <c r="C5592" t="s">
        <v>35</v>
      </c>
      <c r="D5592" t="s">
        <v>34</v>
      </c>
      <c r="E5592" t="s">
        <v>23</v>
      </c>
      <c r="F5592" t="s">
        <v>15</v>
      </c>
      <c r="G5592" s="1" t="str">
        <f t="shared" si="1231"/>
        <v>X</v>
      </c>
      <c r="H5592" s="1" t="str">
        <f t="shared" si="1231"/>
        <v>X</v>
      </c>
      <c r="I5592" s="1" t="str">
        <f t="shared" si="1231"/>
        <v>X</v>
      </c>
      <c r="J5592" s="1" t="str">
        <f t="shared" si="1231"/>
        <v>X</v>
      </c>
      <c r="K5592" s="1" t="str">
        <f t="shared" si="1231"/>
        <v>X</v>
      </c>
      <c r="L5592" s="1" t="str">
        <f t="shared" si="1231"/>
        <v>X</v>
      </c>
      <c r="M5592" s="1" t="str">
        <f t="shared" si="1231"/>
        <v>X</v>
      </c>
      <c r="N5592" t="s">
        <v>27</v>
      </c>
    </row>
    <row r="5593" spans="1:14" x14ac:dyDescent="0.25">
      <c r="A5593" t="s">
        <v>42</v>
      </c>
      <c r="B5593" t="s">
        <v>15</v>
      </c>
      <c r="C5593" t="s">
        <v>35</v>
      </c>
      <c r="D5593" t="s">
        <v>34</v>
      </c>
      <c r="E5593" t="s">
        <v>23</v>
      </c>
      <c r="F5593" t="s">
        <v>17</v>
      </c>
      <c r="G5593" s="1" t="str">
        <f t="shared" ref="G5593:M5595" si="1232">"..."</f>
        <v>...</v>
      </c>
      <c r="H5593" s="1" t="str">
        <f t="shared" si="1232"/>
        <v>...</v>
      </c>
      <c r="I5593" s="1" t="str">
        <f t="shared" si="1232"/>
        <v>...</v>
      </c>
      <c r="J5593" s="1" t="str">
        <f t="shared" si="1232"/>
        <v>...</v>
      </c>
      <c r="K5593" s="1" t="str">
        <f t="shared" si="1232"/>
        <v>...</v>
      </c>
      <c r="L5593" s="1" t="str">
        <f t="shared" si="1232"/>
        <v>...</v>
      </c>
      <c r="M5593" s="1" t="str">
        <f t="shared" si="1232"/>
        <v>...</v>
      </c>
      <c r="N5593" t="s">
        <v>30</v>
      </c>
    </row>
    <row r="5594" spans="1:14" x14ac:dyDescent="0.25">
      <c r="A5594" t="s">
        <v>42</v>
      </c>
      <c r="B5594" t="s">
        <v>15</v>
      </c>
      <c r="C5594" t="s">
        <v>35</v>
      </c>
      <c r="D5594" t="s">
        <v>34</v>
      </c>
      <c r="E5594" t="s">
        <v>23</v>
      </c>
      <c r="F5594" t="s">
        <v>18</v>
      </c>
      <c r="G5594" s="1" t="str">
        <f t="shared" si="1232"/>
        <v>...</v>
      </c>
      <c r="H5594" s="1" t="str">
        <f t="shared" si="1232"/>
        <v>...</v>
      </c>
      <c r="I5594" s="1" t="str">
        <f t="shared" si="1232"/>
        <v>...</v>
      </c>
      <c r="J5594" s="1" t="str">
        <f t="shared" si="1232"/>
        <v>...</v>
      </c>
      <c r="K5594" s="1" t="str">
        <f t="shared" si="1232"/>
        <v>...</v>
      </c>
      <c r="L5594" s="1" t="str">
        <f t="shared" si="1232"/>
        <v>...</v>
      </c>
      <c r="M5594" s="1" t="str">
        <f t="shared" si="1232"/>
        <v>...</v>
      </c>
      <c r="N5594" t="s">
        <v>30</v>
      </c>
    </row>
    <row r="5595" spans="1:14" x14ac:dyDescent="0.25">
      <c r="A5595" t="s">
        <v>42</v>
      </c>
      <c r="B5595" t="s">
        <v>15</v>
      </c>
      <c r="C5595" t="s">
        <v>35</v>
      </c>
      <c r="D5595" t="s">
        <v>34</v>
      </c>
      <c r="E5595" t="s">
        <v>23</v>
      </c>
      <c r="F5595" t="s">
        <v>19</v>
      </c>
      <c r="G5595" s="1" t="str">
        <f t="shared" si="1232"/>
        <v>...</v>
      </c>
      <c r="H5595" s="1" t="str">
        <f t="shared" si="1232"/>
        <v>...</v>
      </c>
      <c r="I5595" s="1" t="str">
        <f t="shared" si="1232"/>
        <v>...</v>
      </c>
      <c r="J5595" s="1" t="str">
        <f t="shared" si="1232"/>
        <v>...</v>
      </c>
      <c r="K5595" s="1" t="str">
        <f t="shared" si="1232"/>
        <v>...</v>
      </c>
      <c r="L5595" s="1" t="str">
        <f t="shared" si="1232"/>
        <v>...</v>
      </c>
      <c r="M5595" s="1" t="str">
        <f t="shared" si="1232"/>
        <v>...</v>
      </c>
      <c r="N5595" t="s">
        <v>30</v>
      </c>
    </row>
    <row r="5596" spans="1:14" x14ac:dyDescent="0.25">
      <c r="A5596" t="s">
        <v>42</v>
      </c>
      <c r="B5596" t="s">
        <v>15</v>
      </c>
      <c r="C5596" t="s">
        <v>35</v>
      </c>
      <c r="D5596" t="s">
        <v>34</v>
      </c>
      <c r="E5596" t="s">
        <v>23</v>
      </c>
      <c r="F5596" t="s">
        <v>20</v>
      </c>
      <c r="G5596" s="1" t="str">
        <f t="shared" ref="G5596:M5597" si="1233">"X"</f>
        <v>X</v>
      </c>
      <c r="H5596" s="1" t="str">
        <f t="shared" si="1233"/>
        <v>X</v>
      </c>
      <c r="I5596" s="1" t="str">
        <f t="shared" si="1233"/>
        <v>X</v>
      </c>
      <c r="J5596" s="1" t="str">
        <f t="shared" si="1233"/>
        <v>X</v>
      </c>
      <c r="K5596" s="1" t="str">
        <f t="shared" si="1233"/>
        <v>X</v>
      </c>
      <c r="L5596" s="1" t="str">
        <f t="shared" si="1233"/>
        <v>X</v>
      </c>
      <c r="M5596" s="1" t="str">
        <f t="shared" si="1233"/>
        <v>X</v>
      </c>
      <c r="N5596" t="s">
        <v>27</v>
      </c>
    </row>
    <row r="5597" spans="1:14" x14ac:dyDescent="0.25">
      <c r="A5597" t="s">
        <v>42</v>
      </c>
      <c r="B5597" t="s">
        <v>15</v>
      </c>
      <c r="C5597" t="s">
        <v>35</v>
      </c>
      <c r="D5597" t="s">
        <v>34</v>
      </c>
      <c r="E5597" t="s">
        <v>26</v>
      </c>
      <c r="F5597" t="s">
        <v>15</v>
      </c>
      <c r="G5597" s="1" t="str">
        <f t="shared" si="1233"/>
        <v>X</v>
      </c>
      <c r="H5597" s="1" t="str">
        <f t="shared" si="1233"/>
        <v>X</v>
      </c>
      <c r="I5597" s="1" t="str">
        <f t="shared" si="1233"/>
        <v>X</v>
      </c>
      <c r="J5597" s="1" t="str">
        <f t="shared" si="1233"/>
        <v>X</v>
      </c>
      <c r="K5597" s="1" t="str">
        <f t="shared" si="1233"/>
        <v>X</v>
      </c>
      <c r="L5597" s="1" t="str">
        <f t="shared" si="1233"/>
        <v>X</v>
      </c>
      <c r="M5597" s="1" t="str">
        <f t="shared" si="1233"/>
        <v>X</v>
      </c>
      <c r="N5597" t="s">
        <v>27</v>
      </c>
    </row>
    <row r="5598" spans="1:14" x14ac:dyDescent="0.25">
      <c r="A5598" t="s">
        <v>42</v>
      </c>
      <c r="B5598" t="s">
        <v>15</v>
      </c>
      <c r="C5598" t="s">
        <v>35</v>
      </c>
      <c r="D5598" t="s">
        <v>34</v>
      </c>
      <c r="E5598" t="s">
        <v>26</v>
      </c>
      <c r="F5598" t="s">
        <v>17</v>
      </c>
      <c r="G5598" s="1" t="str">
        <f t="shared" ref="G5598:M5600" si="1234">"..."</f>
        <v>...</v>
      </c>
      <c r="H5598" s="1" t="str">
        <f t="shared" si="1234"/>
        <v>...</v>
      </c>
      <c r="I5598" s="1" t="str">
        <f t="shared" si="1234"/>
        <v>...</v>
      </c>
      <c r="J5598" s="1" t="str">
        <f t="shared" si="1234"/>
        <v>...</v>
      </c>
      <c r="K5598" s="1" t="str">
        <f t="shared" si="1234"/>
        <v>...</v>
      </c>
      <c r="L5598" s="1" t="str">
        <f t="shared" si="1234"/>
        <v>...</v>
      </c>
      <c r="M5598" s="1" t="str">
        <f t="shared" si="1234"/>
        <v>...</v>
      </c>
      <c r="N5598" t="s">
        <v>30</v>
      </c>
    </row>
    <row r="5599" spans="1:14" x14ac:dyDescent="0.25">
      <c r="A5599" t="s">
        <v>42</v>
      </c>
      <c r="B5599" t="s">
        <v>15</v>
      </c>
      <c r="C5599" t="s">
        <v>35</v>
      </c>
      <c r="D5599" t="s">
        <v>34</v>
      </c>
      <c r="E5599" t="s">
        <v>26</v>
      </c>
      <c r="F5599" t="s">
        <v>18</v>
      </c>
      <c r="G5599" s="1" t="str">
        <f t="shared" si="1234"/>
        <v>...</v>
      </c>
      <c r="H5599" s="1" t="str">
        <f t="shared" si="1234"/>
        <v>...</v>
      </c>
      <c r="I5599" s="1" t="str">
        <f t="shared" si="1234"/>
        <v>...</v>
      </c>
      <c r="J5599" s="1" t="str">
        <f t="shared" si="1234"/>
        <v>...</v>
      </c>
      <c r="K5599" s="1" t="str">
        <f t="shared" si="1234"/>
        <v>...</v>
      </c>
      <c r="L5599" s="1" t="str">
        <f t="shared" si="1234"/>
        <v>...</v>
      </c>
      <c r="M5599" s="1" t="str">
        <f t="shared" si="1234"/>
        <v>...</v>
      </c>
      <c r="N5599" t="s">
        <v>30</v>
      </c>
    </row>
    <row r="5600" spans="1:14" x14ac:dyDescent="0.25">
      <c r="A5600" t="s">
        <v>42</v>
      </c>
      <c r="B5600" t="s">
        <v>15</v>
      </c>
      <c r="C5600" t="s">
        <v>35</v>
      </c>
      <c r="D5600" t="s">
        <v>34</v>
      </c>
      <c r="E5600" t="s">
        <v>26</v>
      </c>
      <c r="F5600" t="s">
        <v>19</v>
      </c>
      <c r="G5600" s="1" t="str">
        <f t="shared" si="1234"/>
        <v>...</v>
      </c>
      <c r="H5600" s="1" t="str">
        <f t="shared" si="1234"/>
        <v>...</v>
      </c>
      <c r="I5600" s="1" t="str">
        <f t="shared" si="1234"/>
        <v>...</v>
      </c>
      <c r="J5600" s="1" t="str">
        <f t="shared" si="1234"/>
        <v>...</v>
      </c>
      <c r="K5600" s="1" t="str">
        <f t="shared" si="1234"/>
        <v>...</v>
      </c>
      <c r="L5600" s="1" t="str">
        <f t="shared" si="1234"/>
        <v>...</v>
      </c>
      <c r="M5600" s="1" t="str">
        <f t="shared" si="1234"/>
        <v>...</v>
      </c>
      <c r="N5600" t="s">
        <v>30</v>
      </c>
    </row>
    <row r="5601" spans="1:14" x14ac:dyDescent="0.25">
      <c r="A5601" t="s">
        <v>42</v>
      </c>
      <c r="B5601" t="s">
        <v>15</v>
      </c>
      <c r="C5601" t="s">
        <v>35</v>
      </c>
      <c r="D5601" t="s">
        <v>34</v>
      </c>
      <c r="E5601" t="s">
        <v>26</v>
      </c>
      <c r="F5601" t="s">
        <v>20</v>
      </c>
      <c r="G5601" s="1" t="str">
        <f t="shared" ref="G5601:M5601" si="1235">"X"</f>
        <v>X</v>
      </c>
      <c r="H5601" s="1" t="str">
        <f t="shared" si="1235"/>
        <v>X</v>
      </c>
      <c r="I5601" s="1" t="str">
        <f t="shared" si="1235"/>
        <v>X</v>
      </c>
      <c r="J5601" s="1" t="str">
        <f t="shared" si="1235"/>
        <v>X</v>
      </c>
      <c r="K5601" s="1" t="str">
        <f t="shared" si="1235"/>
        <v>X</v>
      </c>
      <c r="L5601" s="1" t="str">
        <f t="shared" si="1235"/>
        <v>X</v>
      </c>
      <c r="M5601" s="1" t="str">
        <f t="shared" si="1235"/>
        <v>X</v>
      </c>
      <c r="N5601" t="s">
        <v>27</v>
      </c>
    </row>
    <row r="5602" spans="1:14" x14ac:dyDescent="0.25">
      <c r="A5602" t="s">
        <v>42</v>
      </c>
      <c r="B5602" t="s">
        <v>15</v>
      </c>
      <c r="C5602" t="s">
        <v>36</v>
      </c>
      <c r="D5602" t="s">
        <v>15</v>
      </c>
      <c r="E5602" t="s">
        <v>15</v>
      </c>
      <c r="F5602" t="s">
        <v>15</v>
      </c>
      <c r="G5602" s="1">
        <f>VALUE(27434.25)</f>
        <v>27434.25</v>
      </c>
      <c r="H5602" s="1">
        <f>VALUE(26073.15)</f>
        <v>26073.15</v>
      </c>
      <c r="I5602" s="1">
        <f>VALUE(3010)</f>
        <v>3010</v>
      </c>
      <c r="J5602" s="1">
        <f>VALUE(3691)</f>
        <v>3691</v>
      </c>
      <c r="K5602" s="1">
        <f>VALUE(4631)</f>
        <v>4631</v>
      </c>
      <c r="L5602" s="1">
        <f>VALUE(5633)</f>
        <v>5633</v>
      </c>
      <c r="M5602" s="1">
        <f>VALUE(6767)</f>
        <v>6767</v>
      </c>
      <c r="N5602" t="s">
        <v>16</v>
      </c>
    </row>
    <row r="5603" spans="1:14" x14ac:dyDescent="0.25">
      <c r="A5603" t="s">
        <v>42</v>
      </c>
      <c r="B5603" t="s">
        <v>15</v>
      </c>
      <c r="C5603" t="s">
        <v>36</v>
      </c>
      <c r="D5603" t="s">
        <v>15</v>
      </c>
      <c r="E5603" t="s">
        <v>15</v>
      </c>
      <c r="F5603" t="s">
        <v>17</v>
      </c>
      <c r="G5603" s="2">
        <f>VALUE(2128.54)</f>
        <v>2128.54</v>
      </c>
      <c r="H5603" s="3">
        <f>VALUE(2108.07)</f>
        <v>2108.0700000000002</v>
      </c>
      <c r="I5603" s="4">
        <f>VALUE(3508)</f>
        <v>3508</v>
      </c>
      <c r="J5603" s="1">
        <f>VALUE(4643)</f>
        <v>4643</v>
      </c>
      <c r="K5603" s="1">
        <f>VALUE(5929)</f>
        <v>5929</v>
      </c>
      <c r="L5603" s="7">
        <f>VALUE(7480)</f>
        <v>7480</v>
      </c>
      <c r="M5603" s="8">
        <f>VALUE(9933)</f>
        <v>9933</v>
      </c>
      <c r="N5603" t="s">
        <v>25</v>
      </c>
    </row>
    <row r="5604" spans="1:14" x14ac:dyDescent="0.25">
      <c r="A5604" t="s">
        <v>42</v>
      </c>
      <c r="B5604" t="s">
        <v>15</v>
      </c>
      <c r="C5604" t="s">
        <v>36</v>
      </c>
      <c r="D5604" t="s">
        <v>15</v>
      </c>
      <c r="E5604" t="s">
        <v>15</v>
      </c>
      <c r="F5604" t="s">
        <v>18</v>
      </c>
      <c r="G5604" s="2">
        <f>VALUE(2270.37)</f>
        <v>2270.37</v>
      </c>
      <c r="H5604" s="3">
        <f>VALUE(2143.27)</f>
        <v>2143.27</v>
      </c>
      <c r="I5604" s="1">
        <f>VALUE(3304)</f>
        <v>3304</v>
      </c>
      <c r="J5604" s="1">
        <f>VALUE(4282)</f>
        <v>4282</v>
      </c>
      <c r="K5604" s="1">
        <f>VALUE(5294)</f>
        <v>5294</v>
      </c>
      <c r="L5604" s="1">
        <f>VALUE(6593)</f>
        <v>6593</v>
      </c>
      <c r="M5604" s="1">
        <f>VALUE(7969)</f>
        <v>7969</v>
      </c>
      <c r="N5604" t="s">
        <v>25</v>
      </c>
    </row>
    <row r="5605" spans="1:14" x14ac:dyDescent="0.25">
      <c r="A5605" t="s">
        <v>42</v>
      </c>
      <c r="B5605" t="s">
        <v>15</v>
      </c>
      <c r="C5605" t="s">
        <v>36</v>
      </c>
      <c r="D5605" t="s">
        <v>15</v>
      </c>
      <c r="E5605" t="s">
        <v>15</v>
      </c>
      <c r="F5605" t="s">
        <v>19</v>
      </c>
      <c r="G5605" s="1">
        <f>VALUE(3464.44)</f>
        <v>3464.44</v>
      </c>
      <c r="H5605" s="1">
        <f>VALUE(3335.9)</f>
        <v>3335.9</v>
      </c>
      <c r="I5605" s="1">
        <f>VALUE(3179)</f>
        <v>3179</v>
      </c>
      <c r="J5605" s="1">
        <f>VALUE(3972)</f>
        <v>3972</v>
      </c>
      <c r="K5605" s="1">
        <f>VALUE(4770)</f>
        <v>4770</v>
      </c>
      <c r="L5605" s="1">
        <f>VALUE(5757)</f>
        <v>5757</v>
      </c>
      <c r="M5605" s="1">
        <f>VALUE(6758)</f>
        <v>6758</v>
      </c>
      <c r="N5605" t="s">
        <v>16</v>
      </c>
    </row>
    <row r="5606" spans="1:14" x14ac:dyDescent="0.25">
      <c r="A5606" t="s">
        <v>42</v>
      </c>
      <c r="B5606" t="s">
        <v>15</v>
      </c>
      <c r="C5606" t="s">
        <v>36</v>
      </c>
      <c r="D5606" t="s">
        <v>15</v>
      </c>
      <c r="E5606" t="s">
        <v>15</v>
      </c>
      <c r="F5606" t="s">
        <v>20</v>
      </c>
      <c r="G5606" s="1">
        <f>VALUE(19570.9)</f>
        <v>19570.900000000001</v>
      </c>
      <c r="H5606" s="1">
        <f>VALUE(18485.91)</f>
        <v>18485.91</v>
      </c>
      <c r="I5606" s="1">
        <f>VALUE(2899)</f>
        <v>2899</v>
      </c>
      <c r="J5606" s="1">
        <f>VALUE(3569)</f>
        <v>3569</v>
      </c>
      <c r="K5606" s="1">
        <f>VALUE(4417)</f>
        <v>4417</v>
      </c>
      <c r="L5606" s="1">
        <f>VALUE(5304)</f>
        <v>5304</v>
      </c>
      <c r="M5606" s="1">
        <f>VALUE(6227)</f>
        <v>6227</v>
      </c>
      <c r="N5606" t="s">
        <v>16</v>
      </c>
    </row>
    <row r="5607" spans="1:14" x14ac:dyDescent="0.25">
      <c r="A5607" t="s">
        <v>42</v>
      </c>
      <c r="B5607" t="s">
        <v>15</v>
      </c>
      <c r="C5607" t="s">
        <v>36</v>
      </c>
      <c r="D5607" t="s">
        <v>15</v>
      </c>
      <c r="E5607" t="s">
        <v>21</v>
      </c>
      <c r="F5607" t="s">
        <v>15</v>
      </c>
      <c r="G5607" s="1">
        <f>VALUE(6855.4)</f>
        <v>6855.4</v>
      </c>
      <c r="H5607" s="1">
        <f>VALUE(6438.8)</f>
        <v>6438.8</v>
      </c>
      <c r="I5607" s="1">
        <f>VALUE(3413)</f>
        <v>3413</v>
      </c>
      <c r="J5607" s="1">
        <f>VALUE(4310)</f>
        <v>4310</v>
      </c>
      <c r="K5607" s="1">
        <f>VALUE(5495)</f>
        <v>5495</v>
      </c>
      <c r="L5607" s="1">
        <f>VALUE(6746)</f>
        <v>6746</v>
      </c>
      <c r="M5607" s="1">
        <f>VALUE(8157)</f>
        <v>8157</v>
      </c>
      <c r="N5607" t="s">
        <v>16</v>
      </c>
    </row>
    <row r="5608" spans="1:14" x14ac:dyDescent="0.25">
      <c r="A5608" t="s">
        <v>42</v>
      </c>
      <c r="B5608" t="s">
        <v>15</v>
      </c>
      <c r="C5608" t="s">
        <v>36</v>
      </c>
      <c r="D5608" t="s">
        <v>15</v>
      </c>
      <c r="E5608" t="s">
        <v>21</v>
      </c>
      <c r="F5608" t="s">
        <v>17</v>
      </c>
      <c r="G5608" s="2">
        <f>VALUE(1205.79)</f>
        <v>1205.79</v>
      </c>
      <c r="H5608" s="3">
        <f>VALUE(1173.55)</f>
        <v>1173.55</v>
      </c>
      <c r="I5608" s="4">
        <f>VALUE(4130)</f>
        <v>4130</v>
      </c>
      <c r="J5608" s="1">
        <f>VALUE(4983)</f>
        <v>4983</v>
      </c>
      <c r="K5608" s="1">
        <f>VALUE(6565)</f>
        <v>6565</v>
      </c>
      <c r="L5608" s="1">
        <f>VALUE(7953)</f>
        <v>7953</v>
      </c>
      <c r="M5608" s="8">
        <f>VALUE(9750)</f>
        <v>9750</v>
      </c>
      <c r="N5608" t="s">
        <v>25</v>
      </c>
    </row>
    <row r="5609" spans="1:14" x14ac:dyDescent="0.25">
      <c r="A5609" t="s">
        <v>42</v>
      </c>
      <c r="B5609" t="s">
        <v>15</v>
      </c>
      <c r="C5609" t="s">
        <v>36</v>
      </c>
      <c r="D5609" t="s">
        <v>15</v>
      </c>
      <c r="E5609" t="s">
        <v>21</v>
      </c>
      <c r="F5609" t="s">
        <v>18</v>
      </c>
      <c r="G5609" s="2">
        <f>VALUE(972.04)</f>
        <v>972.04</v>
      </c>
      <c r="H5609" s="3">
        <f>VALUE(915.6)</f>
        <v>915.6</v>
      </c>
      <c r="I5609" s="4">
        <f>VALUE(4282)</f>
        <v>4282</v>
      </c>
      <c r="J5609" s="1">
        <f>VALUE(4975)</f>
        <v>4975</v>
      </c>
      <c r="K5609" s="1">
        <f>VALUE(6109)</f>
        <v>6109</v>
      </c>
      <c r="L5609" s="1">
        <f>VALUE(7096)</f>
        <v>7096</v>
      </c>
      <c r="M5609" s="8">
        <f>VALUE(8738)</f>
        <v>8738</v>
      </c>
      <c r="N5609" t="s">
        <v>25</v>
      </c>
    </row>
    <row r="5610" spans="1:14" x14ac:dyDescent="0.25">
      <c r="A5610" t="s">
        <v>42</v>
      </c>
      <c r="B5610" t="s">
        <v>15</v>
      </c>
      <c r="C5610" t="s">
        <v>36</v>
      </c>
      <c r="D5610" t="s">
        <v>15</v>
      </c>
      <c r="E5610" t="s">
        <v>21</v>
      </c>
      <c r="F5610" t="s">
        <v>19</v>
      </c>
      <c r="G5610" s="2">
        <f>VALUE(1140.14)</f>
        <v>1140.1400000000001</v>
      </c>
      <c r="H5610" s="3">
        <f>VALUE(1111.59)</f>
        <v>1111.5899999999999</v>
      </c>
      <c r="I5610" s="4">
        <f>VALUE(3550)</f>
        <v>3550</v>
      </c>
      <c r="J5610" s="1">
        <f>VALUE(4201)</f>
        <v>4201</v>
      </c>
      <c r="K5610" s="1">
        <f>VALUE(5251)</f>
        <v>5251</v>
      </c>
      <c r="L5610" s="1">
        <f>VALUE(6487)</f>
        <v>6487</v>
      </c>
      <c r="M5610" s="1">
        <f>VALUE(7398)</f>
        <v>7398</v>
      </c>
      <c r="N5610" t="s">
        <v>25</v>
      </c>
    </row>
    <row r="5611" spans="1:14" x14ac:dyDescent="0.25">
      <c r="A5611" t="s">
        <v>42</v>
      </c>
      <c r="B5611" t="s">
        <v>15</v>
      </c>
      <c r="C5611" t="s">
        <v>36</v>
      </c>
      <c r="D5611" t="s">
        <v>15</v>
      </c>
      <c r="E5611" t="s">
        <v>21</v>
      </c>
      <c r="F5611" t="s">
        <v>20</v>
      </c>
      <c r="G5611" s="1">
        <f>VALUE(3537.43)</f>
        <v>3537.43</v>
      </c>
      <c r="H5611" s="1">
        <f>VALUE(3238.06)</f>
        <v>3238.06</v>
      </c>
      <c r="I5611" s="1">
        <f>VALUE(3143)</f>
        <v>3143</v>
      </c>
      <c r="J5611" s="1">
        <f>VALUE(3960)</f>
        <v>3960</v>
      </c>
      <c r="K5611" s="1">
        <f>VALUE(4996)</f>
        <v>4996</v>
      </c>
      <c r="L5611" s="1">
        <f>VALUE(6306)</f>
        <v>6306</v>
      </c>
      <c r="M5611" s="1">
        <f>VALUE(7316)</f>
        <v>7316</v>
      </c>
      <c r="N5611" t="s">
        <v>16</v>
      </c>
    </row>
    <row r="5612" spans="1:14" x14ac:dyDescent="0.25">
      <c r="A5612" t="s">
        <v>42</v>
      </c>
      <c r="B5612" t="s">
        <v>15</v>
      </c>
      <c r="C5612" t="s">
        <v>36</v>
      </c>
      <c r="D5612" t="s">
        <v>15</v>
      </c>
      <c r="E5612" t="s">
        <v>22</v>
      </c>
      <c r="F5612" t="s">
        <v>15</v>
      </c>
      <c r="G5612" s="1">
        <f>VALUE(12079.03)</f>
        <v>12079.03</v>
      </c>
      <c r="H5612" s="1">
        <f>VALUE(11610.57)</f>
        <v>11610.57</v>
      </c>
      <c r="I5612" s="1">
        <f>VALUE(3349)</f>
        <v>3349</v>
      </c>
      <c r="J5612" s="1">
        <f>VALUE(4095)</f>
        <v>4095</v>
      </c>
      <c r="K5612" s="1">
        <f>VALUE(4791)</f>
        <v>4791</v>
      </c>
      <c r="L5612" s="1">
        <f>VALUE(5526)</f>
        <v>5526</v>
      </c>
      <c r="M5612" s="1">
        <f>VALUE(6392)</f>
        <v>6392</v>
      </c>
      <c r="N5612" t="s">
        <v>16</v>
      </c>
    </row>
    <row r="5613" spans="1:14" x14ac:dyDescent="0.25">
      <c r="A5613" t="s">
        <v>42</v>
      </c>
      <c r="B5613" t="s">
        <v>15</v>
      </c>
      <c r="C5613" t="s">
        <v>36</v>
      </c>
      <c r="D5613" t="s">
        <v>15</v>
      </c>
      <c r="E5613" t="s">
        <v>22</v>
      </c>
      <c r="F5613" t="s">
        <v>17</v>
      </c>
      <c r="G5613" s="2">
        <f>VALUE(737.55)</f>
        <v>737.55</v>
      </c>
      <c r="H5613" s="3">
        <f>VALUE(751.67)</f>
        <v>751.67</v>
      </c>
      <c r="I5613" s="4">
        <f>VALUE(3887)</f>
        <v>3887</v>
      </c>
      <c r="J5613" s="1">
        <f>VALUE(4604)</f>
        <v>4604</v>
      </c>
      <c r="K5613" s="1">
        <f>VALUE(5474)</f>
        <v>5474</v>
      </c>
      <c r="L5613" s="7">
        <f>VALUE(6745)</f>
        <v>6745</v>
      </c>
      <c r="M5613" s="8">
        <f>VALUE(10777)</f>
        <v>10777</v>
      </c>
      <c r="N5613" t="s">
        <v>25</v>
      </c>
    </row>
    <row r="5614" spans="1:14" x14ac:dyDescent="0.25">
      <c r="A5614" t="s">
        <v>42</v>
      </c>
      <c r="B5614" t="s">
        <v>15</v>
      </c>
      <c r="C5614" t="s">
        <v>36</v>
      </c>
      <c r="D5614" t="s">
        <v>15</v>
      </c>
      <c r="E5614" t="s">
        <v>22</v>
      </c>
      <c r="F5614" t="s">
        <v>18</v>
      </c>
      <c r="G5614" s="2">
        <f>VALUE(981.5)</f>
        <v>981.5</v>
      </c>
      <c r="H5614" s="3">
        <f>VALUE(932.65)</f>
        <v>932.65</v>
      </c>
      <c r="I5614" s="4">
        <f>VALUE(3500)</f>
        <v>3500</v>
      </c>
      <c r="J5614" s="1">
        <f>VALUE(4265)</f>
        <v>4265</v>
      </c>
      <c r="K5614" s="1">
        <f>VALUE(5089)</f>
        <v>5089</v>
      </c>
      <c r="L5614" s="1">
        <f>VALUE(6283)</f>
        <v>6283</v>
      </c>
      <c r="M5614" s="1">
        <f>VALUE(7601)</f>
        <v>7601</v>
      </c>
      <c r="N5614" t="s">
        <v>25</v>
      </c>
    </row>
    <row r="5615" spans="1:14" x14ac:dyDescent="0.25">
      <c r="A5615" t="s">
        <v>42</v>
      </c>
      <c r="B5615" t="s">
        <v>15</v>
      </c>
      <c r="C5615" t="s">
        <v>36</v>
      </c>
      <c r="D5615" t="s">
        <v>15</v>
      </c>
      <c r="E5615" t="s">
        <v>22</v>
      </c>
      <c r="F5615" t="s">
        <v>19</v>
      </c>
      <c r="G5615" s="2">
        <f>VALUE(1712.49)</f>
        <v>1712.49</v>
      </c>
      <c r="H5615" s="3">
        <f>VALUE(1636.87)</f>
        <v>1636.87</v>
      </c>
      <c r="I5615" s="1">
        <f>VALUE(3540)</f>
        <v>3540</v>
      </c>
      <c r="J5615" s="1">
        <f>VALUE(4181)</f>
        <v>4181</v>
      </c>
      <c r="K5615" s="1">
        <f>VALUE(4821)</f>
        <v>4821</v>
      </c>
      <c r="L5615" s="1">
        <f>VALUE(5633)</f>
        <v>5633</v>
      </c>
      <c r="M5615" s="1">
        <f>VALUE(6368)</f>
        <v>6368</v>
      </c>
      <c r="N5615" t="s">
        <v>25</v>
      </c>
    </row>
    <row r="5616" spans="1:14" x14ac:dyDescent="0.25">
      <c r="A5616" t="s">
        <v>42</v>
      </c>
      <c r="B5616" t="s">
        <v>15</v>
      </c>
      <c r="C5616" t="s">
        <v>36</v>
      </c>
      <c r="D5616" t="s">
        <v>15</v>
      </c>
      <c r="E5616" t="s">
        <v>22</v>
      </c>
      <c r="F5616" t="s">
        <v>20</v>
      </c>
      <c r="G5616" s="1">
        <f>VALUE(8647.49)</f>
        <v>8647.49</v>
      </c>
      <c r="H5616" s="1">
        <f>VALUE(8289.38)</f>
        <v>8289.3799999999992</v>
      </c>
      <c r="I5616" s="1">
        <f>VALUE(3302)</f>
        <v>3302</v>
      </c>
      <c r="J5616" s="1">
        <f>VALUE(4051)</f>
        <v>4051</v>
      </c>
      <c r="K5616" s="1">
        <f>VALUE(4737)</f>
        <v>4737</v>
      </c>
      <c r="L5616" s="1">
        <f>VALUE(5397)</f>
        <v>5397</v>
      </c>
      <c r="M5616" s="1">
        <f>VALUE(6042)</f>
        <v>6042</v>
      </c>
      <c r="N5616" t="s">
        <v>16</v>
      </c>
    </row>
    <row r="5617" spans="1:14" x14ac:dyDescent="0.25">
      <c r="A5617" t="s">
        <v>42</v>
      </c>
      <c r="B5617" t="s">
        <v>15</v>
      </c>
      <c r="C5617" t="s">
        <v>36</v>
      </c>
      <c r="D5617" t="s">
        <v>15</v>
      </c>
      <c r="E5617" t="s">
        <v>23</v>
      </c>
      <c r="F5617" t="s">
        <v>15</v>
      </c>
      <c r="G5617" s="1">
        <f>VALUE(7344.87)</f>
        <v>7344.87</v>
      </c>
      <c r="H5617" s="1">
        <f>VALUE(6916.1)</f>
        <v>6916.1</v>
      </c>
      <c r="I5617" s="1">
        <f>VALUE(2676)</f>
        <v>2676</v>
      </c>
      <c r="J5617" s="1">
        <f>VALUE(3115)</f>
        <v>3115</v>
      </c>
      <c r="K5617" s="1">
        <f>VALUE(3660)</f>
        <v>3660</v>
      </c>
      <c r="L5617" s="1">
        <f>VALUE(4532)</f>
        <v>4532</v>
      </c>
      <c r="M5617" s="1">
        <f>VALUE(5417)</f>
        <v>5417</v>
      </c>
      <c r="N5617" t="s">
        <v>16</v>
      </c>
    </row>
    <row r="5618" spans="1:14" x14ac:dyDescent="0.25">
      <c r="A5618" t="s">
        <v>42</v>
      </c>
      <c r="B5618" t="s">
        <v>15</v>
      </c>
      <c r="C5618" t="s">
        <v>36</v>
      </c>
      <c r="D5618" t="s">
        <v>15</v>
      </c>
      <c r="E5618" t="s">
        <v>23</v>
      </c>
      <c r="F5618" t="s">
        <v>17</v>
      </c>
      <c r="G5618" s="1" t="str">
        <f t="shared" ref="G5618:M5618" si="1236">"X"</f>
        <v>X</v>
      </c>
      <c r="H5618" s="1" t="str">
        <f t="shared" si="1236"/>
        <v>X</v>
      </c>
      <c r="I5618" s="1" t="str">
        <f t="shared" si="1236"/>
        <v>X</v>
      </c>
      <c r="J5618" s="1" t="str">
        <f t="shared" si="1236"/>
        <v>X</v>
      </c>
      <c r="K5618" s="1" t="str">
        <f t="shared" si="1236"/>
        <v>X</v>
      </c>
      <c r="L5618" s="1" t="str">
        <f t="shared" si="1236"/>
        <v>X</v>
      </c>
      <c r="M5618" s="1" t="str">
        <f t="shared" si="1236"/>
        <v>X</v>
      </c>
      <c r="N5618" t="s">
        <v>27</v>
      </c>
    </row>
    <row r="5619" spans="1:14" x14ac:dyDescent="0.25">
      <c r="A5619" t="s">
        <v>42</v>
      </c>
      <c r="B5619" t="s">
        <v>15</v>
      </c>
      <c r="C5619" t="s">
        <v>36</v>
      </c>
      <c r="D5619" t="s">
        <v>15</v>
      </c>
      <c r="E5619" t="s">
        <v>23</v>
      </c>
      <c r="F5619" t="s">
        <v>18</v>
      </c>
      <c r="G5619" s="2">
        <f>VALUE(279.02)</f>
        <v>279.02</v>
      </c>
      <c r="H5619" s="3">
        <f>VALUE(256.31)</f>
        <v>256.31</v>
      </c>
      <c r="I5619" s="1">
        <f>VALUE(3022)</f>
        <v>3022</v>
      </c>
      <c r="J5619" s="1">
        <f>VALUE(3200)</f>
        <v>3200</v>
      </c>
      <c r="K5619" s="1">
        <f>VALUE(3545)</f>
        <v>3545</v>
      </c>
      <c r="L5619" s="7">
        <f>VALUE(4386)</f>
        <v>4386</v>
      </c>
      <c r="M5619" s="1">
        <f>VALUE(5238)</f>
        <v>5238</v>
      </c>
      <c r="N5619" t="s">
        <v>25</v>
      </c>
    </row>
    <row r="5620" spans="1:14" x14ac:dyDescent="0.25">
      <c r="A5620" t="s">
        <v>42</v>
      </c>
      <c r="B5620" t="s">
        <v>15</v>
      </c>
      <c r="C5620" t="s">
        <v>36</v>
      </c>
      <c r="D5620" t="s">
        <v>15</v>
      </c>
      <c r="E5620" t="s">
        <v>23</v>
      </c>
      <c r="F5620" t="s">
        <v>19</v>
      </c>
      <c r="G5620" s="2">
        <f>VALUE(565.9)</f>
        <v>565.9</v>
      </c>
      <c r="H5620" s="3">
        <f>VALUE(540.41)</f>
        <v>540.41</v>
      </c>
      <c r="I5620" s="1">
        <f>VALUE(2865)</f>
        <v>2865</v>
      </c>
      <c r="J5620" s="1">
        <f>VALUE(3098)</f>
        <v>3098</v>
      </c>
      <c r="K5620" s="6">
        <f>VALUE(3875)</f>
        <v>3875</v>
      </c>
      <c r="L5620" s="1">
        <f>VALUE(4770)</f>
        <v>4770</v>
      </c>
      <c r="M5620" s="1">
        <f>VALUE(5612)</f>
        <v>5612</v>
      </c>
      <c r="N5620" t="s">
        <v>25</v>
      </c>
    </row>
    <row r="5621" spans="1:14" x14ac:dyDescent="0.25">
      <c r="A5621" t="s">
        <v>42</v>
      </c>
      <c r="B5621" t="s">
        <v>15</v>
      </c>
      <c r="C5621" t="s">
        <v>36</v>
      </c>
      <c r="D5621" t="s">
        <v>15</v>
      </c>
      <c r="E5621" t="s">
        <v>23</v>
      </c>
      <c r="F5621" t="s">
        <v>20</v>
      </c>
      <c r="G5621" s="1">
        <f>VALUE(6345.22)</f>
        <v>6345.22</v>
      </c>
      <c r="H5621" s="1">
        <f>VALUE(5967.11)</f>
        <v>5967.11</v>
      </c>
      <c r="I5621" s="1">
        <f>VALUE(2630)</f>
        <v>2630</v>
      </c>
      <c r="J5621" s="1">
        <f>VALUE(3130)</f>
        <v>3130</v>
      </c>
      <c r="K5621" s="1">
        <f>VALUE(3663)</f>
        <v>3663</v>
      </c>
      <c r="L5621" s="1">
        <f>VALUE(4476)</f>
        <v>4476</v>
      </c>
      <c r="M5621" s="1">
        <f>VALUE(5404)</f>
        <v>5404</v>
      </c>
      <c r="N5621" t="s">
        <v>16</v>
      </c>
    </row>
    <row r="5622" spans="1:14" x14ac:dyDescent="0.25">
      <c r="A5622" t="s">
        <v>42</v>
      </c>
      <c r="B5622" t="s">
        <v>15</v>
      </c>
      <c r="C5622" t="s">
        <v>36</v>
      </c>
      <c r="D5622" t="s">
        <v>15</v>
      </c>
      <c r="E5622" t="s">
        <v>26</v>
      </c>
      <c r="F5622" t="s">
        <v>15</v>
      </c>
      <c r="G5622" s="2">
        <f>VALUE(1154.95)</f>
        <v>1154.95</v>
      </c>
      <c r="H5622" s="3">
        <f>VALUE(1107.68)</f>
        <v>1107.68</v>
      </c>
      <c r="I5622" s="4">
        <f>VALUE(2945)</f>
        <v>2945</v>
      </c>
      <c r="J5622" s="1">
        <f>VALUE(3617)</f>
        <v>3617</v>
      </c>
      <c r="K5622" s="6">
        <f>VALUE(4582)</f>
        <v>4582</v>
      </c>
      <c r="L5622" s="1">
        <f>VALUE(5660)</f>
        <v>5660</v>
      </c>
      <c r="M5622" s="1">
        <f>VALUE(6563)</f>
        <v>6563</v>
      </c>
      <c r="N5622" t="s">
        <v>25</v>
      </c>
    </row>
    <row r="5623" spans="1:14" x14ac:dyDescent="0.25">
      <c r="A5623" t="s">
        <v>42</v>
      </c>
      <c r="B5623" t="s">
        <v>15</v>
      </c>
      <c r="C5623" t="s">
        <v>36</v>
      </c>
      <c r="D5623" t="s">
        <v>15</v>
      </c>
      <c r="E5623" t="s">
        <v>26</v>
      </c>
      <c r="F5623" t="s">
        <v>17</v>
      </c>
      <c r="G5623" s="1" t="str">
        <f t="shared" ref="G5623:M5625" si="1237">"X"</f>
        <v>X</v>
      </c>
      <c r="H5623" s="1" t="str">
        <f t="shared" si="1237"/>
        <v>X</v>
      </c>
      <c r="I5623" s="1" t="str">
        <f t="shared" si="1237"/>
        <v>X</v>
      </c>
      <c r="J5623" s="1" t="str">
        <f t="shared" si="1237"/>
        <v>X</v>
      </c>
      <c r="K5623" s="1" t="str">
        <f t="shared" si="1237"/>
        <v>X</v>
      </c>
      <c r="L5623" s="1" t="str">
        <f t="shared" si="1237"/>
        <v>X</v>
      </c>
      <c r="M5623" s="1" t="str">
        <f t="shared" si="1237"/>
        <v>X</v>
      </c>
      <c r="N5623" t="s">
        <v>27</v>
      </c>
    </row>
    <row r="5624" spans="1:14" x14ac:dyDescent="0.25">
      <c r="A5624" t="s">
        <v>42</v>
      </c>
      <c r="B5624" t="s">
        <v>15</v>
      </c>
      <c r="C5624" t="s">
        <v>36</v>
      </c>
      <c r="D5624" t="s">
        <v>15</v>
      </c>
      <c r="E5624" t="s">
        <v>26</v>
      </c>
      <c r="F5624" t="s">
        <v>18</v>
      </c>
      <c r="G5624" s="1" t="str">
        <f t="shared" si="1237"/>
        <v>X</v>
      </c>
      <c r="H5624" s="1" t="str">
        <f t="shared" si="1237"/>
        <v>X</v>
      </c>
      <c r="I5624" s="1" t="str">
        <f t="shared" si="1237"/>
        <v>X</v>
      </c>
      <c r="J5624" s="1" t="str">
        <f t="shared" si="1237"/>
        <v>X</v>
      </c>
      <c r="K5624" s="1" t="str">
        <f t="shared" si="1237"/>
        <v>X</v>
      </c>
      <c r="L5624" s="1" t="str">
        <f t="shared" si="1237"/>
        <v>X</v>
      </c>
      <c r="M5624" s="1" t="str">
        <f t="shared" si="1237"/>
        <v>X</v>
      </c>
      <c r="N5624" t="s">
        <v>27</v>
      </c>
    </row>
    <row r="5625" spans="1:14" x14ac:dyDescent="0.25">
      <c r="A5625" t="s">
        <v>42</v>
      </c>
      <c r="B5625" t="s">
        <v>15</v>
      </c>
      <c r="C5625" t="s">
        <v>36</v>
      </c>
      <c r="D5625" t="s">
        <v>15</v>
      </c>
      <c r="E5625" t="s">
        <v>26</v>
      </c>
      <c r="F5625" t="s">
        <v>19</v>
      </c>
      <c r="G5625" s="1" t="str">
        <f t="shared" si="1237"/>
        <v>X</v>
      </c>
      <c r="H5625" s="1" t="str">
        <f t="shared" si="1237"/>
        <v>X</v>
      </c>
      <c r="I5625" s="1" t="str">
        <f t="shared" si="1237"/>
        <v>X</v>
      </c>
      <c r="J5625" s="1" t="str">
        <f t="shared" si="1237"/>
        <v>X</v>
      </c>
      <c r="K5625" s="1" t="str">
        <f t="shared" si="1237"/>
        <v>X</v>
      </c>
      <c r="L5625" s="1" t="str">
        <f t="shared" si="1237"/>
        <v>X</v>
      </c>
      <c r="M5625" s="1" t="str">
        <f t="shared" si="1237"/>
        <v>X</v>
      </c>
      <c r="N5625" t="s">
        <v>27</v>
      </c>
    </row>
    <row r="5626" spans="1:14" x14ac:dyDescent="0.25">
      <c r="A5626" t="s">
        <v>42</v>
      </c>
      <c r="B5626" t="s">
        <v>15</v>
      </c>
      <c r="C5626" t="s">
        <v>36</v>
      </c>
      <c r="D5626" t="s">
        <v>15</v>
      </c>
      <c r="E5626" t="s">
        <v>26</v>
      </c>
      <c r="F5626" t="s">
        <v>20</v>
      </c>
      <c r="G5626" s="2">
        <f>VALUE(1040.76)</f>
        <v>1040.76</v>
      </c>
      <c r="H5626" s="3">
        <f>VALUE(991.36)</f>
        <v>991.36</v>
      </c>
      <c r="I5626" s="4">
        <f>VALUE(2880)</f>
        <v>2880</v>
      </c>
      <c r="J5626" s="1">
        <f>VALUE(3618)</f>
        <v>3618</v>
      </c>
      <c r="K5626" s="6">
        <f>VALUE(4551)</f>
        <v>4551</v>
      </c>
      <c r="L5626" s="1">
        <f>VALUE(5449)</f>
        <v>5449</v>
      </c>
      <c r="M5626" s="1">
        <f>VALUE(6245)</f>
        <v>6245</v>
      </c>
      <c r="N5626" t="s">
        <v>25</v>
      </c>
    </row>
    <row r="5627" spans="1:14" x14ac:dyDescent="0.25">
      <c r="A5627" t="s">
        <v>42</v>
      </c>
      <c r="B5627" t="s">
        <v>15</v>
      </c>
      <c r="C5627" t="s">
        <v>36</v>
      </c>
      <c r="D5627" t="s">
        <v>28</v>
      </c>
      <c r="E5627" t="s">
        <v>15</v>
      </c>
      <c r="F5627" t="s">
        <v>15</v>
      </c>
      <c r="G5627" s="1">
        <f>VALUE(10246.22)</f>
        <v>10246.219999999999</v>
      </c>
      <c r="H5627" s="1">
        <f>VALUE(9554.77)</f>
        <v>9554.77</v>
      </c>
      <c r="I5627" s="1">
        <f>VALUE(3741)</f>
        <v>3741</v>
      </c>
      <c r="J5627" s="1">
        <f>VALUE(4357)</f>
        <v>4357</v>
      </c>
      <c r="K5627" s="1">
        <f>VALUE(5152)</f>
        <v>5152</v>
      </c>
      <c r="L5627" s="1">
        <f>VALUE(6114)</f>
        <v>6114</v>
      </c>
      <c r="M5627" s="1">
        <f>VALUE(7410)</f>
        <v>7410</v>
      </c>
      <c r="N5627" t="s">
        <v>16</v>
      </c>
    </row>
    <row r="5628" spans="1:14" x14ac:dyDescent="0.25">
      <c r="A5628" t="s">
        <v>42</v>
      </c>
      <c r="B5628" t="s">
        <v>15</v>
      </c>
      <c r="C5628" t="s">
        <v>36</v>
      </c>
      <c r="D5628" t="s">
        <v>28</v>
      </c>
      <c r="E5628" t="s">
        <v>15</v>
      </c>
      <c r="F5628" t="s">
        <v>17</v>
      </c>
      <c r="G5628" s="2">
        <f>VALUE(1296.24)</f>
        <v>1296.24</v>
      </c>
      <c r="H5628" s="3">
        <f>VALUE(1285.76)</f>
        <v>1285.76</v>
      </c>
      <c r="I5628" s="4">
        <f>VALUE(4059)</f>
        <v>4059</v>
      </c>
      <c r="J5628" s="1">
        <f>VALUE(4908)</f>
        <v>4908</v>
      </c>
      <c r="K5628" s="6">
        <f>VALUE(6328)</f>
        <v>6328</v>
      </c>
      <c r="L5628" s="1">
        <f>VALUE(7953)</f>
        <v>7953</v>
      </c>
      <c r="M5628" s="8">
        <f>VALUE(9833)</f>
        <v>9833</v>
      </c>
      <c r="N5628" t="s">
        <v>25</v>
      </c>
    </row>
    <row r="5629" spans="1:14" x14ac:dyDescent="0.25">
      <c r="A5629" t="s">
        <v>42</v>
      </c>
      <c r="B5629" t="s">
        <v>15</v>
      </c>
      <c r="C5629" t="s">
        <v>36</v>
      </c>
      <c r="D5629" t="s">
        <v>28</v>
      </c>
      <c r="E5629" t="s">
        <v>15</v>
      </c>
      <c r="F5629" t="s">
        <v>18</v>
      </c>
      <c r="G5629" s="2">
        <f>VALUE(1036.89)</f>
        <v>1036.8900000000001</v>
      </c>
      <c r="H5629" s="3">
        <f>VALUE(968.2)</f>
        <v>968.2</v>
      </c>
      <c r="I5629" s="4">
        <f>VALUE(3881)</f>
        <v>3881</v>
      </c>
      <c r="J5629" s="1">
        <f>VALUE(4664)</f>
        <v>4664</v>
      </c>
      <c r="K5629" s="1">
        <f>VALUE(5492)</f>
        <v>5492</v>
      </c>
      <c r="L5629" s="1">
        <f>VALUE(6500)</f>
        <v>6500</v>
      </c>
      <c r="M5629" s="1">
        <f>VALUE(7583)</f>
        <v>7583</v>
      </c>
      <c r="N5629" t="s">
        <v>25</v>
      </c>
    </row>
    <row r="5630" spans="1:14" x14ac:dyDescent="0.25">
      <c r="A5630" t="s">
        <v>42</v>
      </c>
      <c r="B5630" t="s">
        <v>15</v>
      </c>
      <c r="C5630" t="s">
        <v>36</v>
      </c>
      <c r="D5630" t="s">
        <v>28</v>
      </c>
      <c r="E5630" t="s">
        <v>15</v>
      </c>
      <c r="F5630" t="s">
        <v>19</v>
      </c>
      <c r="G5630" s="2">
        <f>VALUE(1288.44)</f>
        <v>1288.44</v>
      </c>
      <c r="H5630" s="3">
        <f>VALUE(1211.38)</f>
        <v>1211.3800000000001</v>
      </c>
      <c r="I5630" s="1">
        <f>VALUE(4000)</f>
        <v>4000</v>
      </c>
      <c r="J5630" s="1">
        <f>VALUE(4434)</f>
        <v>4434</v>
      </c>
      <c r="K5630" s="1">
        <f>VALUE(5189)</f>
        <v>5189</v>
      </c>
      <c r="L5630" s="1">
        <f>VALUE(6061)</f>
        <v>6061</v>
      </c>
      <c r="M5630" s="1">
        <f>VALUE(6821)</f>
        <v>6821</v>
      </c>
      <c r="N5630" t="s">
        <v>25</v>
      </c>
    </row>
    <row r="5631" spans="1:14" x14ac:dyDescent="0.25">
      <c r="A5631" t="s">
        <v>42</v>
      </c>
      <c r="B5631" t="s">
        <v>15</v>
      </c>
      <c r="C5631" t="s">
        <v>36</v>
      </c>
      <c r="D5631" t="s">
        <v>28</v>
      </c>
      <c r="E5631" t="s">
        <v>15</v>
      </c>
      <c r="F5631" t="s">
        <v>20</v>
      </c>
      <c r="G5631" s="1">
        <f>VALUE(6624.65)</f>
        <v>6624.65</v>
      </c>
      <c r="H5631" s="1">
        <f>VALUE(6089.43)</f>
        <v>6089.43</v>
      </c>
      <c r="I5631" s="1">
        <f>VALUE(3616)</f>
        <v>3616</v>
      </c>
      <c r="J5631" s="1">
        <f>VALUE(4236)</f>
        <v>4236</v>
      </c>
      <c r="K5631" s="1">
        <f>VALUE(4996)</f>
        <v>4996</v>
      </c>
      <c r="L5631" s="1">
        <f>VALUE(5810)</f>
        <v>5810</v>
      </c>
      <c r="M5631" s="1">
        <f>VALUE(6687)</f>
        <v>6687</v>
      </c>
      <c r="N5631" t="s">
        <v>16</v>
      </c>
    </row>
    <row r="5632" spans="1:14" x14ac:dyDescent="0.25">
      <c r="A5632" t="s">
        <v>42</v>
      </c>
      <c r="B5632" t="s">
        <v>15</v>
      </c>
      <c r="C5632" t="s">
        <v>36</v>
      </c>
      <c r="D5632" t="s">
        <v>28</v>
      </c>
      <c r="E5632" t="s">
        <v>21</v>
      </c>
      <c r="F5632" t="s">
        <v>15</v>
      </c>
      <c r="G5632" s="1">
        <f>VALUE(2955.6)</f>
        <v>2955.6</v>
      </c>
      <c r="H5632" s="1">
        <f>VALUE(2711.43)</f>
        <v>2711.43</v>
      </c>
      <c r="I5632" s="1">
        <f>VALUE(4136)</f>
        <v>4136</v>
      </c>
      <c r="J5632" s="1">
        <f>VALUE(4882)</f>
        <v>4882</v>
      </c>
      <c r="K5632" s="1">
        <f>VALUE(6067)</f>
        <v>6067</v>
      </c>
      <c r="L5632" s="1">
        <f>VALUE(7114)</f>
        <v>7114</v>
      </c>
      <c r="M5632" s="1">
        <f>VALUE(8390)</f>
        <v>8390</v>
      </c>
      <c r="N5632" t="s">
        <v>16</v>
      </c>
    </row>
    <row r="5633" spans="1:14" x14ac:dyDescent="0.25">
      <c r="A5633" t="s">
        <v>42</v>
      </c>
      <c r="B5633" t="s">
        <v>15</v>
      </c>
      <c r="C5633" t="s">
        <v>36</v>
      </c>
      <c r="D5633" t="s">
        <v>28</v>
      </c>
      <c r="E5633" t="s">
        <v>21</v>
      </c>
      <c r="F5633" t="s">
        <v>17</v>
      </c>
      <c r="G5633" s="2">
        <f>VALUE(734.13)</f>
        <v>734.13</v>
      </c>
      <c r="H5633" s="3">
        <f>VALUE(715.91)</f>
        <v>715.91</v>
      </c>
      <c r="I5633" s="4">
        <f>VALUE(4445)</f>
        <v>4445</v>
      </c>
      <c r="J5633" s="5">
        <f>VALUE(5232)</f>
        <v>5232</v>
      </c>
      <c r="K5633" s="1">
        <f>VALUE(7069)</f>
        <v>7069</v>
      </c>
      <c r="L5633" s="1">
        <f>VALUE(8365)</f>
        <v>8365</v>
      </c>
      <c r="M5633" s="1">
        <f>VALUE(9371)</f>
        <v>9371</v>
      </c>
      <c r="N5633" t="s">
        <v>25</v>
      </c>
    </row>
    <row r="5634" spans="1:14" x14ac:dyDescent="0.25">
      <c r="A5634" t="s">
        <v>42</v>
      </c>
      <c r="B5634" t="s">
        <v>15</v>
      </c>
      <c r="C5634" t="s">
        <v>36</v>
      </c>
      <c r="D5634" t="s">
        <v>28</v>
      </c>
      <c r="E5634" t="s">
        <v>21</v>
      </c>
      <c r="F5634" t="s">
        <v>18</v>
      </c>
      <c r="G5634" s="2">
        <f>VALUE(404.59)</f>
        <v>404.59</v>
      </c>
      <c r="H5634" s="3">
        <f>VALUE(372.83)</f>
        <v>372.83</v>
      </c>
      <c r="I5634" s="1">
        <f>VALUE(4442)</f>
        <v>4442</v>
      </c>
      <c r="J5634" s="1">
        <f>VALUE(5416)</f>
        <v>5416</v>
      </c>
      <c r="K5634" s="1">
        <f>VALUE(6056)</f>
        <v>6056</v>
      </c>
      <c r="L5634" s="1">
        <f>VALUE(6870)</f>
        <v>6870</v>
      </c>
      <c r="M5634" s="1">
        <f>VALUE(8103)</f>
        <v>8103</v>
      </c>
      <c r="N5634" t="s">
        <v>25</v>
      </c>
    </row>
    <row r="5635" spans="1:14" x14ac:dyDescent="0.25">
      <c r="A5635" t="s">
        <v>42</v>
      </c>
      <c r="B5635" t="s">
        <v>15</v>
      </c>
      <c r="C5635" t="s">
        <v>36</v>
      </c>
      <c r="D5635" t="s">
        <v>28</v>
      </c>
      <c r="E5635" t="s">
        <v>21</v>
      </c>
      <c r="F5635" t="s">
        <v>19</v>
      </c>
      <c r="G5635" s="2">
        <f>VALUE(374.15)</f>
        <v>374.15</v>
      </c>
      <c r="H5635" s="3">
        <f>VALUE(349.61)</f>
        <v>349.61</v>
      </c>
      <c r="I5635" s="1">
        <f>VALUE(4000)</f>
        <v>4000</v>
      </c>
      <c r="J5635" s="1">
        <f>VALUE(4667)</f>
        <v>4667</v>
      </c>
      <c r="K5635" s="1">
        <f>VALUE(6012)</f>
        <v>6012</v>
      </c>
      <c r="L5635" s="1">
        <f>VALUE(6652)</f>
        <v>6652</v>
      </c>
      <c r="M5635" s="1">
        <f>VALUE(7756)</f>
        <v>7756</v>
      </c>
      <c r="N5635" t="s">
        <v>25</v>
      </c>
    </row>
    <row r="5636" spans="1:14" x14ac:dyDescent="0.25">
      <c r="A5636" t="s">
        <v>42</v>
      </c>
      <c r="B5636" t="s">
        <v>15</v>
      </c>
      <c r="C5636" t="s">
        <v>36</v>
      </c>
      <c r="D5636" t="s">
        <v>28</v>
      </c>
      <c r="E5636" t="s">
        <v>21</v>
      </c>
      <c r="F5636" t="s">
        <v>20</v>
      </c>
      <c r="G5636" s="2">
        <f>VALUE(1442.73)</f>
        <v>1442.73</v>
      </c>
      <c r="H5636" s="3">
        <f>VALUE(1273.08)</f>
        <v>1273.08</v>
      </c>
      <c r="I5636" s="1">
        <f>VALUE(3817)</f>
        <v>3817</v>
      </c>
      <c r="J5636" s="1">
        <f>VALUE(4664)</f>
        <v>4664</v>
      </c>
      <c r="K5636" s="1">
        <f>VALUE(5749)</f>
        <v>5749</v>
      </c>
      <c r="L5636" s="1">
        <f>VALUE(6667)</f>
        <v>6667</v>
      </c>
      <c r="M5636" s="1">
        <f>VALUE(7630)</f>
        <v>7630</v>
      </c>
      <c r="N5636" t="s">
        <v>25</v>
      </c>
    </row>
    <row r="5637" spans="1:14" x14ac:dyDescent="0.25">
      <c r="A5637" t="s">
        <v>42</v>
      </c>
      <c r="B5637" t="s">
        <v>15</v>
      </c>
      <c r="C5637" t="s">
        <v>36</v>
      </c>
      <c r="D5637" t="s">
        <v>28</v>
      </c>
      <c r="E5637" t="s">
        <v>22</v>
      </c>
      <c r="F5637" t="s">
        <v>15</v>
      </c>
      <c r="G5637" s="1">
        <f>VALUE(6158.03)</f>
        <v>6158.03</v>
      </c>
      <c r="H5637" s="1">
        <f>VALUE(5861.77)</f>
        <v>5861.77</v>
      </c>
      <c r="I5637" s="1">
        <f>VALUE(3852)</f>
        <v>3852</v>
      </c>
      <c r="J5637" s="1">
        <f>VALUE(4337)</f>
        <v>4337</v>
      </c>
      <c r="K5637" s="1">
        <f>VALUE(5031)</f>
        <v>5031</v>
      </c>
      <c r="L5637" s="1">
        <f>VALUE(5747)</f>
        <v>5747</v>
      </c>
      <c r="M5637" s="1">
        <f>VALUE(6680)</f>
        <v>6680</v>
      </c>
      <c r="N5637" t="s">
        <v>16</v>
      </c>
    </row>
    <row r="5638" spans="1:14" x14ac:dyDescent="0.25">
      <c r="A5638" t="s">
        <v>42</v>
      </c>
      <c r="B5638" t="s">
        <v>15</v>
      </c>
      <c r="C5638" t="s">
        <v>36</v>
      </c>
      <c r="D5638" t="s">
        <v>28</v>
      </c>
      <c r="E5638" t="s">
        <v>22</v>
      </c>
      <c r="F5638" t="s">
        <v>17</v>
      </c>
      <c r="G5638" s="2">
        <f>VALUE(526.28)</f>
        <v>526.28</v>
      </c>
      <c r="H5638" s="3">
        <f>VALUE(532.74)</f>
        <v>532.74</v>
      </c>
      <c r="I5638" s="4">
        <f>VALUE(4000)</f>
        <v>4000</v>
      </c>
      <c r="J5638" s="1">
        <f>VALUE(4643)</f>
        <v>4643</v>
      </c>
      <c r="K5638" s="1">
        <f>VALUE(5674)</f>
        <v>5674</v>
      </c>
      <c r="L5638" s="7">
        <f>VALUE(7222)</f>
        <v>7222</v>
      </c>
      <c r="M5638" s="8">
        <f>VALUE(10933)</f>
        <v>10933</v>
      </c>
      <c r="N5638" t="s">
        <v>25</v>
      </c>
    </row>
    <row r="5639" spans="1:14" x14ac:dyDescent="0.25">
      <c r="A5639" t="s">
        <v>42</v>
      </c>
      <c r="B5639" t="s">
        <v>15</v>
      </c>
      <c r="C5639" t="s">
        <v>36</v>
      </c>
      <c r="D5639" t="s">
        <v>28</v>
      </c>
      <c r="E5639" t="s">
        <v>22</v>
      </c>
      <c r="F5639" t="s">
        <v>18</v>
      </c>
      <c r="G5639" s="2">
        <f>VALUE(575.58)</f>
        <v>575.58000000000004</v>
      </c>
      <c r="H5639" s="3">
        <f>VALUE(539.15)</f>
        <v>539.15</v>
      </c>
      <c r="I5639" s="4">
        <f>VALUE(3852)</f>
        <v>3852</v>
      </c>
      <c r="J5639" s="5">
        <f>VALUE(4550)</f>
        <v>4550</v>
      </c>
      <c r="K5639" s="1">
        <f>VALUE(5141)</f>
        <v>5141</v>
      </c>
      <c r="L5639" s="1">
        <f>VALUE(6293)</f>
        <v>6293</v>
      </c>
      <c r="M5639" s="1">
        <f>VALUE(7508)</f>
        <v>7508</v>
      </c>
      <c r="N5639" t="s">
        <v>25</v>
      </c>
    </row>
    <row r="5640" spans="1:14" x14ac:dyDescent="0.25">
      <c r="A5640" t="s">
        <v>42</v>
      </c>
      <c r="B5640" t="s">
        <v>15</v>
      </c>
      <c r="C5640" t="s">
        <v>36</v>
      </c>
      <c r="D5640" t="s">
        <v>28</v>
      </c>
      <c r="E5640" t="s">
        <v>22</v>
      </c>
      <c r="F5640" t="s">
        <v>19</v>
      </c>
      <c r="G5640" s="2">
        <f>VALUE(839.54)</f>
        <v>839.54</v>
      </c>
      <c r="H5640" s="3">
        <f>VALUE(789.26)</f>
        <v>789.26</v>
      </c>
      <c r="I5640" s="1">
        <f>VALUE(4000)</f>
        <v>4000</v>
      </c>
      <c r="J5640" s="1">
        <f>VALUE(4434)</f>
        <v>4434</v>
      </c>
      <c r="K5640" s="1">
        <f>VALUE(5059)</f>
        <v>5059</v>
      </c>
      <c r="L5640" s="1">
        <f>VALUE(5670)</f>
        <v>5670</v>
      </c>
      <c r="M5640" s="1">
        <f>VALUE(6392)</f>
        <v>6392</v>
      </c>
      <c r="N5640" t="s">
        <v>25</v>
      </c>
    </row>
    <row r="5641" spans="1:14" x14ac:dyDescent="0.25">
      <c r="A5641" t="s">
        <v>42</v>
      </c>
      <c r="B5641" t="s">
        <v>15</v>
      </c>
      <c r="C5641" t="s">
        <v>36</v>
      </c>
      <c r="D5641" t="s">
        <v>28</v>
      </c>
      <c r="E5641" t="s">
        <v>22</v>
      </c>
      <c r="F5641" t="s">
        <v>20</v>
      </c>
      <c r="G5641" s="1">
        <f>VALUE(4216.63)</f>
        <v>4216.63</v>
      </c>
      <c r="H5641" s="1">
        <f>VALUE(4000.62)</f>
        <v>4000.62</v>
      </c>
      <c r="I5641" s="1">
        <f>VALUE(3792)</f>
        <v>3792</v>
      </c>
      <c r="J5641" s="1">
        <f>VALUE(4307)</f>
        <v>4307</v>
      </c>
      <c r="K5641" s="1">
        <f>VALUE(4963)</f>
        <v>4963</v>
      </c>
      <c r="L5641" s="1">
        <f>VALUE(5643)</f>
        <v>5643</v>
      </c>
      <c r="M5641" s="1">
        <f>VALUE(6306)</f>
        <v>6306</v>
      </c>
      <c r="N5641" t="s">
        <v>16</v>
      </c>
    </row>
    <row r="5642" spans="1:14" x14ac:dyDescent="0.25">
      <c r="A5642" t="s">
        <v>42</v>
      </c>
      <c r="B5642" t="s">
        <v>15</v>
      </c>
      <c r="C5642" t="s">
        <v>36</v>
      </c>
      <c r="D5642" t="s">
        <v>28</v>
      </c>
      <c r="E5642" t="s">
        <v>23</v>
      </c>
      <c r="F5642" t="s">
        <v>15</v>
      </c>
      <c r="G5642" s="2">
        <f>VALUE(848.85)</f>
        <v>848.85</v>
      </c>
      <c r="H5642" s="3">
        <f>VALUE(710.16)</f>
        <v>710.16</v>
      </c>
      <c r="I5642" s="4">
        <f>VALUE(3130)</f>
        <v>3130</v>
      </c>
      <c r="J5642" s="1">
        <f>VALUE(3525)</f>
        <v>3525</v>
      </c>
      <c r="K5642" s="1">
        <f>VALUE(4130)</f>
        <v>4130</v>
      </c>
      <c r="L5642" s="7">
        <f>VALUE(4906)</f>
        <v>4906</v>
      </c>
      <c r="M5642" s="8">
        <f>VALUE(6036)</f>
        <v>6036</v>
      </c>
      <c r="N5642" t="s">
        <v>25</v>
      </c>
    </row>
    <row r="5643" spans="1:14" x14ac:dyDescent="0.25">
      <c r="A5643" t="s">
        <v>42</v>
      </c>
      <c r="B5643" t="s">
        <v>15</v>
      </c>
      <c r="C5643" t="s">
        <v>36</v>
      </c>
      <c r="D5643" t="s">
        <v>28</v>
      </c>
      <c r="E5643" t="s">
        <v>23</v>
      </c>
      <c r="F5643" t="s">
        <v>17</v>
      </c>
      <c r="G5643" s="1" t="str">
        <f t="shared" ref="G5643:M5645" si="1238">"X"</f>
        <v>X</v>
      </c>
      <c r="H5643" s="1" t="str">
        <f t="shared" si="1238"/>
        <v>X</v>
      </c>
      <c r="I5643" s="1" t="str">
        <f t="shared" si="1238"/>
        <v>X</v>
      </c>
      <c r="J5643" s="1" t="str">
        <f t="shared" si="1238"/>
        <v>X</v>
      </c>
      <c r="K5643" s="1" t="str">
        <f t="shared" si="1238"/>
        <v>X</v>
      </c>
      <c r="L5643" s="1" t="str">
        <f t="shared" si="1238"/>
        <v>X</v>
      </c>
      <c r="M5643" s="1" t="str">
        <f t="shared" si="1238"/>
        <v>X</v>
      </c>
      <c r="N5643" t="s">
        <v>27</v>
      </c>
    </row>
    <row r="5644" spans="1:14" x14ac:dyDescent="0.25">
      <c r="A5644" t="s">
        <v>42</v>
      </c>
      <c r="B5644" t="s">
        <v>15</v>
      </c>
      <c r="C5644" t="s">
        <v>36</v>
      </c>
      <c r="D5644" t="s">
        <v>28</v>
      </c>
      <c r="E5644" t="s">
        <v>23</v>
      </c>
      <c r="F5644" t="s">
        <v>18</v>
      </c>
      <c r="G5644" s="1" t="str">
        <f t="shared" si="1238"/>
        <v>X</v>
      </c>
      <c r="H5644" s="1" t="str">
        <f t="shared" si="1238"/>
        <v>X</v>
      </c>
      <c r="I5644" s="1" t="str">
        <f t="shared" si="1238"/>
        <v>X</v>
      </c>
      <c r="J5644" s="1" t="str">
        <f t="shared" si="1238"/>
        <v>X</v>
      </c>
      <c r="K5644" s="1" t="str">
        <f t="shared" si="1238"/>
        <v>X</v>
      </c>
      <c r="L5644" s="1" t="str">
        <f t="shared" si="1238"/>
        <v>X</v>
      </c>
      <c r="M5644" s="1" t="str">
        <f t="shared" si="1238"/>
        <v>X</v>
      </c>
      <c r="N5644" t="s">
        <v>27</v>
      </c>
    </row>
    <row r="5645" spans="1:14" x14ac:dyDescent="0.25">
      <c r="A5645" t="s">
        <v>42</v>
      </c>
      <c r="B5645" t="s">
        <v>15</v>
      </c>
      <c r="C5645" t="s">
        <v>36</v>
      </c>
      <c r="D5645" t="s">
        <v>28</v>
      </c>
      <c r="E5645" t="s">
        <v>23</v>
      </c>
      <c r="F5645" t="s">
        <v>19</v>
      </c>
      <c r="G5645" s="1" t="str">
        <f t="shared" si="1238"/>
        <v>X</v>
      </c>
      <c r="H5645" s="1" t="str">
        <f t="shared" si="1238"/>
        <v>X</v>
      </c>
      <c r="I5645" s="1" t="str">
        <f t="shared" si="1238"/>
        <v>X</v>
      </c>
      <c r="J5645" s="1" t="str">
        <f t="shared" si="1238"/>
        <v>X</v>
      </c>
      <c r="K5645" s="1" t="str">
        <f t="shared" si="1238"/>
        <v>X</v>
      </c>
      <c r="L5645" s="1" t="str">
        <f t="shared" si="1238"/>
        <v>X</v>
      </c>
      <c r="M5645" s="1" t="str">
        <f t="shared" si="1238"/>
        <v>X</v>
      </c>
      <c r="N5645" t="s">
        <v>27</v>
      </c>
    </row>
    <row r="5646" spans="1:14" x14ac:dyDescent="0.25">
      <c r="A5646" t="s">
        <v>42</v>
      </c>
      <c r="B5646" t="s">
        <v>15</v>
      </c>
      <c r="C5646" t="s">
        <v>36</v>
      </c>
      <c r="D5646" t="s">
        <v>28</v>
      </c>
      <c r="E5646" t="s">
        <v>23</v>
      </c>
      <c r="F5646" t="s">
        <v>20</v>
      </c>
      <c r="G5646" s="2">
        <f>VALUE(715.98)</f>
        <v>715.98</v>
      </c>
      <c r="H5646" s="3">
        <f>VALUE(578.41)</f>
        <v>578.41</v>
      </c>
      <c r="I5646" s="4">
        <f>VALUE(2740)</f>
        <v>2740</v>
      </c>
      <c r="J5646" s="5">
        <f>VALUE(3508)</f>
        <v>3508</v>
      </c>
      <c r="K5646" s="1">
        <f>VALUE(4114)</f>
        <v>4114</v>
      </c>
      <c r="L5646" s="7">
        <f>VALUE(4875)</f>
        <v>4875</v>
      </c>
      <c r="M5646" s="8">
        <f>VALUE(6222)</f>
        <v>6222</v>
      </c>
      <c r="N5646" t="s">
        <v>25</v>
      </c>
    </row>
    <row r="5647" spans="1:14" x14ac:dyDescent="0.25">
      <c r="A5647" t="s">
        <v>42</v>
      </c>
      <c r="B5647" t="s">
        <v>15</v>
      </c>
      <c r="C5647" t="s">
        <v>36</v>
      </c>
      <c r="D5647" t="s">
        <v>28</v>
      </c>
      <c r="E5647" t="s">
        <v>26</v>
      </c>
      <c r="F5647" t="s">
        <v>15</v>
      </c>
      <c r="G5647" s="2">
        <f>VALUE(283.74)</f>
        <v>283.74</v>
      </c>
      <c r="H5647" s="3">
        <f>VALUE(271.41)</f>
        <v>271.41000000000003</v>
      </c>
      <c r="I5647" s="4">
        <f>VALUE(3508)</f>
        <v>3508</v>
      </c>
      <c r="J5647" s="5">
        <f>VALUE(3969)</f>
        <v>3969</v>
      </c>
      <c r="K5647" s="1">
        <f>VALUE(4852)</f>
        <v>4852</v>
      </c>
      <c r="L5647" s="1">
        <f>VALUE(5845)</f>
        <v>5845</v>
      </c>
      <c r="M5647" s="1">
        <f>VALUE(6515)</f>
        <v>6515</v>
      </c>
      <c r="N5647" t="s">
        <v>25</v>
      </c>
    </row>
    <row r="5648" spans="1:14" x14ac:dyDescent="0.25">
      <c r="A5648" t="s">
        <v>42</v>
      </c>
      <c r="B5648" t="s">
        <v>15</v>
      </c>
      <c r="C5648" t="s">
        <v>36</v>
      </c>
      <c r="D5648" t="s">
        <v>28</v>
      </c>
      <c r="E5648" t="s">
        <v>26</v>
      </c>
      <c r="F5648" t="s">
        <v>17</v>
      </c>
      <c r="G5648" s="1" t="str">
        <f t="shared" ref="G5648:M5650" si="1239">"X"</f>
        <v>X</v>
      </c>
      <c r="H5648" s="1" t="str">
        <f t="shared" si="1239"/>
        <v>X</v>
      </c>
      <c r="I5648" s="1" t="str">
        <f t="shared" si="1239"/>
        <v>X</v>
      </c>
      <c r="J5648" s="1" t="str">
        <f t="shared" si="1239"/>
        <v>X</v>
      </c>
      <c r="K5648" s="1" t="str">
        <f t="shared" si="1239"/>
        <v>X</v>
      </c>
      <c r="L5648" s="1" t="str">
        <f t="shared" si="1239"/>
        <v>X</v>
      </c>
      <c r="M5648" s="1" t="str">
        <f t="shared" si="1239"/>
        <v>X</v>
      </c>
      <c r="N5648" t="s">
        <v>27</v>
      </c>
    </row>
    <row r="5649" spans="1:14" x14ac:dyDescent="0.25">
      <c r="A5649" t="s">
        <v>42</v>
      </c>
      <c r="B5649" t="s">
        <v>15</v>
      </c>
      <c r="C5649" t="s">
        <v>36</v>
      </c>
      <c r="D5649" t="s">
        <v>28</v>
      </c>
      <c r="E5649" t="s">
        <v>26</v>
      </c>
      <c r="F5649" t="s">
        <v>18</v>
      </c>
      <c r="G5649" s="1" t="str">
        <f t="shared" si="1239"/>
        <v>X</v>
      </c>
      <c r="H5649" s="1" t="str">
        <f t="shared" si="1239"/>
        <v>X</v>
      </c>
      <c r="I5649" s="1" t="str">
        <f t="shared" si="1239"/>
        <v>X</v>
      </c>
      <c r="J5649" s="1" t="str">
        <f t="shared" si="1239"/>
        <v>X</v>
      </c>
      <c r="K5649" s="1" t="str">
        <f t="shared" si="1239"/>
        <v>X</v>
      </c>
      <c r="L5649" s="1" t="str">
        <f t="shared" si="1239"/>
        <v>X</v>
      </c>
      <c r="M5649" s="1" t="str">
        <f t="shared" si="1239"/>
        <v>X</v>
      </c>
      <c r="N5649" t="s">
        <v>27</v>
      </c>
    </row>
    <row r="5650" spans="1:14" x14ac:dyDescent="0.25">
      <c r="A5650" t="s">
        <v>42</v>
      </c>
      <c r="B5650" t="s">
        <v>15</v>
      </c>
      <c r="C5650" t="s">
        <v>36</v>
      </c>
      <c r="D5650" t="s">
        <v>28</v>
      </c>
      <c r="E5650" t="s">
        <v>26</v>
      </c>
      <c r="F5650" t="s">
        <v>19</v>
      </c>
      <c r="G5650" s="1" t="str">
        <f t="shared" si="1239"/>
        <v>X</v>
      </c>
      <c r="H5650" s="1" t="str">
        <f t="shared" si="1239"/>
        <v>X</v>
      </c>
      <c r="I5650" s="1" t="str">
        <f t="shared" si="1239"/>
        <v>X</v>
      </c>
      <c r="J5650" s="1" t="str">
        <f t="shared" si="1239"/>
        <v>X</v>
      </c>
      <c r="K5650" s="1" t="str">
        <f t="shared" si="1239"/>
        <v>X</v>
      </c>
      <c r="L5650" s="1" t="str">
        <f t="shared" si="1239"/>
        <v>X</v>
      </c>
      <c r="M5650" s="1" t="str">
        <f t="shared" si="1239"/>
        <v>X</v>
      </c>
      <c r="N5650" t="s">
        <v>27</v>
      </c>
    </row>
    <row r="5651" spans="1:14" x14ac:dyDescent="0.25">
      <c r="A5651" t="s">
        <v>42</v>
      </c>
      <c r="B5651" t="s">
        <v>15</v>
      </c>
      <c r="C5651" t="s">
        <v>36</v>
      </c>
      <c r="D5651" t="s">
        <v>28</v>
      </c>
      <c r="E5651" t="s">
        <v>26</v>
      </c>
      <c r="F5651" t="s">
        <v>20</v>
      </c>
      <c r="G5651" s="2">
        <f>VALUE(249.31)</f>
        <v>249.31</v>
      </c>
      <c r="H5651" s="3">
        <f>VALUE(237.32)</f>
        <v>237.32</v>
      </c>
      <c r="I5651" s="4">
        <f>VALUE(3508)</f>
        <v>3508</v>
      </c>
      <c r="J5651" s="5">
        <f>VALUE(4160)</f>
        <v>4160</v>
      </c>
      <c r="K5651" s="1">
        <f>VALUE(4852)</f>
        <v>4852</v>
      </c>
      <c r="L5651" s="1">
        <f>VALUE(5773)</f>
        <v>5773</v>
      </c>
      <c r="M5651" s="1">
        <f>VALUE(6274)</f>
        <v>6274</v>
      </c>
      <c r="N5651" t="s">
        <v>25</v>
      </c>
    </row>
    <row r="5652" spans="1:14" x14ac:dyDescent="0.25">
      <c r="A5652" t="s">
        <v>42</v>
      </c>
      <c r="B5652" t="s">
        <v>15</v>
      </c>
      <c r="C5652" t="s">
        <v>36</v>
      </c>
      <c r="D5652" t="s">
        <v>29</v>
      </c>
      <c r="E5652" t="s">
        <v>15</v>
      </c>
      <c r="F5652" t="s">
        <v>15</v>
      </c>
      <c r="G5652" s="1">
        <f>VALUE(2614.5)</f>
        <v>2614.5</v>
      </c>
      <c r="H5652" s="3">
        <f>VALUE(2461.24)</f>
        <v>2461.2399999999998</v>
      </c>
      <c r="I5652" s="4">
        <f>VALUE(3506)</f>
        <v>3506</v>
      </c>
      <c r="J5652" s="1">
        <f>VALUE(4117)</f>
        <v>4117</v>
      </c>
      <c r="K5652" s="1">
        <f>VALUE(5012)</f>
        <v>5012</v>
      </c>
      <c r="L5652" s="1">
        <f>VALUE(5715)</f>
        <v>5715</v>
      </c>
      <c r="M5652" s="1">
        <f>VALUE(6828)</f>
        <v>6828</v>
      </c>
      <c r="N5652" t="s">
        <v>25</v>
      </c>
    </row>
    <row r="5653" spans="1:14" x14ac:dyDescent="0.25">
      <c r="A5653" t="s">
        <v>42</v>
      </c>
      <c r="B5653" t="s">
        <v>15</v>
      </c>
      <c r="C5653" t="s">
        <v>36</v>
      </c>
      <c r="D5653" t="s">
        <v>29</v>
      </c>
      <c r="E5653" t="s">
        <v>15</v>
      </c>
      <c r="F5653" t="s">
        <v>17</v>
      </c>
      <c r="G5653" s="1" t="str">
        <f t="shared" ref="G5653:M5653" si="1240">"X"</f>
        <v>X</v>
      </c>
      <c r="H5653" s="1" t="str">
        <f t="shared" si="1240"/>
        <v>X</v>
      </c>
      <c r="I5653" s="1" t="str">
        <f t="shared" si="1240"/>
        <v>X</v>
      </c>
      <c r="J5653" s="1" t="str">
        <f t="shared" si="1240"/>
        <v>X</v>
      </c>
      <c r="K5653" s="1" t="str">
        <f t="shared" si="1240"/>
        <v>X</v>
      </c>
      <c r="L5653" s="1" t="str">
        <f t="shared" si="1240"/>
        <v>X</v>
      </c>
      <c r="M5653" s="1" t="str">
        <f t="shared" si="1240"/>
        <v>X</v>
      </c>
      <c r="N5653" t="s">
        <v>27</v>
      </c>
    </row>
    <row r="5654" spans="1:14" x14ac:dyDescent="0.25">
      <c r="A5654" t="s">
        <v>42</v>
      </c>
      <c r="B5654" t="s">
        <v>15</v>
      </c>
      <c r="C5654" t="s">
        <v>36</v>
      </c>
      <c r="D5654" t="s">
        <v>29</v>
      </c>
      <c r="E5654" t="s">
        <v>15</v>
      </c>
      <c r="F5654" t="s">
        <v>18</v>
      </c>
      <c r="G5654" s="2">
        <f>VALUE(222.32)</f>
        <v>222.32</v>
      </c>
      <c r="H5654" s="3">
        <f>VALUE(220.91)</f>
        <v>220.91</v>
      </c>
      <c r="I5654" s="1">
        <f>VALUE(3832)</f>
        <v>3832</v>
      </c>
      <c r="J5654" s="1">
        <f>VALUE(4353)</f>
        <v>4353</v>
      </c>
      <c r="K5654" s="1">
        <f>VALUE(5550)</f>
        <v>5550</v>
      </c>
      <c r="L5654" s="7">
        <f>VALUE(6995)</f>
        <v>6995</v>
      </c>
      <c r="M5654" s="1">
        <f>VALUE(8096)</f>
        <v>8096</v>
      </c>
      <c r="N5654" t="s">
        <v>25</v>
      </c>
    </row>
    <row r="5655" spans="1:14" x14ac:dyDescent="0.25">
      <c r="A5655" t="s">
        <v>42</v>
      </c>
      <c r="B5655" t="s">
        <v>15</v>
      </c>
      <c r="C5655" t="s">
        <v>36</v>
      </c>
      <c r="D5655" t="s">
        <v>29</v>
      </c>
      <c r="E5655" t="s">
        <v>15</v>
      </c>
      <c r="F5655" t="s">
        <v>19</v>
      </c>
      <c r="G5655" s="2">
        <f>VALUE(311.37)</f>
        <v>311.37</v>
      </c>
      <c r="H5655" s="3">
        <f>VALUE(285.28)</f>
        <v>285.27999999999997</v>
      </c>
      <c r="I5655" s="4">
        <f>VALUE(3948)</f>
        <v>3948</v>
      </c>
      <c r="J5655" s="5">
        <f>VALUE(4289)</f>
        <v>4289</v>
      </c>
      <c r="K5655" s="1">
        <f>VALUE(5159)</f>
        <v>5159</v>
      </c>
      <c r="L5655" s="1">
        <f>VALUE(5921)</f>
        <v>5921</v>
      </c>
      <c r="M5655" s="8">
        <f>VALUE(6368)</f>
        <v>6368</v>
      </c>
      <c r="N5655" t="s">
        <v>25</v>
      </c>
    </row>
    <row r="5656" spans="1:14" x14ac:dyDescent="0.25">
      <c r="A5656" t="s">
        <v>42</v>
      </c>
      <c r="B5656" t="s">
        <v>15</v>
      </c>
      <c r="C5656" t="s">
        <v>36</v>
      </c>
      <c r="D5656" t="s">
        <v>29</v>
      </c>
      <c r="E5656" t="s">
        <v>15</v>
      </c>
      <c r="F5656" t="s">
        <v>20</v>
      </c>
      <c r="G5656" s="2">
        <f>VALUE(1948.23)</f>
        <v>1948.23</v>
      </c>
      <c r="H5656" s="3">
        <f>VALUE(1825.62)</f>
        <v>1825.62</v>
      </c>
      <c r="I5656" s="4">
        <f>VALUE(3266)</f>
        <v>3266</v>
      </c>
      <c r="J5656" s="1">
        <f>VALUE(3970)</f>
        <v>3970</v>
      </c>
      <c r="K5656" s="1">
        <f>VALUE(4823)</f>
        <v>4823</v>
      </c>
      <c r="L5656" s="1">
        <f>VALUE(5408)</f>
        <v>5408</v>
      </c>
      <c r="M5656" s="1">
        <f>VALUE(6448)</f>
        <v>6448</v>
      </c>
      <c r="N5656" t="s">
        <v>25</v>
      </c>
    </row>
    <row r="5657" spans="1:14" x14ac:dyDescent="0.25">
      <c r="A5657" t="s">
        <v>42</v>
      </c>
      <c r="B5657" t="s">
        <v>15</v>
      </c>
      <c r="C5657" t="s">
        <v>36</v>
      </c>
      <c r="D5657" t="s">
        <v>29</v>
      </c>
      <c r="E5657" t="s">
        <v>21</v>
      </c>
      <c r="F5657" t="s">
        <v>15</v>
      </c>
      <c r="G5657" s="2">
        <f>VALUE(372.16)</f>
        <v>372.16</v>
      </c>
      <c r="H5657" s="3">
        <f>VALUE(354.31)</f>
        <v>354.31</v>
      </c>
      <c r="I5657" s="1">
        <f>VALUE(4353)</f>
        <v>4353</v>
      </c>
      <c r="J5657" s="1">
        <f>VALUE(4866)</f>
        <v>4866</v>
      </c>
      <c r="K5657" s="1">
        <f>VALUE(6143)</f>
        <v>6143</v>
      </c>
      <c r="L5657" s="1">
        <f>VALUE(7199)</f>
        <v>7199</v>
      </c>
      <c r="M5657" s="1">
        <f>VALUE(8583)</f>
        <v>8583</v>
      </c>
      <c r="N5657" t="s">
        <v>25</v>
      </c>
    </row>
    <row r="5658" spans="1:14" x14ac:dyDescent="0.25">
      <c r="A5658" t="s">
        <v>42</v>
      </c>
      <c r="B5658" t="s">
        <v>15</v>
      </c>
      <c r="C5658" t="s">
        <v>36</v>
      </c>
      <c r="D5658" t="s">
        <v>29</v>
      </c>
      <c r="E5658" t="s">
        <v>21</v>
      </c>
      <c r="F5658" t="s">
        <v>17</v>
      </c>
      <c r="G5658" s="1" t="str">
        <f t="shared" ref="G5658:M5660" si="1241">"X"</f>
        <v>X</v>
      </c>
      <c r="H5658" s="1" t="str">
        <f t="shared" si="1241"/>
        <v>X</v>
      </c>
      <c r="I5658" s="1" t="str">
        <f t="shared" si="1241"/>
        <v>X</v>
      </c>
      <c r="J5658" s="1" t="str">
        <f t="shared" si="1241"/>
        <v>X</v>
      </c>
      <c r="K5658" s="1" t="str">
        <f t="shared" si="1241"/>
        <v>X</v>
      </c>
      <c r="L5658" s="1" t="str">
        <f t="shared" si="1241"/>
        <v>X</v>
      </c>
      <c r="M5658" s="1" t="str">
        <f t="shared" si="1241"/>
        <v>X</v>
      </c>
      <c r="N5658" t="s">
        <v>27</v>
      </c>
    </row>
    <row r="5659" spans="1:14" x14ac:dyDescent="0.25">
      <c r="A5659" t="s">
        <v>42</v>
      </c>
      <c r="B5659" t="s">
        <v>15</v>
      </c>
      <c r="C5659" t="s">
        <v>36</v>
      </c>
      <c r="D5659" t="s">
        <v>29</v>
      </c>
      <c r="E5659" t="s">
        <v>21</v>
      </c>
      <c r="F5659" t="s">
        <v>18</v>
      </c>
      <c r="G5659" s="1" t="str">
        <f t="shared" si="1241"/>
        <v>X</v>
      </c>
      <c r="H5659" s="1" t="str">
        <f t="shared" si="1241"/>
        <v>X</v>
      </c>
      <c r="I5659" s="1" t="str">
        <f t="shared" si="1241"/>
        <v>X</v>
      </c>
      <c r="J5659" s="1" t="str">
        <f t="shared" si="1241"/>
        <v>X</v>
      </c>
      <c r="K5659" s="1" t="str">
        <f t="shared" si="1241"/>
        <v>X</v>
      </c>
      <c r="L5659" s="1" t="str">
        <f t="shared" si="1241"/>
        <v>X</v>
      </c>
      <c r="M5659" s="1" t="str">
        <f t="shared" si="1241"/>
        <v>X</v>
      </c>
      <c r="N5659" t="s">
        <v>27</v>
      </c>
    </row>
    <row r="5660" spans="1:14" x14ac:dyDescent="0.25">
      <c r="A5660" t="s">
        <v>42</v>
      </c>
      <c r="B5660" t="s">
        <v>15</v>
      </c>
      <c r="C5660" t="s">
        <v>36</v>
      </c>
      <c r="D5660" t="s">
        <v>29</v>
      </c>
      <c r="E5660" t="s">
        <v>21</v>
      </c>
      <c r="F5660" t="s">
        <v>19</v>
      </c>
      <c r="G5660" s="1" t="str">
        <f t="shared" si="1241"/>
        <v>X</v>
      </c>
      <c r="H5660" s="1" t="str">
        <f t="shared" si="1241"/>
        <v>X</v>
      </c>
      <c r="I5660" s="1" t="str">
        <f t="shared" si="1241"/>
        <v>X</v>
      </c>
      <c r="J5660" s="1" t="str">
        <f t="shared" si="1241"/>
        <v>X</v>
      </c>
      <c r="K5660" s="1" t="str">
        <f t="shared" si="1241"/>
        <v>X</v>
      </c>
      <c r="L5660" s="1" t="str">
        <f t="shared" si="1241"/>
        <v>X</v>
      </c>
      <c r="M5660" s="1" t="str">
        <f t="shared" si="1241"/>
        <v>X</v>
      </c>
      <c r="N5660" t="s">
        <v>27</v>
      </c>
    </row>
    <row r="5661" spans="1:14" x14ac:dyDescent="0.25">
      <c r="A5661" t="s">
        <v>42</v>
      </c>
      <c r="B5661" t="s">
        <v>15</v>
      </c>
      <c r="C5661" t="s">
        <v>36</v>
      </c>
      <c r="D5661" t="s">
        <v>29</v>
      </c>
      <c r="E5661" t="s">
        <v>21</v>
      </c>
      <c r="F5661" t="s">
        <v>20</v>
      </c>
      <c r="G5661" s="2">
        <f>VALUE(180.47)</f>
        <v>180.47</v>
      </c>
      <c r="H5661" s="3">
        <f>VALUE(160.19)</f>
        <v>160.19</v>
      </c>
      <c r="I5661" s="1">
        <f>VALUE(4179)</f>
        <v>4179</v>
      </c>
      <c r="J5661" s="5">
        <f>VALUE(5276)</f>
        <v>5276</v>
      </c>
      <c r="K5661" s="6">
        <f>VALUE(6143)</f>
        <v>6143</v>
      </c>
      <c r="L5661" s="7">
        <f>VALUE(7199)</f>
        <v>7199</v>
      </c>
      <c r="M5661" s="1">
        <f>VALUE(8450)</f>
        <v>8450</v>
      </c>
      <c r="N5661" t="s">
        <v>25</v>
      </c>
    </row>
    <row r="5662" spans="1:14" x14ac:dyDescent="0.25">
      <c r="A5662" t="s">
        <v>42</v>
      </c>
      <c r="B5662" t="s">
        <v>15</v>
      </c>
      <c r="C5662" t="s">
        <v>36</v>
      </c>
      <c r="D5662" t="s">
        <v>29</v>
      </c>
      <c r="E5662" t="s">
        <v>22</v>
      </c>
      <c r="F5662" t="s">
        <v>15</v>
      </c>
      <c r="G5662" s="2">
        <f>VALUE(1354.98)</f>
        <v>1354.98</v>
      </c>
      <c r="H5662" s="3">
        <f>VALUE(1292.92)</f>
        <v>1292.92</v>
      </c>
      <c r="I5662" s="1">
        <f>VALUE(3761)</f>
        <v>3761</v>
      </c>
      <c r="J5662" s="1">
        <f>VALUE(4434)</f>
        <v>4434</v>
      </c>
      <c r="K5662" s="1">
        <f>VALUE(5055)</f>
        <v>5055</v>
      </c>
      <c r="L5662" s="1">
        <f>VALUE(5692)</f>
        <v>5692</v>
      </c>
      <c r="M5662" s="1">
        <f>VALUE(6507)</f>
        <v>6507</v>
      </c>
      <c r="N5662" t="s">
        <v>25</v>
      </c>
    </row>
    <row r="5663" spans="1:14" x14ac:dyDescent="0.25">
      <c r="A5663" t="s">
        <v>42</v>
      </c>
      <c r="B5663" t="s">
        <v>15</v>
      </c>
      <c r="C5663" t="s">
        <v>36</v>
      </c>
      <c r="D5663" t="s">
        <v>29</v>
      </c>
      <c r="E5663" t="s">
        <v>22</v>
      </c>
      <c r="F5663" t="s">
        <v>17</v>
      </c>
      <c r="G5663" s="1" t="str">
        <f t="shared" ref="G5663:M5665" si="1242">"X"</f>
        <v>X</v>
      </c>
      <c r="H5663" s="1" t="str">
        <f t="shared" si="1242"/>
        <v>X</v>
      </c>
      <c r="I5663" s="1" t="str">
        <f t="shared" si="1242"/>
        <v>X</v>
      </c>
      <c r="J5663" s="1" t="str">
        <f t="shared" si="1242"/>
        <v>X</v>
      </c>
      <c r="K5663" s="1" t="str">
        <f t="shared" si="1242"/>
        <v>X</v>
      </c>
      <c r="L5663" s="1" t="str">
        <f t="shared" si="1242"/>
        <v>X</v>
      </c>
      <c r="M5663" s="1" t="str">
        <f t="shared" si="1242"/>
        <v>X</v>
      </c>
      <c r="N5663" t="s">
        <v>27</v>
      </c>
    </row>
    <row r="5664" spans="1:14" x14ac:dyDescent="0.25">
      <c r="A5664" t="s">
        <v>42</v>
      </c>
      <c r="B5664" t="s">
        <v>15</v>
      </c>
      <c r="C5664" t="s">
        <v>36</v>
      </c>
      <c r="D5664" t="s">
        <v>29</v>
      </c>
      <c r="E5664" t="s">
        <v>22</v>
      </c>
      <c r="F5664" t="s">
        <v>18</v>
      </c>
      <c r="G5664" s="1" t="str">
        <f t="shared" si="1242"/>
        <v>X</v>
      </c>
      <c r="H5664" s="1" t="str">
        <f t="shared" si="1242"/>
        <v>X</v>
      </c>
      <c r="I5664" s="1" t="str">
        <f t="shared" si="1242"/>
        <v>X</v>
      </c>
      <c r="J5664" s="1" t="str">
        <f t="shared" si="1242"/>
        <v>X</v>
      </c>
      <c r="K5664" s="1" t="str">
        <f t="shared" si="1242"/>
        <v>X</v>
      </c>
      <c r="L5664" s="1" t="str">
        <f t="shared" si="1242"/>
        <v>X</v>
      </c>
      <c r="M5664" s="1" t="str">
        <f t="shared" si="1242"/>
        <v>X</v>
      </c>
      <c r="N5664" t="s">
        <v>27</v>
      </c>
    </row>
    <row r="5665" spans="1:14" x14ac:dyDescent="0.25">
      <c r="A5665" t="s">
        <v>42</v>
      </c>
      <c r="B5665" t="s">
        <v>15</v>
      </c>
      <c r="C5665" t="s">
        <v>36</v>
      </c>
      <c r="D5665" t="s">
        <v>29</v>
      </c>
      <c r="E5665" t="s">
        <v>22</v>
      </c>
      <c r="F5665" t="s">
        <v>19</v>
      </c>
      <c r="G5665" s="1" t="str">
        <f t="shared" si="1242"/>
        <v>X</v>
      </c>
      <c r="H5665" s="1" t="str">
        <f t="shared" si="1242"/>
        <v>X</v>
      </c>
      <c r="I5665" s="1" t="str">
        <f t="shared" si="1242"/>
        <v>X</v>
      </c>
      <c r="J5665" s="1" t="str">
        <f t="shared" si="1242"/>
        <v>X</v>
      </c>
      <c r="K5665" s="1" t="str">
        <f t="shared" si="1242"/>
        <v>X</v>
      </c>
      <c r="L5665" s="1" t="str">
        <f t="shared" si="1242"/>
        <v>X</v>
      </c>
      <c r="M5665" s="1" t="str">
        <f t="shared" si="1242"/>
        <v>X</v>
      </c>
      <c r="N5665" t="s">
        <v>27</v>
      </c>
    </row>
    <row r="5666" spans="1:14" x14ac:dyDescent="0.25">
      <c r="A5666" t="s">
        <v>42</v>
      </c>
      <c r="B5666" t="s">
        <v>15</v>
      </c>
      <c r="C5666" t="s">
        <v>36</v>
      </c>
      <c r="D5666" t="s">
        <v>29</v>
      </c>
      <c r="E5666" t="s">
        <v>22</v>
      </c>
      <c r="F5666" t="s">
        <v>20</v>
      </c>
      <c r="G5666" s="2">
        <f>VALUE(1029.26)</f>
        <v>1029.26</v>
      </c>
      <c r="H5666" s="3">
        <f>VALUE(991.91)</f>
        <v>991.91</v>
      </c>
      <c r="I5666" s="1">
        <f>VALUE(3700)</f>
        <v>3700</v>
      </c>
      <c r="J5666" s="1">
        <f>VALUE(4441)</f>
        <v>4441</v>
      </c>
      <c r="K5666" s="1">
        <f>VALUE(5055)</f>
        <v>5055</v>
      </c>
      <c r="L5666" s="1">
        <f>VALUE(5471)</f>
        <v>5471</v>
      </c>
      <c r="M5666" s="1">
        <f>VALUE(6190)</f>
        <v>6190</v>
      </c>
      <c r="N5666" t="s">
        <v>25</v>
      </c>
    </row>
    <row r="5667" spans="1:14" x14ac:dyDescent="0.25">
      <c r="A5667" t="s">
        <v>42</v>
      </c>
      <c r="B5667" t="s">
        <v>15</v>
      </c>
      <c r="C5667" t="s">
        <v>36</v>
      </c>
      <c r="D5667" t="s">
        <v>29</v>
      </c>
      <c r="E5667" t="s">
        <v>23</v>
      </c>
      <c r="F5667" t="s">
        <v>15</v>
      </c>
      <c r="G5667" s="2">
        <f>VALUE(805.41)</f>
        <v>805.41</v>
      </c>
      <c r="H5667" s="3">
        <f>VALUE(732.99)</f>
        <v>732.99</v>
      </c>
      <c r="I5667" s="4">
        <f>VALUE(2824)</f>
        <v>2824</v>
      </c>
      <c r="J5667" s="5">
        <f>VALUE(3508)</f>
        <v>3508</v>
      </c>
      <c r="K5667" s="1">
        <f>VALUE(4221)</f>
        <v>4221</v>
      </c>
      <c r="L5667" s="7">
        <f>VALUE(5219)</f>
        <v>5219</v>
      </c>
      <c r="M5667" s="8">
        <f>VALUE(5801)</f>
        <v>5801</v>
      </c>
      <c r="N5667" t="s">
        <v>25</v>
      </c>
    </row>
    <row r="5668" spans="1:14" x14ac:dyDescent="0.25">
      <c r="A5668" t="s">
        <v>42</v>
      </c>
      <c r="B5668" t="s">
        <v>15</v>
      </c>
      <c r="C5668" t="s">
        <v>36</v>
      </c>
      <c r="D5668" t="s">
        <v>29</v>
      </c>
      <c r="E5668" t="s">
        <v>23</v>
      </c>
      <c r="F5668" t="s">
        <v>17</v>
      </c>
      <c r="G5668" s="1" t="str">
        <f t="shared" ref="G5668:M5670" si="1243">"X"</f>
        <v>X</v>
      </c>
      <c r="H5668" s="1" t="str">
        <f t="shared" si="1243"/>
        <v>X</v>
      </c>
      <c r="I5668" s="1" t="str">
        <f t="shared" si="1243"/>
        <v>X</v>
      </c>
      <c r="J5668" s="1" t="str">
        <f t="shared" si="1243"/>
        <v>X</v>
      </c>
      <c r="K5668" s="1" t="str">
        <f t="shared" si="1243"/>
        <v>X</v>
      </c>
      <c r="L5668" s="1" t="str">
        <f t="shared" si="1243"/>
        <v>X</v>
      </c>
      <c r="M5668" s="1" t="str">
        <f t="shared" si="1243"/>
        <v>X</v>
      </c>
      <c r="N5668" t="s">
        <v>27</v>
      </c>
    </row>
    <row r="5669" spans="1:14" x14ac:dyDescent="0.25">
      <c r="A5669" t="s">
        <v>42</v>
      </c>
      <c r="B5669" t="s">
        <v>15</v>
      </c>
      <c r="C5669" t="s">
        <v>36</v>
      </c>
      <c r="D5669" t="s">
        <v>29</v>
      </c>
      <c r="E5669" t="s">
        <v>23</v>
      </c>
      <c r="F5669" t="s">
        <v>18</v>
      </c>
      <c r="G5669" s="1" t="str">
        <f t="shared" si="1243"/>
        <v>X</v>
      </c>
      <c r="H5669" s="1" t="str">
        <f t="shared" si="1243"/>
        <v>X</v>
      </c>
      <c r="I5669" s="1" t="str">
        <f t="shared" si="1243"/>
        <v>X</v>
      </c>
      <c r="J5669" s="1" t="str">
        <f t="shared" si="1243"/>
        <v>X</v>
      </c>
      <c r="K5669" s="1" t="str">
        <f t="shared" si="1243"/>
        <v>X</v>
      </c>
      <c r="L5669" s="1" t="str">
        <f t="shared" si="1243"/>
        <v>X</v>
      </c>
      <c r="M5669" s="1" t="str">
        <f t="shared" si="1243"/>
        <v>X</v>
      </c>
      <c r="N5669" t="s">
        <v>27</v>
      </c>
    </row>
    <row r="5670" spans="1:14" x14ac:dyDescent="0.25">
      <c r="A5670" t="s">
        <v>42</v>
      </c>
      <c r="B5670" t="s">
        <v>15</v>
      </c>
      <c r="C5670" t="s">
        <v>36</v>
      </c>
      <c r="D5670" t="s">
        <v>29</v>
      </c>
      <c r="E5670" t="s">
        <v>23</v>
      </c>
      <c r="F5670" t="s">
        <v>19</v>
      </c>
      <c r="G5670" s="1" t="str">
        <f t="shared" si="1243"/>
        <v>X</v>
      </c>
      <c r="H5670" s="1" t="str">
        <f t="shared" si="1243"/>
        <v>X</v>
      </c>
      <c r="I5670" s="1" t="str">
        <f t="shared" si="1243"/>
        <v>X</v>
      </c>
      <c r="J5670" s="1" t="str">
        <f t="shared" si="1243"/>
        <v>X</v>
      </c>
      <c r="K5670" s="1" t="str">
        <f t="shared" si="1243"/>
        <v>X</v>
      </c>
      <c r="L5670" s="1" t="str">
        <f t="shared" si="1243"/>
        <v>X</v>
      </c>
      <c r="M5670" s="1" t="str">
        <f t="shared" si="1243"/>
        <v>X</v>
      </c>
      <c r="N5670" t="s">
        <v>27</v>
      </c>
    </row>
    <row r="5671" spans="1:14" x14ac:dyDescent="0.25">
      <c r="A5671" t="s">
        <v>42</v>
      </c>
      <c r="B5671" t="s">
        <v>15</v>
      </c>
      <c r="C5671" t="s">
        <v>36</v>
      </c>
      <c r="D5671" t="s">
        <v>29</v>
      </c>
      <c r="E5671" t="s">
        <v>23</v>
      </c>
      <c r="F5671" t="s">
        <v>20</v>
      </c>
      <c r="G5671" s="2">
        <f>VALUE(678.24)</f>
        <v>678.24</v>
      </c>
      <c r="H5671" s="3">
        <f>VALUE(615.11)</f>
        <v>615.11</v>
      </c>
      <c r="I5671" s="4">
        <f>VALUE(2799)</f>
        <v>2799</v>
      </c>
      <c r="J5671" s="5">
        <f>VALUE(3389)</f>
        <v>3389</v>
      </c>
      <c r="K5671" s="1">
        <f>VALUE(4078)</f>
        <v>4078</v>
      </c>
      <c r="L5671" s="1">
        <f>VALUE(4764)</f>
        <v>4764</v>
      </c>
      <c r="M5671" s="1">
        <f>VALUE(5404)</f>
        <v>5404</v>
      </c>
      <c r="N5671" t="s">
        <v>25</v>
      </c>
    </row>
    <row r="5672" spans="1:14" x14ac:dyDescent="0.25">
      <c r="A5672" t="s">
        <v>42</v>
      </c>
      <c r="B5672" t="s">
        <v>15</v>
      </c>
      <c r="C5672" t="s">
        <v>36</v>
      </c>
      <c r="D5672" t="s">
        <v>29</v>
      </c>
      <c r="E5672" t="s">
        <v>26</v>
      </c>
      <c r="F5672" t="s">
        <v>15</v>
      </c>
      <c r="G5672" s="1" t="str">
        <f t="shared" ref="G5672:M5674" si="1244">"X"</f>
        <v>X</v>
      </c>
      <c r="H5672" s="1" t="str">
        <f t="shared" si="1244"/>
        <v>X</v>
      </c>
      <c r="I5672" s="1" t="str">
        <f t="shared" si="1244"/>
        <v>X</v>
      </c>
      <c r="J5672" s="1" t="str">
        <f t="shared" si="1244"/>
        <v>X</v>
      </c>
      <c r="K5672" s="1" t="str">
        <f t="shared" si="1244"/>
        <v>X</v>
      </c>
      <c r="L5672" s="1" t="str">
        <f t="shared" si="1244"/>
        <v>X</v>
      </c>
      <c r="M5672" s="1" t="str">
        <f t="shared" si="1244"/>
        <v>X</v>
      </c>
      <c r="N5672" t="s">
        <v>27</v>
      </c>
    </row>
    <row r="5673" spans="1:14" x14ac:dyDescent="0.25">
      <c r="A5673" t="s">
        <v>42</v>
      </c>
      <c r="B5673" t="s">
        <v>15</v>
      </c>
      <c r="C5673" t="s">
        <v>36</v>
      </c>
      <c r="D5673" t="s">
        <v>29</v>
      </c>
      <c r="E5673" t="s">
        <v>26</v>
      </c>
      <c r="F5673" t="s">
        <v>17</v>
      </c>
      <c r="G5673" s="1" t="str">
        <f t="shared" si="1244"/>
        <v>X</v>
      </c>
      <c r="H5673" s="1" t="str">
        <f t="shared" si="1244"/>
        <v>X</v>
      </c>
      <c r="I5673" s="1" t="str">
        <f t="shared" si="1244"/>
        <v>X</v>
      </c>
      <c r="J5673" s="1" t="str">
        <f t="shared" si="1244"/>
        <v>X</v>
      </c>
      <c r="K5673" s="1" t="str">
        <f t="shared" si="1244"/>
        <v>X</v>
      </c>
      <c r="L5673" s="1" t="str">
        <f t="shared" si="1244"/>
        <v>X</v>
      </c>
      <c r="M5673" s="1" t="str">
        <f t="shared" si="1244"/>
        <v>X</v>
      </c>
      <c r="N5673" t="s">
        <v>27</v>
      </c>
    </row>
    <row r="5674" spans="1:14" x14ac:dyDescent="0.25">
      <c r="A5674" t="s">
        <v>42</v>
      </c>
      <c r="B5674" t="s">
        <v>15</v>
      </c>
      <c r="C5674" t="s">
        <v>36</v>
      </c>
      <c r="D5674" t="s">
        <v>29</v>
      </c>
      <c r="E5674" t="s">
        <v>26</v>
      </c>
      <c r="F5674" t="s">
        <v>18</v>
      </c>
      <c r="G5674" s="1" t="str">
        <f t="shared" si="1244"/>
        <v>X</v>
      </c>
      <c r="H5674" s="1" t="str">
        <f t="shared" si="1244"/>
        <v>X</v>
      </c>
      <c r="I5674" s="1" t="str">
        <f t="shared" si="1244"/>
        <v>X</v>
      </c>
      <c r="J5674" s="1" t="str">
        <f t="shared" si="1244"/>
        <v>X</v>
      </c>
      <c r="K5674" s="1" t="str">
        <f t="shared" si="1244"/>
        <v>X</v>
      </c>
      <c r="L5674" s="1" t="str">
        <f t="shared" si="1244"/>
        <v>X</v>
      </c>
      <c r="M5674" s="1" t="str">
        <f t="shared" si="1244"/>
        <v>X</v>
      </c>
      <c r="N5674" t="s">
        <v>27</v>
      </c>
    </row>
    <row r="5675" spans="1:14" x14ac:dyDescent="0.25">
      <c r="A5675" t="s">
        <v>42</v>
      </c>
      <c r="B5675" t="s">
        <v>15</v>
      </c>
      <c r="C5675" t="s">
        <v>36</v>
      </c>
      <c r="D5675" t="s">
        <v>29</v>
      </c>
      <c r="E5675" t="s">
        <v>26</v>
      </c>
      <c r="F5675" t="s">
        <v>19</v>
      </c>
      <c r="G5675" s="1" t="str">
        <f t="shared" ref="G5675:M5675" si="1245">"..."</f>
        <v>...</v>
      </c>
      <c r="H5675" s="1" t="str">
        <f t="shared" si="1245"/>
        <v>...</v>
      </c>
      <c r="I5675" s="1" t="str">
        <f t="shared" si="1245"/>
        <v>...</v>
      </c>
      <c r="J5675" s="1" t="str">
        <f t="shared" si="1245"/>
        <v>...</v>
      </c>
      <c r="K5675" s="1" t="str">
        <f t="shared" si="1245"/>
        <v>...</v>
      </c>
      <c r="L5675" s="1" t="str">
        <f t="shared" si="1245"/>
        <v>...</v>
      </c>
      <c r="M5675" s="1" t="str">
        <f t="shared" si="1245"/>
        <v>...</v>
      </c>
      <c r="N5675" t="s">
        <v>30</v>
      </c>
    </row>
    <row r="5676" spans="1:14" x14ac:dyDescent="0.25">
      <c r="A5676" t="s">
        <v>42</v>
      </c>
      <c r="B5676" t="s">
        <v>15</v>
      </c>
      <c r="C5676" t="s">
        <v>36</v>
      </c>
      <c r="D5676" t="s">
        <v>29</v>
      </c>
      <c r="E5676" t="s">
        <v>26</v>
      </c>
      <c r="F5676" t="s">
        <v>20</v>
      </c>
      <c r="G5676" s="1" t="str">
        <f t="shared" ref="G5676:M5676" si="1246">"X"</f>
        <v>X</v>
      </c>
      <c r="H5676" s="1" t="str">
        <f t="shared" si="1246"/>
        <v>X</v>
      </c>
      <c r="I5676" s="1" t="str">
        <f t="shared" si="1246"/>
        <v>X</v>
      </c>
      <c r="J5676" s="1" t="str">
        <f t="shared" si="1246"/>
        <v>X</v>
      </c>
      <c r="K5676" s="1" t="str">
        <f t="shared" si="1246"/>
        <v>X</v>
      </c>
      <c r="L5676" s="1" t="str">
        <f t="shared" si="1246"/>
        <v>X</v>
      </c>
      <c r="M5676" s="1" t="str">
        <f t="shared" si="1246"/>
        <v>X</v>
      </c>
      <c r="N5676" t="s">
        <v>27</v>
      </c>
    </row>
    <row r="5677" spans="1:14" x14ac:dyDescent="0.25">
      <c r="A5677" t="s">
        <v>42</v>
      </c>
      <c r="B5677" t="s">
        <v>15</v>
      </c>
      <c r="C5677" t="s">
        <v>36</v>
      </c>
      <c r="D5677" t="s">
        <v>31</v>
      </c>
      <c r="E5677" t="s">
        <v>15</v>
      </c>
      <c r="F5677" t="s">
        <v>15</v>
      </c>
      <c r="G5677" s="1">
        <f>VALUE(3247.02)</f>
        <v>3247.02</v>
      </c>
      <c r="H5677" s="1">
        <f>VALUE(2972.1)</f>
        <v>2972.1</v>
      </c>
      <c r="I5677" s="1">
        <f>VALUE(3173)</f>
        <v>3173</v>
      </c>
      <c r="J5677" s="1">
        <f>VALUE(3762)</f>
        <v>3762</v>
      </c>
      <c r="K5677" s="1">
        <f>VALUE(4662)</f>
        <v>4662</v>
      </c>
      <c r="L5677" s="1">
        <f>VALUE(5714)</f>
        <v>5714</v>
      </c>
      <c r="M5677" s="1">
        <f>VALUE(7412)</f>
        <v>7412</v>
      </c>
      <c r="N5677" t="s">
        <v>16</v>
      </c>
    </row>
    <row r="5678" spans="1:14" x14ac:dyDescent="0.25">
      <c r="A5678" t="s">
        <v>42</v>
      </c>
      <c r="B5678" t="s">
        <v>15</v>
      </c>
      <c r="C5678" t="s">
        <v>36</v>
      </c>
      <c r="D5678" t="s">
        <v>31</v>
      </c>
      <c r="E5678" t="s">
        <v>15</v>
      </c>
      <c r="F5678" t="s">
        <v>17</v>
      </c>
      <c r="G5678" s="2">
        <f>VALUE(237.81)</f>
        <v>237.81</v>
      </c>
      <c r="H5678" s="3">
        <f>VALUE(230.19)</f>
        <v>230.19</v>
      </c>
      <c r="I5678" s="4">
        <f>VALUE(3111)</f>
        <v>3111</v>
      </c>
      <c r="J5678" s="5">
        <f>VALUE(4579)</f>
        <v>4579</v>
      </c>
      <c r="K5678" s="6">
        <f>VALUE(5369)</f>
        <v>5369</v>
      </c>
      <c r="L5678" s="7">
        <f>VALUE(7919)</f>
        <v>7919</v>
      </c>
      <c r="M5678" s="8">
        <f>VALUE(12404)</f>
        <v>12404</v>
      </c>
      <c r="N5678" t="s">
        <v>24</v>
      </c>
    </row>
    <row r="5679" spans="1:14" x14ac:dyDescent="0.25">
      <c r="A5679" t="s">
        <v>42</v>
      </c>
      <c r="B5679" t="s">
        <v>15</v>
      </c>
      <c r="C5679" t="s">
        <v>36</v>
      </c>
      <c r="D5679" t="s">
        <v>31</v>
      </c>
      <c r="E5679" t="s">
        <v>15</v>
      </c>
      <c r="F5679" t="s">
        <v>18</v>
      </c>
      <c r="G5679" s="2">
        <f>VALUE(314.71)</f>
        <v>314.70999999999998</v>
      </c>
      <c r="H5679" s="3">
        <f>VALUE(280.95)</f>
        <v>280.95</v>
      </c>
      <c r="I5679" s="4">
        <f>VALUE(3022)</f>
        <v>3022</v>
      </c>
      <c r="J5679" s="5">
        <f>VALUE(3644)</f>
        <v>3644</v>
      </c>
      <c r="K5679" s="6">
        <f>VALUE(5666)</f>
        <v>5666</v>
      </c>
      <c r="L5679" s="7">
        <f>VALUE(8330)</f>
        <v>8330</v>
      </c>
      <c r="M5679" s="1">
        <f>VALUE(9738)</f>
        <v>9738</v>
      </c>
      <c r="N5679" t="s">
        <v>25</v>
      </c>
    </row>
    <row r="5680" spans="1:14" x14ac:dyDescent="0.25">
      <c r="A5680" t="s">
        <v>42</v>
      </c>
      <c r="B5680" t="s">
        <v>15</v>
      </c>
      <c r="C5680" t="s">
        <v>36</v>
      </c>
      <c r="D5680" t="s">
        <v>31</v>
      </c>
      <c r="E5680" t="s">
        <v>15</v>
      </c>
      <c r="F5680" t="s">
        <v>19</v>
      </c>
      <c r="G5680" s="2">
        <f>VALUE(326.99)</f>
        <v>326.99</v>
      </c>
      <c r="H5680" s="3">
        <f>VALUE(290.89)</f>
        <v>290.89</v>
      </c>
      <c r="I5680" s="4">
        <f>VALUE(3810)</f>
        <v>3810</v>
      </c>
      <c r="J5680" s="1">
        <f>VALUE(4684)</f>
        <v>4684</v>
      </c>
      <c r="K5680" s="1">
        <f>VALUE(5462)</f>
        <v>5462</v>
      </c>
      <c r="L5680" s="7">
        <f>VALUE(6503)</f>
        <v>6503</v>
      </c>
      <c r="M5680" s="8">
        <f>VALUE(9207)</f>
        <v>9207</v>
      </c>
      <c r="N5680" t="s">
        <v>25</v>
      </c>
    </row>
    <row r="5681" spans="1:14" x14ac:dyDescent="0.25">
      <c r="A5681" t="s">
        <v>42</v>
      </c>
      <c r="B5681" t="s">
        <v>15</v>
      </c>
      <c r="C5681" t="s">
        <v>36</v>
      </c>
      <c r="D5681" t="s">
        <v>31</v>
      </c>
      <c r="E5681" t="s">
        <v>15</v>
      </c>
      <c r="F5681" t="s">
        <v>20</v>
      </c>
      <c r="G5681" s="1">
        <f>VALUE(2367.51)</f>
        <v>2367.5100000000002</v>
      </c>
      <c r="H5681" s="3">
        <f>VALUE(2170.07)</f>
        <v>2170.0700000000002</v>
      </c>
      <c r="I5681" s="1">
        <f>VALUE(3129)</f>
        <v>3129</v>
      </c>
      <c r="J5681" s="1">
        <f>VALUE(3640)</f>
        <v>3640</v>
      </c>
      <c r="K5681" s="1">
        <f>VALUE(4393)</f>
        <v>4393</v>
      </c>
      <c r="L5681" s="1">
        <f>VALUE(5376)</f>
        <v>5376</v>
      </c>
      <c r="M5681" s="1">
        <f>VALUE(6469)</f>
        <v>6469</v>
      </c>
      <c r="N5681" t="s">
        <v>25</v>
      </c>
    </row>
    <row r="5682" spans="1:14" x14ac:dyDescent="0.25">
      <c r="A5682" t="s">
        <v>42</v>
      </c>
      <c r="B5682" t="s">
        <v>15</v>
      </c>
      <c r="C5682" t="s">
        <v>36</v>
      </c>
      <c r="D5682" t="s">
        <v>31</v>
      </c>
      <c r="E5682" t="s">
        <v>21</v>
      </c>
      <c r="F5682" t="s">
        <v>15</v>
      </c>
      <c r="G5682" s="2">
        <f>VALUE(880.24)</f>
        <v>880.24</v>
      </c>
      <c r="H5682" s="3">
        <f>VALUE(847.69)</f>
        <v>847.69</v>
      </c>
      <c r="I5682" s="1">
        <f>VALUE(3882)</f>
        <v>3882</v>
      </c>
      <c r="J5682" s="1">
        <f>VALUE(4756)</f>
        <v>4756</v>
      </c>
      <c r="K5682" s="1">
        <f>VALUE(5765)</f>
        <v>5765</v>
      </c>
      <c r="L5682" s="1">
        <f>VALUE(7335)</f>
        <v>7335</v>
      </c>
      <c r="M5682" s="8">
        <f>VALUE(9738)</f>
        <v>9738</v>
      </c>
      <c r="N5682" t="s">
        <v>25</v>
      </c>
    </row>
    <row r="5683" spans="1:14" x14ac:dyDescent="0.25">
      <c r="A5683" t="s">
        <v>42</v>
      </c>
      <c r="B5683" t="s">
        <v>15</v>
      </c>
      <c r="C5683" t="s">
        <v>36</v>
      </c>
      <c r="D5683" t="s">
        <v>31</v>
      </c>
      <c r="E5683" t="s">
        <v>21</v>
      </c>
      <c r="F5683" t="s">
        <v>17</v>
      </c>
      <c r="G5683" s="1" t="str">
        <f t="shared" ref="G5683:M5683" si="1247">"X"</f>
        <v>X</v>
      </c>
      <c r="H5683" s="1" t="str">
        <f t="shared" si="1247"/>
        <v>X</v>
      </c>
      <c r="I5683" s="1" t="str">
        <f t="shared" si="1247"/>
        <v>X</v>
      </c>
      <c r="J5683" s="1" t="str">
        <f t="shared" si="1247"/>
        <v>X</v>
      </c>
      <c r="K5683" s="1" t="str">
        <f t="shared" si="1247"/>
        <v>X</v>
      </c>
      <c r="L5683" s="1" t="str">
        <f t="shared" si="1247"/>
        <v>X</v>
      </c>
      <c r="M5683" s="1" t="str">
        <f t="shared" si="1247"/>
        <v>X</v>
      </c>
      <c r="N5683" t="s">
        <v>27</v>
      </c>
    </row>
    <row r="5684" spans="1:14" x14ac:dyDescent="0.25">
      <c r="A5684" t="s">
        <v>42</v>
      </c>
      <c r="B5684" t="s">
        <v>15</v>
      </c>
      <c r="C5684" t="s">
        <v>36</v>
      </c>
      <c r="D5684" t="s">
        <v>31</v>
      </c>
      <c r="E5684" t="s">
        <v>21</v>
      </c>
      <c r="F5684" t="s">
        <v>18</v>
      </c>
      <c r="G5684" s="2">
        <f>VALUE(160.88)</f>
        <v>160.88</v>
      </c>
      <c r="H5684" s="3">
        <f>VALUE(151.91)</f>
        <v>151.91</v>
      </c>
      <c r="I5684" s="1">
        <f>VALUE(4911)</f>
        <v>4911</v>
      </c>
      <c r="J5684" s="1">
        <f>VALUE(5659)</f>
        <v>5659</v>
      </c>
      <c r="K5684" s="6">
        <f>VALUE(7000)</f>
        <v>7000</v>
      </c>
      <c r="L5684" s="1">
        <f>VALUE(9666)</f>
        <v>9666</v>
      </c>
      <c r="M5684" s="8">
        <f>VALUE(9738)</f>
        <v>9738</v>
      </c>
      <c r="N5684" t="s">
        <v>25</v>
      </c>
    </row>
    <row r="5685" spans="1:14" x14ac:dyDescent="0.25">
      <c r="A5685" t="s">
        <v>42</v>
      </c>
      <c r="B5685" t="s">
        <v>15</v>
      </c>
      <c r="C5685" t="s">
        <v>36</v>
      </c>
      <c r="D5685" t="s">
        <v>31</v>
      </c>
      <c r="E5685" t="s">
        <v>21</v>
      </c>
      <c r="F5685" t="s">
        <v>19</v>
      </c>
      <c r="G5685" s="2">
        <f>VALUE(170.1)</f>
        <v>170.1</v>
      </c>
      <c r="H5685" s="3">
        <f>VALUE(163.98)</f>
        <v>163.98</v>
      </c>
      <c r="I5685" s="4">
        <f>VALUE(3681)</f>
        <v>3681</v>
      </c>
      <c r="J5685" s="1">
        <f>VALUE(4762)</f>
        <v>4762</v>
      </c>
      <c r="K5685" s="1">
        <f>VALUE(5992)</f>
        <v>5992</v>
      </c>
      <c r="L5685" s="1">
        <f>VALUE(7212)</f>
        <v>7212</v>
      </c>
      <c r="M5685" s="8">
        <f>VALUE(9412)</f>
        <v>9412</v>
      </c>
      <c r="N5685" t="s">
        <v>25</v>
      </c>
    </row>
    <row r="5686" spans="1:14" x14ac:dyDescent="0.25">
      <c r="A5686" t="s">
        <v>42</v>
      </c>
      <c r="B5686" t="s">
        <v>15</v>
      </c>
      <c r="C5686" t="s">
        <v>36</v>
      </c>
      <c r="D5686" t="s">
        <v>31</v>
      </c>
      <c r="E5686" t="s">
        <v>21</v>
      </c>
      <c r="F5686" t="s">
        <v>20</v>
      </c>
      <c r="G5686" s="2">
        <f>VALUE(415.25)</f>
        <v>415.25</v>
      </c>
      <c r="H5686" s="3">
        <f>VALUE(407)</f>
        <v>407</v>
      </c>
      <c r="I5686" s="1">
        <f>VALUE(3640)</f>
        <v>3640</v>
      </c>
      <c r="J5686" s="1">
        <f>VALUE(4365)</f>
        <v>4365</v>
      </c>
      <c r="K5686" s="1">
        <f>VALUE(5376)</f>
        <v>5376</v>
      </c>
      <c r="L5686" s="1">
        <f>VALUE(6548)</f>
        <v>6548</v>
      </c>
      <c r="M5686" s="1">
        <f>VALUE(7475)</f>
        <v>7475</v>
      </c>
      <c r="N5686" t="s">
        <v>25</v>
      </c>
    </row>
    <row r="5687" spans="1:14" x14ac:dyDescent="0.25">
      <c r="A5687" t="s">
        <v>42</v>
      </c>
      <c r="B5687" t="s">
        <v>15</v>
      </c>
      <c r="C5687" t="s">
        <v>36</v>
      </c>
      <c r="D5687" t="s">
        <v>31</v>
      </c>
      <c r="E5687" t="s">
        <v>22</v>
      </c>
      <c r="F5687" t="s">
        <v>15</v>
      </c>
      <c r="G5687" s="2">
        <f>VALUE(1000.87)</f>
        <v>1000.87</v>
      </c>
      <c r="H5687" s="3">
        <f>VALUE(938.6)</f>
        <v>938.6</v>
      </c>
      <c r="I5687" s="4">
        <f>VALUE(3467)</f>
        <v>3467</v>
      </c>
      <c r="J5687" s="1">
        <f>VALUE(4054)</f>
        <v>4054</v>
      </c>
      <c r="K5687" s="1">
        <f>VALUE(4704)</f>
        <v>4704</v>
      </c>
      <c r="L5687" s="1">
        <f>VALUE(5369)</f>
        <v>5369</v>
      </c>
      <c r="M5687" s="1">
        <f>VALUE(6400)</f>
        <v>6400</v>
      </c>
      <c r="N5687" t="s">
        <v>25</v>
      </c>
    </row>
    <row r="5688" spans="1:14" x14ac:dyDescent="0.25">
      <c r="A5688" t="s">
        <v>42</v>
      </c>
      <c r="B5688" t="s">
        <v>15</v>
      </c>
      <c r="C5688" t="s">
        <v>36</v>
      </c>
      <c r="D5688" t="s">
        <v>31</v>
      </c>
      <c r="E5688" t="s">
        <v>22</v>
      </c>
      <c r="F5688" t="s">
        <v>17</v>
      </c>
      <c r="G5688" s="1" t="str">
        <f t="shared" ref="G5688:M5690" si="1248">"X"</f>
        <v>X</v>
      </c>
      <c r="H5688" s="1" t="str">
        <f t="shared" si="1248"/>
        <v>X</v>
      </c>
      <c r="I5688" s="1" t="str">
        <f t="shared" si="1248"/>
        <v>X</v>
      </c>
      <c r="J5688" s="1" t="str">
        <f t="shared" si="1248"/>
        <v>X</v>
      </c>
      <c r="K5688" s="1" t="str">
        <f t="shared" si="1248"/>
        <v>X</v>
      </c>
      <c r="L5688" s="1" t="str">
        <f t="shared" si="1248"/>
        <v>X</v>
      </c>
      <c r="M5688" s="1" t="str">
        <f t="shared" si="1248"/>
        <v>X</v>
      </c>
      <c r="N5688" t="s">
        <v>27</v>
      </c>
    </row>
    <row r="5689" spans="1:14" x14ac:dyDescent="0.25">
      <c r="A5689" t="s">
        <v>42</v>
      </c>
      <c r="B5689" t="s">
        <v>15</v>
      </c>
      <c r="C5689" t="s">
        <v>36</v>
      </c>
      <c r="D5689" t="s">
        <v>31</v>
      </c>
      <c r="E5689" t="s">
        <v>22</v>
      </c>
      <c r="F5689" t="s">
        <v>18</v>
      </c>
      <c r="G5689" s="1" t="str">
        <f t="shared" si="1248"/>
        <v>X</v>
      </c>
      <c r="H5689" s="1" t="str">
        <f t="shared" si="1248"/>
        <v>X</v>
      </c>
      <c r="I5689" s="1" t="str">
        <f t="shared" si="1248"/>
        <v>X</v>
      </c>
      <c r="J5689" s="1" t="str">
        <f t="shared" si="1248"/>
        <v>X</v>
      </c>
      <c r="K5689" s="1" t="str">
        <f t="shared" si="1248"/>
        <v>X</v>
      </c>
      <c r="L5689" s="1" t="str">
        <f t="shared" si="1248"/>
        <v>X</v>
      </c>
      <c r="M5689" s="1" t="str">
        <f t="shared" si="1248"/>
        <v>X</v>
      </c>
      <c r="N5689" t="s">
        <v>27</v>
      </c>
    </row>
    <row r="5690" spans="1:14" x14ac:dyDescent="0.25">
      <c r="A5690" t="s">
        <v>42</v>
      </c>
      <c r="B5690" t="s">
        <v>15</v>
      </c>
      <c r="C5690" t="s">
        <v>36</v>
      </c>
      <c r="D5690" t="s">
        <v>31</v>
      </c>
      <c r="E5690" t="s">
        <v>22</v>
      </c>
      <c r="F5690" t="s">
        <v>19</v>
      </c>
      <c r="G5690" s="1" t="str">
        <f t="shared" si="1248"/>
        <v>X</v>
      </c>
      <c r="H5690" s="1" t="str">
        <f t="shared" si="1248"/>
        <v>X</v>
      </c>
      <c r="I5690" s="1" t="str">
        <f t="shared" si="1248"/>
        <v>X</v>
      </c>
      <c r="J5690" s="1" t="str">
        <f t="shared" si="1248"/>
        <v>X</v>
      </c>
      <c r="K5690" s="1" t="str">
        <f t="shared" si="1248"/>
        <v>X</v>
      </c>
      <c r="L5690" s="1" t="str">
        <f t="shared" si="1248"/>
        <v>X</v>
      </c>
      <c r="M5690" s="1" t="str">
        <f t="shared" si="1248"/>
        <v>X</v>
      </c>
      <c r="N5690" t="s">
        <v>27</v>
      </c>
    </row>
    <row r="5691" spans="1:14" x14ac:dyDescent="0.25">
      <c r="A5691" t="s">
        <v>42</v>
      </c>
      <c r="B5691" t="s">
        <v>15</v>
      </c>
      <c r="C5691" t="s">
        <v>36</v>
      </c>
      <c r="D5691" t="s">
        <v>31</v>
      </c>
      <c r="E5691" t="s">
        <v>22</v>
      </c>
      <c r="F5691" t="s">
        <v>20</v>
      </c>
      <c r="G5691" s="2">
        <f>VALUE(770.66)</f>
        <v>770.66</v>
      </c>
      <c r="H5691" s="3">
        <f>VALUE(708.26)</f>
        <v>708.26</v>
      </c>
      <c r="I5691" s="4">
        <f>VALUE(3286)</f>
        <v>3286</v>
      </c>
      <c r="J5691" s="1">
        <f>VALUE(3900)</f>
        <v>3900</v>
      </c>
      <c r="K5691" s="1">
        <f>VALUE(4417)</f>
        <v>4417</v>
      </c>
      <c r="L5691" s="1">
        <f>VALUE(5172)</f>
        <v>5172</v>
      </c>
      <c r="M5691" s="1">
        <f>VALUE(5907)</f>
        <v>5907</v>
      </c>
      <c r="N5691" t="s">
        <v>25</v>
      </c>
    </row>
    <row r="5692" spans="1:14" x14ac:dyDescent="0.25">
      <c r="A5692" t="s">
        <v>42</v>
      </c>
      <c r="B5692" t="s">
        <v>15</v>
      </c>
      <c r="C5692" t="s">
        <v>36</v>
      </c>
      <c r="D5692" t="s">
        <v>31</v>
      </c>
      <c r="E5692" t="s">
        <v>23</v>
      </c>
      <c r="F5692" t="s">
        <v>15</v>
      </c>
      <c r="G5692" s="2">
        <f>VALUE(1160.88)</f>
        <v>1160.8800000000001</v>
      </c>
      <c r="H5692" s="3">
        <f>VALUE(994.17)</f>
        <v>994.17</v>
      </c>
      <c r="I5692" s="4">
        <f>VALUE(2947)</f>
        <v>2947</v>
      </c>
      <c r="J5692" s="1">
        <f>VALUE(3389)</f>
        <v>3389</v>
      </c>
      <c r="K5692" s="1">
        <f>VALUE(3910)</f>
        <v>3910</v>
      </c>
      <c r="L5692" s="1">
        <f>VALUE(4898)</f>
        <v>4898</v>
      </c>
      <c r="M5692" s="8">
        <f>VALUE(5842)</f>
        <v>5842</v>
      </c>
      <c r="N5692" t="s">
        <v>25</v>
      </c>
    </row>
    <row r="5693" spans="1:14" x14ac:dyDescent="0.25">
      <c r="A5693" t="s">
        <v>42</v>
      </c>
      <c r="B5693" t="s">
        <v>15</v>
      </c>
      <c r="C5693" t="s">
        <v>36</v>
      </c>
      <c r="D5693" t="s">
        <v>31</v>
      </c>
      <c r="E5693" t="s">
        <v>23</v>
      </c>
      <c r="F5693" t="s">
        <v>17</v>
      </c>
      <c r="G5693" s="1" t="str">
        <f t="shared" ref="G5693:M5695" si="1249">"X"</f>
        <v>X</v>
      </c>
      <c r="H5693" s="1" t="str">
        <f t="shared" si="1249"/>
        <v>X</v>
      </c>
      <c r="I5693" s="1" t="str">
        <f t="shared" si="1249"/>
        <v>X</v>
      </c>
      <c r="J5693" s="1" t="str">
        <f t="shared" si="1249"/>
        <v>X</v>
      </c>
      <c r="K5693" s="1" t="str">
        <f t="shared" si="1249"/>
        <v>X</v>
      </c>
      <c r="L5693" s="1" t="str">
        <f t="shared" si="1249"/>
        <v>X</v>
      </c>
      <c r="M5693" s="1" t="str">
        <f t="shared" si="1249"/>
        <v>X</v>
      </c>
      <c r="N5693" t="s">
        <v>27</v>
      </c>
    </row>
    <row r="5694" spans="1:14" x14ac:dyDescent="0.25">
      <c r="A5694" t="s">
        <v>42</v>
      </c>
      <c r="B5694" t="s">
        <v>15</v>
      </c>
      <c r="C5694" t="s">
        <v>36</v>
      </c>
      <c r="D5694" t="s">
        <v>31</v>
      </c>
      <c r="E5694" t="s">
        <v>23</v>
      </c>
      <c r="F5694" t="s">
        <v>18</v>
      </c>
      <c r="G5694" s="1" t="str">
        <f t="shared" si="1249"/>
        <v>X</v>
      </c>
      <c r="H5694" s="1" t="str">
        <f t="shared" si="1249"/>
        <v>X</v>
      </c>
      <c r="I5694" s="1" t="str">
        <f t="shared" si="1249"/>
        <v>X</v>
      </c>
      <c r="J5694" s="1" t="str">
        <f t="shared" si="1249"/>
        <v>X</v>
      </c>
      <c r="K5694" s="1" t="str">
        <f t="shared" si="1249"/>
        <v>X</v>
      </c>
      <c r="L5694" s="1" t="str">
        <f t="shared" si="1249"/>
        <v>X</v>
      </c>
      <c r="M5694" s="1" t="str">
        <f t="shared" si="1249"/>
        <v>X</v>
      </c>
      <c r="N5694" t="s">
        <v>27</v>
      </c>
    </row>
    <row r="5695" spans="1:14" x14ac:dyDescent="0.25">
      <c r="A5695" t="s">
        <v>42</v>
      </c>
      <c r="B5695" t="s">
        <v>15</v>
      </c>
      <c r="C5695" t="s">
        <v>36</v>
      </c>
      <c r="D5695" t="s">
        <v>31</v>
      </c>
      <c r="E5695" t="s">
        <v>23</v>
      </c>
      <c r="F5695" t="s">
        <v>19</v>
      </c>
      <c r="G5695" s="1" t="str">
        <f t="shared" si="1249"/>
        <v>X</v>
      </c>
      <c r="H5695" s="1" t="str">
        <f t="shared" si="1249"/>
        <v>X</v>
      </c>
      <c r="I5695" s="1" t="str">
        <f t="shared" si="1249"/>
        <v>X</v>
      </c>
      <c r="J5695" s="1" t="str">
        <f t="shared" si="1249"/>
        <v>X</v>
      </c>
      <c r="K5695" s="1" t="str">
        <f t="shared" si="1249"/>
        <v>X</v>
      </c>
      <c r="L5695" s="1" t="str">
        <f t="shared" si="1249"/>
        <v>X</v>
      </c>
      <c r="M5695" s="1" t="str">
        <f t="shared" si="1249"/>
        <v>X</v>
      </c>
      <c r="N5695" t="s">
        <v>27</v>
      </c>
    </row>
    <row r="5696" spans="1:14" x14ac:dyDescent="0.25">
      <c r="A5696" t="s">
        <v>42</v>
      </c>
      <c r="B5696" t="s">
        <v>15</v>
      </c>
      <c r="C5696" t="s">
        <v>36</v>
      </c>
      <c r="D5696" t="s">
        <v>31</v>
      </c>
      <c r="E5696" t="s">
        <v>23</v>
      </c>
      <c r="F5696" t="s">
        <v>20</v>
      </c>
      <c r="G5696" s="2">
        <f>VALUE(982.19)</f>
        <v>982.19</v>
      </c>
      <c r="H5696" s="3">
        <f>VALUE(868.99)</f>
        <v>868.99</v>
      </c>
      <c r="I5696" s="4">
        <f>VALUE(3004)</f>
        <v>3004</v>
      </c>
      <c r="J5696" s="1">
        <f>VALUE(3411)</f>
        <v>3411</v>
      </c>
      <c r="K5696" s="1">
        <f>VALUE(3962)</f>
        <v>3962</v>
      </c>
      <c r="L5696" s="1">
        <f>VALUE(4898)</f>
        <v>4898</v>
      </c>
      <c r="M5696" s="8">
        <f>VALUE(5714)</f>
        <v>5714</v>
      </c>
      <c r="N5696" t="s">
        <v>25</v>
      </c>
    </row>
    <row r="5697" spans="1:14" x14ac:dyDescent="0.25">
      <c r="A5697" t="s">
        <v>42</v>
      </c>
      <c r="B5697" t="s">
        <v>15</v>
      </c>
      <c r="C5697" t="s">
        <v>36</v>
      </c>
      <c r="D5697" t="s">
        <v>31</v>
      </c>
      <c r="E5697" t="s">
        <v>26</v>
      </c>
      <c r="F5697" t="s">
        <v>15</v>
      </c>
      <c r="G5697" s="2">
        <f>VALUE(205.03)</f>
        <v>205.03</v>
      </c>
      <c r="H5697" s="3">
        <f>VALUE(191.64)</f>
        <v>191.64</v>
      </c>
      <c r="I5697" s="4">
        <f>VALUE(2740)</f>
        <v>2740</v>
      </c>
      <c r="J5697" s="5">
        <f>VALUE(3513)</f>
        <v>3513</v>
      </c>
      <c r="K5697" s="6">
        <f>VALUE(4133)</f>
        <v>4133</v>
      </c>
      <c r="L5697" s="7">
        <f>VALUE(5449)</f>
        <v>5449</v>
      </c>
      <c r="M5697" s="8">
        <f>VALUE(6836)</f>
        <v>6836</v>
      </c>
      <c r="N5697" t="s">
        <v>24</v>
      </c>
    </row>
    <row r="5698" spans="1:14" x14ac:dyDescent="0.25">
      <c r="A5698" t="s">
        <v>42</v>
      </c>
      <c r="B5698" t="s">
        <v>15</v>
      </c>
      <c r="C5698" t="s">
        <v>36</v>
      </c>
      <c r="D5698" t="s">
        <v>31</v>
      </c>
      <c r="E5698" t="s">
        <v>26</v>
      </c>
      <c r="F5698" t="s">
        <v>17</v>
      </c>
      <c r="G5698" s="1" t="str">
        <f t="shared" ref="G5698:M5698" si="1250">"..."</f>
        <v>...</v>
      </c>
      <c r="H5698" s="1" t="str">
        <f t="shared" si="1250"/>
        <v>...</v>
      </c>
      <c r="I5698" s="1" t="str">
        <f t="shared" si="1250"/>
        <v>...</v>
      </c>
      <c r="J5698" s="1" t="str">
        <f t="shared" si="1250"/>
        <v>...</v>
      </c>
      <c r="K5698" s="1" t="str">
        <f t="shared" si="1250"/>
        <v>...</v>
      </c>
      <c r="L5698" s="1" t="str">
        <f t="shared" si="1250"/>
        <v>...</v>
      </c>
      <c r="M5698" s="1" t="str">
        <f t="shared" si="1250"/>
        <v>...</v>
      </c>
      <c r="N5698" t="s">
        <v>30</v>
      </c>
    </row>
    <row r="5699" spans="1:14" x14ac:dyDescent="0.25">
      <c r="A5699" t="s">
        <v>42</v>
      </c>
      <c r="B5699" t="s">
        <v>15</v>
      </c>
      <c r="C5699" t="s">
        <v>36</v>
      </c>
      <c r="D5699" t="s">
        <v>31</v>
      </c>
      <c r="E5699" t="s">
        <v>26</v>
      </c>
      <c r="F5699" t="s">
        <v>18</v>
      </c>
      <c r="G5699" s="1" t="str">
        <f t="shared" ref="G5699:M5699" si="1251">"X"</f>
        <v>X</v>
      </c>
      <c r="H5699" s="1" t="str">
        <f t="shared" si="1251"/>
        <v>X</v>
      </c>
      <c r="I5699" s="1" t="str">
        <f t="shared" si="1251"/>
        <v>X</v>
      </c>
      <c r="J5699" s="1" t="str">
        <f t="shared" si="1251"/>
        <v>X</v>
      </c>
      <c r="K5699" s="1" t="str">
        <f t="shared" si="1251"/>
        <v>X</v>
      </c>
      <c r="L5699" s="1" t="str">
        <f t="shared" si="1251"/>
        <v>X</v>
      </c>
      <c r="M5699" s="1" t="str">
        <f t="shared" si="1251"/>
        <v>X</v>
      </c>
      <c r="N5699" t="s">
        <v>27</v>
      </c>
    </row>
    <row r="5700" spans="1:14" x14ac:dyDescent="0.25">
      <c r="A5700" t="s">
        <v>42</v>
      </c>
      <c r="B5700" t="s">
        <v>15</v>
      </c>
      <c r="C5700" t="s">
        <v>36</v>
      </c>
      <c r="D5700" t="s">
        <v>31</v>
      </c>
      <c r="E5700" t="s">
        <v>26</v>
      </c>
      <c r="F5700" t="s">
        <v>19</v>
      </c>
      <c r="G5700" s="1" t="str">
        <f t="shared" ref="G5700:M5700" si="1252">"..."</f>
        <v>...</v>
      </c>
      <c r="H5700" s="1" t="str">
        <f t="shared" si="1252"/>
        <v>...</v>
      </c>
      <c r="I5700" s="1" t="str">
        <f t="shared" si="1252"/>
        <v>...</v>
      </c>
      <c r="J5700" s="1" t="str">
        <f t="shared" si="1252"/>
        <v>...</v>
      </c>
      <c r="K5700" s="1" t="str">
        <f t="shared" si="1252"/>
        <v>...</v>
      </c>
      <c r="L5700" s="1" t="str">
        <f t="shared" si="1252"/>
        <v>...</v>
      </c>
      <c r="M5700" s="1" t="str">
        <f t="shared" si="1252"/>
        <v>...</v>
      </c>
      <c r="N5700" t="s">
        <v>30</v>
      </c>
    </row>
    <row r="5701" spans="1:14" x14ac:dyDescent="0.25">
      <c r="A5701" t="s">
        <v>42</v>
      </c>
      <c r="B5701" t="s">
        <v>15</v>
      </c>
      <c r="C5701" t="s">
        <v>36</v>
      </c>
      <c r="D5701" t="s">
        <v>31</v>
      </c>
      <c r="E5701" t="s">
        <v>26</v>
      </c>
      <c r="F5701" t="s">
        <v>20</v>
      </c>
      <c r="G5701" s="2">
        <f>VALUE(199.41)</f>
        <v>199.41</v>
      </c>
      <c r="H5701" s="3">
        <f>VALUE(185.82)</f>
        <v>185.82</v>
      </c>
      <c r="I5701" s="4">
        <f>VALUE(2740)</f>
        <v>2740</v>
      </c>
      <c r="J5701" s="5">
        <f>VALUE(3513)</f>
        <v>3513</v>
      </c>
      <c r="K5701" s="6">
        <f>VALUE(4251)</f>
        <v>4251</v>
      </c>
      <c r="L5701" s="7">
        <f>VALUE(5449)</f>
        <v>5449</v>
      </c>
      <c r="M5701" s="8">
        <f>VALUE(6836)</f>
        <v>6836</v>
      </c>
      <c r="N5701" t="s">
        <v>24</v>
      </c>
    </row>
    <row r="5702" spans="1:14" x14ac:dyDescent="0.25">
      <c r="A5702" t="s">
        <v>42</v>
      </c>
      <c r="B5702" t="s">
        <v>15</v>
      </c>
      <c r="C5702" t="s">
        <v>36</v>
      </c>
      <c r="D5702" t="s">
        <v>32</v>
      </c>
      <c r="E5702" t="s">
        <v>15</v>
      </c>
      <c r="F5702" t="s">
        <v>15</v>
      </c>
      <c r="G5702" s="1">
        <f>VALUE(11021.14)</f>
        <v>11021.14</v>
      </c>
      <c r="H5702" s="1">
        <f>VALUE(10778.16)</f>
        <v>10778.16</v>
      </c>
      <c r="I5702" s="1">
        <f>VALUE(2749)</f>
        <v>2749</v>
      </c>
      <c r="J5702" s="1">
        <f>VALUE(3249)</f>
        <v>3249</v>
      </c>
      <c r="K5702" s="1">
        <f>VALUE(3995)</f>
        <v>3995</v>
      </c>
      <c r="L5702" s="1">
        <f>VALUE(4878)</f>
        <v>4878</v>
      </c>
      <c r="M5702" s="1">
        <f>VALUE(5969)</f>
        <v>5969</v>
      </c>
      <c r="N5702" t="s">
        <v>16</v>
      </c>
    </row>
    <row r="5703" spans="1:14" x14ac:dyDescent="0.25">
      <c r="A5703" t="s">
        <v>42</v>
      </c>
      <c r="B5703" t="s">
        <v>15</v>
      </c>
      <c r="C5703" t="s">
        <v>36</v>
      </c>
      <c r="D5703" t="s">
        <v>32</v>
      </c>
      <c r="E5703" t="s">
        <v>15</v>
      </c>
      <c r="F5703" t="s">
        <v>17</v>
      </c>
      <c r="G5703" s="2">
        <f>VALUE(448.89)</f>
        <v>448.89</v>
      </c>
      <c r="H5703" s="3">
        <f>VALUE(448.92)</f>
        <v>448.92</v>
      </c>
      <c r="I5703" s="1">
        <f>VALUE(3132)</f>
        <v>3132</v>
      </c>
      <c r="J5703" s="1">
        <f>VALUE(3759)</f>
        <v>3759</v>
      </c>
      <c r="K5703" s="6">
        <f>VALUE(5407)</f>
        <v>5407</v>
      </c>
      <c r="L5703" s="1">
        <f>VALUE(6283)</f>
        <v>6283</v>
      </c>
      <c r="M5703" s="1">
        <f>VALUE(7232)</f>
        <v>7232</v>
      </c>
      <c r="N5703" t="s">
        <v>25</v>
      </c>
    </row>
    <row r="5704" spans="1:14" x14ac:dyDescent="0.25">
      <c r="A5704" t="s">
        <v>42</v>
      </c>
      <c r="B5704" t="s">
        <v>15</v>
      </c>
      <c r="C5704" t="s">
        <v>36</v>
      </c>
      <c r="D5704" t="s">
        <v>32</v>
      </c>
      <c r="E5704" t="s">
        <v>15</v>
      </c>
      <c r="F5704" t="s">
        <v>18</v>
      </c>
      <c r="G5704" s="2">
        <f>VALUE(650.49)</f>
        <v>650.49</v>
      </c>
      <c r="H5704" s="3">
        <f>VALUE(630.99)</f>
        <v>630.99</v>
      </c>
      <c r="I5704" s="4">
        <f>VALUE(2748)</f>
        <v>2748</v>
      </c>
      <c r="J5704" s="5">
        <f>VALUE(3530)</f>
        <v>3530</v>
      </c>
      <c r="K5704" s="1">
        <f>VALUE(4598)</f>
        <v>4598</v>
      </c>
      <c r="L5704" s="7">
        <f>VALUE(6274)</f>
        <v>6274</v>
      </c>
      <c r="M5704" s="1">
        <f>VALUE(7562)</f>
        <v>7562</v>
      </c>
      <c r="N5704" t="s">
        <v>25</v>
      </c>
    </row>
    <row r="5705" spans="1:14" x14ac:dyDescent="0.25">
      <c r="A5705" t="s">
        <v>42</v>
      </c>
      <c r="B5705" t="s">
        <v>15</v>
      </c>
      <c r="C5705" t="s">
        <v>36</v>
      </c>
      <c r="D5705" t="s">
        <v>32</v>
      </c>
      <c r="E5705" t="s">
        <v>15</v>
      </c>
      <c r="F5705" t="s">
        <v>19</v>
      </c>
      <c r="G5705" s="2">
        <f>VALUE(1516.06)</f>
        <v>1516.06</v>
      </c>
      <c r="H5705" s="3">
        <f>VALUE(1525.52)</f>
        <v>1525.52</v>
      </c>
      <c r="I5705" s="1">
        <f>VALUE(2970)</f>
        <v>2970</v>
      </c>
      <c r="J5705" s="1">
        <f>VALUE(3415)</f>
        <v>3415</v>
      </c>
      <c r="K5705" s="1">
        <f>VALUE(4282)</f>
        <v>4282</v>
      </c>
      <c r="L5705" s="7">
        <f>VALUE(5092)</f>
        <v>5092</v>
      </c>
      <c r="M5705" s="8">
        <f>VALUE(6313)</f>
        <v>6313</v>
      </c>
      <c r="N5705" t="s">
        <v>25</v>
      </c>
    </row>
    <row r="5706" spans="1:14" x14ac:dyDescent="0.25">
      <c r="A5706" t="s">
        <v>42</v>
      </c>
      <c r="B5706" t="s">
        <v>15</v>
      </c>
      <c r="C5706" t="s">
        <v>36</v>
      </c>
      <c r="D5706" t="s">
        <v>32</v>
      </c>
      <c r="E5706" t="s">
        <v>15</v>
      </c>
      <c r="F5706" t="s">
        <v>20</v>
      </c>
      <c r="G5706" s="1">
        <f>VALUE(8405.7)</f>
        <v>8405.7000000000007</v>
      </c>
      <c r="H5706" s="1">
        <f>VALUE(8172.73)</f>
        <v>8172.73</v>
      </c>
      <c r="I5706" s="1">
        <f>VALUE(2635)</f>
        <v>2635</v>
      </c>
      <c r="J5706" s="1">
        <f>VALUE(3192)</f>
        <v>3192</v>
      </c>
      <c r="K5706" s="1">
        <f>VALUE(3875)</f>
        <v>3875</v>
      </c>
      <c r="L5706" s="1">
        <f>VALUE(4751)</f>
        <v>4751</v>
      </c>
      <c r="M5706" s="1">
        <f>VALUE(5600)</f>
        <v>5600</v>
      </c>
      <c r="N5706" t="s">
        <v>16</v>
      </c>
    </row>
    <row r="5707" spans="1:14" x14ac:dyDescent="0.25">
      <c r="A5707" t="s">
        <v>42</v>
      </c>
      <c r="B5707" t="s">
        <v>15</v>
      </c>
      <c r="C5707" t="s">
        <v>36</v>
      </c>
      <c r="D5707" t="s">
        <v>32</v>
      </c>
      <c r="E5707" t="s">
        <v>21</v>
      </c>
      <c r="F5707" t="s">
        <v>15</v>
      </c>
      <c r="G5707" s="1">
        <f>VALUE(2556.26)</f>
        <v>2556.2600000000002</v>
      </c>
      <c r="H5707" s="1">
        <f>VALUE(2437.53)</f>
        <v>2437.5300000000002</v>
      </c>
      <c r="I5707" s="4">
        <f>VALUE(2965)</f>
        <v>2965</v>
      </c>
      <c r="J5707" s="1">
        <f>VALUE(3622)</f>
        <v>3622</v>
      </c>
      <c r="K5707" s="1">
        <f>VALUE(4433)</f>
        <v>4433</v>
      </c>
      <c r="L5707" s="1">
        <f>VALUE(5758)</f>
        <v>5758</v>
      </c>
      <c r="M5707" s="1">
        <f>VALUE(6904)</f>
        <v>6904</v>
      </c>
      <c r="N5707" t="s">
        <v>25</v>
      </c>
    </row>
    <row r="5708" spans="1:14" x14ac:dyDescent="0.25">
      <c r="A5708" t="s">
        <v>42</v>
      </c>
      <c r="B5708" t="s">
        <v>15</v>
      </c>
      <c r="C5708" t="s">
        <v>36</v>
      </c>
      <c r="D5708" t="s">
        <v>32</v>
      </c>
      <c r="E5708" t="s">
        <v>21</v>
      </c>
      <c r="F5708" t="s">
        <v>17</v>
      </c>
      <c r="G5708" s="2">
        <f>VALUE(284.96)</f>
        <v>284.95999999999998</v>
      </c>
      <c r="H5708" s="3">
        <f>VALUE(276.84)</f>
        <v>276.83999999999997</v>
      </c>
      <c r="I5708" s="4">
        <f>VALUE(3436)</f>
        <v>3436</v>
      </c>
      <c r="J5708" s="5">
        <f>VALUE(4520)</f>
        <v>4520</v>
      </c>
      <c r="K5708" s="1">
        <f>VALUE(5734)</f>
        <v>5734</v>
      </c>
      <c r="L5708" s="1">
        <f>VALUE(6434)</f>
        <v>6434</v>
      </c>
      <c r="M5708" s="1">
        <f>VALUE(7429)</f>
        <v>7429</v>
      </c>
      <c r="N5708" t="s">
        <v>25</v>
      </c>
    </row>
    <row r="5709" spans="1:14" x14ac:dyDescent="0.25">
      <c r="A5709" t="s">
        <v>42</v>
      </c>
      <c r="B5709" t="s">
        <v>15</v>
      </c>
      <c r="C5709" t="s">
        <v>36</v>
      </c>
      <c r="D5709" t="s">
        <v>32</v>
      </c>
      <c r="E5709" t="s">
        <v>21</v>
      </c>
      <c r="F5709" t="s">
        <v>18</v>
      </c>
      <c r="G5709" s="2">
        <f>VALUE(272.29)</f>
        <v>272.29000000000002</v>
      </c>
      <c r="H5709" s="3">
        <f>VALUE(261.13)</f>
        <v>261.13</v>
      </c>
      <c r="I5709" s="4">
        <f>VALUE(3000)</f>
        <v>3000</v>
      </c>
      <c r="J5709" s="5">
        <f>VALUE(4282)</f>
        <v>4282</v>
      </c>
      <c r="K5709" s="6">
        <f>VALUE(5593)</f>
        <v>5593</v>
      </c>
      <c r="L5709" s="1">
        <f>VALUE(6540)</f>
        <v>6540</v>
      </c>
      <c r="M5709" s="1">
        <f>VALUE(7833)</f>
        <v>7833</v>
      </c>
      <c r="N5709" t="s">
        <v>25</v>
      </c>
    </row>
    <row r="5710" spans="1:14" x14ac:dyDescent="0.25">
      <c r="A5710" t="s">
        <v>42</v>
      </c>
      <c r="B5710" t="s">
        <v>15</v>
      </c>
      <c r="C5710" t="s">
        <v>36</v>
      </c>
      <c r="D5710" t="s">
        <v>32</v>
      </c>
      <c r="E5710" t="s">
        <v>21</v>
      </c>
      <c r="F5710" t="s">
        <v>19</v>
      </c>
      <c r="G5710" s="2">
        <f>VALUE(524.8)</f>
        <v>524.79999999999995</v>
      </c>
      <c r="H5710" s="3">
        <f>VALUE(526.06)</f>
        <v>526.05999999999995</v>
      </c>
      <c r="I5710" s="4">
        <f>VALUE(3198)</f>
        <v>3198</v>
      </c>
      <c r="J5710" s="1">
        <f>VALUE(3793)</f>
        <v>3793</v>
      </c>
      <c r="K5710" s="1">
        <f>VALUE(4404)</f>
        <v>4404</v>
      </c>
      <c r="L5710" s="7">
        <f>VALUE(5660)</f>
        <v>5660</v>
      </c>
      <c r="M5710" s="1">
        <f>VALUE(6604)</f>
        <v>6604</v>
      </c>
      <c r="N5710" t="s">
        <v>25</v>
      </c>
    </row>
    <row r="5711" spans="1:14" x14ac:dyDescent="0.25">
      <c r="A5711" t="s">
        <v>42</v>
      </c>
      <c r="B5711" t="s">
        <v>15</v>
      </c>
      <c r="C5711" t="s">
        <v>36</v>
      </c>
      <c r="D5711" t="s">
        <v>32</v>
      </c>
      <c r="E5711" t="s">
        <v>21</v>
      </c>
      <c r="F5711" t="s">
        <v>20</v>
      </c>
      <c r="G5711" s="2">
        <f>VALUE(1474.21)</f>
        <v>1474.21</v>
      </c>
      <c r="H5711" s="3">
        <f>VALUE(1373.5)</f>
        <v>1373.5</v>
      </c>
      <c r="I5711" s="4">
        <f>VALUE(2582)</f>
        <v>2582</v>
      </c>
      <c r="J5711" s="1">
        <f>VALUE(3464)</f>
        <v>3464</v>
      </c>
      <c r="K5711" s="1">
        <f>VALUE(4171)</f>
        <v>4171</v>
      </c>
      <c r="L5711" s="1">
        <f>VALUE(5110)</f>
        <v>5110</v>
      </c>
      <c r="M5711" s="1">
        <f>VALUE(6337)</f>
        <v>6337</v>
      </c>
      <c r="N5711" t="s">
        <v>25</v>
      </c>
    </row>
    <row r="5712" spans="1:14" x14ac:dyDescent="0.25">
      <c r="A5712" t="s">
        <v>42</v>
      </c>
      <c r="B5712" t="s">
        <v>15</v>
      </c>
      <c r="C5712" t="s">
        <v>36</v>
      </c>
      <c r="D5712" t="s">
        <v>32</v>
      </c>
      <c r="E5712" t="s">
        <v>22</v>
      </c>
      <c r="F5712" t="s">
        <v>15</v>
      </c>
      <c r="G5712" s="1">
        <f>VALUE(3494.85)</f>
        <v>3494.85</v>
      </c>
      <c r="H5712" s="1">
        <f>VALUE(3450.82)</f>
        <v>3450.82</v>
      </c>
      <c r="I5712" s="1">
        <f>VALUE(2923)</f>
        <v>2923</v>
      </c>
      <c r="J5712" s="1">
        <f>VALUE(3540)</f>
        <v>3540</v>
      </c>
      <c r="K5712" s="1">
        <f>VALUE(4334)</f>
        <v>4334</v>
      </c>
      <c r="L5712" s="1">
        <f>VALUE(5067)</f>
        <v>5067</v>
      </c>
      <c r="M5712" s="1">
        <f>VALUE(5872)</f>
        <v>5872</v>
      </c>
      <c r="N5712" t="s">
        <v>16</v>
      </c>
    </row>
    <row r="5713" spans="1:14" x14ac:dyDescent="0.25">
      <c r="A5713" t="s">
        <v>42</v>
      </c>
      <c r="B5713" t="s">
        <v>15</v>
      </c>
      <c r="C5713" t="s">
        <v>36</v>
      </c>
      <c r="D5713" t="s">
        <v>32</v>
      </c>
      <c r="E5713" t="s">
        <v>22</v>
      </c>
      <c r="F5713" t="s">
        <v>17</v>
      </c>
      <c r="G5713" s="1" t="str">
        <f t="shared" ref="G5713:M5713" si="1253">"X"</f>
        <v>X</v>
      </c>
      <c r="H5713" s="1" t="str">
        <f t="shared" si="1253"/>
        <v>X</v>
      </c>
      <c r="I5713" s="1" t="str">
        <f t="shared" si="1253"/>
        <v>X</v>
      </c>
      <c r="J5713" s="1" t="str">
        <f t="shared" si="1253"/>
        <v>X</v>
      </c>
      <c r="K5713" s="1" t="str">
        <f t="shared" si="1253"/>
        <v>X</v>
      </c>
      <c r="L5713" s="1" t="str">
        <f t="shared" si="1253"/>
        <v>X</v>
      </c>
      <c r="M5713" s="1" t="str">
        <f t="shared" si="1253"/>
        <v>X</v>
      </c>
      <c r="N5713" t="s">
        <v>27</v>
      </c>
    </row>
    <row r="5714" spans="1:14" x14ac:dyDescent="0.25">
      <c r="A5714" t="s">
        <v>42</v>
      </c>
      <c r="B5714" t="s">
        <v>15</v>
      </c>
      <c r="C5714" t="s">
        <v>36</v>
      </c>
      <c r="D5714" t="s">
        <v>32</v>
      </c>
      <c r="E5714" t="s">
        <v>22</v>
      </c>
      <c r="F5714" t="s">
        <v>18</v>
      </c>
      <c r="G5714" s="2">
        <f>VALUE(245.54)</f>
        <v>245.54</v>
      </c>
      <c r="H5714" s="3">
        <f>VALUE(235.43)</f>
        <v>235.43</v>
      </c>
      <c r="I5714" s="1">
        <f>VALUE(2707)</f>
        <v>2707</v>
      </c>
      <c r="J5714" s="5">
        <f>VALUE(3448)</f>
        <v>3448</v>
      </c>
      <c r="K5714" s="1">
        <f>VALUE(4524)</f>
        <v>4524</v>
      </c>
      <c r="L5714" s="7">
        <f>VALUE(5500)</f>
        <v>5500</v>
      </c>
      <c r="M5714" s="8">
        <f>VALUE(6983)</f>
        <v>6983</v>
      </c>
      <c r="N5714" t="s">
        <v>25</v>
      </c>
    </row>
    <row r="5715" spans="1:14" x14ac:dyDescent="0.25">
      <c r="A5715" t="s">
        <v>42</v>
      </c>
      <c r="B5715" t="s">
        <v>15</v>
      </c>
      <c r="C5715" t="s">
        <v>36</v>
      </c>
      <c r="D5715" t="s">
        <v>32</v>
      </c>
      <c r="E5715" t="s">
        <v>22</v>
      </c>
      <c r="F5715" t="s">
        <v>19</v>
      </c>
      <c r="G5715" s="2">
        <f>VALUE(582.28)</f>
        <v>582.28</v>
      </c>
      <c r="H5715" s="3">
        <f>VALUE(584.34)</f>
        <v>584.34</v>
      </c>
      <c r="I5715" s="1">
        <f>VALUE(3147)</f>
        <v>3147</v>
      </c>
      <c r="J5715" s="1">
        <f>VALUE(3630)</f>
        <v>3630</v>
      </c>
      <c r="K5715" s="1">
        <f>VALUE(4498)</f>
        <v>4498</v>
      </c>
      <c r="L5715" s="1">
        <f>VALUE(5108)</f>
        <v>5108</v>
      </c>
      <c r="M5715" s="8">
        <f>VALUE(6200)</f>
        <v>6200</v>
      </c>
      <c r="N5715" t="s">
        <v>25</v>
      </c>
    </row>
    <row r="5716" spans="1:14" x14ac:dyDescent="0.25">
      <c r="A5716" t="s">
        <v>42</v>
      </c>
      <c r="B5716" t="s">
        <v>15</v>
      </c>
      <c r="C5716" t="s">
        <v>36</v>
      </c>
      <c r="D5716" t="s">
        <v>32</v>
      </c>
      <c r="E5716" t="s">
        <v>22</v>
      </c>
      <c r="F5716" t="s">
        <v>20</v>
      </c>
      <c r="G5716" s="1">
        <f>VALUE(2568.39)</f>
        <v>2568.39</v>
      </c>
      <c r="H5716" s="1">
        <f>VALUE(2530.54)</f>
        <v>2530.54</v>
      </c>
      <c r="I5716" s="1">
        <f>VALUE(2891)</f>
        <v>2891</v>
      </c>
      <c r="J5716" s="1">
        <f>VALUE(3521)</f>
        <v>3521</v>
      </c>
      <c r="K5716" s="1">
        <f>VALUE(4237)</f>
        <v>4237</v>
      </c>
      <c r="L5716" s="1">
        <f>VALUE(5014)</f>
        <v>5014</v>
      </c>
      <c r="M5716" s="1">
        <f>VALUE(5622)</f>
        <v>5622</v>
      </c>
      <c r="N5716" t="s">
        <v>16</v>
      </c>
    </row>
    <row r="5717" spans="1:14" x14ac:dyDescent="0.25">
      <c r="A5717" t="s">
        <v>42</v>
      </c>
      <c r="B5717" t="s">
        <v>15</v>
      </c>
      <c r="C5717" t="s">
        <v>36</v>
      </c>
      <c r="D5717" t="s">
        <v>32</v>
      </c>
      <c r="E5717" t="s">
        <v>23</v>
      </c>
      <c r="F5717" t="s">
        <v>15</v>
      </c>
      <c r="G5717" s="1">
        <f>VALUE(4417)</f>
        <v>4417</v>
      </c>
      <c r="H5717" s="1">
        <f>VALUE(4358.96)</f>
        <v>4358.96</v>
      </c>
      <c r="I5717" s="1">
        <f>VALUE(2600)</f>
        <v>2600</v>
      </c>
      <c r="J5717" s="1">
        <f>VALUE(3003)</f>
        <v>3003</v>
      </c>
      <c r="K5717" s="1">
        <f>VALUE(3518)</f>
        <v>3518</v>
      </c>
      <c r="L5717" s="1">
        <f>VALUE(4229)</f>
        <v>4229</v>
      </c>
      <c r="M5717" s="1">
        <f>VALUE(4970)</f>
        <v>4970</v>
      </c>
      <c r="N5717" t="s">
        <v>16</v>
      </c>
    </row>
    <row r="5718" spans="1:14" x14ac:dyDescent="0.25">
      <c r="A5718" t="s">
        <v>42</v>
      </c>
      <c r="B5718" t="s">
        <v>15</v>
      </c>
      <c r="C5718" t="s">
        <v>36</v>
      </c>
      <c r="D5718" t="s">
        <v>32</v>
      </c>
      <c r="E5718" t="s">
        <v>23</v>
      </c>
      <c r="F5718" t="s">
        <v>17</v>
      </c>
      <c r="G5718" s="1" t="str">
        <f t="shared" ref="G5718:M5719" si="1254">"X"</f>
        <v>X</v>
      </c>
      <c r="H5718" s="1" t="str">
        <f t="shared" si="1254"/>
        <v>X</v>
      </c>
      <c r="I5718" s="1" t="str">
        <f t="shared" si="1254"/>
        <v>X</v>
      </c>
      <c r="J5718" s="1" t="str">
        <f t="shared" si="1254"/>
        <v>X</v>
      </c>
      <c r="K5718" s="1" t="str">
        <f t="shared" si="1254"/>
        <v>X</v>
      </c>
      <c r="L5718" s="1" t="str">
        <f t="shared" si="1254"/>
        <v>X</v>
      </c>
      <c r="M5718" s="1" t="str">
        <f t="shared" si="1254"/>
        <v>X</v>
      </c>
      <c r="N5718" t="s">
        <v>27</v>
      </c>
    </row>
    <row r="5719" spans="1:14" x14ac:dyDescent="0.25">
      <c r="A5719" t="s">
        <v>42</v>
      </c>
      <c r="B5719" t="s">
        <v>15</v>
      </c>
      <c r="C5719" t="s">
        <v>36</v>
      </c>
      <c r="D5719" t="s">
        <v>32</v>
      </c>
      <c r="E5719" t="s">
        <v>23</v>
      </c>
      <c r="F5719" t="s">
        <v>18</v>
      </c>
      <c r="G5719" s="1" t="str">
        <f t="shared" si="1254"/>
        <v>X</v>
      </c>
      <c r="H5719" s="1" t="str">
        <f t="shared" si="1254"/>
        <v>X</v>
      </c>
      <c r="I5719" s="1" t="str">
        <f t="shared" si="1254"/>
        <v>X</v>
      </c>
      <c r="J5719" s="1" t="str">
        <f t="shared" si="1254"/>
        <v>X</v>
      </c>
      <c r="K5719" s="1" t="str">
        <f t="shared" si="1254"/>
        <v>X</v>
      </c>
      <c r="L5719" s="1" t="str">
        <f t="shared" si="1254"/>
        <v>X</v>
      </c>
      <c r="M5719" s="1" t="str">
        <f t="shared" si="1254"/>
        <v>X</v>
      </c>
      <c r="N5719" t="s">
        <v>27</v>
      </c>
    </row>
    <row r="5720" spans="1:14" x14ac:dyDescent="0.25">
      <c r="A5720" t="s">
        <v>42</v>
      </c>
      <c r="B5720" t="s">
        <v>15</v>
      </c>
      <c r="C5720" t="s">
        <v>36</v>
      </c>
      <c r="D5720" t="s">
        <v>32</v>
      </c>
      <c r="E5720" t="s">
        <v>23</v>
      </c>
      <c r="F5720" t="s">
        <v>19</v>
      </c>
      <c r="G5720" s="2">
        <f>VALUE(371.56)</f>
        <v>371.56</v>
      </c>
      <c r="H5720" s="3">
        <f>VALUE(376.32)</f>
        <v>376.32</v>
      </c>
      <c r="I5720" s="1">
        <f>VALUE(2790)</f>
        <v>2790</v>
      </c>
      <c r="J5720" s="1">
        <f>VALUE(3006)</f>
        <v>3006</v>
      </c>
      <c r="K5720" s="6">
        <f>VALUE(3245)</f>
        <v>3245</v>
      </c>
      <c r="L5720" s="7">
        <f>VALUE(4200)</f>
        <v>4200</v>
      </c>
      <c r="M5720" s="1">
        <f>VALUE(4788)</f>
        <v>4788</v>
      </c>
      <c r="N5720" t="s">
        <v>25</v>
      </c>
    </row>
    <row r="5721" spans="1:14" x14ac:dyDescent="0.25">
      <c r="A5721" t="s">
        <v>42</v>
      </c>
      <c r="B5721" t="s">
        <v>15</v>
      </c>
      <c r="C5721" t="s">
        <v>36</v>
      </c>
      <c r="D5721" t="s">
        <v>32</v>
      </c>
      <c r="E5721" t="s">
        <v>23</v>
      </c>
      <c r="F5721" t="s">
        <v>20</v>
      </c>
      <c r="G5721" s="1">
        <f>VALUE(3860.9)</f>
        <v>3860.9</v>
      </c>
      <c r="H5721" s="1">
        <f>VALUE(3790.02)</f>
        <v>3790.02</v>
      </c>
      <c r="I5721" s="1">
        <f>VALUE(2600)</f>
        <v>2600</v>
      </c>
      <c r="J5721" s="1">
        <f>VALUE(3000)</f>
        <v>3000</v>
      </c>
      <c r="K5721" s="1">
        <f>VALUE(3529)</f>
        <v>3529</v>
      </c>
      <c r="L5721" s="1">
        <f>VALUE(4227)</f>
        <v>4227</v>
      </c>
      <c r="M5721" s="1">
        <f>VALUE(4970)</f>
        <v>4970</v>
      </c>
      <c r="N5721" t="s">
        <v>16</v>
      </c>
    </row>
    <row r="5722" spans="1:14" x14ac:dyDescent="0.25">
      <c r="A5722" t="s">
        <v>42</v>
      </c>
      <c r="B5722" t="s">
        <v>15</v>
      </c>
      <c r="C5722" t="s">
        <v>36</v>
      </c>
      <c r="D5722" t="s">
        <v>32</v>
      </c>
      <c r="E5722" t="s">
        <v>26</v>
      </c>
      <c r="F5722" t="s">
        <v>15</v>
      </c>
      <c r="G5722" s="2">
        <f>VALUE(553.03)</f>
        <v>553.03</v>
      </c>
      <c r="H5722" s="3">
        <f>VALUE(530.85)</f>
        <v>530.85</v>
      </c>
      <c r="I5722" s="4">
        <f>VALUE(2544)</f>
        <v>2544</v>
      </c>
      <c r="J5722" s="5">
        <f>VALUE(3769)</f>
        <v>3769</v>
      </c>
      <c r="K5722" s="6">
        <f>VALUE(4476)</f>
        <v>4476</v>
      </c>
      <c r="L5722" s="1">
        <f>VALUE(5449)</f>
        <v>5449</v>
      </c>
      <c r="M5722" s="1">
        <f>VALUE(6190)</f>
        <v>6190</v>
      </c>
      <c r="N5722" t="s">
        <v>25</v>
      </c>
    </row>
    <row r="5723" spans="1:14" x14ac:dyDescent="0.25">
      <c r="A5723" t="s">
        <v>42</v>
      </c>
      <c r="B5723" t="s">
        <v>15</v>
      </c>
      <c r="C5723" t="s">
        <v>36</v>
      </c>
      <c r="D5723" t="s">
        <v>32</v>
      </c>
      <c r="E5723" t="s">
        <v>26</v>
      </c>
      <c r="F5723" t="s">
        <v>17</v>
      </c>
      <c r="G5723" s="1" t="str">
        <f t="shared" ref="G5723:M5725" si="1255">"X"</f>
        <v>X</v>
      </c>
      <c r="H5723" s="1" t="str">
        <f t="shared" si="1255"/>
        <v>X</v>
      </c>
      <c r="I5723" s="1" t="str">
        <f t="shared" si="1255"/>
        <v>X</v>
      </c>
      <c r="J5723" s="1" t="str">
        <f t="shared" si="1255"/>
        <v>X</v>
      </c>
      <c r="K5723" s="1" t="str">
        <f t="shared" si="1255"/>
        <v>X</v>
      </c>
      <c r="L5723" s="1" t="str">
        <f t="shared" si="1255"/>
        <v>X</v>
      </c>
      <c r="M5723" s="1" t="str">
        <f t="shared" si="1255"/>
        <v>X</v>
      </c>
      <c r="N5723" t="s">
        <v>27</v>
      </c>
    </row>
    <row r="5724" spans="1:14" x14ac:dyDescent="0.25">
      <c r="A5724" t="s">
        <v>42</v>
      </c>
      <c r="B5724" t="s">
        <v>15</v>
      </c>
      <c r="C5724" t="s">
        <v>36</v>
      </c>
      <c r="D5724" t="s">
        <v>32</v>
      </c>
      <c r="E5724" t="s">
        <v>26</v>
      </c>
      <c r="F5724" t="s">
        <v>18</v>
      </c>
      <c r="G5724" s="1" t="str">
        <f t="shared" si="1255"/>
        <v>X</v>
      </c>
      <c r="H5724" s="1" t="str">
        <f t="shared" si="1255"/>
        <v>X</v>
      </c>
      <c r="I5724" s="1" t="str">
        <f t="shared" si="1255"/>
        <v>X</v>
      </c>
      <c r="J5724" s="1" t="str">
        <f t="shared" si="1255"/>
        <v>X</v>
      </c>
      <c r="K5724" s="1" t="str">
        <f t="shared" si="1255"/>
        <v>X</v>
      </c>
      <c r="L5724" s="1" t="str">
        <f t="shared" si="1255"/>
        <v>X</v>
      </c>
      <c r="M5724" s="1" t="str">
        <f t="shared" si="1255"/>
        <v>X</v>
      </c>
      <c r="N5724" t="s">
        <v>27</v>
      </c>
    </row>
    <row r="5725" spans="1:14" x14ac:dyDescent="0.25">
      <c r="A5725" t="s">
        <v>42</v>
      </c>
      <c r="B5725" t="s">
        <v>15</v>
      </c>
      <c r="C5725" t="s">
        <v>36</v>
      </c>
      <c r="D5725" t="s">
        <v>32</v>
      </c>
      <c r="E5725" t="s">
        <v>26</v>
      </c>
      <c r="F5725" t="s">
        <v>19</v>
      </c>
      <c r="G5725" s="1" t="str">
        <f t="shared" si="1255"/>
        <v>X</v>
      </c>
      <c r="H5725" s="1" t="str">
        <f t="shared" si="1255"/>
        <v>X</v>
      </c>
      <c r="I5725" s="1" t="str">
        <f t="shared" si="1255"/>
        <v>X</v>
      </c>
      <c r="J5725" s="1" t="str">
        <f t="shared" si="1255"/>
        <v>X</v>
      </c>
      <c r="K5725" s="1" t="str">
        <f t="shared" si="1255"/>
        <v>X</v>
      </c>
      <c r="L5725" s="1" t="str">
        <f t="shared" si="1255"/>
        <v>X</v>
      </c>
      <c r="M5725" s="1" t="str">
        <f t="shared" si="1255"/>
        <v>X</v>
      </c>
      <c r="N5725" t="s">
        <v>27</v>
      </c>
    </row>
    <row r="5726" spans="1:14" x14ac:dyDescent="0.25">
      <c r="A5726" t="s">
        <v>42</v>
      </c>
      <c r="B5726" t="s">
        <v>15</v>
      </c>
      <c r="C5726" t="s">
        <v>36</v>
      </c>
      <c r="D5726" t="s">
        <v>32</v>
      </c>
      <c r="E5726" t="s">
        <v>26</v>
      </c>
      <c r="F5726" t="s">
        <v>20</v>
      </c>
      <c r="G5726" s="2">
        <f>VALUE(502.2)</f>
        <v>502.2</v>
      </c>
      <c r="H5726" s="3">
        <f>VALUE(478.67)</f>
        <v>478.67</v>
      </c>
      <c r="I5726" s="4">
        <f>VALUE(2172)</f>
        <v>2172</v>
      </c>
      <c r="J5726" s="5">
        <f>VALUE(3661)</f>
        <v>3661</v>
      </c>
      <c r="K5726" s="6">
        <f>VALUE(4412)</f>
        <v>4412</v>
      </c>
      <c r="L5726" s="1">
        <f>VALUE(5251)</f>
        <v>5251</v>
      </c>
      <c r="M5726" s="1">
        <f>VALUE(5983)</f>
        <v>5983</v>
      </c>
      <c r="N5726" t="s">
        <v>25</v>
      </c>
    </row>
    <row r="5727" spans="1:14" x14ac:dyDescent="0.25">
      <c r="A5727" t="s">
        <v>42</v>
      </c>
      <c r="B5727" t="s">
        <v>15</v>
      </c>
      <c r="C5727" t="s">
        <v>36</v>
      </c>
      <c r="D5727" t="s">
        <v>33</v>
      </c>
      <c r="E5727" t="s">
        <v>15</v>
      </c>
      <c r="F5727" t="s">
        <v>15</v>
      </c>
      <c r="G5727" s="2">
        <f>VALUE(276.83)</f>
        <v>276.83</v>
      </c>
      <c r="H5727" s="3">
        <f>VALUE(277.46)</f>
        <v>277.45999999999998</v>
      </c>
      <c r="I5727" s="4">
        <f>VALUE(2969)</f>
        <v>2969</v>
      </c>
      <c r="J5727" s="1">
        <f>VALUE(3401)</f>
        <v>3401</v>
      </c>
      <c r="K5727" s="6">
        <f>VALUE(4171)</f>
        <v>4171</v>
      </c>
      <c r="L5727" s="7">
        <f>VALUE(6142)</f>
        <v>6142</v>
      </c>
      <c r="M5727" s="8">
        <f>VALUE(8418)</f>
        <v>8418</v>
      </c>
      <c r="N5727" t="s">
        <v>25</v>
      </c>
    </row>
    <row r="5728" spans="1:14" x14ac:dyDescent="0.25">
      <c r="A5728" t="s">
        <v>42</v>
      </c>
      <c r="B5728" t="s">
        <v>15</v>
      </c>
      <c r="C5728" t="s">
        <v>36</v>
      </c>
      <c r="D5728" t="s">
        <v>33</v>
      </c>
      <c r="E5728" t="s">
        <v>15</v>
      </c>
      <c r="F5728" t="s">
        <v>17</v>
      </c>
      <c r="G5728" s="1" t="str">
        <f t="shared" ref="G5728:M5730" si="1256">"X"</f>
        <v>X</v>
      </c>
      <c r="H5728" s="1" t="str">
        <f t="shared" si="1256"/>
        <v>X</v>
      </c>
      <c r="I5728" s="1" t="str">
        <f t="shared" si="1256"/>
        <v>X</v>
      </c>
      <c r="J5728" s="1" t="str">
        <f t="shared" si="1256"/>
        <v>X</v>
      </c>
      <c r="K5728" s="1" t="str">
        <f t="shared" si="1256"/>
        <v>X</v>
      </c>
      <c r="L5728" s="1" t="str">
        <f t="shared" si="1256"/>
        <v>X</v>
      </c>
      <c r="M5728" s="1" t="str">
        <f t="shared" si="1256"/>
        <v>X</v>
      </c>
      <c r="N5728" t="s">
        <v>27</v>
      </c>
    </row>
    <row r="5729" spans="1:14" x14ac:dyDescent="0.25">
      <c r="A5729" t="s">
        <v>42</v>
      </c>
      <c r="B5729" t="s">
        <v>15</v>
      </c>
      <c r="C5729" t="s">
        <v>36</v>
      </c>
      <c r="D5729" t="s">
        <v>33</v>
      </c>
      <c r="E5729" t="s">
        <v>15</v>
      </c>
      <c r="F5729" t="s">
        <v>18</v>
      </c>
      <c r="G5729" s="1" t="str">
        <f t="shared" si="1256"/>
        <v>X</v>
      </c>
      <c r="H5729" s="1" t="str">
        <f t="shared" si="1256"/>
        <v>X</v>
      </c>
      <c r="I5729" s="1" t="str">
        <f t="shared" si="1256"/>
        <v>X</v>
      </c>
      <c r="J5729" s="1" t="str">
        <f t="shared" si="1256"/>
        <v>X</v>
      </c>
      <c r="K5729" s="1" t="str">
        <f t="shared" si="1256"/>
        <v>X</v>
      </c>
      <c r="L5729" s="1" t="str">
        <f t="shared" si="1256"/>
        <v>X</v>
      </c>
      <c r="M5729" s="1" t="str">
        <f t="shared" si="1256"/>
        <v>X</v>
      </c>
      <c r="N5729" t="s">
        <v>27</v>
      </c>
    </row>
    <row r="5730" spans="1:14" x14ac:dyDescent="0.25">
      <c r="A5730" t="s">
        <v>42</v>
      </c>
      <c r="B5730" t="s">
        <v>15</v>
      </c>
      <c r="C5730" t="s">
        <v>36</v>
      </c>
      <c r="D5730" t="s">
        <v>33</v>
      </c>
      <c r="E5730" t="s">
        <v>15</v>
      </c>
      <c r="F5730" t="s">
        <v>19</v>
      </c>
      <c r="G5730" s="1" t="str">
        <f t="shared" si="1256"/>
        <v>X</v>
      </c>
      <c r="H5730" s="1" t="str">
        <f t="shared" si="1256"/>
        <v>X</v>
      </c>
      <c r="I5730" s="1" t="str">
        <f t="shared" si="1256"/>
        <v>X</v>
      </c>
      <c r="J5730" s="1" t="str">
        <f t="shared" si="1256"/>
        <v>X</v>
      </c>
      <c r="K5730" s="1" t="str">
        <f t="shared" si="1256"/>
        <v>X</v>
      </c>
      <c r="L5730" s="1" t="str">
        <f t="shared" si="1256"/>
        <v>X</v>
      </c>
      <c r="M5730" s="1" t="str">
        <f t="shared" si="1256"/>
        <v>X</v>
      </c>
      <c r="N5730" t="s">
        <v>27</v>
      </c>
    </row>
    <row r="5731" spans="1:14" x14ac:dyDescent="0.25">
      <c r="A5731" t="s">
        <v>42</v>
      </c>
      <c r="B5731" t="s">
        <v>15</v>
      </c>
      <c r="C5731" t="s">
        <v>36</v>
      </c>
      <c r="D5731" t="s">
        <v>33</v>
      </c>
      <c r="E5731" t="s">
        <v>15</v>
      </c>
      <c r="F5731" t="s">
        <v>20</v>
      </c>
      <c r="G5731" s="2">
        <f>VALUE(196.27)</f>
        <v>196.27</v>
      </c>
      <c r="H5731" s="3">
        <f>VALUE(198.64)</f>
        <v>198.64</v>
      </c>
      <c r="I5731" s="4">
        <f>VALUE(2484)</f>
        <v>2484</v>
      </c>
      <c r="J5731" s="1">
        <f>VALUE(3390)</f>
        <v>3390</v>
      </c>
      <c r="K5731" s="1">
        <f>VALUE(3875)</f>
        <v>3875</v>
      </c>
      <c r="L5731" s="7">
        <f>VALUE(4583)</f>
        <v>4583</v>
      </c>
      <c r="M5731" s="8">
        <f>VALUE(6142)</f>
        <v>6142</v>
      </c>
      <c r="N5731" t="s">
        <v>25</v>
      </c>
    </row>
    <row r="5732" spans="1:14" x14ac:dyDescent="0.25">
      <c r="A5732" t="s">
        <v>42</v>
      </c>
      <c r="B5732" t="s">
        <v>15</v>
      </c>
      <c r="C5732" t="s">
        <v>36</v>
      </c>
      <c r="D5732" t="s">
        <v>33</v>
      </c>
      <c r="E5732" t="s">
        <v>21</v>
      </c>
      <c r="F5732" t="s">
        <v>15</v>
      </c>
      <c r="G5732" s="1" t="str">
        <f t="shared" ref="G5732:M5742" si="1257">"X"</f>
        <v>X</v>
      </c>
      <c r="H5732" s="1" t="str">
        <f t="shared" si="1257"/>
        <v>X</v>
      </c>
      <c r="I5732" s="1" t="str">
        <f t="shared" si="1257"/>
        <v>X</v>
      </c>
      <c r="J5732" s="1" t="str">
        <f t="shared" si="1257"/>
        <v>X</v>
      </c>
      <c r="K5732" s="1" t="str">
        <f t="shared" si="1257"/>
        <v>X</v>
      </c>
      <c r="L5732" s="1" t="str">
        <f t="shared" si="1257"/>
        <v>X</v>
      </c>
      <c r="M5732" s="1" t="str">
        <f t="shared" si="1257"/>
        <v>X</v>
      </c>
      <c r="N5732" t="s">
        <v>27</v>
      </c>
    </row>
    <row r="5733" spans="1:14" x14ac:dyDescent="0.25">
      <c r="A5733" t="s">
        <v>42</v>
      </c>
      <c r="B5733" t="s">
        <v>15</v>
      </c>
      <c r="C5733" t="s">
        <v>36</v>
      </c>
      <c r="D5733" t="s">
        <v>33</v>
      </c>
      <c r="E5733" t="s">
        <v>21</v>
      </c>
      <c r="F5733" t="s">
        <v>17</v>
      </c>
      <c r="G5733" s="1" t="str">
        <f t="shared" si="1257"/>
        <v>X</v>
      </c>
      <c r="H5733" s="1" t="str">
        <f t="shared" si="1257"/>
        <v>X</v>
      </c>
      <c r="I5733" s="1" t="str">
        <f t="shared" si="1257"/>
        <v>X</v>
      </c>
      <c r="J5733" s="1" t="str">
        <f t="shared" si="1257"/>
        <v>X</v>
      </c>
      <c r="K5733" s="1" t="str">
        <f t="shared" si="1257"/>
        <v>X</v>
      </c>
      <c r="L5733" s="1" t="str">
        <f t="shared" si="1257"/>
        <v>X</v>
      </c>
      <c r="M5733" s="1" t="str">
        <f t="shared" si="1257"/>
        <v>X</v>
      </c>
      <c r="N5733" t="s">
        <v>27</v>
      </c>
    </row>
    <row r="5734" spans="1:14" x14ac:dyDescent="0.25">
      <c r="A5734" t="s">
        <v>42</v>
      </c>
      <c r="B5734" t="s">
        <v>15</v>
      </c>
      <c r="C5734" t="s">
        <v>36</v>
      </c>
      <c r="D5734" t="s">
        <v>33</v>
      </c>
      <c r="E5734" t="s">
        <v>21</v>
      </c>
      <c r="F5734" t="s">
        <v>18</v>
      </c>
      <c r="G5734" s="1" t="str">
        <f t="shared" si="1257"/>
        <v>X</v>
      </c>
      <c r="H5734" s="1" t="str">
        <f t="shared" si="1257"/>
        <v>X</v>
      </c>
      <c r="I5734" s="1" t="str">
        <f t="shared" si="1257"/>
        <v>X</v>
      </c>
      <c r="J5734" s="1" t="str">
        <f t="shared" si="1257"/>
        <v>X</v>
      </c>
      <c r="K5734" s="1" t="str">
        <f t="shared" si="1257"/>
        <v>X</v>
      </c>
      <c r="L5734" s="1" t="str">
        <f t="shared" si="1257"/>
        <v>X</v>
      </c>
      <c r="M5734" s="1" t="str">
        <f t="shared" si="1257"/>
        <v>X</v>
      </c>
      <c r="N5734" t="s">
        <v>27</v>
      </c>
    </row>
    <row r="5735" spans="1:14" x14ac:dyDescent="0.25">
      <c r="A5735" t="s">
        <v>42</v>
      </c>
      <c r="B5735" t="s">
        <v>15</v>
      </c>
      <c r="C5735" t="s">
        <v>36</v>
      </c>
      <c r="D5735" t="s">
        <v>33</v>
      </c>
      <c r="E5735" t="s">
        <v>21</v>
      </c>
      <c r="F5735" t="s">
        <v>19</v>
      </c>
      <c r="G5735" s="1" t="str">
        <f t="shared" si="1257"/>
        <v>X</v>
      </c>
      <c r="H5735" s="1" t="str">
        <f t="shared" si="1257"/>
        <v>X</v>
      </c>
      <c r="I5735" s="1" t="str">
        <f t="shared" si="1257"/>
        <v>X</v>
      </c>
      <c r="J5735" s="1" t="str">
        <f t="shared" si="1257"/>
        <v>X</v>
      </c>
      <c r="K5735" s="1" t="str">
        <f t="shared" si="1257"/>
        <v>X</v>
      </c>
      <c r="L5735" s="1" t="str">
        <f t="shared" si="1257"/>
        <v>X</v>
      </c>
      <c r="M5735" s="1" t="str">
        <f t="shared" si="1257"/>
        <v>X</v>
      </c>
      <c r="N5735" t="s">
        <v>27</v>
      </c>
    </row>
    <row r="5736" spans="1:14" x14ac:dyDescent="0.25">
      <c r="A5736" t="s">
        <v>42</v>
      </c>
      <c r="B5736" t="s">
        <v>15</v>
      </c>
      <c r="C5736" t="s">
        <v>36</v>
      </c>
      <c r="D5736" t="s">
        <v>33</v>
      </c>
      <c r="E5736" t="s">
        <v>21</v>
      </c>
      <c r="F5736" t="s">
        <v>20</v>
      </c>
      <c r="G5736" s="1" t="str">
        <f t="shared" si="1257"/>
        <v>X</v>
      </c>
      <c r="H5736" s="1" t="str">
        <f t="shared" si="1257"/>
        <v>X</v>
      </c>
      <c r="I5736" s="1" t="str">
        <f t="shared" si="1257"/>
        <v>X</v>
      </c>
      <c r="J5736" s="1" t="str">
        <f t="shared" si="1257"/>
        <v>X</v>
      </c>
      <c r="K5736" s="1" t="str">
        <f t="shared" si="1257"/>
        <v>X</v>
      </c>
      <c r="L5736" s="1" t="str">
        <f t="shared" si="1257"/>
        <v>X</v>
      </c>
      <c r="M5736" s="1" t="str">
        <f t="shared" si="1257"/>
        <v>X</v>
      </c>
      <c r="N5736" t="s">
        <v>27</v>
      </c>
    </row>
    <row r="5737" spans="1:14" x14ac:dyDescent="0.25">
      <c r="A5737" t="s">
        <v>42</v>
      </c>
      <c r="B5737" t="s">
        <v>15</v>
      </c>
      <c r="C5737" t="s">
        <v>36</v>
      </c>
      <c r="D5737" t="s">
        <v>33</v>
      </c>
      <c r="E5737" t="s">
        <v>22</v>
      </c>
      <c r="F5737" t="s">
        <v>15</v>
      </c>
      <c r="G5737" s="1" t="str">
        <f t="shared" si="1257"/>
        <v>X</v>
      </c>
      <c r="H5737" s="1" t="str">
        <f t="shared" si="1257"/>
        <v>X</v>
      </c>
      <c r="I5737" s="1" t="str">
        <f t="shared" si="1257"/>
        <v>X</v>
      </c>
      <c r="J5737" s="1" t="str">
        <f t="shared" si="1257"/>
        <v>X</v>
      </c>
      <c r="K5737" s="1" t="str">
        <f t="shared" si="1257"/>
        <v>X</v>
      </c>
      <c r="L5737" s="1" t="str">
        <f t="shared" si="1257"/>
        <v>X</v>
      </c>
      <c r="M5737" s="1" t="str">
        <f t="shared" si="1257"/>
        <v>X</v>
      </c>
      <c r="N5737" t="s">
        <v>27</v>
      </c>
    </row>
    <row r="5738" spans="1:14" x14ac:dyDescent="0.25">
      <c r="A5738" t="s">
        <v>42</v>
      </c>
      <c r="B5738" t="s">
        <v>15</v>
      </c>
      <c r="C5738" t="s">
        <v>36</v>
      </c>
      <c r="D5738" t="s">
        <v>33</v>
      </c>
      <c r="E5738" t="s">
        <v>22</v>
      </c>
      <c r="F5738" t="s">
        <v>17</v>
      </c>
      <c r="G5738" s="1" t="str">
        <f t="shared" si="1257"/>
        <v>X</v>
      </c>
      <c r="H5738" s="1" t="str">
        <f t="shared" si="1257"/>
        <v>X</v>
      </c>
      <c r="I5738" s="1" t="str">
        <f t="shared" si="1257"/>
        <v>X</v>
      </c>
      <c r="J5738" s="1" t="str">
        <f t="shared" si="1257"/>
        <v>X</v>
      </c>
      <c r="K5738" s="1" t="str">
        <f t="shared" si="1257"/>
        <v>X</v>
      </c>
      <c r="L5738" s="1" t="str">
        <f t="shared" si="1257"/>
        <v>X</v>
      </c>
      <c r="M5738" s="1" t="str">
        <f t="shared" si="1257"/>
        <v>X</v>
      </c>
      <c r="N5738" t="s">
        <v>27</v>
      </c>
    </row>
    <row r="5739" spans="1:14" x14ac:dyDescent="0.25">
      <c r="A5739" t="s">
        <v>42</v>
      </c>
      <c r="B5739" t="s">
        <v>15</v>
      </c>
      <c r="C5739" t="s">
        <v>36</v>
      </c>
      <c r="D5739" t="s">
        <v>33</v>
      </c>
      <c r="E5739" t="s">
        <v>22</v>
      </c>
      <c r="F5739" t="s">
        <v>18</v>
      </c>
      <c r="G5739" s="1" t="str">
        <f t="shared" si="1257"/>
        <v>X</v>
      </c>
      <c r="H5739" s="1" t="str">
        <f t="shared" si="1257"/>
        <v>X</v>
      </c>
      <c r="I5739" s="1" t="str">
        <f t="shared" si="1257"/>
        <v>X</v>
      </c>
      <c r="J5739" s="1" t="str">
        <f t="shared" si="1257"/>
        <v>X</v>
      </c>
      <c r="K5739" s="1" t="str">
        <f t="shared" si="1257"/>
        <v>X</v>
      </c>
      <c r="L5739" s="1" t="str">
        <f t="shared" si="1257"/>
        <v>X</v>
      </c>
      <c r="M5739" s="1" t="str">
        <f t="shared" si="1257"/>
        <v>X</v>
      </c>
      <c r="N5739" t="s">
        <v>27</v>
      </c>
    </row>
    <row r="5740" spans="1:14" x14ac:dyDescent="0.25">
      <c r="A5740" t="s">
        <v>42</v>
      </c>
      <c r="B5740" t="s">
        <v>15</v>
      </c>
      <c r="C5740" t="s">
        <v>36</v>
      </c>
      <c r="D5740" t="s">
        <v>33</v>
      </c>
      <c r="E5740" t="s">
        <v>22</v>
      </c>
      <c r="F5740" t="s">
        <v>19</v>
      </c>
      <c r="G5740" s="1" t="str">
        <f t="shared" si="1257"/>
        <v>X</v>
      </c>
      <c r="H5740" s="1" t="str">
        <f t="shared" si="1257"/>
        <v>X</v>
      </c>
      <c r="I5740" s="1" t="str">
        <f t="shared" si="1257"/>
        <v>X</v>
      </c>
      <c r="J5740" s="1" t="str">
        <f t="shared" si="1257"/>
        <v>X</v>
      </c>
      <c r="K5740" s="1" t="str">
        <f t="shared" si="1257"/>
        <v>X</v>
      </c>
      <c r="L5740" s="1" t="str">
        <f t="shared" si="1257"/>
        <v>X</v>
      </c>
      <c r="M5740" s="1" t="str">
        <f t="shared" si="1257"/>
        <v>X</v>
      </c>
      <c r="N5740" t="s">
        <v>27</v>
      </c>
    </row>
    <row r="5741" spans="1:14" x14ac:dyDescent="0.25">
      <c r="A5741" t="s">
        <v>42</v>
      </c>
      <c r="B5741" t="s">
        <v>15</v>
      </c>
      <c r="C5741" t="s">
        <v>36</v>
      </c>
      <c r="D5741" t="s">
        <v>33</v>
      </c>
      <c r="E5741" t="s">
        <v>22</v>
      </c>
      <c r="F5741" t="s">
        <v>20</v>
      </c>
      <c r="G5741" s="1" t="str">
        <f t="shared" si="1257"/>
        <v>X</v>
      </c>
      <c r="H5741" s="1" t="str">
        <f t="shared" si="1257"/>
        <v>X</v>
      </c>
      <c r="I5741" s="1" t="str">
        <f t="shared" si="1257"/>
        <v>X</v>
      </c>
      <c r="J5741" s="1" t="str">
        <f t="shared" si="1257"/>
        <v>X</v>
      </c>
      <c r="K5741" s="1" t="str">
        <f t="shared" si="1257"/>
        <v>X</v>
      </c>
      <c r="L5741" s="1" t="str">
        <f t="shared" si="1257"/>
        <v>X</v>
      </c>
      <c r="M5741" s="1" t="str">
        <f t="shared" si="1257"/>
        <v>X</v>
      </c>
      <c r="N5741" t="s">
        <v>27</v>
      </c>
    </row>
    <row r="5742" spans="1:14" x14ac:dyDescent="0.25">
      <c r="A5742" t="s">
        <v>42</v>
      </c>
      <c r="B5742" t="s">
        <v>15</v>
      </c>
      <c r="C5742" t="s">
        <v>36</v>
      </c>
      <c r="D5742" t="s">
        <v>33</v>
      </c>
      <c r="E5742" t="s">
        <v>23</v>
      </c>
      <c r="F5742" t="s">
        <v>15</v>
      </c>
      <c r="G5742" s="1" t="str">
        <f t="shared" si="1257"/>
        <v>X</v>
      </c>
      <c r="H5742" s="1" t="str">
        <f t="shared" si="1257"/>
        <v>X</v>
      </c>
      <c r="I5742" s="1" t="str">
        <f t="shared" si="1257"/>
        <v>X</v>
      </c>
      <c r="J5742" s="1" t="str">
        <f t="shared" si="1257"/>
        <v>X</v>
      </c>
      <c r="K5742" s="1" t="str">
        <f t="shared" si="1257"/>
        <v>X</v>
      </c>
      <c r="L5742" s="1" t="str">
        <f t="shared" si="1257"/>
        <v>X</v>
      </c>
      <c r="M5742" s="1" t="str">
        <f t="shared" si="1257"/>
        <v>X</v>
      </c>
      <c r="N5742" t="s">
        <v>27</v>
      </c>
    </row>
    <row r="5743" spans="1:14" x14ac:dyDescent="0.25">
      <c r="A5743" t="s">
        <v>42</v>
      </c>
      <c r="B5743" t="s">
        <v>15</v>
      </c>
      <c r="C5743" t="s">
        <v>36</v>
      </c>
      <c r="D5743" t="s">
        <v>33</v>
      </c>
      <c r="E5743" t="s">
        <v>23</v>
      </c>
      <c r="F5743" t="s">
        <v>17</v>
      </c>
      <c r="G5743" s="1" t="str">
        <f t="shared" ref="G5743:M5744" si="1258">"..."</f>
        <v>...</v>
      </c>
      <c r="H5743" s="1" t="str">
        <f t="shared" si="1258"/>
        <v>...</v>
      </c>
      <c r="I5743" s="1" t="str">
        <f t="shared" si="1258"/>
        <v>...</v>
      </c>
      <c r="J5743" s="1" t="str">
        <f t="shared" si="1258"/>
        <v>...</v>
      </c>
      <c r="K5743" s="1" t="str">
        <f t="shared" si="1258"/>
        <v>...</v>
      </c>
      <c r="L5743" s="1" t="str">
        <f t="shared" si="1258"/>
        <v>...</v>
      </c>
      <c r="M5743" s="1" t="str">
        <f t="shared" si="1258"/>
        <v>...</v>
      </c>
      <c r="N5743" t="s">
        <v>30</v>
      </c>
    </row>
    <row r="5744" spans="1:14" x14ac:dyDescent="0.25">
      <c r="A5744" t="s">
        <v>42</v>
      </c>
      <c r="B5744" t="s">
        <v>15</v>
      </c>
      <c r="C5744" t="s">
        <v>36</v>
      </c>
      <c r="D5744" t="s">
        <v>33</v>
      </c>
      <c r="E5744" t="s">
        <v>23</v>
      </c>
      <c r="F5744" t="s">
        <v>18</v>
      </c>
      <c r="G5744" s="1" t="str">
        <f t="shared" si="1258"/>
        <v>...</v>
      </c>
      <c r="H5744" s="1" t="str">
        <f t="shared" si="1258"/>
        <v>...</v>
      </c>
      <c r="I5744" s="1" t="str">
        <f t="shared" si="1258"/>
        <v>...</v>
      </c>
      <c r="J5744" s="1" t="str">
        <f t="shared" si="1258"/>
        <v>...</v>
      </c>
      <c r="K5744" s="1" t="str">
        <f t="shared" si="1258"/>
        <v>...</v>
      </c>
      <c r="L5744" s="1" t="str">
        <f t="shared" si="1258"/>
        <v>...</v>
      </c>
      <c r="M5744" s="1" t="str">
        <f t="shared" si="1258"/>
        <v>...</v>
      </c>
      <c r="N5744" t="s">
        <v>30</v>
      </c>
    </row>
    <row r="5745" spans="1:14" x14ac:dyDescent="0.25">
      <c r="A5745" t="s">
        <v>42</v>
      </c>
      <c r="B5745" t="s">
        <v>15</v>
      </c>
      <c r="C5745" t="s">
        <v>36</v>
      </c>
      <c r="D5745" t="s">
        <v>33</v>
      </c>
      <c r="E5745" t="s">
        <v>23</v>
      </c>
      <c r="F5745" t="s">
        <v>19</v>
      </c>
      <c r="G5745" s="1" t="str">
        <f t="shared" ref="G5745:M5747" si="1259">"X"</f>
        <v>X</v>
      </c>
      <c r="H5745" s="1" t="str">
        <f t="shared" si="1259"/>
        <v>X</v>
      </c>
      <c r="I5745" s="1" t="str">
        <f t="shared" si="1259"/>
        <v>X</v>
      </c>
      <c r="J5745" s="1" t="str">
        <f t="shared" si="1259"/>
        <v>X</v>
      </c>
      <c r="K5745" s="1" t="str">
        <f t="shared" si="1259"/>
        <v>X</v>
      </c>
      <c r="L5745" s="1" t="str">
        <f t="shared" si="1259"/>
        <v>X</v>
      </c>
      <c r="M5745" s="1" t="str">
        <f t="shared" si="1259"/>
        <v>X</v>
      </c>
      <c r="N5745" t="s">
        <v>27</v>
      </c>
    </row>
    <row r="5746" spans="1:14" x14ac:dyDescent="0.25">
      <c r="A5746" t="s">
        <v>42</v>
      </c>
      <c r="B5746" t="s">
        <v>15</v>
      </c>
      <c r="C5746" t="s">
        <v>36</v>
      </c>
      <c r="D5746" t="s">
        <v>33</v>
      </c>
      <c r="E5746" t="s">
        <v>23</v>
      </c>
      <c r="F5746" t="s">
        <v>20</v>
      </c>
      <c r="G5746" s="1" t="str">
        <f t="shared" si="1259"/>
        <v>X</v>
      </c>
      <c r="H5746" s="1" t="str">
        <f t="shared" si="1259"/>
        <v>X</v>
      </c>
      <c r="I5746" s="1" t="str">
        <f t="shared" si="1259"/>
        <v>X</v>
      </c>
      <c r="J5746" s="1" t="str">
        <f t="shared" si="1259"/>
        <v>X</v>
      </c>
      <c r="K5746" s="1" t="str">
        <f t="shared" si="1259"/>
        <v>X</v>
      </c>
      <c r="L5746" s="1" t="str">
        <f t="shared" si="1259"/>
        <v>X</v>
      </c>
      <c r="M5746" s="1" t="str">
        <f t="shared" si="1259"/>
        <v>X</v>
      </c>
      <c r="N5746" t="s">
        <v>27</v>
      </c>
    </row>
    <row r="5747" spans="1:14" x14ac:dyDescent="0.25">
      <c r="A5747" t="s">
        <v>42</v>
      </c>
      <c r="B5747" t="s">
        <v>15</v>
      </c>
      <c r="C5747" t="s">
        <v>36</v>
      </c>
      <c r="D5747" t="s">
        <v>33</v>
      </c>
      <c r="E5747" t="s">
        <v>26</v>
      </c>
      <c r="F5747" t="s">
        <v>15</v>
      </c>
      <c r="G5747" s="1" t="str">
        <f t="shared" si="1259"/>
        <v>X</v>
      </c>
      <c r="H5747" s="1" t="str">
        <f t="shared" si="1259"/>
        <v>X</v>
      </c>
      <c r="I5747" s="1" t="str">
        <f t="shared" si="1259"/>
        <v>X</v>
      </c>
      <c r="J5747" s="1" t="str">
        <f t="shared" si="1259"/>
        <v>X</v>
      </c>
      <c r="K5747" s="1" t="str">
        <f t="shared" si="1259"/>
        <v>X</v>
      </c>
      <c r="L5747" s="1" t="str">
        <f t="shared" si="1259"/>
        <v>X</v>
      </c>
      <c r="M5747" s="1" t="str">
        <f t="shared" si="1259"/>
        <v>X</v>
      </c>
      <c r="N5747" t="s">
        <v>27</v>
      </c>
    </row>
    <row r="5748" spans="1:14" x14ac:dyDescent="0.25">
      <c r="A5748" t="s">
        <v>42</v>
      </c>
      <c r="B5748" t="s">
        <v>15</v>
      </c>
      <c r="C5748" t="s">
        <v>36</v>
      </c>
      <c r="D5748" t="s">
        <v>33</v>
      </c>
      <c r="E5748" t="s">
        <v>26</v>
      </c>
      <c r="F5748" t="s">
        <v>17</v>
      </c>
      <c r="G5748" s="1" t="str">
        <f t="shared" ref="G5748:M5748" si="1260">"..."</f>
        <v>...</v>
      </c>
      <c r="H5748" s="1" t="str">
        <f t="shared" si="1260"/>
        <v>...</v>
      </c>
      <c r="I5748" s="1" t="str">
        <f t="shared" si="1260"/>
        <v>...</v>
      </c>
      <c r="J5748" s="1" t="str">
        <f t="shared" si="1260"/>
        <v>...</v>
      </c>
      <c r="K5748" s="1" t="str">
        <f t="shared" si="1260"/>
        <v>...</v>
      </c>
      <c r="L5748" s="1" t="str">
        <f t="shared" si="1260"/>
        <v>...</v>
      </c>
      <c r="M5748" s="1" t="str">
        <f t="shared" si="1260"/>
        <v>...</v>
      </c>
      <c r="N5748" t="s">
        <v>30</v>
      </c>
    </row>
    <row r="5749" spans="1:14" x14ac:dyDescent="0.25">
      <c r="A5749" t="s">
        <v>42</v>
      </c>
      <c r="B5749" t="s">
        <v>15</v>
      </c>
      <c r="C5749" t="s">
        <v>36</v>
      </c>
      <c r="D5749" t="s">
        <v>33</v>
      </c>
      <c r="E5749" t="s">
        <v>26</v>
      </c>
      <c r="F5749" t="s">
        <v>18</v>
      </c>
      <c r="G5749" s="1" t="str">
        <f t="shared" ref="G5749:M5749" si="1261">"X"</f>
        <v>X</v>
      </c>
      <c r="H5749" s="1" t="str">
        <f t="shared" si="1261"/>
        <v>X</v>
      </c>
      <c r="I5749" s="1" t="str">
        <f t="shared" si="1261"/>
        <v>X</v>
      </c>
      <c r="J5749" s="1" t="str">
        <f t="shared" si="1261"/>
        <v>X</v>
      </c>
      <c r="K5749" s="1" t="str">
        <f t="shared" si="1261"/>
        <v>X</v>
      </c>
      <c r="L5749" s="1" t="str">
        <f t="shared" si="1261"/>
        <v>X</v>
      </c>
      <c r="M5749" s="1" t="str">
        <f t="shared" si="1261"/>
        <v>X</v>
      </c>
      <c r="N5749" t="s">
        <v>27</v>
      </c>
    </row>
    <row r="5750" spans="1:14" x14ac:dyDescent="0.25">
      <c r="A5750" t="s">
        <v>42</v>
      </c>
      <c r="B5750" t="s">
        <v>15</v>
      </c>
      <c r="C5750" t="s">
        <v>36</v>
      </c>
      <c r="D5750" t="s">
        <v>33</v>
      </c>
      <c r="E5750" t="s">
        <v>26</v>
      </c>
      <c r="F5750" t="s">
        <v>19</v>
      </c>
      <c r="G5750" s="1" t="str">
        <f t="shared" ref="G5750:M5750" si="1262">"..."</f>
        <v>...</v>
      </c>
      <c r="H5750" s="1" t="str">
        <f t="shared" si="1262"/>
        <v>...</v>
      </c>
      <c r="I5750" s="1" t="str">
        <f t="shared" si="1262"/>
        <v>...</v>
      </c>
      <c r="J5750" s="1" t="str">
        <f t="shared" si="1262"/>
        <v>...</v>
      </c>
      <c r="K5750" s="1" t="str">
        <f t="shared" si="1262"/>
        <v>...</v>
      </c>
      <c r="L5750" s="1" t="str">
        <f t="shared" si="1262"/>
        <v>...</v>
      </c>
      <c r="M5750" s="1" t="str">
        <f t="shared" si="1262"/>
        <v>...</v>
      </c>
      <c r="N5750" t="s">
        <v>30</v>
      </c>
    </row>
    <row r="5751" spans="1:14" x14ac:dyDescent="0.25">
      <c r="A5751" t="s">
        <v>42</v>
      </c>
      <c r="B5751" t="s">
        <v>15</v>
      </c>
      <c r="C5751" t="s">
        <v>36</v>
      </c>
      <c r="D5751" t="s">
        <v>33</v>
      </c>
      <c r="E5751" t="s">
        <v>26</v>
      </c>
      <c r="F5751" t="s">
        <v>20</v>
      </c>
      <c r="G5751" s="1" t="str">
        <f t="shared" ref="G5751:M5752" si="1263">"X"</f>
        <v>X</v>
      </c>
      <c r="H5751" s="1" t="str">
        <f t="shared" si="1263"/>
        <v>X</v>
      </c>
      <c r="I5751" s="1" t="str">
        <f t="shared" si="1263"/>
        <v>X</v>
      </c>
      <c r="J5751" s="1" t="str">
        <f t="shared" si="1263"/>
        <v>X</v>
      </c>
      <c r="K5751" s="1" t="str">
        <f t="shared" si="1263"/>
        <v>X</v>
      </c>
      <c r="L5751" s="1" t="str">
        <f t="shared" si="1263"/>
        <v>X</v>
      </c>
      <c r="M5751" s="1" t="str">
        <f t="shared" si="1263"/>
        <v>X</v>
      </c>
      <c r="N5751" t="s">
        <v>27</v>
      </c>
    </row>
    <row r="5752" spans="1:14" x14ac:dyDescent="0.25">
      <c r="A5752" t="s">
        <v>42</v>
      </c>
      <c r="B5752" t="s">
        <v>15</v>
      </c>
      <c r="C5752" t="s">
        <v>36</v>
      </c>
      <c r="D5752" t="s">
        <v>34</v>
      </c>
      <c r="E5752" t="s">
        <v>15</v>
      </c>
      <c r="F5752" t="s">
        <v>15</v>
      </c>
      <c r="G5752" s="1" t="str">
        <f t="shared" si="1263"/>
        <v>X</v>
      </c>
      <c r="H5752" s="1" t="str">
        <f t="shared" si="1263"/>
        <v>X</v>
      </c>
      <c r="I5752" s="1" t="str">
        <f t="shared" si="1263"/>
        <v>X</v>
      </c>
      <c r="J5752" s="1" t="str">
        <f t="shared" si="1263"/>
        <v>X</v>
      </c>
      <c r="K5752" s="1" t="str">
        <f t="shared" si="1263"/>
        <v>X</v>
      </c>
      <c r="L5752" s="1" t="str">
        <f t="shared" si="1263"/>
        <v>X</v>
      </c>
      <c r="M5752" s="1" t="str">
        <f t="shared" si="1263"/>
        <v>X</v>
      </c>
      <c r="N5752" t="s">
        <v>27</v>
      </c>
    </row>
    <row r="5753" spans="1:14" x14ac:dyDescent="0.25">
      <c r="A5753" t="s">
        <v>42</v>
      </c>
      <c r="B5753" t="s">
        <v>15</v>
      </c>
      <c r="C5753" t="s">
        <v>36</v>
      </c>
      <c r="D5753" t="s">
        <v>34</v>
      </c>
      <c r="E5753" t="s">
        <v>15</v>
      </c>
      <c r="F5753" t="s">
        <v>17</v>
      </c>
      <c r="G5753" s="1" t="str">
        <f t="shared" ref="G5753:M5755" si="1264">"..."</f>
        <v>...</v>
      </c>
      <c r="H5753" s="1" t="str">
        <f t="shared" si="1264"/>
        <v>...</v>
      </c>
      <c r="I5753" s="1" t="str">
        <f t="shared" si="1264"/>
        <v>...</v>
      </c>
      <c r="J5753" s="1" t="str">
        <f t="shared" si="1264"/>
        <v>...</v>
      </c>
      <c r="K5753" s="1" t="str">
        <f t="shared" si="1264"/>
        <v>...</v>
      </c>
      <c r="L5753" s="1" t="str">
        <f t="shared" si="1264"/>
        <v>...</v>
      </c>
      <c r="M5753" s="1" t="str">
        <f t="shared" si="1264"/>
        <v>...</v>
      </c>
      <c r="N5753" t="s">
        <v>30</v>
      </c>
    </row>
    <row r="5754" spans="1:14" x14ac:dyDescent="0.25">
      <c r="A5754" t="s">
        <v>42</v>
      </c>
      <c r="B5754" t="s">
        <v>15</v>
      </c>
      <c r="C5754" t="s">
        <v>36</v>
      </c>
      <c r="D5754" t="s">
        <v>34</v>
      </c>
      <c r="E5754" t="s">
        <v>15</v>
      </c>
      <c r="F5754" t="s">
        <v>18</v>
      </c>
      <c r="G5754" s="1" t="str">
        <f t="shared" si="1264"/>
        <v>...</v>
      </c>
      <c r="H5754" s="1" t="str">
        <f t="shared" si="1264"/>
        <v>...</v>
      </c>
      <c r="I5754" s="1" t="str">
        <f t="shared" si="1264"/>
        <v>...</v>
      </c>
      <c r="J5754" s="1" t="str">
        <f t="shared" si="1264"/>
        <v>...</v>
      </c>
      <c r="K5754" s="1" t="str">
        <f t="shared" si="1264"/>
        <v>...</v>
      </c>
      <c r="L5754" s="1" t="str">
        <f t="shared" si="1264"/>
        <v>...</v>
      </c>
      <c r="M5754" s="1" t="str">
        <f t="shared" si="1264"/>
        <v>...</v>
      </c>
      <c r="N5754" t="s">
        <v>30</v>
      </c>
    </row>
    <row r="5755" spans="1:14" x14ac:dyDescent="0.25">
      <c r="A5755" t="s">
        <v>42</v>
      </c>
      <c r="B5755" t="s">
        <v>15</v>
      </c>
      <c r="C5755" t="s">
        <v>36</v>
      </c>
      <c r="D5755" t="s">
        <v>34</v>
      </c>
      <c r="E5755" t="s">
        <v>15</v>
      </c>
      <c r="F5755" t="s">
        <v>19</v>
      </c>
      <c r="G5755" s="1" t="str">
        <f t="shared" si="1264"/>
        <v>...</v>
      </c>
      <c r="H5755" s="1" t="str">
        <f t="shared" si="1264"/>
        <v>...</v>
      </c>
      <c r="I5755" s="1" t="str">
        <f t="shared" si="1264"/>
        <v>...</v>
      </c>
      <c r="J5755" s="1" t="str">
        <f t="shared" si="1264"/>
        <v>...</v>
      </c>
      <c r="K5755" s="1" t="str">
        <f t="shared" si="1264"/>
        <v>...</v>
      </c>
      <c r="L5755" s="1" t="str">
        <f t="shared" si="1264"/>
        <v>...</v>
      </c>
      <c r="M5755" s="1" t="str">
        <f t="shared" si="1264"/>
        <v>...</v>
      </c>
      <c r="N5755" t="s">
        <v>30</v>
      </c>
    </row>
    <row r="5756" spans="1:14" x14ac:dyDescent="0.25">
      <c r="A5756" t="s">
        <v>42</v>
      </c>
      <c r="B5756" t="s">
        <v>15</v>
      </c>
      <c r="C5756" t="s">
        <v>36</v>
      </c>
      <c r="D5756" t="s">
        <v>34</v>
      </c>
      <c r="E5756" t="s">
        <v>15</v>
      </c>
      <c r="F5756" t="s">
        <v>20</v>
      </c>
      <c r="G5756" s="1" t="str">
        <f t="shared" ref="G5756:M5756" si="1265">"X"</f>
        <v>X</v>
      </c>
      <c r="H5756" s="1" t="str">
        <f t="shared" si="1265"/>
        <v>X</v>
      </c>
      <c r="I5756" s="1" t="str">
        <f t="shared" si="1265"/>
        <v>X</v>
      </c>
      <c r="J5756" s="1" t="str">
        <f t="shared" si="1265"/>
        <v>X</v>
      </c>
      <c r="K5756" s="1" t="str">
        <f t="shared" si="1265"/>
        <v>X</v>
      </c>
      <c r="L5756" s="1" t="str">
        <f t="shared" si="1265"/>
        <v>X</v>
      </c>
      <c r="M5756" s="1" t="str">
        <f t="shared" si="1265"/>
        <v>X</v>
      </c>
      <c r="N5756" t="s">
        <v>27</v>
      </c>
    </row>
    <row r="5757" spans="1:14" x14ac:dyDescent="0.25">
      <c r="A5757" t="s">
        <v>42</v>
      </c>
      <c r="B5757" t="s">
        <v>15</v>
      </c>
      <c r="C5757" t="s">
        <v>36</v>
      </c>
      <c r="D5757" t="s">
        <v>34</v>
      </c>
      <c r="E5757" t="s">
        <v>21</v>
      </c>
      <c r="F5757" t="s">
        <v>15</v>
      </c>
      <c r="G5757" s="1" t="str">
        <f t="shared" ref="G5757:M5761" si="1266">"..."</f>
        <v>...</v>
      </c>
      <c r="H5757" s="1" t="str">
        <f t="shared" si="1266"/>
        <v>...</v>
      </c>
      <c r="I5757" s="1" t="str">
        <f t="shared" si="1266"/>
        <v>...</v>
      </c>
      <c r="J5757" s="1" t="str">
        <f t="shared" si="1266"/>
        <v>...</v>
      </c>
      <c r="K5757" s="1" t="str">
        <f t="shared" si="1266"/>
        <v>...</v>
      </c>
      <c r="L5757" s="1" t="str">
        <f t="shared" si="1266"/>
        <v>...</v>
      </c>
      <c r="M5757" s="1" t="str">
        <f t="shared" si="1266"/>
        <v>...</v>
      </c>
      <c r="N5757" t="s">
        <v>30</v>
      </c>
    </row>
    <row r="5758" spans="1:14" x14ac:dyDescent="0.25">
      <c r="A5758" t="s">
        <v>42</v>
      </c>
      <c r="B5758" t="s">
        <v>15</v>
      </c>
      <c r="C5758" t="s">
        <v>36</v>
      </c>
      <c r="D5758" t="s">
        <v>34</v>
      </c>
      <c r="E5758" t="s">
        <v>21</v>
      </c>
      <c r="F5758" t="s">
        <v>17</v>
      </c>
      <c r="G5758" s="1" t="str">
        <f t="shared" si="1266"/>
        <v>...</v>
      </c>
      <c r="H5758" s="1" t="str">
        <f t="shared" si="1266"/>
        <v>...</v>
      </c>
      <c r="I5758" s="1" t="str">
        <f t="shared" si="1266"/>
        <v>...</v>
      </c>
      <c r="J5758" s="1" t="str">
        <f t="shared" si="1266"/>
        <v>...</v>
      </c>
      <c r="K5758" s="1" t="str">
        <f t="shared" si="1266"/>
        <v>...</v>
      </c>
      <c r="L5758" s="1" t="str">
        <f t="shared" si="1266"/>
        <v>...</v>
      </c>
      <c r="M5758" s="1" t="str">
        <f t="shared" si="1266"/>
        <v>...</v>
      </c>
      <c r="N5758" t="s">
        <v>30</v>
      </c>
    </row>
    <row r="5759" spans="1:14" x14ac:dyDescent="0.25">
      <c r="A5759" t="s">
        <v>42</v>
      </c>
      <c r="B5759" t="s">
        <v>15</v>
      </c>
      <c r="C5759" t="s">
        <v>36</v>
      </c>
      <c r="D5759" t="s">
        <v>34</v>
      </c>
      <c r="E5759" t="s">
        <v>21</v>
      </c>
      <c r="F5759" t="s">
        <v>18</v>
      </c>
      <c r="G5759" s="1" t="str">
        <f t="shared" si="1266"/>
        <v>...</v>
      </c>
      <c r="H5759" s="1" t="str">
        <f t="shared" si="1266"/>
        <v>...</v>
      </c>
      <c r="I5759" s="1" t="str">
        <f t="shared" si="1266"/>
        <v>...</v>
      </c>
      <c r="J5759" s="1" t="str">
        <f t="shared" si="1266"/>
        <v>...</v>
      </c>
      <c r="K5759" s="1" t="str">
        <f t="shared" si="1266"/>
        <v>...</v>
      </c>
      <c r="L5759" s="1" t="str">
        <f t="shared" si="1266"/>
        <v>...</v>
      </c>
      <c r="M5759" s="1" t="str">
        <f t="shared" si="1266"/>
        <v>...</v>
      </c>
      <c r="N5759" t="s">
        <v>30</v>
      </c>
    </row>
    <row r="5760" spans="1:14" x14ac:dyDescent="0.25">
      <c r="A5760" t="s">
        <v>42</v>
      </c>
      <c r="B5760" t="s">
        <v>15</v>
      </c>
      <c r="C5760" t="s">
        <v>36</v>
      </c>
      <c r="D5760" t="s">
        <v>34</v>
      </c>
      <c r="E5760" t="s">
        <v>21</v>
      </c>
      <c r="F5760" t="s">
        <v>19</v>
      </c>
      <c r="G5760" s="1" t="str">
        <f t="shared" si="1266"/>
        <v>...</v>
      </c>
      <c r="H5760" s="1" t="str">
        <f t="shared" si="1266"/>
        <v>...</v>
      </c>
      <c r="I5760" s="1" t="str">
        <f t="shared" si="1266"/>
        <v>...</v>
      </c>
      <c r="J5760" s="1" t="str">
        <f t="shared" si="1266"/>
        <v>...</v>
      </c>
      <c r="K5760" s="1" t="str">
        <f t="shared" si="1266"/>
        <v>...</v>
      </c>
      <c r="L5760" s="1" t="str">
        <f t="shared" si="1266"/>
        <v>...</v>
      </c>
      <c r="M5760" s="1" t="str">
        <f t="shared" si="1266"/>
        <v>...</v>
      </c>
      <c r="N5760" t="s">
        <v>30</v>
      </c>
    </row>
    <row r="5761" spans="1:14" x14ac:dyDescent="0.25">
      <c r="A5761" t="s">
        <v>42</v>
      </c>
      <c r="B5761" t="s">
        <v>15</v>
      </c>
      <c r="C5761" t="s">
        <v>36</v>
      </c>
      <c r="D5761" t="s">
        <v>34</v>
      </c>
      <c r="E5761" t="s">
        <v>21</v>
      </c>
      <c r="F5761" t="s">
        <v>20</v>
      </c>
      <c r="G5761" s="1" t="str">
        <f t="shared" si="1266"/>
        <v>...</v>
      </c>
      <c r="H5761" s="1" t="str">
        <f t="shared" si="1266"/>
        <v>...</v>
      </c>
      <c r="I5761" s="1" t="str">
        <f t="shared" si="1266"/>
        <v>...</v>
      </c>
      <c r="J5761" s="1" t="str">
        <f t="shared" si="1266"/>
        <v>...</v>
      </c>
      <c r="K5761" s="1" t="str">
        <f t="shared" si="1266"/>
        <v>...</v>
      </c>
      <c r="L5761" s="1" t="str">
        <f t="shared" si="1266"/>
        <v>...</v>
      </c>
      <c r="M5761" s="1" t="str">
        <f t="shared" si="1266"/>
        <v>...</v>
      </c>
      <c r="N5761" t="s">
        <v>30</v>
      </c>
    </row>
    <row r="5762" spans="1:14" x14ac:dyDescent="0.25">
      <c r="A5762" t="s">
        <v>42</v>
      </c>
      <c r="B5762" t="s">
        <v>15</v>
      </c>
      <c r="C5762" t="s">
        <v>36</v>
      </c>
      <c r="D5762" t="s">
        <v>34</v>
      </c>
      <c r="E5762" t="s">
        <v>22</v>
      </c>
      <c r="F5762" t="s">
        <v>15</v>
      </c>
      <c r="G5762" s="1" t="str">
        <f t="shared" ref="G5762:M5762" si="1267">"X"</f>
        <v>X</v>
      </c>
      <c r="H5762" s="1" t="str">
        <f t="shared" si="1267"/>
        <v>X</v>
      </c>
      <c r="I5762" s="1" t="str">
        <f t="shared" si="1267"/>
        <v>X</v>
      </c>
      <c r="J5762" s="1" t="str">
        <f t="shared" si="1267"/>
        <v>X</v>
      </c>
      <c r="K5762" s="1" t="str">
        <f t="shared" si="1267"/>
        <v>X</v>
      </c>
      <c r="L5762" s="1" t="str">
        <f t="shared" si="1267"/>
        <v>X</v>
      </c>
      <c r="M5762" s="1" t="str">
        <f t="shared" si="1267"/>
        <v>X</v>
      </c>
      <c r="N5762" t="s">
        <v>27</v>
      </c>
    </row>
    <row r="5763" spans="1:14" x14ac:dyDescent="0.25">
      <c r="A5763" t="s">
        <v>42</v>
      </c>
      <c r="B5763" t="s">
        <v>15</v>
      </c>
      <c r="C5763" t="s">
        <v>36</v>
      </c>
      <c r="D5763" t="s">
        <v>34</v>
      </c>
      <c r="E5763" t="s">
        <v>22</v>
      </c>
      <c r="F5763" t="s">
        <v>17</v>
      </c>
      <c r="G5763" s="1" t="str">
        <f t="shared" ref="G5763:M5765" si="1268">"..."</f>
        <v>...</v>
      </c>
      <c r="H5763" s="1" t="str">
        <f t="shared" si="1268"/>
        <v>...</v>
      </c>
      <c r="I5763" s="1" t="str">
        <f t="shared" si="1268"/>
        <v>...</v>
      </c>
      <c r="J5763" s="1" t="str">
        <f t="shared" si="1268"/>
        <v>...</v>
      </c>
      <c r="K5763" s="1" t="str">
        <f t="shared" si="1268"/>
        <v>...</v>
      </c>
      <c r="L5763" s="1" t="str">
        <f t="shared" si="1268"/>
        <v>...</v>
      </c>
      <c r="M5763" s="1" t="str">
        <f t="shared" si="1268"/>
        <v>...</v>
      </c>
      <c r="N5763" t="s">
        <v>30</v>
      </c>
    </row>
    <row r="5764" spans="1:14" x14ac:dyDescent="0.25">
      <c r="A5764" t="s">
        <v>42</v>
      </c>
      <c r="B5764" t="s">
        <v>15</v>
      </c>
      <c r="C5764" t="s">
        <v>36</v>
      </c>
      <c r="D5764" t="s">
        <v>34</v>
      </c>
      <c r="E5764" t="s">
        <v>22</v>
      </c>
      <c r="F5764" t="s">
        <v>18</v>
      </c>
      <c r="G5764" s="1" t="str">
        <f t="shared" si="1268"/>
        <v>...</v>
      </c>
      <c r="H5764" s="1" t="str">
        <f t="shared" si="1268"/>
        <v>...</v>
      </c>
      <c r="I5764" s="1" t="str">
        <f t="shared" si="1268"/>
        <v>...</v>
      </c>
      <c r="J5764" s="1" t="str">
        <f t="shared" si="1268"/>
        <v>...</v>
      </c>
      <c r="K5764" s="1" t="str">
        <f t="shared" si="1268"/>
        <v>...</v>
      </c>
      <c r="L5764" s="1" t="str">
        <f t="shared" si="1268"/>
        <v>...</v>
      </c>
      <c r="M5764" s="1" t="str">
        <f t="shared" si="1268"/>
        <v>...</v>
      </c>
      <c r="N5764" t="s">
        <v>30</v>
      </c>
    </row>
    <row r="5765" spans="1:14" x14ac:dyDescent="0.25">
      <c r="A5765" t="s">
        <v>42</v>
      </c>
      <c r="B5765" t="s">
        <v>15</v>
      </c>
      <c r="C5765" t="s">
        <v>36</v>
      </c>
      <c r="D5765" t="s">
        <v>34</v>
      </c>
      <c r="E5765" t="s">
        <v>22</v>
      </c>
      <c r="F5765" t="s">
        <v>19</v>
      </c>
      <c r="G5765" s="1" t="str">
        <f t="shared" si="1268"/>
        <v>...</v>
      </c>
      <c r="H5765" s="1" t="str">
        <f t="shared" si="1268"/>
        <v>...</v>
      </c>
      <c r="I5765" s="1" t="str">
        <f t="shared" si="1268"/>
        <v>...</v>
      </c>
      <c r="J5765" s="1" t="str">
        <f t="shared" si="1268"/>
        <v>...</v>
      </c>
      <c r="K5765" s="1" t="str">
        <f t="shared" si="1268"/>
        <v>...</v>
      </c>
      <c r="L5765" s="1" t="str">
        <f t="shared" si="1268"/>
        <v>...</v>
      </c>
      <c r="M5765" s="1" t="str">
        <f t="shared" si="1268"/>
        <v>...</v>
      </c>
      <c r="N5765" t="s">
        <v>30</v>
      </c>
    </row>
    <row r="5766" spans="1:14" x14ac:dyDescent="0.25">
      <c r="A5766" t="s">
        <v>42</v>
      </c>
      <c r="B5766" t="s">
        <v>15</v>
      </c>
      <c r="C5766" t="s">
        <v>36</v>
      </c>
      <c r="D5766" t="s">
        <v>34</v>
      </c>
      <c r="E5766" t="s">
        <v>22</v>
      </c>
      <c r="F5766" t="s">
        <v>20</v>
      </c>
      <c r="G5766" s="1" t="str">
        <f t="shared" ref="G5766:M5767" si="1269">"X"</f>
        <v>X</v>
      </c>
      <c r="H5766" s="1" t="str">
        <f t="shared" si="1269"/>
        <v>X</v>
      </c>
      <c r="I5766" s="1" t="str">
        <f t="shared" si="1269"/>
        <v>X</v>
      </c>
      <c r="J5766" s="1" t="str">
        <f t="shared" si="1269"/>
        <v>X</v>
      </c>
      <c r="K5766" s="1" t="str">
        <f t="shared" si="1269"/>
        <v>X</v>
      </c>
      <c r="L5766" s="1" t="str">
        <f t="shared" si="1269"/>
        <v>X</v>
      </c>
      <c r="M5766" s="1" t="str">
        <f t="shared" si="1269"/>
        <v>X</v>
      </c>
      <c r="N5766" t="s">
        <v>27</v>
      </c>
    </row>
    <row r="5767" spans="1:14" x14ac:dyDescent="0.25">
      <c r="A5767" t="s">
        <v>42</v>
      </c>
      <c r="B5767" t="s">
        <v>15</v>
      </c>
      <c r="C5767" t="s">
        <v>36</v>
      </c>
      <c r="D5767" t="s">
        <v>34</v>
      </c>
      <c r="E5767" t="s">
        <v>23</v>
      </c>
      <c r="F5767" t="s">
        <v>15</v>
      </c>
      <c r="G5767" s="1" t="str">
        <f t="shared" si="1269"/>
        <v>X</v>
      </c>
      <c r="H5767" s="1" t="str">
        <f t="shared" si="1269"/>
        <v>X</v>
      </c>
      <c r="I5767" s="1" t="str">
        <f t="shared" si="1269"/>
        <v>X</v>
      </c>
      <c r="J5767" s="1" t="str">
        <f t="shared" si="1269"/>
        <v>X</v>
      </c>
      <c r="K5767" s="1" t="str">
        <f t="shared" si="1269"/>
        <v>X</v>
      </c>
      <c r="L5767" s="1" t="str">
        <f t="shared" si="1269"/>
        <v>X</v>
      </c>
      <c r="M5767" s="1" t="str">
        <f t="shared" si="1269"/>
        <v>X</v>
      </c>
      <c r="N5767" t="s">
        <v>27</v>
      </c>
    </row>
    <row r="5768" spans="1:14" x14ac:dyDescent="0.25">
      <c r="A5768" t="s">
        <v>42</v>
      </c>
      <c r="B5768" t="s">
        <v>15</v>
      </c>
      <c r="C5768" t="s">
        <v>36</v>
      </c>
      <c r="D5768" t="s">
        <v>34</v>
      </c>
      <c r="E5768" t="s">
        <v>23</v>
      </c>
      <c r="F5768" t="s">
        <v>17</v>
      </c>
      <c r="G5768" s="1" t="str">
        <f t="shared" ref="G5768:M5770" si="1270">"..."</f>
        <v>...</v>
      </c>
      <c r="H5768" s="1" t="str">
        <f t="shared" si="1270"/>
        <v>...</v>
      </c>
      <c r="I5768" s="1" t="str">
        <f t="shared" si="1270"/>
        <v>...</v>
      </c>
      <c r="J5768" s="1" t="str">
        <f t="shared" si="1270"/>
        <v>...</v>
      </c>
      <c r="K5768" s="1" t="str">
        <f t="shared" si="1270"/>
        <v>...</v>
      </c>
      <c r="L5768" s="1" t="str">
        <f t="shared" si="1270"/>
        <v>...</v>
      </c>
      <c r="M5768" s="1" t="str">
        <f t="shared" si="1270"/>
        <v>...</v>
      </c>
      <c r="N5768" t="s">
        <v>30</v>
      </c>
    </row>
    <row r="5769" spans="1:14" x14ac:dyDescent="0.25">
      <c r="A5769" t="s">
        <v>42</v>
      </c>
      <c r="B5769" t="s">
        <v>15</v>
      </c>
      <c r="C5769" t="s">
        <v>36</v>
      </c>
      <c r="D5769" t="s">
        <v>34</v>
      </c>
      <c r="E5769" t="s">
        <v>23</v>
      </c>
      <c r="F5769" t="s">
        <v>18</v>
      </c>
      <c r="G5769" s="1" t="str">
        <f t="shared" si="1270"/>
        <v>...</v>
      </c>
      <c r="H5769" s="1" t="str">
        <f t="shared" si="1270"/>
        <v>...</v>
      </c>
      <c r="I5769" s="1" t="str">
        <f t="shared" si="1270"/>
        <v>...</v>
      </c>
      <c r="J5769" s="1" t="str">
        <f t="shared" si="1270"/>
        <v>...</v>
      </c>
      <c r="K5769" s="1" t="str">
        <f t="shared" si="1270"/>
        <v>...</v>
      </c>
      <c r="L5769" s="1" t="str">
        <f t="shared" si="1270"/>
        <v>...</v>
      </c>
      <c r="M5769" s="1" t="str">
        <f t="shared" si="1270"/>
        <v>...</v>
      </c>
      <c r="N5769" t="s">
        <v>30</v>
      </c>
    </row>
    <row r="5770" spans="1:14" x14ac:dyDescent="0.25">
      <c r="A5770" t="s">
        <v>42</v>
      </c>
      <c r="B5770" t="s">
        <v>15</v>
      </c>
      <c r="C5770" t="s">
        <v>36</v>
      </c>
      <c r="D5770" t="s">
        <v>34</v>
      </c>
      <c r="E5770" t="s">
        <v>23</v>
      </c>
      <c r="F5770" t="s">
        <v>19</v>
      </c>
      <c r="G5770" s="1" t="str">
        <f t="shared" si="1270"/>
        <v>...</v>
      </c>
      <c r="H5770" s="1" t="str">
        <f t="shared" si="1270"/>
        <v>...</v>
      </c>
      <c r="I5770" s="1" t="str">
        <f t="shared" si="1270"/>
        <v>...</v>
      </c>
      <c r="J5770" s="1" t="str">
        <f t="shared" si="1270"/>
        <v>...</v>
      </c>
      <c r="K5770" s="1" t="str">
        <f t="shared" si="1270"/>
        <v>...</v>
      </c>
      <c r="L5770" s="1" t="str">
        <f t="shared" si="1270"/>
        <v>...</v>
      </c>
      <c r="M5770" s="1" t="str">
        <f t="shared" si="1270"/>
        <v>...</v>
      </c>
      <c r="N5770" t="s">
        <v>30</v>
      </c>
    </row>
    <row r="5771" spans="1:14" x14ac:dyDescent="0.25">
      <c r="A5771" t="s">
        <v>42</v>
      </c>
      <c r="B5771" t="s">
        <v>15</v>
      </c>
      <c r="C5771" t="s">
        <v>36</v>
      </c>
      <c r="D5771" t="s">
        <v>34</v>
      </c>
      <c r="E5771" t="s">
        <v>23</v>
      </c>
      <c r="F5771" t="s">
        <v>20</v>
      </c>
      <c r="G5771" s="1" t="str">
        <f t="shared" ref="G5771:M5772" si="1271">"X"</f>
        <v>X</v>
      </c>
      <c r="H5771" s="1" t="str">
        <f t="shared" si="1271"/>
        <v>X</v>
      </c>
      <c r="I5771" s="1" t="str">
        <f t="shared" si="1271"/>
        <v>X</v>
      </c>
      <c r="J5771" s="1" t="str">
        <f t="shared" si="1271"/>
        <v>X</v>
      </c>
      <c r="K5771" s="1" t="str">
        <f t="shared" si="1271"/>
        <v>X</v>
      </c>
      <c r="L5771" s="1" t="str">
        <f t="shared" si="1271"/>
        <v>X</v>
      </c>
      <c r="M5771" s="1" t="str">
        <f t="shared" si="1271"/>
        <v>X</v>
      </c>
      <c r="N5771" t="s">
        <v>27</v>
      </c>
    </row>
    <row r="5772" spans="1:14" x14ac:dyDescent="0.25">
      <c r="A5772" t="s">
        <v>42</v>
      </c>
      <c r="B5772" t="s">
        <v>15</v>
      </c>
      <c r="C5772" t="s">
        <v>36</v>
      </c>
      <c r="D5772" t="s">
        <v>34</v>
      </c>
      <c r="E5772" t="s">
        <v>26</v>
      </c>
      <c r="F5772" t="s">
        <v>15</v>
      </c>
      <c r="G5772" s="1" t="str">
        <f t="shared" si="1271"/>
        <v>X</v>
      </c>
      <c r="H5772" s="1" t="str">
        <f t="shared" si="1271"/>
        <v>X</v>
      </c>
      <c r="I5772" s="1" t="str">
        <f t="shared" si="1271"/>
        <v>X</v>
      </c>
      <c r="J5772" s="1" t="str">
        <f t="shared" si="1271"/>
        <v>X</v>
      </c>
      <c r="K5772" s="1" t="str">
        <f t="shared" si="1271"/>
        <v>X</v>
      </c>
      <c r="L5772" s="1" t="str">
        <f t="shared" si="1271"/>
        <v>X</v>
      </c>
      <c r="M5772" s="1" t="str">
        <f t="shared" si="1271"/>
        <v>X</v>
      </c>
      <c r="N5772" t="s">
        <v>27</v>
      </c>
    </row>
    <row r="5773" spans="1:14" x14ac:dyDescent="0.25">
      <c r="A5773" t="s">
        <v>42</v>
      </c>
      <c r="B5773" t="s">
        <v>15</v>
      </c>
      <c r="C5773" t="s">
        <v>36</v>
      </c>
      <c r="D5773" t="s">
        <v>34</v>
      </c>
      <c r="E5773" t="s">
        <v>26</v>
      </c>
      <c r="F5773" t="s">
        <v>17</v>
      </c>
      <c r="G5773" s="1" t="str">
        <f t="shared" ref="G5773:M5775" si="1272">"..."</f>
        <v>...</v>
      </c>
      <c r="H5773" s="1" t="str">
        <f t="shared" si="1272"/>
        <v>...</v>
      </c>
      <c r="I5773" s="1" t="str">
        <f t="shared" si="1272"/>
        <v>...</v>
      </c>
      <c r="J5773" s="1" t="str">
        <f t="shared" si="1272"/>
        <v>...</v>
      </c>
      <c r="K5773" s="1" t="str">
        <f t="shared" si="1272"/>
        <v>...</v>
      </c>
      <c r="L5773" s="1" t="str">
        <f t="shared" si="1272"/>
        <v>...</v>
      </c>
      <c r="M5773" s="1" t="str">
        <f t="shared" si="1272"/>
        <v>...</v>
      </c>
      <c r="N5773" t="s">
        <v>30</v>
      </c>
    </row>
    <row r="5774" spans="1:14" x14ac:dyDescent="0.25">
      <c r="A5774" t="s">
        <v>42</v>
      </c>
      <c r="B5774" t="s">
        <v>15</v>
      </c>
      <c r="C5774" t="s">
        <v>36</v>
      </c>
      <c r="D5774" t="s">
        <v>34</v>
      </c>
      <c r="E5774" t="s">
        <v>26</v>
      </c>
      <c r="F5774" t="s">
        <v>18</v>
      </c>
      <c r="G5774" s="1" t="str">
        <f t="shared" si="1272"/>
        <v>...</v>
      </c>
      <c r="H5774" s="1" t="str">
        <f t="shared" si="1272"/>
        <v>...</v>
      </c>
      <c r="I5774" s="1" t="str">
        <f t="shared" si="1272"/>
        <v>...</v>
      </c>
      <c r="J5774" s="1" t="str">
        <f t="shared" si="1272"/>
        <v>...</v>
      </c>
      <c r="K5774" s="1" t="str">
        <f t="shared" si="1272"/>
        <v>...</v>
      </c>
      <c r="L5774" s="1" t="str">
        <f t="shared" si="1272"/>
        <v>...</v>
      </c>
      <c r="M5774" s="1" t="str">
        <f t="shared" si="1272"/>
        <v>...</v>
      </c>
      <c r="N5774" t="s">
        <v>30</v>
      </c>
    </row>
    <row r="5775" spans="1:14" x14ac:dyDescent="0.25">
      <c r="A5775" t="s">
        <v>42</v>
      </c>
      <c r="B5775" t="s">
        <v>15</v>
      </c>
      <c r="C5775" t="s">
        <v>36</v>
      </c>
      <c r="D5775" t="s">
        <v>34</v>
      </c>
      <c r="E5775" t="s">
        <v>26</v>
      </c>
      <c r="F5775" t="s">
        <v>19</v>
      </c>
      <c r="G5775" s="1" t="str">
        <f t="shared" si="1272"/>
        <v>...</v>
      </c>
      <c r="H5775" s="1" t="str">
        <f t="shared" si="1272"/>
        <v>...</v>
      </c>
      <c r="I5775" s="1" t="str">
        <f t="shared" si="1272"/>
        <v>...</v>
      </c>
      <c r="J5775" s="1" t="str">
        <f t="shared" si="1272"/>
        <v>...</v>
      </c>
      <c r="K5775" s="1" t="str">
        <f t="shared" si="1272"/>
        <v>...</v>
      </c>
      <c r="L5775" s="1" t="str">
        <f t="shared" si="1272"/>
        <v>...</v>
      </c>
      <c r="M5775" s="1" t="str">
        <f t="shared" si="1272"/>
        <v>...</v>
      </c>
      <c r="N5775" t="s">
        <v>30</v>
      </c>
    </row>
    <row r="5776" spans="1:14" x14ac:dyDescent="0.25">
      <c r="A5776" t="s">
        <v>42</v>
      </c>
      <c r="B5776" t="s">
        <v>15</v>
      </c>
      <c r="C5776" t="s">
        <v>36</v>
      </c>
      <c r="D5776" t="s">
        <v>34</v>
      </c>
      <c r="E5776" t="s">
        <v>26</v>
      </c>
      <c r="F5776" t="s">
        <v>20</v>
      </c>
      <c r="G5776" s="1" t="str">
        <f t="shared" ref="G5776:M5776" si="1273">"X"</f>
        <v>X</v>
      </c>
      <c r="H5776" s="1" t="str">
        <f t="shared" si="1273"/>
        <v>X</v>
      </c>
      <c r="I5776" s="1" t="str">
        <f t="shared" si="1273"/>
        <v>X</v>
      </c>
      <c r="J5776" s="1" t="str">
        <f t="shared" si="1273"/>
        <v>X</v>
      </c>
      <c r="K5776" s="1" t="str">
        <f t="shared" si="1273"/>
        <v>X</v>
      </c>
      <c r="L5776" s="1" t="str">
        <f t="shared" si="1273"/>
        <v>X</v>
      </c>
      <c r="M5776" s="1" t="str">
        <f t="shared" si="1273"/>
        <v>X</v>
      </c>
      <c r="N5776" t="s">
        <v>27</v>
      </c>
    </row>
    <row r="5777" spans="1:14" x14ac:dyDescent="0.25">
      <c r="A5777" t="s">
        <v>42</v>
      </c>
      <c r="B5777" t="s">
        <v>15</v>
      </c>
      <c r="C5777" t="s">
        <v>37</v>
      </c>
      <c r="D5777" t="s">
        <v>15</v>
      </c>
      <c r="E5777" t="s">
        <v>15</v>
      </c>
      <c r="F5777" t="s">
        <v>15</v>
      </c>
      <c r="G5777" s="1">
        <f>VALUE(55476.59)</f>
        <v>55476.59</v>
      </c>
      <c r="H5777" s="1">
        <f>VALUE(50832.32)</f>
        <v>50832.32</v>
      </c>
      <c r="I5777" s="1">
        <f>VALUE(3259)</f>
        <v>3259</v>
      </c>
      <c r="J5777" s="1">
        <f>VALUE(4148)</f>
        <v>4148</v>
      </c>
      <c r="K5777" s="1">
        <f>VALUE(5388)</f>
        <v>5388</v>
      </c>
      <c r="L5777" s="1">
        <f>VALUE(6900)</f>
        <v>6900</v>
      </c>
      <c r="M5777" s="1">
        <f>VALUE(9524)</f>
        <v>9524</v>
      </c>
      <c r="N5777" t="s">
        <v>16</v>
      </c>
    </row>
    <row r="5778" spans="1:14" x14ac:dyDescent="0.25">
      <c r="A5778" t="s">
        <v>42</v>
      </c>
      <c r="B5778" t="s">
        <v>15</v>
      </c>
      <c r="C5778" t="s">
        <v>37</v>
      </c>
      <c r="D5778" t="s">
        <v>15</v>
      </c>
      <c r="E5778" t="s">
        <v>15</v>
      </c>
      <c r="F5778" t="s">
        <v>17</v>
      </c>
      <c r="G5778" s="1">
        <f>VALUE(8772.33)</f>
        <v>8772.33</v>
      </c>
      <c r="H5778" s="1">
        <f>VALUE(8576.65)</f>
        <v>8576.65</v>
      </c>
      <c r="I5778" s="4">
        <f>VALUE(4044)</f>
        <v>4044</v>
      </c>
      <c r="J5778" s="1">
        <f>VALUE(5778)</f>
        <v>5778</v>
      </c>
      <c r="K5778" s="1">
        <f>VALUE(8251)</f>
        <v>8251</v>
      </c>
      <c r="L5778" s="1">
        <f>VALUE(11570)</f>
        <v>11570</v>
      </c>
      <c r="M5778" s="1">
        <f>VALUE(16500)</f>
        <v>16500</v>
      </c>
      <c r="N5778" t="s">
        <v>25</v>
      </c>
    </row>
    <row r="5779" spans="1:14" x14ac:dyDescent="0.25">
      <c r="A5779" t="s">
        <v>42</v>
      </c>
      <c r="B5779" t="s">
        <v>15</v>
      </c>
      <c r="C5779" t="s">
        <v>37</v>
      </c>
      <c r="D5779" t="s">
        <v>15</v>
      </c>
      <c r="E5779" t="s">
        <v>15</v>
      </c>
      <c r="F5779" t="s">
        <v>18</v>
      </c>
      <c r="G5779" s="1">
        <f>VALUE(5185.78)</f>
        <v>5185.78</v>
      </c>
      <c r="H5779" s="1">
        <f>VALUE(4704.34)</f>
        <v>4704.34</v>
      </c>
      <c r="I5779" s="1">
        <f>VALUE(4097)</f>
        <v>4097</v>
      </c>
      <c r="J5779" s="1">
        <f>VALUE(5110)</f>
        <v>5110</v>
      </c>
      <c r="K5779" s="1">
        <f>VALUE(6500)</f>
        <v>6500</v>
      </c>
      <c r="L5779" s="1">
        <f>VALUE(8341)</f>
        <v>8341</v>
      </c>
      <c r="M5779" s="1">
        <f>VALUE(10317)</f>
        <v>10317</v>
      </c>
      <c r="N5779" t="s">
        <v>16</v>
      </c>
    </row>
    <row r="5780" spans="1:14" x14ac:dyDescent="0.25">
      <c r="A5780" t="s">
        <v>42</v>
      </c>
      <c r="B5780" t="s">
        <v>15</v>
      </c>
      <c r="C5780" t="s">
        <v>37</v>
      </c>
      <c r="D5780" t="s">
        <v>15</v>
      </c>
      <c r="E5780" t="s">
        <v>15</v>
      </c>
      <c r="F5780" t="s">
        <v>19</v>
      </c>
      <c r="G5780" s="1">
        <f>VALUE(7319.53)</f>
        <v>7319.53</v>
      </c>
      <c r="H5780" s="1">
        <f>VALUE(6873.03)</f>
        <v>6873.03</v>
      </c>
      <c r="I5780" s="4">
        <f>VALUE(3300)</f>
        <v>3300</v>
      </c>
      <c r="J5780" s="1">
        <f>VALUE(4249)</f>
        <v>4249</v>
      </c>
      <c r="K5780" s="1">
        <f>VALUE(5370)</f>
        <v>5370</v>
      </c>
      <c r="L5780" s="1">
        <f>VALUE(6707)</f>
        <v>6707</v>
      </c>
      <c r="M5780" s="1">
        <f>VALUE(8235)</f>
        <v>8235</v>
      </c>
      <c r="N5780" t="s">
        <v>25</v>
      </c>
    </row>
    <row r="5781" spans="1:14" x14ac:dyDescent="0.25">
      <c r="A5781" t="s">
        <v>42</v>
      </c>
      <c r="B5781" t="s">
        <v>15</v>
      </c>
      <c r="C5781" t="s">
        <v>37</v>
      </c>
      <c r="D5781" t="s">
        <v>15</v>
      </c>
      <c r="E5781" t="s">
        <v>15</v>
      </c>
      <c r="F5781" t="s">
        <v>20</v>
      </c>
      <c r="G5781" s="1">
        <f>VALUE(34198.95)</f>
        <v>34198.949999999997</v>
      </c>
      <c r="H5781" s="1">
        <f>VALUE(30678.3)</f>
        <v>30678.3</v>
      </c>
      <c r="I5781" s="1">
        <f>VALUE(3096)</f>
        <v>3096</v>
      </c>
      <c r="J5781" s="1">
        <f>VALUE(3875)</f>
        <v>3875</v>
      </c>
      <c r="K5781" s="1">
        <f>VALUE(4895)</f>
        <v>4895</v>
      </c>
      <c r="L5781" s="1">
        <f>VALUE(5998)</f>
        <v>5998</v>
      </c>
      <c r="M5781" s="1">
        <f>VALUE(7127)</f>
        <v>7127</v>
      </c>
      <c r="N5781" t="s">
        <v>16</v>
      </c>
    </row>
    <row r="5782" spans="1:14" x14ac:dyDescent="0.25">
      <c r="A5782" t="s">
        <v>42</v>
      </c>
      <c r="B5782" t="s">
        <v>15</v>
      </c>
      <c r="C5782" t="s">
        <v>37</v>
      </c>
      <c r="D5782" t="s">
        <v>15</v>
      </c>
      <c r="E5782" t="s">
        <v>21</v>
      </c>
      <c r="F5782" t="s">
        <v>15</v>
      </c>
      <c r="G5782" s="1">
        <f>VALUE(11643.76)</f>
        <v>11643.76</v>
      </c>
      <c r="H5782" s="1">
        <f>VALUE(10594.38)</f>
        <v>10594.38</v>
      </c>
      <c r="I5782" s="1">
        <f>VALUE(4362)</f>
        <v>4362</v>
      </c>
      <c r="J5782" s="1">
        <f>VALUE(5747)</f>
        <v>5747</v>
      </c>
      <c r="K5782" s="1">
        <f>VALUE(7765)</f>
        <v>7765</v>
      </c>
      <c r="L5782" s="1">
        <f>VALUE(10317)</f>
        <v>10317</v>
      </c>
      <c r="M5782" s="1">
        <f>VALUE(14083)</f>
        <v>14083</v>
      </c>
      <c r="N5782" t="s">
        <v>16</v>
      </c>
    </row>
    <row r="5783" spans="1:14" x14ac:dyDescent="0.25">
      <c r="A5783" t="s">
        <v>42</v>
      </c>
      <c r="B5783" t="s">
        <v>15</v>
      </c>
      <c r="C5783" t="s">
        <v>37</v>
      </c>
      <c r="D5783" t="s">
        <v>15</v>
      </c>
      <c r="E5783" t="s">
        <v>21</v>
      </c>
      <c r="F5783" t="s">
        <v>17</v>
      </c>
      <c r="G5783" s="1">
        <f>VALUE(4404.17)</f>
        <v>4404.17</v>
      </c>
      <c r="H5783" s="1">
        <f>VALUE(4258.82)</f>
        <v>4258.82</v>
      </c>
      <c r="I5783" s="1">
        <f>VALUE(5143)</f>
        <v>5143</v>
      </c>
      <c r="J5783" s="1">
        <f>VALUE(7223)</f>
        <v>7223</v>
      </c>
      <c r="K5783" s="1">
        <f>VALUE(9720)</f>
        <v>9720</v>
      </c>
      <c r="L5783" s="1">
        <f>VALUE(13075)</f>
        <v>13075</v>
      </c>
      <c r="M5783" s="8">
        <f>VALUE(18594)</f>
        <v>18594</v>
      </c>
      <c r="N5783" t="s">
        <v>25</v>
      </c>
    </row>
    <row r="5784" spans="1:14" x14ac:dyDescent="0.25">
      <c r="A5784" t="s">
        <v>42</v>
      </c>
      <c r="B5784" t="s">
        <v>15</v>
      </c>
      <c r="C5784" t="s">
        <v>37</v>
      </c>
      <c r="D5784" t="s">
        <v>15</v>
      </c>
      <c r="E5784" t="s">
        <v>21</v>
      </c>
      <c r="F5784" t="s">
        <v>18</v>
      </c>
      <c r="G5784" s="1">
        <f>VALUE(2029.57)</f>
        <v>2029.57</v>
      </c>
      <c r="H5784" s="1">
        <f>VALUE(1795.39)</f>
        <v>1795.39</v>
      </c>
      <c r="I5784" s="4">
        <f>VALUE(5040)</f>
        <v>5040</v>
      </c>
      <c r="J5784" s="1">
        <f>VALUE(6117)</f>
        <v>6117</v>
      </c>
      <c r="K5784" s="1">
        <f>VALUE(7913)</f>
        <v>7913</v>
      </c>
      <c r="L5784" s="1">
        <f>VALUE(9917)</f>
        <v>9917</v>
      </c>
      <c r="M5784" s="1">
        <f>VALUE(12114)</f>
        <v>12114</v>
      </c>
      <c r="N5784" t="s">
        <v>25</v>
      </c>
    </row>
    <row r="5785" spans="1:14" x14ac:dyDescent="0.25">
      <c r="A5785" t="s">
        <v>42</v>
      </c>
      <c r="B5785" t="s">
        <v>15</v>
      </c>
      <c r="C5785" t="s">
        <v>37</v>
      </c>
      <c r="D5785" t="s">
        <v>15</v>
      </c>
      <c r="E5785" t="s">
        <v>21</v>
      </c>
      <c r="F5785" t="s">
        <v>19</v>
      </c>
      <c r="G5785" s="1">
        <f>VALUE(1412.34)</f>
        <v>1412.34</v>
      </c>
      <c r="H5785" s="3">
        <f>VALUE(1348.5)</f>
        <v>1348.5</v>
      </c>
      <c r="I5785" s="1">
        <f>VALUE(3967)</f>
        <v>3967</v>
      </c>
      <c r="J5785" s="1">
        <f>VALUE(5214)</f>
        <v>5214</v>
      </c>
      <c r="K5785" s="1">
        <f>VALUE(6765)</f>
        <v>6765</v>
      </c>
      <c r="L5785" s="1">
        <f>VALUE(8480)</f>
        <v>8480</v>
      </c>
      <c r="M5785" s="1">
        <f>VALUE(10773)</f>
        <v>10773</v>
      </c>
      <c r="N5785" t="s">
        <v>25</v>
      </c>
    </row>
    <row r="5786" spans="1:14" x14ac:dyDescent="0.25">
      <c r="A5786" t="s">
        <v>42</v>
      </c>
      <c r="B5786" t="s">
        <v>15</v>
      </c>
      <c r="C5786" t="s">
        <v>37</v>
      </c>
      <c r="D5786" t="s">
        <v>15</v>
      </c>
      <c r="E5786" t="s">
        <v>21</v>
      </c>
      <c r="F5786" t="s">
        <v>20</v>
      </c>
      <c r="G5786" s="1">
        <f>VALUE(3797.68)</f>
        <v>3797.68</v>
      </c>
      <c r="H5786" s="1">
        <f>VALUE(3191.67)</f>
        <v>3191.67</v>
      </c>
      <c r="I5786" s="1">
        <f>VALUE(3889)</f>
        <v>3889</v>
      </c>
      <c r="J5786" s="1">
        <f>VALUE(5040)</f>
        <v>5040</v>
      </c>
      <c r="K5786" s="1">
        <f>VALUE(6438)</f>
        <v>6438</v>
      </c>
      <c r="L5786" s="1">
        <f>VALUE(7933)</f>
        <v>7933</v>
      </c>
      <c r="M5786" s="1">
        <f>VALUE(9392)</f>
        <v>9392</v>
      </c>
      <c r="N5786" t="s">
        <v>16</v>
      </c>
    </row>
    <row r="5787" spans="1:14" x14ac:dyDescent="0.25">
      <c r="A5787" t="s">
        <v>42</v>
      </c>
      <c r="B5787" t="s">
        <v>15</v>
      </c>
      <c r="C5787" t="s">
        <v>37</v>
      </c>
      <c r="D5787" t="s">
        <v>15</v>
      </c>
      <c r="E5787" t="s">
        <v>22</v>
      </c>
      <c r="F5787" t="s">
        <v>15</v>
      </c>
      <c r="G5787" s="1">
        <f>VALUE(24283.95)</f>
        <v>24283.95</v>
      </c>
      <c r="H5787" s="1">
        <f>VALUE(22123.3)</f>
        <v>22123.3</v>
      </c>
      <c r="I5787" s="1">
        <f>VALUE(3792)</f>
        <v>3792</v>
      </c>
      <c r="J5787" s="1">
        <f>VALUE(4640)</f>
        <v>4640</v>
      </c>
      <c r="K5787" s="1">
        <f>VALUE(5639)</f>
        <v>5639</v>
      </c>
      <c r="L5787" s="1">
        <f>VALUE(6801)</f>
        <v>6801</v>
      </c>
      <c r="M5787" s="1">
        <f>VALUE(8505)</f>
        <v>8505</v>
      </c>
      <c r="N5787" t="s">
        <v>16</v>
      </c>
    </row>
    <row r="5788" spans="1:14" x14ac:dyDescent="0.25">
      <c r="A5788" t="s">
        <v>42</v>
      </c>
      <c r="B5788" t="s">
        <v>15</v>
      </c>
      <c r="C5788" t="s">
        <v>37</v>
      </c>
      <c r="D5788" t="s">
        <v>15</v>
      </c>
      <c r="E5788" t="s">
        <v>22</v>
      </c>
      <c r="F5788" t="s">
        <v>17</v>
      </c>
      <c r="G5788" s="1">
        <f>VALUE(3537.07)</f>
        <v>3537.07</v>
      </c>
      <c r="H5788" s="1">
        <f>VALUE(3505.61)</f>
        <v>3505.61</v>
      </c>
      <c r="I5788" s="1">
        <f>VALUE(4086)</f>
        <v>4086</v>
      </c>
      <c r="J5788" s="1">
        <f>VALUE(5538)</f>
        <v>5538</v>
      </c>
      <c r="K5788" s="1">
        <f>VALUE(7222)</f>
        <v>7222</v>
      </c>
      <c r="L5788" s="1">
        <f>VALUE(10180)</f>
        <v>10180</v>
      </c>
      <c r="M5788" s="1">
        <f>VALUE(14167)</f>
        <v>14167</v>
      </c>
      <c r="N5788" t="s">
        <v>16</v>
      </c>
    </row>
    <row r="5789" spans="1:14" x14ac:dyDescent="0.25">
      <c r="A5789" t="s">
        <v>42</v>
      </c>
      <c r="B5789" t="s">
        <v>15</v>
      </c>
      <c r="C5789" t="s">
        <v>37</v>
      </c>
      <c r="D5789" t="s">
        <v>15</v>
      </c>
      <c r="E5789" t="s">
        <v>22</v>
      </c>
      <c r="F5789" t="s">
        <v>18</v>
      </c>
      <c r="G5789" s="1">
        <f>VALUE(2375.61)</f>
        <v>2375.61</v>
      </c>
      <c r="H5789" s="1">
        <f>VALUE(2137.55)</f>
        <v>2137.5500000000002</v>
      </c>
      <c r="I5789" s="1">
        <f>VALUE(4333)</f>
        <v>4333</v>
      </c>
      <c r="J5789" s="1">
        <f>VALUE(5038)</f>
        <v>5038</v>
      </c>
      <c r="K5789" s="1">
        <f>VALUE(6171)</f>
        <v>6171</v>
      </c>
      <c r="L5789" s="1">
        <f>VALUE(7718)</f>
        <v>7718</v>
      </c>
      <c r="M5789" s="1">
        <f>VALUE(8983)</f>
        <v>8983</v>
      </c>
      <c r="N5789" t="s">
        <v>16</v>
      </c>
    </row>
    <row r="5790" spans="1:14" x14ac:dyDescent="0.25">
      <c r="A5790" t="s">
        <v>42</v>
      </c>
      <c r="B5790" t="s">
        <v>15</v>
      </c>
      <c r="C5790" t="s">
        <v>37</v>
      </c>
      <c r="D5790" t="s">
        <v>15</v>
      </c>
      <c r="E5790" t="s">
        <v>22</v>
      </c>
      <c r="F5790" t="s">
        <v>19</v>
      </c>
      <c r="G5790" s="1">
        <f>VALUE(3928.66)</f>
        <v>3928.66</v>
      </c>
      <c r="H5790" s="1">
        <f>VALUE(3545.55)</f>
        <v>3545.55</v>
      </c>
      <c r="I5790" s="1">
        <f>VALUE(4054)</f>
        <v>4054</v>
      </c>
      <c r="J5790" s="1">
        <f>VALUE(4770)</f>
        <v>4770</v>
      </c>
      <c r="K5790" s="1">
        <f>VALUE(5615)</f>
        <v>5615</v>
      </c>
      <c r="L5790" s="1">
        <f>VALUE(6715)</f>
        <v>6715</v>
      </c>
      <c r="M5790" s="1">
        <f>VALUE(7964)</f>
        <v>7964</v>
      </c>
      <c r="N5790" t="s">
        <v>16</v>
      </c>
    </row>
    <row r="5791" spans="1:14" x14ac:dyDescent="0.25">
      <c r="A5791" t="s">
        <v>42</v>
      </c>
      <c r="B5791" t="s">
        <v>15</v>
      </c>
      <c r="C5791" t="s">
        <v>37</v>
      </c>
      <c r="D5791" t="s">
        <v>15</v>
      </c>
      <c r="E5791" t="s">
        <v>22</v>
      </c>
      <c r="F5791" t="s">
        <v>20</v>
      </c>
      <c r="G5791" s="1">
        <f>VALUE(14442.61)</f>
        <v>14442.61</v>
      </c>
      <c r="H5791" s="1">
        <f>VALUE(12934.59)</f>
        <v>12934.59</v>
      </c>
      <c r="I5791" s="1">
        <f>VALUE(3626)</f>
        <v>3626</v>
      </c>
      <c r="J5791" s="1">
        <f>VALUE(4433)</f>
        <v>4433</v>
      </c>
      <c r="K5791" s="1">
        <f>VALUE(5382)</f>
        <v>5382</v>
      </c>
      <c r="L5791" s="1">
        <f>VALUE(6258)</f>
        <v>6258</v>
      </c>
      <c r="M5791" s="1">
        <f>VALUE(7176)</f>
        <v>7176</v>
      </c>
      <c r="N5791" t="s">
        <v>16</v>
      </c>
    </row>
    <row r="5792" spans="1:14" x14ac:dyDescent="0.25">
      <c r="A5792" t="s">
        <v>42</v>
      </c>
      <c r="B5792" t="s">
        <v>15</v>
      </c>
      <c r="C5792" t="s">
        <v>37</v>
      </c>
      <c r="D5792" t="s">
        <v>15</v>
      </c>
      <c r="E5792" t="s">
        <v>23</v>
      </c>
      <c r="F5792" t="s">
        <v>15</v>
      </c>
      <c r="G5792" s="1">
        <f>VALUE(17758.12)</f>
        <v>17758.12</v>
      </c>
      <c r="H5792" s="1">
        <f>VALUE(16434.74)</f>
        <v>16434.740000000002</v>
      </c>
      <c r="I5792" s="1">
        <f>VALUE(2890)</f>
        <v>2890</v>
      </c>
      <c r="J5792" s="1">
        <f>VALUE(3483)</f>
        <v>3483</v>
      </c>
      <c r="K5792" s="1">
        <f>VALUE(4219)</f>
        <v>4219</v>
      </c>
      <c r="L5792" s="1">
        <f>VALUE(5260)</f>
        <v>5260</v>
      </c>
      <c r="M5792" s="1">
        <f>VALUE(6148)</f>
        <v>6148</v>
      </c>
      <c r="N5792" t="s">
        <v>16</v>
      </c>
    </row>
    <row r="5793" spans="1:14" x14ac:dyDescent="0.25">
      <c r="A5793" t="s">
        <v>42</v>
      </c>
      <c r="B5793" t="s">
        <v>15</v>
      </c>
      <c r="C5793" t="s">
        <v>37</v>
      </c>
      <c r="D5793" t="s">
        <v>15</v>
      </c>
      <c r="E5793" t="s">
        <v>23</v>
      </c>
      <c r="F5793" t="s">
        <v>17</v>
      </c>
      <c r="G5793" s="2">
        <f>VALUE(643.04)</f>
        <v>643.04</v>
      </c>
      <c r="H5793" s="3">
        <f>VALUE(631.81)</f>
        <v>631.80999999999995</v>
      </c>
      <c r="I5793" s="4">
        <f>VALUE(3140)</f>
        <v>3140</v>
      </c>
      <c r="J5793" s="5">
        <f>VALUE(3652)</f>
        <v>3652</v>
      </c>
      <c r="K5793" s="6">
        <f>VALUE(4057)</f>
        <v>4057</v>
      </c>
      <c r="L5793" s="7">
        <f>VALUE(5929)</f>
        <v>5929</v>
      </c>
      <c r="M5793" s="8">
        <f>VALUE(8995)</f>
        <v>8995</v>
      </c>
      <c r="N5793" t="s">
        <v>24</v>
      </c>
    </row>
    <row r="5794" spans="1:14" x14ac:dyDescent="0.25">
      <c r="A5794" t="s">
        <v>42</v>
      </c>
      <c r="B5794" t="s">
        <v>15</v>
      </c>
      <c r="C5794" t="s">
        <v>37</v>
      </c>
      <c r="D5794" t="s">
        <v>15</v>
      </c>
      <c r="E5794" t="s">
        <v>23</v>
      </c>
      <c r="F5794" t="s">
        <v>18</v>
      </c>
      <c r="G5794" s="2">
        <f>VALUE(684)</f>
        <v>684</v>
      </c>
      <c r="H5794" s="3">
        <f>VALUE(678.68)</f>
        <v>678.68</v>
      </c>
      <c r="I5794" s="1">
        <f>VALUE(3365)</f>
        <v>3365</v>
      </c>
      <c r="J5794" s="1">
        <f>VALUE(3958)</f>
        <v>3958</v>
      </c>
      <c r="K5794" s="1">
        <f>VALUE(4820)</f>
        <v>4820</v>
      </c>
      <c r="L5794" s="1">
        <f>VALUE(5668)</f>
        <v>5668</v>
      </c>
      <c r="M5794" s="1">
        <f>VALUE(6461)</f>
        <v>6461</v>
      </c>
      <c r="N5794" t="s">
        <v>25</v>
      </c>
    </row>
    <row r="5795" spans="1:14" x14ac:dyDescent="0.25">
      <c r="A5795" t="s">
        <v>42</v>
      </c>
      <c r="B5795" t="s">
        <v>15</v>
      </c>
      <c r="C5795" t="s">
        <v>37</v>
      </c>
      <c r="D5795" t="s">
        <v>15</v>
      </c>
      <c r="E5795" t="s">
        <v>23</v>
      </c>
      <c r="F5795" t="s">
        <v>19</v>
      </c>
      <c r="G5795" s="1">
        <f>VALUE(1946.11)</f>
        <v>1946.11</v>
      </c>
      <c r="H5795" s="1">
        <f>VALUE(1949.93)</f>
        <v>1949.93</v>
      </c>
      <c r="I5795" s="1">
        <f>VALUE(2844)</f>
        <v>2844</v>
      </c>
      <c r="J5795" s="5">
        <f>VALUE(3244)</f>
        <v>3244</v>
      </c>
      <c r="K5795" s="6">
        <f>VALUE(4189)</f>
        <v>4189</v>
      </c>
      <c r="L5795" s="1">
        <f>VALUE(5310)</f>
        <v>5310</v>
      </c>
      <c r="M5795" s="1">
        <f>VALUE(6230)</f>
        <v>6230</v>
      </c>
      <c r="N5795" t="s">
        <v>25</v>
      </c>
    </row>
    <row r="5796" spans="1:14" x14ac:dyDescent="0.25">
      <c r="A5796" t="s">
        <v>42</v>
      </c>
      <c r="B5796" t="s">
        <v>15</v>
      </c>
      <c r="C5796" t="s">
        <v>37</v>
      </c>
      <c r="D5796" t="s">
        <v>15</v>
      </c>
      <c r="E5796" t="s">
        <v>23</v>
      </c>
      <c r="F5796" t="s">
        <v>20</v>
      </c>
      <c r="G5796" s="1">
        <f>VALUE(14484.97)</f>
        <v>14484.97</v>
      </c>
      <c r="H5796" s="1">
        <f>VALUE(13174.32)</f>
        <v>13174.32</v>
      </c>
      <c r="I5796" s="1">
        <f>VALUE(2852)</f>
        <v>2852</v>
      </c>
      <c r="J5796" s="1">
        <f>VALUE(3487)</f>
        <v>3487</v>
      </c>
      <c r="K5796" s="1">
        <f>VALUE(4204)</f>
        <v>4204</v>
      </c>
      <c r="L5796" s="1">
        <f>VALUE(5187)</f>
        <v>5187</v>
      </c>
      <c r="M5796" s="1">
        <f>VALUE(6043)</f>
        <v>6043</v>
      </c>
      <c r="N5796" t="s">
        <v>16</v>
      </c>
    </row>
    <row r="5797" spans="1:14" x14ac:dyDescent="0.25">
      <c r="A5797" t="s">
        <v>42</v>
      </c>
      <c r="B5797" t="s">
        <v>15</v>
      </c>
      <c r="C5797" t="s">
        <v>37</v>
      </c>
      <c r="D5797" t="s">
        <v>15</v>
      </c>
      <c r="E5797" t="s">
        <v>26</v>
      </c>
      <c r="F5797" t="s">
        <v>15</v>
      </c>
      <c r="G5797" s="1">
        <f>VALUE(1790.76)</f>
        <v>1790.76</v>
      </c>
      <c r="H5797" s="1">
        <f>VALUE(1679.9)</f>
        <v>1679.9</v>
      </c>
      <c r="I5797" s="4">
        <f>VALUE(2793)</f>
        <v>2793</v>
      </c>
      <c r="J5797" s="1">
        <f>VALUE(3529)</f>
        <v>3529</v>
      </c>
      <c r="K5797" s="6">
        <f>VALUE(4905)</f>
        <v>4905</v>
      </c>
      <c r="L5797" s="1">
        <f>VALUE(6700)</f>
        <v>6700</v>
      </c>
      <c r="M5797" s="8">
        <f>VALUE(9048)</f>
        <v>9048</v>
      </c>
      <c r="N5797" t="s">
        <v>25</v>
      </c>
    </row>
    <row r="5798" spans="1:14" x14ac:dyDescent="0.25">
      <c r="A5798" t="s">
        <v>42</v>
      </c>
      <c r="B5798" t="s">
        <v>15</v>
      </c>
      <c r="C5798" t="s">
        <v>37</v>
      </c>
      <c r="D5798" t="s">
        <v>15</v>
      </c>
      <c r="E5798" t="s">
        <v>26</v>
      </c>
      <c r="F5798" t="s">
        <v>17</v>
      </c>
      <c r="G5798" s="2">
        <f>VALUE(188.05)</f>
        <v>188.05</v>
      </c>
      <c r="H5798" s="3">
        <f>VALUE(180.41)</f>
        <v>180.41</v>
      </c>
      <c r="I5798" s="4">
        <f>VALUE(3611)</f>
        <v>3611</v>
      </c>
      <c r="J5798" s="5">
        <f>VALUE(5700)</f>
        <v>5700</v>
      </c>
      <c r="K5798" s="6">
        <f>VALUE(7253)</f>
        <v>7253</v>
      </c>
      <c r="L5798" s="7">
        <f>VALUE(11445)</f>
        <v>11445</v>
      </c>
      <c r="M5798" s="8">
        <f>VALUE(16364)</f>
        <v>16364</v>
      </c>
      <c r="N5798" t="s">
        <v>24</v>
      </c>
    </row>
    <row r="5799" spans="1:14" x14ac:dyDescent="0.25">
      <c r="A5799" t="s">
        <v>42</v>
      </c>
      <c r="B5799" t="s">
        <v>15</v>
      </c>
      <c r="C5799" t="s">
        <v>37</v>
      </c>
      <c r="D5799" t="s">
        <v>15</v>
      </c>
      <c r="E5799" t="s">
        <v>26</v>
      </c>
      <c r="F5799" t="s">
        <v>18</v>
      </c>
      <c r="G5799" s="1" t="str">
        <f t="shared" ref="G5799:M5800" si="1274">"X"</f>
        <v>X</v>
      </c>
      <c r="H5799" s="1" t="str">
        <f t="shared" si="1274"/>
        <v>X</v>
      </c>
      <c r="I5799" s="1" t="str">
        <f t="shared" si="1274"/>
        <v>X</v>
      </c>
      <c r="J5799" s="1" t="str">
        <f t="shared" si="1274"/>
        <v>X</v>
      </c>
      <c r="K5799" s="1" t="str">
        <f t="shared" si="1274"/>
        <v>X</v>
      </c>
      <c r="L5799" s="1" t="str">
        <f t="shared" si="1274"/>
        <v>X</v>
      </c>
      <c r="M5799" s="1" t="str">
        <f t="shared" si="1274"/>
        <v>X</v>
      </c>
      <c r="N5799" t="s">
        <v>27</v>
      </c>
    </row>
    <row r="5800" spans="1:14" x14ac:dyDescent="0.25">
      <c r="A5800" t="s">
        <v>42</v>
      </c>
      <c r="B5800" t="s">
        <v>15</v>
      </c>
      <c r="C5800" t="s">
        <v>37</v>
      </c>
      <c r="D5800" t="s">
        <v>15</v>
      </c>
      <c r="E5800" t="s">
        <v>26</v>
      </c>
      <c r="F5800" t="s">
        <v>19</v>
      </c>
      <c r="G5800" s="1" t="str">
        <f t="shared" si="1274"/>
        <v>X</v>
      </c>
      <c r="H5800" s="1" t="str">
        <f t="shared" si="1274"/>
        <v>X</v>
      </c>
      <c r="I5800" s="1" t="str">
        <f t="shared" si="1274"/>
        <v>X</v>
      </c>
      <c r="J5800" s="1" t="str">
        <f t="shared" si="1274"/>
        <v>X</v>
      </c>
      <c r="K5800" s="1" t="str">
        <f t="shared" si="1274"/>
        <v>X</v>
      </c>
      <c r="L5800" s="1" t="str">
        <f t="shared" si="1274"/>
        <v>X</v>
      </c>
      <c r="M5800" s="1" t="str">
        <f t="shared" si="1274"/>
        <v>X</v>
      </c>
      <c r="N5800" t="s">
        <v>27</v>
      </c>
    </row>
    <row r="5801" spans="1:14" x14ac:dyDescent="0.25">
      <c r="A5801" t="s">
        <v>42</v>
      </c>
      <c r="B5801" t="s">
        <v>15</v>
      </c>
      <c r="C5801" t="s">
        <v>37</v>
      </c>
      <c r="D5801" t="s">
        <v>15</v>
      </c>
      <c r="E5801" t="s">
        <v>26</v>
      </c>
      <c r="F5801" t="s">
        <v>20</v>
      </c>
      <c r="G5801" s="2">
        <f>VALUE(1473.69)</f>
        <v>1473.69</v>
      </c>
      <c r="H5801" s="3">
        <f>VALUE(1377.72)</f>
        <v>1377.72</v>
      </c>
      <c r="I5801" s="4">
        <f>VALUE(2667)</f>
        <v>2667</v>
      </c>
      <c r="J5801" s="1">
        <f>VALUE(3467)</f>
        <v>3467</v>
      </c>
      <c r="K5801" s="6">
        <f>VALUE(4419)</f>
        <v>4419</v>
      </c>
      <c r="L5801" s="1">
        <f>VALUE(6020)</f>
        <v>6020</v>
      </c>
      <c r="M5801" s="1">
        <f>VALUE(7375)</f>
        <v>7375</v>
      </c>
      <c r="N5801" t="s">
        <v>25</v>
      </c>
    </row>
    <row r="5802" spans="1:14" x14ac:dyDescent="0.25">
      <c r="A5802" t="s">
        <v>42</v>
      </c>
      <c r="B5802" t="s">
        <v>15</v>
      </c>
      <c r="C5802" t="s">
        <v>37</v>
      </c>
      <c r="D5802" t="s">
        <v>28</v>
      </c>
      <c r="E5802" t="s">
        <v>15</v>
      </c>
      <c r="F5802" t="s">
        <v>15</v>
      </c>
      <c r="G5802" s="1">
        <f>VALUE(22927.99)</f>
        <v>22927.99</v>
      </c>
      <c r="H5802" s="1">
        <f>VALUE(19963.06)</f>
        <v>19963.060000000001</v>
      </c>
      <c r="I5802" s="1">
        <f>VALUE(3945)</f>
        <v>3945</v>
      </c>
      <c r="J5802" s="1">
        <f>VALUE(4903)</f>
        <v>4903</v>
      </c>
      <c r="K5802" s="1">
        <f>VALUE(6167)</f>
        <v>6167</v>
      </c>
      <c r="L5802" s="1">
        <f>VALUE(8028)</f>
        <v>8028</v>
      </c>
      <c r="M5802" s="1">
        <f>VALUE(10990)</f>
        <v>10990</v>
      </c>
      <c r="N5802" t="s">
        <v>16</v>
      </c>
    </row>
    <row r="5803" spans="1:14" x14ac:dyDescent="0.25">
      <c r="A5803" t="s">
        <v>42</v>
      </c>
      <c r="B5803" t="s">
        <v>15</v>
      </c>
      <c r="C5803" t="s">
        <v>37</v>
      </c>
      <c r="D5803" t="s">
        <v>28</v>
      </c>
      <c r="E5803" t="s">
        <v>15</v>
      </c>
      <c r="F5803" t="s">
        <v>17</v>
      </c>
      <c r="G5803" s="1">
        <f>VALUE(5351.37)</f>
        <v>5351.37</v>
      </c>
      <c r="H5803" s="1">
        <f>VALUE(5190.95)</f>
        <v>5190.95</v>
      </c>
      <c r="I5803" s="1">
        <f>VALUE(4305)</f>
        <v>4305</v>
      </c>
      <c r="J5803" s="1">
        <f>VALUE(6153)</f>
        <v>6153</v>
      </c>
      <c r="K5803" s="1">
        <f>VALUE(8523)</f>
        <v>8523</v>
      </c>
      <c r="L5803" s="1">
        <f>VALUE(11692)</f>
        <v>11692</v>
      </c>
      <c r="M5803" s="1">
        <f>VALUE(15938)</f>
        <v>15938</v>
      </c>
      <c r="N5803" t="s">
        <v>16</v>
      </c>
    </row>
    <row r="5804" spans="1:14" x14ac:dyDescent="0.25">
      <c r="A5804" t="s">
        <v>42</v>
      </c>
      <c r="B5804" t="s">
        <v>15</v>
      </c>
      <c r="C5804" t="s">
        <v>37</v>
      </c>
      <c r="D5804" t="s">
        <v>28</v>
      </c>
      <c r="E5804" t="s">
        <v>15</v>
      </c>
      <c r="F5804" t="s">
        <v>18</v>
      </c>
      <c r="G5804" s="1">
        <f>VALUE(2445.48)</f>
        <v>2445.48</v>
      </c>
      <c r="H5804" s="1">
        <f>VALUE(2082.89)</f>
        <v>2082.89</v>
      </c>
      <c r="I5804" s="1">
        <f>VALUE(4732)</f>
        <v>4732</v>
      </c>
      <c r="J5804" s="1">
        <f>VALUE(5744)</f>
        <v>5744</v>
      </c>
      <c r="K5804" s="1">
        <f>VALUE(7296)</f>
        <v>7296</v>
      </c>
      <c r="L5804" s="1">
        <f>VALUE(8844)</f>
        <v>8844</v>
      </c>
      <c r="M5804" s="1">
        <f>VALUE(10728)</f>
        <v>10728</v>
      </c>
      <c r="N5804" t="s">
        <v>16</v>
      </c>
    </row>
    <row r="5805" spans="1:14" x14ac:dyDescent="0.25">
      <c r="A5805" t="s">
        <v>42</v>
      </c>
      <c r="B5805" t="s">
        <v>15</v>
      </c>
      <c r="C5805" t="s">
        <v>37</v>
      </c>
      <c r="D5805" t="s">
        <v>28</v>
      </c>
      <c r="E5805" t="s">
        <v>15</v>
      </c>
      <c r="F5805" t="s">
        <v>19</v>
      </c>
      <c r="G5805" s="1">
        <f>VALUE(2535.02)</f>
        <v>2535.02</v>
      </c>
      <c r="H5805" s="1">
        <f>VALUE(2195.08)</f>
        <v>2195.08</v>
      </c>
      <c r="I5805" s="1">
        <f>VALUE(4186)</f>
        <v>4186</v>
      </c>
      <c r="J5805" s="1">
        <f>VALUE(5012)</f>
        <v>5012</v>
      </c>
      <c r="K5805" s="1">
        <f>VALUE(6138)</f>
        <v>6138</v>
      </c>
      <c r="L5805" s="1">
        <f>VALUE(7255)</f>
        <v>7255</v>
      </c>
      <c r="M5805" s="1">
        <f>VALUE(8891)</f>
        <v>8891</v>
      </c>
      <c r="N5805" t="s">
        <v>16</v>
      </c>
    </row>
    <row r="5806" spans="1:14" x14ac:dyDescent="0.25">
      <c r="A5806" t="s">
        <v>42</v>
      </c>
      <c r="B5806" t="s">
        <v>15</v>
      </c>
      <c r="C5806" t="s">
        <v>37</v>
      </c>
      <c r="D5806" t="s">
        <v>28</v>
      </c>
      <c r="E5806" t="s">
        <v>15</v>
      </c>
      <c r="F5806" t="s">
        <v>20</v>
      </c>
      <c r="G5806" s="1">
        <f>VALUE(12596.12)</f>
        <v>12596.12</v>
      </c>
      <c r="H5806" s="1">
        <f>VALUE(10494.14)</f>
        <v>10494.14</v>
      </c>
      <c r="I5806" s="1">
        <f>VALUE(3709)</f>
        <v>3709</v>
      </c>
      <c r="J5806" s="1">
        <f>VALUE(4569)</f>
        <v>4569</v>
      </c>
      <c r="K5806" s="1">
        <f>VALUE(5610)</f>
        <v>5610</v>
      </c>
      <c r="L5806" s="1">
        <f>VALUE(6583)</f>
        <v>6583</v>
      </c>
      <c r="M5806" s="1">
        <f>VALUE(7854)</f>
        <v>7854</v>
      </c>
      <c r="N5806" t="s">
        <v>16</v>
      </c>
    </row>
    <row r="5807" spans="1:14" x14ac:dyDescent="0.25">
      <c r="A5807" t="s">
        <v>42</v>
      </c>
      <c r="B5807" t="s">
        <v>15</v>
      </c>
      <c r="C5807" t="s">
        <v>37</v>
      </c>
      <c r="D5807" t="s">
        <v>28</v>
      </c>
      <c r="E5807" t="s">
        <v>21</v>
      </c>
      <c r="F5807" t="s">
        <v>15</v>
      </c>
      <c r="G5807" s="1">
        <f>VALUE(5851.76)</f>
        <v>5851.76</v>
      </c>
      <c r="H5807" s="1">
        <f>VALUE(5173.42)</f>
        <v>5173.42</v>
      </c>
      <c r="I5807" s="1">
        <f>VALUE(5035)</f>
        <v>5035</v>
      </c>
      <c r="J5807" s="1">
        <f>VALUE(6641)</f>
        <v>6641</v>
      </c>
      <c r="K5807" s="1">
        <f>VALUE(8406)</f>
        <v>8406</v>
      </c>
      <c r="L5807" s="1">
        <f>VALUE(11063)</f>
        <v>11063</v>
      </c>
      <c r="M5807" s="1">
        <f>VALUE(14646)</f>
        <v>14646</v>
      </c>
      <c r="N5807" t="s">
        <v>16</v>
      </c>
    </row>
    <row r="5808" spans="1:14" x14ac:dyDescent="0.25">
      <c r="A5808" t="s">
        <v>42</v>
      </c>
      <c r="B5808" t="s">
        <v>15</v>
      </c>
      <c r="C5808" t="s">
        <v>37</v>
      </c>
      <c r="D5808" t="s">
        <v>28</v>
      </c>
      <c r="E5808" t="s">
        <v>21</v>
      </c>
      <c r="F5808" t="s">
        <v>17</v>
      </c>
      <c r="G5808" s="1">
        <f>VALUE(2612.81)</f>
        <v>2612.81</v>
      </c>
      <c r="H5808" s="1">
        <f>VALUE(2488)</f>
        <v>2488</v>
      </c>
      <c r="I5808" s="4">
        <f>VALUE(5333)</f>
        <v>5333</v>
      </c>
      <c r="J5808" s="1">
        <f>VALUE(7804)</f>
        <v>7804</v>
      </c>
      <c r="K5808" s="1">
        <f>VALUE(9967)</f>
        <v>9967</v>
      </c>
      <c r="L5808" s="1">
        <f>VALUE(13027)</f>
        <v>13027</v>
      </c>
      <c r="M5808" s="1">
        <f>VALUE(17433)</f>
        <v>17433</v>
      </c>
      <c r="N5808" t="s">
        <v>25</v>
      </c>
    </row>
    <row r="5809" spans="1:14" x14ac:dyDescent="0.25">
      <c r="A5809" t="s">
        <v>42</v>
      </c>
      <c r="B5809" t="s">
        <v>15</v>
      </c>
      <c r="C5809" t="s">
        <v>37</v>
      </c>
      <c r="D5809" t="s">
        <v>28</v>
      </c>
      <c r="E5809" t="s">
        <v>21</v>
      </c>
      <c r="F5809" t="s">
        <v>18</v>
      </c>
      <c r="G5809" s="2">
        <f>VALUE(970.4)</f>
        <v>970.4</v>
      </c>
      <c r="H5809" s="3">
        <f>VALUE(806.68)</f>
        <v>806.68</v>
      </c>
      <c r="I5809" s="4">
        <f>VALUE(5636)</f>
        <v>5636</v>
      </c>
      <c r="J5809" s="1">
        <f>VALUE(7174)</f>
        <v>7174</v>
      </c>
      <c r="K5809" s="1">
        <f>VALUE(8521)</f>
        <v>8521</v>
      </c>
      <c r="L5809" s="1">
        <f>VALUE(10150)</f>
        <v>10150</v>
      </c>
      <c r="M5809" s="8">
        <f>VALUE(12500)</f>
        <v>12500</v>
      </c>
      <c r="N5809" t="s">
        <v>25</v>
      </c>
    </row>
    <row r="5810" spans="1:14" x14ac:dyDescent="0.25">
      <c r="A5810" t="s">
        <v>42</v>
      </c>
      <c r="B5810" t="s">
        <v>15</v>
      </c>
      <c r="C5810" t="s">
        <v>37</v>
      </c>
      <c r="D5810" t="s">
        <v>28</v>
      </c>
      <c r="E5810" t="s">
        <v>21</v>
      </c>
      <c r="F5810" t="s">
        <v>19</v>
      </c>
      <c r="G5810" s="2">
        <f>VALUE(485.68)</f>
        <v>485.68</v>
      </c>
      <c r="H5810" s="3">
        <f>VALUE(455.84)</f>
        <v>455.84</v>
      </c>
      <c r="I5810" s="1">
        <f>VALUE(4332)</f>
        <v>4332</v>
      </c>
      <c r="J5810" s="1">
        <f>VALUE(6138)</f>
        <v>6138</v>
      </c>
      <c r="K5810" s="1">
        <f>VALUE(7376)</f>
        <v>7376</v>
      </c>
      <c r="L5810" s="1">
        <f>VALUE(9096)</f>
        <v>9096</v>
      </c>
      <c r="M5810" s="1">
        <f>VALUE(11373)</f>
        <v>11373</v>
      </c>
      <c r="N5810" t="s">
        <v>25</v>
      </c>
    </row>
    <row r="5811" spans="1:14" x14ac:dyDescent="0.25">
      <c r="A5811" t="s">
        <v>42</v>
      </c>
      <c r="B5811" t="s">
        <v>15</v>
      </c>
      <c r="C5811" t="s">
        <v>37</v>
      </c>
      <c r="D5811" t="s">
        <v>28</v>
      </c>
      <c r="E5811" t="s">
        <v>21</v>
      </c>
      <c r="F5811" t="s">
        <v>20</v>
      </c>
      <c r="G5811" s="1">
        <f>VALUE(1782.87)</f>
        <v>1782.87</v>
      </c>
      <c r="H5811" s="3">
        <f>VALUE(1422.9)</f>
        <v>1422.9</v>
      </c>
      <c r="I5811" s="1">
        <f>VALUE(4550)</f>
        <v>4550</v>
      </c>
      <c r="J5811" s="1">
        <f>VALUE(5838)</f>
        <v>5838</v>
      </c>
      <c r="K5811" s="1">
        <f>VALUE(7187)</f>
        <v>7187</v>
      </c>
      <c r="L5811" s="1">
        <f>VALUE(8405)</f>
        <v>8405</v>
      </c>
      <c r="M5811" s="1">
        <f>VALUE(10024)</f>
        <v>10024</v>
      </c>
      <c r="N5811" t="s">
        <v>25</v>
      </c>
    </row>
    <row r="5812" spans="1:14" x14ac:dyDescent="0.25">
      <c r="A5812" t="s">
        <v>42</v>
      </c>
      <c r="B5812" t="s">
        <v>15</v>
      </c>
      <c r="C5812" t="s">
        <v>37</v>
      </c>
      <c r="D5812" t="s">
        <v>28</v>
      </c>
      <c r="E5812" t="s">
        <v>22</v>
      </c>
      <c r="F5812" t="s">
        <v>15</v>
      </c>
      <c r="G5812" s="1">
        <f>VALUE(13625.51)</f>
        <v>13625.51</v>
      </c>
      <c r="H5812" s="1">
        <f>VALUE(11980.37)</f>
        <v>11980.37</v>
      </c>
      <c r="I5812" s="1">
        <f>VALUE(4103)</f>
        <v>4103</v>
      </c>
      <c r="J5812" s="1">
        <f>VALUE(4995)</f>
        <v>4995</v>
      </c>
      <c r="K5812" s="1">
        <f>VALUE(5952)</f>
        <v>5952</v>
      </c>
      <c r="L5812" s="1">
        <f>VALUE(7059)</f>
        <v>7059</v>
      </c>
      <c r="M5812" s="1">
        <f>VALUE(8916)</f>
        <v>8916</v>
      </c>
      <c r="N5812" t="s">
        <v>16</v>
      </c>
    </row>
    <row r="5813" spans="1:14" x14ac:dyDescent="0.25">
      <c r="A5813" t="s">
        <v>42</v>
      </c>
      <c r="B5813" t="s">
        <v>15</v>
      </c>
      <c r="C5813" t="s">
        <v>37</v>
      </c>
      <c r="D5813" t="s">
        <v>28</v>
      </c>
      <c r="E5813" t="s">
        <v>22</v>
      </c>
      <c r="F5813" t="s">
        <v>17</v>
      </c>
      <c r="G5813" s="1">
        <f>VALUE(2434.51)</f>
        <v>2434.5100000000002</v>
      </c>
      <c r="H5813" s="1">
        <f>VALUE(2397.55)</f>
        <v>2397.5500000000002</v>
      </c>
      <c r="I5813" s="4">
        <f>VALUE(4186)</f>
        <v>4186</v>
      </c>
      <c r="J5813" s="5">
        <f>VALUE(5571)</f>
        <v>5571</v>
      </c>
      <c r="K5813" s="1">
        <f>VALUE(7222)</f>
        <v>7222</v>
      </c>
      <c r="L5813" s="1">
        <f>VALUE(10196)</f>
        <v>10196</v>
      </c>
      <c r="M5813" s="1">
        <f>VALUE(14049)</f>
        <v>14049</v>
      </c>
      <c r="N5813" t="s">
        <v>25</v>
      </c>
    </row>
    <row r="5814" spans="1:14" x14ac:dyDescent="0.25">
      <c r="A5814" t="s">
        <v>42</v>
      </c>
      <c r="B5814" t="s">
        <v>15</v>
      </c>
      <c r="C5814" t="s">
        <v>37</v>
      </c>
      <c r="D5814" t="s">
        <v>28</v>
      </c>
      <c r="E5814" t="s">
        <v>22</v>
      </c>
      <c r="F5814" t="s">
        <v>18</v>
      </c>
      <c r="G5814" s="2">
        <f>VALUE(1342.34)</f>
        <v>1342.34</v>
      </c>
      <c r="H5814" s="3">
        <f>VALUE(1151.32)</f>
        <v>1151.32</v>
      </c>
      <c r="I5814" s="4">
        <f>VALUE(4694)</f>
        <v>4694</v>
      </c>
      <c r="J5814" s="1">
        <f>VALUE(5296)</f>
        <v>5296</v>
      </c>
      <c r="K5814" s="1">
        <f>VALUE(6610)</f>
        <v>6610</v>
      </c>
      <c r="L5814" s="1">
        <f>VALUE(7960)</f>
        <v>7960</v>
      </c>
      <c r="M5814" s="1">
        <f>VALUE(9095)</f>
        <v>9095</v>
      </c>
      <c r="N5814" t="s">
        <v>25</v>
      </c>
    </row>
    <row r="5815" spans="1:14" x14ac:dyDescent="0.25">
      <c r="A5815" t="s">
        <v>42</v>
      </c>
      <c r="B5815" t="s">
        <v>15</v>
      </c>
      <c r="C5815" t="s">
        <v>37</v>
      </c>
      <c r="D5815" t="s">
        <v>28</v>
      </c>
      <c r="E5815" t="s">
        <v>22</v>
      </c>
      <c r="F5815" t="s">
        <v>19</v>
      </c>
      <c r="G5815" s="2">
        <f>VALUE(1798.19)</f>
        <v>1798.19</v>
      </c>
      <c r="H5815" s="3">
        <f>VALUE(1516.74)</f>
        <v>1516.74</v>
      </c>
      <c r="I5815" s="1">
        <f>VALUE(4322)</f>
        <v>4322</v>
      </c>
      <c r="J5815" s="1">
        <f>VALUE(5120)</f>
        <v>5120</v>
      </c>
      <c r="K5815" s="1">
        <f>VALUE(5992)</f>
        <v>5992</v>
      </c>
      <c r="L5815" s="1">
        <f>VALUE(6929)</f>
        <v>6929</v>
      </c>
      <c r="M5815" s="1">
        <f>VALUE(8248)</f>
        <v>8248</v>
      </c>
      <c r="N5815" t="s">
        <v>25</v>
      </c>
    </row>
    <row r="5816" spans="1:14" x14ac:dyDescent="0.25">
      <c r="A5816" t="s">
        <v>42</v>
      </c>
      <c r="B5816" t="s">
        <v>15</v>
      </c>
      <c r="C5816" t="s">
        <v>37</v>
      </c>
      <c r="D5816" t="s">
        <v>28</v>
      </c>
      <c r="E5816" t="s">
        <v>22</v>
      </c>
      <c r="F5816" t="s">
        <v>20</v>
      </c>
      <c r="G5816" s="1">
        <f>VALUE(8050.47)</f>
        <v>8050.47</v>
      </c>
      <c r="H5816" s="1">
        <f>VALUE(6914.76)</f>
        <v>6914.76</v>
      </c>
      <c r="I5816" s="1">
        <f>VALUE(3971)</f>
        <v>3971</v>
      </c>
      <c r="J5816" s="1">
        <f>VALUE(4830)</f>
        <v>4830</v>
      </c>
      <c r="K5816" s="1">
        <f>VALUE(5674)</f>
        <v>5674</v>
      </c>
      <c r="L5816" s="1">
        <f>VALUE(6473)</f>
        <v>6473</v>
      </c>
      <c r="M5816" s="1">
        <f>VALUE(7406)</f>
        <v>7406</v>
      </c>
      <c r="N5816" t="s">
        <v>16</v>
      </c>
    </row>
    <row r="5817" spans="1:14" x14ac:dyDescent="0.25">
      <c r="A5817" t="s">
        <v>42</v>
      </c>
      <c r="B5817" t="s">
        <v>15</v>
      </c>
      <c r="C5817" t="s">
        <v>37</v>
      </c>
      <c r="D5817" t="s">
        <v>28</v>
      </c>
      <c r="E5817" t="s">
        <v>23</v>
      </c>
      <c r="F5817" t="s">
        <v>15</v>
      </c>
      <c r="G5817" s="1">
        <f>VALUE(2977.05)</f>
        <v>2977.05</v>
      </c>
      <c r="H5817" s="1">
        <f>VALUE(2388.3)</f>
        <v>2388.3000000000002</v>
      </c>
      <c r="I5817" s="1">
        <f>VALUE(3140)</f>
        <v>3140</v>
      </c>
      <c r="J5817" s="1">
        <f>VALUE(3850)</f>
        <v>3850</v>
      </c>
      <c r="K5817" s="1">
        <f>VALUE(4508)</f>
        <v>4508</v>
      </c>
      <c r="L5817" s="1">
        <f>VALUE(5558)</f>
        <v>5558</v>
      </c>
      <c r="M5817" s="1">
        <f>VALUE(6477)</f>
        <v>6477</v>
      </c>
      <c r="N5817" t="s">
        <v>16</v>
      </c>
    </row>
    <row r="5818" spans="1:14" x14ac:dyDescent="0.25">
      <c r="A5818" t="s">
        <v>42</v>
      </c>
      <c r="B5818" t="s">
        <v>15</v>
      </c>
      <c r="C5818" t="s">
        <v>37</v>
      </c>
      <c r="D5818" t="s">
        <v>28</v>
      </c>
      <c r="E5818" t="s">
        <v>23</v>
      </c>
      <c r="F5818" t="s">
        <v>17</v>
      </c>
      <c r="G5818" s="1" t="str">
        <f t="shared" ref="G5818:M5819" si="1275">"X"</f>
        <v>X</v>
      </c>
      <c r="H5818" s="1" t="str">
        <f t="shared" si="1275"/>
        <v>X</v>
      </c>
      <c r="I5818" s="1" t="str">
        <f t="shared" si="1275"/>
        <v>X</v>
      </c>
      <c r="J5818" s="1" t="str">
        <f t="shared" si="1275"/>
        <v>X</v>
      </c>
      <c r="K5818" s="1" t="str">
        <f t="shared" si="1275"/>
        <v>X</v>
      </c>
      <c r="L5818" s="1" t="str">
        <f t="shared" si="1275"/>
        <v>X</v>
      </c>
      <c r="M5818" s="1" t="str">
        <f t="shared" si="1275"/>
        <v>X</v>
      </c>
      <c r="N5818" t="s">
        <v>27</v>
      </c>
    </row>
    <row r="5819" spans="1:14" x14ac:dyDescent="0.25">
      <c r="A5819" t="s">
        <v>42</v>
      </c>
      <c r="B5819" t="s">
        <v>15</v>
      </c>
      <c r="C5819" t="s">
        <v>37</v>
      </c>
      <c r="D5819" t="s">
        <v>28</v>
      </c>
      <c r="E5819" t="s">
        <v>23</v>
      </c>
      <c r="F5819" t="s">
        <v>18</v>
      </c>
      <c r="G5819" s="1" t="str">
        <f t="shared" si="1275"/>
        <v>X</v>
      </c>
      <c r="H5819" s="1" t="str">
        <f t="shared" si="1275"/>
        <v>X</v>
      </c>
      <c r="I5819" s="1" t="str">
        <f t="shared" si="1275"/>
        <v>X</v>
      </c>
      <c r="J5819" s="1" t="str">
        <f t="shared" si="1275"/>
        <v>X</v>
      </c>
      <c r="K5819" s="1" t="str">
        <f t="shared" si="1275"/>
        <v>X</v>
      </c>
      <c r="L5819" s="1" t="str">
        <f t="shared" si="1275"/>
        <v>X</v>
      </c>
      <c r="M5819" s="1" t="str">
        <f t="shared" si="1275"/>
        <v>X</v>
      </c>
      <c r="N5819" t="s">
        <v>27</v>
      </c>
    </row>
    <row r="5820" spans="1:14" x14ac:dyDescent="0.25">
      <c r="A5820" t="s">
        <v>42</v>
      </c>
      <c r="B5820" t="s">
        <v>15</v>
      </c>
      <c r="C5820" t="s">
        <v>37</v>
      </c>
      <c r="D5820" t="s">
        <v>28</v>
      </c>
      <c r="E5820" t="s">
        <v>23</v>
      </c>
      <c r="F5820" t="s">
        <v>19</v>
      </c>
      <c r="G5820" s="2">
        <f>VALUE(240.22)</f>
        <v>240.22</v>
      </c>
      <c r="H5820" s="3">
        <f>VALUE(212.63)</f>
        <v>212.63</v>
      </c>
      <c r="I5820" s="4">
        <f>VALUE(3524)</f>
        <v>3524</v>
      </c>
      <c r="J5820" s="1">
        <f>VALUE(4066)</f>
        <v>4066</v>
      </c>
      <c r="K5820" s="1">
        <f>VALUE(4813)</f>
        <v>4813</v>
      </c>
      <c r="L5820" s="1">
        <f>VALUE(5852)</f>
        <v>5852</v>
      </c>
      <c r="M5820" s="1">
        <f>VALUE(7412)</f>
        <v>7412</v>
      </c>
      <c r="N5820" t="s">
        <v>25</v>
      </c>
    </row>
    <row r="5821" spans="1:14" x14ac:dyDescent="0.25">
      <c r="A5821" t="s">
        <v>42</v>
      </c>
      <c r="B5821" t="s">
        <v>15</v>
      </c>
      <c r="C5821" t="s">
        <v>37</v>
      </c>
      <c r="D5821" t="s">
        <v>28</v>
      </c>
      <c r="E5821" t="s">
        <v>23</v>
      </c>
      <c r="F5821" t="s">
        <v>20</v>
      </c>
      <c r="G5821" s="1">
        <f>VALUE(2410.17)</f>
        <v>2410.17</v>
      </c>
      <c r="H5821" s="3">
        <f>VALUE(1847.62)</f>
        <v>1847.62</v>
      </c>
      <c r="I5821" s="4">
        <f>VALUE(3087)</f>
        <v>3087</v>
      </c>
      <c r="J5821" s="1">
        <f>VALUE(3828)</f>
        <v>3828</v>
      </c>
      <c r="K5821" s="1">
        <f>VALUE(4442)</f>
        <v>4442</v>
      </c>
      <c r="L5821" s="1">
        <f>VALUE(5351)</f>
        <v>5351</v>
      </c>
      <c r="M5821" s="1">
        <f>VALUE(6256)</f>
        <v>6256</v>
      </c>
      <c r="N5821" t="s">
        <v>25</v>
      </c>
    </row>
    <row r="5822" spans="1:14" x14ac:dyDescent="0.25">
      <c r="A5822" t="s">
        <v>42</v>
      </c>
      <c r="B5822" t="s">
        <v>15</v>
      </c>
      <c r="C5822" t="s">
        <v>37</v>
      </c>
      <c r="D5822" t="s">
        <v>28</v>
      </c>
      <c r="E5822" t="s">
        <v>26</v>
      </c>
      <c r="F5822" t="s">
        <v>15</v>
      </c>
      <c r="G5822" s="2">
        <f>VALUE(473.67)</f>
        <v>473.67</v>
      </c>
      <c r="H5822" s="3">
        <f>VALUE(420.97)</f>
        <v>420.97</v>
      </c>
      <c r="I5822" s="4">
        <f>VALUE(3508)</f>
        <v>3508</v>
      </c>
      <c r="J5822" s="5">
        <f>VALUE(4327)</f>
        <v>4327</v>
      </c>
      <c r="K5822" s="1">
        <f>VALUE(6000)</f>
        <v>6000</v>
      </c>
      <c r="L5822" s="1">
        <f>VALUE(7828)</f>
        <v>7828</v>
      </c>
      <c r="M5822" s="8">
        <f>VALUE(10356)</f>
        <v>10356</v>
      </c>
      <c r="N5822" t="s">
        <v>25</v>
      </c>
    </row>
    <row r="5823" spans="1:14" x14ac:dyDescent="0.25">
      <c r="A5823" t="s">
        <v>42</v>
      </c>
      <c r="B5823" t="s">
        <v>15</v>
      </c>
      <c r="C5823" t="s">
        <v>37</v>
      </c>
      <c r="D5823" t="s">
        <v>28</v>
      </c>
      <c r="E5823" t="s">
        <v>26</v>
      </c>
      <c r="F5823" t="s">
        <v>17</v>
      </c>
      <c r="G5823" s="1" t="str">
        <f t="shared" ref="G5823:M5825" si="1276">"X"</f>
        <v>X</v>
      </c>
      <c r="H5823" s="1" t="str">
        <f t="shared" si="1276"/>
        <v>X</v>
      </c>
      <c r="I5823" s="1" t="str">
        <f t="shared" si="1276"/>
        <v>X</v>
      </c>
      <c r="J5823" s="1" t="str">
        <f t="shared" si="1276"/>
        <v>X</v>
      </c>
      <c r="K5823" s="1" t="str">
        <f t="shared" si="1276"/>
        <v>X</v>
      </c>
      <c r="L5823" s="1" t="str">
        <f t="shared" si="1276"/>
        <v>X</v>
      </c>
      <c r="M5823" s="1" t="str">
        <f t="shared" si="1276"/>
        <v>X</v>
      </c>
      <c r="N5823" t="s">
        <v>27</v>
      </c>
    </row>
    <row r="5824" spans="1:14" x14ac:dyDescent="0.25">
      <c r="A5824" t="s">
        <v>42</v>
      </c>
      <c r="B5824" t="s">
        <v>15</v>
      </c>
      <c r="C5824" t="s">
        <v>37</v>
      </c>
      <c r="D5824" t="s">
        <v>28</v>
      </c>
      <c r="E5824" t="s">
        <v>26</v>
      </c>
      <c r="F5824" t="s">
        <v>18</v>
      </c>
      <c r="G5824" s="1" t="str">
        <f t="shared" si="1276"/>
        <v>X</v>
      </c>
      <c r="H5824" s="1" t="str">
        <f t="shared" si="1276"/>
        <v>X</v>
      </c>
      <c r="I5824" s="1" t="str">
        <f t="shared" si="1276"/>
        <v>X</v>
      </c>
      <c r="J5824" s="1" t="str">
        <f t="shared" si="1276"/>
        <v>X</v>
      </c>
      <c r="K5824" s="1" t="str">
        <f t="shared" si="1276"/>
        <v>X</v>
      </c>
      <c r="L5824" s="1" t="str">
        <f t="shared" si="1276"/>
        <v>X</v>
      </c>
      <c r="M5824" s="1" t="str">
        <f t="shared" si="1276"/>
        <v>X</v>
      </c>
      <c r="N5824" t="s">
        <v>27</v>
      </c>
    </row>
    <row r="5825" spans="1:14" x14ac:dyDescent="0.25">
      <c r="A5825" t="s">
        <v>42</v>
      </c>
      <c r="B5825" t="s">
        <v>15</v>
      </c>
      <c r="C5825" t="s">
        <v>37</v>
      </c>
      <c r="D5825" t="s">
        <v>28</v>
      </c>
      <c r="E5825" t="s">
        <v>26</v>
      </c>
      <c r="F5825" t="s">
        <v>19</v>
      </c>
      <c r="G5825" s="1" t="str">
        <f t="shared" si="1276"/>
        <v>X</v>
      </c>
      <c r="H5825" s="1" t="str">
        <f t="shared" si="1276"/>
        <v>X</v>
      </c>
      <c r="I5825" s="1" t="str">
        <f t="shared" si="1276"/>
        <v>X</v>
      </c>
      <c r="J5825" s="1" t="str">
        <f t="shared" si="1276"/>
        <v>X</v>
      </c>
      <c r="K5825" s="1" t="str">
        <f t="shared" si="1276"/>
        <v>X</v>
      </c>
      <c r="L5825" s="1" t="str">
        <f t="shared" si="1276"/>
        <v>X</v>
      </c>
      <c r="M5825" s="1" t="str">
        <f t="shared" si="1276"/>
        <v>X</v>
      </c>
      <c r="N5825" t="s">
        <v>27</v>
      </c>
    </row>
    <row r="5826" spans="1:14" x14ac:dyDescent="0.25">
      <c r="A5826" t="s">
        <v>42</v>
      </c>
      <c r="B5826" t="s">
        <v>15</v>
      </c>
      <c r="C5826" t="s">
        <v>37</v>
      </c>
      <c r="D5826" t="s">
        <v>28</v>
      </c>
      <c r="E5826" t="s">
        <v>26</v>
      </c>
      <c r="F5826" t="s">
        <v>20</v>
      </c>
      <c r="G5826" s="2">
        <f>VALUE(352.61)</f>
        <v>352.61</v>
      </c>
      <c r="H5826" s="3">
        <f>VALUE(308.86)</f>
        <v>308.86</v>
      </c>
      <c r="I5826" s="4">
        <f>VALUE(3453)</f>
        <v>3453</v>
      </c>
      <c r="J5826" s="5">
        <f>VALUE(4206)</f>
        <v>4206</v>
      </c>
      <c r="K5826" s="6">
        <f>VALUE(5775)</f>
        <v>5775</v>
      </c>
      <c r="L5826" s="1">
        <f>VALUE(6984)</f>
        <v>6984</v>
      </c>
      <c r="M5826" s="1">
        <f>VALUE(8795)</f>
        <v>8795</v>
      </c>
      <c r="N5826" t="s">
        <v>25</v>
      </c>
    </row>
    <row r="5827" spans="1:14" x14ac:dyDescent="0.25">
      <c r="A5827" t="s">
        <v>42</v>
      </c>
      <c r="B5827" t="s">
        <v>15</v>
      </c>
      <c r="C5827" t="s">
        <v>37</v>
      </c>
      <c r="D5827" t="s">
        <v>29</v>
      </c>
      <c r="E5827" t="s">
        <v>15</v>
      </c>
      <c r="F5827" t="s">
        <v>15</v>
      </c>
      <c r="G5827" s="1">
        <f>VALUE(8083.67)</f>
        <v>8083.67</v>
      </c>
      <c r="H5827" s="1">
        <f>VALUE(7369)</f>
        <v>7369</v>
      </c>
      <c r="I5827" s="1">
        <f>VALUE(3706)</f>
        <v>3706</v>
      </c>
      <c r="J5827" s="1">
        <f>VALUE(4373)</f>
        <v>4373</v>
      </c>
      <c r="K5827" s="1">
        <f>VALUE(5448)</f>
        <v>5448</v>
      </c>
      <c r="L5827" s="1">
        <f>VALUE(6959)</f>
        <v>6959</v>
      </c>
      <c r="M5827" s="1">
        <f>VALUE(9941)</f>
        <v>9941</v>
      </c>
      <c r="N5827" t="s">
        <v>16</v>
      </c>
    </row>
    <row r="5828" spans="1:14" x14ac:dyDescent="0.25">
      <c r="A5828" t="s">
        <v>42</v>
      </c>
      <c r="B5828" t="s">
        <v>15</v>
      </c>
      <c r="C5828" t="s">
        <v>37</v>
      </c>
      <c r="D5828" t="s">
        <v>29</v>
      </c>
      <c r="E5828" t="s">
        <v>15</v>
      </c>
      <c r="F5828" t="s">
        <v>17</v>
      </c>
      <c r="G5828" s="2">
        <f>VALUE(1310.91)</f>
        <v>1310.91</v>
      </c>
      <c r="H5828" s="3">
        <f>VALUE(1289.73)</f>
        <v>1289.73</v>
      </c>
      <c r="I5828" s="4">
        <f>VALUE(3739)</f>
        <v>3739</v>
      </c>
      <c r="J5828" s="5">
        <f>VALUE(5579)</f>
        <v>5579</v>
      </c>
      <c r="K5828" s="6">
        <f>VALUE(8125)</f>
        <v>8125</v>
      </c>
      <c r="L5828" s="7">
        <f>VALUE(11865)</f>
        <v>11865</v>
      </c>
      <c r="M5828" s="8">
        <f>VALUE(19608)</f>
        <v>19608</v>
      </c>
      <c r="N5828" t="s">
        <v>24</v>
      </c>
    </row>
    <row r="5829" spans="1:14" x14ac:dyDescent="0.25">
      <c r="A5829" t="s">
        <v>42</v>
      </c>
      <c r="B5829" t="s">
        <v>15</v>
      </c>
      <c r="C5829" t="s">
        <v>37</v>
      </c>
      <c r="D5829" t="s">
        <v>29</v>
      </c>
      <c r="E5829" t="s">
        <v>15</v>
      </c>
      <c r="F5829" t="s">
        <v>18</v>
      </c>
      <c r="G5829" s="2">
        <f>VALUE(707.37)</f>
        <v>707.37</v>
      </c>
      <c r="H5829" s="3">
        <f>VALUE(665.23)</f>
        <v>665.23</v>
      </c>
      <c r="I5829" s="4">
        <f>VALUE(4054)</f>
        <v>4054</v>
      </c>
      <c r="J5829" s="1">
        <f>VALUE(5138)</f>
        <v>5138</v>
      </c>
      <c r="K5829" s="6">
        <f>VALUE(6650)</f>
        <v>6650</v>
      </c>
      <c r="L5829" s="1">
        <f>VALUE(8445)</f>
        <v>8445</v>
      </c>
      <c r="M5829" s="8">
        <f>VALUE(11000)</f>
        <v>11000</v>
      </c>
      <c r="N5829" t="s">
        <v>25</v>
      </c>
    </row>
    <row r="5830" spans="1:14" x14ac:dyDescent="0.25">
      <c r="A5830" t="s">
        <v>42</v>
      </c>
      <c r="B5830" t="s">
        <v>15</v>
      </c>
      <c r="C5830" t="s">
        <v>37</v>
      </c>
      <c r="D5830" t="s">
        <v>29</v>
      </c>
      <c r="E5830" t="s">
        <v>15</v>
      </c>
      <c r="F5830" t="s">
        <v>19</v>
      </c>
      <c r="G5830" s="2">
        <f>VALUE(1067.87)</f>
        <v>1067.8699999999999</v>
      </c>
      <c r="H5830" s="3">
        <f>VALUE(1012.68)</f>
        <v>1012.68</v>
      </c>
      <c r="I5830" s="1">
        <f>VALUE(4134)</f>
        <v>4134</v>
      </c>
      <c r="J5830" s="1">
        <f>VALUE(4770)</f>
        <v>4770</v>
      </c>
      <c r="K5830" s="1">
        <f>VALUE(5520)</f>
        <v>5520</v>
      </c>
      <c r="L5830" s="1">
        <f>VALUE(6711)</f>
        <v>6711</v>
      </c>
      <c r="M5830" s="1">
        <f>VALUE(8104)</f>
        <v>8104</v>
      </c>
      <c r="N5830" t="s">
        <v>25</v>
      </c>
    </row>
    <row r="5831" spans="1:14" x14ac:dyDescent="0.25">
      <c r="A5831" t="s">
        <v>42</v>
      </c>
      <c r="B5831" t="s">
        <v>15</v>
      </c>
      <c r="C5831" t="s">
        <v>37</v>
      </c>
      <c r="D5831" t="s">
        <v>29</v>
      </c>
      <c r="E5831" t="s">
        <v>15</v>
      </c>
      <c r="F5831" t="s">
        <v>20</v>
      </c>
      <c r="G5831" s="1">
        <f>VALUE(4997.52)</f>
        <v>4997.5200000000004</v>
      </c>
      <c r="H5831" s="1">
        <f>VALUE(4401.36)</f>
        <v>4401.3599999999997</v>
      </c>
      <c r="I5831" s="1">
        <f>VALUE(3554)</f>
        <v>3554</v>
      </c>
      <c r="J5831" s="1">
        <f>VALUE(4158)</f>
        <v>4158</v>
      </c>
      <c r="K5831" s="1">
        <f>VALUE(5103)</f>
        <v>5103</v>
      </c>
      <c r="L5831" s="1">
        <f>VALUE(6137)</f>
        <v>6137</v>
      </c>
      <c r="M5831" s="1">
        <f>VALUE(7238)</f>
        <v>7238</v>
      </c>
      <c r="N5831" t="s">
        <v>16</v>
      </c>
    </row>
    <row r="5832" spans="1:14" x14ac:dyDescent="0.25">
      <c r="A5832" t="s">
        <v>42</v>
      </c>
      <c r="B5832" t="s">
        <v>15</v>
      </c>
      <c r="C5832" t="s">
        <v>37</v>
      </c>
      <c r="D5832" t="s">
        <v>29</v>
      </c>
      <c r="E5832" t="s">
        <v>21</v>
      </c>
      <c r="F5832" t="s">
        <v>15</v>
      </c>
      <c r="G5832" s="1">
        <f>VALUE(1403.42)</f>
        <v>1403.42</v>
      </c>
      <c r="H5832" s="1">
        <f>VALUE(1291.85)</f>
        <v>1291.8499999999999</v>
      </c>
      <c r="I5832" s="4">
        <f>VALUE(5031)</f>
        <v>5031</v>
      </c>
      <c r="J5832" s="1">
        <f>VALUE(6222)</f>
        <v>6222</v>
      </c>
      <c r="K5832" s="1">
        <f>VALUE(8242)</f>
        <v>8242</v>
      </c>
      <c r="L5832" s="1">
        <f>VALUE(11257)</f>
        <v>11257</v>
      </c>
      <c r="M5832" s="8">
        <f>VALUE(18040)</f>
        <v>18040</v>
      </c>
      <c r="N5832" t="s">
        <v>25</v>
      </c>
    </row>
    <row r="5833" spans="1:14" x14ac:dyDescent="0.25">
      <c r="A5833" t="s">
        <v>42</v>
      </c>
      <c r="B5833" t="s">
        <v>15</v>
      </c>
      <c r="C5833" t="s">
        <v>37</v>
      </c>
      <c r="D5833" t="s">
        <v>29</v>
      </c>
      <c r="E5833" t="s">
        <v>21</v>
      </c>
      <c r="F5833" t="s">
        <v>17</v>
      </c>
      <c r="G5833" s="2">
        <f>VALUE(578.64)</f>
        <v>578.64</v>
      </c>
      <c r="H5833" s="3">
        <f>VALUE(563.75)</f>
        <v>563.75</v>
      </c>
      <c r="I5833" s="4">
        <f>VALUE(6222)</f>
        <v>6222</v>
      </c>
      <c r="J5833" s="1">
        <f>VALUE(7756)</f>
        <v>7756</v>
      </c>
      <c r="K5833" s="1">
        <f>VALUE(10676)</f>
        <v>10676</v>
      </c>
      <c r="L5833" s="7">
        <f>VALUE(16891)</f>
        <v>16891</v>
      </c>
      <c r="M5833" s="8">
        <f>VALUE(27059)</f>
        <v>27059</v>
      </c>
      <c r="N5833" t="s">
        <v>25</v>
      </c>
    </row>
    <row r="5834" spans="1:14" x14ac:dyDescent="0.25">
      <c r="A5834" t="s">
        <v>42</v>
      </c>
      <c r="B5834" t="s">
        <v>15</v>
      </c>
      <c r="C5834" t="s">
        <v>37</v>
      </c>
      <c r="D5834" t="s">
        <v>29</v>
      </c>
      <c r="E5834" t="s">
        <v>21</v>
      </c>
      <c r="F5834" t="s">
        <v>18</v>
      </c>
      <c r="G5834" s="2">
        <f>VALUE(212.89)</f>
        <v>212.89</v>
      </c>
      <c r="H5834" s="3">
        <f>VALUE(186.65)</f>
        <v>186.65</v>
      </c>
      <c r="I5834" s="1">
        <f>VALUE(5185)</f>
        <v>5185</v>
      </c>
      <c r="J5834" s="5">
        <f>VALUE(6438)</f>
        <v>6438</v>
      </c>
      <c r="K5834" s="1">
        <f>VALUE(8562)</f>
        <v>8562</v>
      </c>
      <c r="L5834" s="7">
        <f>VALUE(11000)</f>
        <v>11000</v>
      </c>
      <c r="M5834" s="1">
        <f>VALUE(13553)</f>
        <v>13553</v>
      </c>
      <c r="N5834" t="s">
        <v>25</v>
      </c>
    </row>
    <row r="5835" spans="1:14" x14ac:dyDescent="0.25">
      <c r="A5835" t="s">
        <v>42</v>
      </c>
      <c r="B5835" t="s">
        <v>15</v>
      </c>
      <c r="C5835" t="s">
        <v>37</v>
      </c>
      <c r="D5835" t="s">
        <v>29</v>
      </c>
      <c r="E5835" t="s">
        <v>21</v>
      </c>
      <c r="F5835" t="s">
        <v>19</v>
      </c>
      <c r="G5835" s="2">
        <f>VALUE(203.43)</f>
        <v>203.43</v>
      </c>
      <c r="H5835" s="3">
        <f>VALUE(197.09)</f>
        <v>197.09</v>
      </c>
      <c r="I5835" s="1">
        <f>VALUE(4359)</f>
        <v>4359</v>
      </c>
      <c r="J5835" s="5">
        <f>VALUE(5365)</f>
        <v>5365</v>
      </c>
      <c r="K5835" s="1">
        <f>VALUE(6306)</f>
        <v>6306</v>
      </c>
      <c r="L5835" s="7">
        <f>VALUE(8346)</f>
        <v>8346</v>
      </c>
      <c r="M5835" s="8">
        <f>VALUE(11106)</f>
        <v>11106</v>
      </c>
      <c r="N5835" t="s">
        <v>25</v>
      </c>
    </row>
    <row r="5836" spans="1:14" x14ac:dyDescent="0.25">
      <c r="A5836" t="s">
        <v>42</v>
      </c>
      <c r="B5836" t="s">
        <v>15</v>
      </c>
      <c r="C5836" t="s">
        <v>37</v>
      </c>
      <c r="D5836" t="s">
        <v>29</v>
      </c>
      <c r="E5836" t="s">
        <v>21</v>
      </c>
      <c r="F5836" t="s">
        <v>20</v>
      </c>
      <c r="G5836" s="2">
        <f>VALUE(408.46)</f>
        <v>408.46</v>
      </c>
      <c r="H5836" s="3">
        <f>VALUE(344.36)</f>
        <v>344.36</v>
      </c>
      <c r="I5836" s="1">
        <f>VALUE(4746)</f>
        <v>4746</v>
      </c>
      <c r="J5836" s="1">
        <f>VALUE(5768)</f>
        <v>5768</v>
      </c>
      <c r="K5836" s="1">
        <f>VALUE(7183)</f>
        <v>7183</v>
      </c>
      <c r="L5836" s="1">
        <f>VALUE(8673)</f>
        <v>8673</v>
      </c>
      <c r="M5836" s="1">
        <f>VALUE(10359)</f>
        <v>10359</v>
      </c>
      <c r="N5836" t="s">
        <v>25</v>
      </c>
    </row>
    <row r="5837" spans="1:14" x14ac:dyDescent="0.25">
      <c r="A5837" t="s">
        <v>42</v>
      </c>
      <c r="B5837" t="s">
        <v>15</v>
      </c>
      <c r="C5837" t="s">
        <v>37</v>
      </c>
      <c r="D5837" t="s">
        <v>29</v>
      </c>
      <c r="E5837" t="s">
        <v>22</v>
      </c>
      <c r="F5837" t="s">
        <v>15</v>
      </c>
      <c r="G5837" s="1">
        <f>VALUE(3170.87)</f>
        <v>3170.87</v>
      </c>
      <c r="H5837" s="1">
        <f>VALUE(2986.57)</f>
        <v>2986.57</v>
      </c>
      <c r="I5837" s="1">
        <f>VALUE(4093)</f>
        <v>4093</v>
      </c>
      <c r="J5837" s="1">
        <f>VALUE(4875)</f>
        <v>4875</v>
      </c>
      <c r="K5837" s="1">
        <f>VALUE(5756)</f>
        <v>5756</v>
      </c>
      <c r="L5837" s="1">
        <f>VALUE(7087)</f>
        <v>7087</v>
      </c>
      <c r="M5837" s="8">
        <f>VALUE(8887)</f>
        <v>8887</v>
      </c>
      <c r="N5837" t="s">
        <v>25</v>
      </c>
    </row>
    <row r="5838" spans="1:14" x14ac:dyDescent="0.25">
      <c r="A5838" t="s">
        <v>42</v>
      </c>
      <c r="B5838" t="s">
        <v>15</v>
      </c>
      <c r="C5838" t="s">
        <v>37</v>
      </c>
      <c r="D5838" t="s">
        <v>29</v>
      </c>
      <c r="E5838" t="s">
        <v>22</v>
      </c>
      <c r="F5838" t="s">
        <v>17</v>
      </c>
      <c r="G5838" s="2">
        <f>VALUE(464.45)</f>
        <v>464.45</v>
      </c>
      <c r="H5838" s="3">
        <f>VALUE(464.31)</f>
        <v>464.31</v>
      </c>
      <c r="I5838" s="4">
        <f>VALUE(4658)</f>
        <v>4658</v>
      </c>
      <c r="J5838" s="5">
        <f>VALUE(6422)</f>
        <v>6422</v>
      </c>
      <c r="K5838" s="6">
        <f>VALUE(8000)</f>
        <v>8000</v>
      </c>
      <c r="L5838" s="7">
        <f>VALUE(10713)</f>
        <v>10713</v>
      </c>
      <c r="M5838" s="8">
        <f>VALUE(14933)</f>
        <v>14933</v>
      </c>
      <c r="N5838" t="s">
        <v>24</v>
      </c>
    </row>
    <row r="5839" spans="1:14" x14ac:dyDescent="0.25">
      <c r="A5839" t="s">
        <v>42</v>
      </c>
      <c r="B5839" t="s">
        <v>15</v>
      </c>
      <c r="C5839" t="s">
        <v>37</v>
      </c>
      <c r="D5839" t="s">
        <v>29</v>
      </c>
      <c r="E5839" t="s">
        <v>22</v>
      </c>
      <c r="F5839" t="s">
        <v>18</v>
      </c>
      <c r="G5839" s="2">
        <f>VALUE(346.61)</f>
        <v>346.61</v>
      </c>
      <c r="H5839" s="3">
        <f>VALUE(329.16)</f>
        <v>329.16</v>
      </c>
      <c r="I5839" s="1">
        <f>VALUE(4917)</f>
        <v>4917</v>
      </c>
      <c r="J5839" s="5">
        <f>VALUE(5419)</f>
        <v>5419</v>
      </c>
      <c r="K5839" s="6">
        <f>VALUE(7055)</f>
        <v>7055</v>
      </c>
      <c r="L5839" s="1">
        <f>VALUE(8161)</f>
        <v>8161</v>
      </c>
      <c r="M5839" s="1">
        <f>VALUE(8823)</f>
        <v>8823</v>
      </c>
      <c r="N5839" t="s">
        <v>25</v>
      </c>
    </row>
    <row r="5840" spans="1:14" x14ac:dyDescent="0.25">
      <c r="A5840" t="s">
        <v>42</v>
      </c>
      <c r="B5840" t="s">
        <v>15</v>
      </c>
      <c r="C5840" t="s">
        <v>37</v>
      </c>
      <c r="D5840" t="s">
        <v>29</v>
      </c>
      <c r="E5840" t="s">
        <v>22</v>
      </c>
      <c r="F5840" t="s">
        <v>19</v>
      </c>
      <c r="G5840" s="2">
        <f>VALUE(612.94)</f>
        <v>612.94000000000005</v>
      </c>
      <c r="H5840" s="3">
        <f>VALUE(575.45)</f>
        <v>575.45000000000005</v>
      </c>
      <c r="I5840" s="1">
        <f>VALUE(4411)</f>
        <v>4411</v>
      </c>
      <c r="J5840" s="1">
        <f>VALUE(4903)</f>
        <v>4903</v>
      </c>
      <c r="K5840" s="1">
        <f>VALUE(5651)</f>
        <v>5651</v>
      </c>
      <c r="L5840" s="1">
        <f>VALUE(6656)</f>
        <v>6656</v>
      </c>
      <c r="M5840" s="1">
        <f>VALUE(7700)</f>
        <v>7700</v>
      </c>
      <c r="N5840" t="s">
        <v>25</v>
      </c>
    </row>
    <row r="5841" spans="1:14" x14ac:dyDescent="0.25">
      <c r="A5841" t="s">
        <v>42</v>
      </c>
      <c r="B5841" t="s">
        <v>15</v>
      </c>
      <c r="C5841" t="s">
        <v>37</v>
      </c>
      <c r="D5841" t="s">
        <v>29</v>
      </c>
      <c r="E5841" t="s">
        <v>22</v>
      </c>
      <c r="F5841" t="s">
        <v>20</v>
      </c>
      <c r="G5841" s="2">
        <f>VALUE(1746.87)</f>
        <v>1746.87</v>
      </c>
      <c r="H5841" s="3">
        <f>VALUE(1617.65)</f>
        <v>1617.65</v>
      </c>
      <c r="I5841" s="4">
        <f>VALUE(3961)</f>
        <v>3961</v>
      </c>
      <c r="J5841" s="1">
        <f>VALUE(4577)</f>
        <v>4577</v>
      </c>
      <c r="K5841" s="1">
        <f>VALUE(5413)</f>
        <v>5413</v>
      </c>
      <c r="L5841" s="1">
        <f>VALUE(6448)</f>
        <v>6448</v>
      </c>
      <c r="M5841" s="1">
        <f>VALUE(7465)</f>
        <v>7465</v>
      </c>
      <c r="N5841" t="s">
        <v>25</v>
      </c>
    </row>
    <row r="5842" spans="1:14" x14ac:dyDescent="0.25">
      <c r="A5842" t="s">
        <v>42</v>
      </c>
      <c r="B5842" t="s">
        <v>15</v>
      </c>
      <c r="C5842" t="s">
        <v>37</v>
      </c>
      <c r="D5842" t="s">
        <v>29</v>
      </c>
      <c r="E5842" t="s">
        <v>23</v>
      </c>
      <c r="F5842" t="s">
        <v>15</v>
      </c>
      <c r="G5842" s="1">
        <f>VALUE(3258.31)</f>
        <v>3258.31</v>
      </c>
      <c r="H5842" s="1">
        <f>VALUE(2867.93)</f>
        <v>2867.93</v>
      </c>
      <c r="I5842" s="1">
        <f>VALUE(3463)</f>
        <v>3463</v>
      </c>
      <c r="J5842" s="1">
        <f>VALUE(3913)</f>
        <v>3913</v>
      </c>
      <c r="K5842" s="1">
        <f>VALUE(4573)</f>
        <v>4573</v>
      </c>
      <c r="L5842" s="1">
        <f>VALUE(5478)</f>
        <v>5478</v>
      </c>
      <c r="M5842" s="1">
        <f>VALUE(6314)</f>
        <v>6314</v>
      </c>
      <c r="N5842" t="s">
        <v>16</v>
      </c>
    </row>
    <row r="5843" spans="1:14" x14ac:dyDescent="0.25">
      <c r="A5843" t="s">
        <v>42</v>
      </c>
      <c r="B5843" t="s">
        <v>15</v>
      </c>
      <c r="C5843" t="s">
        <v>37</v>
      </c>
      <c r="D5843" t="s">
        <v>29</v>
      </c>
      <c r="E5843" t="s">
        <v>23</v>
      </c>
      <c r="F5843" t="s">
        <v>17</v>
      </c>
      <c r="G5843" s="1" t="str">
        <f t="shared" ref="G5843:M5844" si="1277">"X"</f>
        <v>X</v>
      </c>
      <c r="H5843" s="1" t="str">
        <f t="shared" si="1277"/>
        <v>X</v>
      </c>
      <c r="I5843" s="1" t="str">
        <f t="shared" si="1277"/>
        <v>X</v>
      </c>
      <c r="J5843" s="1" t="str">
        <f t="shared" si="1277"/>
        <v>X</v>
      </c>
      <c r="K5843" s="1" t="str">
        <f t="shared" si="1277"/>
        <v>X</v>
      </c>
      <c r="L5843" s="1" t="str">
        <f t="shared" si="1277"/>
        <v>X</v>
      </c>
      <c r="M5843" s="1" t="str">
        <f t="shared" si="1277"/>
        <v>X</v>
      </c>
      <c r="N5843" t="s">
        <v>27</v>
      </c>
    </row>
    <row r="5844" spans="1:14" x14ac:dyDescent="0.25">
      <c r="A5844" t="s">
        <v>42</v>
      </c>
      <c r="B5844" t="s">
        <v>15</v>
      </c>
      <c r="C5844" t="s">
        <v>37</v>
      </c>
      <c r="D5844" t="s">
        <v>29</v>
      </c>
      <c r="E5844" t="s">
        <v>23</v>
      </c>
      <c r="F5844" t="s">
        <v>18</v>
      </c>
      <c r="G5844" s="1" t="str">
        <f t="shared" si="1277"/>
        <v>X</v>
      </c>
      <c r="H5844" s="1" t="str">
        <f t="shared" si="1277"/>
        <v>X</v>
      </c>
      <c r="I5844" s="1" t="str">
        <f t="shared" si="1277"/>
        <v>X</v>
      </c>
      <c r="J5844" s="1" t="str">
        <f t="shared" si="1277"/>
        <v>X</v>
      </c>
      <c r="K5844" s="1" t="str">
        <f t="shared" si="1277"/>
        <v>X</v>
      </c>
      <c r="L5844" s="1" t="str">
        <f t="shared" si="1277"/>
        <v>X</v>
      </c>
      <c r="M5844" s="1" t="str">
        <f t="shared" si="1277"/>
        <v>X</v>
      </c>
      <c r="N5844" t="s">
        <v>27</v>
      </c>
    </row>
    <row r="5845" spans="1:14" x14ac:dyDescent="0.25">
      <c r="A5845" t="s">
        <v>42</v>
      </c>
      <c r="B5845" t="s">
        <v>15</v>
      </c>
      <c r="C5845" t="s">
        <v>37</v>
      </c>
      <c r="D5845" t="s">
        <v>29</v>
      </c>
      <c r="E5845" t="s">
        <v>23</v>
      </c>
      <c r="F5845" t="s">
        <v>19</v>
      </c>
      <c r="G5845" s="2">
        <f>VALUE(243.41)</f>
        <v>243.41</v>
      </c>
      <c r="H5845" s="3">
        <f>VALUE(232.93)</f>
        <v>232.93</v>
      </c>
      <c r="I5845" s="4">
        <f>VALUE(3360)</f>
        <v>3360</v>
      </c>
      <c r="J5845" s="5">
        <f>VALUE(4177)</f>
        <v>4177</v>
      </c>
      <c r="K5845" s="6">
        <f>VALUE(5215)</f>
        <v>5215</v>
      </c>
      <c r="L5845" s="1">
        <f>VALUE(5828)</f>
        <v>5828</v>
      </c>
      <c r="M5845" s="1">
        <f>VALUE(6719)</f>
        <v>6719</v>
      </c>
      <c r="N5845" t="s">
        <v>25</v>
      </c>
    </row>
    <row r="5846" spans="1:14" x14ac:dyDescent="0.25">
      <c r="A5846" t="s">
        <v>42</v>
      </c>
      <c r="B5846" t="s">
        <v>15</v>
      </c>
      <c r="C5846" t="s">
        <v>37</v>
      </c>
      <c r="D5846" t="s">
        <v>29</v>
      </c>
      <c r="E5846" t="s">
        <v>23</v>
      </c>
      <c r="F5846" t="s">
        <v>20</v>
      </c>
      <c r="G5846" s="1">
        <f>VALUE(2639.3)</f>
        <v>2639.3</v>
      </c>
      <c r="H5846" s="1">
        <f>VALUE(2262)</f>
        <v>2262</v>
      </c>
      <c r="I5846" s="1">
        <f>VALUE(3502)</f>
        <v>3502</v>
      </c>
      <c r="J5846" s="1">
        <f>VALUE(3972)</f>
        <v>3972</v>
      </c>
      <c r="K5846" s="1">
        <f>VALUE(4603)</f>
        <v>4603</v>
      </c>
      <c r="L5846" s="1">
        <f>VALUE(5478)</f>
        <v>5478</v>
      </c>
      <c r="M5846" s="1">
        <f>VALUE(6278)</f>
        <v>6278</v>
      </c>
      <c r="N5846" t="s">
        <v>16</v>
      </c>
    </row>
    <row r="5847" spans="1:14" x14ac:dyDescent="0.25">
      <c r="A5847" t="s">
        <v>42</v>
      </c>
      <c r="B5847" t="s">
        <v>15</v>
      </c>
      <c r="C5847" t="s">
        <v>37</v>
      </c>
      <c r="D5847" t="s">
        <v>29</v>
      </c>
      <c r="E5847" t="s">
        <v>26</v>
      </c>
      <c r="F5847" t="s">
        <v>15</v>
      </c>
      <c r="G5847" s="2">
        <f>VALUE(251.07)</f>
        <v>251.07</v>
      </c>
      <c r="H5847" s="3">
        <f>VALUE(222.65)</f>
        <v>222.65</v>
      </c>
      <c r="I5847" s="4">
        <f>VALUE(3227)</f>
        <v>3227</v>
      </c>
      <c r="J5847" s="5">
        <f>VALUE(3529)</f>
        <v>3529</v>
      </c>
      <c r="K5847" s="6">
        <f>VALUE(4702)</f>
        <v>4702</v>
      </c>
      <c r="L5847" s="7">
        <f>VALUE(6360)</f>
        <v>6360</v>
      </c>
      <c r="M5847" s="8">
        <f>VALUE(9011)</f>
        <v>9011</v>
      </c>
      <c r="N5847" t="s">
        <v>24</v>
      </c>
    </row>
    <row r="5848" spans="1:14" x14ac:dyDescent="0.25">
      <c r="A5848" t="s">
        <v>42</v>
      </c>
      <c r="B5848" t="s">
        <v>15</v>
      </c>
      <c r="C5848" t="s">
        <v>37</v>
      </c>
      <c r="D5848" t="s">
        <v>29</v>
      </c>
      <c r="E5848" t="s">
        <v>26</v>
      </c>
      <c r="F5848" t="s">
        <v>17</v>
      </c>
      <c r="G5848" s="1" t="str">
        <f t="shared" ref="G5848:M5850" si="1278">"X"</f>
        <v>X</v>
      </c>
      <c r="H5848" s="1" t="str">
        <f t="shared" si="1278"/>
        <v>X</v>
      </c>
      <c r="I5848" s="1" t="str">
        <f t="shared" si="1278"/>
        <v>X</v>
      </c>
      <c r="J5848" s="1" t="str">
        <f t="shared" si="1278"/>
        <v>X</v>
      </c>
      <c r="K5848" s="1" t="str">
        <f t="shared" si="1278"/>
        <v>X</v>
      </c>
      <c r="L5848" s="1" t="str">
        <f t="shared" si="1278"/>
        <v>X</v>
      </c>
      <c r="M5848" s="1" t="str">
        <f t="shared" si="1278"/>
        <v>X</v>
      </c>
      <c r="N5848" t="s">
        <v>27</v>
      </c>
    </row>
    <row r="5849" spans="1:14" x14ac:dyDescent="0.25">
      <c r="A5849" t="s">
        <v>42</v>
      </c>
      <c r="B5849" t="s">
        <v>15</v>
      </c>
      <c r="C5849" t="s">
        <v>37</v>
      </c>
      <c r="D5849" t="s">
        <v>29</v>
      </c>
      <c r="E5849" t="s">
        <v>26</v>
      </c>
      <c r="F5849" t="s">
        <v>18</v>
      </c>
      <c r="G5849" s="1" t="str">
        <f t="shared" si="1278"/>
        <v>X</v>
      </c>
      <c r="H5849" s="1" t="str">
        <f t="shared" si="1278"/>
        <v>X</v>
      </c>
      <c r="I5849" s="1" t="str">
        <f t="shared" si="1278"/>
        <v>X</v>
      </c>
      <c r="J5849" s="1" t="str">
        <f t="shared" si="1278"/>
        <v>X</v>
      </c>
      <c r="K5849" s="1" t="str">
        <f t="shared" si="1278"/>
        <v>X</v>
      </c>
      <c r="L5849" s="1" t="str">
        <f t="shared" si="1278"/>
        <v>X</v>
      </c>
      <c r="M5849" s="1" t="str">
        <f t="shared" si="1278"/>
        <v>X</v>
      </c>
      <c r="N5849" t="s">
        <v>27</v>
      </c>
    </row>
    <row r="5850" spans="1:14" x14ac:dyDescent="0.25">
      <c r="A5850" t="s">
        <v>42</v>
      </c>
      <c r="B5850" t="s">
        <v>15</v>
      </c>
      <c r="C5850" t="s">
        <v>37</v>
      </c>
      <c r="D5850" t="s">
        <v>29</v>
      </c>
      <c r="E5850" t="s">
        <v>26</v>
      </c>
      <c r="F5850" t="s">
        <v>19</v>
      </c>
      <c r="G5850" s="1" t="str">
        <f t="shared" si="1278"/>
        <v>X</v>
      </c>
      <c r="H5850" s="1" t="str">
        <f t="shared" si="1278"/>
        <v>X</v>
      </c>
      <c r="I5850" s="1" t="str">
        <f t="shared" si="1278"/>
        <v>X</v>
      </c>
      <c r="J5850" s="1" t="str">
        <f t="shared" si="1278"/>
        <v>X</v>
      </c>
      <c r="K5850" s="1" t="str">
        <f t="shared" si="1278"/>
        <v>X</v>
      </c>
      <c r="L5850" s="1" t="str">
        <f t="shared" si="1278"/>
        <v>X</v>
      </c>
      <c r="M5850" s="1" t="str">
        <f t="shared" si="1278"/>
        <v>X</v>
      </c>
      <c r="N5850" t="s">
        <v>27</v>
      </c>
    </row>
    <row r="5851" spans="1:14" x14ac:dyDescent="0.25">
      <c r="A5851" t="s">
        <v>42</v>
      </c>
      <c r="B5851" t="s">
        <v>15</v>
      </c>
      <c r="C5851" t="s">
        <v>37</v>
      </c>
      <c r="D5851" t="s">
        <v>29</v>
      </c>
      <c r="E5851" t="s">
        <v>26</v>
      </c>
      <c r="F5851" t="s">
        <v>20</v>
      </c>
      <c r="G5851" s="2">
        <f>VALUE(202.89)</f>
        <v>202.89</v>
      </c>
      <c r="H5851" s="3">
        <f>VALUE(177.35)</f>
        <v>177.35</v>
      </c>
      <c r="I5851" s="4">
        <f>VALUE(3227)</f>
        <v>3227</v>
      </c>
      <c r="J5851" s="5">
        <f>VALUE(3529)</f>
        <v>3529</v>
      </c>
      <c r="K5851" s="6">
        <f>VALUE(4333)</f>
        <v>4333</v>
      </c>
      <c r="L5851" s="7">
        <f>VALUE(5872)</f>
        <v>5872</v>
      </c>
      <c r="M5851" s="8">
        <f>VALUE(6954)</f>
        <v>6954</v>
      </c>
      <c r="N5851" t="s">
        <v>24</v>
      </c>
    </row>
    <row r="5852" spans="1:14" x14ac:dyDescent="0.25">
      <c r="A5852" t="s">
        <v>42</v>
      </c>
      <c r="B5852" t="s">
        <v>15</v>
      </c>
      <c r="C5852" t="s">
        <v>37</v>
      </c>
      <c r="D5852" t="s">
        <v>31</v>
      </c>
      <c r="E5852" t="s">
        <v>15</v>
      </c>
      <c r="F5852" t="s">
        <v>15</v>
      </c>
      <c r="G5852" s="1">
        <f>VALUE(3513.34)</f>
        <v>3513.34</v>
      </c>
      <c r="H5852" s="1">
        <f>VALUE(3241.1)</f>
        <v>3241.1</v>
      </c>
      <c r="I5852" s="1">
        <f>VALUE(3436)</f>
        <v>3436</v>
      </c>
      <c r="J5852" s="1">
        <f>VALUE(3984)</f>
        <v>3984</v>
      </c>
      <c r="K5852" s="1">
        <f>VALUE(5348)</f>
        <v>5348</v>
      </c>
      <c r="L5852" s="1">
        <f>VALUE(6961)</f>
        <v>6961</v>
      </c>
      <c r="M5852" s="8">
        <f>VALUE(10640)</f>
        <v>10640</v>
      </c>
      <c r="N5852" t="s">
        <v>25</v>
      </c>
    </row>
    <row r="5853" spans="1:14" x14ac:dyDescent="0.25">
      <c r="A5853" t="s">
        <v>42</v>
      </c>
      <c r="B5853" t="s">
        <v>15</v>
      </c>
      <c r="C5853" t="s">
        <v>37</v>
      </c>
      <c r="D5853" t="s">
        <v>31</v>
      </c>
      <c r="E5853" t="s">
        <v>15</v>
      </c>
      <c r="F5853" t="s">
        <v>17</v>
      </c>
      <c r="G5853" s="2">
        <f>VALUE(461.18)</f>
        <v>461.18</v>
      </c>
      <c r="H5853" s="3">
        <f>VALUE(474.26)</f>
        <v>474.26</v>
      </c>
      <c r="I5853" s="4">
        <f>VALUE(4988)</f>
        <v>4988</v>
      </c>
      <c r="J5853" s="5">
        <f>VALUE(6536)</f>
        <v>6536</v>
      </c>
      <c r="K5853" s="6">
        <f>VALUE(9730)</f>
        <v>9730</v>
      </c>
      <c r="L5853" s="7">
        <f>VALUE(16525)</f>
        <v>16525</v>
      </c>
      <c r="M5853" s="8">
        <f>VALUE(36520)</f>
        <v>36520</v>
      </c>
      <c r="N5853" t="s">
        <v>24</v>
      </c>
    </row>
    <row r="5854" spans="1:14" x14ac:dyDescent="0.25">
      <c r="A5854" t="s">
        <v>42</v>
      </c>
      <c r="B5854" t="s">
        <v>15</v>
      </c>
      <c r="C5854" t="s">
        <v>37</v>
      </c>
      <c r="D5854" t="s">
        <v>31</v>
      </c>
      <c r="E5854" t="s">
        <v>15</v>
      </c>
      <c r="F5854" t="s">
        <v>18</v>
      </c>
      <c r="G5854" s="2">
        <f>VALUE(390.5)</f>
        <v>390.5</v>
      </c>
      <c r="H5854" s="3">
        <f>VALUE(370.31)</f>
        <v>370.31</v>
      </c>
      <c r="I5854" s="4">
        <f>VALUE(3295)</f>
        <v>3295</v>
      </c>
      <c r="J5854" s="5">
        <f>VALUE(4215)</f>
        <v>4215</v>
      </c>
      <c r="K5854" s="6">
        <f>VALUE(6142)</f>
        <v>6142</v>
      </c>
      <c r="L5854" s="1">
        <f>VALUE(8332)</f>
        <v>8332</v>
      </c>
      <c r="M5854" s="8">
        <f>VALUE(10898)</f>
        <v>10898</v>
      </c>
      <c r="N5854" t="s">
        <v>25</v>
      </c>
    </row>
    <row r="5855" spans="1:14" x14ac:dyDescent="0.25">
      <c r="A5855" t="s">
        <v>42</v>
      </c>
      <c r="B5855" t="s">
        <v>15</v>
      </c>
      <c r="C5855" t="s">
        <v>37</v>
      </c>
      <c r="D5855" t="s">
        <v>31</v>
      </c>
      <c r="E5855" t="s">
        <v>15</v>
      </c>
      <c r="F5855" t="s">
        <v>19</v>
      </c>
      <c r="G5855" s="2">
        <f>VALUE(416.08)</f>
        <v>416.08</v>
      </c>
      <c r="H5855" s="3">
        <f>VALUE(409.5)</f>
        <v>409.5</v>
      </c>
      <c r="I5855" s="1">
        <f>VALUE(3810)</f>
        <v>3810</v>
      </c>
      <c r="J5855" s="1">
        <f>VALUE(4633)</f>
        <v>4633</v>
      </c>
      <c r="K5855" s="1">
        <f>VALUE(5822)</f>
        <v>5822</v>
      </c>
      <c r="L5855" s="7">
        <f>VALUE(7627)</f>
        <v>7627</v>
      </c>
      <c r="M5855" s="8">
        <f>VALUE(9937)</f>
        <v>9937</v>
      </c>
      <c r="N5855" t="s">
        <v>25</v>
      </c>
    </row>
    <row r="5856" spans="1:14" x14ac:dyDescent="0.25">
      <c r="A5856" t="s">
        <v>42</v>
      </c>
      <c r="B5856" t="s">
        <v>15</v>
      </c>
      <c r="C5856" t="s">
        <v>37</v>
      </c>
      <c r="D5856" t="s">
        <v>31</v>
      </c>
      <c r="E5856" t="s">
        <v>15</v>
      </c>
      <c r="F5856" t="s">
        <v>20</v>
      </c>
      <c r="G5856" s="2">
        <f>VALUE(2245.58)</f>
        <v>2245.58</v>
      </c>
      <c r="H5856" s="3">
        <f>VALUE(1987.03)</f>
        <v>1987.03</v>
      </c>
      <c r="I5856" s="1">
        <f>VALUE(3244)</f>
        <v>3244</v>
      </c>
      <c r="J5856" s="1">
        <f>VALUE(3776)</f>
        <v>3776</v>
      </c>
      <c r="K5856" s="1">
        <f>VALUE(4733)</f>
        <v>4733</v>
      </c>
      <c r="L5856" s="1">
        <f>VALUE(5803)</f>
        <v>5803</v>
      </c>
      <c r="M5856" s="8">
        <f>VALUE(6957)</f>
        <v>6957</v>
      </c>
      <c r="N5856" t="s">
        <v>25</v>
      </c>
    </row>
    <row r="5857" spans="1:14" x14ac:dyDescent="0.25">
      <c r="A5857" t="s">
        <v>42</v>
      </c>
      <c r="B5857" t="s">
        <v>15</v>
      </c>
      <c r="C5857" t="s">
        <v>37</v>
      </c>
      <c r="D5857" t="s">
        <v>31</v>
      </c>
      <c r="E5857" t="s">
        <v>21</v>
      </c>
      <c r="F5857" t="s">
        <v>15</v>
      </c>
      <c r="G5857" s="2">
        <f>VALUE(1057.48)</f>
        <v>1057.48</v>
      </c>
      <c r="H5857" s="3">
        <f>VALUE(992.42)</f>
        <v>992.42</v>
      </c>
      <c r="I5857" s="4">
        <f>VALUE(4546)</f>
        <v>4546</v>
      </c>
      <c r="J5857" s="1">
        <f>VALUE(5705)</f>
        <v>5705</v>
      </c>
      <c r="K5857" s="1">
        <f>VALUE(7473)</f>
        <v>7473</v>
      </c>
      <c r="L5857" s="7">
        <f>VALUE(10397)</f>
        <v>10397</v>
      </c>
      <c r="M5857" s="8">
        <f>VALUE(21667)</f>
        <v>21667</v>
      </c>
      <c r="N5857" t="s">
        <v>25</v>
      </c>
    </row>
    <row r="5858" spans="1:14" x14ac:dyDescent="0.25">
      <c r="A5858" t="s">
        <v>42</v>
      </c>
      <c r="B5858" t="s">
        <v>15</v>
      </c>
      <c r="C5858" t="s">
        <v>37</v>
      </c>
      <c r="D5858" t="s">
        <v>31</v>
      </c>
      <c r="E5858" t="s">
        <v>21</v>
      </c>
      <c r="F5858" t="s">
        <v>17</v>
      </c>
      <c r="G5858" s="2">
        <f>VALUE(273.35)</f>
        <v>273.35000000000002</v>
      </c>
      <c r="H5858" s="3">
        <f>VALUE(279.43)</f>
        <v>279.43</v>
      </c>
      <c r="I5858" s="4">
        <f>VALUE(5958)</f>
        <v>5958</v>
      </c>
      <c r="J5858" s="5">
        <f>VALUE(8140)</f>
        <v>8140</v>
      </c>
      <c r="K5858" s="6">
        <f>VALUE(13295)</f>
        <v>13295</v>
      </c>
      <c r="L5858" s="7">
        <f>VALUE(22857)</f>
        <v>22857</v>
      </c>
      <c r="M5858" s="8">
        <f>VALUE(48881)</f>
        <v>48881</v>
      </c>
      <c r="N5858" t="s">
        <v>24</v>
      </c>
    </row>
    <row r="5859" spans="1:14" x14ac:dyDescent="0.25">
      <c r="A5859" t="s">
        <v>42</v>
      </c>
      <c r="B5859" t="s">
        <v>15</v>
      </c>
      <c r="C5859" t="s">
        <v>37</v>
      </c>
      <c r="D5859" t="s">
        <v>31</v>
      </c>
      <c r="E5859" t="s">
        <v>21</v>
      </c>
      <c r="F5859" t="s">
        <v>18</v>
      </c>
      <c r="G5859" s="2">
        <f>VALUE(231.43)</f>
        <v>231.43</v>
      </c>
      <c r="H5859" s="3">
        <f>VALUE(218.01)</f>
        <v>218.01</v>
      </c>
      <c r="I5859" s="4">
        <f>VALUE(5116)</f>
        <v>5116</v>
      </c>
      <c r="J5859" s="5">
        <f>VALUE(5983)</f>
        <v>5983</v>
      </c>
      <c r="K5859" s="6">
        <f>VALUE(7095)</f>
        <v>7095</v>
      </c>
      <c r="L5859" s="7">
        <f>VALUE(9240)</f>
        <v>9240</v>
      </c>
      <c r="M5859" s="8">
        <f>VALUE(12018)</f>
        <v>12018</v>
      </c>
      <c r="N5859" t="s">
        <v>24</v>
      </c>
    </row>
    <row r="5860" spans="1:14" x14ac:dyDescent="0.25">
      <c r="A5860" t="s">
        <v>42</v>
      </c>
      <c r="B5860" t="s">
        <v>15</v>
      </c>
      <c r="C5860" t="s">
        <v>37</v>
      </c>
      <c r="D5860" t="s">
        <v>31</v>
      </c>
      <c r="E5860" t="s">
        <v>21</v>
      </c>
      <c r="F5860" t="s">
        <v>19</v>
      </c>
      <c r="G5860" s="2">
        <f>VALUE(174.96)</f>
        <v>174.96</v>
      </c>
      <c r="H5860" s="3">
        <f>VALUE(169.24)</f>
        <v>169.24</v>
      </c>
      <c r="I5860" s="1">
        <f>VALUE(3810)</f>
        <v>3810</v>
      </c>
      <c r="J5860" s="1">
        <f>VALUE(5162)</f>
        <v>5162</v>
      </c>
      <c r="K5860" s="6">
        <f>VALUE(6918)</f>
        <v>6918</v>
      </c>
      <c r="L5860" s="7">
        <f>VALUE(9487)</f>
        <v>9487</v>
      </c>
      <c r="M5860" s="8">
        <f>VALUE(12527)</f>
        <v>12527</v>
      </c>
      <c r="N5860" t="s">
        <v>25</v>
      </c>
    </row>
    <row r="5861" spans="1:14" x14ac:dyDescent="0.25">
      <c r="A5861" t="s">
        <v>42</v>
      </c>
      <c r="B5861" t="s">
        <v>15</v>
      </c>
      <c r="C5861" t="s">
        <v>37</v>
      </c>
      <c r="D5861" t="s">
        <v>31</v>
      </c>
      <c r="E5861" t="s">
        <v>21</v>
      </c>
      <c r="F5861" t="s">
        <v>20</v>
      </c>
      <c r="G5861" s="2">
        <f>VALUE(377.74)</f>
        <v>377.74</v>
      </c>
      <c r="H5861" s="3">
        <f>VALUE(325.74)</f>
        <v>325.74</v>
      </c>
      <c r="I5861" s="4">
        <f>VALUE(4078)</f>
        <v>4078</v>
      </c>
      <c r="J5861" s="1">
        <f>VALUE(5348)</f>
        <v>5348</v>
      </c>
      <c r="K5861" s="1">
        <f>VALUE(6254)</f>
        <v>6254</v>
      </c>
      <c r="L5861" s="1">
        <f>VALUE(7562)</f>
        <v>7562</v>
      </c>
      <c r="M5861" s="1">
        <f>VALUE(8694)</f>
        <v>8694</v>
      </c>
      <c r="N5861" t="s">
        <v>25</v>
      </c>
    </row>
    <row r="5862" spans="1:14" x14ac:dyDescent="0.25">
      <c r="A5862" t="s">
        <v>42</v>
      </c>
      <c r="B5862" t="s">
        <v>15</v>
      </c>
      <c r="C5862" t="s">
        <v>37</v>
      </c>
      <c r="D5862" t="s">
        <v>31</v>
      </c>
      <c r="E5862" t="s">
        <v>22</v>
      </c>
      <c r="F5862" t="s">
        <v>15</v>
      </c>
      <c r="G5862" s="2">
        <f>VALUE(832.43)</f>
        <v>832.43</v>
      </c>
      <c r="H5862" s="3">
        <f>VALUE(777.22)</f>
        <v>777.22</v>
      </c>
      <c r="I5862" s="4">
        <f>VALUE(3524)</f>
        <v>3524</v>
      </c>
      <c r="J5862" s="1">
        <f>VALUE(4231)</f>
        <v>4231</v>
      </c>
      <c r="K5862" s="1">
        <f>VALUE(5346)</f>
        <v>5346</v>
      </c>
      <c r="L5862" s="1">
        <f>VALUE(6557)</f>
        <v>6557</v>
      </c>
      <c r="M5862" s="1">
        <f>VALUE(9244)</f>
        <v>9244</v>
      </c>
      <c r="N5862" t="s">
        <v>25</v>
      </c>
    </row>
    <row r="5863" spans="1:14" x14ac:dyDescent="0.25">
      <c r="A5863" t="s">
        <v>42</v>
      </c>
      <c r="B5863" t="s">
        <v>15</v>
      </c>
      <c r="C5863" t="s">
        <v>37</v>
      </c>
      <c r="D5863" t="s">
        <v>31</v>
      </c>
      <c r="E5863" t="s">
        <v>22</v>
      </c>
      <c r="F5863" t="s">
        <v>17</v>
      </c>
      <c r="G5863" s="1" t="str">
        <f t="shared" ref="G5863:M5865" si="1279">"X"</f>
        <v>X</v>
      </c>
      <c r="H5863" s="1" t="str">
        <f t="shared" si="1279"/>
        <v>X</v>
      </c>
      <c r="I5863" s="1" t="str">
        <f t="shared" si="1279"/>
        <v>X</v>
      </c>
      <c r="J5863" s="1" t="str">
        <f t="shared" si="1279"/>
        <v>X</v>
      </c>
      <c r="K5863" s="1" t="str">
        <f t="shared" si="1279"/>
        <v>X</v>
      </c>
      <c r="L5863" s="1" t="str">
        <f t="shared" si="1279"/>
        <v>X</v>
      </c>
      <c r="M5863" s="1" t="str">
        <f t="shared" si="1279"/>
        <v>X</v>
      </c>
      <c r="N5863" t="s">
        <v>27</v>
      </c>
    </row>
    <row r="5864" spans="1:14" x14ac:dyDescent="0.25">
      <c r="A5864" t="s">
        <v>42</v>
      </c>
      <c r="B5864" t="s">
        <v>15</v>
      </c>
      <c r="C5864" t="s">
        <v>37</v>
      </c>
      <c r="D5864" t="s">
        <v>31</v>
      </c>
      <c r="E5864" t="s">
        <v>22</v>
      </c>
      <c r="F5864" t="s">
        <v>18</v>
      </c>
      <c r="G5864" s="1" t="str">
        <f t="shared" si="1279"/>
        <v>X</v>
      </c>
      <c r="H5864" s="1" t="str">
        <f t="shared" si="1279"/>
        <v>X</v>
      </c>
      <c r="I5864" s="1" t="str">
        <f t="shared" si="1279"/>
        <v>X</v>
      </c>
      <c r="J5864" s="1" t="str">
        <f t="shared" si="1279"/>
        <v>X</v>
      </c>
      <c r="K5864" s="1" t="str">
        <f t="shared" si="1279"/>
        <v>X</v>
      </c>
      <c r="L5864" s="1" t="str">
        <f t="shared" si="1279"/>
        <v>X</v>
      </c>
      <c r="M5864" s="1" t="str">
        <f t="shared" si="1279"/>
        <v>X</v>
      </c>
      <c r="N5864" t="s">
        <v>27</v>
      </c>
    </row>
    <row r="5865" spans="1:14" x14ac:dyDescent="0.25">
      <c r="A5865" t="s">
        <v>42</v>
      </c>
      <c r="B5865" t="s">
        <v>15</v>
      </c>
      <c r="C5865" t="s">
        <v>37</v>
      </c>
      <c r="D5865" t="s">
        <v>31</v>
      </c>
      <c r="E5865" t="s">
        <v>22</v>
      </c>
      <c r="F5865" t="s">
        <v>19</v>
      </c>
      <c r="G5865" s="1" t="str">
        <f t="shared" si="1279"/>
        <v>X</v>
      </c>
      <c r="H5865" s="1" t="str">
        <f t="shared" si="1279"/>
        <v>X</v>
      </c>
      <c r="I5865" s="1" t="str">
        <f t="shared" si="1279"/>
        <v>X</v>
      </c>
      <c r="J5865" s="1" t="str">
        <f t="shared" si="1279"/>
        <v>X</v>
      </c>
      <c r="K5865" s="1" t="str">
        <f t="shared" si="1279"/>
        <v>X</v>
      </c>
      <c r="L5865" s="1" t="str">
        <f t="shared" si="1279"/>
        <v>X</v>
      </c>
      <c r="M5865" s="1" t="str">
        <f t="shared" si="1279"/>
        <v>X</v>
      </c>
      <c r="N5865" t="s">
        <v>27</v>
      </c>
    </row>
    <row r="5866" spans="1:14" x14ac:dyDescent="0.25">
      <c r="A5866" t="s">
        <v>42</v>
      </c>
      <c r="B5866" t="s">
        <v>15</v>
      </c>
      <c r="C5866" t="s">
        <v>37</v>
      </c>
      <c r="D5866" t="s">
        <v>31</v>
      </c>
      <c r="E5866" t="s">
        <v>22</v>
      </c>
      <c r="F5866" t="s">
        <v>20</v>
      </c>
      <c r="G5866" s="2">
        <f>VALUE(470.41)</f>
        <v>470.41</v>
      </c>
      <c r="H5866" s="3">
        <f>VALUE(416.82)</f>
        <v>416.82</v>
      </c>
      <c r="I5866" s="4">
        <f>VALUE(3130)</f>
        <v>3130</v>
      </c>
      <c r="J5866" s="5">
        <f>VALUE(4011)</f>
        <v>4011</v>
      </c>
      <c r="K5866" s="1">
        <f>VALUE(4889)</f>
        <v>4889</v>
      </c>
      <c r="L5866" s="1">
        <f>VALUE(5930)</f>
        <v>5930</v>
      </c>
      <c r="M5866" s="1">
        <f>VALUE(6532)</f>
        <v>6532</v>
      </c>
      <c r="N5866" t="s">
        <v>25</v>
      </c>
    </row>
    <row r="5867" spans="1:14" x14ac:dyDescent="0.25">
      <c r="A5867" t="s">
        <v>42</v>
      </c>
      <c r="B5867" t="s">
        <v>15</v>
      </c>
      <c r="C5867" t="s">
        <v>37</v>
      </c>
      <c r="D5867" t="s">
        <v>31</v>
      </c>
      <c r="E5867" t="s">
        <v>23</v>
      </c>
      <c r="F5867" t="s">
        <v>15</v>
      </c>
      <c r="G5867" s="2">
        <f>VALUE(1423.18)</f>
        <v>1423.18</v>
      </c>
      <c r="H5867" s="3">
        <f>VALUE(1293.17)</f>
        <v>1293.17</v>
      </c>
      <c r="I5867" s="4">
        <f>VALUE(2985)</f>
        <v>2985</v>
      </c>
      <c r="J5867" s="1">
        <f>VALUE(3596)</f>
        <v>3596</v>
      </c>
      <c r="K5867" s="1">
        <f>VALUE(4272)</f>
        <v>4272</v>
      </c>
      <c r="L5867" s="1">
        <f>VALUE(5352)</f>
        <v>5352</v>
      </c>
      <c r="M5867" s="1">
        <f>VALUE(5959)</f>
        <v>5959</v>
      </c>
      <c r="N5867" t="s">
        <v>25</v>
      </c>
    </row>
    <row r="5868" spans="1:14" x14ac:dyDescent="0.25">
      <c r="A5868" t="s">
        <v>42</v>
      </c>
      <c r="B5868" t="s">
        <v>15</v>
      </c>
      <c r="C5868" t="s">
        <v>37</v>
      </c>
      <c r="D5868" t="s">
        <v>31</v>
      </c>
      <c r="E5868" t="s">
        <v>23</v>
      </c>
      <c r="F5868" t="s">
        <v>17</v>
      </c>
      <c r="G5868" s="1" t="str">
        <f t="shared" ref="G5868:M5870" si="1280">"X"</f>
        <v>X</v>
      </c>
      <c r="H5868" s="1" t="str">
        <f t="shared" si="1280"/>
        <v>X</v>
      </c>
      <c r="I5868" s="1" t="str">
        <f t="shared" si="1280"/>
        <v>X</v>
      </c>
      <c r="J5868" s="1" t="str">
        <f t="shared" si="1280"/>
        <v>X</v>
      </c>
      <c r="K5868" s="1" t="str">
        <f t="shared" si="1280"/>
        <v>X</v>
      </c>
      <c r="L5868" s="1" t="str">
        <f t="shared" si="1280"/>
        <v>X</v>
      </c>
      <c r="M5868" s="1" t="str">
        <f t="shared" si="1280"/>
        <v>X</v>
      </c>
      <c r="N5868" t="s">
        <v>27</v>
      </c>
    </row>
    <row r="5869" spans="1:14" x14ac:dyDescent="0.25">
      <c r="A5869" t="s">
        <v>42</v>
      </c>
      <c r="B5869" t="s">
        <v>15</v>
      </c>
      <c r="C5869" t="s">
        <v>37</v>
      </c>
      <c r="D5869" t="s">
        <v>31</v>
      </c>
      <c r="E5869" t="s">
        <v>23</v>
      </c>
      <c r="F5869" t="s">
        <v>18</v>
      </c>
      <c r="G5869" s="1" t="str">
        <f t="shared" si="1280"/>
        <v>X</v>
      </c>
      <c r="H5869" s="1" t="str">
        <f t="shared" si="1280"/>
        <v>X</v>
      </c>
      <c r="I5869" s="1" t="str">
        <f t="shared" si="1280"/>
        <v>X</v>
      </c>
      <c r="J5869" s="1" t="str">
        <f t="shared" si="1280"/>
        <v>X</v>
      </c>
      <c r="K5869" s="1" t="str">
        <f t="shared" si="1280"/>
        <v>X</v>
      </c>
      <c r="L5869" s="1" t="str">
        <f t="shared" si="1280"/>
        <v>X</v>
      </c>
      <c r="M5869" s="1" t="str">
        <f t="shared" si="1280"/>
        <v>X</v>
      </c>
      <c r="N5869" t="s">
        <v>27</v>
      </c>
    </row>
    <row r="5870" spans="1:14" x14ac:dyDescent="0.25">
      <c r="A5870" t="s">
        <v>42</v>
      </c>
      <c r="B5870" t="s">
        <v>15</v>
      </c>
      <c r="C5870" t="s">
        <v>37</v>
      </c>
      <c r="D5870" t="s">
        <v>31</v>
      </c>
      <c r="E5870" t="s">
        <v>23</v>
      </c>
      <c r="F5870" t="s">
        <v>19</v>
      </c>
      <c r="G5870" s="1" t="str">
        <f t="shared" si="1280"/>
        <v>X</v>
      </c>
      <c r="H5870" s="1" t="str">
        <f t="shared" si="1280"/>
        <v>X</v>
      </c>
      <c r="I5870" s="1" t="str">
        <f t="shared" si="1280"/>
        <v>X</v>
      </c>
      <c r="J5870" s="1" t="str">
        <f t="shared" si="1280"/>
        <v>X</v>
      </c>
      <c r="K5870" s="1" t="str">
        <f t="shared" si="1280"/>
        <v>X</v>
      </c>
      <c r="L5870" s="1" t="str">
        <f t="shared" si="1280"/>
        <v>X</v>
      </c>
      <c r="M5870" s="1" t="str">
        <f t="shared" si="1280"/>
        <v>X</v>
      </c>
      <c r="N5870" t="s">
        <v>27</v>
      </c>
    </row>
    <row r="5871" spans="1:14" x14ac:dyDescent="0.25">
      <c r="A5871" t="s">
        <v>42</v>
      </c>
      <c r="B5871" t="s">
        <v>15</v>
      </c>
      <c r="C5871" t="s">
        <v>37</v>
      </c>
      <c r="D5871" t="s">
        <v>31</v>
      </c>
      <c r="E5871" t="s">
        <v>23</v>
      </c>
      <c r="F5871" t="s">
        <v>20</v>
      </c>
      <c r="G5871" s="2">
        <f>VALUE(1248.47)</f>
        <v>1248.47</v>
      </c>
      <c r="H5871" s="3">
        <f>VALUE(1117.11)</f>
        <v>1117.1099999999999</v>
      </c>
      <c r="I5871" s="4">
        <f>VALUE(3124)</f>
        <v>3124</v>
      </c>
      <c r="J5871" s="1">
        <f>VALUE(3596)</f>
        <v>3596</v>
      </c>
      <c r="K5871" s="1">
        <f>VALUE(4320)</f>
        <v>4320</v>
      </c>
      <c r="L5871" s="1">
        <f>VALUE(5337)</f>
        <v>5337</v>
      </c>
      <c r="M5871" s="8">
        <f>VALUE(5935)</f>
        <v>5935</v>
      </c>
      <c r="N5871" t="s">
        <v>25</v>
      </c>
    </row>
    <row r="5872" spans="1:14" x14ac:dyDescent="0.25">
      <c r="A5872" t="s">
        <v>42</v>
      </c>
      <c r="B5872" t="s">
        <v>15</v>
      </c>
      <c r="C5872" t="s">
        <v>37</v>
      </c>
      <c r="D5872" t="s">
        <v>31</v>
      </c>
      <c r="E5872" t="s">
        <v>26</v>
      </c>
      <c r="F5872" t="s">
        <v>15</v>
      </c>
      <c r="G5872" s="2">
        <f>VALUE(200.25)</f>
        <v>200.25</v>
      </c>
      <c r="H5872" s="3">
        <f>VALUE(178.29)</f>
        <v>178.29</v>
      </c>
      <c r="I5872" s="4">
        <f>VALUE(3244)</f>
        <v>3244</v>
      </c>
      <c r="J5872" s="5">
        <f>VALUE(3508)</f>
        <v>3508</v>
      </c>
      <c r="K5872" s="6">
        <f>VALUE(5622)</f>
        <v>5622</v>
      </c>
      <c r="L5872" s="7">
        <f>VALUE(7253)</f>
        <v>7253</v>
      </c>
      <c r="M5872" s="8">
        <f>VALUE(9333)</f>
        <v>9333</v>
      </c>
      <c r="N5872" t="s">
        <v>24</v>
      </c>
    </row>
    <row r="5873" spans="1:14" x14ac:dyDescent="0.25">
      <c r="A5873" t="s">
        <v>42</v>
      </c>
      <c r="B5873" t="s">
        <v>15</v>
      </c>
      <c r="C5873" t="s">
        <v>37</v>
      </c>
      <c r="D5873" t="s">
        <v>31</v>
      </c>
      <c r="E5873" t="s">
        <v>26</v>
      </c>
      <c r="F5873" t="s">
        <v>17</v>
      </c>
      <c r="G5873" s="1" t="str">
        <f t="shared" ref="G5873:M5876" si="1281">"X"</f>
        <v>X</v>
      </c>
      <c r="H5873" s="1" t="str">
        <f t="shared" si="1281"/>
        <v>X</v>
      </c>
      <c r="I5873" s="1" t="str">
        <f t="shared" si="1281"/>
        <v>X</v>
      </c>
      <c r="J5873" s="1" t="str">
        <f t="shared" si="1281"/>
        <v>X</v>
      </c>
      <c r="K5873" s="1" t="str">
        <f t="shared" si="1281"/>
        <v>X</v>
      </c>
      <c r="L5873" s="1" t="str">
        <f t="shared" si="1281"/>
        <v>X</v>
      </c>
      <c r="M5873" s="1" t="str">
        <f t="shared" si="1281"/>
        <v>X</v>
      </c>
      <c r="N5873" t="s">
        <v>27</v>
      </c>
    </row>
    <row r="5874" spans="1:14" x14ac:dyDescent="0.25">
      <c r="A5874" t="s">
        <v>42</v>
      </c>
      <c r="B5874" t="s">
        <v>15</v>
      </c>
      <c r="C5874" t="s">
        <v>37</v>
      </c>
      <c r="D5874" t="s">
        <v>31</v>
      </c>
      <c r="E5874" t="s">
        <v>26</v>
      </c>
      <c r="F5874" t="s">
        <v>18</v>
      </c>
      <c r="G5874" s="1" t="str">
        <f t="shared" si="1281"/>
        <v>X</v>
      </c>
      <c r="H5874" s="1" t="str">
        <f t="shared" si="1281"/>
        <v>X</v>
      </c>
      <c r="I5874" s="1" t="str">
        <f t="shared" si="1281"/>
        <v>X</v>
      </c>
      <c r="J5874" s="1" t="str">
        <f t="shared" si="1281"/>
        <v>X</v>
      </c>
      <c r="K5874" s="1" t="str">
        <f t="shared" si="1281"/>
        <v>X</v>
      </c>
      <c r="L5874" s="1" t="str">
        <f t="shared" si="1281"/>
        <v>X</v>
      </c>
      <c r="M5874" s="1" t="str">
        <f t="shared" si="1281"/>
        <v>X</v>
      </c>
      <c r="N5874" t="s">
        <v>27</v>
      </c>
    </row>
    <row r="5875" spans="1:14" x14ac:dyDescent="0.25">
      <c r="A5875" t="s">
        <v>42</v>
      </c>
      <c r="B5875" t="s">
        <v>15</v>
      </c>
      <c r="C5875" t="s">
        <v>37</v>
      </c>
      <c r="D5875" t="s">
        <v>31</v>
      </c>
      <c r="E5875" t="s">
        <v>26</v>
      </c>
      <c r="F5875" t="s">
        <v>19</v>
      </c>
      <c r="G5875" s="1" t="str">
        <f t="shared" si="1281"/>
        <v>X</v>
      </c>
      <c r="H5875" s="1" t="str">
        <f t="shared" si="1281"/>
        <v>X</v>
      </c>
      <c r="I5875" s="1" t="str">
        <f t="shared" si="1281"/>
        <v>X</v>
      </c>
      <c r="J5875" s="1" t="str">
        <f t="shared" si="1281"/>
        <v>X</v>
      </c>
      <c r="K5875" s="1" t="str">
        <f t="shared" si="1281"/>
        <v>X</v>
      </c>
      <c r="L5875" s="1" t="str">
        <f t="shared" si="1281"/>
        <v>X</v>
      </c>
      <c r="M5875" s="1" t="str">
        <f t="shared" si="1281"/>
        <v>X</v>
      </c>
      <c r="N5875" t="s">
        <v>27</v>
      </c>
    </row>
    <row r="5876" spans="1:14" x14ac:dyDescent="0.25">
      <c r="A5876" t="s">
        <v>42</v>
      </c>
      <c r="B5876" t="s">
        <v>15</v>
      </c>
      <c r="C5876" t="s">
        <v>37</v>
      </c>
      <c r="D5876" t="s">
        <v>31</v>
      </c>
      <c r="E5876" t="s">
        <v>26</v>
      </c>
      <c r="F5876" t="s">
        <v>20</v>
      </c>
      <c r="G5876" s="1" t="str">
        <f t="shared" si="1281"/>
        <v>X</v>
      </c>
      <c r="H5876" s="1" t="str">
        <f t="shared" si="1281"/>
        <v>X</v>
      </c>
      <c r="I5876" s="1" t="str">
        <f t="shared" si="1281"/>
        <v>X</v>
      </c>
      <c r="J5876" s="1" t="str">
        <f t="shared" si="1281"/>
        <v>X</v>
      </c>
      <c r="K5876" s="1" t="str">
        <f t="shared" si="1281"/>
        <v>X</v>
      </c>
      <c r="L5876" s="1" t="str">
        <f t="shared" si="1281"/>
        <v>X</v>
      </c>
      <c r="M5876" s="1" t="str">
        <f t="shared" si="1281"/>
        <v>X</v>
      </c>
      <c r="N5876" t="s">
        <v>27</v>
      </c>
    </row>
    <row r="5877" spans="1:14" x14ac:dyDescent="0.25">
      <c r="A5877" t="s">
        <v>42</v>
      </c>
      <c r="B5877" t="s">
        <v>15</v>
      </c>
      <c r="C5877" t="s">
        <v>37</v>
      </c>
      <c r="D5877" t="s">
        <v>32</v>
      </c>
      <c r="E5877" t="s">
        <v>15</v>
      </c>
      <c r="F5877" t="s">
        <v>15</v>
      </c>
      <c r="G5877" s="1">
        <f>VALUE(20642.46)</f>
        <v>20642.46</v>
      </c>
      <c r="H5877" s="1">
        <f>VALUE(19975.67)</f>
        <v>19975.669999999998</v>
      </c>
      <c r="I5877" s="1">
        <f>VALUE(2960)</f>
        <v>2960</v>
      </c>
      <c r="J5877" s="1">
        <f>VALUE(3616)</f>
        <v>3616</v>
      </c>
      <c r="K5877" s="1">
        <f>VALUE(4623)</f>
        <v>4623</v>
      </c>
      <c r="L5877" s="1">
        <f>VALUE(5809)</f>
        <v>5809</v>
      </c>
      <c r="M5877" s="1">
        <f>VALUE(7405)</f>
        <v>7405</v>
      </c>
      <c r="N5877" t="s">
        <v>16</v>
      </c>
    </row>
    <row r="5878" spans="1:14" x14ac:dyDescent="0.25">
      <c r="A5878" t="s">
        <v>42</v>
      </c>
      <c r="B5878" t="s">
        <v>15</v>
      </c>
      <c r="C5878" t="s">
        <v>37</v>
      </c>
      <c r="D5878" t="s">
        <v>32</v>
      </c>
      <c r="E5878" t="s">
        <v>15</v>
      </c>
      <c r="F5878" t="s">
        <v>17</v>
      </c>
      <c r="G5878" s="2">
        <f>VALUE(1604.29)</f>
        <v>1604.29</v>
      </c>
      <c r="H5878" s="1">
        <f>VALUE(1582.45)</f>
        <v>1582.45</v>
      </c>
      <c r="I5878" s="1">
        <f>VALUE(4040)</f>
        <v>4040</v>
      </c>
      <c r="J5878" s="1">
        <f>VALUE(5174)</f>
        <v>5174</v>
      </c>
      <c r="K5878" s="1">
        <f>VALUE(7077)</f>
        <v>7077</v>
      </c>
      <c r="L5878" s="7">
        <f>VALUE(9917)</f>
        <v>9917</v>
      </c>
      <c r="M5878" s="1">
        <f>VALUE(13491)</f>
        <v>13491</v>
      </c>
      <c r="N5878" t="s">
        <v>25</v>
      </c>
    </row>
    <row r="5879" spans="1:14" x14ac:dyDescent="0.25">
      <c r="A5879" t="s">
        <v>42</v>
      </c>
      <c r="B5879" t="s">
        <v>15</v>
      </c>
      <c r="C5879" t="s">
        <v>37</v>
      </c>
      <c r="D5879" t="s">
        <v>32</v>
      </c>
      <c r="E5879" t="s">
        <v>15</v>
      </c>
      <c r="F5879" t="s">
        <v>18</v>
      </c>
      <c r="G5879" s="2">
        <f>VALUE(1588.31)</f>
        <v>1588.31</v>
      </c>
      <c r="H5879" s="3">
        <f>VALUE(1543.65)</f>
        <v>1543.65</v>
      </c>
      <c r="I5879" s="4">
        <f>VALUE(3764)</f>
        <v>3764</v>
      </c>
      <c r="J5879" s="1">
        <f>VALUE(4694)</f>
        <v>4694</v>
      </c>
      <c r="K5879" s="1">
        <f>VALUE(5634)</f>
        <v>5634</v>
      </c>
      <c r="L5879" s="1">
        <f>VALUE(7222)</f>
        <v>7222</v>
      </c>
      <c r="M5879" s="1">
        <f>VALUE(9820)</f>
        <v>9820</v>
      </c>
      <c r="N5879" t="s">
        <v>25</v>
      </c>
    </row>
    <row r="5880" spans="1:14" x14ac:dyDescent="0.25">
      <c r="A5880" t="s">
        <v>42</v>
      </c>
      <c r="B5880" t="s">
        <v>15</v>
      </c>
      <c r="C5880" t="s">
        <v>37</v>
      </c>
      <c r="D5880" t="s">
        <v>32</v>
      </c>
      <c r="E5880" t="s">
        <v>15</v>
      </c>
      <c r="F5880" t="s">
        <v>19</v>
      </c>
      <c r="G5880" s="1">
        <f>VALUE(3273.34)</f>
        <v>3273.34</v>
      </c>
      <c r="H5880" s="1">
        <f>VALUE(3230.25)</f>
        <v>3230.25</v>
      </c>
      <c r="I5880" s="1">
        <f>VALUE(2997)</f>
        <v>2997</v>
      </c>
      <c r="J5880" s="5">
        <f>VALUE(3706)</f>
        <v>3706</v>
      </c>
      <c r="K5880" s="1">
        <f>VALUE(4767)</f>
        <v>4767</v>
      </c>
      <c r="L5880" s="1">
        <f>VALUE(5993)</f>
        <v>5993</v>
      </c>
      <c r="M5880" s="1">
        <f>VALUE(7419)</f>
        <v>7419</v>
      </c>
      <c r="N5880" t="s">
        <v>25</v>
      </c>
    </row>
    <row r="5881" spans="1:14" x14ac:dyDescent="0.25">
      <c r="A5881" t="s">
        <v>42</v>
      </c>
      <c r="B5881" t="s">
        <v>15</v>
      </c>
      <c r="C5881" t="s">
        <v>37</v>
      </c>
      <c r="D5881" t="s">
        <v>32</v>
      </c>
      <c r="E5881" t="s">
        <v>15</v>
      </c>
      <c r="F5881" t="s">
        <v>20</v>
      </c>
      <c r="G5881" s="1">
        <f>VALUE(14176.52)</f>
        <v>14176.52</v>
      </c>
      <c r="H5881" s="1">
        <f>VALUE(13619.32)</f>
        <v>13619.32</v>
      </c>
      <c r="I5881" s="1">
        <f>VALUE(2850)</f>
        <v>2850</v>
      </c>
      <c r="J5881" s="1">
        <f>VALUE(3473)</f>
        <v>3473</v>
      </c>
      <c r="K5881" s="1">
        <f>VALUE(4333)</f>
        <v>4333</v>
      </c>
      <c r="L5881" s="1">
        <f>VALUE(5417)</f>
        <v>5417</v>
      </c>
      <c r="M5881" s="1">
        <f>VALUE(6378)</f>
        <v>6378</v>
      </c>
      <c r="N5881" t="s">
        <v>16</v>
      </c>
    </row>
    <row r="5882" spans="1:14" x14ac:dyDescent="0.25">
      <c r="A5882" t="s">
        <v>42</v>
      </c>
      <c r="B5882" t="s">
        <v>15</v>
      </c>
      <c r="C5882" t="s">
        <v>37</v>
      </c>
      <c r="D5882" t="s">
        <v>32</v>
      </c>
      <c r="E5882" t="s">
        <v>21</v>
      </c>
      <c r="F5882" t="s">
        <v>15</v>
      </c>
      <c r="G5882" s="1">
        <f>VALUE(3252.75)</f>
        <v>3252.75</v>
      </c>
      <c r="H5882" s="1">
        <f>VALUE(3078.54)</f>
        <v>3078.54</v>
      </c>
      <c r="I5882" s="1">
        <f>VALUE(3806)</f>
        <v>3806</v>
      </c>
      <c r="J5882" s="1">
        <f>VALUE(4833)</f>
        <v>4833</v>
      </c>
      <c r="K5882" s="1">
        <f>VALUE(6319)</f>
        <v>6319</v>
      </c>
      <c r="L5882" s="1">
        <f>VALUE(8353)</f>
        <v>8353</v>
      </c>
      <c r="M5882" s="1">
        <f>VALUE(10797)</f>
        <v>10797</v>
      </c>
      <c r="N5882" t="s">
        <v>16</v>
      </c>
    </row>
    <row r="5883" spans="1:14" x14ac:dyDescent="0.25">
      <c r="A5883" t="s">
        <v>42</v>
      </c>
      <c r="B5883" t="s">
        <v>15</v>
      </c>
      <c r="C5883" t="s">
        <v>37</v>
      </c>
      <c r="D5883" t="s">
        <v>32</v>
      </c>
      <c r="E5883" t="s">
        <v>21</v>
      </c>
      <c r="F5883" t="s">
        <v>17</v>
      </c>
      <c r="G5883" s="2">
        <f>VALUE(908.16)</f>
        <v>908.16</v>
      </c>
      <c r="H5883" s="3">
        <f>VALUE(901.85)</f>
        <v>901.85</v>
      </c>
      <c r="I5883" s="4">
        <f>VALUE(4815)</f>
        <v>4815</v>
      </c>
      <c r="J5883" s="1">
        <f>VALUE(5635)</f>
        <v>5635</v>
      </c>
      <c r="K5883" s="1">
        <f>VALUE(7793)</f>
        <v>7793</v>
      </c>
      <c r="L5883" s="1">
        <f>VALUE(10762)</f>
        <v>10762</v>
      </c>
      <c r="M5883" s="8">
        <f>VALUE(14083)</f>
        <v>14083</v>
      </c>
      <c r="N5883" t="s">
        <v>25</v>
      </c>
    </row>
    <row r="5884" spans="1:14" x14ac:dyDescent="0.25">
      <c r="A5884" t="s">
        <v>42</v>
      </c>
      <c r="B5884" t="s">
        <v>15</v>
      </c>
      <c r="C5884" t="s">
        <v>37</v>
      </c>
      <c r="D5884" t="s">
        <v>32</v>
      </c>
      <c r="E5884" t="s">
        <v>21</v>
      </c>
      <c r="F5884" t="s">
        <v>18</v>
      </c>
      <c r="G5884" s="2">
        <f>VALUE(580.96)</f>
        <v>580.96</v>
      </c>
      <c r="H5884" s="3">
        <f>VALUE(559.77)</f>
        <v>559.77</v>
      </c>
      <c r="I5884" s="1">
        <f>VALUE(4156)</f>
        <v>4156</v>
      </c>
      <c r="J5884" s="1">
        <f>VALUE(5495)</f>
        <v>5495</v>
      </c>
      <c r="K5884" s="1">
        <f>VALUE(7001)</f>
        <v>7001</v>
      </c>
      <c r="L5884" s="1">
        <f>VALUE(9007)</f>
        <v>9007</v>
      </c>
      <c r="M5884" s="1">
        <f>VALUE(10317)</f>
        <v>10317</v>
      </c>
      <c r="N5884" t="s">
        <v>25</v>
      </c>
    </row>
    <row r="5885" spans="1:14" x14ac:dyDescent="0.25">
      <c r="A5885" t="s">
        <v>42</v>
      </c>
      <c r="B5885" t="s">
        <v>15</v>
      </c>
      <c r="C5885" t="s">
        <v>37</v>
      </c>
      <c r="D5885" t="s">
        <v>32</v>
      </c>
      <c r="E5885" t="s">
        <v>21</v>
      </c>
      <c r="F5885" t="s">
        <v>19</v>
      </c>
      <c r="G5885" s="2">
        <f>VALUE(541.67)</f>
        <v>541.66999999999996</v>
      </c>
      <c r="H5885" s="3">
        <f>VALUE(519.41)</f>
        <v>519.41</v>
      </c>
      <c r="I5885" s="1">
        <f>VALUE(3803)</f>
        <v>3803</v>
      </c>
      <c r="J5885" s="1">
        <f>VALUE(4643)</f>
        <v>4643</v>
      </c>
      <c r="K5885" s="1">
        <f>VALUE(6067)</f>
        <v>6067</v>
      </c>
      <c r="L5885" s="1">
        <f>VALUE(7773)</f>
        <v>7773</v>
      </c>
      <c r="M5885" s="8">
        <f>VALUE(9744)</f>
        <v>9744</v>
      </c>
      <c r="N5885" t="s">
        <v>25</v>
      </c>
    </row>
    <row r="5886" spans="1:14" x14ac:dyDescent="0.25">
      <c r="A5886" t="s">
        <v>42</v>
      </c>
      <c r="B5886" t="s">
        <v>15</v>
      </c>
      <c r="C5886" t="s">
        <v>37</v>
      </c>
      <c r="D5886" t="s">
        <v>32</v>
      </c>
      <c r="E5886" t="s">
        <v>21</v>
      </c>
      <c r="F5886" t="s">
        <v>20</v>
      </c>
      <c r="G5886" s="2">
        <f>VALUE(1221.96)</f>
        <v>1221.96</v>
      </c>
      <c r="H5886" s="3">
        <f>VALUE(1097.51)</f>
        <v>1097.51</v>
      </c>
      <c r="I5886" s="1">
        <f>VALUE(3228)</f>
        <v>3228</v>
      </c>
      <c r="J5886" s="1">
        <f>VALUE(4224)</f>
        <v>4224</v>
      </c>
      <c r="K5886" s="1">
        <f>VALUE(5398)</f>
        <v>5398</v>
      </c>
      <c r="L5886" s="1">
        <f>VALUE(6905)</f>
        <v>6905</v>
      </c>
      <c r="M5886" s="1">
        <f>VALUE(8373)</f>
        <v>8373</v>
      </c>
      <c r="N5886" t="s">
        <v>25</v>
      </c>
    </row>
    <row r="5887" spans="1:14" x14ac:dyDescent="0.25">
      <c r="A5887" t="s">
        <v>42</v>
      </c>
      <c r="B5887" t="s">
        <v>15</v>
      </c>
      <c r="C5887" t="s">
        <v>37</v>
      </c>
      <c r="D5887" t="s">
        <v>32</v>
      </c>
      <c r="E5887" t="s">
        <v>22</v>
      </c>
      <c r="F5887" t="s">
        <v>15</v>
      </c>
      <c r="G5887" s="1">
        <f>VALUE(6582.82)</f>
        <v>6582.82</v>
      </c>
      <c r="H5887" s="1">
        <f>VALUE(6318.09)</f>
        <v>6318.09</v>
      </c>
      <c r="I5887" s="1">
        <f>VALUE(3482)</f>
        <v>3482</v>
      </c>
      <c r="J5887" s="1">
        <f>VALUE(4144)</f>
        <v>4144</v>
      </c>
      <c r="K5887" s="1">
        <f>VALUE(4996)</f>
        <v>4996</v>
      </c>
      <c r="L5887" s="1">
        <f>VALUE(6038)</f>
        <v>6038</v>
      </c>
      <c r="M5887" s="1">
        <f>VALUE(7430)</f>
        <v>7430</v>
      </c>
      <c r="N5887" t="s">
        <v>16</v>
      </c>
    </row>
    <row r="5888" spans="1:14" x14ac:dyDescent="0.25">
      <c r="A5888" t="s">
        <v>42</v>
      </c>
      <c r="B5888" t="s">
        <v>15</v>
      </c>
      <c r="C5888" t="s">
        <v>37</v>
      </c>
      <c r="D5888" t="s">
        <v>32</v>
      </c>
      <c r="E5888" t="s">
        <v>22</v>
      </c>
      <c r="F5888" t="s">
        <v>17</v>
      </c>
      <c r="G5888" s="2">
        <f>VALUE(517.4)</f>
        <v>517.4</v>
      </c>
      <c r="H5888" s="3">
        <f>VALUE(520.09)</f>
        <v>520.09</v>
      </c>
      <c r="I5888" s="1">
        <f>VALUE(3764)</f>
        <v>3764</v>
      </c>
      <c r="J5888" s="5">
        <f>VALUE(4684)</f>
        <v>4684</v>
      </c>
      <c r="K5888" s="6">
        <f>VALUE(6500)</f>
        <v>6500</v>
      </c>
      <c r="L5888" s="1">
        <f>VALUE(8282)</f>
        <v>8282</v>
      </c>
      <c r="M5888" s="8">
        <f>VALUE(11916)</f>
        <v>11916</v>
      </c>
      <c r="N5888" t="s">
        <v>25</v>
      </c>
    </row>
    <row r="5889" spans="1:14" x14ac:dyDescent="0.25">
      <c r="A5889" t="s">
        <v>42</v>
      </c>
      <c r="B5889" t="s">
        <v>15</v>
      </c>
      <c r="C5889" t="s">
        <v>37</v>
      </c>
      <c r="D5889" t="s">
        <v>32</v>
      </c>
      <c r="E5889" t="s">
        <v>22</v>
      </c>
      <c r="F5889" t="s">
        <v>18</v>
      </c>
      <c r="G5889" s="2">
        <f>VALUE(607.05)</f>
        <v>607.04999999999995</v>
      </c>
      <c r="H5889" s="3">
        <f>VALUE(582.02)</f>
        <v>582.02</v>
      </c>
      <c r="I5889" s="4">
        <f>VALUE(4127)</f>
        <v>4127</v>
      </c>
      <c r="J5889" s="1">
        <f>VALUE(4643)</f>
        <v>4643</v>
      </c>
      <c r="K5889" s="1">
        <f>VALUE(5480)</f>
        <v>5480</v>
      </c>
      <c r="L5889" s="7">
        <f>VALUE(6366)</f>
        <v>6366</v>
      </c>
      <c r="M5889" s="8">
        <f>VALUE(8181)</f>
        <v>8181</v>
      </c>
      <c r="N5889" t="s">
        <v>25</v>
      </c>
    </row>
    <row r="5890" spans="1:14" x14ac:dyDescent="0.25">
      <c r="A5890" t="s">
        <v>42</v>
      </c>
      <c r="B5890" t="s">
        <v>15</v>
      </c>
      <c r="C5890" t="s">
        <v>37</v>
      </c>
      <c r="D5890" t="s">
        <v>32</v>
      </c>
      <c r="E5890" t="s">
        <v>22</v>
      </c>
      <c r="F5890" t="s">
        <v>19</v>
      </c>
      <c r="G5890" s="2">
        <f>VALUE(1332.35)</f>
        <v>1332.35</v>
      </c>
      <c r="H5890" s="3">
        <f>VALUE(1271.55)</f>
        <v>1271.55</v>
      </c>
      <c r="I5890" s="1">
        <f>VALUE(3683)</f>
        <v>3683</v>
      </c>
      <c r="J5890" s="1">
        <f>VALUE(4422)</f>
        <v>4422</v>
      </c>
      <c r="K5890" s="1">
        <f>VALUE(5158)</f>
        <v>5158</v>
      </c>
      <c r="L5890" s="1">
        <f>VALUE(6233)</f>
        <v>6233</v>
      </c>
      <c r="M5890" s="1">
        <f>VALUE(7700)</f>
        <v>7700</v>
      </c>
      <c r="N5890" t="s">
        <v>25</v>
      </c>
    </row>
    <row r="5891" spans="1:14" x14ac:dyDescent="0.25">
      <c r="A5891" t="s">
        <v>42</v>
      </c>
      <c r="B5891" t="s">
        <v>15</v>
      </c>
      <c r="C5891" t="s">
        <v>37</v>
      </c>
      <c r="D5891" t="s">
        <v>32</v>
      </c>
      <c r="E5891" t="s">
        <v>22</v>
      </c>
      <c r="F5891" t="s">
        <v>20</v>
      </c>
      <c r="G5891" s="1">
        <f>VALUE(4126.02)</f>
        <v>4126.0200000000004</v>
      </c>
      <c r="H5891" s="1">
        <f>VALUE(3944.43)</f>
        <v>3944.43</v>
      </c>
      <c r="I5891" s="1">
        <f>VALUE(3253)</f>
        <v>3253</v>
      </c>
      <c r="J5891" s="1">
        <f>VALUE(4013)</f>
        <v>4013</v>
      </c>
      <c r="K5891" s="1">
        <f>VALUE(4801)</f>
        <v>4801</v>
      </c>
      <c r="L5891" s="1">
        <f>VALUE(5700)</f>
        <v>5700</v>
      </c>
      <c r="M5891" s="1">
        <f>VALUE(6626)</f>
        <v>6626</v>
      </c>
      <c r="N5891" t="s">
        <v>16</v>
      </c>
    </row>
    <row r="5892" spans="1:14" x14ac:dyDescent="0.25">
      <c r="A5892" t="s">
        <v>42</v>
      </c>
      <c r="B5892" t="s">
        <v>15</v>
      </c>
      <c r="C5892" t="s">
        <v>37</v>
      </c>
      <c r="D5892" t="s">
        <v>32</v>
      </c>
      <c r="E5892" t="s">
        <v>23</v>
      </c>
      <c r="F5892" t="s">
        <v>15</v>
      </c>
      <c r="G5892" s="1">
        <f>VALUE(9949.44)</f>
        <v>9949.44</v>
      </c>
      <c r="H5892" s="1">
        <f>VALUE(9729.71)</f>
        <v>9729.7099999999991</v>
      </c>
      <c r="I5892" s="1">
        <f>VALUE(2782)</f>
        <v>2782</v>
      </c>
      <c r="J5892" s="1">
        <f>VALUE(3229)</f>
        <v>3229</v>
      </c>
      <c r="K5892" s="1">
        <f>VALUE(4026)</f>
        <v>4026</v>
      </c>
      <c r="L5892" s="1">
        <f>VALUE(5028)</f>
        <v>5028</v>
      </c>
      <c r="M5892" s="1">
        <f>VALUE(5969)</f>
        <v>5969</v>
      </c>
      <c r="N5892" t="s">
        <v>16</v>
      </c>
    </row>
    <row r="5893" spans="1:14" x14ac:dyDescent="0.25">
      <c r="A5893" t="s">
        <v>42</v>
      </c>
      <c r="B5893" t="s">
        <v>15</v>
      </c>
      <c r="C5893" t="s">
        <v>37</v>
      </c>
      <c r="D5893" t="s">
        <v>32</v>
      </c>
      <c r="E5893" t="s">
        <v>23</v>
      </c>
      <c r="F5893" t="s">
        <v>17</v>
      </c>
      <c r="G5893" s="1" t="str">
        <f t="shared" ref="G5893:M5893" si="1282">"X"</f>
        <v>X</v>
      </c>
      <c r="H5893" s="1" t="str">
        <f t="shared" si="1282"/>
        <v>X</v>
      </c>
      <c r="I5893" s="1" t="str">
        <f t="shared" si="1282"/>
        <v>X</v>
      </c>
      <c r="J5893" s="1" t="str">
        <f t="shared" si="1282"/>
        <v>X</v>
      </c>
      <c r="K5893" s="1" t="str">
        <f t="shared" si="1282"/>
        <v>X</v>
      </c>
      <c r="L5893" s="1" t="str">
        <f t="shared" si="1282"/>
        <v>X</v>
      </c>
      <c r="M5893" s="1" t="str">
        <f t="shared" si="1282"/>
        <v>X</v>
      </c>
      <c r="N5893" t="s">
        <v>27</v>
      </c>
    </row>
    <row r="5894" spans="1:14" x14ac:dyDescent="0.25">
      <c r="A5894" t="s">
        <v>42</v>
      </c>
      <c r="B5894" t="s">
        <v>15</v>
      </c>
      <c r="C5894" t="s">
        <v>37</v>
      </c>
      <c r="D5894" t="s">
        <v>32</v>
      </c>
      <c r="E5894" t="s">
        <v>23</v>
      </c>
      <c r="F5894" t="s">
        <v>18</v>
      </c>
      <c r="G5894" s="2">
        <f>VALUE(349.82)</f>
        <v>349.82</v>
      </c>
      <c r="H5894" s="3">
        <f>VALUE(352.26)</f>
        <v>352.26</v>
      </c>
      <c r="I5894" s="1">
        <f>VALUE(3363)</f>
        <v>3363</v>
      </c>
      <c r="J5894" s="1">
        <f>VALUE(3752)</f>
        <v>3752</v>
      </c>
      <c r="K5894" s="1">
        <f>VALUE(4884)</f>
        <v>4884</v>
      </c>
      <c r="L5894" s="1">
        <f>VALUE(5668)</f>
        <v>5668</v>
      </c>
      <c r="M5894" s="1">
        <f>VALUE(6275)</f>
        <v>6275</v>
      </c>
      <c r="N5894" t="s">
        <v>25</v>
      </c>
    </row>
    <row r="5895" spans="1:14" x14ac:dyDescent="0.25">
      <c r="A5895" t="s">
        <v>42</v>
      </c>
      <c r="B5895" t="s">
        <v>15</v>
      </c>
      <c r="C5895" t="s">
        <v>37</v>
      </c>
      <c r="D5895" t="s">
        <v>32</v>
      </c>
      <c r="E5895" t="s">
        <v>23</v>
      </c>
      <c r="F5895" t="s">
        <v>19</v>
      </c>
      <c r="G5895" s="1">
        <f>VALUE(1387.29)</f>
        <v>1387.29</v>
      </c>
      <c r="H5895" s="1">
        <f>VALUE(1428.75)</f>
        <v>1428.75</v>
      </c>
      <c r="I5895" s="1">
        <f>VALUE(2816)</f>
        <v>2816</v>
      </c>
      <c r="J5895" s="1">
        <f>VALUE(3094)</f>
        <v>3094</v>
      </c>
      <c r="K5895" s="6">
        <f>VALUE(3917)</f>
        <v>3917</v>
      </c>
      <c r="L5895" s="7">
        <f>VALUE(4933)</f>
        <v>4933</v>
      </c>
      <c r="M5895" s="1">
        <f>VALUE(6000)</f>
        <v>6000</v>
      </c>
      <c r="N5895" t="s">
        <v>25</v>
      </c>
    </row>
    <row r="5896" spans="1:14" x14ac:dyDescent="0.25">
      <c r="A5896" t="s">
        <v>42</v>
      </c>
      <c r="B5896" t="s">
        <v>15</v>
      </c>
      <c r="C5896" t="s">
        <v>37</v>
      </c>
      <c r="D5896" t="s">
        <v>32</v>
      </c>
      <c r="E5896" t="s">
        <v>23</v>
      </c>
      <c r="F5896" t="s">
        <v>20</v>
      </c>
      <c r="G5896" s="1">
        <f>VALUE(8066.01)</f>
        <v>8066.01</v>
      </c>
      <c r="H5896" s="1">
        <f>VALUE(7820.27)</f>
        <v>7820.27</v>
      </c>
      <c r="I5896" s="1">
        <f>VALUE(2741)</f>
        <v>2741</v>
      </c>
      <c r="J5896" s="1">
        <f>VALUE(3225)</f>
        <v>3225</v>
      </c>
      <c r="K5896" s="1">
        <f>VALUE(4004)</f>
        <v>4004</v>
      </c>
      <c r="L5896" s="1">
        <f>VALUE(4975)</f>
        <v>4975</v>
      </c>
      <c r="M5896" s="1">
        <f>VALUE(5918)</f>
        <v>5918</v>
      </c>
      <c r="N5896" t="s">
        <v>16</v>
      </c>
    </row>
    <row r="5897" spans="1:14" x14ac:dyDescent="0.25">
      <c r="A5897" t="s">
        <v>42</v>
      </c>
      <c r="B5897" t="s">
        <v>15</v>
      </c>
      <c r="C5897" t="s">
        <v>37</v>
      </c>
      <c r="D5897" t="s">
        <v>32</v>
      </c>
      <c r="E5897" t="s">
        <v>26</v>
      </c>
      <c r="F5897" t="s">
        <v>15</v>
      </c>
      <c r="G5897" s="2">
        <f>VALUE(857.45)</f>
        <v>857.45</v>
      </c>
      <c r="H5897" s="3">
        <f>VALUE(849.33)</f>
        <v>849.33</v>
      </c>
      <c r="I5897" s="1">
        <f>VALUE(2646)</f>
        <v>2646</v>
      </c>
      <c r="J5897" s="1">
        <f>VALUE(3262)</f>
        <v>3262</v>
      </c>
      <c r="K5897" s="6">
        <f>VALUE(4428)</f>
        <v>4428</v>
      </c>
      <c r="L5897" s="7">
        <f>VALUE(5927)</f>
        <v>5927</v>
      </c>
      <c r="M5897" s="8">
        <f>VALUE(7540)</f>
        <v>7540</v>
      </c>
      <c r="N5897" t="s">
        <v>25</v>
      </c>
    </row>
    <row r="5898" spans="1:14" x14ac:dyDescent="0.25">
      <c r="A5898" t="s">
        <v>42</v>
      </c>
      <c r="B5898" t="s">
        <v>15</v>
      </c>
      <c r="C5898" t="s">
        <v>37</v>
      </c>
      <c r="D5898" t="s">
        <v>32</v>
      </c>
      <c r="E5898" t="s">
        <v>26</v>
      </c>
      <c r="F5898" t="s">
        <v>17</v>
      </c>
      <c r="G5898" s="1" t="str">
        <f t="shared" ref="G5898:M5900" si="1283">"X"</f>
        <v>X</v>
      </c>
      <c r="H5898" s="1" t="str">
        <f t="shared" si="1283"/>
        <v>X</v>
      </c>
      <c r="I5898" s="1" t="str">
        <f t="shared" si="1283"/>
        <v>X</v>
      </c>
      <c r="J5898" s="1" t="str">
        <f t="shared" si="1283"/>
        <v>X</v>
      </c>
      <c r="K5898" s="1" t="str">
        <f t="shared" si="1283"/>
        <v>X</v>
      </c>
      <c r="L5898" s="1" t="str">
        <f t="shared" si="1283"/>
        <v>X</v>
      </c>
      <c r="M5898" s="1" t="str">
        <f t="shared" si="1283"/>
        <v>X</v>
      </c>
      <c r="N5898" t="s">
        <v>27</v>
      </c>
    </row>
    <row r="5899" spans="1:14" x14ac:dyDescent="0.25">
      <c r="A5899" t="s">
        <v>42</v>
      </c>
      <c r="B5899" t="s">
        <v>15</v>
      </c>
      <c r="C5899" t="s">
        <v>37</v>
      </c>
      <c r="D5899" t="s">
        <v>32</v>
      </c>
      <c r="E5899" t="s">
        <v>26</v>
      </c>
      <c r="F5899" t="s">
        <v>18</v>
      </c>
      <c r="G5899" s="1" t="str">
        <f t="shared" si="1283"/>
        <v>X</v>
      </c>
      <c r="H5899" s="1" t="str">
        <f t="shared" si="1283"/>
        <v>X</v>
      </c>
      <c r="I5899" s="1" t="str">
        <f t="shared" si="1283"/>
        <v>X</v>
      </c>
      <c r="J5899" s="1" t="str">
        <f t="shared" si="1283"/>
        <v>X</v>
      </c>
      <c r="K5899" s="1" t="str">
        <f t="shared" si="1283"/>
        <v>X</v>
      </c>
      <c r="L5899" s="1" t="str">
        <f t="shared" si="1283"/>
        <v>X</v>
      </c>
      <c r="M5899" s="1" t="str">
        <f t="shared" si="1283"/>
        <v>X</v>
      </c>
      <c r="N5899" t="s">
        <v>27</v>
      </c>
    </row>
    <row r="5900" spans="1:14" x14ac:dyDescent="0.25">
      <c r="A5900" t="s">
        <v>42</v>
      </c>
      <c r="B5900" t="s">
        <v>15</v>
      </c>
      <c r="C5900" t="s">
        <v>37</v>
      </c>
      <c r="D5900" t="s">
        <v>32</v>
      </c>
      <c r="E5900" t="s">
        <v>26</v>
      </c>
      <c r="F5900" t="s">
        <v>19</v>
      </c>
      <c r="G5900" s="1" t="str">
        <f t="shared" si="1283"/>
        <v>X</v>
      </c>
      <c r="H5900" s="1" t="str">
        <f t="shared" si="1283"/>
        <v>X</v>
      </c>
      <c r="I5900" s="1" t="str">
        <f t="shared" si="1283"/>
        <v>X</v>
      </c>
      <c r="J5900" s="1" t="str">
        <f t="shared" si="1283"/>
        <v>X</v>
      </c>
      <c r="K5900" s="1" t="str">
        <f t="shared" si="1283"/>
        <v>X</v>
      </c>
      <c r="L5900" s="1" t="str">
        <f t="shared" si="1283"/>
        <v>X</v>
      </c>
      <c r="M5900" s="1" t="str">
        <f t="shared" si="1283"/>
        <v>X</v>
      </c>
      <c r="N5900" t="s">
        <v>27</v>
      </c>
    </row>
    <row r="5901" spans="1:14" x14ac:dyDescent="0.25">
      <c r="A5901" t="s">
        <v>42</v>
      </c>
      <c r="B5901" t="s">
        <v>15</v>
      </c>
      <c r="C5901" t="s">
        <v>37</v>
      </c>
      <c r="D5901" t="s">
        <v>32</v>
      </c>
      <c r="E5901" t="s">
        <v>26</v>
      </c>
      <c r="F5901" t="s">
        <v>20</v>
      </c>
      <c r="G5901" s="2">
        <f>VALUE(762.53)</f>
        <v>762.53</v>
      </c>
      <c r="H5901" s="3">
        <f>VALUE(757.11)</f>
        <v>757.11</v>
      </c>
      <c r="I5901" s="1">
        <f>VALUE(2498)</f>
        <v>2498</v>
      </c>
      <c r="J5901" s="5">
        <f>VALUE(3059)</f>
        <v>3059</v>
      </c>
      <c r="K5901" s="6">
        <f>VALUE(4127)</f>
        <v>4127</v>
      </c>
      <c r="L5901" s="1">
        <f>VALUE(5743)</f>
        <v>5743</v>
      </c>
      <c r="M5901" s="1">
        <f>VALUE(6894)</f>
        <v>6894</v>
      </c>
      <c r="N5901" t="s">
        <v>25</v>
      </c>
    </row>
    <row r="5902" spans="1:14" x14ac:dyDescent="0.25">
      <c r="A5902" t="s">
        <v>42</v>
      </c>
      <c r="B5902" t="s">
        <v>15</v>
      </c>
      <c r="C5902" t="s">
        <v>37</v>
      </c>
      <c r="D5902" t="s">
        <v>33</v>
      </c>
      <c r="E5902" t="s">
        <v>15</v>
      </c>
      <c r="F5902" t="s">
        <v>15</v>
      </c>
      <c r="G5902" s="2">
        <f>VALUE(270.51)</f>
        <v>270.51</v>
      </c>
      <c r="H5902" s="3">
        <f>VALUE(247.65)</f>
        <v>247.65</v>
      </c>
      <c r="I5902" s="4">
        <f>VALUE(2253)</f>
        <v>2253</v>
      </c>
      <c r="J5902" s="5">
        <f>VALUE(3409)</f>
        <v>3409</v>
      </c>
      <c r="K5902" s="1">
        <f>VALUE(3804)</f>
        <v>3804</v>
      </c>
      <c r="L5902" s="7">
        <f>VALUE(5478)</f>
        <v>5478</v>
      </c>
      <c r="M5902" s="8">
        <f>VALUE(8497)</f>
        <v>8497</v>
      </c>
      <c r="N5902" t="s">
        <v>25</v>
      </c>
    </row>
    <row r="5903" spans="1:14" x14ac:dyDescent="0.25">
      <c r="A5903" t="s">
        <v>42</v>
      </c>
      <c r="B5903" t="s">
        <v>15</v>
      </c>
      <c r="C5903" t="s">
        <v>37</v>
      </c>
      <c r="D5903" t="s">
        <v>33</v>
      </c>
      <c r="E5903" t="s">
        <v>15</v>
      </c>
      <c r="F5903" t="s">
        <v>17</v>
      </c>
      <c r="G5903" s="1" t="str">
        <f t="shared" ref="G5903:M5912" si="1284">"X"</f>
        <v>X</v>
      </c>
      <c r="H5903" s="1" t="str">
        <f t="shared" si="1284"/>
        <v>X</v>
      </c>
      <c r="I5903" s="1" t="str">
        <f t="shared" si="1284"/>
        <v>X</v>
      </c>
      <c r="J5903" s="1" t="str">
        <f t="shared" si="1284"/>
        <v>X</v>
      </c>
      <c r="K5903" s="1" t="str">
        <f t="shared" si="1284"/>
        <v>X</v>
      </c>
      <c r="L5903" s="1" t="str">
        <f t="shared" si="1284"/>
        <v>X</v>
      </c>
      <c r="M5903" s="1" t="str">
        <f t="shared" si="1284"/>
        <v>X</v>
      </c>
      <c r="N5903" t="s">
        <v>27</v>
      </c>
    </row>
    <row r="5904" spans="1:14" x14ac:dyDescent="0.25">
      <c r="A5904" t="s">
        <v>42</v>
      </c>
      <c r="B5904" t="s">
        <v>15</v>
      </c>
      <c r="C5904" t="s">
        <v>37</v>
      </c>
      <c r="D5904" t="s">
        <v>33</v>
      </c>
      <c r="E5904" t="s">
        <v>15</v>
      </c>
      <c r="F5904" t="s">
        <v>18</v>
      </c>
      <c r="G5904" s="1" t="str">
        <f t="shared" si="1284"/>
        <v>X</v>
      </c>
      <c r="H5904" s="1" t="str">
        <f t="shared" si="1284"/>
        <v>X</v>
      </c>
      <c r="I5904" s="1" t="str">
        <f t="shared" si="1284"/>
        <v>X</v>
      </c>
      <c r="J5904" s="1" t="str">
        <f t="shared" si="1284"/>
        <v>X</v>
      </c>
      <c r="K5904" s="1" t="str">
        <f t="shared" si="1284"/>
        <v>X</v>
      </c>
      <c r="L5904" s="1" t="str">
        <f t="shared" si="1284"/>
        <v>X</v>
      </c>
      <c r="M5904" s="1" t="str">
        <f t="shared" si="1284"/>
        <v>X</v>
      </c>
      <c r="N5904" t="s">
        <v>27</v>
      </c>
    </row>
    <row r="5905" spans="1:14" x14ac:dyDescent="0.25">
      <c r="A5905" t="s">
        <v>42</v>
      </c>
      <c r="B5905" t="s">
        <v>15</v>
      </c>
      <c r="C5905" t="s">
        <v>37</v>
      </c>
      <c r="D5905" t="s">
        <v>33</v>
      </c>
      <c r="E5905" t="s">
        <v>15</v>
      </c>
      <c r="F5905" t="s">
        <v>19</v>
      </c>
      <c r="G5905" s="1" t="str">
        <f t="shared" si="1284"/>
        <v>X</v>
      </c>
      <c r="H5905" s="1" t="str">
        <f t="shared" si="1284"/>
        <v>X</v>
      </c>
      <c r="I5905" s="1" t="str">
        <f t="shared" si="1284"/>
        <v>X</v>
      </c>
      <c r="J5905" s="1" t="str">
        <f t="shared" si="1284"/>
        <v>X</v>
      </c>
      <c r="K5905" s="1" t="str">
        <f t="shared" si="1284"/>
        <v>X</v>
      </c>
      <c r="L5905" s="1" t="str">
        <f t="shared" si="1284"/>
        <v>X</v>
      </c>
      <c r="M5905" s="1" t="str">
        <f t="shared" si="1284"/>
        <v>X</v>
      </c>
      <c r="N5905" t="s">
        <v>27</v>
      </c>
    </row>
    <row r="5906" spans="1:14" x14ac:dyDescent="0.25">
      <c r="A5906" t="s">
        <v>42</v>
      </c>
      <c r="B5906" t="s">
        <v>15</v>
      </c>
      <c r="C5906" t="s">
        <v>37</v>
      </c>
      <c r="D5906" t="s">
        <v>33</v>
      </c>
      <c r="E5906" t="s">
        <v>15</v>
      </c>
      <c r="F5906" t="s">
        <v>20</v>
      </c>
      <c r="G5906" s="1" t="str">
        <f t="shared" si="1284"/>
        <v>X</v>
      </c>
      <c r="H5906" s="1" t="str">
        <f t="shared" si="1284"/>
        <v>X</v>
      </c>
      <c r="I5906" s="1" t="str">
        <f t="shared" si="1284"/>
        <v>X</v>
      </c>
      <c r="J5906" s="1" t="str">
        <f t="shared" si="1284"/>
        <v>X</v>
      </c>
      <c r="K5906" s="1" t="str">
        <f t="shared" si="1284"/>
        <v>X</v>
      </c>
      <c r="L5906" s="1" t="str">
        <f t="shared" si="1284"/>
        <v>X</v>
      </c>
      <c r="M5906" s="1" t="str">
        <f t="shared" si="1284"/>
        <v>X</v>
      </c>
      <c r="N5906" t="s">
        <v>27</v>
      </c>
    </row>
    <row r="5907" spans="1:14" x14ac:dyDescent="0.25">
      <c r="A5907" t="s">
        <v>42</v>
      </c>
      <c r="B5907" t="s">
        <v>15</v>
      </c>
      <c r="C5907" t="s">
        <v>37</v>
      </c>
      <c r="D5907" t="s">
        <v>33</v>
      </c>
      <c r="E5907" t="s">
        <v>21</v>
      </c>
      <c r="F5907" t="s">
        <v>15</v>
      </c>
      <c r="G5907" s="1" t="str">
        <f t="shared" si="1284"/>
        <v>X</v>
      </c>
      <c r="H5907" s="1" t="str">
        <f t="shared" si="1284"/>
        <v>X</v>
      </c>
      <c r="I5907" s="1" t="str">
        <f t="shared" si="1284"/>
        <v>X</v>
      </c>
      <c r="J5907" s="1" t="str">
        <f t="shared" si="1284"/>
        <v>X</v>
      </c>
      <c r="K5907" s="1" t="str">
        <f t="shared" si="1284"/>
        <v>X</v>
      </c>
      <c r="L5907" s="1" t="str">
        <f t="shared" si="1284"/>
        <v>X</v>
      </c>
      <c r="M5907" s="1" t="str">
        <f t="shared" si="1284"/>
        <v>X</v>
      </c>
      <c r="N5907" t="s">
        <v>27</v>
      </c>
    </row>
    <row r="5908" spans="1:14" x14ac:dyDescent="0.25">
      <c r="A5908" t="s">
        <v>42</v>
      </c>
      <c r="B5908" t="s">
        <v>15</v>
      </c>
      <c r="C5908" t="s">
        <v>37</v>
      </c>
      <c r="D5908" t="s">
        <v>33</v>
      </c>
      <c r="E5908" t="s">
        <v>21</v>
      </c>
      <c r="F5908" t="s">
        <v>17</v>
      </c>
      <c r="G5908" s="1" t="str">
        <f t="shared" si="1284"/>
        <v>X</v>
      </c>
      <c r="H5908" s="1" t="str">
        <f t="shared" si="1284"/>
        <v>X</v>
      </c>
      <c r="I5908" s="1" t="str">
        <f t="shared" si="1284"/>
        <v>X</v>
      </c>
      <c r="J5908" s="1" t="str">
        <f t="shared" si="1284"/>
        <v>X</v>
      </c>
      <c r="K5908" s="1" t="str">
        <f t="shared" si="1284"/>
        <v>X</v>
      </c>
      <c r="L5908" s="1" t="str">
        <f t="shared" si="1284"/>
        <v>X</v>
      </c>
      <c r="M5908" s="1" t="str">
        <f t="shared" si="1284"/>
        <v>X</v>
      </c>
      <c r="N5908" t="s">
        <v>27</v>
      </c>
    </row>
    <row r="5909" spans="1:14" x14ac:dyDescent="0.25">
      <c r="A5909" t="s">
        <v>42</v>
      </c>
      <c r="B5909" t="s">
        <v>15</v>
      </c>
      <c r="C5909" t="s">
        <v>37</v>
      </c>
      <c r="D5909" t="s">
        <v>33</v>
      </c>
      <c r="E5909" t="s">
        <v>21</v>
      </c>
      <c r="F5909" t="s">
        <v>18</v>
      </c>
      <c r="G5909" s="1" t="str">
        <f t="shared" si="1284"/>
        <v>X</v>
      </c>
      <c r="H5909" s="1" t="str">
        <f t="shared" si="1284"/>
        <v>X</v>
      </c>
      <c r="I5909" s="1" t="str">
        <f t="shared" si="1284"/>
        <v>X</v>
      </c>
      <c r="J5909" s="1" t="str">
        <f t="shared" si="1284"/>
        <v>X</v>
      </c>
      <c r="K5909" s="1" t="str">
        <f t="shared" si="1284"/>
        <v>X</v>
      </c>
      <c r="L5909" s="1" t="str">
        <f t="shared" si="1284"/>
        <v>X</v>
      </c>
      <c r="M5909" s="1" t="str">
        <f t="shared" si="1284"/>
        <v>X</v>
      </c>
      <c r="N5909" t="s">
        <v>27</v>
      </c>
    </row>
    <row r="5910" spans="1:14" x14ac:dyDescent="0.25">
      <c r="A5910" t="s">
        <v>42</v>
      </c>
      <c r="B5910" t="s">
        <v>15</v>
      </c>
      <c r="C5910" t="s">
        <v>37</v>
      </c>
      <c r="D5910" t="s">
        <v>33</v>
      </c>
      <c r="E5910" t="s">
        <v>21</v>
      </c>
      <c r="F5910" t="s">
        <v>19</v>
      </c>
      <c r="G5910" s="1" t="str">
        <f t="shared" si="1284"/>
        <v>X</v>
      </c>
      <c r="H5910" s="1" t="str">
        <f t="shared" si="1284"/>
        <v>X</v>
      </c>
      <c r="I5910" s="1" t="str">
        <f t="shared" si="1284"/>
        <v>X</v>
      </c>
      <c r="J5910" s="1" t="str">
        <f t="shared" si="1284"/>
        <v>X</v>
      </c>
      <c r="K5910" s="1" t="str">
        <f t="shared" si="1284"/>
        <v>X</v>
      </c>
      <c r="L5910" s="1" t="str">
        <f t="shared" si="1284"/>
        <v>X</v>
      </c>
      <c r="M5910" s="1" t="str">
        <f t="shared" si="1284"/>
        <v>X</v>
      </c>
      <c r="N5910" t="s">
        <v>27</v>
      </c>
    </row>
    <row r="5911" spans="1:14" x14ac:dyDescent="0.25">
      <c r="A5911" t="s">
        <v>42</v>
      </c>
      <c r="B5911" t="s">
        <v>15</v>
      </c>
      <c r="C5911" t="s">
        <v>37</v>
      </c>
      <c r="D5911" t="s">
        <v>33</v>
      </c>
      <c r="E5911" t="s">
        <v>21</v>
      </c>
      <c r="F5911" t="s">
        <v>20</v>
      </c>
      <c r="G5911" s="1" t="str">
        <f t="shared" si="1284"/>
        <v>X</v>
      </c>
      <c r="H5911" s="1" t="str">
        <f t="shared" si="1284"/>
        <v>X</v>
      </c>
      <c r="I5911" s="1" t="str">
        <f t="shared" si="1284"/>
        <v>X</v>
      </c>
      <c r="J5911" s="1" t="str">
        <f t="shared" si="1284"/>
        <v>X</v>
      </c>
      <c r="K5911" s="1" t="str">
        <f t="shared" si="1284"/>
        <v>X</v>
      </c>
      <c r="L5911" s="1" t="str">
        <f t="shared" si="1284"/>
        <v>X</v>
      </c>
      <c r="M5911" s="1" t="str">
        <f t="shared" si="1284"/>
        <v>X</v>
      </c>
      <c r="N5911" t="s">
        <v>27</v>
      </c>
    </row>
    <row r="5912" spans="1:14" x14ac:dyDescent="0.25">
      <c r="A5912" t="s">
        <v>42</v>
      </c>
      <c r="B5912" t="s">
        <v>15</v>
      </c>
      <c r="C5912" t="s">
        <v>37</v>
      </c>
      <c r="D5912" t="s">
        <v>33</v>
      </c>
      <c r="E5912" t="s">
        <v>22</v>
      </c>
      <c r="F5912" t="s">
        <v>15</v>
      </c>
      <c r="G5912" s="1" t="str">
        <f t="shared" si="1284"/>
        <v>X</v>
      </c>
      <c r="H5912" s="1" t="str">
        <f t="shared" si="1284"/>
        <v>X</v>
      </c>
      <c r="I5912" s="1" t="str">
        <f t="shared" si="1284"/>
        <v>X</v>
      </c>
      <c r="J5912" s="1" t="str">
        <f t="shared" si="1284"/>
        <v>X</v>
      </c>
      <c r="K5912" s="1" t="str">
        <f t="shared" si="1284"/>
        <v>X</v>
      </c>
      <c r="L5912" s="1" t="str">
        <f t="shared" si="1284"/>
        <v>X</v>
      </c>
      <c r="M5912" s="1" t="str">
        <f t="shared" si="1284"/>
        <v>X</v>
      </c>
      <c r="N5912" t="s">
        <v>27</v>
      </c>
    </row>
    <row r="5913" spans="1:14" x14ac:dyDescent="0.25">
      <c r="A5913" t="s">
        <v>42</v>
      </c>
      <c r="B5913" t="s">
        <v>15</v>
      </c>
      <c r="C5913" t="s">
        <v>37</v>
      </c>
      <c r="D5913" t="s">
        <v>33</v>
      </c>
      <c r="E5913" t="s">
        <v>22</v>
      </c>
      <c r="F5913" t="s">
        <v>17</v>
      </c>
      <c r="G5913" s="1" t="str">
        <f t="shared" ref="G5913:M5922" si="1285">"X"</f>
        <v>X</v>
      </c>
      <c r="H5913" s="1" t="str">
        <f t="shared" si="1285"/>
        <v>X</v>
      </c>
      <c r="I5913" s="1" t="str">
        <f t="shared" si="1285"/>
        <v>X</v>
      </c>
      <c r="J5913" s="1" t="str">
        <f t="shared" si="1285"/>
        <v>X</v>
      </c>
      <c r="K5913" s="1" t="str">
        <f t="shared" si="1285"/>
        <v>X</v>
      </c>
      <c r="L5913" s="1" t="str">
        <f t="shared" si="1285"/>
        <v>X</v>
      </c>
      <c r="M5913" s="1" t="str">
        <f t="shared" si="1285"/>
        <v>X</v>
      </c>
      <c r="N5913" t="s">
        <v>27</v>
      </c>
    </row>
    <row r="5914" spans="1:14" x14ac:dyDescent="0.25">
      <c r="A5914" t="s">
        <v>42</v>
      </c>
      <c r="B5914" t="s">
        <v>15</v>
      </c>
      <c r="C5914" t="s">
        <v>37</v>
      </c>
      <c r="D5914" t="s">
        <v>33</v>
      </c>
      <c r="E5914" t="s">
        <v>22</v>
      </c>
      <c r="F5914" t="s">
        <v>18</v>
      </c>
      <c r="G5914" s="1" t="str">
        <f t="shared" si="1285"/>
        <v>X</v>
      </c>
      <c r="H5914" s="1" t="str">
        <f t="shared" si="1285"/>
        <v>X</v>
      </c>
      <c r="I5914" s="1" t="str">
        <f t="shared" si="1285"/>
        <v>X</v>
      </c>
      <c r="J5914" s="1" t="str">
        <f t="shared" si="1285"/>
        <v>X</v>
      </c>
      <c r="K5914" s="1" t="str">
        <f t="shared" si="1285"/>
        <v>X</v>
      </c>
      <c r="L5914" s="1" t="str">
        <f t="shared" si="1285"/>
        <v>X</v>
      </c>
      <c r="M5914" s="1" t="str">
        <f t="shared" si="1285"/>
        <v>X</v>
      </c>
      <c r="N5914" t="s">
        <v>27</v>
      </c>
    </row>
    <row r="5915" spans="1:14" x14ac:dyDescent="0.25">
      <c r="A5915" t="s">
        <v>42</v>
      </c>
      <c r="B5915" t="s">
        <v>15</v>
      </c>
      <c r="C5915" t="s">
        <v>37</v>
      </c>
      <c r="D5915" t="s">
        <v>33</v>
      </c>
      <c r="E5915" t="s">
        <v>22</v>
      </c>
      <c r="F5915" t="s">
        <v>19</v>
      </c>
      <c r="G5915" s="1" t="str">
        <f t="shared" si="1285"/>
        <v>X</v>
      </c>
      <c r="H5915" s="1" t="str">
        <f t="shared" si="1285"/>
        <v>X</v>
      </c>
      <c r="I5915" s="1" t="str">
        <f t="shared" si="1285"/>
        <v>X</v>
      </c>
      <c r="J5915" s="1" t="str">
        <f t="shared" si="1285"/>
        <v>X</v>
      </c>
      <c r="K5915" s="1" t="str">
        <f t="shared" si="1285"/>
        <v>X</v>
      </c>
      <c r="L5915" s="1" t="str">
        <f t="shared" si="1285"/>
        <v>X</v>
      </c>
      <c r="M5915" s="1" t="str">
        <f t="shared" si="1285"/>
        <v>X</v>
      </c>
      <c r="N5915" t="s">
        <v>27</v>
      </c>
    </row>
    <row r="5916" spans="1:14" x14ac:dyDescent="0.25">
      <c r="A5916" t="s">
        <v>42</v>
      </c>
      <c r="B5916" t="s">
        <v>15</v>
      </c>
      <c r="C5916" t="s">
        <v>37</v>
      </c>
      <c r="D5916" t="s">
        <v>33</v>
      </c>
      <c r="E5916" t="s">
        <v>22</v>
      </c>
      <c r="F5916" t="s">
        <v>20</v>
      </c>
      <c r="G5916" s="1" t="str">
        <f t="shared" si="1285"/>
        <v>X</v>
      </c>
      <c r="H5916" s="1" t="str">
        <f t="shared" si="1285"/>
        <v>X</v>
      </c>
      <c r="I5916" s="1" t="str">
        <f t="shared" si="1285"/>
        <v>X</v>
      </c>
      <c r="J5916" s="1" t="str">
        <f t="shared" si="1285"/>
        <v>X</v>
      </c>
      <c r="K5916" s="1" t="str">
        <f t="shared" si="1285"/>
        <v>X</v>
      </c>
      <c r="L5916" s="1" t="str">
        <f t="shared" si="1285"/>
        <v>X</v>
      </c>
      <c r="M5916" s="1" t="str">
        <f t="shared" si="1285"/>
        <v>X</v>
      </c>
      <c r="N5916" t="s">
        <v>27</v>
      </c>
    </row>
    <row r="5917" spans="1:14" x14ac:dyDescent="0.25">
      <c r="A5917" t="s">
        <v>42</v>
      </c>
      <c r="B5917" t="s">
        <v>15</v>
      </c>
      <c r="C5917" t="s">
        <v>37</v>
      </c>
      <c r="D5917" t="s">
        <v>33</v>
      </c>
      <c r="E5917" t="s">
        <v>23</v>
      </c>
      <c r="F5917" t="s">
        <v>15</v>
      </c>
      <c r="G5917" s="1" t="str">
        <f t="shared" si="1285"/>
        <v>X</v>
      </c>
      <c r="H5917" s="1" t="str">
        <f t="shared" si="1285"/>
        <v>X</v>
      </c>
      <c r="I5917" s="1" t="str">
        <f t="shared" si="1285"/>
        <v>X</v>
      </c>
      <c r="J5917" s="1" t="str">
        <f t="shared" si="1285"/>
        <v>X</v>
      </c>
      <c r="K5917" s="1" t="str">
        <f t="shared" si="1285"/>
        <v>X</v>
      </c>
      <c r="L5917" s="1" t="str">
        <f t="shared" si="1285"/>
        <v>X</v>
      </c>
      <c r="M5917" s="1" t="str">
        <f t="shared" si="1285"/>
        <v>X</v>
      </c>
      <c r="N5917" t="s">
        <v>27</v>
      </c>
    </row>
    <row r="5918" spans="1:14" x14ac:dyDescent="0.25">
      <c r="A5918" t="s">
        <v>42</v>
      </c>
      <c r="B5918" t="s">
        <v>15</v>
      </c>
      <c r="C5918" t="s">
        <v>37</v>
      </c>
      <c r="D5918" t="s">
        <v>33</v>
      </c>
      <c r="E5918" t="s">
        <v>23</v>
      </c>
      <c r="F5918" t="s">
        <v>17</v>
      </c>
      <c r="G5918" s="1" t="str">
        <f t="shared" si="1285"/>
        <v>X</v>
      </c>
      <c r="H5918" s="1" t="str">
        <f t="shared" si="1285"/>
        <v>X</v>
      </c>
      <c r="I5918" s="1" t="str">
        <f t="shared" si="1285"/>
        <v>X</v>
      </c>
      <c r="J5918" s="1" t="str">
        <f t="shared" si="1285"/>
        <v>X</v>
      </c>
      <c r="K5918" s="1" t="str">
        <f t="shared" si="1285"/>
        <v>X</v>
      </c>
      <c r="L5918" s="1" t="str">
        <f t="shared" si="1285"/>
        <v>X</v>
      </c>
      <c r="M5918" s="1" t="str">
        <f t="shared" si="1285"/>
        <v>X</v>
      </c>
      <c r="N5918" t="s">
        <v>27</v>
      </c>
    </row>
    <row r="5919" spans="1:14" x14ac:dyDescent="0.25">
      <c r="A5919" t="s">
        <v>42</v>
      </c>
      <c r="B5919" t="s">
        <v>15</v>
      </c>
      <c r="C5919" t="s">
        <v>37</v>
      </c>
      <c r="D5919" t="s">
        <v>33</v>
      </c>
      <c r="E5919" t="s">
        <v>23</v>
      </c>
      <c r="F5919" t="s">
        <v>18</v>
      </c>
      <c r="G5919" s="1" t="str">
        <f t="shared" si="1285"/>
        <v>X</v>
      </c>
      <c r="H5919" s="1" t="str">
        <f t="shared" si="1285"/>
        <v>X</v>
      </c>
      <c r="I5919" s="1" t="str">
        <f t="shared" si="1285"/>
        <v>X</v>
      </c>
      <c r="J5919" s="1" t="str">
        <f t="shared" si="1285"/>
        <v>X</v>
      </c>
      <c r="K5919" s="1" t="str">
        <f t="shared" si="1285"/>
        <v>X</v>
      </c>
      <c r="L5919" s="1" t="str">
        <f t="shared" si="1285"/>
        <v>X</v>
      </c>
      <c r="M5919" s="1" t="str">
        <f t="shared" si="1285"/>
        <v>X</v>
      </c>
      <c r="N5919" t="s">
        <v>27</v>
      </c>
    </row>
    <row r="5920" spans="1:14" x14ac:dyDescent="0.25">
      <c r="A5920" t="s">
        <v>42</v>
      </c>
      <c r="B5920" t="s">
        <v>15</v>
      </c>
      <c r="C5920" t="s">
        <v>37</v>
      </c>
      <c r="D5920" t="s">
        <v>33</v>
      </c>
      <c r="E5920" t="s">
        <v>23</v>
      </c>
      <c r="F5920" t="s">
        <v>19</v>
      </c>
      <c r="G5920" s="1" t="str">
        <f t="shared" si="1285"/>
        <v>X</v>
      </c>
      <c r="H5920" s="1" t="str">
        <f t="shared" si="1285"/>
        <v>X</v>
      </c>
      <c r="I5920" s="1" t="str">
        <f t="shared" si="1285"/>
        <v>X</v>
      </c>
      <c r="J5920" s="1" t="str">
        <f t="shared" si="1285"/>
        <v>X</v>
      </c>
      <c r="K5920" s="1" t="str">
        <f t="shared" si="1285"/>
        <v>X</v>
      </c>
      <c r="L5920" s="1" t="str">
        <f t="shared" si="1285"/>
        <v>X</v>
      </c>
      <c r="M5920" s="1" t="str">
        <f t="shared" si="1285"/>
        <v>X</v>
      </c>
      <c r="N5920" t="s">
        <v>27</v>
      </c>
    </row>
    <row r="5921" spans="1:14" x14ac:dyDescent="0.25">
      <c r="A5921" t="s">
        <v>42</v>
      </c>
      <c r="B5921" t="s">
        <v>15</v>
      </c>
      <c r="C5921" t="s">
        <v>37</v>
      </c>
      <c r="D5921" t="s">
        <v>33</v>
      </c>
      <c r="E5921" t="s">
        <v>23</v>
      </c>
      <c r="F5921" t="s">
        <v>20</v>
      </c>
      <c r="G5921" s="1" t="str">
        <f t="shared" si="1285"/>
        <v>X</v>
      </c>
      <c r="H5921" s="1" t="str">
        <f t="shared" si="1285"/>
        <v>X</v>
      </c>
      <c r="I5921" s="1" t="str">
        <f t="shared" si="1285"/>
        <v>X</v>
      </c>
      <c r="J5921" s="1" t="str">
        <f t="shared" si="1285"/>
        <v>X</v>
      </c>
      <c r="K5921" s="1" t="str">
        <f t="shared" si="1285"/>
        <v>X</v>
      </c>
      <c r="L5921" s="1" t="str">
        <f t="shared" si="1285"/>
        <v>X</v>
      </c>
      <c r="M5921" s="1" t="str">
        <f t="shared" si="1285"/>
        <v>X</v>
      </c>
      <c r="N5921" t="s">
        <v>27</v>
      </c>
    </row>
    <row r="5922" spans="1:14" x14ac:dyDescent="0.25">
      <c r="A5922" t="s">
        <v>42</v>
      </c>
      <c r="B5922" t="s">
        <v>15</v>
      </c>
      <c r="C5922" t="s">
        <v>37</v>
      </c>
      <c r="D5922" t="s">
        <v>33</v>
      </c>
      <c r="E5922" t="s">
        <v>26</v>
      </c>
      <c r="F5922" t="s">
        <v>15</v>
      </c>
      <c r="G5922" s="1" t="str">
        <f t="shared" si="1285"/>
        <v>X</v>
      </c>
      <c r="H5922" s="1" t="str">
        <f t="shared" si="1285"/>
        <v>X</v>
      </c>
      <c r="I5922" s="1" t="str">
        <f t="shared" si="1285"/>
        <v>X</v>
      </c>
      <c r="J5922" s="1" t="str">
        <f t="shared" si="1285"/>
        <v>X</v>
      </c>
      <c r="K5922" s="1" t="str">
        <f t="shared" si="1285"/>
        <v>X</v>
      </c>
      <c r="L5922" s="1" t="str">
        <f t="shared" si="1285"/>
        <v>X</v>
      </c>
      <c r="M5922" s="1" t="str">
        <f t="shared" si="1285"/>
        <v>X</v>
      </c>
      <c r="N5922" t="s">
        <v>27</v>
      </c>
    </row>
    <row r="5923" spans="1:14" x14ac:dyDescent="0.25">
      <c r="A5923" t="s">
        <v>42</v>
      </c>
      <c r="B5923" t="s">
        <v>15</v>
      </c>
      <c r="C5923" t="s">
        <v>37</v>
      </c>
      <c r="D5923" t="s">
        <v>33</v>
      </c>
      <c r="E5923" t="s">
        <v>26</v>
      </c>
      <c r="F5923" t="s">
        <v>17</v>
      </c>
      <c r="G5923" s="1" t="str">
        <f t="shared" ref="G5923:M5923" si="1286">"..."</f>
        <v>...</v>
      </c>
      <c r="H5923" s="1" t="str">
        <f t="shared" si="1286"/>
        <v>...</v>
      </c>
      <c r="I5923" s="1" t="str">
        <f t="shared" si="1286"/>
        <v>...</v>
      </c>
      <c r="J5923" s="1" t="str">
        <f t="shared" si="1286"/>
        <v>...</v>
      </c>
      <c r="K5923" s="1" t="str">
        <f t="shared" si="1286"/>
        <v>...</v>
      </c>
      <c r="L5923" s="1" t="str">
        <f t="shared" si="1286"/>
        <v>...</v>
      </c>
      <c r="M5923" s="1" t="str">
        <f t="shared" si="1286"/>
        <v>...</v>
      </c>
      <c r="N5923" t="s">
        <v>30</v>
      </c>
    </row>
    <row r="5924" spans="1:14" x14ac:dyDescent="0.25">
      <c r="A5924" t="s">
        <v>42</v>
      </c>
      <c r="B5924" t="s">
        <v>15</v>
      </c>
      <c r="C5924" t="s">
        <v>37</v>
      </c>
      <c r="D5924" t="s">
        <v>33</v>
      </c>
      <c r="E5924" t="s">
        <v>26</v>
      </c>
      <c r="F5924" t="s">
        <v>18</v>
      </c>
      <c r="G5924" s="1" t="str">
        <f t="shared" ref="G5924:M5924" si="1287">"X"</f>
        <v>X</v>
      </c>
      <c r="H5924" s="1" t="str">
        <f t="shared" si="1287"/>
        <v>X</v>
      </c>
      <c r="I5924" s="1" t="str">
        <f t="shared" si="1287"/>
        <v>X</v>
      </c>
      <c r="J5924" s="1" t="str">
        <f t="shared" si="1287"/>
        <v>X</v>
      </c>
      <c r="K5924" s="1" t="str">
        <f t="shared" si="1287"/>
        <v>X</v>
      </c>
      <c r="L5924" s="1" t="str">
        <f t="shared" si="1287"/>
        <v>X</v>
      </c>
      <c r="M5924" s="1" t="str">
        <f t="shared" si="1287"/>
        <v>X</v>
      </c>
      <c r="N5924" t="s">
        <v>27</v>
      </c>
    </row>
    <row r="5925" spans="1:14" x14ac:dyDescent="0.25">
      <c r="A5925" t="s">
        <v>42</v>
      </c>
      <c r="B5925" t="s">
        <v>15</v>
      </c>
      <c r="C5925" t="s">
        <v>37</v>
      </c>
      <c r="D5925" t="s">
        <v>33</v>
      </c>
      <c r="E5925" t="s">
        <v>26</v>
      </c>
      <c r="F5925" t="s">
        <v>19</v>
      </c>
      <c r="G5925" s="1" t="str">
        <f t="shared" ref="G5925:M5925" si="1288">"..."</f>
        <v>...</v>
      </c>
      <c r="H5925" s="1" t="str">
        <f t="shared" si="1288"/>
        <v>...</v>
      </c>
      <c r="I5925" s="1" t="str">
        <f t="shared" si="1288"/>
        <v>...</v>
      </c>
      <c r="J5925" s="1" t="str">
        <f t="shared" si="1288"/>
        <v>...</v>
      </c>
      <c r="K5925" s="1" t="str">
        <f t="shared" si="1288"/>
        <v>...</v>
      </c>
      <c r="L5925" s="1" t="str">
        <f t="shared" si="1288"/>
        <v>...</v>
      </c>
      <c r="M5925" s="1" t="str">
        <f t="shared" si="1288"/>
        <v>...</v>
      </c>
      <c r="N5925" t="s">
        <v>30</v>
      </c>
    </row>
    <row r="5926" spans="1:14" x14ac:dyDescent="0.25">
      <c r="A5926" t="s">
        <v>42</v>
      </c>
      <c r="B5926" t="s">
        <v>15</v>
      </c>
      <c r="C5926" t="s">
        <v>37</v>
      </c>
      <c r="D5926" t="s">
        <v>33</v>
      </c>
      <c r="E5926" t="s">
        <v>26</v>
      </c>
      <c r="F5926" t="s">
        <v>20</v>
      </c>
      <c r="G5926" s="1" t="str">
        <f t="shared" ref="G5926:M5929" si="1289">"X"</f>
        <v>X</v>
      </c>
      <c r="H5926" s="1" t="str">
        <f t="shared" si="1289"/>
        <v>X</v>
      </c>
      <c r="I5926" s="1" t="str">
        <f t="shared" si="1289"/>
        <v>X</v>
      </c>
      <c r="J5926" s="1" t="str">
        <f t="shared" si="1289"/>
        <v>X</v>
      </c>
      <c r="K5926" s="1" t="str">
        <f t="shared" si="1289"/>
        <v>X</v>
      </c>
      <c r="L5926" s="1" t="str">
        <f t="shared" si="1289"/>
        <v>X</v>
      </c>
      <c r="M5926" s="1" t="str">
        <f t="shared" si="1289"/>
        <v>X</v>
      </c>
      <c r="N5926" t="s">
        <v>27</v>
      </c>
    </row>
    <row r="5927" spans="1:14" x14ac:dyDescent="0.25">
      <c r="A5927" t="s">
        <v>42</v>
      </c>
      <c r="B5927" t="s">
        <v>15</v>
      </c>
      <c r="C5927" t="s">
        <v>37</v>
      </c>
      <c r="D5927" t="s">
        <v>34</v>
      </c>
      <c r="E5927" t="s">
        <v>15</v>
      </c>
      <c r="F5927" t="s">
        <v>15</v>
      </c>
      <c r="G5927" s="1" t="str">
        <f t="shared" si="1289"/>
        <v>X</v>
      </c>
      <c r="H5927" s="1" t="str">
        <f t="shared" si="1289"/>
        <v>X</v>
      </c>
      <c r="I5927" s="1" t="str">
        <f t="shared" si="1289"/>
        <v>X</v>
      </c>
      <c r="J5927" s="1" t="str">
        <f t="shared" si="1289"/>
        <v>X</v>
      </c>
      <c r="K5927" s="1" t="str">
        <f t="shared" si="1289"/>
        <v>X</v>
      </c>
      <c r="L5927" s="1" t="str">
        <f t="shared" si="1289"/>
        <v>X</v>
      </c>
      <c r="M5927" s="1" t="str">
        <f t="shared" si="1289"/>
        <v>X</v>
      </c>
      <c r="N5927" t="s">
        <v>27</v>
      </c>
    </row>
    <row r="5928" spans="1:14" x14ac:dyDescent="0.25">
      <c r="A5928" t="s">
        <v>42</v>
      </c>
      <c r="B5928" t="s">
        <v>15</v>
      </c>
      <c r="C5928" t="s">
        <v>37</v>
      </c>
      <c r="D5928" t="s">
        <v>34</v>
      </c>
      <c r="E5928" t="s">
        <v>15</v>
      </c>
      <c r="F5928" t="s">
        <v>17</v>
      </c>
      <c r="G5928" s="1" t="str">
        <f t="shared" si="1289"/>
        <v>X</v>
      </c>
      <c r="H5928" s="1" t="str">
        <f t="shared" si="1289"/>
        <v>X</v>
      </c>
      <c r="I5928" s="1" t="str">
        <f t="shared" si="1289"/>
        <v>X</v>
      </c>
      <c r="J5928" s="1" t="str">
        <f t="shared" si="1289"/>
        <v>X</v>
      </c>
      <c r="K5928" s="1" t="str">
        <f t="shared" si="1289"/>
        <v>X</v>
      </c>
      <c r="L5928" s="1" t="str">
        <f t="shared" si="1289"/>
        <v>X</v>
      </c>
      <c r="M5928" s="1" t="str">
        <f t="shared" si="1289"/>
        <v>X</v>
      </c>
      <c r="N5928" t="s">
        <v>27</v>
      </c>
    </row>
    <row r="5929" spans="1:14" x14ac:dyDescent="0.25">
      <c r="A5929" t="s">
        <v>42</v>
      </c>
      <c r="B5929" t="s">
        <v>15</v>
      </c>
      <c r="C5929" t="s">
        <v>37</v>
      </c>
      <c r="D5929" t="s">
        <v>34</v>
      </c>
      <c r="E5929" t="s">
        <v>15</v>
      </c>
      <c r="F5929" t="s">
        <v>18</v>
      </c>
      <c r="G5929" s="1" t="str">
        <f t="shared" si="1289"/>
        <v>X</v>
      </c>
      <c r="H5929" s="1" t="str">
        <f t="shared" si="1289"/>
        <v>X</v>
      </c>
      <c r="I5929" s="1" t="str">
        <f t="shared" si="1289"/>
        <v>X</v>
      </c>
      <c r="J5929" s="1" t="str">
        <f t="shared" si="1289"/>
        <v>X</v>
      </c>
      <c r="K5929" s="1" t="str">
        <f t="shared" si="1289"/>
        <v>X</v>
      </c>
      <c r="L5929" s="1" t="str">
        <f t="shared" si="1289"/>
        <v>X</v>
      </c>
      <c r="M5929" s="1" t="str">
        <f t="shared" si="1289"/>
        <v>X</v>
      </c>
      <c r="N5929" t="s">
        <v>27</v>
      </c>
    </row>
    <row r="5930" spans="1:14" x14ac:dyDescent="0.25">
      <c r="A5930" t="s">
        <v>42</v>
      </c>
      <c r="B5930" t="s">
        <v>15</v>
      </c>
      <c r="C5930" t="s">
        <v>37</v>
      </c>
      <c r="D5930" t="s">
        <v>34</v>
      </c>
      <c r="E5930" t="s">
        <v>15</v>
      </c>
      <c r="F5930" t="s">
        <v>19</v>
      </c>
      <c r="G5930" s="1" t="str">
        <f t="shared" ref="G5930:M5930" si="1290">"..."</f>
        <v>...</v>
      </c>
      <c r="H5930" s="1" t="str">
        <f t="shared" si="1290"/>
        <v>...</v>
      </c>
      <c r="I5930" s="1" t="str">
        <f t="shared" si="1290"/>
        <v>...</v>
      </c>
      <c r="J5930" s="1" t="str">
        <f t="shared" si="1290"/>
        <v>...</v>
      </c>
      <c r="K5930" s="1" t="str">
        <f t="shared" si="1290"/>
        <v>...</v>
      </c>
      <c r="L5930" s="1" t="str">
        <f t="shared" si="1290"/>
        <v>...</v>
      </c>
      <c r="M5930" s="1" t="str">
        <f t="shared" si="1290"/>
        <v>...</v>
      </c>
      <c r="N5930" t="s">
        <v>30</v>
      </c>
    </row>
    <row r="5931" spans="1:14" x14ac:dyDescent="0.25">
      <c r="A5931" t="s">
        <v>42</v>
      </c>
      <c r="B5931" t="s">
        <v>15</v>
      </c>
      <c r="C5931" t="s">
        <v>37</v>
      </c>
      <c r="D5931" t="s">
        <v>34</v>
      </c>
      <c r="E5931" t="s">
        <v>15</v>
      </c>
      <c r="F5931" t="s">
        <v>20</v>
      </c>
      <c r="G5931" s="1" t="str">
        <f t="shared" ref="G5931:M5933" si="1291">"X"</f>
        <v>X</v>
      </c>
      <c r="H5931" s="1" t="str">
        <f t="shared" si="1291"/>
        <v>X</v>
      </c>
      <c r="I5931" s="1" t="str">
        <f t="shared" si="1291"/>
        <v>X</v>
      </c>
      <c r="J5931" s="1" t="str">
        <f t="shared" si="1291"/>
        <v>X</v>
      </c>
      <c r="K5931" s="1" t="str">
        <f t="shared" si="1291"/>
        <v>X</v>
      </c>
      <c r="L5931" s="1" t="str">
        <f t="shared" si="1291"/>
        <v>X</v>
      </c>
      <c r="M5931" s="1" t="str">
        <f t="shared" si="1291"/>
        <v>X</v>
      </c>
      <c r="N5931" t="s">
        <v>27</v>
      </c>
    </row>
    <row r="5932" spans="1:14" x14ac:dyDescent="0.25">
      <c r="A5932" t="s">
        <v>42</v>
      </c>
      <c r="B5932" t="s">
        <v>15</v>
      </c>
      <c r="C5932" t="s">
        <v>37</v>
      </c>
      <c r="D5932" t="s">
        <v>34</v>
      </c>
      <c r="E5932" t="s">
        <v>21</v>
      </c>
      <c r="F5932" t="s">
        <v>15</v>
      </c>
      <c r="G5932" s="1" t="str">
        <f t="shared" si="1291"/>
        <v>X</v>
      </c>
      <c r="H5932" s="1" t="str">
        <f t="shared" si="1291"/>
        <v>X</v>
      </c>
      <c r="I5932" s="1" t="str">
        <f t="shared" si="1291"/>
        <v>X</v>
      </c>
      <c r="J5932" s="1" t="str">
        <f t="shared" si="1291"/>
        <v>X</v>
      </c>
      <c r="K5932" s="1" t="str">
        <f t="shared" si="1291"/>
        <v>X</v>
      </c>
      <c r="L5932" s="1" t="str">
        <f t="shared" si="1291"/>
        <v>X</v>
      </c>
      <c r="M5932" s="1" t="str">
        <f t="shared" si="1291"/>
        <v>X</v>
      </c>
      <c r="N5932" t="s">
        <v>27</v>
      </c>
    </row>
    <row r="5933" spans="1:14" x14ac:dyDescent="0.25">
      <c r="A5933" t="s">
        <v>42</v>
      </c>
      <c r="B5933" t="s">
        <v>15</v>
      </c>
      <c r="C5933" t="s">
        <v>37</v>
      </c>
      <c r="D5933" t="s">
        <v>34</v>
      </c>
      <c r="E5933" t="s">
        <v>21</v>
      </c>
      <c r="F5933" t="s">
        <v>17</v>
      </c>
      <c r="G5933" s="1" t="str">
        <f t="shared" si="1291"/>
        <v>X</v>
      </c>
      <c r="H5933" s="1" t="str">
        <f t="shared" si="1291"/>
        <v>X</v>
      </c>
      <c r="I5933" s="1" t="str">
        <f t="shared" si="1291"/>
        <v>X</v>
      </c>
      <c r="J5933" s="1" t="str">
        <f t="shared" si="1291"/>
        <v>X</v>
      </c>
      <c r="K5933" s="1" t="str">
        <f t="shared" si="1291"/>
        <v>X</v>
      </c>
      <c r="L5933" s="1" t="str">
        <f t="shared" si="1291"/>
        <v>X</v>
      </c>
      <c r="M5933" s="1" t="str">
        <f t="shared" si="1291"/>
        <v>X</v>
      </c>
      <c r="N5933" t="s">
        <v>27</v>
      </c>
    </row>
    <row r="5934" spans="1:14" x14ac:dyDescent="0.25">
      <c r="A5934" t="s">
        <v>42</v>
      </c>
      <c r="B5934" t="s">
        <v>15</v>
      </c>
      <c r="C5934" t="s">
        <v>37</v>
      </c>
      <c r="D5934" t="s">
        <v>34</v>
      </c>
      <c r="E5934" t="s">
        <v>21</v>
      </c>
      <c r="F5934" t="s">
        <v>18</v>
      </c>
      <c r="G5934" s="1" t="str">
        <f t="shared" ref="G5934:M5936" si="1292">"..."</f>
        <v>...</v>
      </c>
      <c r="H5934" s="1" t="str">
        <f t="shared" si="1292"/>
        <v>...</v>
      </c>
      <c r="I5934" s="1" t="str">
        <f t="shared" si="1292"/>
        <v>...</v>
      </c>
      <c r="J5934" s="1" t="str">
        <f t="shared" si="1292"/>
        <v>...</v>
      </c>
      <c r="K5934" s="1" t="str">
        <f t="shared" si="1292"/>
        <v>...</v>
      </c>
      <c r="L5934" s="1" t="str">
        <f t="shared" si="1292"/>
        <v>...</v>
      </c>
      <c r="M5934" s="1" t="str">
        <f t="shared" si="1292"/>
        <v>...</v>
      </c>
      <c r="N5934" t="s">
        <v>30</v>
      </c>
    </row>
    <row r="5935" spans="1:14" x14ac:dyDescent="0.25">
      <c r="A5935" t="s">
        <v>42</v>
      </c>
      <c r="B5935" t="s">
        <v>15</v>
      </c>
      <c r="C5935" t="s">
        <v>37</v>
      </c>
      <c r="D5935" t="s">
        <v>34</v>
      </c>
      <c r="E5935" t="s">
        <v>21</v>
      </c>
      <c r="F5935" t="s">
        <v>19</v>
      </c>
      <c r="G5935" s="1" t="str">
        <f t="shared" si="1292"/>
        <v>...</v>
      </c>
      <c r="H5935" s="1" t="str">
        <f t="shared" si="1292"/>
        <v>...</v>
      </c>
      <c r="I5935" s="1" t="str">
        <f t="shared" si="1292"/>
        <v>...</v>
      </c>
      <c r="J5935" s="1" t="str">
        <f t="shared" si="1292"/>
        <v>...</v>
      </c>
      <c r="K5935" s="1" t="str">
        <f t="shared" si="1292"/>
        <v>...</v>
      </c>
      <c r="L5935" s="1" t="str">
        <f t="shared" si="1292"/>
        <v>...</v>
      </c>
      <c r="M5935" s="1" t="str">
        <f t="shared" si="1292"/>
        <v>...</v>
      </c>
      <c r="N5935" t="s">
        <v>30</v>
      </c>
    </row>
    <row r="5936" spans="1:14" x14ac:dyDescent="0.25">
      <c r="A5936" t="s">
        <v>42</v>
      </c>
      <c r="B5936" t="s">
        <v>15</v>
      </c>
      <c r="C5936" t="s">
        <v>37</v>
      </c>
      <c r="D5936" t="s">
        <v>34</v>
      </c>
      <c r="E5936" t="s">
        <v>21</v>
      </c>
      <c r="F5936" t="s">
        <v>20</v>
      </c>
      <c r="G5936" s="1" t="str">
        <f t="shared" si="1292"/>
        <v>...</v>
      </c>
      <c r="H5936" s="1" t="str">
        <f t="shared" si="1292"/>
        <v>...</v>
      </c>
      <c r="I5936" s="1" t="str">
        <f t="shared" si="1292"/>
        <v>...</v>
      </c>
      <c r="J5936" s="1" t="str">
        <f t="shared" si="1292"/>
        <v>...</v>
      </c>
      <c r="K5936" s="1" t="str">
        <f t="shared" si="1292"/>
        <v>...</v>
      </c>
      <c r="L5936" s="1" t="str">
        <f t="shared" si="1292"/>
        <v>...</v>
      </c>
      <c r="M5936" s="1" t="str">
        <f t="shared" si="1292"/>
        <v>...</v>
      </c>
      <c r="N5936" t="s">
        <v>30</v>
      </c>
    </row>
    <row r="5937" spans="1:14" x14ac:dyDescent="0.25">
      <c r="A5937" t="s">
        <v>42</v>
      </c>
      <c r="B5937" t="s">
        <v>15</v>
      </c>
      <c r="C5937" t="s">
        <v>37</v>
      </c>
      <c r="D5937" t="s">
        <v>34</v>
      </c>
      <c r="E5937" t="s">
        <v>22</v>
      </c>
      <c r="F5937" t="s">
        <v>15</v>
      </c>
      <c r="G5937" s="1" t="str">
        <f t="shared" ref="G5937:M5937" si="1293">"X"</f>
        <v>X</v>
      </c>
      <c r="H5937" s="1" t="str">
        <f t="shared" si="1293"/>
        <v>X</v>
      </c>
      <c r="I5937" s="1" t="str">
        <f t="shared" si="1293"/>
        <v>X</v>
      </c>
      <c r="J5937" s="1" t="str">
        <f t="shared" si="1293"/>
        <v>X</v>
      </c>
      <c r="K5937" s="1" t="str">
        <f t="shared" si="1293"/>
        <v>X</v>
      </c>
      <c r="L5937" s="1" t="str">
        <f t="shared" si="1293"/>
        <v>X</v>
      </c>
      <c r="M5937" s="1" t="str">
        <f t="shared" si="1293"/>
        <v>X</v>
      </c>
      <c r="N5937" t="s">
        <v>27</v>
      </c>
    </row>
    <row r="5938" spans="1:14" x14ac:dyDescent="0.25">
      <c r="A5938" t="s">
        <v>42</v>
      </c>
      <c r="B5938" t="s">
        <v>15</v>
      </c>
      <c r="C5938" t="s">
        <v>37</v>
      </c>
      <c r="D5938" t="s">
        <v>34</v>
      </c>
      <c r="E5938" t="s">
        <v>22</v>
      </c>
      <c r="F5938" t="s">
        <v>17</v>
      </c>
      <c r="G5938" s="1" t="str">
        <f t="shared" ref="G5938:M5938" si="1294">"..."</f>
        <v>...</v>
      </c>
      <c r="H5938" s="1" t="str">
        <f t="shared" si="1294"/>
        <v>...</v>
      </c>
      <c r="I5938" s="1" t="str">
        <f t="shared" si="1294"/>
        <v>...</v>
      </c>
      <c r="J5938" s="1" t="str">
        <f t="shared" si="1294"/>
        <v>...</v>
      </c>
      <c r="K5938" s="1" t="str">
        <f t="shared" si="1294"/>
        <v>...</v>
      </c>
      <c r="L5938" s="1" t="str">
        <f t="shared" si="1294"/>
        <v>...</v>
      </c>
      <c r="M5938" s="1" t="str">
        <f t="shared" si="1294"/>
        <v>...</v>
      </c>
      <c r="N5938" t="s">
        <v>30</v>
      </c>
    </row>
    <row r="5939" spans="1:14" x14ac:dyDescent="0.25">
      <c r="A5939" t="s">
        <v>42</v>
      </c>
      <c r="B5939" t="s">
        <v>15</v>
      </c>
      <c r="C5939" t="s">
        <v>37</v>
      </c>
      <c r="D5939" t="s">
        <v>34</v>
      </c>
      <c r="E5939" t="s">
        <v>22</v>
      </c>
      <c r="F5939" t="s">
        <v>18</v>
      </c>
      <c r="G5939" s="1" t="str">
        <f t="shared" ref="G5939:M5939" si="1295">"X"</f>
        <v>X</v>
      </c>
      <c r="H5939" s="1" t="str">
        <f t="shared" si="1295"/>
        <v>X</v>
      </c>
      <c r="I5939" s="1" t="str">
        <f t="shared" si="1295"/>
        <v>X</v>
      </c>
      <c r="J5939" s="1" t="str">
        <f t="shared" si="1295"/>
        <v>X</v>
      </c>
      <c r="K5939" s="1" t="str">
        <f t="shared" si="1295"/>
        <v>X</v>
      </c>
      <c r="L5939" s="1" t="str">
        <f t="shared" si="1295"/>
        <v>X</v>
      </c>
      <c r="M5939" s="1" t="str">
        <f t="shared" si="1295"/>
        <v>X</v>
      </c>
      <c r="N5939" t="s">
        <v>27</v>
      </c>
    </row>
    <row r="5940" spans="1:14" x14ac:dyDescent="0.25">
      <c r="A5940" t="s">
        <v>42</v>
      </c>
      <c r="B5940" t="s">
        <v>15</v>
      </c>
      <c r="C5940" t="s">
        <v>37</v>
      </c>
      <c r="D5940" t="s">
        <v>34</v>
      </c>
      <c r="E5940" t="s">
        <v>22</v>
      </c>
      <c r="F5940" t="s">
        <v>19</v>
      </c>
      <c r="G5940" s="1" t="str">
        <f t="shared" ref="G5940:M5940" si="1296">"..."</f>
        <v>...</v>
      </c>
      <c r="H5940" s="1" t="str">
        <f t="shared" si="1296"/>
        <v>...</v>
      </c>
      <c r="I5940" s="1" t="str">
        <f t="shared" si="1296"/>
        <v>...</v>
      </c>
      <c r="J5940" s="1" t="str">
        <f t="shared" si="1296"/>
        <v>...</v>
      </c>
      <c r="K5940" s="1" t="str">
        <f t="shared" si="1296"/>
        <v>...</v>
      </c>
      <c r="L5940" s="1" t="str">
        <f t="shared" si="1296"/>
        <v>...</v>
      </c>
      <c r="M5940" s="1" t="str">
        <f t="shared" si="1296"/>
        <v>...</v>
      </c>
      <c r="N5940" t="s">
        <v>30</v>
      </c>
    </row>
    <row r="5941" spans="1:14" x14ac:dyDescent="0.25">
      <c r="A5941" t="s">
        <v>42</v>
      </c>
      <c r="B5941" t="s">
        <v>15</v>
      </c>
      <c r="C5941" t="s">
        <v>37</v>
      </c>
      <c r="D5941" t="s">
        <v>34</v>
      </c>
      <c r="E5941" t="s">
        <v>22</v>
      </c>
      <c r="F5941" t="s">
        <v>20</v>
      </c>
      <c r="G5941" s="1" t="str">
        <f t="shared" ref="G5941:M5942" si="1297">"X"</f>
        <v>X</v>
      </c>
      <c r="H5941" s="1" t="str">
        <f t="shared" si="1297"/>
        <v>X</v>
      </c>
      <c r="I5941" s="1" t="str">
        <f t="shared" si="1297"/>
        <v>X</v>
      </c>
      <c r="J5941" s="1" t="str">
        <f t="shared" si="1297"/>
        <v>X</v>
      </c>
      <c r="K5941" s="1" t="str">
        <f t="shared" si="1297"/>
        <v>X</v>
      </c>
      <c r="L5941" s="1" t="str">
        <f t="shared" si="1297"/>
        <v>X</v>
      </c>
      <c r="M5941" s="1" t="str">
        <f t="shared" si="1297"/>
        <v>X</v>
      </c>
      <c r="N5941" t="s">
        <v>27</v>
      </c>
    </row>
    <row r="5942" spans="1:14" x14ac:dyDescent="0.25">
      <c r="A5942" t="s">
        <v>42</v>
      </c>
      <c r="B5942" t="s">
        <v>15</v>
      </c>
      <c r="C5942" t="s">
        <v>37</v>
      </c>
      <c r="D5942" t="s">
        <v>34</v>
      </c>
      <c r="E5942" t="s">
        <v>23</v>
      </c>
      <c r="F5942" t="s">
        <v>15</v>
      </c>
      <c r="G5942" s="1" t="str">
        <f t="shared" si="1297"/>
        <v>X</v>
      </c>
      <c r="H5942" s="1" t="str">
        <f t="shared" si="1297"/>
        <v>X</v>
      </c>
      <c r="I5942" s="1" t="str">
        <f t="shared" si="1297"/>
        <v>X</v>
      </c>
      <c r="J5942" s="1" t="str">
        <f t="shared" si="1297"/>
        <v>X</v>
      </c>
      <c r="K5942" s="1" t="str">
        <f t="shared" si="1297"/>
        <v>X</v>
      </c>
      <c r="L5942" s="1" t="str">
        <f t="shared" si="1297"/>
        <v>X</v>
      </c>
      <c r="M5942" s="1" t="str">
        <f t="shared" si="1297"/>
        <v>X</v>
      </c>
      <c r="N5942" t="s">
        <v>27</v>
      </c>
    </row>
    <row r="5943" spans="1:14" x14ac:dyDescent="0.25">
      <c r="A5943" t="s">
        <v>42</v>
      </c>
      <c r="B5943" t="s">
        <v>15</v>
      </c>
      <c r="C5943" t="s">
        <v>37</v>
      </c>
      <c r="D5943" t="s">
        <v>34</v>
      </c>
      <c r="E5943" t="s">
        <v>23</v>
      </c>
      <c r="F5943" t="s">
        <v>17</v>
      </c>
      <c r="G5943" s="1" t="str">
        <f t="shared" ref="G5943:M5945" si="1298">"..."</f>
        <v>...</v>
      </c>
      <c r="H5943" s="1" t="str">
        <f t="shared" si="1298"/>
        <v>...</v>
      </c>
      <c r="I5943" s="1" t="str">
        <f t="shared" si="1298"/>
        <v>...</v>
      </c>
      <c r="J5943" s="1" t="str">
        <f t="shared" si="1298"/>
        <v>...</v>
      </c>
      <c r="K5943" s="1" t="str">
        <f t="shared" si="1298"/>
        <v>...</v>
      </c>
      <c r="L5943" s="1" t="str">
        <f t="shared" si="1298"/>
        <v>...</v>
      </c>
      <c r="M5943" s="1" t="str">
        <f t="shared" si="1298"/>
        <v>...</v>
      </c>
      <c r="N5943" t="s">
        <v>30</v>
      </c>
    </row>
    <row r="5944" spans="1:14" x14ac:dyDescent="0.25">
      <c r="A5944" t="s">
        <v>42</v>
      </c>
      <c r="B5944" t="s">
        <v>15</v>
      </c>
      <c r="C5944" t="s">
        <v>37</v>
      </c>
      <c r="D5944" t="s">
        <v>34</v>
      </c>
      <c r="E5944" t="s">
        <v>23</v>
      </c>
      <c r="F5944" t="s">
        <v>18</v>
      </c>
      <c r="G5944" s="1" t="str">
        <f t="shared" si="1298"/>
        <v>...</v>
      </c>
      <c r="H5944" s="1" t="str">
        <f t="shared" si="1298"/>
        <v>...</v>
      </c>
      <c r="I5944" s="1" t="str">
        <f t="shared" si="1298"/>
        <v>...</v>
      </c>
      <c r="J5944" s="1" t="str">
        <f t="shared" si="1298"/>
        <v>...</v>
      </c>
      <c r="K5944" s="1" t="str">
        <f t="shared" si="1298"/>
        <v>...</v>
      </c>
      <c r="L5944" s="1" t="str">
        <f t="shared" si="1298"/>
        <v>...</v>
      </c>
      <c r="M5944" s="1" t="str">
        <f t="shared" si="1298"/>
        <v>...</v>
      </c>
      <c r="N5944" t="s">
        <v>30</v>
      </c>
    </row>
    <row r="5945" spans="1:14" x14ac:dyDescent="0.25">
      <c r="A5945" t="s">
        <v>42</v>
      </c>
      <c r="B5945" t="s">
        <v>15</v>
      </c>
      <c r="C5945" t="s">
        <v>37</v>
      </c>
      <c r="D5945" t="s">
        <v>34</v>
      </c>
      <c r="E5945" t="s">
        <v>23</v>
      </c>
      <c r="F5945" t="s">
        <v>19</v>
      </c>
      <c r="G5945" s="1" t="str">
        <f t="shared" si="1298"/>
        <v>...</v>
      </c>
      <c r="H5945" s="1" t="str">
        <f t="shared" si="1298"/>
        <v>...</v>
      </c>
      <c r="I5945" s="1" t="str">
        <f t="shared" si="1298"/>
        <v>...</v>
      </c>
      <c r="J5945" s="1" t="str">
        <f t="shared" si="1298"/>
        <v>...</v>
      </c>
      <c r="K5945" s="1" t="str">
        <f t="shared" si="1298"/>
        <v>...</v>
      </c>
      <c r="L5945" s="1" t="str">
        <f t="shared" si="1298"/>
        <v>...</v>
      </c>
      <c r="M5945" s="1" t="str">
        <f t="shared" si="1298"/>
        <v>...</v>
      </c>
      <c r="N5945" t="s">
        <v>30</v>
      </c>
    </row>
    <row r="5946" spans="1:14" x14ac:dyDescent="0.25">
      <c r="A5946" t="s">
        <v>42</v>
      </c>
      <c r="B5946" t="s">
        <v>15</v>
      </c>
      <c r="C5946" t="s">
        <v>37</v>
      </c>
      <c r="D5946" t="s">
        <v>34</v>
      </c>
      <c r="E5946" t="s">
        <v>23</v>
      </c>
      <c r="F5946" t="s">
        <v>20</v>
      </c>
      <c r="G5946" s="1" t="str">
        <f t="shared" ref="G5946:M5946" si="1299">"X"</f>
        <v>X</v>
      </c>
      <c r="H5946" s="1" t="str">
        <f t="shared" si="1299"/>
        <v>X</v>
      </c>
      <c r="I5946" s="1" t="str">
        <f t="shared" si="1299"/>
        <v>X</v>
      </c>
      <c r="J5946" s="1" t="str">
        <f t="shared" si="1299"/>
        <v>X</v>
      </c>
      <c r="K5946" s="1" t="str">
        <f t="shared" si="1299"/>
        <v>X</v>
      </c>
      <c r="L5946" s="1" t="str">
        <f t="shared" si="1299"/>
        <v>X</v>
      </c>
      <c r="M5946" s="1" t="str">
        <f t="shared" si="1299"/>
        <v>X</v>
      </c>
      <c r="N5946" t="s">
        <v>27</v>
      </c>
    </row>
    <row r="5947" spans="1:14" x14ac:dyDescent="0.25">
      <c r="A5947" t="s">
        <v>42</v>
      </c>
      <c r="B5947" t="s">
        <v>15</v>
      </c>
      <c r="C5947" t="s">
        <v>37</v>
      </c>
      <c r="D5947" t="s">
        <v>34</v>
      </c>
      <c r="E5947" t="s">
        <v>26</v>
      </c>
      <c r="F5947" t="s">
        <v>15</v>
      </c>
      <c r="G5947" s="1" t="str">
        <f t="shared" ref="G5947:M5951" si="1300">"..."</f>
        <v>...</v>
      </c>
      <c r="H5947" s="1" t="str">
        <f t="shared" si="1300"/>
        <v>...</v>
      </c>
      <c r="I5947" s="1" t="str">
        <f t="shared" si="1300"/>
        <v>...</v>
      </c>
      <c r="J5947" s="1" t="str">
        <f t="shared" si="1300"/>
        <v>...</v>
      </c>
      <c r="K5947" s="1" t="str">
        <f t="shared" si="1300"/>
        <v>...</v>
      </c>
      <c r="L5947" s="1" t="str">
        <f t="shared" si="1300"/>
        <v>...</v>
      </c>
      <c r="M5947" s="1" t="str">
        <f t="shared" si="1300"/>
        <v>...</v>
      </c>
      <c r="N5947" t="s">
        <v>30</v>
      </c>
    </row>
    <row r="5948" spans="1:14" x14ac:dyDescent="0.25">
      <c r="A5948" t="s">
        <v>42</v>
      </c>
      <c r="B5948" t="s">
        <v>15</v>
      </c>
      <c r="C5948" t="s">
        <v>37</v>
      </c>
      <c r="D5948" t="s">
        <v>34</v>
      </c>
      <c r="E5948" t="s">
        <v>26</v>
      </c>
      <c r="F5948" t="s">
        <v>17</v>
      </c>
      <c r="G5948" s="1" t="str">
        <f t="shared" si="1300"/>
        <v>...</v>
      </c>
      <c r="H5948" s="1" t="str">
        <f t="shared" si="1300"/>
        <v>...</v>
      </c>
      <c r="I5948" s="1" t="str">
        <f t="shared" si="1300"/>
        <v>...</v>
      </c>
      <c r="J5948" s="1" t="str">
        <f t="shared" si="1300"/>
        <v>...</v>
      </c>
      <c r="K5948" s="1" t="str">
        <f t="shared" si="1300"/>
        <v>...</v>
      </c>
      <c r="L5948" s="1" t="str">
        <f t="shared" si="1300"/>
        <v>...</v>
      </c>
      <c r="M5948" s="1" t="str">
        <f t="shared" si="1300"/>
        <v>...</v>
      </c>
      <c r="N5948" t="s">
        <v>30</v>
      </c>
    </row>
    <row r="5949" spans="1:14" x14ac:dyDescent="0.25">
      <c r="A5949" t="s">
        <v>42</v>
      </c>
      <c r="B5949" t="s">
        <v>15</v>
      </c>
      <c r="C5949" t="s">
        <v>37</v>
      </c>
      <c r="D5949" t="s">
        <v>34</v>
      </c>
      <c r="E5949" t="s">
        <v>26</v>
      </c>
      <c r="F5949" t="s">
        <v>18</v>
      </c>
      <c r="G5949" s="1" t="str">
        <f t="shared" si="1300"/>
        <v>...</v>
      </c>
      <c r="H5949" s="1" t="str">
        <f t="shared" si="1300"/>
        <v>...</v>
      </c>
      <c r="I5949" s="1" t="str">
        <f t="shared" si="1300"/>
        <v>...</v>
      </c>
      <c r="J5949" s="1" t="str">
        <f t="shared" si="1300"/>
        <v>...</v>
      </c>
      <c r="K5949" s="1" t="str">
        <f t="shared" si="1300"/>
        <v>...</v>
      </c>
      <c r="L5949" s="1" t="str">
        <f t="shared" si="1300"/>
        <v>...</v>
      </c>
      <c r="M5949" s="1" t="str">
        <f t="shared" si="1300"/>
        <v>...</v>
      </c>
      <c r="N5949" t="s">
        <v>30</v>
      </c>
    </row>
    <row r="5950" spans="1:14" x14ac:dyDescent="0.25">
      <c r="A5950" t="s">
        <v>42</v>
      </c>
      <c r="B5950" t="s">
        <v>15</v>
      </c>
      <c r="C5950" t="s">
        <v>37</v>
      </c>
      <c r="D5950" t="s">
        <v>34</v>
      </c>
      <c r="E5950" t="s">
        <v>26</v>
      </c>
      <c r="F5950" t="s">
        <v>19</v>
      </c>
      <c r="G5950" s="1" t="str">
        <f t="shared" si="1300"/>
        <v>...</v>
      </c>
      <c r="H5950" s="1" t="str">
        <f t="shared" si="1300"/>
        <v>...</v>
      </c>
      <c r="I5950" s="1" t="str">
        <f t="shared" si="1300"/>
        <v>...</v>
      </c>
      <c r="J5950" s="1" t="str">
        <f t="shared" si="1300"/>
        <v>...</v>
      </c>
      <c r="K5950" s="1" t="str">
        <f t="shared" si="1300"/>
        <v>...</v>
      </c>
      <c r="L5950" s="1" t="str">
        <f t="shared" si="1300"/>
        <v>...</v>
      </c>
      <c r="M5950" s="1" t="str">
        <f t="shared" si="1300"/>
        <v>...</v>
      </c>
      <c r="N5950" t="s">
        <v>30</v>
      </c>
    </row>
    <row r="5951" spans="1:14" x14ac:dyDescent="0.25">
      <c r="A5951" t="s">
        <v>42</v>
      </c>
      <c r="B5951" t="s">
        <v>15</v>
      </c>
      <c r="C5951" t="s">
        <v>37</v>
      </c>
      <c r="D5951" t="s">
        <v>34</v>
      </c>
      <c r="E5951" t="s">
        <v>26</v>
      </c>
      <c r="F5951" t="s">
        <v>20</v>
      </c>
      <c r="G5951" s="1" t="str">
        <f t="shared" si="1300"/>
        <v>...</v>
      </c>
      <c r="H5951" s="1" t="str">
        <f t="shared" si="1300"/>
        <v>...</v>
      </c>
      <c r="I5951" s="1" t="str">
        <f t="shared" si="1300"/>
        <v>...</v>
      </c>
      <c r="J5951" s="1" t="str">
        <f t="shared" si="1300"/>
        <v>...</v>
      </c>
      <c r="K5951" s="1" t="str">
        <f t="shared" si="1300"/>
        <v>...</v>
      </c>
      <c r="L5951" s="1" t="str">
        <f t="shared" si="1300"/>
        <v>...</v>
      </c>
      <c r="M5951" s="1" t="str">
        <f t="shared" si="1300"/>
        <v>...</v>
      </c>
      <c r="N5951" t="s">
        <v>30</v>
      </c>
    </row>
    <row r="5952" spans="1:14" x14ac:dyDescent="0.25">
      <c r="A5952" t="s">
        <v>42</v>
      </c>
      <c r="B5952" t="s">
        <v>15</v>
      </c>
      <c r="C5952" t="s">
        <v>38</v>
      </c>
      <c r="D5952" t="s">
        <v>15</v>
      </c>
      <c r="E5952" t="s">
        <v>15</v>
      </c>
      <c r="F5952" t="s">
        <v>15</v>
      </c>
      <c r="G5952" s="1">
        <f>VALUE(31825.22)</f>
        <v>31825.22</v>
      </c>
      <c r="H5952" s="1">
        <f>VALUE(28269.61)</f>
        <v>28269.61</v>
      </c>
      <c r="I5952" s="1">
        <f>VALUE(3313)</f>
        <v>3313</v>
      </c>
      <c r="J5952" s="1">
        <f>VALUE(4305)</f>
        <v>4305</v>
      </c>
      <c r="K5952" s="1">
        <f>VALUE(5607)</f>
        <v>5607</v>
      </c>
      <c r="L5952" s="1">
        <f>VALUE(7500)</f>
        <v>7500</v>
      </c>
      <c r="M5952" s="1">
        <f>VALUE(11250)</f>
        <v>11250</v>
      </c>
      <c r="N5952" t="s">
        <v>16</v>
      </c>
    </row>
    <row r="5953" spans="1:14" x14ac:dyDescent="0.25">
      <c r="A5953" t="s">
        <v>42</v>
      </c>
      <c r="B5953" t="s">
        <v>15</v>
      </c>
      <c r="C5953" t="s">
        <v>38</v>
      </c>
      <c r="D5953" t="s">
        <v>15</v>
      </c>
      <c r="E5953" t="s">
        <v>15</v>
      </c>
      <c r="F5953" t="s">
        <v>17</v>
      </c>
      <c r="G5953" s="2">
        <f>VALUE(7041.85)</f>
        <v>7041.85</v>
      </c>
      <c r="H5953" s="3">
        <f>VALUE(6732.6)</f>
        <v>6732.6</v>
      </c>
      <c r="I5953" s="1">
        <f>VALUE(3648)</f>
        <v>3648</v>
      </c>
      <c r="J5953" s="5">
        <f>VALUE(5555)</f>
        <v>5555</v>
      </c>
      <c r="K5953" s="1">
        <f>VALUE(8917)</f>
        <v>8917</v>
      </c>
      <c r="L5953" s="1">
        <f>VALUE(12381)</f>
        <v>12381</v>
      </c>
      <c r="M5953" s="1">
        <f>VALUE(18700)</f>
        <v>18700</v>
      </c>
      <c r="N5953" t="s">
        <v>25</v>
      </c>
    </row>
    <row r="5954" spans="1:14" x14ac:dyDescent="0.25">
      <c r="A5954" t="s">
        <v>42</v>
      </c>
      <c r="B5954" t="s">
        <v>15</v>
      </c>
      <c r="C5954" t="s">
        <v>38</v>
      </c>
      <c r="D5954" t="s">
        <v>15</v>
      </c>
      <c r="E5954" t="s">
        <v>15</v>
      </c>
      <c r="F5954" t="s">
        <v>18</v>
      </c>
      <c r="G5954" s="1">
        <f>VALUE(2619.3)</f>
        <v>2619.3000000000002</v>
      </c>
      <c r="H5954" s="1">
        <f>VALUE(2258.13)</f>
        <v>2258.13</v>
      </c>
      <c r="I5954" s="4">
        <f>VALUE(3800)</f>
        <v>3800</v>
      </c>
      <c r="J5954" s="1">
        <f>VALUE(4891)</f>
        <v>4891</v>
      </c>
      <c r="K5954" s="1">
        <f>VALUE(6446)</f>
        <v>6446</v>
      </c>
      <c r="L5954" s="1">
        <f>VALUE(8413)</f>
        <v>8413</v>
      </c>
      <c r="M5954" s="1">
        <f>VALUE(10204)</f>
        <v>10204</v>
      </c>
      <c r="N5954" t="s">
        <v>25</v>
      </c>
    </row>
    <row r="5955" spans="1:14" x14ac:dyDescent="0.25">
      <c r="A5955" t="s">
        <v>42</v>
      </c>
      <c r="B5955" t="s">
        <v>15</v>
      </c>
      <c r="C5955" t="s">
        <v>38</v>
      </c>
      <c r="D5955" t="s">
        <v>15</v>
      </c>
      <c r="E5955" t="s">
        <v>15</v>
      </c>
      <c r="F5955" t="s">
        <v>19</v>
      </c>
      <c r="G5955" s="1">
        <f>VALUE(3920.83)</f>
        <v>3920.83</v>
      </c>
      <c r="H5955" s="1">
        <f>VALUE(3643.75)</f>
        <v>3643.75</v>
      </c>
      <c r="I5955" s="4">
        <f>VALUE(3097)</f>
        <v>3097</v>
      </c>
      <c r="J5955" s="5">
        <f>VALUE(4286)</f>
        <v>4286</v>
      </c>
      <c r="K5955" s="1">
        <f>VALUE(5566)</f>
        <v>5566</v>
      </c>
      <c r="L5955" s="1">
        <f>VALUE(6830)</f>
        <v>6830</v>
      </c>
      <c r="M5955" s="1">
        <f>VALUE(8415)</f>
        <v>8415</v>
      </c>
      <c r="N5955" t="s">
        <v>25</v>
      </c>
    </row>
    <row r="5956" spans="1:14" x14ac:dyDescent="0.25">
      <c r="A5956" t="s">
        <v>42</v>
      </c>
      <c r="B5956" t="s">
        <v>15</v>
      </c>
      <c r="C5956" t="s">
        <v>38</v>
      </c>
      <c r="D5956" t="s">
        <v>15</v>
      </c>
      <c r="E5956" t="s">
        <v>15</v>
      </c>
      <c r="F5956" t="s">
        <v>20</v>
      </c>
      <c r="G5956" s="1">
        <f>VALUE(18243.24)</f>
        <v>18243.240000000002</v>
      </c>
      <c r="H5956" s="1">
        <f>VALUE(15635.13)</f>
        <v>15635.13</v>
      </c>
      <c r="I5956" s="1">
        <f>VALUE(3228)</f>
        <v>3228</v>
      </c>
      <c r="J5956" s="1">
        <f>VALUE(4063)</f>
        <v>4063</v>
      </c>
      <c r="K5956" s="1">
        <f>VALUE(5120)</f>
        <v>5120</v>
      </c>
      <c r="L5956" s="1">
        <f>VALUE(6271)</f>
        <v>6271</v>
      </c>
      <c r="M5956" s="1">
        <f>VALUE(7530)</f>
        <v>7530</v>
      </c>
      <c r="N5956" t="s">
        <v>16</v>
      </c>
    </row>
    <row r="5957" spans="1:14" x14ac:dyDescent="0.25">
      <c r="A5957" t="s">
        <v>42</v>
      </c>
      <c r="B5957" t="s">
        <v>15</v>
      </c>
      <c r="C5957" t="s">
        <v>38</v>
      </c>
      <c r="D5957" t="s">
        <v>15</v>
      </c>
      <c r="E5957" t="s">
        <v>21</v>
      </c>
      <c r="F5957" t="s">
        <v>15</v>
      </c>
      <c r="G5957" s="2">
        <f>VALUE(5890.64)</f>
        <v>5890.64</v>
      </c>
      <c r="H5957" s="3">
        <f>VALUE(5273.91)</f>
        <v>5273.91</v>
      </c>
      <c r="I5957" s="4">
        <f>VALUE(4137)</f>
        <v>4137</v>
      </c>
      <c r="J5957" s="1">
        <f>VALUE(6486)</f>
        <v>6486</v>
      </c>
      <c r="K5957" s="1">
        <f>VALUE(9130)</f>
        <v>9130</v>
      </c>
      <c r="L5957" s="1">
        <f>VALUE(12064)</f>
        <v>12064</v>
      </c>
      <c r="M5957" s="8">
        <f>VALUE(18824)</f>
        <v>18824</v>
      </c>
      <c r="N5957" t="s">
        <v>25</v>
      </c>
    </row>
    <row r="5958" spans="1:14" x14ac:dyDescent="0.25">
      <c r="A5958" t="s">
        <v>42</v>
      </c>
      <c r="B5958" t="s">
        <v>15</v>
      </c>
      <c r="C5958" t="s">
        <v>38</v>
      </c>
      <c r="D5958" t="s">
        <v>15</v>
      </c>
      <c r="E5958" t="s">
        <v>21</v>
      </c>
      <c r="F5958" t="s">
        <v>17</v>
      </c>
      <c r="G5958" s="2">
        <f>VALUE(3329.61)</f>
        <v>3329.61</v>
      </c>
      <c r="H5958" s="3">
        <f>VALUE(3179.52)</f>
        <v>3179.52</v>
      </c>
      <c r="I5958" s="4">
        <f>VALUE(4219)</f>
        <v>4219</v>
      </c>
      <c r="J5958" s="5">
        <f>VALUE(7340)</f>
        <v>7340</v>
      </c>
      <c r="K5958" s="6">
        <f>VALUE(11250)</f>
        <v>11250</v>
      </c>
      <c r="L5958" s="7">
        <f>VALUE(14341)</f>
        <v>14341</v>
      </c>
      <c r="M5958" s="8">
        <f>VALUE(22994)</f>
        <v>22994</v>
      </c>
      <c r="N5958" t="s">
        <v>24</v>
      </c>
    </row>
    <row r="5959" spans="1:14" x14ac:dyDescent="0.25">
      <c r="A5959" t="s">
        <v>42</v>
      </c>
      <c r="B5959" t="s">
        <v>15</v>
      </c>
      <c r="C5959" t="s">
        <v>38</v>
      </c>
      <c r="D5959" t="s">
        <v>15</v>
      </c>
      <c r="E5959" t="s">
        <v>21</v>
      </c>
      <c r="F5959" t="s">
        <v>18</v>
      </c>
      <c r="G5959" s="2">
        <f>VALUE(786.59)</f>
        <v>786.59</v>
      </c>
      <c r="H5959" s="3">
        <f>VALUE(658.92)</f>
        <v>658.92</v>
      </c>
      <c r="I5959" s="4">
        <f>VALUE(3963)</f>
        <v>3963</v>
      </c>
      <c r="J5959" s="5">
        <f>VALUE(6229)</f>
        <v>6229</v>
      </c>
      <c r="K5959" s="1">
        <f>VALUE(8285)</f>
        <v>8285</v>
      </c>
      <c r="L5959" s="1">
        <f>VALUE(9991)</f>
        <v>9991</v>
      </c>
      <c r="M5959" s="1">
        <f>VALUE(11836)</f>
        <v>11836</v>
      </c>
      <c r="N5959" t="s">
        <v>25</v>
      </c>
    </row>
    <row r="5960" spans="1:14" x14ac:dyDescent="0.25">
      <c r="A5960" t="s">
        <v>42</v>
      </c>
      <c r="B5960" t="s">
        <v>15</v>
      </c>
      <c r="C5960" t="s">
        <v>38</v>
      </c>
      <c r="D5960" t="s">
        <v>15</v>
      </c>
      <c r="E5960" t="s">
        <v>21</v>
      </c>
      <c r="F5960" t="s">
        <v>19</v>
      </c>
      <c r="G5960" s="2">
        <f>VALUE(511.75)</f>
        <v>511.75</v>
      </c>
      <c r="H5960" s="3">
        <f>VALUE(460.11)</f>
        <v>460.11</v>
      </c>
      <c r="I5960" s="4">
        <f>VALUE(4320)</f>
        <v>4320</v>
      </c>
      <c r="J5960" s="1">
        <f>VALUE(6027)</f>
        <v>6027</v>
      </c>
      <c r="K5960" s="1">
        <f>VALUE(7722)</f>
        <v>7722</v>
      </c>
      <c r="L5960" s="1">
        <f>VALUE(9480)</f>
        <v>9480</v>
      </c>
      <c r="M5960" s="8">
        <f>VALUE(11397)</f>
        <v>11397</v>
      </c>
      <c r="N5960" t="s">
        <v>25</v>
      </c>
    </row>
    <row r="5961" spans="1:14" x14ac:dyDescent="0.25">
      <c r="A5961" t="s">
        <v>42</v>
      </c>
      <c r="B5961" t="s">
        <v>15</v>
      </c>
      <c r="C5961" t="s">
        <v>38</v>
      </c>
      <c r="D5961" t="s">
        <v>15</v>
      </c>
      <c r="E5961" t="s">
        <v>21</v>
      </c>
      <c r="F5961" t="s">
        <v>20</v>
      </c>
      <c r="G5961" s="2">
        <f>VALUE(1262.69)</f>
        <v>1262.69</v>
      </c>
      <c r="H5961" s="3">
        <f>VALUE(975.36)</f>
        <v>975.36</v>
      </c>
      <c r="I5961" s="1">
        <f>VALUE(4167)</f>
        <v>4167</v>
      </c>
      <c r="J5961" s="1">
        <f>VALUE(5323)</f>
        <v>5323</v>
      </c>
      <c r="K5961" s="1">
        <f>VALUE(7424)</f>
        <v>7424</v>
      </c>
      <c r="L5961" s="1">
        <f>VALUE(8749)</f>
        <v>8749</v>
      </c>
      <c r="M5961" s="8">
        <f>VALUE(11194)</f>
        <v>11194</v>
      </c>
      <c r="N5961" t="s">
        <v>25</v>
      </c>
    </row>
    <row r="5962" spans="1:14" x14ac:dyDescent="0.25">
      <c r="A5962" t="s">
        <v>42</v>
      </c>
      <c r="B5962" t="s">
        <v>15</v>
      </c>
      <c r="C5962" t="s">
        <v>38</v>
      </c>
      <c r="D5962" t="s">
        <v>15</v>
      </c>
      <c r="E5962" t="s">
        <v>22</v>
      </c>
      <c r="F5962" t="s">
        <v>15</v>
      </c>
      <c r="G5962" s="1">
        <f>VALUE(13971.44)</f>
        <v>13971.44</v>
      </c>
      <c r="H5962" s="1">
        <f>VALUE(12409.27)</f>
        <v>12409.27</v>
      </c>
      <c r="I5962" s="1">
        <f>VALUE(3629)</f>
        <v>3629</v>
      </c>
      <c r="J5962" s="1">
        <f>VALUE(4761)</f>
        <v>4761</v>
      </c>
      <c r="K5962" s="1">
        <f>VALUE(5912)</f>
        <v>5912</v>
      </c>
      <c r="L5962" s="1">
        <f>VALUE(7400)</f>
        <v>7400</v>
      </c>
      <c r="M5962" s="1">
        <f>VALUE(9682)</f>
        <v>9682</v>
      </c>
      <c r="N5962" t="s">
        <v>16</v>
      </c>
    </row>
    <row r="5963" spans="1:14" x14ac:dyDescent="0.25">
      <c r="A5963" t="s">
        <v>42</v>
      </c>
      <c r="B5963" t="s">
        <v>15</v>
      </c>
      <c r="C5963" t="s">
        <v>38</v>
      </c>
      <c r="D5963" t="s">
        <v>15</v>
      </c>
      <c r="E5963" t="s">
        <v>22</v>
      </c>
      <c r="F5963" t="s">
        <v>17</v>
      </c>
      <c r="G5963" s="1">
        <f>VALUE(2882.08)</f>
        <v>2882.08</v>
      </c>
      <c r="H5963" s="1">
        <f>VALUE(2770.56)</f>
        <v>2770.56</v>
      </c>
      <c r="I5963" s="4">
        <f>VALUE(3378)</f>
        <v>3378</v>
      </c>
      <c r="J5963" s="5">
        <f>VALUE(4848)</f>
        <v>4848</v>
      </c>
      <c r="K5963" s="1">
        <f>VALUE(7556)</f>
        <v>7556</v>
      </c>
      <c r="L5963" s="1">
        <f>VALUE(10508)</f>
        <v>10508</v>
      </c>
      <c r="M5963" s="1">
        <f>VALUE(16152)</f>
        <v>16152</v>
      </c>
      <c r="N5963" t="s">
        <v>25</v>
      </c>
    </row>
    <row r="5964" spans="1:14" x14ac:dyDescent="0.25">
      <c r="A5964" t="s">
        <v>42</v>
      </c>
      <c r="B5964" t="s">
        <v>15</v>
      </c>
      <c r="C5964" t="s">
        <v>38</v>
      </c>
      <c r="D5964" t="s">
        <v>15</v>
      </c>
      <c r="E5964" t="s">
        <v>22</v>
      </c>
      <c r="F5964" t="s">
        <v>18</v>
      </c>
      <c r="G5964" s="2">
        <f>VALUE(1311.93)</f>
        <v>1311.93</v>
      </c>
      <c r="H5964" s="3">
        <f>VALUE(1130.71)</f>
        <v>1130.71</v>
      </c>
      <c r="I5964" s="4">
        <f>VALUE(3734)</f>
        <v>3734</v>
      </c>
      <c r="J5964" s="1">
        <f>VALUE(5026)</f>
        <v>5026</v>
      </c>
      <c r="K5964" s="1">
        <f>VALUE(6365)</f>
        <v>6365</v>
      </c>
      <c r="L5964" s="1">
        <f>VALUE(8027)</f>
        <v>8027</v>
      </c>
      <c r="M5964" s="1">
        <f>VALUE(9446)</f>
        <v>9446</v>
      </c>
      <c r="N5964" t="s">
        <v>25</v>
      </c>
    </row>
    <row r="5965" spans="1:14" x14ac:dyDescent="0.25">
      <c r="A5965" t="s">
        <v>42</v>
      </c>
      <c r="B5965" t="s">
        <v>15</v>
      </c>
      <c r="C5965" t="s">
        <v>38</v>
      </c>
      <c r="D5965" t="s">
        <v>15</v>
      </c>
      <c r="E5965" t="s">
        <v>22</v>
      </c>
      <c r="F5965" t="s">
        <v>19</v>
      </c>
      <c r="G5965" s="2">
        <f>VALUE(2095.84)</f>
        <v>2095.84</v>
      </c>
      <c r="H5965" s="3">
        <f>VALUE(1874.35)</f>
        <v>1874.35</v>
      </c>
      <c r="I5965" s="1">
        <f>VALUE(3921)</f>
        <v>3921</v>
      </c>
      <c r="J5965" s="1">
        <f>VALUE(5160)</f>
        <v>5160</v>
      </c>
      <c r="K5965" s="1">
        <f>VALUE(5701)</f>
        <v>5701</v>
      </c>
      <c r="L5965" s="1">
        <f>VALUE(6902)</f>
        <v>6902</v>
      </c>
      <c r="M5965" s="1">
        <f>VALUE(8173)</f>
        <v>8173</v>
      </c>
      <c r="N5965" t="s">
        <v>25</v>
      </c>
    </row>
    <row r="5966" spans="1:14" x14ac:dyDescent="0.25">
      <c r="A5966" t="s">
        <v>42</v>
      </c>
      <c r="B5966" t="s">
        <v>15</v>
      </c>
      <c r="C5966" t="s">
        <v>38</v>
      </c>
      <c r="D5966" t="s">
        <v>15</v>
      </c>
      <c r="E5966" t="s">
        <v>22</v>
      </c>
      <c r="F5966" t="s">
        <v>20</v>
      </c>
      <c r="G5966" s="1">
        <f>VALUE(7681.59)</f>
        <v>7681.59</v>
      </c>
      <c r="H5966" s="1">
        <f>VALUE(6633.65)</f>
        <v>6633.65</v>
      </c>
      <c r="I5966" s="1">
        <f>VALUE(3671)</f>
        <v>3671</v>
      </c>
      <c r="J5966" s="1">
        <f>VALUE(4631)</f>
        <v>4631</v>
      </c>
      <c r="K5966" s="1">
        <f>VALUE(5654)</f>
        <v>5654</v>
      </c>
      <c r="L5966" s="1">
        <f>VALUE(6758)</f>
        <v>6758</v>
      </c>
      <c r="M5966" s="1">
        <f>VALUE(7724)</f>
        <v>7724</v>
      </c>
      <c r="N5966" t="s">
        <v>16</v>
      </c>
    </row>
    <row r="5967" spans="1:14" x14ac:dyDescent="0.25">
      <c r="A5967" t="s">
        <v>42</v>
      </c>
      <c r="B5967" t="s">
        <v>15</v>
      </c>
      <c r="C5967" t="s">
        <v>38</v>
      </c>
      <c r="D5967" t="s">
        <v>15</v>
      </c>
      <c r="E5967" t="s">
        <v>23</v>
      </c>
      <c r="F5967" t="s">
        <v>15</v>
      </c>
      <c r="G5967" s="1">
        <f>VALUE(11240.01)</f>
        <v>11240.01</v>
      </c>
      <c r="H5967" s="1">
        <f>VALUE(9884.31)</f>
        <v>9884.31</v>
      </c>
      <c r="I5967" s="1">
        <f>VALUE(2989)</f>
        <v>2989</v>
      </c>
      <c r="J5967" s="1">
        <f>VALUE(3728)</f>
        <v>3728</v>
      </c>
      <c r="K5967" s="1">
        <f>VALUE(4633)</f>
        <v>4633</v>
      </c>
      <c r="L5967" s="1">
        <f>VALUE(5670)</f>
        <v>5670</v>
      </c>
      <c r="M5967" s="1">
        <f>VALUE(6615)</f>
        <v>6615</v>
      </c>
      <c r="N5967" t="s">
        <v>16</v>
      </c>
    </row>
    <row r="5968" spans="1:14" x14ac:dyDescent="0.25">
      <c r="A5968" t="s">
        <v>42</v>
      </c>
      <c r="B5968" t="s">
        <v>15</v>
      </c>
      <c r="C5968" t="s">
        <v>38</v>
      </c>
      <c r="D5968" t="s">
        <v>15</v>
      </c>
      <c r="E5968" t="s">
        <v>23</v>
      </c>
      <c r="F5968" t="s">
        <v>17</v>
      </c>
      <c r="G5968" s="2">
        <f>VALUE(631.1)</f>
        <v>631.1</v>
      </c>
      <c r="H5968" s="3">
        <f>VALUE(583.77)</f>
        <v>583.77</v>
      </c>
      <c r="I5968" s="4">
        <f>VALUE(3250)</f>
        <v>3250</v>
      </c>
      <c r="J5968" s="5">
        <f>VALUE(4075)</f>
        <v>4075</v>
      </c>
      <c r="K5968" s="6">
        <f>VALUE(5791)</f>
        <v>5791</v>
      </c>
      <c r="L5968" s="7">
        <f>VALUE(7583)</f>
        <v>7583</v>
      </c>
      <c r="M5968" s="8">
        <f>VALUE(11004)</f>
        <v>11004</v>
      </c>
      <c r="N5968" t="s">
        <v>24</v>
      </c>
    </row>
    <row r="5969" spans="1:14" x14ac:dyDescent="0.25">
      <c r="A5969" t="s">
        <v>42</v>
      </c>
      <c r="B5969" t="s">
        <v>15</v>
      </c>
      <c r="C5969" t="s">
        <v>38</v>
      </c>
      <c r="D5969" t="s">
        <v>15</v>
      </c>
      <c r="E5969" t="s">
        <v>23</v>
      </c>
      <c r="F5969" t="s">
        <v>18</v>
      </c>
      <c r="G5969" s="2">
        <f>VALUE(508.13)</f>
        <v>508.13</v>
      </c>
      <c r="H5969" s="3">
        <f>VALUE(455.56)</f>
        <v>455.56</v>
      </c>
      <c r="I5969" s="4">
        <f>VALUE(3810)</f>
        <v>3810</v>
      </c>
      <c r="J5969" s="1">
        <f>VALUE(4171)</f>
        <v>4171</v>
      </c>
      <c r="K5969" s="1">
        <f>VALUE(5006)</f>
        <v>5006</v>
      </c>
      <c r="L5969" s="7">
        <f>VALUE(6121)</f>
        <v>6121</v>
      </c>
      <c r="M5969" s="1">
        <f>VALUE(7776)</f>
        <v>7776</v>
      </c>
      <c r="N5969" t="s">
        <v>25</v>
      </c>
    </row>
    <row r="5970" spans="1:14" x14ac:dyDescent="0.25">
      <c r="A5970" t="s">
        <v>42</v>
      </c>
      <c r="B5970" t="s">
        <v>15</v>
      </c>
      <c r="C5970" t="s">
        <v>38</v>
      </c>
      <c r="D5970" t="s">
        <v>15</v>
      </c>
      <c r="E5970" t="s">
        <v>23</v>
      </c>
      <c r="F5970" t="s">
        <v>19</v>
      </c>
      <c r="G5970" s="2">
        <f>VALUE(1265.79)</f>
        <v>1265.79</v>
      </c>
      <c r="H5970" s="3">
        <f>VALUE(1269.61)</f>
        <v>1269.6099999999999</v>
      </c>
      <c r="I5970" s="1">
        <f>VALUE(2822)</f>
        <v>2822</v>
      </c>
      <c r="J5970" s="5">
        <f>VALUE(3370)</f>
        <v>3370</v>
      </c>
      <c r="K5970" s="6">
        <f>VALUE(4493)</f>
        <v>4493</v>
      </c>
      <c r="L5970" s="7">
        <f>VALUE(5693)</f>
        <v>5693</v>
      </c>
      <c r="M5970" s="1">
        <f>VALUE(6638)</f>
        <v>6638</v>
      </c>
      <c r="N5970" t="s">
        <v>25</v>
      </c>
    </row>
    <row r="5971" spans="1:14" x14ac:dyDescent="0.25">
      <c r="A5971" t="s">
        <v>42</v>
      </c>
      <c r="B5971" t="s">
        <v>15</v>
      </c>
      <c r="C5971" t="s">
        <v>38</v>
      </c>
      <c r="D5971" t="s">
        <v>15</v>
      </c>
      <c r="E5971" t="s">
        <v>23</v>
      </c>
      <c r="F5971" t="s">
        <v>20</v>
      </c>
      <c r="G5971" s="1">
        <f>VALUE(8834.99)</f>
        <v>8834.99</v>
      </c>
      <c r="H5971" s="1">
        <f>VALUE(7575.37)</f>
        <v>7575.37</v>
      </c>
      <c r="I5971" s="1">
        <f>VALUE(3011)</f>
        <v>3011</v>
      </c>
      <c r="J5971" s="1">
        <f>VALUE(3714)</f>
        <v>3714</v>
      </c>
      <c r="K5971" s="1">
        <f>VALUE(4603)</f>
        <v>4603</v>
      </c>
      <c r="L5971" s="1">
        <f>VALUE(5516)</f>
        <v>5516</v>
      </c>
      <c r="M5971" s="1">
        <f>VALUE(6316)</f>
        <v>6316</v>
      </c>
      <c r="N5971" t="s">
        <v>16</v>
      </c>
    </row>
    <row r="5972" spans="1:14" x14ac:dyDescent="0.25">
      <c r="A5972" t="s">
        <v>42</v>
      </c>
      <c r="B5972" t="s">
        <v>15</v>
      </c>
      <c r="C5972" t="s">
        <v>38</v>
      </c>
      <c r="D5972" t="s">
        <v>15</v>
      </c>
      <c r="E5972" t="s">
        <v>26</v>
      </c>
      <c r="F5972" t="s">
        <v>15</v>
      </c>
      <c r="G5972" s="2">
        <f>VALUE(723.13)</f>
        <v>723.13</v>
      </c>
      <c r="H5972" s="3">
        <f>VALUE(702.12)</f>
        <v>702.12</v>
      </c>
      <c r="I5972" s="4">
        <f>VALUE(3068)</f>
        <v>3068</v>
      </c>
      <c r="J5972" s="5">
        <f>VALUE(3624)</f>
        <v>3624</v>
      </c>
      <c r="K5972" s="6">
        <f>VALUE(4746)</f>
        <v>4746</v>
      </c>
      <c r="L5972" s="7">
        <f>VALUE(6523)</f>
        <v>6523</v>
      </c>
      <c r="M5972" s="8">
        <f>VALUE(10320)</f>
        <v>10320</v>
      </c>
      <c r="N5972" t="s">
        <v>24</v>
      </c>
    </row>
    <row r="5973" spans="1:14" x14ac:dyDescent="0.25">
      <c r="A5973" t="s">
        <v>42</v>
      </c>
      <c r="B5973" t="s">
        <v>15</v>
      </c>
      <c r="C5973" t="s">
        <v>38</v>
      </c>
      <c r="D5973" t="s">
        <v>15</v>
      </c>
      <c r="E5973" t="s">
        <v>26</v>
      </c>
      <c r="F5973" t="s">
        <v>17</v>
      </c>
      <c r="G5973" s="1" t="str">
        <f t="shared" ref="G5973:M5975" si="1301">"X"</f>
        <v>X</v>
      </c>
      <c r="H5973" s="1" t="str">
        <f t="shared" si="1301"/>
        <v>X</v>
      </c>
      <c r="I5973" s="1" t="str">
        <f t="shared" si="1301"/>
        <v>X</v>
      </c>
      <c r="J5973" s="1" t="str">
        <f t="shared" si="1301"/>
        <v>X</v>
      </c>
      <c r="K5973" s="1" t="str">
        <f t="shared" si="1301"/>
        <v>X</v>
      </c>
      <c r="L5973" s="1" t="str">
        <f t="shared" si="1301"/>
        <v>X</v>
      </c>
      <c r="M5973" s="1" t="str">
        <f t="shared" si="1301"/>
        <v>X</v>
      </c>
      <c r="N5973" t="s">
        <v>27</v>
      </c>
    </row>
    <row r="5974" spans="1:14" x14ac:dyDescent="0.25">
      <c r="A5974" t="s">
        <v>42</v>
      </c>
      <c r="B5974" t="s">
        <v>15</v>
      </c>
      <c r="C5974" t="s">
        <v>38</v>
      </c>
      <c r="D5974" t="s">
        <v>15</v>
      </c>
      <c r="E5974" t="s">
        <v>26</v>
      </c>
      <c r="F5974" t="s">
        <v>18</v>
      </c>
      <c r="G5974" s="1" t="str">
        <f t="shared" si="1301"/>
        <v>X</v>
      </c>
      <c r="H5974" s="1" t="str">
        <f t="shared" si="1301"/>
        <v>X</v>
      </c>
      <c r="I5974" s="1" t="str">
        <f t="shared" si="1301"/>
        <v>X</v>
      </c>
      <c r="J5974" s="1" t="str">
        <f t="shared" si="1301"/>
        <v>X</v>
      </c>
      <c r="K5974" s="1" t="str">
        <f t="shared" si="1301"/>
        <v>X</v>
      </c>
      <c r="L5974" s="1" t="str">
        <f t="shared" si="1301"/>
        <v>X</v>
      </c>
      <c r="M5974" s="1" t="str">
        <f t="shared" si="1301"/>
        <v>X</v>
      </c>
      <c r="N5974" t="s">
        <v>27</v>
      </c>
    </row>
    <row r="5975" spans="1:14" x14ac:dyDescent="0.25">
      <c r="A5975" t="s">
        <v>42</v>
      </c>
      <c r="B5975" t="s">
        <v>15</v>
      </c>
      <c r="C5975" t="s">
        <v>38</v>
      </c>
      <c r="D5975" t="s">
        <v>15</v>
      </c>
      <c r="E5975" t="s">
        <v>26</v>
      </c>
      <c r="F5975" t="s">
        <v>19</v>
      </c>
      <c r="G5975" s="1" t="str">
        <f t="shared" si="1301"/>
        <v>X</v>
      </c>
      <c r="H5975" s="1" t="str">
        <f t="shared" si="1301"/>
        <v>X</v>
      </c>
      <c r="I5975" s="1" t="str">
        <f t="shared" si="1301"/>
        <v>X</v>
      </c>
      <c r="J5975" s="1" t="str">
        <f t="shared" si="1301"/>
        <v>X</v>
      </c>
      <c r="K5975" s="1" t="str">
        <f t="shared" si="1301"/>
        <v>X</v>
      </c>
      <c r="L5975" s="1" t="str">
        <f t="shared" si="1301"/>
        <v>X</v>
      </c>
      <c r="M5975" s="1" t="str">
        <f t="shared" si="1301"/>
        <v>X</v>
      </c>
      <c r="N5975" t="s">
        <v>27</v>
      </c>
    </row>
    <row r="5976" spans="1:14" x14ac:dyDescent="0.25">
      <c r="A5976" t="s">
        <v>42</v>
      </c>
      <c r="B5976" t="s">
        <v>15</v>
      </c>
      <c r="C5976" t="s">
        <v>38</v>
      </c>
      <c r="D5976" t="s">
        <v>15</v>
      </c>
      <c r="E5976" t="s">
        <v>26</v>
      </c>
      <c r="F5976" t="s">
        <v>20</v>
      </c>
      <c r="G5976" s="2">
        <f>VALUE(463.97)</f>
        <v>463.97</v>
      </c>
      <c r="H5976" s="3">
        <f>VALUE(450.75)</f>
        <v>450.75</v>
      </c>
      <c r="I5976" s="4">
        <f>VALUE(2962)</f>
        <v>2962</v>
      </c>
      <c r="J5976" s="1">
        <f>VALUE(3404)</f>
        <v>3404</v>
      </c>
      <c r="K5976" s="6">
        <f>VALUE(4602)</f>
        <v>4602</v>
      </c>
      <c r="L5976" s="1">
        <f>VALUE(6190)</f>
        <v>6190</v>
      </c>
      <c r="M5976" s="1">
        <f>VALUE(8095)</f>
        <v>8095</v>
      </c>
      <c r="N5976" t="s">
        <v>25</v>
      </c>
    </row>
    <row r="5977" spans="1:14" x14ac:dyDescent="0.25">
      <c r="A5977" t="s">
        <v>42</v>
      </c>
      <c r="B5977" t="s">
        <v>15</v>
      </c>
      <c r="C5977" t="s">
        <v>38</v>
      </c>
      <c r="D5977" t="s">
        <v>28</v>
      </c>
      <c r="E5977" t="s">
        <v>15</v>
      </c>
      <c r="F5977" t="s">
        <v>15</v>
      </c>
      <c r="G5977" s="1">
        <f>VALUE(16350.24)</f>
        <v>16350.24</v>
      </c>
      <c r="H5977" s="1">
        <f>VALUE(13889.44)</f>
        <v>13889.44</v>
      </c>
      <c r="I5977" s="1">
        <f>VALUE(3561)</f>
        <v>3561</v>
      </c>
      <c r="J5977" s="1">
        <f>VALUE(4762)</f>
        <v>4762</v>
      </c>
      <c r="K5977" s="1">
        <f>VALUE(6296)</f>
        <v>6296</v>
      </c>
      <c r="L5977" s="1">
        <f>VALUE(8500)</f>
        <v>8500</v>
      </c>
      <c r="M5977" s="1">
        <f>VALUE(12429)</f>
        <v>12429</v>
      </c>
      <c r="N5977" t="s">
        <v>16</v>
      </c>
    </row>
    <row r="5978" spans="1:14" x14ac:dyDescent="0.25">
      <c r="A5978" t="s">
        <v>42</v>
      </c>
      <c r="B5978" t="s">
        <v>15</v>
      </c>
      <c r="C5978" t="s">
        <v>38</v>
      </c>
      <c r="D5978" t="s">
        <v>28</v>
      </c>
      <c r="E5978" t="s">
        <v>15</v>
      </c>
      <c r="F5978" t="s">
        <v>17</v>
      </c>
      <c r="G5978" s="1">
        <f>VALUE(4706.68)</f>
        <v>4706.68</v>
      </c>
      <c r="H5978" s="1">
        <f>VALUE(4482.52)</f>
        <v>4482.5200000000004</v>
      </c>
      <c r="I5978" s="4">
        <f>VALUE(3504)</f>
        <v>3504</v>
      </c>
      <c r="J5978" s="5">
        <f>VALUE(5469)</f>
        <v>5469</v>
      </c>
      <c r="K5978" s="1">
        <f>VALUE(8744)</f>
        <v>8744</v>
      </c>
      <c r="L5978" s="1">
        <f>VALUE(12786)</f>
        <v>12786</v>
      </c>
      <c r="M5978" s="1">
        <f>VALUE(18429)</f>
        <v>18429</v>
      </c>
      <c r="N5978" t="s">
        <v>25</v>
      </c>
    </row>
    <row r="5979" spans="1:14" x14ac:dyDescent="0.25">
      <c r="A5979" t="s">
        <v>42</v>
      </c>
      <c r="B5979" t="s">
        <v>15</v>
      </c>
      <c r="C5979" t="s">
        <v>38</v>
      </c>
      <c r="D5979" t="s">
        <v>28</v>
      </c>
      <c r="E5979" t="s">
        <v>15</v>
      </c>
      <c r="F5979" t="s">
        <v>18</v>
      </c>
      <c r="G5979" s="2">
        <f>VALUE(1551.85)</f>
        <v>1551.85</v>
      </c>
      <c r="H5979" s="3">
        <f>VALUE(1261.91)</f>
        <v>1261.9100000000001</v>
      </c>
      <c r="I5979" s="4">
        <f>VALUE(3237)</f>
        <v>3237</v>
      </c>
      <c r="J5979" s="5">
        <f>VALUE(4820)</f>
        <v>4820</v>
      </c>
      <c r="K5979" s="1">
        <f>VALUE(6531)</f>
        <v>6531</v>
      </c>
      <c r="L5979" s="1">
        <f>VALUE(8690)</f>
        <v>8690</v>
      </c>
      <c r="M5979" s="8">
        <f>VALUE(10350)</f>
        <v>10350</v>
      </c>
      <c r="N5979" t="s">
        <v>25</v>
      </c>
    </row>
    <row r="5980" spans="1:14" x14ac:dyDescent="0.25">
      <c r="A5980" t="s">
        <v>42</v>
      </c>
      <c r="B5980" t="s">
        <v>15</v>
      </c>
      <c r="C5980" t="s">
        <v>38</v>
      </c>
      <c r="D5980" t="s">
        <v>28</v>
      </c>
      <c r="E5980" t="s">
        <v>15</v>
      </c>
      <c r="F5980" t="s">
        <v>19</v>
      </c>
      <c r="G5980" s="2">
        <f>VALUE(1842.76)</f>
        <v>1842.76</v>
      </c>
      <c r="H5980" s="3">
        <f>VALUE(1569.95)</f>
        <v>1569.95</v>
      </c>
      <c r="I5980" s="4">
        <f>VALUE(3863)</f>
        <v>3863</v>
      </c>
      <c r="J5980" s="1">
        <f>VALUE(5053)</f>
        <v>5053</v>
      </c>
      <c r="K5980" s="1">
        <f>VALUE(5938)</f>
        <v>5938</v>
      </c>
      <c r="L5980" s="1">
        <f>VALUE(7305)</f>
        <v>7305</v>
      </c>
      <c r="M5980" s="1">
        <f>VALUE(9200)</f>
        <v>9200</v>
      </c>
      <c r="N5980" t="s">
        <v>25</v>
      </c>
    </row>
    <row r="5981" spans="1:14" x14ac:dyDescent="0.25">
      <c r="A5981" t="s">
        <v>42</v>
      </c>
      <c r="B5981" t="s">
        <v>15</v>
      </c>
      <c r="C5981" t="s">
        <v>38</v>
      </c>
      <c r="D5981" t="s">
        <v>28</v>
      </c>
      <c r="E5981" t="s">
        <v>15</v>
      </c>
      <c r="F5981" t="s">
        <v>20</v>
      </c>
      <c r="G5981" s="1">
        <f>VALUE(8248.95)</f>
        <v>8248.9500000000007</v>
      </c>
      <c r="H5981" s="1">
        <f>VALUE(6575.06)</f>
        <v>6575.06</v>
      </c>
      <c r="I5981" s="1">
        <f>VALUE(3624)</f>
        <v>3624</v>
      </c>
      <c r="J5981" s="1">
        <f>VALUE(4578)</f>
        <v>4578</v>
      </c>
      <c r="K5981" s="1">
        <f>VALUE(5718)</f>
        <v>5718</v>
      </c>
      <c r="L5981" s="1">
        <f>VALUE(6926)</f>
        <v>6926</v>
      </c>
      <c r="M5981" s="1">
        <f>VALUE(8187)</f>
        <v>8187</v>
      </c>
      <c r="N5981" t="s">
        <v>16</v>
      </c>
    </row>
    <row r="5982" spans="1:14" x14ac:dyDescent="0.25">
      <c r="A5982" t="s">
        <v>42</v>
      </c>
      <c r="B5982" t="s">
        <v>15</v>
      </c>
      <c r="C5982" t="s">
        <v>38</v>
      </c>
      <c r="D5982" t="s">
        <v>28</v>
      </c>
      <c r="E5982" t="s">
        <v>21</v>
      </c>
      <c r="F5982" t="s">
        <v>15</v>
      </c>
      <c r="G5982" s="1">
        <f>VALUE(3755.78)</f>
        <v>3755.78</v>
      </c>
      <c r="H5982" s="1">
        <f>VALUE(3304.67)</f>
        <v>3304.67</v>
      </c>
      <c r="I5982" s="4">
        <f>VALUE(4127)</f>
        <v>4127</v>
      </c>
      <c r="J5982" s="1">
        <f>VALUE(6817)</f>
        <v>6817</v>
      </c>
      <c r="K5982" s="1">
        <f>VALUE(9286)</f>
        <v>9286</v>
      </c>
      <c r="L5982" s="1">
        <f>VALUE(12803)</f>
        <v>12803</v>
      </c>
      <c r="M5982" s="8">
        <f>VALUE(18633)</f>
        <v>18633</v>
      </c>
      <c r="N5982" t="s">
        <v>25</v>
      </c>
    </row>
    <row r="5983" spans="1:14" x14ac:dyDescent="0.25">
      <c r="A5983" t="s">
        <v>42</v>
      </c>
      <c r="B5983" t="s">
        <v>15</v>
      </c>
      <c r="C5983" t="s">
        <v>38</v>
      </c>
      <c r="D5983" t="s">
        <v>28</v>
      </c>
      <c r="E5983" t="s">
        <v>21</v>
      </c>
      <c r="F5983" t="s">
        <v>17</v>
      </c>
      <c r="G5983" s="2">
        <f>VALUE(2172.21)</f>
        <v>2172.21</v>
      </c>
      <c r="H5983" s="3">
        <f>VALUE(2066.5)</f>
        <v>2066.5</v>
      </c>
      <c r="I5983" s="4">
        <f>VALUE(4127)</f>
        <v>4127</v>
      </c>
      <c r="J5983" s="5">
        <f>VALUE(7222)</f>
        <v>7222</v>
      </c>
      <c r="K5983" s="1">
        <f>VALUE(10833)</f>
        <v>10833</v>
      </c>
      <c r="L5983" s="1">
        <f>VALUE(14625)</f>
        <v>14625</v>
      </c>
      <c r="M5983" s="8">
        <f>VALUE(22159)</f>
        <v>22159</v>
      </c>
      <c r="N5983" t="s">
        <v>25</v>
      </c>
    </row>
    <row r="5984" spans="1:14" x14ac:dyDescent="0.25">
      <c r="A5984" t="s">
        <v>42</v>
      </c>
      <c r="B5984" t="s">
        <v>15</v>
      </c>
      <c r="C5984" t="s">
        <v>38</v>
      </c>
      <c r="D5984" t="s">
        <v>28</v>
      </c>
      <c r="E5984" t="s">
        <v>21</v>
      </c>
      <c r="F5984" t="s">
        <v>18</v>
      </c>
      <c r="G5984" s="2">
        <f>VALUE(467.83)</f>
        <v>467.83</v>
      </c>
      <c r="H5984" s="3">
        <f>VALUE(375.38)</f>
        <v>375.38</v>
      </c>
      <c r="I5984" s="4">
        <f>VALUE(1917)</f>
        <v>1917</v>
      </c>
      <c r="J5984" s="5">
        <f>VALUE(5729)</f>
        <v>5729</v>
      </c>
      <c r="K5984" s="6">
        <f>VALUE(8584)</f>
        <v>8584</v>
      </c>
      <c r="L5984" s="7">
        <f>VALUE(10322)</f>
        <v>10322</v>
      </c>
      <c r="M5984" s="1">
        <f>VALUE(11994)</f>
        <v>11994</v>
      </c>
      <c r="N5984" t="s">
        <v>25</v>
      </c>
    </row>
    <row r="5985" spans="1:14" x14ac:dyDescent="0.25">
      <c r="A5985" t="s">
        <v>42</v>
      </c>
      <c r="B5985" t="s">
        <v>15</v>
      </c>
      <c r="C5985" t="s">
        <v>38</v>
      </c>
      <c r="D5985" t="s">
        <v>28</v>
      </c>
      <c r="E5985" t="s">
        <v>21</v>
      </c>
      <c r="F5985" t="s">
        <v>19</v>
      </c>
      <c r="G5985" s="2">
        <f>VALUE(281.19)</f>
        <v>281.19</v>
      </c>
      <c r="H5985" s="3">
        <f>VALUE(239.71)</f>
        <v>239.71</v>
      </c>
      <c r="I5985" s="4">
        <f>VALUE(4777)</f>
        <v>4777</v>
      </c>
      <c r="J5985" s="1">
        <f>VALUE(6700)</f>
        <v>6700</v>
      </c>
      <c r="K5985" s="1">
        <f>VALUE(8053)</f>
        <v>8053</v>
      </c>
      <c r="L5985" s="7">
        <f>VALUE(9533)</f>
        <v>9533</v>
      </c>
      <c r="M5985" s="8">
        <f>VALUE(12429)</f>
        <v>12429</v>
      </c>
      <c r="N5985" t="s">
        <v>25</v>
      </c>
    </row>
    <row r="5986" spans="1:14" x14ac:dyDescent="0.25">
      <c r="A5986" t="s">
        <v>42</v>
      </c>
      <c r="B5986" t="s">
        <v>15</v>
      </c>
      <c r="C5986" t="s">
        <v>38</v>
      </c>
      <c r="D5986" t="s">
        <v>28</v>
      </c>
      <c r="E5986" t="s">
        <v>21</v>
      </c>
      <c r="F5986" t="s">
        <v>20</v>
      </c>
      <c r="G5986" s="2">
        <f>VALUE(834.55)</f>
        <v>834.55</v>
      </c>
      <c r="H5986" s="3">
        <f>VALUE(623.08)</f>
        <v>623.08000000000004</v>
      </c>
      <c r="I5986" s="4">
        <f>VALUE(4505)</f>
        <v>4505</v>
      </c>
      <c r="J5986" s="5">
        <f>VALUE(6190)</f>
        <v>6190</v>
      </c>
      <c r="K5986" s="1">
        <f>VALUE(8089)</f>
        <v>8089</v>
      </c>
      <c r="L5986" s="1">
        <f>VALUE(9259)</f>
        <v>9259</v>
      </c>
      <c r="M5986" s="8">
        <f>VALUE(11588)</f>
        <v>11588</v>
      </c>
      <c r="N5986" t="s">
        <v>25</v>
      </c>
    </row>
    <row r="5987" spans="1:14" x14ac:dyDescent="0.25">
      <c r="A5987" t="s">
        <v>42</v>
      </c>
      <c r="B5987" t="s">
        <v>15</v>
      </c>
      <c r="C5987" t="s">
        <v>38</v>
      </c>
      <c r="D5987" t="s">
        <v>28</v>
      </c>
      <c r="E5987" t="s">
        <v>22</v>
      </c>
      <c r="F5987" t="s">
        <v>15</v>
      </c>
      <c r="G5987" s="1">
        <f>VALUE(9500.07)</f>
        <v>9500.07</v>
      </c>
      <c r="H5987" s="1">
        <f>VALUE(8141.42)</f>
        <v>8141.42</v>
      </c>
      <c r="I5987" s="1">
        <f>VALUE(3801)</f>
        <v>3801</v>
      </c>
      <c r="J5987" s="1">
        <f>VALUE(4927)</f>
        <v>4927</v>
      </c>
      <c r="K5987" s="1">
        <f>VALUE(6222)</f>
        <v>6222</v>
      </c>
      <c r="L5987" s="1">
        <f>VALUE(7597)</f>
        <v>7597</v>
      </c>
      <c r="M5987" s="1">
        <f>VALUE(9917)</f>
        <v>9917</v>
      </c>
      <c r="N5987" t="s">
        <v>16</v>
      </c>
    </row>
    <row r="5988" spans="1:14" x14ac:dyDescent="0.25">
      <c r="A5988" t="s">
        <v>42</v>
      </c>
      <c r="B5988" t="s">
        <v>15</v>
      </c>
      <c r="C5988" t="s">
        <v>38</v>
      </c>
      <c r="D5988" t="s">
        <v>28</v>
      </c>
      <c r="E5988" t="s">
        <v>22</v>
      </c>
      <c r="F5988" t="s">
        <v>17</v>
      </c>
      <c r="G5988" s="2">
        <f>VALUE(2178.37)</f>
        <v>2178.37</v>
      </c>
      <c r="H5988" s="3">
        <f>VALUE(2077.1)</f>
        <v>2077.1</v>
      </c>
      <c r="I5988" s="4">
        <f>VALUE(3371)</f>
        <v>3371</v>
      </c>
      <c r="J5988" s="5">
        <f>VALUE(4667)</f>
        <v>4667</v>
      </c>
      <c r="K5988" s="1">
        <f>VALUE(7497)</f>
        <v>7497</v>
      </c>
      <c r="L5988" s="1">
        <f>VALUE(10508)</f>
        <v>10508</v>
      </c>
      <c r="M5988" s="8">
        <f>VALUE(15058)</f>
        <v>15058</v>
      </c>
      <c r="N5988" t="s">
        <v>25</v>
      </c>
    </row>
    <row r="5989" spans="1:14" x14ac:dyDescent="0.25">
      <c r="A5989" t="s">
        <v>42</v>
      </c>
      <c r="B5989" t="s">
        <v>15</v>
      </c>
      <c r="C5989" t="s">
        <v>38</v>
      </c>
      <c r="D5989" t="s">
        <v>28</v>
      </c>
      <c r="E5989" t="s">
        <v>22</v>
      </c>
      <c r="F5989" t="s">
        <v>18</v>
      </c>
      <c r="G5989" s="2">
        <f>VALUE(878.71)</f>
        <v>878.71</v>
      </c>
      <c r="H5989" s="3">
        <f>VALUE(717.53)</f>
        <v>717.53</v>
      </c>
      <c r="I5989" s="4">
        <f>VALUE(3514)</f>
        <v>3514</v>
      </c>
      <c r="J5989" s="1">
        <f>VALUE(5012)</f>
        <v>5012</v>
      </c>
      <c r="K5989" s="1">
        <f>VALUE(6531)</f>
        <v>6531</v>
      </c>
      <c r="L5989" s="1">
        <f>VALUE(8381)</f>
        <v>8381</v>
      </c>
      <c r="M5989" s="1">
        <f>VALUE(9396)</f>
        <v>9396</v>
      </c>
      <c r="N5989" t="s">
        <v>25</v>
      </c>
    </row>
    <row r="5990" spans="1:14" x14ac:dyDescent="0.25">
      <c r="A5990" t="s">
        <v>42</v>
      </c>
      <c r="B5990" t="s">
        <v>15</v>
      </c>
      <c r="C5990" t="s">
        <v>38</v>
      </c>
      <c r="D5990" t="s">
        <v>28</v>
      </c>
      <c r="E5990" t="s">
        <v>22</v>
      </c>
      <c r="F5990" t="s">
        <v>19</v>
      </c>
      <c r="G5990" s="2">
        <f>VALUE(1297.44)</f>
        <v>1297.44</v>
      </c>
      <c r="H5990" s="3">
        <f>VALUE(1098.2)</f>
        <v>1098.2</v>
      </c>
      <c r="I5990" s="4">
        <f>VALUE(4048)</f>
        <v>4048</v>
      </c>
      <c r="J5990" s="1">
        <f>VALUE(5160)</f>
        <v>5160</v>
      </c>
      <c r="K5990" s="1">
        <f>VALUE(5778)</f>
        <v>5778</v>
      </c>
      <c r="L5990" s="1">
        <f>VALUE(6976)</f>
        <v>6976</v>
      </c>
      <c r="M5990" s="1">
        <f>VALUE(8295)</f>
        <v>8295</v>
      </c>
      <c r="N5990" t="s">
        <v>25</v>
      </c>
    </row>
    <row r="5991" spans="1:14" x14ac:dyDescent="0.25">
      <c r="A5991" t="s">
        <v>42</v>
      </c>
      <c r="B5991" t="s">
        <v>15</v>
      </c>
      <c r="C5991" t="s">
        <v>38</v>
      </c>
      <c r="D5991" t="s">
        <v>28</v>
      </c>
      <c r="E5991" t="s">
        <v>22</v>
      </c>
      <c r="F5991" t="s">
        <v>20</v>
      </c>
      <c r="G5991" s="1">
        <f>VALUE(5145.55)</f>
        <v>5145.55</v>
      </c>
      <c r="H5991" s="1">
        <f>VALUE(4248.59)</f>
        <v>4248.59</v>
      </c>
      <c r="I5991" s="4">
        <f>VALUE(4000)</f>
        <v>4000</v>
      </c>
      <c r="J5991" s="1">
        <f>VALUE(4952)</f>
        <v>4952</v>
      </c>
      <c r="K5991" s="1">
        <f>VALUE(6066)</f>
        <v>6066</v>
      </c>
      <c r="L5991" s="1">
        <f>VALUE(6974)</f>
        <v>6974</v>
      </c>
      <c r="M5991" s="1">
        <f>VALUE(7877)</f>
        <v>7877</v>
      </c>
      <c r="N5991" t="s">
        <v>25</v>
      </c>
    </row>
    <row r="5992" spans="1:14" x14ac:dyDescent="0.25">
      <c r="A5992" t="s">
        <v>42</v>
      </c>
      <c r="B5992" t="s">
        <v>15</v>
      </c>
      <c r="C5992" t="s">
        <v>38</v>
      </c>
      <c r="D5992" t="s">
        <v>28</v>
      </c>
      <c r="E5992" t="s">
        <v>23</v>
      </c>
      <c r="F5992" t="s">
        <v>15</v>
      </c>
      <c r="G5992" s="1">
        <f>VALUE(2819.91)</f>
        <v>2819.91</v>
      </c>
      <c r="H5992" s="1">
        <f>VALUE(2198.43)</f>
        <v>2198.4299999999998</v>
      </c>
      <c r="I5992" s="1">
        <f>VALUE(3302)</f>
        <v>3302</v>
      </c>
      <c r="J5992" s="1">
        <f>VALUE(4000)</f>
        <v>4000</v>
      </c>
      <c r="K5992" s="1">
        <f>VALUE(4756)</f>
        <v>4756</v>
      </c>
      <c r="L5992" s="1">
        <f>VALUE(5779)</f>
        <v>5779</v>
      </c>
      <c r="M5992" s="1">
        <f>VALUE(6852)</f>
        <v>6852</v>
      </c>
      <c r="N5992" t="s">
        <v>16</v>
      </c>
    </row>
    <row r="5993" spans="1:14" x14ac:dyDescent="0.25">
      <c r="A5993" t="s">
        <v>42</v>
      </c>
      <c r="B5993" t="s">
        <v>15</v>
      </c>
      <c r="C5993" t="s">
        <v>38</v>
      </c>
      <c r="D5993" t="s">
        <v>28</v>
      </c>
      <c r="E5993" t="s">
        <v>23</v>
      </c>
      <c r="F5993" t="s">
        <v>17</v>
      </c>
      <c r="G5993" s="2">
        <f>VALUE(248.49)</f>
        <v>248.49</v>
      </c>
      <c r="H5993" s="3">
        <f>VALUE(233.41)</f>
        <v>233.41</v>
      </c>
      <c r="I5993" s="4">
        <f>VALUE(2989)</f>
        <v>2989</v>
      </c>
      <c r="J5993" s="5">
        <f>VALUE(4320)</f>
        <v>4320</v>
      </c>
      <c r="K5993" s="6">
        <f>VALUE(6219)</f>
        <v>6219</v>
      </c>
      <c r="L5993" s="7">
        <f>VALUE(7654)</f>
        <v>7654</v>
      </c>
      <c r="M5993" s="8">
        <f>VALUE(12040)</f>
        <v>12040</v>
      </c>
      <c r="N5993" t="s">
        <v>24</v>
      </c>
    </row>
    <row r="5994" spans="1:14" x14ac:dyDescent="0.25">
      <c r="A5994" t="s">
        <v>42</v>
      </c>
      <c r="B5994" t="s">
        <v>15</v>
      </c>
      <c r="C5994" t="s">
        <v>38</v>
      </c>
      <c r="D5994" t="s">
        <v>28</v>
      </c>
      <c r="E5994" t="s">
        <v>23</v>
      </c>
      <c r="F5994" t="s">
        <v>18</v>
      </c>
      <c r="G5994" s="1" t="str">
        <f t="shared" ref="G5994:M5994" si="1302">"X"</f>
        <v>X</v>
      </c>
      <c r="H5994" s="1" t="str">
        <f t="shared" si="1302"/>
        <v>X</v>
      </c>
      <c r="I5994" s="1" t="str">
        <f t="shared" si="1302"/>
        <v>X</v>
      </c>
      <c r="J5994" s="1" t="str">
        <f t="shared" si="1302"/>
        <v>X</v>
      </c>
      <c r="K5994" s="1" t="str">
        <f t="shared" si="1302"/>
        <v>X</v>
      </c>
      <c r="L5994" s="1" t="str">
        <f t="shared" si="1302"/>
        <v>X</v>
      </c>
      <c r="M5994" s="1" t="str">
        <f t="shared" si="1302"/>
        <v>X</v>
      </c>
      <c r="N5994" t="s">
        <v>27</v>
      </c>
    </row>
    <row r="5995" spans="1:14" x14ac:dyDescent="0.25">
      <c r="A5995" t="s">
        <v>42</v>
      </c>
      <c r="B5995" t="s">
        <v>15</v>
      </c>
      <c r="C5995" t="s">
        <v>38</v>
      </c>
      <c r="D5995" t="s">
        <v>28</v>
      </c>
      <c r="E5995" t="s">
        <v>23</v>
      </c>
      <c r="F5995" t="s">
        <v>19</v>
      </c>
      <c r="G5995" s="2">
        <f>VALUE(224.24)</f>
        <v>224.24</v>
      </c>
      <c r="H5995" s="3">
        <f>VALUE(200)</f>
        <v>200</v>
      </c>
      <c r="I5995" s="4">
        <f>VALUE(2700)</f>
        <v>2700</v>
      </c>
      <c r="J5995" s="5">
        <f>VALUE(4325.5)</f>
        <v>4325.5</v>
      </c>
      <c r="K5995" s="1">
        <f>VALUE(5268)</f>
        <v>5268</v>
      </c>
      <c r="L5995" s="1">
        <f>VALUE(6275)</f>
        <v>6275</v>
      </c>
      <c r="M5995" s="8">
        <f>VALUE(7574)</f>
        <v>7574</v>
      </c>
      <c r="N5995" t="s">
        <v>25</v>
      </c>
    </row>
    <row r="5996" spans="1:14" x14ac:dyDescent="0.25">
      <c r="A5996" t="s">
        <v>42</v>
      </c>
      <c r="B5996" t="s">
        <v>15</v>
      </c>
      <c r="C5996" t="s">
        <v>38</v>
      </c>
      <c r="D5996" t="s">
        <v>28</v>
      </c>
      <c r="E5996" t="s">
        <v>23</v>
      </c>
      <c r="F5996" t="s">
        <v>20</v>
      </c>
      <c r="G5996" s="1">
        <f>VALUE(2145.25)</f>
        <v>2145.25</v>
      </c>
      <c r="H5996" s="1">
        <f>VALUE(1599.4)</f>
        <v>1599.4</v>
      </c>
      <c r="I5996" s="1">
        <f>VALUE(3374)</f>
        <v>3374</v>
      </c>
      <c r="J5996" s="1">
        <f>VALUE(3963)</f>
        <v>3963</v>
      </c>
      <c r="K5996" s="1">
        <f>VALUE(4612)</f>
        <v>4612</v>
      </c>
      <c r="L5996" s="1">
        <f>VALUE(5499)</f>
        <v>5499</v>
      </c>
      <c r="M5996" s="1">
        <f>VALUE(6376)</f>
        <v>6376</v>
      </c>
      <c r="N5996" t="s">
        <v>16</v>
      </c>
    </row>
    <row r="5997" spans="1:14" x14ac:dyDescent="0.25">
      <c r="A5997" t="s">
        <v>42</v>
      </c>
      <c r="B5997" t="s">
        <v>15</v>
      </c>
      <c r="C5997" t="s">
        <v>38</v>
      </c>
      <c r="D5997" t="s">
        <v>28</v>
      </c>
      <c r="E5997" t="s">
        <v>26</v>
      </c>
      <c r="F5997" t="s">
        <v>15</v>
      </c>
      <c r="G5997" s="2">
        <f>VALUE(274.48)</f>
        <v>274.48</v>
      </c>
      <c r="H5997" s="3">
        <f>VALUE(244.92)</f>
        <v>244.92</v>
      </c>
      <c r="I5997" s="4">
        <f>VALUE(2777)</f>
        <v>2777</v>
      </c>
      <c r="J5997" s="5">
        <f>VALUE(4127)</f>
        <v>4127</v>
      </c>
      <c r="K5997" s="6">
        <f>VALUE(5034)</f>
        <v>5034</v>
      </c>
      <c r="L5997" s="7">
        <f>VALUE(7075)</f>
        <v>7075</v>
      </c>
      <c r="M5997" s="8">
        <f>VALUE(13963)</f>
        <v>13963</v>
      </c>
      <c r="N5997" t="s">
        <v>24</v>
      </c>
    </row>
    <row r="5998" spans="1:14" x14ac:dyDescent="0.25">
      <c r="A5998" t="s">
        <v>42</v>
      </c>
      <c r="B5998" t="s">
        <v>15</v>
      </c>
      <c r="C5998" t="s">
        <v>38</v>
      </c>
      <c r="D5998" t="s">
        <v>28</v>
      </c>
      <c r="E5998" t="s">
        <v>26</v>
      </c>
      <c r="F5998" t="s">
        <v>17</v>
      </c>
      <c r="G5998" s="1" t="str">
        <f t="shared" ref="G5998:M6000" si="1303">"X"</f>
        <v>X</v>
      </c>
      <c r="H5998" s="1" t="str">
        <f t="shared" si="1303"/>
        <v>X</v>
      </c>
      <c r="I5998" s="1" t="str">
        <f t="shared" si="1303"/>
        <v>X</v>
      </c>
      <c r="J5998" s="1" t="str">
        <f t="shared" si="1303"/>
        <v>X</v>
      </c>
      <c r="K5998" s="1" t="str">
        <f t="shared" si="1303"/>
        <v>X</v>
      </c>
      <c r="L5998" s="1" t="str">
        <f t="shared" si="1303"/>
        <v>X</v>
      </c>
      <c r="M5998" s="1" t="str">
        <f t="shared" si="1303"/>
        <v>X</v>
      </c>
      <c r="N5998" t="s">
        <v>27</v>
      </c>
    </row>
    <row r="5999" spans="1:14" x14ac:dyDescent="0.25">
      <c r="A5999" t="s">
        <v>42</v>
      </c>
      <c r="B5999" t="s">
        <v>15</v>
      </c>
      <c r="C5999" t="s">
        <v>38</v>
      </c>
      <c r="D5999" t="s">
        <v>28</v>
      </c>
      <c r="E5999" t="s">
        <v>26</v>
      </c>
      <c r="F5999" t="s">
        <v>18</v>
      </c>
      <c r="G5999" s="1" t="str">
        <f t="shared" si="1303"/>
        <v>X</v>
      </c>
      <c r="H5999" s="1" t="str">
        <f t="shared" si="1303"/>
        <v>X</v>
      </c>
      <c r="I5999" s="1" t="str">
        <f t="shared" si="1303"/>
        <v>X</v>
      </c>
      <c r="J5999" s="1" t="str">
        <f t="shared" si="1303"/>
        <v>X</v>
      </c>
      <c r="K5999" s="1" t="str">
        <f t="shared" si="1303"/>
        <v>X</v>
      </c>
      <c r="L5999" s="1" t="str">
        <f t="shared" si="1303"/>
        <v>X</v>
      </c>
      <c r="M5999" s="1" t="str">
        <f t="shared" si="1303"/>
        <v>X</v>
      </c>
      <c r="N5999" t="s">
        <v>27</v>
      </c>
    </row>
    <row r="6000" spans="1:14" x14ac:dyDescent="0.25">
      <c r="A6000" t="s">
        <v>42</v>
      </c>
      <c r="B6000" t="s">
        <v>15</v>
      </c>
      <c r="C6000" t="s">
        <v>38</v>
      </c>
      <c r="D6000" t="s">
        <v>28</v>
      </c>
      <c r="E6000" t="s">
        <v>26</v>
      </c>
      <c r="F6000" t="s">
        <v>19</v>
      </c>
      <c r="G6000" s="1" t="str">
        <f t="shared" si="1303"/>
        <v>X</v>
      </c>
      <c r="H6000" s="1" t="str">
        <f t="shared" si="1303"/>
        <v>X</v>
      </c>
      <c r="I6000" s="1" t="str">
        <f t="shared" si="1303"/>
        <v>X</v>
      </c>
      <c r="J6000" s="1" t="str">
        <f t="shared" si="1303"/>
        <v>X</v>
      </c>
      <c r="K6000" s="1" t="str">
        <f t="shared" si="1303"/>
        <v>X</v>
      </c>
      <c r="L6000" s="1" t="str">
        <f t="shared" si="1303"/>
        <v>X</v>
      </c>
      <c r="M6000" s="1" t="str">
        <f t="shared" si="1303"/>
        <v>X</v>
      </c>
      <c r="N6000" t="s">
        <v>27</v>
      </c>
    </row>
    <row r="6001" spans="1:14" x14ac:dyDescent="0.25">
      <c r="A6001" t="s">
        <v>42</v>
      </c>
      <c r="B6001" t="s">
        <v>15</v>
      </c>
      <c r="C6001" t="s">
        <v>38</v>
      </c>
      <c r="D6001" t="s">
        <v>28</v>
      </c>
      <c r="E6001" t="s">
        <v>26</v>
      </c>
      <c r="F6001" t="s">
        <v>20</v>
      </c>
      <c r="G6001" s="2">
        <f>VALUE(123.6)</f>
        <v>123.6</v>
      </c>
      <c r="H6001" s="3">
        <f>VALUE(103.99)</f>
        <v>103.99</v>
      </c>
      <c r="I6001" s="4">
        <f>VALUE(2996)</f>
        <v>2996</v>
      </c>
      <c r="J6001" s="1">
        <f>VALUE(4127)</f>
        <v>4127</v>
      </c>
      <c r="K6001" s="1">
        <f>VALUE(5550)</f>
        <v>5550</v>
      </c>
      <c r="L6001" s="7">
        <f>VALUE(6190)</f>
        <v>6190</v>
      </c>
      <c r="M6001" s="8">
        <f>VALUE(8187)</f>
        <v>8187</v>
      </c>
      <c r="N6001" t="s">
        <v>25</v>
      </c>
    </row>
    <row r="6002" spans="1:14" x14ac:dyDescent="0.25">
      <c r="A6002" t="s">
        <v>42</v>
      </c>
      <c r="B6002" t="s">
        <v>15</v>
      </c>
      <c r="C6002" t="s">
        <v>38</v>
      </c>
      <c r="D6002" t="s">
        <v>29</v>
      </c>
      <c r="E6002" t="s">
        <v>15</v>
      </c>
      <c r="F6002" t="s">
        <v>15</v>
      </c>
      <c r="G6002" s="1">
        <f>VALUE(5422.53)</f>
        <v>5422.53</v>
      </c>
      <c r="H6002" s="1">
        <f>VALUE(4799.46)</f>
        <v>4799.46</v>
      </c>
      <c r="I6002" s="1">
        <f>VALUE(3514)</f>
        <v>3514</v>
      </c>
      <c r="J6002" s="1">
        <f>VALUE(4324)</f>
        <v>4324</v>
      </c>
      <c r="K6002" s="1">
        <f>VALUE(5489)</f>
        <v>5489</v>
      </c>
      <c r="L6002" s="1">
        <f>VALUE(6894)</f>
        <v>6894</v>
      </c>
      <c r="M6002" s="8">
        <f>VALUE(10107)</f>
        <v>10107</v>
      </c>
      <c r="N6002" t="s">
        <v>25</v>
      </c>
    </row>
    <row r="6003" spans="1:14" x14ac:dyDescent="0.25">
      <c r="A6003" t="s">
        <v>42</v>
      </c>
      <c r="B6003" t="s">
        <v>15</v>
      </c>
      <c r="C6003" t="s">
        <v>38</v>
      </c>
      <c r="D6003" t="s">
        <v>29</v>
      </c>
      <c r="E6003" t="s">
        <v>15</v>
      </c>
      <c r="F6003" t="s">
        <v>17</v>
      </c>
      <c r="G6003" s="2">
        <f>VALUE(956.07)</f>
        <v>956.07</v>
      </c>
      <c r="H6003" s="3">
        <f>VALUE(921.92)</f>
        <v>921.92</v>
      </c>
      <c r="I6003" s="4">
        <f>VALUE(3648)</f>
        <v>3648</v>
      </c>
      <c r="J6003" s="5">
        <f>VALUE(4410)</f>
        <v>4410</v>
      </c>
      <c r="K6003" s="6">
        <f>VALUE(8159)</f>
        <v>8159</v>
      </c>
      <c r="L6003" s="7">
        <f>VALUE(12036)</f>
        <v>12036</v>
      </c>
      <c r="M6003" s="8">
        <f>VALUE(22040)</f>
        <v>22040</v>
      </c>
      <c r="N6003" t="s">
        <v>24</v>
      </c>
    </row>
    <row r="6004" spans="1:14" x14ac:dyDescent="0.25">
      <c r="A6004" t="s">
        <v>42</v>
      </c>
      <c r="B6004" t="s">
        <v>15</v>
      </c>
      <c r="C6004" t="s">
        <v>38</v>
      </c>
      <c r="D6004" t="s">
        <v>29</v>
      </c>
      <c r="E6004" t="s">
        <v>15</v>
      </c>
      <c r="F6004" t="s">
        <v>18</v>
      </c>
      <c r="G6004" s="2">
        <f>VALUE(372.77)</f>
        <v>372.77</v>
      </c>
      <c r="H6004" s="3">
        <f>VALUE(338.39)</f>
        <v>338.39</v>
      </c>
      <c r="I6004" s="1">
        <f>VALUE(4486)</f>
        <v>4486</v>
      </c>
      <c r="J6004" s="1">
        <f>VALUE(5593)</f>
        <v>5593</v>
      </c>
      <c r="K6004" s="1">
        <f>VALUE(7205)</f>
        <v>7205</v>
      </c>
      <c r="L6004" s="1">
        <f>VALUE(8259)</f>
        <v>8259</v>
      </c>
      <c r="M6004" s="8">
        <f>VALUE(9843)</f>
        <v>9843</v>
      </c>
      <c r="N6004" t="s">
        <v>25</v>
      </c>
    </row>
    <row r="6005" spans="1:14" x14ac:dyDescent="0.25">
      <c r="A6005" t="s">
        <v>42</v>
      </c>
      <c r="B6005" t="s">
        <v>15</v>
      </c>
      <c r="C6005" t="s">
        <v>38</v>
      </c>
      <c r="D6005" t="s">
        <v>29</v>
      </c>
      <c r="E6005" t="s">
        <v>15</v>
      </c>
      <c r="F6005" t="s">
        <v>19</v>
      </c>
      <c r="G6005" s="2">
        <f>VALUE(551.43)</f>
        <v>551.42999999999995</v>
      </c>
      <c r="H6005" s="3">
        <f>VALUE(536.73)</f>
        <v>536.73</v>
      </c>
      <c r="I6005" s="4">
        <f>VALUE(3872)</f>
        <v>3872</v>
      </c>
      <c r="J6005" s="5">
        <f>VALUE(5113)</f>
        <v>5113</v>
      </c>
      <c r="K6005" s="1">
        <f>VALUE(5861)</f>
        <v>5861</v>
      </c>
      <c r="L6005" s="1">
        <f>VALUE(7286)</f>
        <v>7286</v>
      </c>
      <c r="M6005" s="8">
        <f>VALUE(8188)</f>
        <v>8188</v>
      </c>
      <c r="N6005" t="s">
        <v>25</v>
      </c>
    </row>
    <row r="6006" spans="1:14" x14ac:dyDescent="0.25">
      <c r="A6006" t="s">
        <v>42</v>
      </c>
      <c r="B6006" t="s">
        <v>15</v>
      </c>
      <c r="C6006" t="s">
        <v>38</v>
      </c>
      <c r="D6006" t="s">
        <v>29</v>
      </c>
      <c r="E6006" t="s">
        <v>15</v>
      </c>
      <c r="F6006" t="s">
        <v>20</v>
      </c>
      <c r="G6006" s="1">
        <f>VALUE(3542.26)</f>
        <v>3542.26</v>
      </c>
      <c r="H6006" s="1">
        <f>VALUE(3002.42)</f>
        <v>3002.42</v>
      </c>
      <c r="I6006" s="1">
        <f>VALUE(3508)</f>
        <v>3508</v>
      </c>
      <c r="J6006" s="1">
        <f>VALUE(4144)</f>
        <v>4144</v>
      </c>
      <c r="K6006" s="1">
        <f>VALUE(5119)</f>
        <v>5119</v>
      </c>
      <c r="L6006" s="1">
        <f>VALUE(5937)</f>
        <v>5937</v>
      </c>
      <c r="M6006" s="1">
        <f>VALUE(6896)</f>
        <v>6896</v>
      </c>
      <c r="N6006" t="s">
        <v>16</v>
      </c>
    </row>
    <row r="6007" spans="1:14" x14ac:dyDescent="0.25">
      <c r="A6007" t="s">
        <v>42</v>
      </c>
      <c r="B6007" t="s">
        <v>15</v>
      </c>
      <c r="C6007" t="s">
        <v>38</v>
      </c>
      <c r="D6007" t="s">
        <v>29</v>
      </c>
      <c r="E6007" t="s">
        <v>21</v>
      </c>
      <c r="F6007" t="s">
        <v>15</v>
      </c>
      <c r="G6007" s="2">
        <f>VALUE(680.07)</f>
        <v>680.07</v>
      </c>
      <c r="H6007" s="3">
        <f>VALUE(635.7)</f>
        <v>635.70000000000005</v>
      </c>
      <c r="I6007" s="4">
        <f>VALUE(3968)</f>
        <v>3968</v>
      </c>
      <c r="J6007" s="5">
        <f>VALUE(6402)</f>
        <v>6402</v>
      </c>
      <c r="K6007" s="1">
        <f>VALUE(8730)</f>
        <v>8730</v>
      </c>
      <c r="L6007" s="7">
        <f>VALUE(12720)</f>
        <v>12720</v>
      </c>
      <c r="M6007" s="8">
        <f>VALUE(23828)</f>
        <v>23828</v>
      </c>
      <c r="N6007" t="s">
        <v>25</v>
      </c>
    </row>
    <row r="6008" spans="1:14" x14ac:dyDescent="0.25">
      <c r="A6008" t="s">
        <v>42</v>
      </c>
      <c r="B6008" t="s">
        <v>15</v>
      </c>
      <c r="C6008" t="s">
        <v>38</v>
      </c>
      <c r="D6008" t="s">
        <v>29</v>
      </c>
      <c r="E6008" t="s">
        <v>21</v>
      </c>
      <c r="F6008" t="s">
        <v>17</v>
      </c>
      <c r="G6008" s="2">
        <f>VALUE(355.9)</f>
        <v>355.9</v>
      </c>
      <c r="H6008" s="3">
        <f>VALUE(339.55)</f>
        <v>339.55</v>
      </c>
      <c r="I6008" s="4">
        <f>VALUE(3387)</f>
        <v>3387</v>
      </c>
      <c r="J6008" s="5">
        <f>VALUE(7000)</f>
        <v>7000</v>
      </c>
      <c r="K6008" s="6">
        <f>VALUE(10833)</f>
        <v>10833</v>
      </c>
      <c r="L6008" s="7">
        <f>VALUE(19500)</f>
        <v>19500</v>
      </c>
      <c r="M6008" s="8">
        <f>VALUE(29413)</f>
        <v>29413</v>
      </c>
      <c r="N6008" t="s">
        <v>24</v>
      </c>
    </row>
    <row r="6009" spans="1:14" x14ac:dyDescent="0.25">
      <c r="A6009" t="s">
        <v>42</v>
      </c>
      <c r="B6009" t="s">
        <v>15</v>
      </c>
      <c r="C6009" t="s">
        <v>38</v>
      </c>
      <c r="D6009" t="s">
        <v>29</v>
      </c>
      <c r="E6009" t="s">
        <v>21</v>
      </c>
      <c r="F6009" t="s">
        <v>18</v>
      </c>
      <c r="G6009" s="1" t="str">
        <f t="shared" ref="G6009:M6010" si="1304">"X"</f>
        <v>X</v>
      </c>
      <c r="H6009" s="1" t="str">
        <f t="shared" si="1304"/>
        <v>X</v>
      </c>
      <c r="I6009" s="1" t="str">
        <f t="shared" si="1304"/>
        <v>X</v>
      </c>
      <c r="J6009" s="1" t="str">
        <f t="shared" si="1304"/>
        <v>X</v>
      </c>
      <c r="K6009" s="1" t="str">
        <f t="shared" si="1304"/>
        <v>X</v>
      </c>
      <c r="L6009" s="1" t="str">
        <f t="shared" si="1304"/>
        <v>X</v>
      </c>
      <c r="M6009" s="1" t="str">
        <f t="shared" si="1304"/>
        <v>X</v>
      </c>
      <c r="N6009" t="s">
        <v>27</v>
      </c>
    </row>
    <row r="6010" spans="1:14" x14ac:dyDescent="0.25">
      <c r="A6010" t="s">
        <v>42</v>
      </c>
      <c r="B6010" t="s">
        <v>15</v>
      </c>
      <c r="C6010" t="s">
        <v>38</v>
      </c>
      <c r="D6010" t="s">
        <v>29</v>
      </c>
      <c r="E6010" t="s">
        <v>21</v>
      </c>
      <c r="F6010" t="s">
        <v>19</v>
      </c>
      <c r="G6010" s="1" t="str">
        <f t="shared" si="1304"/>
        <v>X</v>
      </c>
      <c r="H6010" s="1" t="str">
        <f t="shared" si="1304"/>
        <v>X</v>
      </c>
      <c r="I6010" s="1" t="str">
        <f t="shared" si="1304"/>
        <v>X</v>
      </c>
      <c r="J6010" s="1" t="str">
        <f t="shared" si="1304"/>
        <v>X</v>
      </c>
      <c r="K6010" s="1" t="str">
        <f t="shared" si="1304"/>
        <v>X</v>
      </c>
      <c r="L6010" s="1" t="str">
        <f t="shared" si="1304"/>
        <v>X</v>
      </c>
      <c r="M6010" s="1" t="str">
        <f t="shared" si="1304"/>
        <v>X</v>
      </c>
      <c r="N6010" t="s">
        <v>27</v>
      </c>
    </row>
    <row r="6011" spans="1:14" x14ac:dyDescent="0.25">
      <c r="A6011" t="s">
        <v>42</v>
      </c>
      <c r="B6011" t="s">
        <v>15</v>
      </c>
      <c r="C6011" t="s">
        <v>38</v>
      </c>
      <c r="D6011" t="s">
        <v>29</v>
      </c>
      <c r="E6011" t="s">
        <v>21</v>
      </c>
      <c r="F6011" t="s">
        <v>20</v>
      </c>
      <c r="G6011" s="2">
        <f>VALUE(141.09)</f>
        <v>141.09</v>
      </c>
      <c r="H6011" s="3">
        <f>VALUE(129.56)</f>
        <v>129.56</v>
      </c>
      <c r="I6011" s="4">
        <f>VALUE(4991)</f>
        <v>4991</v>
      </c>
      <c r="J6011" s="1">
        <f>VALUE(5544)</f>
        <v>5544</v>
      </c>
      <c r="K6011" s="1">
        <f>VALUE(6966)</f>
        <v>6966</v>
      </c>
      <c r="L6011" s="1">
        <f>VALUE(8421)</f>
        <v>8421</v>
      </c>
      <c r="M6011" s="8">
        <f>VALUE(13713)</f>
        <v>13713</v>
      </c>
      <c r="N6011" t="s">
        <v>25</v>
      </c>
    </row>
    <row r="6012" spans="1:14" x14ac:dyDescent="0.25">
      <c r="A6012" t="s">
        <v>42</v>
      </c>
      <c r="B6012" t="s">
        <v>15</v>
      </c>
      <c r="C6012" t="s">
        <v>38</v>
      </c>
      <c r="D6012" t="s">
        <v>29</v>
      </c>
      <c r="E6012" t="s">
        <v>22</v>
      </c>
      <c r="F6012" t="s">
        <v>15</v>
      </c>
      <c r="G6012" s="2">
        <f>VALUE(1603.16)</f>
        <v>1603.16</v>
      </c>
      <c r="H6012" s="3">
        <f>VALUE(1501.83)</f>
        <v>1501.83</v>
      </c>
      <c r="I6012" s="4">
        <f>VALUE(3784)</f>
        <v>3784</v>
      </c>
      <c r="J6012" s="1">
        <f>VALUE(5044)</f>
        <v>5044</v>
      </c>
      <c r="K6012" s="1">
        <f>VALUE(5952)</f>
        <v>5952</v>
      </c>
      <c r="L6012" s="1">
        <f>VALUE(7472)</f>
        <v>7472</v>
      </c>
      <c r="M6012" s="1">
        <f>VALUE(10441)</f>
        <v>10441</v>
      </c>
      <c r="N6012" t="s">
        <v>25</v>
      </c>
    </row>
    <row r="6013" spans="1:14" x14ac:dyDescent="0.25">
      <c r="A6013" t="s">
        <v>42</v>
      </c>
      <c r="B6013" t="s">
        <v>15</v>
      </c>
      <c r="C6013" t="s">
        <v>38</v>
      </c>
      <c r="D6013" t="s">
        <v>29</v>
      </c>
      <c r="E6013" t="s">
        <v>22</v>
      </c>
      <c r="F6013" t="s">
        <v>17</v>
      </c>
      <c r="G6013" s="2">
        <f>VALUE(327.89)</f>
        <v>327.89</v>
      </c>
      <c r="H6013" s="3">
        <f>VALUE(330.17)</f>
        <v>330.17</v>
      </c>
      <c r="I6013" s="4">
        <f>VALUE(3648)</f>
        <v>3648</v>
      </c>
      <c r="J6013" s="5">
        <f>VALUE(5797)</f>
        <v>5797</v>
      </c>
      <c r="K6013" s="6">
        <f>VALUE(8113)</f>
        <v>8113</v>
      </c>
      <c r="L6013" s="7">
        <f>VALUE(10441)</f>
        <v>10441</v>
      </c>
      <c r="M6013" s="8">
        <f>VALUE(17406)</f>
        <v>17406</v>
      </c>
      <c r="N6013" t="s">
        <v>24</v>
      </c>
    </row>
    <row r="6014" spans="1:14" x14ac:dyDescent="0.25">
      <c r="A6014" t="s">
        <v>42</v>
      </c>
      <c r="B6014" t="s">
        <v>15</v>
      </c>
      <c r="C6014" t="s">
        <v>38</v>
      </c>
      <c r="D6014" t="s">
        <v>29</v>
      </c>
      <c r="E6014" t="s">
        <v>22</v>
      </c>
      <c r="F6014" t="s">
        <v>18</v>
      </c>
      <c r="G6014" s="2">
        <f>VALUE(148.36)</f>
        <v>148.36000000000001</v>
      </c>
      <c r="H6014" s="3">
        <f>VALUE(133.37)</f>
        <v>133.37</v>
      </c>
      <c r="I6014" s="4">
        <f>VALUE(4988)</f>
        <v>4988</v>
      </c>
      <c r="J6014" s="5">
        <f>VALUE(5952)</f>
        <v>5952</v>
      </c>
      <c r="K6014" s="6">
        <f>VALUE(6690)</f>
        <v>6690</v>
      </c>
      <c r="L6014" s="1">
        <f>VALUE(8106)</f>
        <v>8106</v>
      </c>
      <c r="M6014" s="8">
        <f>VALUE(10472)</f>
        <v>10472</v>
      </c>
      <c r="N6014" t="s">
        <v>25</v>
      </c>
    </row>
    <row r="6015" spans="1:14" x14ac:dyDescent="0.25">
      <c r="A6015" t="s">
        <v>42</v>
      </c>
      <c r="B6015" t="s">
        <v>15</v>
      </c>
      <c r="C6015" t="s">
        <v>38</v>
      </c>
      <c r="D6015" t="s">
        <v>29</v>
      </c>
      <c r="E6015" t="s">
        <v>22</v>
      </c>
      <c r="F6015" t="s">
        <v>19</v>
      </c>
      <c r="G6015" s="2">
        <f>VALUE(265.38)</f>
        <v>265.38</v>
      </c>
      <c r="H6015" s="3">
        <f>VALUE(268)</f>
        <v>268</v>
      </c>
      <c r="I6015" s="4">
        <f>VALUE(5163)</f>
        <v>5163</v>
      </c>
      <c r="J6015" s="1">
        <f>VALUE(5582)</f>
        <v>5582</v>
      </c>
      <c r="K6015" s="6">
        <f>VALUE(6401)</f>
        <v>6401</v>
      </c>
      <c r="L6015" s="7">
        <f>VALUE(7354)</f>
        <v>7354</v>
      </c>
      <c r="M6015" s="8">
        <f>VALUE(8185)</f>
        <v>8185</v>
      </c>
      <c r="N6015" t="s">
        <v>25</v>
      </c>
    </row>
    <row r="6016" spans="1:14" x14ac:dyDescent="0.25">
      <c r="A6016" t="s">
        <v>42</v>
      </c>
      <c r="B6016" t="s">
        <v>15</v>
      </c>
      <c r="C6016" t="s">
        <v>38</v>
      </c>
      <c r="D6016" t="s">
        <v>29</v>
      </c>
      <c r="E6016" t="s">
        <v>22</v>
      </c>
      <c r="F6016" t="s">
        <v>20</v>
      </c>
      <c r="G6016" s="2">
        <f>VALUE(861.53)</f>
        <v>861.53</v>
      </c>
      <c r="H6016" s="3">
        <f>VALUE(770.29)</f>
        <v>770.29</v>
      </c>
      <c r="I6016" s="4">
        <f>VALUE(3508)</f>
        <v>3508</v>
      </c>
      <c r="J6016" s="5">
        <f>VALUE(4605)</f>
        <v>4605</v>
      </c>
      <c r="K6016" s="1">
        <f>VALUE(5459)</f>
        <v>5459</v>
      </c>
      <c r="L6016" s="1">
        <f>VALUE(6282)</f>
        <v>6282</v>
      </c>
      <c r="M6016" s="1">
        <f>VALUE(7472)</f>
        <v>7472</v>
      </c>
      <c r="N6016" t="s">
        <v>25</v>
      </c>
    </row>
    <row r="6017" spans="1:14" x14ac:dyDescent="0.25">
      <c r="A6017" t="s">
        <v>42</v>
      </c>
      <c r="B6017" t="s">
        <v>15</v>
      </c>
      <c r="C6017" t="s">
        <v>38</v>
      </c>
      <c r="D6017" t="s">
        <v>29</v>
      </c>
      <c r="E6017" t="s">
        <v>23</v>
      </c>
      <c r="F6017" t="s">
        <v>15</v>
      </c>
      <c r="G6017" s="1">
        <f>VALUE(2951.56)</f>
        <v>2951.56</v>
      </c>
      <c r="H6017" s="1">
        <f>VALUE(2468.37)</f>
        <v>2468.37</v>
      </c>
      <c r="I6017" s="1">
        <f>VALUE(3508)</f>
        <v>3508</v>
      </c>
      <c r="J6017" s="1">
        <f>VALUE(4003)</f>
        <v>4003</v>
      </c>
      <c r="K6017" s="1">
        <f>VALUE(4895)</f>
        <v>4895</v>
      </c>
      <c r="L6017" s="1">
        <f>VALUE(5809)</f>
        <v>5809</v>
      </c>
      <c r="M6017" s="1">
        <f>VALUE(6698)</f>
        <v>6698</v>
      </c>
      <c r="N6017" t="s">
        <v>16</v>
      </c>
    </row>
    <row r="6018" spans="1:14" x14ac:dyDescent="0.25">
      <c r="A6018" t="s">
        <v>42</v>
      </c>
      <c r="B6018" t="s">
        <v>15</v>
      </c>
      <c r="C6018" t="s">
        <v>38</v>
      </c>
      <c r="D6018" t="s">
        <v>29</v>
      </c>
      <c r="E6018" t="s">
        <v>23</v>
      </c>
      <c r="F6018" t="s">
        <v>17</v>
      </c>
      <c r="G6018" s="1" t="str">
        <f t="shared" ref="G6018:M6019" si="1305">"X"</f>
        <v>X</v>
      </c>
      <c r="H6018" s="1" t="str">
        <f t="shared" si="1305"/>
        <v>X</v>
      </c>
      <c r="I6018" s="1" t="str">
        <f t="shared" si="1305"/>
        <v>X</v>
      </c>
      <c r="J6018" s="1" t="str">
        <f t="shared" si="1305"/>
        <v>X</v>
      </c>
      <c r="K6018" s="1" t="str">
        <f t="shared" si="1305"/>
        <v>X</v>
      </c>
      <c r="L6018" s="1" t="str">
        <f t="shared" si="1305"/>
        <v>X</v>
      </c>
      <c r="M6018" s="1" t="str">
        <f t="shared" si="1305"/>
        <v>X</v>
      </c>
      <c r="N6018" t="s">
        <v>27</v>
      </c>
    </row>
    <row r="6019" spans="1:14" x14ac:dyDescent="0.25">
      <c r="A6019" t="s">
        <v>42</v>
      </c>
      <c r="B6019" t="s">
        <v>15</v>
      </c>
      <c r="C6019" t="s">
        <v>38</v>
      </c>
      <c r="D6019" t="s">
        <v>29</v>
      </c>
      <c r="E6019" t="s">
        <v>23</v>
      </c>
      <c r="F6019" t="s">
        <v>18</v>
      </c>
      <c r="G6019" s="1" t="str">
        <f t="shared" si="1305"/>
        <v>X</v>
      </c>
      <c r="H6019" s="1" t="str">
        <f t="shared" si="1305"/>
        <v>X</v>
      </c>
      <c r="I6019" s="1" t="str">
        <f t="shared" si="1305"/>
        <v>X</v>
      </c>
      <c r="J6019" s="1" t="str">
        <f t="shared" si="1305"/>
        <v>X</v>
      </c>
      <c r="K6019" s="1" t="str">
        <f t="shared" si="1305"/>
        <v>X</v>
      </c>
      <c r="L6019" s="1" t="str">
        <f t="shared" si="1305"/>
        <v>X</v>
      </c>
      <c r="M6019" s="1" t="str">
        <f t="shared" si="1305"/>
        <v>X</v>
      </c>
      <c r="N6019" t="s">
        <v>27</v>
      </c>
    </row>
    <row r="6020" spans="1:14" x14ac:dyDescent="0.25">
      <c r="A6020" t="s">
        <v>42</v>
      </c>
      <c r="B6020" t="s">
        <v>15</v>
      </c>
      <c r="C6020" t="s">
        <v>38</v>
      </c>
      <c r="D6020" t="s">
        <v>29</v>
      </c>
      <c r="E6020" t="s">
        <v>23</v>
      </c>
      <c r="F6020" t="s">
        <v>19</v>
      </c>
      <c r="G6020" s="2">
        <f>VALUE(228.13)</f>
        <v>228.13</v>
      </c>
      <c r="H6020" s="3">
        <f>VALUE(216.18)</f>
        <v>216.18</v>
      </c>
      <c r="I6020" s="1">
        <f>VALUE(3367)</f>
        <v>3367</v>
      </c>
      <c r="J6020" s="1">
        <f>VALUE(3985)</f>
        <v>3985</v>
      </c>
      <c r="K6020" s="6">
        <f>VALUE(5332)</f>
        <v>5332</v>
      </c>
      <c r="L6020" s="7">
        <f>VALUE(5875)</f>
        <v>5875</v>
      </c>
      <c r="M6020" s="1">
        <f>VALUE(7198)</f>
        <v>7198</v>
      </c>
      <c r="N6020" t="s">
        <v>25</v>
      </c>
    </row>
    <row r="6021" spans="1:14" x14ac:dyDescent="0.25">
      <c r="A6021" t="s">
        <v>42</v>
      </c>
      <c r="B6021" t="s">
        <v>15</v>
      </c>
      <c r="C6021" t="s">
        <v>38</v>
      </c>
      <c r="D6021" t="s">
        <v>29</v>
      </c>
      <c r="E6021" t="s">
        <v>23</v>
      </c>
      <c r="F6021" t="s">
        <v>20</v>
      </c>
      <c r="G6021" s="1">
        <f>VALUE(2420.8)</f>
        <v>2420.8000000000002</v>
      </c>
      <c r="H6021" s="1">
        <f>VALUE(1980.44)</f>
        <v>1980.44</v>
      </c>
      <c r="I6021" s="1">
        <f>VALUE(3511)</f>
        <v>3511</v>
      </c>
      <c r="J6021" s="1">
        <f>VALUE(4021)</f>
        <v>4021</v>
      </c>
      <c r="K6021" s="1">
        <f>VALUE(4897)</f>
        <v>4897</v>
      </c>
      <c r="L6021" s="1">
        <f>VALUE(5726)</f>
        <v>5726</v>
      </c>
      <c r="M6021" s="1">
        <f>VALUE(6404)</f>
        <v>6404</v>
      </c>
      <c r="N6021" t="s">
        <v>16</v>
      </c>
    </row>
    <row r="6022" spans="1:14" x14ac:dyDescent="0.25">
      <c r="A6022" t="s">
        <v>42</v>
      </c>
      <c r="B6022" t="s">
        <v>15</v>
      </c>
      <c r="C6022" t="s">
        <v>38</v>
      </c>
      <c r="D6022" t="s">
        <v>29</v>
      </c>
      <c r="E6022" t="s">
        <v>26</v>
      </c>
      <c r="F6022" t="s">
        <v>15</v>
      </c>
      <c r="G6022" s="1" t="str">
        <f t="shared" ref="G6022:M6023" si="1306">"X"</f>
        <v>X</v>
      </c>
      <c r="H6022" s="1" t="str">
        <f t="shared" si="1306"/>
        <v>X</v>
      </c>
      <c r="I6022" s="1" t="str">
        <f t="shared" si="1306"/>
        <v>X</v>
      </c>
      <c r="J6022" s="1" t="str">
        <f t="shared" si="1306"/>
        <v>X</v>
      </c>
      <c r="K6022" s="1" t="str">
        <f t="shared" si="1306"/>
        <v>X</v>
      </c>
      <c r="L6022" s="1" t="str">
        <f t="shared" si="1306"/>
        <v>X</v>
      </c>
      <c r="M6022" s="1" t="str">
        <f t="shared" si="1306"/>
        <v>X</v>
      </c>
      <c r="N6022" t="s">
        <v>27</v>
      </c>
    </row>
    <row r="6023" spans="1:14" x14ac:dyDescent="0.25">
      <c r="A6023" t="s">
        <v>42</v>
      </c>
      <c r="B6023" t="s">
        <v>15</v>
      </c>
      <c r="C6023" t="s">
        <v>38</v>
      </c>
      <c r="D6023" t="s">
        <v>29</v>
      </c>
      <c r="E6023" t="s">
        <v>26</v>
      </c>
      <c r="F6023" t="s">
        <v>17</v>
      </c>
      <c r="G6023" s="1" t="str">
        <f t="shared" si="1306"/>
        <v>X</v>
      </c>
      <c r="H6023" s="1" t="str">
        <f t="shared" si="1306"/>
        <v>X</v>
      </c>
      <c r="I6023" s="1" t="str">
        <f t="shared" si="1306"/>
        <v>X</v>
      </c>
      <c r="J6023" s="1" t="str">
        <f t="shared" si="1306"/>
        <v>X</v>
      </c>
      <c r="K6023" s="1" t="str">
        <f t="shared" si="1306"/>
        <v>X</v>
      </c>
      <c r="L6023" s="1" t="str">
        <f t="shared" si="1306"/>
        <v>X</v>
      </c>
      <c r="M6023" s="1" t="str">
        <f t="shared" si="1306"/>
        <v>X</v>
      </c>
      <c r="N6023" t="s">
        <v>27</v>
      </c>
    </row>
    <row r="6024" spans="1:14" x14ac:dyDescent="0.25">
      <c r="A6024" t="s">
        <v>42</v>
      </c>
      <c r="B6024" t="s">
        <v>15</v>
      </c>
      <c r="C6024" t="s">
        <v>38</v>
      </c>
      <c r="D6024" t="s">
        <v>29</v>
      </c>
      <c r="E6024" t="s">
        <v>26</v>
      </c>
      <c r="F6024" t="s">
        <v>18</v>
      </c>
      <c r="G6024" s="1" t="str">
        <f t="shared" ref="G6024:M6025" si="1307">"..."</f>
        <v>...</v>
      </c>
      <c r="H6024" s="1" t="str">
        <f t="shared" si="1307"/>
        <v>...</v>
      </c>
      <c r="I6024" s="1" t="str">
        <f t="shared" si="1307"/>
        <v>...</v>
      </c>
      <c r="J6024" s="1" t="str">
        <f t="shared" si="1307"/>
        <v>...</v>
      </c>
      <c r="K6024" s="1" t="str">
        <f t="shared" si="1307"/>
        <v>...</v>
      </c>
      <c r="L6024" s="1" t="str">
        <f t="shared" si="1307"/>
        <v>...</v>
      </c>
      <c r="M6024" s="1" t="str">
        <f t="shared" si="1307"/>
        <v>...</v>
      </c>
      <c r="N6024" t="s">
        <v>30</v>
      </c>
    </row>
    <row r="6025" spans="1:14" x14ac:dyDescent="0.25">
      <c r="A6025" t="s">
        <v>42</v>
      </c>
      <c r="B6025" t="s">
        <v>15</v>
      </c>
      <c r="C6025" t="s">
        <v>38</v>
      </c>
      <c r="D6025" t="s">
        <v>29</v>
      </c>
      <c r="E6025" t="s">
        <v>26</v>
      </c>
      <c r="F6025" t="s">
        <v>19</v>
      </c>
      <c r="G6025" s="1" t="str">
        <f t="shared" si="1307"/>
        <v>...</v>
      </c>
      <c r="H6025" s="1" t="str">
        <f t="shared" si="1307"/>
        <v>...</v>
      </c>
      <c r="I6025" s="1" t="str">
        <f t="shared" si="1307"/>
        <v>...</v>
      </c>
      <c r="J6025" s="1" t="str">
        <f t="shared" si="1307"/>
        <v>...</v>
      </c>
      <c r="K6025" s="1" t="str">
        <f t="shared" si="1307"/>
        <v>...</v>
      </c>
      <c r="L6025" s="1" t="str">
        <f t="shared" si="1307"/>
        <v>...</v>
      </c>
      <c r="M6025" s="1" t="str">
        <f t="shared" si="1307"/>
        <v>...</v>
      </c>
      <c r="N6025" t="s">
        <v>30</v>
      </c>
    </row>
    <row r="6026" spans="1:14" x14ac:dyDescent="0.25">
      <c r="A6026" t="s">
        <v>42</v>
      </c>
      <c r="B6026" t="s">
        <v>15</v>
      </c>
      <c r="C6026" t="s">
        <v>38</v>
      </c>
      <c r="D6026" t="s">
        <v>29</v>
      </c>
      <c r="E6026" t="s">
        <v>26</v>
      </c>
      <c r="F6026" t="s">
        <v>20</v>
      </c>
      <c r="G6026" s="1" t="str">
        <f t="shared" ref="G6026:M6026" si="1308">"X"</f>
        <v>X</v>
      </c>
      <c r="H6026" s="1" t="str">
        <f t="shared" si="1308"/>
        <v>X</v>
      </c>
      <c r="I6026" s="1" t="str">
        <f t="shared" si="1308"/>
        <v>X</v>
      </c>
      <c r="J6026" s="1" t="str">
        <f t="shared" si="1308"/>
        <v>X</v>
      </c>
      <c r="K6026" s="1" t="str">
        <f t="shared" si="1308"/>
        <v>X</v>
      </c>
      <c r="L6026" s="1" t="str">
        <f t="shared" si="1308"/>
        <v>X</v>
      </c>
      <c r="M6026" s="1" t="str">
        <f t="shared" si="1308"/>
        <v>X</v>
      </c>
      <c r="N6026" t="s">
        <v>27</v>
      </c>
    </row>
    <row r="6027" spans="1:14" x14ac:dyDescent="0.25">
      <c r="A6027" t="s">
        <v>42</v>
      </c>
      <c r="B6027" t="s">
        <v>15</v>
      </c>
      <c r="C6027" t="s">
        <v>38</v>
      </c>
      <c r="D6027" t="s">
        <v>31</v>
      </c>
      <c r="E6027" t="s">
        <v>15</v>
      </c>
      <c r="F6027" t="s">
        <v>15</v>
      </c>
      <c r="G6027" s="2">
        <f>VALUE(692.9)</f>
        <v>692.9</v>
      </c>
      <c r="H6027" s="3">
        <f>VALUE(609.23)</f>
        <v>609.23</v>
      </c>
      <c r="I6027" s="4">
        <f>VALUE(3153)</f>
        <v>3153</v>
      </c>
      <c r="J6027" s="5">
        <f>VALUE(4213)</f>
        <v>4213</v>
      </c>
      <c r="K6027" s="1">
        <f>VALUE(6150)</f>
        <v>6150</v>
      </c>
      <c r="L6027" s="7">
        <f>VALUE(9075)</f>
        <v>9075</v>
      </c>
      <c r="M6027" s="8">
        <f>VALUE(19048)</f>
        <v>19048</v>
      </c>
      <c r="N6027" t="s">
        <v>25</v>
      </c>
    </row>
    <row r="6028" spans="1:14" x14ac:dyDescent="0.25">
      <c r="A6028" t="s">
        <v>42</v>
      </c>
      <c r="B6028" t="s">
        <v>15</v>
      </c>
      <c r="C6028" t="s">
        <v>38</v>
      </c>
      <c r="D6028" t="s">
        <v>31</v>
      </c>
      <c r="E6028" t="s">
        <v>15</v>
      </c>
      <c r="F6028" t="s">
        <v>17</v>
      </c>
      <c r="G6028" s="1" t="str">
        <f t="shared" ref="G6028:M6030" si="1309">"X"</f>
        <v>X</v>
      </c>
      <c r="H6028" s="1" t="str">
        <f t="shared" si="1309"/>
        <v>X</v>
      </c>
      <c r="I6028" s="1" t="str">
        <f t="shared" si="1309"/>
        <v>X</v>
      </c>
      <c r="J6028" s="1" t="str">
        <f t="shared" si="1309"/>
        <v>X</v>
      </c>
      <c r="K6028" s="1" t="str">
        <f t="shared" si="1309"/>
        <v>X</v>
      </c>
      <c r="L6028" s="1" t="str">
        <f t="shared" si="1309"/>
        <v>X</v>
      </c>
      <c r="M6028" s="1" t="str">
        <f t="shared" si="1309"/>
        <v>X</v>
      </c>
      <c r="N6028" t="s">
        <v>27</v>
      </c>
    </row>
    <row r="6029" spans="1:14" x14ac:dyDescent="0.25">
      <c r="A6029" t="s">
        <v>42</v>
      </c>
      <c r="B6029" t="s">
        <v>15</v>
      </c>
      <c r="C6029" t="s">
        <v>38</v>
      </c>
      <c r="D6029" t="s">
        <v>31</v>
      </c>
      <c r="E6029" t="s">
        <v>15</v>
      </c>
      <c r="F6029" t="s">
        <v>18</v>
      </c>
      <c r="G6029" s="1" t="str">
        <f t="shared" si="1309"/>
        <v>X</v>
      </c>
      <c r="H6029" s="1" t="str">
        <f t="shared" si="1309"/>
        <v>X</v>
      </c>
      <c r="I6029" s="1" t="str">
        <f t="shared" si="1309"/>
        <v>X</v>
      </c>
      <c r="J6029" s="1" t="str">
        <f t="shared" si="1309"/>
        <v>X</v>
      </c>
      <c r="K6029" s="1" t="str">
        <f t="shared" si="1309"/>
        <v>X</v>
      </c>
      <c r="L6029" s="1" t="str">
        <f t="shared" si="1309"/>
        <v>X</v>
      </c>
      <c r="M6029" s="1" t="str">
        <f t="shared" si="1309"/>
        <v>X</v>
      </c>
      <c r="N6029" t="s">
        <v>27</v>
      </c>
    </row>
    <row r="6030" spans="1:14" x14ac:dyDescent="0.25">
      <c r="A6030" t="s">
        <v>42</v>
      </c>
      <c r="B6030" t="s">
        <v>15</v>
      </c>
      <c r="C6030" t="s">
        <v>38</v>
      </c>
      <c r="D6030" t="s">
        <v>31</v>
      </c>
      <c r="E6030" t="s">
        <v>15</v>
      </c>
      <c r="F6030" t="s">
        <v>19</v>
      </c>
      <c r="G6030" s="1" t="str">
        <f t="shared" si="1309"/>
        <v>X</v>
      </c>
      <c r="H6030" s="1" t="str">
        <f t="shared" si="1309"/>
        <v>X</v>
      </c>
      <c r="I6030" s="1" t="str">
        <f t="shared" si="1309"/>
        <v>X</v>
      </c>
      <c r="J6030" s="1" t="str">
        <f t="shared" si="1309"/>
        <v>X</v>
      </c>
      <c r="K6030" s="1" t="str">
        <f t="shared" si="1309"/>
        <v>X</v>
      </c>
      <c r="L6030" s="1" t="str">
        <f t="shared" si="1309"/>
        <v>X</v>
      </c>
      <c r="M6030" s="1" t="str">
        <f t="shared" si="1309"/>
        <v>X</v>
      </c>
      <c r="N6030" t="s">
        <v>27</v>
      </c>
    </row>
    <row r="6031" spans="1:14" x14ac:dyDescent="0.25">
      <c r="A6031" t="s">
        <v>42</v>
      </c>
      <c r="B6031" t="s">
        <v>15</v>
      </c>
      <c r="C6031" t="s">
        <v>38</v>
      </c>
      <c r="D6031" t="s">
        <v>31</v>
      </c>
      <c r="E6031" t="s">
        <v>15</v>
      </c>
      <c r="F6031" t="s">
        <v>20</v>
      </c>
      <c r="G6031" s="2">
        <f>VALUE(378.07)</f>
        <v>378.07</v>
      </c>
      <c r="H6031" s="3">
        <f>VALUE(306.97)</f>
        <v>306.97000000000003</v>
      </c>
      <c r="I6031" s="4">
        <f>VALUE(2823)</f>
        <v>2823</v>
      </c>
      <c r="J6031" s="5">
        <f>VALUE(3508)</f>
        <v>3508</v>
      </c>
      <c r="K6031" s="1">
        <f>VALUE(4777)</f>
        <v>4777</v>
      </c>
      <c r="L6031" s="1">
        <f>VALUE(6699)</f>
        <v>6699</v>
      </c>
      <c r="M6031" s="8">
        <f>VALUE(8887)</f>
        <v>8887</v>
      </c>
      <c r="N6031" t="s">
        <v>25</v>
      </c>
    </row>
    <row r="6032" spans="1:14" x14ac:dyDescent="0.25">
      <c r="A6032" t="s">
        <v>42</v>
      </c>
      <c r="B6032" t="s">
        <v>15</v>
      </c>
      <c r="C6032" t="s">
        <v>38</v>
      </c>
      <c r="D6032" t="s">
        <v>31</v>
      </c>
      <c r="E6032" t="s">
        <v>21</v>
      </c>
      <c r="F6032" t="s">
        <v>15</v>
      </c>
      <c r="G6032" s="2">
        <f>VALUE(218.34)</f>
        <v>218.34</v>
      </c>
      <c r="H6032" s="3">
        <f>VALUE(193.6)</f>
        <v>193.6</v>
      </c>
      <c r="I6032" s="4">
        <f>VALUE(4375)</f>
        <v>4375</v>
      </c>
      <c r="J6032" s="5">
        <f>VALUE(6500)</f>
        <v>6500</v>
      </c>
      <c r="K6032" s="6">
        <f>VALUE(10405)</f>
        <v>10405</v>
      </c>
      <c r="L6032" s="7">
        <f>VALUE(20480)</f>
        <v>20480</v>
      </c>
      <c r="M6032" s="8">
        <f>VALUE(53064)</f>
        <v>53064</v>
      </c>
      <c r="N6032" t="s">
        <v>24</v>
      </c>
    </row>
    <row r="6033" spans="1:14" x14ac:dyDescent="0.25">
      <c r="A6033" t="s">
        <v>42</v>
      </c>
      <c r="B6033" t="s">
        <v>15</v>
      </c>
      <c r="C6033" t="s">
        <v>38</v>
      </c>
      <c r="D6033" t="s">
        <v>31</v>
      </c>
      <c r="E6033" t="s">
        <v>21</v>
      </c>
      <c r="F6033" t="s">
        <v>17</v>
      </c>
      <c r="G6033" s="1" t="str">
        <f t="shared" ref="G6033:M6041" si="1310">"X"</f>
        <v>X</v>
      </c>
      <c r="H6033" s="1" t="str">
        <f t="shared" si="1310"/>
        <v>X</v>
      </c>
      <c r="I6033" s="1" t="str">
        <f t="shared" si="1310"/>
        <v>X</v>
      </c>
      <c r="J6033" s="1" t="str">
        <f t="shared" si="1310"/>
        <v>X</v>
      </c>
      <c r="K6033" s="1" t="str">
        <f t="shared" si="1310"/>
        <v>X</v>
      </c>
      <c r="L6033" s="1" t="str">
        <f t="shared" si="1310"/>
        <v>X</v>
      </c>
      <c r="M6033" s="1" t="str">
        <f t="shared" si="1310"/>
        <v>X</v>
      </c>
      <c r="N6033" t="s">
        <v>27</v>
      </c>
    </row>
    <row r="6034" spans="1:14" x14ac:dyDescent="0.25">
      <c r="A6034" t="s">
        <v>42</v>
      </c>
      <c r="B6034" t="s">
        <v>15</v>
      </c>
      <c r="C6034" t="s">
        <v>38</v>
      </c>
      <c r="D6034" t="s">
        <v>31</v>
      </c>
      <c r="E6034" t="s">
        <v>21</v>
      </c>
      <c r="F6034" t="s">
        <v>18</v>
      </c>
      <c r="G6034" s="1" t="str">
        <f t="shared" si="1310"/>
        <v>X</v>
      </c>
      <c r="H6034" s="1" t="str">
        <f t="shared" si="1310"/>
        <v>X</v>
      </c>
      <c r="I6034" s="1" t="str">
        <f t="shared" si="1310"/>
        <v>X</v>
      </c>
      <c r="J6034" s="1" t="str">
        <f t="shared" si="1310"/>
        <v>X</v>
      </c>
      <c r="K6034" s="1" t="str">
        <f t="shared" si="1310"/>
        <v>X</v>
      </c>
      <c r="L6034" s="1" t="str">
        <f t="shared" si="1310"/>
        <v>X</v>
      </c>
      <c r="M6034" s="1" t="str">
        <f t="shared" si="1310"/>
        <v>X</v>
      </c>
      <c r="N6034" t="s">
        <v>27</v>
      </c>
    </row>
    <row r="6035" spans="1:14" x14ac:dyDescent="0.25">
      <c r="A6035" t="s">
        <v>42</v>
      </c>
      <c r="B6035" t="s">
        <v>15</v>
      </c>
      <c r="C6035" t="s">
        <v>38</v>
      </c>
      <c r="D6035" t="s">
        <v>31</v>
      </c>
      <c r="E6035" t="s">
        <v>21</v>
      </c>
      <c r="F6035" t="s">
        <v>19</v>
      </c>
      <c r="G6035" s="1" t="str">
        <f t="shared" si="1310"/>
        <v>X</v>
      </c>
      <c r="H6035" s="1" t="str">
        <f t="shared" si="1310"/>
        <v>X</v>
      </c>
      <c r="I6035" s="1" t="str">
        <f t="shared" si="1310"/>
        <v>X</v>
      </c>
      <c r="J6035" s="1" t="str">
        <f t="shared" si="1310"/>
        <v>X</v>
      </c>
      <c r="K6035" s="1" t="str">
        <f t="shared" si="1310"/>
        <v>X</v>
      </c>
      <c r="L6035" s="1" t="str">
        <f t="shared" si="1310"/>
        <v>X</v>
      </c>
      <c r="M6035" s="1" t="str">
        <f t="shared" si="1310"/>
        <v>X</v>
      </c>
      <c r="N6035" t="s">
        <v>27</v>
      </c>
    </row>
    <row r="6036" spans="1:14" x14ac:dyDescent="0.25">
      <c r="A6036" t="s">
        <v>42</v>
      </c>
      <c r="B6036" t="s">
        <v>15</v>
      </c>
      <c r="C6036" t="s">
        <v>38</v>
      </c>
      <c r="D6036" t="s">
        <v>31</v>
      </c>
      <c r="E6036" t="s">
        <v>21</v>
      </c>
      <c r="F6036" t="s">
        <v>20</v>
      </c>
      <c r="G6036" s="1" t="str">
        <f t="shared" si="1310"/>
        <v>X</v>
      </c>
      <c r="H6036" s="1" t="str">
        <f t="shared" si="1310"/>
        <v>X</v>
      </c>
      <c r="I6036" s="1" t="str">
        <f t="shared" si="1310"/>
        <v>X</v>
      </c>
      <c r="J6036" s="1" t="str">
        <f t="shared" si="1310"/>
        <v>X</v>
      </c>
      <c r="K6036" s="1" t="str">
        <f t="shared" si="1310"/>
        <v>X</v>
      </c>
      <c r="L6036" s="1" t="str">
        <f t="shared" si="1310"/>
        <v>X</v>
      </c>
      <c r="M6036" s="1" t="str">
        <f t="shared" si="1310"/>
        <v>X</v>
      </c>
      <c r="N6036" t="s">
        <v>27</v>
      </c>
    </row>
    <row r="6037" spans="1:14" x14ac:dyDescent="0.25">
      <c r="A6037" t="s">
        <v>42</v>
      </c>
      <c r="B6037" t="s">
        <v>15</v>
      </c>
      <c r="C6037" t="s">
        <v>38</v>
      </c>
      <c r="D6037" t="s">
        <v>31</v>
      </c>
      <c r="E6037" t="s">
        <v>22</v>
      </c>
      <c r="F6037" t="s">
        <v>15</v>
      </c>
      <c r="G6037" s="1" t="str">
        <f t="shared" si="1310"/>
        <v>X</v>
      </c>
      <c r="H6037" s="1" t="str">
        <f t="shared" si="1310"/>
        <v>X</v>
      </c>
      <c r="I6037" s="1" t="str">
        <f t="shared" si="1310"/>
        <v>X</v>
      </c>
      <c r="J6037" s="1" t="str">
        <f t="shared" si="1310"/>
        <v>X</v>
      </c>
      <c r="K6037" s="1" t="str">
        <f t="shared" si="1310"/>
        <v>X</v>
      </c>
      <c r="L6037" s="1" t="str">
        <f t="shared" si="1310"/>
        <v>X</v>
      </c>
      <c r="M6037" s="1" t="str">
        <f t="shared" si="1310"/>
        <v>X</v>
      </c>
      <c r="N6037" t="s">
        <v>27</v>
      </c>
    </row>
    <row r="6038" spans="1:14" x14ac:dyDescent="0.25">
      <c r="A6038" t="s">
        <v>42</v>
      </c>
      <c r="B6038" t="s">
        <v>15</v>
      </c>
      <c r="C6038" t="s">
        <v>38</v>
      </c>
      <c r="D6038" t="s">
        <v>31</v>
      </c>
      <c r="E6038" t="s">
        <v>22</v>
      </c>
      <c r="F6038" t="s">
        <v>17</v>
      </c>
      <c r="G6038" s="1" t="str">
        <f t="shared" si="1310"/>
        <v>X</v>
      </c>
      <c r="H6038" s="1" t="str">
        <f t="shared" si="1310"/>
        <v>X</v>
      </c>
      <c r="I6038" s="1" t="str">
        <f t="shared" si="1310"/>
        <v>X</v>
      </c>
      <c r="J6038" s="1" t="str">
        <f t="shared" si="1310"/>
        <v>X</v>
      </c>
      <c r="K6038" s="1" t="str">
        <f t="shared" si="1310"/>
        <v>X</v>
      </c>
      <c r="L6038" s="1" t="str">
        <f t="shared" si="1310"/>
        <v>X</v>
      </c>
      <c r="M6038" s="1" t="str">
        <f t="shared" si="1310"/>
        <v>X</v>
      </c>
      <c r="N6038" t="s">
        <v>27</v>
      </c>
    </row>
    <row r="6039" spans="1:14" x14ac:dyDescent="0.25">
      <c r="A6039" t="s">
        <v>42</v>
      </c>
      <c r="B6039" t="s">
        <v>15</v>
      </c>
      <c r="C6039" t="s">
        <v>38</v>
      </c>
      <c r="D6039" t="s">
        <v>31</v>
      </c>
      <c r="E6039" t="s">
        <v>22</v>
      </c>
      <c r="F6039" t="s">
        <v>18</v>
      </c>
      <c r="G6039" s="1" t="str">
        <f t="shared" si="1310"/>
        <v>X</v>
      </c>
      <c r="H6039" s="1" t="str">
        <f t="shared" si="1310"/>
        <v>X</v>
      </c>
      <c r="I6039" s="1" t="str">
        <f t="shared" si="1310"/>
        <v>X</v>
      </c>
      <c r="J6039" s="1" t="str">
        <f t="shared" si="1310"/>
        <v>X</v>
      </c>
      <c r="K6039" s="1" t="str">
        <f t="shared" si="1310"/>
        <v>X</v>
      </c>
      <c r="L6039" s="1" t="str">
        <f t="shared" si="1310"/>
        <v>X</v>
      </c>
      <c r="M6039" s="1" t="str">
        <f t="shared" si="1310"/>
        <v>X</v>
      </c>
      <c r="N6039" t="s">
        <v>27</v>
      </c>
    </row>
    <row r="6040" spans="1:14" x14ac:dyDescent="0.25">
      <c r="A6040" t="s">
        <v>42</v>
      </c>
      <c r="B6040" t="s">
        <v>15</v>
      </c>
      <c r="C6040" t="s">
        <v>38</v>
      </c>
      <c r="D6040" t="s">
        <v>31</v>
      </c>
      <c r="E6040" t="s">
        <v>22</v>
      </c>
      <c r="F6040" t="s">
        <v>19</v>
      </c>
      <c r="G6040" s="1" t="str">
        <f t="shared" si="1310"/>
        <v>X</v>
      </c>
      <c r="H6040" s="1" t="str">
        <f t="shared" si="1310"/>
        <v>X</v>
      </c>
      <c r="I6040" s="1" t="str">
        <f t="shared" si="1310"/>
        <v>X</v>
      </c>
      <c r="J6040" s="1" t="str">
        <f t="shared" si="1310"/>
        <v>X</v>
      </c>
      <c r="K6040" s="1" t="str">
        <f t="shared" si="1310"/>
        <v>X</v>
      </c>
      <c r="L6040" s="1" t="str">
        <f t="shared" si="1310"/>
        <v>X</v>
      </c>
      <c r="M6040" s="1" t="str">
        <f t="shared" si="1310"/>
        <v>X</v>
      </c>
      <c r="N6040" t="s">
        <v>27</v>
      </c>
    </row>
    <row r="6041" spans="1:14" x14ac:dyDescent="0.25">
      <c r="A6041" t="s">
        <v>42</v>
      </c>
      <c r="B6041" t="s">
        <v>15</v>
      </c>
      <c r="C6041" t="s">
        <v>38</v>
      </c>
      <c r="D6041" t="s">
        <v>31</v>
      </c>
      <c r="E6041" t="s">
        <v>22</v>
      </c>
      <c r="F6041" t="s">
        <v>20</v>
      </c>
      <c r="G6041" s="1" t="str">
        <f t="shared" si="1310"/>
        <v>X</v>
      </c>
      <c r="H6041" s="1" t="str">
        <f t="shared" si="1310"/>
        <v>X</v>
      </c>
      <c r="I6041" s="1" t="str">
        <f t="shared" si="1310"/>
        <v>X</v>
      </c>
      <c r="J6041" s="1" t="str">
        <f t="shared" si="1310"/>
        <v>X</v>
      </c>
      <c r="K6041" s="1" t="str">
        <f t="shared" si="1310"/>
        <v>X</v>
      </c>
      <c r="L6041" s="1" t="str">
        <f t="shared" si="1310"/>
        <v>X</v>
      </c>
      <c r="M6041" s="1" t="str">
        <f t="shared" si="1310"/>
        <v>X</v>
      </c>
      <c r="N6041" t="s">
        <v>27</v>
      </c>
    </row>
    <row r="6042" spans="1:14" x14ac:dyDescent="0.25">
      <c r="A6042" t="s">
        <v>42</v>
      </c>
      <c r="B6042" t="s">
        <v>15</v>
      </c>
      <c r="C6042" t="s">
        <v>38</v>
      </c>
      <c r="D6042" t="s">
        <v>31</v>
      </c>
      <c r="E6042" t="s">
        <v>23</v>
      </c>
      <c r="F6042" t="s">
        <v>15</v>
      </c>
      <c r="G6042" s="2">
        <f>VALUE(311.56)</f>
        <v>311.56</v>
      </c>
      <c r="H6042" s="3">
        <f>VALUE(256.08)</f>
        <v>256.08</v>
      </c>
      <c r="I6042" s="4">
        <f>VALUE(2629)</f>
        <v>2629</v>
      </c>
      <c r="J6042" s="5">
        <f>VALUE(3539)</f>
        <v>3539</v>
      </c>
      <c r="K6042" s="6">
        <f>VALUE(4762)</f>
        <v>4762</v>
      </c>
      <c r="L6042" s="1">
        <f>VALUE(6411)</f>
        <v>6411</v>
      </c>
      <c r="M6042" s="8">
        <f>VALUE(7042)</f>
        <v>7042</v>
      </c>
      <c r="N6042" t="s">
        <v>25</v>
      </c>
    </row>
    <row r="6043" spans="1:14" x14ac:dyDescent="0.25">
      <c r="A6043" t="s">
        <v>42</v>
      </c>
      <c r="B6043" t="s">
        <v>15</v>
      </c>
      <c r="C6043" t="s">
        <v>38</v>
      </c>
      <c r="D6043" t="s">
        <v>31</v>
      </c>
      <c r="E6043" t="s">
        <v>23</v>
      </c>
      <c r="F6043" t="s">
        <v>17</v>
      </c>
      <c r="G6043" s="1" t="str">
        <f t="shared" ref="G6043:M6045" si="1311">"X"</f>
        <v>X</v>
      </c>
      <c r="H6043" s="1" t="str">
        <f t="shared" si="1311"/>
        <v>X</v>
      </c>
      <c r="I6043" s="1" t="str">
        <f t="shared" si="1311"/>
        <v>X</v>
      </c>
      <c r="J6043" s="1" t="str">
        <f t="shared" si="1311"/>
        <v>X</v>
      </c>
      <c r="K6043" s="1" t="str">
        <f t="shared" si="1311"/>
        <v>X</v>
      </c>
      <c r="L6043" s="1" t="str">
        <f t="shared" si="1311"/>
        <v>X</v>
      </c>
      <c r="M6043" s="1" t="str">
        <f t="shared" si="1311"/>
        <v>X</v>
      </c>
      <c r="N6043" t="s">
        <v>27</v>
      </c>
    </row>
    <row r="6044" spans="1:14" x14ac:dyDescent="0.25">
      <c r="A6044" t="s">
        <v>42</v>
      </c>
      <c r="B6044" t="s">
        <v>15</v>
      </c>
      <c r="C6044" t="s">
        <v>38</v>
      </c>
      <c r="D6044" t="s">
        <v>31</v>
      </c>
      <c r="E6044" t="s">
        <v>23</v>
      </c>
      <c r="F6044" t="s">
        <v>18</v>
      </c>
      <c r="G6044" s="1" t="str">
        <f t="shared" si="1311"/>
        <v>X</v>
      </c>
      <c r="H6044" s="1" t="str">
        <f t="shared" si="1311"/>
        <v>X</v>
      </c>
      <c r="I6044" s="1" t="str">
        <f t="shared" si="1311"/>
        <v>X</v>
      </c>
      <c r="J6044" s="1" t="str">
        <f t="shared" si="1311"/>
        <v>X</v>
      </c>
      <c r="K6044" s="1" t="str">
        <f t="shared" si="1311"/>
        <v>X</v>
      </c>
      <c r="L6044" s="1" t="str">
        <f t="shared" si="1311"/>
        <v>X</v>
      </c>
      <c r="M6044" s="1" t="str">
        <f t="shared" si="1311"/>
        <v>X</v>
      </c>
      <c r="N6044" t="s">
        <v>27</v>
      </c>
    </row>
    <row r="6045" spans="1:14" x14ac:dyDescent="0.25">
      <c r="A6045" t="s">
        <v>42</v>
      </c>
      <c r="B6045" t="s">
        <v>15</v>
      </c>
      <c r="C6045" t="s">
        <v>38</v>
      </c>
      <c r="D6045" t="s">
        <v>31</v>
      </c>
      <c r="E6045" t="s">
        <v>23</v>
      </c>
      <c r="F6045" t="s">
        <v>19</v>
      </c>
      <c r="G6045" s="1" t="str">
        <f t="shared" si="1311"/>
        <v>X</v>
      </c>
      <c r="H6045" s="1" t="str">
        <f t="shared" si="1311"/>
        <v>X</v>
      </c>
      <c r="I6045" s="1" t="str">
        <f t="shared" si="1311"/>
        <v>X</v>
      </c>
      <c r="J6045" s="1" t="str">
        <f t="shared" si="1311"/>
        <v>X</v>
      </c>
      <c r="K6045" s="1" t="str">
        <f t="shared" si="1311"/>
        <v>X</v>
      </c>
      <c r="L6045" s="1" t="str">
        <f t="shared" si="1311"/>
        <v>X</v>
      </c>
      <c r="M6045" s="1" t="str">
        <f t="shared" si="1311"/>
        <v>X</v>
      </c>
      <c r="N6045" t="s">
        <v>27</v>
      </c>
    </row>
    <row r="6046" spans="1:14" x14ac:dyDescent="0.25">
      <c r="A6046" t="s">
        <v>42</v>
      </c>
      <c r="B6046" t="s">
        <v>15</v>
      </c>
      <c r="C6046" t="s">
        <v>38</v>
      </c>
      <c r="D6046" t="s">
        <v>31</v>
      </c>
      <c r="E6046" t="s">
        <v>23</v>
      </c>
      <c r="F6046" t="s">
        <v>20</v>
      </c>
      <c r="G6046" s="2">
        <f>VALUE(257.95)</f>
        <v>257.95</v>
      </c>
      <c r="H6046" s="3">
        <f>VALUE(207.95)</f>
        <v>207.95</v>
      </c>
      <c r="I6046" s="4">
        <f>VALUE(2413)</f>
        <v>2413</v>
      </c>
      <c r="J6046" s="5">
        <f>VALUE(3591)</f>
        <v>3591</v>
      </c>
      <c r="K6046" s="1">
        <f>VALUE(4457)</f>
        <v>4457</v>
      </c>
      <c r="L6046" s="7">
        <f>VALUE(6699)</f>
        <v>6699</v>
      </c>
      <c r="M6046" s="8">
        <f>VALUE(7042)</f>
        <v>7042</v>
      </c>
      <c r="N6046" t="s">
        <v>25</v>
      </c>
    </row>
    <row r="6047" spans="1:14" x14ac:dyDescent="0.25">
      <c r="A6047" t="s">
        <v>42</v>
      </c>
      <c r="B6047" t="s">
        <v>15</v>
      </c>
      <c r="C6047" t="s">
        <v>38</v>
      </c>
      <c r="D6047" t="s">
        <v>31</v>
      </c>
      <c r="E6047" t="s">
        <v>26</v>
      </c>
      <c r="F6047" t="s">
        <v>15</v>
      </c>
      <c r="G6047" s="1" t="str">
        <f t="shared" ref="G6047:M6048" si="1312">"X"</f>
        <v>X</v>
      </c>
      <c r="H6047" s="1" t="str">
        <f t="shared" si="1312"/>
        <v>X</v>
      </c>
      <c r="I6047" s="1" t="str">
        <f t="shared" si="1312"/>
        <v>X</v>
      </c>
      <c r="J6047" s="1" t="str">
        <f t="shared" si="1312"/>
        <v>X</v>
      </c>
      <c r="K6047" s="1" t="str">
        <f t="shared" si="1312"/>
        <v>X</v>
      </c>
      <c r="L6047" s="1" t="str">
        <f t="shared" si="1312"/>
        <v>X</v>
      </c>
      <c r="M6047" s="1" t="str">
        <f t="shared" si="1312"/>
        <v>X</v>
      </c>
      <c r="N6047" t="s">
        <v>27</v>
      </c>
    </row>
    <row r="6048" spans="1:14" x14ac:dyDescent="0.25">
      <c r="A6048" t="s">
        <v>42</v>
      </c>
      <c r="B6048" t="s">
        <v>15</v>
      </c>
      <c r="C6048" t="s">
        <v>38</v>
      </c>
      <c r="D6048" t="s">
        <v>31</v>
      </c>
      <c r="E6048" t="s">
        <v>26</v>
      </c>
      <c r="F6048" t="s">
        <v>17</v>
      </c>
      <c r="G6048" s="1" t="str">
        <f t="shared" si="1312"/>
        <v>X</v>
      </c>
      <c r="H6048" s="1" t="str">
        <f t="shared" si="1312"/>
        <v>X</v>
      </c>
      <c r="I6048" s="1" t="str">
        <f t="shared" si="1312"/>
        <v>X</v>
      </c>
      <c r="J6048" s="1" t="str">
        <f t="shared" si="1312"/>
        <v>X</v>
      </c>
      <c r="K6048" s="1" t="str">
        <f t="shared" si="1312"/>
        <v>X</v>
      </c>
      <c r="L6048" s="1" t="str">
        <f t="shared" si="1312"/>
        <v>X</v>
      </c>
      <c r="M6048" s="1" t="str">
        <f t="shared" si="1312"/>
        <v>X</v>
      </c>
      <c r="N6048" t="s">
        <v>27</v>
      </c>
    </row>
    <row r="6049" spans="1:14" x14ac:dyDescent="0.25">
      <c r="A6049" t="s">
        <v>42</v>
      </c>
      <c r="B6049" t="s">
        <v>15</v>
      </c>
      <c r="C6049" t="s">
        <v>38</v>
      </c>
      <c r="D6049" t="s">
        <v>31</v>
      </c>
      <c r="E6049" t="s">
        <v>26</v>
      </c>
      <c r="F6049" t="s">
        <v>18</v>
      </c>
      <c r="G6049" s="1" t="str">
        <f t="shared" ref="G6049:M6050" si="1313">"..."</f>
        <v>...</v>
      </c>
      <c r="H6049" s="1" t="str">
        <f t="shared" si="1313"/>
        <v>...</v>
      </c>
      <c r="I6049" s="1" t="str">
        <f t="shared" si="1313"/>
        <v>...</v>
      </c>
      <c r="J6049" s="1" t="str">
        <f t="shared" si="1313"/>
        <v>...</v>
      </c>
      <c r="K6049" s="1" t="str">
        <f t="shared" si="1313"/>
        <v>...</v>
      </c>
      <c r="L6049" s="1" t="str">
        <f t="shared" si="1313"/>
        <v>...</v>
      </c>
      <c r="M6049" s="1" t="str">
        <f t="shared" si="1313"/>
        <v>...</v>
      </c>
      <c r="N6049" t="s">
        <v>30</v>
      </c>
    </row>
    <row r="6050" spans="1:14" x14ac:dyDescent="0.25">
      <c r="A6050" t="s">
        <v>42</v>
      </c>
      <c r="B6050" t="s">
        <v>15</v>
      </c>
      <c r="C6050" t="s">
        <v>38</v>
      </c>
      <c r="D6050" t="s">
        <v>31</v>
      </c>
      <c r="E6050" t="s">
        <v>26</v>
      </c>
      <c r="F6050" t="s">
        <v>19</v>
      </c>
      <c r="G6050" s="1" t="str">
        <f t="shared" si="1313"/>
        <v>...</v>
      </c>
      <c r="H6050" s="1" t="str">
        <f t="shared" si="1313"/>
        <v>...</v>
      </c>
      <c r="I6050" s="1" t="str">
        <f t="shared" si="1313"/>
        <v>...</v>
      </c>
      <c r="J6050" s="1" t="str">
        <f t="shared" si="1313"/>
        <v>...</v>
      </c>
      <c r="K6050" s="1" t="str">
        <f t="shared" si="1313"/>
        <v>...</v>
      </c>
      <c r="L6050" s="1" t="str">
        <f t="shared" si="1313"/>
        <v>...</v>
      </c>
      <c r="M6050" s="1" t="str">
        <f t="shared" si="1313"/>
        <v>...</v>
      </c>
      <c r="N6050" t="s">
        <v>30</v>
      </c>
    </row>
    <row r="6051" spans="1:14" x14ac:dyDescent="0.25">
      <c r="A6051" t="s">
        <v>42</v>
      </c>
      <c r="B6051" t="s">
        <v>15</v>
      </c>
      <c r="C6051" t="s">
        <v>38</v>
      </c>
      <c r="D6051" t="s">
        <v>31</v>
      </c>
      <c r="E6051" t="s">
        <v>26</v>
      </c>
      <c r="F6051" t="s">
        <v>20</v>
      </c>
      <c r="G6051" s="1" t="str">
        <f t="shared" ref="G6051:M6051" si="1314">"X"</f>
        <v>X</v>
      </c>
      <c r="H6051" s="1" t="str">
        <f t="shared" si="1314"/>
        <v>X</v>
      </c>
      <c r="I6051" s="1" t="str">
        <f t="shared" si="1314"/>
        <v>X</v>
      </c>
      <c r="J6051" s="1" t="str">
        <f t="shared" si="1314"/>
        <v>X</v>
      </c>
      <c r="K6051" s="1" t="str">
        <f t="shared" si="1314"/>
        <v>X</v>
      </c>
      <c r="L6051" s="1" t="str">
        <f t="shared" si="1314"/>
        <v>X</v>
      </c>
      <c r="M6051" s="1" t="str">
        <f t="shared" si="1314"/>
        <v>X</v>
      </c>
      <c r="N6051" t="s">
        <v>27</v>
      </c>
    </row>
    <row r="6052" spans="1:14" x14ac:dyDescent="0.25">
      <c r="A6052" t="s">
        <v>42</v>
      </c>
      <c r="B6052" t="s">
        <v>15</v>
      </c>
      <c r="C6052" t="s">
        <v>38</v>
      </c>
      <c r="D6052" t="s">
        <v>32</v>
      </c>
      <c r="E6052" t="s">
        <v>15</v>
      </c>
      <c r="F6052" t="s">
        <v>15</v>
      </c>
      <c r="G6052" s="1">
        <f>VALUE(9164.6)</f>
        <v>9164.6</v>
      </c>
      <c r="H6052" s="1">
        <f>VALUE(8792.96)</f>
        <v>8792.9599999999991</v>
      </c>
      <c r="I6052" s="1">
        <f>VALUE(2979)</f>
        <v>2979</v>
      </c>
      <c r="J6052" s="1">
        <f>VALUE(3805)</f>
        <v>3805</v>
      </c>
      <c r="K6052" s="1">
        <f>VALUE(4908)</f>
        <v>4908</v>
      </c>
      <c r="L6052" s="1">
        <f>VALUE(6135)</f>
        <v>6135</v>
      </c>
      <c r="M6052" s="8">
        <f>VALUE(8554)</f>
        <v>8554</v>
      </c>
      <c r="N6052" t="s">
        <v>25</v>
      </c>
    </row>
    <row r="6053" spans="1:14" x14ac:dyDescent="0.25">
      <c r="A6053" t="s">
        <v>42</v>
      </c>
      <c r="B6053" t="s">
        <v>15</v>
      </c>
      <c r="C6053" t="s">
        <v>38</v>
      </c>
      <c r="D6053" t="s">
        <v>32</v>
      </c>
      <c r="E6053" t="s">
        <v>15</v>
      </c>
      <c r="F6053" t="s">
        <v>17</v>
      </c>
      <c r="G6053" s="2">
        <f>VALUE(1129.92)</f>
        <v>1129.92</v>
      </c>
      <c r="H6053" s="3">
        <f>VALUE(1107.3)</f>
        <v>1107.3</v>
      </c>
      <c r="I6053" s="4">
        <f>VALUE(4398)</f>
        <v>4398</v>
      </c>
      <c r="J6053" s="5">
        <f>VALUE(6127)</f>
        <v>6127</v>
      </c>
      <c r="K6053" s="6">
        <f>VALUE(10192)</f>
        <v>10192</v>
      </c>
      <c r="L6053" s="7">
        <f>VALUE(11250)</f>
        <v>11250</v>
      </c>
      <c r="M6053" s="8">
        <f>VALUE(15321)</f>
        <v>15321</v>
      </c>
      <c r="N6053" t="s">
        <v>24</v>
      </c>
    </row>
    <row r="6054" spans="1:14" x14ac:dyDescent="0.25">
      <c r="A6054" t="s">
        <v>42</v>
      </c>
      <c r="B6054" t="s">
        <v>15</v>
      </c>
      <c r="C6054" t="s">
        <v>38</v>
      </c>
      <c r="D6054" t="s">
        <v>32</v>
      </c>
      <c r="E6054" t="s">
        <v>15</v>
      </c>
      <c r="F6054" t="s">
        <v>18</v>
      </c>
      <c r="G6054" s="2">
        <f>VALUE(620.52)</f>
        <v>620.52</v>
      </c>
      <c r="H6054" s="3">
        <f>VALUE(584.91)</f>
        <v>584.91</v>
      </c>
      <c r="I6054" s="4">
        <f>VALUE(4008)</f>
        <v>4008</v>
      </c>
      <c r="J6054" s="1">
        <f>VALUE(4765)</f>
        <v>4765</v>
      </c>
      <c r="K6054" s="1">
        <f>VALUE(5853)</f>
        <v>5853</v>
      </c>
      <c r="L6054" s="1">
        <f>VALUE(7576)</f>
        <v>7576</v>
      </c>
      <c r="M6054" s="8">
        <f>VALUE(9686)</f>
        <v>9686</v>
      </c>
      <c r="N6054" t="s">
        <v>25</v>
      </c>
    </row>
    <row r="6055" spans="1:14" x14ac:dyDescent="0.25">
      <c r="A6055" t="s">
        <v>42</v>
      </c>
      <c r="B6055" t="s">
        <v>15</v>
      </c>
      <c r="C6055" t="s">
        <v>38</v>
      </c>
      <c r="D6055" t="s">
        <v>32</v>
      </c>
      <c r="E6055" t="s">
        <v>15</v>
      </c>
      <c r="F6055" t="s">
        <v>19</v>
      </c>
      <c r="G6055" s="2">
        <f>VALUE(1444.14)</f>
        <v>1444.14</v>
      </c>
      <c r="H6055" s="3">
        <f>VALUE(1457.26)</f>
        <v>1457.26</v>
      </c>
      <c r="I6055" s="1">
        <f>VALUE(2934)</f>
        <v>2934</v>
      </c>
      <c r="J6055" s="5">
        <f>VALUE(3725)</f>
        <v>3725</v>
      </c>
      <c r="K6055" s="6">
        <f>VALUE(4983)</f>
        <v>4983</v>
      </c>
      <c r="L6055" s="1">
        <f>VALUE(5875)</f>
        <v>5875</v>
      </c>
      <c r="M6055" s="8">
        <f>VALUE(7290)</f>
        <v>7290</v>
      </c>
      <c r="N6055" t="s">
        <v>25</v>
      </c>
    </row>
    <row r="6056" spans="1:14" x14ac:dyDescent="0.25">
      <c r="A6056" t="s">
        <v>42</v>
      </c>
      <c r="B6056" t="s">
        <v>15</v>
      </c>
      <c r="C6056" t="s">
        <v>38</v>
      </c>
      <c r="D6056" t="s">
        <v>32</v>
      </c>
      <c r="E6056" t="s">
        <v>15</v>
      </c>
      <c r="F6056" t="s">
        <v>20</v>
      </c>
      <c r="G6056" s="1">
        <f>VALUE(5970.02)</f>
        <v>5970.02</v>
      </c>
      <c r="H6056" s="1">
        <f>VALUE(5643.49)</f>
        <v>5643.49</v>
      </c>
      <c r="I6056" s="1">
        <f>VALUE(2889)</f>
        <v>2889</v>
      </c>
      <c r="J6056" s="1">
        <f>VALUE(3589)</f>
        <v>3589</v>
      </c>
      <c r="K6056" s="1">
        <f>VALUE(4604)</f>
        <v>4604</v>
      </c>
      <c r="L6056" s="1">
        <f>VALUE(5583)</f>
        <v>5583</v>
      </c>
      <c r="M6056" s="1">
        <f>VALUE(6479)</f>
        <v>6479</v>
      </c>
      <c r="N6056" t="s">
        <v>16</v>
      </c>
    </row>
    <row r="6057" spans="1:14" x14ac:dyDescent="0.25">
      <c r="A6057" t="s">
        <v>42</v>
      </c>
      <c r="B6057" t="s">
        <v>15</v>
      </c>
      <c r="C6057" t="s">
        <v>38</v>
      </c>
      <c r="D6057" t="s">
        <v>32</v>
      </c>
      <c r="E6057" t="s">
        <v>21</v>
      </c>
      <c r="F6057" t="s">
        <v>15</v>
      </c>
      <c r="G6057" s="2">
        <f>VALUE(1182.59)</f>
        <v>1182.5899999999999</v>
      </c>
      <c r="H6057" s="3">
        <f>VALUE(1097.38)</f>
        <v>1097.3800000000001</v>
      </c>
      <c r="I6057" s="4">
        <f>VALUE(4481)</f>
        <v>4481</v>
      </c>
      <c r="J6057" s="5">
        <f>VALUE(6048)</f>
        <v>6048</v>
      </c>
      <c r="K6057" s="6">
        <f>VALUE(8651)</f>
        <v>8651</v>
      </c>
      <c r="L6057" s="1">
        <f>VALUE(11250)</f>
        <v>11250</v>
      </c>
      <c r="M6057" s="8">
        <f>VALUE(12235)</f>
        <v>12235</v>
      </c>
      <c r="N6057" t="s">
        <v>25</v>
      </c>
    </row>
    <row r="6058" spans="1:14" x14ac:dyDescent="0.25">
      <c r="A6058" t="s">
        <v>42</v>
      </c>
      <c r="B6058" t="s">
        <v>15</v>
      </c>
      <c r="C6058" t="s">
        <v>38</v>
      </c>
      <c r="D6058" t="s">
        <v>32</v>
      </c>
      <c r="E6058" t="s">
        <v>21</v>
      </c>
      <c r="F6058" t="s">
        <v>17</v>
      </c>
      <c r="G6058" s="2">
        <f>VALUE(668.54)</f>
        <v>668.54</v>
      </c>
      <c r="H6058" s="3">
        <f>VALUE(650.39)</f>
        <v>650.39</v>
      </c>
      <c r="I6058" s="4">
        <f>VALUE(5599)</f>
        <v>5599</v>
      </c>
      <c r="J6058" s="5">
        <f>VALUE(8048)</f>
        <v>8048</v>
      </c>
      <c r="K6058" s="6">
        <f>VALUE(11250)</f>
        <v>11250</v>
      </c>
      <c r="L6058" s="7">
        <f>VALUE(11250)</f>
        <v>11250</v>
      </c>
      <c r="M6058" s="8">
        <f>VALUE(15321)</f>
        <v>15321</v>
      </c>
      <c r="N6058" t="s">
        <v>24</v>
      </c>
    </row>
    <row r="6059" spans="1:14" x14ac:dyDescent="0.25">
      <c r="A6059" t="s">
        <v>42</v>
      </c>
      <c r="B6059" t="s">
        <v>15</v>
      </c>
      <c r="C6059" t="s">
        <v>38</v>
      </c>
      <c r="D6059" t="s">
        <v>32</v>
      </c>
      <c r="E6059" t="s">
        <v>21</v>
      </c>
      <c r="F6059" t="s">
        <v>18</v>
      </c>
      <c r="G6059" s="2">
        <f>VALUE(142.73)</f>
        <v>142.72999999999999</v>
      </c>
      <c r="H6059" s="3">
        <f>VALUE(120.26)</f>
        <v>120.26</v>
      </c>
      <c r="I6059" s="4">
        <f>VALUE(5229)</f>
        <v>5229</v>
      </c>
      <c r="J6059" s="1">
        <f>VALUE(6215)</f>
        <v>6215</v>
      </c>
      <c r="K6059" s="1">
        <f>VALUE(8134)</f>
        <v>8134</v>
      </c>
      <c r="L6059" s="7">
        <f>VALUE(9406)</f>
        <v>9406</v>
      </c>
      <c r="M6059" s="1">
        <f>VALUE(10022)</f>
        <v>10022</v>
      </c>
      <c r="N6059" t="s">
        <v>25</v>
      </c>
    </row>
    <row r="6060" spans="1:14" x14ac:dyDescent="0.25">
      <c r="A6060" t="s">
        <v>42</v>
      </c>
      <c r="B6060" t="s">
        <v>15</v>
      </c>
      <c r="C6060" t="s">
        <v>38</v>
      </c>
      <c r="D6060" t="s">
        <v>32</v>
      </c>
      <c r="E6060" t="s">
        <v>21</v>
      </c>
      <c r="F6060" t="s">
        <v>19</v>
      </c>
      <c r="G6060" s="1" t="str">
        <f t="shared" ref="G6060:M6060" si="1315">"X"</f>
        <v>X</v>
      </c>
      <c r="H6060" s="1" t="str">
        <f t="shared" si="1315"/>
        <v>X</v>
      </c>
      <c r="I6060" s="1" t="str">
        <f t="shared" si="1315"/>
        <v>X</v>
      </c>
      <c r="J6060" s="1" t="str">
        <f t="shared" si="1315"/>
        <v>X</v>
      </c>
      <c r="K6060" s="1" t="str">
        <f t="shared" si="1315"/>
        <v>X</v>
      </c>
      <c r="L6060" s="1" t="str">
        <f t="shared" si="1315"/>
        <v>X</v>
      </c>
      <c r="M6060" s="1" t="str">
        <f t="shared" si="1315"/>
        <v>X</v>
      </c>
      <c r="N6060" t="s">
        <v>27</v>
      </c>
    </row>
    <row r="6061" spans="1:14" x14ac:dyDescent="0.25">
      <c r="A6061" t="s">
        <v>42</v>
      </c>
      <c r="B6061" t="s">
        <v>15</v>
      </c>
      <c r="C6061" t="s">
        <v>38</v>
      </c>
      <c r="D6061" t="s">
        <v>32</v>
      </c>
      <c r="E6061" t="s">
        <v>21</v>
      </c>
      <c r="F6061" t="s">
        <v>20</v>
      </c>
      <c r="G6061" s="2">
        <f>VALUE(239.48)</f>
        <v>239.48</v>
      </c>
      <c r="H6061" s="3">
        <f>VALUE(195.44)</f>
        <v>195.44</v>
      </c>
      <c r="I6061" s="4">
        <f>VALUE(3171)</f>
        <v>3171</v>
      </c>
      <c r="J6061" s="1">
        <f>VALUE(4481)</f>
        <v>4481</v>
      </c>
      <c r="K6061" s="1">
        <f>VALUE(5712)</f>
        <v>5712</v>
      </c>
      <c r="L6061" s="1">
        <f>VALUE(6667)</f>
        <v>6667</v>
      </c>
      <c r="M6061" s="1">
        <f>VALUE(8538)</f>
        <v>8538</v>
      </c>
      <c r="N6061" t="s">
        <v>25</v>
      </c>
    </row>
    <row r="6062" spans="1:14" x14ac:dyDescent="0.25">
      <c r="A6062" t="s">
        <v>42</v>
      </c>
      <c r="B6062" t="s">
        <v>15</v>
      </c>
      <c r="C6062" t="s">
        <v>38</v>
      </c>
      <c r="D6062" t="s">
        <v>32</v>
      </c>
      <c r="E6062" t="s">
        <v>22</v>
      </c>
      <c r="F6062" t="s">
        <v>15</v>
      </c>
      <c r="G6062" s="1">
        <f>VALUE(2654.67)</f>
        <v>2654.67</v>
      </c>
      <c r="H6062" s="1">
        <f>VALUE(2567.85)</f>
        <v>2567.85</v>
      </c>
      <c r="I6062" s="4">
        <f>VALUE(3485)</f>
        <v>3485</v>
      </c>
      <c r="J6062" s="1">
        <f>VALUE(4389)</f>
        <v>4389</v>
      </c>
      <c r="K6062" s="1">
        <f>VALUE(5274)</f>
        <v>5274</v>
      </c>
      <c r="L6062" s="1">
        <f>VALUE(6425)</f>
        <v>6425</v>
      </c>
      <c r="M6062" s="8">
        <f>VALUE(7970)</f>
        <v>7970</v>
      </c>
      <c r="N6062" t="s">
        <v>25</v>
      </c>
    </row>
    <row r="6063" spans="1:14" x14ac:dyDescent="0.25">
      <c r="A6063" t="s">
        <v>42</v>
      </c>
      <c r="B6063" t="s">
        <v>15</v>
      </c>
      <c r="C6063" t="s">
        <v>38</v>
      </c>
      <c r="D6063" t="s">
        <v>32</v>
      </c>
      <c r="E6063" t="s">
        <v>22</v>
      </c>
      <c r="F6063" t="s">
        <v>17</v>
      </c>
      <c r="G6063" s="2">
        <f>VALUE(306.25)</f>
        <v>306.25</v>
      </c>
      <c r="H6063" s="3">
        <f>VALUE(305.48)</f>
        <v>305.48</v>
      </c>
      <c r="I6063" s="4">
        <f>VALUE(4200)</f>
        <v>4200</v>
      </c>
      <c r="J6063" s="5">
        <f>VALUE(4844)</f>
        <v>4844</v>
      </c>
      <c r="K6063" s="6">
        <f>VALUE(7042)</f>
        <v>7042</v>
      </c>
      <c r="L6063" s="7">
        <f>VALUE(11017)</f>
        <v>11017</v>
      </c>
      <c r="M6063" s="8">
        <f>VALUE(18238)</f>
        <v>18238</v>
      </c>
      <c r="N6063" t="s">
        <v>24</v>
      </c>
    </row>
    <row r="6064" spans="1:14" x14ac:dyDescent="0.25">
      <c r="A6064" t="s">
        <v>42</v>
      </c>
      <c r="B6064" t="s">
        <v>15</v>
      </c>
      <c r="C6064" t="s">
        <v>38</v>
      </c>
      <c r="D6064" t="s">
        <v>32</v>
      </c>
      <c r="E6064" t="s">
        <v>22</v>
      </c>
      <c r="F6064" t="s">
        <v>18</v>
      </c>
      <c r="G6064" s="2">
        <f>VALUE(266.6)</f>
        <v>266.60000000000002</v>
      </c>
      <c r="H6064" s="3">
        <f>VALUE(261.42)</f>
        <v>261.42</v>
      </c>
      <c r="I6064" s="4">
        <f>VALUE(3518)</f>
        <v>3518</v>
      </c>
      <c r="J6064" s="5">
        <f>VALUE(4798)</f>
        <v>4798</v>
      </c>
      <c r="K6064" s="6">
        <f>VALUE(5500)</f>
        <v>5500</v>
      </c>
      <c r="L6064" s="1">
        <f>VALUE(7224)</f>
        <v>7224</v>
      </c>
      <c r="M6064" s="8">
        <f>VALUE(8992)</f>
        <v>8992</v>
      </c>
      <c r="N6064" t="s">
        <v>25</v>
      </c>
    </row>
    <row r="6065" spans="1:14" x14ac:dyDescent="0.25">
      <c r="A6065" t="s">
        <v>42</v>
      </c>
      <c r="B6065" t="s">
        <v>15</v>
      </c>
      <c r="C6065" t="s">
        <v>38</v>
      </c>
      <c r="D6065" t="s">
        <v>32</v>
      </c>
      <c r="E6065" t="s">
        <v>22</v>
      </c>
      <c r="F6065" t="s">
        <v>19</v>
      </c>
      <c r="G6065" s="2">
        <f>VALUE(510.95)</f>
        <v>510.95</v>
      </c>
      <c r="H6065" s="3">
        <f>VALUE(486.15)</f>
        <v>486.15</v>
      </c>
      <c r="I6065" s="4">
        <f>VALUE(3911)</f>
        <v>3911</v>
      </c>
      <c r="J6065" s="5">
        <f>VALUE(4743)</f>
        <v>4743</v>
      </c>
      <c r="K6065" s="1">
        <f>VALUE(5469)</f>
        <v>5469</v>
      </c>
      <c r="L6065" s="1">
        <f>VALUE(6434)</f>
        <v>6434</v>
      </c>
      <c r="M6065" s="8">
        <f>VALUE(7390)</f>
        <v>7390</v>
      </c>
      <c r="N6065" t="s">
        <v>25</v>
      </c>
    </row>
    <row r="6066" spans="1:14" x14ac:dyDescent="0.25">
      <c r="A6066" t="s">
        <v>42</v>
      </c>
      <c r="B6066" t="s">
        <v>15</v>
      </c>
      <c r="C6066" t="s">
        <v>38</v>
      </c>
      <c r="D6066" t="s">
        <v>32</v>
      </c>
      <c r="E6066" t="s">
        <v>22</v>
      </c>
      <c r="F6066" t="s">
        <v>20</v>
      </c>
      <c r="G6066" s="1">
        <f>VALUE(1570.87)</f>
        <v>1570.87</v>
      </c>
      <c r="H6066" s="1">
        <f>VALUE(1514.8)</f>
        <v>1514.8</v>
      </c>
      <c r="I6066" s="4">
        <f>VALUE(3223)</f>
        <v>3223</v>
      </c>
      <c r="J6066" s="1">
        <f>VALUE(4270)</f>
        <v>4270</v>
      </c>
      <c r="K6066" s="1">
        <f>VALUE(4958)</f>
        <v>4958</v>
      </c>
      <c r="L6066" s="1">
        <f>VALUE(5790)</f>
        <v>5790</v>
      </c>
      <c r="M6066" s="1">
        <f>VALUE(6840)</f>
        <v>6840</v>
      </c>
      <c r="N6066" t="s">
        <v>25</v>
      </c>
    </row>
    <row r="6067" spans="1:14" x14ac:dyDescent="0.25">
      <c r="A6067" t="s">
        <v>42</v>
      </c>
      <c r="B6067" t="s">
        <v>15</v>
      </c>
      <c r="C6067" t="s">
        <v>38</v>
      </c>
      <c r="D6067" t="s">
        <v>32</v>
      </c>
      <c r="E6067" t="s">
        <v>23</v>
      </c>
      <c r="F6067" t="s">
        <v>15</v>
      </c>
      <c r="G6067" s="1">
        <f>VALUE(5083.29)</f>
        <v>5083.29</v>
      </c>
      <c r="H6067" s="1">
        <f>VALUE(4879.47)</f>
        <v>4879.47</v>
      </c>
      <c r="I6067" s="1">
        <f>VALUE(2855)</f>
        <v>2855</v>
      </c>
      <c r="J6067" s="1">
        <f>VALUE(3417)</f>
        <v>3417</v>
      </c>
      <c r="K6067" s="1">
        <f>VALUE(4387)</f>
        <v>4387</v>
      </c>
      <c r="L6067" s="1">
        <f>VALUE(5446)</f>
        <v>5446</v>
      </c>
      <c r="M6067" s="1">
        <f>VALUE(6340)</f>
        <v>6340</v>
      </c>
      <c r="N6067" t="s">
        <v>16</v>
      </c>
    </row>
    <row r="6068" spans="1:14" x14ac:dyDescent="0.25">
      <c r="A6068" t="s">
        <v>42</v>
      </c>
      <c r="B6068" t="s">
        <v>15</v>
      </c>
      <c r="C6068" t="s">
        <v>38</v>
      </c>
      <c r="D6068" t="s">
        <v>32</v>
      </c>
      <c r="E6068" t="s">
        <v>23</v>
      </c>
      <c r="F6068" t="s">
        <v>17</v>
      </c>
      <c r="G6068" s="1" t="str">
        <f t="shared" ref="G6068:M6068" si="1316">"X"</f>
        <v>X</v>
      </c>
      <c r="H6068" s="1" t="str">
        <f t="shared" si="1316"/>
        <v>X</v>
      </c>
      <c r="I6068" s="1" t="str">
        <f t="shared" si="1316"/>
        <v>X</v>
      </c>
      <c r="J6068" s="1" t="str">
        <f t="shared" si="1316"/>
        <v>X</v>
      </c>
      <c r="K6068" s="1" t="str">
        <f t="shared" si="1316"/>
        <v>X</v>
      </c>
      <c r="L6068" s="1" t="str">
        <f t="shared" si="1316"/>
        <v>X</v>
      </c>
      <c r="M6068" s="1" t="str">
        <f t="shared" si="1316"/>
        <v>X</v>
      </c>
      <c r="N6068" t="s">
        <v>27</v>
      </c>
    </row>
    <row r="6069" spans="1:14" x14ac:dyDescent="0.25">
      <c r="A6069" t="s">
        <v>42</v>
      </c>
      <c r="B6069" t="s">
        <v>15</v>
      </c>
      <c r="C6069" t="s">
        <v>38</v>
      </c>
      <c r="D6069" t="s">
        <v>32</v>
      </c>
      <c r="E6069" t="s">
        <v>23</v>
      </c>
      <c r="F6069" t="s">
        <v>18</v>
      </c>
      <c r="G6069" s="2">
        <f>VALUE(201.92)</f>
        <v>201.92</v>
      </c>
      <c r="H6069" s="3">
        <f>VALUE(193.67)</f>
        <v>193.67</v>
      </c>
      <c r="I6069" s="4">
        <f>VALUE(3958)</f>
        <v>3958</v>
      </c>
      <c r="J6069" s="1">
        <f>VALUE(4223)</f>
        <v>4223</v>
      </c>
      <c r="K6069" s="1">
        <f>VALUE(5508)</f>
        <v>5508</v>
      </c>
      <c r="L6069" s="1">
        <f>VALUE(6657)</f>
        <v>6657</v>
      </c>
      <c r="M6069" s="1">
        <f>VALUE(7576)</f>
        <v>7576</v>
      </c>
      <c r="N6069" t="s">
        <v>25</v>
      </c>
    </row>
    <row r="6070" spans="1:14" x14ac:dyDescent="0.25">
      <c r="A6070" t="s">
        <v>42</v>
      </c>
      <c r="B6070" t="s">
        <v>15</v>
      </c>
      <c r="C6070" t="s">
        <v>38</v>
      </c>
      <c r="D6070" t="s">
        <v>32</v>
      </c>
      <c r="E6070" t="s">
        <v>23</v>
      </c>
      <c r="F6070" t="s">
        <v>19</v>
      </c>
      <c r="G6070" s="2">
        <f>VALUE(793.79)</f>
        <v>793.79</v>
      </c>
      <c r="H6070" s="3">
        <f>VALUE(832.18)</f>
        <v>832.18</v>
      </c>
      <c r="I6070" s="1">
        <f>VALUE(2817)</f>
        <v>2817</v>
      </c>
      <c r="J6070" s="5">
        <f>VALUE(3096)</f>
        <v>3096</v>
      </c>
      <c r="K6070" s="6">
        <f>VALUE(4118)</f>
        <v>4118</v>
      </c>
      <c r="L6070" s="7">
        <f>VALUE(5556)</f>
        <v>5556</v>
      </c>
      <c r="M6070" s="8">
        <f>VALUE(6374)</f>
        <v>6374</v>
      </c>
      <c r="N6070" t="s">
        <v>25</v>
      </c>
    </row>
    <row r="6071" spans="1:14" x14ac:dyDescent="0.25">
      <c r="A6071" t="s">
        <v>42</v>
      </c>
      <c r="B6071" t="s">
        <v>15</v>
      </c>
      <c r="C6071" t="s">
        <v>38</v>
      </c>
      <c r="D6071" t="s">
        <v>32</v>
      </c>
      <c r="E6071" t="s">
        <v>23</v>
      </c>
      <c r="F6071" t="s">
        <v>20</v>
      </c>
      <c r="G6071" s="1">
        <f>VALUE(3946.15)</f>
        <v>3946.15</v>
      </c>
      <c r="H6071" s="1">
        <f>VALUE(3715.15)</f>
        <v>3715.15</v>
      </c>
      <c r="I6071" s="1">
        <f>VALUE(2847)</f>
        <v>2847</v>
      </c>
      <c r="J6071" s="1">
        <f>VALUE(3426)</f>
        <v>3426</v>
      </c>
      <c r="K6071" s="1">
        <f>VALUE(4333)</f>
        <v>4333</v>
      </c>
      <c r="L6071" s="1">
        <f>VALUE(5294)</f>
        <v>5294</v>
      </c>
      <c r="M6071" s="1">
        <f>VALUE(6084)</f>
        <v>6084</v>
      </c>
      <c r="N6071" t="s">
        <v>16</v>
      </c>
    </row>
    <row r="6072" spans="1:14" x14ac:dyDescent="0.25">
      <c r="A6072" t="s">
        <v>42</v>
      </c>
      <c r="B6072" t="s">
        <v>15</v>
      </c>
      <c r="C6072" t="s">
        <v>38</v>
      </c>
      <c r="D6072" t="s">
        <v>32</v>
      </c>
      <c r="E6072" t="s">
        <v>26</v>
      </c>
      <c r="F6072" t="s">
        <v>15</v>
      </c>
      <c r="G6072" s="2">
        <f>VALUE(244.05)</f>
        <v>244.05</v>
      </c>
      <c r="H6072" s="3">
        <f>VALUE(248.26)</f>
        <v>248.26</v>
      </c>
      <c r="I6072" s="4">
        <f>VALUE(2364)</f>
        <v>2364</v>
      </c>
      <c r="J6072" s="1">
        <f>VALUE(3378)</f>
        <v>3378</v>
      </c>
      <c r="K6072" s="1">
        <f>VALUE(4500)</f>
        <v>4500</v>
      </c>
      <c r="L6072" s="7">
        <f>VALUE(6025)</f>
        <v>6025</v>
      </c>
      <c r="M6072" s="8">
        <f>VALUE(8252)</f>
        <v>8252</v>
      </c>
      <c r="N6072" t="s">
        <v>25</v>
      </c>
    </row>
    <row r="6073" spans="1:14" x14ac:dyDescent="0.25">
      <c r="A6073" t="s">
        <v>42</v>
      </c>
      <c r="B6073" t="s">
        <v>15</v>
      </c>
      <c r="C6073" t="s">
        <v>38</v>
      </c>
      <c r="D6073" t="s">
        <v>32</v>
      </c>
      <c r="E6073" t="s">
        <v>26</v>
      </c>
      <c r="F6073" t="s">
        <v>17</v>
      </c>
      <c r="G6073" s="1" t="str">
        <f t="shared" ref="G6073:M6075" si="1317">"X"</f>
        <v>X</v>
      </c>
      <c r="H6073" s="1" t="str">
        <f t="shared" si="1317"/>
        <v>X</v>
      </c>
      <c r="I6073" s="1" t="str">
        <f t="shared" si="1317"/>
        <v>X</v>
      </c>
      <c r="J6073" s="1" t="str">
        <f t="shared" si="1317"/>
        <v>X</v>
      </c>
      <c r="K6073" s="1" t="str">
        <f t="shared" si="1317"/>
        <v>X</v>
      </c>
      <c r="L6073" s="1" t="str">
        <f t="shared" si="1317"/>
        <v>X</v>
      </c>
      <c r="M6073" s="1" t="str">
        <f t="shared" si="1317"/>
        <v>X</v>
      </c>
      <c r="N6073" t="s">
        <v>27</v>
      </c>
    </row>
    <row r="6074" spans="1:14" x14ac:dyDescent="0.25">
      <c r="A6074" t="s">
        <v>42</v>
      </c>
      <c r="B6074" t="s">
        <v>15</v>
      </c>
      <c r="C6074" t="s">
        <v>38</v>
      </c>
      <c r="D6074" t="s">
        <v>32</v>
      </c>
      <c r="E6074" t="s">
        <v>26</v>
      </c>
      <c r="F6074" t="s">
        <v>18</v>
      </c>
      <c r="G6074" s="1" t="str">
        <f t="shared" si="1317"/>
        <v>X</v>
      </c>
      <c r="H6074" s="1" t="str">
        <f t="shared" si="1317"/>
        <v>X</v>
      </c>
      <c r="I6074" s="1" t="str">
        <f t="shared" si="1317"/>
        <v>X</v>
      </c>
      <c r="J6074" s="1" t="str">
        <f t="shared" si="1317"/>
        <v>X</v>
      </c>
      <c r="K6074" s="1" t="str">
        <f t="shared" si="1317"/>
        <v>X</v>
      </c>
      <c r="L6074" s="1" t="str">
        <f t="shared" si="1317"/>
        <v>X</v>
      </c>
      <c r="M6074" s="1" t="str">
        <f t="shared" si="1317"/>
        <v>X</v>
      </c>
      <c r="N6074" t="s">
        <v>27</v>
      </c>
    </row>
    <row r="6075" spans="1:14" x14ac:dyDescent="0.25">
      <c r="A6075" t="s">
        <v>42</v>
      </c>
      <c r="B6075" t="s">
        <v>15</v>
      </c>
      <c r="C6075" t="s">
        <v>38</v>
      </c>
      <c r="D6075" t="s">
        <v>32</v>
      </c>
      <c r="E6075" t="s">
        <v>26</v>
      </c>
      <c r="F6075" t="s">
        <v>19</v>
      </c>
      <c r="G6075" s="1" t="str">
        <f t="shared" si="1317"/>
        <v>X</v>
      </c>
      <c r="H6075" s="1" t="str">
        <f t="shared" si="1317"/>
        <v>X</v>
      </c>
      <c r="I6075" s="1" t="str">
        <f t="shared" si="1317"/>
        <v>X</v>
      </c>
      <c r="J6075" s="1" t="str">
        <f t="shared" si="1317"/>
        <v>X</v>
      </c>
      <c r="K6075" s="1" t="str">
        <f t="shared" si="1317"/>
        <v>X</v>
      </c>
      <c r="L6075" s="1" t="str">
        <f t="shared" si="1317"/>
        <v>X</v>
      </c>
      <c r="M6075" s="1" t="str">
        <f t="shared" si="1317"/>
        <v>X</v>
      </c>
      <c r="N6075" t="s">
        <v>27</v>
      </c>
    </row>
    <row r="6076" spans="1:14" x14ac:dyDescent="0.25">
      <c r="A6076" t="s">
        <v>42</v>
      </c>
      <c r="B6076" t="s">
        <v>15</v>
      </c>
      <c r="C6076" t="s">
        <v>38</v>
      </c>
      <c r="D6076" t="s">
        <v>32</v>
      </c>
      <c r="E6076" t="s">
        <v>26</v>
      </c>
      <c r="F6076" t="s">
        <v>20</v>
      </c>
      <c r="G6076" s="2">
        <f>VALUE(213.52)</f>
        <v>213.52</v>
      </c>
      <c r="H6076" s="3">
        <f>VALUE(218.1)</f>
        <v>218.1</v>
      </c>
      <c r="I6076" s="4">
        <f>VALUE(2362)</f>
        <v>2362</v>
      </c>
      <c r="J6076" s="1">
        <f>VALUE(3378)</f>
        <v>3378</v>
      </c>
      <c r="K6076" s="1">
        <f>VALUE(4034)</f>
        <v>4034</v>
      </c>
      <c r="L6076" s="7">
        <f>VALUE(5581)</f>
        <v>5581</v>
      </c>
      <c r="M6076" s="1">
        <f>VALUE(7415)</f>
        <v>7415</v>
      </c>
      <c r="N6076" t="s">
        <v>25</v>
      </c>
    </row>
    <row r="6077" spans="1:14" x14ac:dyDescent="0.25">
      <c r="A6077" t="s">
        <v>42</v>
      </c>
      <c r="B6077" t="s">
        <v>15</v>
      </c>
      <c r="C6077" t="s">
        <v>38</v>
      </c>
      <c r="D6077" t="s">
        <v>33</v>
      </c>
      <c r="E6077" t="s">
        <v>15</v>
      </c>
      <c r="F6077" t="s">
        <v>15</v>
      </c>
      <c r="G6077" s="2">
        <f>VALUE(194.95)</f>
        <v>194.95</v>
      </c>
      <c r="H6077" s="3">
        <f>VALUE(178.52)</f>
        <v>178.52</v>
      </c>
      <c r="I6077" s="4">
        <f>VALUE(2373)</f>
        <v>2373</v>
      </c>
      <c r="J6077" s="1">
        <f>VALUE(3729)</f>
        <v>3729</v>
      </c>
      <c r="K6077" s="6">
        <f>VALUE(4376)</f>
        <v>4376</v>
      </c>
      <c r="L6077" s="7">
        <f>VALUE(6895)</f>
        <v>6895</v>
      </c>
      <c r="M6077" s="8">
        <f>VALUE(11279)</f>
        <v>11279</v>
      </c>
      <c r="N6077" t="s">
        <v>25</v>
      </c>
    </row>
    <row r="6078" spans="1:14" x14ac:dyDescent="0.25">
      <c r="A6078" t="s">
        <v>42</v>
      </c>
      <c r="B6078" t="s">
        <v>15</v>
      </c>
      <c r="C6078" t="s">
        <v>38</v>
      </c>
      <c r="D6078" t="s">
        <v>33</v>
      </c>
      <c r="E6078" t="s">
        <v>15</v>
      </c>
      <c r="F6078" t="s">
        <v>17</v>
      </c>
      <c r="G6078" s="1" t="str">
        <f t="shared" ref="G6078:M6092" si="1318">"X"</f>
        <v>X</v>
      </c>
      <c r="H6078" s="1" t="str">
        <f t="shared" si="1318"/>
        <v>X</v>
      </c>
      <c r="I6078" s="1" t="str">
        <f t="shared" si="1318"/>
        <v>X</v>
      </c>
      <c r="J6078" s="1" t="str">
        <f t="shared" si="1318"/>
        <v>X</v>
      </c>
      <c r="K6078" s="1" t="str">
        <f t="shared" si="1318"/>
        <v>X</v>
      </c>
      <c r="L6078" s="1" t="str">
        <f t="shared" si="1318"/>
        <v>X</v>
      </c>
      <c r="M6078" s="1" t="str">
        <f t="shared" si="1318"/>
        <v>X</v>
      </c>
      <c r="N6078" t="s">
        <v>27</v>
      </c>
    </row>
    <row r="6079" spans="1:14" x14ac:dyDescent="0.25">
      <c r="A6079" t="s">
        <v>42</v>
      </c>
      <c r="B6079" t="s">
        <v>15</v>
      </c>
      <c r="C6079" t="s">
        <v>38</v>
      </c>
      <c r="D6079" t="s">
        <v>33</v>
      </c>
      <c r="E6079" t="s">
        <v>15</v>
      </c>
      <c r="F6079" t="s">
        <v>18</v>
      </c>
      <c r="G6079" s="1" t="str">
        <f t="shared" si="1318"/>
        <v>X</v>
      </c>
      <c r="H6079" s="1" t="str">
        <f t="shared" si="1318"/>
        <v>X</v>
      </c>
      <c r="I6079" s="1" t="str">
        <f t="shared" si="1318"/>
        <v>X</v>
      </c>
      <c r="J6079" s="1" t="str">
        <f t="shared" si="1318"/>
        <v>X</v>
      </c>
      <c r="K6079" s="1" t="str">
        <f t="shared" si="1318"/>
        <v>X</v>
      </c>
      <c r="L6079" s="1" t="str">
        <f t="shared" si="1318"/>
        <v>X</v>
      </c>
      <c r="M6079" s="1" t="str">
        <f t="shared" si="1318"/>
        <v>X</v>
      </c>
      <c r="N6079" t="s">
        <v>27</v>
      </c>
    </row>
    <row r="6080" spans="1:14" x14ac:dyDescent="0.25">
      <c r="A6080" t="s">
        <v>42</v>
      </c>
      <c r="B6080" t="s">
        <v>15</v>
      </c>
      <c r="C6080" t="s">
        <v>38</v>
      </c>
      <c r="D6080" t="s">
        <v>33</v>
      </c>
      <c r="E6080" t="s">
        <v>15</v>
      </c>
      <c r="F6080" t="s">
        <v>19</v>
      </c>
      <c r="G6080" s="1" t="str">
        <f t="shared" si="1318"/>
        <v>X</v>
      </c>
      <c r="H6080" s="1" t="str">
        <f t="shared" si="1318"/>
        <v>X</v>
      </c>
      <c r="I6080" s="1" t="str">
        <f t="shared" si="1318"/>
        <v>X</v>
      </c>
      <c r="J6080" s="1" t="str">
        <f t="shared" si="1318"/>
        <v>X</v>
      </c>
      <c r="K6080" s="1" t="str">
        <f t="shared" si="1318"/>
        <v>X</v>
      </c>
      <c r="L6080" s="1" t="str">
        <f t="shared" si="1318"/>
        <v>X</v>
      </c>
      <c r="M6080" s="1" t="str">
        <f t="shared" si="1318"/>
        <v>X</v>
      </c>
      <c r="N6080" t="s">
        <v>27</v>
      </c>
    </row>
    <row r="6081" spans="1:14" x14ac:dyDescent="0.25">
      <c r="A6081" t="s">
        <v>42</v>
      </c>
      <c r="B6081" t="s">
        <v>15</v>
      </c>
      <c r="C6081" t="s">
        <v>38</v>
      </c>
      <c r="D6081" t="s">
        <v>33</v>
      </c>
      <c r="E6081" t="s">
        <v>15</v>
      </c>
      <c r="F6081" t="s">
        <v>20</v>
      </c>
      <c r="G6081" s="1" t="str">
        <f t="shared" si="1318"/>
        <v>X</v>
      </c>
      <c r="H6081" s="1" t="str">
        <f t="shared" si="1318"/>
        <v>X</v>
      </c>
      <c r="I6081" s="1" t="str">
        <f t="shared" si="1318"/>
        <v>X</v>
      </c>
      <c r="J6081" s="1" t="str">
        <f t="shared" si="1318"/>
        <v>X</v>
      </c>
      <c r="K6081" s="1" t="str">
        <f t="shared" si="1318"/>
        <v>X</v>
      </c>
      <c r="L6081" s="1" t="str">
        <f t="shared" si="1318"/>
        <v>X</v>
      </c>
      <c r="M6081" s="1" t="str">
        <f t="shared" si="1318"/>
        <v>X</v>
      </c>
      <c r="N6081" t="s">
        <v>27</v>
      </c>
    </row>
    <row r="6082" spans="1:14" x14ac:dyDescent="0.25">
      <c r="A6082" t="s">
        <v>42</v>
      </c>
      <c r="B6082" t="s">
        <v>15</v>
      </c>
      <c r="C6082" t="s">
        <v>38</v>
      </c>
      <c r="D6082" t="s">
        <v>33</v>
      </c>
      <c r="E6082" t="s">
        <v>21</v>
      </c>
      <c r="F6082" t="s">
        <v>15</v>
      </c>
      <c r="G6082" s="1" t="str">
        <f t="shared" si="1318"/>
        <v>X</v>
      </c>
      <c r="H6082" s="1" t="str">
        <f t="shared" si="1318"/>
        <v>X</v>
      </c>
      <c r="I6082" s="1" t="str">
        <f t="shared" si="1318"/>
        <v>X</v>
      </c>
      <c r="J6082" s="1" t="str">
        <f t="shared" si="1318"/>
        <v>X</v>
      </c>
      <c r="K6082" s="1" t="str">
        <f t="shared" si="1318"/>
        <v>X</v>
      </c>
      <c r="L6082" s="1" t="str">
        <f t="shared" si="1318"/>
        <v>X</v>
      </c>
      <c r="M6082" s="1" t="str">
        <f t="shared" si="1318"/>
        <v>X</v>
      </c>
      <c r="N6082" t="s">
        <v>27</v>
      </c>
    </row>
    <row r="6083" spans="1:14" x14ac:dyDescent="0.25">
      <c r="A6083" t="s">
        <v>42</v>
      </c>
      <c r="B6083" t="s">
        <v>15</v>
      </c>
      <c r="C6083" t="s">
        <v>38</v>
      </c>
      <c r="D6083" t="s">
        <v>33</v>
      </c>
      <c r="E6083" t="s">
        <v>21</v>
      </c>
      <c r="F6083" t="s">
        <v>17</v>
      </c>
      <c r="G6083" s="1" t="str">
        <f t="shared" si="1318"/>
        <v>X</v>
      </c>
      <c r="H6083" s="1" t="str">
        <f t="shared" si="1318"/>
        <v>X</v>
      </c>
      <c r="I6083" s="1" t="str">
        <f t="shared" si="1318"/>
        <v>X</v>
      </c>
      <c r="J6083" s="1" t="str">
        <f t="shared" si="1318"/>
        <v>X</v>
      </c>
      <c r="K6083" s="1" t="str">
        <f t="shared" si="1318"/>
        <v>X</v>
      </c>
      <c r="L6083" s="1" t="str">
        <f t="shared" si="1318"/>
        <v>X</v>
      </c>
      <c r="M6083" s="1" t="str">
        <f t="shared" si="1318"/>
        <v>X</v>
      </c>
      <c r="N6083" t="s">
        <v>27</v>
      </c>
    </row>
    <row r="6084" spans="1:14" x14ac:dyDescent="0.25">
      <c r="A6084" t="s">
        <v>42</v>
      </c>
      <c r="B6084" t="s">
        <v>15</v>
      </c>
      <c r="C6084" t="s">
        <v>38</v>
      </c>
      <c r="D6084" t="s">
        <v>33</v>
      </c>
      <c r="E6084" t="s">
        <v>21</v>
      </c>
      <c r="F6084" t="s">
        <v>18</v>
      </c>
      <c r="G6084" s="1" t="str">
        <f t="shared" si="1318"/>
        <v>X</v>
      </c>
      <c r="H6084" s="1" t="str">
        <f t="shared" si="1318"/>
        <v>X</v>
      </c>
      <c r="I6084" s="1" t="str">
        <f t="shared" si="1318"/>
        <v>X</v>
      </c>
      <c r="J6084" s="1" t="str">
        <f t="shared" si="1318"/>
        <v>X</v>
      </c>
      <c r="K6084" s="1" t="str">
        <f t="shared" si="1318"/>
        <v>X</v>
      </c>
      <c r="L6084" s="1" t="str">
        <f t="shared" si="1318"/>
        <v>X</v>
      </c>
      <c r="M6084" s="1" t="str">
        <f t="shared" si="1318"/>
        <v>X</v>
      </c>
      <c r="N6084" t="s">
        <v>27</v>
      </c>
    </row>
    <row r="6085" spans="1:14" x14ac:dyDescent="0.25">
      <c r="A6085" t="s">
        <v>42</v>
      </c>
      <c r="B6085" t="s">
        <v>15</v>
      </c>
      <c r="C6085" t="s">
        <v>38</v>
      </c>
      <c r="D6085" t="s">
        <v>33</v>
      </c>
      <c r="E6085" t="s">
        <v>21</v>
      </c>
      <c r="F6085" t="s">
        <v>19</v>
      </c>
      <c r="G6085" s="1" t="str">
        <f t="shared" si="1318"/>
        <v>X</v>
      </c>
      <c r="H6085" s="1" t="str">
        <f t="shared" si="1318"/>
        <v>X</v>
      </c>
      <c r="I6085" s="1" t="str">
        <f t="shared" si="1318"/>
        <v>X</v>
      </c>
      <c r="J6085" s="1" t="str">
        <f t="shared" si="1318"/>
        <v>X</v>
      </c>
      <c r="K6085" s="1" t="str">
        <f t="shared" si="1318"/>
        <v>X</v>
      </c>
      <c r="L6085" s="1" t="str">
        <f t="shared" si="1318"/>
        <v>X</v>
      </c>
      <c r="M6085" s="1" t="str">
        <f t="shared" si="1318"/>
        <v>X</v>
      </c>
      <c r="N6085" t="s">
        <v>27</v>
      </c>
    </row>
    <row r="6086" spans="1:14" x14ac:dyDescent="0.25">
      <c r="A6086" t="s">
        <v>42</v>
      </c>
      <c r="B6086" t="s">
        <v>15</v>
      </c>
      <c r="C6086" t="s">
        <v>38</v>
      </c>
      <c r="D6086" t="s">
        <v>33</v>
      </c>
      <c r="E6086" t="s">
        <v>21</v>
      </c>
      <c r="F6086" t="s">
        <v>20</v>
      </c>
      <c r="G6086" s="1" t="str">
        <f t="shared" si="1318"/>
        <v>X</v>
      </c>
      <c r="H6086" s="1" t="str">
        <f t="shared" si="1318"/>
        <v>X</v>
      </c>
      <c r="I6086" s="1" t="str">
        <f t="shared" si="1318"/>
        <v>X</v>
      </c>
      <c r="J6086" s="1" t="str">
        <f t="shared" si="1318"/>
        <v>X</v>
      </c>
      <c r="K6086" s="1" t="str">
        <f t="shared" si="1318"/>
        <v>X</v>
      </c>
      <c r="L6086" s="1" t="str">
        <f t="shared" si="1318"/>
        <v>X</v>
      </c>
      <c r="M6086" s="1" t="str">
        <f t="shared" si="1318"/>
        <v>X</v>
      </c>
      <c r="N6086" t="s">
        <v>27</v>
      </c>
    </row>
    <row r="6087" spans="1:14" x14ac:dyDescent="0.25">
      <c r="A6087" t="s">
        <v>42</v>
      </c>
      <c r="B6087" t="s">
        <v>15</v>
      </c>
      <c r="C6087" t="s">
        <v>38</v>
      </c>
      <c r="D6087" t="s">
        <v>33</v>
      </c>
      <c r="E6087" t="s">
        <v>22</v>
      </c>
      <c r="F6087" t="s">
        <v>15</v>
      </c>
      <c r="G6087" s="1" t="str">
        <f t="shared" si="1318"/>
        <v>X</v>
      </c>
      <c r="H6087" s="1" t="str">
        <f t="shared" si="1318"/>
        <v>X</v>
      </c>
      <c r="I6087" s="1" t="str">
        <f t="shared" si="1318"/>
        <v>X</v>
      </c>
      <c r="J6087" s="1" t="str">
        <f t="shared" si="1318"/>
        <v>X</v>
      </c>
      <c r="K6087" s="1" t="str">
        <f t="shared" si="1318"/>
        <v>X</v>
      </c>
      <c r="L6087" s="1" t="str">
        <f t="shared" si="1318"/>
        <v>X</v>
      </c>
      <c r="M6087" s="1" t="str">
        <f t="shared" si="1318"/>
        <v>X</v>
      </c>
      <c r="N6087" t="s">
        <v>27</v>
      </c>
    </row>
    <row r="6088" spans="1:14" x14ac:dyDescent="0.25">
      <c r="A6088" t="s">
        <v>42</v>
      </c>
      <c r="B6088" t="s">
        <v>15</v>
      </c>
      <c r="C6088" t="s">
        <v>38</v>
      </c>
      <c r="D6088" t="s">
        <v>33</v>
      </c>
      <c r="E6088" t="s">
        <v>22</v>
      </c>
      <c r="F6088" t="s">
        <v>17</v>
      </c>
      <c r="G6088" s="1" t="str">
        <f t="shared" si="1318"/>
        <v>X</v>
      </c>
      <c r="H6088" s="1" t="str">
        <f t="shared" si="1318"/>
        <v>X</v>
      </c>
      <c r="I6088" s="1" t="str">
        <f t="shared" si="1318"/>
        <v>X</v>
      </c>
      <c r="J6088" s="1" t="str">
        <f t="shared" si="1318"/>
        <v>X</v>
      </c>
      <c r="K6088" s="1" t="str">
        <f t="shared" si="1318"/>
        <v>X</v>
      </c>
      <c r="L6088" s="1" t="str">
        <f t="shared" si="1318"/>
        <v>X</v>
      </c>
      <c r="M6088" s="1" t="str">
        <f t="shared" si="1318"/>
        <v>X</v>
      </c>
      <c r="N6088" t="s">
        <v>27</v>
      </c>
    </row>
    <row r="6089" spans="1:14" x14ac:dyDescent="0.25">
      <c r="A6089" t="s">
        <v>42</v>
      </c>
      <c r="B6089" t="s">
        <v>15</v>
      </c>
      <c r="C6089" t="s">
        <v>38</v>
      </c>
      <c r="D6089" t="s">
        <v>33</v>
      </c>
      <c r="E6089" t="s">
        <v>22</v>
      </c>
      <c r="F6089" t="s">
        <v>18</v>
      </c>
      <c r="G6089" s="1" t="str">
        <f t="shared" si="1318"/>
        <v>X</v>
      </c>
      <c r="H6089" s="1" t="str">
        <f t="shared" si="1318"/>
        <v>X</v>
      </c>
      <c r="I6089" s="1" t="str">
        <f t="shared" si="1318"/>
        <v>X</v>
      </c>
      <c r="J6089" s="1" t="str">
        <f t="shared" si="1318"/>
        <v>X</v>
      </c>
      <c r="K6089" s="1" t="str">
        <f t="shared" si="1318"/>
        <v>X</v>
      </c>
      <c r="L6089" s="1" t="str">
        <f t="shared" si="1318"/>
        <v>X</v>
      </c>
      <c r="M6089" s="1" t="str">
        <f t="shared" si="1318"/>
        <v>X</v>
      </c>
      <c r="N6089" t="s">
        <v>27</v>
      </c>
    </row>
    <row r="6090" spans="1:14" x14ac:dyDescent="0.25">
      <c r="A6090" t="s">
        <v>42</v>
      </c>
      <c r="B6090" t="s">
        <v>15</v>
      </c>
      <c r="C6090" t="s">
        <v>38</v>
      </c>
      <c r="D6090" t="s">
        <v>33</v>
      </c>
      <c r="E6090" t="s">
        <v>22</v>
      </c>
      <c r="F6090" t="s">
        <v>19</v>
      </c>
      <c r="G6090" s="1" t="str">
        <f t="shared" si="1318"/>
        <v>X</v>
      </c>
      <c r="H6090" s="1" t="str">
        <f t="shared" si="1318"/>
        <v>X</v>
      </c>
      <c r="I6090" s="1" t="str">
        <f t="shared" si="1318"/>
        <v>X</v>
      </c>
      <c r="J6090" s="1" t="str">
        <f t="shared" si="1318"/>
        <v>X</v>
      </c>
      <c r="K6090" s="1" t="str">
        <f t="shared" si="1318"/>
        <v>X</v>
      </c>
      <c r="L6090" s="1" t="str">
        <f t="shared" si="1318"/>
        <v>X</v>
      </c>
      <c r="M6090" s="1" t="str">
        <f t="shared" si="1318"/>
        <v>X</v>
      </c>
      <c r="N6090" t="s">
        <v>27</v>
      </c>
    </row>
    <row r="6091" spans="1:14" x14ac:dyDescent="0.25">
      <c r="A6091" t="s">
        <v>42</v>
      </c>
      <c r="B6091" t="s">
        <v>15</v>
      </c>
      <c r="C6091" t="s">
        <v>38</v>
      </c>
      <c r="D6091" t="s">
        <v>33</v>
      </c>
      <c r="E6091" t="s">
        <v>22</v>
      </c>
      <c r="F6091" t="s">
        <v>20</v>
      </c>
      <c r="G6091" s="1" t="str">
        <f t="shared" si="1318"/>
        <v>X</v>
      </c>
      <c r="H6091" s="1" t="str">
        <f t="shared" si="1318"/>
        <v>X</v>
      </c>
      <c r="I6091" s="1" t="str">
        <f t="shared" si="1318"/>
        <v>X</v>
      </c>
      <c r="J6091" s="1" t="str">
        <f t="shared" si="1318"/>
        <v>X</v>
      </c>
      <c r="K6091" s="1" t="str">
        <f t="shared" si="1318"/>
        <v>X</v>
      </c>
      <c r="L6091" s="1" t="str">
        <f t="shared" si="1318"/>
        <v>X</v>
      </c>
      <c r="M6091" s="1" t="str">
        <f t="shared" si="1318"/>
        <v>X</v>
      </c>
      <c r="N6091" t="s">
        <v>27</v>
      </c>
    </row>
    <row r="6092" spans="1:14" x14ac:dyDescent="0.25">
      <c r="A6092" t="s">
        <v>42</v>
      </c>
      <c r="B6092" t="s">
        <v>15</v>
      </c>
      <c r="C6092" t="s">
        <v>38</v>
      </c>
      <c r="D6092" t="s">
        <v>33</v>
      </c>
      <c r="E6092" t="s">
        <v>23</v>
      </c>
      <c r="F6092" t="s">
        <v>15</v>
      </c>
      <c r="G6092" s="1" t="str">
        <f t="shared" si="1318"/>
        <v>X</v>
      </c>
      <c r="H6092" s="1" t="str">
        <f t="shared" si="1318"/>
        <v>X</v>
      </c>
      <c r="I6092" s="1" t="str">
        <f t="shared" si="1318"/>
        <v>X</v>
      </c>
      <c r="J6092" s="1" t="str">
        <f t="shared" si="1318"/>
        <v>X</v>
      </c>
      <c r="K6092" s="1" t="str">
        <f t="shared" si="1318"/>
        <v>X</v>
      </c>
      <c r="L6092" s="1" t="str">
        <f t="shared" si="1318"/>
        <v>X</v>
      </c>
      <c r="M6092" s="1" t="str">
        <f t="shared" si="1318"/>
        <v>X</v>
      </c>
      <c r="N6092" t="s">
        <v>27</v>
      </c>
    </row>
    <row r="6093" spans="1:14" x14ac:dyDescent="0.25">
      <c r="A6093" t="s">
        <v>42</v>
      </c>
      <c r="B6093" t="s">
        <v>15</v>
      </c>
      <c r="C6093" t="s">
        <v>38</v>
      </c>
      <c r="D6093" t="s">
        <v>33</v>
      </c>
      <c r="E6093" t="s">
        <v>23</v>
      </c>
      <c r="F6093" t="s">
        <v>17</v>
      </c>
      <c r="G6093" s="1" t="str">
        <f t="shared" ref="G6093:M6094" si="1319">"..."</f>
        <v>...</v>
      </c>
      <c r="H6093" s="1" t="str">
        <f t="shared" si="1319"/>
        <v>...</v>
      </c>
      <c r="I6093" s="1" t="str">
        <f t="shared" si="1319"/>
        <v>...</v>
      </c>
      <c r="J6093" s="1" t="str">
        <f t="shared" si="1319"/>
        <v>...</v>
      </c>
      <c r="K6093" s="1" t="str">
        <f t="shared" si="1319"/>
        <v>...</v>
      </c>
      <c r="L6093" s="1" t="str">
        <f t="shared" si="1319"/>
        <v>...</v>
      </c>
      <c r="M6093" s="1" t="str">
        <f t="shared" si="1319"/>
        <v>...</v>
      </c>
      <c r="N6093" t="s">
        <v>30</v>
      </c>
    </row>
    <row r="6094" spans="1:14" x14ac:dyDescent="0.25">
      <c r="A6094" t="s">
        <v>42</v>
      </c>
      <c r="B6094" t="s">
        <v>15</v>
      </c>
      <c r="C6094" t="s">
        <v>38</v>
      </c>
      <c r="D6094" t="s">
        <v>33</v>
      </c>
      <c r="E6094" t="s">
        <v>23</v>
      </c>
      <c r="F6094" t="s">
        <v>18</v>
      </c>
      <c r="G6094" s="1" t="str">
        <f t="shared" si="1319"/>
        <v>...</v>
      </c>
      <c r="H6094" s="1" t="str">
        <f t="shared" si="1319"/>
        <v>...</v>
      </c>
      <c r="I6094" s="1" t="str">
        <f t="shared" si="1319"/>
        <v>...</v>
      </c>
      <c r="J6094" s="1" t="str">
        <f t="shared" si="1319"/>
        <v>...</v>
      </c>
      <c r="K6094" s="1" t="str">
        <f t="shared" si="1319"/>
        <v>...</v>
      </c>
      <c r="L6094" s="1" t="str">
        <f t="shared" si="1319"/>
        <v>...</v>
      </c>
      <c r="M6094" s="1" t="str">
        <f t="shared" si="1319"/>
        <v>...</v>
      </c>
      <c r="N6094" t="s">
        <v>30</v>
      </c>
    </row>
    <row r="6095" spans="1:14" x14ac:dyDescent="0.25">
      <c r="A6095" t="s">
        <v>42</v>
      </c>
      <c r="B6095" t="s">
        <v>15</v>
      </c>
      <c r="C6095" t="s">
        <v>38</v>
      </c>
      <c r="D6095" t="s">
        <v>33</v>
      </c>
      <c r="E6095" t="s">
        <v>23</v>
      </c>
      <c r="F6095" t="s">
        <v>19</v>
      </c>
      <c r="G6095" s="1" t="str">
        <f t="shared" ref="G6095:M6096" si="1320">"X"</f>
        <v>X</v>
      </c>
      <c r="H6095" s="1" t="str">
        <f t="shared" si="1320"/>
        <v>X</v>
      </c>
      <c r="I6095" s="1" t="str">
        <f t="shared" si="1320"/>
        <v>X</v>
      </c>
      <c r="J6095" s="1" t="str">
        <f t="shared" si="1320"/>
        <v>X</v>
      </c>
      <c r="K6095" s="1" t="str">
        <f t="shared" si="1320"/>
        <v>X</v>
      </c>
      <c r="L6095" s="1" t="str">
        <f t="shared" si="1320"/>
        <v>X</v>
      </c>
      <c r="M6095" s="1" t="str">
        <f t="shared" si="1320"/>
        <v>X</v>
      </c>
      <c r="N6095" t="s">
        <v>27</v>
      </c>
    </row>
    <row r="6096" spans="1:14" x14ac:dyDescent="0.25">
      <c r="A6096" t="s">
        <v>42</v>
      </c>
      <c r="B6096" t="s">
        <v>15</v>
      </c>
      <c r="C6096" t="s">
        <v>38</v>
      </c>
      <c r="D6096" t="s">
        <v>33</v>
      </c>
      <c r="E6096" t="s">
        <v>23</v>
      </c>
      <c r="F6096" t="s">
        <v>20</v>
      </c>
      <c r="G6096" s="1" t="str">
        <f t="shared" si="1320"/>
        <v>X</v>
      </c>
      <c r="H6096" s="1" t="str">
        <f t="shared" si="1320"/>
        <v>X</v>
      </c>
      <c r="I6096" s="1" t="str">
        <f t="shared" si="1320"/>
        <v>X</v>
      </c>
      <c r="J6096" s="1" t="str">
        <f t="shared" si="1320"/>
        <v>X</v>
      </c>
      <c r="K6096" s="1" t="str">
        <f t="shared" si="1320"/>
        <v>X</v>
      </c>
      <c r="L6096" s="1" t="str">
        <f t="shared" si="1320"/>
        <v>X</v>
      </c>
      <c r="M6096" s="1" t="str">
        <f t="shared" si="1320"/>
        <v>X</v>
      </c>
      <c r="N6096" t="s">
        <v>27</v>
      </c>
    </row>
    <row r="6097" spans="1:14" x14ac:dyDescent="0.25">
      <c r="A6097" t="s">
        <v>42</v>
      </c>
      <c r="B6097" t="s">
        <v>15</v>
      </c>
      <c r="C6097" t="s">
        <v>38</v>
      </c>
      <c r="D6097" t="s">
        <v>33</v>
      </c>
      <c r="E6097" t="s">
        <v>26</v>
      </c>
      <c r="F6097" t="s">
        <v>15</v>
      </c>
      <c r="G6097" s="1" t="str">
        <f t="shared" ref="G6097:M6106" si="1321">"..."</f>
        <v>...</v>
      </c>
      <c r="H6097" s="1" t="str">
        <f t="shared" si="1321"/>
        <v>...</v>
      </c>
      <c r="I6097" s="1" t="str">
        <f t="shared" si="1321"/>
        <v>...</v>
      </c>
      <c r="J6097" s="1" t="str">
        <f t="shared" si="1321"/>
        <v>...</v>
      </c>
      <c r="K6097" s="1" t="str">
        <f t="shared" si="1321"/>
        <v>...</v>
      </c>
      <c r="L6097" s="1" t="str">
        <f t="shared" si="1321"/>
        <v>...</v>
      </c>
      <c r="M6097" s="1" t="str">
        <f t="shared" si="1321"/>
        <v>...</v>
      </c>
      <c r="N6097" t="s">
        <v>30</v>
      </c>
    </row>
    <row r="6098" spans="1:14" x14ac:dyDescent="0.25">
      <c r="A6098" t="s">
        <v>42</v>
      </c>
      <c r="B6098" t="s">
        <v>15</v>
      </c>
      <c r="C6098" t="s">
        <v>38</v>
      </c>
      <c r="D6098" t="s">
        <v>33</v>
      </c>
      <c r="E6098" t="s">
        <v>26</v>
      </c>
      <c r="F6098" t="s">
        <v>17</v>
      </c>
      <c r="G6098" s="1" t="str">
        <f t="shared" si="1321"/>
        <v>...</v>
      </c>
      <c r="H6098" s="1" t="str">
        <f t="shared" si="1321"/>
        <v>...</v>
      </c>
      <c r="I6098" s="1" t="str">
        <f t="shared" si="1321"/>
        <v>...</v>
      </c>
      <c r="J6098" s="1" t="str">
        <f t="shared" si="1321"/>
        <v>...</v>
      </c>
      <c r="K6098" s="1" t="str">
        <f t="shared" si="1321"/>
        <v>...</v>
      </c>
      <c r="L6098" s="1" t="str">
        <f t="shared" si="1321"/>
        <v>...</v>
      </c>
      <c r="M6098" s="1" t="str">
        <f t="shared" si="1321"/>
        <v>...</v>
      </c>
      <c r="N6098" t="s">
        <v>30</v>
      </c>
    </row>
    <row r="6099" spans="1:14" x14ac:dyDescent="0.25">
      <c r="A6099" t="s">
        <v>42</v>
      </c>
      <c r="B6099" t="s">
        <v>15</v>
      </c>
      <c r="C6099" t="s">
        <v>38</v>
      </c>
      <c r="D6099" t="s">
        <v>33</v>
      </c>
      <c r="E6099" t="s">
        <v>26</v>
      </c>
      <c r="F6099" t="s">
        <v>18</v>
      </c>
      <c r="G6099" s="1" t="str">
        <f t="shared" si="1321"/>
        <v>...</v>
      </c>
      <c r="H6099" s="1" t="str">
        <f t="shared" si="1321"/>
        <v>...</v>
      </c>
      <c r="I6099" s="1" t="str">
        <f t="shared" si="1321"/>
        <v>...</v>
      </c>
      <c r="J6099" s="1" t="str">
        <f t="shared" si="1321"/>
        <v>...</v>
      </c>
      <c r="K6099" s="1" t="str">
        <f t="shared" si="1321"/>
        <v>...</v>
      </c>
      <c r="L6099" s="1" t="str">
        <f t="shared" si="1321"/>
        <v>...</v>
      </c>
      <c r="M6099" s="1" t="str">
        <f t="shared" si="1321"/>
        <v>...</v>
      </c>
      <c r="N6099" t="s">
        <v>30</v>
      </c>
    </row>
    <row r="6100" spans="1:14" x14ac:dyDescent="0.25">
      <c r="A6100" t="s">
        <v>42</v>
      </c>
      <c r="B6100" t="s">
        <v>15</v>
      </c>
      <c r="C6100" t="s">
        <v>38</v>
      </c>
      <c r="D6100" t="s">
        <v>33</v>
      </c>
      <c r="E6100" t="s">
        <v>26</v>
      </c>
      <c r="F6100" t="s">
        <v>19</v>
      </c>
      <c r="G6100" s="1" t="str">
        <f t="shared" si="1321"/>
        <v>...</v>
      </c>
      <c r="H6100" s="1" t="str">
        <f t="shared" si="1321"/>
        <v>...</v>
      </c>
      <c r="I6100" s="1" t="str">
        <f t="shared" si="1321"/>
        <v>...</v>
      </c>
      <c r="J6100" s="1" t="str">
        <f t="shared" si="1321"/>
        <v>...</v>
      </c>
      <c r="K6100" s="1" t="str">
        <f t="shared" si="1321"/>
        <v>...</v>
      </c>
      <c r="L6100" s="1" t="str">
        <f t="shared" si="1321"/>
        <v>...</v>
      </c>
      <c r="M6100" s="1" t="str">
        <f t="shared" si="1321"/>
        <v>...</v>
      </c>
      <c r="N6100" t="s">
        <v>30</v>
      </c>
    </row>
    <row r="6101" spans="1:14" x14ac:dyDescent="0.25">
      <c r="A6101" t="s">
        <v>42</v>
      </c>
      <c r="B6101" t="s">
        <v>15</v>
      </c>
      <c r="C6101" t="s">
        <v>38</v>
      </c>
      <c r="D6101" t="s">
        <v>33</v>
      </c>
      <c r="E6101" t="s">
        <v>26</v>
      </c>
      <c r="F6101" t="s">
        <v>20</v>
      </c>
      <c r="G6101" s="1" t="str">
        <f t="shared" si="1321"/>
        <v>...</v>
      </c>
      <c r="H6101" s="1" t="str">
        <f t="shared" si="1321"/>
        <v>...</v>
      </c>
      <c r="I6101" s="1" t="str">
        <f t="shared" si="1321"/>
        <v>...</v>
      </c>
      <c r="J6101" s="1" t="str">
        <f t="shared" si="1321"/>
        <v>...</v>
      </c>
      <c r="K6101" s="1" t="str">
        <f t="shared" si="1321"/>
        <v>...</v>
      </c>
      <c r="L6101" s="1" t="str">
        <f t="shared" si="1321"/>
        <v>...</v>
      </c>
      <c r="M6101" s="1" t="str">
        <f t="shared" si="1321"/>
        <v>...</v>
      </c>
      <c r="N6101" t="s">
        <v>30</v>
      </c>
    </row>
    <row r="6102" spans="1:14" x14ac:dyDescent="0.25">
      <c r="A6102" t="s">
        <v>42</v>
      </c>
      <c r="B6102" t="s">
        <v>15</v>
      </c>
      <c r="C6102" t="s">
        <v>38</v>
      </c>
      <c r="D6102" t="s">
        <v>34</v>
      </c>
      <c r="E6102" t="s">
        <v>15</v>
      </c>
      <c r="F6102" t="s">
        <v>15</v>
      </c>
      <c r="G6102" s="1" t="str">
        <f t="shared" si="1321"/>
        <v>...</v>
      </c>
      <c r="H6102" s="1" t="str">
        <f t="shared" si="1321"/>
        <v>...</v>
      </c>
      <c r="I6102" s="1" t="str">
        <f t="shared" si="1321"/>
        <v>...</v>
      </c>
      <c r="J6102" s="1" t="str">
        <f t="shared" si="1321"/>
        <v>...</v>
      </c>
      <c r="K6102" s="1" t="str">
        <f t="shared" si="1321"/>
        <v>...</v>
      </c>
      <c r="L6102" s="1" t="str">
        <f t="shared" si="1321"/>
        <v>...</v>
      </c>
      <c r="M6102" s="1" t="str">
        <f t="shared" si="1321"/>
        <v>...</v>
      </c>
      <c r="N6102" t="s">
        <v>30</v>
      </c>
    </row>
    <row r="6103" spans="1:14" x14ac:dyDescent="0.25">
      <c r="A6103" t="s">
        <v>42</v>
      </c>
      <c r="B6103" t="s">
        <v>15</v>
      </c>
      <c r="C6103" t="s">
        <v>38</v>
      </c>
      <c r="D6103" t="s">
        <v>34</v>
      </c>
      <c r="E6103" t="s">
        <v>15</v>
      </c>
      <c r="F6103" t="s">
        <v>17</v>
      </c>
      <c r="G6103" s="1" t="str">
        <f t="shared" si="1321"/>
        <v>...</v>
      </c>
      <c r="H6103" s="1" t="str">
        <f t="shared" si="1321"/>
        <v>...</v>
      </c>
      <c r="I6103" s="1" t="str">
        <f t="shared" si="1321"/>
        <v>...</v>
      </c>
      <c r="J6103" s="1" t="str">
        <f t="shared" si="1321"/>
        <v>...</v>
      </c>
      <c r="K6103" s="1" t="str">
        <f t="shared" si="1321"/>
        <v>...</v>
      </c>
      <c r="L6103" s="1" t="str">
        <f t="shared" si="1321"/>
        <v>...</v>
      </c>
      <c r="M6103" s="1" t="str">
        <f t="shared" si="1321"/>
        <v>...</v>
      </c>
      <c r="N6103" t="s">
        <v>30</v>
      </c>
    </row>
    <row r="6104" spans="1:14" x14ac:dyDescent="0.25">
      <c r="A6104" t="s">
        <v>42</v>
      </c>
      <c r="B6104" t="s">
        <v>15</v>
      </c>
      <c r="C6104" t="s">
        <v>38</v>
      </c>
      <c r="D6104" t="s">
        <v>34</v>
      </c>
      <c r="E6104" t="s">
        <v>15</v>
      </c>
      <c r="F6104" t="s">
        <v>18</v>
      </c>
      <c r="G6104" s="1" t="str">
        <f t="shared" si="1321"/>
        <v>...</v>
      </c>
      <c r="H6104" s="1" t="str">
        <f t="shared" si="1321"/>
        <v>...</v>
      </c>
      <c r="I6104" s="1" t="str">
        <f t="shared" si="1321"/>
        <v>...</v>
      </c>
      <c r="J6104" s="1" t="str">
        <f t="shared" si="1321"/>
        <v>...</v>
      </c>
      <c r="K6104" s="1" t="str">
        <f t="shared" si="1321"/>
        <v>...</v>
      </c>
      <c r="L6104" s="1" t="str">
        <f t="shared" si="1321"/>
        <v>...</v>
      </c>
      <c r="M6104" s="1" t="str">
        <f t="shared" si="1321"/>
        <v>...</v>
      </c>
      <c r="N6104" t="s">
        <v>30</v>
      </c>
    </row>
    <row r="6105" spans="1:14" x14ac:dyDescent="0.25">
      <c r="A6105" t="s">
        <v>42</v>
      </c>
      <c r="B6105" t="s">
        <v>15</v>
      </c>
      <c r="C6105" t="s">
        <v>38</v>
      </c>
      <c r="D6105" t="s">
        <v>34</v>
      </c>
      <c r="E6105" t="s">
        <v>15</v>
      </c>
      <c r="F6105" t="s">
        <v>19</v>
      </c>
      <c r="G6105" s="1" t="str">
        <f t="shared" si="1321"/>
        <v>...</v>
      </c>
      <c r="H6105" s="1" t="str">
        <f t="shared" si="1321"/>
        <v>...</v>
      </c>
      <c r="I6105" s="1" t="str">
        <f t="shared" si="1321"/>
        <v>...</v>
      </c>
      <c r="J6105" s="1" t="str">
        <f t="shared" si="1321"/>
        <v>...</v>
      </c>
      <c r="K6105" s="1" t="str">
        <f t="shared" si="1321"/>
        <v>...</v>
      </c>
      <c r="L6105" s="1" t="str">
        <f t="shared" si="1321"/>
        <v>...</v>
      </c>
      <c r="M6105" s="1" t="str">
        <f t="shared" si="1321"/>
        <v>...</v>
      </c>
      <c r="N6105" t="s">
        <v>30</v>
      </c>
    </row>
    <row r="6106" spans="1:14" x14ac:dyDescent="0.25">
      <c r="A6106" t="s">
        <v>42</v>
      </c>
      <c r="B6106" t="s">
        <v>15</v>
      </c>
      <c r="C6106" t="s">
        <v>38</v>
      </c>
      <c r="D6106" t="s">
        <v>34</v>
      </c>
      <c r="E6106" t="s">
        <v>15</v>
      </c>
      <c r="F6106" t="s">
        <v>20</v>
      </c>
      <c r="G6106" s="1" t="str">
        <f t="shared" si="1321"/>
        <v>...</v>
      </c>
      <c r="H6106" s="1" t="str">
        <f t="shared" si="1321"/>
        <v>...</v>
      </c>
      <c r="I6106" s="1" t="str">
        <f t="shared" si="1321"/>
        <v>...</v>
      </c>
      <c r="J6106" s="1" t="str">
        <f t="shared" si="1321"/>
        <v>...</v>
      </c>
      <c r="K6106" s="1" t="str">
        <f t="shared" si="1321"/>
        <v>...</v>
      </c>
      <c r="L6106" s="1" t="str">
        <f t="shared" si="1321"/>
        <v>...</v>
      </c>
      <c r="M6106" s="1" t="str">
        <f t="shared" si="1321"/>
        <v>...</v>
      </c>
      <c r="N6106" t="s">
        <v>30</v>
      </c>
    </row>
    <row r="6107" spans="1:14" x14ac:dyDescent="0.25">
      <c r="A6107" t="s">
        <v>42</v>
      </c>
      <c r="B6107" t="s">
        <v>15</v>
      </c>
      <c r="C6107" t="s">
        <v>38</v>
      </c>
      <c r="D6107" t="s">
        <v>34</v>
      </c>
      <c r="E6107" t="s">
        <v>21</v>
      </c>
      <c r="F6107" t="s">
        <v>15</v>
      </c>
      <c r="G6107" s="1" t="str">
        <f t="shared" ref="G6107:M6116" si="1322">"..."</f>
        <v>...</v>
      </c>
      <c r="H6107" s="1" t="str">
        <f t="shared" si="1322"/>
        <v>...</v>
      </c>
      <c r="I6107" s="1" t="str">
        <f t="shared" si="1322"/>
        <v>...</v>
      </c>
      <c r="J6107" s="1" t="str">
        <f t="shared" si="1322"/>
        <v>...</v>
      </c>
      <c r="K6107" s="1" t="str">
        <f t="shared" si="1322"/>
        <v>...</v>
      </c>
      <c r="L6107" s="1" t="str">
        <f t="shared" si="1322"/>
        <v>...</v>
      </c>
      <c r="M6107" s="1" t="str">
        <f t="shared" si="1322"/>
        <v>...</v>
      </c>
      <c r="N6107" t="s">
        <v>30</v>
      </c>
    </row>
    <row r="6108" spans="1:14" x14ac:dyDescent="0.25">
      <c r="A6108" t="s">
        <v>42</v>
      </c>
      <c r="B6108" t="s">
        <v>15</v>
      </c>
      <c r="C6108" t="s">
        <v>38</v>
      </c>
      <c r="D6108" t="s">
        <v>34</v>
      </c>
      <c r="E6108" t="s">
        <v>21</v>
      </c>
      <c r="F6108" t="s">
        <v>17</v>
      </c>
      <c r="G6108" s="1" t="str">
        <f t="shared" si="1322"/>
        <v>...</v>
      </c>
      <c r="H6108" s="1" t="str">
        <f t="shared" si="1322"/>
        <v>...</v>
      </c>
      <c r="I6108" s="1" t="str">
        <f t="shared" si="1322"/>
        <v>...</v>
      </c>
      <c r="J6108" s="1" t="str">
        <f t="shared" si="1322"/>
        <v>...</v>
      </c>
      <c r="K6108" s="1" t="str">
        <f t="shared" si="1322"/>
        <v>...</v>
      </c>
      <c r="L6108" s="1" t="str">
        <f t="shared" si="1322"/>
        <v>...</v>
      </c>
      <c r="M6108" s="1" t="str">
        <f t="shared" si="1322"/>
        <v>...</v>
      </c>
      <c r="N6108" t="s">
        <v>30</v>
      </c>
    </row>
    <row r="6109" spans="1:14" x14ac:dyDescent="0.25">
      <c r="A6109" t="s">
        <v>42</v>
      </c>
      <c r="B6109" t="s">
        <v>15</v>
      </c>
      <c r="C6109" t="s">
        <v>38</v>
      </c>
      <c r="D6109" t="s">
        <v>34</v>
      </c>
      <c r="E6109" t="s">
        <v>21</v>
      </c>
      <c r="F6109" t="s">
        <v>18</v>
      </c>
      <c r="G6109" s="1" t="str">
        <f t="shared" si="1322"/>
        <v>...</v>
      </c>
      <c r="H6109" s="1" t="str">
        <f t="shared" si="1322"/>
        <v>...</v>
      </c>
      <c r="I6109" s="1" t="str">
        <f t="shared" si="1322"/>
        <v>...</v>
      </c>
      <c r="J6109" s="1" t="str">
        <f t="shared" si="1322"/>
        <v>...</v>
      </c>
      <c r="K6109" s="1" t="str">
        <f t="shared" si="1322"/>
        <v>...</v>
      </c>
      <c r="L6109" s="1" t="str">
        <f t="shared" si="1322"/>
        <v>...</v>
      </c>
      <c r="M6109" s="1" t="str">
        <f t="shared" si="1322"/>
        <v>...</v>
      </c>
      <c r="N6109" t="s">
        <v>30</v>
      </c>
    </row>
    <row r="6110" spans="1:14" x14ac:dyDescent="0.25">
      <c r="A6110" t="s">
        <v>42</v>
      </c>
      <c r="B6110" t="s">
        <v>15</v>
      </c>
      <c r="C6110" t="s">
        <v>38</v>
      </c>
      <c r="D6110" t="s">
        <v>34</v>
      </c>
      <c r="E6110" t="s">
        <v>21</v>
      </c>
      <c r="F6110" t="s">
        <v>19</v>
      </c>
      <c r="G6110" s="1" t="str">
        <f t="shared" si="1322"/>
        <v>...</v>
      </c>
      <c r="H6110" s="1" t="str">
        <f t="shared" si="1322"/>
        <v>...</v>
      </c>
      <c r="I6110" s="1" t="str">
        <f t="shared" si="1322"/>
        <v>...</v>
      </c>
      <c r="J6110" s="1" t="str">
        <f t="shared" si="1322"/>
        <v>...</v>
      </c>
      <c r="K6110" s="1" t="str">
        <f t="shared" si="1322"/>
        <v>...</v>
      </c>
      <c r="L6110" s="1" t="str">
        <f t="shared" si="1322"/>
        <v>...</v>
      </c>
      <c r="M6110" s="1" t="str">
        <f t="shared" si="1322"/>
        <v>...</v>
      </c>
      <c r="N6110" t="s">
        <v>30</v>
      </c>
    </row>
    <row r="6111" spans="1:14" x14ac:dyDescent="0.25">
      <c r="A6111" t="s">
        <v>42</v>
      </c>
      <c r="B6111" t="s">
        <v>15</v>
      </c>
      <c r="C6111" t="s">
        <v>38</v>
      </c>
      <c r="D6111" t="s">
        <v>34</v>
      </c>
      <c r="E6111" t="s">
        <v>21</v>
      </c>
      <c r="F6111" t="s">
        <v>20</v>
      </c>
      <c r="G6111" s="1" t="str">
        <f t="shared" si="1322"/>
        <v>...</v>
      </c>
      <c r="H6111" s="1" t="str">
        <f t="shared" si="1322"/>
        <v>...</v>
      </c>
      <c r="I6111" s="1" t="str">
        <f t="shared" si="1322"/>
        <v>...</v>
      </c>
      <c r="J6111" s="1" t="str">
        <f t="shared" si="1322"/>
        <v>...</v>
      </c>
      <c r="K6111" s="1" t="str">
        <f t="shared" si="1322"/>
        <v>...</v>
      </c>
      <c r="L6111" s="1" t="str">
        <f t="shared" si="1322"/>
        <v>...</v>
      </c>
      <c r="M6111" s="1" t="str">
        <f t="shared" si="1322"/>
        <v>...</v>
      </c>
      <c r="N6111" t="s">
        <v>30</v>
      </c>
    </row>
    <row r="6112" spans="1:14" x14ac:dyDescent="0.25">
      <c r="A6112" t="s">
        <v>42</v>
      </c>
      <c r="B6112" t="s">
        <v>15</v>
      </c>
      <c r="C6112" t="s">
        <v>38</v>
      </c>
      <c r="D6112" t="s">
        <v>34</v>
      </c>
      <c r="E6112" t="s">
        <v>22</v>
      </c>
      <c r="F6112" t="s">
        <v>15</v>
      </c>
      <c r="G6112" s="1" t="str">
        <f t="shared" si="1322"/>
        <v>...</v>
      </c>
      <c r="H6112" s="1" t="str">
        <f t="shared" si="1322"/>
        <v>...</v>
      </c>
      <c r="I6112" s="1" t="str">
        <f t="shared" si="1322"/>
        <v>...</v>
      </c>
      <c r="J6112" s="1" t="str">
        <f t="shared" si="1322"/>
        <v>...</v>
      </c>
      <c r="K6112" s="1" t="str">
        <f t="shared" si="1322"/>
        <v>...</v>
      </c>
      <c r="L6112" s="1" t="str">
        <f t="shared" si="1322"/>
        <v>...</v>
      </c>
      <c r="M6112" s="1" t="str">
        <f t="shared" si="1322"/>
        <v>...</v>
      </c>
      <c r="N6112" t="s">
        <v>30</v>
      </c>
    </row>
    <row r="6113" spans="1:14" x14ac:dyDescent="0.25">
      <c r="A6113" t="s">
        <v>42</v>
      </c>
      <c r="B6113" t="s">
        <v>15</v>
      </c>
      <c r="C6113" t="s">
        <v>38</v>
      </c>
      <c r="D6113" t="s">
        <v>34</v>
      </c>
      <c r="E6113" t="s">
        <v>22</v>
      </c>
      <c r="F6113" t="s">
        <v>17</v>
      </c>
      <c r="G6113" s="1" t="str">
        <f t="shared" si="1322"/>
        <v>...</v>
      </c>
      <c r="H6113" s="1" t="str">
        <f t="shared" si="1322"/>
        <v>...</v>
      </c>
      <c r="I6113" s="1" t="str">
        <f t="shared" si="1322"/>
        <v>...</v>
      </c>
      <c r="J6113" s="1" t="str">
        <f t="shared" si="1322"/>
        <v>...</v>
      </c>
      <c r="K6113" s="1" t="str">
        <f t="shared" si="1322"/>
        <v>...</v>
      </c>
      <c r="L6113" s="1" t="str">
        <f t="shared" si="1322"/>
        <v>...</v>
      </c>
      <c r="M6113" s="1" t="str">
        <f t="shared" si="1322"/>
        <v>...</v>
      </c>
      <c r="N6113" t="s">
        <v>30</v>
      </c>
    </row>
    <row r="6114" spans="1:14" x14ac:dyDescent="0.25">
      <c r="A6114" t="s">
        <v>42</v>
      </c>
      <c r="B6114" t="s">
        <v>15</v>
      </c>
      <c r="C6114" t="s">
        <v>38</v>
      </c>
      <c r="D6114" t="s">
        <v>34</v>
      </c>
      <c r="E6114" t="s">
        <v>22</v>
      </c>
      <c r="F6114" t="s">
        <v>18</v>
      </c>
      <c r="G6114" s="1" t="str">
        <f t="shared" si="1322"/>
        <v>...</v>
      </c>
      <c r="H6114" s="1" t="str">
        <f t="shared" si="1322"/>
        <v>...</v>
      </c>
      <c r="I6114" s="1" t="str">
        <f t="shared" si="1322"/>
        <v>...</v>
      </c>
      <c r="J6114" s="1" t="str">
        <f t="shared" si="1322"/>
        <v>...</v>
      </c>
      <c r="K6114" s="1" t="str">
        <f t="shared" si="1322"/>
        <v>...</v>
      </c>
      <c r="L6114" s="1" t="str">
        <f t="shared" si="1322"/>
        <v>...</v>
      </c>
      <c r="M6114" s="1" t="str">
        <f t="shared" si="1322"/>
        <v>...</v>
      </c>
      <c r="N6114" t="s">
        <v>30</v>
      </c>
    </row>
    <row r="6115" spans="1:14" x14ac:dyDescent="0.25">
      <c r="A6115" t="s">
        <v>42</v>
      </c>
      <c r="B6115" t="s">
        <v>15</v>
      </c>
      <c r="C6115" t="s">
        <v>38</v>
      </c>
      <c r="D6115" t="s">
        <v>34</v>
      </c>
      <c r="E6115" t="s">
        <v>22</v>
      </c>
      <c r="F6115" t="s">
        <v>19</v>
      </c>
      <c r="G6115" s="1" t="str">
        <f t="shared" si="1322"/>
        <v>...</v>
      </c>
      <c r="H6115" s="1" t="str">
        <f t="shared" si="1322"/>
        <v>...</v>
      </c>
      <c r="I6115" s="1" t="str">
        <f t="shared" si="1322"/>
        <v>...</v>
      </c>
      <c r="J6115" s="1" t="str">
        <f t="shared" si="1322"/>
        <v>...</v>
      </c>
      <c r="K6115" s="1" t="str">
        <f t="shared" si="1322"/>
        <v>...</v>
      </c>
      <c r="L6115" s="1" t="str">
        <f t="shared" si="1322"/>
        <v>...</v>
      </c>
      <c r="M6115" s="1" t="str">
        <f t="shared" si="1322"/>
        <v>...</v>
      </c>
      <c r="N6115" t="s">
        <v>30</v>
      </c>
    </row>
    <row r="6116" spans="1:14" x14ac:dyDescent="0.25">
      <c r="A6116" t="s">
        <v>42</v>
      </c>
      <c r="B6116" t="s">
        <v>15</v>
      </c>
      <c r="C6116" t="s">
        <v>38</v>
      </c>
      <c r="D6116" t="s">
        <v>34</v>
      </c>
      <c r="E6116" t="s">
        <v>22</v>
      </c>
      <c r="F6116" t="s">
        <v>20</v>
      </c>
      <c r="G6116" s="1" t="str">
        <f t="shared" si="1322"/>
        <v>...</v>
      </c>
      <c r="H6116" s="1" t="str">
        <f t="shared" si="1322"/>
        <v>...</v>
      </c>
      <c r="I6116" s="1" t="str">
        <f t="shared" si="1322"/>
        <v>...</v>
      </c>
      <c r="J6116" s="1" t="str">
        <f t="shared" si="1322"/>
        <v>...</v>
      </c>
      <c r="K6116" s="1" t="str">
        <f t="shared" si="1322"/>
        <v>...</v>
      </c>
      <c r="L6116" s="1" t="str">
        <f t="shared" si="1322"/>
        <v>...</v>
      </c>
      <c r="M6116" s="1" t="str">
        <f t="shared" si="1322"/>
        <v>...</v>
      </c>
      <c r="N6116" t="s">
        <v>30</v>
      </c>
    </row>
    <row r="6117" spans="1:14" x14ac:dyDescent="0.25">
      <c r="A6117" t="s">
        <v>42</v>
      </c>
      <c r="B6117" t="s">
        <v>15</v>
      </c>
      <c r="C6117" t="s">
        <v>38</v>
      </c>
      <c r="D6117" t="s">
        <v>34</v>
      </c>
      <c r="E6117" t="s">
        <v>23</v>
      </c>
      <c r="F6117" t="s">
        <v>15</v>
      </c>
      <c r="G6117" s="1" t="str">
        <f t="shared" ref="G6117:M6126" si="1323">"..."</f>
        <v>...</v>
      </c>
      <c r="H6117" s="1" t="str">
        <f t="shared" si="1323"/>
        <v>...</v>
      </c>
      <c r="I6117" s="1" t="str">
        <f t="shared" si="1323"/>
        <v>...</v>
      </c>
      <c r="J6117" s="1" t="str">
        <f t="shared" si="1323"/>
        <v>...</v>
      </c>
      <c r="K6117" s="1" t="str">
        <f t="shared" si="1323"/>
        <v>...</v>
      </c>
      <c r="L6117" s="1" t="str">
        <f t="shared" si="1323"/>
        <v>...</v>
      </c>
      <c r="M6117" s="1" t="str">
        <f t="shared" si="1323"/>
        <v>...</v>
      </c>
      <c r="N6117" t="s">
        <v>30</v>
      </c>
    </row>
    <row r="6118" spans="1:14" x14ac:dyDescent="0.25">
      <c r="A6118" t="s">
        <v>42</v>
      </c>
      <c r="B6118" t="s">
        <v>15</v>
      </c>
      <c r="C6118" t="s">
        <v>38</v>
      </c>
      <c r="D6118" t="s">
        <v>34</v>
      </c>
      <c r="E6118" t="s">
        <v>23</v>
      </c>
      <c r="F6118" t="s">
        <v>17</v>
      </c>
      <c r="G6118" s="1" t="str">
        <f t="shared" si="1323"/>
        <v>...</v>
      </c>
      <c r="H6118" s="1" t="str">
        <f t="shared" si="1323"/>
        <v>...</v>
      </c>
      <c r="I6118" s="1" t="str">
        <f t="shared" si="1323"/>
        <v>...</v>
      </c>
      <c r="J6118" s="1" t="str">
        <f t="shared" si="1323"/>
        <v>...</v>
      </c>
      <c r="K6118" s="1" t="str">
        <f t="shared" si="1323"/>
        <v>...</v>
      </c>
      <c r="L6118" s="1" t="str">
        <f t="shared" si="1323"/>
        <v>...</v>
      </c>
      <c r="M6118" s="1" t="str">
        <f t="shared" si="1323"/>
        <v>...</v>
      </c>
      <c r="N6118" t="s">
        <v>30</v>
      </c>
    </row>
    <row r="6119" spans="1:14" x14ac:dyDescent="0.25">
      <c r="A6119" t="s">
        <v>42</v>
      </c>
      <c r="B6119" t="s">
        <v>15</v>
      </c>
      <c r="C6119" t="s">
        <v>38</v>
      </c>
      <c r="D6119" t="s">
        <v>34</v>
      </c>
      <c r="E6119" t="s">
        <v>23</v>
      </c>
      <c r="F6119" t="s">
        <v>18</v>
      </c>
      <c r="G6119" s="1" t="str">
        <f t="shared" si="1323"/>
        <v>...</v>
      </c>
      <c r="H6119" s="1" t="str">
        <f t="shared" si="1323"/>
        <v>...</v>
      </c>
      <c r="I6119" s="1" t="str">
        <f t="shared" si="1323"/>
        <v>...</v>
      </c>
      <c r="J6119" s="1" t="str">
        <f t="shared" si="1323"/>
        <v>...</v>
      </c>
      <c r="K6119" s="1" t="str">
        <f t="shared" si="1323"/>
        <v>...</v>
      </c>
      <c r="L6119" s="1" t="str">
        <f t="shared" si="1323"/>
        <v>...</v>
      </c>
      <c r="M6119" s="1" t="str">
        <f t="shared" si="1323"/>
        <v>...</v>
      </c>
      <c r="N6119" t="s">
        <v>30</v>
      </c>
    </row>
    <row r="6120" spans="1:14" x14ac:dyDescent="0.25">
      <c r="A6120" t="s">
        <v>42</v>
      </c>
      <c r="B6120" t="s">
        <v>15</v>
      </c>
      <c r="C6120" t="s">
        <v>38</v>
      </c>
      <c r="D6120" t="s">
        <v>34</v>
      </c>
      <c r="E6120" t="s">
        <v>23</v>
      </c>
      <c r="F6120" t="s">
        <v>19</v>
      </c>
      <c r="G6120" s="1" t="str">
        <f t="shared" si="1323"/>
        <v>...</v>
      </c>
      <c r="H6120" s="1" t="str">
        <f t="shared" si="1323"/>
        <v>...</v>
      </c>
      <c r="I6120" s="1" t="str">
        <f t="shared" si="1323"/>
        <v>...</v>
      </c>
      <c r="J6120" s="1" t="str">
        <f t="shared" si="1323"/>
        <v>...</v>
      </c>
      <c r="K6120" s="1" t="str">
        <f t="shared" si="1323"/>
        <v>...</v>
      </c>
      <c r="L6120" s="1" t="str">
        <f t="shared" si="1323"/>
        <v>...</v>
      </c>
      <c r="M6120" s="1" t="str">
        <f t="shared" si="1323"/>
        <v>...</v>
      </c>
      <c r="N6120" t="s">
        <v>30</v>
      </c>
    </row>
    <row r="6121" spans="1:14" x14ac:dyDescent="0.25">
      <c r="A6121" t="s">
        <v>42</v>
      </c>
      <c r="B6121" t="s">
        <v>15</v>
      </c>
      <c r="C6121" t="s">
        <v>38</v>
      </c>
      <c r="D6121" t="s">
        <v>34</v>
      </c>
      <c r="E6121" t="s">
        <v>23</v>
      </c>
      <c r="F6121" t="s">
        <v>20</v>
      </c>
      <c r="G6121" s="1" t="str">
        <f t="shared" si="1323"/>
        <v>...</v>
      </c>
      <c r="H6121" s="1" t="str">
        <f t="shared" si="1323"/>
        <v>...</v>
      </c>
      <c r="I6121" s="1" t="str">
        <f t="shared" si="1323"/>
        <v>...</v>
      </c>
      <c r="J6121" s="1" t="str">
        <f t="shared" si="1323"/>
        <v>...</v>
      </c>
      <c r="K6121" s="1" t="str">
        <f t="shared" si="1323"/>
        <v>...</v>
      </c>
      <c r="L6121" s="1" t="str">
        <f t="shared" si="1323"/>
        <v>...</v>
      </c>
      <c r="M6121" s="1" t="str">
        <f t="shared" si="1323"/>
        <v>...</v>
      </c>
      <c r="N6121" t="s">
        <v>30</v>
      </c>
    </row>
    <row r="6122" spans="1:14" x14ac:dyDescent="0.25">
      <c r="A6122" t="s">
        <v>42</v>
      </c>
      <c r="B6122" t="s">
        <v>15</v>
      </c>
      <c r="C6122" t="s">
        <v>38</v>
      </c>
      <c r="D6122" t="s">
        <v>34</v>
      </c>
      <c r="E6122" t="s">
        <v>26</v>
      </c>
      <c r="F6122" t="s">
        <v>15</v>
      </c>
      <c r="G6122" s="1" t="str">
        <f t="shared" si="1323"/>
        <v>...</v>
      </c>
      <c r="H6122" s="1" t="str">
        <f t="shared" si="1323"/>
        <v>...</v>
      </c>
      <c r="I6122" s="1" t="str">
        <f t="shared" si="1323"/>
        <v>...</v>
      </c>
      <c r="J6122" s="1" t="str">
        <f t="shared" si="1323"/>
        <v>...</v>
      </c>
      <c r="K6122" s="1" t="str">
        <f t="shared" si="1323"/>
        <v>...</v>
      </c>
      <c r="L6122" s="1" t="str">
        <f t="shared" si="1323"/>
        <v>...</v>
      </c>
      <c r="M6122" s="1" t="str">
        <f t="shared" si="1323"/>
        <v>...</v>
      </c>
      <c r="N6122" t="s">
        <v>30</v>
      </c>
    </row>
    <row r="6123" spans="1:14" x14ac:dyDescent="0.25">
      <c r="A6123" t="s">
        <v>42</v>
      </c>
      <c r="B6123" t="s">
        <v>15</v>
      </c>
      <c r="C6123" t="s">
        <v>38</v>
      </c>
      <c r="D6123" t="s">
        <v>34</v>
      </c>
      <c r="E6123" t="s">
        <v>26</v>
      </c>
      <c r="F6123" t="s">
        <v>17</v>
      </c>
      <c r="G6123" s="1" t="str">
        <f t="shared" si="1323"/>
        <v>...</v>
      </c>
      <c r="H6123" s="1" t="str">
        <f t="shared" si="1323"/>
        <v>...</v>
      </c>
      <c r="I6123" s="1" t="str">
        <f t="shared" si="1323"/>
        <v>...</v>
      </c>
      <c r="J6123" s="1" t="str">
        <f t="shared" si="1323"/>
        <v>...</v>
      </c>
      <c r="K6123" s="1" t="str">
        <f t="shared" si="1323"/>
        <v>...</v>
      </c>
      <c r="L6123" s="1" t="str">
        <f t="shared" si="1323"/>
        <v>...</v>
      </c>
      <c r="M6123" s="1" t="str">
        <f t="shared" si="1323"/>
        <v>...</v>
      </c>
      <c r="N6123" t="s">
        <v>30</v>
      </c>
    </row>
    <row r="6124" spans="1:14" x14ac:dyDescent="0.25">
      <c r="A6124" t="s">
        <v>42</v>
      </c>
      <c r="B6124" t="s">
        <v>15</v>
      </c>
      <c r="C6124" t="s">
        <v>38</v>
      </c>
      <c r="D6124" t="s">
        <v>34</v>
      </c>
      <c r="E6124" t="s">
        <v>26</v>
      </c>
      <c r="F6124" t="s">
        <v>18</v>
      </c>
      <c r="G6124" s="1" t="str">
        <f t="shared" si="1323"/>
        <v>...</v>
      </c>
      <c r="H6124" s="1" t="str">
        <f t="shared" si="1323"/>
        <v>...</v>
      </c>
      <c r="I6124" s="1" t="str">
        <f t="shared" si="1323"/>
        <v>...</v>
      </c>
      <c r="J6124" s="1" t="str">
        <f t="shared" si="1323"/>
        <v>...</v>
      </c>
      <c r="K6124" s="1" t="str">
        <f t="shared" si="1323"/>
        <v>...</v>
      </c>
      <c r="L6124" s="1" t="str">
        <f t="shared" si="1323"/>
        <v>...</v>
      </c>
      <c r="M6124" s="1" t="str">
        <f t="shared" si="1323"/>
        <v>...</v>
      </c>
      <c r="N6124" t="s">
        <v>30</v>
      </c>
    </row>
    <row r="6125" spans="1:14" x14ac:dyDescent="0.25">
      <c r="A6125" t="s">
        <v>42</v>
      </c>
      <c r="B6125" t="s">
        <v>15</v>
      </c>
      <c r="C6125" t="s">
        <v>38</v>
      </c>
      <c r="D6125" t="s">
        <v>34</v>
      </c>
      <c r="E6125" t="s">
        <v>26</v>
      </c>
      <c r="F6125" t="s">
        <v>19</v>
      </c>
      <c r="G6125" s="1" t="str">
        <f t="shared" si="1323"/>
        <v>...</v>
      </c>
      <c r="H6125" s="1" t="str">
        <f t="shared" si="1323"/>
        <v>...</v>
      </c>
      <c r="I6125" s="1" t="str">
        <f t="shared" si="1323"/>
        <v>...</v>
      </c>
      <c r="J6125" s="1" t="str">
        <f t="shared" si="1323"/>
        <v>...</v>
      </c>
      <c r="K6125" s="1" t="str">
        <f t="shared" si="1323"/>
        <v>...</v>
      </c>
      <c r="L6125" s="1" t="str">
        <f t="shared" si="1323"/>
        <v>...</v>
      </c>
      <c r="M6125" s="1" t="str">
        <f t="shared" si="1323"/>
        <v>...</v>
      </c>
      <c r="N6125" t="s">
        <v>30</v>
      </c>
    </row>
    <row r="6126" spans="1:14" x14ac:dyDescent="0.25">
      <c r="A6126" t="s">
        <v>42</v>
      </c>
      <c r="B6126" t="s">
        <v>15</v>
      </c>
      <c r="C6126" t="s">
        <v>38</v>
      </c>
      <c r="D6126" t="s">
        <v>34</v>
      </c>
      <c r="E6126" t="s">
        <v>26</v>
      </c>
      <c r="F6126" t="s">
        <v>20</v>
      </c>
      <c r="G6126" s="1" t="str">
        <f t="shared" si="1323"/>
        <v>...</v>
      </c>
      <c r="H6126" s="1" t="str">
        <f t="shared" si="1323"/>
        <v>...</v>
      </c>
      <c r="I6126" s="1" t="str">
        <f t="shared" si="1323"/>
        <v>...</v>
      </c>
      <c r="J6126" s="1" t="str">
        <f t="shared" si="1323"/>
        <v>...</v>
      </c>
      <c r="K6126" s="1" t="str">
        <f t="shared" si="1323"/>
        <v>...</v>
      </c>
      <c r="L6126" s="1" t="str">
        <f t="shared" si="1323"/>
        <v>...</v>
      </c>
      <c r="M6126" s="1" t="str">
        <f t="shared" si="1323"/>
        <v>...</v>
      </c>
      <c r="N6126" t="s">
        <v>30</v>
      </c>
    </row>
    <row r="6127" spans="1:14" x14ac:dyDescent="0.25">
      <c r="A6127" t="s">
        <v>42</v>
      </c>
      <c r="B6127" t="s">
        <v>39</v>
      </c>
      <c r="C6127" t="s">
        <v>15</v>
      </c>
      <c r="D6127" t="s">
        <v>15</v>
      </c>
      <c r="E6127" t="s">
        <v>15</v>
      </c>
      <c r="F6127" t="s">
        <v>15</v>
      </c>
      <c r="G6127" s="1">
        <f>VALUE(70485.66)</f>
        <v>70485.66</v>
      </c>
      <c r="H6127" s="1">
        <f>VALUE(70253.2)</f>
        <v>70253.2</v>
      </c>
      <c r="I6127" s="1">
        <f>VALUE(3571)</f>
        <v>3571</v>
      </c>
      <c r="J6127" s="1">
        <f>VALUE(4353)</f>
        <v>4353</v>
      </c>
      <c r="K6127" s="1">
        <f>VALUE(5458)</f>
        <v>5458</v>
      </c>
      <c r="L6127" s="1">
        <f>VALUE(6935)</f>
        <v>6935</v>
      </c>
      <c r="M6127" s="1">
        <f>VALUE(10075)</f>
        <v>10075</v>
      </c>
      <c r="N6127" t="s">
        <v>16</v>
      </c>
    </row>
    <row r="6128" spans="1:14" x14ac:dyDescent="0.25">
      <c r="A6128" t="s">
        <v>42</v>
      </c>
      <c r="B6128" t="s">
        <v>39</v>
      </c>
      <c r="C6128" t="s">
        <v>15</v>
      </c>
      <c r="D6128" t="s">
        <v>15</v>
      </c>
      <c r="E6128" t="s">
        <v>15</v>
      </c>
      <c r="F6128" t="s">
        <v>17</v>
      </c>
      <c r="G6128" s="1">
        <f>VALUE(13179.7)</f>
        <v>13179.7</v>
      </c>
      <c r="H6128" s="1">
        <f>VALUE(13173.74)</f>
        <v>13173.74</v>
      </c>
      <c r="I6128" s="1">
        <f>VALUE(4278)</f>
        <v>4278</v>
      </c>
      <c r="J6128" s="1">
        <f>VALUE(6000)</f>
        <v>6000</v>
      </c>
      <c r="K6128" s="1">
        <f>VALUE(8610)</f>
        <v>8610</v>
      </c>
      <c r="L6128" s="1">
        <f>VALUE(12222)</f>
        <v>12222</v>
      </c>
      <c r="M6128" s="1">
        <f>VALUE(18173)</f>
        <v>18173</v>
      </c>
      <c r="N6128" t="s">
        <v>16</v>
      </c>
    </row>
    <row r="6129" spans="1:14" x14ac:dyDescent="0.25">
      <c r="A6129" t="s">
        <v>42</v>
      </c>
      <c r="B6129" t="s">
        <v>39</v>
      </c>
      <c r="C6129" t="s">
        <v>15</v>
      </c>
      <c r="D6129" t="s">
        <v>15</v>
      </c>
      <c r="E6129" t="s">
        <v>15</v>
      </c>
      <c r="F6129" t="s">
        <v>18</v>
      </c>
      <c r="G6129" s="1">
        <f>VALUE(5967.31)</f>
        <v>5967.31</v>
      </c>
      <c r="H6129" s="1">
        <f>VALUE(5842.06)</f>
        <v>5842.06</v>
      </c>
      <c r="I6129" s="1">
        <f>VALUE(4056)</f>
        <v>4056</v>
      </c>
      <c r="J6129" s="1">
        <f>VALUE(4970)</f>
        <v>4970</v>
      </c>
      <c r="K6129" s="1">
        <f>VALUE(6282)</f>
        <v>6282</v>
      </c>
      <c r="L6129" s="1">
        <f>VALUE(8262)</f>
        <v>8262</v>
      </c>
      <c r="M6129" s="1">
        <f>VALUE(10317)</f>
        <v>10317</v>
      </c>
      <c r="N6129" t="s">
        <v>16</v>
      </c>
    </row>
    <row r="6130" spans="1:14" x14ac:dyDescent="0.25">
      <c r="A6130" t="s">
        <v>42</v>
      </c>
      <c r="B6130" t="s">
        <v>39</v>
      </c>
      <c r="C6130" t="s">
        <v>15</v>
      </c>
      <c r="D6130" t="s">
        <v>15</v>
      </c>
      <c r="E6130" t="s">
        <v>15</v>
      </c>
      <c r="F6130" t="s">
        <v>19</v>
      </c>
      <c r="G6130" s="1">
        <f>VALUE(8399.46)</f>
        <v>8399.4599999999991</v>
      </c>
      <c r="H6130" s="1">
        <f>VALUE(8424.5)</f>
        <v>8424.5</v>
      </c>
      <c r="I6130" s="1">
        <f>VALUE(3886)</f>
        <v>3886</v>
      </c>
      <c r="J6130" s="1">
        <f>VALUE(4545)</f>
        <v>4545</v>
      </c>
      <c r="K6130" s="1">
        <f>VALUE(5555)</f>
        <v>5555</v>
      </c>
      <c r="L6130" s="1">
        <f>VALUE(6688)</f>
        <v>6688</v>
      </c>
      <c r="M6130" s="1">
        <f>VALUE(8242)</f>
        <v>8242</v>
      </c>
      <c r="N6130" t="s">
        <v>16</v>
      </c>
    </row>
    <row r="6131" spans="1:14" x14ac:dyDescent="0.25">
      <c r="A6131" t="s">
        <v>42</v>
      </c>
      <c r="B6131" t="s">
        <v>39</v>
      </c>
      <c r="C6131" t="s">
        <v>15</v>
      </c>
      <c r="D6131" t="s">
        <v>15</v>
      </c>
      <c r="E6131" t="s">
        <v>15</v>
      </c>
      <c r="F6131" t="s">
        <v>20</v>
      </c>
      <c r="G6131" s="1">
        <f>VALUE(42939.19)</f>
        <v>42939.19</v>
      </c>
      <c r="H6131" s="1">
        <f>VALUE(42812.9)</f>
        <v>42812.9</v>
      </c>
      <c r="I6131" s="1">
        <f>VALUE(3433)</f>
        <v>3433</v>
      </c>
      <c r="J6131" s="1">
        <f>VALUE(4119)</f>
        <v>4119</v>
      </c>
      <c r="K6131" s="1">
        <f>VALUE(5022)</f>
        <v>5022</v>
      </c>
      <c r="L6131" s="1">
        <f>VALUE(6007)</f>
        <v>6007</v>
      </c>
      <c r="M6131" s="1">
        <f>VALUE(7097)</f>
        <v>7097</v>
      </c>
      <c r="N6131" t="s">
        <v>16</v>
      </c>
    </row>
    <row r="6132" spans="1:14" x14ac:dyDescent="0.25">
      <c r="A6132" t="s">
        <v>42</v>
      </c>
      <c r="B6132" t="s">
        <v>39</v>
      </c>
      <c r="C6132" t="s">
        <v>15</v>
      </c>
      <c r="D6132" t="s">
        <v>15</v>
      </c>
      <c r="E6132" t="s">
        <v>21</v>
      </c>
      <c r="F6132" t="s">
        <v>15</v>
      </c>
      <c r="G6132" s="1">
        <f>VALUE(15604.42)</f>
        <v>15604.42</v>
      </c>
      <c r="H6132" s="1">
        <f>VALUE(15067.37)</f>
        <v>15067.37</v>
      </c>
      <c r="I6132" s="1">
        <f>VALUE(4219)</f>
        <v>4219</v>
      </c>
      <c r="J6132" s="1">
        <f>VALUE(5599)</f>
        <v>5599</v>
      </c>
      <c r="K6132" s="1">
        <f>VALUE(7738)</f>
        <v>7738</v>
      </c>
      <c r="L6132" s="1">
        <f>VALUE(10999)</f>
        <v>10999</v>
      </c>
      <c r="M6132" s="1">
        <f>VALUE(15170)</f>
        <v>15170</v>
      </c>
      <c r="N6132" t="s">
        <v>16</v>
      </c>
    </row>
    <row r="6133" spans="1:14" x14ac:dyDescent="0.25">
      <c r="A6133" t="s">
        <v>42</v>
      </c>
      <c r="B6133" t="s">
        <v>39</v>
      </c>
      <c r="C6133" t="s">
        <v>15</v>
      </c>
      <c r="D6133" t="s">
        <v>15</v>
      </c>
      <c r="E6133" t="s">
        <v>21</v>
      </c>
      <c r="F6133" t="s">
        <v>17</v>
      </c>
      <c r="G6133" s="2">
        <f>VALUE(6803.22)</f>
        <v>6803.22</v>
      </c>
      <c r="H6133" s="3">
        <f>VALUE(6737.78)</f>
        <v>6737.78</v>
      </c>
      <c r="I6133" s="1">
        <f>VALUE(5098)</f>
        <v>5098</v>
      </c>
      <c r="J6133" s="1">
        <f>VALUE(7245)</f>
        <v>7245</v>
      </c>
      <c r="K6133" s="1">
        <f>VALUE(10354)</f>
        <v>10354</v>
      </c>
      <c r="L6133" s="1">
        <f>VALUE(13664)</f>
        <v>13664</v>
      </c>
      <c r="M6133" s="8">
        <f>VALUE(21277)</f>
        <v>21277</v>
      </c>
      <c r="N6133" t="s">
        <v>25</v>
      </c>
    </row>
    <row r="6134" spans="1:14" x14ac:dyDescent="0.25">
      <c r="A6134" t="s">
        <v>42</v>
      </c>
      <c r="B6134" t="s">
        <v>39</v>
      </c>
      <c r="C6134" t="s">
        <v>15</v>
      </c>
      <c r="D6134" t="s">
        <v>15</v>
      </c>
      <c r="E6134" t="s">
        <v>21</v>
      </c>
      <c r="F6134" t="s">
        <v>18</v>
      </c>
      <c r="G6134" s="1">
        <f>VALUE(2216.54)</f>
        <v>2216.54</v>
      </c>
      <c r="H6134" s="1">
        <f>VALUE(2112.47)</f>
        <v>2112.4699999999998</v>
      </c>
      <c r="I6134" s="1">
        <f>VALUE(4691)</f>
        <v>4691</v>
      </c>
      <c r="J6134" s="1">
        <f>VALUE(6111)</f>
        <v>6111</v>
      </c>
      <c r="K6134" s="1">
        <f>VALUE(7895)</f>
        <v>7895</v>
      </c>
      <c r="L6134" s="1">
        <f>VALUE(9860)</f>
        <v>9860</v>
      </c>
      <c r="M6134" s="8">
        <f>VALUE(12018)</f>
        <v>12018</v>
      </c>
      <c r="N6134" t="s">
        <v>25</v>
      </c>
    </row>
    <row r="6135" spans="1:14" x14ac:dyDescent="0.25">
      <c r="A6135" t="s">
        <v>42</v>
      </c>
      <c r="B6135" t="s">
        <v>39</v>
      </c>
      <c r="C6135" t="s">
        <v>15</v>
      </c>
      <c r="D6135" t="s">
        <v>15</v>
      </c>
      <c r="E6135" t="s">
        <v>21</v>
      </c>
      <c r="F6135" t="s">
        <v>19</v>
      </c>
      <c r="G6135" s="1">
        <f>VALUE(1944.95)</f>
        <v>1944.95</v>
      </c>
      <c r="H6135" s="1">
        <f>VALUE(1911.92)</f>
        <v>1911.92</v>
      </c>
      <c r="I6135" s="1">
        <f>VALUE(3900)</f>
        <v>3900</v>
      </c>
      <c r="J6135" s="1">
        <f>VALUE(4667)</f>
        <v>4667</v>
      </c>
      <c r="K6135" s="1">
        <f>VALUE(6275)</f>
        <v>6275</v>
      </c>
      <c r="L6135" s="1">
        <f>VALUE(8027)</f>
        <v>8027</v>
      </c>
      <c r="M6135" s="8">
        <f>VALUE(10152)</f>
        <v>10152</v>
      </c>
      <c r="N6135" t="s">
        <v>25</v>
      </c>
    </row>
    <row r="6136" spans="1:14" x14ac:dyDescent="0.25">
      <c r="A6136" t="s">
        <v>42</v>
      </c>
      <c r="B6136" t="s">
        <v>39</v>
      </c>
      <c r="C6136" t="s">
        <v>15</v>
      </c>
      <c r="D6136" t="s">
        <v>15</v>
      </c>
      <c r="E6136" t="s">
        <v>21</v>
      </c>
      <c r="F6136" t="s">
        <v>20</v>
      </c>
      <c r="G6136" s="1">
        <f>VALUE(4639.71)</f>
        <v>4639.71</v>
      </c>
      <c r="H6136" s="1">
        <f>VALUE(4305.2)</f>
        <v>4305.2</v>
      </c>
      <c r="I6136" s="1">
        <f>VALUE(3707)</f>
        <v>3707</v>
      </c>
      <c r="J6136" s="1">
        <f>VALUE(4690)</f>
        <v>4690</v>
      </c>
      <c r="K6136" s="1">
        <f>VALUE(6156)</f>
        <v>6156</v>
      </c>
      <c r="L6136" s="1">
        <f>VALUE(7805)</f>
        <v>7805</v>
      </c>
      <c r="M6136" s="1">
        <f>VALUE(9392)</f>
        <v>9392</v>
      </c>
      <c r="N6136" t="s">
        <v>16</v>
      </c>
    </row>
    <row r="6137" spans="1:14" x14ac:dyDescent="0.25">
      <c r="A6137" t="s">
        <v>42</v>
      </c>
      <c r="B6137" t="s">
        <v>39</v>
      </c>
      <c r="C6137" t="s">
        <v>15</v>
      </c>
      <c r="D6137" t="s">
        <v>15</v>
      </c>
      <c r="E6137" t="s">
        <v>22</v>
      </c>
      <c r="F6137" t="s">
        <v>15</v>
      </c>
      <c r="G6137" s="1">
        <f>VALUE(31446.67)</f>
        <v>31446.67</v>
      </c>
      <c r="H6137" s="1">
        <f>VALUE(31529.29)</f>
        <v>31529.29</v>
      </c>
      <c r="I6137" s="1">
        <f>VALUE(3826)</f>
        <v>3826</v>
      </c>
      <c r="J6137" s="1">
        <f>VALUE(4550)</f>
        <v>4550</v>
      </c>
      <c r="K6137" s="1">
        <f>VALUE(5521)</f>
        <v>5521</v>
      </c>
      <c r="L6137" s="1">
        <f>VALUE(6759)</f>
        <v>6759</v>
      </c>
      <c r="M6137" s="1">
        <f>VALUE(8674)</f>
        <v>8674</v>
      </c>
      <c r="N6137" t="s">
        <v>16</v>
      </c>
    </row>
    <row r="6138" spans="1:14" x14ac:dyDescent="0.25">
      <c r="A6138" t="s">
        <v>42</v>
      </c>
      <c r="B6138" t="s">
        <v>39</v>
      </c>
      <c r="C6138" t="s">
        <v>15</v>
      </c>
      <c r="D6138" t="s">
        <v>15</v>
      </c>
      <c r="E6138" t="s">
        <v>22</v>
      </c>
      <c r="F6138" t="s">
        <v>17</v>
      </c>
      <c r="G6138" s="1">
        <f>VALUE(5008.31)</f>
        <v>5008.3100000000004</v>
      </c>
      <c r="H6138" s="1">
        <f>VALUE(5081.83)</f>
        <v>5081.83</v>
      </c>
      <c r="I6138" s="1">
        <f>VALUE(4258)</f>
        <v>4258</v>
      </c>
      <c r="J6138" s="1">
        <f>VALUE(5583)</f>
        <v>5583</v>
      </c>
      <c r="K6138" s="1">
        <f>VALUE(7585)</f>
        <v>7585</v>
      </c>
      <c r="L6138" s="1">
        <f>VALUE(10777)</f>
        <v>10777</v>
      </c>
      <c r="M6138" s="1">
        <f>VALUE(16022)</f>
        <v>16022</v>
      </c>
      <c r="N6138" t="s">
        <v>16</v>
      </c>
    </row>
    <row r="6139" spans="1:14" x14ac:dyDescent="0.25">
      <c r="A6139" t="s">
        <v>42</v>
      </c>
      <c r="B6139" t="s">
        <v>39</v>
      </c>
      <c r="C6139" t="s">
        <v>15</v>
      </c>
      <c r="D6139" t="s">
        <v>15</v>
      </c>
      <c r="E6139" t="s">
        <v>22</v>
      </c>
      <c r="F6139" t="s">
        <v>18</v>
      </c>
      <c r="G6139" s="1">
        <f>VALUE(2662.68)</f>
        <v>2662.68</v>
      </c>
      <c r="H6139" s="1">
        <f>VALUE(2618.57)</f>
        <v>2618.5700000000002</v>
      </c>
      <c r="I6139" s="1">
        <f>VALUE(4230)</f>
        <v>4230</v>
      </c>
      <c r="J6139" s="1">
        <f>VALUE(4930)</f>
        <v>4930</v>
      </c>
      <c r="K6139" s="1">
        <f>VALUE(6011)</f>
        <v>6011</v>
      </c>
      <c r="L6139" s="1">
        <f>VALUE(7650)</f>
        <v>7650</v>
      </c>
      <c r="M6139" s="1">
        <f>VALUE(9233)</f>
        <v>9233</v>
      </c>
      <c r="N6139" t="s">
        <v>16</v>
      </c>
    </row>
    <row r="6140" spans="1:14" x14ac:dyDescent="0.25">
      <c r="A6140" t="s">
        <v>42</v>
      </c>
      <c r="B6140" t="s">
        <v>39</v>
      </c>
      <c r="C6140" t="s">
        <v>15</v>
      </c>
      <c r="D6140" t="s">
        <v>15</v>
      </c>
      <c r="E6140" t="s">
        <v>22</v>
      </c>
      <c r="F6140" t="s">
        <v>19</v>
      </c>
      <c r="G6140" s="1">
        <f>VALUE(4296.61)</f>
        <v>4296.6099999999997</v>
      </c>
      <c r="H6140" s="1">
        <f>VALUE(4295.74)</f>
        <v>4295.74</v>
      </c>
      <c r="I6140" s="1">
        <f>VALUE(4060)</f>
        <v>4060</v>
      </c>
      <c r="J6140" s="1">
        <f>VALUE(4727)</f>
        <v>4727</v>
      </c>
      <c r="K6140" s="1">
        <f>VALUE(5569)</f>
        <v>5569</v>
      </c>
      <c r="L6140" s="1">
        <f>VALUE(6613)</f>
        <v>6613</v>
      </c>
      <c r="M6140" s="1">
        <f>VALUE(8015)</f>
        <v>8015</v>
      </c>
      <c r="N6140" t="s">
        <v>16</v>
      </c>
    </row>
    <row r="6141" spans="1:14" x14ac:dyDescent="0.25">
      <c r="A6141" t="s">
        <v>42</v>
      </c>
      <c r="B6141" t="s">
        <v>39</v>
      </c>
      <c r="C6141" t="s">
        <v>15</v>
      </c>
      <c r="D6141" t="s">
        <v>15</v>
      </c>
      <c r="E6141" t="s">
        <v>22</v>
      </c>
      <c r="F6141" t="s">
        <v>20</v>
      </c>
      <c r="G6141" s="1">
        <f>VALUE(19479.07)</f>
        <v>19479.07</v>
      </c>
      <c r="H6141" s="1">
        <f>VALUE(19533.15)</f>
        <v>19533.150000000001</v>
      </c>
      <c r="I6141" s="1">
        <f>VALUE(3671)</f>
        <v>3671</v>
      </c>
      <c r="J6141" s="1">
        <f>VALUE(4360)</f>
        <v>4360</v>
      </c>
      <c r="K6141" s="1">
        <f>VALUE(5238)</f>
        <v>5238</v>
      </c>
      <c r="L6141" s="1">
        <f>VALUE(6169)</f>
        <v>6169</v>
      </c>
      <c r="M6141" s="1">
        <f>VALUE(7137)</f>
        <v>7137</v>
      </c>
      <c r="N6141" t="s">
        <v>16</v>
      </c>
    </row>
    <row r="6142" spans="1:14" x14ac:dyDescent="0.25">
      <c r="A6142" t="s">
        <v>42</v>
      </c>
      <c r="B6142" t="s">
        <v>39</v>
      </c>
      <c r="C6142" t="s">
        <v>15</v>
      </c>
      <c r="D6142" t="s">
        <v>15</v>
      </c>
      <c r="E6142" t="s">
        <v>23</v>
      </c>
      <c r="F6142" t="s">
        <v>15</v>
      </c>
      <c r="G6142" s="1">
        <f>VALUE(21055.89)</f>
        <v>21055.89</v>
      </c>
      <c r="H6142" s="1">
        <f>VALUE(21318.64)</f>
        <v>21318.639999999999</v>
      </c>
      <c r="I6142" s="1">
        <f>VALUE(3341)</f>
        <v>3341</v>
      </c>
      <c r="J6142" s="1">
        <f>VALUE(3886)</f>
        <v>3886</v>
      </c>
      <c r="K6142" s="1">
        <f>VALUE(4690)</f>
        <v>4690</v>
      </c>
      <c r="L6142" s="1">
        <f>VALUE(5665)</f>
        <v>5665</v>
      </c>
      <c r="M6142" s="1">
        <f>VALUE(6456)</f>
        <v>6456</v>
      </c>
      <c r="N6142" t="s">
        <v>16</v>
      </c>
    </row>
    <row r="6143" spans="1:14" x14ac:dyDescent="0.25">
      <c r="A6143" t="s">
        <v>42</v>
      </c>
      <c r="B6143" t="s">
        <v>39</v>
      </c>
      <c r="C6143" t="s">
        <v>15</v>
      </c>
      <c r="D6143" t="s">
        <v>15</v>
      </c>
      <c r="E6143" t="s">
        <v>23</v>
      </c>
      <c r="F6143" t="s">
        <v>17</v>
      </c>
      <c r="G6143" s="2">
        <f>VALUE(1040.95)</f>
        <v>1040.95</v>
      </c>
      <c r="H6143" s="3">
        <f>VALUE(1032.42)</f>
        <v>1032.42</v>
      </c>
      <c r="I6143" s="4">
        <f>VALUE(3111)</f>
        <v>3111</v>
      </c>
      <c r="J6143" s="5">
        <f>VALUE(3810)</f>
        <v>3810</v>
      </c>
      <c r="K6143" s="6">
        <f>VALUE(5159)</f>
        <v>5159</v>
      </c>
      <c r="L6143" s="7">
        <f>VALUE(6900)</f>
        <v>6900</v>
      </c>
      <c r="M6143" s="8">
        <f>VALUE(10376)</f>
        <v>10376</v>
      </c>
      <c r="N6143" t="s">
        <v>24</v>
      </c>
    </row>
    <row r="6144" spans="1:14" x14ac:dyDescent="0.25">
      <c r="A6144" t="s">
        <v>42</v>
      </c>
      <c r="B6144" t="s">
        <v>39</v>
      </c>
      <c r="C6144" t="s">
        <v>15</v>
      </c>
      <c r="D6144" t="s">
        <v>15</v>
      </c>
      <c r="E6144" t="s">
        <v>23</v>
      </c>
      <c r="F6144" t="s">
        <v>18</v>
      </c>
      <c r="G6144" s="2">
        <f>VALUE(992.49)</f>
        <v>992.49</v>
      </c>
      <c r="H6144" s="3">
        <f>VALUE(1015.06)</f>
        <v>1015.06</v>
      </c>
      <c r="I6144" s="1">
        <f>VALUE(3366)</f>
        <v>3366</v>
      </c>
      <c r="J6144" s="1">
        <f>VALUE(4019)</f>
        <v>4019</v>
      </c>
      <c r="K6144" s="1">
        <f>VALUE(5006)</f>
        <v>5006</v>
      </c>
      <c r="L6144" s="1">
        <f>VALUE(5754)</f>
        <v>5754</v>
      </c>
      <c r="M6144" s="1">
        <f>VALUE(7204)</f>
        <v>7204</v>
      </c>
      <c r="N6144" t="s">
        <v>25</v>
      </c>
    </row>
    <row r="6145" spans="1:14" x14ac:dyDescent="0.25">
      <c r="A6145" t="s">
        <v>42</v>
      </c>
      <c r="B6145" t="s">
        <v>39</v>
      </c>
      <c r="C6145" t="s">
        <v>15</v>
      </c>
      <c r="D6145" t="s">
        <v>15</v>
      </c>
      <c r="E6145" t="s">
        <v>23</v>
      </c>
      <c r="F6145" t="s">
        <v>19</v>
      </c>
      <c r="G6145" s="1">
        <f>VALUE(2101.18)</f>
        <v>2101.1799999999998</v>
      </c>
      <c r="H6145" s="1">
        <f>VALUE(2159.08)</f>
        <v>2159.08</v>
      </c>
      <c r="I6145" s="1">
        <f>VALUE(3586)</f>
        <v>3586</v>
      </c>
      <c r="J6145" s="1">
        <f>VALUE(4188)</f>
        <v>4188</v>
      </c>
      <c r="K6145" s="1">
        <f>VALUE(5004)</f>
        <v>5004</v>
      </c>
      <c r="L6145" s="1">
        <f>VALUE(5852)</f>
        <v>5852</v>
      </c>
      <c r="M6145" s="1">
        <f>VALUE(6740)</f>
        <v>6740</v>
      </c>
      <c r="N6145" t="s">
        <v>16</v>
      </c>
    </row>
    <row r="6146" spans="1:14" x14ac:dyDescent="0.25">
      <c r="A6146" t="s">
        <v>42</v>
      </c>
      <c r="B6146" t="s">
        <v>39</v>
      </c>
      <c r="C6146" t="s">
        <v>15</v>
      </c>
      <c r="D6146" t="s">
        <v>15</v>
      </c>
      <c r="E6146" t="s">
        <v>23</v>
      </c>
      <c r="F6146" t="s">
        <v>20</v>
      </c>
      <c r="G6146" s="1">
        <f>VALUE(16921.27)</f>
        <v>16921.27</v>
      </c>
      <c r="H6146" s="1">
        <f>VALUE(17112.08)</f>
        <v>17112.080000000002</v>
      </c>
      <c r="I6146" s="1">
        <f>VALUE(3349)</f>
        <v>3349</v>
      </c>
      <c r="J6146" s="1">
        <f>VALUE(3848)</f>
        <v>3848</v>
      </c>
      <c r="K6146" s="1">
        <f>VALUE(4631)</f>
        <v>4631</v>
      </c>
      <c r="L6146" s="1">
        <f>VALUE(5574)</f>
        <v>5574</v>
      </c>
      <c r="M6146" s="1">
        <f>VALUE(6286)</f>
        <v>6286</v>
      </c>
      <c r="N6146" t="s">
        <v>16</v>
      </c>
    </row>
    <row r="6147" spans="1:14" x14ac:dyDescent="0.25">
      <c r="A6147" t="s">
        <v>42</v>
      </c>
      <c r="B6147" t="s">
        <v>39</v>
      </c>
      <c r="C6147" t="s">
        <v>15</v>
      </c>
      <c r="D6147" t="s">
        <v>15</v>
      </c>
      <c r="E6147" t="s">
        <v>26</v>
      </c>
      <c r="F6147" t="s">
        <v>15</v>
      </c>
      <c r="G6147" s="1">
        <f>VALUE(2378.68)</f>
        <v>2378.6799999999998</v>
      </c>
      <c r="H6147" s="1">
        <f>VALUE(2337.9)</f>
        <v>2337.9</v>
      </c>
      <c r="I6147" s="4">
        <f>VALUE(2740)</f>
        <v>2740</v>
      </c>
      <c r="J6147" s="5">
        <f>VALUE(3611)</f>
        <v>3611</v>
      </c>
      <c r="K6147" s="6">
        <f>VALUE(4746)</f>
        <v>4746</v>
      </c>
      <c r="L6147" s="7">
        <f>VALUE(6207)</f>
        <v>6207</v>
      </c>
      <c r="M6147" s="8">
        <f>VALUE(8730)</f>
        <v>8730</v>
      </c>
      <c r="N6147" t="s">
        <v>25</v>
      </c>
    </row>
    <row r="6148" spans="1:14" x14ac:dyDescent="0.25">
      <c r="A6148" t="s">
        <v>42</v>
      </c>
      <c r="B6148" t="s">
        <v>39</v>
      </c>
      <c r="C6148" t="s">
        <v>15</v>
      </c>
      <c r="D6148" t="s">
        <v>15</v>
      </c>
      <c r="E6148" t="s">
        <v>26</v>
      </c>
      <c r="F6148" t="s">
        <v>17</v>
      </c>
      <c r="G6148" s="2">
        <f>VALUE(327.22)</f>
        <v>327.22000000000003</v>
      </c>
      <c r="H6148" s="3">
        <f>VALUE(321.71)</f>
        <v>321.70999999999998</v>
      </c>
      <c r="I6148" s="4">
        <f>VALUE(4127)</f>
        <v>4127</v>
      </c>
      <c r="J6148" s="5">
        <f>VALUE(4333)</f>
        <v>4333</v>
      </c>
      <c r="K6148" s="6">
        <f>VALUE(6641)</f>
        <v>6641</v>
      </c>
      <c r="L6148" s="7">
        <f>VALUE(10668)</f>
        <v>10668</v>
      </c>
      <c r="M6148" s="8">
        <f>VALUE(15573)</f>
        <v>15573</v>
      </c>
      <c r="N6148" t="s">
        <v>24</v>
      </c>
    </row>
    <row r="6149" spans="1:14" x14ac:dyDescent="0.25">
      <c r="A6149" t="s">
        <v>42</v>
      </c>
      <c r="B6149" t="s">
        <v>39</v>
      </c>
      <c r="C6149" t="s">
        <v>15</v>
      </c>
      <c r="D6149" t="s">
        <v>15</v>
      </c>
      <c r="E6149" t="s">
        <v>26</v>
      </c>
      <c r="F6149" t="s">
        <v>18</v>
      </c>
      <c r="G6149" s="1" t="str">
        <f t="shared" ref="G6149:M6150" si="1324">"X"</f>
        <v>X</v>
      </c>
      <c r="H6149" s="1" t="str">
        <f t="shared" si="1324"/>
        <v>X</v>
      </c>
      <c r="I6149" s="1" t="str">
        <f t="shared" si="1324"/>
        <v>X</v>
      </c>
      <c r="J6149" s="1" t="str">
        <f t="shared" si="1324"/>
        <v>X</v>
      </c>
      <c r="K6149" s="1" t="str">
        <f t="shared" si="1324"/>
        <v>X</v>
      </c>
      <c r="L6149" s="1" t="str">
        <f t="shared" si="1324"/>
        <v>X</v>
      </c>
      <c r="M6149" s="1" t="str">
        <f t="shared" si="1324"/>
        <v>X</v>
      </c>
      <c r="N6149" t="s">
        <v>27</v>
      </c>
    </row>
    <row r="6150" spans="1:14" x14ac:dyDescent="0.25">
      <c r="A6150" t="s">
        <v>42</v>
      </c>
      <c r="B6150" t="s">
        <v>39</v>
      </c>
      <c r="C6150" t="s">
        <v>15</v>
      </c>
      <c r="D6150" t="s">
        <v>15</v>
      </c>
      <c r="E6150" t="s">
        <v>26</v>
      </c>
      <c r="F6150" t="s">
        <v>19</v>
      </c>
      <c r="G6150" s="1" t="str">
        <f t="shared" si="1324"/>
        <v>X</v>
      </c>
      <c r="H6150" s="1" t="str">
        <f t="shared" si="1324"/>
        <v>X</v>
      </c>
      <c r="I6150" s="1" t="str">
        <f t="shared" si="1324"/>
        <v>X</v>
      </c>
      <c r="J6150" s="1" t="str">
        <f t="shared" si="1324"/>
        <v>X</v>
      </c>
      <c r="K6150" s="1" t="str">
        <f t="shared" si="1324"/>
        <v>X</v>
      </c>
      <c r="L6150" s="1" t="str">
        <f t="shared" si="1324"/>
        <v>X</v>
      </c>
      <c r="M6150" s="1" t="str">
        <f t="shared" si="1324"/>
        <v>X</v>
      </c>
      <c r="N6150" t="s">
        <v>27</v>
      </c>
    </row>
    <row r="6151" spans="1:14" x14ac:dyDescent="0.25">
      <c r="A6151" t="s">
        <v>42</v>
      </c>
      <c r="B6151" t="s">
        <v>39</v>
      </c>
      <c r="C6151" t="s">
        <v>15</v>
      </c>
      <c r="D6151" t="s">
        <v>15</v>
      </c>
      <c r="E6151" t="s">
        <v>26</v>
      </c>
      <c r="F6151" t="s">
        <v>20</v>
      </c>
      <c r="G6151" s="1">
        <f>VALUE(1899.14)</f>
        <v>1899.14</v>
      </c>
      <c r="H6151" s="1">
        <f>VALUE(1862.47)</f>
        <v>1862.47</v>
      </c>
      <c r="I6151" s="1">
        <f>VALUE(2671)</f>
        <v>2671</v>
      </c>
      <c r="J6151" s="1">
        <f>VALUE(3508)</f>
        <v>3508</v>
      </c>
      <c r="K6151" s="1">
        <f>VALUE(4530)</f>
        <v>4530</v>
      </c>
      <c r="L6151" s="1">
        <f>VALUE(5912)</f>
        <v>5912</v>
      </c>
      <c r="M6151" s="1">
        <f>VALUE(7267)</f>
        <v>7267</v>
      </c>
      <c r="N6151" t="s">
        <v>16</v>
      </c>
    </row>
    <row r="6152" spans="1:14" x14ac:dyDescent="0.25">
      <c r="A6152" t="s">
        <v>42</v>
      </c>
      <c r="B6152" t="s">
        <v>39</v>
      </c>
      <c r="C6152" t="s">
        <v>15</v>
      </c>
      <c r="D6152" t="s">
        <v>28</v>
      </c>
      <c r="E6152" t="s">
        <v>15</v>
      </c>
      <c r="F6152" t="s">
        <v>15</v>
      </c>
      <c r="G6152" s="1">
        <f>VALUE(28699.13)</f>
        <v>28699.13</v>
      </c>
      <c r="H6152" s="1">
        <f>VALUE(28221.46)</f>
        <v>28221.46</v>
      </c>
      <c r="I6152" s="1">
        <f>VALUE(4027)</f>
        <v>4027</v>
      </c>
      <c r="J6152" s="1">
        <f>VALUE(4937)</f>
        <v>4937</v>
      </c>
      <c r="K6152" s="1">
        <f>VALUE(6198)</f>
        <v>6198</v>
      </c>
      <c r="L6152" s="1">
        <f>VALUE(8285)</f>
        <v>8285</v>
      </c>
      <c r="M6152" s="1">
        <f>VALUE(11915)</f>
        <v>11915</v>
      </c>
      <c r="N6152" t="s">
        <v>16</v>
      </c>
    </row>
    <row r="6153" spans="1:14" x14ac:dyDescent="0.25">
      <c r="A6153" t="s">
        <v>42</v>
      </c>
      <c r="B6153" t="s">
        <v>39</v>
      </c>
      <c r="C6153" t="s">
        <v>15</v>
      </c>
      <c r="D6153" t="s">
        <v>28</v>
      </c>
      <c r="E6153" t="s">
        <v>15</v>
      </c>
      <c r="F6153" t="s">
        <v>17</v>
      </c>
      <c r="G6153" s="1">
        <f>VALUE(8189.58)</f>
        <v>8189.58</v>
      </c>
      <c r="H6153" s="1">
        <f>VALUE(8198.11)</f>
        <v>8198.11</v>
      </c>
      <c r="I6153" s="1">
        <f>VALUE(4535)</f>
        <v>4535</v>
      </c>
      <c r="J6153" s="1">
        <f>VALUE(6222)</f>
        <v>6222</v>
      </c>
      <c r="K6153" s="1">
        <f>VALUE(8882)</f>
        <v>8882</v>
      </c>
      <c r="L6153" s="1">
        <f>VALUE(12514)</f>
        <v>12514</v>
      </c>
      <c r="M6153" s="1">
        <f>VALUE(17576)</f>
        <v>17576</v>
      </c>
      <c r="N6153" t="s">
        <v>16</v>
      </c>
    </row>
    <row r="6154" spans="1:14" x14ac:dyDescent="0.25">
      <c r="A6154" t="s">
        <v>42</v>
      </c>
      <c r="B6154" t="s">
        <v>39</v>
      </c>
      <c r="C6154" t="s">
        <v>15</v>
      </c>
      <c r="D6154" t="s">
        <v>28</v>
      </c>
      <c r="E6154" t="s">
        <v>15</v>
      </c>
      <c r="F6154" t="s">
        <v>18</v>
      </c>
      <c r="G6154" s="1">
        <f>VALUE(2647.84)</f>
        <v>2647.84</v>
      </c>
      <c r="H6154" s="1">
        <f>VALUE(2540.2)</f>
        <v>2540.1999999999998</v>
      </c>
      <c r="I6154" s="1">
        <f>VALUE(4333)</f>
        <v>4333</v>
      </c>
      <c r="J6154" s="1">
        <f>VALUE(5365)</f>
        <v>5365</v>
      </c>
      <c r="K6154" s="1">
        <f>VALUE(7047)</f>
        <v>7047</v>
      </c>
      <c r="L6154" s="1">
        <f>VALUE(8875)</f>
        <v>8875</v>
      </c>
      <c r="M6154" s="1">
        <f>VALUE(10925)</f>
        <v>10925</v>
      </c>
      <c r="N6154" t="s">
        <v>16</v>
      </c>
    </row>
    <row r="6155" spans="1:14" x14ac:dyDescent="0.25">
      <c r="A6155" t="s">
        <v>42</v>
      </c>
      <c r="B6155" t="s">
        <v>39</v>
      </c>
      <c r="C6155" t="s">
        <v>15</v>
      </c>
      <c r="D6155" t="s">
        <v>28</v>
      </c>
      <c r="E6155" t="s">
        <v>15</v>
      </c>
      <c r="F6155" t="s">
        <v>19</v>
      </c>
      <c r="G6155" s="1">
        <f>VALUE(2747.05)</f>
        <v>2747.05</v>
      </c>
      <c r="H6155" s="1">
        <f>VALUE(2710.3)</f>
        <v>2710.3</v>
      </c>
      <c r="I6155" s="1">
        <f>VALUE(4199)</f>
        <v>4199</v>
      </c>
      <c r="J6155" s="1">
        <f>VALUE(4929)</f>
        <v>4929</v>
      </c>
      <c r="K6155" s="1">
        <f>VALUE(5984)</f>
        <v>5984</v>
      </c>
      <c r="L6155" s="1">
        <f>VALUE(7242)</f>
        <v>7242</v>
      </c>
      <c r="M6155" s="1">
        <f>VALUE(8997)</f>
        <v>8997</v>
      </c>
      <c r="N6155" t="s">
        <v>16</v>
      </c>
    </row>
    <row r="6156" spans="1:14" x14ac:dyDescent="0.25">
      <c r="A6156" t="s">
        <v>42</v>
      </c>
      <c r="B6156" t="s">
        <v>39</v>
      </c>
      <c r="C6156" t="s">
        <v>15</v>
      </c>
      <c r="D6156" t="s">
        <v>28</v>
      </c>
      <c r="E6156" t="s">
        <v>15</v>
      </c>
      <c r="F6156" t="s">
        <v>20</v>
      </c>
      <c r="G6156" s="1">
        <f>VALUE(15114.66)</f>
        <v>15114.66</v>
      </c>
      <c r="H6156" s="1">
        <f>VALUE(14772.85)</f>
        <v>14772.85</v>
      </c>
      <c r="I6156" s="1">
        <f>VALUE(3868)</f>
        <v>3868</v>
      </c>
      <c r="J6156" s="1">
        <f>VALUE(4580)</f>
        <v>4580</v>
      </c>
      <c r="K6156" s="1">
        <f>VALUE(5610)</f>
        <v>5610</v>
      </c>
      <c r="L6156" s="1">
        <f>VALUE(6651)</f>
        <v>6651</v>
      </c>
      <c r="M6156" s="1">
        <f>VALUE(7877)</f>
        <v>7877</v>
      </c>
      <c r="N6156" t="s">
        <v>16</v>
      </c>
    </row>
    <row r="6157" spans="1:14" x14ac:dyDescent="0.25">
      <c r="A6157" t="s">
        <v>42</v>
      </c>
      <c r="B6157" t="s">
        <v>39</v>
      </c>
      <c r="C6157" t="s">
        <v>15</v>
      </c>
      <c r="D6157" t="s">
        <v>28</v>
      </c>
      <c r="E6157" t="s">
        <v>21</v>
      </c>
      <c r="F6157" t="s">
        <v>15</v>
      </c>
      <c r="G6157" s="1">
        <f>VALUE(8073.79)</f>
        <v>8073.79</v>
      </c>
      <c r="H6157" s="1">
        <f>VALUE(7757.63)</f>
        <v>7757.63</v>
      </c>
      <c r="I6157" s="1">
        <f>VALUE(4874)</f>
        <v>4874</v>
      </c>
      <c r="J6157" s="1">
        <f>VALUE(6454)</f>
        <v>6454</v>
      </c>
      <c r="K6157" s="1">
        <f>VALUE(8494)</f>
        <v>8494</v>
      </c>
      <c r="L6157" s="1">
        <f>VALUE(11705)</f>
        <v>11705</v>
      </c>
      <c r="M6157" s="1">
        <f>VALUE(15995)</f>
        <v>15995</v>
      </c>
      <c r="N6157" t="s">
        <v>16</v>
      </c>
    </row>
    <row r="6158" spans="1:14" x14ac:dyDescent="0.25">
      <c r="A6158" t="s">
        <v>42</v>
      </c>
      <c r="B6158" t="s">
        <v>39</v>
      </c>
      <c r="C6158" t="s">
        <v>15</v>
      </c>
      <c r="D6158" t="s">
        <v>28</v>
      </c>
      <c r="E6158" t="s">
        <v>21</v>
      </c>
      <c r="F6158" t="s">
        <v>17</v>
      </c>
      <c r="G6158" s="1">
        <f>VALUE(4177.97)</f>
        <v>4177.97</v>
      </c>
      <c r="H6158" s="1">
        <f>VALUE(4135.93)</f>
        <v>4135.93</v>
      </c>
      <c r="I6158" s="4">
        <f>VALUE(5270)</f>
        <v>5270</v>
      </c>
      <c r="J6158" s="1">
        <f>VALUE(7647)</f>
        <v>7647</v>
      </c>
      <c r="K6158" s="1">
        <f>VALUE(10318)</f>
        <v>10318</v>
      </c>
      <c r="L6158" s="1">
        <f>VALUE(13951)</f>
        <v>13951</v>
      </c>
      <c r="M6158" s="8">
        <f>VALUE(19354)</f>
        <v>19354</v>
      </c>
      <c r="N6158" t="s">
        <v>25</v>
      </c>
    </row>
    <row r="6159" spans="1:14" x14ac:dyDescent="0.25">
      <c r="A6159" t="s">
        <v>42</v>
      </c>
      <c r="B6159" t="s">
        <v>39</v>
      </c>
      <c r="C6159" t="s">
        <v>15</v>
      </c>
      <c r="D6159" t="s">
        <v>28</v>
      </c>
      <c r="E6159" t="s">
        <v>21</v>
      </c>
      <c r="F6159" t="s">
        <v>18</v>
      </c>
      <c r="G6159" s="2">
        <f>VALUE(1026.78)</f>
        <v>1026.78</v>
      </c>
      <c r="H6159" s="3">
        <f>VALUE(956.91)</f>
        <v>956.91</v>
      </c>
      <c r="I6159" s="4">
        <f>VALUE(5323)</f>
        <v>5323</v>
      </c>
      <c r="J6159" s="1">
        <f>VALUE(6768)</f>
        <v>6768</v>
      </c>
      <c r="K6159" s="1">
        <f>VALUE(8425)</f>
        <v>8425</v>
      </c>
      <c r="L6159" s="7">
        <f>VALUE(10212)</f>
        <v>10212</v>
      </c>
      <c r="M6159" s="8">
        <f>VALUE(12213)</f>
        <v>12213</v>
      </c>
      <c r="N6159" t="s">
        <v>25</v>
      </c>
    </row>
    <row r="6160" spans="1:14" x14ac:dyDescent="0.25">
      <c r="A6160" t="s">
        <v>42</v>
      </c>
      <c r="B6160" t="s">
        <v>39</v>
      </c>
      <c r="C6160" t="s">
        <v>15</v>
      </c>
      <c r="D6160" t="s">
        <v>28</v>
      </c>
      <c r="E6160" t="s">
        <v>21</v>
      </c>
      <c r="F6160" t="s">
        <v>19</v>
      </c>
      <c r="G6160" s="2">
        <f>VALUE(734.82)</f>
        <v>734.82</v>
      </c>
      <c r="H6160" s="3">
        <f>VALUE(705.22)</f>
        <v>705.22</v>
      </c>
      <c r="I6160" s="1">
        <f>VALUE(4255)</f>
        <v>4255</v>
      </c>
      <c r="J6160" s="5">
        <f>VALUE(5585)</f>
        <v>5585</v>
      </c>
      <c r="K6160" s="1">
        <f>VALUE(6825)</f>
        <v>6825</v>
      </c>
      <c r="L6160" s="1">
        <f>VALUE(8660)</f>
        <v>8660</v>
      </c>
      <c r="M6160" s="8">
        <f>VALUE(10981)</f>
        <v>10981</v>
      </c>
      <c r="N6160" t="s">
        <v>25</v>
      </c>
    </row>
    <row r="6161" spans="1:14" x14ac:dyDescent="0.25">
      <c r="A6161" t="s">
        <v>42</v>
      </c>
      <c r="B6161" t="s">
        <v>39</v>
      </c>
      <c r="C6161" t="s">
        <v>15</v>
      </c>
      <c r="D6161" t="s">
        <v>28</v>
      </c>
      <c r="E6161" t="s">
        <v>21</v>
      </c>
      <c r="F6161" t="s">
        <v>20</v>
      </c>
      <c r="G6161" s="1">
        <f>VALUE(2134.22)</f>
        <v>2134.2199999999998</v>
      </c>
      <c r="H6161" s="1">
        <f>VALUE(1959.57)</f>
        <v>1959.57</v>
      </c>
      <c r="I6161" s="4">
        <f>VALUE(4311)</f>
        <v>4311</v>
      </c>
      <c r="J6161" s="5">
        <f>VALUE(5492)</f>
        <v>5492</v>
      </c>
      <c r="K6161" s="1">
        <f>VALUE(6929)</f>
        <v>6929</v>
      </c>
      <c r="L6161" s="1">
        <f>VALUE(8405)</f>
        <v>8405</v>
      </c>
      <c r="M6161" s="1">
        <f>VALUE(9994)</f>
        <v>9994</v>
      </c>
      <c r="N6161" t="s">
        <v>25</v>
      </c>
    </row>
    <row r="6162" spans="1:14" x14ac:dyDescent="0.25">
      <c r="A6162" t="s">
        <v>42</v>
      </c>
      <c r="B6162" t="s">
        <v>39</v>
      </c>
      <c r="C6162" t="s">
        <v>15</v>
      </c>
      <c r="D6162" t="s">
        <v>28</v>
      </c>
      <c r="E6162" t="s">
        <v>22</v>
      </c>
      <c r="F6162" t="s">
        <v>15</v>
      </c>
      <c r="G6162" s="1">
        <f>VALUE(16866.51)</f>
        <v>16866.509999999998</v>
      </c>
      <c r="H6162" s="1">
        <f>VALUE(16842.56)</f>
        <v>16842.560000000001</v>
      </c>
      <c r="I6162" s="1">
        <f>VALUE(4028)</f>
        <v>4028</v>
      </c>
      <c r="J6162" s="1">
        <f>VALUE(4850)</f>
        <v>4850</v>
      </c>
      <c r="K6162" s="1">
        <f>VALUE(5883)</f>
        <v>5883</v>
      </c>
      <c r="L6162" s="1">
        <f>VALUE(7210)</f>
        <v>7210</v>
      </c>
      <c r="M6162" s="1">
        <f>VALUE(9363)</f>
        <v>9363</v>
      </c>
      <c r="N6162" t="s">
        <v>16</v>
      </c>
    </row>
    <row r="6163" spans="1:14" x14ac:dyDescent="0.25">
      <c r="A6163" t="s">
        <v>42</v>
      </c>
      <c r="B6163" t="s">
        <v>39</v>
      </c>
      <c r="C6163" t="s">
        <v>15</v>
      </c>
      <c r="D6163" t="s">
        <v>28</v>
      </c>
      <c r="E6163" t="s">
        <v>22</v>
      </c>
      <c r="F6163" t="s">
        <v>17</v>
      </c>
      <c r="G6163" s="1">
        <f>VALUE(3516.2)</f>
        <v>3516.2</v>
      </c>
      <c r="H6163" s="1">
        <f>VALUE(3571.87)</f>
        <v>3571.87</v>
      </c>
      <c r="I6163" s="4">
        <f>VALUE(4278)</f>
        <v>4278</v>
      </c>
      <c r="J6163" s="1">
        <f>VALUE(5588)</f>
        <v>5588</v>
      </c>
      <c r="K6163" s="1">
        <f>VALUE(7731)</f>
        <v>7731</v>
      </c>
      <c r="L6163" s="1">
        <f>VALUE(10850)</f>
        <v>10850</v>
      </c>
      <c r="M6163" s="1">
        <f>VALUE(15929)</f>
        <v>15929</v>
      </c>
      <c r="N6163" t="s">
        <v>25</v>
      </c>
    </row>
    <row r="6164" spans="1:14" x14ac:dyDescent="0.25">
      <c r="A6164" t="s">
        <v>42</v>
      </c>
      <c r="B6164" t="s">
        <v>39</v>
      </c>
      <c r="C6164" t="s">
        <v>15</v>
      </c>
      <c r="D6164" t="s">
        <v>28</v>
      </c>
      <c r="E6164" t="s">
        <v>22</v>
      </c>
      <c r="F6164" t="s">
        <v>18</v>
      </c>
      <c r="G6164" s="2">
        <f>VALUE(1393.56)</f>
        <v>1393.56</v>
      </c>
      <c r="H6164" s="3">
        <f>VALUE(1355.93)</f>
        <v>1355.93</v>
      </c>
      <c r="I6164" s="1">
        <f>VALUE(4392)</f>
        <v>4392</v>
      </c>
      <c r="J6164" s="1">
        <f>VALUE(5159)</f>
        <v>5159</v>
      </c>
      <c r="K6164" s="1">
        <f>VALUE(6500)</f>
        <v>6500</v>
      </c>
      <c r="L6164" s="1">
        <f>VALUE(8262)</f>
        <v>8262</v>
      </c>
      <c r="M6164" s="1">
        <f>VALUE(9323)</f>
        <v>9323</v>
      </c>
      <c r="N6164" t="s">
        <v>25</v>
      </c>
    </row>
    <row r="6165" spans="1:14" x14ac:dyDescent="0.25">
      <c r="A6165" t="s">
        <v>42</v>
      </c>
      <c r="B6165" t="s">
        <v>39</v>
      </c>
      <c r="C6165" t="s">
        <v>15</v>
      </c>
      <c r="D6165" t="s">
        <v>28</v>
      </c>
      <c r="E6165" t="s">
        <v>22</v>
      </c>
      <c r="F6165" t="s">
        <v>19</v>
      </c>
      <c r="G6165" s="1">
        <f>VALUE(1689.24)</f>
        <v>1689.24</v>
      </c>
      <c r="H6165" s="1">
        <f>VALUE(1678.36)</f>
        <v>1678.36</v>
      </c>
      <c r="I6165" s="1">
        <f>VALUE(4281)</f>
        <v>4281</v>
      </c>
      <c r="J6165" s="1">
        <f>VALUE(4965)</f>
        <v>4965</v>
      </c>
      <c r="K6165" s="1">
        <f>VALUE(5809)</f>
        <v>5809</v>
      </c>
      <c r="L6165" s="1">
        <f>VALUE(6878)</f>
        <v>6878</v>
      </c>
      <c r="M6165" s="1">
        <f>VALUE(8481)</f>
        <v>8481</v>
      </c>
      <c r="N6165" t="s">
        <v>16</v>
      </c>
    </row>
    <row r="6166" spans="1:14" x14ac:dyDescent="0.25">
      <c r="A6166" t="s">
        <v>42</v>
      </c>
      <c r="B6166" t="s">
        <v>39</v>
      </c>
      <c r="C6166" t="s">
        <v>15</v>
      </c>
      <c r="D6166" t="s">
        <v>28</v>
      </c>
      <c r="E6166" t="s">
        <v>22</v>
      </c>
      <c r="F6166" t="s">
        <v>20</v>
      </c>
      <c r="G6166" s="1">
        <f>VALUE(10267.51)</f>
        <v>10267.51</v>
      </c>
      <c r="H6166" s="1">
        <f>VALUE(10236.4)</f>
        <v>10236.4</v>
      </c>
      <c r="I6166" s="1">
        <f>VALUE(3973)</f>
        <v>3973</v>
      </c>
      <c r="J6166" s="1">
        <f>VALUE(4656)</f>
        <v>4656</v>
      </c>
      <c r="K6166" s="1">
        <f>VALUE(5613)</f>
        <v>5613</v>
      </c>
      <c r="L6166" s="1">
        <f>VALUE(6504)</f>
        <v>6504</v>
      </c>
      <c r="M6166" s="1">
        <f>VALUE(7548)</f>
        <v>7548</v>
      </c>
      <c r="N6166" t="s">
        <v>16</v>
      </c>
    </row>
    <row r="6167" spans="1:14" x14ac:dyDescent="0.25">
      <c r="A6167" t="s">
        <v>42</v>
      </c>
      <c r="B6167" t="s">
        <v>39</v>
      </c>
      <c r="C6167" t="s">
        <v>15</v>
      </c>
      <c r="D6167" t="s">
        <v>28</v>
      </c>
      <c r="E6167" t="s">
        <v>23</v>
      </c>
      <c r="F6167" t="s">
        <v>15</v>
      </c>
      <c r="G6167" s="1">
        <f>VALUE(3144.55)</f>
        <v>3144.55</v>
      </c>
      <c r="H6167" s="1">
        <f>VALUE(3044.67)</f>
        <v>3044.67</v>
      </c>
      <c r="I6167" s="1">
        <f>VALUE(3353)</f>
        <v>3353</v>
      </c>
      <c r="J6167" s="1">
        <f>VALUE(4117)</f>
        <v>4117</v>
      </c>
      <c r="K6167" s="1">
        <f>VALUE(4903)</f>
        <v>4903</v>
      </c>
      <c r="L6167" s="1">
        <f>VALUE(5966)</f>
        <v>5966</v>
      </c>
      <c r="M6167" s="1">
        <f>VALUE(7023)</f>
        <v>7023</v>
      </c>
      <c r="N6167" t="s">
        <v>16</v>
      </c>
    </row>
    <row r="6168" spans="1:14" x14ac:dyDescent="0.25">
      <c r="A6168" t="s">
        <v>42</v>
      </c>
      <c r="B6168" t="s">
        <v>39</v>
      </c>
      <c r="C6168" t="s">
        <v>15</v>
      </c>
      <c r="D6168" t="s">
        <v>28</v>
      </c>
      <c r="E6168" t="s">
        <v>23</v>
      </c>
      <c r="F6168" t="s">
        <v>17</v>
      </c>
      <c r="G6168" s="2">
        <f>VALUE(321.72)</f>
        <v>321.72000000000003</v>
      </c>
      <c r="H6168" s="3">
        <f>VALUE(326.09)</f>
        <v>326.08999999999997</v>
      </c>
      <c r="I6168" s="4">
        <f>VALUE(3140)</f>
        <v>3140</v>
      </c>
      <c r="J6168" s="5">
        <f>VALUE(4186)</f>
        <v>4186</v>
      </c>
      <c r="K6168" s="6">
        <f>VALUE(6118)</f>
        <v>6118</v>
      </c>
      <c r="L6168" s="7">
        <f>VALUE(8112)</f>
        <v>8112</v>
      </c>
      <c r="M6168" s="8">
        <f>VALUE(10963)</f>
        <v>10963</v>
      </c>
      <c r="N6168" t="s">
        <v>24</v>
      </c>
    </row>
    <row r="6169" spans="1:14" x14ac:dyDescent="0.25">
      <c r="A6169" t="s">
        <v>42</v>
      </c>
      <c r="B6169" t="s">
        <v>39</v>
      </c>
      <c r="C6169" t="s">
        <v>15</v>
      </c>
      <c r="D6169" t="s">
        <v>28</v>
      </c>
      <c r="E6169" t="s">
        <v>23</v>
      </c>
      <c r="F6169" t="s">
        <v>18</v>
      </c>
      <c r="G6169" s="1" t="str">
        <f t="shared" ref="G6169:M6169" si="1325">"X"</f>
        <v>X</v>
      </c>
      <c r="H6169" s="1" t="str">
        <f t="shared" si="1325"/>
        <v>X</v>
      </c>
      <c r="I6169" s="1" t="str">
        <f t="shared" si="1325"/>
        <v>X</v>
      </c>
      <c r="J6169" s="1" t="str">
        <f t="shared" si="1325"/>
        <v>X</v>
      </c>
      <c r="K6169" s="1" t="str">
        <f t="shared" si="1325"/>
        <v>X</v>
      </c>
      <c r="L6169" s="1" t="str">
        <f t="shared" si="1325"/>
        <v>X</v>
      </c>
      <c r="M6169" s="1" t="str">
        <f t="shared" si="1325"/>
        <v>X</v>
      </c>
      <c r="N6169" t="s">
        <v>27</v>
      </c>
    </row>
    <row r="6170" spans="1:14" x14ac:dyDescent="0.25">
      <c r="A6170" t="s">
        <v>42</v>
      </c>
      <c r="B6170" t="s">
        <v>39</v>
      </c>
      <c r="C6170" t="s">
        <v>15</v>
      </c>
      <c r="D6170" t="s">
        <v>28</v>
      </c>
      <c r="E6170" t="s">
        <v>23</v>
      </c>
      <c r="F6170" t="s">
        <v>19</v>
      </c>
      <c r="G6170" s="2">
        <f>VALUE(300.8)</f>
        <v>300.8</v>
      </c>
      <c r="H6170" s="3">
        <f>VALUE(304.42)</f>
        <v>304.42</v>
      </c>
      <c r="I6170" s="1">
        <f>VALUE(3836)</f>
        <v>3836</v>
      </c>
      <c r="J6170" s="1">
        <f>VALUE(4608)</f>
        <v>4608</v>
      </c>
      <c r="K6170" s="1">
        <f>VALUE(5268)</f>
        <v>5268</v>
      </c>
      <c r="L6170" s="7">
        <f>VALUE(6590)</f>
        <v>6590</v>
      </c>
      <c r="M6170" s="1">
        <f>VALUE(7412)</f>
        <v>7412</v>
      </c>
      <c r="N6170" t="s">
        <v>25</v>
      </c>
    </row>
    <row r="6171" spans="1:14" x14ac:dyDescent="0.25">
      <c r="A6171" t="s">
        <v>42</v>
      </c>
      <c r="B6171" t="s">
        <v>39</v>
      </c>
      <c r="C6171" t="s">
        <v>15</v>
      </c>
      <c r="D6171" t="s">
        <v>28</v>
      </c>
      <c r="E6171" t="s">
        <v>23</v>
      </c>
      <c r="F6171" t="s">
        <v>20</v>
      </c>
      <c r="G6171" s="1">
        <f>VALUE(2306.49)</f>
        <v>2306.4899999999998</v>
      </c>
      <c r="H6171" s="1">
        <f>VALUE(2198.24)</f>
        <v>2198.2399999999998</v>
      </c>
      <c r="I6171" s="1">
        <f>VALUE(3335)</f>
        <v>3335</v>
      </c>
      <c r="J6171" s="1">
        <f>VALUE(4091)</f>
        <v>4091</v>
      </c>
      <c r="K6171" s="1">
        <f>VALUE(4766)</f>
        <v>4766</v>
      </c>
      <c r="L6171" s="1">
        <f>VALUE(5809)</f>
        <v>5809</v>
      </c>
      <c r="M6171" s="1">
        <f>VALUE(6500)</f>
        <v>6500</v>
      </c>
      <c r="N6171" t="s">
        <v>16</v>
      </c>
    </row>
    <row r="6172" spans="1:14" x14ac:dyDescent="0.25">
      <c r="A6172" t="s">
        <v>42</v>
      </c>
      <c r="B6172" t="s">
        <v>39</v>
      </c>
      <c r="C6172" t="s">
        <v>15</v>
      </c>
      <c r="D6172" t="s">
        <v>28</v>
      </c>
      <c r="E6172" t="s">
        <v>26</v>
      </c>
      <c r="F6172" t="s">
        <v>15</v>
      </c>
      <c r="G6172" s="2">
        <f>VALUE(614.28)</f>
        <v>614.28</v>
      </c>
      <c r="H6172" s="3">
        <f>VALUE(576.6)</f>
        <v>576.6</v>
      </c>
      <c r="I6172" s="4">
        <f>VALUE(3508)</f>
        <v>3508</v>
      </c>
      <c r="J6172" s="1">
        <f>VALUE(4333)</f>
        <v>4333</v>
      </c>
      <c r="K6172" s="6">
        <f>VALUE(5793)</f>
        <v>5793</v>
      </c>
      <c r="L6172" s="7">
        <f>VALUE(7325)</f>
        <v>7325</v>
      </c>
      <c r="M6172" s="8">
        <f>VALUE(10668)</f>
        <v>10668</v>
      </c>
      <c r="N6172" t="s">
        <v>25</v>
      </c>
    </row>
    <row r="6173" spans="1:14" x14ac:dyDescent="0.25">
      <c r="A6173" t="s">
        <v>42</v>
      </c>
      <c r="B6173" t="s">
        <v>39</v>
      </c>
      <c r="C6173" t="s">
        <v>15</v>
      </c>
      <c r="D6173" t="s">
        <v>28</v>
      </c>
      <c r="E6173" t="s">
        <v>26</v>
      </c>
      <c r="F6173" t="s">
        <v>17</v>
      </c>
      <c r="G6173" s="1" t="str">
        <f t="shared" ref="G6173:M6175" si="1326">"X"</f>
        <v>X</v>
      </c>
      <c r="H6173" s="1" t="str">
        <f t="shared" si="1326"/>
        <v>X</v>
      </c>
      <c r="I6173" s="1" t="str">
        <f t="shared" si="1326"/>
        <v>X</v>
      </c>
      <c r="J6173" s="1" t="str">
        <f t="shared" si="1326"/>
        <v>X</v>
      </c>
      <c r="K6173" s="1" t="str">
        <f t="shared" si="1326"/>
        <v>X</v>
      </c>
      <c r="L6173" s="1" t="str">
        <f t="shared" si="1326"/>
        <v>X</v>
      </c>
      <c r="M6173" s="1" t="str">
        <f t="shared" si="1326"/>
        <v>X</v>
      </c>
      <c r="N6173" t="s">
        <v>27</v>
      </c>
    </row>
    <row r="6174" spans="1:14" x14ac:dyDescent="0.25">
      <c r="A6174" t="s">
        <v>42</v>
      </c>
      <c r="B6174" t="s">
        <v>39</v>
      </c>
      <c r="C6174" t="s">
        <v>15</v>
      </c>
      <c r="D6174" t="s">
        <v>28</v>
      </c>
      <c r="E6174" t="s">
        <v>26</v>
      </c>
      <c r="F6174" t="s">
        <v>18</v>
      </c>
      <c r="G6174" s="1" t="str">
        <f t="shared" si="1326"/>
        <v>X</v>
      </c>
      <c r="H6174" s="1" t="str">
        <f t="shared" si="1326"/>
        <v>X</v>
      </c>
      <c r="I6174" s="1" t="str">
        <f t="shared" si="1326"/>
        <v>X</v>
      </c>
      <c r="J6174" s="1" t="str">
        <f t="shared" si="1326"/>
        <v>X</v>
      </c>
      <c r="K6174" s="1" t="str">
        <f t="shared" si="1326"/>
        <v>X</v>
      </c>
      <c r="L6174" s="1" t="str">
        <f t="shared" si="1326"/>
        <v>X</v>
      </c>
      <c r="M6174" s="1" t="str">
        <f t="shared" si="1326"/>
        <v>X</v>
      </c>
      <c r="N6174" t="s">
        <v>27</v>
      </c>
    </row>
    <row r="6175" spans="1:14" x14ac:dyDescent="0.25">
      <c r="A6175" t="s">
        <v>42</v>
      </c>
      <c r="B6175" t="s">
        <v>39</v>
      </c>
      <c r="C6175" t="s">
        <v>15</v>
      </c>
      <c r="D6175" t="s">
        <v>28</v>
      </c>
      <c r="E6175" t="s">
        <v>26</v>
      </c>
      <c r="F6175" t="s">
        <v>19</v>
      </c>
      <c r="G6175" s="1" t="str">
        <f t="shared" si="1326"/>
        <v>X</v>
      </c>
      <c r="H6175" s="1" t="str">
        <f t="shared" si="1326"/>
        <v>X</v>
      </c>
      <c r="I6175" s="1" t="str">
        <f t="shared" si="1326"/>
        <v>X</v>
      </c>
      <c r="J6175" s="1" t="str">
        <f t="shared" si="1326"/>
        <v>X</v>
      </c>
      <c r="K6175" s="1" t="str">
        <f t="shared" si="1326"/>
        <v>X</v>
      </c>
      <c r="L6175" s="1" t="str">
        <f t="shared" si="1326"/>
        <v>X</v>
      </c>
      <c r="M6175" s="1" t="str">
        <f t="shared" si="1326"/>
        <v>X</v>
      </c>
      <c r="N6175" t="s">
        <v>27</v>
      </c>
    </row>
    <row r="6176" spans="1:14" x14ac:dyDescent="0.25">
      <c r="A6176" t="s">
        <v>42</v>
      </c>
      <c r="B6176" t="s">
        <v>39</v>
      </c>
      <c r="C6176" t="s">
        <v>15</v>
      </c>
      <c r="D6176" t="s">
        <v>28</v>
      </c>
      <c r="E6176" t="s">
        <v>26</v>
      </c>
      <c r="F6176" t="s">
        <v>20</v>
      </c>
      <c r="G6176" s="2">
        <f>VALUE(406.44)</f>
        <v>406.44</v>
      </c>
      <c r="H6176" s="3">
        <f>VALUE(378.64)</f>
        <v>378.64</v>
      </c>
      <c r="I6176" s="4">
        <f>VALUE(3911)</f>
        <v>3911</v>
      </c>
      <c r="J6176" s="1">
        <f>VALUE(4563)</f>
        <v>4563</v>
      </c>
      <c r="K6176" s="1">
        <f>VALUE(5773)</f>
        <v>5773</v>
      </c>
      <c r="L6176" s="1">
        <f>VALUE(6700)</f>
        <v>6700</v>
      </c>
      <c r="M6176" s="1">
        <f>VALUE(9048)</f>
        <v>9048</v>
      </c>
      <c r="N6176" t="s">
        <v>25</v>
      </c>
    </row>
    <row r="6177" spans="1:14" x14ac:dyDescent="0.25">
      <c r="A6177" t="s">
        <v>42</v>
      </c>
      <c r="B6177" t="s">
        <v>39</v>
      </c>
      <c r="C6177" t="s">
        <v>15</v>
      </c>
      <c r="D6177" t="s">
        <v>29</v>
      </c>
      <c r="E6177" t="s">
        <v>15</v>
      </c>
      <c r="F6177" t="s">
        <v>15</v>
      </c>
      <c r="G6177" s="1">
        <f>VALUE(10327.44)</f>
        <v>10327.44</v>
      </c>
      <c r="H6177" s="1">
        <f>VALUE(10260.3)</f>
        <v>10260.299999999999</v>
      </c>
      <c r="I6177" s="1">
        <f>VALUE(3935)</f>
        <v>3935</v>
      </c>
      <c r="J6177" s="1">
        <f>VALUE(4622)</f>
        <v>4622</v>
      </c>
      <c r="K6177" s="1">
        <f>VALUE(5596)</f>
        <v>5596</v>
      </c>
      <c r="L6177" s="1">
        <f>VALUE(6994)</f>
        <v>6994</v>
      </c>
      <c r="M6177" s="1">
        <f>VALUE(10052)</f>
        <v>10052</v>
      </c>
      <c r="N6177" t="s">
        <v>16</v>
      </c>
    </row>
    <row r="6178" spans="1:14" x14ac:dyDescent="0.25">
      <c r="A6178" t="s">
        <v>42</v>
      </c>
      <c r="B6178" t="s">
        <v>39</v>
      </c>
      <c r="C6178" t="s">
        <v>15</v>
      </c>
      <c r="D6178" t="s">
        <v>29</v>
      </c>
      <c r="E6178" t="s">
        <v>15</v>
      </c>
      <c r="F6178" t="s">
        <v>17</v>
      </c>
      <c r="G6178" s="2">
        <f>VALUE(1822.16)</f>
        <v>1822.16</v>
      </c>
      <c r="H6178" s="3">
        <f>VALUE(1809.62)</f>
        <v>1809.62</v>
      </c>
      <c r="I6178" s="4">
        <f>VALUE(3829)</f>
        <v>3829</v>
      </c>
      <c r="J6178" s="5">
        <f>VALUE(5538)</f>
        <v>5538</v>
      </c>
      <c r="K6178" s="6">
        <f>VALUE(8558)</f>
        <v>8558</v>
      </c>
      <c r="L6178" s="7">
        <f>VALUE(12652)</f>
        <v>12652</v>
      </c>
      <c r="M6178" s="8">
        <f>VALUE(22255)</f>
        <v>22255</v>
      </c>
      <c r="N6178" t="s">
        <v>24</v>
      </c>
    </row>
    <row r="6179" spans="1:14" x14ac:dyDescent="0.25">
      <c r="A6179" t="s">
        <v>42</v>
      </c>
      <c r="B6179" t="s">
        <v>39</v>
      </c>
      <c r="C6179" t="s">
        <v>15</v>
      </c>
      <c r="D6179" t="s">
        <v>29</v>
      </c>
      <c r="E6179" t="s">
        <v>15</v>
      </c>
      <c r="F6179" t="s">
        <v>18</v>
      </c>
      <c r="G6179" s="2">
        <f>VALUE(853.04)</f>
        <v>853.04</v>
      </c>
      <c r="H6179" s="3">
        <f>VALUE(849.03)</f>
        <v>849.03</v>
      </c>
      <c r="I6179" s="1">
        <f>VALUE(4177)</f>
        <v>4177</v>
      </c>
      <c r="J6179" s="5">
        <f>VALUE(5220)</f>
        <v>5220</v>
      </c>
      <c r="K6179" s="1">
        <f>VALUE(6650)</f>
        <v>6650</v>
      </c>
      <c r="L6179" s="1">
        <f>VALUE(8162)</f>
        <v>8162</v>
      </c>
      <c r="M6179" s="1">
        <f>VALUE(10833)</f>
        <v>10833</v>
      </c>
      <c r="N6179" t="s">
        <v>25</v>
      </c>
    </row>
    <row r="6180" spans="1:14" x14ac:dyDescent="0.25">
      <c r="A6180" t="s">
        <v>42</v>
      </c>
      <c r="B6180" t="s">
        <v>39</v>
      </c>
      <c r="C6180" t="s">
        <v>15</v>
      </c>
      <c r="D6180" t="s">
        <v>29</v>
      </c>
      <c r="E6180" t="s">
        <v>15</v>
      </c>
      <c r="F6180" t="s">
        <v>19</v>
      </c>
      <c r="G6180" s="2">
        <f>VALUE(1266.83)</f>
        <v>1266.83</v>
      </c>
      <c r="H6180" s="3">
        <f>VALUE(1278.93)</f>
        <v>1278.93</v>
      </c>
      <c r="I6180" s="1">
        <f>VALUE(4229)</f>
        <v>4229</v>
      </c>
      <c r="J6180" s="1">
        <f>VALUE(5057)</f>
        <v>5057</v>
      </c>
      <c r="K6180" s="1">
        <f>VALUE(5828)</f>
        <v>5828</v>
      </c>
      <c r="L6180" s="1">
        <f>VALUE(6902)</f>
        <v>6902</v>
      </c>
      <c r="M6180" s="8">
        <f>VALUE(8173)</f>
        <v>8173</v>
      </c>
      <c r="N6180" t="s">
        <v>25</v>
      </c>
    </row>
    <row r="6181" spans="1:14" x14ac:dyDescent="0.25">
      <c r="A6181" t="s">
        <v>42</v>
      </c>
      <c r="B6181" t="s">
        <v>39</v>
      </c>
      <c r="C6181" t="s">
        <v>15</v>
      </c>
      <c r="D6181" t="s">
        <v>29</v>
      </c>
      <c r="E6181" t="s">
        <v>15</v>
      </c>
      <c r="F6181" t="s">
        <v>20</v>
      </c>
      <c r="G6181" s="1">
        <f>VALUE(6385.41)</f>
        <v>6385.41</v>
      </c>
      <c r="H6181" s="1">
        <f>VALUE(6322.72)</f>
        <v>6322.72</v>
      </c>
      <c r="I6181" s="1">
        <f>VALUE(3879)</f>
        <v>3879</v>
      </c>
      <c r="J6181" s="1">
        <f>VALUE(4511)</f>
        <v>4511</v>
      </c>
      <c r="K6181" s="1">
        <f>VALUE(5288)</f>
        <v>5288</v>
      </c>
      <c r="L6181" s="1">
        <f>VALUE(6148)</f>
        <v>6148</v>
      </c>
      <c r="M6181" s="1">
        <f>VALUE(7183)</f>
        <v>7183</v>
      </c>
      <c r="N6181" t="s">
        <v>16</v>
      </c>
    </row>
    <row r="6182" spans="1:14" x14ac:dyDescent="0.25">
      <c r="A6182" t="s">
        <v>42</v>
      </c>
      <c r="B6182" t="s">
        <v>39</v>
      </c>
      <c r="C6182" t="s">
        <v>15</v>
      </c>
      <c r="D6182" t="s">
        <v>29</v>
      </c>
      <c r="E6182" t="s">
        <v>21</v>
      </c>
      <c r="F6182" t="s">
        <v>15</v>
      </c>
      <c r="G6182" s="1">
        <f>VALUE(1664.41)</f>
        <v>1664.41</v>
      </c>
      <c r="H6182" s="1">
        <f>VALUE(1616.8)</f>
        <v>1616.8</v>
      </c>
      <c r="I6182" s="4">
        <f>VALUE(4374)</f>
        <v>4374</v>
      </c>
      <c r="J6182" s="1">
        <f>VALUE(6118)</f>
        <v>6118</v>
      </c>
      <c r="K6182" s="1">
        <f>VALUE(8346)</f>
        <v>8346</v>
      </c>
      <c r="L6182" s="7">
        <f>VALUE(12250)</f>
        <v>12250</v>
      </c>
      <c r="M6182" s="8">
        <f>VALUE(21961)</f>
        <v>21961</v>
      </c>
      <c r="N6182" t="s">
        <v>25</v>
      </c>
    </row>
    <row r="6183" spans="1:14" x14ac:dyDescent="0.25">
      <c r="A6183" t="s">
        <v>42</v>
      </c>
      <c r="B6183" t="s">
        <v>39</v>
      </c>
      <c r="C6183" t="s">
        <v>15</v>
      </c>
      <c r="D6183" t="s">
        <v>29</v>
      </c>
      <c r="E6183" t="s">
        <v>21</v>
      </c>
      <c r="F6183" t="s">
        <v>17</v>
      </c>
      <c r="G6183" s="2">
        <f>VALUE(763.65)</f>
        <v>763.65</v>
      </c>
      <c r="H6183" s="3">
        <f>VALUE(753.05)</f>
        <v>753.05</v>
      </c>
      <c r="I6183" s="4">
        <f>VALUE(3968)</f>
        <v>3968</v>
      </c>
      <c r="J6183" s="5">
        <f>VALUE(7380)</f>
        <v>7380</v>
      </c>
      <c r="K6183" s="6">
        <f>VALUE(11225)</f>
        <v>11225</v>
      </c>
      <c r="L6183" s="7">
        <f>VALUE(18594)</f>
        <v>18594</v>
      </c>
      <c r="M6183" s="8">
        <f>VALUE(29413)</f>
        <v>29413</v>
      </c>
      <c r="N6183" t="s">
        <v>24</v>
      </c>
    </row>
    <row r="6184" spans="1:14" x14ac:dyDescent="0.25">
      <c r="A6184" t="s">
        <v>42</v>
      </c>
      <c r="B6184" t="s">
        <v>39</v>
      </c>
      <c r="C6184" t="s">
        <v>15</v>
      </c>
      <c r="D6184" t="s">
        <v>29</v>
      </c>
      <c r="E6184" t="s">
        <v>21</v>
      </c>
      <c r="F6184" t="s">
        <v>18</v>
      </c>
      <c r="G6184" s="2">
        <f>VALUE(257.5)</f>
        <v>257.5</v>
      </c>
      <c r="H6184" s="3">
        <f>VALUE(246.19)</f>
        <v>246.19</v>
      </c>
      <c r="I6184" s="1">
        <f>VALUE(4353)</f>
        <v>4353</v>
      </c>
      <c r="J6184" s="5">
        <f>VALUE(5742)</f>
        <v>5742</v>
      </c>
      <c r="K6184" s="1">
        <f>VALUE(7615)</f>
        <v>7615</v>
      </c>
      <c r="L6184" s="7">
        <f>VALUE(10647)</f>
        <v>10647</v>
      </c>
      <c r="M6184" s="8">
        <f>VALUE(12575)</f>
        <v>12575</v>
      </c>
      <c r="N6184" t="s">
        <v>25</v>
      </c>
    </row>
    <row r="6185" spans="1:14" x14ac:dyDescent="0.25">
      <c r="A6185" t="s">
        <v>42</v>
      </c>
      <c r="B6185" t="s">
        <v>39</v>
      </c>
      <c r="C6185" t="s">
        <v>15</v>
      </c>
      <c r="D6185" t="s">
        <v>29</v>
      </c>
      <c r="E6185" t="s">
        <v>21</v>
      </c>
      <c r="F6185" t="s">
        <v>19</v>
      </c>
      <c r="G6185" s="2">
        <f>VALUE(187.4)</f>
        <v>187.4</v>
      </c>
      <c r="H6185" s="3">
        <f>VALUE(179.68)</f>
        <v>179.68</v>
      </c>
      <c r="I6185" s="1">
        <f>VALUE(4254)</f>
        <v>4254</v>
      </c>
      <c r="J6185" s="1">
        <f>VALUE(5474)</f>
        <v>5474</v>
      </c>
      <c r="K6185" s="1">
        <f>VALUE(6666)</f>
        <v>6666</v>
      </c>
      <c r="L6185" s="1">
        <f>VALUE(8997)</f>
        <v>8997</v>
      </c>
      <c r="M6185" s="1">
        <f>VALUE(14902)</f>
        <v>14902</v>
      </c>
      <c r="N6185" t="s">
        <v>25</v>
      </c>
    </row>
    <row r="6186" spans="1:14" x14ac:dyDescent="0.25">
      <c r="A6186" t="s">
        <v>42</v>
      </c>
      <c r="B6186" t="s">
        <v>39</v>
      </c>
      <c r="C6186" t="s">
        <v>15</v>
      </c>
      <c r="D6186" t="s">
        <v>29</v>
      </c>
      <c r="E6186" t="s">
        <v>21</v>
      </c>
      <c r="F6186" t="s">
        <v>20</v>
      </c>
      <c r="G6186" s="2">
        <f>VALUE(455.86)</f>
        <v>455.86</v>
      </c>
      <c r="H6186" s="3">
        <f>VALUE(437.88)</f>
        <v>437.88</v>
      </c>
      <c r="I6186" s="4">
        <f>VALUE(4991)</f>
        <v>4991</v>
      </c>
      <c r="J6186" s="1">
        <f>VALUE(5569)</f>
        <v>5569</v>
      </c>
      <c r="K6186" s="1">
        <f>VALUE(7076)</f>
        <v>7076</v>
      </c>
      <c r="L6186" s="1">
        <f>VALUE(8509)</f>
        <v>8509</v>
      </c>
      <c r="M6186" s="8">
        <f>VALUE(10359)</f>
        <v>10359</v>
      </c>
      <c r="N6186" t="s">
        <v>25</v>
      </c>
    </row>
    <row r="6187" spans="1:14" x14ac:dyDescent="0.25">
      <c r="A6187" t="s">
        <v>42</v>
      </c>
      <c r="B6187" t="s">
        <v>39</v>
      </c>
      <c r="C6187" t="s">
        <v>15</v>
      </c>
      <c r="D6187" t="s">
        <v>29</v>
      </c>
      <c r="E6187" t="s">
        <v>22</v>
      </c>
      <c r="F6187" t="s">
        <v>15</v>
      </c>
      <c r="G6187" s="1">
        <f>VALUE(4262.76)</f>
        <v>4262.76</v>
      </c>
      <c r="H6187" s="1">
        <f>VALUE(4254.75)</f>
        <v>4254.75</v>
      </c>
      <c r="I6187" s="1">
        <f>VALUE(4103)</f>
        <v>4103</v>
      </c>
      <c r="J6187" s="1">
        <f>VALUE(4875)</f>
        <v>4875</v>
      </c>
      <c r="K6187" s="1">
        <f>VALUE(5715)</f>
        <v>5715</v>
      </c>
      <c r="L6187" s="1">
        <f>VALUE(7053)</f>
        <v>7053</v>
      </c>
      <c r="M6187" s="8">
        <f>VALUE(8907)</f>
        <v>8907</v>
      </c>
      <c r="N6187" t="s">
        <v>25</v>
      </c>
    </row>
    <row r="6188" spans="1:14" x14ac:dyDescent="0.25">
      <c r="A6188" t="s">
        <v>42</v>
      </c>
      <c r="B6188" t="s">
        <v>39</v>
      </c>
      <c r="C6188" t="s">
        <v>15</v>
      </c>
      <c r="D6188" t="s">
        <v>29</v>
      </c>
      <c r="E6188" t="s">
        <v>22</v>
      </c>
      <c r="F6188" t="s">
        <v>17</v>
      </c>
      <c r="G6188" s="2">
        <f>VALUE(636.79)</f>
        <v>636.79</v>
      </c>
      <c r="H6188" s="3">
        <f>VALUE(638.96)</f>
        <v>638.96</v>
      </c>
      <c r="I6188" s="4">
        <f>VALUE(4645)</f>
        <v>4645</v>
      </c>
      <c r="J6188" s="5">
        <f>VALUE(6497)</f>
        <v>6497</v>
      </c>
      <c r="K6188" s="6">
        <f>VALUE(8502)</f>
        <v>8502</v>
      </c>
      <c r="L6188" s="7">
        <f>VALUE(11392)</f>
        <v>11392</v>
      </c>
      <c r="M6188" s="8">
        <f>VALUE(17710)</f>
        <v>17710</v>
      </c>
      <c r="N6188" t="s">
        <v>24</v>
      </c>
    </row>
    <row r="6189" spans="1:14" x14ac:dyDescent="0.25">
      <c r="A6189" t="s">
        <v>42</v>
      </c>
      <c r="B6189" t="s">
        <v>39</v>
      </c>
      <c r="C6189" t="s">
        <v>15</v>
      </c>
      <c r="D6189" t="s">
        <v>29</v>
      </c>
      <c r="E6189" t="s">
        <v>22</v>
      </c>
      <c r="F6189" t="s">
        <v>18</v>
      </c>
      <c r="G6189" s="2">
        <f>VALUE(397.1)</f>
        <v>397.1</v>
      </c>
      <c r="H6189" s="3">
        <f>VALUE(397.45)</f>
        <v>397.45</v>
      </c>
      <c r="I6189" s="4">
        <f>VALUE(4503)</f>
        <v>4503</v>
      </c>
      <c r="J6189" s="1">
        <f>VALUE(5690)</f>
        <v>5690</v>
      </c>
      <c r="K6189" s="6">
        <f>VALUE(6707)</f>
        <v>6707</v>
      </c>
      <c r="L6189" s="1">
        <f>VALUE(8161)</f>
        <v>8161</v>
      </c>
      <c r="M6189" s="1">
        <f>VALUE(9647)</f>
        <v>9647</v>
      </c>
      <c r="N6189" t="s">
        <v>25</v>
      </c>
    </row>
    <row r="6190" spans="1:14" x14ac:dyDescent="0.25">
      <c r="A6190" t="s">
        <v>42</v>
      </c>
      <c r="B6190" t="s">
        <v>39</v>
      </c>
      <c r="C6190" t="s">
        <v>15</v>
      </c>
      <c r="D6190" t="s">
        <v>29</v>
      </c>
      <c r="E6190" t="s">
        <v>22</v>
      </c>
      <c r="F6190" t="s">
        <v>19</v>
      </c>
      <c r="G6190" s="2">
        <f>VALUE(736.51)</f>
        <v>736.51</v>
      </c>
      <c r="H6190" s="3">
        <f>VALUE(744.62)</f>
        <v>744.62</v>
      </c>
      <c r="I6190" s="4">
        <f>VALUE(4286)</f>
        <v>4286</v>
      </c>
      <c r="J6190" s="1">
        <f>VALUE(5064)</f>
        <v>5064</v>
      </c>
      <c r="K6190" s="1">
        <f>VALUE(5834)</f>
        <v>5834</v>
      </c>
      <c r="L6190" s="1">
        <f>VALUE(6947)</f>
        <v>6947</v>
      </c>
      <c r="M6190" s="1">
        <f>VALUE(8104)</f>
        <v>8104</v>
      </c>
      <c r="N6190" t="s">
        <v>25</v>
      </c>
    </row>
    <row r="6191" spans="1:14" x14ac:dyDescent="0.25">
      <c r="A6191" t="s">
        <v>42</v>
      </c>
      <c r="B6191" t="s">
        <v>39</v>
      </c>
      <c r="C6191" t="s">
        <v>15</v>
      </c>
      <c r="D6191" t="s">
        <v>29</v>
      </c>
      <c r="E6191" t="s">
        <v>22</v>
      </c>
      <c r="F6191" t="s">
        <v>20</v>
      </c>
      <c r="G6191" s="1">
        <f>VALUE(2492.36)</f>
        <v>2492.36</v>
      </c>
      <c r="H6191" s="1">
        <f>VALUE(2473.72)</f>
        <v>2473.7199999999998</v>
      </c>
      <c r="I6191" s="1">
        <f>VALUE(3961)</f>
        <v>3961</v>
      </c>
      <c r="J6191" s="1">
        <f>VALUE(4625)</f>
        <v>4625</v>
      </c>
      <c r="K6191" s="1">
        <f>VALUE(5299)</f>
        <v>5299</v>
      </c>
      <c r="L6191" s="1">
        <f>VALUE(6270)</f>
        <v>6270</v>
      </c>
      <c r="M6191" s="1">
        <f>VALUE(7347)</f>
        <v>7347</v>
      </c>
      <c r="N6191" t="s">
        <v>16</v>
      </c>
    </row>
    <row r="6192" spans="1:14" x14ac:dyDescent="0.25">
      <c r="A6192" t="s">
        <v>42</v>
      </c>
      <c r="B6192" t="s">
        <v>39</v>
      </c>
      <c r="C6192" t="s">
        <v>15</v>
      </c>
      <c r="D6192" t="s">
        <v>29</v>
      </c>
      <c r="E6192" t="s">
        <v>23</v>
      </c>
      <c r="F6192" t="s">
        <v>15</v>
      </c>
      <c r="G6192" s="1">
        <f>VALUE(4101.71)</f>
        <v>4101.71</v>
      </c>
      <c r="H6192" s="1">
        <f>VALUE(4084.5)</f>
        <v>4084.5</v>
      </c>
      <c r="I6192" s="1">
        <f>VALUE(3832)</f>
        <v>3832</v>
      </c>
      <c r="J6192" s="1">
        <f>VALUE(4336)</f>
        <v>4336</v>
      </c>
      <c r="K6192" s="1">
        <f>VALUE(5196)</f>
        <v>5196</v>
      </c>
      <c r="L6192" s="1">
        <f>VALUE(5874)</f>
        <v>5874</v>
      </c>
      <c r="M6192" s="1">
        <f>VALUE(6719)</f>
        <v>6719</v>
      </c>
      <c r="N6192" t="s">
        <v>16</v>
      </c>
    </row>
    <row r="6193" spans="1:14" x14ac:dyDescent="0.25">
      <c r="A6193" t="s">
        <v>42</v>
      </c>
      <c r="B6193" t="s">
        <v>39</v>
      </c>
      <c r="C6193" t="s">
        <v>15</v>
      </c>
      <c r="D6193" t="s">
        <v>29</v>
      </c>
      <c r="E6193" t="s">
        <v>23</v>
      </c>
      <c r="F6193" t="s">
        <v>17</v>
      </c>
      <c r="G6193" s="1" t="str">
        <f t="shared" ref="G6193:M6193" si="1327">"X"</f>
        <v>X</v>
      </c>
      <c r="H6193" s="1" t="str">
        <f t="shared" si="1327"/>
        <v>X</v>
      </c>
      <c r="I6193" s="1" t="str">
        <f t="shared" si="1327"/>
        <v>X</v>
      </c>
      <c r="J6193" s="1" t="str">
        <f t="shared" si="1327"/>
        <v>X</v>
      </c>
      <c r="K6193" s="1" t="str">
        <f t="shared" si="1327"/>
        <v>X</v>
      </c>
      <c r="L6193" s="1" t="str">
        <f t="shared" si="1327"/>
        <v>X</v>
      </c>
      <c r="M6193" s="1" t="str">
        <f t="shared" si="1327"/>
        <v>X</v>
      </c>
      <c r="N6193" t="s">
        <v>27</v>
      </c>
    </row>
    <row r="6194" spans="1:14" x14ac:dyDescent="0.25">
      <c r="A6194" t="s">
        <v>42</v>
      </c>
      <c r="B6194" t="s">
        <v>39</v>
      </c>
      <c r="C6194" t="s">
        <v>15</v>
      </c>
      <c r="D6194" t="s">
        <v>29</v>
      </c>
      <c r="E6194" t="s">
        <v>23</v>
      </c>
      <c r="F6194" t="s">
        <v>18</v>
      </c>
      <c r="G6194" s="2">
        <f>VALUE(176.75)</f>
        <v>176.75</v>
      </c>
      <c r="H6194" s="3">
        <f>VALUE(182.73)</f>
        <v>182.73</v>
      </c>
      <c r="I6194" s="1">
        <f>VALUE(3832)</f>
        <v>3832</v>
      </c>
      <c r="J6194" s="5">
        <f>VALUE(4082)</f>
        <v>4082</v>
      </c>
      <c r="K6194" s="1">
        <f>VALUE(5291)</f>
        <v>5291</v>
      </c>
      <c r="L6194" s="7">
        <f>VALUE(5914)</f>
        <v>5914</v>
      </c>
      <c r="M6194" s="1">
        <f>VALUE(8162)</f>
        <v>8162</v>
      </c>
      <c r="N6194" t="s">
        <v>25</v>
      </c>
    </row>
    <row r="6195" spans="1:14" x14ac:dyDescent="0.25">
      <c r="A6195" t="s">
        <v>42</v>
      </c>
      <c r="B6195" t="s">
        <v>39</v>
      </c>
      <c r="C6195" t="s">
        <v>15</v>
      </c>
      <c r="D6195" t="s">
        <v>29</v>
      </c>
      <c r="E6195" t="s">
        <v>23</v>
      </c>
      <c r="F6195" t="s">
        <v>19</v>
      </c>
      <c r="G6195" s="2">
        <f>VALUE(342.92)</f>
        <v>342.92</v>
      </c>
      <c r="H6195" s="3">
        <f>VALUE(354.63)</f>
        <v>354.63</v>
      </c>
      <c r="I6195" s="1">
        <f>VALUE(4087)</f>
        <v>4087</v>
      </c>
      <c r="J6195" s="1">
        <f>VALUE(4742)</f>
        <v>4742</v>
      </c>
      <c r="K6195" s="1">
        <f>VALUE(5598)</f>
        <v>5598</v>
      </c>
      <c r="L6195" s="7">
        <f>VALUE(6081)</f>
        <v>6081</v>
      </c>
      <c r="M6195" s="1">
        <f>VALUE(6967)</f>
        <v>6967</v>
      </c>
      <c r="N6195" t="s">
        <v>25</v>
      </c>
    </row>
    <row r="6196" spans="1:14" x14ac:dyDescent="0.25">
      <c r="A6196" t="s">
        <v>42</v>
      </c>
      <c r="B6196" t="s">
        <v>39</v>
      </c>
      <c r="C6196" t="s">
        <v>15</v>
      </c>
      <c r="D6196" t="s">
        <v>29</v>
      </c>
      <c r="E6196" t="s">
        <v>23</v>
      </c>
      <c r="F6196" t="s">
        <v>20</v>
      </c>
      <c r="G6196" s="1">
        <f>VALUE(3247.74)</f>
        <v>3247.74</v>
      </c>
      <c r="H6196" s="1">
        <f>VALUE(3220.2)</f>
        <v>3220.2</v>
      </c>
      <c r="I6196" s="1">
        <f>VALUE(3861)</f>
        <v>3861</v>
      </c>
      <c r="J6196" s="1">
        <f>VALUE(4360)</f>
        <v>4360</v>
      </c>
      <c r="K6196" s="1">
        <f>VALUE(5154)</f>
        <v>5154</v>
      </c>
      <c r="L6196" s="1">
        <f>VALUE(5823)</f>
        <v>5823</v>
      </c>
      <c r="M6196" s="1">
        <f>VALUE(6515)</f>
        <v>6515</v>
      </c>
      <c r="N6196" t="s">
        <v>16</v>
      </c>
    </row>
    <row r="6197" spans="1:14" x14ac:dyDescent="0.25">
      <c r="A6197" t="s">
        <v>42</v>
      </c>
      <c r="B6197" t="s">
        <v>39</v>
      </c>
      <c r="C6197" t="s">
        <v>15</v>
      </c>
      <c r="D6197" t="s">
        <v>29</v>
      </c>
      <c r="E6197" t="s">
        <v>26</v>
      </c>
      <c r="F6197" t="s">
        <v>15</v>
      </c>
      <c r="G6197" s="2">
        <f>VALUE(298.56)</f>
        <v>298.56</v>
      </c>
      <c r="H6197" s="3">
        <f>VALUE(304.25)</f>
        <v>304.25</v>
      </c>
      <c r="I6197" s="4">
        <f>VALUE(3328)</f>
        <v>3328</v>
      </c>
      <c r="J6197" s="5">
        <f>VALUE(3862)</f>
        <v>3862</v>
      </c>
      <c r="K6197" s="6">
        <f>VALUE(4820)</f>
        <v>4820</v>
      </c>
      <c r="L6197" s="7">
        <f>VALUE(6865)</f>
        <v>6865</v>
      </c>
      <c r="M6197" s="8">
        <f>VALUE(10320)</f>
        <v>10320</v>
      </c>
      <c r="N6197" t="s">
        <v>24</v>
      </c>
    </row>
    <row r="6198" spans="1:14" x14ac:dyDescent="0.25">
      <c r="A6198" t="s">
        <v>42</v>
      </c>
      <c r="B6198" t="s">
        <v>39</v>
      </c>
      <c r="C6198" t="s">
        <v>15</v>
      </c>
      <c r="D6198" t="s">
        <v>29</v>
      </c>
      <c r="E6198" t="s">
        <v>26</v>
      </c>
      <c r="F6198" t="s">
        <v>17</v>
      </c>
      <c r="G6198" s="1" t="str">
        <f t="shared" ref="G6198:M6199" si="1328">"X"</f>
        <v>X</v>
      </c>
      <c r="H6198" s="1" t="str">
        <f t="shared" si="1328"/>
        <v>X</v>
      </c>
      <c r="I6198" s="1" t="str">
        <f t="shared" si="1328"/>
        <v>X</v>
      </c>
      <c r="J6198" s="1" t="str">
        <f t="shared" si="1328"/>
        <v>X</v>
      </c>
      <c r="K6198" s="1" t="str">
        <f t="shared" si="1328"/>
        <v>X</v>
      </c>
      <c r="L6198" s="1" t="str">
        <f t="shared" si="1328"/>
        <v>X</v>
      </c>
      <c r="M6198" s="1" t="str">
        <f t="shared" si="1328"/>
        <v>X</v>
      </c>
      <c r="N6198" t="s">
        <v>27</v>
      </c>
    </row>
    <row r="6199" spans="1:14" x14ac:dyDescent="0.25">
      <c r="A6199" t="s">
        <v>42</v>
      </c>
      <c r="B6199" t="s">
        <v>39</v>
      </c>
      <c r="C6199" t="s">
        <v>15</v>
      </c>
      <c r="D6199" t="s">
        <v>29</v>
      </c>
      <c r="E6199" t="s">
        <v>26</v>
      </c>
      <c r="F6199" t="s">
        <v>18</v>
      </c>
      <c r="G6199" s="1" t="str">
        <f t="shared" si="1328"/>
        <v>X</v>
      </c>
      <c r="H6199" s="1" t="str">
        <f t="shared" si="1328"/>
        <v>X</v>
      </c>
      <c r="I6199" s="1" t="str">
        <f t="shared" si="1328"/>
        <v>X</v>
      </c>
      <c r="J6199" s="1" t="str">
        <f t="shared" si="1328"/>
        <v>X</v>
      </c>
      <c r="K6199" s="1" t="str">
        <f t="shared" si="1328"/>
        <v>X</v>
      </c>
      <c r="L6199" s="1" t="str">
        <f t="shared" si="1328"/>
        <v>X</v>
      </c>
      <c r="M6199" s="1" t="str">
        <f t="shared" si="1328"/>
        <v>X</v>
      </c>
      <c r="N6199" t="s">
        <v>27</v>
      </c>
    </row>
    <row r="6200" spans="1:14" x14ac:dyDescent="0.25">
      <c r="A6200" t="s">
        <v>42</v>
      </c>
      <c r="B6200" t="s">
        <v>39</v>
      </c>
      <c r="C6200" t="s">
        <v>15</v>
      </c>
      <c r="D6200" t="s">
        <v>29</v>
      </c>
      <c r="E6200" t="s">
        <v>26</v>
      </c>
      <c r="F6200" t="s">
        <v>19</v>
      </c>
      <c r="G6200" s="1" t="str">
        <f t="shared" ref="G6200:M6200" si="1329">"..."</f>
        <v>...</v>
      </c>
      <c r="H6200" s="1" t="str">
        <f t="shared" si="1329"/>
        <v>...</v>
      </c>
      <c r="I6200" s="1" t="str">
        <f t="shared" si="1329"/>
        <v>...</v>
      </c>
      <c r="J6200" s="1" t="str">
        <f t="shared" si="1329"/>
        <v>...</v>
      </c>
      <c r="K6200" s="1" t="str">
        <f t="shared" si="1329"/>
        <v>...</v>
      </c>
      <c r="L6200" s="1" t="str">
        <f t="shared" si="1329"/>
        <v>...</v>
      </c>
      <c r="M6200" s="1" t="str">
        <f t="shared" si="1329"/>
        <v>...</v>
      </c>
      <c r="N6200" t="s">
        <v>30</v>
      </c>
    </row>
    <row r="6201" spans="1:14" x14ac:dyDescent="0.25">
      <c r="A6201" t="s">
        <v>42</v>
      </c>
      <c r="B6201" t="s">
        <v>39</v>
      </c>
      <c r="C6201" t="s">
        <v>15</v>
      </c>
      <c r="D6201" t="s">
        <v>29</v>
      </c>
      <c r="E6201" t="s">
        <v>26</v>
      </c>
      <c r="F6201" t="s">
        <v>20</v>
      </c>
      <c r="G6201" s="2">
        <f>VALUE(189.45)</f>
        <v>189.45</v>
      </c>
      <c r="H6201" s="3">
        <f>VALUE(190.92)</f>
        <v>190.92</v>
      </c>
      <c r="I6201" s="1">
        <f>VALUE(3200)</f>
        <v>3200</v>
      </c>
      <c r="J6201" s="1">
        <f>VALUE(3508)</f>
        <v>3508</v>
      </c>
      <c r="K6201" s="6">
        <f>VALUE(4765)</f>
        <v>4765</v>
      </c>
      <c r="L6201" s="1">
        <f>VALUE(6187)</f>
        <v>6187</v>
      </c>
      <c r="M6201" s="8">
        <f>VALUE(7198)</f>
        <v>7198</v>
      </c>
      <c r="N6201" t="s">
        <v>25</v>
      </c>
    </row>
    <row r="6202" spans="1:14" x14ac:dyDescent="0.25">
      <c r="A6202" t="s">
        <v>42</v>
      </c>
      <c r="B6202" t="s">
        <v>39</v>
      </c>
      <c r="C6202" t="s">
        <v>15</v>
      </c>
      <c r="D6202" t="s">
        <v>31</v>
      </c>
      <c r="E6202" t="s">
        <v>15</v>
      </c>
      <c r="F6202" t="s">
        <v>15</v>
      </c>
      <c r="G6202" s="1">
        <f>VALUE(4610.12)</f>
        <v>4610.12</v>
      </c>
      <c r="H6202" s="1">
        <f>VALUE(4524.33)</f>
        <v>4524.33</v>
      </c>
      <c r="I6202" s="1">
        <f>VALUE(3452)</f>
        <v>3452</v>
      </c>
      <c r="J6202" s="1">
        <f>VALUE(4097)</f>
        <v>4097</v>
      </c>
      <c r="K6202" s="1">
        <f>VALUE(5194)</f>
        <v>5194</v>
      </c>
      <c r="L6202" s="1">
        <f>VALUE(6622)</f>
        <v>6622</v>
      </c>
      <c r="M6202" s="8">
        <f>VALUE(10317)</f>
        <v>10317</v>
      </c>
      <c r="N6202" t="s">
        <v>25</v>
      </c>
    </row>
    <row r="6203" spans="1:14" x14ac:dyDescent="0.25">
      <c r="A6203" t="s">
        <v>42</v>
      </c>
      <c r="B6203" t="s">
        <v>39</v>
      </c>
      <c r="C6203" t="s">
        <v>15</v>
      </c>
      <c r="D6203" t="s">
        <v>31</v>
      </c>
      <c r="E6203" t="s">
        <v>15</v>
      </c>
      <c r="F6203" t="s">
        <v>17</v>
      </c>
      <c r="G6203" s="2">
        <f>VALUE(634.3)</f>
        <v>634.29999999999995</v>
      </c>
      <c r="H6203" s="3">
        <f>VALUE(645.93)</f>
        <v>645.92999999999995</v>
      </c>
      <c r="I6203" s="4">
        <f>VALUE(3940)</f>
        <v>3940</v>
      </c>
      <c r="J6203" s="5">
        <f>VALUE(5674)</f>
        <v>5674</v>
      </c>
      <c r="K6203" s="6">
        <f>VALUE(9075)</f>
        <v>9075</v>
      </c>
      <c r="L6203" s="7">
        <f>VALUE(15198)</f>
        <v>15198</v>
      </c>
      <c r="M6203" s="8">
        <f>VALUE(41293)</f>
        <v>41293</v>
      </c>
      <c r="N6203" t="s">
        <v>24</v>
      </c>
    </row>
    <row r="6204" spans="1:14" x14ac:dyDescent="0.25">
      <c r="A6204" t="s">
        <v>42</v>
      </c>
      <c r="B6204" t="s">
        <v>39</v>
      </c>
      <c r="C6204" t="s">
        <v>15</v>
      </c>
      <c r="D6204" t="s">
        <v>31</v>
      </c>
      <c r="E6204" t="s">
        <v>15</v>
      </c>
      <c r="F6204" t="s">
        <v>18</v>
      </c>
      <c r="G6204" s="2">
        <f>VALUE(413.71)</f>
        <v>413.71</v>
      </c>
      <c r="H6204" s="3">
        <f>VALUE(413.19)</f>
        <v>413.19</v>
      </c>
      <c r="I6204" s="4">
        <f>VALUE(4008)</f>
        <v>4008</v>
      </c>
      <c r="J6204" s="1">
        <f>VALUE(4762)</f>
        <v>4762</v>
      </c>
      <c r="K6204" s="6">
        <f>VALUE(6564)</f>
        <v>6564</v>
      </c>
      <c r="L6204" s="7">
        <f>VALUE(9334)</f>
        <v>9334</v>
      </c>
      <c r="M6204" s="8">
        <f>VALUE(12018)</f>
        <v>12018</v>
      </c>
      <c r="N6204" t="s">
        <v>25</v>
      </c>
    </row>
    <row r="6205" spans="1:14" x14ac:dyDescent="0.25">
      <c r="A6205" t="s">
        <v>42</v>
      </c>
      <c r="B6205" t="s">
        <v>39</v>
      </c>
      <c r="C6205" t="s">
        <v>15</v>
      </c>
      <c r="D6205" t="s">
        <v>31</v>
      </c>
      <c r="E6205" t="s">
        <v>15</v>
      </c>
      <c r="F6205" t="s">
        <v>19</v>
      </c>
      <c r="G6205" s="2">
        <f>VALUE(469.75)</f>
        <v>469.75</v>
      </c>
      <c r="H6205" s="3">
        <f>VALUE(458.12)</f>
        <v>458.12</v>
      </c>
      <c r="I6205" s="4">
        <f>VALUE(4022)</f>
        <v>4022</v>
      </c>
      <c r="J6205" s="5">
        <f>VALUE(4776)</f>
        <v>4776</v>
      </c>
      <c r="K6205" s="1">
        <f>VALUE(5672)</f>
        <v>5672</v>
      </c>
      <c r="L6205" s="7">
        <f>VALUE(7316)</f>
        <v>7316</v>
      </c>
      <c r="M6205" s="8">
        <f>VALUE(10903)</f>
        <v>10903</v>
      </c>
      <c r="N6205" t="s">
        <v>25</v>
      </c>
    </row>
    <row r="6206" spans="1:14" x14ac:dyDescent="0.25">
      <c r="A6206" t="s">
        <v>42</v>
      </c>
      <c r="B6206" t="s">
        <v>39</v>
      </c>
      <c r="C6206" t="s">
        <v>15</v>
      </c>
      <c r="D6206" t="s">
        <v>31</v>
      </c>
      <c r="E6206" t="s">
        <v>15</v>
      </c>
      <c r="F6206" t="s">
        <v>20</v>
      </c>
      <c r="G6206" s="1">
        <f>VALUE(3092.36)</f>
        <v>3092.36</v>
      </c>
      <c r="H6206" s="1">
        <f>VALUE(3007.09)</f>
        <v>3007.09</v>
      </c>
      <c r="I6206" s="1">
        <f>VALUE(3387)</f>
        <v>3387</v>
      </c>
      <c r="J6206" s="1">
        <f>VALUE(3893)</f>
        <v>3893</v>
      </c>
      <c r="K6206" s="1">
        <f>VALUE(4776)</f>
        <v>4776</v>
      </c>
      <c r="L6206" s="1">
        <f>VALUE(5666)</f>
        <v>5666</v>
      </c>
      <c r="M6206" s="1">
        <f>VALUE(6836)</f>
        <v>6836</v>
      </c>
      <c r="N6206" t="s">
        <v>16</v>
      </c>
    </row>
    <row r="6207" spans="1:14" x14ac:dyDescent="0.25">
      <c r="A6207" t="s">
        <v>42</v>
      </c>
      <c r="B6207" t="s">
        <v>39</v>
      </c>
      <c r="C6207" t="s">
        <v>15</v>
      </c>
      <c r="D6207" t="s">
        <v>31</v>
      </c>
      <c r="E6207" t="s">
        <v>21</v>
      </c>
      <c r="F6207" t="s">
        <v>15</v>
      </c>
      <c r="G6207" s="2">
        <f>VALUE(1255.94)</f>
        <v>1255.94</v>
      </c>
      <c r="H6207" s="3">
        <f>VALUE(1212.88)</f>
        <v>1212.8800000000001</v>
      </c>
      <c r="I6207" s="1">
        <f>VALUE(4375)</f>
        <v>4375</v>
      </c>
      <c r="J6207" s="5">
        <f>VALUE(5417)</f>
        <v>5417</v>
      </c>
      <c r="K6207" s="1">
        <f>VALUE(7419)</f>
        <v>7419</v>
      </c>
      <c r="L6207" s="7">
        <f>VALUE(11350)</f>
        <v>11350</v>
      </c>
      <c r="M6207" s="8">
        <f>VALUE(21667)</f>
        <v>21667</v>
      </c>
      <c r="N6207" t="s">
        <v>25</v>
      </c>
    </row>
    <row r="6208" spans="1:14" x14ac:dyDescent="0.25">
      <c r="A6208" t="s">
        <v>42</v>
      </c>
      <c r="B6208" t="s">
        <v>39</v>
      </c>
      <c r="C6208" t="s">
        <v>15</v>
      </c>
      <c r="D6208" t="s">
        <v>31</v>
      </c>
      <c r="E6208" t="s">
        <v>21</v>
      </c>
      <c r="F6208" t="s">
        <v>17</v>
      </c>
      <c r="G6208" s="2">
        <f>VALUE(350.52)</f>
        <v>350.52</v>
      </c>
      <c r="H6208" s="3">
        <f>VALUE(357.18)</f>
        <v>357.18</v>
      </c>
      <c r="I6208" s="4">
        <f>VALUE(5200)</f>
        <v>5200</v>
      </c>
      <c r="J6208" s="5">
        <f>VALUE(7919)</f>
        <v>7919</v>
      </c>
      <c r="K6208" s="6">
        <f>VALUE(12777)</f>
        <v>12777</v>
      </c>
      <c r="L6208" s="7">
        <f>VALUE(24167)</f>
        <v>24167</v>
      </c>
      <c r="M6208" s="8">
        <f>VALUE(53064)</f>
        <v>53064</v>
      </c>
      <c r="N6208" t="s">
        <v>24</v>
      </c>
    </row>
    <row r="6209" spans="1:14" x14ac:dyDescent="0.25">
      <c r="A6209" t="s">
        <v>42</v>
      </c>
      <c r="B6209" t="s">
        <v>39</v>
      </c>
      <c r="C6209" t="s">
        <v>15</v>
      </c>
      <c r="D6209" t="s">
        <v>31</v>
      </c>
      <c r="E6209" t="s">
        <v>21</v>
      </c>
      <c r="F6209" t="s">
        <v>18</v>
      </c>
      <c r="G6209" s="2">
        <f>VALUE(260.3)</f>
        <v>260.3</v>
      </c>
      <c r="H6209" s="3">
        <f>VALUE(257.99)</f>
        <v>257.99</v>
      </c>
      <c r="I6209" s="1">
        <f>VALUE(5116)</f>
        <v>5116</v>
      </c>
      <c r="J6209" s="1">
        <f>VALUE(6111)</f>
        <v>6111</v>
      </c>
      <c r="K6209" s="6">
        <f>VALUE(7917)</f>
        <v>7917</v>
      </c>
      <c r="L6209" s="7">
        <f>VALUE(9911)</f>
        <v>9911</v>
      </c>
      <c r="M6209" s="8">
        <f>VALUE(13384)</f>
        <v>13384</v>
      </c>
      <c r="N6209" t="s">
        <v>25</v>
      </c>
    </row>
    <row r="6210" spans="1:14" x14ac:dyDescent="0.25">
      <c r="A6210" t="s">
        <v>42</v>
      </c>
      <c r="B6210" t="s">
        <v>39</v>
      </c>
      <c r="C6210" t="s">
        <v>15</v>
      </c>
      <c r="D6210" t="s">
        <v>31</v>
      </c>
      <c r="E6210" t="s">
        <v>21</v>
      </c>
      <c r="F6210" t="s">
        <v>19</v>
      </c>
      <c r="G6210" s="2">
        <f>VALUE(209.29)</f>
        <v>209.29</v>
      </c>
      <c r="H6210" s="3">
        <f>VALUE(203.98)</f>
        <v>203.98</v>
      </c>
      <c r="I6210" s="4">
        <f>VALUE(3736)</f>
        <v>3736</v>
      </c>
      <c r="J6210" s="5">
        <f>VALUE(5147)</f>
        <v>5147</v>
      </c>
      <c r="K6210" s="1">
        <f>VALUE(6778)</f>
        <v>6778</v>
      </c>
      <c r="L6210" s="7">
        <f>VALUE(10038)</f>
        <v>10038</v>
      </c>
      <c r="M6210" s="8">
        <f>VALUE(13617)</f>
        <v>13617</v>
      </c>
      <c r="N6210" t="s">
        <v>25</v>
      </c>
    </row>
    <row r="6211" spans="1:14" x14ac:dyDescent="0.25">
      <c r="A6211" t="s">
        <v>42</v>
      </c>
      <c r="B6211" t="s">
        <v>39</v>
      </c>
      <c r="C6211" t="s">
        <v>15</v>
      </c>
      <c r="D6211" t="s">
        <v>31</v>
      </c>
      <c r="E6211" t="s">
        <v>21</v>
      </c>
      <c r="F6211" t="s">
        <v>20</v>
      </c>
      <c r="G6211" s="2">
        <f>VALUE(435.83)</f>
        <v>435.83</v>
      </c>
      <c r="H6211" s="3">
        <f>VALUE(393.73)</f>
        <v>393.73</v>
      </c>
      <c r="I6211" s="1">
        <f>VALUE(4068)</f>
        <v>4068</v>
      </c>
      <c r="J6211" s="5">
        <f>VALUE(4910)</f>
        <v>4910</v>
      </c>
      <c r="K6211" s="6">
        <f>VALUE(5983)</f>
        <v>5983</v>
      </c>
      <c r="L6211" s="1">
        <f>VALUE(7403)</f>
        <v>7403</v>
      </c>
      <c r="M6211" s="1">
        <f>VALUE(8942)</f>
        <v>8942</v>
      </c>
      <c r="N6211" t="s">
        <v>25</v>
      </c>
    </row>
    <row r="6212" spans="1:14" x14ac:dyDescent="0.25">
      <c r="A6212" t="s">
        <v>42</v>
      </c>
      <c r="B6212" t="s">
        <v>39</v>
      </c>
      <c r="C6212" t="s">
        <v>15</v>
      </c>
      <c r="D6212" t="s">
        <v>31</v>
      </c>
      <c r="E6212" t="s">
        <v>22</v>
      </c>
      <c r="F6212" t="s">
        <v>15</v>
      </c>
      <c r="G6212" s="2">
        <f>VALUE(1235.57)</f>
        <v>1235.57</v>
      </c>
      <c r="H6212" s="3">
        <f>VALUE(1215.35)</f>
        <v>1215.3499999999999</v>
      </c>
      <c r="I6212" s="1">
        <f>VALUE(3524)</f>
        <v>3524</v>
      </c>
      <c r="J6212" s="1">
        <f>VALUE(4270)</f>
        <v>4270</v>
      </c>
      <c r="K6212" s="1">
        <f>VALUE(5099)</f>
        <v>5099</v>
      </c>
      <c r="L6212" s="1">
        <f>VALUE(6149)</f>
        <v>6149</v>
      </c>
      <c r="M6212" s="1">
        <f>VALUE(8360)</f>
        <v>8360</v>
      </c>
      <c r="N6212" t="s">
        <v>25</v>
      </c>
    </row>
    <row r="6213" spans="1:14" x14ac:dyDescent="0.25">
      <c r="A6213" t="s">
        <v>42</v>
      </c>
      <c r="B6213" t="s">
        <v>39</v>
      </c>
      <c r="C6213" t="s">
        <v>15</v>
      </c>
      <c r="D6213" t="s">
        <v>31</v>
      </c>
      <c r="E6213" t="s">
        <v>22</v>
      </c>
      <c r="F6213" t="s">
        <v>17</v>
      </c>
      <c r="G6213" s="2">
        <f>VALUE(179.44)</f>
        <v>179.44</v>
      </c>
      <c r="H6213" s="3">
        <f>VALUE(188.42)</f>
        <v>188.42</v>
      </c>
      <c r="I6213" s="4">
        <f>VALUE(4333)</f>
        <v>4333</v>
      </c>
      <c r="J6213" s="5">
        <f>VALUE(5369)</f>
        <v>5369</v>
      </c>
      <c r="K6213" s="6">
        <f>VALUE(6960)</f>
        <v>6960</v>
      </c>
      <c r="L6213" s="7">
        <f>VALUE(9730)</f>
        <v>9730</v>
      </c>
      <c r="M6213" s="8">
        <f>VALUE(18264)</f>
        <v>18264</v>
      </c>
      <c r="N6213" t="s">
        <v>24</v>
      </c>
    </row>
    <row r="6214" spans="1:14" x14ac:dyDescent="0.25">
      <c r="A6214" t="s">
        <v>42</v>
      </c>
      <c r="B6214" t="s">
        <v>39</v>
      </c>
      <c r="C6214" t="s">
        <v>15</v>
      </c>
      <c r="D6214" t="s">
        <v>31</v>
      </c>
      <c r="E6214" t="s">
        <v>22</v>
      </c>
      <c r="F6214" t="s">
        <v>18</v>
      </c>
      <c r="G6214" s="1" t="str">
        <f t="shared" ref="G6214:M6215" si="1330">"X"</f>
        <v>X</v>
      </c>
      <c r="H6214" s="1" t="str">
        <f t="shared" si="1330"/>
        <v>X</v>
      </c>
      <c r="I6214" s="1" t="str">
        <f t="shared" si="1330"/>
        <v>X</v>
      </c>
      <c r="J6214" s="1" t="str">
        <f t="shared" si="1330"/>
        <v>X</v>
      </c>
      <c r="K6214" s="1" t="str">
        <f t="shared" si="1330"/>
        <v>X</v>
      </c>
      <c r="L6214" s="1" t="str">
        <f t="shared" si="1330"/>
        <v>X</v>
      </c>
      <c r="M6214" s="1" t="str">
        <f t="shared" si="1330"/>
        <v>X</v>
      </c>
      <c r="N6214" t="s">
        <v>27</v>
      </c>
    </row>
    <row r="6215" spans="1:14" x14ac:dyDescent="0.25">
      <c r="A6215" t="s">
        <v>42</v>
      </c>
      <c r="B6215" t="s">
        <v>39</v>
      </c>
      <c r="C6215" t="s">
        <v>15</v>
      </c>
      <c r="D6215" t="s">
        <v>31</v>
      </c>
      <c r="E6215" t="s">
        <v>22</v>
      </c>
      <c r="F6215" t="s">
        <v>19</v>
      </c>
      <c r="G6215" s="1" t="str">
        <f t="shared" si="1330"/>
        <v>X</v>
      </c>
      <c r="H6215" s="1" t="str">
        <f t="shared" si="1330"/>
        <v>X</v>
      </c>
      <c r="I6215" s="1" t="str">
        <f t="shared" si="1330"/>
        <v>X</v>
      </c>
      <c r="J6215" s="1" t="str">
        <f t="shared" si="1330"/>
        <v>X</v>
      </c>
      <c r="K6215" s="1" t="str">
        <f t="shared" si="1330"/>
        <v>X</v>
      </c>
      <c r="L6215" s="1" t="str">
        <f t="shared" si="1330"/>
        <v>X</v>
      </c>
      <c r="M6215" s="1" t="str">
        <f t="shared" si="1330"/>
        <v>X</v>
      </c>
      <c r="N6215" t="s">
        <v>27</v>
      </c>
    </row>
    <row r="6216" spans="1:14" x14ac:dyDescent="0.25">
      <c r="A6216" t="s">
        <v>42</v>
      </c>
      <c r="B6216" t="s">
        <v>39</v>
      </c>
      <c r="C6216" t="s">
        <v>15</v>
      </c>
      <c r="D6216" t="s">
        <v>31</v>
      </c>
      <c r="E6216" t="s">
        <v>22</v>
      </c>
      <c r="F6216" t="s">
        <v>20</v>
      </c>
      <c r="G6216" s="2">
        <f>VALUE(837.61)</f>
        <v>837.61</v>
      </c>
      <c r="H6216" s="3">
        <f>VALUE(808.29)</f>
        <v>808.29</v>
      </c>
      <c r="I6216" s="4">
        <f>VALUE(3298)</f>
        <v>3298</v>
      </c>
      <c r="J6216" s="1">
        <f>VALUE(4127)</f>
        <v>4127</v>
      </c>
      <c r="K6216" s="1">
        <f>VALUE(4801)</f>
        <v>4801</v>
      </c>
      <c r="L6216" s="1">
        <f>VALUE(5433)</f>
        <v>5433</v>
      </c>
      <c r="M6216" s="1">
        <f>VALUE(6372)</f>
        <v>6372</v>
      </c>
      <c r="N6216" t="s">
        <v>25</v>
      </c>
    </row>
    <row r="6217" spans="1:14" x14ac:dyDescent="0.25">
      <c r="A6217" t="s">
        <v>42</v>
      </c>
      <c r="B6217" t="s">
        <v>39</v>
      </c>
      <c r="C6217" t="s">
        <v>15</v>
      </c>
      <c r="D6217" t="s">
        <v>31</v>
      </c>
      <c r="E6217" t="s">
        <v>23</v>
      </c>
      <c r="F6217" t="s">
        <v>15</v>
      </c>
      <c r="G6217" s="2">
        <f>VALUE(1882.82)</f>
        <v>1882.82</v>
      </c>
      <c r="H6217" s="3">
        <f>VALUE(1868.46)</f>
        <v>1868.46</v>
      </c>
      <c r="I6217" s="4">
        <f>VALUE(3387)</f>
        <v>3387</v>
      </c>
      <c r="J6217" s="1">
        <f>VALUE(3810)</f>
        <v>3810</v>
      </c>
      <c r="K6217" s="1">
        <f>VALUE(4470)</f>
        <v>4470</v>
      </c>
      <c r="L6217" s="1">
        <f>VALUE(5473)</f>
        <v>5473</v>
      </c>
      <c r="M6217" s="1">
        <f>VALUE(6404)</f>
        <v>6404</v>
      </c>
      <c r="N6217" t="s">
        <v>25</v>
      </c>
    </row>
    <row r="6218" spans="1:14" x14ac:dyDescent="0.25">
      <c r="A6218" t="s">
        <v>42</v>
      </c>
      <c r="B6218" t="s">
        <v>39</v>
      </c>
      <c r="C6218" t="s">
        <v>15</v>
      </c>
      <c r="D6218" t="s">
        <v>31</v>
      </c>
      <c r="E6218" t="s">
        <v>23</v>
      </c>
      <c r="F6218" t="s">
        <v>17</v>
      </c>
      <c r="G6218" s="1" t="str">
        <f t="shared" ref="G6218:M6220" si="1331">"X"</f>
        <v>X</v>
      </c>
      <c r="H6218" s="1" t="str">
        <f t="shared" si="1331"/>
        <v>X</v>
      </c>
      <c r="I6218" s="1" t="str">
        <f t="shared" si="1331"/>
        <v>X</v>
      </c>
      <c r="J6218" s="1" t="str">
        <f t="shared" si="1331"/>
        <v>X</v>
      </c>
      <c r="K6218" s="1" t="str">
        <f t="shared" si="1331"/>
        <v>X</v>
      </c>
      <c r="L6218" s="1" t="str">
        <f t="shared" si="1331"/>
        <v>X</v>
      </c>
      <c r="M6218" s="1" t="str">
        <f t="shared" si="1331"/>
        <v>X</v>
      </c>
      <c r="N6218" t="s">
        <v>27</v>
      </c>
    </row>
    <row r="6219" spans="1:14" x14ac:dyDescent="0.25">
      <c r="A6219" t="s">
        <v>42</v>
      </c>
      <c r="B6219" t="s">
        <v>39</v>
      </c>
      <c r="C6219" t="s">
        <v>15</v>
      </c>
      <c r="D6219" t="s">
        <v>31</v>
      </c>
      <c r="E6219" t="s">
        <v>23</v>
      </c>
      <c r="F6219" t="s">
        <v>18</v>
      </c>
      <c r="G6219" s="1" t="str">
        <f t="shared" si="1331"/>
        <v>X</v>
      </c>
      <c r="H6219" s="1" t="str">
        <f t="shared" si="1331"/>
        <v>X</v>
      </c>
      <c r="I6219" s="1" t="str">
        <f t="shared" si="1331"/>
        <v>X</v>
      </c>
      <c r="J6219" s="1" t="str">
        <f t="shared" si="1331"/>
        <v>X</v>
      </c>
      <c r="K6219" s="1" t="str">
        <f t="shared" si="1331"/>
        <v>X</v>
      </c>
      <c r="L6219" s="1" t="str">
        <f t="shared" si="1331"/>
        <v>X</v>
      </c>
      <c r="M6219" s="1" t="str">
        <f t="shared" si="1331"/>
        <v>X</v>
      </c>
      <c r="N6219" t="s">
        <v>27</v>
      </c>
    </row>
    <row r="6220" spans="1:14" x14ac:dyDescent="0.25">
      <c r="A6220" t="s">
        <v>42</v>
      </c>
      <c r="B6220" t="s">
        <v>39</v>
      </c>
      <c r="C6220" t="s">
        <v>15</v>
      </c>
      <c r="D6220" t="s">
        <v>31</v>
      </c>
      <c r="E6220" t="s">
        <v>23</v>
      </c>
      <c r="F6220" t="s">
        <v>19</v>
      </c>
      <c r="G6220" s="1" t="str">
        <f t="shared" si="1331"/>
        <v>X</v>
      </c>
      <c r="H6220" s="1" t="str">
        <f t="shared" si="1331"/>
        <v>X</v>
      </c>
      <c r="I6220" s="1" t="str">
        <f t="shared" si="1331"/>
        <v>X</v>
      </c>
      <c r="J6220" s="1" t="str">
        <f t="shared" si="1331"/>
        <v>X</v>
      </c>
      <c r="K6220" s="1" t="str">
        <f t="shared" si="1331"/>
        <v>X</v>
      </c>
      <c r="L6220" s="1" t="str">
        <f t="shared" si="1331"/>
        <v>X</v>
      </c>
      <c r="M6220" s="1" t="str">
        <f t="shared" si="1331"/>
        <v>X</v>
      </c>
      <c r="N6220" t="s">
        <v>27</v>
      </c>
    </row>
    <row r="6221" spans="1:14" x14ac:dyDescent="0.25">
      <c r="A6221" t="s">
        <v>42</v>
      </c>
      <c r="B6221" t="s">
        <v>39</v>
      </c>
      <c r="C6221" t="s">
        <v>15</v>
      </c>
      <c r="D6221" t="s">
        <v>31</v>
      </c>
      <c r="E6221" t="s">
        <v>23</v>
      </c>
      <c r="F6221" t="s">
        <v>20</v>
      </c>
      <c r="G6221" s="2">
        <f>VALUE(1622.11)</f>
        <v>1622.11</v>
      </c>
      <c r="H6221" s="3">
        <f>VALUE(1616.6)</f>
        <v>1616.6</v>
      </c>
      <c r="I6221" s="1">
        <f>VALUE(3406)</f>
        <v>3406</v>
      </c>
      <c r="J6221" s="1">
        <f>VALUE(3810)</f>
        <v>3810</v>
      </c>
      <c r="K6221" s="1">
        <f>VALUE(4495)</f>
        <v>4495</v>
      </c>
      <c r="L6221" s="1">
        <f>VALUE(5443)</f>
        <v>5443</v>
      </c>
      <c r="M6221" s="1">
        <f>VALUE(6424)</f>
        <v>6424</v>
      </c>
      <c r="N6221" t="s">
        <v>25</v>
      </c>
    </row>
    <row r="6222" spans="1:14" x14ac:dyDescent="0.25">
      <c r="A6222" t="s">
        <v>42</v>
      </c>
      <c r="B6222" t="s">
        <v>39</v>
      </c>
      <c r="C6222" t="s">
        <v>15</v>
      </c>
      <c r="D6222" t="s">
        <v>31</v>
      </c>
      <c r="E6222" t="s">
        <v>26</v>
      </c>
      <c r="F6222" t="s">
        <v>15</v>
      </c>
      <c r="G6222" s="2">
        <f>VALUE(235.79)</f>
        <v>235.79</v>
      </c>
      <c r="H6222" s="3">
        <f>VALUE(227.64)</f>
        <v>227.64</v>
      </c>
      <c r="I6222" s="4">
        <f>VALUE(2740)</f>
        <v>2740</v>
      </c>
      <c r="J6222" s="5">
        <f>VALUE(3657)</f>
        <v>3657</v>
      </c>
      <c r="K6222" s="6">
        <f>VALUE(5365)</f>
        <v>5365</v>
      </c>
      <c r="L6222" s="7">
        <f>VALUE(6730)</f>
        <v>6730</v>
      </c>
      <c r="M6222" s="8">
        <f>VALUE(9147)</f>
        <v>9147</v>
      </c>
      <c r="N6222" t="s">
        <v>24</v>
      </c>
    </row>
    <row r="6223" spans="1:14" x14ac:dyDescent="0.25">
      <c r="A6223" t="s">
        <v>42</v>
      </c>
      <c r="B6223" t="s">
        <v>39</v>
      </c>
      <c r="C6223" t="s">
        <v>15</v>
      </c>
      <c r="D6223" t="s">
        <v>31</v>
      </c>
      <c r="E6223" t="s">
        <v>26</v>
      </c>
      <c r="F6223" t="s">
        <v>17</v>
      </c>
      <c r="G6223" s="1" t="str">
        <f t="shared" ref="G6223:M6225" si="1332">"X"</f>
        <v>X</v>
      </c>
      <c r="H6223" s="1" t="str">
        <f t="shared" si="1332"/>
        <v>X</v>
      </c>
      <c r="I6223" s="1" t="str">
        <f t="shared" si="1332"/>
        <v>X</v>
      </c>
      <c r="J6223" s="1" t="str">
        <f t="shared" si="1332"/>
        <v>X</v>
      </c>
      <c r="K6223" s="1" t="str">
        <f t="shared" si="1332"/>
        <v>X</v>
      </c>
      <c r="L6223" s="1" t="str">
        <f t="shared" si="1332"/>
        <v>X</v>
      </c>
      <c r="M6223" s="1" t="str">
        <f t="shared" si="1332"/>
        <v>X</v>
      </c>
      <c r="N6223" t="s">
        <v>27</v>
      </c>
    </row>
    <row r="6224" spans="1:14" x14ac:dyDescent="0.25">
      <c r="A6224" t="s">
        <v>42</v>
      </c>
      <c r="B6224" t="s">
        <v>39</v>
      </c>
      <c r="C6224" t="s">
        <v>15</v>
      </c>
      <c r="D6224" t="s">
        <v>31</v>
      </c>
      <c r="E6224" t="s">
        <v>26</v>
      </c>
      <c r="F6224" t="s">
        <v>18</v>
      </c>
      <c r="G6224" s="1" t="str">
        <f t="shared" si="1332"/>
        <v>X</v>
      </c>
      <c r="H6224" s="1" t="str">
        <f t="shared" si="1332"/>
        <v>X</v>
      </c>
      <c r="I6224" s="1" t="str">
        <f t="shared" si="1332"/>
        <v>X</v>
      </c>
      <c r="J6224" s="1" t="str">
        <f t="shared" si="1332"/>
        <v>X</v>
      </c>
      <c r="K6224" s="1" t="str">
        <f t="shared" si="1332"/>
        <v>X</v>
      </c>
      <c r="L6224" s="1" t="str">
        <f t="shared" si="1332"/>
        <v>X</v>
      </c>
      <c r="M6224" s="1" t="str">
        <f t="shared" si="1332"/>
        <v>X</v>
      </c>
      <c r="N6224" t="s">
        <v>27</v>
      </c>
    </row>
    <row r="6225" spans="1:14" x14ac:dyDescent="0.25">
      <c r="A6225" t="s">
        <v>42</v>
      </c>
      <c r="B6225" t="s">
        <v>39</v>
      </c>
      <c r="C6225" t="s">
        <v>15</v>
      </c>
      <c r="D6225" t="s">
        <v>31</v>
      </c>
      <c r="E6225" t="s">
        <v>26</v>
      </c>
      <c r="F6225" t="s">
        <v>19</v>
      </c>
      <c r="G6225" s="1" t="str">
        <f t="shared" si="1332"/>
        <v>X</v>
      </c>
      <c r="H6225" s="1" t="str">
        <f t="shared" si="1332"/>
        <v>X</v>
      </c>
      <c r="I6225" s="1" t="str">
        <f t="shared" si="1332"/>
        <v>X</v>
      </c>
      <c r="J6225" s="1" t="str">
        <f t="shared" si="1332"/>
        <v>X</v>
      </c>
      <c r="K6225" s="1" t="str">
        <f t="shared" si="1332"/>
        <v>X</v>
      </c>
      <c r="L6225" s="1" t="str">
        <f t="shared" si="1332"/>
        <v>X</v>
      </c>
      <c r="M6225" s="1" t="str">
        <f t="shared" si="1332"/>
        <v>X</v>
      </c>
      <c r="N6225" t="s">
        <v>27</v>
      </c>
    </row>
    <row r="6226" spans="1:14" x14ac:dyDescent="0.25">
      <c r="A6226" t="s">
        <v>42</v>
      </c>
      <c r="B6226" t="s">
        <v>39</v>
      </c>
      <c r="C6226" t="s">
        <v>15</v>
      </c>
      <c r="D6226" t="s">
        <v>31</v>
      </c>
      <c r="E6226" t="s">
        <v>26</v>
      </c>
      <c r="F6226" t="s">
        <v>20</v>
      </c>
      <c r="G6226" s="2">
        <f>VALUE(196.81)</f>
        <v>196.81</v>
      </c>
      <c r="H6226" s="3">
        <f>VALUE(188.47)</f>
        <v>188.47</v>
      </c>
      <c r="I6226" s="4">
        <f>VALUE(2706)</f>
        <v>2706</v>
      </c>
      <c r="J6226" s="5">
        <f>VALUE(3404)</f>
        <v>3404</v>
      </c>
      <c r="K6226" s="6">
        <f>VALUE(5027)</f>
        <v>5027</v>
      </c>
      <c r="L6226" s="7">
        <f>VALUE(6412)</f>
        <v>6412</v>
      </c>
      <c r="M6226" s="1">
        <f>VALUE(8095)</f>
        <v>8095</v>
      </c>
      <c r="N6226" t="s">
        <v>25</v>
      </c>
    </row>
    <row r="6227" spans="1:14" x14ac:dyDescent="0.25">
      <c r="A6227" t="s">
        <v>42</v>
      </c>
      <c r="B6227" t="s">
        <v>39</v>
      </c>
      <c r="C6227" t="s">
        <v>15</v>
      </c>
      <c r="D6227" t="s">
        <v>32</v>
      </c>
      <c r="E6227" t="s">
        <v>15</v>
      </c>
      <c r="F6227" t="s">
        <v>15</v>
      </c>
      <c r="G6227" s="1">
        <f>VALUE(26251.58)</f>
        <v>26251.58</v>
      </c>
      <c r="H6227" s="1">
        <f>VALUE(26665.03)</f>
        <v>26665.03</v>
      </c>
      <c r="I6227" s="1">
        <f>VALUE(3292)</f>
        <v>3292</v>
      </c>
      <c r="J6227" s="1">
        <f>VALUE(3967)</f>
        <v>3967</v>
      </c>
      <c r="K6227" s="1">
        <f>VALUE(4795)</f>
        <v>4795</v>
      </c>
      <c r="L6227" s="1">
        <f>VALUE(5882)</f>
        <v>5882</v>
      </c>
      <c r="M6227" s="1">
        <f>VALUE(7347)</f>
        <v>7347</v>
      </c>
      <c r="N6227" t="s">
        <v>16</v>
      </c>
    </row>
    <row r="6228" spans="1:14" x14ac:dyDescent="0.25">
      <c r="A6228" t="s">
        <v>42</v>
      </c>
      <c r="B6228" t="s">
        <v>39</v>
      </c>
      <c r="C6228" t="s">
        <v>15</v>
      </c>
      <c r="D6228" t="s">
        <v>32</v>
      </c>
      <c r="E6228" t="s">
        <v>15</v>
      </c>
      <c r="F6228" t="s">
        <v>17</v>
      </c>
      <c r="G6228" s="2">
        <f>VALUE(2450.33)</f>
        <v>2450.33</v>
      </c>
      <c r="H6228" s="3">
        <f>VALUE(2460.18)</f>
        <v>2460.1799999999998</v>
      </c>
      <c r="I6228" s="4">
        <f>VALUE(4100)</f>
        <v>4100</v>
      </c>
      <c r="J6228" s="5">
        <f>VALUE(5417)</f>
        <v>5417</v>
      </c>
      <c r="K6228" s="6">
        <f>VALUE(7556)</f>
        <v>7556</v>
      </c>
      <c r="L6228" s="1">
        <f>VALUE(11250)</f>
        <v>11250</v>
      </c>
      <c r="M6228" s="8">
        <f>VALUE(13960)</f>
        <v>13960</v>
      </c>
      <c r="N6228" t="s">
        <v>25</v>
      </c>
    </row>
    <row r="6229" spans="1:14" x14ac:dyDescent="0.25">
      <c r="A6229" t="s">
        <v>42</v>
      </c>
      <c r="B6229" t="s">
        <v>39</v>
      </c>
      <c r="C6229" t="s">
        <v>15</v>
      </c>
      <c r="D6229" t="s">
        <v>32</v>
      </c>
      <c r="E6229" t="s">
        <v>15</v>
      </c>
      <c r="F6229" t="s">
        <v>18</v>
      </c>
      <c r="G6229" s="1">
        <f>VALUE(2011.77)</f>
        <v>2011.77</v>
      </c>
      <c r="H6229" s="1">
        <f>VALUE(1998.98)</f>
        <v>1998.98</v>
      </c>
      <c r="I6229" s="4">
        <f>VALUE(3584)</f>
        <v>3584</v>
      </c>
      <c r="J6229" s="1">
        <f>VALUE(4636)</f>
        <v>4636</v>
      </c>
      <c r="K6229" s="1">
        <f>VALUE(5542)</f>
        <v>5542</v>
      </c>
      <c r="L6229" s="1">
        <f>VALUE(6917)</f>
        <v>6917</v>
      </c>
      <c r="M6229" s="1">
        <f>VALUE(9161)</f>
        <v>9161</v>
      </c>
      <c r="N6229" t="s">
        <v>25</v>
      </c>
    </row>
    <row r="6230" spans="1:14" x14ac:dyDescent="0.25">
      <c r="A6230" t="s">
        <v>42</v>
      </c>
      <c r="B6230" t="s">
        <v>39</v>
      </c>
      <c r="C6230" t="s">
        <v>15</v>
      </c>
      <c r="D6230" t="s">
        <v>32</v>
      </c>
      <c r="E6230" t="s">
        <v>15</v>
      </c>
      <c r="F6230" t="s">
        <v>19</v>
      </c>
      <c r="G6230" s="1">
        <f>VALUE(3881.63)</f>
        <v>3881.63</v>
      </c>
      <c r="H6230" s="1">
        <f>VALUE(3940.82)</f>
        <v>3940.82</v>
      </c>
      <c r="I6230" s="1">
        <f>VALUE(3611)</f>
        <v>3611</v>
      </c>
      <c r="J6230" s="1">
        <f>VALUE(4244)</f>
        <v>4244</v>
      </c>
      <c r="K6230" s="1">
        <f>VALUE(5091)</f>
        <v>5091</v>
      </c>
      <c r="L6230" s="1">
        <f>VALUE(6190)</f>
        <v>6190</v>
      </c>
      <c r="M6230" s="1">
        <f>VALUE(7176)</f>
        <v>7176</v>
      </c>
      <c r="N6230" t="s">
        <v>16</v>
      </c>
    </row>
    <row r="6231" spans="1:14" x14ac:dyDescent="0.25">
      <c r="A6231" t="s">
        <v>42</v>
      </c>
      <c r="B6231" t="s">
        <v>39</v>
      </c>
      <c r="C6231" t="s">
        <v>15</v>
      </c>
      <c r="D6231" t="s">
        <v>32</v>
      </c>
      <c r="E6231" t="s">
        <v>15</v>
      </c>
      <c r="F6231" t="s">
        <v>20</v>
      </c>
      <c r="G6231" s="1">
        <f>VALUE(17907.85)</f>
        <v>17907.849999999999</v>
      </c>
      <c r="H6231" s="1">
        <f>VALUE(18265.05)</f>
        <v>18265.05</v>
      </c>
      <c r="I6231" s="1">
        <f>VALUE(3192)</f>
        <v>3192</v>
      </c>
      <c r="J6231" s="1">
        <f>VALUE(3787)</f>
        <v>3787</v>
      </c>
      <c r="K6231" s="1">
        <f>VALUE(4557)</f>
        <v>4557</v>
      </c>
      <c r="L6231" s="1">
        <f>VALUE(5485)</f>
        <v>5485</v>
      </c>
      <c r="M6231" s="1">
        <f>VALUE(6284)</f>
        <v>6284</v>
      </c>
      <c r="N6231" t="s">
        <v>16</v>
      </c>
    </row>
    <row r="6232" spans="1:14" x14ac:dyDescent="0.25">
      <c r="A6232" t="s">
        <v>42</v>
      </c>
      <c r="B6232" t="s">
        <v>39</v>
      </c>
      <c r="C6232" t="s">
        <v>15</v>
      </c>
      <c r="D6232" t="s">
        <v>32</v>
      </c>
      <c r="E6232" t="s">
        <v>21</v>
      </c>
      <c r="F6232" t="s">
        <v>15</v>
      </c>
      <c r="G6232" s="2">
        <f>VALUE(4494.6)</f>
        <v>4494.6000000000004</v>
      </c>
      <c r="H6232" s="3">
        <f>VALUE(4385.43)</f>
        <v>4385.43</v>
      </c>
      <c r="I6232" s="1">
        <f>VALUE(3608)</f>
        <v>3608</v>
      </c>
      <c r="J6232" s="1">
        <f>VALUE(4491)</f>
        <v>4491</v>
      </c>
      <c r="K6232" s="1">
        <f>VALUE(6190)</f>
        <v>6190</v>
      </c>
      <c r="L6232" s="7">
        <f>VALUE(8607)</f>
        <v>8607</v>
      </c>
      <c r="M6232" s="1">
        <f>VALUE(11250)</f>
        <v>11250</v>
      </c>
      <c r="N6232" t="s">
        <v>25</v>
      </c>
    </row>
    <row r="6233" spans="1:14" x14ac:dyDescent="0.25">
      <c r="A6233" t="s">
        <v>42</v>
      </c>
      <c r="B6233" t="s">
        <v>39</v>
      </c>
      <c r="C6233" t="s">
        <v>15</v>
      </c>
      <c r="D6233" t="s">
        <v>32</v>
      </c>
      <c r="E6233" t="s">
        <v>21</v>
      </c>
      <c r="F6233" t="s">
        <v>17</v>
      </c>
      <c r="G6233" s="2">
        <f>VALUE(1460.37)</f>
        <v>1460.37</v>
      </c>
      <c r="H6233" s="3">
        <f>VALUE(1455.81)</f>
        <v>1455.81</v>
      </c>
      <c r="I6233" s="4">
        <f>VALUE(5000)</f>
        <v>5000</v>
      </c>
      <c r="J6233" s="5">
        <f>VALUE(6127)</f>
        <v>6127</v>
      </c>
      <c r="K6233" s="6">
        <f>VALUE(9164)</f>
        <v>9164</v>
      </c>
      <c r="L6233" s="7">
        <f>VALUE(11250)</f>
        <v>11250</v>
      </c>
      <c r="M6233" s="8">
        <f>VALUE(14915)</f>
        <v>14915</v>
      </c>
      <c r="N6233" t="s">
        <v>24</v>
      </c>
    </row>
    <row r="6234" spans="1:14" x14ac:dyDescent="0.25">
      <c r="A6234" t="s">
        <v>42</v>
      </c>
      <c r="B6234" t="s">
        <v>39</v>
      </c>
      <c r="C6234" t="s">
        <v>15</v>
      </c>
      <c r="D6234" t="s">
        <v>32</v>
      </c>
      <c r="E6234" t="s">
        <v>21</v>
      </c>
      <c r="F6234" t="s">
        <v>18</v>
      </c>
      <c r="G6234" s="2">
        <f>VALUE(637.17)</f>
        <v>637.16999999999996</v>
      </c>
      <c r="H6234" s="3">
        <f>VALUE(617.05)</f>
        <v>617.04999999999995</v>
      </c>
      <c r="I6234" s="1">
        <f>VALUE(4282)</f>
        <v>4282</v>
      </c>
      <c r="J6234" s="1">
        <f>VALUE(5399)</f>
        <v>5399</v>
      </c>
      <c r="K6234" s="1">
        <f>VALUE(6838)</f>
        <v>6838</v>
      </c>
      <c r="L6234" s="1">
        <f>VALUE(8539)</f>
        <v>8539</v>
      </c>
      <c r="M6234" s="1">
        <f>VALUE(10317)</f>
        <v>10317</v>
      </c>
      <c r="N6234" t="s">
        <v>25</v>
      </c>
    </row>
    <row r="6235" spans="1:14" x14ac:dyDescent="0.25">
      <c r="A6235" t="s">
        <v>42</v>
      </c>
      <c r="B6235" t="s">
        <v>39</v>
      </c>
      <c r="C6235" t="s">
        <v>15</v>
      </c>
      <c r="D6235" t="s">
        <v>32</v>
      </c>
      <c r="E6235" t="s">
        <v>21</v>
      </c>
      <c r="F6235" t="s">
        <v>19</v>
      </c>
      <c r="G6235" s="2">
        <f>VALUE(802.12)</f>
        <v>802.12</v>
      </c>
      <c r="H6235" s="3">
        <f>VALUE(811.18)</f>
        <v>811.18</v>
      </c>
      <c r="I6235" s="4">
        <f>VALUE(3550)</f>
        <v>3550</v>
      </c>
      <c r="J6235" s="1">
        <f>VALUE(4201)</f>
        <v>4201</v>
      </c>
      <c r="K6235" s="6">
        <f>VALUE(5596)</f>
        <v>5596</v>
      </c>
      <c r="L6235" s="1">
        <f>VALUE(6831)</f>
        <v>6831</v>
      </c>
      <c r="M6235" s="1">
        <f>VALUE(8380)</f>
        <v>8380</v>
      </c>
      <c r="N6235" t="s">
        <v>25</v>
      </c>
    </row>
    <row r="6236" spans="1:14" x14ac:dyDescent="0.25">
      <c r="A6236" t="s">
        <v>42</v>
      </c>
      <c r="B6236" t="s">
        <v>39</v>
      </c>
      <c r="C6236" t="s">
        <v>15</v>
      </c>
      <c r="D6236" t="s">
        <v>32</v>
      </c>
      <c r="E6236" t="s">
        <v>21</v>
      </c>
      <c r="F6236" t="s">
        <v>20</v>
      </c>
      <c r="G6236" s="1">
        <f>VALUE(1594.94)</f>
        <v>1594.94</v>
      </c>
      <c r="H6236" s="1">
        <f>VALUE(1501.39)</f>
        <v>1501.39</v>
      </c>
      <c r="I6236" s="1">
        <f>VALUE(3095)</f>
        <v>3095</v>
      </c>
      <c r="J6236" s="1">
        <f>VALUE(3875)</f>
        <v>3875</v>
      </c>
      <c r="K6236" s="1">
        <f>VALUE(4852)</f>
        <v>4852</v>
      </c>
      <c r="L6236" s="1">
        <f>VALUE(6284)</f>
        <v>6284</v>
      </c>
      <c r="M6236" s="1">
        <f>VALUE(8015)</f>
        <v>8015</v>
      </c>
      <c r="N6236" t="s">
        <v>16</v>
      </c>
    </row>
    <row r="6237" spans="1:14" x14ac:dyDescent="0.25">
      <c r="A6237" t="s">
        <v>42</v>
      </c>
      <c r="B6237" t="s">
        <v>39</v>
      </c>
      <c r="C6237" t="s">
        <v>15</v>
      </c>
      <c r="D6237" t="s">
        <v>32</v>
      </c>
      <c r="E6237" t="s">
        <v>22</v>
      </c>
      <c r="F6237" t="s">
        <v>15</v>
      </c>
      <c r="G6237" s="1">
        <f>VALUE(8927.54)</f>
        <v>8927.5400000000009</v>
      </c>
      <c r="H6237" s="1">
        <f>VALUE(9080.04)</f>
        <v>9080.0400000000009</v>
      </c>
      <c r="I6237" s="1">
        <f>VALUE(3487)</f>
        <v>3487</v>
      </c>
      <c r="J6237" s="1">
        <f>VALUE(4165)</f>
        <v>4165</v>
      </c>
      <c r="K6237" s="1">
        <f>VALUE(4886)</f>
        <v>4886</v>
      </c>
      <c r="L6237" s="1">
        <f>VALUE(5842)</f>
        <v>5842</v>
      </c>
      <c r="M6237" s="1">
        <f>VALUE(6994)</f>
        <v>6994</v>
      </c>
      <c r="N6237" t="s">
        <v>16</v>
      </c>
    </row>
    <row r="6238" spans="1:14" x14ac:dyDescent="0.25">
      <c r="A6238" t="s">
        <v>42</v>
      </c>
      <c r="B6238" t="s">
        <v>39</v>
      </c>
      <c r="C6238" t="s">
        <v>15</v>
      </c>
      <c r="D6238" t="s">
        <v>32</v>
      </c>
      <c r="E6238" t="s">
        <v>22</v>
      </c>
      <c r="F6238" t="s">
        <v>17</v>
      </c>
      <c r="G6238" s="2">
        <f>VALUE(643.26)</f>
        <v>643.26</v>
      </c>
      <c r="H6238" s="3">
        <f>VALUE(658.49)</f>
        <v>658.49</v>
      </c>
      <c r="I6238" s="1">
        <f>VALUE(4200)</f>
        <v>4200</v>
      </c>
      <c r="J6238" s="5">
        <f>VALUE(5200)</f>
        <v>5200</v>
      </c>
      <c r="K6238" s="6">
        <f>VALUE(6777)</f>
        <v>6777</v>
      </c>
      <c r="L6238" s="7">
        <f>VALUE(9278)</f>
        <v>9278</v>
      </c>
      <c r="M6238" s="8">
        <f>VALUE(14237)</f>
        <v>14237</v>
      </c>
      <c r="N6238" t="s">
        <v>25</v>
      </c>
    </row>
    <row r="6239" spans="1:14" x14ac:dyDescent="0.25">
      <c r="A6239" t="s">
        <v>42</v>
      </c>
      <c r="B6239" t="s">
        <v>39</v>
      </c>
      <c r="C6239" t="s">
        <v>15</v>
      </c>
      <c r="D6239" t="s">
        <v>32</v>
      </c>
      <c r="E6239" t="s">
        <v>22</v>
      </c>
      <c r="F6239" t="s">
        <v>18</v>
      </c>
      <c r="G6239" s="2">
        <f>VALUE(819.5)</f>
        <v>819.5</v>
      </c>
      <c r="H6239" s="3">
        <f>VALUE(811.58)</f>
        <v>811.58</v>
      </c>
      <c r="I6239" s="4">
        <f>VALUE(3890)</f>
        <v>3890</v>
      </c>
      <c r="J6239" s="1">
        <f>VALUE(4582)</f>
        <v>4582</v>
      </c>
      <c r="K6239" s="1">
        <f>VALUE(5333)</f>
        <v>5333</v>
      </c>
      <c r="L6239" s="1">
        <f>VALUE(6211)</f>
        <v>6211</v>
      </c>
      <c r="M6239" s="8">
        <f>VALUE(7952)</f>
        <v>7952</v>
      </c>
      <c r="N6239" t="s">
        <v>25</v>
      </c>
    </row>
    <row r="6240" spans="1:14" x14ac:dyDescent="0.25">
      <c r="A6240" t="s">
        <v>42</v>
      </c>
      <c r="B6240" t="s">
        <v>39</v>
      </c>
      <c r="C6240" t="s">
        <v>15</v>
      </c>
      <c r="D6240" t="s">
        <v>32</v>
      </c>
      <c r="E6240" t="s">
        <v>22</v>
      </c>
      <c r="F6240" t="s">
        <v>19</v>
      </c>
      <c r="G6240" s="2">
        <f>VALUE(1691.97)</f>
        <v>1691.97</v>
      </c>
      <c r="H6240" s="3">
        <f>VALUE(1694.12)</f>
        <v>1694.12</v>
      </c>
      <c r="I6240" s="1">
        <f>VALUE(3891)</f>
        <v>3891</v>
      </c>
      <c r="J6240" s="1">
        <f>VALUE(4574)</f>
        <v>4574</v>
      </c>
      <c r="K6240" s="1">
        <f>VALUE(5228)</f>
        <v>5228</v>
      </c>
      <c r="L6240" s="1">
        <f>VALUE(6190)</f>
        <v>6190</v>
      </c>
      <c r="M6240" s="8">
        <f>VALUE(7195)</f>
        <v>7195</v>
      </c>
      <c r="N6240" t="s">
        <v>25</v>
      </c>
    </row>
    <row r="6241" spans="1:14" x14ac:dyDescent="0.25">
      <c r="A6241" t="s">
        <v>42</v>
      </c>
      <c r="B6241" t="s">
        <v>39</v>
      </c>
      <c r="C6241" t="s">
        <v>15</v>
      </c>
      <c r="D6241" t="s">
        <v>32</v>
      </c>
      <c r="E6241" t="s">
        <v>22</v>
      </c>
      <c r="F6241" t="s">
        <v>20</v>
      </c>
      <c r="G6241" s="1">
        <f>VALUE(5772.81)</f>
        <v>5772.81</v>
      </c>
      <c r="H6241" s="1">
        <f>VALUE(5915.85)</f>
        <v>5915.85</v>
      </c>
      <c r="I6241" s="1">
        <f>VALUE(3302)</f>
        <v>3302</v>
      </c>
      <c r="J6241" s="1">
        <f>VALUE(4024)</f>
        <v>4024</v>
      </c>
      <c r="K6241" s="1">
        <f>VALUE(4683)</f>
        <v>4683</v>
      </c>
      <c r="L6241" s="1">
        <f>VALUE(5490)</f>
        <v>5490</v>
      </c>
      <c r="M6241" s="1">
        <f>VALUE(6256)</f>
        <v>6256</v>
      </c>
      <c r="N6241" t="s">
        <v>16</v>
      </c>
    </row>
    <row r="6242" spans="1:14" x14ac:dyDescent="0.25">
      <c r="A6242" t="s">
        <v>42</v>
      </c>
      <c r="B6242" t="s">
        <v>39</v>
      </c>
      <c r="C6242" t="s">
        <v>15</v>
      </c>
      <c r="D6242" t="s">
        <v>32</v>
      </c>
      <c r="E6242" t="s">
        <v>23</v>
      </c>
      <c r="F6242" t="s">
        <v>15</v>
      </c>
      <c r="G6242" s="1">
        <f>VALUE(11638.45)</f>
        <v>11638.45</v>
      </c>
      <c r="H6242" s="1">
        <f>VALUE(12011.17)</f>
        <v>12011.17</v>
      </c>
      <c r="I6242" s="1">
        <f>VALUE(3231)</f>
        <v>3231</v>
      </c>
      <c r="J6242" s="1">
        <f>VALUE(3772)</f>
        <v>3772</v>
      </c>
      <c r="K6242" s="1">
        <f>VALUE(4519)</f>
        <v>4519</v>
      </c>
      <c r="L6242" s="1">
        <f>VALUE(5502)</f>
        <v>5502</v>
      </c>
      <c r="M6242" s="1">
        <f>VALUE(6236)</f>
        <v>6236</v>
      </c>
      <c r="N6242" t="s">
        <v>16</v>
      </c>
    </row>
    <row r="6243" spans="1:14" x14ac:dyDescent="0.25">
      <c r="A6243" t="s">
        <v>42</v>
      </c>
      <c r="B6243" t="s">
        <v>39</v>
      </c>
      <c r="C6243" t="s">
        <v>15</v>
      </c>
      <c r="D6243" t="s">
        <v>32</v>
      </c>
      <c r="E6243" t="s">
        <v>23</v>
      </c>
      <c r="F6243" t="s">
        <v>17</v>
      </c>
      <c r="G6243" s="2">
        <f>VALUE(303.88)</f>
        <v>303.88</v>
      </c>
      <c r="H6243" s="3">
        <f>VALUE(302.86)</f>
        <v>302.86</v>
      </c>
      <c r="I6243" s="1">
        <f>VALUE(3098)</f>
        <v>3098</v>
      </c>
      <c r="J6243" s="5">
        <f>VALUE(3371)</f>
        <v>3371</v>
      </c>
      <c r="K6243" s="6">
        <f>VALUE(4800)</f>
        <v>4800</v>
      </c>
      <c r="L6243" s="7">
        <f>VALUE(6667)</f>
        <v>6667</v>
      </c>
      <c r="M6243" s="8">
        <f>VALUE(10428)</f>
        <v>10428</v>
      </c>
      <c r="N6243" t="s">
        <v>25</v>
      </c>
    </row>
    <row r="6244" spans="1:14" x14ac:dyDescent="0.25">
      <c r="A6244" t="s">
        <v>42</v>
      </c>
      <c r="B6244" t="s">
        <v>39</v>
      </c>
      <c r="C6244" t="s">
        <v>15</v>
      </c>
      <c r="D6244" t="s">
        <v>32</v>
      </c>
      <c r="E6244" t="s">
        <v>23</v>
      </c>
      <c r="F6244" t="s">
        <v>18</v>
      </c>
      <c r="G6244" s="2">
        <f>VALUE(510.71)</f>
        <v>510.71</v>
      </c>
      <c r="H6244" s="3">
        <f>VALUE(525.67)</f>
        <v>525.66999999999996</v>
      </c>
      <c r="I6244" s="4">
        <f>VALUE(3233)</f>
        <v>3233</v>
      </c>
      <c r="J6244" s="5">
        <f>VALUE(4019)</f>
        <v>4019</v>
      </c>
      <c r="K6244" s="1">
        <f>VALUE(5015)</f>
        <v>5015</v>
      </c>
      <c r="L6244" s="1">
        <f>VALUE(5754)</f>
        <v>5754</v>
      </c>
      <c r="M6244" s="8">
        <f>VALUE(7126)</f>
        <v>7126</v>
      </c>
      <c r="N6244" t="s">
        <v>25</v>
      </c>
    </row>
    <row r="6245" spans="1:14" x14ac:dyDescent="0.25">
      <c r="A6245" t="s">
        <v>42</v>
      </c>
      <c r="B6245" t="s">
        <v>39</v>
      </c>
      <c r="C6245" t="s">
        <v>15</v>
      </c>
      <c r="D6245" t="s">
        <v>32</v>
      </c>
      <c r="E6245" t="s">
        <v>23</v>
      </c>
      <c r="F6245" t="s">
        <v>19</v>
      </c>
      <c r="G6245" s="2">
        <f>VALUE(1354.38)</f>
        <v>1354.38</v>
      </c>
      <c r="H6245" s="3">
        <f>VALUE(1401.49)</f>
        <v>1401.49</v>
      </c>
      <c r="I6245" s="1">
        <f>VALUE(3483)</f>
        <v>3483</v>
      </c>
      <c r="J6245" s="1">
        <f>VALUE(4050)</f>
        <v>4050</v>
      </c>
      <c r="K6245" s="1">
        <f>VALUE(4730)</f>
        <v>4730</v>
      </c>
      <c r="L6245" s="1">
        <f>VALUE(5729)</f>
        <v>5729</v>
      </c>
      <c r="M6245" s="1">
        <f>VALUE(6557)</f>
        <v>6557</v>
      </c>
      <c r="N6245" t="s">
        <v>25</v>
      </c>
    </row>
    <row r="6246" spans="1:14" x14ac:dyDescent="0.25">
      <c r="A6246" t="s">
        <v>42</v>
      </c>
      <c r="B6246" t="s">
        <v>39</v>
      </c>
      <c r="C6246" t="s">
        <v>15</v>
      </c>
      <c r="D6246" t="s">
        <v>32</v>
      </c>
      <c r="E6246" t="s">
        <v>23</v>
      </c>
      <c r="F6246" t="s">
        <v>20</v>
      </c>
      <c r="G6246" s="1">
        <f>VALUE(9469.48)</f>
        <v>9469.48</v>
      </c>
      <c r="H6246" s="1">
        <f>VALUE(9781.15)</f>
        <v>9781.15</v>
      </c>
      <c r="I6246" s="1">
        <f>VALUE(3229)</f>
        <v>3229</v>
      </c>
      <c r="J6246" s="1">
        <f>VALUE(3726)</f>
        <v>3726</v>
      </c>
      <c r="K6246" s="1">
        <f>VALUE(4462)</f>
        <v>4462</v>
      </c>
      <c r="L6246" s="1">
        <f>VALUE(5373)</f>
        <v>5373</v>
      </c>
      <c r="M6246" s="1">
        <f>VALUE(6135)</f>
        <v>6135</v>
      </c>
      <c r="N6246" t="s">
        <v>16</v>
      </c>
    </row>
    <row r="6247" spans="1:14" x14ac:dyDescent="0.25">
      <c r="A6247" t="s">
        <v>42</v>
      </c>
      <c r="B6247" t="s">
        <v>39</v>
      </c>
      <c r="C6247" t="s">
        <v>15</v>
      </c>
      <c r="D6247" t="s">
        <v>32</v>
      </c>
      <c r="E6247" t="s">
        <v>26</v>
      </c>
      <c r="F6247" t="s">
        <v>15</v>
      </c>
      <c r="G6247" s="2">
        <f>VALUE(1190.99)</f>
        <v>1190.99</v>
      </c>
      <c r="H6247" s="3">
        <f>VALUE(1188.39)</f>
        <v>1188.3900000000001</v>
      </c>
      <c r="I6247" s="4">
        <f>VALUE(2667)</f>
        <v>2667</v>
      </c>
      <c r="J6247" s="1">
        <f>VALUE(3364)</f>
        <v>3364</v>
      </c>
      <c r="K6247" s="1">
        <f>VALUE(4229)</f>
        <v>4229</v>
      </c>
      <c r="L6247" s="1">
        <f>VALUE(5610)</f>
        <v>5610</v>
      </c>
      <c r="M6247" s="8">
        <f>VALUE(7242)</f>
        <v>7242</v>
      </c>
      <c r="N6247" t="s">
        <v>25</v>
      </c>
    </row>
    <row r="6248" spans="1:14" x14ac:dyDescent="0.25">
      <c r="A6248" t="s">
        <v>42</v>
      </c>
      <c r="B6248" t="s">
        <v>39</v>
      </c>
      <c r="C6248" t="s">
        <v>15</v>
      </c>
      <c r="D6248" t="s">
        <v>32</v>
      </c>
      <c r="E6248" t="s">
        <v>26</v>
      </c>
      <c r="F6248" t="s">
        <v>17</v>
      </c>
      <c r="G6248" s="1" t="str">
        <f t="shared" ref="G6248:M6250" si="1333">"X"</f>
        <v>X</v>
      </c>
      <c r="H6248" s="1" t="str">
        <f t="shared" si="1333"/>
        <v>X</v>
      </c>
      <c r="I6248" s="1" t="str">
        <f t="shared" si="1333"/>
        <v>X</v>
      </c>
      <c r="J6248" s="1" t="str">
        <f t="shared" si="1333"/>
        <v>X</v>
      </c>
      <c r="K6248" s="1" t="str">
        <f t="shared" si="1333"/>
        <v>X</v>
      </c>
      <c r="L6248" s="1" t="str">
        <f t="shared" si="1333"/>
        <v>X</v>
      </c>
      <c r="M6248" s="1" t="str">
        <f t="shared" si="1333"/>
        <v>X</v>
      </c>
      <c r="N6248" t="s">
        <v>27</v>
      </c>
    </row>
    <row r="6249" spans="1:14" x14ac:dyDescent="0.25">
      <c r="A6249" t="s">
        <v>42</v>
      </c>
      <c r="B6249" t="s">
        <v>39</v>
      </c>
      <c r="C6249" t="s">
        <v>15</v>
      </c>
      <c r="D6249" t="s">
        <v>32</v>
      </c>
      <c r="E6249" t="s">
        <v>26</v>
      </c>
      <c r="F6249" t="s">
        <v>18</v>
      </c>
      <c r="G6249" s="1" t="str">
        <f t="shared" si="1333"/>
        <v>X</v>
      </c>
      <c r="H6249" s="1" t="str">
        <f t="shared" si="1333"/>
        <v>X</v>
      </c>
      <c r="I6249" s="1" t="str">
        <f t="shared" si="1333"/>
        <v>X</v>
      </c>
      <c r="J6249" s="1" t="str">
        <f t="shared" si="1333"/>
        <v>X</v>
      </c>
      <c r="K6249" s="1" t="str">
        <f t="shared" si="1333"/>
        <v>X</v>
      </c>
      <c r="L6249" s="1" t="str">
        <f t="shared" si="1333"/>
        <v>X</v>
      </c>
      <c r="M6249" s="1" t="str">
        <f t="shared" si="1333"/>
        <v>X</v>
      </c>
      <c r="N6249" t="s">
        <v>27</v>
      </c>
    </row>
    <row r="6250" spans="1:14" x14ac:dyDescent="0.25">
      <c r="A6250" t="s">
        <v>42</v>
      </c>
      <c r="B6250" t="s">
        <v>39</v>
      </c>
      <c r="C6250" t="s">
        <v>15</v>
      </c>
      <c r="D6250" t="s">
        <v>32</v>
      </c>
      <c r="E6250" t="s">
        <v>26</v>
      </c>
      <c r="F6250" t="s">
        <v>19</v>
      </c>
      <c r="G6250" s="1" t="str">
        <f t="shared" si="1333"/>
        <v>X</v>
      </c>
      <c r="H6250" s="1" t="str">
        <f t="shared" si="1333"/>
        <v>X</v>
      </c>
      <c r="I6250" s="1" t="str">
        <f t="shared" si="1333"/>
        <v>X</v>
      </c>
      <c r="J6250" s="1" t="str">
        <f t="shared" si="1333"/>
        <v>X</v>
      </c>
      <c r="K6250" s="1" t="str">
        <f t="shared" si="1333"/>
        <v>X</v>
      </c>
      <c r="L6250" s="1" t="str">
        <f t="shared" si="1333"/>
        <v>X</v>
      </c>
      <c r="M6250" s="1" t="str">
        <f t="shared" si="1333"/>
        <v>X</v>
      </c>
      <c r="N6250" t="s">
        <v>27</v>
      </c>
    </row>
    <row r="6251" spans="1:14" x14ac:dyDescent="0.25">
      <c r="A6251" t="s">
        <v>42</v>
      </c>
      <c r="B6251" t="s">
        <v>39</v>
      </c>
      <c r="C6251" t="s">
        <v>15</v>
      </c>
      <c r="D6251" t="s">
        <v>32</v>
      </c>
      <c r="E6251" t="s">
        <v>26</v>
      </c>
      <c r="F6251" t="s">
        <v>20</v>
      </c>
      <c r="G6251" s="2">
        <f>VALUE(1070.62)</f>
        <v>1070.6199999999999</v>
      </c>
      <c r="H6251" s="3">
        <f>VALUE(1066.66)</f>
        <v>1066.6600000000001</v>
      </c>
      <c r="I6251" s="4">
        <f>VALUE(2529)</f>
        <v>2529</v>
      </c>
      <c r="J6251" s="1">
        <f>VALUE(3207)</f>
        <v>3207</v>
      </c>
      <c r="K6251" s="1">
        <f>VALUE(4024)</f>
        <v>4024</v>
      </c>
      <c r="L6251" s="1">
        <f>VALUE(5307)</f>
        <v>5307</v>
      </c>
      <c r="M6251" s="1">
        <f>VALUE(6463)</f>
        <v>6463</v>
      </c>
      <c r="N6251" t="s">
        <v>25</v>
      </c>
    </row>
    <row r="6252" spans="1:14" x14ac:dyDescent="0.25">
      <c r="A6252" t="s">
        <v>42</v>
      </c>
      <c r="B6252" t="s">
        <v>39</v>
      </c>
      <c r="C6252" t="s">
        <v>15</v>
      </c>
      <c r="D6252" t="s">
        <v>33</v>
      </c>
      <c r="E6252" t="s">
        <v>15</v>
      </c>
      <c r="F6252" t="s">
        <v>15</v>
      </c>
      <c r="G6252" s="2">
        <f>VALUE(519.46)</f>
        <v>519.46</v>
      </c>
      <c r="H6252" s="3">
        <f>VALUE(504.7)</f>
        <v>504.7</v>
      </c>
      <c r="I6252" s="4">
        <f>VALUE(2383)</f>
        <v>2383</v>
      </c>
      <c r="J6252" s="1">
        <f>VALUE(3410)</f>
        <v>3410</v>
      </c>
      <c r="K6252" s="1">
        <f>VALUE(4125)</f>
        <v>4125</v>
      </c>
      <c r="L6252" s="1">
        <f>VALUE(6053)</f>
        <v>6053</v>
      </c>
      <c r="M6252" s="8">
        <f>VALUE(8571)</f>
        <v>8571</v>
      </c>
      <c r="N6252" t="s">
        <v>25</v>
      </c>
    </row>
    <row r="6253" spans="1:14" x14ac:dyDescent="0.25">
      <c r="A6253" t="s">
        <v>42</v>
      </c>
      <c r="B6253" t="s">
        <v>39</v>
      </c>
      <c r="C6253" t="s">
        <v>15</v>
      </c>
      <c r="D6253" t="s">
        <v>33</v>
      </c>
      <c r="E6253" t="s">
        <v>15</v>
      </c>
      <c r="F6253" t="s">
        <v>17</v>
      </c>
      <c r="G6253" s="1" t="str">
        <f t="shared" ref="G6253:M6255" si="1334">"X"</f>
        <v>X</v>
      </c>
      <c r="H6253" s="1" t="str">
        <f t="shared" si="1334"/>
        <v>X</v>
      </c>
      <c r="I6253" s="1" t="str">
        <f t="shared" si="1334"/>
        <v>X</v>
      </c>
      <c r="J6253" s="1" t="str">
        <f t="shared" si="1334"/>
        <v>X</v>
      </c>
      <c r="K6253" s="1" t="str">
        <f t="shared" si="1334"/>
        <v>X</v>
      </c>
      <c r="L6253" s="1" t="str">
        <f t="shared" si="1334"/>
        <v>X</v>
      </c>
      <c r="M6253" s="1" t="str">
        <f t="shared" si="1334"/>
        <v>X</v>
      </c>
      <c r="N6253" t="s">
        <v>27</v>
      </c>
    </row>
    <row r="6254" spans="1:14" x14ac:dyDescent="0.25">
      <c r="A6254" t="s">
        <v>42</v>
      </c>
      <c r="B6254" t="s">
        <v>39</v>
      </c>
      <c r="C6254" t="s">
        <v>15</v>
      </c>
      <c r="D6254" t="s">
        <v>33</v>
      </c>
      <c r="E6254" t="s">
        <v>15</v>
      </c>
      <c r="F6254" t="s">
        <v>18</v>
      </c>
      <c r="G6254" s="1" t="str">
        <f t="shared" si="1334"/>
        <v>X</v>
      </c>
      <c r="H6254" s="1" t="str">
        <f t="shared" si="1334"/>
        <v>X</v>
      </c>
      <c r="I6254" s="1" t="str">
        <f t="shared" si="1334"/>
        <v>X</v>
      </c>
      <c r="J6254" s="1" t="str">
        <f t="shared" si="1334"/>
        <v>X</v>
      </c>
      <c r="K6254" s="1" t="str">
        <f t="shared" si="1334"/>
        <v>X</v>
      </c>
      <c r="L6254" s="1" t="str">
        <f t="shared" si="1334"/>
        <v>X</v>
      </c>
      <c r="M6254" s="1" t="str">
        <f t="shared" si="1334"/>
        <v>X</v>
      </c>
      <c r="N6254" t="s">
        <v>27</v>
      </c>
    </row>
    <row r="6255" spans="1:14" x14ac:dyDescent="0.25">
      <c r="A6255" t="s">
        <v>42</v>
      </c>
      <c r="B6255" t="s">
        <v>39</v>
      </c>
      <c r="C6255" t="s">
        <v>15</v>
      </c>
      <c r="D6255" t="s">
        <v>33</v>
      </c>
      <c r="E6255" t="s">
        <v>15</v>
      </c>
      <c r="F6255" t="s">
        <v>19</v>
      </c>
      <c r="G6255" s="1" t="str">
        <f t="shared" si="1334"/>
        <v>X</v>
      </c>
      <c r="H6255" s="1" t="str">
        <f t="shared" si="1334"/>
        <v>X</v>
      </c>
      <c r="I6255" s="1" t="str">
        <f t="shared" si="1334"/>
        <v>X</v>
      </c>
      <c r="J6255" s="1" t="str">
        <f t="shared" si="1334"/>
        <v>X</v>
      </c>
      <c r="K6255" s="1" t="str">
        <f t="shared" si="1334"/>
        <v>X</v>
      </c>
      <c r="L6255" s="1" t="str">
        <f t="shared" si="1334"/>
        <v>X</v>
      </c>
      <c r="M6255" s="1" t="str">
        <f t="shared" si="1334"/>
        <v>X</v>
      </c>
      <c r="N6255" t="s">
        <v>27</v>
      </c>
    </row>
    <row r="6256" spans="1:14" x14ac:dyDescent="0.25">
      <c r="A6256" t="s">
        <v>42</v>
      </c>
      <c r="B6256" t="s">
        <v>39</v>
      </c>
      <c r="C6256" t="s">
        <v>15</v>
      </c>
      <c r="D6256" t="s">
        <v>33</v>
      </c>
      <c r="E6256" t="s">
        <v>15</v>
      </c>
      <c r="F6256" t="s">
        <v>20</v>
      </c>
      <c r="G6256" s="2">
        <f>VALUE(363.51)</f>
        <v>363.51</v>
      </c>
      <c r="H6256" s="3">
        <f>VALUE(370.36)</f>
        <v>370.36</v>
      </c>
      <c r="I6256" s="4">
        <f>VALUE(2889)</f>
        <v>2889</v>
      </c>
      <c r="J6256" s="1">
        <f>VALUE(3409)</f>
        <v>3409</v>
      </c>
      <c r="K6256" s="6">
        <f>VALUE(3729)</f>
        <v>3729</v>
      </c>
      <c r="L6256" s="7">
        <f>VALUE(5199)</f>
        <v>5199</v>
      </c>
      <c r="M6256" s="1">
        <f>VALUE(6353)</f>
        <v>6353</v>
      </c>
      <c r="N6256" t="s">
        <v>25</v>
      </c>
    </row>
    <row r="6257" spans="1:14" x14ac:dyDescent="0.25">
      <c r="A6257" t="s">
        <v>42</v>
      </c>
      <c r="B6257" t="s">
        <v>39</v>
      </c>
      <c r="C6257" t="s">
        <v>15</v>
      </c>
      <c r="D6257" t="s">
        <v>33</v>
      </c>
      <c r="E6257" t="s">
        <v>21</v>
      </c>
      <c r="F6257" t="s">
        <v>15</v>
      </c>
      <c r="G6257" s="1" t="str">
        <f t="shared" ref="G6257:M6266" si="1335">"X"</f>
        <v>X</v>
      </c>
      <c r="H6257" s="1" t="str">
        <f t="shared" si="1335"/>
        <v>X</v>
      </c>
      <c r="I6257" s="1" t="str">
        <f t="shared" si="1335"/>
        <v>X</v>
      </c>
      <c r="J6257" s="1" t="str">
        <f t="shared" si="1335"/>
        <v>X</v>
      </c>
      <c r="K6257" s="1" t="str">
        <f t="shared" si="1335"/>
        <v>X</v>
      </c>
      <c r="L6257" s="1" t="str">
        <f t="shared" si="1335"/>
        <v>X</v>
      </c>
      <c r="M6257" s="1" t="str">
        <f t="shared" si="1335"/>
        <v>X</v>
      </c>
      <c r="N6257" t="s">
        <v>27</v>
      </c>
    </row>
    <row r="6258" spans="1:14" x14ac:dyDescent="0.25">
      <c r="A6258" t="s">
        <v>42</v>
      </c>
      <c r="B6258" t="s">
        <v>39</v>
      </c>
      <c r="C6258" t="s">
        <v>15</v>
      </c>
      <c r="D6258" t="s">
        <v>33</v>
      </c>
      <c r="E6258" t="s">
        <v>21</v>
      </c>
      <c r="F6258" t="s">
        <v>17</v>
      </c>
      <c r="G6258" s="1" t="str">
        <f t="shared" si="1335"/>
        <v>X</v>
      </c>
      <c r="H6258" s="1" t="str">
        <f t="shared" si="1335"/>
        <v>X</v>
      </c>
      <c r="I6258" s="1" t="str">
        <f t="shared" si="1335"/>
        <v>X</v>
      </c>
      <c r="J6258" s="1" t="str">
        <f t="shared" si="1335"/>
        <v>X</v>
      </c>
      <c r="K6258" s="1" t="str">
        <f t="shared" si="1335"/>
        <v>X</v>
      </c>
      <c r="L6258" s="1" t="str">
        <f t="shared" si="1335"/>
        <v>X</v>
      </c>
      <c r="M6258" s="1" t="str">
        <f t="shared" si="1335"/>
        <v>X</v>
      </c>
      <c r="N6258" t="s">
        <v>27</v>
      </c>
    </row>
    <row r="6259" spans="1:14" x14ac:dyDescent="0.25">
      <c r="A6259" t="s">
        <v>42</v>
      </c>
      <c r="B6259" t="s">
        <v>39</v>
      </c>
      <c r="C6259" t="s">
        <v>15</v>
      </c>
      <c r="D6259" t="s">
        <v>33</v>
      </c>
      <c r="E6259" t="s">
        <v>21</v>
      </c>
      <c r="F6259" t="s">
        <v>18</v>
      </c>
      <c r="G6259" s="1" t="str">
        <f t="shared" si="1335"/>
        <v>X</v>
      </c>
      <c r="H6259" s="1" t="str">
        <f t="shared" si="1335"/>
        <v>X</v>
      </c>
      <c r="I6259" s="1" t="str">
        <f t="shared" si="1335"/>
        <v>X</v>
      </c>
      <c r="J6259" s="1" t="str">
        <f t="shared" si="1335"/>
        <v>X</v>
      </c>
      <c r="K6259" s="1" t="str">
        <f t="shared" si="1335"/>
        <v>X</v>
      </c>
      <c r="L6259" s="1" t="str">
        <f t="shared" si="1335"/>
        <v>X</v>
      </c>
      <c r="M6259" s="1" t="str">
        <f t="shared" si="1335"/>
        <v>X</v>
      </c>
      <c r="N6259" t="s">
        <v>27</v>
      </c>
    </row>
    <row r="6260" spans="1:14" x14ac:dyDescent="0.25">
      <c r="A6260" t="s">
        <v>42</v>
      </c>
      <c r="B6260" t="s">
        <v>39</v>
      </c>
      <c r="C6260" t="s">
        <v>15</v>
      </c>
      <c r="D6260" t="s">
        <v>33</v>
      </c>
      <c r="E6260" t="s">
        <v>21</v>
      </c>
      <c r="F6260" t="s">
        <v>19</v>
      </c>
      <c r="G6260" s="1" t="str">
        <f t="shared" si="1335"/>
        <v>X</v>
      </c>
      <c r="H6260" s="1" t="str">
        <f t="shared" si="1335"/>
        <v>X</v>
      </c>
      <c r="I6260" s="1" t="str">
        <f t="shared" si="1335"/>
        <v>X</v>
      </c>
      <c r="J6260" s="1" t="str">
        <f t="shared" si="1335"/>
        <v>X</v>
      </c>
      <c r="K6260" s="1" t="str">
        <f t="shared" si="1335"/>
        <v>X</v>
      </c>
      <c r="L6260" s="1" t="str">
        <f t="shared" si="1335"/>
        <v>X</v>
      </c>
      <c r="M6260" s="1" t="str">
        <f t="shared" si="1335"/>
        <v>X</v>
      </c>
      <c r="N6260" t="s">
        <v>27</v>
      </c>
    </row>
    <row r="6261" spans="1:14" x14ac:dyDescent="0.25">
      <c r="A6261" t="s">
        <v>42</v>
      </c>
      <c r="B6261" t="s">
        <v>39</v>
      </c>
      <c r="C6261" t="s">
        <v>15</v>
      </c>
      <c r="D6261" t="s">
        <v>33</v>
      </c>
      <c r="E6261" t="s">
        <v>21</v>
      </c>
      <c r="F6261" t="s">
        <v>20</v>
      </c>
      <c r="G6261" s="1" t="str">
        <f t="shared" si="1335"/>
        <v>X</v>
      </c>
      <c r="H6261" s="1" t="str">
        <f t="shared" si="1335"/>
        <v>X</v>
      </c>
      <c r="I6261" s="1" t="str">
        <f t="shared" si="1335"/>
        <v>X</v>
      </c>
      <c r="J6261" s="1" t="str">
        <f t="shared" si="1335"/>
        <v>X</v>
      </c>
      <c r="K6261" s="1" t="str">
        <f t="shared" si="1335"/>
        <v>X</v>
      </c>
      <c r="L6261" s="1" t="str">
        <f t="shared" si="1335"/>
        <v>X</v>
      </c>
      <c r="M6261" s="1" t="str">
        <f t="shared" si="1335"/>
        <v>X</v>
      </c>
      <c r="N6261" t="s">
        <v>27</v>
      </c>
    </row>
    <row r="6262" spans="1:14" x14ac:dyDescent="0.25">
      <c r="A6262" t="s">
        <v>42</v>
      </c>
      <c r="B6262" t="s">
        <v>39</v>
      </c>
      <c r="C6262" t="s">
        <v>15</v>
      </c>
      <c r="D6262" t="s">
        <v>33</v>
      </c>
      <c r="E6262" t="s">
        <v>22</v>
      </c>
      <c r="F6262" t="s">
        <v>15</v>
      </c>
      <c r="G6262" s="1" t="str">
        <f t="shared" si="1335"/>
        <v>X</v>
      </c>
      <c r="H6262" s="1" t="str">
        <f t="shared" si="1335"/>
        <v>X</v>
      </c>
      <c r="I6262" s="1" t="str">
        <f t="shared" si="1335"/>
        <v>X</v>
      </c>
      <c r="J6262" s="1" t="str">
        <f t="shared" si="1335"/>
        <v>X</v>
      </c>
      <c r="K6262" s="1" t="str">
        <f t="shared" si="1335"/>
        <v>X</v>
      </c>
      <c r="L6262" s="1" t="str">
        <f t="shared" si="1335"/>
        <v>X</v>
      </c>
      <c r="M6262" s="1" t="str">
        <f t="shared" si="1335"/>
        <v>X</v>
      </c>
      <c r="N6262" t="s">
        <v>27</v>
      </c>
    </row>
    <row r="6263" spans="1:14" x14ac:dyDescent="0.25">
      <c r="A6263" t="s">
        <v>42</v>
      </c>
      <c r="B6263" t="s">
        <v>39</v>
      </c>
      <c r="C6263" t="s">
        <v>15</v>
      </c>
      <c r="D6263" t="s">
        <v>33</v>
      </c>
      <c r="E6263" t="s">
        <v>22</v>
      </c>
      <c r="F6263" t="s">
        <v>17</v>
      </c>
      <c r="G6263" s="1" t="str">
        <f t="shared" si="1335"/>
        <v>X</v>
      </c>
      <c r="H6263" s="1" t="str">
        <f t="shared" si="1335"/>
        <v>X</v>
      </c>
      <c r="I6263" s="1" t="str">
        <f t="shared" si="1335"/>
        <v>X</v>
      </c>
      <c r="J6263" s="1" t="str">
        <f t="shared" si="1335"/>
        <v>X</v>
      </c>
      <c r="K6263" s="1" t="str">
        <f t="shared" si="1335"/>
        <v>X</v>
      </c>
      <c r="L6263" s="1" t="str">
        <f t="shared" si="1335"/>
        <v>X</v>
      </c>
      <c r="M6263" s="1" t="str">
        <f t="shared" si="1335"/>
        <v>X</v>
      </c>
      <c r="N6263" t="s">
        <v>27</v>
      </c>
    </row>
    <row r="6264" spans="1:14" x14ac:dyDescent="0.25">
      <c r="A6264" t="s">
        <v>42</v>
      </c>
      <c r="B6264" t="s">
        <v>39</v>
      </c>
      <c r="C6264" t="s">
        <v>15</v>
      </c>
      <c r="D6264" t="s">
        <v>33</v>
      </c>
      <c r="E6264" t="s">
        <v>22</v>
      </c>
      <c r="F6264" t="s">
        <v>18</v>
      </c>
      <c r="G6264" s="1" t="str">
        <f t="shared" si="1335"/>
        <v>X</v>
      </c>
      <c r="H6264" s="1" t="str">
        <f t="shared" si="1335"/>
        <v>X</v>
      </c>
      <c r="I6264" s="1" t="str">
        <f t="shared" si="1335"/>
        <v>X</v>
      </c>
      <c r="J6264" s="1" t="str">
        <f t="shared" si="1335"/>
        <v>X</v>
      </c>
      <c r="K6264" s="1" t="str">
        <f t="shared" si="1335"/>
        <v>X</v>
      </c>
      <c r="L6264" s="1" t="str">
        <f t="shared" si="1335"/>
        <v>X</v>
      </c>
      <c r="M6264" s="1" t="str">
        <f t="shared" si="1335"/>
        <v>X</v>
      </c>
      <c r="N6264" t="s">
        <v>27</v>
      </c>
    </row>
    <row r="6265" spans="1:14" x14ac:dyDescent="0.25">
      <c r="A6265" t="s">
        <v>42</v>
      </c>
      <c r="B6265" t="s">
        <v>39</v>
      </c>
      <c r="C6265" t="s">
        <v>15</v>
      </c>
      <c r="D6265" t="s">
        <v>33</v>
      </c>
      <c r="E6265" t="s">
        <v>22</v>
      </c>
      <c r="F6265" t="s">
        <v>19</v>
      </c>
      <c r="G6265" s="1" t="str">
        <f t="shared" si="1335"/>
        <v>X</v>
      </c>
      <c r="H6265" s="1" t="str">
        <f t="shared" si="1335"/>
        <v>X</v>
      </c>
      <c r="I6265" s="1" t="str">
        <f t="shared" si="1335"/>
        <v>X</v>
      </c>
      <c r="J6265" s="1" t="str">
        <f t="shared" si="1335"/>
        <v>X</v>
      </c>
      <c r="K6265" s="1" t="str">
        <f t="shared" si="1335"/>
        <v>X</v>
      </c>
      <c r="L6265" s="1" t="str">
        <f t="shared" si="1335"/>
        <v>X</v>
      </c>
      <c r="M6265" s="1" t="str">
        <f t="shared" si="1335"/>
        <v>X</v>
      </c>
      <c r="N6265" t="s">
        <v>27</v>
      </c>
    </row>
    <row r="6266" spans="1:14" x14ac:dyDescent="0.25">
      <c r="A6266" t="s">
        <v>42</v>
      </c>
      <c r="B6266" t="s">
        <v>39</v>
      </c>
      <c r="C6266" t="s">
        <v>15</v>
      </c>
      <c r="D6266" t="s">
        <v>33</v>
      </c>
      <c r="E6266" t="s">
        <v>22</v>
      </c>
      <c r="F6266" t="s">
        <v>20</v>
      </c>
      <c r="G6266" s="1" t="str">
        <f t="shared" si="1335"/>
        <v>X</v>
      </c>
      <c r="H6266" s="1" t="str">
        <f t="shared" si="1335"/>
        <v>X</v>
      </c>
      <c r="I6266" s="1" t="str">
        <f t="shared" si="1335"/>
        <v>X</v>
      </c>
      <c r="J6266" s="1" t="str">
        <f t="shared" si="1335"/>
        <v>X</v>
      </c>
      <c r="K6266" s="1" t="str">
        <f t="shared" si="1335"/>
        <v>X</v>
      </c>
      <c r="L6266" s="1" t="str">
        <f t="shared" si="1335"/>
        <v>X</v>
      </c>
      <c r="M6266" s="1" t="str">
        <f t="shared" si="1335"/>
        <v>X</v>
      </c>
      <c r="N6266" t="s">
        <v>27</v>
      </c>
    </row>
    <row r="6267" spans="1:14" x14ac:dyDescent="0.25">
      <c r="A6267" t="s">
        <v>42</v>
      </c>
      <c r="B6267" t="s">
        <v>39</v>
      </c>
      <c r="C6267" t="s">
        <v>15</v>
      </c>
      <c r="D6267" t="s">
        <v>33</v>
      </c>
      <c r="E6267" t="s">
        <v>23</v>
      </c>
      <c r="F6267" t="s">
        <v>15</v>
      </c>
      <c r="G6267" s="2">
        <f>VALUE(242.88)</f>
        <v>242.88</v>
      </c>
      <c r="H6267" s="3">
        <f>VALUE(266.53)</f>
        <v>266.52999999999997</v>
      </c>
      <c r="I6267" s="4">
        <f>VALUE(3053)</f>
        <v>3053</v>
      </c>
      <c r="J6267" s="1">
        <f>VALUE(3409)</f>
        <v>3409</v>
      </c>
      <c r="K6267" s="1">
        <f>VALUE(3545)</f>
        <v>3545</v>
      </c>
      <c r="L6267" s="7">
        <f>VALUE(5015)</f>
        <v>5015</v>
      </c>
      <c r="M6267" s="8">
        <f>VALUE(6053)</f>
        <v>6053</v>
      </c>
      <c r="N6267" t="s">
        <v>25</v>
      </c>
    </row>
    <row r="6268" spans="1:14" x14ac:dyDescent="0.25">
      <c r="A6268" t="s">
        <v>42</v>
      </c>
      <c r="B6268" t="s">
        <v>39</v>
      </c>
      <c r="C6268" t="s">
        <v>15</v>
      </c>
      <c r="D6268" t="s">
        <v>33</v>
      </c>
      <c r="E6268" t="s">
        <v>23</v>
      </c>
      <c r="F6268" t="s">
        <v>17</v>
      </c>
      <c r="G6268" s="1" t="str">
        <f t="shared" ref="G6268:M6269" si="1336">"..."</f>
        <v>...</v>
      </c>
      <c r="H6268" s="1" t="str">
        <f t="shared" si="1336"/>
        <v>...</v>
      </c>
      <c r="I6268" s="1" t="str">
        <f t="shared" si="1336"/>
        <v>...</v>
      </c>
      <c r="J6268" s="1" t="str">
        <f t="shared" si="1336"/>
        <v>...</v>
      </c>
      <c r="K6268" s="1" t="str">
        <f t="shared" si="1336"/>
        <v>...</v>
      </c>
      <c r="L6268" s="1" t="str">
        <f t="shared" si="1336"/>
        <v>...</v>
      </c>
      <c r="M6268" s="1" t="str">
        <f t="shared" si="1336"/>
        <v>...</v>
      </c>
      <c r="N6268" t="s">
        <v>30</v>
      </c>
    </row>
    <row r="6269" spans="1:14" x14ac:dyDescent="0.25">
      <c r="A6269" t="s">
        <v>42</v>
      </c>
      <c r="B6269" t="s">
        <v>39</v>
      </c>
      <c r="C6269" t="s">
        <v>15</v>
      </c>
      <c r="D6269" t="s">
        <v>33</v>
      </c>
      <c r="E6269" t="s">
        <v>23</v>
      </c>
      <c r="F6269" t="s">
        <v>18</v>
      </c>
      <c r="G6269" s="1" t="str">
        <f t="shared" si="1336"/>
        <v>...</v>
      </c>
      <c r="H6269" s="1" t="str">
        <f t="shared" si="1336"/>
        <v>...</v>
      </c>
      <c r="I6269" s="1" t="str">
        <f t="shared" si="1336"/>
        <v>...</v>
      </c>
      <c r="J6269" s="1" t="str">
        <f t="shared" si="1336"/>
        <v>...</v>
      </c>
      <c r="K6269" s="1" t="str">
        <f t="shared" si="1336"/>
        <v>...</v>
      </c>
      <c r="L6269" s="1" t="str">
        <f t="shared" si="1336"/>
        <v>...</v>
      </c>
      <c r="M6269" s="1" t="str">
        <f t="shared" si="1336"/>
        <v>...</v>
      </c>
      <c r="N6269" t="s">
        <v>30</v>
      </c>
    </row>
    <row r="6270" spans="1:14" x14ac:dyDescent="0.25">
      <c r="A6270" t="s">
        <v>42</v>
      </c>
      <c r="B6270" t="s">
        <v>39</v>
      </c>
      <c r="C6270" t="s">
        <v>15</v>
      </c>
      <c r="D6270" t="s">
        <v>33</v>
      </c>
      <c r="E6270" t="s">
        <v>23</v>
      </c>
      <c r="F6270" t="s">
        <v>19</v>
      </c>
      <c r="G6270" s="1" t="str">
        <f t="shared" ref="G6270:M6270" si="1337">"X"</f>
        <v>X</v>
      </c>
      <c r="H6270" s="1" t="str">
        <f t="shared" si="1337"/>
        <v>X</v>
      </c>
      <c r="I6270" s="1" t="str">
        <f t="shared" si="1337"/>
        <v>X</v>
      </c>
      <c r="J6270" s="1" t="str">
        <f t="shared" si="1337"/>
        <v>X</v>
      </c>
      <c r="K6270" s="1" t="str">
        <f t="shared" si="1337"/>
        <v>X</v>
      </c>
      <c r="L6270" s="1" t="str">
        <f t="shared" si="1337"/>
        <v>X</v>
      </c>
      <c r="M6270" s="1" t="str">
        <f t="shared" si="1337"/>
        <v>X</v>
      </c>
      <c r="N6270" t="s">
        <v>27</v>
      </c>
    </row>
    <row r="6271" spans="1:14" x14ac:dyDescent="0.25">
      <c r="A6271" t="s">
        <v>42</v>
      </c>
      <c r="B6271" t="s">
        <v>39</v>
      </c>
      <c r="C6271" t="s">
        <v>15</v>
      </c>
      <c r="D6271" t="s">
        <v>33</v>
      </c>
      <c r="E6271" t="s">
        <v>23</v>
      </c>
      <c r="F6271" t="s">
        <v>20</v>
      </c>
      <c r="G6271" s="2">
        <f>VALUE(229.97)</f>
        <v>229.97</v>
      </c>
      <c r="H6271" s="3">
        <f>VALUE(252.58)</f>
        <v>252.58</v>
      </c>
      <c r="I6271" s="4">
        <f>VALUE(3140)</f>
        <v>3140</v>
      </c>
      <c r="J6271" s="1">
        <f>VALUE(3409)</f>
        <v>3409</v>
      </c>
      <c r="K6271" s="1">
        <f>VALUE(3571)</f>
        <v>3571</v>
      </c>
      <c r="L6271" s="7">
        <f>VALUE(5071)</f>
        <v>5071</v>
      </c>
      <c r="M6271" s="8">
        <f>VALUE(6183)</f>
        <v>6183</v>
      </c>
      <c r="N6271" t="s">
        <v>25</v>
      </c>
    </row>
    <row r="6272" spans="1:14" x14ac:dyDescent="0.25">
      <c r="A6272" t="s">
        <v>42</v>
      </c>
      <c r="B6272" t="s">
        <v>39</v>
      </c>
      <c r="C6272" t="s">
        <v>15</v>
      </c>
      <c r="D6272" t="s">
        <v>33</v>
      </c>
      <c r="E6272" t="s">
        <v>26</v>
      </c>
      <c r="F6272" t="s">
        <v>15</v>
      </c>
      <c r="G6272" s="1" t="str">
        <f t="shared" ref="G6272:M6272" si="1338">"X"</f>
        <v>X</v>
      </c>
      <c r="H6272" s="1" t="str">
        <f t="shared" si="1338"/>
        <v>X</v>
      </c>
      <c r="I6272" s="1" t="str">
        <f t="shared" si="1338"/>
        <v>X</v>
      </c>
      <c r="J6272" s="1" t="str">
        <f t="shared" si="1338"/>
        <v>X</v>
      </c>
      <c r="K6272" s="1" t="str">
        <f t="shared" si="1338"/>
        <v>X</v>
      </c>
      <c r="L6272" s="1" t="str">
        <f t="shared" si="1338"/>
        <v>X</v>
      </c>
      <c r="M6272" s="1" t="str">
        <f t="shared" si="1338"/>
        <v>X</v>
      </c>
      <c r="N6272" t="s">
        <v>27</v>
      </c>
    </row>
    <row r="6273" spans="1:14" x14ac:dyDescent="0.25">
      <c r="A6273" t="s">
        <v>42</v>
      </c>
      <c r="B6273" t="s">
        <v>39</v>
      </c>
      <c r="C6273" t="s">
        <v>15</v>
      </c>
      <c r="D6273" t="s">
        <v>33</v>
      </c>
      <c r="E6273" t="s">
        <v>26</v>
      </c>
      <c r="F6273" t="s">
        <v>17</v>
      </c>
      <c r="G6273" s="1" t="str">
        <f t="shared" ref="G6273:M6273" si="1339">"..."</f>
        <v>...</v>
      </c>
      <c r="H6273" s="1" t="str">
        <f t="shared" si="1339"/>
        <v>...</v>
      </c>
      <c r="I6273" s="1" t="str">
        <f t="shared" si="1339"/>
        <v>...</v>
      </c>
      <c r="J6273" s="1" t="str">
        <f t="shared" si="1339"/>
        <v>...</v>
      </c>
      <c r="K6273" s="1" t="str">
        <f t="shared" si="1339"/>
        <v>...</v>
      </c>
      <c r="L6273" s="1" t="str">
        <f t="shared" si="1339"/>
        <v>...</v>
      </c>
      <c r="M6273" s="1" t="str">
        <f t="shared" si="1339"/>
        <v>...</v>
      </c>
      <c r="N6273" t="s">
        <v>30</v>
      </c>
    </row>
    <row r="6274" spans="1:14" x14ac:dyDescent="0.25">
      <c r="A6274" t="s">
        <v>42</v>
      </c>
      <c r="B6274" t="s">
        <v>39</v>
      </c>
      <c r="C6274" t="s">
        <v>15</v>
      </c>
      <c r="D6274" t="s">
        <v>33</v>
      </c>
      <c r="E6274" t="s">
        <v>26</v>
      </c>
      <c r="F6274" t="s">
        <v>18</v>
      </c>
      <c r="G6274" s="1" t="str">
        <f t="shared" ref="G6274:M6274" si="1340">"X"</f>
        <v>X</v>
      </c>
      <c r="H6274" s="1" t="str">
        <f t="shared" si="1340"/>
        <v>X</v>
      </c>
      <c r="I6274" s="1" t="str">
        <f t="shared" si="1340"/>
        <v>X</v>
      </c>
      <c r="J6274" s="1" t="str">
        <f t="shared" si="1340"/>
        <v>X</v>
      </c>
      <c r="K6274" s="1" t="str">
        <f t="shared" si="1340"/>
        <v>X</v>
      </c>
      <c r="L6274" s="1" t="str">
        <f t="shared" si="1340"/>
        <v>X</v>
      </c>
      <c r="M6274" s="1" t="str">
        <f t="shared" si="1340"/>
        <v>X</v>
      </c>
      <c r="N6274" t="s">
        <v>27</v>
      </c>
    </row>
    <row r="6275" spans="1:14" x14ac:dyDescent="0.25">
      <c r="A6275" t="s">
        <v>42</v>
      </c>
      <c r="B6275" t="s">
        <v>39</v>
      </c>
      <c r="C6275" t="s">
        <v>15</v>
      </c>
      <c r="D6275" t="s">
        <v>33</v>
      </c>
      <c r="E6275" t="s">
        <v>26</v>
      </c>
      <c r="F6275" t="s">
        <v>19</v>
      </c>
      <c r="G6275" s="1" t="str">
        <f t="shared" ref="G6275:M6275" si="1341">"..."</f>
        <v>...</v>
      </c>
      <c r="H6275" s="1" t="str">
        <f t="shared" si="1341"/>
        <v>...</v>
      </c>
      <c r="I6275" s="1" t="str">
        <f t="shared" si="1341"/>
        <v>...</v>
      </c>
      <c r="J6275" s="1" t="str">
        <f t="shared" si="1341"/>
        <v>...</v>
      </c>
      <c r="K6275" s="1" t="str">
        <f t="shared" si="1341"/>
        <v>...</v>
      </c>
      <c r="L6275" s="1" t="str">
        <f t="shared" si="1341"/>
        <v>...</v>
      </c>
      <c r="M6275" s="1" t="str">
        <f t="shared" si="1341"/>
        <v>...</v>
      </c>
      <c r="N6275" t="s">
        <v>30</v>
      </c>
    </row>
    <row r="6276" spans="1:14" x14ac:dyDescent="0.25">
      <c r="A6276" t="s">
        <v>42</v>
      </c>
      <c r="B6276" t="s">
        <v>39</v>
      </c>
      <c r="C6276" t="s">
        <v>15</v>
      </c>
      <c r="D6276" t="s">
        <v>33</v>
      </c>
      <c r="E6276" t="s">
        <v>26</v>
      </c>
      <c r="F6276" t="s">
        <v>20</v>
      </c>
      <c r="G6276" s="1" t="str">
        <f t="shared" ref="G6276:M6279" si="1342">"X"</f>
        <v>X</v>
      </c>
      <c r="H6276" s="1" t="str">
        <f t="shared" si="1342"/>
        <v>X</v>
      </c>
      <c r="I6276" s="1" t="str">
        <f t="shared" si="1342"/>
        <v>X</v>
      </c>
      <c r="J6276" s="1" t="str">
        <f t="shared" si="1342"/>
        <v>X</v>
      </c>
      <c r="K6276" s="1" t="str">
        <f t="shared" si="1342"/>
        <v>X</v>
      </c>
      <c r="L6276" s="1" t="str">
        <f t="shared" si="1342"/>
        <v>X</v>
      </c>
      <c r="M6276" s="1" t="str">
        <f t="shared" si="1342"/>
        <v>X</v>
      </c>
      <c r="N6276" t="s">
        <v>27</v>
      </c>
    </row>
    <row r="6277" spans="1:14" x14ac:dyDescent="0.25">
      <c r="A6277" t="s">
        <v>42</v>
      </c>
      <c r="B6277" t="s">
        <v>39</v>
      </c>
      <c r="C6277" t="s">
        <v>15</v>
      </c>
      <c r="D6277" t="s">
        <v>34</v>
      </c>
      <c r="E6277" t="s">
        <v>15</v>
      </c>
      <c r="F6277" t="s">
        <v>15</v>
      </c>
      <c r="G6277" s="1" t="str">
        <f t="shared" si="1342"/>
        <v>X</v>
      </c>
      <c r="H6277" s="1" t="str">
        <f t="shared" si="1342"/>
        <v>X</v>
      </c>
      <c r="I6277" s="1" t="str">
        <f t="shared" si="1342"/>
        <v>X</v>
      </c>
      <c r="J6277" s="1" t="str">
        <f t="shared" si="1342"/>
        <v>X</v>
      </c>
      <c r="K6277" s="1" t="str">
        <f t="shared" si="1342"/>
        <v>X</v>
      </c>
      <c r="L6277" s="1" t="str">
        <f t="shared" si="1342"/>
        <v>X</v>
      </c>
      <c r="M6277" s="1" t="str">
        <f t="shared" si="1342"/>
        <v>X</v>
      </c>
      <c r="N6277" t="s">
        <v>27</v>
      </c>
    </row>
    <row r="6278" spans="1:14" x14ac:dyDescent="0.25">
      <c r="A6278" t="s">
        <v>42</v>
      </c>
      <c r="B6278" t="s">
        <v>39</v>
      </c>
      <c r="C6278" t="s">
        <v>15</v>
      </c>
      <c r="D6278" t="s">
        <v>34</v>
      </c>
      <c r="E6278" t="s">
        <v>15</v>
      </c>
      <c r="F6278" t="s">
        <v>17</v>
      </c>
      <c r="G6278" s="1" t="str">
        <f t="shared" si="1342"/>
        <v>X</v>
      </c>
      <c r="H6278" s="1" t="str">
        <f t="shared" si="1342"/>
        <v>X</v>
      </c>
      <c r="I6278" s="1" t="str">
        <f t="shared" si="1342"/>
        <v>X</v>
      </c>
      <c r="J6278" s="1" t="str">
        <f t="shared" si="1342"/>
        <v>X</v>
      </c>
      <c r="K6278" s="1" t="str">
        <f t="shared" si="1342"/>
        <v>X</v>
      </c>
      <c r="L6278" s="1" t="str">
        <f t="shared" si="1342"/>
        <v>X</v>
      </c>
      <c r="M6278" s="1" t="str">
        <f t="shared" si="1342"/>
        <v>X</v>
      </c>
      <c r="N6278" t="s">
        <v>27</v>
      </c>
    </row>
    <row r="6279" spans="1:14" x14ac:dyDescent="0.25">
      <c r="A6279" t="s">
        <v>42</v>
      </c>
      <c r="B6279" t="s">
        <v>39</v>
      </c>
      <c r="C6279" t="s">
        <v>15</v>
      </c>
      <c r="D6279" t="s">
        <v>34</v>
      </c>
      <c r="E6279" t="s">
        <v>15</v>
      </c>
      <c r="F6279" t="s">
        <v>18</v>
      </c>
      <c r="G6279" s="1" t="str">
        <f t="shared" si="1342"/>
        <v>X</v>
      </c>
      <c r="H6279" s="1" t="str">
        <f t="shared" si="1342"/>
        <v>X</v>
      </c>
      <c r="I6279" s="1" t="str">
        <f t="shared" si="1342"/>
        <v>X</v>
      </c>
      <c r="J6279" s="1" t="str">
        <f t="shared" si="1342"/>
        <v>X</v>
      </c>
      <c r="K6279" s="1" t="str">
        <f t="shared" si="1342"/>
        <v>X</v>
      </c>
      <c r="L6279" s="1" t="str">
        <f t="shared" si="1342"/>
        <v>X</v>
      </c>
      <c r="M6279" s="1" t="str">
        <f t="shared" si="1342"/>
        <v>X</v>
      </c>
      <c r="N6279" t="s">
        <v>27</v>
      </c>
    </row>
    <row r="6280" spans="1:14" x14ac:dyDescent="0.25">
      <c r="A6280" t="s">
        <v>42</v>
      </c>
      <c r="B6280" t="s">
        <v>39</v>
      </c>
      <c r="C6280" t="s">
        <v>15</v>
      </c>
      <c r="D6280" t="s">
        <v>34</v>
      </c>
      <c r="E6280" t="s">
        <v>15</v>
      </c>
      <c r="F6280" t="s">
        <v>19</v>
      </c>
      <c r="G6280" s="1" t="str">
        <f t="shared" ref="G6280:M6280" si="1343">"..."</f>
        <v>...</v>
      </c>
      <c r="H6280" s="1" t="str">
        <f t="shared" si="1343"/>
        <v>...</v>
      </c>
      <c r="I6280" s="1" t="str">
        <f t="shared" si="1343"/>
        <v>...</v>
      </c>
      <c r="J6280" s="1" t="str">
        <f t="shared" si="1343"/>
        <v>...</v>
      </c>
      <c r="K6280" s="1" t="str">
        <f t="shared" si="1343"/>
        <v>...</v>
      </c>
      <c r="L6280" s="1" t="str">
        <f t="shared" si="1343"/>
        <v>...</v>
      </c>
      <c r="M6280" s="1" t="str">
        <f t="shared" si="1343"/>
        <v>...</v>
      </c>
      <c r="N6280" t="s">
        <v>30</v>
      </c>
    </row>
    <row r="6281" spans="1:14" x14ac:dyDescent="0.25">
      <c r="A6281" t="s">
        <v>42</v>
      </c>
      <c r="B6281" t="s">
        <v>39</v>
      </c>
      <c r="C6281" t="s">
        <v>15</v>
      </c>
      <c r="D6281" t="s">
        <v>34</v>
      </c>
      <c r="E6281" t="s">
        <v>15</v>
      </c>
      <c r="F6281" t="s">
        <v>20</v>
      </c>
      <c r="G6281" s="1" t="str">
        <f t="shared" ref="G6281:M6283" si="1344">"X"</f>
        <v>X</v>
      </c>
      <c r="H6281" s="1" t="str">
        <f t="shared" si="1344"/>
        <v>X</v>
      </c>
      <c r="I6281" s="1" t="str">
        <f t="shared" si="1344"/>
        <v>X</v>
      </c>
      <c r="J6281" s="1" t="str">
        <f t="shared" si="1344"/>
        <v>X</v>
      </c>
      <c r="K6281" s="1" t="str">
        <f t="shared" si="1344"/>
        <v>X</v>
      </c>
      <c r="L6281" s="1" t="str">
        <f t="shared" si="1344"/>
        <v>X</v>
      </c>
      <c r="M6281" s="1" t="str">
        <f t="shared" si="1344"/>
        <v>X</v>
      </c>
      <c r="N6281" t="s">
        <v>27</v>
      </c>
    </row>
    <row r="6282" spans="1:14" x14ac:dyDescent="0.25">
      <c r="A6282" t="s">
        <v>42</v>
      </c>
      <c r="B6282" t="s">
        <v>39</v>
      </c>
      <c r="C6282" t="s">
        <v>15</v>
      </c>
      <c r="D6282" t="s">
        <v>34</v>
      </c>
      <c r="E6282" t="s">
        <v>21</v>
      </c>
      <c r="F6282" t="s">
        <v>15</v>
      </c>
      <c r="G6282" s="1" t="str">
        <f t="shared" si="1344"/>
        <v>X</v>
      </c>
      <c r="H6282" s="1" t="str">
        <f t="shared" si="1344"/>
        <v>X</v>
      </c>
      <c r="I6282" s="1" t="str">
        <f t="shared" si="1344"/>
        <v>X</v>
      </c>
      <c r="J6282" s="1" t="str">
        <f t="shared" si="1344"/>
        <v>X</v>
      </c>
      <c r="K6282" s="1" t="str">
        <f t="shared" si="1344"/>
        <v>X</v>
      </c>
      <c r="L6282" s="1" t="str">
        <f t="shared" si="1344"/>
        <v>X</v>
      </c>
      <c r="M6282" s="1" t="str">
        <f t="shared" si="1344"/>
        <v>X</v>
      </c>
      <c r="N6282" t="s">
        <v>27</v>
      </c>
    </row>
    <row r="6283" spans="1:14" x14ac:dyDescent="0.25">
      <c r="A6283" t="s">
        <v>42</v>
      </c>
      <c r="B6283" t="s">
        <v>39</v>
      </c>
      <c r="C6283" t="s">
        <v>15</v>
      </c>
      <c r="D6283" t="s">
        <v>34</v>
      </c>
      <c r="E6283" t="s">
        <v>21</v>
      </c>
      <c r="F6283" t="s">
        <v>17</v>
      </c>
      <c r="G6283" s="1" t="str">
        <f t="shared" si="1344"/>
        <v>X</v>
      </c>
      <c r="H6283" s="1" t="str">
        <f t="shared" si="1344"/>
        <v>X</v>
      </c>
      <c r="I6283" s="1" t="str">
        <f t="shared" si="1344"/>
        <v>X</v>
      </c>
      <c r="J6283" s="1" t="str">
        <f t="shared" si="1344"/>
        <v>X</v>
      </c>
      <c r="K6283" s="1" t="str">
        <f t="shared" si="1344"/>
        <v>X</v>
      </c>
      <c r="L6283" s="1" t="str">
        <f t="shared" si="1344"/>
        <v>X</v>
      </c>
      <c r="M6283" s="1" t="str">
        <f t="shared" si="1344"/>
        <v>X</v>
      </c>
      <c r="N6283" t="s">
        <v>27</v>
      </c>
    </row>
    <row r="6284" spans="1:14" x14ac:dyDescent="0.25">
      <c r="A6284" t="s">
        <v>42</v>
      </c>
      <c r="B6284" t="s">
        <v>39</v>
      </c>
      <c r="C6284" t="s">
        <v>15</v>
      </c>
      <c r="D6284" t="s">
        <v>34</v>
      </c>
      <c r="E6284" t="s">
        <v>21</v>
      </c>
      <c r="F6284" t="s">
        <v>18</v>
      </c>
      <c r="G6284" s="1" t="str">
        <f t="shared" ref="G6284:M6286" si="1345">"..."</f>
        <v>...</v>
      </c>
      <c r="H6284" s="1" t="str">
        <f t="shared" si="1345"/>
        <v>...</v>
      </c>
      <c r="I6284" s="1" t="str">
        <f t="shared" si="1345"/>
        <v>...</v>
      </c>
      <c r="J6284" s="1" t="str">
        <f t="shared" si="1345"/>
        <v>...</v>
      </c>
      <c r="K6284" s="1" t="str">
        <f t="shared" si="1345"/>
        <v>...</v>
      </c>
      <c r="L6284" s="1" t="str">
        <f t="shared" si="1345"/>
        <v>...</v>
      </c>
      <c r="M6284" s="1" t="str">
        <f t="shared" si="1345"/>
        <v>...</v>
      </c>
      <c r="N6284" t="s">
        <v>30</v>
      </c>
    </row>
    <row r="6285" spans="1:14" x14ac:dyDescent="0.25">
      <c r="A6285" t="s">
        <v>42</v>
      </c>
      <c r="B6285" t="s">
        <v>39</v>
      </c>
      <c r="C6285" t="s">
        <v>15</v>
      </c>
      <c r="D6285" t="s">
        <v>34</v>
      </c>
      <c r="E6285" t="s">
        <v>21</v>
      </c>
      <c r="F6285" t="s">
        <v>19</v>
      </c>
      <c r="G6285" s="1" t="str">
        <f t="shared" si="1345"/>
        <v>...</v>
      </c>
      <c r="H6285" s="1" t="str">
        <f t="shared" si="1345"/>
        <v>...</v>
      </c>
      <c r="I6285" s="1" t="str">
        <f t="shared" si="1345"/>
        <v>...</v>
      </c>
      <c r="J6285" s="1" t="str">
        <f t="shared" si="1345"/>
        <v>...</v>
      </c>
      <c r="K6285" s="1" t="str">
        <f t="shared" si="1345"/>
        <v>...</v>
      </c>
      <c r="L6285" s="1" t="str">
        <f t="shared" si="1345"/>
        <v>...</v>
      </c>
      <c r="M6285" s="1" t="str">
        <f t="shared" si="1345"/>
        <v>...</v>
      </c>
      <c r="N6285" t="s">
        <v>30</v>
      </c>
    </row>
    <row r="6286" spans="1:14" x14ac:dyDescent="0.25">
      <c r="A6286" t="s">
        <v>42</v>
      </c>
      <c r="B6286" t="s">
        <v>39</v>
      </c>
      <c r="C6286" t="s">
        <v>15</v>
      </c>
      <c r="D6286" t="s">
        <v>34</v>
      </c>
      <c r="E6286" t="s">
        <v>21</v>
      </c>
      <c r="F6286" t="s">
        <v>20</v>
      </c>
      <c r="G6286" s="1" t="str">
        <f t="shared" si="1345"/>
        <v>...</v>
      </c>
      <c r="H6286" s="1" t="str">
        <f t="shared" si="1345"/>
        <v>...</v>
      </c>
      <c r="I6286" s="1" t="str">
        <f t="shared" si="1345"/>
        <v>...</v>
      </c>
      <c r="J6286" s="1" t="str">
        <f t="shared" si="1345"/>
        <v>...</v>
      </c>
      <c r="K6286" s="1" t="str">
        <f t="shared" si="1345"/>
        <v>...</v>
      </c>
      <c r="L6286" s="1" t="str">
        <f t="shared" si="1345"/>
        <v>...</v>
      </c>
      <c r="M6286" s="1" t="str">
        <f t="shared" si="1345"/>
        <v>...</v>
      </c>
      <c r="N6286" t="s">
        <v>30</v>
      </c>
    </row>
    <row r="6287" spans="1:14" x14ac:dyDescent="0.25">
      <c r="A6287" t="s">
        <v>42</v>
      </c>
      <c r="B6287" t="s">
        <v>39</v>
      </c>
      <c r="C6287" t="s">
        <v>15</v>
      </c>
      <c r="D6287" t="s">
        <v>34</v>
      </c>
      <c r="E6287" t="s">
        <v>22</v>
      </c>
      <c r="F6287" t="s">
        <v>15</v>
      </c>
      <c r="G6287" s="1" t="str">
        <f t="shared" ref="G6287:M6287" si="1346">"X"</f>
        <v>X</v>
      </c>
      <c r="H6287" s="1" t="str">
        <f t="shared" si="1346"/>
        <v>X</v>
      </c>
      <c r="I6287" s="1" t="str">
        <f t="shared" si="1346"/>
        <v>X</v>
      </c>
      <c r="J6287" s="1" t="str">
        <f t="shared" si="1346"/>
        <v>X</v>
      </c>
      <c r="K6287" s="1" t="str">
        <f t="shared" si="1346"/>
        <v>X</v>
      </c>
      <c r="L6287" s="1" t="str">
        <f t="shared" si="1346"/>
        <v>X</v>
      </c>
      <c r="M6287" s="1" t="str">
        <f t="shared" si="1346"/>
        <v>X</v>
      </c>
      <c r="N6287" t="s">
        <v>27</v>
      </c>
    </row>
    <row r="6288" spans="1:14" x14ac:dyDescent="0.25">
      <c r="A6288" t="s">
        <v>42</v>
      </c>
      <c r="B6288" t="s">
        <v>39</v>
      </c>
      <c r="C6288" t="s">
        <v>15</v>
      </c>
      <c r="D6288" t="s">
        <v>34</v>
      </c>
      <c r="E6288" t="s">
        <v>22</v>
      </c>
      <c r="F6288" t="s">
        <v>17</v>
      </c>
      <c r="G6288" s="1" t="str">
        <f t="shared" ref="G6288:M6288" si="1347">"..."</f>
        <v>...</v>
      </c>
      <c r="H6288" s="1" t="str">
        <f t="shared" si="1347"/>
        <v>...</v>
      </c>
      <c r="I6288" s="1" t="str">
        <f t="shared" si="1347"/>
        <v>...</v>
      </c>
      <c r="J6288" s="1" t="str">
        <f t="shared" si="1347"/>
        <v>...</v>
      </c>
      <c r="K6288" s="1" t="str">
        <f t="shared" si="1347"/>
        <v>...</v>
      </c>
      <c r="L6288" s="1" t="str">
        <f t="shared" si="1347"/>
        <v>...</v>
      </c>
      <c r="M6288" s="1" t="str">
        <f t="shared" si="1347"/>
        <v>...</v>
      </c>
      <c r="N6288" t="s">
        <v>30</v>
      </c>
    </row>
    <row r="6289" spans="1:14" x14ac:dyDescent="0.25">
      <c r="A6289" t="s">
        <v>42</v>
      </c>
      <c r="B6289" t="s">
        <v>39</v>
      </c>
      <c r="C6289" t="s">
        <v>15</v>
      </c>
      <c r="D6289" t="s">
        <v>34</v>
      </c>
      <c r="E6289" t="s">
        <v>22</v>
      </c>
      <c r="F6289" t="s">
        <v>18</v>
      </c>
      <c r="G6289" s="1" t="str">
        <f t="shared" ref="G6289:M6289" si="1348">"X"</f>
        <v>X</v>
      </c>
      <c r="H6289" s="1" t="str">
        <f t="shared" si="1348"/>
        <v>X</v>
      </c>
      <c r="I6289" s="1" t="str">
        <f t="shared" si="1348"/>
        <v>X</v>
      </c>
      <c r="J6289" s="1" t="str">
        <f t="shared" si="1348"/>
        <v>X</v>
      </c>
      <c r="K6289" s="1" t="str">
        <f t="shared" si="1348"/>
        <v>X</v>
      </c>
      <c r="L6289" s="1" t="str">
        <f t="shared" si="1348"/>
        <v>X</v>
      </c>
      <c r="M6289" s="1" t="str">
        <f t="shared" si="1348"/>
        <v>X</v>
      </c>
      <c r="N6289" t="s">
        <v>27</v>
      </c>
    </row>
    <row r="6290" spans="1:14" x14ac:dyDescent="0.25">
      <c r="A6290" t="s">
        <v>42</v>
      </c>
      <c r="B6290" t="s">
        <v>39</v>
      </c>
      <c r="C6290" t="s">
        <v>15</v>
      </c>
      <c r="D6290" t="s">
        <v>34</v>
      </c>
      <c r="E6290" t="s">
        <v>22</v>
      </c>
      <c r="F6290" t="s">
        <v>19</v>
      </c>
      <c r="G6290" s="1" t="str">
        <f t="shared" ref="G6290:M6290" si="1349">"..."</f>
        <v>...</v>
      </c>
      <c r="H6290" s="1" t="str">
        <f t="shared" si="1349"/>
        <v>...</v>
      </c>
      <c r="I6290" s="1" t="str">
        <f t="shared" si="1349"/>
        <v>...</v>
      </c>
      <c r="J6290" s="1" t="str">
        <f t="shared" si="1349"/>
        <v>...</v>
      </c>
      <c r="K6290" s="1" t="str">
        <f t="shared" si="1349"/>
        <v>...</v>
      </c>
      <c r="L6290" s="1" t="str">
        <f t="shared" si="1349"/>
        <v>...</v>
      </c>
      <c r="M6290" s="1" t="str">
        <f t="shared" si="1349"/>
        <v>...</v>
      </c>
      <c r="N6290" t="s">
        <v>30</v>
      </c>
    </row>
    <row r="6291" spans="1:14" x14ac:dyDescent="0.25">
      <c r="A6291" t="s">
        <v>42</v>
      </c>
      <c r="B6291" t="s">
        <v>39</v>
      </c>
      <c r="C6291" t="s">
        <v>15</v>
      </c>
      <c r="D6291" t="s">
        <v>34</v>
      </c>
      <c r="E6291" t="s">
        <v>22</v>
      </c>
      <c r="F6291" t="s">
        <v>20</v>
      </c>
      <c r="G6291" s="1" t="str">
        <f t="shared" ref="G6291:M6292" si="1350">"X"</f>
        <v>X</v>
      </c>
      <c r="H6291" s="1" t="str">
        <f t="shared" si="1350"/>
        <v>X</v>
      </c>
      <c r="I6291" s="1" t="str">
        <f t="shared" si="1350"/>
        <v>X</v>
      </c>
      <c r="J6291" s="1" t="str">
        <f t="shared" si="1350"/>
        <v>X</v>
      </c>
      <c r="K6291" s="1" t="str">
        <f t="shared" si="1350"/>
        <v>X</v>
      </c>
      <c r="L6291" s="1" t="str">
        <f t="shared" si="1350"/>
        <v>X</v>
      </c>
      <c r="M6291" s="1" t="str">
        <f t="shared" si="1350"/>
        <v>X</v>
      </c>
      <c r="N6291" t="s">
        <v>27</v>
      </c>
    </row>
    <row r="6292" spans="1:14" x14ac:dyDescent="0.25">
      <c r="A6292" t="s">
        <v>42</v>
      </c>
      <c r="B6292" t="s">
        <v>39</v>
      </c>
      <c r="C6292" t="s">
        <v>15</v>
      </c>
      <c r="D6292" t="s">
        <v>34</v>
      </c>
      <c r="E6292" t="s">
        <v>23</v>
      </c>
      <c r="F6292" t="s">
        <v>15</v>
      </c>
      <c r="G6292" s="1" t="str">
        <f t="shared" si="1350"/>
        <v>X</v>
      </c>
      <c r="H6292" s="1" t="str">
        <f t="shared" si="1350"/>
        <v>X</v>
      </c>
      <c r="I6292" s="1" t="str">
        <f t="shared" si="1350"/>
        <v>X</v>
      </c>
      <c r="J6292" s="1" t="str">
        <f t="shared" si="1350"/>
        <v>X</v>
      </c>
      <c r="K6292" s="1" t="str">
        <f t="shared" si="1350"/>
        <v>X</v>
      </c>
      <c r="L6292" s="1" t="str">
        <f t="shared" si="1350"/>
        <v>X</v>
      </c>
      <c r="M6292" s="1" t="str">
        <f t="shared" si="1350"/>
        <v>X</v>
      </c>
      <c r="N6292" t="s">
        <v>27</v>
      </c>
    </row>
    <row r="6293" spans="1:14" x14ac:dyDescent="0.25">
      <c r="A6293" t="s">
        <v>42</v>
      </c>
      <c r="B6293" t="s">
        <v>39</v>
      </c>
      <c r="C6293" t="s">
        <v>15</v>
      </c>
      <c r="D6293" t="s">
        <v>34</v>
      </c>
      <c r="E6293" t="s">
        <v>23</v>
      </c>
      <c r="F6293" t="s">
        <v>17</v>
      </c>
      <c r="G6293" s="1" t="str">
        <f t="shared" ref="G6293:M6295" si="1351">"..."</f>
        <v>...</v>
      </c>
      <c r="H6293" s="1" t="str">
        <f t="shared" si="1351"/>
        <v>...</v>
      </c>
      <c r="I6293" s="1" t="str">
        <f t="shared" si="1351"/>
        <v>...</v>
      </c>
      <c r="J6293" s="1" t="str">
        <f t="shared" si="1351"/>
        <v>...</v>
      </c>
      <c r="K6293" s="1" t="str">
        <f t="shared" si="1351"/>
        <v>...</v>
      </c>
      <c r="L6293" s="1" t="str">
        <f t="shared" si="1351"/>
        <v>...</v>
      </c>
      <c r="M6293" s="1" t="str">
        <f t="shared" si="1351"/>
        <v>...</v>
      </c>
      <c r="N6293" t="s">
        <v>30</v>
      </c>
    </row>
    <row r="6294" spans="1:14" x14ac:dyDescent="0.25">
      <c r="A6294" t="s">
        <v>42</v>
      </c>
      <c r="B6294" t="s">
        <v>39</v>
      </c>
      <c r="C6294" t="s">
        <v>15</v>
      </c>
      <c r="D6294" t="s">
        <v>34</v>
      </c>
      <c r="E6294" t="s">
        <v>23</v>
      </c>
      <c r="F6294" t="s">
        <v>18</v>
      </c>
      <c r="G6294" s="1" t="str">
        <f t="shared" si="1351"/>
        <v>...</v>
      </c>
      <c r="H6294" s="1" t="str">
        <f t="shared" si="1351"/>
        <v>...</v>
      </c>
      <c r="I6294" s="1" t="str">
        <f t="shared" si="1351"/>
        <v>...</v>
      </c>
      <c r="J6294" s="1" t="str">
        <f t="shared" si="1351"/>
        <v>...</v>
      </c>
      <c r="K6294" s="1" t="str">
        <f t="shared" si="1351"/>
        <v>...</v>
      </c>
      <c r="L6294" s="1" t="str">
        <f t="shared" si="1351"/>
        <v>...</v>
      </c>
      <c r="M6294" s="1" t="str">
        <f t="shared" si="1351"/>
        <v>...</v>
      </c>
      <c r="N6294" t="s">
        <v>30</v>
      </c>
    </row>
    <row r="6295" spans="1:14" x14ac:dyDescent="0.25">
      <c r="A6295" t="s">
        <v>42</v>
      </c>
      <c r="B6295" t="s">
        <v>39</v>
      </c>
      <c r="C6295" t="s">
        <v>15</v>
      </c>
      <c r="D6295" t="s">
        <v>34</v>
      </c>
      <c r="E6295" t="s">
        <v>23</v>
      </c>
      <c r="F6295" t="s">
        <v>19</v>
      </c>
      <c r="G6295" s="1" t="str">
        <f t="shared" si="1351"/>
        <v>...</v>
      </c>
      <c r="H6295" s="1" t="str">
        <f t="shared" si="1351"/>
        <v>...</v>
      </c>
      <c r="I6295" s="1" t="str">
        <f t="shared" si="1351"/>
        <v>...</v>
      </c>
      <c r="J6295" s="1" t="str">
        <f t="shared" si="1351"/>
        <v>...</v>
      </c>
      <c r="K6295" s="1" t="str">
        <f t="shared" si="1351"/>
        <v>...</v>
      </c>
      <c r="L6295" s="1" t="str">
        <f t="shared" si="1351"/>
        <v>...</v>
      </c>
      <c r="M6295" s="1" t="str">
        <f t="shared" si="1351"/>
        <v>...</v>
      </c>
      <c r="N6295" t="s">
        <v>30</v>
      </c>
    </row>
    <row r="6296" spans="1:14" x14ac:dyDescent="0.25">
      <c r="A6296" t="s">
        <v>42</v>
      </c>
      <c r="B6296" t="s">
        <v>39</v>
      </c>
      <c r="C6296" t="s">
        <v>15</v>
      </c>
      <c r="D6296" t="s">
        <v>34</v>
      </c>
      <c r="E6296" t="s">
        <v>23</v>
      </c>
      <c r="F6296" t="s">
        <v>20</v>
      </c>
      <c r="G6296" s="1" t="str">
        <f t="shared" ref="G6296:M6297" si="1352">"X"</f>
        <v>X</v>
      </c>
      <c r="H6296" s="1" t="str">
        <f t="shared" si="1352"/>
        <v>X</v>
      </c>
      <c r="I6296" s="1" t="str">
        <f t="shared" si="1352"/>
        <v>X</v>
      </c>
      <c r="J6296" s="1" t="str">
        <f t="shared" si="1352"/>
        <v>X</v>
      </c>
      <c r="K6296" s="1" t="str">
        <f t="shared" si="1352"/>
        <v>X</v>
      </c>
      <c r="L6296" s="1" t="str">
        <f t="shared" si="1352"/>
        <v>X</v>
      </c>
      <c r="M6296" s="1" t="str">
        <f t="shared" si="1352"/>
        <v>X</v>
      </c>
      <c r="N6296" t="s">
        <v>27</v>
      </c>
    </row>
    <row r="6297" spans="1:14" x14ac:dyDescent="0.25">
      <c r="A6297" t="s">
        <v>42</v>
      </c>
      <c r="B6297" t="s">
        <v>39</v>
      </c>
      <c r="C6297" t="s">
        <v>15</v>
      </c>
      <c r="D6297" t="s">
        <v>34</v>
      </c>
      <c r="E6297" t="s">
        <v>26</v>
      </c>
      <c r="F6297" t="s">
        <v>15</v>
      </c>
      <c r="G6297" s="1" t="str">
        <f t="shared" si="1352"/>
        <v>X</v>
      </c>
      <c r="H6297" s="1" t="str">
        <f t="shared" si="1352"/>
        <v>X</v>
      </c>
      <c r="I6297" s="1" t="str">
        <f t="shared" si="1352"/>
        <v>X</v>
      </c>
      <c r="J6297" s="1" t="str">
        <f t="shared" si="1352"/>
        <v>X</v>
      </c>
      <c r="K6297" s="1" t="str">
        <f t="shared" si="1352"/>
        <v>X</v>
      </c>
      <c r="L6297" s="1" t="str">
        <f t="shared" si="1352"/>
        <v>X</v>
      </c>
      <c r="M6297" s="1" t="str">
        <f t="shared" si="1352"/>
        <v>X</v>
      </c>
      <c r="N6297" t="s">
        <v>27</v>
      </c>
    </row>
    <row r="6298" spans="1:14" x14ac:dyDescent="0.25">
      <c r="A6298" t="s">
        <v>42</v>
      </c>
      <c r="B6298" t="s">
        <v>39</v>
      </c>
      <c r="C6298" t="s">
        <v>15</v>
      </c>
      <c r="D6298" t="s">
        <v>34</v>
      </c>
      <c r="E6298" t="s">
        <v>26</v>
      </c>
      <c r="F6298" t="s">
        <v>17</v>
      </c>
      <c r="G6298" s="1" t="str">
        <f t="shared" ref="G6298:M6300" si="1353">"..."</f>
        <v>...</v>
      </c>
      <c r="H6298" s="1" t="str">
        <f t="shared" si="1353"/>
        <v>...</v>
      </c>
      <c r="I6298" s="1" t="str">
        <f t="shared" si="1353"/>
        <v>...</v>
      </c>
      <c r="J6298" s="1" t="str">
        <f t="shared" si="1353"/>
        <v>...</v>
      </c>
      <c r="K6298" s="1" t="str">
        <f t="shared" si="1353"/>
        <v>...</v>
      </c>
      <c r="L6298" s="1" t="str">
        <f t="shared" si="1353"/>
        <v>...</v>
      </c>
      <c r="M6298" s="1" t="str">
        <f t="shared" si="1353"/>
        <v>...</v>
      </c>
      <c r="N6298" t="s">
        <v>30</v>
      </c>
    </row>
    <row r="6299" spans="1:14" x14ac:dyDescent="0.25">
      <c r="A6299" t="s">
        <v>42</v>
      </c>
      <c r="B6299" t="s">
        <v>39</v>
      </c>
      <c r="C6299" t="s">
        <v>15</v>
      </c>
      <c r="D6299" t="s">
        <v>34</v>
      </c>
      <c r="E6299" t="s">
        <v>26</v>
      </c>
      <c r="F6299" t="s">
        <v>18</v>
      </c>
      <c r="G6299" s="1" t="str">
        <f t="shared" si="1353"/>
        <v>...</v>
      </c>
      <c r="H6299" s="1" t="str">
        <f t="shared" si="1353"/>
        <v>...</v>
      </c>
      <c r="I6299" s="1" t="str">
        <f t="shared" si="1353"/>
        <v>...</v>
      </c>
      <c r="J6299" s="1" t="str">
        <f t="shared" si="1353"/>
        <v>...</v>
      </c>
      <c r="K6299" s="1" t="str">
        <f t="shared" si="1353"/>
        <v>...</v>
      </c>
      <c r="L6299" s="1" t="str">
        <f t="shared" si="1353"/>
        <v>...</v>
      </c>
      <c r="M6299" s="1" t="str">
        <f t="shared" si="1353"/>
        <v>...</v>
      </c>
      <c r="N6299" t="s">
        <v>30</v>
      </c>
    </row>
    <row r="6300" spans="1:14" x14ac:dyDescent="0.25">
      <c r="A6300" t="s">
        <v>42</v>
      </c>
      <c r="B6300" t="s">
        <v>39</v>
      </c>
      <c r="C6300" t="s">
        <v>15</v>
      </c>
      <c r="D6300" t="s">
        <v>34</v>
      </c>
      <c r="E6300" t="s">
        <v>26</v>
      </c>
      <c r="F6300" t="s">
        <v>19</v>
      </c>
      <c r="G6300" s="1" t="str">
        <f t="shared" si="1353"/>
        <v>...</v>
      </c>
      <c r="H6300" s="1" t="str">
        <f t="shared" si="1353"/>
        <v>...</v>
      </c>
      <c r="I6300" s="1" t="str">
        <f t="shared" si="1353"/>
        <v>...</v>
      </c>
      <c r="J6300" s="1" t="str">
        <f t="shared" si="1353"/>
        <v>...</v>
      </c>
      <c r="K6300" s="1" t="str">
        <f t="shared" si="1353"/>
        <v>...</v>
      </c>
      <c r="L6300" s="1" t="str">
        <f t="shared" si="1353"/>
        <v>...</v>
      </c>
      <c r="M6300" s="1" t="str">
        <f t="shared" si="1353"/>
        <v>...</v>
      </c>
      <c r="N6300" t="s">
        <v>30</v>
      </c>
    </row>
    <row r="6301" spans="1:14" x14ac:dyDescent="0.25">
      <c r="A6301" t="s">
        <v>42</v>
      </c>
      <c r="B6301" t="s">
        <v>39</v>
      </c>
      <c r="C6301" t="s">
        <v>15</v>
      </c>
      <c r="D6301" t="s">
        <v>34</v>
      </c>
      <c r="E6301" t="s">
        <v>26</v>
      </c>
      <c r="F6301" t="s">
        <v>20</v>
      </c>
      <c r="G6301" s="1" t="str">
        <f t="shared" ref="G6301:M6301" si="1354">"X"</f>
        <v>X</v>
      </c>
      <c r="H6301" s="1" t="str">
        <f t="shared" si="1354"/>
        <v>X</v>
      </c>
      <c r="I6301" s="1" t="str">
        <f t="shared" si="1354"/>
        <v>X</v>
      </c>
      <c r="J6301" s="1" t="str">
        <f t="shared" si="1354"/>
        <v>X</v>
      </c>
      <c r="K6301" s="1" t="str">
        <f t="shared" si="1354"/>
        <v>X</v>
      </c>
      <c r="L6301" s="1" t="str">
        <f t="shared" si="1354"/>
        <v>X</v>
      </c>
      <c r="M6301" s="1" t="str">
        <f t="shared" si="1354"/>
        <v>X</v>
      </c>
      <c r="N6301" t="s">
        <v>27</v>
      </c>
    </row>
    <row r="6302" spans="1:14" x14ac:dyDescent="0.25">
      <c r="A6302" t="s">
        <v>42</v>
      </c>
      <c r="B6302" t="s">
        <v>39</v>
      </c>
      <c r="C6302" t="s">
        <v>35</v>
      </c>
      <c r="D6302" t="s">
        <v>15</v>
      </c>
      <c r="E6302" t="s">
        <v>15</v>
      </c>
      <c r="F6302" t="s">
        <v>15</v>
      </c>
      <c r="G6302" s="1">
        <f>VALUE(3491.96)</f>
        <v>3491.96</v>
      </c>
      <c r="H6302" s="1">
        <f>VALUE(3431.73)</f>
        <v>3431.73</v>
      </c>
      <c r="I6302" s="4">
        <f>VALUE(2476)</f>
        <v>2476</v>
      </c>
      <c r="J6302" s="1">
        <f>VALUE(3373)</f>
        <v>3373</v>
      </c>
      <c r="K6302" s="1">
        <f>VALUE(3947)</f>
        <v>3947</v>
      </c>
      <c r="L6302" s="1">
        <f>VALUE(4415)</f>
        <v>4415</v>
      </c>
      <c r="M6302" s="1">
        <f>VALUE(5073)</f>
        <v>5073</v>
      </c>
      <c r="N6302" t="s">
        <v>25</v>
      </c>
    </row>
    <row r="6303" spans="1:14" x14ac:dyDescent="0.25">
      <c r="A6303" t="s">
        <v>42</v>
      </c>
      <c r="B6303" t="s">
        <v>39</v>
      </c>
      <c r="C6303" t="s">
        <v>35</v>
      </c>
      <c r="D6303" t="s">
        <v>15</v>
      </c>
      <c r="E6303" t="s">
        <v>15</v>
      </c>
      <c r="F6303" t="s">
        <v>17</v>
      </c>
      <c r="G6303" s="1" t="str">
        <f t="shared" ref="G6303:M6304" si="1355">"X"</f>
        <v>X</v>
      </c>
      <c r="H6303" s="1" t="str">
        <f t="shared" si="1355"/>
        <v>X</v>
      </c>
      <c r="I6303" s="1" t="str">
        <f t="shared" si="1355"/>
        <v>X</v>
      </c>
      <c r="J6303" s="1" t="str">
        <f t="shared" si="1355"/>
        <v>X</v>
      </c>
      <c r="K6303" s="1" t="str">
        <f t="shared" si="1355"/>
        <v>X</v>
      </c>
      <c r="L6303" s="1" t="str">
        <f t="shared" si="1355"/>
        <v>X</v>
      </c>
      <c r="M6303" s="1" t="str">
        <f t="shared" si="1355"/>
        <v>X</v>
      </c>
      <c r="N6303" t="s">
        <v>27</v>
      </c>
    </row>
    <row r="6304" spans="1:14" x14ac:dyDescent="0.25">
      <c r="A6304" t="s">
        <v>42</v>
      </c>
      <c r="B6304" t="s">
        <v>39</v>
      </c>
      <c r="C6304" t="s">
        <v>35</v>
      </c>
      <c r="D6304" t="s">
        <v>15</v>
      </c>
      <c r="E6304" t="s">
        <v>15</v>
      </c>
      <c r="F6304" t="s">
        <v>18</v>
      </c>
      <c r="G6304" s="1" t="str">
        <f t="shared" si="1355"/>
        <v>X</v>
      </c>
      <c r="H6304" s="1" t="str">
        <f t="shared" si="1355"/>
        <v>X</v>
      </c>
      <c r="I6304" s="1" t="str">
        <f t="shared" si="1355"/>
        <v>X</v>
      </c>
      <c r="J6304" s="1" t="str">
        <f t="shared" si="1355"/>
        <v>X</v>
      </c>
      <c r="K6304" s="1" t="str">
        <f t="shared" si="1355"/>
        <v>X</v>
      </c>
      <c r="L6304" s="1" t="str">
        <f t="shared" si="1355"/>
        <v>X</v>
      </c>
      <c r="M6304" s="1" t="str">
        <f t="shared" si="1355"/>
        <v>X</v>
      </c>
      <c r="N6304" t="s">
        <v>27</v>
      </c>
    </row>
    <row r="6305" spans="1:14" x14ac:dyDescent="0.25">
      <c r="A6305" t="s">
        <v>42</v>
      </c>
      <c r="B6305" t="s">
        <v>39</v>
      </c>
      <c r="C6305" t="s">
        <v>35</v>
      </c>
      <c r="D6305" t="s">
        <v>15</v>
      </c>
      <c r="E6305" t="s">
        <v>15</v>
      </c>
      <c r="F6305" t="s">
        <v>19</v>
      </c>
      <c r="G6305" s="2">
        <f>VALUE(251.11)</f>
        <v>251.11</v>
      </c>
      <c r="H6305" s="3">
        <f>VALUE(241.57)</f>
        <v>241.57</v>
      </c>
      <c r="I6305" s="4">
        <f>VALUE(2775)</f>
        <v>2775</v>
      </c>
      <c r="J6305" s="5">
        <f>VALUE(3490)</f>
        <v>3490</v>
      </c>
      <c r="K6305" s="1">
        <f>VALUE(4127)</f>
        <v>4127</v>
      </c>
      <c r="L6305" s="1">
        <f>VALUE(4629)</f>
        <v>4629</v>
      </c>
      <c r="M6305" s="1">
        <f>VALUE(5112)</f>
        <v>5112</v>
      </c>
      <c r="N6305" t="s">
        <v>25</v>
      </c>
    </row>
    <row r="6306" spans="1:14" x14ac:dyDescent="0.25">
      <c r="A6306" t="s">
        <v>42</v>
      </c>
      <c r="B6306" t="s">
        <v>39</v>
      </c>
      <c r="C6306" t="s">
        <v>35</v>
      </c>
      <c r="D6306" t="s">
        <v>15</v>
      </c>
      <c r="E6306" t="s">
        <v>15</v>
      </c>
      <c r="F6306" t="s">
        <v>20</v>
      </c>
      <c r="G6306" s="1">
        <f>VALUE(3022.37)</f>
        <v>3022.37</v>
      </c>
      <c r="H6306" s="1">
        <f>VALUE(2970.28)</f>
        <v>2970.28</v>
      </c>
      <c r="I6306" s="4">
        <f>VALUE(2353)</f>
        <v>2353</v>
      </c>
      <c r="J6306" s="1">
        <f>VALUE(3363)</f>
        <v>3363</v>
      </c>
      <c r="K6306" s="1">
        <f>VALUE(3903)</f>
        <v>3903</v>
      </c>
      <c r="L6306" s="1">
        <f>VALUE(4397)</f>
        <v>4397</v>
      </c>
      <c r="M6306" s="1">
        <f>VALUE(5073)</f>
        <v>5073</v>
      </c>
      <c r="N6306" t="s">
        <v>25</v>
      </c>
    </row>
    <row r="6307" spans="1:14" x14ac:dyDescent="0.25">
      <c r="A6307" t="s">
        <v>42</v>
      </c>
      <c r="B6307" t="s">
        <v>39</v>
      </c>
      <c r="C6307" t="s">
        <v>35</v>
      </c>
      <c r="D6307" t="s">
        <v>15</v>
      </c>
      <c r="E6307" t="s">
        <v>21</v>
      </c>
      <c r="F6307" t="s">
        <v>15</v>
      </c>
      <c r="G6307" s="2">
        <f>VALUE(283.23)</f>
        <v>283.23</v>
      </c>
      <c r="H6307" s="3">
        <f>VALUE(290.82)</f>
        <v>290.82</v>
      </c>
      <c r="I6307" s="4">
        <f>VALUE(3250)</f>
        <v>3250</v>
      </c>
      <c r="J6307" s="1">
        <f>VALUE(3790)</f>
        <v>3790</v>
      </c>
      <c r="K6307" s="1">
        <f>VALUE(4282)</f>
        <v>4282</v>
      </c>
      <c r="L6307" s="7">
        <f>VALUE(4795)</f>
        <v>4795</v>
      </c>
      <c r="M6307" s="8">
        <f>VALUE(5417)</f>
        <v>5417</v>
      </c>
      <c r="N6307" t="s">
        <v>25</v>
      </c>
    </row>
    <row r="6308" spans="1:14" x14ac:dyDescent="0.25">
      <c r="A6308" t="s">
        <v>42</v>
      </c>
      <c r="B6308" t="s">
        <v>39</v>
      </c>
      <c r="C6308" t="s">
        <v>35</v>
      </c>
      <c r="D6308" t="s">
        <v>15</v>
      </c>
      <c r="E6308" t="s">
        <v>21</v>
      </c>
      <c r="F6308" t="s">
        <v>17</v>
      </c>
      <c r="G6308" s="1" t="str">
        <f t="shared" ref="G6308:M6310" si="1356">"X"</f>
        <v>X</v>
      </c>
      <c r="H6308" s="1" t="str">
        <f t="shared" si="1356"/>
        <v>X</v>
      </c>
      <c r="I6308" s="1" t="str">
        <f t="shared" si="1356"/>
        <v>X</v>
      </c>
      <c r="J6308" s="1" t="str">
        <f t="shared" si="1356"/>
        <v>X</v>
      </c>
      <c r="K6308" s="1" t="str">
        <f t="shared" si="1356"/>
        <v>X</v>
      </c>
      <c r="L6308" s="1" t="str">
        <f t="shared" si="1356"/>
        <v>X</v>
      </c>
      <c r="M6308" s="1" t="str">
        <f t="shared" si="1356"/>
        <v>X</v>
      </c>
      <c r="N6308" t="s">
        <v>27</v>
      </c>
    </row>
    <row r="6309" spans="1:14" x14ac:dyDescent="0.25">
      <c r="A6309" t="s">
        <v>42</v>
      </c>
      <c r="B6309" t="s">
        <v>39</v>
      </c>
      <c r="C6309" t="s">
        <v>35</v>
      </c>
      <c r="D6309" t="s">
        <v>15</v>
      </c>
      <c r="E6309" t="s">
        <v>21</v>
      </c>
      <c r="F6309" t="s">
        <v>18</v>
      </c>
      <c r="G6309" s="1" t="str">
        <f t="shared" si="1356"/>
        <v>X</v>
      </c>
      <c r="H6309" s="1" t="str">
        <f t="shared" si="1356"/>
        <v>X</v>
      </c>
      <c r="I6309" s="1" t="str">
        <f t="shared" si="1356"/>
        <v>X</v>
      </c>
      <c r="J6309" s="1" t="str">
        <f t="shared" si="1356"/>
        <v>X</v>
      </c>
      <c r="K6309" s="1" t="str">
        <f t="shared" si="1356"/>
        <v>X</v>
      </c>
      <c r="L6309" s="1" t="str">
        <f t="shared" si="1356"/>
        <v>X</v>
      </c>
      <c r="M6309" s="1" t="str">
        <f t="shared" si="1356"/>
        <v>X</v>
      </c>
      <c r="N6309" t="s">
        <v>27</v>
      </c>
    </row>
    <row r="6310" spans="1:14" x14ac:dyDescent="0.25">
      <c r="A6310" t="s">
        <v>42</v>
      </c>
      <c r="B6310" t="s">
        <v>39</v>
      </c>
      <c r="C6310" t="s">
        <v>35</v>
      </c>
      <c r="D6310" t="s">
        <v>15</v>
      </c>
      <c r="E6310" t="s">
        <v>21</v>
      </c>
      <c r="F6310" t="s">
        <v>19</v>
      </c>
      <c r="G6310" s="1" t="str">
        <f t="shared" si="1356"/>
        <v>X</v>
      </c>
      <c r="H6310" s="1" t="str">
        <f t="shared" si="1356"/>
        <v>X</v>
      </c>
      <c r="I6310" s="1" t="str">
        <f t="shared" si="1356"/>
        <v>X</v>
      </c>
      <c r="J6310" s="1" t="str">
        <f t="shared" si="1356"/>
        <v>X</v>
      </c>
      <c r="K6310" s="1" t="str">
        <f t="shared" si="1356"/>
        <v>X</v>
      </c>
      <c r="L6310" s="1" t="str">
        <f t="shared" si="1356"/>
        <v>X</v>
      </c>
      <c r="M6310" s="1" t="str">
        <f t="shared" si="1356"/>
        <v>X</v>
      </c>
      <c r="N6310" t="s">
        <v>27</v>
      </c>
    </row>
    <row r="6311" spans="1:14" x14ac:dyDescent="0.25">
      <c r="A6311" t="s">
        <v>42</v>
      </c>
      <c r="B6311" t="s">
        <v>39</v>
      </c>
      <c r="C6311" t="s">
        <v>35</v>
      </c>
      <c r="D6311" t="s">
        <v>15</v>
      </c>
      <c r="E6311" t="s">
        <v>21</v>
      </c>
      <c r="F6311" t="s">
        <v>20</v>
      </c>
      <c r="G6311" s="2">
        <f>VALUE(185.31)</f>
        <v>185.31</v>
      </c>
      <c r="H6311" s="3">
        <f>VALUE(186.78)</f>
        <v>186.78</v>
      </c>
      <c r="I6311" s="4">
        <f>VALUE(2708)</f>
        <v>2708</v>
      </c>
      <c r="J6311" s="5">
        <f>VALUE(3707)</f>
        <v>3707</v>
      </c>
      <c r="K6311" s="1">
        <f>VALUE(4109)</f>
        <v>4109</v>
      </c>
      <c r="L6311" s="7">
        <f>VALUE(4699)</f>
        <v>4699</v>
      </c>
      <c r="M6311" s="1">
        <f>VALUE(5417)</f>
        <v>5417</v>
      </c>
      <c r="N6311" t="s">
        <v>25</v>
      </c>
    </row>
    <row r="6312" spans="1:14" x14ac:dyDescent="0.25">
      <c r="A6312" t="s">
        <v>42</v>
      </c>
      <c r="B6312" t="s">
        <v>39</v>
      </c>
      <c r="C6312" t="s">
        <v>35</v>
      </c>
      <c r="D6312" t="s">
        <v>15</v>
      </c>
      <c r="E6312" t="s">
        <v>22</v>
      </c>
      <c r="F6312" t="s">
        <v>15</v>
      </c>
      <c r="G6312" s="2">
        <f>VALUE(2200.65)</f>
        <v>2200.65</v>
      </c>
      <c r="H6312" s="3">
        <f>VALUE(2217.67)</f>
        <v>2217.67</v>
      </c>
      <c r="I6312" s="4">
        <f>VALUE(2746)</f>
        <v>2746</v>
      </c>
      <c r="J6312" s="1">
        <f>VALUE(3496)</f>
        <v>3496</v>
      </c>
      <c r="K6312" s="1">
        <f>VALUE(4019)</f>
        <v>4019</v>
      </c>
      <c r="L6312" s="1">
        <f>VALUE(4477)</f>
        <v>4477</v>
      </c>
      <c r="M6312" s="1">
        <f>VALUE(5001)</f>
        <v>5001</v>
      </c>
      <c r="N6312" t="s">
        <v>25</v>
      </c>
    </row>
    <row r="6313" spans="1:14" x14ac:dyDescent="0.25">
      <c r="A6313" t="s">
        <v>42</v>
      </c>
      <c r="B6313" t="s">
        <v>39</v>
      </c>
      <c r="C6313" t="s">
        <v>35</v>
      </c>
      <c r="D6313" t="s">
        <v>15</v>
      </c>
      <c r="E6313" t="s">
        <v>22</v>
      </c>
      <c r="F6313" t="s">
        <v>17</v>
      </c>
      <c r="G6313" s="1" t="str">
        <f t="shared" ref="G6313:M6314" si="1357">"X"</f>
        <v>X</v>
      </c>
      <c r="H6313" s="1" t="str">
        <f t="shared" si="1357"/>
        <v>X</v>
      </c>
      <c r="I6313" s="1" t="str">
        <f t="shared" si="1357"/>
        <v>X</v>
      </c>
      <c r="J6313" s="1" t="str">
        <f t="shared" si="1357"/>
        <v>X</v>
      </c>
      <c r="K6313" s="1" t="str">
        <f t="shared" si="1357"/>
        <v>X</v>
      </c>
      <c r="L6313" s="1" t="str">
        <f t="shared" si="1357"/>
        <v>X</v>
      </c>
      <c r="M6313" s="1" t="str">
        <f t="shared" si="1357"/>
        <v>X</v>
      </c>
      <c r="N6313" t="s">
        <v>27</v>
      </c>
    </row>
    <row r="6314" spans="1:14" x14ac:dyDescent="0.25">
      <c r="A6314" t="s">
        <v>42</v>
      </c>
      <c r="B6314" t="s">
        <v>39</v>
      </c>
      <c r="C6314" t="s">
        <v>35</v>
      </c>
      <c r="D6314" t="s">
        <v>15</v>
      </c>
      <c r="E6314" t="s">
        <v>22</v>
      </c>
      <c r="F6314" t="s">
        <v>18</v>
      </c>
      <c r="G6314" s="1" t="str">
        <f t="shared" si="1357"/>
        <v>X</v>
      </c>
      <c r="H6314" s="1" t="str">
        <f t="shared" si="1357"/>
        <v>X</v>
      </c>
      <c r="I6314" s="1" t="str">
        <f t="shared" si="1357"/>
        <v>X</v>
      </c>
      <c r="J6314" s="1" t="str">
        <f t="shared" si="1357"/>
        <v>X</v>
      </c>
      <c r="K6314" s="1" t="str">
        <f t="shared" si="1357"/>
        <v>X</v>
      </c>
      <c r="L6314" s="1" t="str">
        <f t="shared" si="1357"/>
        <v>X</v>
      </c>
      <c r="M6314" s="1" t="str">
        <f t="shared" si="1357"/>
        <v>X</v>
      </c>
      <c r="N6314" t="s">
        <v>27</v>
      </c>
    </row>
    <row r="6315" spans="1:14" x14ac:dyDescent="0.25">
      <c r="A6315" t="s">
        <v>42</v>
      </c>
      <c r="B6315" t="s">
        <v>39</v>
      </c>
      <c r="C6315" t="s">
        <v>35</v>
      </c>
      <c r="D6315" t="s">
        <v>15</v>
      </c>
      <c r="E6315" t="s">
        <v>22</v>
      </c>
      <c r="F6315" t="s">
        <v>19</v>
      </c>
      <c r="G6315" s="2">
        <f>VALUE(148.11)</f>
        <v>148.11000000000001</v>
      </c>
      <c r="H6315" s="3">
        <f>VALUE(135.49)</f>
        <v>135.49</v>
      </c>
      <c r="I6315" s="4">
        <f>VALUE(2673)</f>
        <v>2673</v>
      </c>
      <c r="J6315" s="1">
        <f>VALUE(3451)</f>
        <v>3451</v>
      </c>
      <c r="K6315" s="1">
        <f>VALUE(4065)</f>
        <v>4065</v>
      </c>
      <c r="L6315" s="1">
        <f>VALUE(4765)</f>
        <v>4765</v>
      </c>
      <c r="M6315" s="8">
        <f>VALUE(5174)</f>
        <v>5174</v>
      </c>
      <c r="N6315" t="s">
        <v>25</v>
      </c>
    </row>
    <row r="6316" spans="1:14" x14ac:dyDescent="0.25">
      <c r="A6316" t="s">
        <v>42</v>
      </c>
      <c r="B6316" t="s">
        <v>39</v>
      </c>
      <c r="C6316" t="s">
        <v>35</v>
      </c>
      <c r="D6316" t="s">
        <v>15</v>
      </c>
      <c r="E6316" t="s">
        <v>22</v>
      </c>
      <c r="F6316" t="s">
        <v>20</v>
      </c>
      <c r="G6316" s="2">
        <f>VALUE(1930.09)</f>
        <v>1930.09</v>
      </c>
      <c r="H6316" s="3">
        <f>VALUE(1955.42)</f>
        <v>1955.42</v>
      </c>
      <c r="I6316" s="4">
        <f>VALUE(2752)</f>
        <v>2752</v>
      </c>
      <c r="J6316" s="1">
        <f>VALUE(3519)</f>
        <v>3519</v>
      </c>
      <c r="K6316" s="1">
        <f>VALUE(4017)</f>
        <v>4017</v>
      </c>
      <c r="L6316" s="1">
        <f>VALUE(4415)</f>
        <v>4415</v>
      </c>
      <c r="M6316" s="1">
        <f>VALUE(5001)</f>
        <v>5001</v>
      </c>
      <c r="N6316" t="s">
        <v>25</v>
      </c>
    </row>
    <row r="6317" spans="1:14" x14ac:dyDescent="0.25">
      <c r="A6317" t="s">
        <v>42</v>
      </c>
      <c r="B6317" t="s">
        <v>39</v>
      </c>
      <c r="C6317" t="s">
        <v>35</v>
      </c>
      <c r="D6317" t="s">
        <v>15</v>
      </c>
      <c r="E6317" t="s">
        <v>23</v>
      </c>
      <c r="F6317" t="s">
        <v>15</v>
      </c>
      <c r="G6317" s="2">
        <f>VALUE(866.7)</f>
        <v>866.7</v>
      </c>
      <c r="H6317" s="3">
        <f>VALUE(812.27)</f>
        <v>812.27</v>
      </c>
      <c r="I6317" s="4">
        <f>VALUE(1888)</f>
        <v>1888</v>
      </c>
      <c r="J6317" s="5">
        <f>VALUE(2859)</f>
        <v>2859</v>
      </c>
      <c r="K6317" s="1">
        <f>VALUE(3487)</f>
        <v>3487</v>
      </c>
      <c r="L6317" s="1">
        <f>VALUE(3910)</f>
        <v>3910</v>
      </c>
      <c r="M6317" s="8">
        <f>VALUE(4643)</f>
        <v>4643</v>
      </c>
      <c r="N6317" t="s">
        <v>25</v>
      </c>
    </row>
    <row r="6318" spans="1:14" x14ac:dyDescent="0.25">
      <c r="A6318" t="s">
        <v>42</v>
      </c>
      <c r="B6318" t="s">
        <v>39</v>
      </c>
      <c r="C6318" t="s">
        <v>35</v>
      </c>
      <c r="D6318" t="s">
        <v>15</v>
      </c>
      <c r="E6318" t="s">
        <v>23</v>
      </c>
      <c r="F6318" t="s">
        <v>17</v>
      </c>
      <c r="G6318" s="1" t="str">
        <f t="shared" ref="G6318:M6320" si="1358">"X"</f>
        <v>X</v>
      </c>
      <c r="H6318" s="1" t="str">
        <f t="shared" si="1358"/>
        <v>X</v>
      </c>
      <c r="I6318" s="1" t="str">
        <f t="shared" si="1358"/>
        <v>X</v>
      </c>
      <c r="J6318" s="1" t="str">
        <f t="shared" si="1358"/>
        <v>X</v>
      </c>
      <c r="K6318" s="1" t="str">
        <f t="shared" si="1358"/>
        <v>X</v>
      </c>
      <c r="L6318" s="1" t="str">
        <f t="shared" si="1358"/>
        <v>X</v>
      </c>
      <c r="M6318" s="1" t="str">
        <f t="shared" si="1358"/>
        <v>X</v>
      </c>
      <c r="N6318" t="s">
        <v>27</v>
      </c>
    </row>
    <row r="6319" spans="1:14" x14ac:dyDescent="0.25">
      <c r="A6319" t="s">
        <v>42</v>
      </c>
      <c r="B6319" t="s">
        <v>39</v>
      </c>
      <c r="C6319" t="s">
        <v>35</v>
      </c>
      <c r="D6319" t="s">
        <v>15</v>
      </c>
      <c r="E6319" t="s">
        <v>23</v>
      </c>
      <c r="F6319" t="s">
        <v>18</v>
      </c>
      <c r="G6319" s="1" t="str">
        <f t="shared" si="1358"/>
        <v>X</v>
      </c>
      <c r="H6319" s="1" t="str">
        <f t="shared" si="1358"/>
        <v>X</v>
      </c>
      <c r="I6319" s="1" t="str">
        <f t="shared" si="1358"/>
        <v>X</v>
      </c>
      <c r="J6319" s="1" t="str">
        <f t="shared" si="1358"/>
        <v>X</v>
      </c>
      <c r="K6319" s="1" t="str">
        <f t="shared" si="1358"/>
        <v>X</v>
      </c>
      <c r="L6319" s="1" t="str">
        <f t="shared" si="1358"/>
        <v>X</v>
      </c>
      <c r="M6319" s="1" t="str">
        <f t="shared" si="1358"/>
        <v>X</v>
      </c>
      <c r="N6319" t="s">
        <v>27</v>
      </c>
    </row>
    <row r="6320" spans="1:14" x14ac:dyDescent="0.25">
      <c r="A6320" t="s">
        <v>42</v>
      </c>
      <c r="B6320" t="s">
        <v>39</v>
      </c>
      <c r="C6320" t="s">
        <v>35</v>
      </c>
      <c r="D6320" t="s">
        <v>15</v>
      </c>
      <c r="E6320" t="s">
        <v>23</v>
      </c>
      <c r="F6320" t="s">
        <v>19</v>
      </c>
      <c r="G6320" s="1" t="str">
        <f t="shared" si="1358"/>
        <v>X</v>
      </c>
      <c r="H6320" s="1" t="str">
        <f t="shared" si="1358"/>
        <v>X</v>
      </c>
      <c r="I6320" s="1" t="str">
        <f t="shared" si="1358"/>
        <v>X</v>
      </c>
      <c r="J6320" s="1" t="str">
        <f t="shared" si="1358"/>
        <v>X</v>
      </c>
      <c r="K6320" s="1" t="str">
        <f t="shared" si="1358"/>
        <v>X</v>
      </c>
      <c r="L6320" s="1" t="str">
        <f t="shared" si="1358"/>
        <v>X</v>
      </c>
      <c r="M6320" s="1" t="str">
        <f t="shared" si="1358"/>
        <v>X</v>
      </c>
      <c r="N6320" t="s">
        <v>27</v>
      </c>
    </row>
    <row r="6321" spans="1:14" x14ac:dyDescent="0.25">
      <c r="A6321" t="s">
        <v>42</v>
      </c>
      <c r="B6321" t="s">
        <v>39</v>
      </c>
      <c r="C6321" t="s">
        <v>35</v>
      </c>
      <c r="D6321" t="s">
        <v>15</v>
      </c>
      <c r="E6321" t="s">
        <v>23</v>
      </c>
      <c r="F6321" t="s">
        <v>20</v>
      </c>
      <c r="G6321" s="2">
        <f>VALUE(766.86)</f>
        <v>766.86</v>
      </c>
      <c r="H6321" s="3">
        <f>VALUE(718.38)</f>
        <v>718.38</v>
      </c>
      <c r="I6321" s="4">
        <f>VALUE(1798)</f>
        <v>1798</v>
      </c>
      <c r="J6321" s="5">
        <f>VALUE(2970)</f>
        <v>2970</v>
      </c>
      <c r="K6321" s="1">
        <f>VALUE(3487)</f>
        <v>3487</v>
      </c>
      <c r="L6321" s="1">
        <f>VALUE(3879)</f>
        <v>3879</v>
      </c>
      <c r="M6321" s="8">
        <f>VALUE(4829)</f>
        <v>4829</v>
      </c>
      <c r="N6321" t="s">
        <v>25</v>
      </c>
    </row>
    <row r="6322" spans="1:14" x14ac:dyDescent="0.25">
      <c r="A6322" t="s">
        <v>42</v>
      </c>
      <c r="B6322" t="s">
        <v>39</v>
      </c>
      <c r="C6322" t="s">
        <v>35</v>
      </c>
      <c r="D6322" t="s">
        <v>15</v>
      </c>
      <c r="E6322" t="s">
        <v>26</v>
      </c>
      <c r="F6322" t="s">
        <v>15</v>
      </c>
      <c r="G6322" s="2">
        <f>VALUE(141.38)</f>
        <v>141.38</v>
      </c>
      <c r="H6322" s="3">
        <f>VALUE(110.97)</f>
        <v>110.97</v>
      </c>
      <c r="I6322" s="4">
        <f>VALUE(1331)</f>
        <v>1331</v>
      </c>
      <c r="J6322" s="1">
        <f>VALUE(3508)</f>
        <v>3508</v>
      </c>
      <c r="K6322" s="1">
        <f>VALUE(3726)</f>
        <v>3726</v>
      </c>
      <c r="L6322" s="1">
        <f>VALUE(4263)</f>
        <v>4263</v>
      </c>
      <c r="M6322" s="8">
        <f>VALUE(4930)</f>
        <v>4930</v>
      </c>
      <c r="N6322" t="s">
        <v>25</v>
      </c>
    </row>
    <row r="6323" spans="1:14" x14ac:dyDescent="0.25">
      <c r="A6323" t="s">
        <v>42</v>
      </c>
      <c r="B6323" t="s">
        <v>39</v>
      </c>
      <c r="C6323" t="s">
        <v>35</v>
      </c>
      <c r="D6323" t="s">
        <v>15</v>
      </c>
      <c r="E6323" t="s">
        <v>26</v>
      </c>
      <c r="F6323" t="s">
        <v>17</v>
      </c>
      <c r="G6323" s="1" t="str">
        <f t="shared" ref="G6323:M6324" si="1359">"..."</f>
        <v>...</v>
      </c>
      <c r="H6323" s="1" t="str">
        <f t="shared" si="1359"/>
        <v>...</v>
      </c>
      <c r="I6323" s="1" t="str">
        <f t="shared" si="1359"/>
        <v>...</v>
      </c>
      <c r="J6323" s="1" t="str">
        <f t="shared" si="1359"/>
        <v>...</v>
      </c>
      <c r="K6323" s="1" t="str">
        <f t="shared" si="1359"/>
        <v>...</v>
      </c>
      <c r="L6323" s="1" t="str">
        <f t="shared" si="1359"/>
        <v>...</v>
      </c>
      <c r="M6323" s="1" t="str">
        <f t="shared" si="1359"/>
        <v>...</v>
      </c>
      <c r="N6323" t="s">
        <v>30</v>
      </c>
    </row>
    <row r="6324" spans="1:14" x14ac:dyDescent="0.25">
      <c r="A6324" t="s">
        <v>42</v>
      </c>
      <c r="B6324" t="s">
        <v>39</v>
      </c>
      <c r="C6324" t="s">
        <v>35</v>
      </c>
      <c r="D6324" t="s">
        <v>15</v>
      </c>
      <c r="E6324" t="s">
        <v>26</v>
      </c>
      <c r="F6324" t="s">
        <v>18</v>
      </c>
      <c r="G6324" s="1" t="str">
        <f t="shared" si="1359"/>
        <v>...</v>
      </c>
      <c r="H6324" s="1" t="str">
        <f t="shared" si="1359"/>
        <v>...</v>
      </c>
      <c r="I6324" s="1" t="str">
        <f t="shared" si="1359"/>
        <v>...</v>
      </c>
      <c r="J6324" s="1" t="str">
        <f t="shared" si="1359"/>
        <v>...</v>
      </c>
      <c r="K6324" s="1" t="str">
        <f t="shared" si="1359"/>
        <v>...</v>
      </c>
      <c r="L6324" s="1" t="str">
        <f t="shared" si="1359"/>
        <v>...</v>
      </c>
      <c r="M6324" s="1" t="str">
        <f t="shared" si="1359"/>
        <v>...</v>
      </c>
      <c r="N6324" t="s">
        <v>30</v>
      </c>
    </row>
    <row r="6325" spans="1:14" x14ac:dyDescent="0.25">
      <c r="A6325" t="s">
        <v>42</v>
      </c>
      <c r="B6325" t="s">
        <v>39</v>
      </c>
      <c r="C6325" t="s">
        <v>35</v>
      </c>
      <c r="D6325" t="s">
        <v>15</v>
      </c>
      <c r="E6325" t="s">
        <v>26</v>
      </c>
      <c r="F6325" t="s">
        <v>19</v>
      </c>
      <c r="G6325" s="1" t="str">
        <f t="shared" ref="G6325:M6325" si="1360">"X"</f>
        <v>X</v>
      </c>
      <c r="H6325" s="1" t="str">
        <f t="shared" si="1360"/>
        <v>X</v>
      </c>
      <c r="I6325" s="1" t="str">
        <f t="shared" si="1360"/>
        <v>X</v>
      </c>
      <c r="J6325" s="1" t="str">
        <f t="shared" si="1360"/>
        <v>X</v>
      </c>
      <c r="K6325" s="1" t="str">
        <f t="shared" si="1360"/>
        <v>X</v>
      </c>
      <c r="L6325" s="1" t="str">
        <f t="shared" si="1360"/>
        <v>X</v>
      </c>
      <c r="M6325" s="1" t="str">
        <f t="shared" si="1360"/>
        <v>X</v>
      </c>
      <c r="N6325" t="s">
        <v>27</v>
      </c>
    </row>
    <row r="6326" spans="1:14" x14ac:dyDescent="0.25">
      <c r="A6326" t="s">
        <v>42</v>
      </c>
      <c r="B6326" t="s">
        <v>39</v>
      </c>
      <c r="C6326" t="s">
        <v>35</v>
      </c>
      <c r="D6326" t="s">
        <v>15</v>
      </c>
      <c r="E6326" t="s">
        <v>26</v>
      </c>
      <c r="F6326" t="s">
        <v>20</v>
      </c>
      <c r="G6326" s="2">
        <f>VALUE(140.11)</f>
        <v>140.11000000000001</v>
      </c>
      <c r="H6326" s="3">
        <f>VALUE(109.7)</f>
        <v>109.7</v>
      </c>
      <c r="I6326" s="4">
        <f>VALUE(1331)</f>
        <v>1331</v>
      </c>
      <c r="J6326" s="1">
        <f>VALUE(3508)</f>
        <v>3508</v>
      </c>
      <c r="K6326" s="1">
        <f>VALUE(3726)</f>
        <v>3726</v>
      </c>
      <c r="L6326" s="1">
        <f>VALUE(4263)</f>
        <v>4263</v>
      </c>
      <c r="M6326" s="8">
        <f>VALUE(4930)</f>
        <v>4930</v>
      </c>
      <c r="N6326" t="s">
        <v>25</v>
      </c>
    </row>
    <row r="6327" spans="1:14" x14ac:dyDescent="0.25">
      <c r="A6327" t="s">
        <v>42</v>
      </c>
      <c r="B6327" t="s">
        <v>39</v>
      </c>
      <c r="C6327" t="s">
        <v>35</v>
      </c>
      <c r="D6327" t="s">
        <v>28</v>
      </c>
      <c r="E6327" t="s">
        <v>15</v>
      </c>
      <c r="F6327" t="s">
        <v>15</v>
      </c>
      <c r="G6327" s="2">
        <f>VALUE(1861.99)</f>
        <v>1861.99</v>
      </c>
      <c r="H6327" s="3">
        <f>VALUE(1805.13)</f>
        <v>1805.13</v>
      </c>
      <c r="I6327" s="4">
        <f>VALUE(2481)</f>
        <v>2481</v>
      </c>
      <c r="J6327" s="1">
        <f>VALUE(3606)</f>
        <v>3606</v>
      </c>
      <c r="K6327" s="1">
        <f>VALUE(4078)</f>
        <v>4078</v>
      </c>
      <c r="L6327" s="1">
        <f>VALUE(4504)</f>
        <v>4504</v>
      </c>
      <c r="M6327" s="1">
        <f>VALUE(5110)</f>
        <v>5110</v>
      </c>
      <c r="N6327" t="s">
        <v>25</v>
      </c>
    </row>
    <row r="6328" spans="1:14" x14ac:dyDescent="0.25">
      <c r="A6328" t="s">
        <v>42</v>
      </c>
      <c r="B6328" t="s">
        <v>39</v>
      </c>
      <c r="C6328" t="s">
        <v>35</v>
      </c>
      <c r="D6328" t="s">
        <v>28</v>
      </c>
      <c r="E6328" t="s">
        <v>15</v>
      </c>
      <c r="F6328" t="s">
        <v>17</v>
      </c>
      <c r="G6328" s="1" t="str">
        <f t="shared" ref="G6328:M6329" si="1361">"X"</f>
        <v>X</v>
      </c>
      <c r="H6328" s="1" t="str">
        <f t="shared" si="1361"/>
        <v>X</v>
      </c>
      <c r="I6328" s="1" t="str">
        <f t="shared" si="1361"/>
        <v>X</v>
      </c>
      <c r="J6328" s="1" t="str">
        <f t="shared" si="1361"/>
        <v>X</v>
      </c>
      <c r="K6328" s="1" t="str">
        <f t="shared" si="1361"/>
        <v>X</v>
      </c>
      <c r="L6328" s="1" t="str">
        <f t="shared" si="1361"/>
        <v>X</v>
      </c>
      <c r="M6328" s="1" t="str">
        <f t="shared" si="1361"/>
        <v>X</v>
      </c>
      <c r="N6328" t="s">
        <v>27</v>
      </c>
    </row>
    <row r="6329" spans="1:14" x14ac:dyDescent="0.25">
      <c r="A6329" t="s">
        <v>42</v>
      </c>
      <c r="B6329" t="s">
        <v>39</v>
      </c>
      <c r="C6329" t="s">
        <v>35</v>
      </c>
      <c r="D6329" t="s">
        <v>28</v>
      </c>
      <c r="E6329" t="s">
        <v>15</v>
      </c>
      <c r="F6329" t="s">
        <v>18</v>
      </c>
      <c r="G6329" s="1" t="str">
        <f t="shared" si="1361"/>
        <v>X</v>
      </c>
      <c r="H6329" s="1" t="str">
        <f t="shared" si="1361"/>
        <v>X</v>
      </c>
      <c r="I6329" s="1" t="str">
        <f t="shared" si="1361"/>
        <v>X</v>
      </c>
      <c r="J6329" s="1" t="str">
        <f t="shared" si="1361"/>
        <v>X</v>
      </c>
      <c r="K6329" s="1" t="str">
        <f t="shared" si="1361"/>
        <v>X</v>
      </c>
      <c r="L6329" s="1" t="str">
        <f t="shared" si="1361"/>
        <v>X</v>
      </c>
      <c r="M6329" s="1" t="str">
        <f t="shared" si="1361"/>
        <v>X</v>
      </c>
      <c r="N6329" t="s">
        <v>27</v>
      </c>
    </row>
    <row r="6330" spans="1:14" x14ac:dyDescent="0.25">
      <c r="A6330" t="s">
        <v>42</v>
      </c>
      <c r="B6330" t="s">
        <v>39</v>
      </c>
      <c r="C6330" t="s">
        <v>35</v>
      </c>
      <c r="D6330" t="s">
        <v>28</v>
      </c>
      <c r="E6330" t="s">
        <v>15</v>
      </c>
      <c r="F6330" t="s">
        <v>19</v>
      </c>
      <c r="G6330" s="2">
        <f>VALUE(148.02)</f>
        <v>148.02000000000001</v>
      </c>
      <c r="H6330" s="3">
        <f>VALUE(138.61)</f>
        <v>138.61000000000001</v>
      </c>
      <c r="I6330" s="4">
        <f>VALUE(3378)</f>
        <v>3378</v>
      </c>
      <c r="J6330" s="5">
        <f>VALUE(3910)</f>
        <v>3910</v>
      </c>
      <c r="K6330" s="1">
        <f>VALUE(4236)</f>
        <v>4236</v>
      </c>
      <c r="L6330" s="1">
        <f>VALUE(4697)</f>
        <v>4697</v>
      </c>
      <c r="M6330" s="1">
        <f>VALUE(5174)</f>
        <v>5174</v>
      </c>
      <c r="N6330" t="s">
        <v>25</v>
      </c>
    </row>
    <row r="6331" spans="1:14" x14ac:dyDescent="0.25">
      <c r="A6331" t="s">
        <v>42</v>
      </c>
      <c r="B6331" t="s">
        <v>39</v>
      </c>
      <c r="C6331" t="s">
        <v>35</v>
      </c>
      <c r="D6331" t="s">
        <v>28</v>
      </c>
      <c r="E6331" t="s">
        <v>15</v>
      </c>
      <c r="F6331" t="s">
        <v>20</v>
      </c>
      <c r="G6331" s="2">
        <f>VALUE(1610.86)</f>
        <v>1610.86</v>
      </c>
      <c r="H6331" s="3">
        <f>VALUE(1561.41)</f>
        <v>1561.41</v>
      </c>
      <c r="I6331" s="4">
        <f>VALUE(2184)</f>
        <v>2184</v>
      </c>
      <c r="J6331" s="1">
        <f>VALUE(3565)</f>
        <v>3565</v>
      </c>
      <c r="K6331" s="1">
        <f>VALUE(4027)</f>
        <v>4027</v>
      </c>
      <c r="L6331" s="1">
        <f>VALUE(4477)</f>
        <v>4477</v>
      </c>
      <c r="M6331" s="1">
        <f>VALUE(5123)</f>
        <v>5123</v>
      </c>
      <c r="N6331" t="s">
        <v>25</v>
      </c>
    </row>
    <row r="6332" spans="1:14" x14ac:dyDescent="0.25">
      <c r="A6332" t="s">
        <v>42</v>
      </c>
      <c r="B6332" t="s">
        <v>39</v>
      </c>
      <c r="C6332" t="s">
        <v>35</v>
      </c>
      <c r="D6332" t="s">
        <v>28</v>
      </c>
      <c r="E6332" t="s">
        <v>21</v>
      </c>
      <c r="F6332" t="s">
        <v>15</v>
      </c>
      <c r="G6332" s="1" t="str">
        <f t="shared" ref="G6332:M6336" si="1362">"X"</f>
        <v>X</v>
      </c>
      <c r="H6332" s="1" t="str">
        <f t="shared" si="1362"/>
        <v>X</v>
      </c>
      <c r="I6332" s="1" t="str">
        <f t="shared" si="1362"/>
        <v>X</v>
      </c>
      <c r="J6332" s="1" t="str">
        <f t="shared" si="1362"/>
        <v>X</v>
      </c>
      <c r="K6332" s="1" t="str">
        <f t="shared" si="1362"/>
        <v>X</v>
      </c>
      <c r="L6332" s="1" t="str">
        <f t="shared" si="1362"/>
        <v>X</v>
      </c>
      <c r="M6332" s="1" t="str">
        <f t="shared" si="1362"/>
        <v>X</v>
      </c>
      <c r="N6332" t="s">
        <v>27</v>
      </c>
    </row>
    <row r="6333" spans="1:14" x14ac:dyDescent="0.25">
      <c r="A6333" t="s">
        <v>42</v>
      </c>
      <c r="B6333" t="s">
        <v>39</v>
      </c>
      <c r="C6333" t="s">
        <v>35</v>
      </c>
      <c r="D6333" t="s">
        <v>28</v>
      </c>
      <c r="E6333" t="s">
        <v>21</v>
      </c>
      <c r="F6333" t="s">
        <v>17</v>
      </c>
      <c r="G6333" s="1" t="str">
        <f t="shared" si="1362"/>
        <v>X</v>
      </c>
      <c r="H6333" s="1" t="str">
        <f t="shared" si="1362"/>
        <v>X</v>
      </c>
      <c r="I6333" s="1" t="str">
        <f t="shared" si="1362"/>
        <v>X</v>
      </c>
      <c r="J6333" s="1" t="str">
        <f t="shared" si="1362"/>
        <v>X</v>
      </c>
      <c r="K6333" s="1" t="str">
        <f t="shared" si="1362"/>
        <v>X</v>
      </c>
      <c r="L6333" s="1" t="str">
        <f t="shared" si="1362"/>
        <v>X</v>
      </c>
      <c r="M6333" s="1" t="str">
        <f t="shared" si="1362"/>
        <v>X</v>
      </c>
      <c r="N6333" t="s">
        <v>27</v>
      </c>
    </row>
    <row r="6334" spans="1:14" x14ac:dyDescent="0.25">
      <c r="A6334" t="s">
        <v>42</v>
      </c>
      <c r="B6334" t="s">
        <v>39</v>
      </c>
      <c r="C6334" t="s">
        <v>35</v>
      </c>
      <c r="D6334" t="s">
        <v>28</v>
      </c>
      <c r="E6334" t="s">
        <v>21</v>
      </c>
      <c r="F6334" t="s">
        <v>18</v>
      </c>
      <c r="G6334" s="1" t="str">
        <f t="shared" si="1362"/>
        <v>X</v>
      </c>
      <c r="H6334" s="1" t="str">
        <f t="shared" si="1362"/>
        <v>X</v>
      </c>
      <c r="I6334" s="1" t="str">
        <f t="shared" si="1362"/>
        <v>X</v>
      </c>
      <c r="J6334" s="1" t="str">
        <f t="shared" si="1362"/>
        <v>X</v>
      </c>
      <c r="K6334" s="1" t="str">
        <f t="shared" si="1362"/>
        <v>X</v>
      </c>
      <c r="L6334" s="1" t="str">
        <f t="shared" si="1362"/>
        <v>X</v>
      </c>
      <c r="M6334" s="1" t="str">
        <f t="shared" si="1362"/>
        <v>X</v>
      </c>
      <c r="N6334" t="s">
        <v>27</v>
      </c>
    </row>
    <row r="6335" spans="1:14" x14ac:dyDescent="0.25">
      <c r="A6335" t="s">
        <v>42</v>
      </c>
      <c r="B6335" t="s">
        <v>39</v>
      </c>
      <c r="C6335" t="s">
        <v>35</v>
      </c>
      <c r="D6335" t="s">
        <v>28</v>
      </c>
      <c r="E6335" t="s">
        <v>21</v>
      </c>
      <c r="F6335" t="s">
        <v>19</v>
      </c>
      <c r="G6335" s="1" t="str">
        <f t="shared" si="1362"/>
        <v>X</v>
      </c>
      <c r="H6335" s="1" t="str">
        <f t="shared" si="1362"/>
        <v>X</v>
      </c>
      <c r="I6335" s="1" t="str">
        <f t="shared" si="1362"/>
        <v>X</v>
      </c>
      <c r="J6335" s="1" t="str">
        <f t="shared" si="1362"/>
        <v>X</v>
      </c>
      <c r="K6335" s="1" t="str">
        <f t="shared" si="1362"/>
        <v>X</v>
      </c>
      <c r="L6335" s="1" t="str">
        <f t="shared" si="1362"/>
        <v>X</v>
      </c>
      <c r="M6335" s="1" t="str">
        <f t="shared" si="1362"/>
        <v>X</v>
      </c>
      <c r="N6335" t="s">
        <v>27</v>
      </c>
    </row>
    <row r="6336" spans="1:14" x14ac:dyDescent="0.25">
      <c r="A6336" t="s">
        <v>42</v>
      </c>
      <c r="B6336" t="s">
        <v>39</v>
      </c>
      <c r="C6336" t="s">
        <v>35</v>
      </c>
      <c r="D6336" t="s">
        <v>28</v>
      </c>
      <c r="E6336" t="s">
        <v>21</v>
      </c>
      <c r="F6336" t="s">
        <v>20</v>
      </c>
      <c r="G6336" s="1" t="str">
        <f t="shared" si="1362"/>
        <v>X</v>
      </c>
      <c r="H6336" s="1" t="str">
        <f t="shared" si="1362"/>
        <v>X</v>
      </c>
      <c r="I6336" s="1" t="str">
        <f t="shared" si="1362"/>
        <v>X</v>
      </c>
      <c r="J6336" s="1" t="str">
        <f t="shared" si="1362"/>
        <v>X</v>
      </c>
      <c r="K6336" s="1" t="str">
        <f t="shared" si="1362"/>
        <v>X</v>
      </c>
      <c r="L6336" s="1" t="str">
        <f t="shared" si="1362"/>
        <v>X</v>
      </c>
      <c r="M6336" s="1" t="str">
        <f t="shared" si="1362"/>
        <v>X</v>
      </c>
      <c r="N6336" t="s">
        <v>27</v>
      </c>
    </row>
    <row r="6337" spans="1:14" x14ac:dyDescent="0.25">
      <c r="A6337" t="s">
        <v>42</v>
      </c>
      <c r="B6337" t="s">
        <v>39</v>
      </c>
      <c r="C6337" t="s">
        <v>35</v>
      </c>
      <c r="D6337" t="s">
        <v>28</v>
      </c>
      <c r="E6337" t="s">
        <v>22</v>
      </c>
      <c r="F6337" t="s">
        <v>15</v>
      </c>
      <c r="G6337" s="2">
        <f>VALUE(1433.3)</f>
        <v>1433.3</v>
      </c>
      <c r="H6337" s="3">
        <f>VALUE(1424.68)</f>
        <v>1424.68</v>
      </c>
      <c r="I6337" s="4">
        <f>VALUE(2746)</f>
        <v>2746</v>
      </c>
      <c r="J6337" s="1">
        <f>VALUE(3648)</f>
        <v>3648</v>
      </c>
      <c r="K6337" s="1">
        <f>VALUE(4075)</f>
        <v>4075</v>
      </c>
      <c r="L6337" s="1">
        <f>VALUE(4500)</f>
        <v>4500</v>
      </c>
      <c r="M6337" s="8">
        <f>VALUE(5001)</f>
        <v>5001</v>
      </c>
      <c r="N6337" t="s">
        <v>25</v>
      </c>
    </row>
    <row r="6338" spans="1:14" x14ac:dyDescent="0.25">
      <c r="A6338" t="s">
        <v>42</v>
      </c>
      <c r="B6338" t="s">
        <v>39</v>
      </c>
      <c r="C6338" t="s">
        <v>35</v>
      </c>
      <c r="D6338" t="s">
        <v>28</v>
      </c>
      <c r="E6338" t="s">
        <v>22</v>
      </c>
      <c r="F6338" t="s">
        <v>17</v>
      </c>
      <c r="G6338" s="1" t="str">
        <f t="shared" ref="G6338:M6340" si="1363">"X"</f>
        <v>X</v>
      </c>
      <c r="H6338" s="1" t="str">
        <f t="shared" si="1363"/>
        <v>X</v>
      </c>
      <c r="I6338" s="1" t="str">
        <f t="shared" si="1363"/>
        <v>X</v>
      </c>
      <c r="J6338" s="1" t="str">
        <f t="shared" si="1363"/>
        <v>X</v>
      </c>
      <c r="K6338" s="1" t="str">
        <f t="shared" si="1363"/>
        <v>X</v>
      </c>
      <c r="L6338" s="1" t="str">
        <f t="shared" si="1363"/>
        <v>X</v>
      </c>
      <c r="M6338" s="1" t="str">
        <f t="shared" si="1363"/>
        <v>X</v>
      </c>
      <c r="N6338" t="s">
        <v>27</v>
      </c>
    </row>
    <row r="6339" spans="1:14" x14ac:dyDescent="0.25">
      <c r="A6339" t="s">
        <v>42</v>
      </c>
      <c r="B6339" t="s">
        <v>39</v>
      </c>
      <c r="C6339" t="s">
        <v>35</v>
      </c>
      <c r="D6339" t="s">
        <v>28</v>
      </c>
      <c r="E6339" t="s">
        <v>22</v>
      </c>
      <c r="F6339" t="s">
        <v>18</v>
      </c>
      <c r="G6339" s="1" t="str">
        <f t="shared" si="1363"/>
        <v>X</v>
      </c>
      <c r="H6339" s="1" t="str">
        <f t="shared" si="1363"/>
        <v>X</v>
      </c>
      <c r="I6339" s="1" t="str">
        <f t="shared" si="1363"/>
        <v>X</v>
      </c>
      <c r="J6339" s="1" t="str">
        <f t="shared" si="1363"/>
        <v>X</v>
      </c>
      <c r="K6339" s="1" t="str">
        <f t="shared" si="1363"/>
        <v>X</v>
      </c>
      <c r="L6339" s="1" t="str">
        <f t="shared" si="1363"/>
        <v>X</v>
      </c>
      <c r="M6339" s="1" t="str">
        <f t="shared" si="1363"/>
        <v>X</v>
      </c>
      <c r="N6339" t="s">
        <v>27</v>
      </c>
    </row>
    <row r="6340" spans="1:14" x14ac:dyDescent="0.25">
      <c r="A6340" t="s">
        <v>42</v>
      </c>
      <c r="B6340" t="s">
        <v>39</v>
      </c>
      <c r="C6340" t="s">
        <v>35</v>
      </c>
      <c r="D6340" t="s">
        <v>28</v>
      </c>
      <c r="E6340" t="s">
        <v>22</v>
      </c>
      <c r="F6340" t="s">
        <v>19</v>
      </c>
      <c r="G6340" s="1" t="str">
        <f t="shared" si="1363"/>
        <v>X</v>
      </c>
      <c r="H6340" s="1" t="str">
        <f t="shared" si="1363"/>
        <v>X</v>
      </c>
      <c r="I6340" s="1" t="str">
        <f t="shared" si="1363"/>
        <v>X</v>
      </c>
      <c r="J6340" s="1" t="str">
        <f t="shared" si="1363"/>
        <v>X</v>
      </c>
      <c r="K6340" s="1" t="str">
        <f t="shared" si="1363"/>
        <v>X</v>
      </c>
      <c r="L6340" s="1" t="str">
        <f t="shared" si="1363"/>
        <v>X</v>
      </c>
      <c r="M6340" s="1" t="str">
        <f t="shared" si="1363"/>
        <v>X</v>
      </c>
      <c r="N6340" t="s">
        <v>27</v>
      </c>
    </row>
    <row r="6341" spans="1:14" x14ac:dyDescent="0.25">
      <c r="A6341" t="s">
        <v>42</v>
      </c>
      <c r="B6341" t="s">
        <v>39</v>
      </c>
      <c r="C6341" t="s">
        <v>35</v>
      </c>
      <c r="D6341" t="s">
        <v>28</v>
      </c>
      <c r="E6341" t="s">
        <v>22</v>
      </c>
      <c r="F6341" t="s">
        <v>20</v>
      </c>
      <c r="G6341" s="2">
        <f>VALUE(1253.68)</f>
        <v>1253.68</v>
      </c>
      <c r="H6341" s="3">
        <f>VALUE(1256.84)</f>
        <v>1256.8399999999999</v>
      </c>
      <c r="I6341" s="4">
        <f>VALUE(2553)</f>
        <v>2553</v>
      </c>
      <c r="J6341" s="1">
        <f>VALUE(3606)</f>
        <v>3606</v>
      </c>
      <c r="K6341" s="1">
        <f>VALUE(4031)</f>
        <v>4031</v>
      </c>
      <c r="L6341" s="1">
        <f>VALUE(4477)</f>
        <v>4477</v>
      </c>
      <c r="M6341" s="8">
        <f>VALUE(5001)</f>
        <v>5001</v>
      </c>
      <c r="N6341" t="s">
        <v>25</v>
      </c>
    </row>
    <row r="6342" spans="1:14" x14ac:dyDescent="0.25">
      <c r="A6342" t="s">
        <v>42</v>
      </c>
      <c r="B6342" t="s">
        <v>39</v>
      </c>
      <c r="C6342" t="s">
        <v>35</v>
      </c>
      <c r="D6342" t="s">
        <v>28</v>
      </c>
      <c r="E6342" t="s">
        <v>23</v>
      </c>
      <c r="F6342" t="s">
        <v>15</v>
      </c>
      <c r="G6342" s="2">
        <f>VALUE(233.97)</f>
        <v>233.97</v>
      </c>
      <c r="H6342" s="3">
        <f>VALUE(190.83)</f>
        <v>190.83</v>
      </c>
      <c r="I6342" s="4">
        <f>VALUE(1183)</f>
        <v>1183</v>
      </c>
      <c r="J6342" s="5">
        <f>VALUE(3129)</f>
        <v>3129</v>
      </c>
      <c r="K6342" s="1">
        <f>VALUE(3753)</f>
        <v>3753</v>
      </c>
      <c r="L6342" s="7">
        <f>VALUE(4211)</f>
        <v>4211</v>
      </c>
      <c r="M6342" s="8">
        <f>VALUE(5905)</f>
        <v>5905</v>
      </c>
      <c r="N6342" t="s">
        <v>25</v>
      </c>
    </row>
    <row r="6343" spans="1:14" x14ac:dyDescent="0.25">
      <c r="A6343" t="s">
        <v>42</v>
      </c>
      <c r="B6343" t="s">
        <v>39</v>
      </c>
      <c r="C6343" t="s">
        <v>35</v>
      </c>
      <c r="D6343" t="s">
        <v>28</v>
      </c>
      <c r="E6343" t="s">
        <v>23</v>
      </c>
      <c r="F6343" t="s">
        <v>17</v>
      </c>
      <c r="G6343" s="1" t="str">
        <f t="shared" ref="G6343:M6343" si="1364">"..."</f>
        <v>...</v>
      </c>
      <c r="H6343" s="1" t="str">
        <f t="shared" si="1364"/>
        <v>...</v>
      </c>
      <c r="I6343" s="1" t="str">
        <f t="shared" si="1364"/>
        <v>...</v>
      </c>
      <c r="J6343" s="1" t="str">
        <f t="shared" si="1364"/>
        <v>...</v>
      </c>
      <c r="K6343" s="1" t="str">
        <f t="shared" si="1364"/>
        <v>...</v>
      </c>
      <c r="L6343" s="1" t="str">
        <f t="shared" si="1364"/>
        <v>...</v>
      </c>
      <c r="M6343" s="1" t="str">
        <f t="shared" si="1364"/>
        <v>...</v>
      </c>
      <c r="N6343" t="s">
        <v>30</v>
      </c>
    </row>
    <row r="6344" spans="1:14" x14ac:dyDescent="0.25">
      <c r="A6344" t="s">
        <v>42</v>
      </c>
      <c r="B6344" t="s">
        <v>39</v>
      </c>
      <c r="C6344" t="s">
        <v>35</v>
      </c>
      <c r="D6344" t="s">
        <v>28</v>
      </c>
      <c r="E6344" t="s">
        <v>23</v>
      </c>
      <c r="F6344" t="s">
        <v>18</v>
      </c>
      <c r="G6344" s="1" t="str">
        <f t="shared" ref="G6344:M6345" si="1365">"X"</f>
        <v>X</v>
      </c>
      <c r="H6344" s="1" t="str">
        <f t="shared" si="1365"/>
        <v>X</v>
      </c>
      <c r="I6344" s="1" t="str">
        <f t="shared" si="1365"/>
        <v>X</v>
      </c>
      <c r="J6344" s="1" t="str">
        <f t="shared" si="1365"/>
        <v>X</v>
      </c>
      <c r="K6344" s="1" t="str">
        <f t="shared" si="1365"/>
        <v>X</v>
      </c>
      <c r="L6344" s="1" t="str">
        <f t="shared" si="1365"/>
        <v>X</v>
      </c>
      <c r="M6344" s="1" t="str">
        <f t="shared" si="1365"/>
        <v>X</v>
      </c>
      <c r="N6344" t="s">
        <v>27</v>
      </c>
    </row>
    <row r="6345" spans="1:14" x14ac:dyDescent="0.25">
      <c r="A6345" t="s">
        <v>42</v>
      </c>
      <c r="B6345" t="s">
        <v>39</v>
      </c>
      <c r="C6345" t="s">
        <v>35</v>
      </c>
      <c r="D6345" t="s">
        <v>28</v>
      </c>
      <c r="E6345" t="s">
        <v>23</v>
      </c>
      <c r="F6345" t="s">
        <v>19</v>
      </c>
      <c r="G6345" s="1" t="str">
        <f t="shared" si="1365"/>
        <v>X</v>
      </c>
      <c r="H6345" s="1" t="str">
        <f t="shared" si="1365"/>
        <v>X</v>
      </c>
      <c r="I6345" s="1" t="str">
        <f t="shared" si="1365"/>
        <v>X</v>
      </c>
      <c r="J6345" s="1" t="str">
        <f t="shared" si="1365"/>
        <v>X</v>
      </c>
      <c r="K6345" s="1" t="str">
        <f t="shared" si="1365"/>
        <v>X</v>
      </c>
      <c r="L6345" s="1" t="str">
        <f t="shared" si="1365"/>
        <v>X</v>
      </c>
      <c r="M6345" s="1" t="str">
        <f t="shared" si="1365"/>
        <v>X</v>
      </c>
      <c r="N6345" t="s">
        <v>27</v>
      </c>
    </row>
    <row r="6346" spans="1:14" x14ac:dyDescent="0.25">
      <c r="A6346" t="s">
        <v>42</v>
      </c>
      <c r="B6346" t="s">
        <v>39</v>
      </c>
      <c r="C6346" t="s">
        <v>35</v>
      </c>
      <c r="D6346" t="s">
        <v>28</v>
      </c>
      <c r="E6346" t="s">
        <v>23</v>
      </c>
      <c r="F6346" t="s">
        <v>20</v>
      </c>
      <c r="G6346" s="2">
        <f>VALUE(213.77)</f>
        <v>213.77</v>
      </c>
      <c r="H6346" s="3">
        <f>VALUE(170.01)</f>
        <v>170.01</v>
      </c>
      <c r="I6346" s="4">
        <f>VALUE(1160)</f>
        <v>1160</v>
      </c>
      <c r="J6346" s="5">
        <f>VALUE(3109)</f>
        <v>3109</v>
      </c>
      <c r="K6346" s="1">
        <f>VALUE(3684)</f>
        <v>3684</v>
      </c>
      <c r="L6346" s="7">
        <f>VALUE(4385)</f>
        <v>4385</v>
      </c>
      <c r="M6346" s="8">
        <f>VALUE(5905)</f>
        <v>5905</v>
      </c>
      <c r="N6346" t="s">
        <v>25</v>
      </c>
    </row>
    <row r="6347" spans="1:14" x14ac:dyDescent="0.25">
      <c r="A6347" t="s">
        <v>42</v>
      </c>
      <c r="B6347" t="s">
        <v>39</v>
      </c>
      <c r="C6347" t="s">
        <v>35</v>
      </c>
      <c r="D6347" t="s">
        <v>28</v>
      </c>
      <c r="E6347" t="s">
        <v>26</v>
      </c>
      <c r="F6347" t="s">
        <v>15</v>
      </c>
      <c r="G6347" s="1" t="str">
        <f t="shared" ref="G6347:M6347" si="1366">"X"</f>
        <v>X</v>
      </c>
      <c r="H6347" s="1" t="str">
        <f t="shared" si="1366"/>
        <v>X</v>
      </c>
      <c r="I6347" s="1" t="str">
        <f t="shared" si="1366"/>
        <v>X</v>
      </c>
      <c r="J6347" s="1" t="str">
        <f t="shared" si="1366"/>
        <v>X</v>
      </c>
      <c r="K6347" s="1" t="str">
        <f t="shared" si="1366"/>
        <v>X</v>
      </c>
      <c r="L6347" s="1" t="str">
        <f t="shared" si="1366"/>
        <v>X</v>
      </c>
      <c r="M6347" s="1" t="str">
        <f t="shared" si="1366"/>
        <v>X</v>
      </c>
      <c r="N6347" t="s">
        <v>27</v>
      </c>
    </row>
    <row r="6348" spans="1:14" x14ac:dyDescent="0.25">
      <c r="A6348" t="s">
        <v>42</v>
      </c>
      <c r="B6348" t="s">
        <v>39</v>
      </c>
      <c r="C6348" t="s">
        <v>35</v>
      </c>
      <c r="D6348" t="s">
        <v>28</v>
      </c>
      <c r="E6348" t="s">
        <v>26</v>
      </c>
      <c r="F6348" t="s">
        <v>17</v>
      </c>
      <c r="G6348" s="1" t="str">
        <f t="shared" ref="G6348:M6350" si="1367">"..."</f>
        <v>...</v>
      </c>
      <c r="H6348" s="1" t="str">
        <f t="shared" si="1367"/>
        <v>...</v>
      </c>
      <c r="I6348" s="1" t="str">
        <f t="shared" si="1367"/>
        <v>...</v>
      </c>
      <c r="J6348" s="1" t="str">
        <f t="shared" si="1367"/>
        <v>...</v>
      </c>
      <c r="K6348" s="1" t="str">
        <f t="shared" si="1367"/>
        <v>...</v>
      </c>
      <c r="L6348" s="1" t="str">
        <f t="shared" si="1367"/>
        <v>...</v>
      </c>
      <c r="M6348" s="1" t="str">
        <f t="shared" si="1367"/>
        <v>...</v>
      </c>
      <c r="N6348" t="s">
        <v>30</v>
      </c>
    </row>
    <row r="6349" spans="1:14" x14ac:dyDescent="0.25">
      <c r="A6349" t="s">
        <v>42</v>
      </c>
      <c r="B6349" t="s">
        <v>39</v>
      </c>
      <c r="C6349" t="s">
        <v>35</v>
      </c>
      <c r="D6349" t="s">
        <v>28</v>
      </c>
      <c r="E6349" t="s">
        <v>26</v>
      </c>
      <c r="F6349" t="s">
        <v>18</v>
      </c>
      <c r="G6349" s="1" t="str">
        <f t="shared" si="1367"/>
        <v>...</v>
      </c>
      <c r="H6349" s="1" t="str">
        <f t="shared" si="1367"/>
        <v>...</v>
      </c>
      <c r="I6349" s="1" t="str">
        <f t="shared" si="1367"/>
        <v>...</v>
      </c>
      <c r="J6349" s="1" t="str">
        <f t="shared" si="1367"/>
        <v>...</v>
      </c>
      <c r="K6349" s="1" t="str">
        <f t="shared" si="1367"/>
        <v>...</v>
      </c>
      <c r="L6349" s="1" t="str">
        <f t="shared" si="1367"/>
        <v>...</v>
      </c>
      <c r="M6349" s="1" t="str">
        <f t="shared" si="1367"/>
        <v>...</v>
      </c>
      <c r="N6349" t="s">
        <v>30</v>
      </c>
    </row>
    <row r="6350" spans="1:14" x14ac:dyDescent="0.25">
      <c r="A6350" t="s">
        <v>42</v>
      </c>
      <c r="B6350" t="s">
        <v>39</v>
      </c>
      <c r="C6350" t="s">
        <v>35</v>
      </c>
      <c r="D6350" t="s">
        <v>28</v>
      </c>
      <c r="E6350" t="s">
        <v>26</v>
      </c>
      <c r="F6350" t="s">
        <v>19</v>
      </c>
      <c r="G6350" s="1" t="str">
        <f t="shared" si="1367"/>
        <v>...</v>
      </c>
      <c r="H6350" s="1" t="str">
        <f t="shared" si="1367"/>
        <v>...</v>
      </c>
      <c r="I6350" s="1" t="str">
        <f t="shared" si="1367"/>
        <v>...</v>
      </c>
      <c r="J6350" s="1" t="str">
        <f t="shared" si="1367"/>
        <v>...</v>
      </c>
      <c r="K6350" s="1" t="str">
        <f t="shared" si="1367"/>
        <v>...</v>
      </c>
      <c r="L6350" s="1" t="str">
        <f t="shared" si="1367"/>
        <v>...</v>
      </c>
      <c r="M6350" s="1" t="str">
        <f t="shared" si="1367"/>
        <v>...</v>
      </c>
      <c r="N6350" t="s">
        <v>30</v>
      </c>
    </row>
    <row r="6351" spans="1:14" x14ac:dyDescent="0.25">
      <c r="A6351" t="s">
        <v>42</v>
      </c>
      <c r="B6351" t="s">
        <v>39</v>
      </c>
      <c r="C6351" t="s">
        <v>35</v>
      </c>
      <c r="D6351" t="s">
        <v>28</v>
      </c>
      <c r="E6351" t="s">
        <v>26</v>
      </c>
      <c r="F6351" t="s">
        <v>20</v>
      </c>
      <c r="G6351" s="1" t="str">
        <f t="shared" ref="G6351:M6351" si="1368">"X"</f>
        <v>X</v>
      </c>
      <c r="H6351" s="1" t="str">
        <f t="shared" si="1368"/>
        <v>X</v>
      </c>
      <c r="I6351" s="1" t="str">
        <f t="shared" si="1368"/>
        <v>X</v>
      </c>
      <c r="J6351" s="1" t="str">
        <f t="shared" si="1368"/>
        <v>X</v>
      </c>
      <c r="K6351" s="1" t="str">
        <f t="shared" si="1368"/>
        <v>X</v>
      </c>
      <c r="L6351" s="1" t="str">
        <f t="shared" si="1368"/>
        <v>X</v>
      </c>
      <c r="M6351" s="1" t="str">
        <f t="shared" si="1368"/>
        <v>X</v>
      </c>
      <c r="N6351" t="s">
        <v>27</v>
      </c>
    </row>
    <row r="6352" spans="1:14" x14ac:dyDescent="0.25">
      <c r="A6352" t="s">
        <v>42</v>
      </c>
      <c r="B6352" t="s">
        <v>39</v>
      </c>
      <c r="C6352" t="s">
        <v>35</v>
      </c>
      <c r="D6352" t="s">
        <v>29</v>
      </c>
      <c r="E6352" t="s">
        <v>15</v>
      </c>
      <c r="F6352" t="s">
        <v>15</v>
      </c>
      <c r="G6352" s="2">
        <f>VALUE(270.94)</f>
        <v>270.94</v>
      </c>
      <c r="H6352" s="3">
        <f>VALUE(265.16)</f>
        <v>265.16000000000003</v>
      </c>
      <c r="I6352" s="4">
        <f>VALUE(3092)</f>
        <v>3092</v>
      </c>
      <c r="J6352" s="1">
        <f>VALUE(3536)</f>
        <v>3536</v>
      </c>
      <c r="K6352" s="1">
        <f>VALUE(3983)</f>
        <v>3983</v>
      </c>
      <c r="L6352" s="7">
        <f>VALUE(4538)</f>
        <v>4538</v>
      </c>
      <c r="M6352" s="1">
        <f>VALUE(5417)</f>
        <v>5417</v>
      </c>
      <c r="N6352" t="s">
        <v>25</v>
      </c>
    </row>
    <row r="6353" spans="1:14" x14ac:dyDescent="0.25">
      <c r="A6353" t="s">
        <v>42</v>
      </c>
      <c r="B6353" t="s">
        <v>39</v>
      </c>
      <c r="C6353" t="s">
        <v>35</v>
      </c>
      <c r="D6353" t="s">
        <v>29</v>
      </c>
      <c r="E6353" t="s">
        <v>15</v>
      </c>
      <c r="F6353" t="s">
        <v>17</v>
      </c>
      <c r="G6353" s="1" t="str">
        <f t="shared" ref="G6353:M6355" si="1369">"X"</f>
        <v>X</v>
      </c>
      <c r="H6353" s="1" t="str">
        <f t="shared" si="1369"/>
        <v>X</v>
      </c>
      <c r="I6353" s="1" t="str">
        <f t="shared" si="1369"/>
        <v>X</v>
      </c>
      <c r="J6353" s="1" t="str">
        <f t="shared" si="1369"/>
        <v>X</v>
      </c>
      <c r="K6353" s="1" t="str">
        <f t="shared" si="1369"/>
        <v>X</v>
      </c>
      <c r="L6353" s="1" t="str">
        <f t="shared" si="1369"/>
        <v>X</v>
      </c>
      <c r="M6353" s="1" t="str">
        <f t="shared" si="1369"/>
        <v>X</v>
      </c>
      <c r="N6353" t="s">
        <v>27</v>
      </c>
    </row>
    <row r="6354" spans="1:14" x14ac:dyDescent="0.25">
      <c r="A6354" t="s">
        <v>42</v>
      </c>
      <c r="B6354" t="s">
        <v>39</v>
      </c>
      <c r="C6354" t="s">
        <v>35</v>
      </c>
      <c r="D6354" t="s">
        <v>29</v>
      </c>
      <c r="E6354" t="s">
        <v>15</v>
      </c>
      <c r="F6354" t="s">
        <v>18</v>
      </c>
      <c r="G6354" s="1" t="str">
        <f t="shared" si="1369"/>
        <v>X</v>
      </c>
      <c r="H6354" s="1" t="str">
        <f t="shared" si="1369"/>
        <v>X</v>
      </c>
      <c r="I6354" s="1" t="str">
        <f t="shared" si="1369"/>
        <v>X</v>
      </c>
      <c r="J6354" s="1" t="str">
        <f t="shared" si="1369"/>
        <v>X</v>
      </c>
      <c r="K6354" s="1" t="str">
        <f t="shared" si="1369"/>
        <v>X</v>
      </c>
      <c r="L6354" s="1" t="str">
        <f t="shared" si="1369"/>
        <v>X</v>
      </c>
      <c r="M6354" s="1" t="str">
        <f t="shared" si="1369"/>
        <v>X</v>
      </c>
      <c r="N6354" t="s">
        <v>27</v>
      </c>
    </row>
    <row r="6355" spans="1:14" x14ac:dyDescent="0.25">
      <c r="A6355" t="s">
        <v>42</v>
      </c>
      <c r="B6355" t="s">
        <v>39</v>
      </c>
      <c r="C6355" t="s">
        <v>35</v>
      </c>
      <c r="D6355" t="s">
        <v>29</v>
      </c>
      <c r="E6355" t="s">
        <v>15</v>
      </c>
      <c r="F6355" t="s">
        <v>19</v>
      </c>
      <c r="G6355" s="1" t="str">
        <f t="shared" si="1369"/>
        <v>X</v>
      </c>
      <c r="H6355" s="1" t="str">
        <f t="shared" si="1369"/>
        <v>X</v>
      </c>
      <c r="I6355" s="1" t="str">
        <f t="shared" si="1369"/>
        <v>X</v>
      </c>
      <c r="J6355" s="1" t="str">
        <f t="shared" si="1369"/>
        <v>X</v>
      </c>
      <c r="K6355" s="1" t="str">
        <f t="shared" si="1369"/>
        <v>X</v>
      </c>
      <c r="L6355" s="1" t="str">
        <f t="shared" si="1369"/>
        <v>X</v>
      </c>
      <c r="M6355" s="1" t="str">
        <f t="shared" si="1369"/>
        <v>X</v>
      </c>
      <c r="N6355" t="s">
        <v>27</v>
      </c>
    </row>
    <row r="6356" spans="1:14" x14ac:dyDescent="0.25">
      <c r="A6356" t="s">
        <v>42</v>
      </c>
      <c r="B6356" t="s">
        <v>39</v>
      </c>
      <c r="C6356" t="s">
        <v>35</v>
      </c>
      <c r="D6356" t="s">
        <v>29</v>
      </c>
      <c r="E6356" t="s">
        <v>15</v>
      </c>
      <c r="F6356" t="s">
        <v>20</v>
      </c>
      <c r="G6356" s="2">
        <f>VALUE(226.33)</f>
        <v>226.33</v>
      </c>
      <c r="H6356" s="3">
        <f>VALUE(221.64)</f>
        <v>221.64</v>
      </c>
      <c r="I6356" s="4">
        <f>VALUE(3200)</f>
        <v>3200</v>
      </c>
      <c r="J6356" s="1">
        <f>VALUE(3593)</f>
        <v>3593</v>
      </c>
      <c r="K6356" s="1">
        <f>VALUE(4011)</f>
        <v>4011</v>
      </c>
      <c r="L6356" s="7">
        <f>VALUE(4830)</f>
        <v>4830</v>
      </c>
      <c r="M6356" s="1">
        <f>VALUE(5567)</f>
        <v>5567</v>
      </c>
      <c r="N6356" t="s">
        <v>25</v>
      </c>
    </row>
    <row r="6357" spans="1:14" x14ac:dyDescent="0.25">
      <c r="A6357" t="s">
        <v>42</v>
      </c>
      <c r="B6357" t="s">
        <v>39</v>
      </c>
      <c r="C6357" t="s">
        <v>35</v>
      </c>
      <c r="D6357" t="s">
        <v>29</v>
      </c>
      <c r="E6357" t="s">
        <v>21</v>
      </c>
      <c r="F6357" t="s">
        <v>15</v>
      </c>
      <c r="G6357" s="1" t="str">
        <f t="shared" ref="G6357:M6358" si="1370">"X"</f>
        <v>X</v>
      </c>
      <c r="H6357" s="1" t="str">
        <f t="shared" si="1370"/>
        <v>X</v>
      </c>
      <c r="I6357" s="1" t="str">
        <f t="shared" si="1370"/>
        <v>X</v>
      </c>
      <c r="J6357" s="1" t="str">
        <f t="shared" si="1370"/>
        <v>X</v>
      </c>
      <c r="K6357" s="1" t="str">
        <f t="shared" si="1370"/>
        <v>X</v>
      </c>
      <c r="L6357" s="1" t="str">
        <f t="shared" si="1370"/>
        <v>X</v>
      </c>
      <c r="M6357" s="1" t="str">
        <f t="shared" si="1370"/>
        <v>X</v>
      </c>
      <c r="N6357" t="s">
        <v>27</v>
      </c>
    </row>
    <row r="6358" spans="1:14" x14ac:dyDescent="0.25">
      <c r="A6358" t="s">
        <v>42</v>
      </c>
      <c r="B6358" t="s">
        <v>39</v>
      </c>
      <c r="C6358" t="s">
        <v>35</v>
      </c>
      <c r="D6358" t="s">
        <v>29</v>
      </c>
      <c r="E6358" t="s">
        <v>21</v>
      </c>
      <c r="F6358" t="s">
        <v>17</v>
      </c>
      <c r="G6358" s="1" t="str">
        <f t="shared" si="1370"/>
        <v>X</v>
      </c>
      <c r="H6358" s="1" t="str">
        <f t="shared" si="1370"/>
        <v>X</v>
      </c>
      <c r="I6358" s="1" t="str">
        <f t="shared" si="1370"/>
        <v>X</v>
      </c>
      <c r="J6358" s="1" t="str">
        <f t="shared" si="1370"/>
        <v>X</v>
      </c>
      <c r="K6358" s="1" t="str">
        <f t="shared" si="1370"/>
        <v>X</v>
      </c>
      <c r="L6358" s="1" t="str">
        <f t="shared" si="1370"/>
        <v>X</v>
      </c>
      <c r="M6358" s="1" t="str">
        <f t="shared" si="1370"/>
        <v>X</v>
      </c>
      <c r="N6358" t="s">
        <v>27</v>
      </c>
    </row>
    <row r="6359" spans="1:14" x14ac:dyDescent="0.25">
      <c r="A6359" t="s">
        <v>42</v>
      </c>
      <c r="B6359" t="s">
        <v>39</v>
      </c>
      <c r="C6359" t="s">
        <v>35</v>
      </c>
      <c r="D6359" t="s">
        <v>29</v>
      </c>
      <c r="E6359" t="s">
        <v>21</v>
      </c>
      <c r="F6359" t="s">
        <v>18</v>
      </c>
      <c r="G6359" s="1" t="str">
        <f t="shared" ref="G6359:M6359" si="1371">"..."</f>
        <v>...</v>
      </c>
      <c r="H6359" s="1" t="str">
        <f t="shared" si="1371"/>
        <v>...</v>
      </c>
      <c r="I6359" s="1" t="str">
        <f t="shared" si="1371"/>
        <v>...</v>
      </c>
      <c r="J6359" s="1" t="str">
        <f t="shared" si="1371"/>
        <v>...</v>
      </c>
      <c r="K6359" s="1" t="str">
        <f t="shared" si="1371"/>
        <v>...</v>
      </c>
      <c r="L6359" s="1" t="str">
        <f t="shared" si="1371"/>
        <v>...</v>
      </c>
      <c r="M6359" s="1" t="str">
        <f t="shared" si="1371"/>
        <v>...</v>
      </c>
      <c r="N6359" t="s">
        <v>30</v>
      </c>
    </row>
    <row r="6360" spans="1:14" x14ac:dyDescent="0.25">
      <c r="A6360" t="s">
        <v>42</v>
      </c>
      <c r="B6360" t="s">
        <v>39</v>
      </c>
      <c r="C6360" t="s">
        <v>35</v>
      </c>
      <c r="D6360" t="s">
        <v>29</v>
      </c>
      <c r="E6360" t="s">
        <v>21</v>
      </c>
      <c r="F6360" t="s">
        <v>19</v>
      </c>
      <c r="G6360" s="1" t="str">
        <f t="shared" ref="G6360:M6361" si="1372">"X"</f>
        <v>X</v>
      </c>
      <c r="H6360" s="1" t="str">
        <f t="shared" si="1372"/>
        <v>X</v>
      </c>
      <c r="I6360" s="1" t="str">
        <f t="shared" si="1372"/>
        <v>X</v>
      </c>
      <c r="J6360" s="1" t="str">
        <f t="shared" si="1372"/>
        <v>X</v>
      </c>
      <c r="K6360" s="1" t="str">
        <f t="shared" si="1372"/>
        <v>X</v>
      </c>
      <c r="L6360" s="1" t="str">
        <f t="shared" si="1372"/>
        <v>X</v>
      </c>
      <c r="M6360" s="1" t="str">
        <f t="shared" si="1372"/>
        <v>X</v>
      </c>
      <c r="N6360" t="s">
        <v>27</v>
      </c>
    </row>
    <row r="6361" spans="1:14" x14ac:dyDescent="0.25">
      <c r="A6361" t="s">
        <v>42</v>
      </c>
      <c r="B6361" t="s">
        <v>39</v>
      </c>
      <c r="C6361" t="s">
        <v>35</v>
      </c>
      <c r="D6361" t="s">
        <v>29</v>
      </c>
      <c r="E6361" t="s">
        <v>21</v>
      </c>
      <c r="F6361" t="s">
        <v>20</v>
      </c>
      <c r="G6361" s="1" t="str">
        <f t="shared" si="1372"/>
        <v>X</v>
      </c>
      <c r="H6361" s="1" t="str">
        <f t="shared" si="1372"/>
        <v>X</v>
      </c>
      <c r="I6361" s="1" t="str">
        <f t="shared" si="1372"/>
        <v>X</v>
      </c>
      <c r="J6361" s="1" t="str">
        <f t="shared" si="1372"/>
        <v>X</v>
      </c>
      <c r="K6361" s="1" t="str">
        <f t="shared" si="1372"/>
        <v>X</v>
      </c>
      <c r="L6361" s="1" t="str">
        <f t="shared" si="1372"/>
        <v>X</v>
      </c>
      <c r="M6361" s="1" t="str">
        <f t="shared" si="1372"/>
        <v>X</v>
      </c>
      <c r="N6361" t="s">
        <v>27</v>
      </c>
    </row>
    <row r="6362" spans="1:14" x14ac:dyDescent="0.25">
      <c r="A6362" t="s">
        <v>42</v>
      </c>
      <c r="B6362" t="s">
        <v>39</v>
      </c>
      <c r="C6362" t="s">
        <v>35</v>
      </c>
      <c r="D6362" t="s">
        <v>29</v>
      </c>
      <c r="E6362" t="s">
        <v>22</v>
      </c>
      <c r="F6362" t="s">
        <v>15</v>
      </c>
      <c r="G6362" s="2">
        <f>VALUE(173.71)</f>
        <v>173.71</v>
      </c>
      <c r="H6362" s="3">
        <f>VALUE(177.75)</f>
        <v>177.75</v>
      </c>
      <c r="I6362" s="1">
        <f>VALUE(3294)</f>
        <v>3294</v>
      </c>
      <c r="J6362" s="1">
        <f>VALUE(3554)</f>
        <v>3554</v>
      </c>
      <c r="K6362" s="1">
        <f>VALUE(3900)</f>
        <v>3900</v>
      </c>
      <c r="L6362" s="1">
        <f>VALUE(4561)</f>
        <v>4561</v>
      </c>
      <c r="M6362" s="1">
        <f>VALUE(5242)</f>
        <v>5242</v>
      </c>
      <c r="N6362" t="s">
        <v>25</v>
      </c>
    </row>
    <row r="6363" spans="1:14" x14ac:dyDescent="0.25">
      <c r="A6363" t="s">
        <v>42</v>
      </c>
      <c r="B6363" t="s">
        <v>39</v>
      </c>
      <c r="C6363" t="s">
        <v>35</v>
      </c>
      <c r="D6363" t="s">
        <v>29</v>
      </c>
      <c r="E6363" t="s">
        <v>22</v>
      </c>
      <c r="F6363" t="s">
        <v>17</v>
      </c>
      <c r="G6363" s="1" t="str">
        <f t="shared" ref="G6363:M6363" si="1373">"..."</f>
        <v>...</v>
      </c>
      <c r="H6363" s="1" t="str">
        <f t="shared" si="1373"/>
        <v>...</v>
      </c>
      <c r="I6363" s="1" t="str">
        <f t="shared" si="1373"/>
        <v>...</v>
      </c>
      <c r="J6363" s="1" t="str">
        <f t="shared" si="1373"/>
        <v>...</v>
      </c>
      <c r="K6363" s="1" t="str">
        <f t="shared" si="1373"/>
        <v>...</v>
      </c>
      <c r="L6363" s="1" t="str">
        <f t="shared" si="1373"/>
        <v>...</v>
      </c>
      <c r="M6363" s="1" t="str">
        <f t="shared" si="1373"/>
        <v>...</v>
      </c>
      <c r="N6363" t="s">
        <v>30</v>
      </c>
    </row>
    <row r="6364" spans="1:14" x14ac:dyDescent="0.25">
      <c r="A6364" t="s">
        <v>42</v>
      </c>
      <c r="B6364" t="s">
        <v>39</v>
      </c>
      <c r="C6364" t="s">
        <v>35</v>
      </c>
      <c r="D6364" t="s">
        <v>29</v>
      </c>
      <c r="E6364" t="s">
        <v>22</v>
      </c>
      <c r="F6364" t="s">
        <v>18</v>
      </c>
      <c r="G6364" s="1" t="str">
        <f t="shared" ref="G6364:M6372" si="1374">"X"</f>
        <v>X</v>
      </c>
      <c r="H6364" s="1" t="str">
        <f t="shared" si="1374"/>
        <v>X</v>
      </c>
      <c r="I6364" s="1" t="str">
        <f t="shared" si="1374"/>
        <v>X</v>
      </c>
      <c r="J6364" s="1" t="str">
        <f t="shared" si="1374"/>
        <v>X</v>
      </c>
      <c r="K6364" s="1" t="str">
        <f t="shared" si="1374"/>
        <v>X</v>
      </c>
      <c r="L6364" s="1" t="str">
        <f t="shared" si="1374"/>
        <v>X</v>
      </c>
      <c r="M6364" s="1" t="str">
        <f t="shared" si="1374"/>
        <v>X</v>
      </c>
      <c r="N6364" t="s">
        <v>27</v>
      </c>
    </row>
    <row r="6365" spans="1:14" x14ac:dyDescent="0.25">
      <c r="A6365" t="s">
        <v>42</v>
      </c>
      <c r="B6365" t="s">
        <v>39</v>
      </c>
      <c r="C6365" t="s">
        <v>35</v>
      </c>
      <c r="D6365" t="s">
        <v>29</v>
      </c>
      <c r="E6365" t="s">
        <v>22</v>
      </c>
      <c r="F6365" t="s">
        <v>19</v>
      </c>
      <c r="G6365" s="1" t="str">
        <f t="shared" si="1374"/>
        <v>X</v>
      </c>
      <c r="H6365" s="1" t="str">
        <f t="shared" si="1374"/>
        <v>X</v>
      </c>
      <c r="I6365" s="1" t="str">
        <f t="shared" si="1374"/>
        <v>X</v>
      </c>
      <c r="J6365" s="1" t="str">
        <f t="shared" si="1374"/>
        <v>X</v>
      </c>
      <c r="K6365" s="1" t="str">
        <f t="shared" si="1374"/>
        <v>X</v>
      </c>
      <c r="L6365" s="1" t="str">
        <f t="shared" si="1374"/>
        <v>X</v>
      </c>
      <c r="M6365" s="1" t="str">
        <f t="shared" si="1374"/>
        <v>X</v>
      </c>
      <c r="N6365" t="s">
        <v>27</v>
      </c>
    </row>
    <row r="6366" spans="1:14" x14ac:dyDescent="0.25">
      <c r="A6366" t="s">
        <v>42</v>
      </c>
      <c r="B6366" t="s">
        <v>39</v>
      </c>
      <c r="C6366" t="s">
        <v>35</v>
      </c>
      <c r="D6366" t="s">
        <v>29</v>
      </c>
      <c r="E6366" t="s">
        <v>22</v>
      </c>
      <c r="F6366" t="s">
        <v>20</v>
      </c>
      <c r="G6366" s="1" t="str">
        <f t="shared" si="1374"/>
        <v>X</v>
      </c>
      <c r="H6366" s="1" t="str">
        <f t="shared" si="1374"/>
        <v>X</v>
      </c>
      <c r="I6366" s="1" t="str">
        <f t="shared" si="1374"/>
        <v>X</v>
      </c>
      <c r="J6366" s="1" t="str">
        <f t="shared" si="1374"/>
        <v>X</v>
      </c>
      <c r="K6366" s="1" t="str">
        <f t="shared" si="1374"/>
        <v>X</v>
      </c>
      <c r="L6366" s="1" t="str">
        <f t="shared" si="1374"/>
        <v>X</v>
      </c>
      <c r="M6366" s="1" t="str">
        <f t="shared" si="1374"/>
        <v>X</v>
      </c>
      <c r="N6366" t="s">
        <v>27</v>
      </c>
    </row>
    <row r="6367" spans="1:14" x14ac:dyDescent="0.25">
      <c r="A6367" t="s">
        <v>42</v>
      </c>
      <c r="B6367" t="s">
        <v>39</v>
      </c>
      <c r="C6367" t="s">
        <v>35</v>
      </c>
      <c r="D6367" t="s">
        <v>29</v>
      </c>
      <c r="E6367" t="s">
        <v>23</v>
      </c>
      <c r="F6367" t="s">
        <v>15</v>
      </c>
      <c r="G6367" s="1" t="str">
        <f t="shared" si="1374"/>
        <v>X</v>
      </c>
      <c r="H6367" s="1" t="str">
        <f t="shared" si="1374"/>
        <v>X</v>
      </c>
      <c r="I6367" s="1" t="str">
        <f t="shared" si="1374"/>
        <v>X</v>
      </c>
      <c r="J6367" s="1" t="str">
        <f t="shared" si="1374"/>
        <v>X</v>
      </c>
      <c r="K6367" s="1" t="str">
        <f t="shared" si="1374"/>
        <v>X</v>
      </c>
      <c r="L6367" s="1" t="str">
        <f t="shared" si="1374"/>
        <v>X</v>
      </c>
      <c r="M6367" s="1" t="str">
        <f t="shared" si="1374"/>
        <v>X</v>
      </c>
      <c r="N6367" t="s">
        <v>27</v>
      </c>
    </row>
    <row r="6368" spans="1:14" x14ac:dyDescent="0.25">
      <c r="A6368" t="s">
        <v>42</v>
      </c>
      <c r="B6368" t="s">
        <v>39</v>
      </c>
      <c r="C6368" t="s">
        <v>35</v>
      </c>
      <c r="D6368" t="s">
        <v>29</v>
      </c>
      <c r="E6368" t="s">
        <v>23</v>
      </c>
      <c r="F6368" t="s">
        <v>17</v>
      </c>
      <c r="G6368" s="1" t="str">
        <f t="shared" si="1374"/>
        <v>X</v>
      </c>
      <c r="H6368" s="1" t="str">
        <f t="shared" si="1374"/>
        <v>X</v>
      </c>
      <c r="I6368" s="1" t="str">
        <f t="shared" si="1374"/>
        <v>X</v>
      </c>
      <c r="J6368" s="1" t="str">
        <f t="shared" si="1374"/>
        <v>X</v>
      </c>
      <c r="K6368" s="1" t="str">
        <f t="shared" si="1374"/>
        <v>X</v>
      </c>
      <c r="L6368" s="1" t="str">
        <f t="shared" si="1374"/>
        <v>X</v>
      </c>
      <c r="M6368" s="1" t="str">
        <f t="shared" si="1374"/>
        <v>X</v>
      </c>
      <c r="N6368" t="s">
        <v>27</v>
      </c>
    </row>
    <row r="6369" spans="1:14" x14ac:dyDescent="0.25">
      <c r="A6369" t="s">
        <v>42</v>
      </c>
      <c r="B6369" t="s">
        <v>39</v>
      </c>
      <c r="C6369" t="s">
        <v>35</v>
      </c>
      <c r="D6369" t="s">
        <v>29</v>
      </c>
      <c r="E6369" t="s">
        <v>23</v>
      </c>
      <c r="F6369" t="s">
        <v>18</v>
      </c>
      <c r="G6369" s="1" t="str">
        <f t="shared" si="1374"/>
        <v>X</v>
      </c>
      <c r="H6369" s="1" t="str">
        <f t="shared" si="1374"/>
        <v>X</v>
      </c>
      <c r="I6369" s="1" t="str">
        <f t="shared" si="1374"/>
        <v>X</v>
      </c>
      <c r="J6369" s="1" t="str">
        <f t="shared" si="1374"/>
        <v>X</v>
      </c>
      <c r="K6369" s="1" t="str">
        <f t="shared" si="1374"/>
        <v>X</v>
      </c>
      <c r="L6369" s="1" t="str">
        <f t="shared" si="1374"/>
        <v>X</v>
      </c>
      <c r="M6369" s="1" t="str">
        <f t="shared" si="1374"/>
        <v>X</v>
      </c>
      <c r="N6369" t="s">
        <v>27</v>
      </c>
    </row>
    <row r="6370" spans="1:14" x14ac:dyDescent="0.25">
      <c r="A6370" t="s">
        <v>42</v>
      </c>
      <c r="B6370" t="s">
        <v>39</v>
      </c>
      <c r="C6370" t="s">
        <v>35</v>
      </c>
      <c r="D6370" t="s">
        <v>29</v>
      </c>
      <c r="E6370" t="s">
        <v>23</v>
      </c>
      <c r="F6370" t="s">
        <v>19</v>
      </c>
      <c r="G6370" s="1" t="str">
        <f t="shared" si="1374"/>
        <v>X</v>
      </c>
      <c r="H6370" s="1" t="str">
        <f t="shared" si="1374"/>
        <v>X</v>
      </c>
      <c r="I6370" s="1" t="str">
        <f t="shared" si="1374"/>
        <v>X</v>
      </c>
      <c r="J6370" s="1" t="str">
        <f t="shared" si="1374"/>
        <v>X</v>
      </c>
      <c r="K6370" s="1" t="str">
        <f t="shared" si="1374"/>
        <v>X</v>
      </c>
      <c r="L6370" s="1" t="str">
        <f t="shared" si="1374"/>
        <v>X</v>
      </c>
      <c r="M6370" s="1" t="str">
        <f t="shared" si="1374"/>
        <v>X</v>
      </c>
      <c r="N6370" t="s">
        <v>27</v>
      </c>
    </row>
    <row r="6371" spans="1:14" x14ac:dyDescent="0.25">
      <c r="A6371" t="s">
        <v>42</v>
      </c>
      <c r="B6371" t="s">
        <v>39</v>
      </c>
      <c r="C6371" t="s">
        <v>35</v>
      </c>
      <c r="D6371" t="s">
        <v>29</v>
      </c>
      <c r="E6371" t="s">
        <v>23</v>
      </c>
      <c r="F6371" t="s">
        <v>20</v>
      </c>
      <c r="G6371" s="1" t="str">
        <f t="shared" si="1374"/>
        <v>X</v>
      </c>
      <c r="H6371" s="1" t="str">
        <f t="shared" si="1374"/>
        <v>X</v>
      </c>
      <c r="I6371" s="1" t="str">
        <f t="shared" si="1374"/>
        <v>X</v>
      </c>
      <c r="J6371" s="1" t="str">
        <f t="shared" si="1374"/>
        <v>X</v>
      </c>
      <c r="K6371" s="1" t="str">
        <f t="shared" si="1374"/>
        <v>X</v>
      </c>
      <c r="L6371" s="1" t="str">
        <f t="shared" si="1374"/>
        <v>X</v>
      </c>
      <c r="M6371" s="1" t="str">
        <f t="shared" si="1374"/>
        <v>X</v>
      </c>
      <c r="N6371" t="s">
        <v>27</v>
      </c>
    </row>
    <row r="6372" spans="1:14" x14ac:dyDescent="0.25">
      <c r="A6372" t="s">
        <v>42</v>
      </c>
      <c r="B6372" t="s">
        <v>39</v>
      </c>
      <c r="C6372" t="s">
        <v>35</v>
      </c>
      <c r="D6372" t="s">
        <v>29</v>
      </c>
      <c r="E6372" t="s">
        <v>26</v>
      </c>
      <c r="F6372" t="s">
        <v>15</v>
      </c>
      <c r="G6372" s="1" t="str">
        <f t="shared" si="1374"/>
        <v>X</v>
      </c>
      <c r="H6372" s="1" t="str">
        <f t="shared" si="1374"/>
        <v>X</v>
      </c>
      <c r="I6372" s="1" t="str">
        <f t="shared" si="1374"/>
        <v>X</v>
      </c>
      <c r="J6372" s="1" t="str">
        <f t="shared" si="1374"/>
        <v>X</v>
      </c>
      <c r="K6372" s="1" t="str">
        <f t="shared" si="1374"/>
        <v>X</v>
      </c>
      <c r="L6372" s="1" t="str">
        <f t="shared" si="1374"/>
        <v>X</v>
      </c>
      <c r="M6372" s="1" t="str">
        <f t="shared" si="1374"/>
        <v>X</v>
      </c>
      <c r="N6372" t="s">
        <v>27</v>
      </c>
    </row>
    <row r="6373" spans="1:14" x14ac:dyDescent="0.25">
      <c r="A6373" t="s">
        <v>42</v>
      </c>
      <c r="B6373" t="s">
        <v>39</v>
      </c>
      <c r="C6373" t="s">
        <v>35</v>
      </c>
      <c r="D6373" t="s">
        <v>29</v>
      </c>
      <c r="E6373" t="s">
        <v>26</v>
      </c>
      <c r="F6373" t="s">
        <v>17</v>
      </c>
      <c r="G6373" s="1" t="str">
        <f t="shared" ref="G6373:M6375" si="1375">"..."</f>
        <v>...</v>
      </c>
      <c r="H6373" s="1" t="str">
        <f t="shared" si="1375"/>
        <v>...</v>
      </c>
      <c r="I6373" s="1" t="str">
        <f t="shared" si="1375"/>
        <v>...</v>
      </c>
      <c r="J6373" s="1" t="str">
        <f t="shared" si="1375"/>
        <v>...</v>
      </c>
      <c r="K6373" s="1" t="str">
        <f t="shared" si="1375"/>
        <v>...</v>
      </c>
      <c r="L6373" s="1" t="str">
        <f t="shared" si="1375"/>
        <v>...</v>
      </c>
      <c r="M6373" s="1" t="str">
        <f t="shared" si="1375"/>
        <v>...</v>
      </c>
      <c r="N6373" t="s">
        <v>30</v>
      </c>
    </row>
    <row r="6374" spans="1:14" x14ac:dyDescent="0.25">
      <c r="A6374" t="s">
        <v>42</v>
      </c>
      <c r="B6374" t="s">
        <v>39</v>
      </c>
      <c r="C6374" t="s">
        <v>35</v>
      </c>
      <c r="D6374" t="s">
        <v>29</v>
      </c>
      <c r="E6374" t="s">
        <v>26</v>
      </c>
      <c r="F6374" t="s">
        <v>18</v>
      </c>
      <c r="G6374" s="1" t="str">
        <f t="shared" si="1375"/>
        <v>...</v>
      </c>
      <c r="H6374" s="1" t="str">
        <f t="shared" si="1375"/>
        <v>...</v>
      </c>
      <c r="I6374" s="1" t="str">
        <f t="shared" si="1375"/>
        <v>...</v>
      </c>
      <c r="J6374" s="1" t="str">
        <f t="shared" si="1375"/>
        <v>...</v>
      </c>
      <c r="K6374" s="1" t="str">
        <f t="shared" si="1375"/>
        <v>...</v>
      </c>
      <c r="L6374" s="1" t="str">
        <f t="shared" si="1375"/>
        <v>...</v>
      </c>
      <c r="M6374" s="1" t="str">
        <f t="shared" si="1375"/>
        <v>...</v>
      </c>
      <c r="N6374" t="s">
        <v>30</v>
      </c>
    </row>
    <row r="6375" spans="1:14" x14ac:dyDescent="0.25">
      <c r="A6375" t="s">
        <v>42</v>
      </c>
      <c r="B6375" t="s">
        <v>39</v>
      </c>
      <c r="C6375" t="s">
        <v>35</v>
      </c>
      <c r="D6375" t="s">
        <v>29</v>
      </c>
      <c r="E6375" t="s">
        <v>26</v>
      </c>
      <c r="F6375" t="s">
        <v>19</v>
      </c>
      <c r="G6375" s="1" t="str">
        <f t="shared" si="1375"/>
        <v>...</v>
      </c>
      <c r="H6375" s="1" t="str">
        <f t="shared" si="1375"/>
        <v>...</v>
      </c>
      <c r="I6375" s="1" t="str">
        <f t="shared" si="1375"/>
        <v>...</v>
      </c>
      <c r="J6375" s="1" t="str">
        <f t="shared" si="1375"/>
        <v>...</v>
      </c>
      <c r="K6375" s="1" t="str">
        <f t="shared" si="1375"/>
        <v>...</v>
      </c>
      <c r="L6375" s="1" t="str">
        <f t="shared" si="1375"/>
        <v>...</v>
      </c>
      <c r="M6375" s="1" t="str">
        <f t="shared" si="1375"/>
        <v>...</v>
      </c>
      <c r="N6375" t="s">
        <v>30</v>
      </c>
    </row>
    <row r="6376" spans="1:14" x14ac:dyDescent="0.25">
      <c r="A6376" t="s">
        <v>42</v>
      </c>
      <c r="B6376" t="s">
        <v>39</v>
      </c>
      <c r="C6376" t="s">
        <v>35</v>
      </c>
      <c r="D6376" t="s">
        <v>29</v>
      </c>
      <c r="E6376" t="s">
        <v>26</v>
      </c>
      <c r="F6376" t="s">
        <v>20</v>
      </c>
      <c r="G6376" s="1" t="str">
        <f t="shared" ref="G6376:M6376" si="1376">"X"</f>
        <v>X</v>
      </c>
      <c r="H6376" s="1" t="str">
        <f t="shared" si="1376"/>
        <v>X</v>
      </c>
      <c r="I6376" s="1" t="str">
        <f t="shared" si="1376"/>
        <v>X</v>
      </c>
      <c r="J6376" s="1" t="str">
        <f t="shared" si="1376"/>
        <v>X</v>
      </c>
      <c r="K6376" s="1" t="str">
        <f t="shared" si="1376"/>
        <v>X</v>
      </c>
      <c r="L6376" s="1" t="str">
        <f t="shared" si="1376"/>
        <v>X</v>
      </c>
      <c r="M6376" s="1" t="str">
        <f t="shared" si="1376"/>
        <v>X</v>
      </c>
      <c r="N6376" t="s">
        <v>27</v>
      </c>
    </row>
    <row r="6377" spans="1:14" x14ac:dyDescent="0.25">
      <c r="A6377" t="s">
        <v>42</v>
      </c>
      <c r="B6377" t="s">
        <v>39</v>
      </c>
      <c r="C6377" t="s">
        <v>35</v>
      </c>
      <c r="D6377" t="s">
        <v>31</v>
      </c>
      <c r="E6377" t="s">
        <v>15</v>
      </c>
      <c r="F6377" t="s">
        <v>15</v>
      </c>
      <c r="G6377" s="2">
        <f>VALUE(205.69)</f>
        <v>205.69</v>
      </c>
      <c r="H6377" s="3">
        <f>VALUE(202.53)</f>
        <v>202.53</v>
      </c>
      <c r="I6377" s="4">
        <f>VALUE(3000)</f>
        <v>3000</v>
      </c>
      <c r="J6377" s="1">
        <f>VALUE(3474)</f>
        <v>3474</v>
      </c>
      <c r="K6377" s="1">
        <f>VALUE(3979)</f>
        <v>3979</v>
      </c>
      <c r="L6377" s="1">
        <f>VALUE(4468)</f>
        <v>4468</v>
      </c>
      <c r="M6377" s="8">
        <f>VALUE(5875)</f>
        <v>5875</v>
      </c>
      <c r="N6377" t="s">
        <v>25</v>
      </c>
    </row>
    <row r="6378" spans="1:14" x14ac:dyDescent="0.25">
      <c r="A6378" t="s">
        <v>42</v>
      </c>
      <c r="B6378" t="s">
        <v>39</v>
      </c>
      <c r="C6378" t="s">
        <v>35</v>
      </c>
      <c r="D6378" t="s">
        <v>31</v>
      </c>
      <c r="E6378" t="s">
        <v>15</v>
      </c>
      <c r="F6378" t="s">
        <v>17</v>
      </c>
      <c r="G6378" s="1" t="str">
        <f t="shared" ref="G6378:M6383" si="1377">"X"</f>
        <v>X</v>
      </c>
      <c r="H6378" s="1" t="str">
        <f t="shared" si="1377"/>
        <v>X</v>
      </c>
      <c r="I6378" s="1" t="str">
        <f t="shared" si="1377"/>
        <v>X</v>
      </c>
      <c r="J6378" s="1" t="str">
        <f t="shared" si="1377"/>
        <v>X</v>
      </c>
      <c r="K6378" s="1" t="str">
        <f t="shared" si="1377"/>
        <v>X</v>
      </c>
      <c r="L6378" s="1" t="str">
        <f t="shared" si="1377"/>
        <v>X</v>
      </c>
      <c r="M6378" s="1" t="str">
        <f t="shared" si="1377"/>
        <v>X</v>
      </c>
      <c r="N6378" t="s">
        <v>27</v>
      </c>
    </row>
    <row r="6379" spans="1:14" x14ac:dyDescent="0.25">
      <c r="A6379" t="s">
        <v>42</v>
      </c>
      <c r="B6379" t="s">
        <v>39</v>
      </c>
      <c r="C6379" t="s">
        <v>35</v>
      </c>
      <c r="D6379" t="s">
        <v>31</v>
      </c>
      <c r="E6379" t="s">
        <v>15</v>
      </c>
      <c r="F6379" t="s">
        <v>18</v>
      </c>
      <c r="G6379" s="1" t="str">
        <f t="shared" si="1377"/>
        <v>X</v>
      </c>
      <c r="H6379" s="1" t="str">
        <f t="shared" si="1377"/>
        <v>X</v>
      </c>
      <c r="I6379" s="1" t="str">
        <f t="shared" si="1377"/>
        <v>X</v>
      </c>
      <c r="J6379" s="1" t="str">
        <f t="shared" si="1377"/>
        <v>X</v>
      </c>
      <c r="K6379" s="1" t="str">
        <f t="shared" si="1377"/>
        <v>X</v>
      </c>
      <c r="L6379" s="1" t="str">
        <f t="shared" si="1377"/>
        <v>X</v>
      </c>
      <c r="M6379" s="1" t="str">
        <f t="shared" si="1377"/>
        <v>X</v>
      </c>
      <c r="N6379" t="s">
        <v>27</v>
      </c>
    </row>
    <row r="6380" spans="1:14" x14ac:dyDescent="0.25">
      <c r="A6380" t="s">
        <v>42</v>
      </c>
      <c r="B6380" t="s">
        <v>39</v>
      </c>
      <c r="C6380" t="s">
        <v>35</v>
      </c>
      <c r="D6380" t="s">
        <v>31</v>
      </c>
      <c r="E6380" t="s">
        <v>15</v>
      </c>
      <c r="F6380" t="s">
        <v>19</v>
      </c>
      <c r="G6380" s="1" t="str">
        <f t="shared" si="1377"/>
        <v>X</v>
      </c>
      <c r="H6380" s="1" t="str">
        <f t="shared" si="1377"/>
        <v>X</v>
      </c>
      <c r="I6380" s="1" t="str">
        <f t="shared" si="1377"/>
        <v>X</v>
      </c>
      <c r="J6380" s="1" t="str">
        <f t="shared" si="1377"/>
        <v>X</v>
      </c>
      <c r="K6380" s="1" t="str">
        <f t="shared" si="1377"/>
        <v>X</v>
      </c>
      <c r="L6380" s="1" t="str">
        <f t="shared" si="1377"/>
        <v>X</v>
      </c>
      <c r="M6380" s="1" t="str">
        <f t="shared" si="1377"/>
        <v>X</v>
      </c>
      <c r="N6380" t="s">
        <v>27</v>
      </c>
    </row>
    <row r="6381" spans="1:14" x14ac:dyDescent="0.25">
      <c r="A6381" t="s">
        <v>42</v>
      </c>
      <c r="B6381" t="s">
        <v>39</v>
      </c>
      <c r="C6381" t="s">
        <v>35</v>
      </c>
      <c r="D6381" t="s">
        <v>31</v>
      </c>
      <c r="E6381" t="s">
        <v>15</v>
      </c>
      <c r="F6381" t="s">
        <v>20</v>
      </c>
      <c r="G6381" s="1" t="str">
        <f t="shared" si="1377"/>
        <v>X</v>
      </c>
      <c r="H6381" s="1" t="str">
        <f t="shared" si="1377"/>
        <v>X</v>
      </c>
      <c r="I6381" s="1" t="str">
        <f t="shared" si="1377"/>
        <v>X</v>
      </c>
      <c r="J6381" s="1" t="str">
        <f t="shared" si="1377"/>
        <v>X</v>
      </c>
      <c r="K6381" s="1" t="str">
        <f t="shared" si="1377"/>
        <v>X</v>
      </c>
      <c r="L6381" s="1" t="str">
        <f t="shared" si="1377"/>
        <v>X</v>
      </c>
      <c r="M6381" s="1" t="str">
        <f t="shared" si="1377"/>
        <v>X</v>
      </c>
      <c r="N6381" t="s">
        <v>27</v>
      </c>
    </row>
    <row r="6382" spans="1:14" x14ac:dyDescent="0.25">
      <c r="A6382" t="s">
        <v>42</v>
      </c>
      <c r="B6382" t="s">
        <v>39</v>
      </c>
      <c r="C6382" t="s">
        <v>35</v>
      </c>
      <c r="D6382" t="s">
        <v>31</v>
      </c>
      <c r="E6382" t="s">
        <v>21</v>
      </c>
      <c r="F6382" t="s">
        <v>15</v>
      </c>
      <c r="G6382" s="1" t="str">
        <f t="shared" si="1377"/>
        <v>X</v>
      </c>
      <c r="H6382" s="1" t="str">
        <f t="shared" si="1377"/>
        <v>X</v>
      </c>
      <c r="I6382" s="1" t="str">
        <f t="shared" si="1377"/>
        <v>X</v>
      </c>
      <c r="J6382" s="1" t="str">
        <f t="shared" si="1377"/>
        <v>X</v>
      </c>
      <c r="K6382" s="1" t="str">
        <f t="shared" si="1377"/>
        <v>X</v>
      </c>
      <c r="L6382" s="1" t="str">
        <f t="shared" si="1377"/>
        <v>X</v>
      </c>
      <c r="M6382" s="1" t="str">
        <f t="shared" si="1377"/>
        <v>X</v>
      </c>
      <c r="N6382" t="s">
        <v>27</v>
      </c>
    </row>
    <row r="6383" spans="1:14" x14ac:dyDescent="0.25">
      <c r="A6383" t="s">
        <v>42</v>
      </c>
      <c r="B6383" t="s">
        <v>39</v>
      </c>
      <c r="C6383" t="s">
        <v>35</v>
      </c>
      <c r="D6383" t="s">
        <v>31</v>
      </c>
      <c r="E6383" t="s">
        <v>21</v>
      </c>
      <c r="F6383" t="s">
        <v>17</v>
      </c>
      <c r="G6383" s="1" t="str">
        <f t="shared" si="1377"/>
        <v>X</v>
      </c>
      <c r="H6383" s="1" t="str">
        <f t="shared" si="1377"/>
        <v>X</v>
      </c>
      <c r="I6383" s="1" t="str">
        <f t="shared" si="1377"/>
        <v>X</v>
      </c>
      <c r="J6383" s="1" t="str">
        <f t="shared" si="1377"/>
        <v>X</v>
      </c>
      <c r="K6383" s="1" t="str">
        <f t="shared" si="1377"/>
        <v>X</v>
      </c>
      <c r="L6383" s="1" t="str">
        <f t="shared" si="1377"/>
        <v>X</v>
      </c>
      <c r="M6383" s="1" t="str">
        <f t="shared" si="1377"/>
        <v>X</v>
      </c>
      <c r="N6383" t="s">
        <v>27</v>
      </c>
    </row>
    <row r="6384" spans="1:14" x14ac:dyDescent="0.25">
      <c r="A6384" t="s">
        <v>42</v>
      </c>
      <c r="B6384" t="s">
        <v>39</v>
      </c>
      <c r="C6384" t="s">
        <v>35</v>
      </c>
      <c r="D6384" t="s">
        <v>31</v>
      </c>
      <c r="E6384" t="s">
        <v>21</v>
      </c>
      <c r="F6384" t="s">
        <v>18</v>
      </c>
      <c r="G6384" s="1" t="str">
        <f t="shared" ref="G6384:M6384" si="1378">"..."</f>
        <v>...</v>
      </c>
      <c r="H6384" s="1" t="str">
        <f t="shared" si="1378"/>
        <v>...</v>
      </c>
      <c r="I6384" s="1" t="str">
        <f t="shared" si="1378"/>
        <v>...</v>
      </c>
      <c r="J6384" s="1" t="str">
        <f t="shared" si="1378"/>
        <v>...</v>
      </c>
      <c r="K6384" s="1" t="str">
        <f t="shared" si="1378"/>
        <v>...</v>
      </c>
      <c r="L6384" s="1" t="str">
        <f t="shared" si="1378"/>
        <v>...</v>
      </c>
      <c r="M6384" s="1" t="str">
        <f t="shared" si="1378"/>
        <v>...</v>
      </c>
      <c r="N6384" t="s">
        <v>30</v>
      </c>
    </row>
    <row r="6385" spans="1:14" x14ac:dyDescent="0.25">
      <c r="A6385" t="s">
        <v>42</v>
      </c>
      <c r="B6385" t="s">
        <v>39</v>
      </c>
      <c r="C6385" t="s">
        <v>35</v>
      </c>
      <c r="D6385" t="s">
        <v>31</v>
      </c>
      <c r="E6385" t="s">
        <v>21</v>
      </c>
      <c r="F6385" t="s">
        <v>19</v>
      </c>
      <c r="G6385" s="1" t="str">
        <f t="shared" ref="G6385:M6388" si="1379">"X"</f>
        <v>X</v>
      </c>
      <c r="H6385" s="1" t="str">
        <f t="shared" si="1379"/>
        <v>X</v>
      </c>
      <c r="I6385" s="1" t="str">
        <f t="shared" si="1379"/>
        <v>X</v>
      </c>
      <c r="J6385" s="1" t="str">
        <f t="shared" si="1379"/>
        <v>X</v>
      </c>
      <c r="K6385" s="1" t="str">
        <f t="shared" si="1379"/>
        <v>X</v>
      </c>
      <c r="L6385" s="1" t="str">
        <f t="shared" si="1379"/>
        <v>X</v>
      </c>
      <c r="M6385" s="1" t="str">
        <f t="shared" si="1379"/>
        <v>X</v>
      </c>
      <c r="N6385" t="s">
        <v>27</v>
      </c>
    </row>
    <row r="6386" spans="1:14" x14ac:dyDescent="0.25">
      <c r="A6386" t="s">
        <v>42</v>
      </c>
      <c r="B6386" t="s">
        <v>39</v>
      </c>
      <c r="C6386" t="s">
        <v>35</v>
      </c>
      <c r="D6386" t="s">
        <v>31</v>
      </c>
      <c r="E6386" t="s">
        <v>21</v>
      </c>
      <c r="F6386" t="s">
        <v>20</v>
      </c>
      <c r="G6386" s="1" t="str">
        <f t="shared" si="1379"/>
        <v>X</v>
      </c>
      <c r="H6386" s="1" t="str">
        <f t="shared" si="1379"/>
        <v>X</v>
      </c>
      <c r="I6386" s="1" t="str">
        <f t="shared" si="1379"/>
        <v>X</v>
      </c>
      <c r="J6386" s="1" t="str">
        <f t="shared" si="1379"/>
        <v>X</v>
      </c>
      <c r="K6386" s="1" t="str">
        <f t="shared" si="1379"/>
        <v>X</v>
      </c>
      <c r="L6386" s="1" t="str">
        <f t="shared" si="1379"/>
        <v>X</v>
      </c>
      <c r="M6386" s="1" t="str">
        <f t="shared" si="1379"/>
        <v>X</v>
      </c>
      <c r="N6386" t="s">
        <v>27</v>
      </c>
    </row>
    <row r="6387" spans="1:14" x14ac:dyDescent="0.25">
      <c r="A6387" t="s">
        <v>42</v>
      </c>
      <c r="B6387" t="s">
        <v>39</v>
      </c>
      <c r="C6387" t="s">
        <v>35</v>
      </c>
      <c r="D6387" t="s">
        <v>31</v>
      </c>
      <c r="E6387" t="s">
        <v>22</v>
      </c>
      <c r="F6387" t="s">
        <v>15</v>
      </c>
      <c r="G6387" s="1" t="str">
        <f t="shared" si="1379"/>
        <v>X</v>
      </c>
      <c r="H6387" s="1" t="str">
        <f t="shared" si="1379"/>
        <v>X</v>
      </c>
      <c r="I6387" s="1" t="str">
        <f t="shared" si="1379"/>
        <v>X</v>
      </c>
      <c r="J6387" s="1" t="str">
        <f t="shared" si="1379"/>
        <v>X</v>
      </c>
      <c r="K6387" s="1" t="str">
        <f t="shared" si="1379"/>
        <v>X</v>
      </c>
      <c r="L6387" s="1" t="str">
        <f t="shared" si="1379"/>
        <v>X</v>
      </c>
      <c r="M6387" s="1" t="str">
        <f t="shared" si="1379"/>
        <v>X</v>
      </c>
      <c r="N6387" t="s">
        <v>27</v>
      </c>
    </row>
    <row r="6388" spans="1:14" x14ac:dyDescent="0.25">
      <c r="A6388" t="s">
        <v>42</v>
      </c>
      <c r="B6388" t="s">
        <v>39</v>
      </c>
      <c r="C6388" t="s">
        <v>35</v>
      </c>
      <c r="D6388" t="s">
        <v>31</v>
      </c>
      <c r="E6388" t="s">
        <v>22</v>
      </c>
      <c r="F6388" t="s">
        <v>17</v>
      </c>
      <c r="G6388" s="1" t="str">
        <f t="shared" si="1379"/>
        <v>X</v>
      </c>
      <c r="H6388" s="1" t="str">
        <f t="shared" si="1379"/>
        <v>X</v>
      </c>
      <c r="I6388" s="1" t="str">
        <f t="shared" si="1379"/>
        <v>X</v>
      </c>
      <c r="J6388" s="1" t="str">
        <f t="shared" si="1379"/>
        <v>X</v>
      </c>
      <c r="K6388" s="1" t="str">
        <f t="shared" si="1379"/>
        <v>X</v>
      </c>
      <c r="L6388" s="1" t="str">
        <f t="shared" si="1379"/>
        <v>X</v>
      </c>
      <c r="M6388" s="1" t="str">
        <f t="shared" si="1379"/>
        <v>X</v>
      </c>
      <c r="N6388" t="s">
        <v>27</v>
      </c>
    </row>
    <row r="6389" spans="1:14" x14ac:dyDescent="0.25">
      <c r="A6389" t="s">
        <v>42</v>
      </c>
      <c r="B6389" t="s">
        <v>39</v>
      </c>
      <c r="C6389" t="s">
        <v>35</v>
      </c>
      <c r="D6389" t="s">
        <v>31</v>
      </c>
      <c r="E6389" t="s">
        <v>22</v>
      </c>
      <c r="F6389" t="s">
        <v>18</v>
      </c>
      <c r="G6389" s="1" t="str">
        <f t="shared" ref="G6389:M6389" si="1380">"..."</f>
        <v>...</v>
      </c>
      <c r="H6389" s="1" t="str">
        <f t="shared" si="1380"/>
        <v>...</v>
      </c>
      <c r="I6389" s="1" t="str">
        <f t="shared" si="1380"/>
        <v>...</v>
      </c>
      <c r="J6389" s="1" t="str">
        <f t="shared" si="1380"/>
        <v>...</v>
      </c>
      <c r="K6389" s="1" t="str">
        <f t="shared" si="1380"/>
        <v>...</v>
      </c>
      <c r="L6389" s="1" t="str">
        <f t="shared" si="1380"/>
        <v>...</v>
      </c>
      <c r="M6389" s="1" t="str">
        <f t="shared" si="1380"/>
        <v>...</v>
      </c>
      <c r="N6389" t="s">
        <v>30</v>
      </c>
    </row>
    <row r="6390" spans="1:14" x14ac:dyDescent="0.25">
      <c r="A6390" t="s">
        <v>42</v>
      </c>
      <c r="B6390" t="s">
        <v>39</v>
      </c>
      <c r="C6390" t="s">
        <v>35</v>
      </c>
      <c r="D6390" t="s">
        <v>31</v>
      </c>
      <c r="E6390" t="s">
        <v>22</v>
      </c>
      <c r="F6390" t="s">
        <v>19</v>
      </c>
      <c r="G6390" s="1" t="str">
        <f t="shared" ref="G6390:M6394" si="1381">"X"</f>
        <v>X</v>
      </c>
      <c r="H6390" s="1" t="str">
        <f t="shared" si="1381"/>
        <v>X</v>
      </c>
      <c r="I6390" s="1" t="str">
        <f t="shared" si="1381"/>
        <v>X</v>
      </c>
      <c r="J6390" s="1" t="str">
        <f t="shared" si="1381"/>
        <v>X</v>
      </c>
      <c r="K6390" s="1" t="str">
        <f t="shared" si="1381"/>
        <v>X</v>
      </c>
      <c r="L6390" s="1" t="str">
        <f t="shared" si="1381"/>
        <v>X</v>
      </c>
      <c r="M6390" s="1" t="str">
        <f t="shared" si="1381"/>
        <v>X</v>
      </c>
      <c r="N6390" t="s">
        <v>27</v>
      </c>
    </row>
    <row r="6391" spans="1:14" x14ac:dyDescent="0.25">
      <c r="A6391" t="s">
        <v>42</v>
      </c>
      <c r="B6391" t="s">
        <v>39</v>
      </c>
      <c r="C6391" t="s">
        <v>35</v>
      </c>
      <c r="D6391" t="s">
        <v>31</v>
      </c>
      <c r="E6391" t="s">
        <v>22</v>
      </c>
      <c r="F6391" t="s">
        <v>20</v>
      </c>
      <c r="G6391" s="1" t="str">
        <f t="shared" si="1381"/>
        <v>X</v>
      </c>
      <c r="H6391" s="1" t="str">
        <f t="shared" si="1381"/>
        <v>X</v>
      </c>
      <c r="I6391" s="1" t="str">
        <f t="shared" si="1381"/>
        <v>X</v>
      </c>
      <c r="J6391" s="1" t="str">
        <f t="shared" si="1381"/>
        <v>X</v>
      </c>
      <c r="K6391" s="1" t="str">
        <f t="shared" si="1381"/>
        <v>X</v>
      </c>
      <c r="L6391" s="1" t="str">
        <f t="shared" si="1381"/>
        <v>X</v>
      </c>
      <c r="M6391" s="1" t="str">
        <f t="shared" si="1381"/>
        <v>X</v>
      </c>
      <c r="N6391" t="s">
        <v>27</v>
      </c>
    </row>
    <row r="6392" spans="1:14" x14ac:dyDescent="0.25">
      <c r="A6392" t="s">
        <v>42</v>
      </c>
      <c r="B6392" t="s">
        <v>39</v>
      </c>
      <c r="C6392" t="s">
        <v>35</v>
      </c>
      <c r="D6392" t="s">
        <v>31</v>
      </c>
      <c r="E6392" t="s">
        <v>23</v>
      </c>
      <c r="F6392" t="s">
        <v>15</v>
      </c>
      <c r="G6392" s="1" t="str">
        <f t="shared" si="1381"/>
        <v>X</v>
      </c>
      <c r="H6392" s="1" t="str">
        <f t="shared" si="1381"/>
        <v>X</v>
      </c>
      <c r="I6392" s="1" t="str">
        <f t="shared" si="1381"/>
        <v>X</v>
      </c>
      <c r="J6392" s="1" t="str">
        <f t="shared" si="1381"/>
        <v>X</v>
      </c>
      <c r="K6392" s="1" t="str">
        <f t="shared" si="1381"/>
        <v>X</v>
      </c>
      <c r="L6392" s="1" t="str">
        <f t="shared" si="1381"/>
        <v>X</v>
      </c>
      <c r="M6392" s="1" t="str">
        <f t="shared" si="1381"/>
        <v>X</v>
      </c>
      <c r="N6392" t="s">
        <v>27</v>
      </c>
    </row>
    <row r="6393" spans="1:14" x14ac:dyDescent="0.25">
      <c r="A6393" t="s">
        <v>42</v>
      </c>
      <c r="B6393" t="s">
        <v>39</v>
      </c>
      <c r="C6393" t="s">
        <v>35</v>
      </c>
      <c r="D6393" t="s">
        <v>31</v>
      </c>
      <c r="E6393" t="s">
        <v>23</v>
      </c>
      <c r="F6393" t="s">
        <v>17</v>
      </c>
      <c r="G6393" s="1" t="str">
        <f t="shared" si="1381"/>
        <v>X</v>
      </c>
      <c r="H6393" s="1" t="str">
        <f t="shared" si="1381"/>
        <v>X</v>
      </c>
      <c r="I6393" s="1" t="str">
        <f t="shared" si="1381"/>
        <v>X</v>
      </c>
      <c r="J6393" s="1" t="str">
        <f t="shared" si="1381"/>
        <v>X</v>
      </c>
      <c r="K6393" s="1" t="str">
        <f t="shared" si="1381"/>
        <v>X</v>
      </c>
      <c r="L6393" s="1" t="str">
        <f t="shared" si="1381"/>
        <v>X</v>
      </c>
      <c r="M6393" s="1" t="str">
        <f t="shared" si="1381"/>
        <v>X</v>
      </c>
      <c r="N6393" t="s">
        <v>27</v>
      </c>
    </row>
    <row r="6394" spans="1:14" x14ac:dyDescent="0.25">
      <c r="A6394" t="s">
        <v>42</v>
      </c>
      <c r="B6394" t="s">
        <v>39</v>
      </c>
      <c r="C6394" t="s">
        <v>35</v>
      </c>
      <c r="D6394" t="s">
        <v>31</v>
      </c>
      <c r="E6394" t="s">
        <v>23</v>
      </c>
      <c r="F6394" t="s">
        <v>18</v>
      </c>
      <c r="G6394" s="1" t="str">
        <f t="shared" si="1381"/>
        <v>X</v>
      </c>
      <c r="H6394" s="1" t="str">
        <f t="shared" si="1381"/>
        <v>X</v>
      </c>
      <c r="I6394" s="1" t="str">
        <f t="shared" si="1381"/>
        <v>X</v>
      </c>
      <c r="J6394" s="1" t="str">
        <f t="shared" si="1381"/>
        <v>X</v>
      </c>
      <c r="K6394" s="1" t="str">
        <f t="shared" si="1381"/>
        <v>X</v>
      </c>
      <c r="L6394" s="1" t="str">
        <f t="shared" si="1381"/>
        <v>X</v>
      </c>
      <c r="M6394" s="1" t="str">
        <f t="shared" si="1381"/>
        <v>X</v>
      </c>
      <c r="N6394" t="s">
        <v>27</v>
      </c>
    </row>
    <row r="6395" spans="1:14" x14ac:dyDescent="0.25">
      <c r="A6395" t="s">
        <v>42</v>
      </c>
      <c r="B6395" t="s">
        <v>39</v>
      </c>
      <c r="C6395" t="s">
        <v>35</v>
      </c>
      <c r="D6395" t="s">
        <v>31</v>
      </c>
      <c r="E6395" t="s">
        <v>23</v>
      </c>
      <c r="F6395" t="s">
        <v>19</v>
      </c>
      <c r="G6395" s="1" t="str">
        <f t="shared" ref="G6395:M6395" si="1382">"..."</f>
        <v>...</v>
      </c>
      <c r="H6395" s="1" t="str">
        <f t="shared" si="1382"/>
        <v>...</v>
      </c>
      <c r="I6395" s="1" t="str">
        <f t="shared" si="1382"/>
        <v>...</v>
      </c>
      <c r="J6395" s="1" t="str">
        <f t="shared" si="1382"/>
        <v>...</v>
      </c>
      <c r="K6395" s="1" t="str">
        <f t="shared" si="1382"/>
        <v>...</v>
      </c>
      <c r="L6395" s="1" t="str">
        <f t="shared" si="1382"/>
        <v>...</v>
      </c>
      <c r="M6395" s="1" t="str">
        <f t="shared" si="1382"/>
        <v>...</v>
      </c>
      <c r="N6395" t="s">
        <v>30</v>
      </c>
    </row>
    <row r="6396" spans="1:14" x14ac:dyDescent="0.25">
      <c r="A6396" t="s">
        <v>42</v>
      </c>
      <c r="B6396" t="s">
        <v>39</v>
      </c>
      <c r="C6396" t="s">
        <v>35</v>
      </c>
      <c r="D6396" t="s">
        <v>31</v>
      </c>
      <c r="E6396" t="s">
        <v>23</v>
      </c>
      <c r="F6396" t="s">
        <v>20</v>
      </c>
      <c r="G6396" s="1" t="str">
        <f t="shared" ref="G6396:M6397" si="1383">"X"</f>
        <v>X</v>
      </c>
      <c r="H6396" s="1" t="str">
        <f t="shared" si="1383"/>
        <v>X</v>
      </c>
      <c r="I6396" s="1" t="str">
        <f t="shared" si="1383"/>
        <v>X</v>
      </c>
      <c r="J6396" s="1" t="str">
        <f t="shared" si="1383"/>
        <v>X</v>
      </c>
      <c r="K6396" s="1" t="str">
        <f t="shared" si="1383"/>
        <v>X</v>
      </c>
      <c r="L6396" s="1" t="str">
        <f t="shared" si="1383"/>
        <v>X</v>
      </c>
      <c r="M6396" s="1" t="str">
        <f t="shared" si="1383"/>
        <v>X</v>
      </c>
      <c r="N6396" t="s">
        <v>27</v>
      </c>
    </row>
    <row r="6397" spans="1:14" x14ac:dyDescent="0.25">
      <c r="A6397" t="s">
        <v>42</v>
      </c>
      <c r="B6397" t="s">
        <v>39</v>
      </c>
      <c r="C6397" t="s">
        <v>35</v>
      </c>
      <c r="D6397" t="s">
        <v>31</v>
      </c>
      <c r="E6397" t="s">
        <v>26</v>
      </c>
      <c r="F6397" t="s">
        <v>15</v>
      </c>
      <c r="G6397" s="1" t="str">
        <f t="shared" si="1383"/>
        <v>X</v>
      </c>
      <c r="H6397" s="1" t="str">
        <f t="shared" si="1383"/>
        <v>X</v>
      </c>
      <c r="I6397" s="1" t="str">
        <f t="shared" si="1383"/>
        <v>X</v>
      </c>
      <c r="J6397" s="1" t="str">
        <f t="shared" si="1383"/>
        <v>X</v>
      </c>
      <c r="K6397" s="1" t="str">
        <f t="shared" si="1383"/>
        <v>X</v>
      </c>
      <c r="L6397" s="1" t="str">
        <f t="shared" si="1383"/>
        <v>X</v>
      </c>
      <c r="M6397" s="1" t="str">
        <f t="shared" si="1383"/>
        <v>X</v>
      </c>
      <c r="N6397" t="s">
        <v>27</v>
      </c>
    </row>
    <row r="6398" spans="1:14" x14ac:dyDescent="0.25">
      <c r="A6398" t="s">
        <v>42</v>
      </c>
      <c r="B6398" t="s">
        <v>39</v>
      </c>
      <c r="C6398" t="s">
        <v>35</v>
      </c>
      <c r="D6398" t="s">
        <v>31</v>
      </c>
      <c r="E6398" t="s">
        <v>26</v>
      </c>
      <c r="F6398" t="s">
        <v>17</v>
      </c>
      <c r="G6398" s="1" t="str">
        <f t="shared" ref="G6398:M6400" si="1384">"..."</f>
        <v>...</v>
      </c>
      <c r="H6398" s="1" t="str">
        <f t="shared" si="1384"/>
        <v>...</v>
      </c>
      <c r="I6398" s="1" t="str">
        <f t="shared" si="1384"/>
        <v>...</v>
      </c>
      <c r="J6398" s="1" t="str">
        <f t="shared" si="1384"/>
        <v>...</v>
      </c>
      <c r="K6398" s="1" t="str">
        <f t="shared" si="1384"/>
        <v>...</v>
      </c>
      <c r="L6398" s="1" t="str">
        <f t="shared" si="1384"/>
        <v>...</v>
      </c>
      <c r="M6398" s="1" t="str">
        <f t="shared" si="1384"/>
        <v>...</v>
      </c>
      <c r="N6398" t="s">
        <v>30</v>
      </c>
    </row>
    <row r="6399" spans="1:14" x14ac:dyDescent="0.25">
      <c r="A6399" t="s">
        <v>42</v>
      </c>
      <c r="B6399" t="s">
        <v>39</v>
      </c>
      <c r="C6399" t="s">
        <v>35</v>
      </c>
      <c r="D6399" t="s">
        <v>31</v>
      </c>
      <c r="E6399" t="s">
        <v>26</v>
      </c>
      <c r="F6399" t="s">
        <v>18</v>
      </c>
      <c r="G6399" s="1" t="str">
        <f t="shared" si="1384"/>
        <v>...</v>
      </c>
      <c r="H6399" s="1" t="str">
        <f t="shared" si="1384"/>
        <v>...</v>
      </c>
      <c r="I6399" s="1" t="str">
        <f t="shared" si="1384"/>
        <v>...</v>
      </c>
      <c r="J6399" s="1" t="str">
        <f t="shared" si="1384"/>
        <v>...</v>
      </c>
      <c r="K6399" s="1" t="str">
        <f t="shared" si="1384"/>
        <v>...</v>
      </c>
      <c r="L6399" s="1" t="str">
        <f t="shared" si="1384"/>
        <v>...</v>
      </c>
      <c r="M6399" s="1" t="str">
        <f t="shared" si="1384"/>
        <v>...</v>
      </c>
      <c r="N6399" t="s">
        <v>30</v>
      </c>
    </row>
    <row r="6400" spans="1:14" x14ac:dyDescent="0.25">
      <c r="A6400" t="s">
        <v>42</v>
      </c>
      <c r="B6400" t="s">
        <v>39</v>
      </c>
      <c r="C6400" t="s">
        <v>35</v>
      </c>
      <c r="D6400" t="s">
        <v>31</v>
      </c>
      <c r="E6400" t="s">
        <v>26</v>
      </c>
      <c r="F6400" t="s">
        <v>19</v>
      </c>
      <c r="G6400" s="1" t="str">
        <f t="shared" si="1384"/>
        <v>...</v>
      </c>
      <c r="H6400" s="1" t="str">
        <f t="shared" si="1384"/>
        <v>...</v>
      </c>
      <c r="I6400" s="1" t="str">
        <f t="shared" si="1384"/>
        <v>...</v>
      </c>
      <c r="J6400" s="1" t="str">
        <f t="shared" si="1384"/>
        <v>...</v>
      </c>
      <c r="K6400" s="1" t="str">
        <f t="shared" si="1384"/>
        <v>...</v>
      </c>
      <c r="L6400" s="1" t="str">
        <f t="shared" si="1384"/>
        <v>...</v>
      </c>
      <c r="M6400" s="1" t="str">
        <f t="shared" si="1384"/>
        <v>...</v>
      </c>
      <c r="N6400" t="s">
        <v>30</v>
      </c>
    </row>
    <row r="6401" spans="1:14" x14ac:dyDescent="0.25">
      <c r="A6401" t="s">
        <v>42</v>
      </c>
      <c r="B6401" t="s">
        <v>39</v>
      </c>
      <c r="C6401" t="s">
        <v>35</v>
      </c>
      <c r="D6401" t="s">
        <v>31</v>
      </c>
      <c r="E6401" t="s">
        <v>26</v>
      </c>
      <c r="F6401" t="s">
        <v>20</v>
      </c>
      <c r="G6401" s="1" t="str">
        <f t="shared" ref="G6401:M6401" si="1385">"X"</f>
        <v>X</v>
      </c>
      <c r="H6401" s="1" t="str">
        <f t="shared" si="1385"/>
        <v>X</v>
      </c>
      <c r="I6401" s="1" t="str">
        <f t="shared" si="1385"/>
        <v>X</v>
      </c>
      <c r="J6401" s="1" t="str">
        <f t="shared" si="1385"/>
        <v>X</v>
      </c>
      <c r="K6401" s="1" t="str">
        <f t="shared" si="1385"/>
        <v>X</v>
      </c>
      <c r="L6401" s="1" t="str">
        <f t="shared" si="1385"/>
        <v>X</v>
      </c>
      <c r="M6401" s="1" t="str">
        <f t="shared" si="1385"/>
        <v>X</v>
      </c>
      <c r="N6401" t="s">
        <v>27</v>
      </c>
    </row>
    <row r="6402" spans="1:14" x14ac:dyDescent="0.25">
      <c r="A6402" t="s">
        <v>42</v>
      </c>
      <c r="B6402" t="s">
        <v>39</v>
      </c>
      <c r="C6402" t="s">
        <v>35</v>
      </c>
      <c r="D6402" t="s">
        <v>32</v>
      </c>
      <c r="E6402" t="s">
        <v>15</v>
      </c>
      <c r="F6402" t="s">
        <v>15</v>
      </c>
      <c r="G6402" s="2">
        <f>VALUE(1061.08)</f>
        <v>1061.08</v>
      </c>
      <c r="H6402" s="3">
        <f>VALUE(1065.37)</f>
        <v>1065.3699999999999</v>
      </c>
      <c r="I6402" s="4">
        <f>VALUE(2157)</f>
        <v>2157</v>
      </c>
      <c r="J6402" s="5">
        <f>VALUE(3003)</f>
        <v>3003</v>
      </c>
      <c r="K6402" s="1">
        <f>VALUE(3534)</f>
        <v>3534</v>
      </c>
      <c r="L6402" s="1">
        <f>VALUE(4141)</f>
        <v>4141</v>
      </c>
      <c r="M6402" s="1">
        <f>VALUE(4648)</f>
        <v>4648</v>
      </c>
      <c r="N6402" t="s">
        <v>25</v>
      </c>
    </row>
    <row r="6403" spans="1:14" x14ac:dyDescent="0.25">
      <c r="A6403" t="s">
        <v>42</v>
      </c>
      <c r="B6403" t="s">
        <v>39</v>
      </c>
      <c r="C6403" t="s">
        <v>35</v>
      </c>
      <c r="D6403" t="s">
        <v>32</v>
      </c>
      <c r="E6403" t="s">
        <v>15</v>
      </c>
      <c r="F6403" t="s">
        <v>17</v>
      </c>
      <c r="G6403" s="1" t="str">
        <f t="shared" ref="G6403:M6405" si="1386">"X"</f>
        <v>X</v>
      </c>
      <c r="H6403" s="1" t="str">
        <f t="shared" si="1386"/>
        <v>X</v>
      </c>
      <c r="I6403" s="1" t="str">
        <f t="shared" si="1386"/>
        <v>X</v>
      </c>
      <c r="J6403" s="1" t="str">
        <f t="shared" si="1386"/>
        <v>X</v>
      </c>
      <c r="K6403" s="1" t="str">
        <f t="shared" si="1386"/>
        <v>X</v>
      </c>
      <c r="L6403" s="1" t="str">
        <f t="shared" si="1386"/>
        <v>X</v>
      </c>
      <c r="M6403" s="1" t="str">
        <f t="shared" si="1386"/>
        <v>X</v>
      </c>
      <c r="N6403" t="s">
        <v>27</v>
      </c>
    </row>
    <row r="6404" spans="1:14" x14ac:dyDescent="0.25">
      <c r="A6404" t="s">
        <v>42</v>
      </c>
      <c r="B6404" t="s">
        <v>39</v>
      </c>
      <c r="C6404" t="s">
        <v>35</v>
      </c>
      <c r="D6404" t="s">
        <v>32</v>
      </c>
      <c r="E6404" t="s">
        <v>15</v>
      </c>
      <c r="F6404" t="s">
        <v>18</v>
      </c>
      <c r="G6404" s="1" t="str">
        <f t="shared" si="1386"/>
        <v>X</v>
      </c>
      <c r="H6404" s="1" t="str">
        <f t="shared" si="1386"/>
        <v>X</v>
      </c>
      <c r="I6404" s="1" t="str">
        <f t="shared" si="1386"/>
        <v>X</v>
      </c>
      <c r="J6404" s="1" t="str">
        <f t="shared" si="1386"/>
        <v>X</v>
      </c>
      <c r="K6404" s="1" t="str">
        <f t="shared" si="1386"/>
        <v>X</v>
      </c>
      <c r="L6404" s="1" t="str">
        <f t="shared" si="1386"/>
        <v>X</v>
      </c>
      <c r="M6404" s="1" t="str">
        <f t="shared" si="1386"/>
        <v>X</v>
      </c>
      <c r="N6404" t="s">
        <v>27</v>
      </c>
    </row>
    <row r="6405" spans="1:14" x14ac:dyDescent="0.25">
      <c r="A6405" t="s">
        <v>42</v>
      </c>
      <c r="B6405" t="s">
        <v>39</v>
      </c>
      <c r="C6405" t="s">
        <v>35</v>
      </c>
      <c r="D6405" t="s">
        <v>32</v>
      </c>
      <c r="E6405" t="s">
        <v>15</v>
      </c>
      <c r="F6405" t="s">
        <v>19</v>
      </c>
      <c r="G6405" s="1" t="str">
        <f t="shared" si="1386"/>
        <v>X</v>
      </c>
      <c r="H6405" s="1" t="str">
        <f t="shared" si="1386"/>
        <v>X</v>
      </c>
      <c r="I6405" s="1" t="str">
        <f t="shared" si="1386"/>
        <v>X</v>
      </c>
      <c r="J6405" s="1" t="str">
        <f t="shared" si="1386"/>
        <v>X</v>
      </c>
      <c r="K6405" s="1" t="str">
        <f t="shared" si="1386"/>
        <v>X</v>
      </c>
      <c r="L6405" s="1" t="str">
        <f t="shared" si="1386"/>
        <v>X</v>
      </c>
      <c r="M6405" s="1" t="str">
        <f t="shared" si="1386"/>
        <v>X</v>
      </c>
      <c r="N6405" t="s">
        <v>27</v>
      </c>
    </row>
    <row r="6406" spans="1:14" x14ac:dyDescent="0.25">
      <c r="A6406" t="s">
        <v>42</v>
      </c>
      <c r="B6406" t="s">
        <v>39</v>
      </c>
      <c r="C6406" t="s">
        <v>35</v>
      </c>
      <c r="D6406" t="s">
        <v>32</v>
      </c>
      <c r="E6406" t="s">
        <v>15</v>
      </c>
      <c r="F6406" t="s">
        <v>20</v>
      </c>
      <c r="G6406" s="2">
        <f>VALUE(935.73)</f>
        <v>935.73</v>
      </c>
      <c r="H6406" s="3">
        <f>VALUE(935.2)</f>
        <v>935.2</v>
      </c>
      <c r="I6406" s="4">
        <f>VALUE(2167)</f>
        <v>2167</v>
      </c>
      <c r="J6406" s="1">
        <f>VALUE(3043)</f>
        <v>3043</v>
      </c>
      <c r="K6406" s="1">
        <f>VALUE(3534)</f>
        <v>3534</v>
      </c>
      <c r="L6406" s="1">
        <f>VALUE(4124)</f>
        <v>4124</v>
      </c>
      <c r="M6406" s="8">
        <f>VALUE(4448)</f>
        <v>4448</v>
      </c>
      <c r="N6406" t="s">
        <v>25</v>
      </c>
    </row>
    <row r="6407" spans="1:14" x14ac:dyDescent="0.25">
      <c r="A6407" t="s">
        <v>42</v>
      </c>
      <c r="B6407" t="s">
        <v>39</v>
      </c>
      <c r="C6407" t="s">
        <v>35</v>
      </c>
      <c r="D6407" t="s">
        <v>32</v>
      </c>
      <c r="E6407" t="s">
        <v>21</v>
      </c>
      <c r="F6407" t="s">
        <v>15</v>
      </c>
      <c r="G6407" s="1" t="str">
        <f t="shared" ref="G6407:M6408" si="1387">"X"</f>
        <v>X</v>
      </c>
      <c r="H6407" s="1" t="str">
        <f t="shared" si="1387"/>
        <v>X</v>
      </c>
      <c r="I6407" s="1" t="str">
        <f t="shared" si="1387"/>
        <v>X</v>
      </c>
      <c r="J6407" s="1" t="str">
        <f t="shared" si="1387"/>
        <v>X</v>
      </c>
      <c r="K6407" s="1" t="str">
        <f t="shared" si="1387"/>
        <v>X</v>
      </c>
      <c r="L6407" s="1" t="str">
        <f t="shared" si="1387"/>
        <v>X</v>
      </c>
      <c r="M6407" s="1" t="str">
        <f t="shared" si="1387"/>
        <v>X</v>
      </c>
      <c r="N6407" t="s">
        <v>27</v>
      </c>
    </row>
    <row r="6408" spans="1:14" x14ac:dyDescent="0.25">
      <c r="A6408" t="s">
        <v>42</v>
      </c>
      <c r="B6408" t="s">
        <v>39</v>
      </c>
      <c r="C6408" t="s">
        <v>35</v>
      </c>
      <c r="D6408" t="s">
        <v>32</v>
      </c>
      <c r="E6408" t="s">
        <v>21</v>
      </c>
      <c r="F6408" t="s">
        <v>17</v>
      </c>
      <c r="G6408" s="1" t="str">
        <f t="shared" si="1387"/>
        <v>X</v>
      </c>
      <c r="H6408" s="1" t="str">
        <f t="shared" si="1387"/>
        <v>X</v>
      </c>
      <c r="I6408" s="1" t="str">
        <f t="shared" si="1387"/>
        <v>X</v>
      </c>
      <c r="J6408" s="1" t="str">
        <f t="shared" si="1387"/>
        <v>X</v>
      </c>
      <c r="K6408" s="1" t="str">
        <f t="shared" si="1387"/>
        <v>X</v>
      </c>
      <c r="L6408" s="1" t="str">
        <f t="shared" si="1387"/>
        <v>X</v>
      </c>
      <c r="M6408" s="1" t="str">
        <f t="shared" si="1387"/>
        <v>X</v>
      </c>
      <c r="N6408" t="s">
        <v>27</v>
      </c>
    </row>
    <row r="6409" spans="1:14" x14ac:dyDescent="0.25">
      <c r="A6409" t="s">
        <v>42</v>
      </c>
      <c r="B6409" t="s">
        <v>39</v>
      </c>
      <c r="C6409" t="s">
        <v>35</v>
      </c>
      <c r="D6409" t="s">
        <v>32</v>
      </c>
      <c r="E6409" t="s">
        <v>21</v>
      </c>
      <c r="F6409" t="s">
        <v>18</v>
      </c>
      <c r="G6409" s="1" t="str">
        <f t="shared" ref="G6409:M6409" si="1388">"..."</f>
        <v>...</v>
      </c>
      <c r="H6409" s="1" t="str">
        <f t="shared" si="1388"/>
        <v>...</v>
      </c>
      <c r="I6409" s="1" t="str">
        <f t="shared" si="1388"/>
        <v>...</v>
      </c>
      <c r="J6409" s="1" t="str">
        <f t="shared" si="1388"/>
        <v>...</v>
      </c>
      <c r="K6409" s="1" t="str">
        <f t="shared" si="1388"/>
        <v>...</v>
      </c>
      <c r="L6409" s="1" t="str">
        <f t="shared" si="1388"/>
        <v>...</v>
      </c>
      <c r="M6409" s="1" t="str">
        <f t="shared" si="1388"/>
        <v>...</v>
      </c>
      <c r="N6409" t="s">
        <v>30</v>
      </c>
    </row>
    <row r="6410" spans="1:14" x14ac:dyDescent="0.25">
      <c r="A6410" t="s">
        <v>42</v>
      </c>
      <c r="B6410" t="s">
        <v>39</v>
      </c>
      <c r="C6410" t="s">
        <v>35</v>
      </c>
      <c r="D6410" t="s">
        <v>32</v>
      </c>
      <c r="E6410" t="s">
        <v>21</v>
      </c>
      <c r="F6410" t="s">
        <v>19</v>
      </c>
      <c r="G6410" s="1" t="str">
        <f t="shared" ref="G6410:M6411" si="1389">"X"</f>
        <v>X</v>
      </c>
      <c r="H6410" s="1" t="str">
        <f t="shared" si="1389"/>
        <v>X</v>
      </c>
      <c r="I6410" s="1" t="str">
        <f t="shared" si="1389"/>
        <v>X</v>
      </c>
      <c r="J6410" s="1" t="str">
        <f t="shared" si="1389"/>
        <v>X</v>
      </c>
      <c r="K6410" s="1" t="str">
        <f t="shared" si="1389"/>
        <v>X</v>
      </c>
      <c r="L6410" s="1" t="str">
        <f t="shared" si="1389"/>
        <v>X</v>
      </c>
      <c r="M6410" s="1" t="str">
        <f t="shared" si="1389"/>
        <v>X</v>
      </c>
      <c r="N6410" t="s">
        <v>27</v>
      </c>
    </row>
    <row r="6411" spans="1:14" x14ac:dyDescent="0.25">
      <c r="A6411" t="s">
        <v>42</v>
      </c>
      <c r="B6411" t="s">
        <v>39</v>
      </c>
      <c r="C6411" t="s">
        <v>35</v>
      </c>
      <c r="D6411" t="s">
        <v>32</v>
      </c>
      <c r="E6411" t="s">
        <v>21</v>
      </c>
      <c r="F6411" t="s">
        <v>20</v>
      </c>
      <c r="G6411" s="1" t="str">
        <f t="shared" si="1389"/>
        <v>X</v>
      </c>
      <c r="H6411" s="1" t="str">
        <f t="shared" si="1389"/>
        <v>X</v>
      </c>
      <c r="I6411" s="1" t="str">
        <f t="shared" si="1389"/>
        <v>X</v>
      </c>
      <c r="J6411" s="1" t="str">
        <f t="shared" si="1389"/>
        <v>X</v>
      </c>
      <c r="K6411" s="1" t="str">
        <f t="shared" si="1389"/>
        <v>X</v>
      </c>
      <c r="L6411" s="1" t="str">
        <f t="shared" si="1389"/>
        <v>X</v>
      </c>
      <c r="M6411" s="1" t="str">
        <f t="shared" si="1389"/>
        <v>X</v>
      </c>
      <c r="N6411" t="s">
        <v>27</v>
      </c>
    </row>
    <row r="6412" spans="1:14" x14ac:dyDescent="0.25">
      <c r="A6412" t="s">
        <v>42</v>
      </c>
      <c r="B6412" t="s">
        <v>39</v>
      </c>
      <c r="C6412" t="s">
        <v>35</v>
      </c>
      <c r="D6412" t="s">
        <v>32</v>
      </c>
      <c r="E6412" t="s">
        <v>22</v>
      </c>
      <c r="F6412" t="s">
        <v>15</v>
      </c>
      <c r="G6412" s="2">
        <f>VALUE(504.39)</f>
        <v>504.39</v>
      </c>
      <c r="H6412" s="3">
        <f>VALUE(523.83)</f>
        <v>523.83000000000004</v>
      </c>
      <c r="I6412" s="4">
        <f>VALUE(2245)</f>
        <v>2245</v>
      </c>
      <c r="J6412" s="1">
        <f>VALUE(3250)</f>
        <v>3250</v>
      </c>
      <c r="K6412" s="6">
        <f>VALUE(3738)</f>
        <v>3738</v>
      </c>
      <c r="L6412" s="1">
        <f>VALUE(4397)</f>
        <v>4397</v>
      </c>
      <c r="M6412" s="1">
        <f>VALUE(4752)</f>
        <v>4752</v>
      </c>
      <c r="N6412" t="s">
        <v>25</v>
      </c>
    </row>
    <row r="6413" spans="1:14" x14ac:dyDescent="0.25">
      <c r="A6413" t="s">
        <v>42</v>
      </c>
      <c r="B6413" t="s">
        <v>39</v>
      </c>
      <c r="C6413" t="s">
        <v>35</v>
      </c>
      <c r="D6413" t="s">
        <v>32</v>
      </c>
      <c r="E6413" t="s">
        <v>22</v>
      </c>
      <c r="F6413" t="s">
        <v>17</v>
      </c>
      <c r="G6413" s="1" t="str">
        <f t="shared" ref="G6413:M6415" si="1390">"X"</f>
        <v>X</v>
      </c>
      <c r="H6413" s="1" t="str">
        <f t="shared" si="1390"/>
        <v>X</v>
      </c>
      <c r="I6413" s="1" t="str">
        <f t="shared" si="1390"/>
        <v>X</v>
      </c>
      <c r="J6413" s="1" t="str">
        <f t="shared" si="1390"/>
        <v>X</v>
      </c>
      <c r="K6413" s="1" t="str">
        <f t="shared" si="1390"/>
        <v>X</v>
      </c>
      <c r="L6413" s="1" t="str">
        <f t="shared" si="1390"/>
        <v>X</v>
      </c>
      <c r="M6413" s="1" t="str">
        <f t="shared" si="1390"/>
        <v>X</v>
      </c>
      <c r="N6413" t="s">
        <v>27</v>
      </c>
    </row>
    <row r="6414" spans="1:14" x14ac:dyDescent="0.25">
      <c r="A6414" t="s">
        <v>42</v>
      </c>
      <c r="B6414" t="s">
        <v>39</v>
      </c>
      <c r="C6414" t="s">
        <v>35</v>
      </c>
      <c r="D6414" t="s">
        <v>32</v>
      </c>
      <c r="E6414" t="s">
        <v>22</v>
      </c>
      <c r="F6414" t="s">
        <v>18</v>
      </c>
      <c r="G6414" s="1" t="str">
        <f t="shared" si="1390"/>
        <v>X</v>
      </c>
      <c r="H6414" s="1" t="str">
        <f t="shared" si="1390"/>
        <v>X</v>
      </c>
      <c r="I6414" s="1" t="str">
        <f t="shared" si="1390"/>
        <v>X</v>
      </c>
      <c r="J6414" s="1" t="str">
        <f t="shared" si="1390"/>
        <v>X</v>
      </c>
      <c r="K6414" s="1" t="str">
        <f t="shared" si="1390"/>
        <v>X</v>
      </c>
      <c r="L6414" s="1" t="str">
        <f t="shared" si="1390"/>
        <v>X</v>
      </c>
      <c r="M6414" s="1" t="str">
        <f t="shared" si="1390"/>
        <v>X</v>
      </c>
      <c r="N6414" t="s">
        <v>27</v>
      </c>
    </row>
    <row r="6415" spans="1:14" x14ac:dyDescent="0.25">
      <c r="A6415" t="s">
        <v>42</v>
      </c>
      <c r="B6415" t="s">
        <v>39</v>
      </c>
      <c r="C6415" t="s">
        <v>35</v>
      </c>
      <c r="D6415" t="s">
        <v>32</v>
      </c>
      <c r="E6415" t="s">
        <v>22</v>
      </c>
      <c r="F6415" t="s">
        <v>19</v>
      </c>
      <c r="G6415" s="1" t="str">
        <f t="shared" si="1390"/>
        <v>X</v>
      </c>
      <c r="H6415" s="1" t="str">
        <f t="shared" si="1390"/>
        <v>X</v>
      </c>
      <c r="I6415" s="1" t="str">
        <f t="shared" si="1390"/>
        <v>X</v>
      </c>
      <c r="J6415" s="1" t="str">
        <f t="shared" si="1390"/>
        <v>X</v>
      </c>
      <c r="K6415" s="1" t="str">
        <f t="shared" si="1390"/>
        <v>X</v>
      </c>
      <c r="L6415" s="1" t="str">
        <f t="shared" si="1390"/>
        <v>X</v>
      </c>
      <c r="M6415" s="1" t="str">
        <f t="shared" si="1390"/>
        <v>X</v>
      </c>
      <c r="N6415" t="s">
        <v>27</v>
      </c>
    </row>
    <row r="6416" spans="1:14" x14ac:dyDescent="0.25">
      <c r="A6416" t="s">
        <v>42</v>
      </c>
      <c r="B6416" t="s">
        <v>39</v>
      </c>
      <c r="C6416" t="s">
        <v>35</v>
      </c>
      <c r="D6416" t="s">
        <v>32</v>
      </c>
      <c r="E6416" t="s">
        <v>22</v>
      </c>
      <c r="F6416" t="s">
        <v>20</v>
      </c>
      <c r="G6416" s="2">
        <f>VALUE(452.68)</f>
        <v>452.68</v>
      </c>
      <c r="H6416" s="3">
        <f>VALUE(470.23)</f>
        <v>470.23</v>
      </c>
      <c r="I6416" s="4">
        <f>VALUE(2750)</f>
        <v>2750</v>
      </c>
      <c r="J6416" s="1">
        <f>VALUE(3250)</f>
        <v>3250</v>
      </c>
      <c r="K6416" s="6">
        <f>VALUE(3738)</f>
        <v>3738</v>
      </c>
      <c r="L6416" s="7">
        <f>VALUE(4324)</f>
        <v>4324</v>
      </c>
      <c r="M6416" s="8">
        <f>VALUE(4752)</f>
        <v>4752</v>
      </c>
      <c r="N6416" t="s">
        <v>25</v>
      </c>
    </row>
    <row r="6417" spans="1:14" x14ac:dyDescent="0.25">
      <c r="A6417" t="s">
        <v>42</v>
      </c>
      <c r="B6417" t="s">
        <v>39</v>
      </c>
      <c r="C6417" t="s">
        <v>35</v>
      </c>
      <c r="D6417" t="s">
        <v>32</v>
      </c>
      <c r="E6417" t="s">
        <v>23</v>
      </c>
      <c r="F6417" t="s">
        <v>15</v>
      </c>
      <c r="G6417" s="2">
        <f>VALUE(423.16)</f>
        <v>423.16</v>
      </c>
      <c r="H6417" s="3">
        <f>VALUE(426.97)</f>
        <v>426.97</v>
      </c>
      <c r="I6417" s="4">
        <f>VALUE(1987)</f>
        <v>1987</v>
      </c>
      <c r="J6417" s="5">
        <f>VALUE(2734)</f>
        <v>2734</v>
      </c>
      <c r="K6417" s="1">
        <f>VALUE(3224)</f>
        <v>3224</v>
      </c>
      <c r="L6417" s="1">
        <f>VALUE(3671)</f>
        <v>3671</v>
      </c>
      <c r="M6417" s="8">
        <f>VALUE(4127)</f>
        <v>4127</v>
      </c>
      <c r="N6417" t="s">
        <v>25</v>
      </c>
    </row>
    <row r="6418" spans="1:14" x14ac:dyDescent="0.25">
      <c r="A6418" t="s">
        <v>42</v>
      </c>
      <c r="B6418" t="s">
        <v>39</v>
      </c>
      <c r="C6418" t="s">
        <v>35</v>
      </c>
      <c r="D6418" t="s">
        <v>32</v>
      </c>
      <c r="E6418" t="s">
        <v>23</v>
      </c>
      <c r="F6418" t="s">
        <v>17</v>
      </c>
      <c r="G6418" s="1" t="str">
        <f t="shared" ref="G6418:M6418" si="1391">"..."</f>
        <v>...</v>
      </c>
      <c r="H6418" s="1" t="str">
        <f t="shared" si="1391"/>
        <v>...</v>
      </c>
      <c r="I6418" s="1" t="str">
        <f t="shared" si="1391"/>
        <v>...</v>
      </c>
      <c r="J6418" s="1" t="str">
        <f t="shared" si="1391"/>
        <v>...</v>
      </c>
      <c r="K6418" s="1" t="str">
        <f t="shared" si="1391"/>
        <v>...</v>
      </c>
      <c r="L6418" s="1" t="str">
        <f t="shared" si="1391"/>
        <v>...</v>
      </c>
      <c r="M6418" s="1" t="str">
        <f t="shared" si="1391"/>
        <v>...</v>
      </c>
      <c r="N6418" t="s">
        <v>30</v>
      </c>
    </row>
    <row r="6419" spans="1:14" x14ac:dyDescent="0.25">
      <c r="A6419" t="s">
        <v>42</v>
      </c>
      <c r="B6419" t="s">
        <v>39</v>
      </c>
      <c r="C6419" t="s">
        <v>35</v>
      </c>
      <c r="D6419" t="s">
        <v>32</v>
      </c>
      <c r="E6419" t="s">
        <v>23</v>
      </c>
      <c r="F6419" t="s">
        <v>18</v>
      </c>
      <c r="G6419" s="1" t="str">
        <f t="shared" ref="G6419:M6420" si="1392">"X"</f>
        <v>X</v>
      </c>
      <c r="H6419" s="1" t="str">
        <f t="shared" si="1392"/>
        <v>X</v>
      </c>
      <c r="I6419" s="1" t="str">
        <f t="shared" si="1392"/>
        <v>X</v>
      </c>
      <c r="J6419" s="1" t="str">
        <f t="shared" si="1392"/>
        <v>X</v>
      </c>
      <c r="K6419" s="1" t="str">
        <f t="shared" si="1392"/>
        <v>X</v>
      </c>
      <c r="L6419" s="1" t="str">
        <f t="shared" si="1392"/>
        <v>X</v>
      </c>
      <c r="M6419" s="1" t="str">
        <f t="shared" si="1392"/>
        <v>X</v>
      </c>
      <c r="N6419" t="s">
        <v>27</v>
      </c>
    </row>
    <row r="6420" spans="1:14" x14ac:dyDescent="0.25">
      <c r="A6420" t="s">
        <v>42</v>
      </c>
      <c r="B6420" t="s">
        <v>39</v>
      </c>
      <c r="C6420" t="s">
        <v>35</v>
      </c>
      <c r="D6420" t="s">
        <v>32</v>
      </c>
      <c r="E6420" t="s">
        <v>23</v>
      </c>
      <c r="F6420" t="s">
        <v>19</v>
      </c>
      <c r="G6420" s="1" t="str">
        <f t="shared" si="1392"/>
        <v>X</v>
      </c>
      <c r="H6420" s="1" t="str">
        <f t="shared" si="1392"/>
        <v>X</v>
      </c>
      <c r="I6420" s="1" t="str">
        <f t="shared" si="1392"/>
        <v>X</v>
      </c>
      <c r="J6420" s="1" t="str">
        <f t="shared" si="1392"/>
        <v>X</v>
      </c>
      <c r="K6420" s="1" t="str">
        <f t="shared" si="1392"/>
        <v>X</v>
      </c>
      <c r="L6420" s="1" t="str">
        <f t="shared" si="1392"/>
        <v>X</v>
      </c>
      <c r="M6420" s="1" t="str">
        <f t="shared" si="1392"/>
        <v>X</v>
      </c>
      <c r="N6420" t="s">
        <v>27</v>
      </c>
    </row>
    <row r="6421" spans="1:14" x14ac:dyDescent="0.25">
      <c r="A6421" t="s">
        <v>42</v>
      </c>
      <c r="B6421" t="s">
        <v>39</v>
      </c>
      <c r="C6421" t="s">
        <v>35</v>
      </c>
      <c r="D6421" t="s">
        <v>32</v>
      </c>
      <c r="E6421" t="s">
        <v>23</v>
      </c>
      <c r="F6421" t="s">
        <v>20</v>
      </c>
      <c r="G6421" s="2">
        <f>VALUE(372.68)</f>
        <v>372.68</v>
      </c>
      <c r="H6421" s="3">
        <f>VALUE(374.72)</f>
        <v>374.72</v>
      </c>
      <c r="I6421" s="4">
        <f>VALUE(1888)</f>
        <v>1888</v>
      </c>
      <c r="J6421" s="5">
        <f>VALUE(2710)</f>
        <v>2710</v>
      </c>
      <c r="K6421" s="1">
        <f>VALUE(3273)</f>
        <v>3273</v>
      </c>
      <c r="L6421" s="1">
        <f>VALUE(3610)</f>
        <v>3610</v>
      </c>
      <c r="M6421" s="8">
        <f>VALUE(3944)</f>
        <v>3944</v>
      </c>
      <c r="N6421" t="s">
        <v>25</v>
      </c>
    </row>
    <row r="6422" spans="1:14" x14ac:dyDescent="0.25">
      <c r="A6422" t="s">
        <v>42</v>
      </c>
      <c r="B6422" t="s">
        <v>39</v>
      </c>
      <c r="C6422" t="s">
        <v>35</v>
      </c>
      <c r="D6422" t="s">
        <v>32</v>
      </c>
      <c r="E6422" t="s">
        <v>26</v>
      </c>
      <c r="F6422" t="s">
        <v>15</v>
      </c>
      <c r="G6422" s="1" t="str">
        <f t="shared" ref="G6422:M6422" si="1393">"X"</f>
        <v>X</v>
      </c>
      <c r="H6422" s="1" t="str">
        <f t="shared" si="1393"/>
        <v>X</v>
      </c>
      <c r="I6422" s="1" t="str">
        <f t="shared" si="1393"/>
        <v>X</v>
      </c>
      <c r="J6422" s="1" t="str">
        <f t="shared" si="1393"/>
        <v>X</v>
      </c>
      <c r="K6422" s="1" t="str">
        <f t="shared" si="1393"/>
        <v>X</v>
      </c>
      <c r="L6422" s="1" t="str">
        <f t="shared" si="1393"/>
        <v>X</v>
      </c>
      <c r="M6422" s="1" t="str">
        <f t="shared" si="1393"/>
        <v>X</v>
      </c>
      <c r="N6422" t="s">
        <v>27</v>
      </c>
    </row>
    <row r="6423" spans="1:14" x14ac:dyDescent="0.25">
      <c r="A6423" t="s">
        <v>42</v>
      </c>
      <c r="B6423" t="s">
        <v>39</v>
      </c>
      <c r="C6423" t="s">
        <v>35</v>
      </c>
      <c r="D6423" t="s">
        <v>32</v>
      </c>
      <c r="E6423" t="s">
        <v>26</v>
      </c>
      <c r="F6423" t="s">
        <v>17</v>
      </c>
      <c r="G6423" s="1" t="str">
        <f t="shared" ref="G6423:M6424" si="1394">"..."</f>
        <v>...</v>
      </c>
      <c r="H6423" s="1" t="str">
        <f t="shared" si="1394"/>
        <v>...</v>
      </c>
      <c r="I6423" s="1" t="str">
        <f t="shared" si="1394"/>
        <v>...</v>
      </c>
      <c r="J6423" s="1" t="str">
        <f t="shared" si="1394"/>
        <v>...</v>
      </c>
      <c r="K6423" s="1" t="str">
        <f t="shared" si="1394"/>
        <v>...</v>
      </c>
      <c r="L6423" s="1" t="str">
        <f t="shared" si="1394"/>
        <v>...</v>
      </c>
      <c r="M6423" s="1" t="str">
        <f t="shared" si="1394"/>
        <v>...</v>
      </c>
      <c r="N6423" t="s">
        <v>30</v>
      </c>
    </row>
    <row r="6424" spans="1:14" x14ac:dyDescent="0.25">
      <c r="A6424" t="s">
        <v>42</v>
      </c>
      <c r="B6424" t="s">
        <v>39</v>
      </c>
      <c r="C6424" t="s">
        <v>35</v>
      </c>
      <c r="D6424" t="s">
        <v>32</v>
      </c>
      <c r="E6424" t="s">
        <v>26</v>
      </c>
      <c r="F6424" t="s">
        <v>18</v>
      </c>
      <c r="G6424" s="1" t="str">
        <f t="shared" si="1394"/>
        <v>...</v>
      </c>
      <c r="H6424" s="1" t="str">
        <f t="shared" si="1394"/>
        <v>...</v>
      </c>
      <c r="I6424" s="1" t="str">
        <f t="shared" si="1394"/>
        <v>...</v>
      </c>
      <c r="J6424" s="1" t="str">
        <f t="shared" si="1394"/>
        <v>...</v>
      </c>
      <c r="K6424" s="1" t="str">
        <f t="shared" si="1394"/>
        <v>...</v>
      </c>
      <c r="L6424" s="1" t="str">
        <f t="shared" si="1394"/>
        <v>...</v>
      </c>
      <c r="M6424" s="1" t="str">
        <f t="shared" si="1394"/>
        <v>...</v>
      </c>
      <c r="N6424" t="s">
        <v>30</v>
      </c>
    </row>
    <row r="6425" spans="1:14" x14ac:dyDescent="0.25">
      <c r="A6425" t="s">
        <v>42</v>
      </c>
      <c r="B6425" t="s">
        <v>39</v>
      </c>
      <c r="C6425" t="s">
        <v>35</v>
      </c>
      <c r="D6425" t="s">
        <v>32</v>
      </c>
      <c r="E6425" t="s">
        <v>26</v>
      </c>
      <c r="F6425" t="s">
        <v>19</v>
      </c>
      <c r="G6425" s="1" t="str">
        <f t="shared" ref="G6425:M6427" si="1395">"X"</f>
        <v>X</v>
      </c>
      <c r="H6425" s="1" t="str">
        <f t="shared" si="1395"/>
        <v>X</v>
      </c>
      <c r="I6425" s="1" t="str">
        <f t="shared" si="1395"/>
        <v>X</v>
      </c>
      <c r="J6425" s="1" t="str">
        <f t="shared" si="1395"/>
        <v>X</v>
      </c>
      <c r="K6425" s="1" t="str">
        <f t="shared" si="1395"/>
        <v>X</v>
      </c>
      <c r="L6425" s="1" t="str">
        <f t="shared" si="1395"/>
        <v>X</v>
      </c>
      <c r="M6425" s="1" t="str">
        <f t="shared" si="1395"/>
        <v>X</v>
      </c>
      <c r="N6425" t="s">
        <v>27</v>
      </c>
    </row>
    <row r="6426" spans="1:14" x14ac:dyDescent="0.25">
      <c r="A6426" t="s">
        <v>42</v>
      </c>
      <c r="B6426" t="s">
        <v>39</v>
      </c>
      <c r="C6426" t="s">
        <v>35</v>
      </c>
      <c r="D6426" t="s">
        <v>32</v>
      </c>
      <c r="E6426" t="s">
        <v>26</v>
      </c>
      <c r="F6426" t="s">
        <v>20</v>
      </c>
      <c r="G6426" s="1" t="str">
        <f t="shared" si="1395"/>
        <v>X</v>
      </c>
      <c r="H6426" s="1" t="str">
        <f t="shared" si="1395"/>
        <v>X</v>
      </c>
      <c r="I6426" s="1" t="str">
        <f t="shared" si="1395"/>
        <v>X</v>
      </c>
      <c r="J6426" s="1" t="str">
        <f t="shared" si="1395"/>
        <v>X</v>
      </c>
      <c r="K6426" s="1" t="str">
        <f t="shared" si="1395"/>
        <v>X</v>
      </c>
      <c r="L6426" s="1" t="str">
        <f t="shared" si="1395"/>
        <v>X</v>
      </c>
      <c r="M6426" s="1" t="str">
        <f t="shared" si="1395"/>
        <v>X</v>
      </c>
      <c r="N6426" t="s">
        <v>27</v>
      </c>
    </row>
    <row r="6427" spans="1:14" x14ac:dyDescent="0.25">
      <c r="A6427" t="s">
        <v>42</v>
      </c>
      <c r="B6427" t="s">
        <v>39</v>
      </c>
      <c r="C6427" t="s">
        <v>35</v>
      </c>
      <c r="D6427" t="s">
        <v>33</v>
      </c>
      <c r="E6427" t="s">
        <v>15</v>
      </c>
      <c r="F6427" t="s">
        <v>15</v>
      </c>
      <c r="G6427" s="1" t="str">
        <f t="shared" si="1395"/>
        <v>X</v>
      </c>
      <c r="H6427" s="1" t="str">
        <f t="shared" si="1395"/>
        <v>X</v>
      </c>
      <c r="I6427" s="1" t="str">
        <f t="shared" si="1395"/>
        <v>X</v>
      </c>
      <c r="J6427" s="1" t="str">
        <f t="shared" si="1395"/>
        <v>X</v>
      </c>
      <c r="K6427" s="1" t="str">
        <f t="shared" si="1395"/>
        <v>X</v>
      </c>
      <c r="L6427" s="1" t="str">
        <f t="shared" si="1395"/>
        <v>X</v>
      </c>
      <c r="M6427" s="1" t="str">
        <f t="shared" si="1395"/>
        <v>X</v>
      </c>
      <c r="N6427" t="s">
        <v>27</v>
      </c>
    </row>
    <row r="6428" spans="1:14" x14ac:dyDescent="0.25">
      <c r="A6428" t="s">
        <v>42</v>
      </c>
      <c r="B6428" t="s">
        <v>39</v>
      </c>
      <c r="C6428" t="s">
        <v>35</v>
      </c>
      <c r="D6428" t="s">
        <v>33</v>
      </c>
      <c r="E6428" t="s">
        <v>15</v>
      </c>
      <c r="F6428" t="s">
        <v>17</v>
      </c>
      <c r="G6428" s="1" t="str">
        <f t="shared" ref="G6428:M6428" si="1396">"..."</f>
        <v>...</v>
      </c>
      <c r="H6428" s="1" t="str">
        <f t="shared" si="1396"/>
        <v>...</v>
      </c>
      <c r="I6428" s="1" t="str">
        <f t="shared" si="1396"/>
        <v>...</v>
      </c>
      <c r="J6428" s="1" t="str">
        <f t="shared" si="1396"/>
        <v>...</v>
      </c>
      <c r="K6428" s="1" t="str">
        <f t="shared" si="1396"/>
        <v>...</v>
      </c>
      <c r="L6428" s="1" t="str">
        <f t="shared" si="1396"/>
        <v>...</v>
      </c>
      <c r="M6428" s="1" t="str">
        <f t="shared" si="1396"/>
        <v>...</v>
      </c>
      <c r="N6428" t="s">
        <v>30</v>
      </c>
    </row>
    <row r="6429" spans="1:14" x14ac:dyDescent="0.25">
      <c r="A6429" t="s">
        <v>42</v>
      </c>
      <c r="B6429" t="s">
        <v>39</v>
      </c>
      <c r="C6429" t="s">
        <v>35</v>
      </c>
      <c r="D6429" t="s">
        <v>33</v>
      </c>
      <c r="E6429" t="s">
        <v>15</v>
      </c>
      <c r="F6429" t="s">
        <v>18</v>
      </c>
      <c r="G6429" s="1" t="str">
        <f t="shared" ref="G6429:M6429" si="1397">"X"</f>
        <v>X</v>
      </c>
      <c r="H6429" s="1" t="str">
        <f t="shared" si="1397"/>
        <v>X</v>
      </c>
      <c r="I6429" s="1" t="str">
        <f t="shared" si="1397"/>
        <v>X</v>
      </c>
      <c r="J6429" s="1" t="str">
        <f t="shared" si="1397"/>
        <v>X</v>
      </c>
      <c r="K6429" s="1" t="str">
        <f t="shared" si="1397"/>
        <v>X</v>
      </c>
      <c r="L6429" s="1" t="str">
        <f t="shared" si="1397"/>
        <v>X</v>
      </c>
      <c r="M6429" s="1" t="str">
        <f t="shared" si="1397"/>
        <v>X</v>
      </c>
      <c r="N6429" t="s">
        <v>27</v>
      </c>
    </row>
    <row r="6430" spans="1:14" x14ac:dyDescent="0.25">
      <c r="A6430" t="s">
        <v>42</v>
      </c>
      <c r="B6430" t="s">
        <v>39</v>
      </c>
      <c r="C6430" t="s">
        <v>35</v>
      </c>
      <c r="D6430" t="s">
        <v>33</v>
      </c>
      <c r="E6430" t="s">
        <v>15</v>
      </c>
      <c r="F6430" t="s">
        <v>19</v>
      </c>
      <c r="G6430" s="1" t="str">
        <f t="shared" ref="G6430:M6430" si="1398">"..."</f>
        <v>...</v>
      </c>
      <c r="H6430" s="1" t="str">
        <f t="shared" si="1398"/>
        <v>...</v>
      </c>
      <c r="I6430" s="1" t="str">
        <f t="shared" si="1398"/>
        <v>...</v>
      </c>
      <c r="J6430" s="1" t="str">
        <f t="shared" si="1398"/>
        <v>...</v>
      </c>
      <c r="K6430" s="1" t="str">
        <f t="shared" si="1398"/>
        <v>...</v>
      </c>
      <c r="L6430" s="1" t="str">
        <f t="shared" si="1398"/>
        <v>...</v>
      </c>
      <c r="M6430" s="1" t="str">
        <f t="shared" si="1398"/>
        <v>...</v>
      </c>
      <c r="N6430" t="s">
        <v>30</v>
      </c>
    </row>
    <row r="6431" spans="1:14" x14ac:dyDescent="0.25">
      <c r="A6431" t="s">
        <v>42</v>
      </c>
      <c r="B6431" t="s">
        <v>39</v>
      </c>
      <c r="C6431" t="s">
        <v>35</v>
      </c>
      <c r="D6431" t="s">
        <v>33</v>
      </c>
      <c r="E6431" t="s">
        <v>15</v>
      </c>
      <c r="F6431" t="s">
        <v>20</v>
      </c>
      <c r="G6431" s="1" t="str">
        <f t="shared" ref="G6431:M6432" si="1399">"X"</f>
        <v>X</v>
      </c>
      <c r="H6431" s="1" t="str">
        <f t="shared" si="1399"/>
        <v>X</v>
      </c>
      <c r="I6431" s="1" t="str">
        <f t="shared" si="1399"/>
        <v>X</v>
      </c>
      <c r="J6431" s="1" t="str">
        <f t="shared" si="1399"/>
        <v>X</v>
      </c>
      <c r="K6431" s="1" t="str">
        <f t="shared" si="1399"/>
        <v>X</v>
      </c>
      <c r="L6431" s="1" t="str">
        <f t="shared" si="1399"/>
        <v>X</v>
      </c>
      <c r="M6431" s="1" t="str">
        <f t="shared" si="1399"/>
        <v>X</v>
      </c>
      <c r="N6431" t="s">
        <v>27</v>
      </c>
    </row>
    <row r="6432" spans="1:14" x14ac:dyDescent="0.25">
      <c r="A6432" t="s">
        <v>42</v>
      </c>
      <c r="B6432" t="s">
        <v>39</v>
      </c>
      <c r="C6432" t="s">
        <v>35</v>
      </c>
      <c r="D6432" t="s">
        <v>33</v>
      </c>
      <c r="E6432" t="s">
        <v>21</v>
      </c>
      <c r="F6432" t="s">
        <v>15</v>
      </c>
      <c r="G6432" s="1" t="str">
        <f t="shared" si="1399"/>
        <v>X</v>
      </c>
      <c r="H6432" s="1" t="str">
        <f t="shared" si="1399"/>
        <v>X</v>
      </c>
      <c r="I6432" s="1" t="str">
        <f t="shared" si="1399"/>
        <v>X</v>
      </c>
      <c r="J6432" s="1" t="str">
        <f t="shared" si="1399"/>
        <v>X</v>
      </c>
      <c r="K6432" s="1" t="str">
        <f t="shared" si="1399"/>
        <v>X</v>
      </c>
      <c r="L6432" s="1" t="str">
        <f t="shared" si="1399"/>
        <v>X</v>
      </c>
      <c r="M6432" s="1" t="str">
        <f t="shared" si="1399"/>
        <v>X</v>
      </c>
      <c r="N6432" t="s">
        <v>27</v>
      </c>
    </row>
    <row r="6433" spans="1:14" x14ac:dyDescent="0.25">
      <c r="A6433" t="s">
        <v>42</v>
      </c>
      <c r="B6433" t="s">
        <v>39</v>
      </c>
      <c r="C6433" t="s">
        <v>35</v>
      </c>
      <c r="D6433" t="s">
        <v>33</v>
      </c>
      <c r="E6433" t="s">
        <v>21</v>
      </c>
      <c r="F6433" t="s">
        <v>17</v>
      </c>
      <c r="G6433" s="1" t="str">
        <f t="shared" ref="G6433:M6433" si="1400">"..."</f>
        <v>...</v>
      </c>
      <c r="H6433" s="1" t="str">
        <f t="shared" si="1400"/>
        <v>...</v>
      </c>
      <c r="I6433" s="1" t="str">
        <f t="shared" si="1400"/>
        <v>...</v>
      </c>
      <c r="J6433" s="1" t="str">
        <f t="shared" si="1400"/>
        <v>...</v>
      </c>
      <c r="K6433" s="1" t="str">
        <f t="shared" si="1400"/>
        <v>...</v>
      </c>
      <c r="L6433" s="1" t="str">
        <f t="shared" si="1400"/>
        <v>...</v>
      </c>
      <c r="M6433" s="1" t="str">
        <f t="shared" si="1400"/>
        <v>...</v>
      </c>
      <c r="N6433" t="s">
        <v>30</v>
      </c>
    </row>
    <row r="6434" spans="1:14" x14ac:dyDescent="0.25">
      <c r="A6434" t="s">
        <v>42</v>
      </c>
      <c r="B6434" t="s">
        <v>39</v>
      </c>
      <c r="C6434" t="s">
        <v>35</v>
      </c>
      <c r="D6434" t="s">
        <v>33</v>
      </c>
      <c r="E6434" t="s">
        <v>21</v>
      </c>
      <c r="F6434" t="s">
        <v>18</v>
      </c>
      <c r="G6434" s="1" t="str">
        <f t="shared" ref="G6434:M6434" si="1401">"X"</f>
        <v>X</v>
      </c>
      <c r="H6434" s="1" t="str">
        <f t="shared" si="1401"/>
        <v>X</v>
      </c>
      <c r="I6434" s="1" t="str">
        <f t="shared" si="1401"/>
        <v>X</v>
      </c>
      <c r="J6434" s="1" t="str">
        <f t="shared" si="1401"/>
        <v>X</v>
      </c>
      <c r="K6434" s="1" t="str">
        <f t="shared" si="1401"/>
        <v>X</v>
      </c>
      <c r="L6434" s="1" t="str">
        <f t="shared" si="1401"/>
        <v>X</v>
      </c>
      <c r="M6434" s="1" t="str">
        <f t="shared" si="1401"/>
        <v>X</v>
      </c>
      <c r="N6434" t="s">
        <v>27</v>
      </c>
    </row>
    <row r="6435" spans="1:14" x14ac:dyDescent="0.25">
      <c r="A6435" t="s">
        <v>42</v>
      </c>
      <c r="B6435" t="s">
        <v>39</v>
      </c>
      <c r="C6435" t="s">
        <v>35</v>
      </c>
      <c r="D6435" t="s">
        <v>33</v>
      </c>
      <c r="E6435" t="s">
        <v>21</v>
      </c>
      <c r="F6435" t="s">
        <v>19</v>
      </c>
      <c r="G6435" s="1" t="str">
        <f t="shared" ref="G6435:M6436" si="1402">"..."</f>
        <v>...</v>
      </c>
      <c r="H6435" s="1" t="str">
        <f t="shared" si="1402"/>
        <v>...</v>
      </c>
      <c r="I6435" s="1" t="str">
        <f t="shared" si="1402"/>
        <v>...</v>
      </c>
      <c r="J6435" s="1" t="str">
        <f t="shared" si="1402"/>
        <v>...</v>
      </c>
      <c r="K6435" s="1" t="str">
        <f t="shared" si="1402"/>
        <v>...</v>
      </c>
      <c r="L6435" s="1" t="str">
        <f t="shared" si="1402"/>
        <v>...</v>
      </c>
      <c r="M6435" s="1" t="str">
        <f t="shared" si="1402"/>
        <v>...</v>
      </c>
      <c r="N6435" t="s">
        <v>30</v>
      </c>
    </row>
    <row r="6436" spans="1:14" x14ac:dyDescent="0.25">
      <c r="A6436" t="s">
        <v>42</v>
      </c>
      <c r="B6436" t="s">
        <v>39</v>
      </c>
      <c r="C6436" t="s">
        <v>35</v>
      </c>
      <c r="D6436" t="s">
        <v>33</v>
      </c>
      <c r="E6436" t="s">
        <v>21</v>
      </c>
      <c r="F6436" t="s">
        <v>20</v>
      </c>
      <c r="G6436" s="1" t="str">
        <f t="shared" si="1402"/>
        <v>...</v>
      </c>
      <c r="H6436" s="1" t="str">
        <f t="shared" si="1402"/>
        <v>...</v>
      </c>
      <c r="I6436" s="1" t="str">
        <f t="shared" si="1402"/>
        <v>...</v>
      </c>
      <c r="J6436" s="1" t="str">
        <f t="shared" si="1402"/>
        <v>...</v>
      </c>
      <c r="K6436" s="1" t="str">
        <f t="shared" si="1402"/>
        <v>...</v>
      </c>
      <c r="L6436" s="1" t="str">
        <f t="shared" si="1402"/>
        <v>...</v>
      </c>
      <c r="M6436" s="1" t="str">
        <f t="shared" si="1402"/>
        <v>...</v>
      </c>
      <c r="N6436" t="s">
        <v>30</v>
      </c>
    </row>
    <row r="6437" spans="1:14" x14ac:dyDescent="0.25">
      <c r="A6437" t="s">
        <v>42</v>
      </c>
      <c r="B6437" t="s">
        <v>39</v>
      </c>
      <c r="C6437" t="s">
        <v>35</v>
      </c>
      <c r="D6437" t="s">
        <v>33</v>
      </c>
      <c r="E6437" t="s">
        <v>22</v>
      </c>
      <c r="F6437" t="s">
        <v>15</v>
      </c>
      <c r="G6437" s="1" t="str">
        <f t="shared" ref="G6437:M6437" si="1403">"X"</f>
        <v>X</v>
      </c>
      <c r="H6437" s="1" t="str">
        <f t="shared" si="1403"/>
        <v>X</v>
      </c>
      <c r="I6437" s="1" t="str">
        <f t="shared" si="1403"/>
        <v>X</v>
      </c>
      <c r="J6437" s="1" t="str">
        <f t="shared" si="1403"/>
        <v>X</v>
      </c>
      <c r="K6437" s="1" t="str">
        <f t="shared" si="1403"/>
        <v>X</v>
      </c>
      <c r="L6437" s="1" t="str">
        <f t="shared" si="1403"/>
        <v>X</v>
      </c>
      <c r="M6437" s="1" t="str">
        <f t="shared" si="1403"/>
        <v>X</v>
      </c>
      <c r="N6437" t="s">
        <v>27</v>
      </c>
    </row>
    <row r="6438" spans="1:14" x14ac:dyDescent="0.25">
      <c r="A6438" t="s">
        <v>42</v>
      </c>
      <c r="B6438" t="s">
        <v>39</v>
      </c>
      <c r="C6438" t="s">
        <v>35</v>
      </c>
      <c r="D6438" t="s">
        <v>33</v>
      </c>
      <c r="E6438" t="s">
        <v>22</v>
      </c>
      <c r="F6438" t="s">
        <v>17</v>
      </c>
      <c r="G6438" s="1" t="str">
        <f t="shared" ref="G6438:M6440" si="1404">"..."</f>
        <v>...</v>
      </c>
      <c r="H6438" s="1" t="str">
        <f t="shared" si="1404"/>
        <v>...</v>
      </c>
      <c r="I6438" s="1" t="str">
        <f t="shared" si="1404"/>
        <v>...</v>
      </c>
      <c r="J6438" s="1" t="str">
        <f t="shared" si="1404"/>
        <v>...</v>
      </c>
      <c r="K6438" s="1" t="str">
        <f t="shared" si="1404"/>
        <v>...</v>
      </c>
      <c r="L6438" s="1" t="str">
        <f t="shared" si="1404"/>
        <v>...</v>
      </c>
      <c r="M6438" s="1" t="str">
        <f t="shared" si="1404"/>
        <v>...</v>
      </c>
      <c r="N6438" t="s">
        <v>30</v>
      </c>
    </row>
    <row r="6439" spans="1:14" x14ac:dyDescent="0.25">
      <c r="A6439" t="s">
        <v>42</v>
      </c>
      <c r="B6439" t="s">
        <v>39</v>
      </c>
      <c r="C6439" t="s">
        <v>35</v>
      </c>
      <c r="D6439" t="s">
        <v>33</v>
      </c>
      <c r="E6439" t="s">
        <v>22</v>
      </c>
      <c r="F6439" t="s">
        <v>18</v>
      </c>
      <c r="G6439" s="1" t="str">
        <f t="shared" si="1404"/>
        <v>...</v>
      </c>
      <c r="H6439" s="1" t="str">
        <f t="shared" si="1404"/>
        <v>...</v>
      </c>
      <c r="I6439" s="1" t="str">
        <f t="shared" si="1404"/>
        <v>...</v>
      </c>
      <c r="J6439" s="1" t="str">
        <f t="shared" si="1404"/>
        <v>...</v>
      </c>
      <c r="K6439" s="1" t="str">
        <f t="shared" si="1404"/>
        <v>...</v>
      </c>
      <c r="L6439" s="1" t="str">
        <f t="shared" si="1404"/>
        <v>...</v>
      </c>
      <c r="M6439" s="1" t="str">
        <f t="shared" si="1404"/>
        <v>...</v>
      </c>
      <c r="N6439" t="s">
        <v>30</v>
      </c>
    </row>
    <row r="6440" spans="1:14" x14ac:dyDescent="0.25">
      <c r="A6440" t="s">
        <v>42</v>
      </c>
      <c r="B6440" t="s">
        <v>39</v>
      </c>
      <c r="C6440" t="s">
        <v>35</v>
      </c>
      <c r="D6440" t="s">
        <v>33</v>
      </c>
      <c r="E6440" t="s">
        <v>22</v>
      </c>
      <c r="F6440" t="s">
        <v>19</v>
      </c>
      <c r="G6440" s="1" t="str">
        <f t="shared" si="1404"/>
        <v>...</v>
      </c>
      <c r="H6440" s="1" t="str">
        <f t="shared" si="1404"/>
        <v>...</v>
      </c>
      <c r="I6440" s="1" t="str">
        <f t="shared" si="1404"/>
        <v>...</v>
      </c>
      <c r="J6440" s="1" t="str">
        <f t="shared" si="1404"/>
        <v>...</v>
      </c>
      <c r="K6440" s="1" t="str">
        <f t="shared" si="1404"/>
        <v>...</v>
      </c>
      <c r="L6440" s="1" t="str">
        <f t="shared" si="1404"/>
        <v>...</v>
      </c>
      <c r="M6440" s="1" t="str">
        <f t="shared" si="1404"/>
        <v>...</v>
      </c>
      <c r="N6440" t="s">
        <v>30</v>
      </c>
    </row>
    <row r="6441" spans="1:14" x14ac:dyDescent="0.25">
      <c r="A6441" t="s">
        <v>42</v>
      </c>
      <c r="B6441" t="s">
        <v>39</v>
      </c>
      <c r="C6441" t="s">
        <v>35</v>
      </c>
      <c r="D6441" t="s">
        <v>33</v>
      </c>
      <c r="E6441" t="s">
        <v>22</v>
      </c>
      <c r="F6441" t="s">
        <v>20</v>
      </c>
      <c r="G6441" s="1" t="str">
        <f t="shared" ref="G6441:M6442" si="1405">"X"</f>
        <v>X</v>
      </c>
      <c r="H6441" s="1" t="str">
        <f t="shared" si="1405"/>
        <v>X</v>
      </c>
      <c r="I6441" s="1" t="str">
        <f t="shared" si="1405"/>
        <v>X</v>
      </c>
      <c r="J6441" s="1" t="str">
        <f t="shared" si="1405"/>
        <v>X</v>
      </c>
      <c r="K6441" s="1" t="str">
        <f t="shared" si="1405"/>
        <v>X</v>
      </c>
      <c r="L6441" s="1" t="str">
        <f t="shared" si="1405"/>
        <v>X</v>
      </c>
      <c r="M6441" s="1" t="str">
        <f t="shared" si="1405"/>
        <v>X</v>
      </c>
      <c r="N6441" t="s">
        <v>27</v>
      </c>
    </row>
    <row r="6442" spans="1:14" x14ac:dyDescent="0.25">
      <c r="A6442" t="s">
        <v>42</v>
      </c>
      <c r="B6442" t="s">
        <v>39</v>
      </c>
      <c r="C6442" t="s">
        <v>35</v>
      </c>
      <c r="D6442" t="s">
        <v>33</v>
      </c>
      <c r="E6442" t="s">
        <v>23</v>
      </c>
      <c r="F6442" t="s">
        <v>15</v>
      </c>
      <c r="G6442" s="1" t="str">
        <f t="shared" si="1405"/>
        <v>X</v>
      </c>
      <c r="H6442" s="1" t="str">
        <f t="shared" si="1405"/>
        <v>X</v>
      </c>
      <c r="I6442" s="1" t="str">
        <f t="shared" si="1405"/>
        <v>X</v>
      </c>
      <c r="J6442" s="1" t="str">
        <f t="shared" si="1405"/>
        <v>X</v>
      </c>
      <c r="K6442" s="1" t="str">
        <f t="shared" si="1405"/>
        <v>X</v>
      </c>
      <c r="L6442" s="1" t="str">
        <f t="shared" si="1405"/>
        <v>X</v>
      </c>
      <c r="M6442" s="1" t="str">
        <f t="shared" si="1405"/>
        <v>X</v>
      </c>
      <c r="N6442" t="s">
        <v>27</v>
      </c>
    </row>
    <row r="6443" spans="1:14" x14ac:dyDescent="0.25">
      <c r="A6443" t="s">
        <v>42</v>
      </c>
      <c r="B6443" t="s">
        <v>39</v>
      </c>
      <c r="C6443" t="s">
        <v>35</v>
      </c>
      <c r="D6443" t="s">
        <v>33</v>
      </c>
      <c r="E6443" t="s">
        <v>23</v>
      </c>
      <c r="F6443" t="s">
        <v>17</v>
      </c>
      <c r="G6443" s="1" t="str">
        <f t="shared" ref="G6443:M6445" si="1406">"..."</f>
        <v>...</v>
      </c>
      <c r="H6443" s="1" t="str">
        <f t="shared" si="1406"/>
        <v>...</v>
      </c>
      <c r="I6443" s="1" t="str">
        <f t="shared" si="1406"/>
        <v>...</v>
      </c>
      <c r="J6443" s="1" t="str">
        <f t="shared" si="1406"/>
        <v>...</v>
      </c>
      <c r="K6443" s="1" t="str">
        <f t="shared" si="1406"/>
        <v>...</v>
      </c>
      <c r="L6443" s="1" t="str">
        <f t="shared" si="1406"/>
        <v>...</v>
      </c>
      <c r="M6443" s="1" t="str">
        <f t="shared" si="1406"/>
        <v>...</v>
      </c>
      <c r="N6443" t="s">
        <v>30</v>
      </c>
    </row>
    <row r="6444" spans="1:14" x14ac:dyDescent="0.25">
      <c r="A6444" t="s">
        <v>42</v>
      </c>
      <c r="B6444" t="s">
        <v>39</v>
      </c>
      <c r="C6444" t="s">
        <v>35</v>
      </c>
      <c r="D6444" t="s">
        <v>33</v>
      </c>
      <c r="E6444" t="s">
        <v>23</v>
      </c>
      <c r="F6444" t="s">
        <v>18</v>
      </c>
      <c r="G6444" s="1" t="str">
        <f t="shared" si="1406"/>
        <v>...</v>
      </c>
      <c r="H6444" s="1" t="str">
        <f t="shared" si="1406"/>
        <v>...</v>
      </c>
      <c r="I6444" s="1" t="str">
        <f t="shared" si="1406"/>
        <v>...</v>
      </c>
      <c r="J6444" s="1" t="str">
        <f t="shared" si="1406"/>
        <v>...</v>
      </c>
      <c r="K6444" s="1" t="str">
        <f t="shared" si="1406"/>
        <v>...</v>
      </c>
      <c r="L6444" s="1" t="str">
        <f t="shared" si="1406"/>
        <v>...</v>
      </c>
      <c r="M6444" s="1" t="str">
        <f t="shared" si="1406"/>
        <v>...</v>
      </c>
      <c r="N6444" t="s">
        <v>30</v>
      </c>
    </row>
    <row r="6445" spans="1:14" x14ac:dyDescent="0.25">
      <c r="A6445" t="s">
        <v>42</v>
      </c>
      <c r="B6445" t="s">
        <v>39</v>
      </c>
      <c r="C6445" t="s">
        <v>35</v>
      </c>
      <c r="D6445" t="s">
        <v>33</v>
      </c>
      <c r="E6445" t="s">
        <v>23</v>
      </c>
      <c r="F6445" t="s">
        <v>19</v>
      </c>
      <c r="G6445" s="1" t="str">
        <f t="shared" si="1406"/>
        <v>...</v>
      </c>
      <c r="H6445" s="1" t="str">
        <f t="shared" si="1406"/>
        <v>...</v>
      </c>
      <c r="I6445" s="1" t="str">
        <f t="shared" si="1406"/>
        <v>...</v>
      </c>
      <c r="J6445" s="1" t="str">
        <f t="shared" si="1406"/>
        <v>...</v>
      </c>
      <c r="K6445" s="1" t="str">
        <f t="shared" si="1406"/>
        <v>...</v>
      </c>
      <c r="L6445" s="1" t="str">
        <f t="shared" si="1406"/>
        <v>...</v>
      </c>
      <c r="M6445" s="1" t="str">
        <f t="shared" si="1406"/>
        <v>...</v>
      </c>
      <c r="N6445" t="s">
        <v>30</v>
      </c>
    </row>
    <row r="6446" spans="1:14" x14ac:dyDescent="0.25">
      <c r="A6446" t="s">
        <v>42</v>
      </c>
      <c r="B6446" t="s">
        <v>39</v>
      </c>
      <c r="C6446" t="s">
        <v>35</v>
      </c>
      <c r="D6446" t="s">
        <v>33</v>
      </c>
      <c r="E6446" t="s">
        <v>23</v>
      </c>
      <c r="F6446" t="s">
        <v>20</v>
      </c>
      <c r="G6446" s="1" t="str">
        <f t="shared" ref="G6446:M6446" si="1407">"X"</f>
        <v>X</v>
      </c>
      <c r="H6446" s="1" t="str">
        <f t="shared" si="1407"/>
        <v>X</v>
      </c>
      <c r="I6446" s="1" t="str">
        <f t="shared" si="1407"/>
        <v>X</v>
      </c>
      <c r="J6446" s="1" t="str">
        <f t="shared" si="1407"/>
        <v>X</v>
      </c>
      <c r="K6446" s="1" t="str">
        <f t="shared" si="1407"/>
        <v>X</v>
      </c>
      <c r="L6446" s="1" t="str">
        <f t="shared" si="1407"/>
        <v>X</v>
      </c>
      <c r="M6446" s="1" t="str">
        <f t="shared" si="1407"/>
        <v>X</v>
      </c>
      <c r="N6446" t="s">
        <v>27</v>
      </c>
    </row>
    <row r="6447" spans="1:14" x14ac:dyDescent="0.25">
      <c r="A6447" t="s">
        <v>42</v>
      </c>
      <c r="B6447" t="s">
        <v>39</v>
      </c>
      <c r="C6447" t="s">
        <v>35</v>
      </c>
      <c r="D6447" t="s">
        <v>33</v>
      </c>
      <c r="E6447" t="s">
        <v>26</v>
      </c>
      <c r="F6447" t="s">
        <v>15</v>
      </c>
      <c r="G6447" s="1" t="str">
        <f t="shared" ref="G6447:M6451" si="1408">"..."</f>
        <v>...</v>
      </c>
      <c r="H6447" s="1" t="str">
        <f t="shared" si="1408"/>
        <v>...</v>
      </c>
      <c r="I6447" s="1" t="str">
        <f t="shared" si="1408"/>
        <v>...</v>
      </c>
      <c r="J6447" s="1" t="str">
        <f t="shared" si="1408"/>
        <v>...</v>
      </c>
      <c r="K6447" s="1" t="str">
        <f t="shared" si="1408"/>
        <v>...</v>
      </c>
      <c r="L6447" s="1" t="str">
        <f t="shared" si="1408"/>
        <v>...</v>
      </c>
      <c r="M6447" s="1" t="str">
        <f t="shared" si="1408"/>
        <v>...</v>
      </c>
      <c r="N6447" t="s">
        <v>30</v>
      </c>
    </row>
    <row r="6448" spans="1:14" x14ac:dyDescent="0.25">
      <c r="A6448" t="s">
        <v>42</v>
      </c>
      <c r="B6448" t="s">
        <v>39</v>
      </c>
      <c r="C6448" t="s">
        <v>35</v>
      </c>
      <c r="D6448" t="s">
        <v>33</v>
      </c>
      <c r="E6448" t="s">
        <v>26</v>
      </c>
      <c r="F6448" t="s">
        <v>17</v>
      </c>
      <c r="G6448" s="1" t="str">
        <f t="shared" si="1408"/>
        <v>...</v>
      </c>
      <c r="H6448" s="1" t="str">
        <f t="shared" si="1408"/>
        <v>...</v>
      </c>
      <c r="I6448" s="1" t="str">
        <f t="shared" si="1408"/>
        <v>...</v>
      </c>
      <c r="J6448" s="1" t="str">
        <f t="shared" si="1408"/>
        <v>...</v>
      </c>
      <c r="K6448" s="1" t="str">
        <f t="shared" si="1408"/>
        <v>...</v>
      </c>
      <c r="L6448" s="1" t="str">
        <f t="shared" si="1408"/>
        <v>...</v>
      </c>
      <c r="M6448" s="1" t="str">
        <f t="shared" si="1408"/>
        <v>...</v>
      </c>
      <c r="N6448" t="s">
        <v>30</v>
      </c>
    </row>
    <row r="6449" spans="1:14" x14ac:dyDescent="0.25">
      <c r="A6449" t="s">
        <v>42</v>
      </c>
      <c r="B6449" t="s">
        <v>39</v>
      </c>
      <c r="C6449" t="s">
        <v>35</v>
      </c>
      <c r="D6449" t="s">
        <v>33</v>
      </c>
      <c r="E6449" t="s">
        <v>26</v>
      </c>
      <c r="F6449" t="s">
        <v>18</v>
      </c>
      <c r="G6449" s="1" t="str">
        <f t="shared" si="1408"/>
        <v>...</v>
      </c>
      <c r="H6449" s="1" t="str">
        <f t="shared" si="1408"/>
        <v>...</v>
      </c>
      <c r="I6449" s="1" t="str">
        <f t="shared" si="1408"/>
        <v>...</v>
      </c>
      <c r="J6449" s="1" t="str">
        <f t="shared" si="1408"/>
        <v>...</v>
      </c>
      <c r="K6449" s="1" t="str">
        <f t="shared" si="1408"/>
        <v>...</v>
      </c>
      <c r="L6449" s="1" t="str">
        <f t="shared" si="1408"/>
        <v>...</v>
      </c>
      <c r="M6449" s="1" t="str">
        <f t="shared" si="1408"/>
        <v>...</v>
      </c>
      <c r="N6449" t="s">
        <v>30</v>
      </c>
    </row>
    <row r="6450" spans="1:14" x14ac:dyDescent="0.25">
      <c r="A6450" t="s">
        <v>42</v>
      </c>
      <c r="B6450" t="s">
        <v>39</v>
      </c>
      <c r="C6450" t="s">
        <v>35</v>
      </c>
      <c r="D6450" t="s">
        <v>33</v>
      </c>
      <c r="E6450" t="s">
        <v>26</v>
      </c>
      <c r="F6450" t="s">
        <v>19</v>
      </c>
      <c r="G6450" s="1" t="str">
        <f t="shared" si="1408"/>
        <v>...</v>
      </c>
      <c r="H6450" s="1" t="str">
        <f t="shared" si="1408"/>
        <v>...</v>
      </c>
      <c r="I6450" s="1" t="str">
        <f t="shared" si="1408"/>
        <v>...</v>
      </c>
      <c r="J6450" s="1" t="str">
        <f t="shared" si="1408"/>
        <v>...</v>
      </c>
      <c r="K6450" s="1" t="str">
        <f t="shared" si="1408"/>
        <v>...</v>
      </c>
      <c r="L6450" s="1" t="str">
        <f t="shared" si="1408"/>
        <v>...</v>
      </c>
      <c r="M6450" s="1" t="str">
        <f t="shared" si="1408"/>
        <v>...</v>
      </c>
      <c r="N6450" t="s">
        <v>30</v>
      </c>
    </row>
    <row r="6451" spans="1:14" x14ac:dyDescent="0.25">
      <c r="A6451" t="s">
        <v>42</v>
      </c>
      <c r="B6451" t="s">
        <v>39</v>
      </c>
      <c r="C6451" t="s">
        <v>35</v>
      </c>
      <c r="D6451" t="s">
        <v>33</v>
      </c>
      <c r="E6451" t="s">
        <v>26</v>
      </c>
      <c r="F6451" t="s">
        <v>20</v>
      </c>
      <c r="G6451" s="1" t="str">
        <f t="shared" si="1408"/>
        <v>...</v>
      </c>
      <c r="H6451" s="1" t="str">
        <f t="shared" si="1408"/>
        <v>...</v>
      </c>
      <c r="I6451" s="1" t="str">
        <f t="shared" si="1408"/>
        <v>...</v>
      </c>
      <c r="J6451" s="1" t="str">
        <f t="shared" si="1408"/>
        <v>...</v>
      </c>
      <c r="K6451" s="1" t="str">
        <f t="shared" si="1408"/>
        <v>...</v>
      </c>
      <c r="L6451" s="1" t="str">
        <f t="shared" si="1408"/>
        <v>...</v>
      </c>
      <c r="M6451" s="1" t="str">
        <f t="shared" si="1408"/>
        <v>...</v>
      </c>
      <c r="N6451" t="s">
        <v>30</v>
      </c>
    </row>
    <row r="6452" spans="1:14" x14ac:dyDescent="0.25">
      <c r="A6452" t="s">
        <v>42</v>
      </c>
      <c r="B6452" t="s">
        <v>39</v>
      </c>
      <c r="C6452" t="s">
        <v>35</v>
      </c>
      <c r="D6452" t="s">
        <v>34</v>
      </c>
      <c r="E6452" t="s">
        <v>15</v>
      </c>
      <c r="F6452" t="s">
        <v>15</v>
      </c>
      <c r="G6452" s="1" t="str">
        <f t="shared" ref="G6452:M6452" si="1409">"X"</f>
        <v>X</v>
      </c>
      <c r="H6452" s="1" t="str">
        <f t="shared" si="1409"/>
        <v>X</v>
      </c>
      <c r="I6452" s="1" t="str">
        <f t="shared" si="1409"/>
        <v>X</v>
      </c>
      <c r="J6452" s="1" t="str">
        <f t="shared" si="1409"/>
        <v>X</v>
      </c>
      <c r="K6452" s="1" t="str">
        <f t="shared" si="1409"/>
        <v>X</v>
      </c>
      <c r="L6452" s="1" t="str">
        <f t="shared" si="1409"/>
        <v>X</v>
      </c>
      <c r="M6452" s="1" t="str">
        <f t="shared" si="1409"/>
        <v>X</v>
      </c>
      <c r="N6452" t="s">
        <v>27</v>
      </c>
    </row>
    <row r="6453" spans="1:14" x14ac:dyDescent="0.25">
      <c r="A6453" t="s">
        <v>42</v>
      </c>
      <c r="B6453" t="s">
        <v>39</v>
      </c>
      <c r="C6453" t="s">
        <v>35</v>
      </c>
      <c r="D6453" t="s">
        <v>34</v>
      </c>
      <c r="E6453" t="s">
        <v>15</v>
      </c>
      <c r="F6453" t="s">
        <v>17</v>
      </c>
      <c r="G6453" s="1" t="str">
        <f t="shared" ref="G6453:M6455" si="1410">"..."</f>
        <v>...</v>
      </c>
      <c r="H6453" s="1" t="str">
        <f t="shared" si="1410"/>
        <v>...</v>
      </c>
      <c r="I6453" s="1" t="str">
        <f t="shared" si="1410"/>
        <v>...</v>
      </c>
      <c r="J6453" s="1" t="str">
        <f t="shared" si="1410"/>
        <v>...</v>
      </c>
      <c r="K6453" s="1" t="str">
        <f t="shared" si="1410"/>
        <v>...</v>
      </c>
      <c r="L6453" s="1" t="str">
        <f t="shared" si="1410"/>
        <v>...</v>
      </c>
      <c r="M6453" s="1" t="str">
        <f t="shared" si="1410"/>
        <v>...</v>
      </c>
      <c r="N6453" t="s">
        <v>30</v>
      </c>
    </row>
    <row r="6454" spans="1:14" x14ac:dyDescent="0.25">
      <c r="A6454" t="s">
        <v>42</v>
      </c>
      <c r="B6454" t="s">
        <v>39</v>
      </c>
      <c r="C6454" t="s">
        <v>35</v>
      </c>
      <c r="D6454" t="s">
        <v>34</v>
      </c>
      <c r="E6454" t="s">
        <v>15</v>
      </c>
      <c r="F6454" t="s">
        <v>18</v>
      </c>
      <c r="G6454" s="1" t="str">
        <f t="shared" si="1410"/>
        <v>...</v>
      </c>
      <c r="H6454" s="1" t="str">
        <f t="shared" si="1410"/>
        <v>...</v>
      </c>
      <c r="I6454" s="1" t="str">
        <f t="shared" si="1410"/>
        <v>...</v>
      </c>
      <c r="J6454" s="1" t="str">
        <f t="shared" si="1410"/>
        <v>...</v>
      </c>
      <c r="K6454" s="1" t="str">
        <f t="shared" si="1410"/>
        <v>...</v>
      </c>
      <c r="L6454" s="1" t="str">
        <f t="shared" si="1410"/>
        <v>...</v>
      </c>
      <c r="M6454" s="1" t="str">
        <f t="shared" si="1410"/>
        <v>...</v>
      </c>
      <c r="N6454" t="s">
        <v>30</v>
      </c>
    </row>
    <row r="6455" spans="1:14" x14ac:dyDescent="0.25">
      <c r="A6455" t="s">
        <v>42</v>
      </c>
      <c r="B6455" t="s">
        <v>39</v>
      </c>
      <c r="C6455" t="s">
        <v>35</v>
      </c>
      <c r="D6455" t="s">
        <v>34</v>
      </c>
      <c r="E6455" t="s">
        <v>15</v>
      </c>
      <c r="F6455" t="s">
        <v>19</v>
      </c>
      <c r="G6455" s="1" t="str">
        <f t="shared" si="1410"/>
        <v>...</v>
      </c>
      <c r="H6455" s="1" t="str">
        <f t="shared" si="1410"/>
        <v>...</v>
      </c>
      <c r="I6455" s="1" t="str">
        <f t="shared" si="1410"/>
        <v>...</v>
      </c>
      <c r="J6455" s="1" t="str">
        <f t="shared" si="1410"/>
        <v>...</v>
      </c>
      <c r="K6455" s="1" t="str">
        <f t="shared" si="1410"/>
        <v>...</v>
      </c>
      <c r="L6455" s="1" t="str">
        <f t="shared" si="1410"/>
        <v>...</v>
      </c>
      <c r="M6455" s="1" t="str">
        <f t="shared" si="1410"/>
        <v>...</v>
      </c>
      <c r="N6455" t="s">
        <v>30</v>
      </c>
    </row>
    <row r="6456" spans="1:14" x14ac:dyDescent="0.25">
      <c r="A6456" t="s">
        <v>42</v>
      </c>
      <c r="B6456" t="s">
        <v>39</v>
      </c>
      <c r="C6456" t="s">
        <v>35</v>
      </c>
      <c r="D6456" t="s">
        <v>34</v>
      </c>
      <c r="E6456" t="s">
        <v>15</v>
      </c>
      <c r="F6456" t="s">
        <v>20</v>
      </c>
      <c r="G6456" s="1" t="str">
        <f t="shared" ref="G6456:M6456" si="1411">"X"</f>
        <v>X</v>
      </c>
      <c r="H6456" s="1" t="str">
        <f t="shared" si="1411"/>
        <v>X</v>
      </c>
      <c r="I6456" s="1" t="str">
        <f t="shared" si="1411"/>
        <v>X</v>
      </c>
      <c r="J6456" s="1" t="str">
        <f t="shared" si="1411"/>
        <v>X</v>
      </c>
      <c r="K6456" s="1" t="str">
        <f t="shared" si="1411"/>
        <v>X</v>
      </c>
      <c r="L6456" s="1" t="str">
        <f t="shared" si="1411"/>
        <v>X</v>
      </c>
      <c r="M6456" s="1" t="str">
        <f t="shared" si="1411"/>
        <v>X</v>
      </c>
      <c r="N6456" t="s">
        <v>27</v>
      </c>
    </row>
    <row r="6457" spans="1:14" x14ac:dyDescent="0.25">
      <c r="A6457" t="s">
        <v>42</v>
      </c>
      <c r="B6457" t="s">
        <v>39</v>
      </c>
      <c r="C6457" t="s">
        <v>35</v>
      </c>
      <c r="D6457" t="s">
        <v>34</v>
      </c>
      <c r="E6457" t="s">
        <v>21</v>
      </c>
      <c r="F6457" t="s">
        <v>15</v>
      </c>
      <c r="G6457" s="1" t="str">
        <f t="shared" ref="G6457:M6461" si="1412">"..."</f>
        <v>...</v>
      </c>
      <c r="H6457" s="1" t="str">
        <f t="shared" si="1412"/>
        <v>...</v>
      </c>
      <c r="I6457" s="1" t="str">
        <f t="shared" si="1412"/>
        <v>...</v>
      </c>
      <c r="J6457" s="1" t="str">
        <f t="shared" si="1412"/>
        <v>...</v>
      </c>
      <c r="K6457" s="1" t="str">
        <f t="shared" si="1412"/>
        <v>...</v>
      </c>
      <c r="L6457" s="1" t="str">
        <f t="shared" si="1412"/>
        <v>...</v>
      </c>
      <c r="M6457" s="1" t="str">
        <f t="shared" si="1412"/>
        <v>...</v>
      </c>
      <c r="N6457" t="s">
        <v>30</v>
      </c>
    </row>
    <row r="6458" spans="1:14" x14ac:dyDescent="0.25">
      <c r="A6458" t="s">
        <v>42</v>
      </c>
      <c r="B6458" t="s">
        <v>39</v>
      </c>
      <c r="C6458" t="s">
        <v>35</v>
      </c>
      <c r="D6458" t="s">
        <v>34</v>
      </c>
      <c r="E6458" t="s">
        <v>21</v>
      </c>
      <c r="F6458" t="s">
        <v>17</v>
      </c>
      <c r="G6458" s="1" t="str">
        <f t="shared" si="1412"/>
        <v>...</v>
      </c>
      <c r="H6458" s="1" t="str">
        <f t="shared" si="1412"/>
        <v>...</v>
      </c>
      <c r="I6458" s="1" t="str">
        <f t="shared" si="1412"/>
        <v>...</v>
      </c>
      <c r="J6458" s="1" t="str">
        <f t="shared" si="1412"/>
        <v>...</v>
      </c>
      <c r="K6458" s="1" t="str">
        <f t="shared" si="1412"/>
        <v>...</v>
      </c>
      <c r="L6458" s="1" t="str">
        <f t="shared" si="1412"/>
        <v>...</v>
      </c>
      <c r="M6458" s="1" t="str">
        <f t="shared" si="1412"/>
        <v>...</v>
      </c>
      <c r="N6458" t="s">
        <v>30</v>
      </c>
    </row>
    <row r="6459" spans="1:14" x14ac:dyDescent="0.25">
      <c r="A6459" t="s">
        <v>42</v>
      </c>
      <c r="B6459" t="s">
        <v>39</v>
      </c>
      <c r="C6459" t="s">
        <v>35</v>
      </c>
      <c r="D6459" t="s">
        <v>34</v>
      </c>
      <c r="E6459" t="s">
        <v>21</v>
      </c>
      <c r="F6459" t="s">
        <v>18</v>
      </c>
      <c r="G6459" s="1" t="str">
        <f t="shared" si="1412"/>
        <v>...</v>
      </c>
      <c r="H6459" s="1" t="str">
        <f t="shared" si="1412"/>
        <v>...</v>
      </c>
      <c r="I6459" s="1" t="str">
        <f t="shared" si="1412"/>
        <v>...</v>
      </c>
      <c r="J6459" s="1" t="str">
        <f t="shared" si="1412"/>
        <v>...</v>
      </c>
      <c r="K6459" s="1" t="str">
        <f t="shared" si="1412"/>
        <v>...</v>
      </c>
      <c r="L6459" s="1" t="str">
        <f t="shared" si="1412"/>
        <v>...</v>
      </c>
      <c r="M6459" s="1" t="str">
        <f t="shared" si="1412"/>
        <v>...</v>
      </c>
      <c r="N6459" t="s">
        <v>30</v>
      </c>
    </row>
    <row r="6460" spans="1:14" x14ac:dyDescent="0.25">
      <c r="A6460" t="s">
        <v>42</v>
      </c>
      <c r="B6460" t="s">
        <v>39</v>
      </c>
      <c r="C6460" t="s">
        <v>35</v>
      </c>
      <c r="D6460" t="s">
        <v>34</v>
      </c>
      <c r="E6460" t="s">
        <v>21</v>
      </c>
      <c r="F6460" t="s">
        <v>19</v>
      </c>
      <c r="G6460" s="1" t="str">
        <f t="shared" si="1412"/>
        <v>...</v>
      </c>
      <c r="H6460" s="1" t="str">
        <f t="shared" si="1412"/>
        <v>...</v>
      </c>
      <c r="I6460" s="1" t="str">
        <f t="shared" si="1412"/>
        <v>...</v>
      </c>
      <c r="J6460" s="1" t="str">
        <f t="shared" si="1412"/>
        <v>...</v>
      </c>
      <c r="K6460" s="1" t="str">
        <f t="shared" si="1412"/>
        <v>...</v>
      </c>
      <c r="L6460" s="1" t="str">
        <f t="shared" si="1412"/>
        <v>...</v>
      </c>
      <c r="M6460" s="1" t="str">
        <f t="shared" si="1412"/>
        <v>...</v>
      </c>
      <c r="N6460" t="s">
        <v>30</v>
      </c>
    </row>
    <row r="6461" spans="1:14" x14ac:dyDescent="0.25">
      <c r="A6461" t="s">
        <v>42</v>
      </c>
      <c r="B6461" t="s">
        <v>39</v>
      </c>
      <c r="C6461" t="s">
        <v>35</v>
      </c>
      <c r="D6461" t="s">
        <v>34</v>
      </c>
      <c r="E6461" t="s">
        <v>21</v>
      </c>
      <c r="F6461" t="s">
        <v>20</v>
      </c>
      <c r="G6461" s="1" t="str">
        <f t="shared" si="1412"/>
        <v>...</v>
      </c>
      <c r="H6461" s="1" t="str">
        <f t="shared" si="1412"/>
        <v>...</v>
      </c>
      <c r="I6461" s="1" t="str">
        <f t="shared" si="1412"/>
        <v>...</v>
      </c>
      <c r="J6461" s="1" t="str">
        <f t="shared" si="1412"/>
        <v>...</v>
      </c>
      <c r="K6461" s="1" t="str">
        <f t="shared" si="1412"/>
        <v>...</v>
      </c>
      <c r="L6461" s="1" t="str">
        <f t="shared" si="1412"/>
        <v>...</v>
      </c>
      <c r="M6461" s="1" t="str">
        <f t="shared" si="1412"/>
        <v>...</v>
      </c>
      <c r="N6461" t="s">
        <v>30</v>
      </c>
    </row>
    <row r="6462" spans="1:14" x14ac:dyDescent="0.25">
      <c r="A6462" t="s">
        <v>42</v>
      </c>
      <c r="B6462" t="s">
        <v>39</v>
      </c>
      <c r="C6462" t="s">
        <v>35</v>
      </c>
      <c r="D6462" t="s">
        <v>34</v>
      </c>
      <c r="E6462" t="s">
        <v>22</v>
      </c>
      <c r="F6462" t="s">
        <v>15</v>
      </c>
      <c r="G6462" s="1" t="str">
        <f t="shared" ref="G6462:M6462" si="1413">"X"</f>
        <v>X</v>
      </c>
      <c r="H6462" s="1" t="str">
        <f t="shared" si="1413"/>
        <v>X</v>
      </c>
      <c r="I6462" s="1" t="str">
        <f t="shared" si="1413"/>
        <v>X</v>
      </c>
      <c r="J6462" s="1" t="str">
        <f t="shared" si="1413"/>
        <v>X</v>
      </c>
      <c r="K6462" s="1" t="str">
        <f t="shared" si="1413"/>
        <v>X</v>
      </c>
      <c r="L6462" s="1" t="str">
        <f t="shared" si="1413"/>
        <v>X</v>
      </c>
      <c r="M6462" s="1" t="str">
        <f t="shared" si="1413"/>
        <v>X</v>
      </c>
      <c r="N6462" t="s">
        <v>27</v>
      </c>
    </row>
    <row r="6463" spans="1:14" x14ac:dyDescent="0.25">
      <c r="A6463" t="s">
        <v>42</v>
      </c>
      <c r="B6463" t="s">
        <v>39</v>
      </c>
      <c r="C6463" t="s">
        <v>35</v>
      </c>
      <c r="D6463" t="s">
        <v>34</v>
      </c>
      <c r="E6463" t="s">
        <v>22</v>
      </c>
      <c r="F6463" t="s">
        <v>17</v>
      </c>
      <c r="G6463" s="1" t="str">
        <f t="shared" ref="G6463:M6465" si="1414">"..."</f>
        <v>...</v>
      </c>
      <c r="H6463" s="1" t="str">
        <f t="shared" si="1414"/>
        <v>...</v>
      </c>
      <c r="I6463" s="1" t="str">
        <f t="shared" si="1414"/>
        <v>...</v>
      </c>
      <c r="J6463" s="1" t="str">
        <f t="shared" si="1414"/>
        <v>...</v>
      </c>
      <c r="K6463" s="1" t="str">
        <f t="shared" si="1414"/>
        <v>...</v>
      </c>
      <c r="L6463" s="1" t="str">
        <f t="shared" si="1414"/>
        <v>...</v>
      </c>
      <c r="M6463" s="1" t="str">
        <f t="shared" si="1414"/>
        <v>...</v>
      </c>
      <c r="N6463" t="s">
        <v>30</v>
      </c>
    </row>
    <row r="6464" spans="1:14" x14ac:dyDescent="0.25">
      <c r="A6464" t="s">
        <v>42</v>
      </c>
      <c r="B6464" t="s">
        <v>39</v>
      </c>
      <c r="C6464" t="s">
        <v>35</v>
      </c>
      <c r="D6464" t="s">
        <v>34</v>
      </c>
      <c r="E6464" t="s">
        <v>22</v>
      </c>
      <c r="F6464" t="s">
        <v>18</v>
      </c>
      <c r="G6464" s="1" t="str">
        <f t="shared" si="1414"/>
        <v>...</v>
      </c>
      <c r="H6464" s="1" t="str">
        <f t="shared" si="1414"/>
        <v>...</v>
      </c>
      <c r="I6464" s="1" t="str">
        <f t="shared" si="1414"/>
        <v>...</v>
      </c>
      <c r="J6464" s="1" t="str">
        <f t="shared" si="1414"/>
        <v>...</v>
      </c>
      <c r="K6464" s="1" t="str">
        <f t="shared" si="1414"/>
        <v>...</v>
      </c>
      <c r="L6464" s="1" t="str">
        <f t="shared" si="1414"/>
        <v>...</v>
      </c>
      <c r="M6464" s="1" t="str">
        <f t="shared" si="1414"/>
        <v>...</v>
      </c>
      <c r="N6464" t="s">
        <v>30</v>
      </c>
    </row>
    <row r="6465" spans="1:14" x14ac:dyDescent="0.25">
      <c r="A6465" t="s">
        <v>42</v>
      </c>
      <c r="B6465" t="s">
        <v>39</v>
      </c>
      <c r="C6465" t="s">
        <v>35</v>
      </c>
      <c r="D6465" t="s">
        <v>34</v>
      </c>
      <c r="E6465" t="s">
        <v>22</v>
      </c>
      <c r="F6465" t="s">
        <v>19</v>
      </c>
      <c r="G6465" s="1" t="str">
        <f t="shared" si="1414"/>
        <v>...</v>
      </c>
      <c r="H6465" s="1" t="str">
        <f t="shared" si="1414"/>
        <v>...</v>
      </c>
      <c r="I6465" s="1" t="str">
        <f t="shared" si="1414"/>
        <v>...</v>
      </c>
      <c r="J6465" s="1" t="str">
        <f t="shared" si="1414"/>
        <v>...</v>
      </c>
      <c r="K6465" s="1" t="str">
        <f t="shared" si="1414"/>
        <v>...</v>
      </c>
      <c r="L6465" s="1" t="str">
        <f t="shared" si="1414"/>
        <v>...</v>
      </c>
      <c r="M6465" s="1" t="str">
        <f t="shared" si="1414"/>
        <v>...</v>
      </c>
      <c r="N6465" t="s">
        <v>30</v>
      </c>
    </row>
    <row r="6466" spans="1:14" x14ac:dyDescent="0.25">
      <c r="A6466" t="s">
        <v>42</v>
      </c>
      <c r="B6466" t="s">
        <v>39</v>
      </c>
      <c r="C6466" t="s">
        <v>35</v>
      </c>
      <c r="D6466" t="s">
        <v>34</v>
      </c>
      <c r="E6466" t="s">
        <v>22</v>
      </c>
      <c r="F6466" t="s">
        <v>20</v>
      </c>
      <c r="G6466" s="1" t="str">
        <f t="shared" ref="G6466:M6467" si="1415">"X"</f>
        <v>X</v>
      </c>
      <c r="H6466" s="1" t="str">
        <f t="shared" si="1415"/>
        <v>X</v>
      </c>
      <c r="I6466" s="1" t="str">
        <f t="shared" si="1415"/>
        <v>X</v>
      </c>
      <c r="J6466" s="1" t="str">
        <f t="shared" si="1415"/>
        <v>X</v>
      </c>
      <c r="K6466" s="1" t="str">
        <f t="shared" si="1415"/>
        <v>X</v>
      </c>
      <c r="L6466" s="1" t="str">
        <f t="shared" si="1415"/>
        <v>X</v>
      </c>
      <c r="M6466" s="1" t="str">
        <f t="shared" si="1415"/>
        <v>X</v>
      </c>
      <c r="N6466" t="s">
        <v>27</v>
      </c>
    </row>
    <row r="6467" spans="1:14" x14ac:dyDescent="0.25">
      <c r="A6467" t="s">
        <v>42</v>
      </c>
      <c r="B6467" t="s">
        <v>39</v>
      </c>
      <c r="C6467" t="s">
        <v>35</v>
      </c>
      <c r="D6467" t="s">
        <v>34</v>
      </c>
      <c r="E6467" t="s">
        <v>23</v>
      </c>
      <c r="F6467" t="s">
        <v>15</v>
      </c>
      <c r="G6467" s="1" t="str">
        <f t="shared" si="1415"/>
        <v>X</v>
      </c>
      <c r="H6467" s="1" t="str">
        <f t="shared" si="1415"/>
        <v>X</v>
      </c>
      <c r="I6467" s="1" t="str">
        <f t="shared" si="1415"/>
        <v>X</v>
      </c>
      <c r="J6467" s="1" t="str">
        <f t="shared" si="1415"/>
        <v>X</v>
      </c>
      <c r="K6467" s="1" t="str">
        <f t="shared" si="1415"/>
        <v>X</v>
      </c>
      <c r="L6467" s="1" t="str">
        <f t="shared" si="1415"/>
        <v>X</v>
      </c>
      <c r="M6467" s="1" t="str">
        <f t="shared" si="1415"/>
        <v>X</v>
      </c>
      <c r="N6467" t="s">
        <v>27</v>
      </c>
    </row>
    <row r="6468" spans="1:14" x14ac:dyDescent="0.25">
      <c r="A6468" t="s">
        <v>42</v>
      </c>
      <c r="B6468" t="s">
        <v>39</v>
      </c>
      <c r="C6468" t="s">
        <v>35</v>
      </c>
      <c r="D6468" t="s">
        <v>34</v>
      </c>
      <c r="E6468" t="s">
        <v>23</v>
      </c>
      <c r="F6468" t="s">
        <v>17</v>
      </c>
      <c r="G6468" s="1" t="str">
        <f t="shared" ref="G6468:M6470" si="1416">"..."</f>
        <v>...</v>
      </c>
      <c r="H6468" s="1" t="str">
        <f t="shared" si="1416"/>
        <v>...</v>
      </c>
      <c r="I6468" s="1" t="str">
        <f t="shared" si="1416"/>
        <v>...</v>
      </c>
      <c r="J6468" s="1" t="str">
        <f t="shared" si="1416"/>
        <v>...</v>
      </c>
      <c r="K6468" s="1" t="str">
        <f t="shared" si="1416"/>
        <v>...</v>
      </c>
      <c r="L6468" s="1" t="str">
        <f t="shared" si="1416"/>
        <v>...</v>
      </c>
      <c r="M6468" s="1" t="str">
        <f t="shared" si="1416"/>
        <v>...</v>
      </c>
      <c r="N6468" t="s">
        <v>30</v>
      </c>
    </row>
    <row r="6469" spans="1:14" x14ac:dyDescent="0.25">
      <c r="A6469" t="s">
        <v>42</v>
      </c>
      <c r="B6469" t="s">
        <v>39</v>
      </c>
      <c r="C6469" t="s">
        <v>35</v>
      </c>
      <c r="D6469" t="s">
        <v>34</v>
      </c>
      <c r="E6469" t="s">
        <v>23</v>
      </c>
      <c r="F6469" t="s">
        <v>18</v>
      </c>
      <c r="G6469" s="1" t="str">
        <f t="shared" si="1416"/>
        <v>...</v>
      </c>
      <c r="H6469" s="1" t="str">
        <f t="shared" si="1416"/>
        <v>...</v>
      </c>
      <c r="I6469" s="1" t="str">
        <f t="shared" si="1416"/>
        <v>...</v>
      </c>
      <c r="J6469" s="1" t="str">
        <f t="shared" si="1416"/>
        <v>...</v>
      </c>
      <c r="K6469" s="1" t="str">
        <f t="shared" si="1416"/>
        <v>...</v>
      </c>
      <c r="L6469" s="1" t="str">
        <f t="shared" si="1416"/>
        <v>...</v>
      </c>
      <c r="M6469" s="1" t="str">
        <f t="shared" si="1416"/>
        <v>...</v>
      </c>
      <c r="N6469" t="s">
        <v>30</v>
      </c>
    </row>
    <row r="6470" spans="1:14" x14ac:dyDescent="0.25">
      <c r="A6470" t="s">
        <v>42</v>
      </c>
      <c r="B6470" t="s">
        <v>39</v>
      </c>
      <c r="C6470" t="s">
        <v>35</v>
      </c>
      <c r="D6470" t="s">
        <v>34</v>
      </c>
      <c r="E6470" t="s">
        <v>23</v>
      </c>
      <c r="F6470" t="s">
        <v>19</v>
      </c>
      <c r="G6470" s="1" t="str">
        <f t="shared" si="1416"/>
        <v>...</v>
      </c>
      <c r="H6470" s="1" t="str">
        <f t="shared" si="1416"/>
        <v>...</v>
      </c>
      <c r="I6470" s="1" t="str">
        <f t="shared" si="1416"/>
        <v>...</v>
      </c>
      <c r="J6470" s="1" t="str">
        <f t="shared" si="1416"/>
        <v>...</v>
      </c>
      <c r="K6470" s="1" t="str">
        <f t="shared" si="1416"/>
        <v>...</v>
      </c>
      <c r="L6470" s="1" t="str">
        <f t="shared" si="1416"/>
        <v>...</v>
      </c>
      <c r="M6470" s="1" t="str">
        <f t="shared" si="1416"/>
        <v>...</v>
      </c>
      <c r="N6470" t="s">
        <v>30</v>
      </c>
    </row>
    <row r="6471" spans="1:14" x14ac:dyDescent="0.25">
      <c r="A6471" t="s">
        <v>42</v>
      </c>
      <c r="B6471" t="s">
        <v>39</v>
      </c>
      <c r="C6471" t="s">
        <v>35</v>
      </c>
      <c r="D6471" t="s">
        <v>34</v>
      </c>
      <c r="E6471" t="s">
        <v>23</v>
      </c>
      <c r="F6471" t="s">
        <v>20</v>
      </c>
      <c r="G6471" s="1" t="str">
        <f t="shared" ref="G6471:M6472" si="1417">"X"</f>
        <v>X</v>
      </c>
      <c r="H6471" s="1" t="str">
        <f t="shared" si="1417"/>
        <v>X</v>
      </c>
      <c r="I6471" s="1" t="str">
        <f t="shared" si="1417"/>
        <v>X</v>
      </c>
      <c r="J6471" s="1" t="str">
        <f t="shared" si="1417"/>
        <v>X</v>
      </c>
      <c r="K6471" s="1" t="str">
        <f t="shared" si="1417"/>
        <v>X</v>
      </c>
      <c r="L6471" s="1" t="str">
        <f t="shared" si="1417"/>
        <v>X</v>
      </c>
      <c r="M6471" s="1" t="str">
        <f t="shared" si="1417"/>
        <v>X</v>
      </c>
      <c r="N6471" t="s">
        <v>27</v>
      </c>
    </row>
    <row r="6472" spans="1:14" x14ac:dyDescent="0.25">
      <c r="A6472" t="s">
        <v>42</v>
      </c>
      <c r="B6472" t="s">
        <v>39</v>
      </c>
      <c r="C6472" t="s">
        <v>35</v>
      </c>
      <c r="D6472" t="s">
        <v>34</v>
      </c>
      <c r="E6472" t="s">
        <v>26</v>
      </c>
      <c r="F6472" t="s">
        <v>15</v>
      </c>
      <c r="G6472" s="1" t="str">
        <f t="shared" si="1417"/>
        <v>X</v>
      </c>
      <c r="H6472" s="1" t="str">
        <f t="shared" si="1417"/>
        <v>X</v>
      </c>
      <c r="I6472" s="1" t="str">
        <f t="shared" si="1417"/>
        <v>X</v>
      </c>
      <c r="J6472" s="1" t="str">
        <f t="shared" si="1417"/>
        <v>X</v>
      </c>
      <c r="K6472" s="1" t="str">
        <f t="shared" si="1417"/>
        <v>X</v>
      </c>
      <c r="L6472" s="1" t="str">
        <f t="shared" si="1417"/>
        <v>X</v>
      </c>
      <c r="M6472" s="1" t="str">
        <f t="shared" si="1417"/>
        <v>X</v>
      </c>
      <c r="N6472" t="s">
        <v>27</v>
      </c>
    </row>
    <row r="6473" spans="1:14" x14ac:dyDescent="0.25">
      <c r="A6473" t="s">
        <v>42</v>
      </c>
      <c r="B6473" t="s">
        <v>39</v>
      </c>
      <c r="C6473" t="s">
        <v>35</v>
      </c>
      <c r="D6473" t="s">
        <v>34</v>
      </c>
      <c r="E6473" t="s">
        <v>26</v>
      </c>
      <c r="F6473" t="s">
        <v>17</v>
      </c>
      <c r="G6473" s="1" t="str">
        <f t="shared" ref="G6473:M6475" si="1418">"..."</f>
        <v>...</v>
      </c>
      <c r="H6473" s="1" t="str">
        <f t="shared" si="1418"/>
        <v>...</v>
      </c>
      <c r="I6473" s="1" t="str">
        <f t="shared" si="1418"/>
        <v>...</v>
      </c>
      <c r="J6473" s="1" t="str">
        <f t="shared" si="1418"/>
        <v>...</v>
      </c>
      <c r="K6473" s="1" t="str">
        <f t="shared" si="1418"/>
        <v>...</v>
      </c>
      <c r="L6473" s="1" t="str">
        <f t="shared" si="1418"/>
        <v>...</v>
      </c>
      <c r="M6473" s="1" t="str">
        <f t="shared" si="1418"/>
        <v>...</v>
      </c>
      <c r="N6473" t="s">
        <v>30</v>
      </c>
    </row>
    <row r="6474" spans="1:14" x14ac:dyDescent="0.25">
      <c r="A6474" t="s">
        <v>42</v>
      </c>
      <c r="B6474" t="s">
        <v>39</v>
      </c>
      <c r="C6474" t="s">
        <v>35</v>
      </c>
      <c r="D6474" t="s">
        <v>34</v>
      </c>
      <c r="E6474" t="s">
        <v>26</v>
      </c>
      <c r="F6474" t="s">
        <v>18</v>
      </c>
      <c r="G6474" s="1" t="str">
        <f t="shared" si="1418"/>
        <v>...</v>
      </c>
      <c r="H6474" s="1" t="str">
        <f t="shared" si="1418"/>
        <v>...</v>
      </c>
      <c r="I6474" s="1" t="str">
        <f t="shared" si="1418"/>
        <v>...</v>
      </c>
      <c r="J6474" s="1" t="str">
        <f t="shared" si="1418"/>
        <v>...</v>
      </c>
      <c r="K6474" s="1" t="str">
        <f t="shared" si="1418"/>
        <v>...</v>
      </c>
      <c r="L6474" s="1" t="str">
        <f t="shared" si="1418"/>
        <v>...</v>
      </c>
      <c r="M6474" s="1" t="str">
        <f t="shared" si="1418"/>
        <v>...</v>
      </c>
      <c r="N6474" t="s">
        <v>30</v>
      </c>
    </row>
    <row r="6475" spans="1:14" x14ac:dyDescent="0.25">
      <c r="A6475" t="s">
        <v>42</v>
      </c>
      <c r="B6475" t="s">
        <v>39</v>
      </c>
      <c r="C6475" t="s">
        <v>35</v>
      </c>
      <c r="D6475" t="s">
        <v>34</v>
      </c>
      <c r="E6475" t="s">
        <v>26</v>
      </c>
      <c r="F6475" t="s">
        <v>19</v>
      </c>
      <c r="G6475" s="1" t="str">
        <f t="shared" si="1418"/>
        <v>...</v>
      </c>
      <c r="H6475" s="1" t="str">
        <f t="shared" si="1418"/>
        <v>...</v>
      </c>
      <c r="I6475" s="1" t="str">
        <f t="shared" si="1418"/>
        <v>...</v>
      </c>
      <c r="J6475" s="1" t="str">
        <f t="shared" si="1418"/>
        <v>...</v>
      </c>
      <c r="K6475" s="1" t="str">
        <f t="shared" si="1418"/>
        <v>...</v>
      </c>
      <c r="L6475" s="1" t="str">
        <f t="shared" si="1418"/>
        <v>...</v>
      </c>
      <c r="M6475" s="1" t="str">
        <f t="shared" si="1418"/>
        <v>...</v>
      </c>
      <c r="N6475" t="s">
        <v>30</v>
      </c>
    </row>
    <row r="6476" spans="1:14" x14ac:dyDescent="0.25">
      <c r="A6476" t="s">
        <v>42</v>
      </c>
      <c r="B6476" t="s">
        <v>39</v>
      </c>
      <c r="C6476" t="s">
        <v>35</v>
      </c>
      <c r="D6476" t="s">
        <v>34</v>
      </c>
      <c r="E6476" t="s">
        <v>26</v>
      </c>
      <c r="F6476" t="s">
        <v>20</v>
      </c>
      <c r="G6476" s="1" t="str">
        <f t="shared" ref="G6476:M6476" si="1419">"X"</f>
        <v>X</v>
      </c>
      <c r="H6476" s="1" t="str">
        <f t="shared" si="1419"/>
        <v>X</v>
      </c>
      <c r="I6476" s="1" t="str">
        <f t="shared" si="1419"/>
        <v>X</v>
      </c>
      <c r="J6476" s="1" t="str">
        <f t="shared" si="1419"/>
        <v>X</v>
      </c>
      <c r="K6476" s="1" t="str">
        <f t="shared" si="1419"/>
        <v>X</v>
      </c>
      <c r="L6476" s="1" t="str">
        <f t="shared" si="1419"/>
        <v>X</v>
      </c>
      <c r="M6476" s="1" t="str">
        <f t="shared" si="1419"/>
        <v>X</v>
      </c>
      <c r="N6476" t="s">
        <v>27</v>
      </c>
    </row>
    <row r="6477" spans="1:14" x14ac:dyDescent="0.25">
      <c r="A6477" t="s">
        <v>42</v>
      </c>
      <c r="B6477" t="s">
        <v>39</v>
      </c>
      <c r="C6477" t="s">
        <v>36</v>
      </c>
      <c r="D6477" t="s">
        <v>15</v>
      </c>
      <c r="E6477" t="s">
        <v>15</v>
      </c>
      <c r="F6477" t="s">
        <v>15</v>
      </c>
      <c r="G6477" s="1">
        <f>VALUE(15376.15)</f>
        <v>15376.15</v>
      </c>
      <c r="H6477" s="1">
        <f>VALUE(15371.31)</f>
        <v>15371.31</v>
      </c>
      <c r="I6477" s="1">
        <f>VALUE(3334)</f>
        <v>3334</v>
      </c>
      <c r="J6477" s="1">
        <f>VALUE(4027)</f>
        <v>4027</v>
      </c>
      <c r="K6477" s="1">
        <f>VALUE(4814)</f>
        <v>4814</v>
      </c>
      <c r="L6477" s="1">
        <f>VALUE(5757)</f>
        <v>5757</v>
      </c>
      <c r="M6477" s="1">
        <f>VALUE(6959)</f>
        <v>6959</v>
      </c>
      <c r="N6477" t="s">
        <v>16</v>
      </c>
    </row>
    <row r="6478" spans="1:14" x14ac:dyDescent="0.25">
      <c r="A6478" t="s">
        <v>42</v>
      </c>
      <c r="B6478" t="s">
        <v>39</v>
      </c>
      <c r="C6478" t="s">
        <v>36</v>
      </c>
      <c r="D6478" t="s">
        <v>15</v>
      </c>
      <c r="E6478" t="s">
        <v>15</v>
      </c>
      <c r="F6478" t="s">
        <v>17</v>
      </c>
      <c r="G6478" s="2">
        <f>VALUE(1392.71)</f>
        <v>1392.71</v>
      </c>
      <c r="H6478" s="3">
        <f>VALUE(1429.72)</f>
        <v>1429.72</v>
      </c>
      <c r="I6478" s="4">
        <f>VALUE(3508)</f>
        <v>3508</v>
      </c>
      <c r="J6478" s="5">
        <f>VALUE(4814)</f>
        <v>4814</v>
      </c>
      <c r="K6478" s="1">
        <f>VALUE(6159)</f>
        <v>6159</v>
      </c>
      <c r="L6478" s="1">
        <f>VALUE(7852)</f>
        <v>7852</v>
      </c>
      <c r="M6478" s="8">
        <f>VALUE(10317)</f>
        <v>10317</v>
      </c>
      <c r="N6478" t="s">
        <v>25</v>
      </c>
    </row>
    <row r="6479" spans="1:14" x14ac:dyDescent="0.25">
      <c r="A6479" t="s">
        <v>42</v>
      </c>
      <c r="B6479" t="s">
        <v>39</v>
      </c>
      <c r="C6479" t="s">
        <v>36</v>
      </c>
      <c r="D6479" t="s">
        <v>15</v>
      </c>
      <c r="E6479" t="s">
        <v>15</v>
      </c>
      <c r="F6479" t="s">
        <v>18</v>
      </c>
      <c r="G6479" s="2">
        <f>VALUE(1308.32)</f>
        <v>1308.32</v>
      </c>
      <c r="H6479" s="3">
        <f>VALUE(1304.79)</f>
        <v>1304.79</v>
      </c>
      <c r="I6479" s="4">
        <f>VALUE(3508)</f>
        <v>3508</v>
      </c>
      <c r="J6479" s="1">
        <f>VALUE(4333)</f>
        <v>4333</v>
      </c>
      <c r="K6479" s="1">
        <f>VALUE(5323)</f>
        <v>5323</v>
      </c>
      <c r="L6479" s="1">
        <f>VALUE(6664)</f>
        <v>6664</v>
      </c>
      <c r="M6479" s="8">
        <f>VALUE(8089)</f>
        <v>8089</v>
      </c>
      <c r="N6479" t="s">
        <v>25</v>
      </c>
    </row>
    <row r="6480" spans="1:14" x14ac:dyDescent="0.25">
      <c r="A6480" t="s">
        <v>42</v>
      </c>
      <c r="B6480" t="s">
        <v>39</v>
      </c>
      <c r="C6480" t="s">
        <v>36</v>
      </c>
      <c r="D6480" t="s">
        <v>15</v>
      </c>
      <c r="E6480" t="s">
        <v>15</v>
      </c>
      <c r="F6480" t="s">
        <v>19</v>
      </c>
      <c r="G6480" s="1">
        <f>VALUE(1934.44)</f>
        <v>1934.44</v>
      </c>
      <c r="H6480" s="1">
        <f>VALUE(1927.02)</f>
        <v>1927.02</v>
      </c>
      <c r="I6480" s="1">
        <f>VALUE(3601)</f>
        <v>3601</v>
      </c>
      <c r="J6480" s="1">
        <f>VALUE(4254)</f>
        <v>4254</v>
      </c>
      <c r="K6480" s="1">
        <f>VALUE(4913)</f>
        <v>4913</v>
      </c>
      <c r="L6480" s="1">
        <f>VALUE(6056)</f>
        <v>6056</v>
      </c>
      <c r="M6480" s="1">
        <f>VALUE(7060)</f>
        <v>7060</v>
      </c>
      <c r="N6480" t="s">
        <v>16</v>
      </c>
    </row>
    <row r="6481" spans="1:14" x14ac:dyDescent="0.25">
      <c r="A6481" t="s">
        <v>42</v>
      </c>
      <c r="B6481" t="s">
        <v>39</v>
      </c>
      <c r="C6481" t="s">
        <v>36</v>
      </c>
      <c r="D6481" t="s">
        <v>15</v>
      </c>
      <c r="E6481" t="s">
        <v>15</v>
      </c>
      <c r="F6481" t="s">
        <v>20</v>
      </c>
      <c r="G6481" s="1">
        <f>VALUE(10740.68)</f>
        <v>10740.68</v>
      </c>
      <c r="H6481" s="1">
        <f>VALUE(10709.78)</f>
        <v>10709.78</v>
      </c>
      <c r="I6481" s="1">
        <f>VALUE(3286)</f>
        <v>3286</v>
      </c>
      <c r="J6481" s="1">
        <f>VALUE(3920)</f>
        <v>3920</v>
      </c>
      <c r="K6481" s="1">
        <f>VALUE(4667)</f>
        <v>4667</v>
      </c>
      <c r="L6481" s="1">
        <f>VALUE(5428)</f>
        <v>5428</v>
      </c>
      <c r="M6481" s="1">
        <f>VALUE(6274)</f>
        <v>6274</v>
      </c>
      <c r="N6481" t="s">
        <v>16</v>
      </c>
    </row>
    <row r="6482" spans="1:14" x14ac:dyDescent="0.25">
      <c r="A6482" t="s">
        <v>42</v>
      </c>
      <c r="B6482" t="s">
        <v>39</v>
      </c>
      <c r="C6482" t="s">
        <v>36</v>
      </c>
      <c r="D6482" t="s">
        <v>15</v>
      </c>
      <c r="E6482" t="s">
        <v>21</v>
      </c>
      <c r="F6482" t="s">
        <v>15</v>
      </c>
      <c r="G6482" s="1">
        <f>VALUE(3621.63)</f>
        <v>3621.63</v>
      </c>
      <c r="H6482" s="1">
        <f>VALUE(3570.84)</f>
        <v>3570.84</v>
      </c>
      <c r="I6482" s="1">
        <f>VALUE(3640)</f>
        <v>3640</v>
      </c>
      <c r="J6482" s="1">
        <f>VALUE(4436)</f>
        <v>4436</v>
      </c>
      <c r="K6482" s="1">
        <f>VALUE(5702)</f>
        <v>5702</v>
      </c>
      <c r="L6482" s="1">
        <f>VALUE(7006)</f>
        <v>7006</v>
      </c>
      <c r="M6482" s="1">
        <f>VALUE(8500)</f>
        <v>8500</v>
      </c>
      <c r="N6482" t="s">
        <v>16</v>
      </c>
    </row>
    <row r="6483" spans="1:14" x14ac:dyDescent="0.25">
      <c r="A6483" t="s">
        <v>42</v>
      </c>
      <c r="B6483" t="s">
        <v>39</v>
      </c>
      <c r="C6483" t="s">
        <v>36</v>
      </c>
      <c r="D6483" t="s">
        <v>15</v>
      </c>
      <c r="E6483" t="s">
        <v>21</v>
      </c>
      <c r="F6483" t="s">
        <v>17</v>
      </c>
      <c r="G6483" s="2">
        <f>VALUE(708.84)</f>
        <v>708.84</v>
      </c>
      <c r="H6483" s="3">
        <f>VALUE(718.54)</f>
        <v>718.54</v>
      </c>
      <c r="I6483" s="1">
        <f>VALUE(4444)</f>
        <v>4444</v>
      </c>
      <c r="J6483" s="1">
        <f>VALUE(5407)</f>
        <v>5407</v>
      </c>
      <c r="K6483" s="1">
        <f>VALUE(6918)</f>
        <v>6918</v>
      </c>
      <c r="L6483" s="1">
        <f>VALUE(8384)</f>
        <v>8384</v>
      </c>
      <c r="M6483" s="8">
        <f>VALUE(9833)</f>
        <v>9833</v>
      </c>
      <c r="N6483" t="s">
        <v>25</v>
      </c>
    </row>
    <row r="6484" spans="1:14" x14ac:dyDescent="0.25">
      <c r="A6484" t="s">
        <v>42</v>
      </c>
      <c r="B6484" t="s">
        <v>39</v>
      </c>
      <c r="C6484" t="s">
        <v>36</v>
      </c>
      <c r="D6484" t="s">
        <v>15</v>
      </c>
      <c r="E6484" t="s">
        <v>21</v>
      </c>
      <c r="F6484" t="s">
        <v>18</v>
      </c>
      <c r="G6484" s="2">
        <f>VALUE(546.32)</f>
        <v>546.32000000000005</v>
      </c>
      <c r="H6484" s="3">
        <f>VALUE(542.43)</f>
        <v>542.42999999999995</v>
      </c>
      <c r="I6484" s="4">
        <f>VALUE(4353)</f>
        <v>4353</v>
      </c>
      <c r="J6484" s="5">
        <f>VALUE(5200)</f>
        <v>5200</v>
      </c>
      <c r="K6484" s="1">
        <f>VALUE(6183)</f>
        <v>6183</v>
      </c>
      <c r="L6484" s="1">
        <f>VALUE(7223)</f>
        <v>7223</v>
      </c>
      <c r="M6484" s="8">
        <f>VALUE(9169)</f>
        <v>9169</v>
      </c>
      <c r="N6484" t="s">
        <v>25</v>
      </c>
    </row>
    <row r="6485" spans="1:14" x14ac:dyDescent="0.25">
      <c r="A6485" t="s">
        <v>42</v>
      </c>
      <c r="B6485" t="s">
        <v>39</v>
      </c>
      <c r="C6485" t="s">
        <v>36</v>
      </c>
      <c r="D6485" t="s">
        <v>15</v>
      </c>
      <c r="E6485" t="s">
        <v>21</v>
      </c>
      <c r="F6485" t="s">
        <v>19</v>
      </c>
      <c r="G6485" s="2">
        <f>VALUE(726.35)</f>
        <v>726.35</v>
      </c>
      <c r="H6485" s="3">
        <f>VALUE(723.39)</f>
        <v>723.39</v>
      </c>
      <c r="I6485" s="4">
        <f>VALUE(3550)</f>
        <v>3550</v>
      </c>
      <c r="J6485" s="1">
        <f>VALUE(4230)</f>
        <v>4230</v>
      </c>
      <c r="K6485" s="6">
        <f>VALUE(5555)</f>
        <v>5555</v>
      </c>
      <c r="L6485" s="1">
        <f>VALUE(6604)</f>
        <v>6604</v>
      </c>
      <c r="M6485" s="8">
        <f>VALUE(7614)</f>
        <v>7614</v>
      </c>
      <c r="N6485" t="s">
        <v>25</v>
      </c>
    </row>
    <row r="6486" spans="1:14" x14ac:dyDescent="0.25">
      <c r="A6486" t="s">
        <v>42</v>
      </c>
      <c r="B6486" t="s">
        <v>39</v>
      </c>
      <c r="C6486" t="s">
        <v>36</v>
      </c>
      <c r="D6486" t="s">
        <v>15</v>
      </c>
      <c r="E6486" t="s">
        <v>21</v>
      </c>
      <c r="F6486" t="s">
        <v>20</v>
      </c>
      <c r="G6486" s="1">
        <f>VALUE(1640.12)</f>
        <v>1640.12</v>
      </c>
      <c r="H6486" s="1">
        <f>VALUE(1586.48)</f>
        <v>1586.48</v>
      </c>
      <c r="I6486" s="1">
        <f>VALUE(3300)</f>
        <v>3300</v>
      </c>
      <c r="J6486" s="1">
        <f>VALUE(4171)</f>
        <v>4171</v>
      </c>
      <c r="K6486" s="1">
        <f>VALUE(5240)</f>
        <v>5240</v>
      </c>
      <c r="L6486" s="1">
        <f>VALUE(6463)</f>
        <v>6463</v>
      </c>
      <c r="M6486" s="1">
        <f>VALUE(7575)</f>
        <v>7575</v>
      </c>
      <c r="N6486" t="s">
        <v>16</v>
      </c>
    </row>
    <row r="6487" spans="1:14" x14ac:dyDescent="0.25">
      <c r="A6487" t="s">
        <v>42</v>
      </c>
      <c r="B6487" t="s">
        <v>39</v>
      </c>
      <c r="C6487" t="s">
        <v>36</v>
      </c>
      <c r="D6487" t="s">
        <v>15</v>
      </c>
      <c r="E6487" t="s">
        <v>22</v>
      </c>
      <c r="F6487" t="s">
        <v>15</v>
      </c>
      <c r="G6487" s="1">
        <f>VALUE(7156.47)</f>
        <v>7156.47</v>
      </c>
      <c r="H6487" s="1">
        <f>VALUE(7207.93)</f>
        <v>7207.93</v>
      </c>
      <c r="I6487" s="1">
        <f>VALUE(3630)</f>
        <v>3630</v>
      </c>
      <c r="J6487" s="1">
        <f>VALUE(4280)</f>
        <v>4280</v>
      </c>
      <c r="K6487" s="1">
        <f>VALUE(4937)</f>
        <v>4937</v>
      </c>
      <c r="L6487" s="1">
        <f>VALUE(5657)</f>
        <v>5657</v>
      </c>
      <c r="M6487" s="1">
        <f>VALUE(6457)</f>
        <v>6457</v>
      </c>
      <c r="N6487" t="s">
        <v>16</v>
      </c>
    </row>
    <row r="6488" spans="1:14" x14ac:dyDescent="0.25">
      <c r="A6488" t="s">
        <v>42</v>
      </c>
      <c r="B6488" t="s">
        <v>39</v>
      </c>
      <c r="C6488" t="s">
        <v>36</v>
      </c>
      <c r="D6488" t="s">
        <v>15</v>
      </c>
      <c r="E6488" t="s">
        <v>22</v>
      </c>
      <c r="F6488" t="s">
        <v>17</v>
      </c>
      <c r="G6488" s="2">
        <f>VALUE(514.09)</f>
        <v>514.09</v>
      </c>
      <c r="H6488" s="3">
        <f>VALUE(536.27)</f>
        <v>536.27</v>
      </c>
      <c r="I6488" s="4">
        <f>VALUE(3988)</f>
        <v>3988</v>
      </c>
      <c r="J6488" s="5">
        <f>VALUE(4745)</f>
        <v>4745</v>
      </c>
      <c r="K6488" s="1">
        <f>VALUE(5921)</f>
        <v>5921</v>
      </c>
      <c r="L6488" s="7">
        <f>VALUE(7170)</f>
        <v>7170</v>
      </c>
      <c r="M6488" s="8">
        <f>VALUE(10777)</f>
        <v>10777</v>
      </c>
      <c r="N6488" t="s">
        <v>25</v>
      </c>
    </row>
    <row r="6489" spans="1:14" x14ac:dyDescent="0.25">
      <c r="A6489" t="s">
        <v>42</v>
      </c>
      <c r="B6489" t="s">
        <v>39</v>
      </c>
      <c r="C6489" t="s">
        <v>36</v>
      </c>
      <c r="D6489" t="s">
        <v>15</v>
      </c>
      <c r="E6489" t="s">
        <v>22</v>
      </c>
      <c r="F6489" t="s">
        <v>18</v>
      </c>
      <c r="G6489" s="2">
        <f>VALUE(567.86)</f>
        <v>567.86</v>
      </c>
      <c r="H6489" s="3">
        <f>VALUE(559.85)</f>
        <v>559.85</v>
      </c>
      <c r="I6489" s="4">
        <f>VALUE(3518)</f>
        <v>3518</v>
      </c>
      <c r="J6489" s="1">
        <f>VALUE(4333)</f>
        <v>4333</v>
      </c>
      <c r="K6489" s="1">
        <f>VALUE(5132)</f>
        <v>5132</v>
      </c>
      <c r="L6489" s="1">
        <f>VALUE(6230)</f>
        <v>6230</v>
      </c>
      <c r="M6489" s="1">
        <f>VALUE(7601)</f>
        <v>7601</v>
      </c>
      <c r="N6489" t="s">
        <v>25</v>
      </c>
    </row>
    <row r="6490" spans="1:14" x14ac:dyDescent="0.25">
      <c r="A6490" t="s">
        <v>42</v>
      </c>
      <c r="B6490" t="s">
        <v>39</v>
      </c>
      <c r="C6490" t="s">
        <v>36</v>
      </c>
      <c r="D6490" t="s">
        <v>15</v>
      </c>
      <c r="E6490" t="s">
        <v>22</v>
      </c>
      <c r="F6490" t="s">
        <v>19</v>
      </c>
      <c r="G6490" s="2">
        <f>VALUE(901.54)</f>
        <v>901.54</v>
      </c>
      <c r="H6490" s="3">
        <f>VALUE(899.67)</f>
        <v>899.67</v>
      </c>
      <c r="I6490" s="1">
        <f>VALUE(3891)</f>
        <v>3891</v>
      </c>
      <c r="J6490" s="1">
        <f>VALUE(4326)</f>
        <v>4326</v>
      </c>
      <c r="K6490" s="1">
        <f>VALUE(4875)</f>
        <v>4875</v>
      </c>
      <c r="L6490" s="1">
        <f>VALUE(5843)</f>
        <v>5843</v>
      </c>
      <c r="M6490" s="1">
        <f>VALUE(6702)</f>
        <v>6702</v>
      </c>
      <c r="N6490" t="s">
        <v>25</v>
      </c>
    </row>
    <row r="6491" spans="1:14" x14ac:dyDescent="0.25">
      <c r="A6491" t="s">
        <v>42</v>
      </c>
      <c r="B6491" t="s">
        <v>39</v>
      </c>
      <c r="C6491" t="s">
        <v>36</v>
      </c>
      <c r="D6491" t="s">
        <v>15</v>
      </c>
      <c r="E6491" t="s">
        <v>22</v>
      </c>
      <c r="F6491" t="s">
        <v>20</v>
      </c>
      <c r="G6491" s="1">
        <f>VALUE(5172.98)</f>
        <v>5172.9799999999996</v>
      </c>
      <c r="H6491" s="1">
        <f>VALUE(5212.14)</f>
        <v>5212.1400000000003</v>
      </c>
      <c r="I6491" s="1">
        <f>VALUE(3583)</f>
        <v>3583</v>
      </c>
      <c r="J6491" s="1">
        <f>VALUE(4216)</f>
        <v>4216</v>
      </c>
      <c r="K6491" s="1">
        <f>VALUE(4826)</f>
        <v>4826</v>
      </c>
      <c r="L6491" s="1">
        <f>VALUE(5438)</f>
        <v>5438</v>
      </c>
      <c r="M6491" s="1">
        <f>VALUE(6041)</f>
        <v>6041</v>
      </c>
      <c r="N6491" t="s">
        <v>16</v>
      </c>
    </row>
    <row r="6492" spans="1:14" x14ac:dyDescent="0.25">
      <c r="A6492" t="s">
        <v>42</v>
      </c>
      <c r="B6492" t="s">
        <v>39</v>
      </c>
      <c r="C6492" t="s">
        <v>36</v>
      </c>
      <c r="D6492" t="s">
        <v>15</v>
      </c>
      <c r="E6492" t="s">
        <v>23</v>
      </c>
      <c r="F6492" t="s">
        <v>15</v>
      </c>
      <c r="G6492" s="1">
        <f>VALUE(3921.16)</f>
        <v>3921.16</v>
      </c>
      <c r="H6492" s="1">
        <f>VALUE(3946.36)</f>
        <v>3946.36</v>
      </c>
      <c r="I6492" s="1">
        <f>VALUE(3094)</f>
        <v>3094</v>
      </c>
      <c r="J6492" s="1">
        <f>VALUE(3520)</f>
        <v>3520</v>
      </c>
      <c r="K6492" s="1">
        <f>VALUE(4145)</f>
        <v>4145</v>
      </c>
      <c r="L6492" s="1">
        <f>VALUE(4903)</f>
        <v>4903</v>
      </c>
      <c r="M6492" s="1">
        <f>VALUE(5725)</f>
        <v>5725</v>
      </c>
      <c r="N6492" t="s">
        <v>16</v>
      </c>
    </row>
    <row r="6493" spans="1:14" x14ac:dyDescent="0.25">
      <c r="A6493" t="s">
        <v>42</v>
      </c>
      <c r="B6493" t="s">
        <v>39</v>
      </c>
      <c r="C6493" t="s">
        <v>36</v>
      </c>
      <c r="D6493" t="s">
        <v>15</v>
      </c>
      <c r="E6493" t="s">
        <v>23</v>
      </c>
      <c r="F6493" t="s">
        <v>17</v>
      </c>
      <c r="G6493" s="1" t="str">
        <f t="shared" ref="G6493:M6494" si="1420">"X"</f>
        <v>X</v>
      </c>
      <c r="H6493" s="1" t="str">
        <f t="shared" si="1420"/>
        <v>X</v>
      </c>
      <c r="I6493" s="1" t="str">
        <f t="shared" si="1420"/>
        <v>X</v>
      </c>
      <c r="J6493" s="1" t="str">
        <f t="shared" si="1420"/>
        <v>X</v>
      </c>
      <c r="K6493" s="1" t="str">
        <f t="shared" si="1420"/>
        <v>X</v>
      </c>
      <c r="L6493" s="1" t="str">
        <f t="shared" si="1420"/>
        <v>X</v>
      </c>
      <c r="M6493" s="1" t="str">
        <f t="shared" si="1420"/>
        <v>X</v>
      </c>
      <c r="N6493" t="s">
        <v>27</v>
      </c>
    </row>
    <row r="6494" spans="1:14" x14ac:dyDescent="0.25">
      <c r="A6494" t="s">
        <v>42</v>
      </c>
      <c r="B6494" t="s">
        <v>39</v>
      </c>
      <c r="C6494" t="s">
        <v>36</v>
      </c>
      <c r="D6494" t="s">
        <v>15</v>
      </c>
      <c r="E6494" t="s">
        <v>23</v>
      </c>
      <c r="F6494" t="s">
        <v>18</v>
      </c>
      <c r="G6494" s="1" t="str">
        <f t="shared" si="1420"/>
        <v>X</v>
      </c>
      <c r="H6494" s="1" t="str">
        <f t="shared" si="1420"/>
        <v>X</v>
      </c>
      <c r="I6494" s="1" t="str">
        <f t="shared" si="1420"/>
        <v>X</v>
      </c>
      <c r="J6494" s="1" t="str">
        <f t="shared" si="1420"/>
        <v>X</v>
      </c>
      <c r="K6494" s="1" t="str">
        <f t="shared" si="1420"/>
        <v>X</v>
      </c>
      <c r="L6494" s="1" t="str">
        <f t="shared" si="1420"/>
        <v>X</v>
      </c>
      <c r="M6494" s="1" t="str">
        <f t="shared" si="1420"/>
        <v>X</v>
      </c>
      <c r="N6494" t="s">
        <v>27</v>
      </c>
    </row>
    <row r="6495" spans="1:14" x14ac:dyDescent="0.25">
      <c r="A6495" t="s">
        <v>42</v>
      </c>
      <c r="B6495" t="s">
        <v>39</v>
      </c>
      <c r="C6495" t="s">
        <v>36</v>
      </c>
      <c r="D6495" t="s">
        <v>15</v>
      </c>
      <c r="E6495" t="s">
        <v>23</v>
      </c>
      <c r="F6495" t="s">
        <v>19</v>
      </c>
      <c r="G6495" s="2">
        <f>VALUE(282.19)</f>
        <v>282.19</v>
      </c>
      <c r="H6495" s="3">
        <f>VALUE(278.84)</f>
        <v>278.83999999999997</v>
      </c>
      <c r="I6495" s="1">
        <f>VALUE(3059)</f>
        <v>3059</v>
      </c>
      <c r="J6495" s="5">
        <f>VALUE(3840)</f>
        <v>3840</v>
      </c>
      <c r="K6495" s="1">
        <f>VALUE(4487)</f>
        <v>4487</v>
      </c>
      <c r="L6495" s="1">
        <f>VALUE(5186)</f>
        <v>5186</v>
      </c>
      <c r="M6495" s="1">
        <f>VALUE(5862)</f>
        <v>5862</v>
      </c>
      <c r="N6495" t="s">
        <v>25</v>
      </c>
    </row>
    <row r="6496" spans="1:14" x14ac:dyDescent="0.25">
      <c r="A6496" t="s">
        <v>42</v>
      </c>
      <c r="B6496" t="s">
        <v>39</v>
      </c>
      <c r="C6496" t="s">
        <v>36</v>
      </c>
      <c r="D6496" t="s">
        <v>15</v>
      </c>
      <c r="E6496" t="s">
        <v>23</v>
      </c>
      <c r="F6496" t="s">
        <v>20</v>
      </c>
      <c r="G6496" s="1">
        <f>VALUE(3332.52)</f>
        <v>3332.52</v>
      </c>
      <c r="H6496" s="1">
        <f>VALUE(3350.07)</f>
        <v>3350.07</v>
      </c>
      <c r="I6496" s="1">
        <f>VALUE(3132)</f>
        <v>3132</v>
      </c>
      <c r="J6496" s="1">
        <f>VALUE(3552)</f>
        <v>3552</v>
      </c>
      <c r="K6496" s="1">
        <f>VALUE(4145)</f>
        <v>4145</v>
      </c>
      <c r="L6496" s="1">
        <f>VALUE(4897)</f>
        <v>4897</v>
      </c>
      <c r="M6496" s="1">
        <f>VALUE(5714)</f>
        <v>5714</v>
      </c>
      <c r="N6496" t="s">
        <v>16</v>
      </c>
    </row>
    <row r="6497" spans="1:14" x14ac:dyDescent="0.25">
      <c r="A6497" t="s">
        <v>42</v>
      </c>
      <c r="B6497" t="s">
        <v>39</v>
      </c>
      <c r="C6497" t="s">
        <v>36</v>
      </c>
      <c r="D6497" t="s">
        <v>15</v>
      </c>
      <c r="E6497" t="s">
        <v>26</v>
      </c>
      <c r="F6497" t="s">
        <v>15</v>
      </c>
      <c r="G6497" s="2">
        <f>VALUE(676.89)</f>
        <v>676.89</v>
      </c>
      <c r="H6497" s="3">
        <f>VALUE(646.18)</f>
        <v>646.17999999999995</v>
      </c>
      <c r="I6497" s="4">
        <f>VALUE(2743)</f>
        <v>2743</v>
      </c>
      <c r="J6497" s="5">
        <f>VALUE(3691)</f>
        <v>3691</v>
      </c>
      <c r="K6497" s="6">
        <f>VALUE(4570)</f>
        <v>4570</v>
      </c>
      <c r="L6497" s="1">
        <f>VALUE(5762)</f>
        <v>5762</v>
      </c>
      <c r="M6497" s="8">
        <f>VALUE(7016)</f>
        <v>7016</v>
      </c>
      <c r="N6497" t="s">
        <v>25</v>
      </c>
    </row>
    <row r="6498" spans="1:14" x14ac:dyDescent="0.25">
      <c r="A6498" t="s">
        <v>42</v>
      </c>
      <c r="B6498" t="s">
        <v>39</v>
      </c>
      <c r="C6498" t="s">
        <v>36</v>
      </c>
      <c r="D6498" t="s">
        <v>15</v>
      </c>
      <c r="E6498" t="s">
        <v>26</v>
      </c>
      <c r="F6498" t="s">
        <v>17</v>
      </c>
      <c r="G6498" s="1" t="str">
        <f t="shared" ref="G6498:M6500" si="1421">"X"</f>
        <v>X</v>
      </c>
      <c r="H6498" s="1" t="str">
        <f t="shared" si="1421"/>
        <v>X</v>
      </c>
      <c r="I6498" s="1" t="str">
        <f t="shared" si="1421"/>
        <v>X</v>
      </c>
      <c r="J6498" s="1" t="str">
        <f t="shared" si="1421"/>
        <v>X</v>
      </c>
      <c r="K6498" s="1" t="str">
        <f t="shared" si="1421"/>
        <v>X</v>
      </c>
      <c r="L6498" s="1" t="str">
        <f t="shared" si="1421"/>
        <v>X</v>
      </c>
      <c r="M6498" s="1" t="str">
        <f t="shared" si="1421"/>
        <v>X</v>
      </c>
      <c r="N6498" t="s">
        <v>27</v>
      </c>
    </row>
    <row r="6499" spans="1:14" x14ac:dyDescent="0.25">
      <c r="A6499" t="s">
        <v>42</v>
      </c>
      <c r="B6499" t="s">
        <v>39</v>
      </c>
      <c r="C6499" t="s">
        <v>36</v>
      </c>
      <c r="D6499" t="s">
        <v>15</v>
      </c>
      <c r="E6499" t="s">
        <v>26</v>
      </c>
      <c r="F6499" t="s">
        <v>18</v>
      </c>
      <c r="G6499" s="1" t="str">
        <f t="shared" si="1421"/>
        <v>X</v>
      </c>
      <c r="H6499" s="1" t="str">
        <f t="shared" si="1421"/>
        <v>X</v>
      </c>
      <c r="I6499" s="1" t="str">
        <f t="shared" si="1421"/>
        <v>X</v>
      </c>
      <c r="J6499" s="1" t="str">
        <f t="shared" si="1421"/>
        <v>X</v>
      </c>
      <c r="K6499" s="1" t="str">
        <f t="shared" si="1421"/>
        <v>X</v>
      </c>
      <c r="L6499" s="1" t="str">
        <f t="shared" si="1421"/>
        <v>X</v>
      </c>
      <c r="M6499" s="1" t="str">
        <f t="shared" si="1421"/>
        <v>X</v>
      </c>
      <c r="N6499" t="s">
        <v>27</v>
      </c>
    </row>
    <row r="6500" spans="1:14" x14ac:dyDescent="0.25">
      <c r="A6500" t="s">
        <v>42</v>
      </c>
      <c r="B6500" t="s">
        <v>39</v>
      </c>
      <c r="C6500" t="s">
        <v>36</v>
      </c>
      <c r="D6500" t="s">
        <v>15</v>
      </c>
      <c r="E6500" t="s">
        <v>26</v>
      </c>
      <c r="F6500" t="s">
        <v>19</v>
      </c>
      <c r="G6500" s="1" t="str">
        <f t="shared" si="1421"/>
        <v>X</v>
      </c>
      <c r="H6500" s="1" t="str">
        <f t="shared" si="1421"/>
        <v>X</v>
      </c>
      <c r="I6500" s="1" t="str">
        <f t="shared" si="1421"/>
        <v>X</v>
      </c>
      <c r="J6500" s="1" t="str">
        <f t="shared" si="1421"/>
        <v>X</v>
      </c>
      <c r="K6500" s="1" t="str">
        <f t="shared" si="1421"/>
        <v>X</v>
      </c>
      <c r="L6500" s="1" t="str">
        <f t="shared" si="1421"/>
        <v>X</v>
      </c>
      <c r="M6500" s="1" t="str">
        <f t="shared" si="1421"/>
        <v>X</v>
      </c>
      <c r="N6500" t="s">
        <v>27</v>
      </c>
    </row>
    <row r="6501" spans="1:14" x14ac:dyDescent="0.25">
      <c r="A6501" t="s">
        <v>42</v>
      </c>
      <c r="B6501" t="s">
        <v>39</v>
      </c>
      <c r="C6501" t="s">
        <v>36</v>
      </c>
      <c r="D6501" t="s">
        <v>15</v>
      </c>
      <c r="E6501" t="s">
        <v>26</v>
      </c>
      <c r="F6501" t="s">
        <v>20</v>
      </c>
      <c r="G6501" s="2">
        <f>VALUE(595.06)</f>
        <v>595.05999999999995</v>
      </c>
      <c r="H6501" s="3">
        <f>VALUE(561.09)</f>
        <v>561.09</v>
      </c>
      <c r="I6501" s="4">
        <f>VALUE(2716)</f>
        <v>2716</v>
      </c>
      <c r="J6501" s="5">
        <f>VALUE(3697)</f>
        <v>3697</v>
      </c>
      <c r="K6501" s="6">
        <f>VALUE(4611)</f>
        <v>4611</v>
      </c>
      <c r="L6501" s="1">
        <f>VALUE(5555)</f>
        <v>5555</v>
      </c>
      <c r="M6501" s="8">
        <f>VALUE(6274)</f>
        <v>6274</v>
      </c>
      <c r="N6501" t="s">
        <v>25</v>
      </c>
    </row>
    <row r="6502" spans="1:14" x14ac:dyDescent="0.25">
      <c r="A6502" t="s">
        <v>42</v>
      </c>
      <c r="B6502" t="s">
        <v>39</v>
      </c>
      <c r="C6502" t="s">
        <v>36</v>
      </c>
      <c r="D6502" t="s">
        <v>28</v>
      </c>
      <c r="E6502" t="s">
        <v>15</v>
      </c>
      <c r="F6502" t="s">
        <v>15</v>
      </c>
      <c r="G6502" s="1">
        <f>VALUE(5465.21)</f>
        <v>5465.21</v>
      </c>
      <c r="H6502" s="1">
        <f>VALUE(5431.78)</f>
        <v>5431.78</v>
      </c>
      <c r="I6502" s="1">
        <f>VALUE(3983)</f>
        <v>3983</v>
      </c>
      <c r="J6502" s="1">
        <f>VALUE(4548)</f>
        <v>4548</v>
      </c>
      <c r="K6502" s="1">
        <f>VALUE(5324)</f>
        <v>5324</v>
      </c>
      <c r="L6502" s="1">
        <f>VALUE(6306)</f>
        <v>6306</v>
      </c>
      <c r="M6502" s="1">
        <f>VALUE(7630)</f>
        <v>7630</v>
      </c>
      <c r="N6502" t="s">
        <v>16</v>
      </c>
    </row>
    <row r="6503" spans="1:14" x14ac:dyDescent="0.25">
      <c r="A6503" t="s">
        <v>42</v>
      </c>
      <c r="B6503" t="s">
        <v>39</v>
      </c>
      <c r="C6503" t="s">
        <v>36</v>
      </c>
      <c r="D6503" t="s">
        <v>28</v>
      </c>
      <c r="E6503" t="s">
        <v>15</v>
      </c>
      <c r="F6503" t="s">
        <v>17</v>
      </c>
      <c r="G6503" s="2">
        <f>VALUE(867.31)</f>
        <v>867.31</v>
      </c>
      <c r="H6503" s="3">
        <f>VALUE(888.62)</f>
        <v>888.62</v>
      </c>
      <c r="I6503" s="4">
        <f>VALUE(4143)</f>
        <v>4143</v>
      </c>
      <c r="J6503" s="1">
        <f>VALUE(5238)</f>
        <v>5238</v>
      </c>
      <c r="K6503" s="1">
        <f>VALUE(6707)</f>
        <v>6707</v>
      </c>
      <c r="L6503" s="7">
        <f>VALUE(8384)</f>
        <v>8384</v>
      </c>
      <c r="M6503" s="8">
        <f>VALUE(10555)</f>
        <v>10555</v>
      </c>
      <c r="N6503" t="s">
        <v>25</v>
      </c>
    </row>
    <row r="6504" spans="1:14" x14ac:dyDescent="0.25">
      <c r="A6504" t="s">
        <v>42</v>
      </c>
      <c r="B6504" t="s">
        <v>39</v>
      </c>
      <c r="C6504" t="s">
        <v>36</v>
      </c>
      <c r="D6504" t="s">
        <v>28</v>
      </c>
      <c r="E6504" t="s">
        <v>15</v>
      </c>
      <c r="F6504" t="s">
        <v>18</v>
      </c>
      <c r="G6504" s="2">
        <f>VALUE(523.9)</f>
        <v>523.9</v>
      </c>
      <c r="H6504" s="3">
        <f>VALUE(520.94)</f>
        <v>520.94000000000005</v>
      </c>
      <c r="I6504" s="4">
        <f>VALUE(4017)</f>
        <v>4017</v>
      </c>
      <c r="J6504" s="5">
        <f>VALUE(4983)</f>
        <v>4983</v>
      </c>
      <c r="K6504" s="1">
        <f>VALUE(5662)</f>
        <v>5662</v>
      </c>
      <c r="L6504" s="1">
        <f>VALUE(6593)</f>
        <v>6593</v>
      </c>
      <c r="M6504" s="1">
        <f>VALUE(7653)</f>
        <v>7653</v>
      </c>
      <c r="N6504" t="s">
        <v>25</v>
      </c>
    </row>
    <row r="6505" spans="1:14" x14ac:dyDescent="0.25">
      <c r="A6505" t="s">
        <v>42</v>
      </c>
      <c r="B6505" t="s">
        <v>39</v>
      </c>
      <c r="C6505" t="s">
        <v>36</v>
      </c>
      <c r="D6505" t="s">
        <v>28</v>
      </c>
      <c r="E6505" t="s">
        <v>15</v>
      </c>
      <c r="F6505" t="s">
        <v>19</v>
      </c>
      <c r="G6505" s="2">
        <f>VALUE(630.81)</f>
        <v>630.80999999999995</v>
      </c>
      <c r="H6505" s="3">
        <f>VALUE(616.08)</f>
        <v>616.08000000000004</v>
      </c>
      <c r="I6505" s="1">
        <f>VALUE(4191)</f>
        <v>4191</v>
      </c>
      <c r="J6505" s="1">
        <f>VALUE(4562)</f>
        <v>4562</v>
      </c>
      <c r="K6505" s="1">
        <f>VALUE(5414)</f>
        <v>5414</v>
      </c>
      <c r="L6505" s="1">
        <f>VALUE(6352)</f>
        <v>6352</v>
      </c>
      <c r="M6505" s="8">
        <f>VALUE(7069)</f>
        <v>7069</v>
      </c>
      <c r="N6505" t="s">
        <v>25</v>
      </c>
    </row>
    <row r="6506" spans="1:14" x14ac:dyDescent="0.25">
      <c r="A6506" t="s">
        <v>42</v>
      </c>
      <c r="B6506" t="s">
        <v>39</v>
      </c>
      <c r="C6506" t="s">
        <v>36</v>
      </c>
      <c r="D6506" t="s">
        <v>28</v>
      </c>
      <c r="E6506" t="s">
        <v>15</v>
      </c>
      <c r="F6506" t="s">
        <v>20</v>
      </c>
      <c r="G6506" s="1">
        <f>VALUE(3443.19)</f>
        <v>3443.19</v>
      </c>
      <c r="H6506" s="1">
        <f>VALUE(3406.14)</f>
        <v>3406.14</v>
      </c>
      <c r="I6506" s="1">
        <f>VALUE(3883)</f>
        <v>3883</v>
      </c>
      <c r="J6506" s="1">
        <f>VALUE(4407)</f>
        <v>4407</v>
      </c>
      <c r="K6506" s="1">
        <f>VALUE(5101)</f>
        <v>5101</v>
      </c>
      <c r="L6506" s="1">
        <f>VALUE(5856)</f>
        <v>5856</v>
      </c>
      <c r="M6506" s="1">
        <f>VALUE(6708)</f>
        <v>6708</v>
      </c>
      <c r="N6506" t="s">
        <v>16</v>
      </c>
    </row>
    <row r="6507" spans="1:14" x14ac:dyDescent="0.25">
      <c r="A6507" t="s">
        <v>42</v>
      </c>
      <c r="B6507" t="s">
        <v>39</v>
      </c>
      <c r="C6507" t="s">
        <v>36</v>
      </c>
      <c r="D6507" t="s">
        <v>28</v>
      </c>
      <c r="E6507" t="s">
        <v>21</v>
      </c>
      <c r="F6507" t="s">
        <v>15</v>
      </c>
      <c r="G6507" s="2">
        <f>VALUE(1528.13)</f>
        <v>1528.13</v>
      </c>
      <c r="H6507" s="3">
        <f>VALUE(1505.03)</f>
        <v>1505.03</v>
      </c>
      <c r="I6507" s="1">
        <f>VALUE(4304)</f>
        <v>4304</v>
      </c>
      <c r="J6507" s="1">
        <f>VALUE(5232)</f>
        <v>5232</v>
      </c>
      <c r="K6507" s="1">
        <f>VALUE(6406)</f>
        <v>6406</v>
      </c>
      <c r="L6507" s="1">
        <f>VALUE(7388)</f>
        <v>7388</v>
      </c>
      <c r="M6507" s="1">
        <f>VALUE(8645)</f>
        <v>8645</v>
      </c>
      <c r="N6507" t="s">
        <v>25</v>
      </c>
    </row>
    <row r="6508" spans="1:14" x14ac:dyDescent="0.25">
      <c r="A6508" t="s">
        <v>42</v>
      </c>
      <c r="B6508" t="s">
        <v>39</v>
      </c>
      <c r="C6508" t="s">
        <v>36</v>
      </c>
      <c r="D6508" t="s">
        <v>28</v>
      </c>
      <c r="E6508" t="s">
        <v>21</v>
      </c>
      <c r="F6508" t="s">
        <v>17</v>
      </c>
      <c r="G6508" s="2">
        <f>VALUE(453.4)</f>
        <v>453.4</v>
      </c>
      <c r="H6508" s="3">
        <f>VALUE(457.01)</f>
        <v>457.01</v>
      </c>
      <c r="I6508" s="4">
        <f>VALUE(4952)</f>
        <v>4952</v>
      </c>
      <c r="J6508" s="5">
        <f>VALUE(6008)</f>
        <v>6008</v>
      </c>
      <c r="K6508" s="1">
        <f>VALUE(7278)</f>
        <v>7278</v>
      </c>
      <c r="L6508" s="1">
        <f>VALUE(8544)</f>
        <v>8544</v>
      </c>
      <c r="M6508" s="8">
        <f>VALUE(9540)</f>
        <v>9540</v>
      </c>
      <c r="N6508" t="s">
        <v>25</v>
      </c>
    </row>
    <row r="6509" spans="1:14" x14ac:dyDescent="0.25">
      <c r="A6509" t="s">
        <v>42</v>
      </c>
      <c r="B6509" t="s">
        <v>39</v>
      </c>
      <c r="C6509" t="s">
        <v>36</v>
      </c>
      <c r="D6509" t="s">
        <v>28</v>
      </c>
      <c r="E6509" t="s">
        <v>21</v>
      </c>
      <c r="F6509" t="s">
        <v>18</v>
      </c>
      <c r="G6509" s="2">
        <f>VALUE(191.4)</f>
        <v>191.4</v>
      </c>
      <c r="H6509" s="3">
        <f>VALUE(190.35)</f>
        <v>190.35</v>
      </c>
      <c r="I6509" s="4">
        <f>VALUE(5260)</f>
        <v>5260</v>
      </c>
      <c r="J6509" s="1">
        <f>VALUE(5598)</f>
        <v>5598</v>
      </c>
      <c r="K6509" s="1">
        <f>VALUE(6406)</f>
        <v>6406</v>
      </c>
      <c r="L6509" s="1">
        <f>VALUE(7516)</f>
        <v>7516</v>
      </c>
      <c r="M6509" s="8">
        <f>VALUE(8216)</f>
        <v>8216</v>
      </c>
      <c r="N6509" t="s">
        <v>25</v>
      </c>
    </row>
    <row r="6510" spans="1:14" x14ac:dyDescent="0.25">
      <c r="A6510" t="s">
        <v>42</v>
      </c>
      <c r="B6510" t="s">
        <v>39</v>
      </c>
      <c r="C6510" t="s">
        <v>36</v>
      </c>
      <c r="D6510" t="s">
        <v>28</v>
      </c>
      <c r="E6510" t="s">
        <v>21</v>
      </c>
      <c r="F6510" t="s">
        <v>19</v>
      </c>
      <c r="G6510" s="2">
        <f>VALUE(225.02)</f>
        <v>225.02</v>
      </c>
      <c r="H6510" s="3">
        <f>VALUE(212.47)</f>
        <v>212.47</v>
      </c>
      <c r="I6510" s="1">
        <f>VALUE(4191)</f>
        <v>4191</v>
      </c>
      <c r="J6510" s="5">
        <f>VALUE(4667)</f>
        <v>4667</v>
      </c>
      <c r="K6510" s="1">
        <f>VALUE(6054)</f>
        <v>6054</v>
      </c>
      <c r="L6510" s="1">
        <f>VALUE(6724)</f>
        <v>6724</v>
      </c>
      <c r="M6510" s="1">
        <f>VALUE(7875)</f>
        <v>7875</v>
      </c>
      <c r="N6510" t="s">
        <v>25</v>
      </c>
    </row>
    <row r="6511" spans="1:14" x14ac:dyDescent="0.25">
      <c r="A6511" t="s">
        <v>42</v>
      </c>
      <c r="B6511" t="s">
        <v>39</v>
      </c>
      <c r="C6511" t="s">
        <v>36</v>
      </c>
      <c r="D6511" t="s">
        <v>28</v>
      </c>
      <c r="E6511" t="s">
        <v>21</v>
      </c>
      <c r="F6511" t="s">
        <v>20</v>
      </c>
      <c r="G6511" s="2">
        <f>VALUE(658.31)</f>
        <v>658.31</v>
      </c>
      <c r="H6511" s="3">
        <f>VALUE(645.2)</f>
        <v>645.20000000000005</v>
      </c>
      <c r="I6511" s="4">
        <f>VALUE(4136)</f>
        <v>4136</v>
      </c>
      <c r="J6511" s="5">
        <f>VALUE(4664)</f>
        <v>4664</v>
      </c>
      <c r="K6511" s="1">
        <f>VALUE(5772)</f>
        <v>5772</v>
      </c>
      <c r="L6511" s="1">
        <f>VALUE(6750)</f>
        <v>6750</v>
      </c>
      <c r="M6511" s="1">
        <f>VALUE(7716)</f>
        <v>7716</v>
      </c>
      <c r="N6511" t="s">
        <v>25</v>
      </c>
    </row>
    <row r="6512" spans="1:14" x14ac:dyDescent="0.25">
      <c r="A6512" t="s">
        <v>42</v>
      </c>
      <c r="B6512" t="s">
        <v>39</v>
      </c>
      <c r="C6512" t="s">
        <v>36</v>
      </c>
      <c r="D6512" t="s">
        <v>28</v>
      </c>
      <c r="E6512" t="s">
        <v>22</v>
      </c>
      <c r="F6512" t="s">
        <v>15</v>
      </c>
      <c r="G6512" s="1">
        <f>VALUE(3384.32)</f>
        <v>3384.32</v>
      </c>
      <c r="H6512" s="1">
        <f>VALUE(3405.64)</f>
        <v>3405.64</v>
      </c>
      <c r="I6512" s="1">
        <f>VALUE(4017)</f>
        <v>4017</v>
      </c>
      <c r="J6512" s="1">
        <f>VALUE(4502)</f>
        <v>4502</v>
      </c>
      <c r="K6512" s="1">
        <f>VALUE(5159)</f>
        <v>5159</v>
      </c>
      <c r="L6512" s="1">
        <f>VALUE(5864)</f>
        <v>5864</v>
      </c>
      <c r="M6512" s="1">
        <f>VALUE(6707)</f>
        <v>6707</v>
      </c>
      <c r="N6512" t="s">
        <v>16</v>
      </c>
    </row>
    <row r="6513" spans="1:14" x14ac:dyDescent="0.25">
      <c r="A6513" t="s">
        <v>42</v>
      </c>
      <c r="B6513" t="s">
        <v>39</v>
      </c>
      <c r="C6513" t="s">
        <v>36</v>
      </c>
      <c r="D6513" t="s">
        <v>28</v>
      </c>
      <c r="E6513" t="s">
        <v>22</v>
      </c>
      <c r="F6513" t="s">
        <v>17</v>
      </c>
      <c r="G6513" s="2">
        <f>VALUE(383.77)</f>
        <v>383.77</v>
      </c>
      <c r="H6513" s="3">
        <f>VALUE(399.54)</f>
        <v>399.54</v>
      </c>
      <c r="I6513" s="4">
        <f>VALUE(4023)</f>
        <v>4023</v>
      </c>
      <c r="J6513" s="5">
        <f>VALUE(4987)</f>
        <v>4987</v>
      </c>
      <c r="K6513" s="1">
        <f>VALUE(5929)</f>
        <v>5929</v>
      </c>
      <c r="L6513" s="7">
        <f>VALUE(7443)</f>
        <v>7443</v>
      </c>
      <c r="M6513" s="8">
        <f>VALUE(10777)</f>
        <v>10777</v>
      </c>
      <c r="N6513" t="s">
        <v>25</v>
      </c>
    </row>
    <row r="6514" spans="1:14" x14ac:dyDescent="0.25">
      <c r="A6514" t="s">
        <v>42</v>
      </c>
      <c r="B6514" t="s">
        <v>39</v>
      </c>
      <c r="C6514" t="s">
        <v>36</v>
      </c>
      <c r="D6514" t="s">
        <v>28</v>
      </c>
      <c r="E6514" t="s">
        <v>22</v>
      </c>
      <c r="F6514" t="s">
        <v>18</v>
      </c>
      <c r="G6514" s="2">
        <f>VALUE(301.87)</f>
        <v>301.87</v>
      </c>
      <c r="H6514" s="3">
        <f>VALUE(299.86)</f>
        <v>299.86</v>
      </c>
      <c r="I6514" s="1">
        <f>VALUE(4017)</f>
        <v>4017</v>
      </c>
      <c r="J6514" s="5">
        <f>VALUE(4952)</f>
        <v>4952</v>
      </c>
      <c r="K6514" s="1">
        <f>VALUE(5294)</f>
        <v>5294</v>
      </c>
      <c r="L6514" s="1">
        <f>VALUE(6183)</f>
        <v>6183</v>
      </c>
      <c r="M6514" s="1">
        <f>VALUE(7508)</f>
        <v>7508</v>
      </c>
      <c r="N6514" t="s">
        <v>25</v>
      </c>
    </row>
    <row r="6515" spans="1:14" x14ac:dyDescent="0.25">
      <c r="A6515" t="s">
        <v>42</v>
      </c>
      <c r="B6515" t="s">
        <v>39</v>
      </c>
      <c r="C6515" t="s">
        <v>36</v>
      </c>
      <c r="D6515" t="s">
        <v>28</v>
      </c>
      <c r="E6515" t="s">
        <v>22</v>
      </c>
      <c r="F6515" t="s">
        <v>19</v>
      </c>
      <c r="G6515" s="2">
        <f>VALUE(367.35)</f>
        <v>367.35</v>
      </c>
      <c r="H6515" s="3">
        <f>VALUE(367.1)</f>
        <v>367.1</v>
      </c>
      <c r="I6515" s="1">
        <f>VALUE(4222)</f>
        <v>4222</v>
      </c>
      <c r="J6515" s="1">
        <f>VALUE(4562)</f>
        <v>4562</v>
      </c>
      <c r="K6515" s="1">
        <f>VALUE(5294)</f>
        <v>5294</v>
      </c>
      <c r="L6515" s="1">
        <f>VALUE(6010)</f>
        <v>6010</v>
      </c>
      <c r="M6515" s="1">
        <f>VALUE(6728)</f>
        <v>6728</v>
      </c>
      <c r="N6515" t="s">
        <v>25</v>
      </c>
    </row>
    <row r="6516" spans="1:14" x14ac:dyDescent="0.25">
      <c r="A6516" t="s">
        <v>42</v>
      </c>
      <c r="B6516" t="s">
        <v>39</v>
      </c>
      <c r="C6516" t="s">
        <v>36</v>
      </c>
      <c r="D6516" t="s">
        <v>28</v>
      </c>
      <c r="E6516" t="s">
        <v>22</v>
      </c>
      <c r="F6516" t="s">
        <v>20</v>
      </c>
      <c r="G6516" s="2">
        <f>VALUE(2331.33)</f>
        <v>2331.33</v>
      </c>
      <c r="H6516" s="3">
        <f>VALUE(2339.14)</f>
        <v>2339.14</v>
      </c>
      <c r="I6516" s="1">
        <f>VALUE(3983)</f>
        <v>3983</v>
      </c>
      <c r="J6516" s="1">
        <f>VALUE(4420)</f>
        <v>4420</v>
      </c>
      <c r="K6516" s="1">
        <f>VALUE(5047)</f>
        <v>5047</v>
      </c>
      <c r="L6516" s="1">
        <f>VALUE(5660)</f>
        <v>5660</v>
      </c>
      <c r="M6516" s="1">
        <f>VALUE(6240)</f>
        <v>6240</v>
      </c>
      <c r="N6516" t="s">
        <v>25</v>
      </c>
    </row>
    <row r="6517" spans="1:14" x14ac:dyDescent="0.25">
      <c r="A6517" t="s">
        <v>42</v>
      </c>
      <c r="B6517" t="s">
        <v>39</v>
      </c>
      <c r="C6517" t="s">
        <v>36</v>
      </c>
      <c r="D6517" t="s">
        <v>28</v>
      </c>
      <c r="E6517" t="s">
        <v>23</v>
      </c>
      <c r="F6517" t="s">
        <v>15</v>
      </c>
      <c r="G6517" s="2">
        <f>VALUE(421.1)</f>
        <v>421.1</v>
      </c>
      <c r="H6517" s="3">
        <f>VALUE(402.84)</f>
        <v>402.84</v>
      </c>
      <c r="I6517" s="4">
        <f>VALUE(3143)</f>
        <v>3143</v>
      </c>
      <c r="J6517" s="5">
        <f>VALUE(3682)</f>
        <v>3682</v>
      </c>
      <c r="K6517" s="6">
        <f>VALUE(4388)</f>
        <v>4388</v>
      </c>
      <c r="L6517" s="7">
        <f>VALUE(5414)</f>
        <v>5414</v>
      </c>
      <c r="M6517" s="8">
        <f>VALUE(6335)</f>
        <v>6335</v>
      </c>
      <c r="N6517" t="s">
        <v>24</v>
      </c>
    </row>
    <row r="6518" spans="1:14" x14ac:dyDescent="0.25">
      <c r="A6518" t="s">
        <v>42</v>
      </c>
      <c r="B6518" t="s">
        <v>39</v>
      </c>
      <c r="C6518" t="s">
        <v>36</v>
      </c>
      <c r="D6518" t="s">
        <v>28</v>
      </c>
      <c r="E6518" t="s">
        <v>23</v>
      </c>
      <c r="F6518" t="s">
        <v>17</v>
      </c>
      <c r="G6518" s="1" t="str">
        <f t="shared" ref="G6518:M6520" si="1422">"X"</f>
        <v>X</v>
      </c>
      <c r="H6518" s="1" t="str">
        <f t="shared" si="1422"/>
        <v>X</v>
      </c>
      <c r="I6518" s="1" t="str">
        <f t="shared" si="1422"/>
        <v>X</v>
      </c>
      <c r="J6518" s="1" t="str">
        <f t="shared" si="1422"/>
        <v>X</v>
      </c>
      <c r="K6518" s="1" t="str">
        <f t="shared" si="1422"/>
        <v>X</v>
      </c>
      <c r="L6518" s="1" t="str">
        <f t="shared" si="1422"/>
        <v>X</v>
      </c>
      <c r="M6518" s="1" t="str">
        <f t="shared" si="1422"/>
        <v>X</v>
      </c>
      <c r="N6518" t="s">
        <v>27</v>
      </c>
    </row>
    <row r="6519" spans="1:14" x14ac:dyDescent="0.25">
      <c r="A6519" t="s">
        <v>42</v>
      </c>
      <c r="B6519" t="s">
        <v>39</v>
      </c>
      <c r="C6519" t="s">
        <v>36</v>
      </c>
      <c r="D6519" t="s">
        <v>28</v>
      </c>
      <c r="E6519" t="s">
        <v>23</v>
      </c>
      <c r="F6519" t="s">
        <v>18</v>
      </c>
      <c r="G6519" s="1" t="str">
        <f t="shared" si="1422"/>
        <v>X</v>
      </c>
      <c r="H6519" s="1" t="str">
        <f t="shared" si="1422"/>
        <v>X</v>
      </c>
      <c r="I6519" s="1" t="str">
        <f t="shared" si="1422"/>
        <v>X</v>
      </c>
      <c r="J6519" s="1" t="str">
        <f t="shared" si="1422"/>
        <v>X</v>
      </c>
      <c r="K6519" s="1" t="str">
        <f t="shared" si="1422"/>
        <v>X</v>
      </c>
      <c r="L6519" s="1" t="str">
        <f t="shared" si="1422"/>
        <v>X</v>
      </c>
      <c r="M6519" s="1" t="str">
        <f t="shared" si="1422"/>
        <v>X</v>
      </c>
      <c r="N6519" t="s">
        <v>27</v>
      </c>
    </row>
    <row r="6520" spans="1:14" x14ac:dyDescent="0.25">
      <c r="A6520" t="s">
        <v>42</v>
      </c>
      <c r="B6520" t="s">
        <v>39</v>
      </c>
      <c r="C6520" t="s">
        <v>36</v>
      </c>
      <c r="D6520" t="s">
        <v>28</v>
      </c>
      <c r="E6520" t="s">
        <v>23</v>
      </c>
      <c r="F6520" t="s">
        <v>19</v>
      </c>
      <c r="G6520" s="1" t="str">
        <f t="shared" si="1422"/>
        <v>X</v>
      </c>
      <c r="H6520" s="1" t="str">
        <f t="shared" si="1422"/>
        <v>X</v>
      </c>
      <c r="I6520" s="1" t="str">
        <f t="shared" si="1422"/>
        <v>X</v>
      </c>
      <c r="J6520" s="1" t="str">
        <f t="shared" si="1422"/>
        <v>X</v>
      </c>
      <c r="K6520" s="1" t="str">
        <f t="shared" si="1422"/>
        <v>X</v>
      </c>
      <c r="L6520" s="1" t="str">
        <f t="shared" si="1422"/>
        <v>X</v>
      </c>
      <c r="M6520" s="1" t="str">
        <f t="shared" si="1422"/>
        <v>X</v>
      </c>
      <c r="N6520" t="s">
        <v>27</v>
      </c>
    </row>
    <row r="6521" spans="1:14" x14ac:dyDescent="0.25">
      <c r="A6521" t="s">
        <v>42</v>
      </c>
      <c r="B6521" t="s">
        <v>39</v>
      </c>
      <c r="C6521" t="s">
        <v>36</v>
      </c>
      <c r="D6521" t="s">
        <v>28</v>
      </c>
      <c r="E6521" t="s">
        <v>23</v>
      </c>
      <c r="F6521" t="s">
        <v>20</v>
      </c>
      <c r="G6521" s="2">
        <f>VALUE(344)</f>
        <v>344</v>
      </c>
      <c r="H6521" s="3">
        <f>VALUE(326.72)</f>
        <v>326.72000000000003</v>
      </c>
      <c r="I6521" s="4">
        <f>VALUE(3130)</f>
        <v>3130</v>
      </c>
      <c r="J6521" s="5">
        <f>VALUE(3508)</f>
        <v>3508</v>
      </c>
      <c r="K6521" s="6">
        <f>VALUE(4356)</f>
        <v>4356</v>
      </c>
      <c r="L6521" s="7">
        <f>VALUE(5608)</f>
        <v>5608</v>
      </c>
      <c r="M6521" s="8">
        <f>VALUE(6335)</f>
        <v>6335</v>
      </c>
      <c r="N6521" t="s">
        <v>24</v>
      </c>
    </row>
    <row r="6522" spans="1:14" x14ac:dyDescent="0.25">
      <c r="A6522" t="s">
        <v>42</v>
      </c>
      <c r="B6522" t="s">
        <v>39</v>
      </c>
      <c r="C6522" t="s">
        <v>36</v>
      </c>
      <c r="D6522" t="s">
        <v>28</v>
      </c>
      <c r="E6522" t="s">
        <v>26</v>
      </c>
      <c r="F6522" t="s">
        <v>15</v>
      </c>
      <c r="G6522" s="1" t="str">
        <f t="shared" ref="G6522:M6526" si="1423">"X"</f>
        <v>X</v>
      </c>
      <c r="H6522" s="1" t="str">
        <f t="shared" si="1423"/>
        <v>X</v>
      </c>
      <c r="I6522" s="1" t="str">
        <f t="shared" si="1423"/>
        <v>X</v>
      </c>
      <c r="J6522" s="1" t="str">
        <f t="shared" si="1423"/>
        <v>X</v>
      </c>
      <c r="K6522" s="1" t="str">
        <f t="shared" si="1423"/>
        <v>X</v>
      </c>
      <c r="L6522" s="1" t="str">
        <f t="shared" si="1423"/>
        <v>X</v>
      </c>
      <c r="M6522" s="1" t="str">
        <f t="shared" si="1423"/>
        <v>X</v>
      </c>
      <c r="N6522" t="s">
        <v>27</v>
      </c>
    </row>
    <row r="6523" spans="1:14" x14ac:dyDescent="0.25">
      <c r="A6523" t="s">
        <v>42</v>
      </c>
      <c r="B6523" t="s">
        <v>39</v>
      </c>
      <c r="C6523" t="s">
        <v>36</v>
      </c>
      <c r="D6523" t="s">
        <v>28</v>
      </c>
      <c r="E6523" t="s">
        <v>26</v>
      </c>
      <c r="F6523" t="s">
        <v>17</v>
      </c>
      <c r="G6523" s="1" t="str">
        <f t="shared" si="1423"/>
        <v>X</v>
      </c>
      <c r="H6523" s="1" t="str">
        <f t="shared" si="1423"/>
        <v>X</v>
      </c>
      <c r="I6523" s="1" t="str">
        <f t="shared" si="1423"/>
        <v>X</v>
      </c>
      <c r="J6523" s="1" t="str">
        <f t="shared" si="1423"/>
        <v>X</v>
      </c>
      <c r="K6523" s="1" t="str">
        <f t="shared" si="1423"/>
        <v>X</v>
      </c>
      <c r="L6523" s="1" t="str">
        <f t="shared" si="1423"/>
        <v>X</v>
      </c>
      <c r="M6523" s="1" t="str">
        <f t="shared" si="1423"/>
        <v>X</v>
      </c>
      <c r="N6523" t="s">
        <v>27</v>
      </c>
    </row>
    <row r="6524" spans="1:14" x14ac:dyDescent="0.25">
      <c r="A6524" t="s">
        <v>42</v>
      </c>
      <c r="B6524" t="s">
        <v>39</v>
      </c>
      <c r="C6524" t="s">
        <v>36</v>
      </c>
      <c r="D6524" t="s">
        <v>28</v>
      </c>
      <c r="E6524" t="s">
        <v>26</v>
      </c>
      <c r="F6524" t="s">
        <v>18</v>
      </c>
      <c r="G6524" s="1" t="str">
        <f t="shared" si="1423"/>
        <v>X</v>
      </c>
      <c r="H6524" s="1" t="str">
        <f t="shared" si="1423"/>
        <v>X</v>
      </c>
      <c r="I6524" s="1" t="str">
        <f t="shared" si="1423"/>
        <v>X</v>
      </c>
      <c r="J6524" s="1" t="str">
        <f t="shared" si="1423"/>
        <v>X</v>
      </c>
      <c r="K6524" s="1" t="str">
        <f t="shared" si="1423"/>
        <v>X</v>
      </c>
      <c r="L6524" s="1" t="str">
        <f t="shared" si="1423"/>
        <v>X</v>
      </c>
      <c r="M6524" s="1" t="str">
        <f t="shared" si="1423"/>
        <v>X</v>
      </c>
      <c r="N6524" t="s">
        <v>27</v>
      </c>
    </row>
    <row r="6525" spans="1:14" x14ac:dyDescent="0.25">
      <c r="A6525" t="s">
        <v>42</v>
      </c>
      <c r="B6525" t="s">
        <v>39</v>
      </c>
      <c r="C6525" t="s">
        <v>36</v>
      </c>
      <c r="D6525" t="s">
        <v>28</v>
      </c>
      <c r="E6525" t="s">
        <v>26</v>
      </c>
      <c r="F6525" t="s">
        <v>19</v>
      </c>
      <c r="G6525" s="1" t="str">
        <f t="shared" si="1423"/>
        <v>X</v>
      </c>
      <c r="H6525" s="1" t="str">
        <f t="shared" si="1423"/>
        <v>X</v>
      </c>
      <c r="I6525" s="1" t="str">
        <f t="shared" si="1423"/>
        <v>X</v>
      </c>
      <c r="J6525" s="1" t="str">
        <f t="shared" si="1423"/>
        <v>X</v>
      </c>
      <c r="K6525" s="1" t="str">
        <f t="shared" si="1423"/>
        <v>X</v>
      </c>
      <c r="L6525" s="1" t="str">
        <f t="shared" si="1423"/>
        <v>X</v>
      </c>
      <c r="M6525" s="1" t="str">
        <f t="shared" si="1423"/>
        <v>X</v>
      </c>
      <c r="N6525" t="s">
        <v>27</v>
      </c>
    </row>
    <row r="6526" spans="1:14" x14ac:dyDescent="0.25">
      <c r="A6526" t="s">
        <v>42</v>
      </c>
      <c r="B6526" t="s">
        <v>39</v>
      </c>
      <c r="C6526" t="s">
        <v>36</v>
      </c>
      <c r="D6526" t="s">
        <v>28</v>
      </c>
      <c r="E6526" t="s">
        <v>26</v>
      </c>
      <c r="F6526" t="s">
        <v>20</v>
      </c>
      <c r="G6526" s="1" t="str">
        <f t="shared" si="1423"/>
        <v>X</v>
      </c>
      <c r="H6526" s="1" t="str">
        <f t="shared" si="1423"/>
        <v>X</v>
      </c>
      <c r="I6526" s="1" t="str">
        <f t="shared" si="1423"/>
        <v>X</v>
      </c>
      <c r="J6526" s="1" t="str">
        <f t="shared" si="1423"/>
        <v>X</v>
      </c>
      <c r="K6526" s="1" t="str">
        <f t="shared" si="1423"/>
        <v>X</v>
      </c>
      <c r="L6526" s="1" t="str">
        <f t="shared" si="1423"/>
        <v>X</v>
      </c>
      <c r="M6526" s="1" t="str">
        <f t="shared" si="1423"/>
        <v>X</v>
      </c>
      <c r="N6526" t="s">
        <v>27</v>
      </c>
    </row>
    <row r="6527" spans="1:14" x14ac:dyDescent="0.25">
      <c r="A6527" t="s">
        <v>42</v>
      </c>
      <c r="B6527" t="s">
        <v>39</v>
      </c>
      <c r="C6527" t="s">
        <v>36</v>
      </c>
      <c r="D6527" t="s">
        <v>29</v>
      </c>
      <c r="E6527" t="s">
        <v>15</v>
      </c>
      <c r="F6527" t="s">
        <v>15</v>
      </c>
      <c r="G6527" s="2">
        <f>VALUE(1676.14)</f>
        <v>1676.14</v>
      </c>
      <c r="H6527" s="3">
        <f>VALUE(1665)</f>
        <v>1665</v>
      </c>
      <c r="I6527" s="1">
        <f>VALUE(3905)</f>
        <v>3905</v>
      </c>
      <c r="J6527" s="1">
        <f>VALUE(4411)</f>
        <v>4411</v>
      </c>
      <c r="K6527" s="1">
        <f>VALUE(5143)</f>
        <v>5143</v>
      </c>
      <c r="L6527" s="1">
        <f>VALUE(5801)</f>
        <v>5801</v>
      </c>
      <c r="M6527" s="1">
        <f>VALUE(7143)</f>
        <v>7143</v>
      </c>
      <c r="N6527" t="s">
        <v>25</v>
      </c>
    </row>
    <row r="6528" spans="1:14" x14ac:dyDescent="0.25">
      <c r="A6528" t="s">
        <v>42</v>
      </c>
      <c r="B6528" t="s">
        <v>39</v>
      </c>
      <c r="C6528" t="s">
        <v>36</v>
      </c>
      <c r="D6528" t="s">
        <v>29</v>
      </c>
      <c r="E6528" t="s">
        <v>15</v>
      </c>
      <c r="F6528" t="s">
        <v>17</v>
      </c>
      <c r="G6528" s="1" t="str">
        <f t="shared" ref="G6528:M6529" si="1424">"X"</f>
        <v>X</v>
      </c>
      <c r="H6528" s="1" t="str">
        <f t="shared" si="1424"/>
        <v>X</v>
      </c>
      <c r="I6528" s="1" t="str">
        <f t="shared" si="1424"/>
        <v>X</v>
      </c>
      <c r="J6528" s="1" t="str">
        <f t="shared" si="1424"/>
        <v>X</v>
      </c>
      <c r="K6528" s="1" t="str">
        <f t="shared" si="1424"/>
        <v>X</v>
      </c>
      <c r="L6528" s="1" t="str">
        <f t="shared" si="1424"/>
        <v>X</v>
      </c>
      <c r="M6528" s="1" t="str">
        <f t="shared" si="1424"/>
        <v>X</v>
      </c>
      <c r="N6528" t="s">
        <v>27</v>
      </c>
    </row>
    <row r="6529" spans="1:14" x14ac:dyDescent="0.25">
      <c r="A6529" t="s">
        <v>42</v>
      </c>
      <c r="B6529" t="s">
        <v>39</v>
      </c>
      <c r="C6529" t="s">
        <v>36</v>
      </c>
      <c r="D6529" t="s">
        <v>29</v>
      </c>
      <c r="E6529" t="s">
        <v>15</v>
      </c>
      <c r="F6529" t="s">
        <v>18</v>
      </c>
      <c r="G6529" s="1" t="str">
        <f t="shared" si="1424"/>
        <v>X</v>
      </c>
      <c r="H6529" s="1" t="str">
        <f t="shared" si="1424"/>
        <v>X</v>
      </c>
      <c r="I6529" s="1" t="str">
        <f t="shared" si="1424"/>
        <v>X</v>
      </c>
      <c r="J6529" s="1" t="str">
        <f t="shared" si="1424"/>
        <v>X</v>
      </c>
      <c r="K6529" s="1" t="str">
        <f t="shared" si="1424"/>
        <v>X</v>
      </c>
      <c r="L6529" s="1" t="str">
        <f t="shared" si="1424"/>
        <v>X</v>
      </c>
      <c r="M6529" s="1" t="str">
        <f t="shared" si="1424"/>
        <v>X</v>
      </c>
      <c r="N6529" t="s">
        <v>27</v>
      </c>
    </row>
    <row r="6530" spans="1:14" x14ac:dyDescent="0.25">
      <c r="A6530" t="s">
        <v>42</v>
      </c>
      <c r="B6530" t="s">
        <v>39</v>
      </c>
      <c r="C6530" t="s">
        <v>36</v>
      </c>
      <c r="D6530" t="s">
        <v>29</v>
      </c>
      <c r="E6530" t="s">
        <v>15</v>
      </c>
      <c r="F6530" t="s">
        <v>19</v>
      </c>
      <c r="G6530" s="2">
        <f>VALUE(213.65)</f>
        <v>213.65</v>
      </c>
      <c r="H6530" s="3">
        <f>VALUE(202.98)</f>
        <v>202.98</v>
      </c>
      <c r="I6530" s="4">
        <f>VALUE(4031)</f>
        <v>4031</v>
      </c>
      <c r="J6530" s="5">
        <f>VALUE(4293)</f>
        <v>4293</v>
      </c>
      <c r="K6530" s="6">
        <f>VALUE(5417)</f>
        <v>5417</v>
      </c>
      <c r="L6530" s="1">
        <f>VALUE(6058)</f>
        <v>6058</v>
      </c>
      <c r="M6530" s="8">
        <f>VALUE(6532)</f>
        <v>6532</v>
      </c>
      <c r="N6530" t="s">
        <v>25</v>
      </c>
    </row>
    <row r="6531" spans="1:14" x14ac:dyDescent="0.25">
      <c r="A6531" t="s">
        <v>42</v>
      </c>
      <c r="B6531" t="s">
        <v>39</v>
      </c>
      <c r="C6531" t="s">
        <v>36</v>
      </c>
      <c r="D6531" t="s">
        <v>29</v>
      </c>
      <c r="E6531" t="s">
        <v>15</v>
      </c>
      <c r="F6531" t="s">
        <v>20</v>
      </c>
      <c r="G6531" s="2">
        <f>VALUE(1176.08)</f>
        <v>1176.08</v>
      </c>
      <c r="H6531" s="3">
        <f>VALUE(1170.21)</f>
        <v>1170.21</v>
      </c>
      <c r="I6531" s="4">
        <f>VALUE(3813)</f>
        <v>3813</v>
      </c>
      <c r="J6531" s="1">
        <f>VALUE(4424)</f>
        <v>4424</v>
      </c>
      <c r="K6531" s="1">
        <f>VALUE(5066)</f>
        <v>5066</v>
      </c>
      <c r="L6531" s="1">
        <f>VALUE(5546)</f>
        <v>5546</v>
      </c>
      <c r="M6531" s="1">
        <f>VALUE(6717)</f>
        <v>6717</v>
      </c>
      <c r="N6531" t="s">
        <v>25</v>
      </c>
    </row>
    <row r="6532" spans="1:14" x14ac:dyDescent="0.25">
      <c r="A6532" t="s">
        <v>42</v>
      </c>
      <c r="B6532" t="s">
        <v>39</v>
      </c>
      <c r="C6532" t="s">
        <v>36</v>
      </c>
      <c r="D6532" t="s">
        <v>29</v>
      </c>
      <c r="E6532" t="s">
        <v>21</v>
      </c>
      <c r="F6532" t="s">
        <v>15</v>
      </c>
      <c r="G6532" s="2">
        <f>VALUE(251.39)</f>
        <v>251.39</v>
      </c>
      <c r="H6532" s="3">
        <f>VALUE(251.53)</f>
        <v>251.53</v>
      </c>
      <c r="I6532" s="1">
        <f>VALUE(4353)</f>
        <v>4353</v>
      </c>
      <c r="J6532" s="5">
        <f>VALUE(4560)</f>
        <v>4560</v>
      </c>
      <c r="K6532" s="1">
        <f>VALUE(6197)</f>
        <v>6197</v>
      </c>
      <c r="L6532" s="7">
        <f>VALUE(7458)</f>
        <v>7458</v>
      </c>
      <c r="M6532" s="8">
        <f>VALUE(8964)</f>
        <v>8964</v>
      </c>
      <c r="N6532" t="s">
        <v>25</v>
      </c>
    </row>
    <row r="6533" spans="1:14" x14ac:dyDescent="0.25">
      <c r="A6533" t="s">
        <v>42</v>
      </c>
      <c r="B6533" t="s">
        <v>39</v>
      </c>
      <c r="C6533" t="s">
        <v>36</v>
      </c>
      <c r="D6533" t="s">
        <v>29</v>
      </c>
      <c r="E6533" t="s">
        <v>21</v>
      </c>
      <c r="F6533" t="s">
        <v>17</v>
      </c>
      <c r="G6533" s="1" t="str">
        <f t="shared" ref="G6533:M6536" si="1425">"X"</f>
        <v>X</v>
      </c>
      <c r="H6533" s="1" t="str">
        <f t="shared" si="1425"/>
        <v>X</v>
      </c>
      <c r="I6533" s="1" t="str">
        <f t="shared" si="1425"/>
        <v>X</v>
      </c>
      <c r="J6533" s="1" t="str">
        <f t="shared" si="1425"/>
        <v>X</v>
      </c>
      <c r="K6533" s="1" t="str">
        <f t="shared" si="1425"/>
        <v>X</v>
      </c>
      <c r="L6533" s="1" t="str">
        <f t="shared" si="1425"/>
        <v>X</v>
      </c>
      <c r="M6533" s="1" t="str">
        <f t="shared" si="1425"/>
        <v>X</v>
      </c>
      <c r="N6533" t="s">
        <v>27</v>
      </c>
    </row>
    <row r="6534" spans="1:14" x14ac:dyDescent="0.25">
      <c r="A6534" t="s">
        <v>42</v>
      </c>
      <c r="B6534" t="s">
        <v>39</v>
      </c>
      <c r="C6534" t="s">
        <v>36</v>
      </c>
      <c r="D6534" t="s">
        <v>29</v>
      </c>
      <c r="E6534" t="s">
        <v>21</v>
      </c>
      <c r="F6534" t="s">
        <v>18</v>
      </c>
      <c r="G6534" s="1" t="str">
        <f t="shared" si="1425"/>
        <v>X</v>
      </c>
      <c r="H6534" s="1" t="str">
        <f t="shared" si="1425"/>
        <v>X</v>
      </c>
      <c r="I6534" s="1" t="str">
        <f t="shared" si="1425"/>
        <v>X</v>
      </c>
      <c r="J6534" s="1" t="str">
        <f t="shared" si="1425"/>
        <v>X</v>
      </c>
      <c r="K6534" s="1" t="str">
        <f t="shared" si="1425"/>
        <v>X</v>
      </c>
      <c r="L6534" s="1" t="str">
        <f t="shared" si="1425"/>
        <v>X</v>
      </c>
      <c r="M6534" s="1" t="str">
        <f t="shared" si="1425"/>
        <v>X</v>
      </c>
      <c r="N6534" t="s">
        <v>27</v>
      </c>
    </row>
    <row r="6535" spans="1:14" x14ac:dyDescent="0.25">
      <c r="A6535" t="s">
        <v>42</v>
      </c>
      <c r="B6535" t="s">
        <v>39</v>
      </c>
      <c r="C6535" t="s">
        <v>36</v>
      </c>
      <c r="D6535" t="s">
        <v>29</v>
      </c>
      <c r="E6535" t="s">
        <v>21</v>
      </c>
      <c r="F6535" t="s">
        <v>19</v>
      </c>
      <c r="G6535" s="1" t="str">
        <f t="shared" si="1425"/>
        <v>X</v>
      </c>
      <c r="H6535" s="1" t="str">
        <f t="shared" si="1425"/>
        <v>X</v>
      </c>
      <c r="I6535" s="1" t="str">
        <f t="shared" si="1425"/>
        <v>X</v>
      </c>
      <c r="J6535" s="1" t="str">
        <f t="shared" si="1425"/>
        <v>X</v>
      </c>
      <c r="K6535" s="1" t="str">
        <f t="shared" si="1425"/>
        <v>X</v>
      </c>
      <c r="L6535" s="1" t="str">
        <f t="shared" si="1425"/>
        <v>X</v>
      </c>
      <c r="M6535" s="1" t="str">
        <f t="shared" si="1425"/>
        <v>X</v>
      </c>
      <c r="N6535" t="s">
        <v>27</v>
      </c>
    </row>
    <row r="6536" spans="1:14" x14ac:dyDescent="0.25">
      <c r="A6536" t="s">
        <v>42</v>
      </c>
      <c r="B6536" t="s">
        <v>39</v>
      </c>
      <c r="C6536" t="s">
        <v>36</v>
      </c>
      <c r="D6536" t="s">
        <v>29</v>
      </c>
      <c r="E6536" t="s">
        <v>21</v>
      </c>
      <c r="F6536" t="s">
        <v>20</v>
      </c>
      <c r="G6536" s="1" t="str">
        <f t="shared" si="1425"/>
        <v>X</v>
      </c>
      <c r="H6536" s="1" t="str">
        <f t="shared" si="1425"/>
        <v>X</v>
      </c>
      <c r="I6536" s="1" t="str">
        <f t="shared" si="1425"/>
        <v>X</v>
      </c>
      <c r="J6536" s="1" t="str">
        <f t="shared" si="1425"/>
        <v>X</v>
      </c>
      <c r="K6536" s="1" t="str">
        <f t="shared" si="1425"/>
        <v>X</v>
      </c>
      <c r="L6536" s="1" t="str">
        <f t="shared" si="1425"/>
        <v>X</v>
      </c>
      <c r="M6536" s="1" t="str">
        <f t="shared" si="1425"/>
        <v>X</v>
      </c>
      <c r="N6536" t="s">
        <v>27</v>
      </c>
    </row>
    <row r="6537" spans="1:14" x14ac:dyDescent="0.25">
      <c r="A6537" t="s">
        <v>42</v>
      </c>
      <c r="B6537" t="s">
        <v>39</v>
      </c>
      <c r="C6537" t="s">
        <v>36</v>
      </c>
      <c r="D6537" t="s">
        <v>29</v>
      </c>
      <c r="E6537" t="s">
        <v>22</v>
      </c>
      <c r="F6537" t="s">
        <v>15</v>
      </c>
      <c r="G6537" s="2">
        <f>VALUE(888.64)</f>
        <v>888.64</v>
      </c>
      <c r="H6537" s="3">
        <f>VALUE(892.3)</f>
        <v>892.3</v>
      </c>
      <c r="I6537" s="1">
        <f>VALUE(4107)</f>
        <v>4107</v>
      </c>
      <c r="J6537" s="1">
        <f>VALUE(4570)</f>
        <v>4570</v>
      </c>
      <c r="K6537" s="1">
        <f>VALUE(5129)</f>
        <v>5129</v>
      </c>
      <c r="L6537" s="1">
        <f>VALUE(5715)</f>
        <v>5715</v>
      </c>
      <c r="M6537" s="1">
        <f>VALUE(6654)</f>
        <v>6654</v>
      </c>
      <c r="N6537" t="s">
        <v>25</v>
      </c>
    </row>
    <row r="6538" spans="1:14" x14ac:dyDescent="0.25">
      <c r="A6538" t="s">
        <v>42</v>
      </c>
      <c r="B6538" t="s">
        <v>39</v>
      </c>
      <c r="C6538" t="s">
        <v>36</v>
      </c>
      <c r="D6538" t="s">
        <v>29</v>
      </c>
      <c r="E6538" t="s">
        <v>22</v>
      </c>
      <c r="F6538" t="s">
        <v>17</v>
      </c>
      <c r="G6538" s="1" t="str">
        <f t="shared" ref="G6538:M6540" si="1426">"X"</f>
        <v>X</v>
      </c>
      <c r="H6538" s="1" t="str">
        <f t="shared" si="1426"/>
        <v>X</v>
      </c>
      <c r="I6538" s="1" t="str">
        <f t="shared" si="1426"/>
        <v>X</v>
      </c>
      <c r="J6538" s="1" t="str">
        <f t="shared" si="1426"/>
        <v>X</v>
      </c>
      <c r="K6538" s="1" t="str">
        <f t="shared" si="1426"/>
        <v>X</v>
      </c>
      <c r="L6538" s="1" t="str">
        <f t="shared" si="1426"/>
        <v>X</v>
      </c>
      <c r="M6538" s="1" t="str">
        <f t="shared" si="1426"/>
        <v>X</v>
      </c>
      <c r="N6538" t="s">
        <v>27</v>
      </c>
    </row>
    <row r="6539" spans="1:14" x14ac:dyDescent="0.25">
      <c r="A6539" t="s">
        <v>42</v>
      </c>
      <c r="B6539" t="s">
        <v>39</v>
      </c>
      <c r="C6539" t="s">
        <v>36</v>
      </c>
      <c r="D6539" t="s">
        <v>29</v>
      </c>
      <c r="E6539" t="s">
        <v>22</v>
      </c>
      <c r="F6539" t="s">
        <v>18</v>
      </c>
      <c r="G6539" s="1" t="str">
        <f t="shared" si="1426"/>
        <v>X</v>
      </c>
      <c r="H6539" s="1" t="str">
        <f t="shared" si="1426"/>
        <v>X</v>
      </c>
      <c r="I6539" s="1" t="str">
        <f t="shared" si="1426"/>
        <v>X</v>
      </c>
      <c r="J6539" s="1" t="str">
        <f t="shared" si="1426"/>
        <v>X</v>
      </c>
      <c r="K6539" s="1" t="str">
        <f t="shared" si="1426"/>
        <v>X</v>
      </c>
      <c r="L6539" s="1" t="str">
        <f t="shared" si="1426"/>
        <v>X</v>
      </c>
      <c r="M6539" s="1" t="str">
        <f t="shared" si="1426"/>
        <v>X</v>
      </c>
      <c r="N6539" t="s">
        <v>27</v>
      </c>
    </row>
    <row r="6540" spans="1:14" x14ac:dyDescent="0.25">
      <c r="A6540" t="s">
        <v>42</v>
      </c>
      <c r="B6540" t="s">
        <v>39</v>
      </c>
      <c r="C6540" t="s">
        <v>36</v>
      </c>
      <c r="D6540" t="s">
        <v>29</v>
      </c>
      <c r="E6540" t="s">
        <v>22</v>
      </c>
      <c r="F6540" t="s">
        <v>19</v>
      </c>
      <c r="G6540" s="1" t="str">
        <f t="shared" si="1426"/>
        <v>X</v>
      </c>
      <c r="H6540" s="1" t="str">
        <f t="shared" si="1426"/>
        <v>X</v>
      </c>
      <c r="I6540" s="1" t="str">
        <f t="shared" si="1426"/>
        <v>X</v>
      </c>
      <c r="J6540" s="1" t="str">
        <f t="shared" si="1426"/>
        <v>X</v>
      </c>
      <c r="K6540" s="1" t="str">
        <f t="shared" si="1426"/>
        <v>X</v>
      </c>
      <c r="L6540" s="1" t="str">
        <f t="shared" si="1426"/>
        <v>X</v>
      </c>
      <c r="M6540" s="1" t="str">
        <f t="shared" si="1426"/>
        <v>X</v>
      </c>
      <c r="N6540" t="s">
        <v>27</v>
      </c>
    </row>
    <row r="6541" spans="1:14" x14ac:dyDescent="0.25">
      <c r="A6541" t="s">
        <v>42</v>
      </c>
      <c r="B6541" t="s">
        <v>39</v>
      </c>
      <c r="C6541" t="s">
        <v>36</v>
      </c>
      <c r="D6541" t="s">
        <v>29</v>
      </c>
      <c r="E6541" t="s">
        <v>22</v>
      </c>
      <c r="F6541" t="s">
        <v>20</v>
      </c>
      <c r="G6541" s="2">
        <f>VALUE(668.11)</f>
        <v>668.11</v>
      </c>
      <c r="H6541" s="3">
        <f>VALUE(682.33)</f>
        <v>682.33</v>
      </c>
      <c r="I6541" s="1">
        <f>VALUE(4121)</f>
        <v>4121</v>
      </c>
      <c r="J6541" s="1">
        <f>VALUE(4737)</f>
        <v>4737</v>
      </c>
      <c r="K6541" s="1">
        <f>VALUE(5143)</f>
        <v>5143</v>
      </c>
      <c r="L6541" s="1">
        <f>VALUE(5524)</f>
        <v>5524</v>
      </c>
      <c r="M6541" s="1">
        <f>VALUE(6364)</f>
        <v>6364</v>
      </c>
      <c r="N6541" t="s">
        <v>25</v>
      </c>
    </row>
    <row r="6542" spans="1:14" x14ac:dyDescent="0.25">
      <c r="A6542" t="s">
        <v>42</v>
      </c>
      <c r="B6542" t="s">
        <v>39</v>
      </c>
      <c r="C6542" t="s">
        <v>36</v>
      </c>
      <c r="D6542" t="s">
        <v>29</v>
      </c>
      <c r="E6542" t="s">
        <v>23</v>
      </c>
      <c r="F6542" t="s">
        <v>15</v>
      </c>
      <c r="G6542" s="2">
        <f>VALUE(493.82)</f>
        <v>493.82</v>
      </c>
      <c r="H6542" s="3">
        <f>VALUE(478.15)</f>
        <v>478.15</v>
      </c>
      <c r="I6542" s="4">
        <f>VALUE(3316)</f>
        <v>3316</v>
      </c>
      <c r="J6542" s="5">
        <f>VALUE(3971)</f>
        <v>3971</v>
      </c>
      <c r="K6542" s="6">
        <f>VALUE(4603)</f>
        <v>4603</v>
      </c>
      <c r="L6542" s="1">
        <f>VALUE(5404)</f>
        <v>5404</v>
      </c>
      <c r="M6542" s="8">
        <f>VALUE(6121)</f>
        <v>6121</v>
      </c>
      <c r="N6542" t="s">
        <v>25</v>
      </c>
    </row>
    <row r="6543" spans="1:14" x14ac:dyDescent="0.25">
      <c r="A6543" t="s">
        <v>42</v>
      </c>
      <c r="B6543" t="s">
        <v>39</v>
      </c>
      <c r="C6543" t="s">
        <v>36</v>
      </c>
      <c r="D6543" t="s">
        <v>29</v>
      </c>
      <c r="E6543" t="s">
        <v>23</v>
      </c>
      <c r="F6543" t="s">
        <v>17</v>
      </c>
      <c r="G6543" s="1" t="str">
        <f t="shared" ref="G6543:M6545" si="1427">"X"</f>
        <v>X</v>
      </c>
      <c r="H6543" s="1" t="str">
        <f t="shared" si="1427"/>
        <v>X</v>
      </c>
      <c r="I6543" s="1" t="str">
        <f t="shared" si="1427"/>
        <v>X</v>
      </c>
      <c r="J6543" s="1" t="str">
        <f t="shared" si="1427"/>
        <v>X</v>
      </c>
      <c r="K6543" s="1" t="str">
        <f t="shared" si="1427"/>
        <v>X</v>
      </c>
      <c r="L6543" s="1" t="str">
        <f t="shared" si="1427"/>
        <v>X</v>
      </c>
      <c r="M6543" s="1" t="str">
        <f t="shared" si="1427"/>
        <v>X</v>
      </c>
      <c r="N6543" t="s">
        <v>27</v>
      </c>
    </row>
    <row r="6544" spans="1:14" x14ac:dyDescent="0.25">
      <c r="A6544" t="s">
        <v>42</v>
      </c>
      <c r="B6544" t="s">
        <v>39</v>
      </c>
      <c r="C6544" t="s">
        <v>36</v>
      </c>
      <c r="D6544" t="s">
        <v>29</v>
      </c>
      <c r="E6544" t="s">
        <v>23</v>
      </c>
      <c r="F6544" t="s">
        <v>18</v>
      </c>
      <c r="G6544" s="1" t="str">
        <f t="shared" si="1427"/>
        <v>X</v>
      </c>
      <c r="H6544" s="1" t="str">
        <f t="shared" si="1427"/>
        <v>X</v>
      </c>
      <c r="I6544" s="1" t="str">
        <f t="shared" si="1427"/>
        <v>X</v>
      </c>
      <c r="J6544" s="1" t="str">
        <f t="shared" si="1427"/>
        <v>X</v>
      </c>
      <c r="K6544" s="1" t="str">
        <f t="shared" si="1427"/>
        <v>X</v>
      </c>
      <c r="L6544" s="1" t="str">
        <f t="shared" si="1427"/>
        <v>X</v>
      </c>
      <c r="M6544" s="1" t="str">
        <f t="shared" si="1427"/>
        <v>X</v>
      </c>
      <c r="N6544" t="s">
        <v>27</v>
      </c>
    </row>
    <row r="6545" spans="1:14" x14ac:dyDescent="0.25">
      <c r="A6545" t="s">
        <v>42</v>
      </c>
      <c r="B6545" t="s">
        <v>39</v>
      </c>
      <c r="C6545" t="s">
        <v>36</v>
      </c>
      <c r="D6545" t="s">
        <v>29</v>
      </c>
      <c r="E6545" t="s">
        <v>23</v>
      </c>
      <c r="F6545" t="s">
        <v>19</v>
      </c>
      <c r="G6545" s="1" t="str">
        <f t="shared" si="1427"/>
        <v>X</v>
      </c>
      <c r="H6545" s="1" t="str">
        <f t="shared" si="1427"/>
        <v>X</v>
      </c>
      <c r="I6545" s="1" t="str">
        <f t="shared" si="1427"/>
        <v>X</v>
      </c>
      <c r="J6545" s="1" t="str">
        <f t="shared" si="1427"/>
        <v>X</v>
      </c>
      <c r="K6545" s="1" t="str">
        <f t="shared" si="1427"/>
        <v>X</v>
      </c>
      <c r="L6545" s="1" t="str">
        <f t="shared" si="1427"/>
        <v>X</v>
      </c>
      <c r="M6545" s="1" t="str">
        <f t="shared" si="1427"/>
        <v>X</v>
      </c>
      <c r="N6545" t="s">
        <v>27</v>
      </c>
    </row>
    <row r="6546" spans="1:14" x14ac:dyDescent="0.25">
      <c r="A6546" t="s">
        <v>42</v>
      </c>
      <c r="B6546" t="s">
        <v>39</v>
      </c>
      <c r="C6546" t="s">
        <v>36</v>
      </c>
      <c r="D6546" t="s">
        <v>29</v>
      </c>
      <c r="E6546" t="s">
        <v>23</v>
      </c>
      <c r="F6546" t="s">
        <v>20</v>
      </c>
      <c r="G6546" s="2">
        <f>VALUE(384.34)</f>
        <v>384.34</v>
      </c>
      <c r="H6546" s="3">
        <f>VALUE(368.69)</f>
        <v>368.69</v>
      </c>
      <c r="I6546" s="4">
        <f>VALUE(3266)</f>
        <v>3266</v>
      </c>
      <c r="J6546" s="5">
        <f>VALUE(3939)</f>
        <v>3939</v>
      </c>
      <c r="K6546" s="1">
        <f>VALUE(4540)</f>
        <v>4540</v>
      </c>
      <c r="L6546" s="1">
        <f>VALUE(5289)</f>
        <v>5289</v>
      </c>
      <c r="M6546" s="1">
        <f>VALUE(5801)</f>
        <v>5801</v>
      </c>
      <c r="N6546" t="s">
        <v>25</v>
      </c>
    </row>
    <row r="6547" spans="1:14" x14ac:dyDescent="0.25">
      <c r="A6547" t="s">
        <v>42</v>
      </c>
      <c r="B6547" t="s">
        <v>39</v>
      </c>
      <c r="C6547" t="s">
        <v>36</v>
      </c>
      <c r="D6547" t="s">
        <v>29</v>
      </c>
      <c r="E6547" t="s">
        <v>26</v>
      </c>
      <c r="F6547" t="s">
        <v>15</v>
      </c>
      <c r="G6547" s="1" t="str">
        <f t="shared" ref="G6547:M6549" si="1428">"X"</f>
        <v>X</v>
      </c>
      <c r="H6547" s="1" t="str">
        <f t="shared" si="1428"/>
        <v>X</v>
      </c>
      <c r="I6547" s="1" t="str">
        <f t="shared" si="1428"/>
        <v>X</v>
      </c>
      <c r="J6547" s="1" t="str">
        <f t="shared" si="1428"/>
        <v>X</v>
      </c>
      <c r="K6547" s="1" t="str">
        <f t="shared" si="1428"/>
        <v>X</v>
      </c>
      <c r="L6547" s="1" t="str">
        <f t="shared" si="1428"/>
        <v>X</v>
      </c>
      <c r="M6547" s="1" t="str">
        <f t="shared" si="1428"/>
        <v>X</v>
      </c>
      <c r="N6547" t="s">
        <v>27</v>
      </c>
    </row>
    <row r="6548" spans="1:14" x14ac:dyDescent="0.25">
      <c r="A6548" t="s">
        <v>42</v>
      </c>
      <c r="B6548" t="s">
        <v>39</v>
      </c>
      <c r="C6548" t="s">
        <v>36</v>
      </c>
      <c r="D6548" t="s">
        <v>29</v>
      </c>
      <c r="E6548" t="s">
        <v>26</v>
      </c>
      <c r="F6548" t="s">
        <v>17</v>
      </c>
      <c r="G6548" s="1" t="str">
        <f t="shared" si="1428"/>
        <v>X</v>
      </c>
      <c r="H6548" s="1" t="str">
        <f t="shared" si="1428"/>
        <v>X</v>
      </c>
      <c r="I6548" s="1" t="str">
        <f t="shared" si="1428"/>
        <v>X</v>
      </c>
      <c r="J6548" s="1" t="str">
        <f t="shared" si="1428"/>
        <v>X</v>
      </c>
      <c r="K6548" s="1" t="str">
        <f t="shared" si="1428"/>
        <v>X</v>
      </c>
      <c r="L6548" s="1" t="str">
        <f t="shared" si="1428"/>
        <v>X</v>
      </c>
      <c r="M6548" s="1" t="str">
        <f t="shared" si="1428"/>
        <v>X</v>
      </c>
      <c r="N6548" t="s">
        <v>27</v>
      </c>
    </row>
    <row r="6549" spans="1:14" x14ac:dyDescent="0.25">
      <c r="A6549" t="s">
        <v>42</v>
      </c>
      <c r="B6549" t="s">
        <v>39</v>
      </c>
      <c r="C6549" t="s">
        <v>36</v>
      </c>
      <c r="D6549" t="s">
        <v>29</v>
      </c>
      <c r="E6549" t="s">
        <v>26</v>
      </c>
      <c r="F6549" t="s">
        <v>18</v>
      </c>
      <c r="G6549" s="1" t="str">
        <f t="shared" si="1428"/>
        <v>X</v>
      </c>
      <c r="H6549" s="1" t="str">
        <f t="shared" si="1428"/>
        <v>X</v>
      </c>
      <c r="I6549" s="1" t="str">
        <f t="shared" si="1428"/>
        <v>X</v>
      </c>
      <c r="J6549" s="1" t="str">
        <f t="shared" si="1428"/>
        <v>X</v>
      </c>
      <c r="K6549" s="1" t="str">
        <f t="shared" si="1428"/>
        <v>X</v>
      </c>
      <c r="L6549" s="1" t="str">
        <f t="shared" si="1428"/>
        <v>X</v>
      </c>
      <c r="M6549" s="1" t="str">
        <f t="shared" si="1428"/>
        <v>X</v>
      </c>
      <c r="N6549" t="s">
        <v>27</v>
      </c>
    </row>
    <row r="6550" spans="1:14" x14ac:dyDescent="0.25">
      <c r="A6550" t="s">
        <v>42</v>
      </c>
      <c r="B6550" t="s">
        <v>39</v>
      </c>
      <c r="C6550" t="s">
        <v>36</v>
      </c>
      <c r="D6550" t="s">
        <v>29</v>
      </c>
      <c r="E6550" t="s">
        <v>26</v>
      </c>
      <c r="F6550" t="s">
        <v>19</v>
      </c>
      <c r="G6550" s="1" t="str">
        <f t="shared" ref="G6550:M6550" si="1429">"..."</f>
        <v>...</v>
      </c>
      <c r="H6550" s="1" t="str">
        <f t="shared" si="1429"/>
        <v>...</v>
      </c>
      <c r="I6550" s="1" t="str">
        <f t="shared" si="1429"/>
        <v>...</v>
      </c>
      <c r="J6550" s="1" t="str">
        <f t="shared" si="1429"/>
        <v>...</v>
      </c>
      <c r="K6550" s="1" t="str">
        <f t="shared" si="1429"/>
        <v>...</v>
      </c>
      <c r="L6550" s="1" t="str">
        <f t="shared" si="1429"/>
        <v>...</v>
      </c>
      <c r="M6550" s="1" t="str">
        <f t="shared" si="1429"/>
        <v>...</v>
      </c>
      <c r="N6550" t="s">
        <v>30</v>
      </c>
    </row>
    <row r="6551" spans="1:14" x14ac:dyDescent="0.25">
      <c r="A6551" t="s">
        <v>42</v>
      </c>
      <c r="B6551" t="s">
        <v>39</v>
      </c>
      <c r="C6551" t="s">
        <v>36</v>
      </c>
      <c r="D6551" t="s">
        <v>29</v>
      </c>
      <c r="E6551" t="s">
        <v>26</v>
      </c>
      <c r="F6551" t="s">
        <v>20</v>
      </c>
      <c r="G6551" s="1" t="str">
        <f t="shared" ref="G6551:M6551" si="1430">"X"</f>
        <v>X</v>
      </c>
      <c r="H6551" s="1" t="str">
        <f t="shared" si="1430"/>
        <v>X</v>
      </c>
      <c r="I6551" s="1" t="str">
        <f t="shared" si="1430"/>
        <v>X</v>
      </c>
      <c r="J6551" s="1" t="str">
        <f t="shared" si="1430"/>
        <v>X</v>
      </c>
      <c r="K6551" s="1" t="str">
        <f t="shared" si="1430"/>
        <v>X</v>
      </c>
      <c r="L6551" s="1" t="str">
        <f t="shared" si="1430"/>
        <v>X</v>
      </c>
      <c r="M6551" s="1" t="str">
        <f t="shared" si="1430"/>
        <v>X</v>
      </c>
      <c r="N6551" t="s">
        <v>27</v>
      </c>
    </row>
    <row r="6552" spans="1:14" x14ac:dyDescent="0.25">
      <c r="A6552" t="s">
        <v>42</v>
      </c>
      <c r="B6552" t="s">
        <v>39</v>
      </c>
      <c r="C6552" t="s">
        <v>36</v>
      </c>
      <c r="D6552" t="s">
        <v>31</v>
      </c>
      <c r="E6552" t="s">
        <v>15</v>
      </c>
      <c r="F6552" t="s">
        <v>15</v>
      </c>
      <c r="G6552" s="2">
        <f>VALUE(1747.44)</f>
        <v>1747.44</v>
      </c>
      <c r="H6552" s="3">
        <f>VALUE(1705.35)</f>
        <v>1705.35</v>
      </c>
      <c r="I6552" s="1">
        <f>VALUE(3406)</f>
        <v>3406</v>
      </c>
      <c r="J6552" s="1">
        <f>VALUE(4014)</f>
        <v>4014</v>
      </c>
      <c r="K6552" s="1">
        <f>VALUE(4910)</f>
        <v>4910</v>
      </c>
      <c r="L6552" s="1">
        <f>VALUE(5902)</f>
        <v>5902</v>
      </c>
      <c r="M6552" s="8">
        <f>VALUE(7741)</f>
        <v>7741</v>
      </c>
      <c r="N6552" t="s">
        <v>25</v>
      </c>
    </row>
    <row r="6553" spans="1:14" x14ac:dyDescent="0.25">
      <c r="A6553" t="s">
        <v>42</v>
      </c>
      <c r="B6553" t="s">
        <v>39</v>
      </c>
      <c r="C6553" t="s">
        <v>36</v>
      </c>
      <c r="D6553" t="s">
        <v>31</v>
      </c>
      <c r="E6553" t="s">
        <v>15</v>
      </c>
      <c r="F6553" t="s">
        <v>17</v>
      </c>
      <c r="G6553" s="1" t="str">
        <f t="shared" ref="G6553:M6554" si="1431">"X"</f>
        <v>X</v>
      </c>
      <c r="H6553" s="1" t="str">
        <f t="shared" si="1431"/>
        <v>X</v>
      </c>
      <c r="I6553" s="1" t="str">
        <f t="shared" si="1431"/>
        <v>X</v>
      </c>
      <c r="J6553" s="1" t="str">
        <f t="shared" si="1431"/>
        <v>X</v>
      </c>
      <c r="K6553" s="1" t="str">
        <f t="shared" si="1431"/>
        <v>X</v>
      </c>
      <c r="L6553" s="1" t="str">
        <f t="shared" si="1431"/>
        <v>X</v>
      </c>
      <c r="M6553" s="1" t="str">
        <f t="shared" si="1431"/>
        <v>X</v>
      </c>
      <c r="N6553" t="s">
        <v>27</v>
      </c>
    </row>
    <row r="6554" spans="1:14" x14ac:dyDescent="0.25">
      <c r="A6554" t="s">
        <v>42</v>
      </c>
      <c r="B6554" t="s">
        <v>39</v>
      </c>
      <c r="C6554" t="s">
        <v>36</v>
      </c>
      <c r="D6554" t="s">
        <v>31</v>
      </c>
      <c r="E6554" t="s">
        <v>15</v>
      </c>
      <c r="F6554" t="s">
        <v>18</v>
      </c>
      <c r="G6554" s="1" t="str">
        <f t="shared" si="1431"/>
        <v>X</v>
      </c>
      <c r="H6554" s="1" t="str">
        <f t="shared" si="1431"/>
        <v>X</v>
      </c>
      <c r="I6554" s="1" t="str">
        <f t="shared" si="1431"/>
        <v>X</v>
      </c>
      <c r="J6554" s="1" t="str">
        <f t="shared" si="1431"/>
        <v>X</v>
      </c>
      <c r="K6554" s="1" t="str">
        <f t="shared" si="1431"/>
        <v>X</v>
      </c>
      <c r="L6554" s="1" t="str">
        <f t="shared" si="1431"/>
        <v>X</v>
      </c>
      <c r="M6554" s="1" t="str">
        <f t="shared" si="1431"/>
        <v>X</v>
      </c>
      <c r="N6554" t="s">
        <v>27</v>
      </c>
    </row>
    <row r="6555" spans="1:14" x14ac:dyDescent="0.25">
      <c r="A6555" t="s">
        <v>42</v>
      </c>
      <c r="B6555" t="s">
        <v>39</v>
      </c>
      <c r="C6555" t="s">
        <v>36</v>
      </c>
      <c r="D6555" t="s">
        <v>31</v>
      </c>
      <c r="E6555" t="s">
        <v>15</v>
      </c>
      <c r="F6555" t="s">
        <v>19</v>
      </c>
      <c r="G6555" s="2">
        <f>VALUE(153.64)</f>
        <v>153.63999999999999</v>
      </c>
      <c r="H6555" s="3">
        <f>VALUE(144.54)</f>
        <v>144.54</v>
      </c>
      <c r="I6555" s="4">
        <f>VALUE(3810)</f>
        <v>3810</v>
      </c>
      <c r="J6555" s="1">
        <f>VALUE(4894)</f>
        <v>4894</v>
      </c>
      <c r="K6555" s="6">
        <f>VALUE(5879)</f>
        <v>5879</v>
      </c>
      <c r="L6555" s="7">
        <f>VALUE(7177)</f>
        <v>7177</v>
      </c>
      <c r="M6555" s="8">
        <f>VALUE(11490)</f>
        <v>11490</v>
      </c>
      <c r="N6555" t="s">
        <v>25</v>
      </c>
    </row>
    <row r="6556" spans="1:14" x14ac:dyDescent="0.25">
      <c r="A6556" t="s">
        <v>42</v>
      </c>
      <c r="B6556" t="s">
        <v>39</v>
      </c>
      <c r="C6556" t="s">
        <v>36</v>
      </c>
      <c r="D6556" t="s">
        <v>31</v>
      </c>
      <c r="E6556" t="s">
        <v>15</v>
      </c>
      <c r="F6556" t="s">
        <v>20</v>
      </c>
      <c r="G6556" s="2">
        <f>VALUE(1295.67)</f>
        <v>1295.67</v>
      </c>
      <c r="H6556" s="3">
        <f>VALUE(1259.25)</f>
        <v>1259.25</v>
      </c>
      <c r="I6556" s="1">
        <f>VALUE(3411)</f>
        <v>3411</v>
      </c>
      <c r="J6556" s="1">
        <f>VALUE(3973)</f>
        <v>3973</v>
      </c>
      <c r="K6556" s="1">
        <f>VALUE(4704)</f>
        <v>4704</v>
      </c>
      <c r="L6556" s="1">
        <f>VALUE(5417)</f>
        <v>5417</v>
      </c>
      <c r="M6556" s="1">
        <f>VALUE(6461)</f>
        <v>6461</v>
      </c>
      <c r="N6556" t="s">
        <v>25</v>
      </c>
    </row>
    <row r="6557" spans="1:14" x14ac:dyDescent="0.25">
      <c r="A6557" t="s">
        <v>42</v>
      </c>
      <c r="B6557" t="s">
        <v>39</v>
      </c>
      <c r="C6557" t="s">
        <v>36</v>
      </c>
      <c r="D6557" t="s">
        <v>31</v>
      </c>
      <c r="E6557" t="s">
        <v>21</v>
      </c>
      <c r="F6557" t="s">
        <v>15</v>
      </c>
      <c r="G6557" s="2">
        <f>VALUE(437.49)</f>
        <v>437.49</v>
      </c>
      <c r="H6557" s="3">
        <f>VALUE(438.37)</f>
        <v>438.37</v>
      </c>
      <c r="I6557" s="1">
        <f>VALUE(4127)</f>
        <v>4127</v>
      </c>
      <c r="J6557" s="1">
        <f>VALUE(5034)</f>
        <v>5034</v>
      </c>
      <c r="K6557" s="1">
        <f>VALUE(6111)</f>
        <v>6111</v>
      </c>
      <c r="L6557" s="1">
        <f>VALUE(8490)</f>
        <v>8490</v>
      </c>
      <c r="M6557" s="8">
        <f>VALUE(10833)</f>
        <v>10833</v>
      </c>
      <c r="N6557" t="s">
        <v>25</v>
      </c>
    </row>
    <row r="6558" spans="1:14" x14ac:dyDescent="0.25">
      <c r="A6558" t="s">
        <v>42</v>
      </c>
      <c r="B6558" t="s">
        <v>39</v>
      </c>
      <c r="C6558" t="s">
        <v>36</v>
      </c>
      <c r="D6558" t="s">
        <v>31</v>
      </c>
      <c r="E6558" t="s">
        <v>21</v>
      </c>
      <c r="F6558" t="s">
        <v>17</v>
      </c>
      <c r="G6558" s="1" t="str">
        <f t="shared" ref="G6558:M6560" si="1432">"X"</f>
        <v>X</v>
      </c>
      <c r="H6558" s="1" t="str">
        <f t="shared" si="1432"/>
        <v>X</v>
      </c>
      <c r="I6558" s="1" t="str">
        <f t="shared" si="1432"/>
        <v>X</v>
      </c>
      <c r="J6558" s="1" t="str">
        <f t="shared" si="1432"/>
        <v>X</v>
      </c>
      <c r="K6558" s="1" t="str">
        <f t="shared" si="1432"/>
        <v>X</v>
      </c>
      <c r="L6558" s="1" t="str">
        <f t="shared" si="1432"/>
        <v>X</v>
      </c>
      <c r="M6558" s="1" t="str">
        <f t="shared" si="1432"/>
        <v>X</v>
      </c>
      <c r="N6558" t="s">
        <v>27</v>
      </c>
    </row>
    <row r="6559" spans="1:14" x14ac:dyDescent="0.25">
      <c r="A6559" t="s">
        <v>42</v>
      </c>
      <c r="B6559" t="s">
        <v>39</v>
      </c>
      <c r="C6559" t="s">
        <v>36</v>
      </c>
      <c r="D6559" t="s">
        <v>31</v>
      </c>
      <c r="E6559" t="s">
        <v>21</v>
      </c>
      <c r="F6559" t="s">
        <v>18</v>
      </c>
      <c r="G6559" s="1" t="str">
        <f t="shared" si="1432"/>
        <v>X</v>
      </c>
      <c r="H6559" s="1" t="str">
        <f t="shared" si="1432"/>
        <v>X</v>
      </c>
      <c r="I6559" s="1" t="str">
        <f t="shared" si="1432"/>
        <v>X</v>
      </c>
      <c r="J6559" s="1" t="str">
        <f t="shared" si="1432"/>
        <v>X</v>
      </c>
      <c r="K6559" s="1" t="str">
        <f t="shared" si="1432"/>
        <v>X</v>
      </c>
      <c r="L6559" s="1" t="str">
        <f t="shared" si="1432"/>
        <v>X</v>
      </c>
      <c r="M6559" s="1" t="str">
        <f t="shared" si="1432"/>
        <v>X</v>
      </c>
      <c r="N6559" t="s">
        <v>27</v>
      </c>
    </row>
    <row r="6560" spans="1:14" x14ac:dyDescent="0.25">
      <c r="A6560" t="s">
        <v>42</v>
      </c>
      <c r="B6560" t="s">
        <v>39</v>
      </c>
      <c r="C6560" t="s">
        <v>36</v>
      </c>
      <c r="D6560" t="s">
        <v>31</v>
      </c>
      <c r="E6560" t="s">
        <v>21</v>
      </c>
      <c r="F6560" t="s">
        <v>19</v>
      </c>
      <c r="G6560" s="1" t="str">
        <f t="shared" si="1432"/>
        <v>X</v>
      </c>
      <c r="H6560" s="1" t="str">
        <f t="shared" si="1432"/>
        <v>X</v>
      </c>
      <c r="I6560" s="1" t="str">
        <f t="shared" si="1432"/>
        <v>X</v>
      </c>
      <c r="J6560" s="1" t="str">
        <f t="shared" si="1432"/>
        <v>X</v>
      </c>
      <c r="K6560" s="1" t="str">
        <f t="shared" si="1432"/>
        <v>X</v>
      </c>
      <c r="L6560" s="1" t="str">
        <f t="shared" si="1432"/>
        <v>X</v>
      </c>
      <c r="M6560" s="1" t="str">
        <f t="shared" si="1432"/>
        <v>X</v>
      </c>
      <c r="N6560" t="s">
        <v>27</v>
      </c>
    </row>
    <row r="6561" spans="1:14" x14ac:dyDescent="0.25">
      <c r="A6561" t="s">
        <v>42</v>
      </c>
      <c r="B6561" t="s">
        <v>39</v>
      </c>
      <c r="C6561" t="s">
        <v>36</v>
      </c>
      <c r="D6561" t="s">
        <v>31</v>
      </c>
      <c r="E6561" t="s">
        <v>21</v>
      </c>
      <c r="F6561" t="s">
        <v>20</v>
      </c>
      <c r="G6561" s="2">
        <f>VALUE(187.32)</f>
        <v>187.32</v>
      </c>
      <c r="H6561" s="3">
        <f>VALUE(185.03)</f>
        <v>185.03</v>
      </c>
      <c r="I6561" s="1">
        <f>VALUE(3882)</f>
        <v>3882</v>
      </c>
      <c r="J6561" s="1">
        <f>VALUE(4910)</f>
        <v>4910</v>
      </c>
      <c r="K6561" s="1">
        <f>VALUE(5469)</f>
        <v>5469</v>
      </c>
      <c r="L6561" s="1">
        <f>VALUE(6767)</f>
        <v>6767</v>
      </c>
      <c r="M6561" s="1">
        <f>VALUE(8667)</f>
        <v>8667</v>
      </c>
      <c r="N6561" t="s">
        <v>25</v>
      </c>
    </row>
    <row r="6562" spans="1:14" x14ac:dyDescent="0.25">
      <c r="A6562" t="s">
        <v>42</v>
      </c>
      <c r="B6562" t="s">
        <v>39</v>
      </c>
      <c r="C6562" t="s">
        <v>36</v>
      </c>
      <c r="D6562" t="s">
        <v>31</v>
      </c>
      <c r="E6562" t="s">
        <v>22</v>
      </c>
      <c r="F6562" t="s">
        <v>15</v>
      </c>
      <c r="G6562" s="2">
        <f>VALUE(571.2)</f>
        <v>571.20000000000005</v>
      </c>
      <c r="H6562" s="3">
        <f>VALUE(542.96)</f>
        <v>542.96</v>
      </c>
      <c r="I6562" s="4">
        <f>VALUE(3610)</f>
        <v>3610</v>
      </c>
      <c r="J6562" s="1">
        <f>VALUE(4280)</f>
        <v>4280</v>
      </c>
      <c r="K6562" s="1">
        <f>VALUE(4876)</f>
        <v>4876</v>
      </c>
      <c r="L6562" s="1">
        <f>VALUE(5417)</f>
        <v>5417</v>
      </c>
      <c r="M6562" s="1">
        <f>VALUE(6503)</f>
        <v>6503</v>
      </c>
      <c r="N6562" t="s">
        <v>25</v>
      </c>
    </row>
    <row r="6563" spans="1:14" x14ac:dyDescent="0.25">
      <c r="A6563" t="s">
        <v>42</v>
      </c>
      <c r="B6563" t="s">
        <v>39</v>
      </c>
      <c r="C6563" t="s">
        <v>36</v>
      </c>
      <c r="D6563" t="s">
        <v>31</v>
      </c>
      <c r="E6563" t="s">
        <v>22</v>
      </c>
      <c r="F6563" t="s">
        <v>17</v>
      </c>
      <c r="G6563" s="1" t="str">
        <f t="shared" ref="G6563:M6565" si="1433">"X"</f>
        <v>X</v>
      </c>
      <c r="H6563" s="1" t="str">
        <f t="shared" si="1433"/>
        <v>X</v>
      </c>
      <c r="I6563" s="1" t="str">
        <f t="shared" si="1433"/>
        <v>X</v>
      </c>
      <c r="J6563" s="1" t="str">
        <f t="shared" si="1433"/>
        <v>X</v>
      </c>
      <c r="K6563" s="1" t="str">
        <f t="shared" si="1433"/>
        <v>X</v>
      </c>
      <c r="L6563" s="1" t="str">
        <f t="shared" si="1433"/>
        <v>X</v>
      </c>
      <c r="M6563" s="1" t="str">
        <f t="shared" si="1433"/>
        <v>X</v>
      </c>
      <c r="N6563" t="s">
        <v>27</v>
      </c>
    </row>
    <row r="6564" spans="1:14" x14ac:dyDescent="0.25">
      <c r="A6564" t="s">
        <v>42</v>
      </c>
      <c r="B6564" t="s">
        <v>39</v>
      </c>
      <c r="C6564" t="s">
        <v>36</v>
      </c>
      <c r="D6564" t="s">
        <v>31</v>
      </c>
      <c r="E6564" t="s">
        <v>22</v>
      </c>
      <c r="F6564" t="s">
        <v>18</v>
      </c>
      <c r="G6564" s="1" t="str">
        <f t="shared" si="1433"/>
        <v>X</v>
      </c>
      <c r="H6564" s="1" t="str">
        <f t="shared" si="1433"/>
        <v>X</v>
      </c>
      <c r="I6564" s="1" t="str">
        <f t="shared" si="1433"/>
        <v>X</v>
      </c>
      <c r="J6564" s="1" t="str">
        <f t="shared" si="1433"/>
        <v>X</v>
      </c>
      <c r="K6564" s="1" t="str">
        <f t="shared" si="1433"/>
        <v>X</v>
      </c>
      <c r="L6564" s="1" t="str">
        <f t="shared" si="1433"/>
        <v>X</v>
      </c>
      <c r="M6564" s="1" t="str">
        <f t="shared" si="1433"/>
        <v>X</v>
      </c>
      <c r="N6564" t="s">
        <v>27</v>
      </c>
    </row>
    <row r="6565" spans="1:14" x14ac:dyDescent="0.25">
      <c r="A6565" t="s">
        <v>42</v>
      </c>
      <c r="B6565" t="s">
        <v>39</v>
      </c>
      <c r="C6565" t="s">
        <v>36</v>
      </c>
      <c r="D6565" t="s">
        <v>31</v>
      </c>
      <c r="E6565" t="s">
        <v>22</v>
      </c>
      <c r="F6565" t="s">
        <v>19</v>
      </c>
      <c r="G6565" s="1" t="str">
        <f t="shared" si="1433"/>
        <v>X</v>
      </c>
      <c r="H6565" s="1" t="str">
        <f t="shared" si="1433"/>
        <v>X</v>
      </c>
      <c r="I6565" s="1" t="str">
        <f t="shared" si="1433"/>
        <v>X</v>
      </c>
      <c r="J6565" s="1" t="str">
        <f t="shared" si="1433"/>
        <v>X</v>
      </c>
      <c r="K6565" s="1" t="str">
        <f t="shared" si="1433"/>
        <v>X</v>
      </c>
      <c r="L6565" s="1" t="str">
        <f t="shared" si="1433"/>
        <v>X</v>
      </c>
      <c r="M6565" s="1" t="str">
        <f t="shared" si="1433"/>
        <v>X</v>
      </c>
      <c r="N6565" t="s">
        <v>27</v>
      </c>
    </row>
    <row r="6566" spans="1:14" x14ac:dyDescent="0.25">
      <c r="A6566" t="s">
        <v>42</v>
      </c>
      <c r="B6566" t="s">
        <v>39</v>
      </c>
      <c r="C6566" t="s">
        <v>36</v>
      </c>
      <c r="D6566" t="s">
        <v>31</v>
      </c>
      <c r="E6566" t="s">
        <v>22</v>
      </c>
      <c r="F6566" t="s">
        <v>20</v>
      </c>
      <c r="G6566" s="2">
        <f>VALUE(458.1)</f>
        <v>458.1</v>
      </c>
      <c r="H6566" s="3">
        <f>VALUE(429.89)</f>
        <v>429.89</v>
      </c>
      <c r="I6566" s="4">
        <f>VALUE(3610)</f>
        <v>3610</v>
      </c>
      <c r="J6566" s="1">
        <f>VALUE(4280)</f>
        <v>4280</v>
      </c>
      <c r="K6566" s="1">
        <f>VALUE(4784)</f>
        <v>4784</v>
      </c>
      <c r="L6566" s="7">
        <f>VALUE(5194)</f>
        <v>5194</v>
      </c>
      <c r="M6566" s="1">
        <f>VALUE(5907)</f>
        <v>5907</v>
      </c>
      <c r="N6566" t="s">
        <v>25</v>
      </c>
    </row>
    <row r="6567" spans="1:14" x14ac:dyDescent="0.25">
      <c r="A6567" t="s">
        <v>42</v>
      </c>
      <c r="B6567" t="s">
        <v>39</v>
      </c>
      <c r="C6567" t="s">
        <v>36</v>
      </c>
      <c r="D6567" t="s">
        <v>31</v>
      </c>
      <c r="E6567" t="s">
        <v>23</v>
      </c>
      <c r="F6567" t="s">
        <v>15</v>
      </c>
      <c r="G6567" s="2">
        <f>VALUE(623.68)</f>
        <v>623.67999999999995</v>
      </c>
      <c r="H6567" s="3">
        <f>VALUE(620.69)</f>
        <v>620.69000000000005</v>
      </c>
      <c r="I6567" s="4">
        <f>VALUE(3311)</f>
        <v>3311</v>
      </c>
      <c r="J6567" s="1">
        <f>VALUE(3704)</f>
        <v>3704</v>
      </c>
      <c r="K6567" s="1">
        <f>VALUE(4276)</f>
        <v>4276</v>
      </c>
      <c r="L6567" s="1">
        <f>VALUE(5233)</f>
        <v>5233</v>
      </c>
      <c r="M6567" s="8">
        <f>VALUE(5902)</f>
        <v>5902</v>
      </c>
      <c r="N6567" t="s">
        <v>25</v>
      </c>
    </row>
    <row r="6568" spans="1:14" x14ac:dyDescent="0.25">
      <c r="A6568" t="s">
        <v>42</v>
      </c>
      <c r="B6568" t="s">
        <v>39</v>
      </c>
      <c r="C6568" t="s">
        <v>36</v>
      </c>
      <c r="D6568" t="s">
        <v>31</v>
      </c>
      <c r="E6568" t="s">
        <v>23</v>
      </c>
      <c r="F6568" t="s">
        <v>17</v>
      </c>
      <c r="G6568" s="1" t="str">
        <f t="shared" ref="G6568:M6570" si="1434">"X"</f>
        <v>X</v>
      </c>
      <c r="H6568" s="1" t="str">
        <f t="shared" si="1434"/>
        <v>X</v>
      </c>
      <c r="I6568" s="1" t="str">
        <f t="shared" si="1434"/>
        <v>X</v>
      </c>
      <c r="J6568" s="1" t="str">
        <f t="shared" si="1434"/>
        <v>X</v>
      </c>
      <c r="K6568" s="1" t="str">
        <f t="shared" si="1434"/>
        <v>X</v>
      </c>
      <c r="L6568" s="1" t="str">
        <f t="shared" si="1434"/>
        <v>X</v>
      </c>
      <c r="M6568" s="1" t="str">
        <f t="shared" si="1434"/>
        <v>X</v>
      </c>
      <c r="N6568" t="s">
        <v>27</v>
      </c>
    </row>
    <row r="6569" spans="1:14" x14ac:dyDescent="0.25">
      <c r="A6569" t="s">
        <v>42</v>
      </c>
      <c r="B6569" t="s">
        <v>39</v>
      </c>
      <c r="C6569" t="s">
        <v>36</v>
      </c>
      <c r="D6569" t="s">
        <v>31</v>
      </c>
      <c r="E6569" t="s">
        <v>23</v>
      </c>
      <c r="F6569" t="s">
        <v>18</v>
      </c>
      <c r="G6569" s="1" t="str">
        <f t="shared" si="1434"/>
        <v>X</v>
      </c>
      <c r="H6569" s="1" t="str">
        <f t="shared" si="1434"/>
        <v>X</v>
      </c>
      <c r="I6569" s="1" t="str">
        <f t="shared" si="1434"/>
        <v>X</v>
      </c>
      <c r="J6569" s="1" t="str">
        <f t="shared" si="1434"/>
        <v>X</v>
      </c>
      <c r="K6569" s="1" t="str">
        <f t="shared" si="1434"/>
        <v>X</v>
      </c>
      <c r="L6569" s="1" t="str">
        <f t="shared" si="1434"/>
        <v>X</v>
      </c>
      <c r="M6569" s="1" t="str">
        <f t="shared" si="1434"/>
        <v>X</v>
      </c>
      <c r="N6569" t="s">
        <v>27</v>
      </c>
    </row>
    <row r="6570" spans="1:14" x14ac:dyDescent="0.25">
      <c r="A6570" t="s">
        <v>42</v>
      </c>
      <c r="B6570" t="s">
        <v>39</v>
      </c>
      <c r="C6570" t="s">
        <v>36</v>
      </c>
      <c r="D6570" t="s">
        <v>31</v>
      </c>
      <c r="E6570" t="s">
        <v>23</v>
      </c>
      <c r="F6570" t="s">
        <v>19</v>
      </c>
      <c r="G6570" s="1" t="str">
        <f t="shared" si="1434"/>
        <v>X</v>
      </c>
      <c r="H6570" s="1" t="str">
        <f t="shared" si="1434"/>
        <v>X</v>
      </c>
      <c r="I6570" s="1" t="str">
        <f t="shared" si="1434"/>
        <v>X</v>
      </c>
      <c r="J6570" s="1" t="str">
        <f t="shared" si="1434"/>
        <v>X</v>
      </c>
      <c r="K6570" s="1" t="str">
        <f t="shared" si="1434"/>
        <v>X</v>
      </c>
      <c r="L6570" s="1" t="str">
        <f t="shared" si="1434"/>
        <v>X</v>
      </c>
      <c r="M6570" s="1" t="str">
        <f t="shared" si="1434"/>
        <v>X</v>
      </c>
      <c r="N6570" t="s">
        <v>27</v>
      </c>
    </row>
    <row r="6571" spans="1:14" x14ac:dyDescent="0.25">
      <c r="A6571" t="s">
        <v>42</v>
      </c>
      <c r="B6571" t="s">
        <v>39</v>
      </c>
      <c r="C6571" t="s">
        <v>36</v>
      </c>
      <c r="D6571" t="s">
        <v>31</v>
      </c>
      <c r="E6571" t="s">
        <v>23</v>
      </c>
      <c r="F6571" t="s">
        <v>20</v>
      </c>
      <c r="G6571" s="2">
        <f>VALUE(540.8)</f>
        <v>540.79999999999995</v>
      </c>
      <c r="H6571" s="3">
        <f>VALUE(546.82)</f>
        <v>546.82000000000005</v>
      </c>
      <c r="I6571" s="1">
        <f>VALUE(3403)</f>
        <v>3403</v>
      </c>
      <c r="J6571" s="1">
        <f>VALUE(3774)</f>
        <v>3774</v>
      </c>
      <c r="K6571" s="1">
        <f>VALUE(4276)</f>
        <v>4276</v>
      </c>
      <c r="L6571" s="1">
        <f>VALUE(5167)</f>
        <v>5167</v>
      </c>
      <c r="M6571" s="8">
        <f>VALUE(5842)</f>
        <v>5842</v>
      </c>
      <c r="N6571" t="s">
        <v>25</v>
      </c>
    </row>
    <row r="6572" spans="1:14" x14ac:dyDescent="0.25">
      <c r="A6572" t="s">
        <v>42</v>
      </c>
      <c r="B6572" t="s">
        <v>39</v>
      </c>
      <c r="C6572" t="s">
        <v>36</v>
      </c>
      <c r="D6572" t="s">
        <v>31</v>
      </c>
      <c r="E6572" t="s">
        <v>26</v>
      </c>
      <c r="F6572" t="s">
        <v>15</v>
      </c>
      <c r="G6572" s="1" t="str">
        <f t="shared" ref="G6572:M6572" si="1435">"X"</f>
        <v>X</v>
      </c>
      <c r="H6572" s="1" t="str">
        <f t="shared" si="1435"/>
        <v>X</v>
      </c>
      <c r="I6572" s="1" t="str">
        <f t="shared" si="1435"/>
        <v>X</v>
      </c>
      <c r="J6572" s="1" t="str">
        <f t="shared" si="1435"/>
        <v>X</v>
      </c>
      <c r="K6572" s="1" t="str">
        <f t="shared" si="1435"/>
        <v>X</v>
      </c>
      <c r="L6572" s="1" t="str">
        <f t="shared" si="1435"/>
        <v>X</v>
      </c>
      <c r="M6572" s="1" t="str">
        <f t="shared" si="1435"/>
        <v>X</v>
      </c>
      <c r="N6572" t="s">
        <v>27</v>
      </c>
    </row>
    <row r="6573" spans="1:14" x14ac:dyDescent="0.25">
      <c r="A6573" t="s">
        <v>42</v>
      </c>
      <c r="B6573" t="s">
        <v>39</v>
      </c>
      <c r="C6573" t="s">
        <v>36</v>
      </c>
      <c r="D6573" t="s">
        <v>31</v>
      </c>
      <c r="E6573" t="s">
        <v>26</v>
      </c>
      <c r="F6573" t="s">
        <v>17</v>
      </c>
      <c r="G6573" s="1" t="str">
        <f t="shared" ref="G6573:M6573" si="1436">"..."</f>
        <v>...</v>
      </c>
      <c r="H6573" s="1" t="str">
        <f t="shared" si="1436"/>
        <v>...</v>
      </c>
      <c r="I6573" s="1" t="str">
        <f t="shared" si="1436"/>
        <v>...</v>
      </c>
      <c r="J6573" s="1" t="str">
        <f t="shared" si="1436"/>
        <v>...</v>
      </c>
      <c r="K6573" s="1" t="str">
        <f t="shared" si="1436"/>
        <v>...</v>
      </c>
      <c r="L6573" s="1" t="str">
        <f t="shared" si="1436"/>
        <v>...</v>
      </c>
      <c r="M6573" s="1" t="str">
        <f t="shared" si="1436"/>
        <v>...</v>
      </c>
      <c r="N6573" t="s">
        <v>30</v>
      </c>
    </row>
    <row r="6574" spans="1:14" x14ac:dyDescent="0.25">
      <c r="A6574" t="s">
        <v>42</v>
      </c>
      <c r="B6574" t="s">
        <v>39</v>
      </c>
      <c r="C6574" t="s">
        <v>36</v>
      </c>
      <c r="D6574" t="s">
        <v>31</v>
      </c>
      <c r="E6574" t="s">
        <v>26</v>
      </c>
      <c r="F6574" t="s">
        <v>18</v>
      </c>
      <c r="G6574" s="1" t="str">
        <f t="shared" ref="G6574:M6574" si="1437">"X"</f>
        <v>X</v>
      </c>
      <c r="H6574" s="1" t="str">
        <f t="shared" si="1437"/>
        <v>X</v>
      </c>
      <c r="I6574" s="1" t="str">
        <f t="shared" si="1437"/>
        <v>X</v>
      </c>
      <c r="J6574" s="1" t="str">
        <f t="shared" si="1437"/>
        <v>X</v>
      </c>
      <c r="K6574" s="1" t="str">
        <f t="shared" si="1437"/>
        <v>X</v>
      </c>
      <c r="L6574" s="1" t="str">
        <f t="shared" si="1437"/>
        <v>X</v>
      </c>
      <c r="M6574" s="1" t="str">
        <f t="shared" si="1437"/>
        <v>X</v>
      </c>
      <c r="N6574" t="s">
        <v>27</v>
      </c>
    </row>
    <row r="6575" spans="1:14" x14ac:dyDescent="0.25">
      <c r="A6575" t="s">
        <v>42</v>
      </c>
      <c r="B6575" t="s">
        <v>39</v>
      </c>
      <c r="C6575" t="s">
        <v>36</v>
      </c>
      <c r="D6575" t="s">
        <v>31</v>
      </c>
      <c r="E6575" t="s">
        <v>26</v>
      </c>
      <c r="F6575" t="s">
        <v>19</v>
      </c>
      <c r="G6575" s="1" t="str">
        <f t="shared" ref="G6575:M6575" si="1438">"..."</f>
        <v>...</v>
      </c>
      <c r="H6575" s="1" t="str">
        <f t="shared" si="1438"/>
        <v>...</v>
      </c>
      <c r="I6575" s="1" t="str">
        <f t="shared" si="1438"/>
        <v>...</v>
      </c>
      <c r="J6575" s="1" t="str">
        <f t="shared" si="1438"/>
        <v>...</v>
      </c>
      <c r="K6575" s="1" t="str">
        <f t="shared" si="1438"/>
        <v>...</v>
      </c>
      <c r="L6575" s="1" t="str">
        <f t="shared" si="1438"/>
        <v>...</v>
      </c>
      <c r="M6575" s="1" t="str">
        <f t="shared" si="1438"/>
        <v>...</v>
      </c>
      <c r="N6575" t="s">
        <v>30</v>
      </c>
    </row>
    <row r="6576" spans="1:14" x14ac:dyDescent="0.25">
      <c r="A6576" t="s">
        <v>42</v>
      </c>
      <c r="B6576" t="s">
        <v>39</v>
      </c>
      <c r="C6576" t="s">
        <v>36</v>
      </c>
      <c r="D6576" t="s">
        <v>31</v>
      </c>
      <c r="E6576" t="s">
        <v>26</v>
      </c>
      <c r="F6576" t="s">
        <v>20</v>
      </c>
      <c r="G6576" s="1" t="str">
        <f t="shared" ref="G6576:M6576" si="1439">"X"</f>
        <v>X</v>
      </c>
      <c r="H6576" s="1" t="str">
        <f t="shared" si="1439"/>
        <v>X</v>
      </c>
      <c r="I6576" s="1" t="str">
        <f t="shared" si="1439"/>
        <v>X</v>
      </c>
      <c r="J6576" s="1" t="str">
        <f t="shared" si="1439"/>
        <v>X</v>
      </c>
      <c r="K6576" s="1" t="str">
        <f t="shared" si="1439"/>
        <v>X</v>
      </c>
      <c r="L6576" s="1" t="str">
        <f t="shared" si="1439"/>
        <v>X</v>
      </c>
      <c r="M6576" s="1" t="str">
        <f t="shared" si="1439"/>
        <v>X</v>
      </c>
      <c r="N6576" t="s">
        <v>27</v>
      </c>
    </row>
    <row r="6577" spans="1:14" x14ac:dyDescent="0.25">
      <c r="A6577" t="s">
        <v>42</v>
      </c>
      <c r="B6577" t="s">
        <v>39</v>
      </c>
      <c r="C6577" t="s">
        <v>36</v>
      </c>
      <c r="D6577" t="s">
        <v>32</v>
      </c>
      <c r="E6577" t="s">
        <v>15</v>
      </c>
      <c r="F6577" t="s">
        <v>15</v>
      </c>
      <c r="G6577" s="1">
        <f>VALUE(6317.12)</f>
        <v>6317.12</v>
      </c>
      <c r="H6577" s="1">
        <f>VALUE(6391.25)</f>
        <v>6391.25</v>
      </c>
      <c r="I6577" s="1">
        <f>VALUE(3089)</f>
        <v>3089</v>
      </c>
      <c r="J6577" s="1">
        <f>VALUE(3628)</f>
        <v>3628</v>
      </c>
      <c r="K6577" s="1">
        <f>VALUE(4349)</f>
        <v>4349</v>
      </c>
      <c r="L6577" s="1">
        <f>VALUE(5159)</f>
        <v>5159</v>
      </c>
      <c r="M6577" s="1">
        <f>VALUE(6168)</f>
        <v>6168</v>
      </c>
      <c r="N6577" t="s">
        <v>16</v>
      </c>
    </row>
    <row r="6578" spans="1:14" x14ac:dyDescent="0.25">
      <c r="A6578" t="s">
        <v>42</v>
      </c>
      <c r="B6578" t="s">
        <v>39</v>
      </c>
      <c r="C6578" t="s">
        <v>36</v>
      </c>
      <c r="D6578" t="s">
        <v>32</v>
      </c>
      <c r="E6578" t="s">
        <v>15</v>
      </c>
      <c r="F6578" t="s">
        <v>17</v>
      </c>
      <c r="G6578" s="2">
        <f>VALUE(265.94)</f>
        <v>265.94</v>
      </c>
      <c r="H6578" s="3">
        <f>VALUE(275.89)</f>
        <v>275.89</v>
      </c>
      <c r="I6578" s="1">
        <f>VALUE(2876)</f>
        <v>2876</v>
      </c>
      <c r="J6578" s="5">
        <f>VALUE(3664)</f>
        <v>3664</v>
      </c>
      <c r="K6578" s="6">
        <f>VALUE(5407)</f>
        <v>5407</v>
      </c>
      <c r="L6578" s="1">
        <f>VALUE(6283)</f>
        <v>6283</v>
      </c>
      <c r="M6578" s="8">
        <f>VALUE(6904)</f>
        <v>6904</v>
      </c>
      <c r="N6578" t="s">
        <v>25</v>
      </c>
    </row>
    <row r="6579" spans="1:14" x14ac:dyDescent="0.25">
      <c r="A6579" t="s">
        <v>42</v>
      </c>
      <c r="B6579" t="s">
        <v>39</v>
      </c>
      <c r="C6579" t="s">
        <v>36</v>
      </c>
      <c r="D6579" t="s">
        <v>32</v>
      </c>
      <c r="E6579" t="s">
        <v>15</v>
      </c>
      <c r="F6579" t="s">
        <v>18</v>
      </c>
      <c r="G6579" s="2">
        <f>VALUE(439.98)</f>
        <v>439.98</v>
      </c>
      <c r="H6579" s="3">
        <f>VALUE(435.85)</f>
        <v>435.85</v>
      </c>
      <c r="I6579" s="4">
        <f>VALUE(2697)</f>
        <v>2697</v>
      </c>
      <c r="J6579" s="5">
        <f>VALUE(3545)</f>
        <v>3545</v>
      </c>
      <c r="K6579" s="1">
        <f>VALUE(4580)</f>
        <v>4580</v>
      </c>
      <c r="L6579" s="7">
        <f>VALUE(6000)</f>
        <v>6000</v>
      </c>
      <c r="M6579" s="8">
        <f>VALUE(7016)</f>
        <v>7016</v>
      </c>
      <c r="N6579" t="s">
        <v>25</v>
      </c>
    </row>
    <row r="6580" spans="1:14" x14ac:dyDescent="0.25">
      <c r="A6580" t="s">
        <v>42</v>
      </c>
      <c r="B6580" t="s">
        <v>39</v>
      </c>
      <c r="C6580" t="s">
        <v>36</v>
      </c>
      <c r="D6580" t="s">
        <v>32</v>
      </c>
      <c r="E6580" t="s">
        <v>15</v>
      </c>
      <c r="F6580" t="s">
        <v>19</v>
      </c>
      <c r="G6580" s="2">
        <f>VALUE(923.35)</f>
        <v>923.35</v>
      </c>
      <c r="H6580" s="3">
        <f>VALUE(949.63)</f>
        <v>949.63</v>
      </c>
      <c r="I6580" s="1">
        <f>VALUE(3249)</f>
        <v>3249</v>
      </c>
      <c r="J6580" s="1">
        <f>VALUE(3891)</f>
        <v>3891</v>
      </c>
      <c r="K6580" s="1">
        <f>VALUE(4574)</f>
        <v>4574</v>
      </c>
      <c r="L6580" s="7">
        <f>VALUE(5583)</f>
        <v>5583</v>
      </c>
      <c r="M6580" s="1">
        <f>VALUE(6604)</f>
        <v>6604</v>
      </c>
      <c r="N6580" t="s">
        <v>25</v>
      </c>
    </row>
    <row r="6581" spans="1:14" x14ac:dyDescent="0.25">
      <c r="A6581" t="s">
        <v>42</v>
      </c>
      <c r="B6581" t="s">
        <v>39</v>
      </c>
      <c r="C6581" t="s">
        <v>36</v>
      </c>
      <c r="D6581" t="s">
        <v>32</v>
      </c>
      <c r="E6581" t="s">
        <v>15</v>
      </c>
      <c r="F6581" t="s">
        <v>20</v>
      </c>
      <c r="G6581" s="1">
        <f>VALUE(4687.85)</f>
        <v>4687.8500000000004</v>
      </c>
      <c r="H6581" s="1">
        <f>VALUE(4729.88)</f>
        <v>4729.88</v>
      </c>
      <c r="I6581" s="1">
        <f>VALUE(3080)</f>
        <v>3080</v>
      </c>
      <c r="J6581" s="1">
        <f>VALUE(3576)</f>
        <v>3576</v>
      </c>
      <c r="K6581" s="1">
        <f>VALUE(4244)</f>
        <v>4244</v>
      </c>
      <c r="L6581" s="1">
        <f>VALUE(4962)</f>
        <v>4962</v>
      </c>
      <c r="M6581" s="1">
        <f>VALUE(5766)</f>
        <v>5766</v>
      </c>
      <c r="N6581" t="s">
        <v>16</v>
      </c>
    </row>
    <row r="6582" spans="1:14" x14ac:dyDescent="0.25">
      <c r="A6582" t="s">
        <v>42</v>
      </c>
      <c r="B6582" t="s">
        <v>39</v>
      </c>
      <c r="C6582" t="s">
        <v>36</v>
      </c>
      <c r="D6582" t="s">
        <v>32</v>
      </c>
      <c r="E6582" t="s">
        <v>21</v>
      </c>
      <c r="F6582" t="s">
        <v>15</v>
      </c>
      <c r="G6582" s="2">
        <f>VALUE(1370.78)</f>
        <v>1370.78</v>
      </c>
      <c r="H6582" s="3">
        <f>VALUE(1341.56)</f>
        <v>1341.56</v>
      </c>
      <c r="I6582" s="1">
        <f>VALUE(3095)</f>
        <v>3095</v>
      </c>
      <c r="J6582" s="1">
        <f>VALUE(3875)</f>
        <v>3875</v>
      </c>
      <c r="K6582" s="1">
        <f>VALUE(4683)</f>
        <v>4683</v>
      </c>
      <c r="L6582" s="1">
        <f>VALUE(6028)</f>
        <v>6028</v>
      </c>
      <c r="M6582" s="1">
        <f>VALUE(6947)</f>
        <v>6947</v>
      </c>
      <c r="N6582" t="s">
        <v>25</v>
      </c>
    </row>
    <row r="6583" spans="1:14" x14ac:dyDescent="0.25">
      <c r="A6583" t="s">
        <v>42</v>
      </c>
      <c r="B6583" t="s">
        <v>39</v>
      </c>
      <c r="C6583" t="s">
        <v>36</v>
      </c>
      <c r="D6583" t="s">
        <v>32</v>
      </c>
      <c r="E6583" t="s">
        <v>21</v>
      </c>
      <c r="F6583" t="s">
        <v>17</v>
      </c>
      <c r="G6583" s="1" t="str">
        <f t="shared" ref="G6583:M6584" si="1440">"X"</f>
        <v>X</v>
      </c>
      <c r="H6583" s="1" t="str">
        <f t="shared" si="1440"/>
        <v>X</v>
      </c>
      <c r="I6583" s="1" t="str">
        <f t="shared" si="1440"/>
        <v>X</v>
      </c>
      <c r="J6583" s="1" t="str">
        <f t="shared" si="1440"/>
        <v>X</v>
      </c>
      <c r="K6583" s="1" t="str">
        <f t="shared" si="1440"/>
        <v>X</v>
      </c>
      <c r="L6583" s="1" t="str">
        <f t="shared" si="1440"/>
        <v>X</v>
      </c>
      <c r="M6583" s="1" t="str">
        <f t="shared" si="1440"/>
        <v>X</v>
      </c>
      <c r="N6583" t="s">
        <v>27</v>
      </c>
    </row>
    <row r="6584" spans="1:14" x14ac:dyDescent="0.25">
      <c r="A6584" t="s">
        <v>42</v>
      </c>
      <c r="B6584" t="s">
        <v>39</v>
      </c>
      <c r="C6584" t="s">
        <v>36</v>
      </c>
      <c r="D6584" t="s">
        <v>32</v>
      </c>
      <c r="E6584" t="s">
        <v>21</v>
      </c>
      <c r="F6584" t="s">
        <v>18</v>
      </c>
      <c r="G6584" s="1" t="str">
        <f t="shared" si="1440"/>
        <v>X</v>
      </c>
      <c r="H6584" s="1" t="str">
        <f t="shared" si="1440"/>
        <v>X</v>
      </c>
      <c r="I6584" s="1" t="str">
        <f t="shared" si="1440"/>
        <v>X</v>
      </c>
      <c r="J6584" s="1" t="str">
        <f t="shared" si="1440"/>
        <v>X</v>
      </c>
      <c r="K6584" s="1" t="str">
        <f t="shared" si="1440"/>
        <v>X</v>
      </c>
      <c r="L6584" s="1" t="str">
        <f t="shared" si="1440"/>
        <v>X</v>
      </c>
      <c r="M6584" s="1" t="str">
        <f t="shared" si="1440"/>
        <v>X</v>
      </c>
      <c r="N6584" t="s">
        <v>27</v>
      </c>
    </row>
    <row r="6585" spans="1:14" x14ac:dyDescent="0.25">
      <c r="A6585" t="s">
        <v>42</v>
      </c>
      <c r="B6585" t="s">
        <v>39</v>
      </c>
      <c r="C6585" t="s">
        <v>36</v>
      </c>
      <c r="D6585" t="s">
        <v>32</v>
      </c>
      <c r="E6585" t="s">
        <v>21</v>
      </c>
      <c r="F6585" t="s">
        <v>19</v>
      </c>
      <c r="G6585" s="2">
        <f>VALUE(356.51)</f>
        <v>356.51</v>
      </c>
      <c r="H6585" s="3">
        <f>VALUE(362.84)</f>
        <v>362.84</v>
      </c>
      <c r="I6585" s="4">
        <f>VALUE(3095)</f>
        <v>3095</v>
      </c>
      <c r="J6585" s="5">
        <f>VALUE(3900)</f>
        <v>3900</v>
      </c>
      <c r="K6585" s="6">
        <f>VALUE(4404)</f>
        <v>4404</v>
      </c>
      <c r="L6585" s="7">
        <f>VALUE(5945)</f>
        <v>5945</v>
      </c>
      <c r="M6585" s="1">
        <f>VALUE(6947)</f>
        <v>6947</v>
      </c>
      <c r="N6585" t="s">
        <v>25</v>
      </c>
    </row>
    <row r="6586" spans="1:14" x14ac:dyDescent="0.25">
      <c r="A6586" t="s">
        <v>42</v>
      </c>
      <c r="B6586" t="s">
        <v>39</v>
      </c>
      <c r="C6586" t="s">
        <v>36</v>
      </c>
      <c r="D6586" t="s">
        <v>32</v>
      </c>
      <c r="E6586" t="s">
        <v>21</v>
      </c>
      <c r="F6586" t="s">
        <v>20</v>
      </c>
      <c r="G6586" s="2">
        <f>VALUE(683.84)</f>
        <v>683.84</v>
      </c>
      <c r="H6586" s="3">
        <f>VALUE(649.96)</f>
        <v>649.96</v>
      </c>
      <c r="I6586" s="4">
        <f>VALUE(2968)</f>
        <v>2968</v>
      </c>
      <c r="J6586" s="1">
        <f>VALUE(3640)</f>
        <v>3640</v>
      </c>
      <c r="K6586" s="1">
        <f>VALUE(4370)</f>
        <v>4370</v>
      </c>
      <c r="L6586" s="1">
        <f>VALUE(5612)</f>
        <v>5612</v>
      </c>
      <c r="M6586" s="8">
        <f>VALUE(6397)</f>
        <v>6397</v>
      </c>
      <c r="N6586" t="s">
        <v>25</v>
      </c>
    </row>
    <row r="6587" spans="1:14" x14ac:dyDescent="0.25">
      <c r="A6587" t="s">
        <v>42</v>
      </c>
      <c r="B6587" t="s">
        <v>39</v>
      </c>
      <c r="C6587" t="s">
        <v>36</v>
      </c>
      <c r="D6587" t="s">
        <v>32</v>
      </c>
      <c r="E6587" t="s">
        <v>22</v>
      </c>
      <c r="F6587" t="s">
        <v>15</v>
      </c>
      <c r="G6587" s="1">
        <f>VALUE(2273.12)</f>
        <v>2273.12</v>
      </c>
      <c r="H6587" s="1">
        <f>VALUE(2329.11)</f>
        <v>2329.11</v>
      </c>
      <c r="I6587" s="1">
        <f>VALUE(3165)</f>
        <v>3165</v>
      </c>
      <c r="J6587" s="1">
        <f>VALUE(3819)</f>
        <v>3819</v>
      </c>
      <c r="K6587" s="1">
        <f>VALUE(4560)</f>
        <v>4560</v>
      </c>
      <c r="L6587" s="1">
        <f>VALUE(5200)</f>
        <v>5200</v>
      </c>
      <c r="M6587" s="1">
        <f>VALUE(6012)</f>
        <v>6012</v>
      </c>
      <c r="N6587" t="s">
        <v>16</v>
      </c>
    </row>
    <row r="6588" spans="1:14" x14ac:dyDescent="0.25">
      <c r="A6588" t="s">
        <v>42</v>
      </c>
      <c r="B6588" t="s">
        <v>39</v>
      </c>
      <c r="C6588" t="s">
        <v>36</v>
      </c>
      <c r="D6588" t="s">
        <v>32</v>
      </c>
      <c r="E6588" t="s">
        <v>22</v>
      </c>
      <c r="F6588" t="s">
        <v>17</v>
      </c>
      <c r="G6588" s="1" t="str">
        <f t="shared" ref="G6588:M6589" si="1441">"X"</f>
        <v>X</v>
      </c>
      <c r="H6588" s="1" t="str">
        <f t="shared" si="1441"/>
        <v>X</v>
      </c>
      <c r="I6588" s="1" t="str">
        <f t="shared" si="1441"/>
        <v>X</v>
      </c>
      <c r="J6588" s="1" t="str">
        <f t="shared" si="1441"/>
        <v>X</v>
      </c>
      <c r="K6588" s="1" t="str">
        <f t="shared" si="1441"/>
        <v>X</v>
      </c>
      <c r="L6588" s="1" t="str">
        <f t="shared" si="1441"/>
        <v>X</v>
      </c>
      <c r="M6588" s="1" t="str">
        <f t="shared" si="1441"/>
        <v>X</v>
      </c>
      <c r="N6588" t="s">
        <v>27</v>
      </c>
    </row>
    <row r="6589" spans="1:14" x14ac:dyDescent="0.25">
      <c r="A6589" t="s">
        <v>42</v>
      </c>
      <c r="B6589" t="s">
        <v>39</v>
      </c>
      <c r="C6589" t="s">
        <v>36</v>
      </c>
      <c r="D6589" t="s">
        <v>32</v>
      </c>
      <c r="E6589" t="s">
        <v>22</v>
      </c>
      <c r="F6589" t="s">
        <v>18</v>
      </c>
      <c r="G6589" s="1" t="str">
        <f t="shared" si="1441"/>
        <v>X</v>
      </c>
      <c r="H6589" s="1" t="str">
        <f t="shared" si="1441"/>
        <v>X</v>
      </c>
      <c r="I6589" s="1" t="str">
        <f t="shared" si="1441"/>
        <v>X</v>
      </c>
      <c r="J6589" s="1" t="str">
        <f t="shared" si="1441"/>
        <v>X</v>
      </c>
      <c r="K6589" s="1" t="str">
        <f t="shared" si="1441"/>
        <v>X</v>
      </c>
      <c r="L6589" s="1" t="str">
        <f t="shared" si="1441"/>
        <v>X</v>
      </c>
      <c r="M6589" s="1" t="str">
        <f t="shared" si="1441"/>
        <v>X</v>
      </c>
      <c r="N6589" t="s">
        <v>27</v>
      </c>
    </row>
    <row r="6590" spans="1:14" x14ac:dyDescent="0.25">
      <c r="A6590" t="s">
        <v>42</v>
      </c>
      <c r="B6590" t="s">
        <v>39</v>
      </c>
      <c r="C6590" t="s">
        <v>36</v>
      </c>
      <c r="D6590" t="s">
        <v>32</v>
      </c>
      <c r="E6590" t="s">
        <v>22</v>
      </c>
      <c r="F6590" t="s">
        <v>19</v>
      </c>
      <c r="G6590" s="2">
        <f>VALUE(379.13)</f>
        <v>379.13</v>
      </c>
      <c r="H6590" s="3">
        <f>VALUE(393.66)</f>
        <v>393.66</v>
      </c>
      <c r="I6590" s="1">
        <f>VALUE(3646)</f>
        <v>3646</v>
      </c>
      <c r="J6590" s="1">
        <f>VALUE(4107)</f>
        <v>4107</v>
      </c>
      <c r="K6590" s="1">
        <f>VALUE(4702)</f>
        <v>4702</v>
      </c>
      <c r="L6590" s="7">
        <f>VALUE(5528)</f>
        <v>5528</v>
      </c>
      <c r="M6590" s="1">
        <f>VALUE(6758)</f>
        <v>6758</v>
      </c>
      <c r="N6590" t="s">
        <v>25</v>
      </c>
    </row>
    <row r="6591" spans="1:14" x14ac:dyDescent="0.25">
      <c r="A6591" t="s">
        <v>42</v>
      </c>
      <c r="B6591" t="s">
        <v>39</v>
      </c>
      <c r="C6591" t="s">
        <v>36</v>
      </c>
      <c r="D6591" t="s">
        <v>32</v>
      </c>
      <c r="E6591" t="s">
        <v>22</v>
      </c>
      <c r="F6591" t="s">
        <v>20</v>
      </c>
      <c r="G6591" s="2">
        <f>VALUE(1684)</f>
        <v>1684</v>
      </c>
      <c r="H6591" s="3">
        <f>VALUE(1731.27)</f>
        <v>1731.27</v>
      </c>
      <c r="I6591" s="1">
        <f>VALUE(3144)</f>
        <v>3144</v>
      </c>
      <c r="J6591" s="1">
        <f>VALUE(3725)</f>
        <v>3725</v>
      </c>
      <c r="K6591" s="1">
        <f>VALUE(4475)</f>
        <v>4475</v>
      </c>
      <c r="L6591" s="1">
        <f>VALUE(5125)</f>
        <v>5125</v>
      </c>
      <c r="M6591" s="1">
        <f>VALUE(5725)</f>
        <v>5725</v>
      </c>
      <c r="N6591" t="s">
        <v>25</v>
      </c>
    </row>
    <row r="6592" spans="1:14" x14ac:dyDescent="0.25">
      <c r="A6592" t="s">
        <v>42</v>
      </c>
      <c r="B6592" t="s">
        <v>39</v>
      </c>
      <c r="C6592" t="s">
        <v>36</v>
      </c>
      <c r="D6592" t="s">
        <v>32</v>
      </c>
      <c r="E6592" t="s">
        <v>23</v>
      </c>
      <c r="F6592" t="s">
        <v>15</v>
      </c>
      <c r="G6592" s="1">
        <f>VALUE(2306.64)</f>
        <v>2306.64</v>
      </c>
      <c r="H6592" s="1">
        <f>VALUE(2361.44)</f>
        <v>2361.44</v>
      </c>
      <c r="I6592" s="1">
        <f>VALUE(3012)</f>
        <v>3012</v>
      </c>
      <c r="J6592" s="1">
        <f>VALUE(3453)</f>
        <v>3453</v>
      </c>
      <c r="K6592" s="1">
        <f>VALUE(4020)</f>
        <v>4020</v>
      </c>
      <c r="L6592" s="1">
        <f>VALUE(4741)</f>
        <v>4741</v>
      </c>
      <c r="M6592" s="1">
        <f>VALUE(5559)</f>
        <v>5559</v>
      </c>
      <c r="N6592" t="s">
        <v>16</v>
      </c>
    </row>
    <row r="6593" spans="1:14" x14ac:dyDescent="0.25">
      <c r="A6593" t="s">
        <v>42</v>
      </c>
      <c r="B6593" t="s">
        <v>39</v>
      </c>
      <c r="C6593" t="s">
        <v>36</v>
      </c>
      <c r="D6593" t="s">
        <v>32</v>
      </c>
      <c r="E6593" t="s">
        <v>23</v>
      </c>
      <c r="F6593" t="s">
        <v>17</v>
      </c>
      <c r="G6593" s="1" t="str">
        <f t="shared" ref="G6593:M6595" si="1442">"X"</f>
        <v>X</v>
      </c>
      <c r="H6593" s="1" t="str">
        <f t="shared" si="1442"/>
        <v>X</v>
      </c>
      <c r="I6593" s="1" t="str">
        <f t="shared" si="1442"/>
        <v>X</v>
      </c>
      <c r="J6593" s="1" t="str">
        <f t="shared" si="1442"/>
        <v>X</v>
      </c>
      <c r="K6593" s="1" t="str">
        <f t="shared" si="1442"/>
        <v>X</v>
      </c>
      <c r="L6593" s="1" t="str">
        <f t="shared" si="1442"/>
        <v>X</v>
      </c>
      <c r="M6593" s="1" t="str">
        <f t="shared" si="1442"/>
        <v>X</v>
      </c>
      <c r="N6593" t="s">
        <v>27</v>
      </c>
    </row>
    <row r="6594" spans="1:14" x14ac:dyDescent="0.25">
      <c r="A6594" t="s">
        <v>42</v>
      </c>
      <c r="B6594" t="s">
        <v>39</v>
      </c>
      <c r="C6594" t="s">
        <v>36</v>
      </c>
      <c r="D6594" t="s">
        <v>32</v>
      </c>
      <c r="E6594" t="s">
        <v>23</v>
      </c>
      <c r="F6594" t="s">
        <v>18</v>
      </c>
      <c r="G6594" s="1" t="str">
        <f t="shared" si="1442"/>
        <v>X</v>
      </c>
      <c r="H6594" s="1" t="str">
        <f t="shared" si="1442"/>
        <v>X</v>
      </c>
      <c r="I6594" s="1" t="str">
        <f t="shared" si="1442"/>
        <v>X</v>
      </c>
      <c r="J6594" s="1" t="str">
        <f t="shared" si="1442"/>
        <v>X</v>
      </c>
      <c r="K6594" s="1" t="str">
        <f t="shared" si="1442"/>
        <v>X</v>
      </c>
      <c r="L6594" s="1" t="str">
        <f t="shared" si="1442"/>
        <v>X</v>
      </c>
      <c r="M6594" s="1" t="str">
        <f t="shared" si="1442"/>
        <v>X</v>
      </c>
      <c r="N6594" t="s">
        <v>27</v>
      </c>
    </row>
    <row r="6595" spans="1:14" x14ac:dyDescent="0.25">
      <c r="A6595" t="s">
        <v>42</v>
      </c>
      <c r="B6595" t="s">
        <v>39</v>
      </c>
      <c r="C6595" t="s">
        <v>36</v>
      </c>
      <c r="D6595" t="s">
        <v>32</v>
      </c>
      <c r="E6595" t="s">
        <v>23</v>
      </c>
      <c r="F6595" t="s">
        <v>19</v>
      </c>
      <c r="G6595" s="1" t="str">
        <f t="shared" si="1442"/>
        <v>X</v>
      </c>
      <c r="H6595" s="1" t="str">
        <f t="shared" si="1442"/>
        <v>X</v>
      </c>
      <c r="I6595" s="1" t="str">
        <f t="shared" si="1442"/>
        <v>X</v>
      </c>
      <c r="J6595" s="1" t="str">
        <f t="shared" si="1442"/>
        <v>X</v>
      </c>
      <c r="K6595" s="1" t="str">
        <f t="shared" si="1442"/>
        <v>X</v>
      </c>
      <c r="L6595" s="1" t="str">
        <f t="shared" si="1442"/>
        <v>X</v>
      </c>
      <c r="M6595" s="1" t="str">
        <f t="shared" si="1442"/>
        <v>X</v>
      </c>
      <c r="N6595" t="s">
        <v>27</v>
      </c>
    </row>
    <row r="6596" spans="1:14" x14ac:dyDescent="0.25">
      <c r="A6596" t="s">
        <v>42</v>
      </c>
      <c r="B6596" t="s">
        <v>39</v>
      </c>
      <c r="C6596" t="s">
        <v>36</v>
      </c>
      <c r="D6596" t="s">
        <v>32</v>
      </c>
      <c r="E6596" t="s">
        <v>23</v>
      </c>
      <c r="F6596" t="s">
        <v>20</v>
      </c>
      <c r="G6596" s="2">
        <f>VALUE(1987.46)</f>
        <v>1987.46</v>
      </c>
      <c r="H6596" s="3">
        <f>VALUE(2024.6)</f>
        <v>2024.6</v>
      </c>
      <c r="I6596" s="1">
        <f>VALUE(3080)</f>
        <v>3080</v>
      </c>
      <c r="J6596" s="1">
        <f>VALUE(3495)</f>
        <v>3495</v>
      </c>
      <c r="K6596" s="1">
        <f>VALUE(4053)</f>
        <v>4053</v>
      </c>
      <c r="L6596" s="1">
        <f>VALUE(4741)</f>
        <v>4741</v>
      </c>
      <c r="M6596" s="1">
        <f>VALUE(5568)</f>
        <v>5568</v>
      </c>
      <c r="N6596" t="s">
        <v>25</v>
      </c>
    </row>
    <row r="6597" spans="1:14" x14ac:dyDescent="0.25">
      <c r="A6597" t="s">
        <v>42</v>
      </c>
      <c r="B6597" t="s">
        <v>39</v>
      </c>
      <c r="C6597" t="s">
        <v>36</v>
      </c>
      <c r="D6597" t="s">
        <v>32</v>
      </c>
      <c r="E6597" t="s">
        <v>26</v>
      </c>
      <c r="F6597" t="s">
        <v>15</v>
      </c>
      <c r="G6597" s="2">
        <f>VALUE(366.58)</f>
        <v>366.58</v>
      </c>
      <c r="H6597" s="3">
        <f>VALUE(359.14)</f>
        <v>359.14</v>
      </c>
      <c r="I6597" s="4">
        <f>VALUE(2743)</f>
        <v>2743</v>
      </c>
      <c r="J6597" s="5">
        <f>VALUE(3691)</f>
        <v>3691</v>
      </c>
      <c r="K6597" s="1">
        <f>VALUE(4320)</f>
        <v>4320</v>
      </c>
      <c r="L6597" s="7">
        <f>VALUE(5281)</f>
        <v>5281</v>
      </c>
      <c r="M6597" s="8">
        <f>VALUE(6267)</f>
        <v>6267</v>
      </c>
      <c r="N6597" t="s">
        <v>25</v>
      </c>
    </row>
    <row r="6598" spans="1:14" x14ac:dyDescent="0.25">
      <c r="A6598" t="s">
        <v>42</v>
      </c>
      <c r="B6598" t="s">
        <v>39</v>
      </c>
      <c r="C6598" t="s">
        <v>36</v>
      </c>
      <c r="D6598" t="s">
        <v>32</v>
      </c>
      <c r="E6598" t="s">
        <v>26</v>
      </c>
      <c r="F6598" t="s">
        <v>17</v>
      </c>
      <c r="G6598" s="1" t="str">
        <f t="shared" ref="G6598:M6600" si="1443">"X"</f>
        <v>X</v>
      </c>
      <c r="H6598" s="1" t="str">
        <f t="shared" si="1443"/>
        <v>X</v>
      </c>
      <c r="I6598" s="1" t="str">
        <f t="shared" si="1443"/>
        <v>X</v>
      </c>
      <c r="J6598" s="1" t="str">
        <f t="shared" si="1443"/>
        <v>X</v>
      </c>
      <c r="K6598" s="1" t="str">
        <f t="shared" si="1443"/>
        <v>X</v>
      </c>
      <c r="L6598" s="1" t="str">
        <f t="shared" si="1443"/>
        <v>X</v>
      </c>
      <c r="M6598" s="1" t="str">
        <f t="shared" si="1443"/>
        <v>X</v>
      </c>
      <c r="N6598" t="s">
        <v>27</v>
      </c>
    </row>
    <row r="6599" spans="1:14" x14ac:dyDescent="0.25">
      <c r="A6599" t="s">
        <v>42</v>
      </c>
      <c r="B6599" t="s">
        <v>39</v>
      </c>
      <c r="C6599" t="s">
        <v>36</v>
      </c>
      <c r="D6599" t="s">
        <v>32</v>
      </c>
      <c r="E6599" t="s">
        <v>26</v>
      </c>
      <c r="F6599" t="s">
        <v>18</v>
      </c>
      <c r="G6599" s="1" t="str">
        <f t="shared" si="1443"/>
        <v>X</v>
      </c>
      <c r="H6599" s="1" t="str">
        <f t="shared" si="1443"/>
        <v>X</v>
      </c>
      <c r="I6599" s="1" t="str">
        <f t="shared" si="1443"/>
        <v>X</v>
      </c>
      <c r="J6599" s="1" t="str">
        <f t="shared" si="1443"/>
        <v>X</v>
      </c>
      <c r="K6599" s="1" t="str">
        <f t="shared" si="1443"/>
        <v>X</v>
      </c>
      <c r="L6599" s="1" t="str">
        <f t="shared" si="1443"/>
        <v>X</v>
      </c>
      <c r="M6599" s="1" t="str">
        <f t="shared" si="1443"/>
        <v>X</v>
      </c>
      <c r="N6599" t="s">
        <v>27</v>
      </c>
    </row>
    <row r="6600" spans="1:14" x14ac:dyDescent="0.25">
      <c r="A6600" t="s">
        <v>42</v>
      </c>
      <c r="B6600" t="s">
        <v>39</v>
      </c>
      <c r="C6600" t="s">
        <v>36</v>
      </c>
      <c r="D6600" t="s">
        <v>32</v>
      </c>
      <c r="E6600" t="s">
        <v>26</v>
      </c>
      <c r="F6600" t="s">
        <v>19</v>
      </c>
      <c r="G6600" s="1" t="str">
        <f t="shared" si="1443"/>
        <v>X</v>
      </c>
      <c r="H6600" s="1" t="str">
        <f t="shared" si="1443"/>
        <v>X</v>
      </c>
      <c r="I6600" s="1" t="str">
        <f t="shared" si="1443"/>
        <v>X</v>
      </c>
      <c r="J6600" s="1" t="str">
        <f t="shared" si="1443"/>
        <v>X</v>
      </c>
      <c r="K6600" s="1" t="str">
        <f t="shared" si="1443"/>
        <v>X</v>
      </c>
      <c r="L6600" s="1" t="str">
        <f t="shared" si="1443"/>
        <v>X</v>
      </c>
      <c r="M6600" s="1" t="str">
        <f t="shared" si="1443"/>
        <v>X</v>
      </c>
      <c r="N6600" t="s">
        <v>27</v>
      </c>
    </row>
    <row r="6601" spans="1:14" x14ac:dyDescent="0.25">
      <c r="A6601" t="s">
        <v>42</v>
      </c>
      <c r="B6601" t="s">
        <v>39</v>
      </c>
      <c r="C6601" t="s">
        <v>36</v>
      </c>
      <c r="D6601" t="s">
        <v>32</v>
      </c>
      <c r="E6601" t="s">
        <v>26</v>
      </c>
      <c r="F6601" t="s">
        <v>20</v>
      </c>
      <c r="G6601" s="2">
        <f>VALUE(332.55)</f>
        <v>332.55</v>
      </c>
      <c r="H6601" s="3">
        <f>VALUE(324.05)</f>
        <v>324.05</v>
      </c>
      <c r="I6601" s="4">
        <f>VALUE(2544)</f>
        <v>2544</v>
      </c>
      <c r="J6601" s="5">
        <f>VALUE(3640)</f>
        <v>3640</v>
      </c>
      <c r="K6601" s="6">
        <f>VALUE(4188)</f>
        <v>4188</v>
      </c>
      <c r="L6601" s="1">
        <f>VALUE(5168)</f>
        <v>5168</v>
      </c>
      <c r="M6601" s="1">
        <f>VALUE(5912)</f>
        <v>5912</v>
      </c>
      <c r="N6601" t="s">
        <v>25</v>
      </c>
    </row>
    <row r="6602" spans="1:14" x14ac:dyDescent="0.25">
      <c r="A6602" t="s">
        <v>42</v>
      </c>
      <c r="B6602" t="s">
        <v>39</v>
      </c>
      <c r="C6602" t="s">
        <v>36</v>
      </c>
      <c r="D6602" t="s">
        <v>33</v>
      </c>
      <c r="E6602" t="s">
        <v>15</v>
      </c>
      <c r="F6602" t="s">
        <v>15</v>
      </c>
      <c r="G6602" s="2">
        <f>VALUE(147.29)</f>
        <v>147.29</v>
      </c>
      <c r="H6602" s="3">
        <f>VALUE(153.54)</f>
        <v>153.54</v>
      </c>
      <c r="I6602" s="4">
        <f>VALUE(2484)</f>
        <v>2484</v>
      </c>
      <c r="J6602" s="1">
        <f>VALUE(3401)</f>
        <v>3401</v>
      </c>
      <c r="K6602" s="6">
        <f>VALUE(4240)</f>
        <v>4240</v>
      </c>
      <c r="L6602" s="7">
        <f>VALUE(5749)</f>
        <v>5749</v>
      </c>
      <c r="M6602" s="8">
        <f>VALUE(7537)</f>
        <v>7537</v>
      </c>
      <c r="N6602" t="s">
        <v>25</v>
      </c>
    </row>
    <row r="6603" spans="1:14" x14ac:dyDescent="0.25">
      <c r="A6603" t="s">
        <v>42</v>
      </c>
      <c r="B6603" t="s">
        <v>39</v>
      </c>
      <c r="C6603" t="s">
        <v>36</v>
      </c>
      <c r="D6603" t="s">
        <v>33</v>
      </c>
      <c r="E6603" t="s">
        <v>15</v>
      </c>
      <c r="F6603" t="s">
        <v>17</v>
      </c>
      <c r="G6603" s="1" t="str">
        <f t="shared" ref="G6603:M6607" si="1444">"X"</f>
        <v>X</v>
      </c>
      <c r="H6603" s="1" t="str">
        <f t="shared" si="1444"/>
        <v>X</v>
      </c>
      <c r="I6603" s="1" t="str">
        <f t="shared" si="1444"/>
        <v>X</v>
      </c>
      <c r="J6603" s="1" t="str">
        <f t="shared" si="1444"/>
        <v>X</v>
      </c>
      <c r="K6603" s="1" t="str">
        <f t="shared" si="1444"/>
        <v>X</v>
      </c>
      <c r="L6603" s="1" t="str">
        <f t="shared" si="1444"/>
        <v>X</v>
      </c>
      <c r="M6603" s="1" t="str">
        <f t="shared" si="1444"/>
        <v>X</v>
      </c>
      <c r="N6603" t="s">
        <v>27</v>
      </c>
    </row>
    <row r="6604" spans="1:14" x14ac:dyDescent="0.25">
      <c r="A6604" t="s">
        <v>42</v>
      </c>
      <c r="B6604" t="s">
        <v>39</v>
      </c>
      <c r="C6604" t="s">
        <v>36</v>
      </c>
      <c r="D6604" t="s">
        <v>33</v>
      </c>
      <c r="E6604" t="s">
        <v>15</v>
      </c>
      <c r="F6604" t="s">
        <v>18</v>
      </c>
      <c r="G6604" s="1" t="str">
        <f t="shared" si="1444"/>
        <v>X</v>
      </c>
      <c r="H6604" s="1" t="str">
        <f t="shared" si="1444"/>
        <v>X</v>
      </c>
      <c r="I6604" s="1" t="str">
        <f t="shared" si="1444"/>
        <v>X</v>
      </c>
      <c r="J6604" s="1" t="str">
        <f t="shared" si="1444"/>
        <v>X</v>
      </c>
      <c r="K6604" s="1" t="str">
        <f t="shared" si="1444"/>
        <v>X</v>
      </c>
      <c r="L6604" s="1" t="str">
        <f t="shared" si="1444"/>
        <v>X</v>
      </c>
      <c r="M6604" s="1" t="str">
        <f t="shared" si="1444"/>
        <v>X</v>
      </c>
      <c r="N6604" t="s">
        <v>27</v>
      </c>
    </row>
    <row r="6605" spans="1:14" x14ac:dyDescent="0.25">
      <c r="A6605" t="s">
        <v>42</v>
      </c>
      <c r="B6605" t="s">
        <v>39</v>
      </c>
      <c r="C6605" t="s">
        <v>36</v>
      </c>
      <c r="D6605" t="s">
        <v>33</v>
      </c>
      <c r="E6605" t="s">
        <v>15</v>
      </c>
      <c r="F6605" t="s">
        <v>19</v>
      </c>
      <c r="G6605" s="1" t="str">
        <f t="shared" si="1444"/>
        <v>X</v>
      </c>
      <c r="H6605" s="1" t="str">
        <f t="shared" si="1444"/>
        <v>X</v>
      </c>
      <c r="I6605" s="1" t="str">
        <f t="shared" si="1444"/>
        <v>X</v>
      </c>
      <c r="J6605" s="1" t="str">
        <f t="shared" si="1444"/>
        <v>X</v>
      </c>
      <c r="K6605" s="1" t="str">
        <f t="shared" si="1444"/>
        <v>X</v>
      </c>
      <c r="L6605" s="1" t="str">
        <f t="shared" si="1444"/>
        <v>X</v>
      </c>
      <c r="M6605" s="1" t="str">
        <f t="shared" si="1444"/>
        <v>X</v>
      </c>
      <c r="N6605" t="s">
        <v>27</v>
      </c>
    </row>
    <row r="6606" spans="1:14" x14ac:dyDescent="0.25">
      <c r="A6606" t="s">
        <v>42</v>
      </c>
      <c r="B6606" t="s">
        <v>39</v>
      </c>
      <c r="C6606" t="s">
        <v>36</v>
      </c>
      <c r="D6606" t="s">
        <v>33</v>
      </c>
      <c r="E6606" t="s">
        <v>15</v>
      </c>
      <c r="F6606" t="s">
        <v>20</v>
      </c>
      <c r="G6606" s="1" t="str">
        <f t="shared" si="1444"/>
        <v>X</v>
      </c>
      <c r="H6606" s="1" t="str">
        <f t="shared" si="1444"/>
        <v>X</v>
      </c>
      <c r="I6606" s="1" t="str">
        <f t="shared" si="1444"/>
        <v>X</v>
      </c>
      <c r="J6606" s="1" t="str">
        <f t="shared" si="1444"/>
        <v>X</v>
      </c>
      <c r="K6606" s="1" t="str">
        <f t="shared" si="1444"/>
        <v>X</v>
      </c>
      <c r="L6606" s="1" t="str">
        <f t="shared" si="1444"/>
        <v>X</v>
      </c>
      <c r="M6606" s="1" t="str">
        <f t="shared" si="1444"/>
        <v>X</v>
      </c>
      <c r="N6606" t="s">
        <v>27</v>
      </c>
    </row>
    <row r="6607" spans="1:14" x14ac:dyDescent="0.25">
      <c r="A6607" t="s">
        <v>42</v>
      </c>
      <c r="B6607" t="s">
        <v>39</v>
      </c>
      <c r="C6607" t="s">
        <v>36</v>
      </c>
      <c r="D6607" t="s">
        <v>33</v>
      </c>
      <c r="E6607" t="s">
        <v>21</v>
      </c>
      <c r="F6607" t="s">
        <v>15</v>
      </c>
      <c r="G6607" s="1" t="str">
        <f t="shared" si="1444"/>
        <v>X</v>
      </c>
      <c r="H6607" s="1" t="str">
        <f t="shared" si="1444"/>
        <v>X</v>
      </c>
      <c r="I6607" s="1" t="str">
        <f t="shared" si="1444"/>
        <v>X</v>
      </c>
      <c r="J6607" s="1" t="str">
        <f t="shared" si="1444"/>
        <v>X</v>
      </c>
      <c r="K6607" s="1" t="str">
        <f t="shared" si="1444"/>
        <v>X</v>
      </c>
      <c r="L6607" s="1" t="str">
        <f t="shared" si="1444"/>
        <v>X</v>
      </c>
      <c r="M6607" s="1" t="str">
        <f t="shared" si="1444"/>
        <v>X</v>
      </c>
      <c r="N6607" t="s">
        <v>27</v>
      </c>
    </row>
    <row r="6608" spans="1:14" x14ac:dyDescent="0.25">
      <c r="A6608" t="s">
        <v>42</v>
      </c>
      <c r="B6608" t="s">
        <v>39</v>
      </c>
      <c r="C6608" t="s">
        <v>36</v>
      </c>
      <c r="D6608" t="s">
        <v>33</v>
      </c>
      <c r="E6608" t="s">
        <v>21</v>
      </c>
      <c r="F6608" t="s">
        <v>17</v>
      </c>
      <c r="G6608" s="1" t="str">
        <f t="shared" ref="G6608:M6608" si="1445">"..."</f>
        <v>...</v>
      </c>
      <c r="H6608" s="1" t="str">
        <f t="shared" si="1445"/>
        <v>...</v>
      </c>
      <c r="I6608" s="1" t="str">
        <f t="shared" si="1445"/>
        <v>...</v>
      </c>
      <c r="J6608" s="1" t="str">
        <f t="shared" si="1445"/>
        <v>...</v>
      </c>
      <c r="K6608" s="1" t="str">
        <f t="shared" si="1445"/>
        <v>...</v>
      </c>
      <c r="L6608" s="1" t="str">
        <f t="shared" si="1445"/>
        <v>...</v>
      </c>
      <c r="M6608" s="1" t="str">
        <f t="shared" si="1445"/>
        <v>...</v>
      </c>
      <c r="N6608" t="s">
        <v>30</v>
      </c>
    </row>
    <row r="6609" spans="1:14" x14ac:dyDescent="0.25">
      <c r="A6609" t="s">
        <v>42</v>
      </c>
      <c r="B6609" t="s">
        <v>39</v>
      </c>
      <c r="C6609" t="s">
        <v>36</v>
      </c>
      <c r="D6609" t="s">
        <v>33</v>
      </c>
      <c r="E6609" t="s">
        <v>21</v>
      </c>
      <c r="F6609" t="s">
        <v>18</v>
      </c>
      <c r="G6609" s="1" t="str">
        <f t="shared" ref="G6609:M6617" si="1446">"X"</f>
        <v>X</v>
      </c>
      <c r="H6609" s="1" t="str">
        <f t="shared" si="1446"/>
        <v>X</v>
      </c>
      <c r="I6609" s="1" t="str">
        <f t="shared" si="1446"/>
        <v>X</v>
      </c>
      <c r="J6609" s="1" t="str">
        <f t="shared" si="1446"/>
        <v>X</v>
      </c>
      <c r="K6609" s="1" t="str">
        <f t="shared" si="1446"/>
        <v>X</v>
      </c>
      <c r="L6609" s="1" t="str">
        <f t="shared" si="1446"/>
        <v>X</v>
      </c>
      <c r="M6609" s="1" t="str">
        <f t="shared" si="1446"/>
        <v>X</v>
      </c>
      <c r="N6609" t="s">
        <v>27</v>
      </c>
    </row>
    <row r="6610" spans="1:14" x14ac:dyDescent="0.25">
      <c r="A6610" t="s">
        <v>42</v>
      </c>
      <c r="B6610" t="s">
        <v>39</v>
      </c>
      <c r="C6610" t="s">
        <v>36</v>
      </c>
      <c r="D6610" t="s">
        <v>33</v>
      </c>
      <c r="E6610" t="s">
        <v>21</v>
      </c>
      <c r="F6610" t="s">
        <v>19</v>
      </c>
      <c r="G6610" s="1" t="str">
        <f t="shared" si="1446"/>
        <v>X</v>
      </c>
      <c r="H6610" s="1" t="str">
        <f t="shared" si="1446"/>
        <v>X</v>
      </c>
      <c r="I6610" s="1" t="str">
        <f t="shared" si="1446"/>
        <v>X</v>
      </c>
      <c r="J6610" s="1" t="str">
        <f t="shared" si="1446"/>
        <v>X</v>
      </c>
      <c r="K6610" s="1" t="str">
        <f t="shared" si="1446"/>
        <v>X</v>
      </c>
      <c r="L6610" s="1" t="str">
        <f t="shared" si="1446"/>
        <v>X</v>
      </c>
      <c r="M6610" s="1" t="str">
        <f t="shared" si="1446"/>
        <v>X</v>
      </c>
      <c r="N6610" t="s">
        <v>27</v>
      </c>
    </row>
    <row r="6611" spans="1:14" x14ac:dyDescent="0.25">
      <c r="A6611" t="s">
        <v>42</v>
      </c>
      <c r="B6611" t="s">
        <v>39</v>
      </c>
      <c r="C6611" t="s">
        <v>36</v>
      </c>
      <c r="D6611" t="s">
        <v>33</v>
      </c>
      <c r="E6611" t="s">
        <v>21</v>
      </c>
      <c r="F6611" t="s">
        <v>20</v>
      </c>
      <c r="G6611" s="1" t="str">
        <f t="shared" si="1446"/>
        <v>X</v>
      </c>
      <c r="H6611" s="1" t="str">
        <f t="shared" si="1446"/>
        <v>X</v>
      </c>
      <c r="I6611" s="1" t="str">
        <f t="shared" si="1446"/>
        <v>X</v>
      </c>
      <c r="J6611" s="1" t="str">
        <f t="shared" si="1446"/>
        <v>X</v>
      </c>
      <c r="K6611" s="1" t="str">
        <f t="shared" si="1446"/>
        <v>X</v>
      </c>
      <c r="L6611" s="1" t="str">
        <f t="shared" si="1446"/>
        <v>X</v>
      </c>
      <c r="M6611" s="1" t="str">
        <f t="shared" si="1446"/>
        <v>X</v>
      </c>
      <c r="N6611" t="s">
        <v>27</v>
      </c>
    </row>
    <row r="6612" spans="1:14" x14ac:dyDescent="0.25">
      <c r="A6612" t="s">
        <v>42</v>
      </c>
      <c r="B6612" t="s">
        <v>39</v>
      </c>
      <c r="C6612" t="s">
        <v>36</v>
      </c>
      <c r="D6612" t="s">
        <v>33</v>
      </c>
      <c r="E6612" t="s">
        <v>22</v>
      </c>
      <c r="F6612" t="s">
        <v>15</v>
      </c>
      <c r="G6612" s="1" t="str">
        <f t="shared" si="1446"/>
        <v>X</v>
      </c>
      <c r="H6612" s="1" t="str">
        <f t="shared" si="1446"/>
        <v>X</v>
      </c>
      <c r="I6612" s="1" t="str">
        <f t="shared" si="1446"/>
        <v>X</v>
      </c>
      <c r="J6612" s="1" t="str">
        <f t="shared" si="1446"/>
        <v>X</v>
      </c>
      <c r="K6612" s="1" t="str">
        <f t="shared" si="1446"/>
        <v>X</v>
      </c>
      <c r="L6612" s="1" t="str">
        <f t="shared" si="1446"/>
        <v>X</v>
      </c>
      <c r="M6612" s="1" t="str">
        <f t="shared" si="1446"/>
        <v>X</v>
      </c>
      <c r="N6612" t="s">
        <v>27</v>
      </c>
    </row>
    <row r="6613" spans="1:14" x14ac:dyDescent="0.25">
      <c r="A6613" t="s">
        <v>42</v>
      </c>
      <c r="B6613" t="s">
        <v>39</v>
      </c>
      <c r="C6613" t="s">
        <v>36</v>
      </c>
      <c r="D6613" t="s">
        <v>33</v>
      </c>
      <c r="E6613" t="s">
        <v>22</v>
      </c>
      <c r="F6613" t="s">
        <v>17</v>
      </c>
      <c r="G6613" s="1" t="str">
        <f t="shared" si="1446"/>
        <v>X</v>
      </c>
      <c r="H6613" s="1" t="str">
        <f t="shared" si="1446"/>
        <v>X</v>
      </c>
      <c r="I6613" s="1" t="str">
        <f t="shared" si="1446"/>
        <v>X</v>
      </c>
      <c r="J6613" s="1" t="str">
        <f t="shared" si="1446"/>
        <v>X</v>
      </c>
      <c r="K6613" s="1" t="str">
        <f t="shared" si="1446"/>
        <v>X</v>
      </c>
      <c r="L6613" s="1" t="str">
        <f t="shared" si="1446"/>
        <v>X</v>
      </c>
      <c r="M6613" s="1" t="str">
        <f t="shared" si="1446"/>
        <v>X</v>
      </c>
      <c r="N6613" t="s">
        <v>27</v>
      </c>
    </row>
    <row r="6614" spans="1:14" x14ac:dyDescent="0.25">
      <c r="A6614" t="s">
        <v>42</v>
      </c>
      <c r="B6614" t="s">
        <v>39</v>
      </c>
      <c r="C6614" t="s">
        <v>36</v>
      </c>
      <c r="D6614" t="s">
        <v>33</v>
      </c>
      <c r="E6614" t="s">
        <v>22</v>
      </c>
      <c r="F6614" t="s">
        <v>18</v>
      </c>
      <c r="G6614" s="1" t="str">
        <f t="shared" si="1446"/>
        <v>X</v>
      </c>
      <c r="H6614" s="1" t="str">
        <f t="shared" si="1446"/>
        <v>X</v>
      </c>
      <c r="I6614" s="1" t="str">
        <f t="shared" si="1446"/>
        <v>X</v>
      </c>
      <c r="J6614" s="1" t="str">
        <f t="shared" si="1446"/>
        <v>X</v>
      </c>
      <c r="K6614" s="1" t="str">
        <f t="shared" si="1446"/>
        <v>X</v>
      </c>
      <c r="L6614" s="1" t="str">
        <f t="shared" si="1446"/>
        <v>X</v>
      </c>
      <c r="M6614" s="1" t="str">
        <f t="shared" si="1446"/>
        <v>X</v>
      </c>
      <c r="N6614" t="s">
        <v>27</v>
      </c>
    </row>
    <row r="6615" spans="1:14" x14ac:dyDescent="0.25">
      <c r="A6615" t="s">
        <v>42</v>
      </c>
      <c r="B6615" t="s">
        <v>39</v>
      </c>
      <c r="C6615" t="s">
        <v>36</v>
      </c>
      <c r="D6615" t="s">
        <v>33</v>
      </c>
      <c r="E6615" t="s">
        <v>22</v>
      </c>
      <c r="F6615" t="s">
        <v>19</v>
      </c>
      <c r="G6615" s="1" t="str">
        <f t="shared" si="1446"/>
        <v>X</v>
      </c>
      <c r="H6615" s="1" t="str">
        <f t="shared" si="1446"/>
        <v>X</v>
      </c>
      <c r="I6615" s="1" t="str">
        <f t="shared" si="1446"/>
        <v>X</v>
      </c>
      <c r="J6615" s="1" t="str">
        <f t="shared" si="1446"/>
        <v>X</v>
      </c>
      <c r="K6615" s="1" t="str">
        <f t="shared" si="1446"/>
        <v>X</v>
      </c>
      <c r="L6615" s="1" t="str">
        <f t="shared" si="1446"/>
        <v>X</v>
      </c>
      <c r="M6615" s="1" t="str">
        <f t="shared" si="1446"/>
        <v>X</v>
      </c>
      <c r="N6615" t="s">
        <v>27</v>
      </c>
    </row>
    <row r="6616" spans="1:14" x14ac:dyDescent="0.25">
      <c r="A6616" t="s">
        <v>42</v>
      </c>
      <c r="B6616" t="s">
        <v>39</v>
      </c>
      <c r="C6616" t="s">
        <v>36</v>
      </c>
      <c r="D6616" t="s">
        <v>33</v>
      </c>
      <c r="E6616" t="s">
        <v>22</v>
      </c>
      <c r="F6616" t="s">
        <v>20</v>
      </c>
      <c r="G6616" s="1" t="str">
        <f t="shared" si="1446"/>
        <v>X</v>
      </c>
      <c r="H6616" s="1" t="str">
        <f t="shared" si="1446"/>
        <v>X</v>
      </c>
      <c r="I6616" s="1" t="str">
        <f t="shared" si="1446"/>
        <v>X</v>
      </c>
      <c r="J6616" s="1" t="str">
        <f t="shared" si="1446"/>
        <v>X</v>
      </c>
      <c r="K6616" s="1" t="str">
        <f t="shared" si="1446"/>
        <v>X</v>
      </c>
      <c r="L6616" s="1" t="str">
        <f t="shared" si="1446"/>
        <v>X</v>
      </c>
      <c r="M6616" s="1" t="str">
        <f t="shared" si="1446"/>
        <v>X</v>
      </c>
      <c r="N6616" t="s">
        <v>27</v>
      </c>
    </row>
    <row r="6617" spans="1:14" x14ac:dyDescent="0.25">
      <c r="A6617" t="s">
        <v>42</v>
      </c>
      <c r="B6617" t="s">
        <v>39</v>
      </c>
      <c r="C6617" t="s">
        <v>36</v>
      </c>
      <c r="D6617" t="s">
        <v>33</v>
      </c>
      <c r="E6617" t="s">
        <v>23</v>
      </c>
      <c r="F6617" t="s">
        <v>15</v>
      </c>
      <c r="G6617" s="1" t="str">
        <f t="shared" si="1446"/>
        <v>X</v>
      </c>
      <c r="H6617" s="1" t="str">
        <f t="shared" si="1446"/>
        <v>X</v>
      </c>
      <c r="I6617" s="1" t="str">
        <f t="shared" si="1446"/>
        <v>X</v>
      </c>
      <c r="J6617" s="1" t="str">
        <f t="shared" si="1446"/>
        <v>X</v>
      </c>
      <c r="K6617" s="1" t="str">
        <f t="shared" si="1446"/>
        <v>X</v>
      </c>
      <c r="L6617" s="1" t="str">
        <f t="shared" si="1446"/>
        <v>X</v>
      </c>
      <c r="M6617" s="1" t="str">
        <f t="shared" si="1446"/>
        <v>X</v>
      </c>
      <c r="N6617" t="s">
        <v>27</v>
      </c>
    </row>
    <row r="6618" spans="1:14" x14ac:dyDescent="0.25">
      <c r="A6618" t="s">
        <v>42</v>
      </c>
      <c r="B6618" t="s">
        <v>39</v>
      </c>
      <c r="C6618" t="s">
        <v>36</v>
      </c>
      <c r="D6618" t="s">
        <v>33</v>
      </c>
      <c r="E6618" t="s">
        <v>23</v>
      </c>
      <c r="F6618" t="s">
        <v>17</v>
      </c>
      <c r="G6618" s="1" t="str">
        <f t="shared" ref="G6618:M6620" si="1447">"..."</f>
        <v>...</v>
      </c>
      <c r="H6618" s="1" t="str">
        <f t="shared" si="1447"/>
        <v>...</v>
      </c>
      <c r="I6618" s="1" t="str">
        <f t="shared" si="1447"/>
        <v>...</v>
      </c>
      <c r="J6618" s="1" t="str">
        <f t="shared" si="1447"/>
        <v>...</v>
      </c>
      <c r="K6618" s="1" t="str">
        <f t="shared" si="1447"/>
        <v>...</v>
      </c>
      <c r="L6618" s="1" t="str">
        <f t="shared" si="1447"/>
        <v>...</v>
      </c>
      <c r="M6618" s="1" t="str">
        <f t="shared" si="1447"/>
        <v>...</v>
      </c>
      <c r="N6618" t="s">
        <v>30</v>
      </c>
    </row>
    <row r="6619" spans="1:14" x14ac:dyDescent="0.25">
      <c r="A6619" t="s">
        <v>42</v>
      </c>
      <c r="B6619" t="s">
        <v>39</v>
      </c>
      <c r="C6619" t="s">
        <v>36</v>
      </c>
      <c r="D6619" t="s">
        <v>33</v>
      </c>
      <c r="E6619" t="s">
        <v>23</v>
      </c>
      <c r="F6619" t="s">
        <v>18</v>
      </c>
      <c r="G6619" s="1" t="str">
        <f t="shared" si="1447"/>
        <v>...</v>
      </c>
      <c r="H6619" s="1" t="str">
        <f t="shared" si="1447"/>
        <v>...</v>
      </c>
      <c r="I6619" s="1" t="str">
        <f t="shared" si="1447"/>
        <v>...</v>
      </c>
      <c r="J6619" s="1" t="str">
        <f t="shared" si="1447"/>
        <v>...</v>
      </c>
      <c r="K6619" s="1" t="str">
        <f t="shared" si="1447"/>
        <v>...</v>
      </c>
      <c r="L6619" s="1" t="str">
        <f t="shared" si="1447"/>
        <v>...</v>
      </c>
      <c r="M6619" s="1" t="str">
        <f t="shared" si="1447"/>
        <v>...</v>
      </c>
      <c r="N6619" t="s">
        <v>30</v>
      </c>
    </row>
    <row r="6620" spans="1:14" x14ac:dyDescent="0.25">
      <c r="A6620" t="s">
        <v>42</v>
      </c>
      <c r="B6620" t="s">
        <v>39</v>
      </c>
      <c r="C6620" t="s">
        <v>36</v>
      </c>
      <c r="D6620" t="s">
        <v>33</v>
      </c>
      <c r="E6620" t="s">
        <v>23</v>
      </c>
      <c r="F6620" t="s">
        <v>19</v>
      </c>
      <c r="G6620" s="1" t="str">
        <f t="shared" si="1447"/>
        <v>...</v>
      </c>
      <c r="H6620" s="1" t="str">
        <f t="shared" si="1447"/>
        <v>...</v>
      </c>
      <c r="I6620" s="1" t="str">
        <f t="shared" si="1447"/>
        <v>...</v>
      </c>
      <c r="J6620" s="1" t="str">
        <f t="shared" si="1447"/>
        <v>...</v>
      </c>
      <c r="K6620" s="1" t="str">
        <f t="shared" si="1447"/>
        <v>...</v>
      </c>
      <c r="L6620" s="1" t="str">
        <f t="shared" si="1447"/>
        <v>...</v>
      </c>
      <c r="M6620" s="1" t="str">
        <f t="shared" si="1447"/>
        <v>...</v>
      </c>
      <c r="N6620" t="s">
        <v>30</v>
      </c>
    </row>
    <row r="6621" spans="1:14" x14ac:dyDescent="0.25">
      <c r="A6621" t="s">
        <v>42</v>
      </c>
      <c r="B6621" t="s">
        <v>39</v>
      </c>
      <c r="C6621" t="s">
        <v>36</v>
      </c>
      <c r="D6621" t="s">
        <v>33</v>
      </c>
      <c r="E6621" t="s">
        <v>23</v>
      </c>
      <c r="F6621" t="s">
        <v>20</v>
      </c>
      <c r="G6621" s="1" t="str">
        <f t="shared" ref="G6621:M6622" si="1448">"X"</f>
        <v>X</v>
      </c>
      <c r="H6621" s="1" t="str">
        <f t="shared" si="1448"/>
        <v>X</v>
      </c>
      <c r="I6621" s="1" t="str">
        <f t="shared" si="1448"/>
        <v>X</v>
      </c>
      <c r="J6621" s="1" t="str">
        <f t="shared" si="1448"/>
        <v>X</v>
      </c>
      <c r="K6621" s="1" t="str">
        <f t="shared" si="1448"/>
        <v>X</v>
      </c>
      <c r="L6621" s="1" t="str">
        <f t="shared" si="1448"/>
        <v>X</v>
      </c>
      <c r="M6621" s="1" t="str">
        <f t="shared" si="1448"/>
        <v>X</v>
      </c>
      <c r="N6621" t="s">
        <v>27</v>
      </c>
    </row>
    <row r="6622" spans="1:14" x14ac:dyDescent="0.25">
      <c r="A6622" t="s">
        <v>42</v>
      </c>
      <c r="B6622" t="s">
        <v>39</v>
      </c>
      <c r="C6622" t="s">
        <v>36</v>
      </c>
      <c r="D6622" t="s">
        <v>33</v>
      </c>
      <c r="E6622" t="s">
        <v>26</v>
      </c>
      <c r="F6622" t="s">
        <v>15</v>
      </c>
      <c r="G6622" s="1" t="str">
        <f t="shared" si="1448"/>
        <v>X</v>
      </c>
      <c r="H6622" s="1" t="str">
        <f t="shared" si="1448"/>
        <v>X</v>
      </c>
      <c r="I6622" s="1" t="str">
        <f t="shared" si="1448"/>
        <v>X</v>
      </c>
      <c r="J6622" s="1" t="str">
        <f t="shared" si="1448"/>
        <v>X</v>
      </c>
      <c r="K6622" s="1" t="str">
        <f t="shared" si="1448"/>
        <v>X</v>
      </c>
      <c r="L6622" s="1" t="str">
        <f t="shared" si="1448"/>
        <v>X</v>
      </c>
      <c r="M6622" s="1" t="str">
        <f t="shared" si="1448"/>
        <v>X</v>
      </c>
      <c r="N6622" t="s">
        <v>27</v>
      </c>
    </row>
    <row r="6623" spans="1:14" x14ac:dyDescent="0.25">
      <c r="A6623" t="s">
        <v>42</v>
      </c>
      <c r="B6623" t="s">
        <v>39</v>
      </c>
      <c r="C6623" t="s">
        <v>36</v>
      </c>
      <c r="D6623" t="s">
        <v>33</v>
      </c>
      <c r="E6623" t="s">
        <v>26</v>
      </c>
      <c r="F6623" t="s">
        <v>17</v>
      </c>
      <c r="G6623" s="1" t="str">
        <f t="shared" ref="G6623:M6623" si="1449">"..."</f>
        <v>...</v>
      </c>
      <c r="H6623" s="1" t="str">
        <f t="shared" si="1449"/>
        <v>...</v>
      </c>
      <c r="I6623" s="1" t="str">
        <f t="shared" si="1449"/>
        <v>...</v>
      </c>
      <c r="J6623" s="1" t="str">
        <f t="shared" si="1449"/>
        <v>...</v>
      </c>
      <c r="K6623" s="1" t="str">
        <f t="shared" si="1449"/>
        <v>...</v>
      </c>
      <c r="L6623" s="1" t="str">
        <f t="shared" si="1449"/>
        <v>...</v>
      </c>
      <c r="M6623" s="1" t="str">
        <f t="shared" si="1449"/>
        <v>...</v>
      </c>
      <c r="N6623" t="s">
        <v>30</v>
      </c>
    </row>
    <row r="6624" spans="1:14" x14ac:dyDescent="0.25">
      <c r="A6624" t="s">
        <v>42</v>
      </c>
      <c r="B6624" t="s">
        <v>39</v>
      </c>
      <c r="C6624" t="s">
        <v>36</v>
      </c>
      <c r="D6624" t="s">
        <v>33</v>
      </c>
      <c r="E6624" t="s">
        <v>26</v>
      </c>
      <c r="F6624" t="s">
        <v>18</v>
      </c>
      <c r="G6624" s="1" t="str">
        <f t="shared" ref="G6624:M6624" si="1450">"X"</f>
        <v>X</v>
      </c>
      <c r="H6624" s="1" t="str">
        <f t="shared" si="1450"/>
        <v>X</v>
      </c>
      <c r="I6624" s="1" t="str">
        <f t="shared" si="1450"/>
        <v>X</v>
      </c>
      <c r="J6624" s="1" t="str">
        <f t="shared" si="1450"/>
        <v>X</v>
      </c>
      <c r="K6624" s="1" t="str">
        <f t="shared" si="1450"/>
        <v>X</v>
      </c>
      <c r="L6624" s="1" t="str">
        <f t="shared" si="1450"/>
        <v>X</v>
      </c>
      <c r="M6624" s="1" t="str">
        <f t="shared" si="1450"/>
        <v>X</v>
      </c>
      <c r="N6624" t="s">
        <v>27</v>
      </c>
    </row>
    <row r="6625" spans="1:14" x14ac:dyDescent="0.25">
      <c r="A6625" t="s">
        <v>42</v>
      </c>
      <c r="B6625" t="s">
        <v>39</v>
      </c>
      <c r="C6625" t="s">
        <v>36</v>
      </c>
      <c r="D6625" t="s">
        <v>33</v>
      </c>
      <c r="E6625" t="s">
        <v>26</v>
      </c>
      <c r="F6625" t="s">
        <v>19</v>
      </c>
      <c r="G6625" s="1" t="str">
        <f t="shared" ref="G6625:M6625" si="1451">"..."</f>
        <v>...</v>
      </c>
      <c r="H6625" s="1" t="str">
        <f t="shared" si="1451"/>
        <v>...</v>
      </c>
      <c r="I6625" s="1" t="str">
        <f t="shared" si="1451"/>
        <v>...</v>
      </c>
      <c r="J6625" s="1" t="str">
        <f t="shared" si="1451"/>
        <v>...</v>
      </c>
      <c r="K6625" s="1" t="str">
        <f t="shared" si="1451"/>
        <v>...</v>
      </c>
      <c r="L6625" s="1" t="str">
        <f t="shared" si="1451"/>
        <v>...</v>
      </c>
      <c r="M6625" s="1" t="str">
        <f t="shared" si="1451"/>
        <v>...</v>
      </c>
      <c r="N6625" t="s">
        <v>30</v>
      </c>
    </row>
    <row r="6626" spans="1:14" x14ac:dyDescent="0.25">
      <c r="A6626" t="s">
        <v>42</v>
      </c>
      <c r="B6626" t="s">
        <v>39</v>
      </c>
      <c r="C6626" t="s">
        <v>36</v>
      </c>
      <c r="D6626" t="s">
        <v>33</v>
      </c>
      <c r="E6626" t="s">
        <v>26</v>
      </c>
      <c r="F6626" t="s">
        <v>20</v>
      </c>
      <c r="G6626" s="1" t="str">
        <f t="shared" ref="G6626:M6627" si="1452">"X"</f>
        <v>X</v>
      </c>
      <c r="H6626" s="1" t="str">
        <f t="shared" si="1452"/>
        <v>X</v>
      </c>
      <c r="I6626" s="1" t="str">
        <f t="shared" si="1452"/>
        <v>X</v>
      </c>
      <c r="J6626" s="1" t="str">
        <f t="shared" si="1452"/>
        <v>X</v>
      </c>
      <c r="K6626" s="1" t="str">
        <f t="shared" si="1452"/>
        <v>X</v>
      </c>
      <c r="L6626" s="1" t="str">
        <f t="shared" si="1452"/>
        <v>X</v>
      </c>
      <c r="M6626" s="1" t="str">
        <f t="shared" si="1452"/>
        <v>X</v>
      </c>
      <c r="N6626" t="s">
        <v>27</v>
      </c>
    </row>
    <row r="6627" spans="1:14" x14ac:dyDescent="0.25">
      <c r="A6627" t="s">
        <v>42</v>
      </c>
      <c r="B6627" t="s">
        <v>39</v>
      </c>
      <c r="C6627" t="s">
        <v>36</v>
      </c>
      <c r="D6627" t="s">
        <v>34</v>
      </c>
      <c r="E6627" t="s">
        <v>15</v>
      </c>
      <c r="F6627" t="s">
        <v>15</v>
      </c>
      <c r="G6627" s="1" t="str">
        <f t="shared" si="1452"/>
        <v>X</v>
      </c>
      <c r="H6627" s="1" t="str">
        <f t="shared" si="1452"/>
        <v>X</v>
      </c>
      <c r="I6627" s="1" t="str">
        <f t="shared" si="1452"/>
        <v>X</v>
      </c>
      <c r="J6627" s="1" t="str">
        <f t="shared" si="1452"/>
        <v>X</v>
      </c>
      <c r="K6627" s="1" t="str">
        <f t="shared" si="1452"/>
        <v>X</v>
      </c>
      <c r="L6627" s="1" t="str">
        <f t="shared" si="1452"/>
        <v>X</v>
      </c>
      <c r="M6627" s="1" t="str">
        <f t="shared" si="1452"/>
        <v>X</v>
      </c>
      <c r="N6627" t="s">
        <v>27</v>
      </c>
    </row>
    <row r="6628" spans="1:14" x14ac:dyDescent="0.25">
      <c r="A6628" t="s">
        <v>42</v>
      </c>
      <c r="B6628" t="s">
        <v>39</v>
      </c>
      <c r="C6628" t="s">
        <v>36</v>
      </c>
      <c r="D6628" t="s">
        <v>34</v>
      </c>
      <c r="E6628" t="s">
        <v>15</v>
      </c>
      <c r="F6628" t="s">
        <v>17</v>
      </c>
      <c r="G6628" s="1" t="str">
        <f t="shared" ref="G6628:M6630" si="1453">"..."</f>
        <v>...</v>
      </c>
      <c r="H6628" s="1" t="str">
        <f t="shared" si="1453"/>
        <v>...</v>
      </c>
      <c r="I6628" s="1" t="str">
        <f t="shared" si="1453"/>
        <v>...</v>
      </c>
      <c r="J6628" s="1" t="str">
        <f t="shared" si="1453"/>
        <v>...</v>
      </c>
      <c r="K6628" s="1" t="str">
        <f t="shared" si="1453"/>
        <v>...</v>
      </c>
      <c r="L6628" s="1" t="str">
        <f t="shared" si="1453"/>
        <v>...</v>
      </c>
      <c r="M6628" s="1" t="str">
        <f t="shared" si="1453"/>
        <v>...</v>
      </c>
      <c r="N6628" t="s">
        <v>30</v>
      </c>
    </row>
    <row r="6629" spans="1:14" x14ac:dyDescent="0.25">
      <c r="A6629" t="s">
        <v>42</v>
      </c>
      <c r="B6629" t="s">
        <v>39</v>
      </c>
      <c r="C6629" t="s">
        <v>36</v>
      </c>
      <c r="D6629" t="s">
        <v>34</v>
      </c>
      <c r="E6629" t="s">
        <v>15</v>
      </c>
      <c r="F6629" t="s">
        <v>18</v>
      </c>
      <c r="G6629" s="1" t="str">
        <f t="shared" si="1453"/>
        <v>...</v>
      </c>
      <c r="H6629" s="1" t="str">
        <f t="shared" si="1453"/>
        <v>...</v>
      </c>
      <c r="I6629" s="1" t="str">
        <f t="shared" si="1453"/>
        <v>...</v>
      </c>
      <c r="J6629" s="1" t="str">
        <f t="shared" si="1453"/>
        <v>...</v>
      </c>
      <c r="K6629" s="1" t="str">
        <f t="shared" si="1453"/>
        <v>...</v>
      </c>
      <c r="L6629" s="1" t="str">
        <f t="shared" si="1453"/>
        <v>...</v>
      </c>
      <c r="M6629" s="1" t="str">
        <f t="shared" si="1453"/>
        <v>...</v>
      </c>
      <c r="N6629" t="s">
        <v>30</v>
      </c>
    </row>
    <row r="6630" spans="1:14" x14ac:dyDescent="0.25">
      <c r="A6630" t="s">
        <v>42</v>
      </c>
      <c r="B6630" t="s">
        <v>39</v>
      </c>
      <c r="C6630" t="s">
        <v>36</v>
      </c>
      <c r="D6630" t="s">
        <v>34</v>
      </c>
      <c r="E6630" t="s">
        <v>15</v>
      </c>
      <c r="F6630" t="s">
        <v>19</v>
      </c>
      <c r="G6630" s="1" t="str">
        <f t="shared" si="1453"/>
        <v>...</v>
      </c>
      <c r="H6630" s="1" t="str">
        <f t="shared" si="1453"/>
        <v>...</v>
      </c>
      <c r="I6630" s="1" t="str">
        <f t="shared" si="1453"/>
        <v>...</v>
      </c>
      <c r="J6630" s="1" t="str">
        <f t="shared" si="1453"/>
        <v>...</v>
      </c>
      <c r="K6630" s="1" t="str">
        <f t="shared" si="1453"/>
        <v>...</v>
      </c>
      <c r="L6630" s="1" t="str">
        <f t="shared" si="1453"/>
        <v>...</v>
      </c>
      <c r="M6630" s="1" t="str">
        <f t="shared" si="1453"/>
        <v>...</v>
      </c>
      <c r="N6630" t="s">
        <v>30</v>
      </c>
    </row>
    <row r="6631" spans="1:14" x14ac:dyDescent="0.25">
      <c r="A6631" t="s">
        <v>42</v>
      </c>
      <c r="B6631" t="s">
        <v>39</v>
      </c>
      <c r="C6631" t="s">
        <v>36</v>
      </c>
      <c r="D6631" t="s">
        <v>34</v>
      </c>
      <c r="E6631" t="s">
        <v>15</v>
      </c>
      <c r="F6631" t="s">
        <v>20</v>
      </c>
      <c r="G6631" s="1" t="str">
        <f t="shared" ref="G6631:M6631" si="1454">"X"</f>
        <v>X</v>
      </c>
      <c r="H6631" s="1" t="str">
        <f t="shared" si="1454"/>
        <v>X</v>
      </c>
      <c r="I6631" s="1" t="str">
        <f t="shared" si="1454"/>
        <v>X</v>
      </c>
      <c r="J6631" s="1" t="str">
        <f t="shared" si="1454"/>
        <v>X</v>
      </c>
      <c r="K6631" s="1" t="str">
        <f t="shared" si="1454"/>
        <v>X</v>
      </c>
      <c r="L6631" s="1" t="str">
        <f t="shared" si="1454"/>
        <v>X</v>
      </c>
      <c r="M6631" s="1" t="str">
        <f t="shared" si="1454"/>
        <v>X</v>
      </c>
      <c r="N6631" t="s">
        <v>27</v>
      </c>
    </row>
    <row r="6632" spans="1:14" x14ac:dyDescent="0.25">
      <c r="A6632" t="s">
        <v>42</v>
      </c>
      <c r="B6632" t="s">
        <v>39</v>
      </c>
      <c r="C6632" t="s">
        <v>36</v>
      </c>
      <c r="D6632" t="s">
        <v>34</v>
      </c>
      <c r="E6632" t="s">
        <v>21</v>
      </c>
      <c r="F6632" t="s">
        <v>15</v>
      </c>
      <c r="G6632" s="1" t="str">
        <f t="shared" ref="G6632:M6641" si="1455">"..."</f>
        <v>...</v>
      </c>
      <c r="H6632" s="1" t="str">
        <f t="shared" si="1455"/>
        <v>...</v>
      </c>
      <c r="I6632" s="1" t="str">
        <f t="shared" si="1455"/>
        <v>...</v>
      </c>
      <c r="J6632" s="1" t="str">
        <f t="shared" si="1455"/>
        <v>...</v>
      </c>
      <c r="K6632" s="1" t="str">
        <f t="shared" si="1455"/>
        <v>...</v>
      </c>
      <c r="L6632" s="1" t="str">
        <f t="shared" si="1455"/>
        <v>...</v>
      </c>
      <c r="M6632" s="1" t="str">
        <f t="shared" si="1455"/>
        <v>...</v>
      </c>
      <c r="N6632" t="s">
        <v>30</v>
      </c>
    </row>
    <row r="6633" spans="1:14" x14ac:dyDescent="0.25">
      <c r="A6633" t="s">
        <v>42</v>
      </c>
      <c r="B6633" t="s">
        <v>39</v>
      </c>
      <c r="C6633" t="s">
        <v>36</v>
      </c>
      <c r="D6633" t="s">
        <v>34</v>
      </c>
      <c r="E6633" t="s">
        <v>21</v>
      </c>
      <c r="F6633" t="s">
        <v>17</v>
      </c>
      <c r="G6633" s="1" t="str">
        <f t="shared" si="1455"/>
        <v>...</v>
      </c>
      <c r="H6633" s="1" t="str">
        <f t="shared" si="1455"/>
        <v>...</v>
      </c>
      <c r="I6633" s="1" t="str">
        <f t="shared" si="1455"/>
        <v>...</v>
      </c>
      <c r="J6633" s="1" t="str">
        <f t="shared" si="1455"/>
        <v>...</v>
      </c>
      <c r="K6633" s="1" t="str">
        <f t="shared" si="1455"/>
        <v>...</v>
      </c>
      <c r="L6633" s="1" t="str">
        <f t="shared" si="1455"/>
        <v>...</v>
      </c>
      <c r="M6633" s="1" t="str">
        <f t="shared" si="1455"/>
        <v>...</v>
      </c>
      <c r="N6633" t="s">
        <v>30</v>
      </c>
    </row>
    <row r="6634" spans="1:14" x14ac:dyDescent="0.25">
      <c r="A6634" t="s">
        <v>42</v>
      </c>
      <c r="B6634" t="s">
        <v>39</v>
      </c>
      <c r="C6634" t="s">
        <v>36</v>
      </c>
      <c r="D6634" t="s">
        <v>34</v>
      </c>
      <c r="E6634" t="s">
        <v>21</v>
      </c>
      <c r="F6634" t="s">
        <v>18</v>
      </c>
      <c r="G6634" s="1" t="str">
        <f t="shared" si="1455"/>
        <v>...</v>
      </c>
      <c r="H6634" s="1" t="str">
        <f t="shared" si="1455"/>
        <v>...</v>
      </c>
      <c r="I6634" s="1" t="str">
        <f t="shared" si="1455"/>
        <v>...</v>
      </c>
      <c r="J6634" s="1" t="str">
        <f t="shared" si="1455"/>
        <v>...</v>
      </c>
      <c r="K6634" s="1" t="str">
        <f t="shared" si="1455"/>
        <v>...</v>
      </c>
      <c r="L6634" s="1" t="str">
        <f t="shared" si="1455"/>
        <v>...</v>
      </c>
      <c r="M6634" s="1" t="str">
        <f t="shared" si="1455"/>
        <v>...</v>
      </c>
      <c r="N6634" t="s">
        <v>30</v>
      </c>
    </row>
    <row r="6635" spans="1:14" x14ac:dyDescent="0.25">
      <c r="A6635" t="s">
        <v>42</v>
      </c>
      <c r="B6635" t="s">
        <v>39</v>
      </c>
      <c r="C6635" t="s">
        <v>36</v>
      </c>
      <c r="D6635" t="s">
        <v>34</v>
      </c>
      <c r="E6635" t="s">
        <v>21</v>
      </c>
      <c r="F6635" t="s">
        <v>19</v>
      </c>
      <c r="G6635" s="1" t="str">
        <f t="shared" si="1455"/>
        <v>...</v>
      </c>
      <c r="H6635" s="1" t="str">
        <f t="shared" si="1455"/>
        <v>...</v>
      </c>
      <c r="I6635" s="1" t="str">
        <f t="shared" si="1455"/>
        <v>...</v>
      </c>
      <c r="J6635" s="1" t="str">
        <f t="shared" si="1455"/>
        <v>...</v>
      </c>
      <c r="K6635" s="1" t="str">
        <f t="shared" si="1455"/>
        <v>...</v>
      </c>
      <c r="L6635" s="1" t="str">
        <f t="shared" si="1455"/>
        <v>...</v>
      </c>
      <c r="M6635" s="1" t="str">
        <f t="shared" si="1455"/>
        <v>...</v>
      </c>
      <c r="N6635" t="s">
        <v>30</v>
      </c>
    </row>
    <row r="6636" spans="1:14" x14ac:dyDescent="0.25">
      <c r="A6636" t="s">
        <v>42</v>
      </c>
      <c r="B6636" t="s">
        <v>39</v>
      </c>
      <c r="C6636" t="s">
        <v>36</v>
      </c>
      <c r="D6636" t="s">
        <v>34</v>
      </c>
      <c r="E6636" t="s">
        <v>21</v>
      </c>
      <c r="F6636" t="s">
        <v>20</v>
      </c>
      <c r="G6636" s="1" t="str">
        <f t="shared" si="1455"/>
        <v>...</v>
      </c>
      <c r="H6636" s="1" t="str">
        <f t="shared" si="1455"/>
        <v>...</v>
      </c>
      <c r="I6636" s="1" t="str">
        <f t="shared" si="1455"/>
        <v>...</v>
      </c>
      <c r="J6636" s="1" t="str">
        <f t="shared" si="1455"/>
        <v>...</v>
      </c>
      <c r="K6636" s="1" t="str">
        <f t="shared" si="1455"/>
        <v>...</v>
      </c>
      <c r="L6636" s="1" t="str">
        <f t="shared" si="1455"/>
        <v>...</v>
      </c>
      <c r="M6636" s="1" t="str">
        <f t="shared" si="1455"/>
        <v>...</v>
      </c>
      <c r="N6636" t="s">
        <v>30</v>
      </c>
    </row>
    <row r="6637" spans="1:14" x14ac:dyDescent="0.25">
      <c r="A6637" t="s">
        <v>42</v>
      </c>
      <c r="B6637" t="s">
        <v>39</v>
      </c>
      <c r="C6637" t="s">
        <v>36</v>
      </c>
      <c r="D6637" t="s">
        <v>34</v>
      </c>
      <c r="E6637" t="s">
        <v>22</v>
      </c>
      <c r="F6637" t="s">
        <v>15</v>
      </c>
      <c r="G6637" s="1" t="str">
        <f t="shared" si="1455"/>
        <v>...</v>
      </c>
      <c r="H6637" s="1" t="str">
        <f t="shared" si="1455"/>
        <v>...</v>
      </c>
      <c r="I6637" s="1" t="str">
        <f t="shared" si="1455"/>
        <v>...</v>
      </c>
      <c r="J6637" s="1" t="str">
        <f t="shared" si="1455"/>
        <v>...</v>
      </c>
      <c r="K6637" s="1" t="str">
        <f t="shared" si="1455"/>
        <v>...</v>
      </c>
      <c r="L6637" s="1" t="str">
        <f t="shared" si="1455"/>
        <v>...</v>
      </c>
      <c r="M6637" s="1" t="str">
        <f t="shared" si="1455"/>
        <v>...</v>
      </c>
      <c r="N6637" t="s">
        <v>30</v>
      </c>
    </row>
    <row r="6638" spans="1:14" x14ac:dyDescent="0.25">
      <c r="A6638" t="s">
        <v>42</v>
      </c>
      <c r="B6638" t="s">
        <v>39</v>
      </c>
      <c r="C6638" t="s">
        <v>36</v>
      </c>
      <c r="D6638" t="s">
        <v>34</v>
      </c>
      <c r="E6638" t="s">
        <v>22</v>
      </c>
      <c r="F6638" t="s">
        <v>17</v>
      </c>
      <c r="G6638" s="1" t="str">
        <f t="shared" si="1455"/>
        <v>...</v>
      </c>
      <c r="H6638" s="1" t="str">
        <f t="shared" si="1455"/>
        <v>...</v>
      </c>
      <c r="I6638" s="1" t="str">
        <f t="shared" si="1455"/>
        <v>...</v>
      </c>
      <c r="J6638" s="1" t="str">
        <f t="shared" si="1455"/>
        <v>...</v>
      </c>
      <c r="K6638" s="1" t="str">
        <f t="shared" si="1455"/>
        <v>...</v>
      </c>
      <c r="L6638" s="1" t="str">
        <f t="shared" si="1455"/>
        <v>...</v>
      </c>
      <c r="M6638" s="1" t="str">
        <f t="shared" si="1455"/>
        <v>...</v>
      </c>
      <c r="N6638" t="s">
        <v>30</v>
      </c>
    </row>
    <row r="6639" spans="1:14" x14ac:dyDescent="0.25">
      <c r="A6639" t="s">
        <v>42</v>
      </c>
      <c r="B6639" t="s">
        <v>39</v>
      </c>
      <c r="C6639" t="s">
        <v>36</v>
      </c>
      <c r="D6639" t="s">
        <v>34</v>
      </c>
      <c r="E6639" t="s">
        <v>22</v>
      </c>
      <c r="F6639" t="s">
        <v>18</v>
      </c>
      <c r="G6639" s="1" t="str">
        <f t="shared" si="1455"/>
        <v>...</v>
      </c>
      <c r="H6639" s="1" t="str">
        <f t="shared" si="1455"/>
        <v>...</v>
      </c>
      <c r="I6639" s="1" t="str">
        <f t="shared" si="1455"/>
        <v>...</v>
      </c>
      <c r="J6639" s="1" t="str">
        <f t="shared" si="1455"/>
        <v>...</v>
      </c>
      <c r="K6639" s="1" t="str">
        <f t="shared" si="1455"/>
        <v>...</v>
      </c>
      <c r="L6639" s="1" t="str">
        <f t="shared" si="1455"/>
        <v>...</v>
      </c>
      <c r="M6639" s="1" t="str">
        <f t="shared" si="1455"/>
        <v>...</v>
      </c>
      <c r="N6639" t="s">
        <v>30</v>
      </c>
    </row>
    <row r="6640" spans="1:14" x14ac:dyDescent="0.25">
      <c r="A6640" t="s">
        <v>42</v>
      </c>
      <c r="B6640" t="s">
        <v>39</v>
      </c>
      <c r="C6640" t="s">
        <v>36</v>
      </c>
      <c r="D6640" t="s">
        <v>34</v>
      </c>
      <c r="E6640" t="s">
        <v>22</v>
      </c>
      <c r="F6640" t="s">
        <v>19</v>
      </c>
      <c r="G6640" s="1" t="str">
        <f t="shared" si="1455"/>
        <v>...</v>
      </c>
      <c r="H6640" s="1" t="str">
        <f t="shared" si="1455"/>
        <v>...</v>
      </c>
      <c r="I6640" s="1" t="str">
        <f t="shared" si="1455"/>
        <v>...</v>
      </c>
      <c r="J6640" s="1" t="str">
        <f t="shared" si="1455"/>
        <v>...</v>
      </c>
      <c r="K6640" s="1" t="str">
        <f t="shared" si="1455"/>
        <v>...</v>
      </c>
      <c r="L6640" s="1" t="str">
        <f t="shared" si="1455"/>
        <v>...</v>
      </c>
      <c r="M6640" s="1" t="str">
        <f t="shared" si="1455"/>
        <v>...</v>
      </c>
      <c r="N6640" t="s">
        <v>30</v>
      </c>
    </row>
    <row r="6641" spans="1:14" x14ac:dyDescent="0.25">
      <c r="A6641" t="s">
        <v>42</v>
      </c>
      <c r="B6641" t="s">
        <v>39</v>
      </c>
      <c r="C6641" t="s">
        <v>36</v>
      </c>
      <c r="D6641" t="s">
        <v>34</v>
      </c>
      <c r="E6641" t="s">
        <v>22</v>
      </c>
      <c r="F6641" t="s">
        <v>20</v>
      </c>
      <c r="G6641" s="1" t="str">
        <f t="shared" si="1455"/>
        <v>...</v>
      </c>
      <c r="H6641" s="1" t="str">
        <f t="shared" si="1455"/>
        <v>...</v>
      </c>
      <c r="I6641" s="1" t="str">
        <f t="shared" si="1455"/>
        <v>...</v>
      </c>
      <c r="J6641" s="1" t="str">
        <f t="shared" si="1455"/>
        <v>...</v>
      </c>
      <c r="K6641" s="1" t="str">
        <f t="shared" si="1455"/>
        <v>...</v>
      </c>
      <c r="L6641" s="1" t="str">
        <f t="shared" si="1455"/>
        <v>...</v>
      </c>
      <c r="M6641" s="1" t="str">
        <f t="shared" si="1455"/>
        <v>...</v>
      </c>
      <c r="N6641" t="s">
        <v>30</v>
      </c>
    </row>
    <row r="6642" spans="1:14" x14ac:dyDescent="0.25">
      <c r="A6642" t="s">
        <v>42</v>
      </c>
      <c r="B6642" t="s">
        <v>39</v>
      </c>
      <c r="C6642" t="s">
        <v>36</v>
      </c>
      <c r="D6642" t="s">
        <v>34</v>
      </c>
      <c r="E6642" t="s">
        <v>23</v>
      </c>
      <c r="F6642" t="s">
        <v>15</v>
      </c>
      <c r="G6642" s="1" t="str">
        <f t="shared" ref="G6642:M6642" si="1456">"X"</f>
        <v>X</v>
      </c>
      <c r="H6642" s="1" t="str">
        <f t="shared" si="1456"/>
        <v>X</v>
      </c>
      <c r="I6642" s="1" t="str">
        <f t="shared" si="1456"/>
        <v>X</v>
      </c>
      <c r="J6642" s="1" t="str">
        <f t="shared" si="1456"/>
        <v>X</v>
      </c>
      <c r="K6642" s="1" t="str">
        <f t="shared" si="1456"/>
        <v>X</v>
      </c>
      <c r="L6642" s="1" t="str">
        <f t="shared" si="1456"/>
        <v>X</v>
      </c>
      <c r="M6642" s="1" t="str">
        <f t="shared" si="1456"/>
        <v>X</v>
      </c>
      <c r="N6642" t="s">
        <v>27</v>
      </c>
    </row>
    <row r="6643" spans="1:14" x14ac:dyDescent="0.25">
      <c r="A6643" t="s">
        <v>42</v>
      </c>
      <c r="B6643" t="s">
        <v>39</v>
      </c>
      <c r="C6643" t="s">
        <v>36</v>
      </c>
      <c r="D6643" t="s">
        <v>34</v>
      </c>
      <c r="E6643" t="s">
        <v>23</v>
      </c>
      <c r="F6643" t="s">
        <v>17</v>
      </c>
      <c r="G6643" s="1" t="str">
        <f t="shared" ref="G6643:M6645" si="1457">"..."</f>
        <v>...</v>
      </c>
      <c r="H6643" s="1" t="str">
        <f t="shared" si="1457"/>
        <v>...</v>
      </c>
      <c r="I6643" s="1" t="str">
        <f t="shared" si="1457"/>
        <v>...</v>
      </c>
      <c r="J6643" s="1" t="str">
        <f t="shared" si="1457"/>
        <v>...</v>
      </c>
      <c r="K6643" s="1" t="str">
        <f t="shared" si="1457"/>
        <v>...</v>
      </c>
      <c r="L6643" s="1" t="str">
        <f t="shared" si="1457"/>
        <v>...</v>
      </c>
      <c r="M6643" s="1" t="str">
        <f t="shared" si="1457"/>
        <v>...</v>
      </c>
      <c r="N6643" t="s">
        <v>30</v>
      </c>
    </row>
    <row r="6644" spans="1:14" x14ac:dyDescent="0.25">
      <c r="A6644" t="s">
        <v>42</v>
      </c>
      <c r="B6644" t="s">
        <v>39</v>
      </c>
      <c r="C6644" t="s">
        <v>36</v>
      </c>
      <c r="D6644" t="s">
        <v>34</v>
      </c>
      <c r="E6644" t="s">
        <v>23</v>
      </c>
      <c r="F6644" t="s">
        <v>18</v>
      </c>
      <c r="G6644" s="1" t="str">
        <f t="shared" si="1457"/>
        <v>...</v>
      </c>
      <c r="H6644" s="1" t="str">
        <f t="shared" si="1457"/>
        <v>...</v>
      </c>
      <c r="I6644" s="1" t="str">
        <f t="shared" si="1457"/>
        <v>...</v>
      </c>
      <c r="J6644" s="1" t="str">
        <f t="shared" si="1457"/>
        <v>...</v>
      </c>
      <c r="K6644" s="1" t="str">
        <f t="shared" si="1457"/>
        <v>...</v>
      </c>
      <c r="L6644" s="1" t="str">
        <f t="shared" si="1457"/>
        <v>...</v>
      </c>
      <c r="M6644" s="1" t="str">
        <f t="shared" si="1457"/>
        <v>...</v>
      </c>
      <c r="N6644" t="s">
        <v>30</v>
      </c>
    </row>
    <row r="6645" spans="1:14" x14ac:dyDescent="0.25">
      <c r="A6645" t="s">
        <v>42</v>
      </c>
      <c r="B6645" t="s">
        <v>39</v>
      </c>
      <c r="C6645" t="s">
        <v>36</v>
      </c>
      <c r="D6645" t="s">
        <v>34</v>
      </c>
      <c r="E6645" t="s">
        <v>23</v>
      </c>
      <c r="F6645" t="s">
        <v>19</v>
      </c>
      <c r="G6645" s="1" t="str">
        <f t="shared" si="1457"/>
        <v>...</v>
      </c>
      <c r="H6645" s="1" t="str">
        <f t="shared" si="1457"/>
        <v>...</v>
      </c>
      <c r="I6645" s="1" t="str">
        <f t="shared" si="1457"/>
        <v>...</v>
      </c>
      <c r="J6645" s="1" t="str">
        <f t="shared" si="1457"/>
        <v>...</v>
      </c>
      <c r="K6645" s="1" t="str">
        <f t="shared" si="1457"/>
        <v>...</v>
      </c>
      <c r="L6645" s="1" t="str">
        <f t="shared" si="1457"/>
        <v>...</v>
      </c>
      <c r="M6645" s="1" t="str">
        <f t="shared" si="1457"/>
        <v>...</v>
      </c>
      <c r="N6645" t="s">
        <v>30</v>
      </c>
    </row>
    <row r="6646" spans="1:14" x14ac:dyDescent="0.25">
      <c r="A6646" t="s">
        <v>42</v>
      </c>
      <c r="B6646" t="s">
        <v>39</v>
      </c>
      <c r="C6646" t="s">
        <v>36</v>
      </c>
      <c r="D6646" t="s">
        <v>34</v>
      </c>
      <c r="E6646" t="s">
        <v>23</v>
      </c>
      <c r="F6646" t="s">
        <v>20</v>
      </c>
      <c r="G6646" s="1" t="str">
        <f t="shared" ref="G6646:M6647" si="1458">"X"</f>
        <v>X</v>
      </c>
      <c r="H6646" s="1" t="str">
        <f t="shared" si="1458"/>
        <v>X</v>
      </c>
      <c r="I6646" s="1" t="str">
        <f t="shared" si="1458"/>
        <v>X</v>
      </c>
      <c r="J6646" s="1" t="str">
        <f t="shared" si="1458"/>
        <v>X</v>
      </c>
      <c r="K6646" s="1" t="str">
        <f t="shared" si="1458"/>
        <v>X</v>
      </c>
      <c r="L6646" s="1" t="str">
        <f t="shared" si="1458"/>
        <v>X</v>
      </c>
      <c r="M6646" s="1" t="str">
        <f t="shared" si="1458"/>
        <v>X</v>
      </c>
      <c r="N6646" t="s">
        <v>27</v>
      </c>
    </row>
    <row r="6647" spans="1:14" x14ac:dyDescent="0.25">
      <c r="A6647" t="s">
        <v>42</v>
      </c>
      <c r="B6647" t="s">
        <v>39</v>
      </c>
      <c r="C6647" t="s">
        <v>36</v>
      </c>
      <c r="D6647" t="s">
        <v>34</v>
      </c>
      <c r="E6647" t="s">
        <v>26</v>
      </c>
      <c r="F6647" t="s">
        <v>15</v>
      </c>
      <c r="G6647" s="1" t="str">
        <f t="shared" si="1458"/>
        <v>X</v>
      </c>
      <c r="H6647" s="1" t="str">
        <f t="shared" si="1458"/>
        <v>X</v>
      </c>
      <c r="I6647" s="1" t="str">
        <f t="shared" si="1458"/>
        <v>X</v>
      </c>
      <c r="J6647" s="1" t="str">
        <f t="shared" si="1458"/>
        <v>X</v>
      </c>
      <c r="K6647" s="1" t="str">
        <f t="shared" si="1458"/>
        <v>X</v>
      </c>
      <c r="L6647" s="1" t="str">
        <f t="shared" si="1458"/>
        <v>X</v>
      </c>
      <c r="M6647" s="1" t="str">
        <f t="shared" si="1458"/>
        <v>X</v>
      </c>
      <c r="N6647" t="s">
        <v>27</v>
      </c>
    </row>
    <row r="6648" spans="1:14" x14ac:dyDescent="0.25">
      <c r="A6648" t="s">
        <v>42</v>
      </c>
      <c r="B6648" t="s">
        <v>39</v>
      </c>
      <c r="C6648" t="s">
        <v>36</v>
      </c>
      <c r="D6648" t="s">
        <v>34</v>
      </c>
      <c r="E6648" t="s">
        <v>26</v>
      </c>
      <c r="F6648" t="s">
        <v>17</v>
      </c>
      <c r="G6648" s="1" t="str">
        <f t="shared" ref="G6648:M6650" si="1459">"..."</f>
        <v>...</v>
      </c>
      <c r="H6648" s="1" t="str">
        <f t="shared" si="1459"/>
        <v>...</v>
      </c>
      <c r="I6648" s="1" t="str">
        <f t="shared" si="1459"/>
        <v>...</v>
      </c>
      <c r="J6648" s="1" t="str">
        <f t="shared" si="1459"/>
        <v>...</v>
      </c>
      <c r="K6648" s="1" t="str">
        <f t="shared" si="1459"/>
        <v>...</v>
      </c>
      <c r="L6648" s="1" t="str">
        <f t="shared" si="1459"/>
        <v>...</v>
      </c>
      <c r="M6648" s="1" t="str">
        <f t="shared" si="1459"/>
        <v>...</v>
      </c>
      <c r="N6648" t="s">
        <v>30</v>
      </c>
    </row>
    <row r="6649" spans="1:14" x14ac:dyDescent="0.25">
      <c r="A6649" t="s">
        <v>42</v>
      </c>
      <c r="B6649" t="s">
        <v>39</v>
      </c>
      <c r="C6649" t="s">
        <v>36</v>
      </c>
      <c r="D6649" t="s">
        <v>34</v>
      </c>
      <c r="E6649" t="s">
        <v>26</v>
      </c>
      <c r="F6649" t="s">
        <v>18</v>
      </c>
      <c r="G6649" s="1" t="str">
        <f t="shared" si="1459"/>
        <v>...</v>
      </c>
      <c r="H6649" s="1" t="str">
        <f t="shared" si="1459"/>
        <v>...</v>
      </c>
      <c r="I6649" s="1" t="str">
        <f t="shared" si="1459"/>
        <v>...</v>
      </c>
      <c r="J6649" s="1" t="str">
        <f t="shared" si="1459"/>
        <v>...</v>
      </c>
      <c r="K6649" s="1" t="str">
        <f t="shared" si="1459"/>
        <v>...</v>
      </c>
      <c r="L6649" s="1" t="str">
        <f t="shared" si="1459"/>
        <v>...</v>
      </c>
      <c r="M6649" s="1" t="str">
        <f t="shared" si="1459"/>
        <v>...</v>
      </c>
      <c r="N6649" t="s">
        <v>30</v>
      </c>
    </row>
    <row r="6650" spans="1:14" x14ac:dyDescent="0.25">
      <c r="A6650" t="s">
        <v>42</v>
      </c>
      <c r="B6650" t="s">
        <v>39</v>
      </c>
      <c r="C6650" t="s">
        <v>36</v>
      </c>
      <c r="D6650" t="s">
        <v>34</v>
      </c>
      <c r="E6650" t="s">
        <v>26</v>
      </c>
      <c r="F6650" t="s">
        <v>19</v>
      </c>
      <c r="G6650" s="1" t="str">
        <f t="shared" si="1459"/>
        <v>...</v>
      </c>
      <c r="H6650" s="1" t="str">
        <f t="shared" si="1459"/>
        <v>...</v>
      </c>
      <c r="I6650" s="1" t="str">
        <f t="shared" si="1459"/>
        <v>...</v>
      </c>
      <c r="J6650" s="1" t="str">
        <f t="shared" si="1459"/>
        <v>...</v>
      </c>
      <c r="K6650" s="1" t="str">
        <f t="shared" si="1459"/>
        <v>...</v>
      </c>
      <c r="L6650" s="1" t="str">
        <f t="shared" si="1459"/>
        <v>...</v>
      </c>
      <c r="M6650" s="1" t="str">
        <f t="shared" si="1459"/>
        <v>...</v>
      </c>
      <c r="N6650" t="s">
        <v>30</v>
      </c>
    </row>
    <row r="6651" spans="1:14" x14ac:dyDescent="0.25">
      <c r="A6651" t="s">
        <v>42</v>
      </c>
      <c r="B6651" t="s">
        <v>39</v>
      </c>
      <c r="C6651" t="s">
        <v>36</v>
      </c>
      <c r="D6651" t="s">
        <v>34</v>
      </c>
      <c r="E6651" t="s">
        <v>26</v>
      </c>
      <c r="F6651" t="s">
        <v>20</v>
      </c>
      <c r="G6651" s="1" t="str">
        <f t="shared" ref="G6651:M6651" si="1460">"X"</f>
        <v>X</v>
      </c>
      <c r="H6651" s="1" t="str">
        <f t="shared" si="1460"/>
        <v>X</v>
      </c>
      <c r="I6651" s="1" t="str">
        <f t="shared" si="1460"/>
        <v>X</v>
      </c>
      <c r="J6651" s="1" t="str">
        <f t="shared" si="1460"/>
        <v>X</v>
      </c>
      <c r="K6651" s="1" t="str">
        <f t="shared" si="1460"/>
        <v>X</v>
      </c>
      <c r="L6651" s="1" t="str">
        <f t="shared" si="1460"/>
        <v>X</v>
      </c>
      <c r="M6651" s="1" t="str">
        <f t="shared" si="1460"/>
        <v>X</v>
      </c>
      <c r="N6651" t="s">
        <v>27</v>
      </c>
    </row>
    <row r="6652" spans="1:14" x14ac:dyDescent="0.25">
      <c r="A6652" t="s">
        <v>42</v>
      </c>
      <c r="B6652" t="s">
        <v>39</v>
      </c>
      <c r="C6652" t="s">
        <v>37</v>
      </c>
      <c r="D6652" t="s">
        <v>15</v>
      </c>
      <c r="E6652" t="s">
        <v>15</v>
      </c>
      <c r="F6652" t="s">
        <v>15</v>
      </c>
      <c r="G6652" s="1">
        <f>VALUE(32040.87)</f>
        <v>32040.87</v>
      </c>
      <c r="H6652" s="1">
        <f>VALUE(32315.58)</f>
        <v>32315.58</v>
      </c>
      <c r="I6652" s="1">
        <f>VALUE(3817)</f>
        <v>3817</v>
      </c>
      <c r="J6652" s="1">
        <f>VALUE(4588)</f>
        <v>4588</v>
      </c>
      <c r="K6652" s="1">
        <f>VALUE(5714)</f>
        <v>5714</v>
      </c>
      <c r="L6652" s="1">
        <f>VALUE(7291)</f>
        <v>7291</v>
      </c>
      <c r="M6652" s="1">
        <f>VALUE(10317)</f>
        <v>10317</v>
      </c>
      <c r="N6652" t="s">
        <v>16</v>
      </c>
    </row>
    <row r="6653" spans="1:14" x14ac:dyDescent="0.25">
      <c r="A6653" t="s">
        <v>42</v>
      </c>
      <c r="B6653" t="s">
        <v>39</v>
      </c>
      <c r="C6653" t="s">
        <v>37</v>
      </c>
      <c r="D6653" t="s">
        <v>15</v>
      </c>
      <c r="E6653" t="s">
        <v>15</v>
      </c>
      <c r="F6653" t="s">
        <v>17</v>
      </c>
      <c r="G6653" s="1">
        <f>VALUE(6313.33)</f>
        <v>6313.33</v>
      </c>
      <c r="H6653" s="1">
        <f>VALUE(6403.71)</f>
        <v>6403.71</v>
      </c>
      <c r="I6653" s="1">
        <f>VALUE(4535)</f>
        <v>4535</v>
      </c>
      <c r="J6653" s="1">
        <f>VALUE(6263)</f>
        <v>6263</v>
      </c>
      <c r="K6653" s="1">
        <f>VALUE(8667)</f>
        <v>8667</v>
      </c>
      <c r="L6653" s="1">
        <f>VALUE(12175)</f>
        <v>12175</v>
      </c>
      <c r="M6653" s="1">
        <f>VALUE(17460)</f>
        <v>17460</v>
      </c>
      <c r="N6653" t="s">
        <v>16</v>
      </c>
    </row>
    <row r="6654" spans="1:14" x14ac:dyDescent="0.25">
      <c r="A6654" t="s">
        <v>42</v>
      </c>
      <c r="B6654" t="s">
        <v>39</v>
      </c>
      <c r="C6654" t="s">
        <v>37</v>
      </c>
      <c r="D6654" t="s">
        <v>15</v>
      </c>
      <c r="E6654" t="s">
        <v>15</v>
      </c>
      <c r="F6654" t="s">
        <v>18</v>
      </c>
      <c r="G6654" s="1">
        <f>VALUE(2995.76)</f>
        <v>2995.76</v>
      </c>
      <c r="H6654" s="1">
        <f>VALUE(2949.05)</f>
        <v>2949.05</v>
      </c>
      <c r="I6654" s="1">
        <f>VALUE(4550)</f>
        <v>4550</v>
      </c>
      <c r="J6654" s="1">
        <f>VALUE(5362)</f>
        <v>5362</v>
      </c>
      <c r="K6654" s="1">
        <f>VALUE(6807)</f>
        <v>6807</v>
      </c>
      <c r="L6654" s="1">
        <f>VALUE(8620)</f>
        <v>8620</v>
      </c>
      <c r="M6654" s="1">
        <f>VALUE(10836)</f>
        <v>10836</v>
      </c>
      <c r="N6654" t="s">
        <v>16</v>
      </c>
    </row>
    <row r="6655" spans="1:14" x14ac:dyDescent="0.25">
      <c r="A6655" t="s">
        <v>42</v>
      </c>
      <c r="B6655" t="s">
        <v>39</v>
      </c>
      <c r="C6655" t="s">
        <v>37</v>
      </c>
      <c r="D6655" t="s">
        <v>15</v>
      </c>
      <c r="E6655" t="s">
        <v>15</v>
      </c>
      <c r="F6655" t="s">
        <v>19</v>
      </c>
      <c r="G6655" s="1">
        <f>VALUE(3959.87)</f>
        <v>3959.87</v>
      </c>
      <c r="H6655" s="1">
        <f>VALUE(3998)</f>
        <v>3998</v>
      </c>
      <c r="I6655" s="1">
        <f>VALUE(4075)</f>
        <v>4075</v>
      </c>
      <c r="J6655" s="1">
        <f>VALUE(4718)</f>
        <v>4718</v>
      </c>
      <c r="K6655" s="1">
        <f>VALUE(5698)</f>
        <v>5698</v>
      </c>
      <c r="L6655" s="1">
        <f>VALUE(6849)</f>
        <v>6849</v>
      </c>
      <c r="M6655" s="1">
        <f>VALUE(8442)</f>
        <v>8442</v>
      </c>
      <c r="N6655" t="s">
        <v>16</v>
      </c>
    </row>
    <row r="6656" spans="1:14" x14ac:dyDescent="0.25">
      <c r="A6656" t="s">
        <v>42</v>
      </c>
      <c r="B6656" t="s">
        <v>39</v>
      </c>
      <c r="C6656" t="s">
        <v>37</v>
      </c>
      <c r="D6656" t="s">
        <v>15</v>
      </c>
      <c r="E6656" t="s">
        <v>15</v>
      </c>
      <c r="F6656" t="s">
        <v>20</v>
      </c>
      <c r="G6656" s="1">
        <f>VALUE(18771.91)</f>
        <v>18771.91</v>
      </c>
      <c r="H6656" s="1">
        <f>VALUE(18964.82)</f>
        <v>18964.82</v>
      </c>
      <c r="I6656" s="1">
        <f>VALUE(3628)</f>
        <v>3628</v>
      </c>
      <c r="J6656" s="1">
        <f>VALUE(4320)</f>
        <v>4320</v>
      </c>
      <c r="K6656" s="1">
        <f>VALUE(5294)</f>
        <v>5294</v>
      </c>
      <c r="L6656" s="1">
        <f>VALUE(6222)</f>
        <v>6222</v>
      </c>
      <c r="M6656" s="1">
        <f>VALUE(7325)</f>
        <v>7325</v>
      </c>
      <c r="N6656" t="s">
        <v>16</v>
      </c>
    </row>
    <row r="6657" spans="1:14" x14ac:dyDescent="0.25">
      <c r="A6657" t="s">
        <v>42</v>
      </c>
      <c r="B6657" t="s">
        <v>39</v>
      </c>
      <c r="C6657" t="s">
        <v>37</v>
      </c>
      <c r="D6657" t="s">
        <v>15</v>
      </c>
      <c r="E6657" t="s">
        <v>21</v>
      </c>
      <c r="F6657" t="s">
        <v>15</v>
      </c>
      <c r="G6657" s="1">
        <f>VALUE(7426.44)</f>
        <v>7426.44</v>
      </c>
      <c r="H6657" s="1">
        <f>VALUE(7214.74)</f>
        <v>7214.74</v>
      </c>
      <c r="I6657" s="1">
        <f>VALUE(4815)</f>
        <v>4815</v>
      </c>
      <c r="J6657" s="1">
        <f>VALUE(6309)</f>
        <v>6309</v>
      </c>
      <c r="K6657" s="1">
        <f>VALUE(8286)</f>
        <v>8286</v>
      </c>
      <c r="L6657" s="1">
        <f>VALUE(11177)</f>
        <v>11177</v>
      </c>
      <c r="M6657" s="1">
        <f>VALUE(15198)</f>
        <v>15198</v>
      </c>
      <c r="N6657" t="s">
        <v>16</v>
      </c>
    </row>
    <row r="6658" spans="1:14" x14ac:dyDescent="0.25">
      <c r="A6658" t="s">
        <v>42</v>
      </c>
      <c r="B6658" t="s">
        <v>39</v>
      </c>
      <c r="C6658" t="s">
        <v>37</v>
      </c>
      <c r="D6658" t="s">
        <v>15</v>
      </c>
      <c r="E6658" t="s">
        <v>21</v>
      </c>
      <c r="F6658" t="s">
        <v>17</v>
      </c>
      <c r="G6658" s="1">
        <f>VALUE(3303.27)</f>
        <v>3303.27</v>
      </c>
      <c r="H6658" s="1">
        <f>VALUE(3318.93)</f>
        <v>3318.93</v>
      </c>
      <c r="I6658" s="4">
        <f>VALUE(5469)</f>
        <v>5469</v>
      </c>
      <c r="J6658" s="1">
        <f>VALUE(7681)</f>
        <v>7681</v>
      </c>
      <c r="K6658" s="1">
        <f>VALUE(10317)</f>
        <v>10317</v>
      </c>
      <c r="L6658" s="1">
        <f>VALUE(13491)</f>
        <v>13491</v>
      </c>
      <c r="M6658" s="8">
        <f>VALUE(19822)</f>
        <v>19822</v>
      </c>
      <c r="N6658" t="s">
        <v>25</v>
      </c>
    </row>
    <row r="6659" spans="1:14" x14ac:dyDescent="0.25">
      <c r="A6659" t="s">
        <v>42</v>
      </c>
      <c r="B6659" t="s">
        <v>39</v>
      </c>
      <c r="C6659" t="s">
        <v>37</v>
      </c>
      <c r="D6659" t="s">
        <v>15</v>
      </c>
      <c r="E6659" t="s">
        <v>21</v>
      </c>
      <c r="F6659" t="s">
        <v>18</v>
      </c>
      <c r="G6659" s="2">
        <f>VALUE(1214.11)</f>
        <v>1214.1099999999999</v>
      </c>
      <c r="H6659" s="3">
        <f>VALUE(1158.39)</f>
        <v>1158.3900000000001</v>
      </c>
      <c r="I6659" s="1">
        <f>VALUE(5330)</f>
        <v>5330</v>
      </c>
      <c r="J6659" s="1">
        <f>VALUE(6817)</f>
        <v>6817</v>
      </c>
      <c r="K6659" s="1">
        <f>VALUE(8317)</f>
        <v>8317</v>
      </c>
      <c r="L6659" s="1">
        <f>VALUE(10317)</f>
        <v>10317</v>
      </c>
      <c r="M6659" s="8">
        <f>VALUE(12890)</f>
        <v>12890</v>
      </c>
      <c r="N6659" t="s">
        <v>25</v>
      </c>
    </row>
    <row r="6660" spans="1:14" x14ac:dyDescent="0.25">
      <c r="A6660" t="s">
        <v>42</v>
      </c>
      <c r="B6660" t="s">
        <v>39</v>
      </c>
      <c r="C6660" t="s">
        <v>37</v>
      </c>
      <c r="D6660" t="s">
        <v>15</v>
      </c>
      <c r="E6660" t="s">
        <v>21</v>
      </c>
      <c r="F6660" t="s">
        <v>19</v>
      </c>
      <c r="G6660" s="2">
        <f>VALUE(820.95)</f>
        <v>820.95</v>
      </c>
      <c r="H6660" s="3">
        <f>VALUE(806.7)</f>
        <v>806.7</v>
      </c>
      <c r="I6660" s="4">
        <f>VALUE(4033)</f>
        <v>4033</v>
      </c>
      <c r="J6660" s="5">
        <f>VALUE(5388)</f>
        <v>5388</v>
      </c>
      <c r="K6660" s="1">
        <f>VALUE(6686)</f>
        <v>6686</v>
      </c>
      <c r="L6660" s="1">
        <f>VALUE(8660)</f>
        <v>8660</v>
      </c>
      <c r="M6660" s="8">
        <f>VALUE(11211)</f>
        <v>11211</v>
      </c>
      <c r="N6660" t="s">
        <v>25</v>
      </c>
    </row>
    <row r="6661" spans="1:14" x14ac:dyDescent="0.25">
      <c r="A6661" t="s">
        <v>42</v>
      </c>
      <c r="B6661" t="s">
        <v>39</v>
      </c>
      <c r="C6661" t="s">
        <v>37</v>
      </c>
      <c r="D6661" t="s">
        <v>15</v>
      </c>
      <c r="E6661" t="s">
        <v>21</v>
      </c>
      <c r="F6661" t="s">
        <v>20</v>
      </c>
      <c r="G6661" s="1">
        <f>VALUE(2088.11)</f>
        <v>2088.11</v>
      </c>
      <c r="H6661" s="1">
        <f>VALUE(1930.72)</f>
        <v>1930.72</v>
      </c>
      <c r="I6661" s="1">
        <f>VALUE(4152)</f>
        <v>4152</v>
      </c>
      <c r="J6661" s="1">
        <f>VALUE(5508)</f>
        <v>5508</v>
      </c>
      <c r="K6661" s="1">
        <f>VALUE(7008)</f>
        <v>7008</v>
      </c>
      <c r="L6661" s="1">
        <f>VALUE(8333)</f>
        <v>8333</v>
      </c>
      <c r="M6661" s="1">
        <f>VALUE(9996)</f>
        <v>9996</v>
      </c>
      <c r="N6661" t="s">
        <v>16</v>
      </c>
    </row>
    <row r="6662" spans="1:14" x14ac:dyDescent="0.25">
      <c r="A6662" t="s">
        <v>42</v>
      </c>
      <c r="B6662" t="s">
        <v>39</v>
      </c>
      <c r="C6662" t="s">
        <v>37</v>
      </c>
      <c r="D6662" t="s">
        <v>15</v>
      </c>
      <c r="E6662" t="s">
        <v>22</v>
      </c>
      <c r="F6662" t="s">
        <v>15</v>
      </c>
      <c r="G6662" s="1">
        <f>VALUE(13875.62)</f>
        <v>13875.62</v>
      </c>
      <c r="H6662" s="1">
        <f>VALUE(14021.36)</f>
        <v>14021.36</v>
      </c>
      <c r="I6662" s="1">
        <f>VALUE(4159)</f>
        <v>4159</v>
      </c>
      <c r="J6662" s="1">
        <f>VALUE(4893)</f>
        <v>4893</v>
      </c>
      <c r="K6662" s="1">
        <f>VALUE(5833)</f>
        <v>5833</v>
      </c>
      <c r="L6662" s="1">
        <f>VALUE(7001)</f>
        <v>7001</v>
      </c>
      <c r="M6662" s="1">
        <f>VALUE(8740)</f>
        <v>8740</v>
      </c>
      <c r="N6662" t="s">
        <v>16</v>
      </c>
    </row>
    <row r="6663" spans="1:14" x14ac:dyDescent="0.25">
      <c r="A6663" t="s">
        <v>42</v>
      </c>
      <c r="B6663" t="s">
        <v>39</v>
      </c>
      <c r="C6663" t="s">
        <v>37</v>
      </c>
      <c r="D6663" t="s">
        <v>15</v>
      </c>
      <c r="E6663" t="s">
        <v>22</v>
      </c>
      <c r="F6663" t="s">
        <v>17</v>
      </c>
      <c r="G6663" s="1">
        <f>VALUE(2487.1)</f>
        <v>2487.1</v>
      </c>
      <c r="H6663" s="1">
        <f>VALUE(2557.6)</f>
        <v>2557.6</v>
      </c>
      <c r="I6663" s="1">
        <f>VALUE(4478)</f>
        <v>4478</v>
      </c>
      <c r="J6663" s="1">
        <f>VALUE(5851)</f>
        <v>5851</v>
      </c>
      <c r="K6663" s="1">
        <f>VALUE(7467)</f>
        <v>7467</v>
      </c>
      <c r="L6663" s="1">
        <f>VALUE(10452)</f>
        <v>10452</v>
      </c>
      <c r="M6663" s="1">
        <f>VALUE(14988)</f>
        <v>14988</v>
      </c>
      <c r="N6663" t="s">
        <v>16</v>
      </c>
    </row>
    <row r="6664" spans="1:14" x14ac:dyDescent="0.25">
      <c r="A6664" t="s">
        <v>42</v>
      </c>
      <c r="B6664" t="s">
        <v>39</v>
      </c>
      <c r="C6664" t="s">
        <v>37</v>
      </c>
      <c r="D6664" t="s">
        <v>15</v>
      </c>
      <c r="E6664" t="s">
        <v>22</v>
      </c>
      <c r="F6664" t="s">
        <v>18</v>
      </c>
      <c r="G6664" s="2">
        <f>VALUE(1256.52)</f>
        <v>1256.52</v>
      </c>
      <c r="H6664" s="3">
        <f>VALUE(1254.02)</f>
        <v>1254.02</v>
      </c>
      <c r="I6664" s="1">
        <f>VALUE(4644)</f>
        <v>4644</v>
      </c>
      <c r="J6664" s="1">
        <f>VALUE(5334)</f>
        <v>5334</v>
      </c>
      <c r="K6664" s="1">
        <f>VALUE(6220)</f>
        <v>6220</v>
      </c>
      <c r="L6664" s="1">
        <f>VALUE(7875)</f>
        <v>7875</v>
      </c>
      <c r="M6664" s="1">
        <f>VALUE(9167)</f>
        <v>9167</v>
      </c>
      <c r="N6664" t="s">
        <v>25</v>
      </c>
    </row>
    <row r="6665" spans="1:14" x14ac:dyDescent="0.25">
      <c r="A6665" t="s">
        <v>42</v>
      </c>
      <c r="B6665" t="s">
        <v>39</v>
      </c>
      <c r="C6665" t="s">
        <v>37</v>
      </c>
      <c r="D6665" t="s">
        <v>15</v>
      </c>
      <c r="E6665" t="s">
        <v>22</v>
      </c>
      <c r="F6665" t="s">
        <v>19</v>
      </c>
      <c r="G6665" s="1">
        <f>VALUE(2122.31)</f>
        <v>2122.31</v>
      </c>
      <c r="H6665" s="1">
        <f>VALUE(2134.51)</f>
        <v>2134.5100000000002</v>
      </c>
      <c r="I6665" s="1">
        <f>VALUE(4238)</f>
        <v>4238</v>
      </c>
      <c r="J6665" s="1">
        <f>VALUE(4878)</f>
        <v>4878</v>
      </c>
      <c r="K6665" s="1">
        <f>VALUE(5714)</f>
        <v>5714</v>
      </c>
      <c r="L6665" s="1">
        <f>VALUE(6849)</f>
        <v>6849</v>
      </c>
      <c r="M6665" s="1">
        <f>VALUE(8185)</f>
        <v>8185</v>
      </c>
      <c r="N6665" t="s">
        <v>16</v>
      </c>
    </row>
    <row r="6666" spans="1:14" x14ac:dyDescent="0.25">
      <c r="A6666" t="s">
        <v>42</v>
      </c>
      <c r="B6666" t="s">
        <v>39</v>
      </c>
      <c r="C6666" t="s">
        <v>37</v>
      </c>
      <c r="D6666" t="s">
        <v>15</v>
      </c>
      <c r="E6666" t="s">
        <v>22</v>
      </c>
      <c r="F6666" t="s">
        <v>20</v>
      </c>
      <c r="G6666" s="1">
        <f>VALUE(8009.69)</f>
        <v>8009.69</v>
      </c>
      <c r="H6666" s="1">
        <f>VALUE(8075.23)</f>
        <v>8075.23</v>
      </c>
      <c r="I6666" s="1">
        <f>VALUE(4024)</f>
        <v>4024</v>
      </c>
      <c r="J6666" s="1">
        <f>VALUE(4711)</f>
        <v>4711</v>
      </c>
      <c r="K6666" s="1">
        <f>VALUE(5557)</f>
        <v>5557</v>
      </c>
      <c r="L6666" s="1">
        <f>VALUE(6370)</f>
        <v>6370</v>
      </c>
      <c r="M6666" s="1">
        <f>VALUE(7284)</f>
        <v>7284</v>
      </c>
      <c r="N6666" t="s">
        <v>16</v>
      </c>
    </row>
    <row r="6667" spans="1:14" x14ac:dyDescent="0.25">
      <c r="A6667" t="s">
        <v>42</v>
      </c>
      <c r="B6667" t="s">
        <v>39</v>
      </c>
      <c r="C6667" t="s">
        <v>37</v>
      </c>
      <c r="D6667" t="s">
        <v>15</v>
      </c>
      <c r="E6667" t="s">
        <v>23</v>
      </c>
      <c r="F6667" t="s">
        <v>15</v>
      </c>
      <c r="G6667" s="1">
        <f>VALUE(9700.25)</f>
        <v>9700.25</v>
      </c>
      <c r="H6667" s="1">
        <f>VALUE(10027.27)</f>
        <v>10027.27</v>
      </c>
      <c r="I6667" s="1">
        <f>VALUE(3499)</f>
        <v>3499</v>
      </c>
      <c r="J6667" s="1">
        <f>VALUE(4024)</f>
        <v>4024</v>
      </c>
      <c r="K6667" s="1">
        <f>VALUE(4736)</f>
        <v>4736</v>
      </c>
      <c r="L6667" s="1">
        <f>VALUE(5674)</f>
        <v>5674</v>
      </c>
      <c r="M6667" s="1">
        <f>VALUE(6403)</f>
        <v>6403</v>
      </c>
      <c r="N6667" t="s">
        <v>16</v>
      </c>
    </row>
    <row r="6668" spans="1:14" x14ac:dyDescent="0.25">
      <c r="A6668" t="s">
        <v>42</v>
      </c>
      <c r="B6668" t="s">
        <v>39</v>
      </c>
      <c r="C6668" t="s">
        <v>37</v>
      </c>
      <c r="D6668" t="s">
        <v>15</v>
      </c>
      <c r="E6668" t="s">
        <v>23</v>
      </c>
      <c r="F6668" t="s">
        <v>17</v>
      </c>
      <c r="G6668" s="2">
        <f>VALUE(395.5)</f>
        <v>395.5</v>
      </c>
      <c r="H6668" s="3">
        <f>VALUE(405.37)</f>
        <v>405.37</v>
      </c>
      <c r="I6668" s="4">
        <f>VALUE(3140)</f>
        <v>3140</v>
      </c>
      <c r="J6668" s="5">
        <f>VALUE(3782)</f>
        <v>3782</v>
      </c>
      <c r="K6668" s="6">
        <f>VALUE(4897)</f>
        <v>4897</v>
      </c>
      <c r="L6668" s="7">
        <f>VALUE(6900)</f>
        <v>6900</v>
      </c>
      <c r="M6668" s="8">
        <f>VALUE(8995)</f>
        <v>8995</v>
      </c>
      <c r="N6668" t="s">
        <v>24</v>
      </c>
    </row>
    <row r="6669" spans="1:14" x14ac:dyDescent="0.25">
      <c r="A6669" t="s">
        <v>42</v>
      </c>
      <c r="B6669" t="s">
        <v>39</v>
      </c>
      <c r="C6669" t="s">
        <v>37</v>
      </c>
      <c r="D6669" t="s">
        <v>15</v>
      </c>
      <c r="E6669" t="s">
        <v>23</v>
      </c>
      <c r="F6669" t="s">
        <v>18</v>
      </c>
      <c r="G6669" s="2">
        <f>VALUE(467.1)</f>
        <v>467.1</v>
      </c>
      <c r="H6669" s="3">
        <f>VALUE(479.71)</f>
        <v>479.71</v>
      </c>
      <c r="I6669" s="1">
        <f>VALUE(3940)</f>
        <v>3940</v>
      </c>
      <c r="J6669" s="5">
        <f>VALUE(4117)</f>
        <v>4117</v>
      </c>
      <c r="K6669" s="1">
        <f>VALUE(5195)</f>
        <v>5195</v>
      </c>
      <c r="L6669" s="1">
        <f>VALUE(5754)</f>
        <v>5754</v>
      </c>
      <c r="M6669" s="1">
        <f>VALUE(6807)</f>
        <v>6807</v>
      </c>
      <c r="N6669" t="s">
        <v>25</v>
      </c>
    </row>
    <row r="6670" spans="1:14" x14ac:dyDescent="0.25">
      <c r="A6670" t="s">
        <v>42</v>
      </c>
      <c r="B6670" t="s">
        <v>39</v>
      </c>
      <c r="C6670" t="s">
        <v>37</v>
      </c>
      <c r="D6670" t="s">
        <v>15</v>
      </c>
      <c r="E6670" t="s">
        <v>23</v>
      </c>
      <c r="F6670" t="s">
        <v>19</v>
      </c>
      <c r="G6670" s="2">
        <f>VALUE(1006.69)</f>
        <v>1006.69</v>
      </c>
      <c r="H6670" s="3">
        <f>VALUE(1046.67)</f>
        <v>1046.67</v>
      </c>
      <c r="I6670" s="1">
        <f>VALUE(3732)</f>
        <v>3732</v>
      </c>
      <c r="J6670" s="1">
        <f>VALUE(4272)</f>
        <v>4272</v>
      </c>
      <c r="K6670" s="1">
        <f>VALUE(5038)</f>
        <v>5038</v>
      </c>
      <c r="L6670" s="1">
        <f>VALUE(5852)</f>
        <v>5852</v>
      </c>
      <c r="M6670" s="1">
        <f>VALUE(6740)</f>
        <v>6740</v>
      </c>
      <c r="N6670" t="s">
        <v>25</v>
      </c>
    </row>
    <row r="6671" spans="1:14" x14ac:dyDescent="0.25">
      <c r="A6671" t="s">
        <v>42</v>
      </c>
      <c r="B6671" t="s">
        <v>39</v>
      </c>
      <c r="C6671" t="s">
        <v>37</v>
      </c>
      <c r="D6671" t="s">
        <v>15</v>
      </c>
      <c r="E6671" t="s">
        <v>23</v>
      </c>
      <c r="F6671" t="s">
        <v>20</v>
      </c>
      <c r="G6671" s="1">
        <f>VALUE(7830.96)</f>
        <v>7830.96</v>
      </c>
      <c r="H6671" s="1">
        <f>VALUE(8095.52)</f>
        <v>8095.52</v>
      </c>
      <c r="I6671" s="1">
        <f>VALUE(3468)</f>
        <v>3468</v>
      </c>
      <c r="J6671" s="1">
        <f>VALUE(3994)</f>
        <v>3994</v>
      </c>
      <c r="K6671" s="1">
        <f>VALUE(4691)</f>
        <v>4691</v>
      </c>
      <c r="L6671" s="1">
        <f>VALUE(5610)</f>
        <v>5610</v>
      </c>
      <c r="M6671" s="1">
        <f>VALUE(6322)</f>
        <v>6322</v>
      </c>
      <c r="N6671" t="s">
        <v>16</v>
      </c>
    </row>
    <row r="6672" spans="1:14" x14ac:dyDescent="0.25">
      <c r="A6672" t="s">
        <v>42</v>
      </c>
      <c r="B6672" t="s">
        <v>39</v>
      </c>
      <c r="C6672" t="s">
        <v>37</v>
      </c>
      <c r="D6672" t="s">
        <v>15</v>
      </c>
      <c r="E6672" t="s">
        <v>26</v>
      </c>
      <c r="F6672" t="s">
        <v>15</v>
      </c>
      <c r="G6672" s="2">
        <f>VALUE(1038.56)</f>
        <v>1038.56</v>
      </c>
      <c r="H6672" s="3">
        <f>VALUE(1052.21)</f>
        <v>1052.21</v>
      </c>
      <c r="I6672" s="1">
        <f>VALUE(2667)</f>
        <v>2667</v>
      </c>
      <c r="J6672" s="1">
        <f>VALUE(3603)</f>
        <v>3603</v>
      </c>
      <c r="K6672" s="1">
        <f>VALUE(5049)</f>
        <v>5049</v>
      </c>
      <c r="L6672" s="1">
        <f>VALUE(6707)</f>
        <v>6707</v>
      </c>
      <c r="M6672" s="8">
        <f>VALUE(9194)</f>
        <v>9194</v>
      </c>
      <c r="N6672" t="s">
        <v>25</v>
      </c>
    </row>
    <row r="6673" spans="1:14" x14ac:dyDescent="0.25">
      <c r="A6673" t="s">
        <v>42</v>
      </c>
      <c r="B6673" t="s">
        <v>39</v>
      </c>
      <c r="C6673" t="s">
        <v>37</v>
      </c>
      <c r="D6673" t="s">
        <v>15</v>
      </c>
      <c r="E6673" t="s">
        <v>26</v>
      </c>
      <c r="F6673" t="s">
        <v>17</v>
      </c>
      <c r="G6673" s="1" t="str">
        <f t="shared" ref="G6673:M6675" si="1461">"X"</f>
        <v>X</v>
      </c>
      <c r="H6673" s="1" t="str">
        <f t="shared" si="1461"/>
        <v>X</v>
      </c>
      <c r="I6673" s="1" t="str">
        <f t="shared" si="1461"/>
        <v>X</v>
      </c>
      <c r="J6673" s="1" t="str">
        <f t="shared" si="1461"/>
        <v>X</v>
      </c>
      <c r="K6673" s="1" t="str">
        <f t="shared" si="1461"/>
        <v>X</v>
      </c>
      <c r="L6673" s="1" t="str">
        <f t="shared" si="1461"/>
        <v>X</v>
      </c>
      <c r="M6673" s="1" t="str">
        <f t="shared" si="1461"/>
        <v>X</v>
      </c>
      <c r="N6673" t="s">
        <v>27</v>
      </c>
    </row>
    <row r="6674" spans="1:14" x14ac:dyDescent="0.25">
      <c r="A6674" t="s">
        <v>42</v>
      </c>
      <c r="B6674" t="s">
        <v>39</v>
      </c>
      <c r="C6674" t="s">
        <v>37</v>
      </c>
      <c r="D6674" t="s">
        <v>15</v>
      </c>
      <c r="E6674" t="s">
        <v>26</v>
      </c>
      <c r="F6674" t="s">
        <v>18</v>
      </c>
      <c r="G6674" s="1" t="str">
        <f t="shared" si="1461"/>
        <v>X</v>
      </c>
      <c r="H6674" s="1" t="str">
        <f t="shared" si="1461"/>
        <v>X</v>
      </c>
      <c r="I6674" s="1" t="str">
        <f t="shared" si="1461"/>
        <v>X</v>
      </c>
      <c r="J6674" s="1" t="str">
        <f t="shared" si="1461"/>
        <v>X</v>
      </c>
      <c r="K6674" s="1" t="str">
        <f t="shared" si="1461"/>
        <v>X</v>
      </c>
      <c r="L6674" s="1" t="str">
        <f t="shared" si="1461"/>
        <v>X</v>
      </c>
      <c r="M6674" s="1" t="str">
        <f t="shared" si="1461"/>
        <v>X</v>
      </c>
      <c r="N6674" t="s">
        <v>27</v>
      </c>
    </row>
    <row r="6675" spans="1:14" x14ac:dyDescent="0.25">
      <c r="A6675" t="s">
        <v>42</v>
      </c>
      <c r="B6675" t="s">
        <v>39</v>
      </c>
      <c r="C6675" t="s">
        <v>37</v>
      </c>
      <c r="D6675" t="s">
        <v>15</v>
      </c>
      <c r="E6675" t="s">
        <v>26</v>
      </c>
      <c r="F6675" t="s">
        <v>19</v>
      </c>
      <c r="G6675" s="1" t="str">
        <f t="shared" si="1461"/>
        <v>X</v>
      </c>
      <c r="H6675" s="1" t="str">
        <f t="shared" si="1461"/>
        <v>X</v>
      </c>
      <c r="I6675" s="1" t="str">
        <f t="shared" si="1461"/>
        <v>X</v>
      </c>
      <c r="J6675" s="1" t="str">
        <f t="shared" si="1461"/>
        <v>X</v>
      </c>
      <c r="K6675" s="1" t="str">
        <f t="shared" si="1461"/>
        <v>X</v>
      </c>
      <c r="L6675" s="1" t="str">
        <f t="shared" si="1461"/>
        <v>X</v>
      </c>
      <c r="M6675" s="1" t="str">
        <f t="shared" si="1461"/>
        <v>X</v>
      </c>
      <c r="N6675" t="s">
        <v>27</v>
      </c>
    </row>
    <row r="6676" spans="1:14" x14ac:dyDescent="0.25">
      <c r="A6676" t="s">
        <v>42</v>
      </c>
      <c r="B6676" t="s">
        <v>39</v>
      </c>
      <c r="C6676" t="s">
        <v>37</v>
      </c>
      <c r="D6676" t="s">
        <v>15</v>
      </c>
      <c r="E6676" t="s">
        <v>26</v>
      </c>
      <c r="F6676" t="s">
        <v>20</v>
      </c>
      <c r="G6676" s="2">
        <f>VALUE(843.15)</f>
        <v>843.15</v>
      </c>
      <c r="H6676" s="3">
        <f>VALUE(863.35)</f>
        <v>863.35</v>
      </c>
      <c r="I6676" s="1">
        <f>VALUE(2667)</f>
        <v>2667</v>
      </c>
      <c r="J6676" s="1">
        <f>VALUE(3392)</f>
        <v>3392</v>
      </c>
      <c r="K6676" s="1">
        <f>VALUE(4591)</f>
        <v>4591</v>
      </c>
      <c r="L6676" s="1">
        <f>VALUE(6149)</f>
        <v>6149</v>
      </c>
      <c r="M6676" s="1">
        <f>VALUE(7485)</f>
        <v>7485</v>
      </c>
      <c r="N6676" t="s">
        <v>25</v>
      </c>
    </row>
    <row r="6677" spans="1:14" x14ac:dyDescent="0.25">
      <c r="A6677" t="s">
        <v>42</v>
      </c>
      <c r="B6677" t="s">
        <v>39</v>
      </c>
      <c r="C6677" t="s">
        <v>37</v>
      </c>
      <c r="D6677" t="s">
        <v>28</v>
      </c>
      <c r="E6677" t="s">
        <v>15</v>
      </c>
      <c r="F6677" t="s">
        <v>15</v>
      </c>
      <c r="G6677" s="1">
        <f>VALUE(12260.5)</f>
        <v>12260.5</v>
      </c>
      <c r="H6677" s="1">
        <f>VALUE(12274.19)</f>
        <v>12274.19</v>
      </c>
      <c r="I6677" s="1">
        <f>VALUE(4494)</f>
        <v>4494</v>
      </c>
      <c r="J6677" s="1">
        <f>VALUE(5410)</f>
        <v>5410</v>
      </c>
      <c r="K6677" s="1">
        <f>VALUE(6550)</f>
        <v>6550</v>
      </c>
      <c r="L6677" s="1">
        <f>VALUE(8685)</f>
        <v>8685</v>
      </c>
      <c r="M6677" s="1">
        <f>VALUE(12154)</f>
        <v>12154</v>
      </c>
      <c r="N6677" t="s">
        <v>16</v>
      </c>
    </row>
    <row r="6678" spans="1:14" x14ac:dyDescent="0.25">
      <c r="A6678" t="s">
        <v>42</v>
      </c>
      <c r="B6678" t="s">
        <v>39</v>
      </c>
      <c r="C6678" t="s">
        <v>37</v>
      </c>
      <c r="D6678" t="s">
        <v>28</v>
      </c>
      <c r="E6678" t="s">
        <v>15</v>
      </c>
      <c r="F6678" t="s">
        <v>17</v>
      </c>
      <c r="G6678" s="1">
        <f>VALUE(3900.02)</f>
        <v>3900.02</v>
      </c>
      <c r="H6678" s="1">
        <f>VALUE(3973.09)</f>
        <v>3973.09</v>
      </c>
      <c r="I6678" s="4">
        <f>VALUE(4644)</f>
        <v>4644</v>
      </c>
      <c r="J6678" s="5">
        <f>VALUE(6417)</f>
        <v>6417</v>
      </c>
      <c r="K6678" s="1">
        <f>VALUE(8973)</f>
        <v>8973</v>
      </c>
      <c r="L6678" s="1">
        <f>VALUE(12197)</f>
        <v>12197</v>
      </c>
      <c r="M6678" s="1">
        <f>VALUE(16785)</f>
        <v>16785</v>
      </c>
      <c r="N6678" t="s">
        <v>25</v>
      </c>
    </row>
    <row r="6679" spans="1:14" x14ac:dyDescent="0.25">
      <c r="A6679" t="s">
        <v>42</v>
      </c>
      <c r="B6679" t="s">
        <v>39</v>
      </c>
      <c r="C6679" t="s">
        <v>37</v>
      </c>
      <c r="D6679" t="s">
        <v>28</v>
      </c>
      <c r="E6679" t="s">
        <v>15</v>
      </c>
      <c r="F6679" t="s">
        <v>18</v>
      </c>
      <c r="G6679" s="2">
        <f>VALUE(1261.7)</f>
        <v>1261.7</v>
      </c>
      <c r="H6679" s="3">
        <f>VALUE(1219.27)</f>
        <v>1219.27</v>
      </c>
      <c r="I6679" s="1">
        <f>VALUE(5108)</f>
        <v>5108</v>
      </c>
      <c r="J6679" s="1">
        <f>VALUE(6190)</f>
        <v>6190</v>
      </c>
      <c r="K6679" s="1">
        <f>VALUE(7738)</f>
        <v>7738</v>
      </c>
      <c r="L6679" s="1">
        <f>VALUE(9309)</f>
        <v>9309</v>
      </c>
      <c r="M6679" s="8">
        <f>VALUE(11640)</f>
        <v>11640</v>
      </c>
      <c r="N6679" t="s">
        <v>25</v>
      </c>
    </row>
    <row r="6680" spans="1:14" x14ac:dyDescent="0.25">
      <c r="A6680" t="s">
        <v>42</v>
      </c>
      <c r="B6680" t="s">
        <v>39</v>
      </c>
      <c r="C6680" t="s">
        <v>37</v>
      </c>
      <c r="D6680" t="s">
        <v>28</v>
      </c>
      <c r="E6680" t="s">
        <v>15</v>
      </c>
      <c r="F6680" t="s">
        <v>19</v>
      </c>
      <c r="G6680" s="2">
        <f>VALUE(1100.04)</f>
        <v>1100.04</v>
      </c>
      <c r="H6680" s="3">
        <f>VALUE(1116.89)</f>
        <v>1116.8900000000001</v>
      </c>
      <c r="I6680" s="1">
        <f>VALUE(4467)</f>
        <v>4467</v>
      </c>
      <c r="J6680" s="1">
        <f>VALUE(5341)</f>
        <v>5341</v>
      </c>
      <c r="K6680" s="1">
        <f>VALUE(6333)</f>
        <v>6333</v>
      </c>
      <c r="L6680" s="1">
        <f>VALUE(7738)</f>
        <v>7738</v>
      </c>
      <c r="M6680" s="1">
        <f>VALUE(9139)</f>
        <v>9139</v>
      </c>
      <c r="N6680" t="s">
        <v>25</v>
      </c>
    </row>
    <row r="6681" spans="1:14" x14ac:dyDescent="0.25">
      <c r="A6681" t="s">
        <v>42</v>
      </c>
      <c r="B6681" t="s">
        <v>39</v>
      </c>
      <c r="C6681" t="s">
        <v>37</v>
      </c>
      <c r="D6681" t="s">
        <v>28</v>
      </c>
      <c r="E6681" t="s">
        <v>15</v>
      </c>
      <c r="F6681" t="s">
        <v>20</v>
      </c>
      <c r="G6681" s="1">
        <f>VALUE(5998.74)</f>
        <v>5998.74</v>
      </c>
      <c r="H6681" s="1">
        <f>VALUE(5964.94)</f>
        <v>5964.94</v>
      </c>
      <c r="I6681" s="1">
        <f>VALUE(4345)</f>
        <v>4345</v>
      </c>
      <c r="J6681" s="1">
        <f>VALUE(5200)</f>
        <v>5200</v>
      </c>
      <c r="K6681" s="1">
        <f>VALUE(5962)</f>
        <v>5962</v>
      </c>
      <c r="L6681" s="1">
        <f>VALUE(6863)</f>
        <v>6863</v>
      </c>
      <c r="M6681" s="1">
        <f>VALUE(8105)</f>
        <v>8105</v>
      </c>
      <c r="N6681" t="s">
        <v>16</v>
      </c>
    </row>
    <row r="6682" spans="1:14" x14ac:dyDescent="0.25">
      <c r="A6682" t="s">
        <v>42</v>
      </c>
      <c r="B6682" t="s">
        <v>39</v>
      </c>
      <c r="C6682" t="s">
        <v>37</v>
      </c>
      <c r="D6682" t="s">
        <v>28</v>
      </c>
      <c r="E6682" t="s">
        <v>21</v>
      </c>
      <c r="F6682" t="s">
        <v>15</v>
      </c>
      <c r="G6682" s="1">
        <f>VALUE(3790.96)</f>
        <v>3790.96</v>
      </c>
      <c r="H6682" s="1">
        <f>VALUE(3687.98)</f>
        <v>3687.98</v>
      </c>
      <c r="I6682" s="1">
        <f>VALUE(5585)</f>
        <v>5585</v>
      </c>
      <c r="J6682" s="1">
        <f>VALUE(7222)</f>
        <v>7222</v>
      </c>
      <c r="K6682" s="1">
        <f>VALUE(8917)</f>
        <v>8917</v>
      </c>
      <c r="L6682" s="1">
        <f>VALUE(11705)</f>
        <v>11705</v>
      </c>
      <c r="M6682" s="1">
        <f>VALUE(15845)</f>
        <v>15845</v>
      </c>
      <c r="N6682" t="s">
        <v>16</v>
      </c>
    </row>
    <row r="6683" spans="1:14" x14ac:dyDescent="0.25">
      <c r="A6683" t="s">
        <v>42</v>
      </c>
      <c r="B6683" t="s">
        <v>39</v>
      </c>
      <c r="C6683" t="s">
        <v>37</v>
      </c>
      <c r="D6683" t="s">
        <v>28</v>
      </c>
      <c r="E6683" t="s">
        <v>21</v>
      </c>
      <c r="F6683" t="s">
        <v>17</v>
      </c>
      <c r="G6683" s="2">
        <f>VALUE(1974.89)</f>
        <v>1974.89</v>
      </c>
      <c r="H6683" s="3">
        <f>VALUE(1989.78)</f>
        <v>1989.78</v>
      </c>
      <c r="I6683" s="4">
        <f>VALUE(6010)</f>
        <v>6010</v>
      </c>
      <c r="J6683" s="5">
        <f>VALUE(8254)</f>
        <v>8254</v>
      </c>
      <c r="K6683" s="1">
        <f>VALUE(10496)</f>
        <v>10496</v>
      </c>
      <c r="L6683" s="7">
        <f>VALUE(13478)</f>
        <v>13478</v>
      </c>
      <c r="M6683" s="1">
        <f>VALUE(17999)</f>
        <v>17999</v>
      </c>
      <c r="N6683" t="s">
        <v>25</v>
      </c>
    </row>
    <row r="6684" spans="1:14" x14ac:dyDescent="0.25">
      <c r="A6684" t="s">
        <v>42</v>
      </c>
      <c r="B6684" t="s">
        <v>39</v>
      </c>
      <c r="C6684" t="s">
        <v>37</v>
      </c>
      <c r="D6684" t="s">
        <v>28</v>
      </c>
      <c r="E6684" t="s">
        <v>21</v>
      </c>
      <c r="F6684" t="s">
        <v>18</v>
      </c>
      <c r="G6684" s="2">
        <f>VALUE(573.34)</f>
        <v>573.34</v>
      </c>
      <c r="H6684" s="3">
        <f>VALUE(535.02)</f>
        <v>535.02</v>
      </c>
      <c r="I6684" s="4">
        <f>VALUE(6454)</f>
        <v>6454</v>
      </c>
      <c r="J6684" s="1">
        <f>VALUE(7619)</f>
        <v>7619</v>
      </c>
      <c r="K6684" s="1">
        <f>VALUE(8792)</f>
        <v>8792</v>
      </c>
      <c r="L6684" s="7">
        <f>VALUE(10433)</f>
        <v>10433</v>
      </c>
      <c r="M6684" s="8">
        <f>VALUE(12968)</f>
        <v>12968</v>
      </c>
      <c r="N6684" t="s">
        <v>25</v>
      </c>
    </row>
    <row r="6685" spans="1:14" x14ac:dyDescent="0.25">
      <c r="A6685" t="s">
        <v>42</v>
      </c>
      <c r="B6685" t="s">
        <v>39</v>
      </c>
      <c r="C6685" t="s">
        <v>37</v>
      </c>
      <c r="D6685" t="s">
        <v>28</v>
      </c>
      <c r="E6685" t="s">
        <v>21</v>
      </c>
      <c r="F6685" t="s">
        <v>19</v>
      </c>
      <c r="G6685" s="2">
        <f>VALUE(295.5)</f>
        <v>295.5</v>
      </c>
      <c r="H6685" s="3">
        <f>VALUE(291.21)</f>
        <v>291.20999999999998</v>
      </c>
      <c r="I6685" s="4">
        <f>VALUE(4419)</f>
        <v>4419</v>
      </c>
      <c r="J6685" s="1">
        <f>VALUE(6138)</f>
        <v>6138</v>
      </c>
      <c r="K6685" s="1">
        <f>VALUE(7502)</f>
        <v>7502</v>
      </c>
      <c r="L6685" s="1">
        <f>VALUE(8997)</f>
        <v>8997</v>
      </c>
      <c r="M6685" s="1">
        <f>VALUE(11893)</f>
        <v>11893</v>
      </c>
      <c r="N6685" t="s">
        <v>25</v>
      </c>
    </row>
    <row r="6686" spans="1:14" x14ac:dyDescent="0.25">
      <c r="A6686" t="s">
        <v>42</v>
      </c>
      <c r="B6686" t="s">
        <v>39</v>
      </c>
      <c r="C6686" t="s">
        <v>37</v>
      </c>
      <c r="D6686" t="s">
        <v>28</v>
      </c>
      <c r="E6686" t="s">
        <v>21</v>
      </c>
      <c r="F6686" t="s">
        <v>20</v>
      </c>
      <c r="G6686" s="2">
        <f>VALUE(947.23)</f>
        <v>947.23</v>
      </c>
      <c r="H6686" s="3">
        <f>VALUE(871.97)</f>
        <v>871.97</v>
      </c>
      <c r="I6686" s="1">
        <f>VALUE(5296)</f>
        <v>5296</v>
      </c>
      <c r="J6686" s="1">
        <f>VALUE(6392)</f>
        <v>6392</v>
      </c>
      <c r="K6686" s="1">
        <f>VALUE(7460)</f>
        <v>7460</v>
      </c>
      <c r="L6686" s="1">
        <f>VALUE(8890)</f>
        <v>8890</v>
      </c>
      <c r="M6686" s="1">
        <f>VALUE(10540)</f>
        <v>10540</v>
      </c>
      <c r="N6686" t="s">
        <v>25</v>
      </c>
    </row>
    <row r="6687" spans="1:14" x14ac:dyDescent="0.25">
      <c r="A6687" t="s">
        <v>42</v>
      </c>
      <c r="B6687" t="s">
        <v>39</v>
      </c>
      <c r="C6687" t="s">
        <v>37</v>
      </c>
      <c r="D6687" t="s">
        <v>28</v>
      </c>
      <c r="E6687" t="s">
        <v>22</v>
      </c>
      <c r="F6687" t="s">
        <v>15</v>
      </c>
      <c r="G6687" s="1">
        <f>VALUE(6989.66)</f>
        <v>6989.66</v>
      </c>
      <c r="H6687" s="1">
        <f>VALUE(7087.75)</f>
        <v>7087.75</v>
      </c>
      <c r="I6687" s="1">
        <f>VALUE(4588)</f>
        <v>4588</v>
      </c>
      <c r="J6687" s="1">
        <f>VALUE(5359)</f>
        <v>5359</v>
      </c>
      <c r="K6687" s="1">
        <f>VALUE(6207)</f>
        <v>6207</v>
      </c>
      <c r="L6687" s="1">
        <f>VALUE(7443)</f>
        <v>7443</v>
      </c>
      <c r="M6687" s="8">
        <f>VALUE(9613)</f>
        <v>9613</v>
      </c>
      <c r="N6687" t="s">
        <v>25</v>
      </c>
    </row>
    <row r="6688" spans="1:14" x14ac:dyDescent="0.25">
      <c r="A6688" t="s">
        <v>42</v>
      </c>
      <c r="B6688" t="s">
        <v>39</v>
      </c>
      <c r="C6688" t="s">
        <v>37</v>
      </c>
      <c r="D6688" t="s">
        <v>28</v>
      </c>
      <c r="E6688" t="s">
        <v>22</v>
      </c>
      <c r="F6688" t="s">
        <v>17</v>
      </c>
      <c r="G6688" s="2">
        <f>VALUE(1719.21)</f>
        <v>1719.21</v>
      </c>
      <c r="H6688" s="3">
        <f>VALUE(1775.91)</f>
        <v>1775.91</v>
      </c>
      <c r="I6688" s="1">
        <f>VALUE(4535)</f>
        <v>4535</v>
      </c>
      <c r="J6688" s="5">
        <f>VALUE(5958)</f>
        <v>5958</v>
      </c>
      <c r="K6688" s="6">
        <f>VALUE(7500)</f>
        <v>7500</v>
      </c>
      <c r="L6688" s="1">
        <f>VALUE(10479)</f>
        <v>10479</v>
      </c>
      <c r="M6688" s="1">
        <f>VALUE(15350)</f>
        <v>15350</v>
      </c>
      <c r="N6688" t="s">
        <v>25</v>
      </c>
    </row>
    <row r="6689" spans="1:14" x14ac:dyDescent="0.25">
      <c r="A6689" t="s">
        <v>42</v>
      </c>
      <c r="B6689" t="s">
        <v>39</v>
      </c>
      <c r="C6689" t="s">
        <v>37</v>
      </c>
      <c r="D6689" t="s">
        <v>28</v>
      </c>
      <c r="E6689" t="s">
        <v>22</v>
      </c>
      <c r="F6689" t="s">
        <v>18</v>
      </c>
      <c r="G6689" s="2">
        <f>VALUE(606.63)</f>
        <v>606.63</v>
      </c>
      <c r="H6689" s="3">
        <f>VALUE(605.32)</f>
        <v>605.32000000000005</v>
      </c>
      <c r="I6689" s="1">
        <f>VALUE(5055)</f>
        <v>5055</v>
      </c>
      <c r="J6689" s="1">
        <f>VALUE(5744)</f>
        <v>5744</v>
      </c>
      <c r="K6689" s="1">
        <f>VALUE(7047)</f>
        <v>7047</v>
      </c>
      <c r="L6689" s="1">
        <f>VALUE(8388)</f>
        <v>8388</v>
      </c>
      <c r="M6689" s="1">
        <f>VALUE(9317)</f>
        <v>9317</v>
      </c>
      <c r="N6689" t="s">
        <v>25</v>
      </c>
    </row>
    <row r="6690" spans="1:14" x14ac:dyDescent="0.25">
      <c r="A6690" t="s">
        <v>42</v>
      </c>
      <c r="B6690" t="s">
        <v>39</v>
      </c>
      <c r="C6690" t="s">
        <v>37</v>
      </c>
      <c r="D6690" t="s">
        <v>28</v>
      </c>
      <c r="E6690" t="s">
        <v>22</v>
      </c>
      <c r="F6690" t="s">
        <v>19</v>
      </c>
      <c r="G6690" s="2">
        <f>VALUE(681.05)</f>
        <v>681.05</v>
      </c>
      <c r="H6690" s="3">
        <f>VALUE(695.45)</f>
        <v>695.45</v>
      </c>
      <c r="I6690" s="1">
        <f>VALUE(4588)</f>
        <v>4588</v>
      </c>
      <c r="J6690" s="1">
        <f>VALUE(5331)</f>
        <v>5331</v>
      </c>
      <c r="K6690" s="1">
        <f>VALUE(6109)</f>
        <v>6109</v>
      </c>
      <c r="L6690" s="1">
        <f>VALUE(7153)</f>
        <v>7153</v>
      </c>
      <c r="M6690" s="1">
        <f>VALUE(8571)</f>
        <v>8571</v>
      </c>
      <c r="N6690" t="s">
        <v>25</v>
      </c>
    </row>
    <row r="6691" spans="1:14" x14ac:dyDescent="0.25">
      <c r="A6691" t="s">
        <v>42</v>
      </c>
      <c r="B6691" t="s">
        <v>39</v>
      </c>
      <c r="C6691" t="s">
        <v>37</v>
      </c>
      <c r="D6691" t="s">
        <v>28</v>
      </c>
      <c r="E6691" t="s">
        <v>22</v>
      </c>
      <c r="F6691" t="s">
        <v>20</v>
      </c>
      <c r="G6691" s="1">
        <f>VALUE(3982.77)</f>
        <v>3982.77</v>
      </c>
      <c r="H6691" s="1">
        <f>VALUE(4011.07)</f>
        <v>4011.07</v>
      </c>
      <c r="I6691" s="1">
        <f>VALUE(4588)</f>
        <v>4588</v>
      </c>
      <c r="J6691" s="1">
        <f>VALUE(5307)</f>
        <v>5307</v>
      </c>
      <c r="K6691" s="1">
        <f>VALUE(5930)</f>
        <v>5930</v>
      </c>
      <c r="L6691" s="1">
        <f>VALUE(6675)</f>
        <v>6675</v>
      </c>
      <c r="M6691" s="1">
        <f>VALUE(7567)</f>
        <v>7567</v>
      </c>
      <c r="N6691" t="s">
        <v>16</v>
      </c>
    </row>
    <row r="6692" spans="1:14" x14ac:dyDescent="0.25">
      <c r="A6692" t="s">
        <v>42</v>
      </c>
      <c r="B6692" t="s">
        <v>39</v>
      </c>
      <c r="C6692" t="s">
        <v>37</v>
      </c>
      <c r="D6692" t="s">
        <v>28</v>
      </c>
      <c r="E6692" t="s">
        <v>23</v>
      </c>
      <c r="F6692" t="s">
        <v>15</v>
      </c>
      <c r="G6692" s="2">
        <f>VALUE(1216.94)</f>
        <v>1216.94</v>
      </c>
      <c r="H6692" s="3">
        <f>VALUE(1241.76)</f>
        <v>1241.76</v>
      </c>
      <c r="I6692" s="4">
        <f>VALUE(3640)</f>
        <v>3640</v>
      </c>
      <c r="J6692" s="1">
        <f>VALUE(4230)</f>
        <v>4230</v>
      </c>
      <c r="K6692" s="1">
        <f>VALUE(4947)</f>
        <v>4947</v>
      </c>
      <c r="L6692" s="1">
        <f>VALUE(5981)</f>
        <v>5981</v>
      </c>
      <c r="M6692" s="1">
        <f>VALUE(7023)</f>
        <v>7023</v>
      </c>
      <c r="N6692" t="s">
        <v>25</v>
      </c>
    </row>
    <row r="6693" spans="1:14" x14ac:dyDescent="0.25">
      <c r="A6693" t="s">
        <v>42</v>
      </c>
      <c r="B6693" t="s">
        <v>39</v>
      </c>
      <c r="C6693" t="s">
        <v>37</v>
      </c>
      <c r="D6693" t="s">
        <v>28</v>
      </c>
      <c r="E6693" t="s">
        <v>23</v>
      </c>
      <c r="F6693" t="s">
        <v>17</v>
      </c>
      <c r="G6693" s="1" t="str">
        <f t="shared" ref="G6693:M6695" si="1462">"X"</f>
        <v>X</v>
      </c>
      <c r="H6693" s="1" t="str">
        <f t="shared" si="1462"/>
        <v>X</v>
      </c>
      <c r="I6693" s="1" t="str">
        <f t="shared" si="1462"/>
        <v>X</v>
      </c>
      <c r="J6693" s="1" t="str">
        <f t="shared" si="1462"/>
        <v>X</v>
      </c>
      <c r="K6693" s="1" t="str">
        <f t="shared" si="1462"/>
        <v>X</v>
      </c>
      <c r="L6693" s="1" t="str">
        <f t="shared" si="1462"/>
        <v>X</v>
      </c>
      <c r="M6693" s="1" t="str">
        <f t="shared" si="1462"/>
        <v>X</v>
      </c>
      <c r="N6693" t="s">
        <v>27</v>
      </c>
    </row>
    <row r="6694" spans="1:14" x14ac:dyDescent="0.25">
      <c r="A6694" t="s">
        <v>42</v>
      </c>
      <c r="B6694" t="s">
        <v>39</v>
      </c>
      <c r="C6694" t="s">
        <v>37</v>
      </c>
      <c r="D6694" t="s">
        <v>28</v>
      </c>
      <c r="E6694" t="s">
        <v>23</v>
      </c>
      <c r="F6694" t="s">
        <v>18</v>
      </c>
      <c r="G6694" s="1" t="str">
        <f t="shared" si="1462"/>
        <v>X</v>
      </c>
      <c r="H6694" s="1" t="str">
        <f t="shared" si="1462"/>
        <v>X</v>
      </c>
      <c r="I6694" s="1" t="str">
        <f t="shared" si="1462"/>
        <v>X</v>
      </c>
      <c r="J6694" s="1" t="str">
        <f t="shared" si="1462"/>
        <v>X</v>
      </c>
      <c r="K6694" s="1" t="str">
        <f t="shared" si="1462"/>
        <v>X</v>
      </c>
      <c r="L6694" s="1" t="str">
        <f t="shared" si="1462"/>
        <v>X</v>
      </c>
      <c r="M6694" s="1" t="str">
        <f t="shared" si="1462"/>
        <v>X</v>
      </c>
      <c r="N6694" t="s">
        <v>27</v>
      </c>
    </row>
    <row r="6695" spans="1:14" x14ac:dyDescent="0.25">
      <c r="A6695" t="s">
        <v>42</v>
      </c>
      <c r="B6695" t="s">
        <v>39</v>
      </c>
      <c r="C6695" t="s">
        <v>37</v>
      </c>
      <c r="D6695" t="s">
        <v>28</v>
      </c>
      <c r="E6695" t="s">
        <v>23</v>
      </c>
      <c r="F6695" t="s">
        <v>19</v>
      </c>
      <c r="G6695" s="1" t="str">
        <f t="shared" si="1462"/>
        <v>X</v>
      </c>
      <c r="H6695" s="1" t="str">
        <f t="shared" si="1462"/>
        <v>X</v>
      </c>
      <c r="I6695" s="1" t="str">
        <f t="shared" si="1462"/>
        <v>X</v>
      </c>
      <c r="J6695" s="1" t="str">
        <f t="shared" si="1462"/>
        <v>X</v>
      </c>
      <c r="K6695" s="1" t="str">
        <f t="shared" si="1462"/>
        <v>X</v>
      </c>
      <c r="L6695" s="1" t="str">
        <f t="shared" si="1462"/>
        <v>X</v>
      </c>
      <c r="M6695" s="1" t="str">
        <f t="shared" si="1462"/>
        <v>X</v>
      </c>
      <c r="N6695" t="s">
        <v>27</v>
      </c>
    </row>
    <row r="6696" spans="1:14" x14ac:dyDescent="0.25">
      <c r="A6696" t="s">
        <v>42</v>
      </c>
      <c r="B6696" t="s">
        <v>39</v>
      </c>
      <c r="C6696" t="s">
        <v>37</v>
      </c>
      <c r="D6696" t="s">
        <v>28</v>
      </c>
      <c r="E6696" t="s">
        <v>23</v>
      </c>
      <c r="F6696" t="s">
        <v>20</v>
      </c>
      <c r="G6696" s="2">
        <f>VALUE(887.08)</f>
        <v>887.08</v>
      </c>
      <c r="H6696" s="3">
        <f>VALUE(898.5)</f>
        <v>898.5</v>
      </c>
      <c r="I6696" s="4">
        <f>VALUE(3651)</f>
        <v>3651</v>
      </c>
      <c r="J6696" s="1">
        <f>VALUE(4232)</f>
        <v>4232</v>
      </c>
      <c r="K6696" s="1">
        <f>VALUE(4766)</f>
        <v>4766</v>
      </c>
      <c r="L6696" s="1">
        <f>VALUE(5908)</f>
        <v>5908</v>
      </c>
      <c r="M6696" s="8">
        <f>VALUE(6325)</f>
        <v>6325</v>
      </c>
      <c r="N6696" t="s">
        <v>25</v>
      </c>
    </row>
    <row r="6697" spans="1:14" x14ac:dyDescent="0.25">
      <c r="A6697" t="s">
        <v>42</v>
      </c>
      <c r="B6697" t="s">
        <v>39</v>
      </c>
      <c r="C6697" t="s">
        <v>37</v>
      </c>
      <c r="D6697" t="s">
        <v>28</v>
      </c>
      <c r="E6697" t="s">
        <v>26</v>
      </c>
      <c r="F6697" t="s">
        <v>15</v>
      </c>
      <c r="G6697" s="2">
        <f>VALUE(262.94)</f>
        <v>262.94</v>
      </c>
      <c r="H6697" s="3">
        <f>VALUE(256.7)</f>
        <v>256.7</v>
      </c>
      <c r="I6697" s="1">
        <f>VALUE(3911)</f>
        <v>3911</v>
      </c>
      <c r="J6697" s="5">
        <f>VALUE(4804)</f>
        <v>4804</v>
      </c>
      <c r="K6697" s="1">
        <f>VALUE(6540)</f>
        <v>6540</v>
      </c>
      <c r="L6697" s="7">
        <f>VALUE(8333)</f>
        <v>8333</v>
      </c>
      <c r="M6697" s="8">
        <f>VALUE(10714)</f>
        <v>10714</v>
      </c>
      <c r="N6697" t="s">
        <v>25</v>
      </c>
    </row>
    <row r="6698" spans="1:14" x14ac:dyDescent="0.25">
      <c r="A6698" t="s">
        <v>42</v>
      </c>
      <c r="B6698" t="s">
        <v>39</v>
      </c>
      <c r="C6698" t="s">
        <v>37</v>
      </c>
      <c r="D6698" t="s">
        <v>28</v>
      </c>
      <c r="E6698" t="s">
        <v>26</v>
      </c>
      <c r="F6698" t="s">
        <v>17</v>
      </c>
      <c r="G6698" s="1" t="str">
        <f t="shared" ref="G6698:M6700" si="1463">"X"</f>
        <v>X</v>
      </c>
      <c r="H6698" s="1" t="str">
        <f t="shared" si="1463"/>
        <v>X</v>
      </c>
      <c r="I6698" s="1" t="str">
        <f t="shared" si="1463"/>
        <v>X</v>
      </c>
      <c r="J6698" s="1" t="str">
        <f t="shared" si="1463"/>
        <v>X</v>
      </c>
      <c r="K6698" s="1" t="str">
        <f t="shared" si="1463"/>
        <v>X</v>
      </c>
      <c r="L6698" s="1" t="str">
        <f t="shared" si="1463"/>
        <v>X</v>
      </c>
      <c r="M6698" s="1" t="str">
        <f t="shared" si="1463"/>
        <v>X</v>
      </c>
      <c r="N6698" t="s">
        <v>27</v>
      </c>
    </row>
    <row r="6699" spans="1:14" x14ac:dyDescent="0.25">
      <c r="A6699" t="s">
        <v>42</v>
      </c>
      <c r="B6699" t="s">
        <v>39</v>
      </c>
      <c r="C6699" t="s">
        <v>37</v>
      </c>
      <c r="D6699" t="s">
        <v>28</v>
      </c>
      <c r="E6699" t="s">
        <v>26</v>
      </c>
      <c r="F6699" t="s">
        <v>18</v>
      </c>
      <c r="G6699" s="1" t="str">
        <f t="shared" si="1463"/>
        <v>X</v>
      </c>
      <c r="H6699" s="1" t="str">
        <f t="shared" si="1463"/>
        <v>X</v>
      </c>
      <c r="I6699" s="1" t="str">
        <f t="shared" si="1463"/>
        <v>X</v>
      </c>
      <c r="J6699" s="1" t="str">
        <f t="shared" si="1463"/>
        <v>X</v>
      </c>
      <c r="K6699" s="1" t="str">
        <f t="shared" si="1463"/>
        <v>X</v>
      </c>
      <c r="L6699" s="1" t="str">
        <f t="shared" si="1463"/>
        <v>X</v>
      </c>
      <c r="M6699" s="1" t="str">
        <f t="shared" si="1463"/>
        <v>X</v>
      </c>
      <c r="N6699" t="s">
        <v>27</v>
      </c>
    </row>
    <row r="6700" spans="1:14" x14ac:dyDescent="0.25">
      <c r="A6700" t="s">
        <v>42</v>
      </c>
      <c r="B6700" t="s">
        <v>39</v>
      </c>
      <c r="C6700" t="s">
        <v>37</v>
      </c>
      <c r="D6700" t="s">
        <v>28</v>
      </c>
      <c r="E6700" t="s">
        <v>26</v>
      </c>
      <c r="F6700" t="s">
        <v>19</v>
      </c>
      <c r="G6700" s="1" t="str">
        <f t="shared" si="1463"/>
        <v>X</v>
      </c>
      <c r="H6700" s="1" t="str">
        <f t="shared" si="1463"/>
        <v>X</v>
      </c>
      <c r="I6700" s="1" t="str">
        <f t="shared" si="1463"/>
        <v>X</v>
      </c>
      <c r="J6700" s="1" t="str">
        <f t="shared" si="1463"/>
        <v>X</v>
      </c>
      <c r="K6700" s="1" t="str">
        <f t="shared" si="1463"/>
        <v>X</v>
      </c>
      <c r="L6700" s="1" t="str">
        <f t="shared" si="1463"/>
        <v>X</v>
      </c>
      <c r="M6700" s="1" t="str">
        <f t="shared" si="1463"/>
        <v>X</v>
      </c>
      <c r="N6700" t="s">
        <v>27</v>
      </c>
    </row>
    <row r="6701" spans="1:14" x14ac:dyDescent="0.25">
      <c r="A6701" t="s">
        <v>42</v>
      </c>
      <c r="B6701" t="s">
        <v>39</v>
      </c>
      <c r="C6701" t="s">
        <v>37</v>
      </c>
      <c r="D6701" t="s">
        <v>28</v>
      </c>
      <c r="E6701" t="s">
        <v>26</v>
      </c>
      <c r="F6701" t="s">
        <v>20</v>
      </c>
      <c r="G6701" s="2">
        <f>VALUE(181.66)</f>
        <v>181.66</v>
      </c>
      <c r="H6701" s="3">
        <f>VALUE(183.4)</f>
        <v>183.4</v>
      </c>
      <c r="I6701" s="4">
        <f>VALUE(3911)</f>
        <v>3911</v>
      </c>
      <c r="J6701" s="5">
        <f>VALUE(4781)</f>
        <v>4781</v>
      </c>
      <c r="K6701" s="1">
        <f>VALUE(6071)</f>
        <v>6071</v>
      </c>
      <c r="L6701" s="7">
        <f>VALUE(6984)</f>
        <v>6984</v>
      </c>
      <c r="M6701" s="8">
        <f>VALUE(9147)</f>
        <v>9147</v>
      </c>
      <c r="N6701" t="s">
        <v>25</v>
      </c>
    </row>
    <row r="6702" spans="1:14" x14ac:dyDescent="0.25">
      <c r="A6702" t="s">
        <v>42</v>
      </c>
      <c r="B6702" t="s">
        <v>39</v>
      </c>
      <c r="C6702" t="s">
        <v>37</v>
      </c>
      <c r="D6702" t="s">
        <v>29</v>
      </c>
      <c r="E6702" t="s">
        <v>15</v>
      </c>
      <c r="F6702" t="s">
        <v>15</v>
      </c>
      <c r="G6702" s="1">
        <f>VALUE(4782.31)</f>
        <v>4782.3100000000004</v>
      </c>
      <c r="H6702" s="1">
        <f>VALUE(4821.56)</f>
        <v>4821.5600000000004</v>
      </c>
      <c r="I6702" s="1">
        <f>VALUE(4133)</f>
        <v>4133</v>
      </c>
      <c r="J6702" s="1">
        <f>VALUE(4820)</f>
        <v>4820</v>
      </c>
      <c r="K6702" s="1">
        <f>VALUE(5772)</f>
        <v>5772</v>
      </c>
      <c r="L6702" s="1">
        <f>VALUE(7429)</f>
        <v>7429</v>
      </c>
      <c r="M6702" s="1">
        <f>VALUE(10676)</f>
        <v>10676</v>
      </c>
      <c r="N6702" t="s">
        <v>16</v>
      </c>
    </row>
    <row r="6703" spans="1:14" x14ac:dyDescent="0.25">
      <c r="A6703" t="s">
        <v>42</v>
      </c>
      <c r="B6703" t="s">
        <v>39</v>
      </c>
      <c r="C6703" t="s">
        <v>37</v>
      </c>
      <c r="D6703" t="s">
        <v>29</v>
      </c>
      <c r="E6703" t="s">
        <v>15</v>
      </c>
      <c r="F6703" t="s">
        <v>17</v>
      </c>
      <c r="G6703" s="2">
        <f>VALUE(858.48)</f>
        <v>858.48</v>
      </c>
      <c r="H6703" s="3">
        <f>VALUE(856.25)</f>
        <v>856.25</v>
      </c>
      <c r="I6703" s="4">
        <f>VALUE(4230)</f>
        <v>4230</v>
      </c>
      <c r="J6703" s="5">
        <f>VALUE(6707)</f>
        <v>6707</v>
      </c>
      <c r="K6703" s="6">
        <f>VALUE(9209)</f>
        <v>9209</v>
      </c>
      <c r="L6703" s="7">
        <f>VALUE(13505)</f>
        <v>13505</v>
      </c>
      <c r="M6703" s="8">
        <f>VALUE(22447)</f>
        <v>22447</v>
      </c>
      <c r="N6703" t="s">
        <v>24</v>
      </c>
    </row>
    <row r="6704" spans="1:14" x14ac:dyDescent="0.25">
      <c r="A6704" t="s">
        <v>42</v>
      </c>
      <c r="B6704" t="s">
        <v>39</v>
      </c>
      <c r="C6704" t="s">
        <v>37</v>
      </c>
      <c r="D6704" t="s">
        <v>29</v>
      </c>
      <c r="E6704" t="s">
        <v>15</v>
      </c>
      <c r="F6704" t="s">
        <v>18</v>
      </c>
      <c r="G6704" s="2">
        <f>VALUE(448.76)</f>
        <v>448.76</v>
      </c>
      <c r="H6704" s="3">
        <f>VALUE(451.14)</f>
        <v>451.14</v>
      </c>
      <c r="I6704" s="1">
        <f>VALUE(4441)</f>
        <v>4441</v>
      </c>
      <c r="J6704" s="1">
        <f>VALUE(5425)</f>
        <v>5425</v>
      </c>
      <c r="K6704" s="6">
        <f>VALUE(7314)</f>
        <v>7314</v>
      </c>
      <c r="L6704" s="1">
        <f>VALUE(8666)</f>
        <v>8666</v>
      </c>
      <c r="M6704" s="8">
        <f>VALUE(12369)</f>
        <v>12369</v>
      </c>
      <c r="N6704" t="s">
        <v>25</v>
      </c>
    </row>
    <row r="6705" spans="1:14" x14ac:dyDescent="0.25">
      <c r="A6705" t="s">
        <v>42</v>
      </c>
      <c r="B6705" t="s">
        <v>39</v>
      </c>
      <c r="C6705" t="s">
        <v>37</v>
      </c>
      <c r="D6705" t="s">
        <v>29</v>
      </c>
      <c r="E6705" t="s">
        <v>15</v>
      </c>
      <c r="F6705" t="s">
        <v>19</v>
      </c>
      <c r="G6705" s="2">
        <f>VALUE(649.05)</f>
        <v>649.04999999999995</v>
      </c>
      <c r="H6705" s="3">
        <f>VALUE(666.55)</f>
        <v>666.55</v>
      </c>
      <c r="I6705" s="1">
        <f>VALUE(4436)</f>
        <v>4436</v>
      </c>
      <c r="J6705" s="1">
        <f>VALUE(5083)</f>
        <v>5083</v>
      </c>
      <c r="K6705" s="1">
        <f>VALUE(5756)</f>
        <v>5756</v>
      </c>
      <c r="L6705" s="1">
        <f>VALUE(6794)</f>
        <v>6794</v>
      </c>
      <c r="M6705" s="1">
        <f>VALUE(8346)</f>
        <v>8346</v>
      </c>
      <c r="N6705" t="s">
        <v>25</v>
      </c>
    </row>
    <row r="6706" spans="1:14" x14ac:dyDescent="0.25">
      <c r="A6706" t="s">
        <v>42</v>
      </c>
      <c r="B6706" t="s">
        <v>39</v>
      </c>
      <c r="C6706" t="s">
        <v>37</v>
      </c>
      <c r="D6706" t="s">
        <v>29</v>
      </c>
      <c r="E6706" t="s">
        <v>15</v>
      </c>
      <c r="F6706" t="s">
        <v>20</v>
      </c>
      <c r="G6706" s="1">
        <f>VALUE(2826.02)</f>
        <v>2826.02</v>
      </c>
      <c r="H6706" s="1">
        <f>VALUE(2847.62)</f>
        <v>2847.62</v>
      </c>
      <c r="I6706" s="1">
        <f>VALUE(4065)</f>
        <v>4065</v>
      </c>
      <c r="J6706" s="1">
        <f>VALUE(4590)</f>
        <v>4590</v>
      </c>
      <c r="K6706" s="1">
        <f>VALUE(5420)</f>
        <v>5420</v>
      </c>
      <c r="L6706" s="1">
        <f>VALUE(6370)</f>
        <v>6370</v>
      </c>
      <c r="M6706" s="1">
        <f>VALUE(7476)</f>
        <v>7476</v>
      </c>
      <c r="N6706" t="s">
        <v>16</v>
      </c>
    </row>
    <row r="6707" spans="1:14" x14ac:dyDescent="0.25">
      <c r="A6707" t="s">
        <v>42</v>
      </c>
      <c r="B6707" t="s">
        <v>39</v>
      </c>
      <c r="C6707" t="s">
        <v>37</v>
      </c>
      <c r="D6707" t="s">
        <v>29</v>
      </c>
      <c r="E6707" t="s">
        <v>21</v>
      </c>
      <c r="F6707" t="s">
        <v>15</v>
      </c>
      <c r="G6707" s="2">
        <f>VALUE(904.94)</f>
        <v>904.94</v>
      </c>
      <c r="H6707" s="3">
        <f>VALUE(874.76)</f>
        <v>874.76</v>
      </c>
      <c r="I6707" s="4">
        <f>VALUE(5474)</f>
        <v>5474</v>
      </c>
      <c r="J6707" s="1">
        <f>VALUE(6944)</f>
        <v>6944</v>
      </c>
      <c r="K6707" s="1">
        <f>VALUE(9013)</f>
        <v>9013</v>
      </c>
      <c r="L6707" s="7">
        <f>VALUE(12510)</f>
        <v>12510</v>
      </c>
      <c r="M6707" s="8">
        <f>VALUE(20270)</f>
        <v>20270</v>
      </c>
      <c r="N6707" t="s">
        <v>25</v>
      </c>
    </row>
    <row r="6708" spans="1:14" x14ac:dyDescent="0.25">
      <c r="A6708" t="s">
        <v>42</v>
      </c>
      <c r="B6708" t="s">
        <v>39</v>
      </c>
      <c r="C6708" t="s">
        <v>37</v>
      </c>
      <c r="D6708" t="s">
        <v>29</v>
      </c>
      <c r="E6708" t="s">
        <v>21</v>
      </c>
      <c r="F6708" t="s">
        <v>17</v>
      </c>
      <c r="G6708" s="2">
        <f>VALUE(427.65)</f>
        <v>427.65</v>
      </c>
      <c r="H6708" s="3">
        <f>VALUE(418.82)</f>
        <v>418.82</v>
      </c>
      <c r="I6708" s="4">
        <f>VALUE(6644)</f>
        <v>6644</v>
      </c>
      <c r="J6708" s="5">
        <f>VALUE(8000)</f>
        <v>8000</v>
      </c>
      <c r="K6708" s="6">
        <f>VALUE(11225)</f>
        <v>11225</v>
      </c>
      <c r="L6708" s="7">
        <f>VALUE(17667)</f>
        <v>17667</v>
      </c>
      <c r="M6708" s="8">
        <f>VALUE(29773)</f>
        <v>29773</v>
      </c>
      <c r="N6708" t="s">
        <v>24</v>
      </c>
    </row>
    <row r="6709" spans="1:14" x14ac:dyDescent="0.25">
      <c r="A6709" t="s">
        <v>42</v>
      </c>
      <c r="B6709" t="s">
        <v>39</v>
      </c>
      <c r="C6709" t="s">
        <v>37</v>
      </c>
      <c r="D6709" t="s">
        <v>29</v>
      </c>
      <c r="E6709" t="s">
        <v>21</v>
      </c>
      <c r="F6709" t="s">
        <v>18</v>
      </c>
      <c r="G6709" s="2">
        <f>VALUE(129.85)</f>
        <v>129.85</v>
      </c>
      <c r="H6709" s="3">
        <f>VALUE(122.94)</f>
        <v>122.94</v>
      </c>
      <c r="I6709" s="4">
        <f>VALUE(5557)</f>
        <v>5557</v>
      </c>
      <c r="J6709" s="1">
        <f>VALUE(7615)</f>
        <v>7615</v>
      </c>
      <c r="K6709" s="6">
        <f>VALUE(9406)</f>
        <v>9406</v>
      </c>
      <c r="L6709" s="1">
        <f>VALUE(12423)</f>
        <v>12423</v>
      </c>
      <c r="M6709" s="8">
        <f>VALUE(14167)</f>
        <v>14167</v>
      </c>
      <c r="N6709" t="s">
        <v>25</v>
      </c>
    </row>
    <row r="6710" spans="1:14" x14ac:dyDescent="0.25">
      <c r="A6710" t="s">
        <v>42</v>
      </c>
      <c r="B6710" t="s">
        <v>39</v>
      </c>
      <c r="C6710" t="s">
        <v>37</v>
      </c>
      <c r="D6710" t="s">
        <v>29</v>
      </c>
      <c r="E6710" t="s">
        <v>21</v>
      </c>
      <c r="F6710" t="s">
        <v>19</v>
      </c>
      <c r="G6710" s="1" t="str">
        <f t="shared" ref="G6710:M6710" si="1464">"X"</f>
        <v>X</v>
      </c>
      <c r="H6710" s="1" t="str">
        <f t="shared" si="1464"/>
        <v>X</v>
      </c>
      <c r="I6710" s="1" t="str">
        <f t="shared" si="1464"/>
        <v>X</v>
      </c>
      <c r="J6710" s="1" t="str">
        <f t="shared" si="1464"/>
        <v>X</v>
      </c>
      <c r="K6710" s="1" t="str">
        <f t="shared" si="1464"/>
        <v>X</v>
      </c>
      <c r="L6710" s="1" t="str">
        <f t="shared" si="1464"/>
        <v>X</v>
      </c>
      <c r="M6710" s="1" t="str">
        <f t="shared" si="1464"/>
        <v>X</v>
      </c>
      <c r="N6710" t="s">
        <v>27</v>
      </c>
    </row>
    <row r="6711" spans="1:14" x14ac:dyDescent="0.25">
      <c r="A6711" t="s">
        <v>42</v>
      </c>
      <c r="B6711" t="s">
        <v>39</v>
      </c>
      <c r="C6711" t="s">
        <v>37</v>
      </c>
      <c r="D6711" t="s">
        <v>29</v>
      </c>
      <c r="E6711" t="s">
        <v>21</v>
      </c>
      <c r="F6711" t="s">
        <v>20</v>
      </c>
      <c r="G6711" s="2">
        <f>VALUE(237.44)</f>
        <v>237.44</v>
      </c>
      <c r="H6711" s="3">
        <f>VALUE(227.84)</f>
        <v>227.84</v>
      </c>
      <c r="I6711" s="1">
        <f>VALUE(5092)</f>
        <v>5092</v>
      </c>
      <c r="J6711" s="1">
        <f>VALUE(5772)</f>
        <v>5772</v>
      </c>
      <c r="K6711" s="1">
        <f>VALUE(7704)</f>
        <v>7704</v>
      </c>
      <c r="L6711" s="1">
        <f>VALUE(9083)</f>
        <v>9083</v>
      </c>
      <c r="M6711" s="8">
        <f>VALUE(10662)</f>
        <v>10662</v>
      </c>
      <c r="N6711" t="s">
        <v>25</v>
      </c>
    </row>
    <row r="6712" spans="1:14" x14ac:dyDescent="0.25">
      <c r="A6712" t="s">
        <v>42</v>
      </c>
      <c r="B6712" t="s">
        <v>39</v>
      </c>
      <c r="C6712" t="s">
        <v>37</v>
      </c>
      <c r="D6712" t="s">
        <v>29</v>
      </c>
      <c r="E6712" t="s">
        <v>22</v>
      </c>
      <c r="F6712" t="s">
        <v>15</v>
      </c>
      <c r="G6712" s="1">
        <f>VALUE(2031.03)</f>
        <v>2031.03</v>
      </c>
      <c r="H6712" s="1">
        <f>VALUE(2046.16)</f>
        <v>2046.16</v>
      </c>
      <c r="I6712" s="1">
        <f>VALUE(4451)</f>
        <v>4451</v>
      </c>
      <c r="J6712" s="1">
        <f>VALUE(5139)</f>
        <v>5139</v>
      </c>
      <c r="K6712" s="1">
        <f>VALUE(6048)</f>
        <v>6048</v>
      </c>
      <c r="L6712" s="1">
        <f>VALUE(7433)</f>
        <v>7433</v>
      </c>
      <c r="M6712" s="8">
        <f>VALUE(8989)</f>
        <v>8989</v>
      </c>
      <c r="N6712" t="s">
        <v>25</v>
      </c>
    </row>
    <row r="6713" spans="1:14" x14ac:dyDescent="0.25">
      <c r="A6713" t="s">
        <v>42</v>
      </c>
      <c r="B6713" t="s">
        <v>39</v>
      </c>
      <c r="C6713" t="s">
        <v>37</v>
      </c>
      <c r="D6713" t="s">
        <v>29</v>
      </c>
      <c r="E6713" t="s">
        <v>22</v>
      </c>
      <c r="F6713" t="s">
        <v>17</v>
      </c>
      <c r="G6713" s="2">
        <f>VALUE(317.42)</f>
        <v>317.42</v>
      </c>
      <c r="H6713" s="3">
        <f>VALUE(317.46)</f>
        <v>317.45999999999998</v>
      </c>
      <c r="I6713" s="4">
        <f>VALUE(5538)</f>
        <v>5538</v>
      </c>
      <c r="J6713" s="5">
        <f>VALUE(6608)</f>
        <v>6608</v>
      </c>
      <c r="K6713" s="6">
        <f>VALUE(8882)</f>
        <v>8882</v>
      </c>
      <c r="L6713" s="7">
        <f>VALUE(12222)</f>
        <v>12222</v>
      </c>
      <c r="M6713" s="8">
        <f>VALUE(17843)</f>
        <v>17843</v>
      </c>
      <c r="N6713" t="s">
        <v>24</v>
      </c>
    </row>
    <row r="6714" spans="1:14" x14ac:dyDescent="0.25">
      <c r="A6714" t="s">
        <v>42</v>
      </c>
      <c r="B6714" t="s">
        <v>39</v>
      </c>
      <c r="C6714" t="s">
        <v>37</v>
      </c>
      <c r="D6714" t="s">
        <v>29</v>
      </c>
      <c r="E6714" t="s">
        <v>22</v>
      </c>
      <c r="F6714" t="s">
        <v>18</v>
      </c>
      <c r="G6714" s="2">
        <f>VALUE(217.62)</f>
        <v>217.62</v>
      </c>
      <c r="H6714" s="3">
        <f>VALUE(222.01)</f>
        <v>222.01</v>
      </c>
      <c r="I6714" s="1">
        <f>VALUE(4917)</f>
        <v>4917</v>
      </c>
      <c r="J6714" s="1">
        <f>VALUE(5958)</f>
        <v>5958</v>
      </c>
      <c r="K6714" s="6">
        <f>VALUE(7524)</f>
        <v>7524</v>
      </c>
      <c r="L6714" s="1">
        <f>VALUE(8161)</f>
        <v>8161</v>
      </c>
      <c r="M6714" s="8">
        <f>VALUE(8823)</f>
        <v>8823</v>
      </c>
      <c r="N6714" t="s">
        <v>25</v>
      </c>
    </row>
    <row r="6715" spans="1:14" x14ac:dyDescent="0.25">
      <c r="A6715" t="s">
        <v>42</v>
      </c>
      <c r="B6715" t="s">
        <v>39</v>
      </c>
      <c r="C6715" t="s">
        <v>37</v>
      </c>
      <c r="D6715" t="s">
        <v>29</v>
      </c>
      <c r="E6715" t="s">
        <v>22</v>
      </c>
      <c r="F6715" t="s">
        <v>19</v>
      </c>
      <c r="G6715" s="2">
        <f>VALUE(390.53)</f>
        <v>390.53</v>
      </c>
      <c r="H6715" s="3">
        <f>VALUE(405.16)</f>
        <v>405.16</v>
      </c>
      <c r="I6715" s="4">
        <f>VALUE(4588)</f>
        <v>4588</v>
      </c>
      <c r="J6715" s="1">
        <f>VALUE(5103)</f>
        <v>5103</v>
      </c>
      <c r="K6715" s="1">
        <f>VALUE(5756)</f>
        <v>5756</v>
      </c>
      <c r="L6715" s="1">
        <f>VALUE(6794)</f>
        <v>6794</v>
      </c>
      <c r="M6715" s="1">
        <f>VALUE(7984)</f>
        <v>7984</v>
      </c>
      <c r="N6715" t="s">
        <v>25</v>
      </c>
    </row>
    <row r="6716" spans="1:14" x14ac:dyDescent="0.25">
      <c r="A6716" t="s">
        <v>42</v>
      </c>
      <c r="B6716" t="s">
        <v>39</v>
      </c>
      <c r="C6716" t="s">
        <v>37</v>
      </c>
      <c r="D6716" t="s">
        <v>29</v>
      </c>
      <c r="E6716" t="s">
        <v>22</v>
      </c>
      <c r="F6716" t="s">
        <v>20</v>
      </c>
      <c r="G6716" s="2">
        <f>VALUE(1105.46)</f>
        <v>1105.46</v>
      </c>
      <c r="H6716" s="3">
        <f>VALUE(1101.53)</f>
        <v>1101.53</v>
      </c>
      <c r="I6716" s="4">
        <f>VALUE(4300)</f>
        <v>4300</v>
      </c>
      <c r="J6716" s="1">
        <f>VALUE(4778)</f>
        <v>4778</v>
      </c>
      <c r="K6716" s="1">
        <f>VALUE(5574)</f>
        <v>5574</v>
      </c>
      <c r="L6716" s="1">
        <f>VALUE(6554)</f>
        <v>6554</v>
      </c>
      <c r="M6716" s="1">
        <f>VALUE(7684)</f>
        <v>7684</v>
      </c>
      <c r="N6716" t="s">
        <v>25</v>
      </c>
    </row>
    <row r="6717" spans="1:14" x14ac:dyDescent="0.25">
      <c r="A6717" t="s">
        <v>42</v>
      </c>
      <c r="B6717" t="s">
        <v>39</v>
      </c>
      <c r="C6717" t="s">
        <v>37</v>
      </c>
      <c r="D6717" t="s">
        <v>29</v>
      </c>
      <c r="E6717" t="s">
        <v>23</v>
      </c>
      <c r="F6717" t="s">
        <v>15</v>
      </c>
      <c r="G6717" s="2">
        <f>VALUE(1745.65)</f>
        <v>1745.65</v>
      </c>
      <c r="H6717" s="3">
        <f>VALUE(1799.55)</f>
        <v>1799.55</v>
      </c>
      <c r="I6717" s="1">
        <f>VALUE(3926)</f>
        <v>3926</v>
      </c>
      <c r="J6717" s="1">
        <f>VALUE(4398)</f>
        <v>4398</v>
      </c>
      <c r="K6717" s="1">
        <f>VALUE(5212)</f>
        <v>5212</v>
      </c>
      <c r="L6717" s="1">
        <f>VALUE(5874)</f>
        <v>5874</v>
      </c>
      <c r="M6717" s="1">
        <f>VALUE(6707)</f>
        <v>6707</v>
      </c>
      <c r="N6717" t="s">
        <v>25</v>
      </c>
    </row>
    <row r="6718" spans="1:14" x14ac:dyDescent="0.25">
      <c r="A6718" t="s">
        <v>42</v>
      </c>
      <c r="B6718" t="s">
        <v>39</v>
      </c>
      <c r="C6718" t="s">
        <v>37</v>
      </c>
      <c r="D6718" t="s">
        <v>29</v>
      </c>
      <c r="E6718" t="s">
        <v>23</v>
      </c>
      <c r="F6718" t="s">
        <v>17</v>
      </c>
      <c r="G6718" s="1" t="str">
        <f t="shared" ref="G6718:M6720" si="1465">"X"</f>
        <v>X</v>
      </c>
      <c r="H6718" s="1" t="str">
        <f t="shared" si="1465"/>
        <v>X</v>
      </c>
      <c r="I6718" s="1" t="str">
        <f t="shared" si="1465"/>
        <v>X</v>
      </c>
      <c r="J6718" s="1" t="str">
        <f t="shared" si="1465"/>
        <v>X</v>
      </c>
      <c r="K6718" s="1" t="str">
        <f t="shared" si="1465"/>
        <v>X</v>
      </c>
      <c r="L6718" s="1" t="str">
        <f t="shared" si="1465"/>
        <v>X</v>
      </c>
      <c r="M6718" s="1" t="str">
        <f t="shared" si="1465"/>
        <v>X</v>
      </c>
      <c r="N6718" t="s">
        <v>27</v>
      </c>
    </row>
    <row r="6719" spans="1:14" x14ac:dyDescent="0.25">
      <c r="A6719" t="s">
        <v>42</v>
      </c>
      <c r="B6719" t="s">
        <v>39</v>
      </c>
      <c r="C6719" t="s">
        <v>37</v>
      </c>
      <c r="D6719" t="s">
        <v>29</v>
      </c>
      <c r="E6719" t="s">
        <v>23</v>
      </c>
      <c r="F6719" t="s">
        <v>18</v>
      </c>
      <c r="G6719" s="1" t="str">
        <f t="shared" si="1465"/>
        <v>X</v>
      </c>
      <c r="H6719" s="1" t="str">
        <f t="shared" si="1465"/>
        <v>X</v>
      </c>
      <c r="I6719" s="1" t="str">
        <f t="shared" si="1465"/>
        <v>X</v>
      </c>
      <c r="J6719" s="1" t="str">
        <f t="shared" si="1465"/>
        <v>X</v>
      </c>
      <c r="K6719" s="1" t="str">
        <f t="shared" si="1465"/>
        <v>X</v>
      </c>
      <c r="L6719" s="1" t="str">
        <f t="shared" si="1465"/>
        <v>X</v>
      </c>
      <c r="M6719" s="1" t="str">
        <f t="shared" si="1465"/>
        <v>X</v>
      </c>
      <c r="N6719" t="s">
        <v>27</v>
      </c>
    </row>
    <row r="6720" spans="1:14" x14ac:dyDescent="0.25">
      <c r="A6720" t="s">
        <v>42</v>
      </c>
      <c r="B6720" t="s">
        <v>39</v>
      </c>
      <c r="C6720" t="s">
        <v>37</v>
      </c>
      <c r="D6720" t="s">
        <v>29</v>
      </c>
      <c r="E6720" t="s">
        <v>23</v>
      </c>
      <c r="F6720" t="s">
        <v>19</v>
      </c>
      <c r="G6720" s="1" t="str">
        <f t="shared" si="1465"/>
        <v>X</v>
      </c>
      <c r="H6720" s="1" t="str">
        <f t="shared" si="1465"/>
        <v>X</v>
      </c>
      <c r="I6720" s="1" t="str">
        <f t="shared" si="1465"/>
        <v>X</v>
      </c>
      <c r="J6720" s="1" t="str">
        <f t="shared" si="1465"/>
        <v>X</v>
      </c>
      <c r="K6720" s="1" t="str">
        <f t="shared" si="1465"/>
        <v>X</v>
      </c>
      <c r="L6720" s="1" t="str">
        <f t="shared" si="1465"/>
        <v>X</v>
      </c>
      <c r="M6720" s="1" t="str">
        <f t="shared" si="1465"/>
        <v>X</v>
      </c>
      <c r="N6720" t="s">
        <v>27</v>
      </c>
    </row>
    <row r="6721" spans="1:14" x14ac:dyDescent="0.25">
      <c r="A6721" t="s">
        <v>42</v>
      </c>
      <c r="B6721" t="s">
        <v>39</v>
      </c>
      <c r="C6721" t="s">
        <v>37</v>
      </c>
      <c r="D6721" t="s">
        <v>29</v>
      </c>
      <c r="E6721" t="s">
        <v>23</v>
      </c>
      <c r="F6721" t="s">
        <v>20</v>
      </c>
      <c r="G6721" s="2">
        <f>VALUE(1404.19)</f>
        <v>1404.19</v>
      </c>
      <c r="H6721" s="3">
        <f>VALUE(1439.69)</f>
        <v>1439.69</v>
      </c>
      <c r="I6721" s="1">
        <f>VALUE(3988)</f>
        <v>3988</v>
      </c>
      <c r="J6721" s="1">
        <f>VALUE(4444)</f>
        <v>4444</v>
      </c>
      <c r="K6721" s="1">
        <f>VALUE(5187)</f>
        <v>5187</v>
      </c>
      <c r="L6721" s="1">
        <f>VALUE(5882)</f>
        <v>5882</v>
      </c>
      <c r="M6721" s="1">
        <f>VALUE(6468)</f>
        <v>6468</v>
      </c>
      <c r="N6721" t="s">
        <v>25</v>
      </c>
    </row>
    <row r="6722" spans="1:14" x14ac:dyDescent="0.25">
      <c r="A6722" t="s">
        <v>42</v>
      </c>
      <c r="B6722" t="s">
        <v>39</v>
      </c>
      <c r="C6722" t="s">
        <v>37</v>
      </c>
      <c r="D6722" t="s">
        <v>29</v>
      </c>
      <c r="E6722" t="s">
        <v>26</v>
      </c>
      <c r="F6722" t="s">
        <v>15</v>
      </c>
      <c r="G6722" s="1" t="str">
        <f t="shared" ref="G6722:M6724" si="1466">"X"</f>
        <v>X</v>
      </c>
      <c r="H6722" s="1" t="str">
        <f t="shared" si="1466"/>
        <v>X</v>
      </c>
      <c r="I6722" s="1" t="str">
        <f t="shared" si="1466"/>
        <v>X</v>
      </c>
      <c r="J6722" s="1" t="str">
        <f t="shared" si="1466"/>
        <v>X</v>
      </c>
      <c r="K6722" s="1" t="str">
        <f t="shared" si="1466"/>
        <v>X</v>
      </c>
      <c r="L6722" s="1" t="str">
        <f t="shared" si="1466"/>
        <v>X</v>
      </c>
      <c r="M6722" s="1" t="str">
        <f t="shared" si="1466"/>
        <v>X</v>
      </c>
      <c r="N6722" t="s">
        <v>27</v>
      </c>
    </row>
    <row r="6723" spans="1:14" x14ac:dyDescent="0.25">
      <c r="A6723" t="s">
        <v>42</v>
      </c>
      <c r="B6723" t="s">
        <v>39</v>
      </c>
      <c r="C6723" t="s">
        <v>37</v>
      </c>
      <c r="D6723" t="s">
        <v>29</v>
      </c>
      <c r="E6723" t="s">
        <v>26</v>
      </c>
      <c r="F6723" t="s">
        <v>17</v>
      </c>
      <c r="G6723" s="1" t="str">
        <f t="shared" si="1466"/>
        <v>X</v>
      </c>
      <c r="H6723" s="1" t="str">
        <f t="shared" si="1466"/>
        <v>X</v>
      </c>
      <c r="I6723" s="1" t="str">
        <f t="shared" si="1466"/>
        <v>X</v>
      </c>
      <c r="J6723" s="1" t="str">
        <f t="shared" si="1466"/>
        <v>X</v>
      </c>
      <c r="K6723" s="1" t="str">
        <f t="shared" si="1466"/>
        <v>X</v>
      </c>
      <c r="L6723" s="1" t="str">
        <f t="shared" si="1466"/>
        <v>X</v>
      </c>
      <c r="M6723" s="1" t="str">
        <f t="shared" si="1466"/>
        <v>X</v>
      </c>
      <c r="N6723" t="s">
        <v>27</v>
      </c>
    </row>
    <row r="6724" spans="1:14" x14ac:dyDescent="0.25">
      <c r="A6724" t="s">
        <v>42</v>
      </c>
      <c r="B6724" t="s">
        <v>39</v>
      </c>
      <c r="C6724" t="s">
        <v>37</v>
      </c>
      <c r="D6724" t="s">
        <v>29</v>
      </c>
      <c r="E6724" t="s">
        <v>26</v>
      </c>
      <c r="F6724" t="s">
        <v>18</v>
      </c>
      <c r="G6724" s="1" t="str">
        <f t="shared" si="1466"/>
        <v>X</v>
      </c>
      <c r="H6724" s="1" t="str">
        <f t="shared" si="1466"/>
        <v>X</v>
      </c>
      <c r="I6724" s="1" t="str">
        <f t="shared" si="1466"/>
        <v>X</v>
      </c>
      <c r="J6724" s="1" t="str">
        <f t="shared" si="1466"/>
        <v>X</v>
      </c>
      <c r="K6724" s="1" t="str">
        <f t="shared" si="1466"/>
        <v>X</v>
      </c>
      <c r="L6724" s="1" t="str">
        <f t="shared" si="1466"/>
        <v>X</v>
      </c>
      <c r="M6724" s="1" t="str">
        <f t="shared" si="1466"/>
        <v>X</v>
      </c>
      <c r="N6724" t="s">
        <v>27</v>
      </c>
    </row>
    <row r="6725" spans="1:14" x14ac:dyDescent="0.25">
      <c r="A6725" t="s">
        <v>42</v>
      </c>
      <c r="B6725" t="s">
        <v>39</v>
      </c>
      <c r="C6725" t="s">
        <v>37</v>
      </c>
      <c r="D6725" t="s">
        <v>29</v>
      </c>
      <c r="E6725" t="s">
        <v>26</v>
      </c>
      <c r="F6725" t="s">
        <v>19</v>
      </c>
      <c r="G6725" s="1" t="str">
        <f t="shared" ref="G6725:M6725" si="1467">"..."</f>
        <v>...</v>
      </c>
      <c r="H6725" s="1" t="str">
        <f t="shared" si="1467"/>
        <v>...</v>
      </c>
      <c r="I6725" s="1" t="str">
        <f t="shared" si="1467"/>
        <v>...</v>
      </c>
      <c r="J6725" s="1" t="str">
        <f t="shared" si="1467"/>
        <v>...</v>
      </c>
      <c r="K6725" s="1" t="str">
        <f t="shared" si="1467"/>
        <v>...</v>
      </c>
      <c r="L6725" s="1" t="str">
        <f t="shared" si="1467"/>
        <v>...</v>
      </c>
      <c r="M6725" s="1" t="str">
        <f t="shared" si="1467"/>
        <v>...</v>
      </c>
      <c r="N6725" t="s">
        <v>30</v>
      </c>
    </row>
    <row r="6726" spans="1:14" x14ac:dyDescent="0.25">
      <c r="A6726" t="s">
        <v>42</v>
      </c>
      <c r="B6726" t="s">
        <v>39</v>
      </c>
      <c r="C6726" t="s">
        <v>37</v>
      </c>
      <c r="D6726" t="s">
        <v>29</v>
      </c>
      <c r="E6726" t="s">
        <v>26</v>
      </c>
      <c r="F6726" t="s">
        <v>20</v>
      </c>
      <c r="G6726" s="1" t="str">
        <f t="shared" ref="G6726:M6726" si="1468">"X"</f>
        <v>X</v>
      </c>
      <c r="H6726" s="1" t="str">
        <f t="shared" si="1468"/>
        <v>X</v>
      </c>
      <c r="I6726" s="1" t="str">
        <f t="shared" si="1468"/>
        <v>X</v>
      </c>
      <c r="J6726" s="1" t="str">
        <f t="shared" si="1468"/>
        <v>X</v>
      </c>
      <c r="K6726" s="1" t="str">
        <f t="shared" si="1468"/>
        <v>X</v>
      </c>
      <c r="L6726" s="1" t="str">
        <f t="shared" si="1468"/>
        <v>X</v>
      </c>
      <c r="M6726" s="1" t="str">
        <f t="shared" si="1468"/>
        <v>X</v>
      </c>
      <c r="N6726" t="s">
        <v>27</v>
      </c>
    </row>
    <row r="6727" spans="1:14" x14ac:dyDescent="0.25">
      <c r="A6727" t="s">
        <v>42</v>
      </c>
      <c r="B6727" t="s">
        <v>39</v>
      </c>
      <c r="C6727" t="s">
        <v>37</v>
      </c>
      <c r="D6727" t="s">
        <v>31</v>
      </c>
      <c r="E6727" t="s">
        <v>15</v>
      </c>
      <c r="F6727" t="s">
        <v>15</v>
      </c>
      <c r="G6727" s="1">
        <f>VALUE(2224.07)</f>
        <v>2224.0700000000002</v>
      </c>
      <c r="H6727" s="1">
        <f>VALUE(2194.89)</f>
        <v>2194.89</v>
      </c>
      <c r="I6727" s="1">
        <f>VALUE(3540)</f>
        <v>3540</v>
      </c>
      <c r="J6727" s="1">
        <f>VALUE(4231)</f>
        <v>4231</v>
      </c>
      <c r="K6727" s="1">
        <f>VALUE(5388)</f>
        <v>5388</v>
      </c>
      <c r="L6727" s="7">
        <f>VALUE(7095)</f>
        <v>7095</v>
      </c>
      <c r="M6727" s="8">
        <f>VALUE(11772)</f>
        <v>11772</v>
      </c>
      <c r="N6727" t="s">
        <v>25</v>
      </c>
    </row>
    <row r="6728" spans="1:14" x14ac:dyDescent="0.25">
      <c r="A6728" t="s">
        <v>42</v>
      </c>
      <c r="B6728" t="s">
        <v>39</v>
      </c>
      <c r="C6728" t="s">
        <v>37</v>
      </c>
      <c r="D6728" t="s">
        <v>31</v>
      </c>
      <c r="E6728" t="s">
        <v>15</v>
      </c>
      <c r="F6728" t="s">
        <v>17</v>
      </c>
      <c r="G6728" s="2">
        <f>VALUE(344.14)</f>
        <v>344.14</v>
      </c>
      <c r="H6728" s="3">
        <f>VALUE(355.82)</f>
        <v>355.82</v>
      </c>
      <c r="I6728" s="4">
        <f>VALUE(4546)</f>
        <v>4546</v>
      </c>
      <c r="J6728" s="5">
        <f>VALUE(6462)</f>
        <v>6462</v>
      </c>
      <c r="K6728" s="6">
        <f>VALUE(9730)</f>
        <v>9730</v>
      </c>
      <c r="L6728" s="7">
        <f>VALUE(18571)</f>
        <v>18571</v>
      </c>
      <c r="M6728" s="8">
        <f>VALUE(40267)</f>
        <v>40267</v>
      </c>
      <c r="N6728" t="s">
        <v>24</v>
      </c>
    </row>
    <row r="6729" spans="1:14" x14ac:dyDescent="0.25">
      <c r="A6729" t="s">
        <v>42</v>
      </c>
      <c r="B6729" t="s">
        <v>39</v>
      </c>
      <c r="C6729" t="s">
        <v>37</v>
      </c>
      <c r="D6729" t="s">
        <v>31</v>
      </c>
      <c r="E6729" t="s">
        <v>15</v>
      </c>
      <c r="F6729" t="s">
        <v>18</v>
      </c>
      <c r="G6729" s="2">
        <f>VALUE(217.43)</f>
        <v>217.43</v>
      </c>
      <c r="H6729" s="3">
        <f>VALUE(214.72)</f>
        <v>214.72</v>
      </c>
      <c r="I6729" s="1">
        <f>VALUE(4056)</f>
        <v>4056</v>
      </c>
      <c r="J6729" s="5">
        <f>VALUE(4099)</f>
        <v>4099</v>
      </c>
      <c r="K6729" s="6">
        <f>VALUE(6111)</f>
        <v>6111</v>
      </c>
      <c r="L6729" s="7">
        <f>VALUE(9334)</f>
        <v>9334</v>
      </c>
      <c r="M6729" s="1">
        <f>VALUE(12894)</f>
        <v>12894</v>
      </c>
      <c r="N6729" t="s">
        <v>25</v>
      </c>
    </row>
    <row r="6730" spans="1:14" x14ac:dyDescent="0.25">
      <c r="A6730" t="s">
        <v>42</v>
      </c>
      <c r="B6730" t="s">
        <v>39</v>
      </c>
      <c r="C6730" t="s">
        <v>37</v>
      </c>
      <c r="D6730" t="s">
        <v>31</v>
      </c>
      <c r="E6730" t="s">
        <v>15</v>
      </c>
      <c r="F6730" t="s">
        <v>19</v>
      </c>
      <c r="G6730" s="2">
        <f>VALUE(247.86)</f>
        <v>247.86</v>
      </c>
      <c r="H6730" s="3">
        <f>VALUE(247.71)</f>
        <v>247.71</v>
      </c>
      <c r="I6730" s="4">
        <f>VALUE(4230)</f>
        <v>4230</v>
      </c>
      <c r="J6730" s="5">
        <f>VALUE(4859)</f>
        <v>4859</v>
      </c>
      <c r="K6730" s="6">
        <f>VALUE(5672)</f>
        <v>5672</v>
      </c>
      <c r="L6730" s="7">
        <f>VALUE(7679)</f>
        <v>7679</v>
      </c>
      <c r="M6730" s="8">
        <f>VALUE(10128)</f>
        <v>10128</v>
      </c>
      <c r="N6730" t="s">
        <v>24</v>
      </c>
    </row>
    <row r="6731" spans="1:14" x14ac:dyDescent="0.25">
      <c r="A6731" t="s">
        <v>42</v>
      </c>
      <c r="B6731" t="s">
        <v>39</v>
      </c>
      <c r="C6731" t="s">
        <v>37</v>
      </c>
      <c r="D6731" t="s">
        <v>31</v>
      </c>
      <c r="E6731" t="s">
        <v>15</v>
      </c>
      <c r="F6731" t="s">
        <v>20</v>
      </c>
      <c r="G6731" s="2">
        <f>VALUE(1414.64)</f>
        <v>1414.64</v>
      </c>
      <c r="H6731" s="3">
        <f>VALUE(1376.64)</f>
        <v>1376.64</v>
      </c>
      <c r="I6731" s="1">
        <f>VALUE(3436)</f>
        <v>3436</v>
      </c>
      <c r="J6731" s="1">
        <f>VALUE(3940)</f>
        <v>3940</v>
      </c>
      <c r="K6731" s="1">
        <f>VALUE(5057)</f>
        <v>5057</v>
      </c>
      <c r="L6731" s="1">
        <f>VALUE(5932)</f>
        <v>5932</v>
      </c>
      <c r="M6731" s="1">
        <f>VALUE(7204)</f>
        <v>7204</v>
      </c>
      <c r="N6731" t="s">
        <v>25</v>
      </c>
    </row>
    <row r="6732" spans="1:14" x14ac:dyDescent="0.25">
      <c r="A6732" t="s">
        <v>42</v>
      </c>
      <c r="B6732" t="s">
        <v>39</v>
      </c>
      <c r="C6732" t="s">
        <v>37</v>
      </c>
      <c r="D6732" t="s">
        <v>31</v>
      </c>
      <c r="E6732" t="s">
        <v>21</v>
      </c>
      <c r="F6732" t="s">
        <v>15</v>
      </c>
      <c r="G6732" s="2">
        <f>VALUE(604.61)</f>
        <v>604.61</v>
      </c>
      <c r="H6732" s="3">
        <f>VALUE(578.63)</f>
        <v>578.63</v>
      </c>
      <c r="I6732" s="1">
        <f>VALUE(5116)</f>
        <v>5116</v>
      </c>
      <c r="J6732" s="5">
        <f>VALUE(6254)</f>
        <v>6254</v>
      </c>
      <c r="K6732" s="6">
        <f>VALUE(8242)</f>
        <v>8242</v>
      </c>
      <c r="L6732" s="7">
        <f>VALUE(12894)</f>
        <v>12894</v>
      </c>
      <c r="M6732" s="8">
        <f>VALUE(24167)</f>
        <v>24167</v>
      </c>
      <c r="N6732" t="s">
        <v>25</v>
      </c>
    </row>
    <row r="6733" spans="1:14" x14ac:dyDescent="0.25">
      <c r="A6733" t="s">
        <v>42</v>
      </c>
      <c r="B6733" t="s">
        <v>39</v>
      </c>
      <c r="C6733" t="s">
        <v>37</v>
      </c>
      <c r="D6733" t="s">
        <v>31</v>
      </c>
      <c r="E6733" t="s">
        <v>21</v>
      </c>
      <c r="F6733" t="s">
        <v>17</v>
      </c>
      <c r="G6733" s="2">
        <f>VALUE(208.67)</f>
        <v>208.67</v>
      </c>
      <c r="H6733" s="3">
        <f>VALUE(213.72)</f>
        <v>213.72</v>
      </c>
      <c r="I6733" s="4">
        <f>VALUE(6973)</f>
        <v>6973</v>
      </c>
      <c r="J6733" s="5">
        <f>VALUE(8140)</f>
        <v>8140</v>
      </c>
      <c r="K6733" s="6">
        <f>VALUE(13295)</f>
        <v>13295</v>
      </c>
      <c r="L6733" s="7">
        <f>VALUE(24167)</f>
        <v>24167</v>
      </c>
      <c r="M6733" s="8">
        <f>VALUE(48881)</f>
        <v>48881</v>
      </c>
      <c r="N6733" t="s">
        <v>24</v>
      </c>
    </row>
    <row r="6734" spans="1:14" x14ac:dyDescent="0.25">
      <c r="A6734" t="s">
        <v>42</v>
      </c>
      <c r="B6734" t="s">
        <v>39</v>
      </c>
      <c r="C6734" t="s">
        <v>37</v>
      </c>
      <c r="D6734" t="s">
        <v>31</v>
      </c>
      <c r="E6734" t="s">
        <v>21</v>
      </c>
      <c r="F6734" t="s">
        <v>18</v>
      </c>
      <c r="G6734" s="1" t="str">
        <f t="shared" ref="G6734:M6735" si="1469">"X"</f>
        <v>X</v>
      </c>
      <c r="H6734" s="1" t="str">
        <f t="shared" si="1469"/>
        <v>X</v>
      </c>
      <c r="I6734" s="1" t="str">
        <f t="shared" si="1469"/>
        <v>X</v>
      </c>
      <c r="J6734" s="1" t="str">
        <f t="shared" si="1469"/>
        <v>X</v>
      </c>
      <c r="K6734" s="1" t="str">
        <f t="shared" si="1469"/>
        <v>X</v>
      </c>
      <c r="L6734" s="1" t="str">
        <f t="shared" si="1469"/>
        <v>X</v>
      </c>
      <c r="M6734" s="1" t="str">
        <f t="shared" si="1469"/>
        <v>X</v>
      </c>
      <c r="N6734" t="s">
        <v>27</v>
      </c>
    </row>
    <row r="6735" spans="1:14" x14ac:dyDescent="0.25">
      <c r="A6735" t="s">
        <v>42</v>
      </c>
      <c r="B6735" t="s">
        <v>39</v>
      </c>
      <c r="C6735" t="s">
        <v>37</v>
      </c>
      <c r="D6735" t="s">
        <v>31</v>
      </c>
      <c r="E6735" t="s">
        <v>21</v>
      </c>
      <c r="F6735" t="s">
        <v>19</v>
      </c>
      <c r="G6735" s="1" t="str">
        <f t="shared" si="1469"/>
        <v>X</v>
      </c>
      <c r="H6735" s="1" t="str">
        <f t="shared" si="1469"/>
        <v>X</v>
      </c>
      <c r="I6735" s="1" t="str">
        <f t="shared" si="1469"/>
        <v>X</v>
      </c>
      <c r="J6735" s="1" t="str">
        <f t="shared" si="1469"/>
        <v>X</v>
      </c>
      <c r="K6735" s="1" t="str">
        <f t="shared" si="1469"/>
        <v>X</v>
      </c>
      <c r="L6735" s="1" t="str">
        <f t="shared" si="1469"/>
        <v>X</v>
      </c>
      <c r="M6735" s="1" t="str">
        <f t="shared" si="1469"/>
        <v>X</v>
      </c>
      <c r="N6735" t="s">
        <v>27</v>
      </c>
    </row>
    <row r="6736" spans="1:14" x14ac:dyDescent="0.25">
      <c r="A6736" t="s">
        <v>42</v>
      </c>
      <c r="B6736" t="s">
        <v>39</v>
      </c>
      <c r="C6736" t="s">
        <v>37</v>
      </c>
      <c r="D6736" t="s">
        <v>31</v>
      </c>
      <c r="E6736" t="s">
        <v>21</v>
      </c>
      <c r="F6736" t="s">
        <v>20</v>
      </c>
      <c r="G6736" s="2">
        <f>VALUE(183.45)</f>
        <v>183.45</v>
      </c>
      <c r="H6736" s="3">
        <f>VALUE(159.07)</f>
        <v>159.07</v>
      </c>
      <c r="I6736" s="1">
        <f>VALUE(4876)</f>
        <v>4876</v>
      </c>
      <c r="J6736" s="5">
        <f>VALUE(5595)</f>
        <v>5595</v>
      </c>
      <c r="K6736" s="6">
        <f>VALUE(6476)</f>
        <v>6476</v>
      </c>
      <c r="L6736" s="1">
        <f>VALUE(7805)</f>
        <v>7805</v>
      </c>
      <c r="M6736" s="8">
        <f>VALUE(9180)</f>
        <v>9180</v>
      </c>
      <c r="N6736" t="s">
        <v>25</v>
      </c>
    </row>
    <row r="6737" spans="1:14" x14ac:dyDescent="0.25">
      <c r="A6737" t="s">
        <v>42</v>
      </c>
      <c r="B6737" t="s">
        <v>39</v>
      </c>
      <c r="C6737" t="s">
        <v>37</v>
      </c>
      <c r="D6737" t="s">
        <v>31</v>
      </c>
      <c r="E6737" t="s">
        <v>22</v>
      </c>
      <c r="F6737" t="s">
        <v>15</v>
      </c>
      <c r="G6737" s="2">
        <f>VALUE(507.5)</f>
        <v>507.5</v>
      </c>
      <c r="H6737" s="3">
        <f>VALUE(511.36)</f>
        <v>511.36</v>
      </c>
      <c r="I6737" s="4">
        <f>VALUE(3802)</f>
        <v>3802</v>
      </c>
      <c r="J6737" s="5">
        <f>VALUE(4356)</f>
        <v>4356</v>
      </c>
      <c r="K6737" s="1">
        <f>VALUE(5433)</f>
        <v>5433</v>
      </c>
      <c r="L6737" s="1">
        <f>VALUE(6669)</f>
        <v>6669</v>
      </c>
      <c r="M6737" s="1">
        <f>VALUE(9244)</f>
        <v>9244</v>
      </c>
      <c r="N6737" t="s">
        <v>25</v>
      </c>
    </row>
    <row r="6738" spans="1:14" x14ac:dyDescent="0.25">
      <c r="A6738" t="s">
        <v>42</v>
      </c>
      <c r="B6738" t="s">
        <v>39</v>
      </c>
      <c r="C6738" t="s">
        <v>37</v>
      </c>
      <c r="D6738" t="s">
        <v>31</v>
      </c>
      <c r="E6738" t="s">
        <v>22</v>
      </c>
      <c r="F6738" t="s">
        <v>17</v>
      </c>
      <c r="G6738" s="1" t="str">
        <f t="shared" ref="G6738:M6740" si="1470">"X"</f>
        <v>X</v>
      </c>
      <c r="H6738" s="1" t="str">
        <f t="shared" si="1470"/>
        <v>X</v>
      </c>
      <c r="I6738" s="1" t="str">
        <f t="shared" si="1470"/>
        <v>X</v>
      </c>
      <c r="J6738" s="1" t="str">
        <f t="shared" si="1470"/>
        <v>X</v>
      </c>
      <c r="K6738" s="1" t="str">
        <f t="shared" si="1470"/>
        <v>X</v>
      </c>
      <c r="L6738" s="1" t="str">
        <f t="shared" si="1470"/>
        <v>X</v>
      </c>
      <c r="M6738" s="1" t="str">
        <f t="shared" si="1470"/>
        <v>X</v>
      </c>
      <c r="N6738" t="s">
        <v>27</v>
      </c>
    </row>
    <row r="6739" spans="1:14" x14ac:dyDescent="0.25">
      <c r="A6739" t="s">
        <v>42</v>
      </c>
      <c r="B6739" t="s">
        <v>39</v>
      </c>
      <c r="C6739" t="s">
        <v>37</v>
      </c>
      <c r="D6739" t="s">
        <v>31</v>
      </c>
      <c r="E6739" t="s">
        <v>22</v>
      </c>
      <c r="F6739" t="s">
        <v>18</v>
      </c>
      <c r="G6739" s="1" t="str">
        <f t="shared" si="1470"/>
        <v>X</v>
      </c>
      <c r="H6739" s="1" t="str">
        <f t="shared" si="1470"/>
        <v>X</v>
      </c>
      <c r="I6739" s="1" t="str">
        <f t="shared" si="1470"/>
        <v>X</v>
      </c>
      <c r="J6739" s="1" t="str">
        <f t="shared" si="1470"/>
        <v>X</v>
      </c>
      <c r="K6739" s="1" t="str">
        <f t="shared" si="1470"/>
        <v>X</v>
      </c>
      <c r="L6739" s="1" t="str">
        <f t="shared" si="1470"/>
        <v>X</v>
      </c>
      <c r="M6739" s="1" t="str">
        <f t="shared" si="1470"/>
        <v>X</v>
      </c>
      <c r="N6739" t="s">
        <v>27</v>
      </c>
    </row>
    <row r="6740" spans="1:14" x14ac:dyDescent="0.25">
      <c r="A6740" t="s">
        <v>42</v>
      </c>
      <c r="B6740" t="s">
        <v>39</v>
      </c>
      <c r="C6740" t="s">
        <v>37</v>
      </c>
      <c r="D6740" t="s">
        <v>31</v>
      </c>
      <c r="E6740" t="s">
        <v>22</v>
      </c>
      <c r="F6740" t="s">
        <v>19</v>
      </c>
      <c r="G6740" s="1" t="str">
        <f t="shared" si="1470"/>
        <v>X</v>
      </c>
      <c r="H6740" s="1" t="str">
        <f t="shared" si="1470"/>
        <v>X</v>
      </c>
      <c r="I6740" s="1" t="str">
        <f t="shared" si="1470"/>
        <v>X</v>
      </c>
      <c r="J6740" s="1" t="str">
        <f t="shared" si="1470"/>
        <v>X</v>
      </c>
      <c r="K6740" s="1" t="str">
        <f t="shared" si="1470"/>
        <v>X</v>
      </c>
      <c r="L6740" s="1" t="str">
        <f t="shared" si="1470"/>
        <v>X</v>
      </c>
      <c r="M6740" s="1" t="str">
        <f t="shared" si="1470"/>
        <v>X</v>
      </c>
      <c r="N6740" t="s">
        <v>27</v>
      </c>
    </row>
    <row r="6741" spans="1:14" x14ac:dyDescent="0.25">
      <c r="A6741" t="s">
        <v>42</v>
      </c>
      <c r="B6741" t="s">
        <v>39</v>
      </c>
      <c r="C6741" t="s">
        <v>37</v>
      </c>
      <c r="D6741" t="s">
        <v>31</v>
      </c>
      <c r="E6741" t="s">
        <v>22</v>
      </c>
      <c r="F6741" t="s">
        <v>20</v>
      </c>
      <c r="G6741" s="2">
        <f>VALUE(287.82)</f>
        <v>287.82</v>
      </c>
      <c r="H6741" s="3">
        <f>VALUE(285.43)</f>
        <v>285.43</v>
      </c>
      <c r="I6741" s="4">
        <f>VALUE(3285)</f>
        <v>3285</v>
      </c>
      <c r="J6741" s="1">
        <f>VALUE(4231)</f>
        <v>4231</v>
      </c>
      <c r="K6741" s="1">
        <f>VALUE(5200)</f>
        <v>5200</v>
      </c>
      <c r="L6741" s="7">
        <f>VALUE(6175)</f>
        <v>6175</v>
      </c>
      <c r="M6741" s="1">
        <f>VALUE(6793)</f>
        <v>6793</v>
      </c>
      <c r="N6741" t="s">
        <v>25</v>
      </c>
    </row>
    <row r="6742" spans="1:14" x14ac:dyDescent="0.25">
      <c r="A6742" t="s">
        <v>42</v>
      </c>
      <c r="B6742" t="s">
        <v>39</v>
      </c>
      <c r="C6742" t="s">
        <v>37</v>
      </c>
      <c r="D6742" t="s">
        <v>31</v>
      </c>
      <c r="E6742" t="s">
        <v>23</v>
      </c>
      <c r="F6742" t="s">
        <v>15</v>
      </c>
      <c r="G6742" s="2">
        <f>VALUE(1012.15)</f>
        <v>1012.15</v>
      </c>
      <c r="H6742" s="3">
        <f>VALUE(1001.04)</f>
        <v>1001.04</v>
      </c>
      <c r="I6742" s="4">
        <f>VALUE(3436)</f>
        <v>3436</v>
      </c>
      <c r="J6742" s="1">
        <f>VALUE(3892)</f>
        <v>3892</v>
      </c>
      <c r="K6742" s="6">
        <f>VALUE(4588)</f>
        <v>4588</v>
      </c>
      <c r="L6742" s="1">
        <f>VALUE(5443)</f>
        <v>5443</v>
      </c>
      <c r="M6742" s="1">
        <f>VALUE(6034)</f>
        <v>6034</v>
      </c>
      <c r="N6742" t="s">
        <v>25</v>
      </c>
    </row>
    <row r="6743" spans="1:14" x14ac:dyDescent="0.25">
      <c r="A6743" t="s">
        <v>42</v>
      </c>
      <c r="B6743" t="s">
        <v>39</v>
      </c>
      <c r="C6743" t="s">
        <v>37</v>
      </c>
      <c r="D6743" t="s">
        <v>31</v>
      </c>
      <c r="E6743" t="s">
        <v>23</v>
      </c>
      <c r="F6743" t="s">
        <v>17</v>
      </c>
      <c r="G6743" s="1" t="str">
        <f t="shared" ref="G6743:M6745" si="1471">"X"</f>
        <v>X</v>
      </c>
      <c r="H6743" s="1" t="str">
        <f t="shared" si="1471"/>
        <v>X</v>
      </c>
      <c r="I6743" s="1" t="str">
        <f t="shared" si="1471"/>
        <v>X</v>
      </c>
      <c r="J6743" s="1" t="str">
        <f t="shared" si="1471"/>
        <v>X</v>
      </c>
      <c r="K6743" s="1" t="str">
        <f t="shared" si="1471"/>
        <v>X</v>
      </c>
      <c r="L6743" s="1" t="str">
        <f t="shared" si="1471"/>
        <v>X</v>
      </c>
      <c r="M6743" s="1" t="str">
        <f t="shared" si="1471"/>
        <v>X</v>
      </c>
      <c r="N6743" t="s">
        <v>27</v>
      </c>
    </row>
    <row r="6744" spans="1:14" x14ac:dyDescent="0.25">
      <c r="A6744" t="s">
        <v>42</v>
      </c>
      <c r="B6744" t="s">
        <v>39</v>
      </c>
      <c r="C6744" t="s">
        <v>37</v>
      </c>
      <c r="D6744" t="s">
        <v>31</v>
      </c>
      <c r="E6744" t="s">
        <v>23</v>
      </c>
      <c r="F6744" t="s">
        <v>18</v>
      </c>
      <c r="G6744" s="1" t="str">
        <f t="shared" si="1471"/>
        <v>X</v>
      </c>
      <c r="H6744" s="1" t="str">
        <f t="shared" si="1471"/>
        <v>X</v>
      </c>
      <c r="I6744" s="1" t="str">
        <f t="shared" si="1471"/>
        <v>X</v>
      </c>
      <c r="J6744" s="1" t="str">
        <f t="shared" si="1471"/>
        <v>X</v>
      </c>
      <c r="K6744" s="1" t="str">
        <f t="shared" si="1471"/>
        <v>X</v>
      </c>
      <c r="L6744" s="1" t="str">
        <f t="shared" si="1471"/>
        <v>X</v>
      </c>
      <c r="M6744" s="1" t="str">
        <f t="shared" si="1471"/>
        <v>X</v>
      </c>
      <c r="N6744" t="s">
        <v>27</v>
      </c>
    </row>
    <row r="6745" spans="1:14" x14ac:dyDescent="0.25">
      <c r="A6745" t="s">
        <v>42</v>
      </c>
      <c r="B6745" t="s">
        <v>39</v>
      </c>
      <c r="C6745" t="s">
        <v>37</v>
      </c>
      <c r="D6745" t="s">
        <v>31</v>
      </c>
      <c r="E6745" t="s">
        <v>23</v>
      </c>
      <c r="F6745" t="s">
        <v>19</v>
      </c>
      <c r="G6745" s="1" t="str">
        <f t="shared" si="1471"/>
        <v>X</v>
      </c>
      <c r="H6745" s="1" t="str">
        <f t="shared" si="1471"/>
        <v>X</v>
      </c>
      <c r="I6745" s="1" t="str">
        <f t="shared" si="1471"/>
        <v>X</v>
      </c>
      <c r="J6745" s="1" t="str">
        <f t="shared" si="1471"/>
        <v>X</v>
      </c>
      <c r="K6745" s="1" t="str">
        <f t="shared" si="1471"/>
        <v>X</v>
      </c>
      <c r="L6745" s="1" t="str">
        <f t="shared" si="1471"/>
        <v>X</v>
      </c>
      <c r="M6745" s="1" t="str">
        <f t="shared" si="1471"/>
        <v>X</v>
      </c>
      <c r="N6745" t="s">
        <v>27</v>
      </c>
    </row>
    <row r="6746" spans="1:14" x14ac:dyDescent="0.25">
      <c r="A6746" t="s">
        <v>42</v>
      </c>
      <c r="B6746" t="s">
        <v>39</v>
      </c>
      <c r="C6746" t="s">
        <v>37</v>
      </c>
      <c r="D6746" t="s">
        <v>31</v>
      </c>
      <c r="E6746" t="s">
        <v>23</v>
      </c>
      <c r="F6746" t="s">
        <v>20</v>
      </c>
      <c r="G6746" s="2">
        <f>VALUE(873.68)</f>
        <v>873.68</v>
      </c>
      <c r="H6746" s="3">
        <f>VALUE(858.39)</f>
        <v>858.39</v>
      </c>
      <c r="I6746" s="4">
        <f>VALUE(3436)</f>
        <v>3436</v>
      </c>
      <c r="J6746" s="1">
        <f>VALUE(3865)</f>
        <v>3865</v>
      </c>
      <c r="K6746" s="6">
        <f>VALUE(4616)</f>
        <v>4616</v>
      </c>
      <c r="L6746" s="1">
        <f>VALUE(5416)</f>
        <v>5416</v>
      </c>
      <c r="M6746" s="8">
        <f>VALUE(5992)</f>
        <v>5992</v>
      </c>
      <c r="N6746" t="s">
        <v>25</v>
      </c>
    </row>
    <row r="6747" spans="1:14" x14ac:dyDescent="0.25">
      <c r="A6747" t="s">
        <v>42</v>
      </c>
      <c r="B6747" t="s">
        <v>39</v>
      </c>
      <c r="C6747" t="s">
        <v>37</v>
      </c>
      <c r="D6747" t="s">
        <v>31</v>
      </c>
      <c r="E6747" t="s">
        <v>26</v>
      </c>
      <c r="F6747" t="s">
        <v>15</v>
      </c>
      <c r="G6747" s="1" t="str">
        <f t="shared" ref="G6747:M6751" si="1472">"X"</f>
        <v>X</v>
      </c>
      <c r="H6747" s="1" t="str">
        <f t="shared" si="1472"/>
        <v>X</v>
      </c>
      <c r="I6747" s="1" t="str">
        <f t="shared" si="1472"/>
        <v>X</v>
      </c>
      <c r="J6747" s="1" t="str">
        <f t="shared" si="1472"/>
        <v>X</v>
      </c>
      <c r="K6747" s="1" t="str">
        <f t="shared" si="1472"/>
        <v>X</v>
      </c>
      <c r="L6747" s="1" t="str">
        <f t="shared" si="1472"/>
        <v>X</v>
      </c>
      <c r="M6747" s="1" t="str">
        <f t="shared" si="1472"/>
        <v>X</v>
      </c>
      <c r="N6747" t="s">
        <v>27</v>
      </c>
    </row>
    <row r="6748" spans="1:14" x14ac:dyDescent="0.25">
      <c r="A6748" t="s">
        <v>42</v>
      </c>
      <c r="B6748" t="s">
        <v>39</v>
      </c>
      <c r="C6748" t="s">
        <v>37</v>
      </c>
      <c r="D6748" t="s">
        <v>31</v>
      </c>
      <c r="E6748" t="s">
        <v>26</v>
      </c>
      <c r="F6748" t="s">
        <v>17</v>
      </c>
      <c r="G6748" s="1" t="str">
        <f t="shared" si="1472"/>
        <v>X</v>
      </c>
      <c r="H6748" s="1" t="str">
        <f t="shared" si="1472"/>
        <v>X</v>
      </c>
      <c r="I6748" s="1" t="str">
        <f t="shared" si="1472"/>
        <v>X</v>
      </c>
      <c r="J6748" s="1" t="str">
        <f t="shared" si="1472"/>
        <v>X</v>
      </c>
      <c r="K6748" s="1" t="str">
        <f t="shared" si="1472"/>
        <v>X</v>
      </c>
      <c r="L6748" s="1" t="str">
        <f t="shared" si="1472"/>
        <v>X</v>
      </c>
      <c r="M6748" s="1" t="str">
        <f t="shared" si="1472"/>
        <v>X</v>
      </c>
      <c r="N6748" t="s">
        <v>27</v>
      </c>
    </row>
    <row r="6749" spans="1:14" x14ac:dyDescent="0.25">
      <c r="A6749" t="s">
        <v>42</v>
      </c>
      <c r="B6749" t="s">
        <v>39</v>
      </c>
      <c r="C6749" t="s">
        <v>37</v>
      </c>
      <c r="D6749" t="s">
        <v>31</v>
      </c>
      <c r="E6749" t="s">
        <v>26</v>
      </c>
      <c r="F6749" t="s">
        <v>18</v>
      </c>
      <c r="G6749" s="1" t="str">
        <f t="shared" si="1472"/>
        <v>X</v>
      </c>
      <c r="H6749" s="1" t="str">
        <f t="shared" si="1472"/>
        <v>X</v>
      </c>
      <c r="I6749" s="1" t="str">
        <f t="shared" si="1472"/>
        <v>X</v>
      </c>
      <c r="J6749" s="1" t="str">
        <f t="shared" si="1472"/>
        <v>X</v>
      </c>
      <c r="K6749" s="1" t="str">
        <f t="shared" si="1472"/>
        <v>X</v>
      </c>
      <c r="L6749" s="1" t="str">
        <f t="shared" si="1472"/>
        <v>X</v>
      </c>
      <c r="M6749" s="1" t="str">
        <f t="shared" si="1472"/>
        <v>X</v>
      </c>
      <c r="N6749" t="s">
        <v>27</v>
      </c>
    </row>
    <row r="6750" spans="1:14" x14ac:dyDescent="0.25">
      <c r="A6750" t="s">
        <v>42</v>
      </c>
      <c r="B6750" t="s">
        <v>39</v>
      </c>
      <c r="C6750" t="s">
        <v>37</v>
      </c>
      <c r="D6750" t="s">
        <v>31</v>
      </c>
      <c r="E6750" t="s">
        <v>26</v>
      </c>
      <c r="F6750" t="s">
        <v>19</v>
      </c>
      <c r="G6750" s="1" t="str">
        <f t="shared" si="1472"/>
        <v>X</v>
      </c>
      <c r="H6750" s="1" t="str">
        <f t="shared" si="1472"/>
        <v>X</v>
      </c>
      <c r="I6750" s="1" t="str">
        <f t="shared" si="1472"/>
        <v>X</v>
      </c>
      <c r="J6750" s="1" t="str">
        <f t="shared" si="1472"/>
        <v>X</v>
      </c>
      <c r="K6750" s="1" t="str">
        <f t="shared" si="1472"/>
        <v>X</v>
      </c>
      <c r="L6750" s="1" t="str">
        <f t="shared" si="1472"/>
        <v>X</v>
      </c>
      <c r="M6750" s="1" t="str">
        <f t="shared" si="1472"/>
        <v>X</v>
      </c>
      <c r="N6750" t="s">
        <v>27</v>
      </c>
    </row>
    <row r="6751" spans="1:14" x14ac:dyDescent="0.25">
      <c r="A6751" t="s">
        <v>42</v>
      </c>
      <c r="B6751" t="s">
        <v>39</v>
      </c>
      <c r="C6751" t="s">
        <v>37</v>
      </c>
      <c r="D6751" t="s">
        <v>31</v>
      </c>
      <c r="E6751" t="s">
        <v>26</v>
      </c>
      <c r="F6751" t="s">
        <v>20</v>
      </c>
      <c r="G6751" s="1" t="str">
        <f t="shared" si="1472"/>
        <v>X</v>
      </c>
      <c r="H6751" s="1" t="str">
        <f t="shared" si="1472"/>
        <v>X</v>
      </c>
      <c r="I6751" s="1" t="str">
        <f t="shared" si="1472"/>
        <v>X</v>
      </c>
      <c r="J6751" s="1" t="str">
        <f t="shared" si="1472"/>
        <v>X</v>
      </c>
      <c r="K6751" s="1" t="str">
        <f t="shared" si="1472"/>
        <v>X</v>
      </c>
      <c r="L6751" s="1" t="str">
        <f t="shared" si="1472"/>
        <v>X</v>
      </c>
      <c r="M6751" s="1" t="str">
        <f t="shared" si="1472"/>
        <v>X</v>
      </c>
      <c r="N6751" t="s">
        <v>27</v>
      </c>
    </row>
    <row r="6752" spans="1:14" x14ac:dyDescent="0.25">
      <c r="A6752" t="s">
        <v>42</v>
      </c>
      <c r="B6752" t="s">
        <v>39</v>
      </c>
      <c r="C6752" t="s">
        <v>37</v>
      </c>
      <c r="D6752" t="s">
        <v>32</v>
      </c>
      <c r="E6752" t="s">
        <v>15</v>
      </c>
      <c r="F6752" t="s">
        <v>15</v>
      </c>
      <c r="G6752" s="1">
        <f>VALUE(12590.59)</f>
        <v>12590.59</v>
      </c>
      <c r="H6752" s="1">
        <f>VALUE(12849.76)</f>
        <v>12849.76</v>
      </c>
      <c r="I6752" s="1">
        <f>VALUE(3541)</f>
        <v>3541</v>
      </c>
      <c r="J6752" s="1">
        <f>VALUE(4140)</f>
        <v>4140</v>
      </c>
      <c r="K6752" s="1">
        <f>VALUE(5000)</f>
        <v>5000</v>
      </c>
      <c r="L6752" s="1">
        <f>VALUE(6072)</f>
        <v>6072</v>
      </c>
      <c r="M6752" s="1">
        <f>VALUE(7539)</f>
        <v>7539</v>
      </c>
      <c r="N6752" t="s">
        <v>16</v>
      </c>
    </row>
    <row r="6753" spans="1:14" x14ac:dyDescent="0.25">
      <c r="A6753" t="s">
        <v>42</v>
      </c>
      <c r="B6753" t="s">
        <v>39</v>
      </c>
      <c r="C6753" t="s">
        <v>37</v>
      </c>
      <c r="D6753" t="s">
        <v>32</v>
      </c>
      <c r="E6753" t="s">
        <v>15</v>
      </c>
      <c r="F6753" t="s">
        <v>17</v>
      </c>
      <c r="G6753" s="2">
        <f>VALUE(1181.72)</f>
        <v>1181.72</v>
      </c>
      <c r="H6753" s="3">
        <f>VALUE(1194.29)</f>
        <v>1194.29</v>
      </c>
      <c r="I6753" s="1">
        <f>VALUE(4313)</f>
        <v>4313</v>
      </c>
      <c r="J6753" s="1">
        <f>VALUE(5417)</f>
        <v>5417</v>
      </c>
      <c r="K6753" s="1">
        <f>VALUE(7373)</f>
        <v>7373</v>
      </c>
      <c r="L6753" s="1">
        <f>VALUE(10571)</f>
        <v>10571</v>
      </c>
      <c r="M6753" s="8">
        <f>VALUE(13960)</f>
        <v>13960</v>
      </c>
      <c r="N6753" t="s">
        <v>25</v>
      </c>
    </row>
    <row r="6754" spans="1:14" x14ac:dyDescent="0.25">
      <c r="A6754" t="s">
        <v>42</v>
      </c>
      <c r="B6754" t="s">
        <v>39</v>
      </c>
      <c r="C6754" t="s">
        <v>37</v>
      </c>
      <c r="D6754" t="s">
        <v>32</v>
      </c>
      <c r="E6754" t="s">
        <v>15</v>
      </c>
      <c r="F6754" t="s">
        <v>18</v>
      </c>
      <c r="G6754" s="2">
        <f>VALUE(1055.01)</f>
        <v>1055.01</v>
      </c>
      <c r="H6754" s="3">
        <f>VALUE(1052.16)</f>
        <v>1052.1600000000001</v>
      </c>
      <c r="I6754" s="1">
        <f>VALUE(4260)</f>
        <v>4260</v>
      </c>
      <c r="J6754" s="1">
        <f>VALUE(4893)</f>
        <v>4893</v>
      </c>
      <c r="K6754" s="1">
        <f>VALUE(5668)</f>
        <v>5668</v>
      </c>
      <c r="L6754" s="1">
        <f>VALUE(7095)</f>
        <v>7095</v>
      </c>
      <c r="M6754" s="1">
        <f>VALUE(9540)</f>
        <v>9540</v>
      </c>
      <c r="N6754" t="s">
        <v>25</v>
      </c>
    </row>
    <row r="6755" spans="1:14" x14ac:dyDescent="0.25">
      <c r="A6755" t="s">
        <v>42</v>
      </c>
      <c r="B6755" t="s">
        <v>39</v>
      </c>
      <c r="C6755" t="s">
        <v>37</v>
      </c>
      <c r="D6755" t="s">
        <v>32</v>
      </c>
      <c r="E6755" t="s">
        <v>15</v>
      </c>
      <c r="F6755" t="s">
        <v>19</v>
      </c>
      <c r="G6755" s="1">
        <f>VALUE(1957.73)</f>
        <v>1957.73</v>
      </c>
      <c r="H6755" s="1">
        <f>VALUE(1961.3)</f>
        <v>1961.3</v>
      </c>
      <c r="I6755" s="1">
        <f>VALUE(3842)</f>
        <v>3842</v>
      </c>
      <c r="J6755" s="1">
        <f>VALUE(4423)</f>
        <v>4423</v>
      </c>
      <c r="K6755" s="1">
        <f>VALUE(5229)</f>
        <v>5229</v>
      </c>
      <c r="L6755" s="1">
        <f>VALUE(6245)</f>
        <v>6245</v>
      </c>
      <c r="M6755" s="1">
        <f>VALUE(7500)</f>
        <v>7500</v>
      </c>
      <c r="N6755" t="s">
        <v>16</v>
      </c>
    </row>
    <row r="6756" spans="1:14" x14ac:dyDescent="0.25">
      <c r="A6756" t="s">
        <v>42</v>
      </c>
      <c r="B6756" t="s">
        <v>39</v>
      </c>
      <c r="C6756" t="s">
        <v>37</v>
      </c>
      <c r="D6756" t="s">
        <v>32</v>
      </c>
      <c r="E6756" t="s">
        <v>15</v>
      </c>
      <c r="F6756" t="s">
        <v>20</v>
      </c>
      <c r="G6756" s="1">
        <f>VALUE(8396.13)</f>
        <v>8396.1299999999992</v>
      </c>
      <c r="H6756" s="1">
        <f>VALUE(8642.01)</f>
        <v>8642.01</v>
      </c>
      <c r="I6756" s="1">
        <f>VALUE(3355)</f>
        <v>3355</v>
      </c>
      <c r="J6756" s="1">
        <f>VALUE(3948)</f>
        <v>3948</v>
      </c>
      <c r="K6756" s="1">
        <f>VALUE(4693)</f>
        <v>4693</v>
      </c>
      <c r="L6756" s="1">
        <f>VALUE(5674)</f>
        <v>5674</v>
      </c>
      <c r="M6756" s="1">
        <f>VALUE(6481)</f>
        <v>6481</v>
      </c>
      <c r="N6756" t="s">
        <v>16</v>
      </c>
    </row>
    <row r="6757" spans="1:14" x14ac:dyDescent="0.25">
      <c r="A6757" t="s">
        <v>42</v>
      </c>
      <c r="B6757" t="s">
        <v>39</v>
      </c>
      <c r="C6757" t="s">
        <v>37</v>
      </c>
      <c r="D6757" t="s">
        <v>32</v>
      </c>
      <c r="E6757" t="s">
        <v>21</v>
      </c>
      <c r="F6757" t="s">
        <v>15</v>
      </c>
      <c r="G6757" s="1">
        <f>VALUE(2088.66)</f>
        <v>2088.66</v>
      </c>
      <c r="H6757" s="1">
        <f>VALUE(2047.52)</f>
        <v>2047.52</v>
      </c>
      <c r="I6757" s="1">
        <f>VALUE(4020)</f>
        <v>4020</v>
      </c>
      <c r="J6757" s="1">
        <f>VALUE(5164)</f>
        <v>5164</v>
      </c>
      <c r="K6757" s="1">
        <f>VALUE(6765)</f>
        <v>6765</v>
      </c>
      <c r="L6757" s="1">
        <f>VALUE(8850)</f>
        <v>8850</v>
      </c>
      <c r="M6757" s="1">
        <f>VALUE(11570)</f>
        <v>11570</v>
      </c>
      <c r="N6757" t="s">
        <v>16</v>
      </c>
    </row>
    <row r="6758" spans="1:14" x14ac:dyDescent="0.25">
      <c r="A6758" t="s">
        <v>42</v>
      </c>
      <c r="B6758" t="s">
        <v>39</v>
      </c>
      <c r="C6758" t="s">
        <v>37</v>
      </c>
      <c r="D6758" t="s">
        <v>32</v>
      </c>
      <c r="E6758" t="s">
        <v>21</v>
      </c>
      <c r="F6758" t="s">
        <v>17</v>
      </c>
      <c r="G6758" s="2">
        <f>VALUE(671.45)</f>
        <v>671.45</v>
      </c>
      <c r="H6758" s="3">
        <f>VALUE(680.81)</f>
        <v>680.81</v>
      </c>
      <c r="I6758" s="1">
        <f>VALUE(4952)</f>
        <v>4952</v>
      </c>
      <c r="J6758" s="1">
        <f>VALUE(6134)</f>
        <v>6134</v>
      </c>
      <c r="K6758" s="6">
        <f>VALUE(7993)</f>
        <v>7993</v>
      </c>
      <c r="L6758" s="1">
        <f>VALUE(11484)</f>
        <v>11484</v>
      </c>
      <c r="M6758" s="1">
        <f>VALUE(15209)</f>
        <v>15209</v>
      </c>
      <c r="N6758" t="s">
        <v>25</v>
      </c>
    </row>
    <row r="6759" spans="1:14" x14ac:dyDescent="0.25">
      <c r="A6759" t="s">
        <v>42</v>
      </c>
      <c r="B6759" t="s">
        <v>39</v>
      </c>
      <c r="C6759" t="s">
        <v>37</v>
      </c>
      <c r="D6759" t="s">
        <v>32</v>
      </c>
      <c r="E6759" t="s">
        <v>21</v>
      </c>
      <c r="F6759" t="s">
        <v>18</v>
      </c>
      <c r="G6759" s="2">
        <f>VALUE(370.78)</f>
        <v>370.78</v>
      </c>
      <c r="H6759" s="3">
        <f>VALUE(364.79)</f>
        <v>364.79</v>
      </c>
      <c r="I6759" s="1">
        <f>VALUE(5080)</f>
        <v>5080</v>
      </c>
      <c r="J6759" s="5">
        <f>VALUE(5634)</f>
        <v>5634</v>
      </c>
      <c r="K6759" s="1">
        <f>VALUE(7358)</f>
        <v>7358</v>
      </c>
      <c r="L6759" s="7">
        <f>VALUE(9286)</f>
        <v>9286</v>
      </c>
      <c r="M6759" s="8">
        <f>VALUE(10317)</f>
        <v>10317</v>
      </c>
      <c r="N6759" t="s">
        <v>25</v>
      </c>
    </row>
    <row r="6760" spans="1:14" x14ac:dyDescent="0.25">
      <c r="A6760" t="s">
        <v>42</v>
      </c>
      <c r="B6760" t="s">
        <v>39</v>
      </c>
      <c r="C6760" t="s">
        <v>37</v>
      </c>
      <c r="D6760" t="s">
        <v>32</v>
      </c>
      <c r="E6760" t="s">
        <v>21</v>
      </c>
      <c r="F6760" t="s">
        <v>19</v>
      </c>
      <c r="G6760" s="2">
        <f>VALUE(333.09)</f>
        <v>333.09</v>
      </c>
      <c r="H6760" s="3">
        <f>VALUE(331.24)</f>
        <v>331.24</v>
      </c>
      <c r="I6760" s="1">
        <f>VALUE(3967)</f>
        <v>3967</v>
      </c>
      <c r="J6760" s="1">
        <f>VALUE(4833)</f>
        <v>4833</v>
      </c>
      <c r="K6760" s="1">
        <f>VALUE(6067)</f>
        <v>6067</v>
      </c>
      <c r="L6760" s="1">
        <f>VALUE(7312)</f>
        <v>7312</v>
      </c>
      <c r="M6760" s="1">
        <f>VALUE(9127)</f>
        <v>9127</v>
      </c>
      <c r="N6760" t="s">
        <v>25</v>
      </c>
    </row>
    <row r="6761" spans="1:14" x14ac:dyDescent="0.25">
      <c r="A6761" t="s">
        <v>42</v>
      </c>
      <c r="B6761" t="s">
        <v>39</v>
      </c>
      <c r="C6761" t="s">
        <v>37</v>
      </c>
      <c r="D6761" t="s">
        <v>32</v>
      </c>
      <c r="E6761" t="s">
        <v>21</v>
      </c>
      <c r="F6761" t="s">
        <v>20</v>
      </c>
      <c r="G6761" s="2">
        <f>VALUE(713.34)</f>
        <v>713.34</v>
      </c>
      <c r="H6761" s="3">
        <f>VALUE(670.68)</f>
        <v>670.68</v>
      </c>
      <c r="I6761" s="4">
        <f>VALUE(3213)</f>
        <v>3213</v>
      </c>
      <c r="J6761" s="1">
        <f>VALUE(4331)</f>
        <v>4331</v>
      </c>
      <c r="K6761" s="1">
        <f>VALUE(5642)</f>
        <v>5642</v>
      </c>
      <c r="L6761" s="1">
        <f>VALUE(7361)</f>
        <v>7361</v>
      </c>
      <c r="M6761" s="1">
        <f>VALUE(8611)</f>
        <v>8611</v>
      </c>
      <c r="N6761" t="s">
        <v>25</v>
      </c>
    </row>
    <row r="6762" spans="1:14" x14ac:dyDescent="0.25">
      <c r="A6762" t="s">
        <v>42</v>
      </c>
      <c r="B6762" t="s">
        <v>39</v>
      </c>
      <c r="C6762" t="s">
        <v>37</v>
      </c>
      <c r="D6762" t="s">
        <v>32</v>
      </c>
      <c r="E6762" t="s">
        <v>22</v>
      </c>
      <c r="F6762" t="s">
        <v>15</v>
      </c>
      <c r="G6762" s="1">
        <f>VALUE(4297.48)</f>
        <v>4297.4799999999996</v>
      </c>
      <c r="H6762" s="1">
        <f>VALUE(4330.4)</f>
        <v>4330.3999999999996</v>
      </c>
      <c r="I6762" s="1">
        <f>VALUE(3822)</f>
        <v>3822</v>
      </c>
      <c r="J6762" s="1">
        <f>VALUE(4345)</f>
        <v>4345</v>
      </c>
      <c r="K6762" s="1">
        <f>VALUE(5119)</f>
        <v>5119</v>
      </c>
      <c r="L6762" s="1">
        <f>VALUE(6043)</f>
        <v>6043</v>
      </c>
      <c r="M6762" s="1">
        <f>VALUE(7341)</f>
        <v>7341</v>
      </c>
      <c r="N6762" t="s">
        <v>16</v>
      </c>
    </row>
    <row r="6763" spans="1:14" x14ac:dyDescent="0.25">
      <c r="A6763" t="s">
        <v>42</v>
      </c>
      <c r="B6763" t="s">
        <v>39</v>
      </c>
      <c r="C6763" t="s">
        <v>37</v>
      </c>
      <c r="D6763" t="s">
        <v>32</v>
      </c>
      <c r="E6763" t="s">
        <v>22</v>
      </c>
      <c r="F6763" t="s">
        <v>17</v>
      </c>
      <c r="G6763" s="2">
        <f>VALUE(362.64)</f>
        <v>362.64</v>
      </c>
      <c r="H6763" s="3">
        <f>VALUE(372.99)</f>
        <v>372.99</v>
      </c>
      <c r="I6763" s="1">
        <f>VALUE(4226)</f>
        <v>4226</v>
      </c>
      <c r="J6763" s="5">
        <f>VALUE(4999)</f>
        <v>4999</v>
      </c>
      <c r="K6763" s="6">
        <f>VALUE(6500)</f>
        <v>6500</v>
      </c>
      <c r="L6763" s="7">
        <f>VALUE(8039)</f>
        <v>8039</v>
      </c>
      <c r="M6763" s="8">
        <f>VALUE(12225)</f>
        <v>12225</v>
      </c>
      <c r="N6763" t="s">
        <v>25</v>
      </c>
    </row>
    <row r="6764" spans="1:14" x14ac:dyDescent="0.25">
      <c r="A6764" t="s">
        <v>42</v>
      </c>
      <c r="B6764" t="s">
        <v>39</v>
      </c>
      <c r="C6764" t="s">
        <v>37</v>
      </c>
      <c r="D6764" t="s">
        <v>32</v>
      </c>
      <c r="E6764" t="s">
        <v>22</v>
      </c>
      <c r="F6764" t="s">
        <v>18</v>
      </c>
      <c r="G6764" s="2">
        <f>VALUE(411.8)</f>
        <v>411.8</v>
      </c>
      <c r="H6764" s="3">
        <f>VALUE(405.42)</f>
        <v>405.42</v>
      </c>
      <c r="I6764" s="1">
        <f>VALUE(4260)</f>
        <v>4260</v>
      </c>
      <c r="J6764" s="1">
        <f>VALUE(4718)</f>
        <v>4718</v>
      </c>
      <c r="K6764" s="1">
        <f>VALUE(5437)</f>
        <v>5437</v>
      </c>
      <c r="L6764" s="1">
        <f>VALUE(6118)</f>
        <v>6118</v>
      </c>
      <c r="M6764" s="1">
        <f>VALUE(7317)</f>
        <v>7317</v>
      </c>
      <c r="N6764" t="s">
        <v>25</v>
      </c>
    </row>
    <row r="6765" spans="1:14" x14ac:dyDescent="0.25">
      <c r="A6765" t="s">
        <v>42</v>
      </c>
      <c r="B6765" t="s">
        <v>39</v>
      </c>
      <c r="C6765" t="s">
        <v>37</v>
      </c>
      <c r="D6765" t="s">
        <v>32</v>
      </c>
      <c r="E6765" t="s">
        <v>22</v>
      </c>
      <c r="F6765" t="s">
        <v>19</v>
      </c>
      <c r="G6765" s="2">
        <f>VALUE(928.63)</f>
        <v>928.63</v>
      </c>
      <c r="H6765" s="3">
        <f>VALUE(909.64)</f>
        <v>909.64</v>
      </c>
      <c r="I6765" s="1">
        <f>VALUE(4027)</f>
        <v>4027</v>
      </c>
      <c r="J6765" s="1">
        <f>VALUE(4727)</f>
        <v>4727</v>
      </c>
      <c r="K6765" s="1">
        <f>VALUE(5285)</f>
        <v>5285</v>
      </c>
      <c r="L6765" s="1">
        <f>VALUE(6450)</f>
        <v>6450</v>
      </c>
      <c r="M6765" s="8">
        <f>VALUE(7964)</f>
        <v>7964</v>
      </c>
      <c r="N6765" t="s">
        <v>25</v>
      </c>
    </row>
    <row r="6766" spans="1:14" x14ac:dyDescent="0.25">
      <c r="A6766" t="s">
        <v>42</v>
      </c>
      <c r="B6766" t="s">
        <v>39</v>
      </c>
      <c r="C6766" t="s">
        <v>37</v>
      </c>
      <c r="D6766" t="s">
        <v>32</v>
      </c>
      <c r="E6766" t="s">
        <v>22</v>
      </c>
      <c r="F6766" t="s">
        <v>20</v>
      </c>
      <c r="G6766" s="1">
        <f>VALUE(2594.41)</f>
        <v>2594.41</v>
      </c>
      <c r="H6766" s="1">
        <f>VALUE(2642.35)</f>
        <v>2642.35</v>
      </c>
      <c r="I6766" s="1">
        <f>VALUE(3686)</f>
        <v>3686</v>
      </c>
      <c r="J6766" s="1">
        <f>VALUE(4163)</f>
        <v>4163</v>
      </c>
      <c r="K6766" s="1">
        <f>VALUE(4903)</f>
        <v>4903</v>
      </c>
      <c r="L6766" s="1">
        <f>VALUE(5720)</f>
        <v>5720</v>
      </c>
      <c r="M6766" s="1">
        <f>VALUE(6450)</f>
        <v>6450</v>
      </c>
      <c r="N6766" t="s">
        <v>16</v>
      </c>
    </row>
    <row r="6767" spans="1:14" x14ac:dyDescent="0.25">
      <c r="A6767" t="s">
        <v>42</v>
      </c>
      <c r="B6767" t="s">
        <v>39</v>
      </c>
      <c r="C6767" t="s">
        <v>37</v>
      </c>
      <c r="D6767" t="s">
        <v>32</v>
      </c>
      <c r="E6767" t="s">
        <v>23</v>
      </c>
      <c r="F6767" t="s">
        <v>15</v>
      </c>
      <c r="G6767" s="1">
        <f>VALUE(5634.04)</f>
        <v>5634.04</v>
      </c>
      <c r="H6767" s="1">
        <f>VALUE(5886.16)</f>
        <v>5886.16</v>
      </c>
      <c r="I6767" s="1">
        <f>VALUE(3428)</f>
        <v>3428</v>
      </c>
      <c r="J6767" s="1">
        <f>VALUE(3940)</f>
        <v>3940</v>
      </c>
      <c r="K6767" s="1">
        <f>VALUE(4620)</f>
        <v>4620</v>
      </c>
      <c r="L6767" s="1">
        <f>VALUE(5585)</f>
        <v>5585</v>
      </c>
      <c r="M6767" s="1">
        <f>VALUE(6305)</f>
        <v>6305</v>
      </c>
      <c r="N6767" t="s">
        <v>16</v>
      </c>
    </row>
    <row r="6768" spans="1:14" x14ac:dyDescent="0.25">
      <c r="A6768" t="s">
        <v>42</v>
      </c>
      <c r="B6768" t="s">
        <v>39</v>
      </c>
      <c r="C6768" t="s">
        <v>37</v>
      </c>
      <c r="D6768" t="s">
        <v>32</v>
      </c>
      <c r="E6768" t="s">
        <v>23</v>
      </c>
      <c r="F6768" t="s">
        <v>17</v>
      </c>
      <c r="G6768" s="1" t="str">
        <f t="shared" ref="G6768:M6768" si="1473">"X"</f>
        <v>X</v>
      </c>
      <c r="H6768" s="1" t="str">
        <f t="shared" si="1473"/>
        <v>X</v>
      </c>
      <c r="I6768" s="1" t="str">
        <f t="shared" si="1473"/>
        <v>X</v>
      </c>
      <c r="J6768" s="1" t="str">
        <f t="shared" si="1473"/>
        <v>X</v>
      </c>
      <c r="K6768" s="1" t="str">
        <f t="shared" si="1473"/>
        <v>X</v>
      </c>
      <c r="L6768" s="1" t="str">
        <f t="shared" si="1473"/>
        <v>X</v>
      </c>
      <c r="M6768" s="1" t="str">
        <f t="shared" si="1473"/>
        <v>X</v>
      </c>
      <c r="N6768" t="s">
        <v>27</v>
      </c>
    </row>
    <row r="6769" spans="1:14" x14ac:dyDescent="0.25">
      <c r="A6769" t="s">
        <v>42</v>
      </c>
      <c r="B6769" t="s">
        <v>39</v>
      </c>
      <c r="C6769" t="s">
        <v>37</v>
      </c>
      <c r="D6769" t="s">
        <v>32</v>
      </c>
      <c r="E6769" t="s">
        <v>23</v>
      </c>
      <c r="F6769" t="s">
        <v>18</v>
      </c>
      <c r="G6769" s="2">
        <f>VALUE(241.46)</f>
        <v>241.46</v>
      </c>
      <c r="H6769" s="3">
        <f>VALUE(251.18)</f>
        <v>251.18</v>
      </c>
      <c r="I6769" s="1">
        <f>VALUE(3800)</f>
        <v>3800</v>
      </c>
      <c r="J6769" s="5">
        <f>VALUE(4662)</f>
        <v>4662</v>
      </c>
      <c r="K6769" s="1">
        <f>VALUE(5321)</f>
        <v>5321</v>
      </c>
      <c r="L6769" s="7">
        <f>VALUE(5713)</f>
        <v>5713</v>
      </c>
      <c r="M6769" s="1">
        <f>VALUE(6807)</f>
        <v>6807</v>
      </c>
      <c r="N6769" t="s">
        <v>25</v>
      </c>
    </row>
    <row r="6770" spans="1:14" x14ac:dyDescent="0.25">
      <c r="A6770" t="s">
        <v>42</v>
      </c>
      <c r="B6770" t="s">
        <v>39</v>
      </c>
      <c r="C6770" t="s">
        <v>37</v>
      </c>
      <c r="D6770" t="s">
        <v>32</v>
      </c>
      <c r="E6770" t="s">
        <v>23</v>
      </c>
      <c r="F6770" t="s">
        <v>19</v>
      </c>
      <c r="G6770" s="2">
        <f>VALUE(691.52)</f>
        <v>691.52</v>
      </c>
      <c r="H6770" s="3">
        <f>VALUE(715.86)</f>
        <v>715.86</v>
      </c>
      <c r="I6770" s="1">
        <f>VALUE(3611)</f>
        <v>3611</v>
      </c>
      <c r="J6770" s="1">
        <f>VALUE(4160)</f>
        <v>4160</v>
      </c>
      <c r="K6770" s="1">
        <f>VALUE(4736)</f>
        <v>4736</v>
      </c>
      <c r="L6770" s="1">
        <f>VALUE(5740)</f>
        <v>5740</v>
      </c>
      <c r="M6770" s="1">
        <f>VALUE(6474)</f>
        <v>6474</v>
      </c>
      <c r="N6770" t="s">
        <v>25</v>
      </c>
    </row>
    <row r="6771" spans="1:14" x14ac:dyDescent="0.25">
      <c r="A6771" t="s">
        <v>42</v>
      </c>
      <c r="B6771" t="s">
        <v>39</v>
      </c>
      <c r="C6771" t="s">
        <v>37</v>
      </c>
      <c r="D6771" t="s">
        <v>32</v>
      </c>
      <c r="E6771" t="s">
        <v>23</v>
      </c>
      <c r="F6771" t="s">
        <v>20</v>
      </c>
      <c r="G6771" s="1">
        <f>VALUE(4578.6)</f>
        <v>4578.6000000000004</v>
      </c>
      <c r="H6771" s="1">
        <f>VALUE(4804.6)</f>
        <v>4804.6000000000004</v>
      </c>
      <c r="I6771" s="1">
        <f>VALUE(3395)</f>
        <v>3395</v>
      </c>
      <c r="J6771" s="1">
        <f>VALUE(3846)</f>
        <v>3846</v>
      </c>
      <c r="K6771" s="1">
        <f>VALUE(4550)</f>
        <v>4550</v>
      </c>
      <c r="L6771" s="1">
        <f>VALUE(5504)</f>
        <v>5504</v>
      </c>
      <c r="M6771" s="1">
        <f>VALUE(6232)</f>
        <v>6232</v>
      </c>
      <c r="N6771" t="s">
        <v>16</v>
      </c>
    </row>
    <row r="6772" spans="1:14" x14ac:dyDescent="0.25">
      <c r="A6772" t="s">
        <v>42</v>
      </c>
      <c r="B6772" t="s">
        <v>39</v>
      </c>
      <c r="C6772" t="s">
        <v>37</v>
      </c>
      <c r="D6772" t="s">
        <v>32</v>
      </c>
      <c r="E6772" t="s">
        <v>26</v>
      </c>
      <c r="F6772" t="s">
        <v>15</v>
      </c>
      <c r="G6772" s="2">
        <f>VALUE(570.41)</f>
        <v>570.41</v>
      </c>
      <c r="H6772" s="3">
        <f>VALUE(585.68)</f>
        <v>585.67999999999995</v>
      </c>
      <c r="I6772" s="1">
        <f>VALUE(2667)</f>
        <v>2667</v>
      </c>
      <c r="J6772" s="1">
        <f>VALUE(3129)</f>
        <v>3129</v>
      </c>
      <c r="K6772" s="6">
        <f>VALUE(4202)</f>
        <v>4202</v>
      </c>
      <c r="L6772" s="7">
        <f>VALUE(5800)</f>
        <v>5800</v>
      </c>
      <c r="M6772" s="8">
        <f>VALUE(7409)</f>
        <v>7409</v>
      </c>
      <c r="N6772" t="s">
        <v>25</v>
      </c>
    </row>
    <row r="6773" spans="1:14" x14ac:dyDescent="0.25">
      <c r="A6773" t="s">
        <v>42</v>
      </c>
      <c r="B6773" t="s">
        <v>39</v>
      </c>
      <c r="C6773" t="s">
        <v>37</v>
      </c>
      <c r="D6773" t="s">
        <v>32</v>
      </c>
      <c r="E6773" t="s">
        <v>26</v>
      </c>
      <c r="F6773" t="s">
        <v>17</v>
      </c>
      <c r="G6773" s="1" t="str">
        <f t="shared" ref="G6773:M6775" si="1474">"X"</f>
        <v>X</v>
      </c>
      <c r="H6773" s="1" t="str">
        <f t="shared" si="1474"/>
        <v>X</v>
      </c>
      <c r="I6773" s="1" t="str">
        <f t="shared" si="1474"/>
        <v>X</v>
      </c>
      <c r="J6773" s="1" t="str">
        <f t="shared" si="1474"/>
        <v>X</v>
      </c>
      <c r="K6773" s="1" t="str">
        <f t="shared" si="1474"/>
        <v>X</v>
      </c>
      <c r="L6773" s="1" t="str">
        <f t="shared" si="1474"/>
        <v>X</v>
      </c>
      <c r="M6773" s="1" t="str">
        <f t="shared" si="1474"/>
        <v>X</v>
      </c>
      <c r="N6773" t="s">
        <v>27</v>
      </c>
    </row>
    <row r="6774" spans="1:14" x14ac:dyDescent="0.25">
      <c r="A6774" t="s">
        <v>42</v>
      </c>
      <c r="B6774" t="s">
        <v>39</v>
      </c>
      <c r="C6774" t="s">
        <v>37</v>
      </c>
      <c r="D6774" t="s">
        <v>32</v>
      </c>
      <c r="E6774" t="s">
        <v>26</v>
      </c>
      <c r="F6774" t="s">
        <v>18</v>
      </c>
      <c r="G6774" s="1" t="str">
        <f t="shared" si="1474"/>
        <v>X</v>
      </c>
      <c r="H6774" s="1" t="str">
        <f t="shared" si="1474"/>
        <v>X</v>
      </c>
      <c r="I6774" s="1" t="str">
        <f t="shared" si="1474"/>
        <v>X</v>
      </c>
      <c r="J6774" s="1" t="str">
        <f t="shared" si="1474"/>
        <v>X</v>
      </c>
      <c r="K6774" s="1" t="str">
        <f t="shared" si="1474"/>
        <v>X</v>
      </c>
      <c r="L6774" s="1" t="str">
        <f t="shared" si="1474"/>
        <v>X</v>
      </c>
      <c r="M6774" s="1" t="str">
        <f t="shared" si="1474"/>
        <v>X</v>
      </c>
      <c r="N6774" t="s">
        <v>27</v>
      </c>
    </row>
    <row r="6775" spans="1:14" x14ac:dyDescent="0.25">
      <c r="A6775" t="s">
        <v>42</v>
      </c>
      <c r="B6775" t="s">
        <v>39</v>
      </c>
      <c r="C6775" t="s">
        <v>37</v>
      </c>
      <c r="D6775" t="s">
        <v>32</v>
      </c>
      <c r="E6775" t="s">
        <v>26</v>
      </c>
      <c r="F6775" t="s">
        <v>19</v>
      </c>
      <c r="G6775" s="1" t="str">
        <f t="shared" si="1474"/>
        <v>X</v>
      </c>
      <c r="H6775" s="1" t="str">
        <f t="shared" si="1474"/>
        <v>X</v>
      </c>
      <c r="I6775" s="1" t="str">
        <f t="shared" si="1474"/>
        <v>X</v>
      </c>
      <c r="J6775" s="1" t="str">
        <f t="shared" si="1474"/>
        <v>X</v>
      </c>
      <c r="K6775" s="1" t="str">
        <f t="shared" si="1474"/>
        <v>X</v>
      </c>
      <c r="L6775" s="1" t="str">
        <f t="shared" si="1474"/>
        <v>X</v>
      </c>
      <c r="M6775" s="1" t="str">
        <f t="shared" si="1474"/>
        <v>X</v>
      </c>
      <c r="N6775" t="s">
        <v>27</v>
      </c>
    </row>
    <row r="6776" spans="1:14" x14ac:dyDescent="0.25">
      <c r="A6776" t="s">
        <v>42</v>
      </c>
      <c r="B6776" t="s">
        <v>39</v>
      </c>
      <c r="C6776" t="s">
        <v>37</v>
      </c>
      <c r="D6776" t="s">
        <v>32</v>
      </c>
      <c r="E6776" t="s">
        <v>26</v>
      </c>
      <c r="F6776" t="s">
        <v>20</v>
      </c>
      <c r="G6776" s="2">
        <f>VALUE(509.78)</f>
        <v>509.78</v>
      </c>
      <c r="H6776" s="3">
        <f>VALUE(524.38)</f>
        <v>524.38</v>
      </c>
      <c r="I6776" s="1">
        <f>VALUE(2615)</f>
        <v>2615</v>
      </c>
      <c r="J6776" s="1">
        <f>VALUE(3003)</f>
        <v>3003</v>
      </c>
      <c r="K6776" s="1">
        <f>VALUE(3914)</f>
        <v>3914</v>
      </c>
      <c r="L6776" s="1">
        <f>VALUE(5460)</f>
        <v>5460</v>
      </c>
      <c r="M6776" s="1">
        <f>VALUE(6707)</f>
        <v>6707</v>
      </c>
      <c r="N6776" t="s">
        <v>25</v>
      </c>
    </row>
    <row r="6777" spans="1:14" x14ac:dyDescent="0.25">
      <c r="A6777" t="s">
        <v>42</v>
      </c>
      <c r="B6777" t="s">
        <v>39</v>
      </c>
      <c r="C6777" t="s">
        <v>37</v>
      </c>
      <c r="D6777" t="s">
        <v>33</v>
      </c>
      <c r="E6777" t="s">
        <v>15</v>
      </c>
      <c r="F6777" t="s">
        <v>15</v>
      </c>
      <c r="G6777" s="2">
        <f>VALUE(151.51)</f>
        <v>151.51</v>
      </c>
      <c r="H6777" s="3">
        <f>VALUE(141.88)</f>
        <v>141.88</v>
      </c>
      <c r="I6777" s="4">
        <f>VALUE(2253)</f>
        <v>2253</v>
      </c>
      <c r="J6777" s="5">
        <f>VALUE(3387)</f>
        <v>3387</v>
      </c>
      <c r="K6777" s="6">
        <f>VALUE(3834)</f>
        <v>3834</v>
      </c>
      <c r="L6777" s="7">
        <f>VALUE(5479)</f>
        <v>5479</v>
      </c>
      <c r="M6777" s="8">
        <f>VALUE(8600)</f>
        <v>8600</v>
      </c>
      <c r="N6777" t="s">
        <v>24</v>
      </c>
    </row>
    <row r="6778" spans="1:14" x14ac:dyDescent="0.25">
      <c r="A6778" t="s">
        <v>42</v>
      </c>
      <c r="B6778" t="s">
        <v>39</v>
      </c>
      <c r="C6778" t="s">
        <v>37</v>
      </c>
      <c r="D6778" t="s">
        <v>33</v>
      </c>
      <c r="E6778" t="s">
        <v>15</v>
      </c>
      <c r="F6778" t="s">
        <v>17</v>
      </c>
      <c r="G6778" s="1" t="str">
        <f t="shared" ref="G6778:M6784" si="1475">"X"</f>
        <v>X</v>
      </c>
      <c r="H6778" s="1" t="str">
        <f t="shared" si="1475"/>
        <v>X</v>
      </c>
      <c r="I6778" s="1" t="str">
        <f t="shared" si="1475"/>
        <v>X</v>
      </c>
      <c r="J6778" s="1" t="str">
        <f t="shared" si="1475"/>
        <v>X</v>
      </c>
      <c r="K6778" s="1" t="str">
        <f t="shared" si="1475"/>
        <v>X</v>
      </c>
      <c r="L6778" s="1" t="str">
        <f t="shared" si="1475"/>
        <v>X</v>
      </c>
      <c r="M6778" s="1" t="str">
        <f t="shared" si="1475"/>
        <v>X</v>
      </c>
      <c r="N6778" t="s">
        <v>27</v>
      </c>
    </row>
    <row r="6779" spans="1:14" x14ac:dyDescent="0.25">
      <c r="A6779" t="s">
        <v>42</v>
      </c>
      <c r="B6779" t="s">
        <v>39</v>
      </c>
      <c r="C6779" t="s">
        <v>37</v>
      </c>
      <c r="D6779" t="s">
        <v>33</v>
      </c>
      <c r="E6779" t="s">
        <v>15</v>
      </c>
      <c r="F6779" t="s">
        <v>18</v>
      </c>
      <c r="G6779" s="1" t="str">
        <f t="shared" si="1475"/>
        <v>X</v>
      </c>
      <c r="H6779" s="1" t="str">
        <f t="shared" si="1475"/>
        <v>X</v>
      </c>
      <c r="I6779" s="1" t="str">
        <f t="shared" si="1475"/>
        <v>X</v>
      </c>
      <c r="J6779" s="1" t="str">
        <f t="shared" si="1475"/>
        <v>X</v>
      </c>
      <c r="K6779" s="1" t="str">
        <f t="shared" si="1475"/>
        <v>X</v>
      </c>
      <c r="L6779" s="1" t="str">
        <f t="shared" si="1475"/>
        <v>X</v>
      </c>
      <c r="M6779" s="1" t="str">
        <f t="shared" si="1475"/>
        <v>X</v>
      </c>
      <c r="N6779" t="s">
        <v>27</v>
      </c>
    </row>
    <row r="6780" spans="1:14" x14ac:dyDescent="0.25">
      <c r="A6780" t="s">
        <v>42</v>
      </c>
      <c r="B6780" t="s">
        <v>39</v>
      </c>
      <c r="C6780" t="s">
        <v>37</v>
      </c>
      <c r="D6780" t="s">
        <v>33</v>
      </c>
      <c r="E6780" t="s">
        <v>15</v>
      </c>
      <c r="F6780" t="s">
        <v>19</v>
      </c>
      <c r="G6780" s="1" t="str">
        <f t="shared" si="1475"/>
        <v>X</v>
      </c>
      <c r="H6780" s="1" t="str">
        <f t="shared" si="1475"/>
        <v>X</v>
      </c>
      <c r="I6780" s="1" t="str">
        <f t="shared" si="1475"/>
        <v>X</v>
      </c>
      <c r="J6780" s="1" t="str">
        <f t="shared" si="1475"/>
        <v>X</v>
      </c>
      <c r="K6780" s="1" t="str">
        <f t="shared" si="1475"/>
        <v>X</v>
      </c>
      <c r="L6780" s="1" t="str">
        <f t="shared" si="1475"/>
        <v>X</v>
      </c>
      <c r="M6780" s="1" t="str">
        <f t="shared" si="1475"/>
        <v>X</v>
      </c>
      <c r="N6780" t="s">
        <v>27</v>
      </c>
    </row>
    <row r="6781" spans="1:14" x14ac:dyDescent="0.25">
      <c r="A6781" t="s">
        <v>42</v>
      </c>
      <c r="B6781" t="s">
        <v>39</v>
      </c>
      <c r="C6781" t="s">
        <v>37</v>
      </c>
      <c r="D6781" t="s">
        <v>33</v>
      </c>
      <c r="E6781" t="s">
        <v>15</v>
      </c>
      <c r="F6781" t="s">
        <v>20</v>
      </c>
      <c r="G6781" s="1" t="str">
        <f t="shared" si="1475"/>
        <v>X</v>
      </c>
      <c r="H6781" s="1" t="str">
        <f t="shared" si="1475"/>
        <v>X</v>
      </c>
      <c r="I6781" s="1" t="str">
        <f t="shared" si="1475"/>
        <v>X</v>
      </c>
      <c r="J6781" s="1" t="str">
        <f t="shared" si="1475"/>
        <v>X</v>
      </c>
      <c r="K6781" s="1" t="str">
        <f t="shared" si="1475"/>
        <v>X</v>
      </c>
      <c r="L6781" s="1" t="str">
        <f t="shared" si="1475"/>
        <v>X</v>
      </c>
      <c r="M6781" s="1" t="str">
        <f t="shared" si="1475"/>
        <v>X</v>
      </c>
      <c r="N6781" t="s">
        <v>27</v>
      </c>
    </row>
    <row r="6782" spans="1:14" x14ac:dyDescent="0.25">
      <c r="A6782" t="s">
        <v>42</v>
      </c>
      <c r="B6782" t="s">
        <v>39</v>
      </c>
      <c r="C6782" t="s">
        <v>37</v>
      </c>
      <c r="D6782" t="s">
        <v>33</v>
      </c>
      <c r="E6782" t="s">
        <v>21</v>
      </c>
      <c r="F6782" t="s">
        <v>15</v>
      </c>
      <c r="G6782" s="1" t="str">
        <f t="shared" si="1475"/>
        <v>X</v>
      </c>
      <c r="H6782" s="1" t="str">
        <f t="shared" si="1475"/>
        <v>X</v>
      </c>
      <c r="I6782" s="1" t="str">
        <f t="shared" si="1475"/>
        <v>X</v>
      </c>
      <c r="J6782" s="1" t="str">
        <f t="shared" si="1475"/>
        <v>X</v>
      </c>
      <c r="K6782" s="1" t="str">
        <f t="shared" si="1475"/>
        <v>X</v>
      </c>
      <c r="L6782" s="1" t="str">
        <f t="shared" si="1475"/>
        <v>X</v>
      </c>
      <c r="M6782" s="1" t="str">
        <f t="shared" si="1475"/>
        <v>X</v>
      </c>
      <c r="N6782" t="s">
        <v>27</v>
      </c>
    </row>
    <row r="6783" spans="1:14" x14ac:dyDescent="0.25">
      <c r="A6783" t="s">
        <v>42</v>
      </c>
      <c r="B6783" t="s">
        <v>39</v>
      </c>
      <c r="C6783" t="s">
        <v>37</v>
      </c>
      <c r="D6783" t="s">
        <v>33</v>
      </c>
      <c r="E6783" t="s">
        <v>21</v>
      </c>
      <c r="F6783" t="s">
        <v>17</v>
      </c>
      <c r="G6783" s="1" t="str">
        <f t="shared" si="1475"/>
        <v>X</v>
      </c>
      <c r="H6783" s="1" t="str">
        <f t="shared" si="1475"/>
        <v>X</v>
      </c>
      <c r="I6783" s="1" t="str">
        <f t="shared" si="1475"/>
        <v>X</v>
      </c>
      <c r="J6783" s="1" t="str">
        <f t="shared" si="1475"/>
        <v>X</v>
      </c>
      <c r="K6783" s="1" t="str">
        <f t="shared" si="1475"/>
        <v>X</v>
      </c>
      <c r="L6783" s="1" t="str">
        <f t="shared" si="1475"/>
        <v>X</v>
      </c>
      <c r="M6783" s="1" t="str">
        <f t="shared" si="1475"/>
        <v>X</v>
      </c>
      <c r="N6783" t="s">
        <v>27</v>
      </c>
    </row>
    <row r="6784" spans="1:14" x14ac:dyDescent="0.25">
      <c r="A6784" t="s">
        <v>42</v>
      </c>
      <c r="B6784" t="s">
        <v>39</v>
      </c>
      <c r="C6784" t="s">
        <v>37</v>
      </c>
      <c r="D6784" t="s">
        <v>33</v>
      </c>
      <c r="E6784" t="s">
        <v>21</v>
      </c>
      <c r="F6784" t="s">
        <v>18</v>
      </c>
      <c r="G6784" s="1" t="str">
        <f t="shared" si="1475"/>
        <v>X</v>
      </c>
      <c r="H6784" s="1" t="str">
        <f t="shared" si="1475"/>
        <v>X</v>
      </c>
      <c r="I6784" s="1" t="str">
        <f t="shared" si="1475"/>
        <v>X</v>
      </c>
      <c r="J6784" s="1" t="str">
        <f t="shared" si="1475"/>
        <v>X</v>
      </c>
      <c r="K6784" s="1" t="str">
        <f t="shared" si="1475"/>
        <v>X</v>
      </c>
      <c r="L6784" s="1" t="str">
        <f t="shared" si="1475"/>
        <v>X</v>
      </c>
      <c r="M6784" s="1" t="str">
        <f t="shared" si="1475"/>
        <v>X</v>
      </c>
      <c r="N6784" t="s">
        <v>27</v>
      </c>
    </row>
    <row r="6785" spans="1:14" x14ac:dyDescent="0.25">
      <c r="A6785" t="s">
        <v>42</v>
      </c>
      <c r="B6785" t="s">
        <v>39</v>
      </c>
      <c r="C6785" t="s">
        <v>37</v>
      </c>
      <c r="D6785" t="s">
        <v>33</v>
      </c>
      <c r="E6785" t="s">
        <v>21</v>
      </c>
      <c r="F6785" t="s">
        <v>19</v>
      </c>
      <c r="G6785" s="1" t="str">
        <f t="shared" ref="G6785:M6785" si="1476">"..."</f>
        <v>...</v>
      </c>
      <c r="H6785" s="1" t="str">
        <f t="shared" si="1476"/>
        <v>...</v>
      </c>
      <c r="I6785" s="1" t="str">
        <f t="shared" si="1476"/>
        <v>...</v>
      </c>
      <c r="J6785" s="1" t="str">
        <f t="shared" si="1476"/>
        <v>...</v>
      </c>
      <c r="K6785" s="1" t="str">
        <f t="shared" si="1476"/>
        <v>...</v>
      </c>
      <c r="L6785" s="1" t="str">
        <f t="shared" si="1476"/>
        <v>...</v>
      </c>
      <c r="M6785" s="1" t="str">
        <f t="shared" si="1476"/>
        <v>...</v>
      </c>
      <c r="N6785" t="s">
        <v>30</v>
      </c>
    </row>
    <row r="6786" spans="1:14" x14ac:dyDescent="0.25">
      <c r="A6786" t="s">
        <v>42</v>
      </c>
      <c r="B6786" t="s">
        <v>39</v>
      </c>
      <c r="C6786" t="s">
        <v>37</v>
      </c>
      <c r="D6786" t="s">
        <v>33</v>
      </c>
      <c r="E6786" t="s">
        <v>21</v>
      </c>
      <c r="F6786" t="s">
        <v>20</v>
      </c>
      <c r="G6786" s="1" t="str">
        <f t="shared" ref="G6786:M6788" si="1477">"X"</f>
        <v>X</v>
      </c>
      <c r="H6786" s="1" t="str">
        <f t="shared" si="1477"/>
        <v>X</v>
      </c>
      <c r="I6786" s="1" t="str">
        <f t="shared" si="1477"/>
        <v>X</v>
      </c>
      <c r="J6786" s="1" t="str">
        <f t="shared" si="1477"/>
        <v>X</v>
      </c>
      <c r="K6786" s="1" t="str">
        <f t="shared" si="1477"/>
        <v>X</v>
      </c>
      <c r="L6786" s="1" t="str">
        <f t="shared" si="1477"/>
        <v>X</v>
      </c>
      <c r="M6786" s="1" t="str">
        <f t="shared" si="1477"/>
        <v>X</v>
      </c>
      <c r="N6786" t="s">
        <v>27</v>
      </c>
    </row>
    <row r="6787" spans="1:14" x14ac:dyDescent="0.25">
      <c r="A6787" t="s">
        <v>42</v>
      </c>
      <c r="B6787" t="s">
        <v>39</v>
      </c>
      <c r="C6787" t="s">
        <v>37</v>
      </c>
      <c r="D6787" t="s">
        <v>33</v>
      </c>
      <c r="E6787" t="s">
        <v>22</v>
      </c>
      <c r="F6787" t="s">
        <v>15</v>
      </c>
      <c r="G6787" s="1" t="str">
        <f t="shared" si="1477"/>
        <v>X</v>
      </c>
      <c r="H6787" s="1" t="str">
        <f t="shared" si="1477"/>
        <v>X</v>
      </c>
      <c r="I6787" s="1" t="str">
        <f t="shared" si="1477"/>
        <v>X</v>
      </c>
      <c r="J6787" s="1" t="str">
        <f t="shared" si="1477"/>
        <v>X</v>
      </c>
      <c r="K6787" s="1" t="str">
        <f t="shared" si="1477"/>
        <v>X</v>
      </c>
      <c r="L6787" s="1" t="str">
        <f t="shared" si="1477"/>
        <v>X</v>
      </c>
      <c r="M6787" s="1" t="str">
        <f t="shared" si="1477"/>
        <v>X</v>
      </c>
      <c r="N6787" t="s">
        <v>27</v>
      </c>
    </row>
    <row r="6788" spans="1:14" x14ac:dyDescent="0.25">
      <c r="A6788" t="s">
        <v>42</v>
      </c>
      <c r="B6788" t="s">
        <v>39</v>
      </c>
      <c r="C6788" t="s">
        <v>37</v>
      </c>
      <c r="D6788" t="s">
        <v>33</v>
      </c>
      <c r="E6788" t="s">
        <v>22</v>
      </c>
      <c r="F6788" t="s">
        <v>17</v>
      </c>
      <c r="G6788" s="1" t="str">
        <f t="shared" si="1477"/>
        <v>X</v>
      </c>
      <c r="H6788" s="1" t="str">
        <f t="shared" si="1477"/>
        <v>X</v>
      </c>
      <c r="I6788" s="1" t="str">
        <f t="shared" si="1477"/>
        <v>X</v>
      </c>
      <c r="J6788" s="1" t="str">
        <f t="shared" si="1477"/>
        <v>X</v>
      </c>
      <c r="K6788" s="1" t="str">
        <f t="shared" si="1477"/>
        <v>X</v>
      </c>
      <c r="L6788" s="1" t="str">
        <f t="shared" si="1477"/>
        <v>X</v>
      </c>
      <c r="M6788" s="1" t="str">
        <f t="shared" si="1477"/>
        <v>X</v>
      </c>
      <c r="N6788" t="s">
        <v>27</v>
      </c>
    </row>
    <row r="6789" spans="1:14" x14ac:dyDescent="0.25">
      <c r="A6789" t="s">
        <v>42</v>
      </c>
      <c r="B6789" t="s">
        <v>39</v>
      </c>
      <c r="C6789" t="s">
        <v>37</v>
      </c>
      <c r="D6789" t="s">
        <v>33</v>
      </c>
      <c r="E6789" t="s">
        <v>22</v>
      </c>
      <c r="F6789" t="s">
        <v>18</v>
      </c>
      <c r="G6789" s="1" t="str">
        <f t="shared" ref="G6789:M6789" si="1478">"..."</f>
        <v>...</v>
      </c>
      <c r="H6789" s="1" t="str">
        <f t="shared" si="1478"/>
        <v>...</v>
      </c>
      <c r="I6789" s="1" t="str">
        <f t="shared" si="1478"/>
        <v>...</v>
      </c>
      <c r="J6789" s="1" t="str">
        <f t="shared" si="1478"/>
        <v>...</v>
      </c>
      <c r="K6789" s="1" t="str">
        <f t="shared" si="1478"/>
        <v>...</v>
      </c>
      <c r="L6789" s="1" t="str">
        <f t="shared" si="1478"/>
        <v>...</v>
      </c>
      <c r="M6789" s="1" t="str">
        <f t="shared" si="1478"/>
        <v>...</v>
      </c>
      <c r="N6789" t="s">
        <v>30</v>
      </c>
    </row>
    <row r="6790" spans="1:14" x14ac:dyDescent="0.25">
      <c r="A6790" t="s">
        <v>42</v>
      </c>
      <c r="B6790" t="s">
        <v>39</v>
      </c>
      <c r="C6790" t="s">
        <v>37</v>
      </c>
      <c r="D6790" t="s">
        <v>33</v>
      </c>
      <c r="E6790" t="s">
        <v>22</v>
      </c>
      <c r="F6790" t="s">
        <v>19</v>
      </c>
      <c r="G6790" s="1" t="str">
        <f t="shared" ref="G6790:M6792" si="1479">"X"</f>
        <v>X</v>
      </c>
      <c r="H6790" s="1" t="str">
        <f t="shared" si="1479"/>
        <v>X</v>
      </c>
      <c r="I6790" s="1" t="str">
        <f t="shared" si="1479"/>
        <v>X</v>
      </c>
      <c r="J6790" s="1" t="str">
        <f t="shared" si="1479"/>
        <v>X</v>
      </c>
      <c r="K6790" s="1" t="str">
        <f t="shared" si="1479"/>
        <v>X</v>
      </c>
      <c r="L6790" s="1" t="str">
        <f t="shared" si="1479"/>
        <v>X</v>
      </c>
      <c r="M6790" s="1" t="str">
        <f t="shared" si="1479"/>
        <v>X</v>
      </c>
      <c r="N6790" t="s">
        <v>27</v>
      </c>
    </row>
    <row r="6791" spans="1:14" x14ac:dyDescent="0.25">
      <c r="A6791" t="s">
        <v>42</v>
      </c>
      <c r="B6791" t="s">
        <v>39</v>
      </c>
      <c r="C6791" t="s">
        <v>37</v>
      </c>
      <c r="D6791" t="s">
        <v>33</v>
      </c>
      <c r="E6791" t="s">
        <v>22</v>
      </c>
      <c r="F6791" t="s">
        <v>20</v>
      </c>
      <c r="G6791" s="1" t="str">
        <f t="shared" si="1479"/>
        <v>X</v>
      </c>
      <c r="H6791" s="1" t="str">
        <f t="shared" si="1479"/>
        <v>X</v>
      </c>
      <c r="I6791" s="1" t="str">
        <f t="shared" si="1479"/>
        <v>X</v>
      </c>
      <c r="J6791" s="1" t="str">
        <f t="shared" si="1479"/>
        <v>X</v>
      </c>
      <c r="K6791" s="1" t="str">
        <f t="shared" si="1479"/>
        <v>X</v>
      </c>
      <c r="L6791" s="1" t="str">
        <f t="shared" si="1479"/>
        <v>X</v>
      </c>
      <c r="M6791" s="1" t="str">
        <f t="shared" si="1479"/>
        <v>X</v>
      </c>
      <c r="N6791" t="s">
        <v>27</v>
      </c>
    </row>
    <row r="6792" spans="1:14" x14ac:dyDescent="0.25">
      <c r="A6792" t="s">
        <v>42</v>
      </c>
      <c r="B6792" t="s">
        <v>39</v>
      </c>
      <c r="C6792" t="s">
        <v>37</v>
      </c>
      <c r="D6792" t="s">
        <v>33</v>
      </c>
      <c r="E6792" t="s">
        <v>23</v>
      </c>
      <c r="F6792" t="s">
        <v>15</v>
      </c>
      <c r="G6792" s="1" t="str">
        <f t="shared" si="1479"/>
        <v>X</v>
      </c>
      <c r="H6792" s="1" t="str">
        <f t="shared" si="1479"/>
        <v>X</v>
      </c>
      <c r="I6792" s="1" t="str">
        <f t="shared" si="1479"/>
        <v>X</v>
      </c>
      <c r="J6792" s="1" t="str">
        <f t="shared" si="1479"/>
        <v>X</v>
      </c>
      <c r="K6792" s="1" t="str">
        <f t="shared" si="1479"/>
        <v>X</v>
      </c>
      <c r="L6792" s="1" t="str">
        <f t="shared" si="1479"/>
        <v>X</v>
      </c>
      <c r="M6792" s="1" t="str">
        <f t="shared" si="1479"/>
        <v>X</v>
      </c>
      <c r="N6792" t="s">
        <v>27</v>
      </c>
    </row>
    <row r="6793" spans="1:14" x14ac:dyDescent="0.25">
      <c r="A6793" t="s">
        <v>42</v>
      </c>
      <c r="B6793" t="s">
        <v>39</v>
      </c>
      <c r="C6793" t="s">
        <v>37</v>
      </c>
      <c r="D6793" t="s">
        <v>33</v>
      </c>
      <c r="E6793" t="s">
        <v>23</v>
      </c>
      <c r="F6793" t="s">
        <v>17</v>
      </c>
      <c r="G6793" s="1" t="str">
        <f t="shared" ref="G6793:M6794" si="1480">"..."</f>
        <v>...</v>
      </c>
      <c r="H6793" s="1" t="str">
        <f t="shared" si="1480"/>
        <v>...</v>
      </c>
      <c r="I6793" s="1" t="str">
        <f t="shared" si="1480"/>
        <v>...</v>
      </c>
      <c r="J6793" s="1" t="str">
        <f t="shared" si="1480"/>
        <v>...</v>
      </c>
      <c r="K6793" s="1" t="str">
        <f t="shared" si="1480"/>
        <v>...</v>
      </c>
      <c r="L6793" s="1" t="str">
        <f t="shared" si="1480"/>
        <v>...</v>
      </c>
      <c r="M6793" s="1" t="str">
        <f t="shared" si="1480"/>
        <v>...</v>
      </c>
      <c r="N6793" t="s">
        <v>30</v>
      </c>
    </row>
    <row r="6794" spans="1:14" x14ac:dyDescent="0.25">
      <c r="A6794" t="s">
        <v>42</v>
      </c>
      <c r="B6794" t="s">
        <v>39</v>
      </c>
      <c r="C6794" t="s">
        <v>37</v>
      </c>
      <c r="D6794" t="s">
        <v>33</v>
      </c>
      <c r="E6794" t="s">
        <v>23</v>
      </c>
      <c r="F6794" t="s">
        <v>18</v>
      </c>
      <c r="G6794" s="1" t="str">
        <f t="shared" si="1480"/>
        <v>...</v>
      </c>
      <c r="H6794" s="1" t="str">
        <f t="shared" si="1480"/>
        <v>...</v>
      </c>
      <c r="I6794" s="1" t="str">
        <f t="shared" si="1480"/>
        <v>...</v>
      </c>
      <c r="J6794" s="1" t="str">
        <f t="shared" si="1480"/>
        <v>...</v>
      </c>
      <c r="K6794" s="1" t="str">
        <f t="shared" si="1480"/>
        <v>...</v>
      </c>
      <c r="L6794" s="1" t="str">
        <f t="shared" si="1480"/>
        <v>...</v>
      </c>
      <c r="M6794" s="1" t="str">
        <f t="shared" si="1480"/>
        <v>...</v>
      </c>
      <c r="N6794" t="s">
        <v>30</v>
      </c>
    </row>
    <row r="6795" spans="1:14" x14ac:dyDescent="0.25">
      <c r="A6795" t="s">
        <v>42</v>
      </c>
      <c r="B6795" t="s">
        <v>39</v>
      </c>
      <c r="C6795" t="s">
        <v>37</v>
      </c>
      <c r="D6795" t="s">
        <v>33</v>
      </c>
      <c r="E6795" t="s">
        <v>23</v>
      </c>
      <c r="F6795" t="s">
        <v>19</v>
      </c>
      <c r="G6795" s="1" t="str">
        <f t="shared" ref="G6795:M6797" si="1481">"X"</f>
        <v>X</v>
      </c>
      <c r="H6795" s="1" t="str">
        <f t="shared" si="1481"/>
        <v>X</v>
      </c>
      <c r="I6795" s="1" t="str">
        <f t="shared" si="1481"/>
        <v>X</v>
      </c>
      <c r="J6795" s="1" t="str">
        <f t="shared" si="1481"/>
        <v>X</v>
      </c>
      <c r="K6795" s="1" t="str">
        <f t="shared" si="1481"/>
        <v>X</v>
      </c>
      <c r="L6795" s="1" t="str">
        <f t="shared" si="1481"/>
        <v>X</v>
      </c>
      <c r="M6795" s="1" t="str">
        <f t="shared" si="1481"/>
        <v>X</v>
      </c>
      <c r="N6795" t="s">
        <v>27</v>
      </c>
    </row>
    <row r="6796" spans="1:14" x14ac:dyDescent="0.25">
      <c r="A6796" t="s">
        <v>42</v>
      </c>
      <c r="B6796" t="s">
        <v>39</v>
      </c>
      <c r="C6796" t="s">
        <v>37</v>
      </c>
      <c r="D6796" t="s">
        <v>33</v>
      </c>
      <c r="E6796" t="s">
        <v>23</v>
      </c>
      <c r="F6796" t="s">
        <v>20</v>
      </c>
      <c r="G6796" s="1" t="str">
        <f t="shared" si="1481"/>
        <v>X</v>
      </c>
      <c r="H6796" s="1" t="str">
        <f t="shared" si="1481"/>
        <v>X</v>
      </c>
      <c r="I6796" s="1" t="str">
        <f t="shared" si="1481"/>
        <v>X</v>
      </c>
      <c r="J6796" s="1" t="str">
        <f t="shared" si="1481"/>
        <v>X</v>
      </c>
      <c r="K6796" s="1" t="str">
        <f t="shared" si="1481"/>
        <v>X</v>
      </c>
      <c r="L6796" s="1" t="str">
        <f t="shared" si="1481"/>
        <v>X</v>
      </c>
      <c r="M6796" s="1" t="str">
        <f t="shared" si="1481"/>
        <v>X</v>
      </c>
      <c r="N6796" t="s">
        <v>27</v>
      </c>
    </row>
    <row r="6797" spans="1:14" x14ac:dyDescent="0.25">
      <c r="A6797" t="s">
        <v>42</v>
      </c>
      <c r="B6797" t="s">
        <v>39</v>
      </c>
      <c r="C6797" t="s">
        <v>37</v>
      </c>
      <c r="D6797" t="s">
        <v>33</v>
      </c>
      <c r="E6797" t="s">
        <v>26</v>
      </c>
      <c r="F6797" t="s">
        <v>15</v>
      </c>
      <c r="G6797" s="1" t="str">
        <f t="shared" si="1481"/>
        <v>X</v>
      </c>
      <c r="H6797" s="1" t="str">
        <f t="shared" si="1481"/>
        <v>X</v>
      </c>
      <c r="I6797" s="1" t="str">
        <f t="shared" si="1481"/>
        <v>X</v>
      </c>
      <c r="J6797" s="1" t="str">
        <f t="shared" si="1481"/>
        <v>X</v>
      </c>
      <c r="K6797" s="1" t="str">
        <f t="shared" si="1481"/>
        <v>X</v>
      </c>
      <c r="L6797" s="1" t="str">
        <f t="shared" si="1481"/>
        <v>X</v>
      </c>
      <c r="M6797" s="1" t="str">
        <f t="shared" si="1481"/>
        <v>X</v>
      </c>
      <c r="N6797" t="s">
        <v>27</v>
      </c>
    </row>
    <row r="6798" spans="1:14" x14ac:dyDescent="0.25">
      <c r="A6798" t="s">
        <v>42</v>
      </c>
      <c r="B6798" t="s">
        <v>39</v>
      </c>
      <c r="C6798" t="s">
        <v>37</v>
      </c>
      <c r="D6798" t="s">
        <v>33</v>
      </c>
      <c r="E6798" t="s">
        <v>26</v>
      </c>
      <c r="F6798" t="s">
        <v>17</v>
      </c>
      <c r="G6798" s="1" t="str">
        <f t="shared" ref="G6798:M6798" si="1482">"..."</f>
        <v>...</v>
      </c>
      <c r="H6798" s="1" t="str">
        <f t="shared" si="1482"/>
        <v>...</v>
      </c>
      <c r="I6798" s="1" t="str">
        <f t="shared" si="1482"/>
        <v>...</v>
      </c>
      <c r="J6798" s="1" t="str">
        <f t="shared" si="1482"/>
        <v>...</v>
      </c>
      <c r="K6798" s="1" t="str">
        <f t="shared" si="1482"/>
        <v>...</v>
      </c>
      <c r="L6798" s="1" t="str">
        <f t="shared" si="1482"/>
        <v>...</v>
      </c>
      <c r="M6798" s="1" t="str">
        <f t="shared" si="1482"/>
        <v>...</v>
      </c>
      <c r="N6798" t="s">
        <v>30</v>
      </c>
    </row>
    <row r="6799" spans="1:14" x14ac:dyDescent="0.25">
      <c r="A6799" t="s">
        <v>42</v>
      </c>
      <c r="B6799" t="s">
        <v>39</v>
      </c>
      <c r="C6799" t="s">
        <v>37</v>
      </c>
      <c r="D6799" t="s">
        <v>33</v>
      </c>
      <c r="E6799" t="s">
        <v>26</v>
      </c>
      <c r="F6799" t="s">
        <v>18</v>
      </c>
      <c r="G6799" s="1" t="str">
        <f t="shared" ref="G6799:M6799" si="1483">"X"</f>
        <v>X</v>
      </c>
      <c r="H6799" s="1" t="str">
        <f t="shared" si="1483"/>
        <v>X</v>
      </c>
      <c r="I6799" s="1" t="str">
        <f t="shared" si="1483"/>
        <v>X</v>
      </c>
      <c r="J6799" s="1" t="str">
        <f t="shared" si="1483"/>
        <v>X</v>
      </c>
      <c r="K6799" s="1" t="str">
        <f t="shared" si="1483"/>
        <v>X</v>
      </c>
      <c r="L6799" s="1" t="str">
        <f t="shared" si="1483"/>
        <v>X</v>
      </c>
      <c r="M6799" s="1" t="str">
        <f t="shared" si="1483"/>
        <v>X</v>
      </c>
      <c r="N6799" t="s">
        <v>27</v>
      </c>
    </row>
    <row r="6800" spans="1:14" x14ac:dyDescent="0.25">
      <c r="A6800" t="s">
        <v>42</v>
      </c>
      <c r="B6800" t="s">
        <v>39</v>
      </c>
      <c r="C6800" t="s">
        <v>37</v>
      </c>
      <c r="D6800" t="s">
        <v>33</v>
      </c>
      <c r="E6800" t="s">
        <v>26</v>
      </c>
      <c r="F6800" t="s">
        <v>19</v>
      </c>
      <c r="G6800" s="1" t="str">
        <f t="shared" ref="G6800:M6800" si="1484">"..."</f>
        <v>...</v>
      </c>
      <c r="H6800" s="1" t="str">
        <f t="shared" si="1484"/>
        <v>...</v>
      </c>
      <c r="I6800" s="1" t="str">
        <f t="shared" si="1484"/>
        <v>...</v>
      </c>
      <c r="J6800" s="1" t="str">
        <f t="shared" si="1484"/>
        <v>...</v>
      </c>
      <c r="K6800" s="1" t="str">
        <f t="shared" si="1484"/>
        <v>...</v>
      </c>
      <c r="L6800" s="1" t="str">
        <f t="shared" si="1484"/>
        <v>...</v>
      </c>
      <c r="M6800" s="1" t="str">
        <f t="shared" si="1484"/>
        <v>...</v>
      </c>
      <c r="N6800" t="s">
        <v>30</v>
      </c>
    </row>
    <row r="6801" spans="1:14" x14ac:dyDescent="0.25">
      <c r="A6801" t="s">
        <v>42</v>
      </c>
      <c r="B6801" t="s">
        <v>39</v>
      </c>
      <c r="C6801" t="s">
        <v>37</v>
      </c>
      <c r="D6801" t="s">
        <v>33</v>
      </c>
      <c r="E6801" t="s">
        <v>26</v>
      </c>
      <c r="F6801" t="s">
        <v>20</v>
      </c>
      <c r="G6801" s="1" t="str">
        <f t="shared" ref="G6801:M6804" si="1485">"X"</f>
        <v>X</v>
      </c>
      <c r="H6801" s="1" t="str">
        <f t="shared" si="1485"/>
        <v>X</v>
      </c>
      <c r="I6801" s="1" t="str">
        <f t="shared" si="1485"/>
        <v>X</v>
      </c>
      <c r="J6801" s="1" t="str">
        <f t="shared" si="1485"/>
        <v>X</v>
      </c>
      <c r="K6801" s="1" t="str">
        <f t="shared" si="1485"/>
        <v>X</v>
      </c>
      <c r="L6801" s="1" t="str">
        <f t="shared" si="1485"/>
        <v>X</v>
      </c>
      <c r="M6801" s="1" t="str">
        <f t="shared" si="1485"/>
        <v>X</v>
      </c>
      <c r="N6801" t="s">
        <v>27</v>
      </c>
    </row>
    <row r="6802" spans="1:14" x14ac:dyDescent="0.25">
      <c r="A6802" t="s">
        <v>42</v>
      </c>
      <c r="B6802" t="s">
        <v>39</v>
      </c>
      <c r="C6802" t="s">
        <v>37</v>
      </c>
      <c r="D6802" t="s">
        <v>34</v>
      </c>
      <c r="E6802" t="s">
        <v>15</v>
      </c>
      <c r="F6802" t="s">
        <v>15</v>
      </c>
      <c r="G6802" s="1" t="str">
        <f t="shared" si="1485"/>
        <v>X</v>
      </c>
      <c r="H6802" s="1" t="str">
        <f t="shared" si="1485"/>
        <v>X</v>
      </c>
      <c r="I6802" s="1" t="str">
        <f t="shared" si="1485"/>
        <v>X</v>
      </c>
      <c r="J6802" s="1" t="str">
        <f t="shared" si="1485"/>
        <v>X</v>
      </c>
      <c r="K6802" s="1" t="str">
        <f t="shared" si="1485"/>
        <v>X</v>
      </c>
      <c r="L6802" s="1" t="str">
        <f t="shared" si="1485"/>
        <v>X</v>
      </c>
      <c r="M6802" s="1" t="str">
        <f t="shared" si="1485"/>
        <v>X</v>
      </c>
      <c r="N6802" t="s">
        <v>27</v>
      </c>
    </row>
    <row r="6803" spans="1:14" x14ac:dyDescent="0.25">
      <c r="A6803" t="s">
        <v>42</v>
      </c>
      <c r="B6803" t="s">
        <v>39</v>
      </c>
      <c r="C6803" t="s">
        <v>37</v>
      </c>
      <c r="D6803" t="s">
        <v>34</v>
      </c>
      <c r="E6803" t="s">
        <v>15</v>
      </c>
      <c r="F6803" t="s">
        <v>17</v>
      </c>
      <c r="G6803" s="1" t="str">
        <f t="shared" si="1485"/>
        <v>X</v>
      </c>
      <c r="H6803" s="1" t="str">
        <f t="shared" si="1485"/>
        <v>X</v>
      </c>
      <c r="I6803" s="1" t="str">
        <f t="shared" si="1485"/>
        <v>X</v>
      </c>
      <c r="J6803" s="1" t="str">
        <f t="shared" si="1485"/>
        <v>X</v>
      </c>
      <c r="K6803" s="1" t="str">
        <f t="shared" si="1485"/>
        <v>X</v>
      </c>
      <c r="L6803" s="1" t="str">
        <f t="shared" si="1485"/>
        <v>X</v>
      </c>
      <c r="M6803" s="1" t="str">
        <f t="shared" si="1485"/>
        <v>X</v>
      </c>
      <c r="N6803" t="s">
        <v>27</v>
      </c>
    </row>
    <row r="6804" spans="1:14" x14ac:dyDescent="0.25">
      <c r="A6804" t="s">
        <v>42</v>
      </c>
      <c r="B6804" t="s">
        <v>39</v>
      </c>
      <c r="C6804" t="s">
        <v>37</v>
      </c>
      <c r="D6804" t="s">
        <v>34</v>
      </c>
      <c r="E6804" t="s">
        <v>15</v>
      </c>
      <c r="F6804" t="s">
        <v>18</v>
      </c>
      <c r="G6804" s="1" t="str">
        <f t="shared" si="1485"/>
        <v>X</v>
      </c>
      <c r="H6804" s="1" t="str">
        <f t="shared" si="1485"/>
        <v>X</v>
      </c>
      <c r="I6804" s="1" t="str">
        <f t="shared" si="1485"/>
        <v>X</v>
      </c>
      <c r="J6804" s="1" t="str">
        <f t="shared" si="1485"/>
        <v>X</v>
      </c>
      <c r="K6804" s="1" t="str">
        <f t="shared" si="1485"/>
        <v>X</v>
      </c>
      <c r="L6804" s="1" t="str">
        <f t="shared" si="1485"/>
        <v>X</v>
      </c>
      <c r="M6804" s="1" t="str">
        <f t="shared" si="1485"/>
        <v>X</v>
      </c>
      <c r="N6804" t="s">
        <v>27</v>
      </c>
    </row>
    <row r="6805" spans="1:14" x14ac:dyDescent="0.25">
      <c r="A6805" t="s">
        <v>42</v>
      </c>
      <c r="B6805" t="s">
        <v>39</v>
      </c>
      <c r="C6805" t="s">
        <v>37</v>
      </c>
      <c r="D6805" t="s">
        <v>34</v>
      </c>
      <c r="E6805" t="s">
        <v>15</v>
      </c>
      <c r="F6805" t="s">
        <v>19</v>
      </c>
      <c r="G6805" s="1" t="str">
        <f t="shared" ref="G6805:M6805" si="1486">"..."</f>
        <v>...</v>
      </c>
      <c r="H6805" s="1" t="str">
        <f t="shared" si="1486"/>
        <v>...</v>
      </c>
      <c r="I6805" s="1" t="str">
        <f t="shared" si="1486"/>
        <v>...</v>
      </c>
      <c r="J6805" s="1" t="str">
        <f t="shared" si="1486"/>
        <v>...</v>
      </c>
      <c r="K6805" s="1" t="str">
        <f t="shared" si="1486"/>
        <v>...</v>
      </c>
      <c r="L6805" s="1" t="str">
        <f t="shared" si="1486"/>
        <v>...</v>
      </c>
      <c r="M6805" s="1" t="str">
        <f t="shared" si="1486"/>
        <v>...</v>
      </c>
      <c r="N6805" t="s">
        <v>30</v>
      </c>
    </row>
    <row r="6806" spans="1:14" x14ac:dyDescent="0.25">
      <c r="A6806" t="s">
        <v>42</v>
      </c>
      <c r="B6806" t="s">
        <v>39</v>
      </c>
      <c r="C6806" t="s">
        <v>37</v>
      </c>
      <c r="D6806" t="s">
        <v>34</v>
      </c>
      <c r="E6806" t="s">
        <v>15</v>
      </c>
      <c r="F6806" t="s">
        <v>20</v>
      </c>
      <c r="G6806" s="1" t="str">
        <f t="shared" ref="G6806:M6808" si="1487">"X"</f>
        <v>X</v>
      </c>
      <c r="H6806" s="1" t="str">
        <f t="shared" si="1487"/>
        <v>X</v>
      </c>
      <c r="I6806" s="1" t="str">
        <f t="shared" si="1487"/>
        <v>X</v>
      </c>
      <c r="J6806" s="1" t="str">
        <f t="shared" si="1487"/>
        <v>X</v>
      </c>
      <c r="K6806" s="1" t="str">
        <f t="shared" si="1487"/>
        <v>X</v>
      </c>
      <c r="L6806" s="1" t="str">
        <f t="shared" si="1487"/>
        <v>X</v>
      </c>
      <c r="M6806" s="1" t="str">
        <f t="shared" si="1487"/>
        <v>X</v>
      </c>
      <c r="N6806" t="s">
        <v>27</v>
      </c>
    </row>
    <row r="6807" spans="1:14" x14ac:dyDescent="0.25">
      <c r="A6807" t="s">
        <v>42</v>
      </c>
      <c r="B6807" t="s">
        <v>39</v>
      </c>
      <c r="C6807" t="s">
        <v>37</v>
      </c>
      <c r="D6807" t="s">
        <v>34</v>
      </c>
      <c r="E6807" t="s">
        <v>21</v>
      </c>
      <c r="F6807" t="s">
        <v>15</v>
      </c>
      <c r="G6807" s="1" t="str">
        <f t="shared" si="1487"/>
        <v>X</v>
      </c>
      <c r="H6807" s="1" t="str">
        <f t="shared" si="1487"/>
        <v>X</v>
      </c>
      <c r="I6807" s="1" t="str">
        <f t="shared" si="1487"/>
        <v>X</v>
      </c>
      <c r="J6807" s="1" t="str">
        <f t="shared" si="1487"/>
        <v>X</v>
      </c>
      <c r="K6807" s="1" t="str">
        <f t="shared" si="1487"/>
        <v>X</v>
      </c>
      <c r="L6807" s="1" t="str">
        <f t="shared" si="1487"/>
        <v>X</v>
      </c>
      <c r="M6807" s="1" t="str">
        <f t="shared" si="1487"/>
        <v>X</v>
      </c>
      <c r="N6807" t="s">
        <v>27</v>
      </c>
    </row>
    <row r="6808" spans="1:14" x14ac:dyDescent="0.25">
      <c r="A6808" t="s">
        <v>42</v>
      </c>
      <c r="B6808" t="s">
        <v>39</v>
      </c>
      <c r="C6808" t="s">
        <v>37</v>
      </c>
      <c r="D6808" t="s">
        <v>34</v>
      </c>
      <c r="E6808" t="s">
        <v>21</v>
      </c>
      <c r="F6808" t="s">
        <v>17</v>
      </c>
      <c r="G6808" s="1" t="str">
        <f t="shared" si="1487"/>
        <v>X</v>
      </c>
      <c r="H6808" s="1" t="str">
        <f t="shared" si="1487"/>
        <v>X</v>
      </c>
      <c r="I6808" s="1" t="str">
        <f t="shared" si="1487"/>
        <v>X</v>
      </c>
      <c r="J6808" s="1" t="str">
        <f t="shared" si="1487"/>
        <v>X</v>
      </c>
      <c r="K6808" s="1" t="str">
        <f t="shared" si="1487"/>
        <v>X</v>
      </c>
      <c r="L6808" s="1" t="str">
        <f t="shared" si="1487"/>
        <v>X</v>
      </c>
      <c r="M6808" s="1" t="str">
        <f t="shared" si="1487"/>
        <v>X</v>
      </c>
      <c r="N6808" t="s">
        <v>27</v>
      </c>
    </row>
    <row r="6809" spans="1:14" x14ac:dyDescent="0.25">
      <c r="A6809" t="s">
        <v>42</v>
      </c>
      <c r="B6809" t="s">
        <v>39</v>
      </c>
      <c r="C6809" t="s">
        <v>37</v>
      </c>
      <c r="D6809" t="s">
        <v>34</v>
      </c>
      <c r="E6809" t="s">
        <v>21</v>
      </c>
      <c r="F6809" t="s">
        <v>18</v>
      </c>
      <c r="G6809" s="1" t="str">
        <f t="shared" ref="G6809:M6811" si="1488">"..."</f>
        <v>...</v>
      </c>
      <c r="H6809" s="1" t="str">
        <f t="shared" si="1488"/>
        <v>...</v>
      </c>
      <c r="I6809" s="1" t="str">
        <f t="shared" si="1488"/>
        <v>...</v>
      </c>
      <c r="J6809" s="1" t="str">
        <f t="shared" si="1488"/>
        <v>...</v>
      </c>
      <c r="K6809" s="1" t="str">
        <f t="shared" si="1488"/>
        <v>...</v>
      </c>
      <c r="L6809" s="1" t="str">
        <f t="shared" si="1488"/>
        <v>...</v>
      </c>
      <c r="M6809" s="1" t="str">
        <f t="shared" si="1488"/>
        <v>...</v>
      </c>
      <c r="N6809" t="s">
        <v>30</v>
      </c>
    </row>
    <row r="6810" spans="1:14" x14ac:dyDescent="0.25">
      <c r="A6810" t="s">
        <v>42</v>
      </c>
      <c r="B6810" t="s">
        <v>39</v>
      </c>
      <c r="C6810" t="s">
        <v>37</v>
      </c>
      <c r="D6810" t="s">
        <v>34</v>
      </c>
      <c r="E6810" t="s">
        <v>21</v>
      </c>
      <c r="F6810" t="s">
        <v>19</v>
      </c>
      <c r="G6810" s="1" t="str">
        <f t="shared" si="1488"/>
        <v>...</v>
      </c>
      <c r="H6810" s="1" t="str">
        <f t="shared" si="1488"/>
        <v>...</v>
      </c>
      <c r="I6810" s="1" t="str">
        <f t="shared" si="1488"/>
        <v>...</v>
      </c>
      <c r="J6810" s="1" t="str">
        <f t="shared" si="1488"/>
        <v>...</v>
      </c>
      <c r="K6810" s="1" t="str">
        <f t="shared" si="1488"/>
        <v>...</v>
      </c>
      <c r="L6810" s="1" t="str">
        <f t="shared" si="1488"/>
        <v>...</v>
      </c>
      <c r="M6810" s="1" t="str">
        <f t="shared" si="1488"/>
        <v>...</v>
      </c>
      <c r="N6810" t="s">
        <v>30</v>
      </c>
    </row>
    <row r="6811" spans="1:14" x14ac:dyDescent="0.25">
      <c r="A6811" t="s">
        <v>42</v>
      </c>
      <c r="B6811" t="s">
        <v>39</v>
      </c>
      <c r="C6811" t="s">
        <v>37</v>
      </c>
      <c r="D6811" t="s">
        <v>34</v>
      </c>
      <c r="E6811" t="s">
        <v>21</v>
      </c>
      <c r="F6811" t="s">
        <v>20</v>
      </c>
      <c r="G6811" s="1" t="str">
        <f t="shared" si="1488"/>
        <v>...</v>
      </c>
      <c r="H6811" s="1" t="str">
        <f t="shared" si="1488"/>
        <v>...</v>
      </c>
      <c r="I6811" s="1" t="str">
        <f t="shared" si="1488"/>
        <v>...</v>
      </c>
      <c r="J6811" s="1" t="str">
        <f t="shared" si="1488"/>
        <v>...</v>
      </c>
      <c r="K6811" s="1" t="str">
        <f t="shared" si="1488"/>
        <v>...</v>
      </c>
      <c r="L6811" s="1" t="str">
        <f t="shared" si="1488"/>
        <v>...</v>
      </c>
      <c r="M6811" s="1" t="str">
        <f t="shared" si="1488"/>
        <v>...</v>
      </c>
      <c r="N6811" t="s">
        <v>30</v>
      </c>
    </row>
    <row r="6812" spans="1:14" x14ac:dyDescent="0.25">
      <c r="A6812" t="s">
        <v>42</v>
      </c>
      <c r="B6812" t="s">
        <v>39</v>
      </c>
      <c r="C6812" t="s">
        <v>37</v>
      </c>
      <c r="D6812" t="s">
        <v>34</v>
      </c>
      <c r="E6812" t="s">
        <v>22</v>
      </c>
      <c r="F6812" t="s">
        <v>15</v>
      </c>
      <c r="G6812" s="1" t="str">
        <f t="shared" ref="G6812:M6812" si="1489">"X"</f>
        <v>X</v>
      </c>
      <c r="H6812" s="1" t="str">
        <f t="shared" si="1489"/>
        <v>X</v>
      </c>
      <c r="I6812" s="1" t="str">
        <f t="shared" si="1489"/>
        <v>X</v>
      </c>
      <c r="J6812" s="1" t="str">
        <f t="shared" si="1489"/>
        <v>X</v>
      </c>
      <c r="K6812" s="1" t="str">
        <f t="shared" si="1489"/>
        <v>X</v>
      </c>
      <c r="L6812" s="1" t="str">
        <f t="shared" si="1489"/>
        <v>X</v>
      </c>
      <c r="M6812" s="1" t="str">
        <f t="shared" si="1489"/>
        <v>X</v>
      </c>
      <c r="N6812" t="s">
        <v>27</v>
      </c>
    </row>
    <row r="6813" spans="1:14" x14ac:dyDescent="0.25">
      <c r="A6813" t="s">
        <v>42</v>
      </c>
      <c r="B6813" t="s">
        <v>39</v>
      </c>
      <c r="C6813" t="s">
        <v>37</v>
      </c>
      <c r="D6813" t="s">
        <v>34</v>
      </c>
      <c r="E6813" t="s">
        <v>22</v>
      </c>
      <c r="F6813" t="s">
        <v>17</v>
      </c>
      <c r="G6813" s="1" t="str">
        <f t="shared" ref="G6813:M6813" si="1490">"..."</f>
        <v>...</v>
      </c>
      <c r="H6813" s="1" t="str">
        <f t="shared" si="1490"/>
        <v>...</v>
      </c>
      <c r="I6813" s="1" t="str">
        <f t="shared" si="1490"/>
        <v>...</v>
      </c>
      <c r="J6813" s="1" t="str">
        <f t="shared" si="1490"/>
        <v>...</v>
      </c>
      <c r="K6813" s="1" t="str">
        <f t="shared" si="1490"/>
        <v>...</v>
      </c>
      <c r="L6813" s="1" t="str">
        <f t="shared" si="1490"/>
        <v>...</v>
      </c>
      <c r="M6813" s="1" t="str">
        <f t="shared" si="1490"/>
        <v>...</v>
      </c>
      <c r="N6813" t="s">
        <v>30</v>
      </c>
    </row>
    <row r="6814" spans="1:14" x14ac:dyDescent="0.25">
      <c r="A6814" t="s">
        <v>42</v>
      </c>
      <c r="B6814" t="s">
        <v>39</v>
      </c>
      <c r="C6814" t="s">
        <v>37</v>
      </c>
      <c r="D6814" t="s">
        <v>34</v>
      </c>
      <c r="E6814" t="s">
        <v>22</v>
      </c>
      <c r="F6814" t="s">
        <v>18</v>
      </c>
      <c r="G6814" s="1" t="str">
        <f t="shared" ref="G6814:M6814" si="1491">"X"</f>
        <v>X</v>
      </c>
      <c r="H6814" s="1" t="str">
        <f t="shared" si="1491"/>
        <v>X</v>
      </c>
      <c r="I6814" s="1" t="str">
        <f t="shared" si="1491"/>
        <v>X</v>
      </c>
      <c r="J6814" s="1" t="str">
        <f t="shared" si="1491"/>
        <v>X</v>
      </c>
      <c r="K6814" s="1" t="str">
        <f t="shared" si="1491"/>
        <v>X</v>
      </c>
      <c r="L6814" s="1" t="str">
        <f t="shared" si="1491"/>
        <v>X</v>
      </c>
      <c r="M6814" s="1" t="str">
        <f t="shared" si="1491"/>
        <v>X</v>
      </c>
      <c r="N6814" t="s">
        <v>27</v>
      </c>
    </row>
    <row r="6815" spans="1:14" x14ac:dyDescent="0.25">
      <c r="A6815" t="s">
        <v>42</v>
      </c>
      <c r="B6815" t="s">
        <v>39</v>
      </c>
      <c r="C6815" t="s">
        <v>37</v>
      </c>
      <c r="D6815" t="s">
        <v>34</v>
      </c>
      <c r="E6815" t="s">
        <v>22</v>
      </c>
      <c r="F6815" t="s">
        <v>19</v>
      </c>
      <c r="G6815" s="1" t="str">
        <f t="shared" ref="G6815:M6815" si="1492">"..."</f>
        <v>...</v>
      </c>
      <c r="H6815" s="1" t="str">
        <f t="shared" si="1492"/>
        <v>...</v>
      </c>
      <c r="I6815" s="1" t="str">
        <f t="shared" si="1492"/>
        <v>...</v>
      </c>
      <c r="J6815" s="1" t="str">
        <f t="shared" si="1492"/>
        <v>...</v>
      </c>
      <c r="K6815" s="1" t="str">
        <f t="shared" si="1492"/>
        <v>...</v>
      </c>
      <c r="L6815" s="1" t="str">
        <f t="shared" si="1492"/>
        <v>...</v>
      </c>
      <c r="M6815" s="1" t="str">
        <f t="shared" si="1492"/>
        <v>...</v>
      </c>
      <c r="N6815" t="s">
        <v>30</v>
      </c>
    </row>
    <row r="6816" spans="1:14" x14ac:dyDescent="0.25">
      <c r="A6816" t="s">
        <v>42</v>
      </c>
      <c r="B6816" t="s">
        <v>39</v>
      </c>
      <c r="C6816" t="s">
        <v>37</v>
      </c>
      <c r="D6816" t="s">
        <v>34</v>
      </c>
      <c r="E6816" t="s">
        <v>22</v>
      </c>
      <c r="F6816" t="s">
        <v>20</v>
      </c>
      <c r="G6816" s="1" t="str">
        <f t="shared" ref="G6816:M6817" si="1493">"X"</f>
        <v>X</v>
      </c>
      <c r="H6816" s="1" t="str">
        <f t="shared" si="1493"/>
        <v>X</v>
      </c>
      <c r="I6816" s="1" t="str">
        <f t="shared" si="1493"/>
        <v>X</v>
      </c>
      <c r="J6816" s="1" t="str">
        <f t="shared" si="1493"/>
        <v>X</v>
      </c>
      <c r="K6816" s="1" t="str">
        <f t="shared" si="1493"/>
        <v>X</v>
      </c>
      <c r="L6816" s="1" t="str">
        <f t="shared" si="1493"/>
        <v>X</v>
      </c>
      <c r="M6816" s="1" t="str">
        <f t="shared" si="1493"/>
        <v>X</v>
      </c>
      <c r="N6816" t="s">
        <v>27</v>
      </c>
    </row>
    <row r="6817" spans="1:14" x14ac:dyDescent="0.25">
      <c r="A6817" t="s">
        <v>42</v>
      </c>
      <c r="B6817" t="s">
        <v>39</v>
      </c>
      <c r="C6817" t="s">
        <v>37</v>
      </c>
      <c r="D6817" t="s">
        <v>34</v>
      </c>
      <c r="E6817" t="s">
        <v>23</v>
      </c>
      <c r="F6817" t="s">
        <v>15</v>
      </c>
      <c r="G6817" s="1" t="str">
        <f t="shared" si="1493"/>
        <v>X</v>
      </c>
      <c r="H6817" s="1" t="str">
        <f t="shared" si="1493"/>
        <v>X</v>
      </c>
      <c r="I6817" s="1" t="str">
        <f t="shared" si="1493"/>
        <v>X</v>
      </c>
      <c r="J6817" s="1" t="str">
        <f t="shared" si="1493"/>
        <v>X</v>
      </c>
      <c r="K6817" s="1" t="str">
        <f t="shared" si="1493"/>
        <v>X</v>
      </c>
      <c r="L6817" s="1" t="str">
        <f t="shared" si="1493"/>
        <v>X</v>
      </c>
      <c r="M6817" s="1" t="str">
        <f t="shared" si="1493"/>
        <v>X</v>
      </c>
      <c r="N6817" t="s">
        <v>27</v>
      </c>
    </row>
    <row r="6818" spans="1:14" x14ac:dyDescent="0.25">
      <c r="A6818" t="s">
        <v>42</v>
      </c>
      <c r="B6818" t="s">
        <v>39</v>
      </c>
      <c r="C6818" t="s">
        <v>37</v>
      </c>
      <c r="D6818" t="s">
        <v>34</v>
      </c>
      <c r="E6818" t="s">
        <v>23</v>
      </c>
      <c r="F6818" t="s">
        <v>17</v>
      </c>
      <c r="G6818" s="1" t="str">
        <f t="shared" ref="G6818:M6820" si="1494">"..."</f>
        <v>...</v>
      </c>
      <c r="H6818" s="1" t="str">
        <f t="shared" si="1494"/>
        <v>...</v>
      </c>
      <c r="I6818" s="1" t="str">
        <f t="shared" si="1494"/>
        <v>...</v>
      </c>
      <c r="J6818" s="1" t="str">
        <f t="shared" si="1494"/>
        <v>...</v>
      </c>
      <c r="K6818" s="1" t="str">
        <f t="shared" si="1494"/>
        <v>...</v>
      </c>
      <c r="L6818" s="1" t="str">
        <f t="shared" si="1494"/>
        <v>...</v>
      </c>
      <c r="M6818" s="1" t="str">
        <f t="shared" si="1494"/>
        <v>...</v>
      </c>
      <c r="N6818" t="s">
        <v>30</v>
      </c>
    </row>
    <row r="6819" spans="1:14" x14ac:dyDescent="0.25">
      <c r="A6819" t="s">
        <v>42</v>
      </c>
      <c r="B6819" t="s">
        <v>39</v>
      </c>
      <c r="C6819" t="s">
        <v>37</v>
      </c>
      <c r="D6819" t="s">
        <v>34</v>
      </c>
      <c r="E6819" t="s">
        <v>23</v>
      </c>
      <c r="F6819" t="s">
        <v>18</v>
      </c>
      <c r="G6819" s="1" t="str">
        <f t="shared" si="1494"/>
        <v>...</v>
      </c>
      <c r="H6819" s="1" t="str">
        <f t="shared" si="1494"/>
        <v>...</v>
      </c>
      <c r="I6819" s="1" t="str">
        <f t="shared" si="1494"/>
        <v>...</v>
      </c>
      <c r="J6819" s="1" t="str">
        <f t="shared" si="1494"/>
        <v>...</v>
      </c>
      <c r="K6819" s="1" t="str">
        <f t="shared" si="1494"/>
        <v>...</v>
      </c>
      <c r="L6819" s="1" t="str">
        <f t="shared" si="1494"/>
        <v>...</v>
      </c>
      <c r="M6819" s="1" t="str">
        <f t="shared" si="1494"/>
        <v>...</v>
      </c>
      <c r="N6819" t="s">
        <v>30</v>
      </c>
    </row>
    <row r="6820" spans="1:14" x14ac:dyDescent="0.25">
      <c r="A6820" t="s">
        <v>42</v>
      </c>
      <c r="B6820" t="s">
        <v>39</v>
      </c>
      <c r="C6820" t="s">
        <v>37</v>
      </c>
      <c r="D6820" t="s">
        <v>34</v>
      </c>
      <c r="E6820" t="s">
        <v>23</v>
      </c>
      <c r="F6820" t="s">
        <v>19</v>
      </c>
      <c r="G6820" s="1" t="str">
        <f t="shared" si="1494"/>
        <v>...</v>
      </c>
      <c r="H6820" s="1" t="str">
        <f t="shared" si="1494"/>
        <v>...</v>
      </c>
      <c r="I6820" s="1" t="str">
        <f t="shared" si="1494"/>
        <v>...</v>
      </c>
      <c r="J6820" s="1" t="str">
        <f t="shared" si="1494"/>
        <v>...</v>
      </c>
      <c r="K6820" s="1" t="str">
        <f t="shared" si="1494"/>
        <v>...</v>
      </c>
      <c r="L6820" s="1" t="str">
        <f t="shared" si="1494"/>
        <v>...</v>
      </c>
      <c r="M6820" s="1" t="str">
        <f t="shared" si="1494"/>
        <v>...</v>
      </c>
      <c r="N6820" t="s">
        <v>30</v>
      </c>
    </row>
    <row r="6821" spans="1:14" x14ac:dyDescent="0.25">
      <c r="A6821" t="s">
        <v>42</v>
      </c>
      <c r="B6821" t="s">
        <v>39</v>
      </c>
      <c r="C6821" t="s">
        <v>37</v>
      </c>
      <c r="D6821" t="s">
        <v>34</v>
      </c>
      <c r="E6821" t="s">
        <v>23</v>
      </c>
      <c r="F6821" t="s">
        <v>20</v>
      </c>
      <c r="G6821" s="1" t="str">
        <f t="shared" ref="G6821:M6821" si="1495">"X"</f>
        <v>X</v>
      </c>
      <c r="H6821" s="1" t="str">
        <f t="shared" si="1495"/>
        <v>X</v>
      </c>
      <c r="I6821" s="1" t="str">
        <f t="shared" si="1495"/>
        <v>X</v>
      </c>
      <c r="J6821" s="1" t="str">
        <f t="shared" si="1495"/>
        <v>X</v>
      </c>
      <c r="K6821" s="1" t="str">
        <f t="shared" si="1495"/>
        <v>X</v>
      </c>
      <c r="L6821" s="1" t="str">
        <f t="shared" si="1495"/>
        <v>X</v>
      </c>
      <c r="M6821" s="1" t="str">
        <f t="shared" si="1495"/>
        <v>X</v>
      </c>
      <c r="N6821" t="s">
        <v>27</v>
      </c>
    </row>
    <row r="6822" spans="1:14" x14ac:dyDescent="0.25">
      <c r="A6822" t="s">
        <v>42</v>
      </c>
      <c r="B6822" t="s">
        <v>39</v>
      </c>
      <c r="C6822" t="s">
        <v>37</v>
      </c>
      <c r="D6822" t="s">
        <v>34</v>
      </c>
      <c r="E6822" t="s">
        <v>26</v>
      </c>
      <c r="F6822" t="s">
        <v>15</v>
      </c>
      <c r="G6822" s="1" t="str">
        <f t="shared" ref="G6822:M6826" si="1496">"..."</f>
        <v>...</v>
      </c>
      <c r="H6822" s="1" t="str">
        <f t="shared" si="1496"/>
        <v>...</v>
      </c>
      <c r="I6822" s="1" t="str">
        <f t="shared" si="1496"/>
        <v>...</v>
      </c>
      <c r="J6822" s="1" t="str">
        <f t="shared" si="1496"/>
        <v>...</v>
      </c>
      <c r="K6822" s="1" t="str">
        <f t="shared" si="1496"/>
        <v>...</v>
      </c>
      <c r="L6822" s="1" t="str">
        <f t="shared" si="1496"/>
        <v>...</v>
      </c>
      <c r="M6822" s="1" t="str">
        <f t="shared" si="1496"/>
        <v>...</v>
      </c>
      <c r="N6822" t="s">
        <v>30</v>
      </c>
    </row>
    <row r="6823" spans="1:14" x14ac:dyDescent="0.25">
      <c r="A6823" t="s">
        <v>42</v>
      </c>
      <c r="B6823" t="s">
        <v>39</v>
      </c>
      <c r="C6823" t="s">
        <v>37</v>
      </c>
      <c r="D6823" t="s">
        <v>34</v>
      </c>
      <c r="E6823" t="s">
        <v>26</v>
      </c>
      <c r="F6823" t="s">
        <v>17</v>
      </c>
      <c r="G6823" s="1" t="str">
        <f t="shared" si="1496"/>
        <v>...</v>
      </c>
      <c r="H6823" s="1" t="str">
        <f t="shared" si="1496"/>
        <v>...</v>
      </c>
      <c r="I6823" s="1" t="str">
        <f t="shared" si="1496"/>
        <v>...</v>
      </c>
      <c r="J6823" s="1" t="str">
        <f t="shared" si="1496"/>
        <v>...</v>
      </c>
      <c r="K6823" s="1" t="str">
        <f t="shared" si="1496"/>
        <v>...</v>
      </c>
      <c r="L6823" s="1" t="str">
        <f t="shared" si="1496"/>
        <v>...</v>
      </c>
      <c r="M6823" s="1" t="str">
        <f t="shared" si="1496"/>
        <v>...</v>
      </c>
      <c r="N6823" t="s">
        <v>30</v>
      </c>
    </row>
    <row r="6824" spans="1:14" x14ac:dyDescent="0.25">
      <c r="A6824" t="s">
        <v>42</v>
      </c>
      <c r="B6824" t="s">
        <v>39</v>
      </c>
      <c r="C6824" t="s">
        <v>37</v>
      </c>
      <c r="D6824" t="s">
        <v>34</v>
      </c>
      <c r="E6824" t="s">
        <v>26</v>
      </c>
      <c r="F6824" t="s">
        <v>18</v>
      </c>
      <c r="G6824" s="1" t="str">
        <f t="shared" si="1496"/>
        <v>...</v>
      </c>
      <c r="H6824" s="1" t="str">
        <f t="shared" si="1496"/>
        <v>...</v>
      </c>
      <c r="I6824" s="1" t="str">
        <f t="shared" si="1496"/>
        <v>...</v>
      </c>
      <c r="J6824" s="1" t="str">
        <f t="shared" si="1496"/>
        <v>...</v>
      </c>
      <c r="K6824" s="1" t="str">
        <f t="shared" si="1496"/>
        <v>...</v>
      </c>
      <c r="L6824" s="1" t="str">
        <f t="shared" si="1496"/>
        <v>...</v>
      </c>
      <c r="M6824" s="1" t="str">
        <f t="shared" si="1496"/>
        <v>...</v>
      </c>
      <c r="N6824" t="s">
        <v>30</v>
      </c>
    </row>
    <row r="6825" spans="1:14" x14ac:dyDescent="0.25">
      <c r="A6825" t="s">
        <v>42</v>
      </c>
      <c r="B6825" t="s">
        <v>39</v>
      </c>
      <c r="C6825" t="s">
        <v>37</v>
      </c>
      <c r="D6825" t="s">
        <v>34</v>
      </c>
      <c r="E6825" t="s">
        <v>26</v>
      </c>
      <c r="F6825" t="s">
        <v>19</v>
      </c>
      <c r="G6825" s="1" t="str">
        <f t="shared" si="1496"/>
        <v>...</v>
      </c>
      <c r="H6825" s="1" t="str">
        <f t="shared" si="1496"/>
        <v>...</v>
      </c>
      <c r="I6825" s="1" t="str">
        <f t="shared" si="1496"/>
        <v>...</v>
      </c>
      <c r="J6825" s="1" t="str">
        <f t="shared" si="1496"/>
        <v>...</v>
      </c>
      <c r="K6825" s="1" t="str">
        <f t="shared" si="1496"/>
        <v>...</v>
      </c>
      <c r="L6825" s="1" t="str">
        <f t="shared" si="1496"/>
        <v>...</v>
      </c>
      <c r="M6825" s="1" t="str">
        <f t="shared" si="1496"/>
        <v>...</v>
      </c>
      <c r="N6825" t="s">
        <v>30</v>
      </c>
    </row>
    <row r="6826" spans="1:14" x14ac:dyDescent="0.25">
      <c r="A6826" t="s">
        <v>42</v>
      </c>
      <c r="B6826" t="s">
        <v>39</v>
      </c>
      <c r="C6826" t="s">
        <v>37</v>
      </c>
      <c r="D6826" t="s">
        <v>34</v>
      </c>
      <c r="E6826" t="s">
        <v>26</v>
      </c>
      <c r="F6826" t="s">
        <v>20</v>
      </c>
      <c r="G6826" s="1" t="str">
        <f t="shared" si="1496"/>
        <v>...</v>
      </c>
      <c r="H6826" s="1" t="str">
        <f t="shared" si="1496"/>
        <v>...</v>
      </c>
      <c r="I6826" s="1" t="str">
        <f t="shared" si="1496"/>
        <v>...</v>
      </c>
      <c r="J6826" s="1" t="str">
        <f t="shared" si="1496"/>
        <v>...</v>
      </c>
      <c r="K6826" s="1" t="str">
        <f t="shared" si="1496"/>
        <v>...</v>
      </c>
      <c r="L6826" s="1" t="str">
        <f t="shared" si="1496"/>
        <v>...</v>
      </c>
      <c r="M6826" s="1" t="str">
        <f t="shared" si="1496"/>
        <v>...</v>
      </c>
      <c r="N6826" t="s">
        <v>30</v>
      </c>
    </row>
    <row r="6827" spans="1:14" x14ac:dyDescent="0.25">
      <c r="A6827" t="s">
        <v>42</v>
      </c>
      <c r="B6827" t="s">
        <v>39</v>
      </c>
      <c r="C6827" t="s">
        <v>38</v>
      </c>
      <c r="D6827" t="s">
        <v>15</v>
      </c>
      <c r="E6827" t="s">
        <v>15</v>
      </c>
      <c r="F6827" t="s">
        <v>15</v>
      </c>
      <c r="G6827" s="1">
        <f>VALUE(19576.68)</f>
        <v>19576.68</v>
      </c>
      <c r="H6827" s="1">
        <f>VALUE(19134.58)</f>
        <v>19134.580000000002</v>
      </c>
      <c r="I6827" s="1">
        <f>VALUE(3832)</f>
        <v>3832</v>
      </c>
      <c r="J6827" s="1">
        <f>VALUE(4777)</f>
        <v>4777</v>
      </c>
      <c r="K6827" s="1">
        <f>VALUE(6018)</f>
        <v>6018</v>
      </c>
      <c r="L6827" s="1">
        <f>VALUE(8125)</f>
        <v>8125</v>
      </c>
      <c r="M6827" s="1">
        <f>VALUE(12209)</f>
        <v>12209</v>
      </c>
      <c r="N6827" t="s">
        <v>16</v>
      </c>
    </row>
    <row r="6828" spans="1:14" x14ac:dyDescent="0.25">
      <c r="A6828" t="s">
        <v>42</v>
      </c>
      <c r="B6828" t="s">
        <v>39</v>
      </c>
      <c r="C6828" t="s">
        <v>38</v>
      </c>
      <c r="D6828" t="s">
        <v>15</v>
      </c>
      <c r="E6828" t="s">
        <v>15</v>
      </c>
      <c r="F6828" t="s">
        <v>17</v>
      </c>
      <c r="G6828" s="2">
        <f>VALUE(5411.47)</f>
        <v>5411.47</v>
      </c>
      <c r="H6828" s="3">
        <f>VALUE(5284.99)</f>
        <v>5284.99</v>
      </c>
      <c r="I6828" s="1">
        <f>VALUE(4200)</f>
        <v>4200</v>
      </c>
      <c r="J6828" s="5">
        <f>VALUE(6222)</f>
        <v>6222</v>
      </c>
      <c r="K6828" s="1">
        <f>VALUE(9941)</f>
        <v>9941</v>
      </c>
      <c r="L6828" s="1">
        <f>VALUE(13346)</f>
        <v>13346</v>
      </c>
      <c r="M6828" s="8">
        <f>VALUE(20540)</f>
        <v>20540</v>
      </c>
      <c r="N6828" t="s">
        <v>25</v>
      </c>
    </row>
    <row r="6829" spans="1:14" x14ac:dyDescent="0.25">
      <c r="A6829" t="s">
        <v>42</v>
      </c>
      <c r="B6829" t="s">
        <v>39</v>
      </c>
      <c r="C6829" t="s">
        <v>38</v>
      </c>
      <c r="D6829" t="s">
        <v>15</v>
      </c>
      <c r="E6829" t="s">
        <v>15</v>
      </c>
      <c r="F6829" t="s">
        <v>18</v>
      </c>
      <c r="G6829" s="2">
        <f>VALUE(1506.94)</f>
        <v>1506.94</v>
      </c>
      <c r="H6829" s="3">
        <f>VALUE(1423.66)</f>
        <v>1423.66</v>
      </c>
      <c r="I6829" s="4">
        <f>VALUE(4130)</f>
        <v>4130</v>
      </c>
      <c r="J6829" s="1">
        <f>VALUE(5288)</f>
        <v>5288</v>
      </c>
      <c r="K6829" s="1">
        <f>VALUE(6934)</f>
        <v>6934</v>
      </c>
      <c r="L6829" s="1">
        <f>VALUE(8913)</f>
        <v>8913</v>
      </c>
      <c r="M6829" s="1">
        <f>VALUE(10833)</f>
        <v>10833</v>
      </c>
      <c r="N6829" t="s">
        <v>25</v>
      </c>
    </row>
    <row r="6830" spans="1:14" x14ac:dyDescent="0.25">
      <c r="A6830" t="s">
        <v>42</v>
      </c>
      <c r="B6830" t="s">
        <v>39</v>
      </c>
      <c r="C6830" t="s">
        <v>38</v>
      </c>
      <c r="D6830" t="s">
        <v>15</v>
      </c>
      <c r="E6830" t="s">
        <v>15</v>
      </c>
      <c r="F6830" t="s">
        <v>19</v>
      </c>
      <c r="G6830" s="1">
        <f>VALUE(2254.04)</f>
        <v>2254.04</v>
      </c>
      <c r="H6830" s="1">
        <f>VALUE(2257.91)</f>
        <v>2257.91</v>
      </c>
      <c r="I6830" s="1">
        <f>VALUE(3924)</f>
        <v>3924</v>
      </c>
      <c r="J6830" s="1">
        <f>VALUE(5004)</f>
        <v>5004</v>
      </c>
      <c r="K6830" s="1">
        <f>VALUE(5829)</f>
        <v>5829</v>
      </c>
      <c r="L6830" s="1">
        <f>VALUE(7042)</f>
        <v>7042</v>
      </c>
      <c r="M6830" s="1">
        <f>VALUE(9111)</f>
        <v>9111</v>
      </c>
      <c r="N6830" t="s">
        <v>16</v>
      </c>
    </row>
    <row r="6831" spans="1:14" x14ac:dyDescent="0.25">
      <c r="A6831" t="s">
        <v>42</v>
      </c>
      <c r="B6831" t="s">
        <v>39</v>
      </c>
      <c r="C6831" t="s">
        <v>38</v>
      </c>
      <c r="D6831" t="s">
        <v>15</v>
      </c>
      <c r="E6831" t="s">
        <v>15</v>
      </c>
      <c r="F6831" t="s">
        <v>20</v>
      </c>
      <c r="G6831" s="1">
        <f>VALUE(10404.23)</f>
        <v>10404.23</v>
      </c>
      <c r="H6831" s="1">
        <f>VALUE(10168.02)</f>
        <v>10168.02</v>
      </c>
      <c r="I6831" s="1">
        <f>VALUE(3661)</f>
        <v>3661</v>
      </c>
      <c r="J6831" s="1">
        <f>VALUE(4478)</f>
        <v>4478</v>
      </c>
      <c r="K6831" s="1">
        <f>VALUE(5472)</f>
        <v>5472</v>
      </c>
      <c r="L6831" s="1">
        <f>VALUE(6494)</f>
        <v>6494</v>
      </c>
      <c r="M6831" s="1">
        <f>VALUE(7638)</f>
        <v>7638</v>
      </c>
      <c r="N6831" t="s">
        <v>16</v>
      </c>
    </row>
    <row r="6832" spans="1:14" x14ac:dyDescent="0.25">
      <c r="A6832" t="s">
        <v>42</v>
      </c>
      <c r="B6832" t="s">
        <v>39</v>
      </c>
      <c r="C6832" t="s">
        <v>38</v>
      </c>
      <c r="D6832" t="s">
        <v>15</v>
      </c>
      <c r="E6832" t="s">
        <v>21</v>
      </c>
      <c r="F6832" t="s">
        <v>15</v>
      </c>
      <c r="G6832" s="2">
        <f>VALUE(4273.12)</f>
        <v>4273.12</v>
      </c>
      <c r="H6832" s="3">
        <f>VALUE(3990.97)</f>
        <v>3990.97</v>
      </c>
      <c r="I6832" s="4">
        <f>VALUE(4991)</f>
        <v>4991</v>
      </c>
      <c r="J6832" s="1">
        <f>VALUE(7163)</f>
        <v>7163</v>
      </c>
      <c r="K6832" s="6">
        <f>VALUE(10152)</f>
        <v>10152</v>
      </c>
      <c r="L6832" s="7">
        <f>VALUE(13138)</f>
        <v>13138</v>
      </c>
      <c r="M6832" s="8">
        <f>VALUE(21277)</f>
        <v>21277</v>
      </c>
      <c r="N6832" t="s">
        <v>25</v>
      </c>
    </row>
    <row r="6833" spans="1:14" x14ac:dyDescent="0.25">
      <c r="A6833" t="s">
        <v>42</v>
      </c>
      <c r="B6833" t="s">
        <v>39</v>
      </c>
      <c r="C6833" t="s">
        <v>38</v>
      </c>
      <c r="D6833" t="s">
        <v>15</v>
      </c>
      <c r="E6833" t="s">
        <v>21</v>
      </c>
      <c r="F6833" t="s">
        <v>17</v>
      </c>
      <c r="G6833" s="2">
        <f>VALUE(2771.94)</f>
        <v>2771.94</v>
      </c>
      <c r="H6833" s="3">
        <f>VALUE(2680.35)</f>
        <v>2680.35</v>
      </c>
      <c r="I6833" s="4">
        <f>VALUE(5098)</f>
        <v>5098</v>
      </c>
      <c r="J6833" s="5">
        <f>VALUE(8159)</f>
        <v>8159</v>
      </c>
      <c r="K6833" s="6">
        <f>VALUE(11250)</f>
        <v>11250</v>
      </c>
      <c r="L6833" s="7">
        <f>VALUE(15170)</f>
        <v>15170</v>
      </c>
      <c r="M6833" s="8">
        <f>VALUE(23962)</f>
        <v>23962</v>
      </c>
      <c r="N6833" t="s">
        <v>24</v>
      </c>
    </row>
    <row r="6834" spans="1:14" x14ac:dyDescent="0.25">
      <c r="A6834" t="s">
        <v>42</v>
      </c>
      <c r="B6834" t="s">
        <v>39</v>
      </c>
      <c r="C6834" t="s">
        <v>38</v>
      </c>
      <c r="D6834" t="s">
        <v>15</v>
      </c>
      <c r="E6834" t="s">
        <v>21</v>
      </c>
      <c r="F6834" t="s">
        <v>18</v>
      </c>
      <c r="G6834" s="2">
        <f>VALUE(431.59)</f>
        <v>431.59</v>
      </c>
      <c r="H6834" s="3">
        <f>VALUE(385.78)</f>
        <v>385.78</v>
      </c>
      <c r="I6834" s="4">
        <f>VALUE(5229)</f>
        <v>5229</v>
      </c>
      <c r="J6834" s="5">
        <f>VALUE(7205)</f>
        <v>7205</v>
      </c>
      <c r="K6834" s="1">
        <f>VALUE(9150)</f>
        <v>9150</v>
      </c>
      <c r="L6834" s="7">
        <f>VALUE(10608)</f>
        <v>10608</v>
      </c>
      <c r="M6834" s="1">
        <f>VALUE(12000)</f>
        <v>12000</v>
      </c>
      <c r="N6834" t="s">
        <v>25</v>
      </c>
    </row>
    <row r="6835" spans="1:14" x14ac:dyDescent="0.25">
      <c r="A6835" t="s">
        <v>42</v>
      </c>
      <c r="B6835" t="s">
        <v>39</v>
      </c>
      <c r="C6835" t="s">
        <v>38</v>
      </c>
      <c r="D6835" t="s">
        <v>15</v>
      </c>
      <c r="E6835" t="s">
        <v>21</v>
      </c>
      <c r="F6835" t="s">
        <v>19</v>
      </c>
      <c r="G6835" s="2">
        <f>VALUE(343.42)</f>
        <v>343.42</v>
      </c>
      <c r="H6835" s="3">
        <f>VALUE(323.62)</f>
        <v>323.62</v>
      </c>
      <c r="I6835" s="4">
        <f>VALUE(4730)</f>
        <v>4730</v>
      </c>
      <c r="J6835" s="1">
        <f>VALUE(6405)</f>
        <v>6405</v>
      </c>
      <c r="K6835" s="1">
        <f>VALUE(8027)</f>
        <v>8027</v>
      </c>
      <c r="L6835" s="7">
        <f>VALUE(9687)</f>
        <v>9687</v>
      </c>
      <c r="M6835" s="8">
        <f>VALUE(12889)</f>
        <v>12889</v>
      </c>
      <c r="N6835" t="s">
        <v>25</v>
      </c>
    </row>
    <row r="6836" spans="1:14" x14ac:dyDescent="0.25">
      <c r="A6836" t="s">
        <v>42</v>
      </c>
      <c r="B6836" t="s">
        <v>39</v>
      </c>
      <c r="C6836" t="s">
        <v>38</v>
      </c>
      <c r="D6836" t="s">
        <v>15</v>
      </c>
      <c r="E6836" t="s">
        <v>21</v>
      </c>
      <c r="F6836" t="s">
        <v>20</v>
      </c>
      <c r="G6836" s="2">
        <f>VALUE(726.17)</f>
        <v>726.17</v>
      </c>
      <c r="H6836" s="3">
        <f>VALUE(601.22)</f>
        <v>601.22</v>
      </c>
      <c r="I6836" s="1">
        <f>VALUE(4570)</f>
        <v>4570</v>
      </c>
      <c r="J6836" s="5">
        <f>VALUE(5632)</f>
        <v>5632</v>
      </c>
      <c r="K6836" s="1">
        <f>VALUE(7662)</f>
        <v>7662</v>
      </c>
      <c r="L6836" s="1">
        <f>VALUE(8974)</f>
        <v>8974</v>
      </c>
      <c r="M6836" s="8">
        <f>VALUE(12306)</f>
        <v>12306</v>
      </c>
      <c r="N6836" t="s">
        <v>25</v>
      </c>
    </row>
    <row r="6837" spans="1:14" x14ac:dyDescent="0.25">
      <c r="A6837" t="s">
        <v>42</v>
      </c>
      <c r="B6837" t="s">
        <v>39</v>
      </c>
      <c r="C6837" t="s">
        <v>38</v>
      </c>
      <c r="D6837" t="s">
        <v>15</v>
      </c>
      <c r="E6837" t="s">
        <v>22</v>
      </c>
      <c r="F6837" t="s">
        <v>15</v>
      </c>
      <c r="G6837" s="1">
        <f>VALUE(8213.93)</f>
        <v>8213.93</v>
      </c>
      <c r="H6837" s="1">
        <f>VALUE(8082.33)</f>
        <v>8082.33</v>
      </c>
      <c r="I6837" s="1">
        <f>VALUE(4181)</f>
        <v>4181</v>
      </c>
      <c r="J6837" s="1">
        <f>VALUE(5198)</f>
        <v>5198</v>
      </c>
      <c r="K6837" s="1">
        <f>VALUE(6322)</f>
        <v>6322</v>
      </c>
      <c r="L6837" s="1">
        <f>VALUE(7751)</f>
        <v>7751</v>
      </c>
      <c r="M6837" s="8">
        <f>VALUE(10441)</f>
        <v>10441</v>
      </c>
      <c r="N6837" t="s">
        <v>25</v>
      </c>
    </row>
    <row r="6838" spans="1:14" x14ac:dyDescent="0.25">
      <c r="A6838" t="s">
        <v>42</v>
      </c>
      <c r="B6838" t="s">
        <v>39</v>
      </c>
      <c r="C6838" t="s">
        <v>38</v>
      </c>
      <c r="D6838" t="s">
        <v>15</v>
      </c>
      <c r="E6838" t="s">
        <v>22</v>
      </c>
      <c r="F6838" t="s">
        <v>17</v>
      </c>
      <c r="G6838" s="2">
        <f>VALUE(1978.64)</f>
        <v>1978.64</v>
      </c>
      <c r="H6838" s="3">
        <f>VALUE(1959.51)</f>
        <v>1959.51</v>
      </c>
      <c r="I6838" s="4">
        <f>VALUE(3842)</f>
        <v>3842</v>
      </c>
      <c r="J6838" s="5">
        <f>VALUE(6118)</f>
        <v>6118</v>
      </c>
      <c r="K6838" s="1">
        <f>VALUE(8689)</f>
        <v>8689</v>
      </c>
      <c r="L6838" s="1">
        <f>VALUE(12115)</f>
        <v>12115</v>
      </c>
      <c r="M6838" s="1">
        <f>VALUE(18238)</f>
        <v>18238</v>
      </c>
      <c r="N6838" t="s">
        <v>25</v>
      </c>
    </row>
    <row r="6839" spans="1:14" x14ac:dyDescent="0.25">
      <c r="A6839" t="s">
        <v>42</v>
      </c>
      <c r="B6839" t="s">
        <v>39</v>
      </c>
      <c r="C6839" t="s">
        <v>38</v>
      </c>
      <c r="D6839" t="s">
        <v>15</v>
      </c>
      <c r="E6839" t="s">
        <v>22</v>
      </c>
      <c r="F6839" t="s">
        <v>18</v>
      </c>
      <c r="G6839" s="2">
        <f>VALUE(744.33)</f>
        <v>744.33</v>
      </c>
      <c r="H6839" s="3">
        <f>VALUE(706.39)</f>
        <v>706.39</v>
      </c>
      <c r="I6839" s="4">
        <f>VALUE(4713)</f>
        <v>4713</v>
      </c>
      <c r="J6839" s="1">
        <f>VALUE(5466)</f>
        <v>5466</v>
      </c>
      <c r="K6839" s="1">
        <f>VALUE(6845)</f>
        <v>6845</v>
      </c>
      <c r="L6839" s="1">
        <f>VALUE(8442)</f>
        <v>8442</v>
      </c>
      <c r="M6839" s="1">
        <f>VALUE(10204)</f>
        <v>10204</v>
      </c>
      <c r="N6839" t="s">
        <v>25</v>
      </c>
    </row>
    <row r="6840" spans="1:14" x14ac:dyDescent="0.25">
      <c r="A6840" t="s">
        <v>42</v>
      </c>
      <c r="B6840" t="s">
        <v>39</v>
      </c>
      <c r="C6840" t="s">
        <v>38</v>
      </c>
      <c r="D6840" t="s">
        <v>15</v>
      </c>
      <c r="E6840" t="s">
        <v>22</v>
      </c>
      <c r="F6840" t="s">
        <v>19</v>
      </c>
      <c r="G6840" s="2">
        <f>VALUE(1124.65)</f>
        <v>1124.6500000000001</v>
      </c>
      <c r="H6840" s="3">
        <f>VALUE(1126.07)</f>
        <v>1126.07</v>
      </c>
      <c r="I6840" s="4">
        <f>VALUE(4290)</f>
        <v>4290</v>
      </c>
      <c r="J6840" s="1">
        <f>VALUE(5337)</f>
        <v>5337</v>
      </c>
      <c r="K6840" s="1">
        <f>VALUE(5938)</f>
        <v>5938</v>
      </c>
      <c r="L6840" s="1">
        <f>VALUE(7004)</f>
        <v>7004</v>
      </c>
      <c r="M6840" s="8">
        <f>VALUE(8188)</f>
        <v>8188</v>
      </c>
      <c r="N6840" t="s">
        <v>25</v>
      </c>
    </row>
    <row r="6841" spans="1:14" x14ac:dyDescent="0.25">
      <c r="A6841" t="s">
        <v>42</v>
      </c>
      <c r="B6841" t="s">
        <v>39</v>
      </c>
      <c r="C6841" t="s">
        <v>38</v>
      </c>
      <c r="D6841" t="s">
        <v>15</v>
      </c>
      <c r="E6841" t="s">
        <v>22</v>
      </c>
      <c r="F6841" t="s">
        <v>20</v>
      </c>
      <c r="G6841" s="1">
        <f>VALUE(4366.31)</f>
        <v>4366.3100000000004</v>
      </c>
      <c r="H6841" s="1">
        <f>VALUE(4290.36)</f>
        <v>4290.3599999999997</v>
      </c>
      <c r="I6841" s="1">
        <f>VALUE(4181)</f>
        <v>4181</v>
      </c>
      <c r="J6841" s="1">
        <f>VALUE(4956)</f>
        <v>4956</v>
      </c>
      <c r="K6841" s="1">
        <f>VALUE(5952)</f>
        <v>5952</v>
      </c>
      <c r="L6841" s="7">
        <f>VALUE(6894)</f>
        <v>6894</v>
      </c>
      <c r="M6841" s="1">
        <f>VALUE(7795)</f>
        <v>7795</v>
      </c>
      <c r="N6841" t="s">
        <v>25</v>
      </c>
    </row>
    <row r="6842" spans="1:14" x14ac:dyDescent="0.25">
      <c r="A6842" t="s">
        <v>42</v>
      </c>
      <c r="B6842" t="s">
        <v>39</v>
      </c>
      <c r="C6842" t="s">
        <v>38</v>
      </c>
      <c r="D6842" t="s">
        <v>15</v>
      </c>
      <c r="E6842" t="s">
        <v>23</v>
      </c>
      <c r="F6842" t="s">
        <v>15</v>
      </c>
      <c r="G6842" s="1">
        <f>VALUE(6567.78)</f>
        <v>6567.78</v>
      </c>
      <c r="H6842" s="1">
        <f>VALUE(6532.74)</f>
        <v>6532.74</v>
      </c>
      <c r="I6842" s="1">
        <f>VALUE(3613)</f>
        <v>3613</v>
      </c>
      <c r="J6842" s="1">
        <f>VALUE(4236)</f>
        <v>4236</v>
      </c>
      <c r="K6842" s="1">
        <f>VALUE(5053)</f>
        <v>5053</v>
      </c>
      <c r="L6842" s="1">
        <f>VALUE(5937)</f>
        <v>5937</v>
      </c>
      <c r="M6842" s="1">
        <f>VALUE(6895)</f>
        <v>6895</v>
      </c>
      <c r="N6842" t="s">
        <v>16</v>
      </c>
    </row>
    <row r="6843" spans="1:14" x14ac:dyDescent="0.25">
      <c r="A6843" t="s">
        <v>42</v>
      </c>
      <c r="B6843" t="s">
        <v>39</v>
      </c>
      <c r="C6843" t="s">
        <v>38</v>
      </c>
      <c r="D6843" t="s">
        <v>15</v>
      </c>
      <c r="E6843" t="s">
        <v>23</v>
      </c>
      <c r="F6843" t="s">
        <v>17</v>
      </c>
      <c r="G6843" s="2">
        <f>VALUE(487.45)</f>
        <v>487.45</v>
      </c>
      <c r="H6843" s="3">
        <f>VALUE(472.88)</f>
        <v>472.88</v>
      </c>
      <c r="I6843" s="4">
        <f>VALUE(3832)</f>
        <v>3832</v>
      </c>
      <c r="J6843" s="5">
        <f>VALUE(4410)</f>
        <v>4410</v>
      </c>
      <c r="K6843" s="6">
        <f>VALUE(5933)</f>
        <v>5933</v>
      </c>
      <c r="L6843" s="7">
        <f>VALUE(7654)</f>
        <v>7654</v>
      </c>
      <c r="M6843" s="1">
        <f>VALUE(12036)</f>
        <v>12036</v>
      </c>
      <c r="N6843" t="s">
        <v>25</v>
      </c>
    </row>
    <row r="6844" spans="1:14" x14ac:dyDescent="0.25">
      <c r="A6844" t="s">
        <v>42</v>
      </c>
      <c r="B6844" t="s">
        <v>39</v>
      </c>
      <c r="C6844" t="s">
        <v>38</v>
      </c>
      <c r="D6844" t="s">
        <v>15</v>
      </c>
      <c r="E6844" t="s">
        <v>23</v>
      </c>
      <c r="F6844" t="s">
        <v>18</v>
      </c>
      <c r="G6844" s="2">
        <f>VALUE(324.6)</f>
        <v>324.60000000000002</v>
      </c>
      <c r="H6844" s="3">
        <f>VALUE(324.78)</f>
        <v>324.77999999999997</v>
      </c>
      <c r="I6844" s="4">
        <f>VALUE(3810)</f>
        <v>3810</v>
      </c>
      <c r="J6844" s="1">
        <f>VALUE(4199)</f>
        <v>4199</v>
      </c>
      <c r="K6844" s="1">
        <f>VALUE(5455)</f>
        <v>5455</v>
      </c>
      <c r="L6844" s="7">
        <f>VALUE(6608)</f>
        <v>6608</v>
      </c>
      <c r="M6844" s="1">
        <f>VALUE(8162)</f>
        <v>8162</v>
      </c>
      <c r="N6844" t="s">
        <v>25</v>
      </c>
    </row>
    <row r="6845" spans="1:14" x14ac:dyDescent="0.25">
      <c r="A6845" t="s">
        <v>42</v>
      </c>
      <c r="B6845" t="s">
        <v>39</v>
      </c>
      <c r="C6845" t="s">
        <v>38</v>
      </c>
      <c r="D6845" t="s">
        <v>15</v>
      </c>
      <c r="E6845" t="s">
        <v>23</v>
      </c>
      <c r="F6845" t="s">
        <v>19</v>
      </c>
      <c r="G6845" s="2">
        <f>VALUE(764.8)</f>
        <v>764.8</v>
      </c>
      <c r="H6845" s="3">
        <f>VALUE(786.97)</f>
        <v>786.97</v>
      </c>
      <c r="I6845" s="1">
        <f>VALUE(3806)</f>
        <v>3806</v>
      </c>
      <c r="J6845" s="1">
        <f>VALUE(4404)</f>
        <v>4404</v>
      </c>
      <c r="K6845" s="1">
        <f>VALUE(5426)</f>
        <v>5426</v>
      </c>
      <c r="L6845" s="1">
        <f>VALUE(6275)</f>
        <v>6275</v>
      </c>
      <c r="M6845" s="1">
        <f>VALUE(7286)</f>
        <v>7286</v>
      </c>
      <c r="N6845" t="s">
        <v>25</v>
      </c>
    </row>
    <row r="6846" spans="1:14" x14ac:dyDescent="0.25">
      <c r="A6846" t="s">
        <v>42</v>
      </c>
      <c r="B6846" t="s">
        <v>39</v>
      </c>
      <c r="C6846" t="s">
        <v>38</v>
      </c>
      <c r="D6846" t="s">
        <v>15</v>
      </c>
      <c r="E6846" t="s">
        <v>23</v>
      </c>
      <c r="F6846" t="s">
        <v>20</v>
      </c>
      <c r="G6846" s="1">
        <f>VALUE(4990.93)</f>
        <v>4990.93</v>
      </c>
      <c r="H6846" s="1">
        <f>VALUE(4948.11)</f>
        <v>4948.1099999999997</v>
      </c>
      <c r="I6846" s="1">
        <f>VALUE(3608)</f>
        <v>3608</v>
      </c>
      <c r="J6846" s="1">
        <f>VALUE(4181)</f>
        <v>4181</v>
      </c>
      <c r="K6846" s="1">
        <f>VALUE(5004)</f>
        <v>5004</v>
      </c>
      <c r="L6846" s="1">
        <f>VALUE(5837)</f>
        <v>5837</v>
      </c>
      <c r="M6846" s="1">
        <f>VALUE(6594)</f>
        <v>6594</v>
      </c>
      <c r="N6846" t="s">
        <v>16</v>
      </c>
    </row>
    <row r="6847" spans="1:14" x14ac:dyDescent="0.25">
      <c r="A6847" t="s">
        <v>42</v>
      </c>
      <c r="B6847" t="s">
        <v>39</v>
      </c>
      <c r="C6847" t="s">
        <v>38</v>
      </c>
      <c r="D6847" t="s">
        <v>15</v>
      </c>
      <c r="E6847" t="s">
        <v>26</v>
      </c>
      <c r="F6847" t="s">
        <v>15</v>
      </c>
      <c r="G6847" s="2">
        <f>VALUE(521.85)</f>
        <v>521.85</v>
      </c>
      <c r="H6847" s="3">
        <f>VALUE(528.54)</f>
        <v>528.54</v>
      </c>
      <c r="I6847" s="4">
        <f>VALUE(3135)</f>
        <v>3135</v>
      </c>
      <c r="J6847" s="5">
        <f>VALUE(3556)</f>
        <v>3556</v>
      </c>
      <c r="K6847" s="6">
        <f>VALUE(4746)</f>
        <v>4746</v>
      </c>
      <c r="L6847" s="7">
        <f>VALUE(6660)</f>
        <v>6660</v>
      </c>
      <c r="M6847" s="8">
        <f>VALUE(10833)</f>
        <v>10833</v>
      </c>
      <c r="N6847" t="s">
        <v>24</v>
      </c>
    </row>
    <row r="6848" spans="1:14" x14ac:dyDescent="0.25">
      <c r="A6848" t="s">
        <v>42</v>
      </c>
      <c r="B6848" t="s">
        <v>39</v>
      </c>
      <c r="C6848" t="s">
        <v>38</v>
      </c>
      <c r="D6848" t="s">
        <v>15</v>
      </c>
      <c r="E6848" t="s">
        <v>26</v>
      </c>
      <c r="F6848" t="s">
        <v>17</v>
      </c>
      <c r="G6848" s="1" t="str">
        <f t="shared" ref="G6848:M6850" si="1497">"X"</f>
        <v>X</v>
      </c>
      <c r="H6848" s="1" t="str">
        <f t="shared" si="1497"/>
        <v>X</v>
      </c>
      <c r="I6848" s="1" t="str">
        <f t="shared" si="1497"/>
        <v>X</v>
      </c>
      <c r="J6848" s="1" t="str">
        <f t="shared" si="1497"/>
        <v>X</v>
      </c>
      <c r="K6848" s="1" t="str">
        <f t="shared" si="1497"/>
        <v>X</v>
      </c>
      <c r="L6848" s="1" t="str">
        <f t="shared" si="1497"/>
        <v>X</v>
      </c>
      <c r="M6848" s="1" t="str">
        <f t="shared" si="1497"/>
        <v>X</v>
      </c>
      <c r="N6848" t="s">
        <v>27</v>
      </c>
    </row>
    <row r="6849" spans="1:14" x14ac:dyDescent="0.25">
      <c r="A6849" t="s">
        <v>42</v>
      </c>
      <c r="B6849" t="s">
        <v>39</v>
      </c>
      <c r="C6849" t="s">
        <v>38</v>
      </c>
      <c r="D6849" t="s">
        <v>15</v>
      </c>
      <c r="E6849" t="s">
        <v>26</v>
      </c>
      <c r="F6849" t="s">
        <v>18</v>
      </c>
      <c r="G6849" s="1" t="str">
        <f t="shared" si="1497"/>
        <v>X</v>
      </c>
      <c r="H6849" s="1" t="str">
        <f t="shared" si="1497"/>
        <v>X</v>
      </c>
      <c r="I6849" s="1" t="str">
        <f t="shared" si="1497"/>
        <v>X</v>
      </c>
      <c r="J6849" s="1" t="str">
        <f t="shared" si="1497"/>
        <v>X</v>
      </c>
      <c r="K6849" s="1" t="str">
        <f t="shared" si="1497"/>
        <v>X</v>
      </c>
      <c r="L6849" s="1" t="str">
        <f t="shared" si="1497"/>
        <v>X</v>
      </c>
      <c r="M6849" s="1" t="str">
        <f t="shared" si="1497"/>
        <v>X</v>
      </c>
      <c r="N6849" t="s">
        <v>27</v>
      </c>
    </row>
    <row r="6850" spans="1:14" x14ac:dyDescent="0.25">
      <c r="A6850" t="s">
        <v>42</v>
      </c>
      <c r="B6850" t="s">
        <v>39</v>
      </c>
      <c r="C6850" t="s">
        <v>38</v>
      </c>
      <c r="D6850" t="s">
        <v>15</v>
      </c>
      <c r="E6850" t="s">
        <v>26</v>
      </c>
      <c r="F6850" t="s">
        <v>19</v>
      </c>
      <c r="G6850" s="1" t="str">
        <f t="shared" si="1497"/>
        <v>X</v>
      </c>
      <c r="H6850" s="1" t="str">
        <f t="shared" si="1497"/>
        <v>X</v>
      </c>
      <c r="I6850" s="1" t="str">
        <f t="shared" si="1497"/>
        <v>X</v>
      </c>
      <c r="J6850" s="1" t="str">
        <f t="shared" si="1497"/>
        <v>X</v>
      </c>
      <c r="K6850" s="1" t="str">
        <f t="shared" si="1497"/>
        <v>X</v>
      </c>
      <c r="L6850" s="1" t="str">
        <f t="shared" si="1497"/>
        <v>X</v>
      </c>
      <c r="M6850" s="1" t="str">
        <f t="shared" si="1497"/>
        <v>X</v>
      </c>
      <c r="N6850" t="s">
        <v>27</v>
      </c>
    </row>
    <row r="6851" spans="1:14" x14ac:dyDescent="0.25">
      <c r="A6851" t="s">
        <v>42</v>
      </c>
      <c r="B6851" t="s">
        <v>39</v>
      </c>
      <c r="C6851" t="s">
        <v>38</v>
      </c>
      <c r="D6851" t="s">
        <v>15</v>
      </c>
      <c r="E6851" t="s">
        <v>26</v>
      </c>
      <c r="F6851" t="s">
        <v>20</v>
      </c>
      <c r="G6851" s="2">
        <f>VALUE(320.82)</f>
        <v>320.82</v>
      </c>
      <c r="H6851" s="3">
        <f>VALUE(328.33)</f>
        <v>328.33</v>
      </c>
      <c r="I6851" s="4">
        <f>VALUE(3099)</f>
        <v>3099</v>
      </c>
      <c r="J6851" s="1">
        <f>VALUE(3478)</f>
        <v>3478</v>
      </c>
      <c r="K6851" s="6">
        <f>VALUE(4746)</f>
        <v>4746</v>
      </c>
      <c r="L6851" s="1">
        <f>VALUE(6207)</f>
        <v>6207</v>
      </c>
      <c r="M6851" s="1">
        <f>VALUE(8310)</f>
        <v>8310</v>
      </c>
      <c r="N6851" t="s">
        <v>25</v>
      </c>
    </row>
    <row r="6852" spans="1:14" x14ac:dyDescent="0.25">
      <c r="A6852" t="s">
        <v>42</v>
      </c>
      <c r="B6852" t="s">
        <v>39</v>
      </c>
      <c r="C6852" t="s">
        <v>38</v>
      </c>
      <c r="D6852" t="s">
        <v>28</v>
      </c>
      <c r="E6852" t="s">
        <v>15</v>
      </c>
      <c r="F6852" t="s">
        <v>15</v>
      </c>
      <c r="G6852" s="1">
        <f>VALUE(9111.43)</f>
        <v>9111.43</v>
      </c>
      <c r="H6852" s="1">
        <f>VALUE(8710.36)</f>
        <v>8710.36</v>
      </c>
      <c r="I6852" s="1">
        <f>VALUE(4236)</f>
        <v>4236</v>
      </c>
      <c r="J6852" s="1">
        <f>VALUE(5489)</f>
        <v>5489</v>
      </c>
      <c r="K6852" s="1">
        <f>VALUE(6903)</f>
        <v>6903</v>
      </c>
      <c r="L6852" s="1">
        <f>VALUE(9705)</f>
        <v>9705</v>
      </c>
      <c r="M6852" s="1">
        <f>VALUE(14308)</f>
        <v>14308</v>
      </c>
      <c r="N6852" t="s">
        <v>16</v>
      </c>
    </row>
    <row r="6853" spans="1:14" x14ac:dyDescent="0.25">
      <c r="A6853" t="s">
        <v>42</v>
      </c>
      <c r="B6853" t="s">
        <v>39</v>
      </c>
      <c r="C6853" t="s">
        <v>38</v>
      </c>
      <c r="D6853" t="s">
        <v>28</v>
      </c>
      <c r="E6853" t="s">
        <v>15</v>
      </c>
      <c r="F6853" t="s">
        <v>17</v>
      </c>
      <c r="G6853" s="1">
        <f>VALUE(3401.69)</f>
        <v>3401.69</v>
      </c>
      <c r="H6853" s="1">
        <f>VALUE(3315.43)</f>
        <v>3315.43</v>
      </c>
      <c r="I6853" s="4">
        <f>VALUE(4278)</f>
        <v>4278</v>
      </c>
      <c r="J6853" s="1">
        <f>VALUE(6646)</f>
        <v>6646</v>
      </c>
      <c r="K6853" s="1">
        <f>VALUE(9941)</f>
        <v>9941</v>
      </c>
      <c r="L6853" s="1">
        <f>VALUE(14050)</f>
        <v>14050</v>
      </c>
      <c r="M6853" s="1">
        <f>VALUE(20392)</f>
        <v>20392</v>
      </c>
      <c r="N6853" t="s">
        <v>25</v>
      </c>
    </row>
    <row r="6854" spans="1:14" x14ac:dyDescent="0.25">
      <c r="A6854" t="s">
        <v>42</v>
      </c>
      <c r="B6854" t="s">
        <v>39</v>
      </c>
      <c r="C6854" t="s">
        <v>38</v>
      </c>
      <c r="D6854" t="s">
        <v>28</v>
      </c>
      <c r="E6854" t="s">
        <v>15</v>
      </c>
      <c r="F6854" t="s">
        <v>18</v>
      </c>
      <c r="G6854" s="2">
        <f>VALUE(779.69)</f>
        <v>779.69</v>
      </c>
      <c r="H6854" s="3">
        <f>VALUE(715.85)</f>
        <v>715.85</v>
      </c>
      <c r="I6854" s="4">
        <f>VALUE(4000)</f>
        <v>4000</v>
      </c>
      <c r="J6854" s="5">
        <f>VALUE(5455)</f>
        <v>5455</v>
      </c>
      <c r="K6854" s="1">
        <f>VALUE(7622)</f>
        <v>7622</v>
      </c>
      <c r="L6854" s="1">
        <f>VALUE(9446)</f>
        <v>9446</v>
      </c>
      <c r="M6854" s="1">
        <f>VALUE(11836)</f>
        <v>11836</v>
      </c>
      <c r="N6854" t="s">
        <v>25</v>
      </c>
    </row>
    <row r="6855" spans="1:14" x14ac:dyDescent="0.25">
      <c r="A6855" t="s">
        <v>42</v>
      </c>
      <c r="B6855" t="s">
        <v>39</v>
      </c>
      <c r="C6855" t="s">
        <v>38</v>
      </c>
      <c r="D6855" t="s">
        <v>28</v>
      </c>
      <c r="E6855" t="s">
        <v>15</v>
      </c>
      <c r="F6855" t="s">
        <v>19</v>
      </c>
      <c r="G6855" s="2">
        <f>VALUE(868.18)</f>
        <v>868.18</v>
      </c>
      <c r="H6855" s="3">
        <f>VALUE(838.72)</f>
        <v>838.72</v>
      </c>
      <c r="I6855" s="4">
        <f>VALUE(4404)</f>
        <v>4404</v>
      </c>
      <c r="J6855" s="1">
        <f>VALUE(5425)</f>
        <v>5425</v>
      </c>
      <c r="K6855" s="1">
        <f>VALUE(6449)</f>
        <v>6449</v>
      </c>
      <c r="L6855" s="1">
        <f>VALUE(7722)</f>
        <v>7722</v>
      </c>
      <c r="M6855" s="1">
        <f>VALUE(10023)</f>
        <v>10023</v>
      </c>
      <c r="N6855" t="s">
        <v>25</v>
      </c>
    </row>
    <row r="6856" spans="1:14" x14ac:dyDescent="0.25">
      <c r="A6856" t="s">
        <v>42</v>
      </c>
      <c r="B6856" t="s">
        <v>39</v>
      </c>
      <c r="C6856" t="s">
        <v>38</v>
      </c>
      <c r="D6856" t="s">
        <v>28</v>
      </c>
      <c r="E6856" t="s">
        <v>15</v>
      </c>
      <c r="F6856" t="s">
        <v>20</v>
      </c>
      <c r="G6856" s="1">
        <f>VALUE(4061.87)</f>
        <v>4061.87</v>
      </c>
      <c r="H6856" s="1">
        <f>VALUE(3840.36)</f>
        <v>3840.36</v>
      </c>
      <c r="I6856" s="4">
        <f>VALUE(4273)</f>
        <v>4273</v>
      </c>
      <c r="J6856" s="5">
        <f>VALUE(5221)</f>
        <v>5221</v>
      </c>
      <c r="K6856" s="1">
        <f>VALUE(6260)</f>
        <v>6260</v>
      </c>
      <c r="L6856" s="1">
        <f>VALUE(7304)</f>
        <v>7304</v>
      </c>
      <c r="M6856" s="1">
        <f>VALUE(8584)</f>
        <v>8584</v>
      </c>
      <c r="N6856" t="s">
        <v>25</v>
      </c>
    </row>
    <row r="6857" spans="1:14" x14ac:dyDescent="0.25">
      <c r="A6857" t="s">
        <v>42</v>
      </c>
      <c r="B6857" t="s">
        <v>39</v>
      </c>
      <c r="C6857" t="s">
        <v>38</v>
      </c>
      <c r="D6857" t="s">
        <v>28</v>
      </c>
      <c r="E6857" t="s">
        <v>21</v>
      </c>
      <c r="F6857" t="s">
        <v>15</v>
      </c>
      <c r="G6857" s="1">
        <f>VALUE(2606.89)</f>
        <v>2606.89</v>
      </c>
      <c r="H6857" s="1">
        <f>VALUE(2414.39)</f>
        <v>2414.39</v>
      </c>
      <c r="I6857" s="4">
        <f>VALUE(5200)</f>
        <v>5200</v>
      </c>
      <c r="J6857" s="1">
        <f>VALUE(7837)</f>
        <v>7837</v>
      </c>
      <c r="K6857" s="1">
        <f>VALUE(10212)</f>
        <v>10212</v>
      </c>
      <c r="L6857" s="1">
        <f>VALUE(14195)</f>
        <v>14195</v>
      </c>
      <c r="M6857" s="8">
        <f>VALUE(21277)</f>
        <v>21277</v>
      </c>
      <c r="N6857" t="s">
        <v>25</v>
      </c>
    </row>
    <row r="6858" spans="1:14" x14ac:dyDescent="0.25">
      <c r="A6858" t="s">
        <v>42</v>
      </c>
      <c r="B6858" t="s">
        <v>39</v>
      </c>
      <c r="C6858" t="s">
        <v>38</v>
      </c>
      <c r="D6858" t="s">
        <v>28</v>
      </c>
      <c r="E6858" t="s">
        <v>21</v>
      </c>
      <c r="F6858" t="s">
        <v>17</v>
      </c>
      <c r="G6858" s="2">
        <f>VALUE(1747.89)</f>
        <v>1747.89</v>
      </c>
      <c r="H6858" s="3">
        <f>VALUE(1687.15)</f>
        <v>1687.15</v>
      </c>
      <c r="I6858" s="4">
        <f>VALUE(5098)</f>
        <v>5098</v>
      </c>
      <c r="J6858" s="5">
        <f>VALUE(8157)</f>
        <v>8157</v>
      </c>
      <c r="K6858" s="1">
        <f>VALUE(11768)</f>
        <v>11768</v>
      </c>
      <c r="L6858" s="1">
        <f>VALUE(15271)</f>
        <v>15271</v>
      </c>
      <c r="M6858" s="8">
        <f>VALUE(23677)</f>
        <v>23677</v>
      </c>
      <c r="N6858" t="s">
        <v>25</v>
      </c>
    </row>
    <row r="6859" spans="1:14" x14ac:dyDescent="0.25">
      <c r="A6859" t="s">
        <v>42</v>
      </c>
      <c r="B6859" t="s">
        <v>39</v>
      </c>
      <c r="C6859" t="s">
        <v>38</v>
      </c>
      <c r="D6859" t="s">
        <v>28</v>
      </c>
      <c r="E6859" t="s">
        <v>21</v>
      </c>
      <c r="F6859" t="s">
        <v>18</v>
      </c>
      <c r="G6859" s="2">
        <f>VALUE(247.54)</f>
        <v>247.54</v>
      </c>
      <c r="H6859" s="3">
        <f>VALUE(216.19)</f>
        <v>216.19</v>
      </c>
      <c r="I6859" s="4">
        <f>VALUE(5285)</f>
        <v>5285</v>
      </c>
      <c r="J6859" s="1">
        <f>VALUE(7993)</f>
        <v>7993</v>
      </c>
      <c r="K6859" s="1">
        <f>VALUE(9860)</f>
        <v>9860</v>
      </c>
      <c r="L6859" s="7">
        <f>VALUE(11836)</f>
        <v>11836</v>
      </c>
      <c r="M6859" s="1">
        <f>VALUE(12000)</f>
        <v>12000</v>
      </c>
      <c r="N6859" t="s">
        <v>25</v>
      </c>
    </row>
    <row r="6860" spans="1:14" x14ac:dyDescent="0.25">
      <c r="A6860" t="s">
        <v>42</v>
      </c>
      <c r="B6860" t="s">
        <v>39</v>
      </c>
      <c r="C6860" t="s">
        <v>38</v>
      </c>
      <c r="D6860" t="s">
        <v>28</v>
      </c>
      <c r="E6860" t="s">
        <v>21</v>
      </c>
      <c r="F6860" t="s">
        <v>19</v>
      </c>
      <c r="G6860" s="2">
        <f>VALUE(179.28)</f>
        <v>179.28</v>
      </c>
      <c r="H6860" s="3">
        <f>VALUE(163.82)</f>
        <v>163.82</v>
      </c>
      <c r="I6860" s="4">
        <f>VALUE(6162)</f>
        <v>6162</v>
      </c>
      <c r="J6860" s="1">
        <f>VALUE(7242)</f>
        <v>7242</v>
      </c>
      <c r="K6860" s="6">
        <f>VALUE(8516)</f>
        <v>8516</v>
      </c>
      <c r="L6860" s="7">
        <f>VALUE(10486)</f>
        <v>10486</v>
      </c>
      <c r="M6860" s="8">
        <f>VALUE(13334)</f>
        <v>13334</v>
      </c>
      <c r="N6860" t="s">
        <v>25</v>
      </c>
    </row>
    <row r="6861" spans="1:14" x14ac:dyDescent="0.25">
      <c r="A6861" t="s">
        <v>42</v>
      </c>
      <c r="B6861" t="s">
        <v>39</v>
      </c>
      <c r="C6861" t="s">
        <v>38</v>
      </c>
      <c r="D6861" t="s">
        <v>28</v>
      </c>
      <c r="E6861" t="s">
        <v>21</v>
      </c>
      <c r="F6861" t="s">
        <v>20</v>
      </c>
      <c r="G6861" s="2">
        <f>VALUE(432.18)</f>
        <v>432.18</v>
      </c>
      <c r="H6861" s="3">
        <f>VALUE(347.23)</f>
        <v>347.23</v>
      </c>
      <c r="I6861" s="4">
        <f>VALUE(5329)</f>
        <v>5329</v>
      </c>
      <c r="J6861" s="5">
        <f>VALUE(6978)</f>
        <v>6978</v>
      </c>
      <c r="K6861" s="1">
        <f>VALUE(8405)</f>
        <v>8405</v>
      </c>
      <c r="L6861" s="1">
        <f>VALUE(9846)</f>
        <v>9846</v>
      </c>
      <c r="M6861" s="8">
        <f>VALUE(12939)</f>
        <v>12939</v>
      </c>
      <c r="N6861" t="s">
        <v>25</v>
      </c>
    </row>
    <row r="6862" spans="1:14" x14ac:dyDescent="0.25">
      <c r="A6862" t="s">
        <v>42</v>
      </c>
      <c r="B6862" t="s">
        <v>39</v>
      </c>
      <c r="C6862" t="s">
        <v>38</v>
      </c>
      <c r="D6862" t="s">
        <v>28</v>
      </c>
      <c r="E6862" t="s">
        <v>22</v>
      </c>
      <c r="F6862" t="s">
        <v>15</v>
      </c>
      <c r="G6862" s="1">
        <f>VALUE(5059.23)</f>
        <v>5059.2299999999996</v>
      </c>
      <c r="H6862" s="1">
        <f>VALUE(4924.49)</f>
        <v>4924.49</v>
      </c>
      <c r="I6862" s="4">
        <f>VALUE(4384)</f>
        <v>4384</v>
      </c>
      <c r="J6862" s="1">
        <f>VALUE(5530)</f>
        <v>5530</v>
      </c>
      <c r="K6862" s="1">
        <f>VALUE(6685)</f>
        <v>6685</v>
      </c>
      <c r="L6862" s="1">
        <f>VALUE(8262)</f>
        <v>8262</v>
      </c>
      <c r="M6862" s="8">
        <f>VALUE(11129)</f>
        <v>11129</v>
      </c>
      <c r="N6862" t="s">
        <v>25</v>
      </c>
    </row>
    <row r="6863" spans="1:14" x14ac:dyDescent="0.25">
      <c r="A6863" t="s">
        <v>42</v>
      </c>
      <c r="B6863" t="s">
        <v>39</v>
      </c>
      <c r="C6863" t="s">
        <v>38</v>
      </c>
      <c r="D6863" t="s">
        <v>28</v>
      </c>
      <c r="E6863" t="s">
        <v>22</v>
      </c>
      <c r="F6863" t="s">
        <v>17</v>
      </c>
      <c r="G6863" s="2">
        <f>VALUE(1394.45)</f>
        <v>1394.45</v>
      </c>
      <c r="H6863" s="3">
        <f>VALUE(1377.44)</f>
        <v>1377.44</v>
      </c>
      <c r="I6863" s="4">
        <f>VALUE(3842)</f>
        <v>3842</v>
      </c>
      <c r="J6863" s="5">
        <f>VALUE(6110)</f>
        <v>6110</v>
      </c>
      <c r="K6863" s="1">
        <f>VALUE(8966)</f>
        <v>8966</v>
      </c>
      <c r="L6863" s="7">
        <f>VALUE(12500)</f>
        <v>12500</v>
      </c>
      <c r="M6863" s="8">
        <f>VALUE(18173)</f>
        <v>18173</v>
      </c>
      <c r="N6863" t="s">
        <v>25</v>
      </c>
    </row>
    <row r="6864" spans="1:14" x14ac:dyDescent="0.25">
      <c r="A6864" t="s">
        <v>42</v>
      </c>
      <c r="B6864" t="s">
        <v>39</v>
      </c>
      <c r="C6864" t="s">
        <v>38</v>
      </c>
      <c r="D6864" t="s">
        <v>28</v>
      </c>
      <c r="E6864" t="s">
        <v>22</v>
      </c>
      <c r="F6864" t="s">
        <v>18</v>
      </c>
      <c r="G6864" s="2">
        <f>VALUE(423.09)</f>
        <v>423.09</v>
      </c>
      <c r="H6864" s="3">
        <f>VALUE(388.34)</f>
        <v>388.34</v>
      </c>
      <c r="I6864" s="4">
        <f>VALUE(4507)</f>
        <v>4507</v>
      </c>
      <c r="J6864" s="5">
        <f>VALUE(5580)</f>
        <v>5580</v>
      </c>
      <c r="K6864" s="1">
        <f>VALUE(7458)</f>
        <v>7458</v>
      </c>
      <c r="L6864" s="1">
        <f>VALUE(8782)</f>
        <v>8782</v>
      </c>
      <c r="M6864" s="1">
        <f>VALUE(9876)</f>
        <v>9876</v>
      </c>
      <c r="N6864" t="s">
        <v>25</v>
      </c>
    </row>
    <row r="6865" spans="1:14" x14ac:dyDescent="0.25">
      <c r="A6865" t="s">
        <v>42</v>
      </c>
      <c r="B6865" t="s">
        <v>39</v>
      </c>
      <c r="C6865" t="s">
        <v>38</v>
      </c>
      <c r="D6865" t="s">
        <v>28</v>
      </c>
      <c r="E6865" t="s">
        <v>22</v>
      </c>
      <c r="F6865" t="s">
        <v>19</v>
      </c>
      <c r="G6865" s="2">
        <f>VALUE(541.96)</f>
        <v>541.96</v>
      </c>
      <c r="H6865" s="3">
        <f>VALUE(529.36)</f>
        <v>529.36</v>
      </c>
      <c r="I6865" s="4">
        <f>VALUE(4604)</f>
        <v>4604</v>
      </c>
      <c r="J6865" s="1">
        <f>VALUE(5493)</f>
        <v>5493</v>
      </c>
      <c r="K6865" s="1">
        <f>VALUE(6392)</f>
        <v>6392</v>
      </c>
      <c r="L6865" s="1">
        <f>VALUE(7137)</f>
        <v>7137</v>
      </c>
      <c r="M6865" s="1">
        <f>VALUE(9111)</f>
        <v>9111</v>
      </c>
      <c r="N6865" t="s">
        <v>25</v>
      </c>
    </row>
    <row r="6866" spans="1:14" x14ac:dyDescent="0.25">
      <c r="A6866" t="s">
        <v>42</v>
      </c>
      <c r="B6866" t="s">
        <v>39</v>
      </c>
      <c r="C6866" t="s">
        <v>38</v>
      </c>
      <c r="D6866" t="s">
        <v>28</v>
      </c>
      <c r="E6866" t="s">
        <v>22</v>
      </c>
      <c r="F6866" t="s">
        <v>20</v>
      </c>
      <c r="G6866" s="1">
        <f>VALUE(2699.73)</f>
        <v>2699.73</v>
      </c>
      <c r="H6866" s="1">
        <f>VALUE(2629.35)</f>
        <v>2629.35</v>
      </c>
      <c r="I6866" s="4">
        <f>VALUE(4521)</f>
        <v>4521</v>
      </c>
      <c r="J6866" s="5">
        <f>VALUE(5516)</f>
        <v>5516</v>
      </c>
      <c r="K6866" s="1">
        <f>VALUE(6400)</f>
        <v>6400</v>
      </c>
      <c r="L6866" s="1">
        <f>VALUE(7304)</f>
        <v>7304</v>
      </c>
      <c r="M6866" s="1">
        <f>VALUE(8114)</f>
        <v>8114</v>
      </c>
      <c r="N6866" t="s">
        <v>25</v>
      </c>
    </row>
    <row r="6867" spans="1:14" x14ac:dyDescent="0.25">
      <c r="A6867" t="s">
        <v>42</v>
      </c>
      <c r="B6867" t="s">
        <v>39</v>
      </c>
      <c r="C6867" t="s">
        <v>38</v>
      </c>
      <c r="D6867" t="s">
        <v>28</v>
      </c>
      <c r="E6867" t="s">
        <v>23</v>
      </c>
      <c r="F6867" t="s">
        <v>15</v>
      </c>
      <c r="G6867" s="2">
        <f>VALUE(1272.54)</f>
        <v>1272.54</v>
      </c>
      <c r="H6867" s="3">
        <f>VALUE(1209.24)</f>
        <v>1209.24</v>
      </c>
      <c r="I6867" s="4">
        <f>VALUE(3640)</f>
        <v>3640</v>
      </c>
      <c r="J6867" s="1">
        <f>VALUE(4414)</f>
        <v>4414</v>
      </c>
      <c r="K6867" s="1">
        <f>VALUE(5302)</f>
        <v>5302</v>
      </c>
      <c r="L6867" s="1">
        <f>VALUE(6275)</f>
        <v>6275</v>
      </c>
      <c r="M6867" s="1">
        <f>VALUE(7569)</f>
        <v>7569</v>
      </c>
      <c r="N6867" t="s">
        <v>25</v>
      </c>
    </row>
    <row r="6868" spans="1:14" x14ac:dyDescent="0.25">
      <c r="A6868" t="s">
        <v>42</v>
      </c>
      <c r="B6868" t="s">
        <v>39</v>
      </c>
      <c r="C6868" t="s">
        <v>38</v>
      </c>
      <c r="D6868" t="s">
        <v>28</v>
      </c>
      <c r="E6868" t="s">
        <v>23</v>
      </c>
      <c r="F6868" t="s">
        <v>17</v>
      </c>
      <c r="G6868" s="1" t="str">
        <f t="shared" ref="G6868:M6870" si="1498">"X"</f>
        <v>X</v>
      </c>
      <c r="H6868" s="1" t="str">
        <f t="shared" si="1498"/>
        <v>X</v>
      </c>
      <c r="I6868" s="1" t="str">
        <f t="shared" si="1498"/>
        <v>X</v>
      </c>
      <c r="J6868" s="1" t="str">
        <f t="shared" si="1498"/>
        <v>X</v>
      </c>
      <c r="K6868" s="1" t="str">
        <f t="shared" si="1498"/>
        <v>X</v>
      </c>
      <c r="L6868" s="1" t="str">
        <f t="shared" si="1498"/>
        <v>X</v>
      </c>
      <c r="M6868" s="1" t="str">
        <f t="shared" si="1498"/>
        <v>X</v>
      </c>
      <c r="N6868" t="s">
        <v>27</v>
      </c>
    </row>
    <row r="6869" spans="1:14" x14ac:dyDescent="0.25">
      <c r="A6869" t="s">
        <v>42</v>
      </c>
      <c r="B6869" t="s">
        <v>39</v>
      </c>
      <c r="C6869" t="s">
        <v>38</v>
      </c>
      <c r="D6869" t="s">
        <v>28</v>
      </c>
      <c r="E6869" t="s">
        <v>23</v>
      </c>
      <c r="F6869" t="s">
        <v>18</v>
      </c>
      <c r="G6869" s="1" t="str">
        <f t="shared" si="1498"/>
        <v>X</v>
      </c>
      <c r="H6869" s="1" t="str">
        <f t="shared" si="1498"/>
        <v>X</v>
      </c>
      <c r="I6869" s="1" t="str">
        <f t="shared" si="1498"/>
        <v>X</v>
      </c>
      <c r="J6869" s="1" t="str">
        <f t="shared" si="1498"/>
        <v>X</v>
      </c>
      <c r="K6869" s="1" t="str">
        <f t="shared" si="1498"/>
        <v>X</v>
      </c>
      <c r="L6869" s="1" t="str">
        <f t="shared" si="1498"/>
        <v>X</v>
      </c>
      <c r="M6869" s="1" t="str">
        <f t="shared" si="1498"/>
        <v>X</v>
      </c>
      <c r="N6869" t="s">
        <v>27</v>
      </c>
    </row>
    <row r="6870" spans="1:14" x14ac:dyDescent="0.25">
      <c r="A6870" t="s">
        <v>42</v>
      </c>
      <c r="B6870" t="s">
        <v>39</v>
      </c>
      <c r="C6870" t="s">
        <v>38</v>
      </c>
      <c r="D6870" t="s">
        <v>28</v>
      </c>
      <c r="E6870" t="s">
        <v>23</v>
      </c>
      <c r="F6870" t="s">
        <v>19</v>
      </c>
      <c r="G6870" s="1" t="str">
        <f t="shared" si="1498"/>
        <v>X</v>
      </c>
      <c r="H6870" s="1" t="str">
        <f t="shared" si="1498"/>
        <v>X</v>
      </c>
      <c r="I6870" s="1" t="str">
        <f t="shared" si="1498"/>
        <v>X</v>
      </c>
      <c r="J6870" s="1" t="str">
        <f t="shared" si="1498"/>
        <v>X</v>
      </c>
      <c r="K6870" s="1" t="str">
        <f t="shared" si="1498"/>
        <v>X</v>
      </c>
      <c r="L6870" s="1" t="str">
        <f t="shared" si="1498"/>
        <v>X</v>
      </c>
      <c r="M6870" s="1" t="str">
        <f t="shared" si="1498"/>
        <v>X</v>
      </c>
      <c r="N6870" t="s">
        <v>27</v>
      </c>
    </row>
    <row r="6871" spans="1:14" x14ac:dyDescent="0.25">
      <c r="A6871" t="s">
        <v>42</v>
      </c>
      <c r="B6871" t="s">
        <v>39</v>
      </c>
      <c r="C6871" t="s">
        <v>38</v>
      </c>
      <c r="D6871" t="s">
        <v>28</v>
      </c>
      <c r="E6871" t="s">
        <v>23</v>
      </c>
      <c r="F6871" t="s">
        <v>20</v>
      </c>
      <c r="G6871" s="2">
        <f>VALUE(861.64)</f>
        <v>861.64</v>
      </c>
      <c r="H6871" s="3">
        <f>VALUE(803.01)</f>
        <v>803.01</v>
      </c>
      <c r="I6871" s="1">
        <f>VALUE(3640)</f>
        <v>3640</v>
      </c>
      <c r="J6871" s="1">
        <f>VALUE(4399)</f>
        <v>4399</v>
      </c>
      <c r="K6871" s="1">
        <f>VALUE(5060)</f>
        <v>5060</v>
      </c>
      <c r="L6871" s="1">
        <f>VALUE(5893)</f>
        <v>5893</v>
      </c>
      <c r="M6871" s="1">
        <f>VALUE(6746)</f>
        <v>6746</v>
      </c>
      <c r="N6871" t="s">
        <v>25</v>
      </c>
    </row>
    <row r="6872" spans="1:14" x14ac:dyDescent="0.25">
      <c r="A6872" t="s">
        <v>42</v>
      </c>
      <c r="B6872" t="s">
        <v>39</v>
      </c>
      <c r="C6872" t="s">
        <v>38</v>
      </c>
      <c r="D6872" t="s">
        <v>28</v>
      </c>
      <c r="E6872" t="s">
        <v>26</v>
      </c>
      <c r="F6872" t="s">
        <v>15</v>
      </c>
      <c r="G6872" s="1" t="str">
        <f t="shared" ref="G6872:M6873" si="1499">"X"</f>
        <v>X</v>
      </c>
      <c r="H6872" s="1" t="str">
        <f t="shared" si="1499"/>
        <v>X</v>
      </c>
      <c r="I6872" s="1" t="str">
        <f t="shared" si="1499"/>
        <v>X</v>
      </c>
      <c r="J6872" s="1" t="str">
        <f t="shared" si="1499"/>
        <v>X</v>
      </c>
      <c r="K6872" s="1" t="str">
        <f t="shared" si="1499"/>
        <v>X</v>
      </c>
      <c r="L6872" s="1" t="str">
        <f t="shared" si="1499"/>
        <v>X</v>
      </c>
      <c r="M6872" s="1" t="str">
        <f t="shared" si="1499"/>
        <v>X</v>
      </c>
      <c r="N6872" t="s">
        <v>27</v>
      </c>
    </row>
    <row r="6873" spans="1:14" x14ac:dyDescent="0.25">
      <c r="A6873" t="s">
        <v>42</v>
      </c>
      <c r="B6873" t="s">
        <v>39</v>
      </c>
      <c r="C6873" t="s">
        <v>38</v>
      </c>
      <c r="D6873" t="s">
        <v>28</v>
      </c>
      <c r="E6873" t="s">
        <v>26</v>
      </c>
      <c r="F6873" t="s">
        <v>17</v>
      </c>
      <c r="G6873" s="1" t="str">
        <f t="shared" si="1499"/>
        <v>X</v>
      </c>
      <c r="H6873" s="1" t="str">
        <f t="shared" si="1499"/>
        <v>X</v>
      </c>
      <c r="I6873" s="1" t="str">
        <f t="shared" si="1499"/>
        <v>X</v>
      </c>
      <c r="J6873" s="1" t="str">
        <f t="shared" si="1499"/>
        <v>X</v>
      </c>
      <c r="K6873" s="1" t="str">
        <f t="shared" si="1499"/>
        <v>X</v>
      </c>
      <c r="L6873" s="1" t="str">
        <f t="shared" si="1499"/>
        <v>X</v>
      </c>
      <c r="M6873" s="1" t="str">
        <f t="shared" si="1499"/>
        <v>X</v>
      </c>
      <c r="N6873" t="s">
        <v>27</v>
      </c>
    </row>
    <row r="6874" spans="1:14" x14ac:dyDescent="0.25">
      <c r="A6874" t="s">
        <v>42</v>
      </c>
      <c r="B6874" t="s">
        <v>39</v>
      </c>
      <c r="C6874" t="s">
        <v>38</v>
      </c>
      <c r="D6874" t="s">
        <v>28</v>
      </c>
      <c r="E6874" t="s">
        <v>26</v>
      </c>
      <c r="F6874" t="s">
        <v>18</v>
      </c>
      <c r="G6874" s="1" t="str">
        <f t="shared" ref="G6874:M6874" si="1500">"..."</f>
        <v>...</v>
      </c>
      <c r="H6874" s="1" t="str">
        <f t="shared" si="1500"/>
        <v>...</v>
      </c>
      <c r="I6874" s="1" t="str">
        <f t="shared" si="1500"/>
        <v>...</v>
      </c>
      <c r="J6874" s="1" t="str">
        <f t="shared" si="1500"/>
        <v>...</v>
      </c>
      <c r="K6874" s="1" t="str">
        <f t="shared" si="1500"/>
        <v>...</v>
      </c>
      <c r="L6874" s="1" t="str">
        <f t="shared" si="1500"/>
        <v>...</v>
      </c>
      <c r="M6874" s="1" t="str">
        <f t="shared" si="1500"/>
        <v>...</v>
      </c>
      <c r="N6874" t="s">
        <v>30</v>
      </c>
    </row>
    <row r="6875" spans="1:14" x14ac:dyDescent="0.25">
      <c r="A6875" t="s">
        <v>42</v>
      </c>
      <c r="B6875" t="s">
        <v>39</v>
      </c>
      <c r="C6875" t="s">
        <v>38</v>
      </c>
      <c r="D6875" t="s">
        <v>28</v>
      </c>
      <c r="E6875" t="s">
        <v>26</v>
      </c>
      <c r="F6875" t="s">
        <v>19</v>
      </c>
      <c r="G6875" s="1" t="str">
        <f t="shared" ref="G6875:M6876" si="1501">"X"</f>
        <v>X</v>
      </c>
      <c r="H6875" s="1" t="str">
        <f t="shared" si="1501"/>
        <v>X</v>
      </c>
      <c r="I6875" s="1" t="str">
        <f t="shared" si="1501"/>
        <v>X</v>
      </c>
      <c r="J6875" s="1" t="str">
        <f t="shared" si="1501"/>
        <v>X</v>
      </c>
      <c r="K6875" s="1" t="str">
        <f t="shared" si="1501"/>
        <v>X</v>
      </c>
      <c r="L6875" s="1" t="str">
        <f t="shared" si="1501"/>
        <v>X</v>
      </c>
      <c r="M6875" s="1" t="str">
        <f t="shared" si="1501"/>
        <v>X</v>
      </c>
      <c r="N6875" t="s">
        <v>27</v>
      </c>
    </row>
    <row r="6876" spans="1:14" x14ac:dyDescent="0.25">
      <c r="A6876" t="s">
        <v>42</v>
      </c>
      <c r="B6876" t="s">
        <v>39</v>
      </c>
      <c r="C6876" t="s">
        <v>38</v>
      </c>
      <c r="D6876" t="s">
        <v>28</v>
      </c>
      <c r="E6876" t="s">
        <v>26</v>
      </c>
      <c r="F6876" t="s">
        <v>20</v>
      </c>
      <c r="G6876" s="1" t="str">
        <f t="shared" si="1501"/>
        <v>X</v>
      </c>
      <c r="H6876" s="1" t="str">
        <f t="shared" si="1501"/>
        <v>X</v>
      </c>
      <c r="I6876" s="1" t="str">
        <f t="shared" si="1501"/>
        <v>X</v>
      </c>
      <c r="J6876" s="1" t="str">
        <f t="shared" si="1501"/>
        <v>X</v>
      </c>
      <c r="K6876" s="1" t="str">
        <f t="shared" si="1501"/>
        <v>X</v>
      </c>
      <c r="L6876" s="1" t="str">
        <f t="shared" si="1501"/>
        <v>X</v>
      </c>
      <c r="M6876" s="1" t="str">
        <f t="shared" si="1501"/>
        <v>X</v>
      </c>
      <c r="N6876" t="s">
        <v>27</v>
      </c>
    </row>
    <row r="6877" spans="1:14" x14ac:dyDescent="0.25">
      <c r="A6877" t="s">
        <v>42</v>
      </c>
      <c r="B6877" t="s">
        <v>39</v>
      </c>
      <c r="C6877" t="s">
        <v>38</v>
      </c>
      <c r="D6877" t="s">
        <v>29</v>
      </c>
      <c r="E6877" t="s">
        <v>15</v>
      </c>
      <c r="F6877" t="s">
        <v>15</v>
      </c>
      <c r="G6877" s="1">
        <f>VALUE(3598.05)</f>
        <v>3598.05</v>
      </c>
      <c r="H6877" s="1">
        <f>VALUE(3508.58)</f>
        <v>3508.58</v>
      </c>
      <c r="I6877" s="1">
        <f>VALUE(3852)</f>
        <v>3852</v>
      </c>
      <c r="J6877" s="1">
        <f>VALUE(4742)</f>
        <v>4742</v>
      </c>
      <c r="K6877" s="1">
        <f>VALUE(5796)</f>
        <v>5796</v>
      </c>
      <c r="L6877" s="1">
        <f>VALUE(7205)</f>
        <v>7205</v>
      </c>
      <c r="M6877" s="8">
        <f>VALUE(10833)</f>
        <v>10833</v>
      </c>
      <c r="N6877" t="s">
        <v>25</v>
      </c>
    </row>
    <row r="6878" spans="1:14" x14ac:dyDescent="0.25">
      <c r="A6878" t="s">
        <v>42</v>
      </c>
      <c r="B6878" t="s">
        <v>39</v>
      </c>
      <c r="C6878" t="s">
        <v>38</v>
      </c>
      <c r="D6878" t="s">
        <v>29</v>
      </c>
      <c r="E6878" t="s">
        <v>15</v>
      </c>
      <c r="F6878" t="s">
        <v>17</v>
      </c>
      <c r="G6878" s="2">
        <f>VALUE(834.96)</f>
        <v>834.96</v>
      </c>
      <c r="H6878" s="3">
        <f>VALUE(823.18)</f>
        <v>823.18</v>
      </c>
      <c r="I6878" s="4">
        <f>VALUE(3832)</f>
        <v>3832</v>
      </c>
      <c r="J6878" s="5">
        <f>VALUE(4410)</f>
        <v>4410</v>
      </c>
      <c r="K6878" s="6">
        <f>VALUE(8254)</f>
        <v>8254</v>
      </c>
      <c r="L6878" s="7">
        <f>VALUE(12458)</f>
        <v>12458</v>
      </c>
      <c r="M6878" s="8">
        <f>VALUE(22620)</f>
        <v>22620</v>
      </c>
      <c r="N6878" t="s">
        <v>24</v>
      </c>
    </row>
    <row r="6879" spans="1:14" x14ac:dyDescent="0.25">
      <c r="A6879" t="s">
        <v>42</v>
      </c>
      <c r="B6879" t="s">
        <v>39</v>
      </c>
      <c r="C6879" t="s">
        <v>38</v>
      </c>
      <c r="D6879" t="s">
        <v>29</v>
      </c>
      <c r="E6879" t="s">
        <v>15</v>
      </c>
      <c r="F6879" t="s">
        <v>18</v>
      </c>
      <c r="G6879" s="2">
        <f>VALUE(225.54)</f>
        <v>225.54</v>
      </c>
      <c r="H6879" s="3">
        <f>VALUE(216.37)</f>
        <v>216.37</v>
      </c>
      <c r="I6879" s="1">
        <f>VALUE(4755)</f>
        <v>4755</v>
      </c>
      <c r="J6879" s="1">
        <f>VALUE(6027)</f>
        <v>6027</v>
      </c>
      <c r="K6879" s="1">
        <f>VALUE(7205)</f>
        <v>7205</v>
      </c>
      <c r="L6879" s="1">
        <f>VALUE(8162)</f>
        <v>8162</v>
      </c>
      <c r="M6879" s="8">
        <f>VALUE(10316)</f>
        <v>10316</v>
      </c>
      <c r="N6879" t="s">
        <v>25</v>
      </c>
    </row>
    <row r="6880" spans="1:14" x14ac:dyDescent="0.25">
      <c r="A6880" t="s">
        <v>42</v>
      </c>
      <c r="B6880" t="s">
        <v>39</v>
      </c>
      <c r="C6880" t="s">
        <v>38</v>
      </c>
      <c r="D6880" t="s">
        <v>29</v>
      </c>
      <c r="E6880" t="s">
        <v>15</v>
      </c>
      <c r="F6880" t="s">
        <v>19</v>
      </c>
      <c r="G6880" s="2">
        <f>VALUE(380.57)</f>
        <v>380.57</v>
      </c>
      <c r="H6880" s="3">
        <f>VALUE(385.78)</f>
        <v>385.78</v>
      </c>
      <c r="I6880" s="1">
        <f>VALUE(4719)</f>
        <v>4719</v>
      </c>
      <c r="J6880" s="1">
        <f>VALUE(5598)</f>
        <v>5598</v>
      </c>
      <c r="K6880" s="1">
        <f>VALUE(6422)</f>
        <v>6422</v>
      </c>
      <c r="L6880" s="1">
        <f>VALUE(7354)</f>
        <v>7354</v>
      </c>
      <c r="M6880" s="8">
        <f>VALUE(8342)</f>
        <v>8342</v>
      </c>
      <c r="N6880" t="s">
        <v>25</v>
      </c>
    </row>
    <row r="6881" spans="1:14" x14ac:dyDescent="0.25">
      <c r="A6881" t="s">
        <v>42</v>
      </c>
      <c r="B6881" t="s">
        <v>39</v>
      </c>
      <c r="C6881" t="s">
        <v>38</v>
      </c>
      <c r="D6881" t="s">
        <v>29</v>
      </c>
      <c r="E6881" t="s">
        <v>15</v>
      </c>
      <c r="F6881" t="s">
        <v>20</v>
      </c>
      <c r="G6881" s="2">
        <f>VALUE(2156.98)</f>
        <v>2156.98</v>
      </c>
      <c r="H6881" s="3">
        <f>VALUE(2083.25)</f>
        <v>2083.25</v>
      </c>
      <c r="I6881" s="1">
        <f>VALUE(3835)</f>
        <v>3835</v>
      </c>
      <c r="J6881" s="1">
        <f>VALUE(4605)</f>
        <v>4605</v>
      </c>
      <c r="K6881" s="1">
        <f>VALUE(5459)</f>
        <v>5459</v>
      </c>
      <c r="L6881" s="1">
        <f>VALUE(6226)</f>
        <v>6226</v>
      </c>
      <c r="M6881" s="1">
        <f>VALUE(7075)</f>
        <v>7075</v>
      </c>
      <c r="N6881" t="s">
        <v>25</v>
      </c>
    </row>
    <row r="6882" spans="1:14" x14ac:dyDescent="0.25">
      <c r="A6882" t="s">
        <v>42</v>
      </c>
      <c r="B6882" t="s">
        <v>39</v>
      </c>
      <c r="C6882" t="s">
        <v>38</v>
      </c>
      <c r="D6882" t="s">
        <v>29</v>
      </c>
      <c r="E6882" t="s">
        <v>21</v>
      </c>
      <c r="F6882" t="s">
        <v>15</v>
      </c>
      <c r="G6882" s="2">
        <f>VALUE(481.75)</f>
        <v>481.75</v>
      </c>
      <c r="H6882" s="3">
        <f>VALUE(463.55)</f>
        <v>463.55</v>
      </c>
      <c r="I6882" s="4">
        <f>VALUE(3968)</f>
        <v>3968</v>
      </c>
      <c r="J6882" s="5">
        <f>VALUE(6749)</f>
        <v>6749</v>
      </c>
      <c r="K6882" s="6">
        <f>VALUE(9185)</f>
        <v>9185</v>
      </c>
      <c r="L6882" s="7">
        <f>VALUE(16119)</f>
        <v>16119</v>
      </c>
      <c r="M6882" s="8">
        <f>VALUE(26250)</f>
        <v>26250</v>
      </c>
      <c r="N6882" t="s">
        <v>24</v>
      </c>
    </row>
    <row r="6883" spans="1:14" x14ac:dyDescent="0.25">
      <c r="A6883" t="s">
        <v>42</v>
      </c>
      <c r="B6883" t="s">
        <v>39</v>
      </c>
      <c r="C6883" t="s">
        <v>38</v>
      </c>
      <c r="D6883" t="s">
        <v>29</v>
      </c>
      <c r="E6883" t="s">
        <v>21</v>
      </c>
      <c r="F6883" t="s">
        <v>17</v>
      </c>
      <c r="G6883" s="2">
        <f>VALUE(287.78)</f>
        <v>287.77999999999997</v>
      </c>
      <c r="H6883" s="3">
        <f>VALUE(282.81)</f>
        <v>282.81</v>
      </c>
      <c r="I6883" s="4">
        <f>VALUE(3700)</f>
        <v>3700</v>
      </c>
      <c r="J6883" s="5">
        <f>VALUE(7000)</f>
        <v>7000</v>
      </c>
      <c r="K6883" s="6">
        <f>VALUE(11990)</f>
        <v>11990</v>
      </c>
      <c r="L6883" s="7">
        <f>VALUE(20896)</f>
        <v>20896</v>
      </c>
      <c r="M6883" s="8">
        <f>VALUE(33759)</f>
        <v>33759</v>
      </c>
      <c r="N6883" t="s">
        <v>24</v>
      </c>
    </row>
    <row r="6884" spans="1:14" x14ac:dyDescent="0.25">
      <c r="A6884" t="s">
        <v>42</v>
      </c>
      <c r="B6884" t="s">
        <v>39</v>
      </c>
      <c r="C6884" t="s">
        <v>38</v>
      </c>
      <c r="D6884" t="s">
        <v>29</v>
      </c>
      <c r="E6884" t="s">
        <v>21</v>
      </c>
      <c r="F6884" t="s">
        <v>18</v>
      </c>
      <c r="G6884" s="1" t="str">
        <f t="shared" ref="G6884:M6886" si="1502">"X"</f>
        <v>X</v>
      </c>
      <c r="H6884" s="1" t="str">
        <f t="shared" si="1502"/>
        <v>X</v>
      </c>
      <c r="I6884" s="1" t="str">
        <f t="shared" si="1502"/>
        <v>X</v>
      </c>
      <c r="J6884" s="1" t="str">
        <f t="shared" si="1502"/>
        <v>X</v>
      </c>
      <c r="K6884" s="1" t="str">
        <f t="shared" si="1502"/>
        <v>X</v>
      </c>
      <c r="L6884" s="1" t="str">
        <f t="shared" si="1502"/>
        <v>X</v>
      </c>
      <c r="M6884" s="1" t="str">
        <f t="shared" si="1502"/>
        <v>X</v>
      </c>
      <c r="N6884" t="s">
        <v>27</v>
      </c>
    </row>
    <row r="6885" spans="1:14" x14ac:dyDescent="0.25">
      <c r="A6885" t="s">
        <v>42</v>
      </c>
      <c r="B6885" t="s">
        <v>39</v>
      </c>
      <c r="C6885" t="s">
        <v>38</v>
      </c>
      <c r="D6885" t="s">
        <v>29</v>
      </c>
      <c r="E6885" t="s">
        <v>21</v>
      </c>
      <c r="F6885" t="s">
        <v>19</v>
      </c>
      <c r="G6885" s="1" t="str">
        <f t="shared" si="1502"/>
        <v>X</v>
      </c>
      <c r="H6885" s="1" t="str">
        <f t="shared" si="1502"/>
        <v>X</v>
      </c>
      <c r="I6885" s="1" t="str">
        <f t="shared" si="1502"/>
        <v>X</v>
      </c>
      <c r="J6885" s="1" t="str">
        <f t="shared" si="1502"/>
        <v>X</v>
      </c>
      <c r="K6885" s="1" t="str">
        <f t="shared" si="1502"/>
        <v>X</v>
      </c>
      <c r="L6885" s="1" t="str">
        <f t="shared" si="1502"/>
        <v>X</v>
      </c>
      <c r="M6885" s="1" t="str">
        <f t="shared" si="1502"/>
        <v>X</v>
      </c>
      <c r="N6885" t="s">
        <v>27</v>
      </c>
    </row>
    <row r="6886" spans="1:14" x14ac:dyDescent="0.25">
      <c r="A6886" t="s">
        <v>42</v>
      </c>
      <c r="B6886" t="s">
        <v>39</v>
      </c>
      <c r="C6886" t="s">
        <v>38</v>
      </c>
      <c r="D6886" t="s">
        <v>29</v>
      </c>
      <c r="E6886" t="s">
        <v>21</v>
      </c>
      <c r="F6886" t="s">
        <v>20</v>
      </c>
      <c r="G6886" s="1" t="str">
        <f t="shared" si="1502"/>
        <v>X</v>
      </c>
      <c r="H6886" s="1" t="str">
        <f t="shared" si="1502"/>
        <v>X</v>
      </c>
      <c r="I6886" s="1" t="str">
        <f t="shared" si="1502"/>
        <v>X</v>
      </c>
      <c r="J6886" s="1" t="str">
        <f t="shared" si="1502"/>
        <v>X</v>
      </c>
      <c r="K6886" s="1" t="str">
        <f t="shared" si="1502"/>
        <v>X</v>
      </c>
      <c r="L6886" s="1" t="str">
        <f t="shared" si="1502"/>
        <v>X</v>
      </c>
      <c r="M6886" s="1" t="str">
        <f t="shared" si="1502"/>
        <v>X</v>
      </c>
      <c r="N6886" t="s">
        <v>27</v>
      </c>
    </row>
    <row r="6887" spans="1:14" x14ac:dyDescent="0.25">
      <c r="A6887" t="s">
        <v>42</v>
      </c>
      <c r="B6887" t="s">
        <v>39</v>
      </c>
      <c r="C6887" t="s">
        <v>38</v>
      </c>
      <c r="D6887" t="s">
        <v>29</v>
      </c>
      <c r="E6887" t="s">
        <v>22</v>
      </c>
      <c r="F6887" t="s">
        <v>15</v>
      </c>
      <c r="G6887" s="2">
        <f>VALUE(1169.38)</f>
        <v>1169.3800000000001</v>
      </c>
      <c r="H6887" s="3">
        <f>VALUE(1138.54)</f>
        <v>1138.54</v>
      </c>
      <c r="I6887" s="4">
        <f>VALUE(4251)</f>
        <v>4251</v>
      </c>
      <c r="J6887" s="1">
        <f>VALUE(5348)</f>
        <v>5348</v>
      </c>
      <c r="K6887" s="1">
        <f>VALUE(6401)</f>
        <v>6401</v>
      </c>
      <c r="L6887" s="7">
        <f>VALUE(7738)</f>
        <v>7738</v>
      </c>
      <c r="M6887" s="8">
        <f>VALUE(10472)</f>
        <v>10472</v>
      </c>
      <c r="N6887" t="s">
        <v>25</v>
      </c>
    </row>
    <row r="6888" spans="1:14" x14ac:dyDescent="0.25">
      <c r="A6888" t="s">
        <v>42</v>
      </c>
      <c r="B6888" t="s">
        <v>39</v>
      </c>
      <c r="C6888" t="s">
        <v>38</v>
      </c>
      <c r="D6888" t="s">
        <v>29</v>
      </c>
      <c r="E6888" t="s">
        <v>22</v>
      </c>
      <c r="F6888" t="s">
        <v>17</v>
      </c>
      <c r="G6888" s="2">
        <f>VALUE(295.02)</f>
        <v>295.02</v>
      </c>
      <c r="H6888" s="3">
        <f>VALUE(295.99)</f>
        <v>295.99</v>
      </c>
      <c r="I6888" s="4">
        <f>VALUE(3700)</f>
        <v>3700</v>
      </c>
      <c r="J6888" s="5">
        <f>VALUE(6163)</f>
        <v>6163</v>
      </c>
      <c r="K6888" s="6">
        <f>VALUE(8502)</f>
        <v>8502</v>
      </c>
      <c r="L6888" s="7">
        <f>VALUE(10441)</f>
        <v>10441</v>
      </c>
      <c r="M6888" s="8">
        <f>VALUE(17297)</f>
        <v>17297</v>
      </c>
      <c r="N6888" t="s">
        <v>24</v>
      </c>
    </row>
    <row r="6889" spans="1:14" x14ac:dyDescent="0.25">
      <c r="A6889" t="s">
        <v>42</v>
      </c>
      <c r="B6889" t="s">
        <v>39</v>
      </c>
      <c r="C6889" t="s">
        <v>38</v>
      </c>
      <c r="D6889" t="s">
        <v>29</v>
      </c>
      <c r="E6889" t="s">
        <v>22</v>
      </c>
      <c r="F6889" t="s">
        <v>18</v>
      </c>
      <c r="G6889" s="1" t="str">
        <f t="shared" ref="G6889:M6890" si="1503">"X"</f>
        <v>X</v>
      </c>
      <c r="H6889" s="1" t="str">
        <f t="shared" si="1503"/>
        <v>X</v>
      </c>
      <c r="I6889" s="1" t="str">
        <f t="shared" si="1503"/>
        <v>X</v>
      </c>
      <c r="J6889" s="1" t="str">
        <f t="shared" si="1503"/>
        <v>X</v>
      </c>
      <c r="K6889" s="1" t="str">
        <f t="shared" si="1503"/>
        <v>X</v>
      </c>
      <c r="L6889" s="1" t="str">
        <f t="shared" si="1503"/>
        <v>X</v>
      </c>
      <c r="M6889" s="1" t="str">
        <f t="shared" si="1503"/>
        <v>X</v>
      </c>
      <c r="N6889" t="s">
        <v>27</v>
      </c>
    </row>
    <row r="6890" spans="1:14" x14ac:dyDescent="0.25">
      <c r="A6890" t="s">
        <v>42</v>
      </c>
      <c r="B6890" t="s">
        <v>39</v>
      </c>
      <c r="C6890" t="s">
        <v>38</v>
      </c>
      <c r="D6890" t="s">
        <v>29</v>
      </c>
      <c r="E6890" t="s">
        <v>22</v>
      </c>
      <c r="F6890" t="s">
        <v>19</v>
      </c>
      <c r="G6890" s="1" t="str">
        <f t="shared" si="1503"/>
        <v>X</v>
      </c>
      <c r="H6890" s="1" t="str">
        <f t="shared" si="1503"/>
        <v>X</v>
      </c>
      <c r="I6890" s="1" t="str">
        <f t="shared" si="1503"/>
        <v>X</v>
      </c>
      <c r="J6890" s="1" t="str">
        <f t="shared" si="1503"/>
        <v>X</v>
      </c>
      <c r="K6890" s="1" t="str">
        <f t="shared" si="1503"/>
        <v>X</v>
      </c>
      <c r="L6890" s="1" t="str">
        <f t="shared" si="1503"/>
        <v>X</v>
      </c>
      <c r="M6890" s="1" t="str">
        <f t="shared" si="1503"/>
        <v>X</v>
      </c>
      <c r="N6890" t="s">
        <v>27</v>
      </c>
    </row>
    <row r="6891" spans="1:14" x14ac:dyDescent="0.25">
      <c r="A6891" t="s">
        <v>42</v>
      </c>
      <c r="B6891" t="s">
        <v>39</v>
      </c>
      <c r="C6891" t="s">
        <v>38</v>
      </c>
      <c r="D6891" t="s">
        <v>29</v>
      </c>
      <c r="E6891" t="s">
        <v>22</v>
      </c>
      <c r="F6891" t="s">
        <v>20</v>
      </c>
      <c r="G6891" s="2">
        <f>VALUE(565.8)</f>
        <v>565.79999999999995</v>
      </c>
      <c r="H6891" s="3">
        <f>VALUE(533.7)</f>
        <v>533.70000000000005</v>
      </c>
      <c r="I6891" s="4">
        <f>VALUE(3879)</f>
        <v>3879</v>
      </c>
      <c r="J6891" s="1">
        <f>VALUE(4862)</f>
        <v>4862</v>
      </c>
      <c r="K6891" s="1">
        <f>VALUE(5653)</f>
        <v>5653</v>
      </c>
      <c r="L6891" s="1">
        <f>VALUE(6445)</f>
        <v>6445</v>
      </c>
      <c r="M6891" s="1">
        <f>VALUE(7600)</f>
        <v>7600</v>
      </c>
      <c r="N6891" t="s">
        <v>25</v>
      </c>
    </row>
    <row r="6892" spans="1:14" x14ac:dyDescent="0.25">
      <c r="A6892" t="s">
        <v>42</v>
      </c>
      <c r="B6892" t="s">
        <v>39</v>
      </c>
      <c r="C6892" t="s">
        <v>38</v>
      </c>
      <c r="D6892" t="s">
        <v>29</v>
      </c>
      <c r="E6892" t="s">
        <v>23</v>
      </c>
      <c r="F6892" t="s">
        <v>15</v>
      </c>
      <c r="G6892" s="2">
        <f>VALUE(1797.75)</f>
        <v>1797.75</v>
      </c>
      <c r="H6892" s="3">
        <f>VALUE(1751.24)</f>
        <v>1751.24</v>
      </c>
      <c r="I6892" s="1">
        <f>VALUE(3850)</f>
        <v>3850</v>
      </c>
      <c r="J6892" s="1">
        <f>VALUE(4410)</f>
        <v>4410</v>
      </c>
      <c r="K6892" s="1">
        <f>VALUE(5304)</f>
        <v>5304</v>
      </c>
      <c r="L6892" s="1">
        <f>VALUE(6103)</f>
        <v>6103</v>
      </c>
      <c r="M6892" s="1">
        <f>VALUE(6961)</f>
        <v>6961</v>
      </c>
      <c r="N6892" t="s">
        <v>25</v>
      </c>
    </row>
    <row r="6893" spans="1:14" x14ac:dyDescent="0.25">
      <c r="A6893" t="s">
        <v>42</v>
      </c>
      <c r="B6893" t="s">
        <v>39</v>
      </c>
      <c r="C6893" t="s">
        <v>38</v>
      </c>
      <c r="D6893" t="s">
        <v>29</v>
      </c>
      <c r="E6893" t="s">
        <v>23</v>
      </c>
      <c r="F6893" t="s">
        <v>17</v>
      </c>
      <c r="G6893" s="1" t="str">
        <f t="shared" ref="G6893:M6895" si="1504">"X"</f>
        <v>X</v>
      </c>
      <c r="H6893" s="1" t="str">
        <f t="shared" si="1504"/>
        <v>X</v>
      </c>
      <c r="I6893" s="1" t="str">
        <f t="shared" si="1504"/>
        <v>X</v>
      </c>
      <c r="J6893" s="1" t="str">
        <f t="shared" si="1504"/>
        <v>X</v>
      </c>
      <c r="K6893" s="1" t="str">
        <f t="shared" si="1504"/>
        <v>X</v>
      </c>
      <c r="L6893" s="1" t="str">
        <f t="shared" si="1504"/>
        <v>X</v>
      </c>
      <c r="M6893" s="1" t="str">
        <f t="shared" si="1504"/>
        <v>X</v>
      </c>
      <c r="N6893" t="s">
        <v>27</v>
      </c>
    </row>
    <row r="6894" spans="1:14" x14ac:dyDescent="0.25">
      <c r="A6894" t="s">
        <v>42</v>
      </c>
      <c r="B6894" t="s">
        <v>39</v>
      </c>
      <c r="C6894" t="s">
        <v>38</v>
      </c>
      <c r="D6894" t="s">
        <v>29</v>
      </c>
      <c r="E6894" t="s">
        <v>23</v>
      </c>
      <c r="F6894" t="s">
        <v>18</v>
      </c>
      <c r="G6894" s="1" t="str">
        <f t="shared" si="1504"/>
        <v>X</v>
      </c>
      <c r="H6894" s="1" t="str">
        <f t="shared" si="1504"/>
        <v>X</v>
      </c>
      <c r="I6894" s="1" t="str">
        <f t="shared" si="1504"/>
        <v>X</v>
      </c>
      <c r="J6894" s="1" t="str">
        <f t="shared" si="1504"/>
        <v>X</v>
      </c>
      <c r="K6894" s="1" t="str">
        <f t="shared" si="1504"/>
        <v>X</v>
      </c>
      <c r="L6894" s="1" t="str">
        <f t="shared" si="1504"/>
        <v>X</v>
      </c>
      <c r="M6894" s="1" t="str">
        <f t="shared" si="1504"/>
        <v>X</v>
      </c>
      <c r="N6894" t="s">
        <v>27</v>
      </c>
    </row>
    <row r="6895" spans="1:14" x14ac:dyDescent="0.25">
      <c r="A6895" t="s">
        <v>42</v>
      </c>
      <c r="B6895" t="s">
        <v>39</v>
      </c>
      <c r="C6895" t="s">
        <v>38</v>
      </c>
      <c r="D6895" t="s">
        <v>29</v>
      </c>
      <c r="E6895" t="s">
        <v>23</v>
      </c>
      <c r="F6895" t="s">
        <v>19</v>
      </c>
      <c r="G6895" s="1" t="str">
        <f t="shared" si="1504"/>
        <v>X</v>
      </c>
      <c r="H6895" s="1" t="str">
        <f t="shared" si="1504"/>
        <v>X</v>
      </c>
      <c r="I6895" s="1" t="str">
        <f t="shared" si="1504"/>
        <v>X</v>
      </c>
      <c r="J6895" s="1" t="str">
        <f t="shared" si="1504"/>
        <v>X</v>
      </c>
      <c r="K6895" s="1" t="str">
        <f t="shared" si="1504"/>
        <v>X</v>
      </c>
      <c r="L6895" s="1" t="str">
        <f t="shared" si="1504"/>
        <v>X</v>
      </c>
      <c r="M6895" s="1" t="str">
        <f t="shared" si="1504"/>
        <v>X</v>
      </c>
      <c r="N6895" t="s">
        <v>27</v>
      </c>
    </row>
    <row r="6896" spans="1:14" x14ac:dyDescent="0.25">
      <c r="A6896" t="s">
        <v>42</v>
      </c>
      <c r="B6896" t="s">
        <v>39</v>
      </c>
      <c r="C6896" t="s">
        <v>38</v>
      </c>
      <c r="D6896" t="s">
        <v>29</v>
      </c>
      <c r="E6896" t="s">
        <v>23</v>
      </c>
      <c r="F6896" t="s">
        <v>20</v>
      </c>
      <c r="G6896" s="2">
        <f>VALUE(1408.06)</f>
        <v>1408.06</v>
      </c>
      <c r="H6896" s="3">
        <f>VALUE(1367.07)</f>
        <v>1367.07</v>
      </c>
      <c r="I6896" s="1">
        <f>VALUE(3910)</f>
        <v>3910</v>
      </c>
      <c r="J6896" s="1">
        <f>VALUE(4556)</f>
        <v>4556</v>
      </c>
      <c r="K6896" s="1">
        <f>VALUE(5255)</f>
        <v>5255</v>
      </c>
      <c r="L6896" s="1">
        <f>VALUE(5937)</f>
        <v>5937</v>
      </c>
      <c r="M6896" s="1">
        <f>VALUE(6620)</f>
        <v>6620</v>
      </c>
      <c r="N6896" t="s">
        <v>25</v>
      </c>
    </row>
    <row r="6897" spans="1:14" x14ac:dyDescent="0.25">
      <c r="A6897" t="s">
        <v>42</v>
      </c>
      <c r="B6897" t="s">
        <v>39</v>
      </c>
      <c r="C6897" t="s">
        <v>38</v>
      </c>
      <c r="D6897" t="s">
        <v>29</v>
      </c>
      <c r="E6897" t="s">
        <v>26</v>
      </c>
      <c r="F6897" t="s">
        <v>15</v>
      </c>
      <c r="G6897" s="1" t="str">
        <f t="shared" ref="G6897:M6898" si="1505">"X"</f>
        <v>X</v>
      </c>
      <c r="H6897" s="1" t="str">
        <f t="shared" si="1505"/>
        <v>X</v>
      </c>
      <c r="I6897" s="1" t="str">
        <f t="shared" si="1505"/>
        <v>X</v>
      </c>
      <c r="J6897" s="1" t="str">
        <f t="shared" si="1505"/>
        <v>X</v>
      </c>
      <c r="K6897" s="1" t="str">
        <f t="shared" si="1505"/>
        <v>X</v>
      </c>
      <c r="L6897" s="1" t="str">
        <f t="shared" si="1505"/>
        <v>X</v>
      </c>
      <c r="M6897" s="1" t="str">
        <f t="shared" si="1505"/>
        <v>X</v>
      </c>
      <c r="N6897" t="s">
        <v>27</v>
      </c>
    </row>
    <row r="6898" spans="1:14" x14ac:dyDescent="0.25">
      <c r="A6898" t="s">
        <v>42</v>
      </c>
      <c r="B6898" t="s">
        <v>39</v>
      </c>
      <c r="C6898" t="s">
        <v>38</v>
      </c>
      <c r="D6898" t="s">
        <v>29</v>
      </c>
      <c r="E6898" t="s">
        <v>26</v>
      </c>
      <c r="F6898" t="s">
        <v>17</v>
      </c>
      <c r="G6898" s="1" t="str">
        <f t="shared" si="1505"/>
        <v>X</v>
      </c>
      <c r="H6898" s="1" t="str">
        <f t="shared" si="1505"/>
        <v>X</v>
      </c>
      <c r="I6898" s="1" t="str">
        <f t="shared" si="1505"/>
        <v>X</v>
      </c>
      <c r="J6898" s="1" t="str">
        <f t="shared" si="1505"/>
        <v>X</v>
      </c>
      <c r="K6898" s="1" t="str">
        <f t="shared" si="1505"/>
        <v>X</v>
      </c>
      <c r="L6898" s="1" t="str">
        <f t="shared" si="1505"/>
        <v>X</v>
      </c>
      <c r="M6898" s="1" t="str">
        <f t="shared" si="1505"/>
        <v>X</v>
      </c>
      <c r="N6898" t="s">
        <v>27</v>
      </c>
    </row>
    <row r="6899" spans="1:14" x14ac:dyDescent="0.25">
      <c r="A6899" t="s">
        <v>42</v>
      </c>
      <c r="B6899" t="s">
        <v>39</v>
      </c>
      <c r="C6899" t="s">
        <v>38</v>
      </c>
      <c r="D6899" t="s">
        <v>29</v>
      </c>
      <c r="E6899" t="s">
        <v>26</v>
      </c>
      <c r="F6899" t="s">
        <v>18</v>
      </c>
      <c r="G6899" s="1" t="str">
        <f t="shared" ref="G6899:M6900" si="1506">"..."</f>
        <v>...</v>
      </c>
      <c r="H6899" s="1" t="str">
        <f t="shared" si="1506"/>
        <v>...</v>
      </c>
      <c r="I6899" s="1" t="str">
        <f t="shared" si="1506"/>
        <v>...</v>
      </c>
      <c r="J6899" s="1" t="str">
        <f t="shared" si="1506"/>
        <v>...</v>
      </c>
      <c r="K6899" s="1" t="str">
        <f t="shared" si="1506"/>
        <v>...</v>
      </c>
      <c r="L6899" s="1" t="str">
        <f t="shared" si="1506"/>
        <v>...</v>
      </c>
      <c r="M6899" s="1" t="str">
        <f t="shared" si="1506"/>
        <v>...</v>
      </c>
      <c r="N6899" t="s">
        <v>30</v>
      </c>
    </row>
    <row r="6900" spans="1:14" x14ac:dyDescent="0.25">
      <c r="A6900" t="s">
        <v>42</v>
      </c>
      <c r="B6900" t="s">
        <v>39</v>
      </c>
      <c r="C6900" t="s">
        <v>38</v>
      </c>
      <c r="D6900" t="s">
        <v>29</v>
      </c>
      <c r="E6900" t="s">
        <v>26</v>
      </c>
      <c r="F6900" t="s">
        <v>19</v>
      </c>
      <c r="G6900" s="1" t="str">
        <f t="shared" si="1506"/>
        <v>...</v>
      </c>
      <c r="H6900" s="1" t="str">
        <f t="shared" si="1506"/>
        <v>...</v>
      </c>
      <c r="I6900" s="1" t="str">
        <f t="shared" si="1506"/>
        <v>...</v>
      </c>
      <c r="J6900" s="1" t="str">
        <f t="shared" si="1506"/>
        <v>...</v>
      </c>
      <c r="K6900" s="1" t="str">
        <f t="shared" si="1506"/>
        <v>...</v>
      </c>
      <c r="L6900" s="1" t="str">
        <f t="shared" si="1506"/>
        <v>...</v>
      </c>
      <c r="M6900" s="1" t="str">
        <f t="shared" si="1506"/>
        <v>...</v>
      </c>
      <c r="N6900" t="s">
        <v>30</v>
      </c>
    </row>
    <row r="6901" spans="1:14" x14ac:dyDescent="0.25">
      <c r="A6901" t="s">
        <v>42</v>
      </c>
      <c r="B6901" t="s">
        <v>39</v>
      </c>
      <c r="C6901" t="s">
        <v>38</v>
      </c>
      <c r="D6901" t="s">
        <v>29</v>
      </c>
      <c r="E6901" t="s">
        <v>26</v>
      </c>
      <c r="F6901" t="s">
        <v>20</v>
      </c>
      <c r="G6901" s="1" t="str">
        <f t="shared" ref="G6901:M6901" si="1507">"X"</f>
        <v>X</v>
      </c>
      <c r="H6901" s="1" t="str">
        <f t="shared" si="1507"/>
        <v>X</v>
      </c>
      <c r="I6901" s="1" t="str">
        <f t="shared" si="1507"/>
        <v>X</v>
      </c>
      <c r="J6901" s="1" t="str">
        <f t="shared" si="1507"/>
        <v>X</v>
      </c>
      <c r="K6901" s="1" t="str">
        <f t="shared" si="1507"/>
        <v>X</v>
      </c>
      <c r="L6901" s="1" t="str">
        <f t="shared" si="1507"/>
        <v>X</v>
      </c>
      <c r="M6901" s="1" t="str">
        <f t="shared" si="1507"/>
        <v>X</v>
      </c>
      <c r="N6901" t="s">
        <v>27</v>
      </c>
    </row>
    <row r="6902" spans="1:14" x14ac:dyDescent="0.25">
      <c r="A6902" t="s">
        <v>42</v>
      </c>
      <c r="B6902" t="s">
        <v>39</v>
      </c>
      <c r="C6902" t="s">
        <v>38</v>
      </c>
      <c r="D6902" t="s">
        <v>31</v>
      </c>
      <c r="E6902" t="s">
        <v>15</v>
      </c>
      <c r="F6902" t="s">
        <v>15</v>
      </c>
      <c r="G6902" s="2">
        <f>VALUE(432.92)</f>
        <v>432.92</v>
      </c>
      <c r="H6902" s="3">
        <f>VALUE(421.56)</f>
        <v>421.56</v>
      </c>
      <c r="I6902" s="4">
        <f>VALUE(3298)</f>
        <v>3298</v>
      </c>
      <c r="J6902" s="5">
        <f>VALUE(4762)</f>
        <v>4762</v>
      </c>
      <c r="K6902" s="1">
        <f>VALUE(6699)</f>
        <v>6699</v>
      </c>
      <c r="L6902" s="7">
        <f>VALUE(11174)</f>
        <v>11174</v>
      </c>
      <c r="M6902" s="8">
        <f>VALUE(20508)</f>
        <v>20508</v>
      </c>
      <c r="N6902" t="s">
        <v>25</v>
      </c>
    </row>
    <row r="6903" spans="1:14" x14ac:dyDescent="0.25">
      <c r="A6903" t="s">
        <v>42</v>
      </c>
      <c r="B6903" t="s">
        <v>39</v>
      </c>
      <c r="C6903" t="s">
        <v>38</v>
      </c>
      <c r="D6903" t="s">
        <v>31</v>
      </c>
      <c r="E6903" t="s">
        <v>15</v>
      </c>
      <c r="F6903" t="s">
        <v>17</v>
      </c>
      <c r="G6903" s="1" t="str">
        <f t="shared" ref="G6903:M6905" si="1508">"X"</f>
        <v>X</v>
      </c>
      <c r="H6903" s="1" t="str">
        <f t="shared" si="1508"/>
        <v>X</v>
      </c>
      <c r="I6903" s="1" t="str">
        <f t="shared" si="1508"/>
        <v>X</v>
      </c>
      <c r="J6903" s="1" t="str">
        <f t="shared" si="1508"/>
        <v>X</v>
      </c>
      <c r="K6903" s="1" t="str">
        <f t="shared" si="1508"/>
        <v>X</v>
      </c>
      <c r="L6903" s="1" t="str">
        <f t="shared" si="1508"/>
        <v>X</v>
      </c>
      <c r="M6903" s="1" t="str">
        <f t="shared" si="1508"/>
        <v>X</v>
      </c>
      <c r="N6903" t="s">
        <v>27</v>
      </c>
    </row>
    <row r="6904" spans="1:14" x14ac:dyDescent="0.25">
      <c r="A6904" t="s">
        <v>42</v>
      </c>
      <c r="B6904" t="s">
        <v>39</v>
      </c>
      <c r="C6904" t="s">
        <v>38</v>
      </c>
      <c r="D6904" t="s">
        <v>31</v>
      </c>
      <c r="E6904" t="s">
        <v>15</v>
      </c>
      <c r="F6904" t="s">
        <v>18</v>
      </c>
      <c r="G6904" s="1" t="str">
        <f t="shared" si="1508"/>
        <v>X</v>
      </c>
      <c r="H6904" s="1" t="str">
        <f t="shared" si="1508"/>
        <v>X</v>
      </c>
      <c r="I6904" s="1" t="str">
        <f t="shared" si="1508"/>
        <v>X</v>
      </c>
      <c r="J6904" s="1" t="str">
        <f t="shared" si="1508"/>
        <v>X</v>
      </c>
      <c r="K6904" s="1" t="str">
        <f t="shared" si="1508"/>
        <v>X</v>
      </c>
      <c r="L6904" s="1" t="str">
        <f t="shared" si="1508"/>
        <v>X</v>
      </c>
      <c r="M6904" s="1" t="str">
        <f t="shared" si="1508"/>
        <v>X</v>
      </c>
      <c r="N6904" t="s">
        <v>27</v>
      </c>
    </row>
    <row r="6905" spans="1:14" x14ac:dyDescent="0.25">
      <c r="A6905" t="s">
        <v>42</v>
      </c>
      <c r="B6905" t="s">
        <v>39</v>
      </c>
      <c r="C6905" t="s">
        <v>38</v>
      </c>
      <c r="D6905" t="s">
        <v>31</v>
      </c>
      <c r="E6905" t="s">
        <v>15</v>
      </c>
      <c r="F6905" t="s">
        <v>19</v>
      </c>
      <c r="G6905" s="1" t="str">
        <f t="shared" si="1508"/>
        <v>X</v>
      </c>
      <c r="H6905" s="1" t="str">
        <f t="shared" si="1508"/>
        <v>X</v>
      </c>
      <c r="I6905" s="1" t="str">
        <f t="shared" si="1508"/>
        <v>X</v>
      </c>
      <c r="J6905" s="1" t="str">
        <f t="shared" si="1508"/>
        <v>X</v>
      </c>
      <c r="K6905" s="1" t="str">
        <f t="shared" si="1508"/>
        <v>X</v>
      </c>
      <c r="L6905" s="1" t="str">
        <f t="shared" si="1508"/>
        <v>X</v>
      </c>
      <c r="M6905" s="1" t="str">
        <f t="shared" si="1508"/>
        <v>X</v>
      </c>
      <c r="N6905" t="s">
        <v>27</v>
      </c>
    </row>
    <row r="6906" spans="1:14" x14ac:dyDescent="0.25">
      <c r="A6906" t="s">
        <v>42</v>
      </c>
      <c r="B6906" t="s">
        <v>39</v>
      </c>
      <c r="C6906" t="s">
        <v>38</v>
      </c>
      <c r="D6906" t="s">
        <v>31</v>
      </c>
      <c r="E6906" t="s">
        <v>15</v>
      </c>
      <c r="F6906" t="s">
        <v>20</v>
      </c>
      <c r="G6906" s="2">
        <f>VALUE(214.84)</f>
        <v>214.84</v>
      </c>
      <c r="H6906" s="3">
        <f>VALUE(202.19)</f>
        <v>202.19</v>
      </c>
      <c r="I6906" s="4">
        <f>VALUE(3224)</f>
        <v>3224</v>
      </c>
      <c r="J6906" s="5">
        <f>VALUE(3957)</f>
        <v>3957</v>
      </c>
      <c r="K6906" s="6">
        <f>VALUE(5313)</f>
        <v>5313</v>
      </c>
      <c r="L6906" s="1">
        <f>VALUE(6699)</f>
        <v>6699</v>
      </c>
      <c r="M6906" s="8">
        <f>VALUE(8082)</f>
        <v>8082</v>
      </c>
      <c r="N6906" t="s">
        <v>25</v>
      </c>
    </row>
    <row r="6907" spans="1:14" x14ac:dyDescent="0.25">
      <c r="A6907" t="s">
        <v>42</v>
      </c>
      <c r="B6907" t="s">
        <v>39</v>
      </c>
      <c r="C6907" t="s">
        <v>38</v>
      </c>
      <c r="D6907" t="s">
        <v>31</v>
      </c>
      <c r="E6907" t="s">
        <v>21</v>
      </c>
      <c r="F6907" t="s">
        <v>15</v>
      </c>
      <c r="G6907" s="2">
        <f>VALUE(185.49)</f>
        <v>185.49</v>
      </c>
      <c r="H6907" s="3">
        <f>VALUE(165.86)</f>
        <v>165.86</v>
      </c>
      <c r="I6907" s="4">
        <f>VALUE(4000)</f>
        <v>4000</v>
      </c>
      <c r="J6907" s="5">
        <f>VALUE(6500)</f>
        <v>6500</v>
      </c>
      <c r="K6907" s="6">
        <f>VALUE(11397)</f>
        <v>11397</v>
      </c>
      <c r="L6907" s="7">
        <f>VALUE(20508)</f>
        <v>20508</v>
      </c>
      <c r="M6907" s="8">
        <f>VALUE(53993)</f>
        <v>53993</v>
      </c>
      <c r="N6907" t="s">
        <v>24</v>
      </c>
    </row>
    <row r="6908" spans="1:14" x14ac:dyDescent="0.25">
      <c r="A6908" t="s">
        <v>42</v>
      </c>
      <c r="B6908" t="s">
        <v>39</v>
      </c>
      <c r="C6908" t="s">
        <v>38</v>
      </c>
      <c r="D6908" t="s">
        <v>31</v>
      </c>
      <c r="E6908" t="s">
        <v>21</v>
      </c>
      <c r="F6908" t="s">
        <v>17</v>
      </c>
      <c r="G6908" s="1" t="str">
        <f t="shared" ref="G6908:M6917" si="1509">"X"</f>
        <v>X</v>
      </c>
      <c r="H6908" s="1" t="str">
        <f t="shared" si="1509"/>
        <v>X</v>
      </c>
      <c r="I6908" s="1" t="str">
        <f t="shared" si="1509"/>
        <v>X</v>
      </c>
      <c r="J6908" s="1" t="str">
        <f t="shared" si="1509"/>
        <v>X</v>
      </c>
      <c r="K6908" s="1" t="str">
        <f t="shared" si="1509"/>
        <v>X</v>
      </c>
      <c r="L6908" s="1" t="str">
        <f t="shared" si="1509"/>
        <v>X</v>
      </c>
      <c r="M6908" s="1" t="str">
        <f t="shared" si="1509"/>
        <v>X</v>
      </c>
      <c r="N6908" t="s">
        <v>27</v>
      </c>
    </row>
    <row r="6909" spans="1:14" x14ac:dyDescent="0.25">
      <c r="A6909" t="s">
        <v>42</v>
      </c>
      <c r="B6909" t="s">
        <v>39</v>
      </c>
      <c r="C6909" t="s">
        <v>38</v>
      </c>
      <c r="D6909" t="s">
        <v>31</v>
      </c>
      <c r="E6909" t="s">
        <v>21</v>
      </c>
      <c r="F6909" t="s">
        <v>18</v>
      </c>
      <c r="G6909" s="1" t="str">
        <f t="shared" si="1509"/>
        <v>X</v>
      </c>
      <c r="H6909" s="1" t="str">
        <f t="shared" si="1509"/>
        <v>X</v>
      </c>
      <c r="I6909" s="1" t="str">
        <f t="shared" si="1509"/>
        <v>X</v>
      </c>
      <c r="J6909" s="1" t="str">
        <f t="shared" si="1509"/>
        <v>X</v>
      </c>
      <c r="K6909" s="1" t="str">
        <f t="shared" si="1509"/>
        <v>X</v>
      </c>
      <c r="L6909" s="1" t="str">
        <f t="shared" si="1509"/>
        <v>X</v>
      </c>
      <c r="M6909" s="1" t="str">
        <f t="shared" si="1509"/>
        <v>X</v>
      </c>
      <c r="N6909" t="s">
        <v>27</v>
      </c>
    </row>
    <row r="6910" spans="1:14" x14ac:dyDescent="0.25">
      <c r="A6910" t="s">
        <v>42</v>
      </c>
      <c r="B6910" t="s">
        <v>39</v>
      </c>
      <c r="C6910" t="s">
        <v>38</v>
      </c>
      <c r="D6910" t="s">
        <v>31</v>
      </c>
      <c r="E6910" t="s">
        <v>21</v>
      </c>
      <c r="F6910" t="s">
        <v>19</v>
      </c>
      <c r="G6910" s="1" t="str">
        <f t="shared" si="1509"/>
        <v>X</v>
      </c>
      <c r="H6910" s="1" t="str">
        <f t="shared" si="1509"/>
        <v>X</v>
      </c>
      <c r="I6910" s="1" t="str">
        <f t="shared" si="1509"/>
        <v>X</v>
      </c>
      <c r="J6910" s="1" t="str">
        <f t="shared" si="1509"/>
        <v>X</v>
      </c>
      <c r="K6910" s="1" t="str">
        <f t="shared" si="1509"/>
        <v>X</v>
      </c>
      <c r="L6910" s="1" t="str">
        <f t="shared" si="1509"/>
        <v>X</v>
      </c>
      <c r="M6910" s="1" t="str">
        <f t="shared" si="1509"/>
        <v>X</v>
      </c>
      <c r="N6910" t="s">
        <v>27</v>
      </c>
    </row>
    <row r="6911" spans="1:14" x14ac:dyDescent="0.25">
      <c r="A6911" t="s">
        <v>42</v>
      </c>
      <c r="B6911" t="s">
        <v>39</v>
      </c>
      <c r="C6911" t="s">
        <v>38</v>
      </c>
      <c r="D6911" t="s">
        <v>31</v>
      </c>
      <c r="E6911" t="s">
        <v>21</v>
      </c>
      <c r="F6911" t="s">
        <v>20</v>
      </c>
      <c r="G6911" s="1" t="str">
        <f t="shared" si="1509"/>
        <v>X</v>
      </c>
      <c r="H6911" s="1" t="str">
        <f t="shared" si="1509"/>
        <v>X</v>
      </c>
      <c r="I6911" s="1" t="str">
        <f t="shared" si="1509"/>
        <v>X</v>
      </c>
      <c r="J6911" s="1" t="str">
        <f t="shared" si="1509"/>
        <v>X</v>
      </c>
      <c r="K6911" s="1" t="str">
        <f t="shared" si="1509"/>
        <v>X</v>
      </c>
      <c r="L6911" s="1" t="str">
        <f t="shared" si="1509"/>
        <v>X</v>
      </c>
      <c r="M6911" s="1" t="str">
        <f t="shared" si="1509"/>
        <v>X</v>
      </c>
      <c r="N6911" t="s">
        <v>27</v>
      </c>
    </row>
    <row r="6912" spans="1:14" x14ac:dyDescent="0.25">
      <c r="A6912" t="s">
        <v>42</v>
      </c>
      <c r="B6912" t="s">
        <v>39</v>
      </c>
      <c r="C6912" t="s">
        <v>38</v>
      </c>
      <c r="D6912" t="s">
        <v>31</v>
      </c>
      <c r="E6912" t="s">
        <v>22</v>
      </c>
      <c r="F6912" t="s">
        <v>15</v>
      </c>
      <c r="G6912" s="1" t="str">
        <f t="shared" si="1509"/>
        <v>X</v>
      </c>
      <c r="H6912" s="1" t="str">
        <f t="shared" si="1509"/>
        <v>X</v>
      </c>
      <c r="I6912" s="1" t="str">
        <f t="shared" si="1509"/>
        <v>X</v>
      </c>
      <c r="J6912" s="1" t="str">
        <f t="shared" si="1509"/>
        <v>X</v>
      </c>
      <c r="K6912" s="1" t="str">
        <f t="shared" si="1509"/>
        <v>X</v>
      </c>
      <c r="L6912" s="1" t="str">
        <f t="shared" si="1509"/>
        <v>X</v>
      </c>
      <c r="M6912" s="1" t="str">
        <f t="shared" si="1509"/>
        <v>X</v>
      </c>
      <c r="N6912" t="s">
        <v>27</v>
      </c>
    </row>
    <row r="6913" spans="1:14" x14ac:dyDescent="0.25">
      <c r="A6913" t="s">
        <v>42</v>
      </c>
      <c r="B6913" t="s">
        <v>39</v>
      </c>
      <c r="C6913" t="s">
        <v>38</v>
      </c>
      <c r="D6913" t="s">
        <v>31</v>
      </c>
      <c r="E6913" t="s">
        <v>22</v>
      </c>
      <c r="F6913" t="s">
        <v>17</v>
      </c>
      <c r="G6913" s="1" t="str">
        <f t="shared" si="1509"/>
        <v>X</v>
      </c>
      <c r="H6913" s="1" t="str">
        <f t="shared" si="1509"/>
        <v>X</v>
      </c>
      <c r="I6913" s="1" t="str">
        <f t="shared" si="1509"/>
        <v>X</v>
      </c>
      <c r="J6913" s="1" t="str">
        <f t="shared" si="1509"/>
        <v>X</v>
      </c>
      <c r="K6913" s="1" t="str">
        <f t="shared" si="1509"/>
        <v>X</v>
      </c>
      <c r="L6913" s="1" t="str">
        <f t="shared" si="1509"/>
        <v>X</v>
      </c>
      <c r="M6913" s="1" t="str">
        <f t="shared" si="1509"/>
        <v>X</v>
      </c>
      <c r="N6913" t="s">
        <v>27</v>
      </c>
    </row>
    <row r="6914" spans="1:14" x14ac:dyDescent="0.25">
      <c r="A6914" t="s">
        <v>42</v>
      </c>
      <c r="B6914" t="s">
        <v>39</v>
      </c>
      <c r="C6914" t="s">
        <v>38</v>
      </c>
      <c r="D6914" t="s">
        <v>31</v>
      </c>
      <c r="E6914" t="s">
        <v>22</v>
      </c>
      <c r="F6914" t="s">
        <v>18</v>
      </c>
      <c r="G6914" s="1" t="str">
        <f t="shared" si="1509"/>
        <v>X</v>
      </c>
      <c r="H6914" s="1" t="str">
        <f t="shared" si="1509"/>
        <v>X</v>
      </c>
      <c r="I6914" s="1" t="str">
        <f t="shared" si="1509"/>
        <v>X</v>
      </c>
      <c r="J6914" s="1" t="str">
        <f t="shared" si="1509"/>
        <v>X</v>
      </c>
      <c r="K6914" s="1" t="str">
        <f t="shared" si="1509"/>
        <v>X</v>
      </c>
      <c r="L6914" s="1" t="str">
        <f t="shared" si="1509"/>
        <v>X</v>
      </c>
      <c r="M6914" s="1" t="str">
        <f t="shared" si="1509"/>
        <v>X</v>
      </c>
      <c r="N6914" t="s">
        <v>27</v>
      </c>
    </row>
    <row r="6915" spans="1:14" x14ac:dyDescent="0.25">
      <c r="A6915" t="s">
        <v>42</v>
      </c>
      <c r="B6915" t="s">
        <v>39</v>
      </c>
      <c r="C6915" t="s">
        <v>38</v>
      </c>
      <c r="D6915" t="s">
        <v>31</v>
      </c>
      <c r="E6915" t="s">
        <v>22</v>
      </c>
      <c r="F6915" t="s">
        <v>19</v>
      </c>
      <c r="G6915" s="1" t="str">
        <f t="shared" si="1509"/>
        <v>X</v>
      </c>
      <c r="H6915" s="1" t="str">
        <f t="shared" si="1509"/>
        <v>X</v>
      </c>
      <c r="I6915" s="1" t="str">
        <f t="shared" si="1509"/>
        <v>X</v>
      </c>
      <c r="J6915" s="1" t="str">
        <f t="shared" si="1509"/>
        <v>X</v>
      </c>
      <c r="K6915" s="1" t="str">
        <f t="shared" si="1509"/>
        <v>X</v>
      </c>
      <c r="L6915" s="1" t="str">
        <f t="shared" si="1509"/>
        <v>X</v>
      </c>
      <c r="M6915" s="1" t="str">
        <f t="shared" si="1509"/>
        <v>X</v>
      </c>
      <c r="N6915" t="s">
        <v>27</v>
      </c>
    </row>
    <row r="6916" spans="1:14" x14ac:dyDescent="0.25">
      <c r="A6916" t="s">
        <v>42</v>
      </c>
      <c r="B6916" t="s">
        <v>39</v>
      </c>
      <c r="C6916" t="s">
        <v>38</v>
      </c>
      <c r="D6916" t="s">
        <v>31</v>
      </c>
      <c r="E6916" t="s">
        <v>22</v>
      </c>
      <c r="F6916" t="s">
        <v>20</v>
      </c>
      <c r="G6916" s="1" t="str">
        <f t="shared" si="1509"/>
        <v>X</v>
      </c>
      <c r="H6916" s="1" t="str">
        <f t="shared" si="1509"/>
        <v>X</v>
      </c>
      <c r="I6916" s="1" t="str">
        <f t="shared" si="1509"/>
        <v>X</v>
      </c>
      <c r="J6916" s="1" t="str">
        <f t="shared" si="1509"/>
        <v>X</v>
      </c>
      <c r="K6916" s="1" t="str">
        <f t="shared" si="1509"/>
        <v>X</v>
      </c>
      <c r="L6916" s="1" t="str">
        <f t="shared" si="1509"/>
        <v>X</v>
      </c>
      <c r="M6916" s="1" t="str">
        <f t="shared" si="1509"/>
        <v>X</v>
      </c>
      <c r="N6916" t="s">
        <v>27</v>
      </c>
    </row>
    <row r="6917" spans="1:14" x14ac:dyDescent="0.25">
      <c r="A6917" t="s">
        <v>42</v>
      </c>
      <c r="B6917" t="s">
        <v>39</v>
      </c>
      <c r="C6917" t="s">
        <v>38</v>
      </c>
      <c r="D6917" t="s">
        <v>31</v>
      </c>
      <c r="E6917" t="s">
        <v>23</v>
      </c>
      <c r="F6917" t="s">
        <v>15</v>
      </c>
      <c r="G6917" s="1" t="str">
        <f t="shared" si="1509"/>
        <v>X</v>
      </c>
      <c r="H6917" s="1" t="str">
        <f t="shared" si="1509"/>
        <v>X</v>
      </c>
      <c r="I6917" s="1" t="str">
        <f t="shared" si="1509"/>
        <v>X</v>
      </c>
      <c r="J6917" s="1" t="str">
        <f t="shared" si="1509"/>
        <v>X</v>
      </c>
      <c r="K6917" s="1" t="str">
        <f t="shared" si="1509"/>
        <v>X</v>
      </c>
      <c r="L6917" s="1" t="str">
        <f t="shared" si="1509"/>
        <v>X</v>
      </c>
      <c r="M6917" s="1" t="str">
        <f t="shared" si="1509"/>
        <v>X</v>
      </c>
      <c r="N6917" t="s">
        <v>27</v>
      </c>
    </row>
    <row r="6918" spans="1:14" x14ac:dyDescent="0.25">
      <c r="A6918" t="s">
        <v>42</v>
      </c>
      <c r="B6918" t="s">
        <v>39</v>
      </c>
      <c r="C6918" t="s">
        <v>38</v>
      </c>
      <c r="D6918" t="s">
        <v>31</v>
      </c>
      <c r="E6918" t="s">
        <v>23</v>
      </c>
      <c r="F6918" t="s">
        <v>17</v>
      </c>
      <c r="G6918" s="1" t="str">
        <f t="shared" ref="G6918:M6923" si="1510">"X"</f>
        <v>X</v>
      </c>
      <c r="H6918" s="1" t="str">
        <f t="shared" si="1510"/>
        <v>X</v>
      </c>
      <c r="I6918" s="1" t="str">
        <f t="shared" si="1510"/>
        <v>X</v>
      </c>
      <c r="J6918" s="1" t="str">
        <f t="shared" si="1510"/>
        <v>X</v>
      </c>
      <c r="K6918" s="1" t="str">
        <f t="shared" si="1510"/>
        <v>X</v>
      </c>
      <c r="L6918" s="1" t="str">
        <f t="shared" si="1510"/>
        <v>X</v>
      </c>
      <c r="M6918" s="1" t="str">
        <f t="shared" si="1510"/>
        <v>X</v>
      </c>
      <c r="N6918" t="s">
        <v>27</v>
      </c>
    </row>
    <row r="6919" spans="1:14" x14ac:dyDescent="0.25">
      <c r="A6919" t="s">
        <v>42</v>
      </c>
      <c r="B6919" t="s">
        <v>39</v>
      </c>
      <c r="C6919" t="s">
        <v>38</v>
      </c>
      <c r="D6919" t="s">
        <v>31</v>
      </c>
      <c r="E6919" t="s">
        <v>23</v>
      </c>
      <c r="F6919" t="s">
        <v>18</v>
      </c>
      <c r="G6919" s="1" t="str">
        <f t="shared" si="1510"/>
        <v>X</v>
      </c>
      <c r="H6919" s="1" t="str">
        <f t="shared" si="1510"/>
        <v>X</v>
      </c>
      <c r="I6919" s="1" t="str">
        <f t="shared" si="1510"/>
        <v>X</v>
      </c>
      <c r="J6919" s="1" t="str">
        <f t="shared" si="1510"/>
        <v>X</v>
      </c>
      <c r="K6919" s="1" t="str">
        <f t="shared" si="1510"/>
        <v>X</v>
      </c>
      <c r="L6919" s="1" t="str">
        <f t="shared" si="1510"/>
        <v>X</v>
      </c>
      <c r="M6919" s="1" t="str">
        <f t="shared" si="1510"/>
        <v>X</v>
      </c>
      <c r="N6919" t="s">
        <v>27</v>
      </c>
    </row>
    <row r="6920" spans="1:14" x14ac:dyDescent="0.25">
      <c r="A6920" t="s">
        <v>42</v>
      </c>
      <c r="B6920" t="s">
        <v>39</v>
      </c>
      <c r="C6920" t="s">
        <v>38</v>
      </c>
      <c r="D6920" t="s">
        <v>31</v>
      </c>
      <c r="E6920" t="s">
        <v>23</v>
      </c>
      <c r="F6920" t="s">
        <v>19</v>
      </c>
      <c r="G6920" s="1" t="str">
        <f t="shared" si="1510"/>
        <v>X</v>
      </c>
      <c r="H6920" s="1" t="str">
        <f t="shared" si="1510"/>
        <v>X</v>
      </c>
      <c r="I6920" s="1" t="str">
        <f t="shared" si="1510"/>
        <v>X</v>
      </c>
      <c r="J6920" s="1" t="str">
        <f t="shared" si="1510"/>
        <v>X</v>
      </c>
      <c r="K6920" s="1" t="str">
        <f t="shared" si="1510"/>
        <v>X</v>
      </c>
      <c r="L6920" s="1" t="str">
        <f t="shared" si="1510"/>
        <v>X</v>
      </c>
      <c r="M6920" s="1" t="str">
        <f t="shared" si="1510"/>
        <v>X</v>
      </c>
      <c r="N6920" t="s">
        <v>27</v>
      </c>
    </row>
    <row r="6921" spans="1:14" x14ac:dyDescent="0.25">
      <c r="A6921" t="s">
        <v>42</v>
      </c>
      <c r="B6921" t="s">
        <v>39</v>
      </c>
      <c r="C6921" t="s">
        <v>38</v>
      </c>
      <c r="D6921" t="s">
        <v>31</v>
      </c>
      <c r="E6921" t="s">
        <v>23</v>
      </c>
      <c r="F6921" t="s">
        <v>20</v>
      </c>
      <c r="G6921" s="1" t="str">
        <f t="shared" si="1510"/>
        <v>X</v>
      </c>
      <c r="H6921" s="1" t="str">
        <f t="shared" si="1510"/>
        <v>X</v>
      </c>
      <c r="I6921" s="1" t="str">
        <f t="shared" si="1510"/>
        <v>X</v>
      </c>
      <c r="J6921" s="1" t="str">
        <f t="shared" si="1510"/>
        <v>X</v>
      </c>
      <c r="K6921" s="1" t="str">
        <f t="shared" si="1510"/>
        <v>X</v>
      </c>
      <c r="L6921" s="1" t="str">
        <f t="shared" si="1510"/>
        <v>X</v>
      </c>
      <c r="M6921" s="1" t="str">
        <f t="shared" si="1510"/>
        <v>X</v>
      </c>
      <c r="N6921" t="s">
        <v>27</v>
      </c>
    </row>
    <row r="6922" spans="1:14" x14ac:dyDescent="0.25">
      <c r="A6922" t="s">
        <v>42</v>
      </c>
      <c r="B6922" t="s">
        <v>39</v>
      </c>
      <c r="C6922" t="s">
        <v>38</v>
      </c>
      <c r="D6922" t="s">
        <v>31</v>
      </c>
      <c r="E6922" t="s">
        <v>26</v>
      </c>
      <c r="F6922" t="s">
        <v>15</v>
      </c>
      <c r="G6922" s="1" t="str">
        <f t="shared" si="1510"/>
        <v>X</v>
      </c>
      <c r="H6922" s="1" t="str">
        <f t="shared" si="1510"/>
        <v>X</v>
      </c>
      <c r="I6922" s="1" t="str">
        <f t="shared" si="1510"/>
        <v>X</v>
      </c>
      <c r="J6922" s="1" t="str">
        <f t="shared" si="1510"/>
        <v>X</v>
      </c>
      <c r="K6922" s="1" t="str">
        <f t="shared" si="1510"/>
        <v>X</v>
      </c>
      <c r="L6922" s="1" t="str">
        <f t="shared" si="1510"/>
        <v>X</v>
      </c>
      <c r="M6922" s="1" t="str">
        <f t="shared" si="1510"/>
        <v>X</v>
      </c>
      <c r="N6922" t="s">
        <v>27</v>
      </c>
    </row>
    <row r="6923" spans="1:14" x14ac:dyDescent="0.25">
      <c r="A6923" t="s">
        <v>42</v>
      </c>
      <c r="B6923" t="s">
        <v>39</v>
      </c>
      <c r="C6923" t="s">
        <v>38</v>
      </c>
      <c r="D6923" t="s">
        <v>31</v>
      </c>
      <c r="E6923" t="s">
        <v>26</v>
      </c>
      <c r="F6923" t="s">
        <v>17</v>
      </c>
      <c r="G6923" s="1" t="str">
        <f t="shared" si="1510"/>
        <v>X</v>
      </c>
      <c r="H6923" s="1" t="str">
        <f t="shared" si="1510"/>
        <v>X</v>
      </c>
      <c r="I6923" s="1" t="str">
        <f t="shared" si="1510"/>
        <v>X</v>
      </c>
      <c r="J6923" s="1" t="str">
        <f t="shared" si="1510"/>
        <v>X</v>
      </c>
      <c r="K6923" s="1" t="str">
        <f t="shared" si="1510"/>
        <v>X</v>
      </c>
      <c r="L6923" s="1" t="str">
        <f t="shared" si="1510"/>
        <v>X</v>
      </c>
      <c r="M6923" s="1" t="str">
        <f t="shared" si="1510"/>
        <v>X</v>
      </c>
      <c r="N6923" t="s">
        <v>27</v>
      </c>
    </row>
    <row r="6924" spans="1:14" x14ac:dyDescent="0.25">
      <c r="A6924" t="s">
        <v>42</v>
      </c>
      <c r="B6924" t="s">
        <v>39</v>
      </c>
      <c r="C6924" t="s">
        <v>38</v>
      </c>
      <c r="D6924" t="s">
        <v>31</v>
      </c>
      <c r="E6924" t="s">
        <v>26</v>
      </c>
      <c r="F6924" t="s">
        <v>18</v>
      </c>
      <c r="G6924" s="1" t="str">
        <f t="shared" ref="G6924:M6925" si="1511">"..."</f>
        <v>...</v>
      </c>
      <c r="H6924" s="1" t="str">
        <f t="shared" si="1511"/>
        <v>...</v>
      </c>
      <c r="I6924" s="1" t="str">
        <f t="shared" si="1511"/>
        <v>...</v>
      </c>
      <c r="J6924" s="1" t="str">
        <f t="shared" si="1511"/>
        <v>...</v>
      </c>
      <c r="K6924" s="1" t="str">
        <f t="shared" si="1511"/>
        <v>...</v>
      </c>
      <c r="L6924" s="1" t="str">
        <f t="shared" si="1511"/>
        <v>...</v>
      </c>
      <c r="M6924" s="1" t="str">
        <f t="shared" si="1511"/>
        <v>...</v>
      </c>
      <c r="N6924" t="s">
        <v>30</v>
      </c>
    </row>
    <row r="6925" spans="1:14" x14ac:dyDescent="0.25">
      <c r="A6925" t="s">
        <v>42</v>
      </c>
      <c r="B6925" t="s">
        <v>39</v>
      </c>
      <c r="C6925" t="s">
        <v>38</v>
      </c>
      <c r="D6925" t="s">
        <v>31</v>
      </c>
      <c r="E6925" t="s">
        <v>26</v>
      </c>
      <c r="F6925" t="s">
        <v>19</v>
      </c>
      <c r="G6925" s="1" t="str">
        <f t="shared" si="1511"/>
        <v>...</v>
      </c>
      <c r="H6925" s="1" t="str">
        <f t="shared" si="1511"/>
        <v>...</v>
      </c>
      <c r="I6925" s="1" t="str">
        <f t="shared" si="1511"/>
        <v>...</v>
      </c>
      <c r="J6925" s="1" t="str">
        <f t="shared" si="1511"/>
        <v>...</v>
      </c>
      <c r="K6925" s="1" t="str">
        <f t="shared" si="1511"/>
        <v>...</v>
      </c>
      <c r="L6925" s="1" t="str">
        <f t="shared" si="1511"/>
        <v>...</v>
      </c>
      <c r="M6925" s="1" t="str">
        <f t="shared" si="1511"/>
        <v>...</v>
      </c>
      <c r="N6925" t="s">
        <v>30</v>
      </c>
    </row>
    <row r="6926" spans="1:14" x14ac:dyDescent="0.25">
      <c r="A6926" t="s">
        <v>42</v>
      </c>
      <c r="B6926" t="s">
        <v>39</v>
      </c>
      <c r="C6926" t="s">
        <v>38</v>
      </c>
      <c r="D6926" t="s">
        <v>31</v>
      </c>
      <c r="E6926" t="s">
        <v>26</v>
      </c>
      <c r="F6926" t="s">
        <v>20</v>
      </c>
      <c r="G6926" s="1" t="str">
        <f t="shared" ref="G6926:M6926" si="1512">"X"</f>
        <v>X</v>
      </c>
      <c r="H6926" s="1" t="str">
        <f t="shared" si="1512"/>
        <v>X</v>
      </c>
      <c r="I6926" s="1" t="str">
        <f t="shared" si="1512"/>
        <v>X</v>
      </c>
      <c r="J6926" s="1" t="str">
        <f t="shared" si="1512"/>
        <v>X</v>
      </c>
      <c r="K6926" s="1" t="str">
        <f t="shared" si="1512"/>
        <v>X</v>
      </c>
      <c r="L6926" s="1" t="str">
        <f t="shared" si="1512"/>
        <v>X</v>
      </c>
      <c r="M6926" s="1" t="str">
        <f t="shared" si="1512"/>
        <v>X</v>
      </c>
      <c r="N6926" t="s">
        <v>27</v>
      </c>
    </row>
    <row r="6927" spans="1:14" x14ac:dyDescent="0.25">
      <c r="A6927" t="s">
        <v>42</v>
      </c>
      <c r="B6927" t="s">
        <v>39</v>
      </c>
      <c r="C6927" t="s">
        <v>38</v>
      </c>
      <c r="D6927" t="s">
        <v>32</v>
      </c>
      <c r="E6927" t="s">
        <v>15</v>
      </c>
      <c r="F6927" t="s">
        <v>15</v>
      </c>
      <c r="G6927" s="2">
        <f>VALUE(6282.79)</f>
        <v>6282.79</v>
      </c>
      <c r="H6927" s="3">
        <f>VALUE(6358.65)</f>
        <v>6358.65</v>
      </c>
      <c r="I6927" s="1">
        <f>VALUE(3593)</f>
        <v>3593</v>
      </c>
      <c r="J6927" s="1">
        <f>VALUE(4335)</f>
        <v>4335</v>
      </c>
      <c r="K6927" s="1">
        <f>VALUE(5296)</f>
        <v>5296</v>
      </c>
      <c r="L6927" s="7">
        <f>VALUE(6434)</f>
        <v>6434</v>
      </c>
      <c r="M6927" s="8">
        <f>VALUE(10133)</f>
        <v>10133</v>
      </c>
      <c r="N6927" t="s">
        <v>25</v>
      </c>
    </row>
    <row r="6928" spans="1:14" x14ac:dyDescent="0.25">
      <c r="A6928" t="s">
        <v>42</v>
      </c>
      <c r="B6928" t="s">
        <v>39</v>
      </c>
      <c r="C6928" t="s">
        <v>38</v>
      </c>
      <c r="D6928" t="s">
        <v>32</v>
      </c>
      <c r="E6928" t="s">
        <v>15</v>
      </c>
      <c r="F6928" t="s">
        <v>17</v>
      </c>
      <c r="G6928" s="2">
        <f>VALUE(993.32)</f>
        <v>993.32</v>
      </c>
      <c r="H6928" s="3">
        <f>VALUE(981.11)</f>
        <v>981.11</v>
      </c>
      <c r="I6928" s="4">
        <f>VALUE(4690)</f>
        <v>4690</v>
      </c>
      <c r="J6928" s="5">
        <f>VALUE(6500)</f>
        <v>6500</v>
      </c>
      <c r="K6928" s="6">
        <f>VALUE(11017)</f>
        <v>11017</v>
      </c>
      <c r="L6928" s="7">
        <f>VALUE(11250)</f>
        <v>11250</v>
      </c>
      <c r="M6928" s="8">
        <f>VALUE(16218)</f>
        <v>16218</v>
      </c>
      <c r="N6928" t="s">
        <v>24</v>
      </c>
    </row>
    <row r="6929" spans="1:14" x14ac:dyDescent="0.25">
      <c r="A6929" t="s">
        <v>42</v>
      </c>
      <c r="B6929" t="s">
        <v>39</v>
      </c>
      <c r="C6929" t="s">
        <v>38</v>
      </c>
      <c r="D6929" t="s">
        <v>32</v>
      </c>
      <c r="E6929" t="s">
        <v>15</v>
      </c>
      <c r="F6929" t="s">
        <v>18</v>
      </c>
      <c r="G6929" s="2">
        <f>VALUE(467.29)</f>
        <v>467.29</v>
      </c>
      <c r="H6929" s="3">
        <f>VALUE(455.58)</f>
        <v>455.58</v>
      </c>
      <c r="I6929" s="4">
        <f>VALUE(4221)</f>
        <v>4221</v>
      </c>
      <c r="J6929" s="1">
        <f>VALUE(5006)</f>
        <v>5006</v>
      </c>
      <c r="K6929" s="6">
        <f>VALUE(5853)</f>
        <v>5853</v>
      </c>
      <c r="L6929" s="7">
        <f>VALUE(7576)</f>
        <v>7576</v>
      </c>
      <c r="M6929" s="8">
        <f>VALUE(9929)</f>
        <v>9929</v>
      </c>
      <c r="N6929" t="s">
        <v>25</v>
      </c>
    </row>
    <row r="6930" spans="1:14" x14ac:dyDescent="0.25">
      <c r="A6930" t="s">
        <v>42</v>
      </c>
      <c r="B6930" t="s">
        <v>39</v>
      </c>
      <c r="C6930" t="s">
        <v>38</v>
      </c>
      <c r="D6930" t="s">
        <v>32</v>
      </c>
      <c r="E6930" t="s">
        <v>15</v>
      </c>
      <c r="F6930" t="s">
        <v>19</v>
      </c>
      <c r="G6930" s="2">
        <f>VALUE(934.04)</f>
        <v>934.04</v>
      </c>
      <c r="H6930" s="3">
        <f>VALUE(964)</f>
        <v>964</v>
      </c>
      <c r="I6930" s="1">
        <f>VALUE(3830)</f>
        <v>3830</v>
      </c>
      <c r="J6930" s="1">
        <f>VALUE(4507)</f>
        <v>4507</v>
      </c>
      <c r="K6930" s="1">
        <f>VALUE(5494)</f>
        <v>5494</v>
      </c>
      <c r="L6930" s="1">
        <f>VALUE(6340)</f>
        <v>6340</v>
      </c>
      <c r="M6930" s="8">
        <f>VALUE(7515)</f>
        <v>7515</v>
      </c>
      <c r="N6930" t="s">
        <v>25</v>
      </c>
    </row>
    <row r="6931" spans="1:14" x14ac:dyDescent="0.25">
      <c r="A6931" t="s">
        <v>42</v>
      </c>
      <c r="B6931" t="s">
        <v>39</v>
      </c>
      <c r="C6931" t="s">
        <v>38</v>
      </c>
      <c r="D6931" t="s">
        <v>32</v>
      </c>
      <c r="E6931" t="s">
        <v>15</v>
      </c>
      <c r="F6931" t="s">
        <v>20</v>
      </c>
      <c r="G6931" s="1">
        <f>VALUE(3888.14)</f>
        <v>3888.14</v>
      </c>
      <c r="H6931" s="1">
        <f>VALUE(3957.96)</f>
        <v>3957.96</v>
      </c>
      <c r="I6931" s="1">
        <f>VALUE(3438)</f>
        <v>3438</v>
      </c>
      <c r="J6931" s="1">
        <f>VALUE(4117)</f>
        <v>4117</v>
      </c>
      <c r="K6931" s="1">
        <f>VALUE(4866)</f>
        <v>4866</v>
      </c>
      <c r="L6931" s="1">
        <f>VALUE(5779)</f>
        <v>5779</v>
      </c>
      <c r="M6931" s="1">
        <f>VALUE(6541)</f>
        <v>6541</v>
      </c>
      <c r="N6931" t="s">
        <v>16</v>
      </c>
    </row>
    <row r="6932" spans="1:14" x14ac:dyDescent="0.25">
      <c r="A6932" t="s">
        <v>42</v>
      </c>
      <c r="B6932" t="s">
        <v>39</v>
      </c>
      <c r="C6932" t="s">
        <v>38</v>
      </c>
      <c r="D6932" t="s">
        <v>32</v>
      </c>
      <c r="E6932" t="s">
        <v>21</v>
      </c>
      <c r="F6932" t="s">
        <v>15</v>
      </c>
      <c r="G6932" s="2">
        <f>VALUE(964.44)</f>
        <v>964.44</v>
      </c>
      <c r="H6932" s="3">
        <f>VALUE(923.26)</f>
        <v>923.26</v>
      </c>
      <c r="I6932" s="4">
        <f>VALUE(4570)</f>
        <v>4570</v>
      </c>
      <c r="J6932" s="5">
        <f>VALUE(6166)</f>
        <v>6166</v>
      </c>
      <c r="K6932" s="6">
        <f>VALUE(9991)</f>
        <v>9991</v>
      </c>
      <c r="L6932" s="7">
        <f>VALUE(11250)</f>
        <v>11250</v>
      </c>
      <c r="M6932" s="8">
        <f>VALUE(12986)</f>
        <v>12986</v>
      </c>
      <c r="N6932" t="s">
        <v>24</v>
      </c>
    </row>
    <row r="6933" spans="1:14" x14ac:dyDescent="0.25">
      <c r="A6933" t="s">
        <v>42</v>
      </c>
      <c r="B6933" t="s">
        <v>39</v>
      </c>
      <c r="C6933" t="s">
        <v>38</v>
      </c>
      <c r="D6933" t="s">
        <v>32</v>
      </c>
      <c r="E6933" t="s">
        <v>21</v>
      </c>
      <c r="F6933" t="s">
        <v>17</v>
      </c>
      <c r="G6933" s="2">
        <f>VALUE(618.96)</f>
        <v>618.96</v>
      </c>
      <c r="H6933" s="3">
        <f>VALUE(602.81)</f>
        <v>602.80999999999995</v>
      </c>
      <c r="I6933" s="4">
        <f>VALUE(5599)</f>
        <v>5599</v>
      </c>
      <c r="J6933" s="5">
        <f>VALUE(8402)</f>
        <v>8402</v>
      </c>
      <c r="K6933" s="6">
        <f>VALUE(11250)</f>
        <v>11250</v>
      </c>
      <c r="L6933" s="7">
        <f>VALUE(11250)</f>
        <v>11250</v>
      </c>
      <c r="M6933" s="8">
        <f>VALUE(15400)</f>
        <v>15400</v>
      </c>
      <c r="N6933" t="s">
        <v>24</v>
      </c>
    </row>
    <row r="6934" spans="1:14" x14ac:dyDescent="0.25">
      <c r="A6934" t="s">
        <v>42</v>
      </c>
      <c r="B6934" t="s">
        <v>39</v>
      </c>
      <c r="C6934" t="s">
        <v>38</v>
      </c>
      <c r="D6934" t="s">
        <v>32</v>
      </c>
      <c r="E6934" t="s">
        <v>21</v>
      </c>
      <c r="F6934" t="s">
        <v>18</v>
      </c>
      <c r="G6934" s="1" t="str">
        <f t="shared" ref="G6934:M6935" si="1513">"X"</f>
        <v>X</v>
      </c>
      <c r="H6934" s="1" t="str">
        <f t="shared" si="1513"/>
        <v>X</v>
      </c>
      <c r="I6934" s="1" t="str">
        <f t="shared" si="1513"/>
        <v>X</v>
      </c>
      <c r="J6934" s="1" t="str">
        <f t="shared" si="1513"/>
        <v>X</v>
      </c>
      <c r="K6934" s="1" t="str">
        <f t="shared" si="1513"/>
        <v>X</v>
      </c>
      <c r="L6934" s="1" t="str">
        <f t="shared" si="1513"/>
        <v>X</v>
      </c>
      <c r="M6934" s="1" t="str">
        <f t="shared" si="1513"/>
        <v>X</v>
      </c>
      <c r="N6934" t="s">
        <v>27</v>
      </c>
    </row>
    <row r="6935" spans="1:14" x14ac:dyDescent="0.25">
      <c r="A6935" t="s">
        <v>42</v>
      </c>
      <c r="B6935" t="s">
        <v>39</v>
      </c>
      <c r="C6935" t="s">
        <v>38</v>
      </c>
      <c r="D6935" t="s">
        <v>32</v>
      </c>
      <c r="E6935" t="s">
        <v>21</v>
      </c>
      <c r="F6935" t="s">
        <v>19</v>
      </c>
      <c r="G6935" s="1" t="str">
        <f t="shared" si="1513"/>
        <v>X</v>
      </c>
      <c r="H6935" s="1" t="str">
        <f t="shared" si="1513"/>
        <v>X</v>
      </c>
      <c r="I6935" s="1" t="str">
        <f t="shared" si="1513"/>
        <v>X</v>
      </c>
      <c r="J6935" s="1" t="str">
        <f t="shared" si="1513"/>
        <v>X</v>
      </c>
      <c r="K6935" s="1" t="str">
        <f t="shared" si="1513"/>
        <v>X</v>
      </c>
      <c r="L6935" s="1" t="str">
        <f t="shared" si="1513"/>
        <v>X</v>
      </c>
      <c r="M6935" s="1" t="str">
        <f t="shared" si="1513"/>
        <v>X</v>
      </c>
      <c r="N6935" t="s">
        <v>27</v>
      </c>
    </row>
    <row r="6936" spans="1:14" x14ac:dyDescent="0.25">
      <c r="A6936" t="s">
        <v>42</v>
      </c>
      <c r="B6936" t="s">
        <v>39</v>
      </c>
      <c r="C6936" t="s">
        <v>38</v>
      </c>
      <c r="D6936" t="s">
        <v>32</v>
      </c>
      <c r="E6936" t="s">
        <v>21</v>
      </c>
      <c r="F6936" t="s">
        <v>20</v>
      </c>
      <c r="G6936" s="2">
        <f>VALUE(148.93)</f>
        <v>148.93</v>
      </c>
      <c r="H6936" s="3">
        <f>VALUE(130.71)</f>
        <v>130.71</v>
      </c>
      <c r="I6936" s="4">
        <f>VALUE(3959)</f>
        <v>3959</v>
      </c>
      <c r="J6936" s="1">
        <f>VALUE(4481)</f>
        <v>4481</v>
      </c>
      <c r="K6936" s="6">
        <f>VALUE(5632)</f>
        <v>5632</v>
      </c>
      <c r="L6936" s="1">
        <f>VALUE(6579)</f>
        <v>6579</v>
      </c>
      <c r="M6936" s="8">
        <f>VALUE(8473)</f>
        <v>8473</v>
      </c>
      <c r="N6936" t="s">
        <v>25</v>
      </c>
    </row>
    <row r="6937" spans="1:14" x14ac:dyDescent="0.25">
      <c r="A6937" t="s">
        <v>42</v>
      </c>
      <c r="B6937" t="s">
        <v>39</v>
      </c>
      <c r="C6937" t="s">
        <v>38</v>
      </c>
      <c r="D6937" t="s">
        <v>32</v>
      </c>
      <c r="E6937" t="s">
        <v>22</v>
      </c>
      <c r="F6937" t="s">
        <v>15</v>
      </c>
      <c r="G6937" s="1">
        <f>VALUE(1852.55)</f>
        <v>1852.55</v>
      </c>
      <c r="H6937" s="3">
        <f>VALUE(1896.7)</f>
        <v>1896.7</v>
      </c>
      <c r="I6937" s="4">
        <f>VALUE(4033)</f>
        <v>4033</v>
      </c>
      <c r="J6937" s="1">
        <f>VALUE(4553)</f>
        <v>4553</v>
      </c>
      <c r="K6937" s="1">
        <f>VALUE(5403)</f>
        <v>5403</v>
      </c>
      <c r="L6937" s="1">
        <f>VALUE(6434)</f>
        <v>6434</v>
      </c>
      <c r="M6937" s="8">
        <f>VALUE(8232)</f>
        <v>8232</v>
      </c>
      <c r="N6937" t="s">
        <v>25</v>
      </c>
    </row>
    <row r="6938" spans="1:14" x14ac:dyDescent="0.25">
      <c r="A6938" t="s">
        <v>42</v>
      </c>
      <c r="B6938" t="s">
        <v>39</v>
      </c>
      <c r="C6938" t="s">
        <v>38</v>
      </c>
      <c r="D6938" t="s">
        <v>32</v>
      </c>
      <c r="E6938" t="s">
        <v>22</v>
      </c>
      <c r="F6938" t="s">
        <v>17</v>
      </c>
      <c r="G6938" s="2">
        <f>VALUE(238.12)</f>
        <v>238.12</v>
      </c>
      <c r="H6938" s="3">
        <f>VALUE(242.39)</f>
        <v>242.39</v>
      </c>
      <c r="I6938" s="4">
        <f>VALUE(4333)</f>
        <v>4333</v>
      </c>
      <c r="J6938" s="5">
        <f>VALUE(6126)</f>
        <v>6126</v>
      </c>
      <c r="K6938" s="6">
        <f>VALUE(8157)</f>
        <v>8157</v>
      </c>
      <c r="L6938" s="7">
        <f>VALUE(12319)</f>
        <v>12319</v>
      </c>
      <c r="M6938" s="8">
        <f>VALUE(18238)</f>
        <v>18238</v>
      </c>
      <c r="N6938" t="s">
        <v>24</v>
      </c>
    </row>
    <row r="6939" spans="1:14" x14ac:dyDescent="0.25">
      <c r="A6939" t="s">
        <v>42</v>
      </c>
      <c r="B6939" t="s">
        <v>39</v>
      </c>
      <c r="C6939" t="s">
        <v>38</v>
      </c>
      <c r="D6939" t="s">
        <v>32</v>
      </c>
      <c r="E6939" t="s">
        <v>22</v>
      </c>
      <c r="F6939" t="s">
        <v>18</v>
      </c>
      <c r="G6939" s="2">
        <f>VALUE(208.15)</f>
        <v>208.15</v>
      </c>
      <c r="H6939" s="3">
        <f>VALUE(209.86)</f>
        <v>209.86</v>
      </c>
      <c r="I6939" s="4">
        <f>VALUE(4762)</f>
        <v>4762</v>
      </c>
      <c r="J6939" s="5">
        <f>VALUE(4953)</f>
        <v>4953</v>
      </c>
      <c r="K6939" s="6">
        <f>VALUE(5536)</f>
        <v>5536</v>
      </c>
      <c r="L6939" s="7">
        <f>VALUE(7347)</f>
        <v>7347</v>
      </c>
      <c r="M6939" s="8">
        <f>VALUE(10204)</f>
        <v>10204</v>
      </c>
      <c r="N6939" t="s">
        <v>24</v>
      </c>
    </row>
    <row r="6940" spans="1:14" x14ac:dyDescent="0.25">
      <c r="A6940" t="s">
        <v>42</v>
      </c>
      <c r="B6940" t="s">
        <v>39</v>
      </c>
      <c r="C6940" t="s">
        <v>38</v>
      </c>
      <c r="D6940" t="s">
        <v>32</v>
      </c>
      <c r="E6940" t="s">
        <v>22</v>
      </c>
      <c r="F6940" t="s">
        <v>19</v>
      </c>
      <c r="G6940" s="2">
        <f>VALUE(364.56)</f>
        <v>364.56</v>
      </c>
      <c r="H6940" s="3">
        <f>VALUE(372.45)</f>
        <v>372.45</v>
      </c>
      <c r="I6940" s="4">
        <f>VALUE(3921)</f>
        <v>3921</v>
      </c>
      <c r="J6940" s="5">
        <f>VALUE(4960)</f>
        <v>4960</v>
      </c>
      <c r="K6940" s="1">
        <f>VALUE(5494)</f>
        <v>5494</v>
      </c>
      <c r="L6940" s="1">
        <f>VALUE(6291)</f>
        <v>6291</v>
      </c>
      <c r="M6940" s="1">
        <f>VALUE(6896)</f>
        <v>6896</v>
      </c>
      <c r="N6940" t="s">
        <v>25</v>
      </c>
    </row>
    <row r="6941" spans="1:14" x14ac:dyDescent="0.25">
      <c r="A6941" t="s">
        <v>42</v>
      </c>
      <c r="B6941" t="s">
        <v>39</v>
      </c>
      <c r="C6941" t="s">
        <v>38</v>
      </c>
      <c r="D6941" t="s">
        <v>32</v>
      </c>
      <c r="E6941" t="s">
        <v>22</v>
      </c>
      <c r="F6941" t="s">
        <v>20</v>
      </c>
      <c r="G6941" s="2">
        <f>VALUE(1041.72)</f>
        <v>1041.72</v>
      </c>
      <c r="H6941" s="3">
        <f>VALUE(1072)</f>
        <v>1072</v>
      </c>
      <c r="I6941" s="4">
        <f>VALUE(3900)</f>
        <v>3900</v>
      </c>
      <c r="J6941" s="1">
        <f>VALUE(4389)</f>
        <v>4389</v>
      </c>
      <c r="K6941" s="1">
        <f>VALUE(5079)</f>
        <v>5079</v>
      </c>
      <c r="L6941" s="1">
        <f>VALUE(5850)</f>
        <v>5850</v>
      </c>
      <c r="M6941" s="1">
        <f>VALUE(6762)</f>
        <v>6762</v>
      </c>
      <c r="N6941" t="s">
        <v>25</v>
      </c>
    </row>
    <row r="6942" spans="1:14" x14ac:dyDescent="0.25">
      <c r="A6942" t="s">
        <v>42</v>
      </c>
      <c r="B6942" t="s">
        <v>39</v>
      </c>
      <c r="C6942" t="s">
        <v>38</v>
      </c>
      <c r="D6942" t="s">
        <v>32</v>
      </c>
      <c r="E6942" t="s">
        <v>23</v>
      </c>
      <c r="F6942" t="s">
        <v>15</v>
      </c>
      <c r="G6942" s="1">
        <f>VALUE(3274.61)</f>
        <v>3274.61</v>
      </c>
      <c r="H6942" s="1">
        <f>VALUE(3336.6)</f>
        <v>3336.6</v>
      </c>
      <c r="I6942" s="1">
        <f>VALUE(3473)</f>
        <v>3473</v>
      </c>
      <c r="J6942" s="1">
        <f>VALUE(4064)</f>
        <v>4064</v>
      </c>
      <c r="K6942" s="1">
        <f>VALUE(4910)</f>
        <v>4910</v>
      </c>
      <c r="L6942" s="1">
        <f>VALUE(5802)</f>
        <v>5802</v>
      </c>
      <c r="M6942" s="1">
        <f>VALUE(6609)</f>
        <v>6609</v>
      </c>
      <c r="N6942" t="s">
        <v>16</v>
      </c>
    </row>
    <row r="6943" spans="1:14" x14ac:dyDescent="0.25">
      <c r="A6943" t="s">
        <v>42</v>
      </c>
      <c r="B6943" t="s">
        <v>39</v>
      </c>
      <c r="C6943" t="s">
        <v>38</v>
      </c>
      <c r="D6943" t="s">
        <v>32</v>
      </c>
      <c r="E6943" t="s">
        <v>23</v>
      </c>
      <c r="F6943" t="s">
        <v>17</v>
      </c>
      <c r="G6943" s="1" t="str">
        <f t="shared" ref="G6943:M6944" si="1514">"X"</f>
        <v>X</v>
      </c>
      <c r="H6943" s="1" t="str">
        <f t="shared" si="1514"/>
        <v>X</v>
      </c>
      <c r="I6943" s="1" t="str">
        <f t="shared" si="1514"/>
        <v>X</v>
      </c>
      <c r="J6943" s="1" t="str">
        <f t="shared" si="1514"/>
        <v>X</v>
      </c>
      <c r="K6943" s="1" t="str">
        <f t="shared" si="1514"/>
        <v>X</v>
      </c>
      <c r="L6943" s="1" t="str">
        <f t="shared" si="1514"/>
        <v>X</v>
      </c>
      <c r="M6943" s="1" t="str">
        <f t="shared" si="1514"/>
        <v>X</v>
      </c>
      <c r="N6943" t="s">
        <v>27</v>
      </c>
    </row>
    <row r="6944" spans="1:14" x14ac:dyDescent="0.25">
      <c r="A6944" t="s">
        <v>42</v>
      </c>
      <c r="B6944" t="s">
        <v>39</v>
      </c>
      <c r="C6944" t="s">
        <v>38</v>
      </c>
      <c r="D6944" t="s">
        <v>32</v>
      </c>
      <c r="E6944" t="s">
        <v>23</v>
      </c>
      <c r="F6944" t="s">
        <v>18</v>
      </c>
      <c r="G6944" s="1" t="str">
        <f t="shared" si="1514"/>
        <v>X</v>
      </c>
      <c r="H6944" s="1" t="str">
        <f t="shared" si="1514"/>
        <v>X</v>
      </c>
      <c r="I6944" s="1" t="str">
        <f t="shared" si="1514"/>
        <v>X</v>
      </c>
      <c r="J6944" s="1" t="str">
        <f t="shared" si="1514"/>
        <v>X</v>
      </c>
      <c r="K6944" s="1" t="str">
        <f t="shared" si="1514"/>
        <v>X</v>
      </c>
      <c r="L6944" s="1" t="str">
        <f t="shared" si="1514"/>
        <v>X</v>
      </c>
      <c r="M6944" s="1" t="str">
        <f t="shared" si="1514"/>
        <v>X</v>
      </c>
      <c r="N6944" t="s">
        <v>27</v>
      </c>
    </row>
    <row r="6945" spans="1:14" x14ac:dyDescent="0.25">
      <c r="A6945" t="s">
        <v>42</v>
      </c>
      <c r="B6945" t="s">
        <v>39</v>
      </c>
      <c r="C6945" t="s">
        <v>38</v>
      </c>
      <c r="D6945" t="s">
        <v>32</v>
      </c>
      <c r="E6945" t="s">
        <v>23</v>
      </c>
      <c r="F6945" t="s">
        <v>19</v>
      </c>
      <c r="G6945" s="2">
        <f>VALUE(468.21)</f>
        <v>468.21</v>
      </c>
      <c r="H6945" s="3">
        <f>VALUE(486.66)</f>
        <v>486.66</v>
      </c>
      <c r="I6945" s="1">
        <f>VALUE(3810)</f>
        <v>3810</v>
      </c>
      <c r="J6945" s="1">
        <f>VALUE(4261)</f>
        <v>4261</v>
      </c>
      <c r="K6945" s="6">
        <f>VALUE(5262)</f>
        <v>5262</v>
      </c>
      <c r="L6945" s="7">
        <f>VALUE(5975)</f>
        <v>5975</v>
      </c>
      <c r="M6945" s="8">
        <f>VALUE(6772)</f>
        <v>6772</v>
      </c>
      <c r="N6945" t="s">
        <v>25</v>
      </c>
    </row>
    <row r="6946" spans="1:14" x14ac:dyDescent="0.25">
      <c r="A6946" t="s">
        <v>42</v>
      </c>
      <c r="B6946" t="s">
        <v>39</v>
      </c>
      <c r="C6946" t="s">
        <v>38</v>
      </c>
      <c r="D6946" t="s">
        <v>32</v>
      </c>
      <c r="E6946" t="s">
        <v>23</v>
      </c>
      <c r="F6946" t="s">
        <v>20</v>
      </c>
      <c r="G6946" s="1">
        <f>VALUE(2530.74)</f>
        <v>2530.7399999999998</v>
      </c>
      <c r="H6946" s="1">
        <f>VALUE(2577.23)</f>
        <v>2577.23</v>
      </c>
      <c r="I6946" s="1">
        <f>VALUE(3417)</f>
        <v>3417</v>
      </c>
      <c r="J6946" s="1">
        <f>VALUE(4032)</f>
        <v>4032</v>
      </c>
      <c r="K6946" s="1">
        <f>VALUE(4812)</f>
        <v>4812</v>
      </c>
      <c r="L6946" s="1">
        <f>VALUE(5720)</f>
        <v>5720</v>
      </c>
      <c r="M6946" s="1">
        <f>VALUE(6269)</f>
        <v>6269</v>
      </c>
      <c r="N6946" t="s">
        <v>16</v>
      </c>
    </row>
    <row r="6947" spans="1:14" x14ac:dyDescent="0.25">
      <c r="A6947" t="s">
        <v>42</v>
      </c>
      <c r="B6947" t="s">
        <v>39</v>
      </c>
      <c r="C6947" t="s">
        <v>38</v>
      </c>
      <c r="D6947" t="s">
        <v>32</v>
      </c>
      <c r="E6947" t="s">
        <v>26</v>
      </c>
      <c r="F6947" t="s">
        <v>15</v>
      </c>
      <c r="G6947" s="2">
        <f>VALUE(191.19)</f>
        <v>191.19</v>
      </c>
      <c r="H6947" s="3">
        <f>VALUE(202.09)</f>
        <v>202.09</v>
      </c>
      <c r="I6947" s="4">
        <f>VALUE(2660)</f>
        <v>2660</v>
      </c>
      <c r="J6947" s="1">
        <f>VALUE(3378)</f>
        <v>3378</v>
      </c>
      <c r="K6947" s="1">
        <f>VALUE(4533)</f>
        <v>4533</v>
      </c>
      <c r="L6947" s="7">
        <f>VALUE(6190)</f>
        <v>6190</v>
      </c>
      <c r="M6947" s="8">
        <f>VALUE(8252)</f>
        <v>8252</v>
      </c>
      <c r="N6947" t="s">
        <v>25</v>
      </c>
    </row>
    <row r="6948" spans="1:14" x14ac:dyDescent="0.25">
      <c r="A6948" t="s">
        <v>42</v>
      </c>
      <c r="B6948" t="s">
        <v>39</v>
      </c>
      <c r="C6948" t="s">
        <v>38</v>
      </c>
      <c r="D6948" t="s">
        <v>32</v>
      </c>
      <c r="E6948" t="s">
        <v>26</v>
      </c>
      <c r="F6948" t="s">
        <v>17</v>
      </c>
      <c r="G6948" s="1" t="str">
        <f t="shared" ref="G6948:M6950" si="1515">"X"</f>
        <v>X</v>
      </c>
      <c r="H6948" s="1" t="str">
        <f t="shared" si="1515"/>
        <v>X</v>
      </c>
      <c r="I6948" s="1" t="str">
        <f t="shared" si="1515"/>
        <v>X</v>
      </c>
      <c r="J6948" s="1" t="str">
        <f t="shared" si="1515"/>
        <v>X</v>
      </c>
      <c r="K6948" s="1" t="str">
        <f t="shared" si="1515"/>
        <v>X</v>
      </c>
      <c r="L6948" s="1" t="str">
        <f t="shared" si="1515"/>
        <v>X</v>
      </c>
      <c r="M6948" s="1" t="str">
        <f t="shared" si="1515"/>
        <v>X</v>
      </c>
      <c r="N6948" t="s">
        <v>27</v>
      </c>
    </row>
    <row r="6949" spans="1:14" x14ac:dyDescent="0.25">
      <c r="A6949" t="s">
        <v>42</v>
      </c>
      <c r="B6949" t="s">
        <v>39</v>
      </c>
      <c r="C6949" t="s">
        <v>38</v>
      </c>
      <c r="D6949" t="s">
        <v>32</v>
      </c>
      <c r="E6949" t="s">
        <v>26</v>
      </c>
      <c r="F6949" t="s">
        <v>18</v>
      </c>
      <c r="G6949" s="1" t="str">
        <f t="shared" si="1515"/>
        <v>X</v>
      </c>
      <c r="H6949" s="1" t="str">
        <f t="shared" si="1515"/>
        <v>X</v>
      </c>
      <c r="I6949" s="1" t="str">
        <f t="shared" si="1515"/>
        <v>X</v>
      </c>
      <c r="J6949" s="1" t="str">
        <f t="shared" si="1515"/>
        <v>X</v>
      </c>
      <c r="K6949" s="1" t="str">
        <f t="shared" si="1515"/>
        <v>X</v>
      </c>
      <c r="L6949" s="1" t="str">
        <f t="shared" si="1515"/>
        <v>X</v>
      </c>
      <c r="M6949" s="1" t="str">
        <f t="shared" si="1515"/>
        <v>X</v>
      </c>
      <c r="N6949" t="s">
        <v>27</v>
      </c>
    </row>
    <row r="6950" spans="1:14" x14ac:dyDescent="0.25">
      <c r="A6950" t="s">
        <v>42</v>
      </c>
      <c r="B6950" t="s">
        <v>39</v>
      </c>
      <c r="C6950" t="s">
        <v>38</v>
      </c>
      <c r="D6950" t="s">
        <v>32</v>
      </c>
      <c r="E6950" t="s">
        <v>26</v>
      </c>
      <c r="F6950" t="s">
        <v>19</v>
      </c>
      <c r="G6950" s="1" t="str">
        <f t="shared" si="1515"/>
        <v>X</v>
      </c>
      <c r="H6950" s="1" t="str">
        <f t="shared" si="1515"/>
        <v>X</v>
      </c>
      <c r="I6950" s="1" t="str">
        <f t="shared" si="1515"/>
        <v>X</v>
      </c>
      <c r="J6950" s="1" t="str">
        <f t="shared" si="1515"/>
        <v>X</v>
      </c>
      <c r="K6950" s="1" t="str">
        <f t="shared" si="1515"/>
        <v>X</v>
      </c>
      <c r="L6950" s="1" t="str">
        <f t="shared" si="1515"/>
        <v>X</v>
      </c>
      <c r="M6950" s="1" t="str">
        <f t="shared" si="1515"/>
        <v>X</v>
      </c>
      <c r="N6950" t="s">
        <v>27</v>
      </c>
    </row>
    <row r="6951" spans="1:14" x14ac:dyDescent="0.25">
      <c r="A6951" t="s">
        <v>42</v>
      </c>
      <c r="B6951" t="s">
        <v>39</v>
      </c>
      <c r="C6951" t="s">
        <v>38</v>
      </c>
      <c r="D6951" t="s">
        <v>32</v>
      </c>
      <c r="E6951" t="s">
        <v>26</v>
      </c>
      <c r="F6951" t="s">
        <v>20</v>
      </c>
      <c r="G6951" s="2">
        <f>VALUE(166.75)</f>
        <v>166.75</v>
      </c>
      <c r="H6951" s="3">
        <f>VALUE(178.02)</f>
        <v>178.02</v>
      </c>
      <c r="I6951" s="4">
        <f>VALUE(2647)</f>
        <v>2647</v>
      </c>
      <c r="J6951" s="1">
        <f>VALUE(3378)</f>
        <v>3378</v>
      </c>
      <c r="K6951" s="1">
        <f>VALUE(4186)</f>
        <v>4186</v>
      </c>
      <c r="L6951" s="7">
        <f>VALUE(5681)</f>
        <v>5681</v>
      </c>
      <c r="M6951" s="1">
        <f>VALUE(7415)</f>
        <v>7415</v>
      </c>
      <c r="N6951" t="s">
        <v>25</v>
      </c>
    </row>
    <row r="6952" spans="1:14" x14ac:dyDescent="0.25">
      <c r="A6952" t="s">
        <v>42</v>
      </c>
      <c r="B6952" t="s">
        <v>39</v>
      </c>
      <c r="C6952" t="s">
        <v>38</v>
      </c>
      <c r="D6952" t="s">
        <v>33</v>
      </c>
      <c r="E6952" t="s">
        <v>15</v>
      </c>
      <c r="F6952" t="s">
        <v>15</v>
      </c>
      <c r="G6952" s="1" t="str">
        <f t="shared" ref="G6952:M6963" si="1516">"X"</f>
        <v>X</v>
      </c>
      <c r="H6952" s="1" t="str">
        <f t="shared" si="1516"/>
        <v>X</v>
      </c>
      <c r="I6952" s="1" t="str">
        <f t="shared" si="1516"/>
        <v>X</v>
      </c>
      <c r="J6952" s="1" t="str">
        <f t="shared" si="1516"/>
        <v>X</v>
      </c>
      <c r="K6952" s="1" t="str">
        <f t="shared" si="1516"/>
        <v>X</v>
      </c>
      <c r="L6952" s="1" t="str">
        <f t="shared" si="1516"/>
        <v>X</v>
      </c>
      <c r="M6952" s="1" t="str">
        <f t="shared" si="1516"/>
        <v>X</v>
      </c>
      <c r="N6952" t="s">
        <v>27</v>
      </c>
    </row>
    <row r="6953" spans="1:14" x14ac:dyDescent="0.25">
      <c r="A6953" t="s">
        <v>42</v>
      </c>
      <c r="B6953" t="s">
        <v>39</v>
      </c>
      <c r="C6953" t="s">
        <v>38</v>
      </c>
      <c r="D6953" t="s">
        <v>33</v>
      </c>
      <c r="E6953" t="s">
        <v>15</v>
      </c>
      <c r="F6953" t="s">
        <v>17</v>
      </c>
      <c r="G6953" s="1" t="str">
        <f t="shared" si="1516"/>
        <v>X</v>
      </c>
      <c r="H6953" s="1" t="str">
        <f t="shared" si="1516"/>
        <v>X</v>
      </c>
      <c r="I6953" s="1" t="str">
        <f t="shared" si="1516"/>
        <v>X</v>
      </c>
      <c r="J6953" s="1" t="str">
        <f t="shared" si="1516"/>
        <v>X</v>
      </c>
      <c r="K6953" s="1" t="str">
        <f t="shared" si="1516"/>
        <v>X</v>
      </c>
      <c r="L6953" s="1" t="str">
        <f t="shared" si="1516"/>
        <v>X</v>
      </c>
      <c r="M6953" s="1" t="str">
        <f t="shared" si="1516"/>
        <v>X</v>
      </c>
      <c r="N6953" t="s">
        <v>27</v>
      </c>
    </row>
    <row r="6954" spans="1:14" x14ac:dyDescent="0.25">
      <c r="A6954" t="s">
        <v>42</v>
      </c>
      <c r="B6954" t="s">
        <v>39</v>
      </c>
      <c r="C6954" t="s">
        <v>38</v>
      </c>
      <c r="D6954" t="s">
        <v>33</v>
      </c>
      <c r="E6954" t="s">
        <v>15</v>
      </c>
      <c r="F6954" t="s">
        <v>18</v>
      </c>
      <c r="G6954" s="1" t="str">
        <f t="shared" si="1516"/>
        <v>X</v>
      </c>
      <c r="H6954" s="1" t="str">
        <f t="shared" si="1516"/>
        <v>X</v>
      </c>
      <c r="I6954" s="1" t="str">
        <f t="shared" si="1516"/>
        <v>X</v>
      </c>
      <c r="J6954" s="1" t="str">
        <f t="shared" si="1516"/>
        <v>X</v>
      </c>
      <c r="K6954" s="1" t="str">
        <f t="shared" si="1516"/>
        <v>X</v>
      </c>
      <c r="L6954" s="1" t="str">
        <f t="shared" si="1516"/>
        <v>X</v>
      </c>
      <c r="M6954" s="1" t="str">
        <f t="shared" si="1516"/>
        <v>X</v>
      </c>
      <c r="N6954" t="s">
        <v>27</v>
      </c>
    </row>
    <row r="6955" spans="1:14" x14ac:dyDescent="0.25">
      <c r="A6955" t="s">
        <v>42</v>
      </c>
      <c r="B6955" t="s">
        <v>39</v>
      </c>
      <c r="C6955" t="s">
        <v>38</v>
      </c>
      <c r="D6955" t="s">
        <v>33</v>
      </c>
      <c r="E6955" t="s">
        <v>15</v>
      </c>
      <c r="F6955" t="s">
        <v>19</v>
      </c>
      <c r="G6955" s="1" t="str">
        <f t="shared" si="1516"/>
        <v>X</v>
      </c>
      <c r="H6955" s="1" t="str">
        <f t="shared" si="1516"/>
        <v>X</v>
      </c>
      <c r="I6955" s="1" t="str">
        <f t="shared" si="1516"/>
        <v>X</v>
      </c>
      <c r="J6955" s="1" t="str">
        <f t="shared" si="1516"/>
        <v>X</v>
      </c>
      <c r="K6955" s="1" t="str">
        <f t="shared" si="1516"/>
        <v>X</v>
      </c>
      <c r="L6955" s="1" t="str">
        <f t="shared" si="1516"/>
        <v>X</v>
      </c>
      <c r="M6955" s="1" t="str">
        <f t="shared" si="1516"/>
        <v>X</v>
      </c>
      <c r="N6955" t="s">
        <v>27</v>
      </c>
    </row>
    <row r="6956" spans="1:14" x14ac:dyDescent="0.25">
      <c r="A6956" t="s">
        <v>42</v>
      </c>
      <c r="B6956" t="s">
        <v>39</v>
      </c>
      <c r="C6956" t="s">
        <v>38</v>
      </c>
      <c r="D6956" t="s">
        <v>33</v>
      </c>
      <c r="E6956" t="s">
        <v>15</v>
      </c>
      <c r="F6956" t="s">
        <v>20</v>
      </c>
      <c r="G6956" s="1" t="str">
        <f t="shared" si="1516"/>
        <v>X</v>
      </c>
      <c r="H6956" s="1" t="str">
        <f t="shared" si="1516"/>
        <v>X</v>
      </c>
      <c r="I6956" s="1" t="str">
        <f t="shared" si="1516"/>
        <v>X</v>
      </c>
      <c r="J6956" s="1" t="str">
        <f t="shared" si="1516"/>
        <v>X</v>
      </c>
      <c r="K6956" s="1" t="str">
        <f t="shared" si="1516"/>
        <v>X</v>
      </c>
      <c r="L6956" s="1" t="str">
        <f t="shared" si="1516"/>
        <v>X</v>
      </c>
      <c r="M6956" s="1" t="str">
        <f t="shared" si="1516"/>
        <v>X</v>
      </c>
      <c r="N6956" t="s">
        <v>27</v>
      </c>
    </row>
    <row r="6957" spans="1:14" x14ac:dyDescent="0.25">
      <c r="A6957" t="s">
        <v>42</v>
      </c>
      <c r="B6957" t="s">
        <v>39</v>
      </c>
      <c r="C6957" t="s">
        <v>38</v>
      </c>
      <c r="D6957" t="s">
        <v>33</v>
      </c>
      <c r="E6957" t="s">
        <v>21</v>
      </c>
      <c r="F6957" t="s">
        <v>15</v>
      </c>
      <c r="G6957" s="1" t="str">
        <f t="shared" si="1516"/>
        <v>X</v>
      </c>
      <c r="H6957" s="1" t="str">
        <f t="shared" si="1516"/>
        <v>X</v>
      </c>
      <c r="I6957" s="1" t="str">
        <f t="shared" si="1516"/>
        <v>X</v>
      </c>
      <c r="J6957" s="1" t="str">
        <f t="shared" si="1516"/>
        <v>X</v>
      </c>
      <c r="K6957" s="1" t="str">
        <f t="shared" si="1516"/>
        <v>X</v>
      </c>
      <c r="L6957" s="1" t="str">
        <f t="shared" si="1516"/>
        <v>X</v>
      </c>
      <c r="M6957" s="1" t="str">
        <f t="shared" si="1516"/>
        <v>X</v>
      </c>
      <c r="N6957" t="s">
        <v>27</v>
      </c>
    </row>
    <row r="6958" spans="1:14" x14ac:dyDescent="0.25">
      <c r="A6958" t="s">
        <v>42</v>
      </c>
      <c r="B6958" t="s">
        <v>39</v>
      </c>
      <c r="C6958" t="s">
        <v>38</v>
      </c>
      <c r="D6958" t="s">
        <v>33</v>
      </c>
      <c r="E6958" t="s">
        <v>21</v>
      </c>
      <c r="F6958" t="s">
        <v>17</v>
      </c>
      <c r="G6958" s="1" t="str">
        <f t="shared" si="1516"/>
        <v>X</v>
      </c>
      <c r="H6958" s="1" t="str">
        <f t="shared" si="1516"/>
        <v>X</v>
      </c>
      <c r="I6958" s="1" t="str">
        <f t="shared" si="1516"/>
        <v>X</v>
      </c>
      <c r="J6958" s="1" t="str">
        <f t="shared" si="1516"/>
        <v>X</v>
      </c>
      <c r="K6958" s="1" t="str">
        <f t="shared" si="1516"/>
        <v>X</v>
      </c>
      <c r="L6958" s="1" t="str">
        <f t="shared" si="1516"/>
        <v>X</v>
      </c>
      <c r="M6958" s="1" t="str">
        <f t="shared" si="1516"/>
        <v>X</v>
      </c>
      <c r="N6958" t="s">
        <v>27</v>
      </c>
    </row>
    <row r="6959" spans="1:14" x14ac:dyDescent="0.25">
      <c r="A6959" t="s">
        <v>42</v>
      </c>
      <c r="B6959" t="s">
        <v>39</v>
      </c>
      <c r="C6959" t="s">
        <v>38</v>
      </c>
      <c r="D6959" t="s">
        <v>33</v>
      </c>
      <c r="E6959" t="s">
        <v>21</v>
      </c>
      <c r="F6959" t="s">
        <v>18</v>
      </c>
      <c r="G6959" s="1" t="str">
        <f t="shared" si="1516"/>
        <v>X</v>
      </c>
      <c r="H6959" s="1" t="str">
        <f t="shared" si="1516"/>
        <v>X</v>
      </c>
      <c r="I6959" s="1" t="str">
        <f t="shared" si="1516"/>
        <v>X</v>
      </c>
      <c r="J6959" s="1" t="str">
        <f t="shared" si="1516"/>
        <v>X</v>
      </c>
      <c r="K6959" s="1" t="str">
        <f t="shared" si="1516"/>
        <v>X</v>
      </c>
      <c r="L6959" s="1" t="str">
        <f t="shared" si="1516"/>
        <v>X</v>
      </c>
      <c r="M6959" s="1" t="str">
        <f t="shared" si="1516"/>
        <v>X</v>
      </c>
      <c r="N6959" t="s">
        <v>27</v>
      </c>
    </row>
    <row r="6960" spans="1:14" x14ac:dyDescent="0.25">
      <c r="A6960" t="s">
        <v>42</v>
      </c>
      <c r="B6960" t="s">
        <v>39</v>
      </c>
      <c r="C6960" t="s">
        <v>38</v>
      </c>
      <c r="D6960" t="s">
        <v>33</v>
      </c>
      <c r="E6960" t="s">
        <v>21</v>
      </c>
      <c r="F6960" t="s">
        <v>19</v>
      </c>
      <c r="G6960" s="1" t="str">
        <f t="shared" si="1516"/>
        <v>X</v>
      </c>
      <c r="H6960" s="1" t="str">
        <f t="shared" si="1516"/>
        <v>X</v>
      </c>
      <c r="I6960" s="1" t="str">
        <f t="shared" si="1516"/>
        <v>X</v>
      </c>
      <c r="J6960" s="1" t="str">
        <f t="shared" si="1516"/>
        <v>X</v>
      </c>
      <c r="K6960" s="1" t="str">
        <f t="shared" si="1516"/>
        <v>X</v>
      </c>
      <c r="L6960" s="1" t="str">
        <f t="shared" si="1516"/>
        <v>X</v>
      </c>
      <c r="M6960" s="1" t="str">
        <f t="shared" si="1516"/>
        <v>X</v>
      </c>
      <c r="N6960" t="s">
        <v>27</v>
      </c>
    </row>
    <row r="6961" spans="1:14" x14ac:dyDescent="0.25">
      <c r="A6961" t="s">
        <v>42</v>
      </c>
      <c r="B6961" t="s">
        <v>39</v>
      </c>
      <c r="C6961" t="s">
        <v>38</v>
      </c>
      <c r="D6961" t="s">
        <v>33</v>
      </c>
      <c r="E6961" t="s">
        <v>21</v>
      </c>
      <c r="F6961" t="s">
        <v>20</v>
      </c>
      <c r="G6961" s="1" t="str">
        <f t="shared" si="1516"/>
        <v>X</v>
      </c>
      <c r="H6961" s="1" t="str">
        <f t="shared" si="1516"/>
        <v>X</v>
      </c>
      <c r="I6961" s="1" t="str">
        <f t="shared" si="1516"/>
        <v>X</v>
      </c>
      <c r="J6961" s="1" t="str">
        <f t="shared" si="1516"/>
        <v>X</v>
      </c>
      <c r="K6961" s="1" t="str">
        <f t="shared" si="1516"/>
        <v>X</v>
      </c>
      <c r="L6961" s="1" t="str">
        <f t="shared" si="1516"/>
        <v>X</v>
      </c>
      <c r="M6961" s="1" t="str">
        <f t="shared" si="1516"/>
        <v>X</v>
      </c>
      <c r="N6961" t="s">
        <v>27</v>
      </c>
    </row>
    <row r="6962" spans="1:14" x14ac:dyDescent="0.25">
      <c r="A6962" t="s">
        <v>42</v>
      </c>
      <c r="B6962" t="s">
        <v>39</v>
      </c>
      <c r="C6962" t="s">
        <v>38</v>
      </c>
      <c r="D6962" t="s">
        <v>33</v>
      </c>
      <c r="E6962" t="s">
        <v>22</v>
      </c>
      <c r="F6962" t="s">
        <v>15</v>
      </c>
      <c r="G6962" s="1" t="str">
        <f t="shared" si="1516"/>
        <v>X</v>
      </c>
      <c r="H6962" s="1" t="str">
        <f t="shared" si="1516"/>
        <v>X</v>
      </c>
      <c r="I6962" s="1" t="str">
        <f t="shared" si="1516"/>
        <v>X</v>
      </c>
      <c r="J6962" s="1" t="str">
        <f t="shared" si="1516"/>
        <v>X</v>
      </c>
      <c r="K6962" s="1" t="str">
        <f t="shared" si="1516"/>
        <v>X</v>
      </c>
      <c r="L6962" s="1" t="str">
        <f t="shared" si="1516"/>
        <v>X</v>
      </c>
      <c r="M6962" s="1" t="str">
        <f t="shared" si="1516"/>
        <v>X</v>
      </c>
      <c r="N6962" t="s">
        <v>27</v>
      </c>
    </row>
    <row r="6963" spans="1:14" x14ac:dyDescent="0.25">
      <c r="A6963" t="s">
        <v>42</v>
      </c>
      <c r="B6963" t="s">
        <v>39</v>
      </c>
      <c r="C6963" t="s">
        <v>38</v>
      </c>
      <c r="D6963" t="s">
        <v>33</v>
      </c>
      <c r="E6963" t="s">
        <v>22</v>
      </c>
      <c r="F6963" t="s">
        <v>17</v>
      </c>
      <c r="G6963" s="1" t="str">
        <f t="shared" si="1516"/>
        <v>X</v>
      </c>
      <c r="H6963" s="1" t="str">
        <f t="shared" si="1516"/>
        <v>X</v>
      </c>
      <c r="I6963" s="1" t="str">
        <f t="shared" si="1516"/>
        <v>X</v>
      </c>
      <c r="J6963" s="1" t="str">
        <f t="shared" si="1516"/>
        <v>X</v>
      </c>
      <c r="K6963" s="1" t="str">
        <f t="shared" si="1516"/>
        <v>X</v>
      </c>
      <c r="L6963" s="1" t="str">
        <f t="shared" si="1516"/>
        <v>X</v>
      </c>
      <c r="M6963" s="1" t="str">
        <f t="shared" si="1516"/>
        <v>X</v>
      </c>
      <c r="N6963" t="s">
        <v>27</v>
      </c>
    </row>
    <row r="6964" spans="1:14" x14ac:dyDescent="0.25">
      <c r="A6964" t="s">
        <v>42</v>
      </c>
      <c r="B6964" t="s">
        <v>39</v>
      </c>
      <c r="C6964" t="s">
        <v>38</v>
      </c>
      <c r="D6964" t="s">
        <v>33</v>
      </c>
      <c r="E6964" t="s">
        <v>22</v>
      </c>
      <c r="F6964" t="s">
        <v>18</v>
      </c>
      <c r="G6964" s="1" t="str">
        <f t="shared" ref="G6964:M6964" si="1517">"..."</f>
        <v>...</v>
      </c>
      <c r="H6964" s="1" t="str">
        <f t="shared" si="1517"/>
        <v>...</v>
      </c>
      <c r="I6964" s="1" t="str">
        <f t="shared" si="1517"/>
        <v>...</v>
      </c>
      <c r="J6964" s="1" t="str">
        <f t="shared" si="1517"/>
        <v>...</v>
      </c>
      <c r="K6964" s="1" t="str">
        <f t="shared" si="1517"/>
        <v>...</v>
      </c>
      <c r="L6964" s="1" t="str">
        <f t="shared" si="1517"/>
        <v>...</v>
      </c>
      <c r="M6964" s="1" t="str">
        <f t="shared" si="1517"/>
        <v>...</v>
      </c>
      <c r="N6964" t="s">
        <v>30</v>
      </c>
    </row>
    <row r="6965" spans="1:14" x14ac:dyDescent="0.25">
      <c r="A6965" t="s">
        <v>42</v>
      </c>
      <c r="B6965" t="s">
        <v>39</v>
      </c>
      <c r="C6965" t="s">
        <v>38</v>
      </c>
      <c r="D6965" t="s">
        <v>33</v>
      </c>
      <c r="E6965" t="s">
        <v>22</v>
      </c>
      <c r="F6965" t="s">
        <v>19</v>
      </c>
      <c r="G6965" s="1" t="str">
        <f t="shared" ref="G6965:M6967" si="1518">"X"</f>
        <v>X</v>
      </c>
      <c r="H6965" s="1" t="str">
        <f t="shared" si="1518"/>
        <v>X</v>
      </c>
      <c r="I6965" s="1" t="str">
        <f t="shared" si="1518"/>
        <v>X</v>
      </c>
      <c r="J6965" s="1" t="str">
        <f t="shared" si="1518"/>
        <v>X</v>
      </c>
      <c r="K6965" s="1" t="str">
        <f t="shared" si="1518"/>
        <v>X</v>
      </c>
      <c r="L6965" s="1" t="str">
        <f t="shared" si="1518"/>
        <v>X</v>
      </c>
      <c r="M6965" s="1" t="str">
        <f t="shared" si="1518"/>
        <v>X</v>
      </c>
      <c r="N6965" t="s">
        <v>27</v>
      </c>
    </row>
    <row r="6966" spans="1:14" x14ac:dyDescent="0.25">
      <c r="A6966" t="s">
        <v>42</v>
      </c>
      <c r="B6966" t="s">
        <v>39</v>
      </c>
      <c r="C6966" t="s">
        <v>38</v>
      </c>
      <c r="D6966" t="s">
        <v>33</v>
      </c>
      <c r="E6966" t="s">
        <v>22</v>
      </c>
      <c r="F6966" t="s">
        <v>20</v>
      </c>
      <c r="G6966" s="1" t="str">
        <f t="shared" si="1518"/>
        <v>X</v>
      </c>
      <c r="H6966" s="1" t="str">
        <f t="shared" si="1518"/>
        <v>X</v>
      </c>
      <c r="I6966" s="1" t="str">
        <f t="shared" si="1518"/>
        <v>X</v>
      </c>
      <c r="J6966" s="1" t="str">
        <f t="shared" si="1518"/>
        <v>X</v>
      </c>
      <c r="K6966" s="1" t="str">
        <f t="shared" si="1518"/>
        <v>X</v>
      </c>
      <c r="L6966" s="1" t="str">
        <f t="shared" si="1518"/>
        <v>X</v>
      </c>
      <c r="M6966" s="1" t="str">
        <f t="shared" si="1518"/>
        <v>X</v>
      </c>
      <c r="N6966" t="s">
        <v>27</v>
      </c>
    </row>
    <row r="6967" spans="1:14" x14ac:dyDescent="0.25">
      <c r="A6967" t="s">
        <v>42</v>
      </c>
      <c r="B6967" t="s">
        <v>39</v>
      </c>
      <c r="C6967" t="s">
        <v>38</v>
      </c>
      <c r="D6967" t="s">
        <v>33</v>
      </c>
      <c r="E6967" t="s">
        <v>23</v>
      </c>
      <c r="F6967" t="s">
        <v>15</v>
      </c>
      <c r="G6967" s="1" t="str">
        <f t="shared" si="1518"/>
        <v>X</v>
      </c>
      <c r="H6967" s="1" t="str">
        <f t="shared" si="1518"/>
        <v>X</v>
      </c>
      <c r="I6967" s="1" t="str">
        <f t="shared" si="1518"/>
        <v>X</v>
      </c>
      <c r="J6967" s="1" t="str">
        <f t="shared" si="1518"/>
        <v>X</v>
      </c>
      <c r="K6967" s="1" t="str">
        <f t="shared" si="1518"/>
        <v>X</v>
      </c>
      <c r="L6967" s="1" t="str">
        <f t="shared" si="1518"/>
        <v>X</v>
      </c>
      <c r="M6967" s="1" t="str">
        <f t="shared" si="1518"/>
        <v>X</v>
      </c>
      <c r="N6967" t="s">
        <v>27</v>
      </c>
    </row>
    <row r="6968" spans="1:14" x14ac:dyDescent="0.25">
      <c r="A6968" t="s">
        <v>42</v>
      </c>
      <c r="B6968" t="s">
        <v>39</v>
      </c>
      <c r="C6968" t="s">
        <v>38</v>
      </c>
      <c r="D6968" t="s">
        <v>33</v>
      </c>
      <c r="E6968" t="s">
        <v>23</v>
      </c>
      <c r="F6968" t="s">
        <v>17</v>
      </c>
      <c r="G6968" s="1" t="str">
        <f t="shared" ref="G6968:M6969" si="1519">"..."</f>
        <v>...</v>
      </c>
      <c r="H6968" s="1" t="str">
        <f t="shared" si="1519"/>
        <v>...</v>
      </c>
      <c r="I6968" s="1" t="str">
        <f t="shared" si="1519"/>
        <v>...</v>
      </c>
      <c r="J6968" s="1" t="str">
        <f t="shared" si="1519"/>
        <v>...</v>
      </c>
      <c r="K6968" s="1" t="str">
        <f t="shared" si="1519"/>
        <v>...</v>
      </c>
      <c r="L6968" s="1" t="str">
        <f t="shared" si="1519"/>
        <v>...</v>
      </c>
      <c r="M6968" s="1" t="str">
        <f t="shared" si="1519"/>
        <v>...</v>
      </c>
      <c r="N6968" t="s">
        <v>30</v>
      </c>
    </row>
    <row r="6969" spans="1:14" x14ac:dyDescent="0.25">
      <c r="A6969" t="s">
        <v>42</v>
      </c>
      <c r="B6969" t="s">
        <v>39</v>
      </c>
      <c r="C6969" t="s">
        <v>38</v>
      </c>
      <c r="D6969" t="s">
        <v>33</v>
      </c>
      <c r="E6969" t="s">
        <v>23</v>
      </c>
      <c r="F6969" t="s">
        <v>18</v>
      </c>
      <c r="G6969" s="1" t="str">
        <f t="shared" si="1519"/>
        <v>...</v>
      </c>
      <c r="H6969" s="1" t="str">
        <f t="shared" si="1519"/>
        <v>...</v>
      </c>
      <c r="I6969" s="1" t="str">
        <f t="shared" si="1519"/>
        <v>...</v>
      </c>
      <c r="J6969" s="1" t="str">
        <f t="shared" si="1519"/>
        <v>...</v>
      </c>
      <c r="K6969" s="1" t="str">
        <f t="shared" si="1519"/>
        <v>...</v>
      </c>
      <c r="L6969" s="1" t="str">
        <f t="shared" si="1519"/>
        <v>...</v>
      </c>
      <c r="M6969" s="1" t="str">
        <f t="shared" si="1519"/>
        <v>...</v>
      </c>
      <c r="N6969" t="s">
        <v>30</v>
      </c>
    </row>
    <row r="6970" spans="1:14" x14ac:dyDescent="0.25">
      <c r="A6970" t="s">
        <v>42</v>
      </c>
      <c r="B6970" t="s">
        <v>39</v>
      </c>
      <c r="C6970" t="s">
        <v>38</v>
      </c>
      <c r="D6970" t="s">
        <v>33</v>
      </c>
      <c r="E6970" t="s">
        <v>23</v>
      </c>
      <c r="F6970" t="s">
        <v>19</v>
      </c>
      <c r="G6970" s="1" t="str">
        <f t="shared" ref="G6970:M6971" si="1520">"X"</f>
        <v>X</v>
      </c>
      <c r="H6970" s="1" t="str">
        <f t="shared" si="1520"/>
        <v>X</v>
      </c>
      <c r="I6970" s="1" t="str">
        <f t="shared" si="1520"/>
        <v>X</v>
      </c>
      <c r="J6970" s="1" t="str">
        <f t="shared" si="1520"/>
        <v>X</v>
      </c>
      <c r="K6970" s="1" t="str">
        <f t="shared" si="1520"/>
        <v>X</v>
      </c>
      <c r="L6970" s="1" t="str">
        <f t="shared" si="1520"/>
        <v>X</v>
      </c>
      <c r="M6970" s="1" t="str">
        <f t="shared" si="1520"/>
        <v>X</v>
      </c>
      <c r="N6970" t="s">
        <v>27</v>
      </c>
    </row>
    <row r="6971" spans="1:14" x14ac:dyDescent="0.25">
      <c r="A6971" t="s">
        <v>42</v>
      </c>
      <c r="B6971" t="s">
        <v>39</v>
      </c>
      <c r="C6971" t="s">
        <v>38</v>
      </c>
      <c r="D6971" t="s">
        <v>33</v>
      </c>
      <c r="E6971" t="s">
        <v>23</v>
      </c>
      <c r="F6971" t="s">
        <v>20</v>
      </c>
      <c r="G6971" s="1" t="str">
        <f t="shared" si="1520"/>
        <v>X</v>
      </c>
      <c r="H6971" s="1" t="str">
        <f t="shared" si="1520"/>
        <v>X</v>
      </c>
      <c r="I6971" s="1" t="str">
        <f t="shared" si="1520"/>
        <v>X</v>
      </c>
      <c r="J6971" s="1" t="str">
        <f t="shared" si="1520"/>
        <v>X</v>
      </c>
      <c r="K6971" s="1" t="str">
        <f t="shared" si="1520"/>
        <v>X</v>
      </c>
      <c r="L6971" s="1" t="str">
        <f t="shared" si="1520"/>
        <v>X</v>
      </c>
      <c r="M6971" s="1" t="str">
        <f t="shared" si="1520"/>
        <v>X</v>
      </c>
      <c r="N6971" t="s">
        <v>27</v>
      </c>
    </row>
    <row r="6972" spans="1:14" x14ac:dyDescent="0.25">
      <c r="A6972" t="s">
        <v>42</v>
      </c>
      <c r="B6972" t="s">
        <v>39</v>
      </c>
      <c r="C6972" t="s">
        <v>38</v>
      </c>
      <c r="D6972" t="s">
        <v>33</v>
      </c>
      <c r="E6972" t="s">
        <v>26</v>
      </c>
      <c r="F6972" t="s">
        <v>15</v>
      </c>
      <c r="G6972" s="1" t="str">
        <f t="shared" ref="G6972:M6981" si="1521">"..."</f>
        <v>...</v>
      </c>
      <c r="H6972" s="1" t="str">
        <f t="shared" si="1521"/>
        <v>...</v>
      </c>
      <c r="I6972" s="1" t="str">
        <f t="shared" si="1521"/>
        <v>...</v>
      </c>
      <c r="J6972" s="1" t="str">
        <f t="shared" si="1521"/>
        <v>...</v>
      </c>
      <c r="K6972" s="1" t="str">
        <f t="shared" si="1521"/>
        <v>...</v>
      </c>
      <c r="L6972" s="1" t="str">
        <f t="shared" si="1521"/>
        <v>...</v>
      </c>
      <c r="M6972" s="1" t="str">
        <f t="shared" si="1521"/>
        <v>...</v>
      </c>
      <c r="N6972" t="s">
        <v>30</v>
      </c>
    </row>
    <row r="6973" spans="1:14" x14ac:dyDescent="0.25">
      <c r="A6973" t="s">
        <v>42</v>
      </c>
      <c r="B6973" t="s">
        <v>39</v>
      </c>
      <c r="C6973" t="s">
        <v>38</v>
      </c>
      <c r="D6973" t="s">
        <v>33</v>
      </c>
      <c r="E6973" t="s">
        <v>26</v>
      </c>
      <c r="F6973" t="s">
        <v>17</v>
      </c>
      <c r="G6973" s="1" t="str">
        <f t="shared" si="1521"/>
        <v>...</v>
      </c>
      <c r="H6973" s="1" t="str">
        <f t="shared" si="1521"/>
        <v>...</v>
      </c>
      <c r="I6973" s="1" t="str">
        <f t="shared" si="1521"/>
        <v>...</v>
      </c>
      <c r="J6973" s="1" t="str">
        <f t="shared" si="1521"/>
        <v>...</v>
      </c>
      <c r="K6973" s="1" t="str">
        <f t="shared" si="1521"/>
        <v>...</v>
      </c>
      <c r="L6973" s="1" t="str">
        <f t="shared" si="1521"/>
        <v>...</v>
      </c>
      <c r="M6973" s="1" t="str">
        <f t="shared" si="1521"/>
        <v>...</v>
      </c>
      <c r="N6973" t="s">
        <v>30</v>
      </c>
    </row>
    <row r="6974" spans="1:14" x14ac:dyDescent="0.25">
      <c r="A6974" t="s">
        <v>42</v>
      </c>
      <c r="B6974" t="s">
        <v>39</v>
      </c>
      <c r="C6974" t="s">
        <v>38</v>
      </c>
      <c r="D6974" t="s">
        <v>33</v>
      </c>
      <c r="E6974" t="s">
        <v>26</v>
      </c>
      <c r="F6974" t="s">
        <v>18</v>
      </c>
      <c r="G6974" s="1" t="str">
        <f t="shared" si="1521"/>
        <v>...</v>
      </c>
      <c r="H6974" s="1" t="str">
        <f t="shared" si="1521"/>
        <v>...</v>
      </c>
      <c r="I6974" s="1" t="str">
        <f t="shared" si="1521"/>
        <v>...</v>
      </c>
      <c r="J6974" s="1" t="str">
        <f t="shared" si="1521"/>
        <v>...</v>
      </c>
      <c r="K6974" s="1" t="str">
        <f t="shared" si="1521"/>
        <v>...</v>
      </c>
      <c r="L6974" s="1" t="str">
        <f t="shared" si="1521"/>
        <v>...</v>
      </c>
      <c r="M6974" s="1" t="str">
        <f t="shared" si="1521"/>
        <v>...</v>
      </c>
      <c r="N6974" t="s">
        <v>30</v>
      </c>
    </row>
    <row r="6975" spans="1:14" x14ac:dyDescent="0.25">
      <c r="A6975" t="s">
        <v>42</v>
      </c>
      <c r="B6975" t="s">
        <v>39</v>
      </c>
      <c r="C6975" t="s">
        <v>38</v>
      </c>
      <c r="D6975" t="s">
        <v>33</v>
      </c>
      <c r="E6975" t="s">
        <v>26</v>
      </c>
      <c r="F6975" t="s">
        <v>19</v>
      </c>
      <c r="G6975" s="1" t="str">
        <f t="shared" si="1521"/>
        <v>...</v>
      </c>
      <c r="H6975" s="1" t="str">
        <f t="shared" si="1521"/>
        <v>...</v>
      </c>
      <c r="I6975" s="1" t="str">
        <f t="shared" si="1521"/>
        <v>...</v>
      </c>
      <c r="J6975" s="1" t="str">
        <f t="shared" si="1521"/>
        <v>...</v>
      </c>
      <c r="K6975" s="1" t="str">
        <f t="shared" si="1521"/>
        <v>...</v>
      </c>
      <c r="L6975" s="1" t="str">
        <f t="shared" si="1521"/>
        <v>...</v>
      </c>
      <c r="M6975" s="1" t="str">
        <f t="shared" si="1521"/>
        <v>...</v>
      </c>
      <c r="N6975" t="s">
        <v>30</v>
      </c>
    </row>
    <row r="6976" spans="1:14" x14ac:dyDescent="0.25">
      <c r="A6976" t="s">
        <v>42</v>
      </c>
      <c r="B6976" t="s">
        <v>39</v>
      </c>
      <c r="C6976" t="s">
        <v>38</v>
      </c>
      <c r="D6976" t="s">
        <v>33</v>
      </c>
      <c r="E6976" t="s">
        <v>26</v>
      </c>
      <c r="F6976" t="s">
        <v>20</v>
      </c>
      <c r="G6976" s="1" t="str">
        <f t="shared" si="1521"/>
        <v>...</v>
      </c>
      <c r="H6976" s="1" t="str">
        <f t="shared" si="1521"/>
        <v>...</v>
      </c>
      <c r="I6976" s="1" t="str">
        <f t="shared" si="1521"/>
        <v>...</v>
      </c>
      <c r="J6976" s="1" t="str">
        <f t="shared" si="1521"/>
        <v>...</v>
      </c>
      <c r="K6976" s="1" t="str">
        <f t="shared" si="1521"/>
        <v>...</v>
      </c>
      <c r="L6976" s="1" t="str">
        <f t="shared" si="1521"/>
        <v>...</v>
      </c>
      <c r="M6976" s="1" t="str">
        <f t="shared" si="1521"/>
        <v>...</v>
      </c>
      <c r="N6976" t="s">
        <v>30</v>
      </c>
    </row>
    <row r="6977" spans="1:14" x14ac:dyDescent="0.25">
      <c r="A6977" t="s">
        <v>42</v>
      </c>
      <c r="B6977" t="s">
        <v>39</v>
      </c>
      <c r="C6977" t="s">
        <v>38</v>
      </c>
      <c r="D6977" t="s">
        <v>34</v>
      </c>
      <c r="E6977" t="s">
        <v>15</v>
      </c>
      <c r="F6977" t="s">
        <v>15</v>
      </c>
      <c r="G6977" s="1" t="str">
        <f t="shared" si="1521"/>
        <v>...</v>
      </c>
      <c r="H6977" s="1" t="str">
        <f t="shared" si="1521"/>
        <v>...</v>
      </c>
      <c r="I6977" s="1" t="str">
        <f t="shared" si="1521"/>
        <v>...</v>
      </c>
      <c r="J6977" s="1" t="str">
        <f t="shared" si="1521"/>
        <v>...</v>
      </c>
      <c r="K6977" s="1" t="str">
        <f t="shared" si="1521"/>
        <v>...</v>
      </c>
      <c r="L6977" s="1" t="str">
        <f t="shared" si="1521"/>
        <v>...</v>
      </c>
      <c r="M6977" s="1" t="str">
        <f t="shared" si="1521"/>
        <v>...</v>
      </c>
      <c r="N6977" t="s">
        <v>30</v>
      </c>
    </row>
    <row r="6978" spans="1:14" x14ac:dyDescent="0.25">
      <c r="A6978" t="s">
        <v>42</v>
      </c>
      <c r="B6978" t="s">
        <v>39</v>
      </c>
      <c r="C6978" t="s">
        <v>38</v>
      </c>
      <c r="D6978" t="s">
        <v>34</v>
      </c>
      <c r="E6978" t="s">
        <v>15</v>
      </c>
      <c r="F6978" t="s">
        <v>17</v>
      </c>
      <c r="G6978" s="1" t="str">
        <f t="shared" si="1521"/>
        <v>...</v>
      </c>
      <c r="H6978" s="1" t="str">
        <f t="shared" si="1521"/>
        <v>...</v>
      </c>
      <c r="I6978" s="1" t="str">
        <f t="shared" si="1521"/>
        <v>...</v>
      </c>
      <c r="J6978" s="1" t="str">
        <f t="shared" si="1521"/>
        <v>...</v>
      </c>
      <c r="K6978" s="1" t="str">
        <f t="shared" si="1521"/>
        <v>...</v>
      </c>
      <c r="L6978" s="1" t="str">
        <f t="shared" si="1521"/>
        <v>...</v>
      </c>
      <c r="M6978" s="1" t="str">
        <f t="shared" si="1521"/>
        <v>...</v>
      </c>
      <c r="N6978" t="s">
        <v>30</v>
      </c>
    </row>
    <row r="6979" spans="1:14" x14ac:dyDescent="0.25">
      <c r="A6979" t="s">
        <v>42</v>
      </c>
      <c r="B6979" t="s">
        <v>39</v>
      </c>
      <c r="C6979" t="s">
        <v>38</v>
      </c>
      <c r="D6979" t="s">
        <v>34</v>
      </c>
      <c r="E6979" t="s">
        <v>15</v>
      </c>
      <c r="F6979" t="s">
        <v>18</v>
      </c>
      <c r="G6979" s="1" t="str">
        <f t="shared" si="1521"/>
        <v>...</v>
      </c>
      <c r="H6979" s="1" t="str">
        <f t="shared" si="1521"/>
        <v>...</v>
      </c>
      <c r="I6979" s="1" t="str">
        <f t="shared" si="1521"/>
        <v>...</v>
      </c>
      <c r="J6979" s="1" t="str">
        <f t="shared" si="1521"/>
        <v>...</v>
      </c>
      <c r="K6979" s="1" t="str">
        <f t="shared" si="1521"/>
        <v>...</v>
      </c>
      <c r="L6979" s="1" t="str">
        <f t="shared" si="1521"/>
        <v>...</v>
      </c>
      <c r="M6979" s="1" t="str">
        <f t="shared" si="1521"/>
        <v>...</v>
      </c>
      <c r="N6979" t="s">
        <v>30</v>
      </c>
    </row>
    <row r="6980" spans="1:14" x14ac:dyDescent="0.25">
      <c r="A6980" t="s">
        <v>42</v>
      </c>
      <c r="B6980" t="s">
        <v>39</v>
      </c>
      <c r="C6980" t="s">
        <v>38</v>
      </c>
      <c r="D6980" t="s">
        <v>34</v>
      </c>
      <c r="E6980" t="s">
        <v>15</v>
      </c>
      <c r="F6980" t="s">
        <v>19</v>
      </c>
      <c r="G6980" s="1" t="str">
        <f t="shared" si="1521"/>
        <v>...</v>
      </c>
      <c r="H6980" s="1" t="str">
        <f t="shared" si="1521"/>
        <v>...</v>
      </c>
      <c r="I6980" s="1" t="str">
        <f t="shared" si="1521"/>
        <v>...</v>
      </c>
      <c r="J6980" s="1" t="str">
        <f t="shared" si="1521"/>
        <v>...</v>
      </c>
      <c r="K6980" s="1" t="str">
        <f t="shared" si="1521"/>
        <v>...</v>
      </c>
      <c r="L6980" s="1" t="str">
        <f t="shared" si="1521"/>
        <v>...</v>
      </c>
      <c r="M6980" s="1" t="str">
        <f t="shared" si="1521"/>
        <v>...</v>
      </c>
      <c r="N6980" t="s">
        <v>30</v>
      </c>
    </row>
    <row r="6981" spans="1:14" x14ac:dyDescent="0.25">
      <c r="A6981" t="s">
        <v>42</v>
      </c>
      <c r="B6981" t="s">
        <v>39</v>
      </c>
      <c r="C6981" t="s">
        <v>38</v>
      </c>
      <c r="D6981" t="s">
        <v>34</v>
      </c>
      <c r="E6981" t="s">
        <v>15</v>
      </c>
      <c r="F6981" t="s">
        <v>20</v>
      </c>
      <c r="G6981" s="1" t="str">
        <f t="shared" si="1521"/>
        <v>...</v>
      </c>
      <c r="H6981" s="1" t="str">
        <f t="shared" si="1521"/>
        <v>...</v>
      </c>
      <c r="I6981" s="1" t="str">
        <f t="shared" si="1521"/>
        <v>...</v>
      </c>
      <c r="J6981" s="1" t="str">
        <f t="shared" si="1521"/>
        <v>...</v>
      </c>
      <c r="K6981" s="1" t="str">
        <f t="shared" si="1521"/>
        <v>...</v>
      </c>
      <c r="L6981" s="1" t="str">
        <f t="shared" si="1521"/>
        <v>...</v>
      </c>
      <c r="M6981" s="1" t="str">
        <f t="shared" si="1521"/>
        <v>...</v>
      </c>
      <c r="N6981" t="s">
        <v>30</v>
      </c>
    </row>
    <row r="6982" spans="1:14" x14ac:dyDescent="0.25">
      <c r="A6982" t="s">
        <v>42</v>
      </c>
      <c r="B6982" t="s">
        <v>39</v>
      </c>
      <c r="C6982" t="s">
        <v>38</v>
      </c>
      <c r="D6982" t="s">
        <v>34</v>
      </c>
      <c r="E6982" t="s">
        <v>21</v>
      </c>
      <c r="F6982" t="s">
        <v>15</v>
      </c>
      <c r="G6982" s="1" t="str">
        <f t="shared" ref="G6982:M6991" si="1522">"..."</f>
        <v>...</v>
      </c>
      <c r="H6982" s="1" t="str">
        <f t="shared" si="1522"/>
        <v>...</v>
      </c>
      <c r="I6982" s="1" t="str">
        <f t="shared" si="1522"/>
        <v>...</v>
      </c>
      <c r="J6982" s="1" t="str">
        <f t="shared" si="1522"/>
        <v>...</v>
      </c>
      <c r="K6982" s="1" t="str">
        <f t="shared" si="1522"/>
        <v>...</v>
      </c>
      <c r="L6982" s="1" t="str">
        <f t="shared" si="1522"/>
        <v>...</v>
      </c>
      <c r="M6982" s="1" t="str">
        <f t="shared" si="1522"/>
        <v>...</v>
      </c>
      <c r="N6982" t="s">
        <v>30</v>
      </c>
    </row>
    <row r="6983" spans="1:14" x14ac:dyDescent="0.25">
      <c r="A6983" t="s">
        <v>42</v>
      </c>
      <c r="B6983" t="s">
        <v>39</v>
      </c>
      <c r="C6983" t="s">
        <v>38</v>
      </c>
      <c r="D6983" t="s">
        <v>34</v>
      </c>
      <c r="E6983" t="s">
        <v>21</v>
      </c>
      <c r="F6983" t="s">
        <v>17</v>
      </c>
      <c r="G6983" s="1" t="str">
        <f t="shared" si="1522"/>
        <v>...</v>
      </c>
      <c r="H6983" s="1" t="str">
        <f t="shared" si="1522"/>
        <v>...</v>
      </c>
      <c r="I6983" s="1" t="str">
        <f t="shared" si="1522"/>
        <v>...</v>
      </c>
      <c r="J6983" s="1" t="str">
        <f t="shared" si="1522"/>
        <v>...</v>
      </c>
      <c r="K6983" s="1" t="str">
        <f t="shared" si="1522"/>
        <v>...</v>
      </c>
      <c r="L6983" s="1" t="str">
        <f t="shared" si="1522"/>
        <v>...</v>
      </c>
      <c r="M6983" s="1" t="str">
        <f t="shared" si="1522"/>
        <v>...</v>
      </c>
      <c r="N6983" t="s">
        <v>30</v>
      </c>
    </row>
    <row r="6984" spans="1:14" x14ac:dyDescent="0.25">
      <c r="A6984" t="s">
        <v>42</v>
      </c>
      <c r="B6984" t="s">
        <v>39</v>
      </c>
      <c r="C6984" t="s">
        <v>38</v>
      </c>
      <c r="D6984" t="s">
        <v>34</v>
      </c>
      <c r="E6984" t="s">
        <v>21</v>
      </c>
      <c r="F6984" t="s">
        <v>18</v>
      </c>
      <c r="G6984" s="1" t="str">
        <f t="shared" si="1522"/>
        <v>...</v>
      </c>
      <c r="H6984" s="1" t="str">
        <f t="shared" si="1522"/>
        <v>...</v>
      </c>
      <c r="I6984" s="1" t="str">
        <f t="shared" si="1522"/>
        <v>...</v>
      </c>
      <c r="J6984" s="1" t="str">
        <f t="shared" si="1522"/>
        <v>...</v>
      </c>
      <c r="K6984" s="1" t="str">
        <f t="shared" si="1522"/>
        <v>...</v>
      </c>
      <c r="L6984" s="1" t="str">
        <f t="shared" si="1522"/>
        <v>...</v>
      </c>
      <c r="M6984" s="1" t="str">
        <f t="shared" si="1522"/>
        <v>...</v>
      </c>
      <c r="N6984" t="s">
        <v>30</v>
      </c>
    </row>
    <row r="6985" spans="1:14" x14ac:dyDescent="0.25">
      <c r="A6985" t="s">
        <v>42</v>
      </c>
      <c r="B6985" t="s">
        <v>39</v>
      </c>
      <c r="C6985" t="s">
        <v>38</v>
      </c>
      <c r="D6985" t="s">
        <v>34</v>
      </c>
      <c r="E6985" t="s">
        <v>21</v>
      </c>
      <c r="F6985" t="s">
        <v>19</v>
      </c>
      <c r="G6985" s="1" t="str">
        <f t="shared" si="1522"/>
        <v>...</v>
      </c>
      <c r="H6985" s="1" t="str">
        <f t="shared" si="1522"/>
        <v>...</v>
      </c>
      <c r="I6985" s="1" t="str">
        <f t="shared" si="1522"/>
        <v>...</v>
      </c>
      <c r="J6985" s="1" t="str">
        <f t="shared" si="1522"/>
        <v>...</v>
      </c>
      <c r="K6985" s="1" t="str">
        <f t="shared" si="1522"/>
        <v>...</v>
      </c>
      <c r="L6985" s="1" t="str">
        <f t="shared" si="1522"/>
        <v>...</v>
      </c>
      <c r="M6985" s="1" t="str">
        <f t="shared" si="1522"/>
        <v>...</v>
      </c>
      <c r="N6985" t="s">
        <v>30</v>
      </c>
    </row>
    <row r="6986" spans="1:14" x14ac:dyDescent="0.25">
      <c r="A6986" t="s">
        <v>42</v>
      </c>
      <c r="B6986" t="s">
        <v>39</v>
      </c>
      <c r="C6986" t="s">
        <v>38</v>
      </c>
      <c r="D6986" t="s">
        <v>34</v>
      </c>
      <c r="E6986" t="s">
        <v>21</v>
      </c>
      <c r="F6986" t="s">
        <v>20</v>
      </c>
      <c r="G6986" s="1" t="str">
        <f t="shared" si="1522"/>
        <v>...</v>
      </c>
      <c r="H6986" s="1" t="str">
        <f t="shared" si="1522"/>
        <v>...</v>
      </c>
      <c r="I6986" s="1" t="str">
        <f t="shared" si="1522"/>
        <v>...</v>
      </c>
      <c r="J6986" s="1" t="str">
        <f t="shared" si="1522"/>
        <v>...</v>
      </c>
      <c r="K6986" s="1" t="str">
        <f t="shared" si="1522"/>
        <v>...</v>
      </c>
      <c r="L6986" s="1" t="str">
        <f t="shared" si="1522"/>
        <v>...</v>
      </c>
      <c r="M6986" s="1" t="str">
        <f t="shared" si="1522"/>
        <v>...</v>
      </c>
      <c r="N6986" t="s">
        <v>30</v>
      </c>
    </row>
    <row r="6987" spans="1:14" x14ac:dyDescent="0.25">
      <c r="A6987" t="s">
        <v>42</v>
      </c>
      <c r="B6987" t="s">
        <v>39</v>
      </c>
      <c r="C6987" t="s">
        <v>38</v>
      </c>
      <c r="D6987" t="s">
        <v>34</v>
      </c>
      <c r="E6987" t="s">
        <v>22</v>
      </c>
      <c r="F6987" t="s">
        <v>15</v>
      </c>
      <c r="G6987" s="1" t="str">
        <f t="shared" si="1522"/>
        <v>...</v>
      </c>
      <c r="H6987" s="1" t="str">
        <f t="shared" si="1522"/>
        <v>...</v>
      </c>
      <c r="I6987" s="1" t="str">
        <f t="shared" si="1522"/>
        <v>...</v>
      </c>
      <c r="J6987" s="1" t="str">
        <f t="shared" si="1522"/>
        <v>...</v>
      </c>
      <c r="K6987" s="1" t="str">
        <f t="shared" si="1522"/>
        <v>...</v>
      </c>
      <c r="L6987" s="1" t="str">
        <f t="shared" si="1522"/>
        <v>...</v>
      </c>
      <c r="M6987" s="1" t="str">
        <f t="shared" si="1522"/>
        <v>...</v>
      </c>
      <c r="N6987" t="s">
        <v>30</v>
      </c>
    </row>
    <row r="6988" spans="1:14" x14ac:dyDescent="0.25">
      <c r="A6988" t="s">
        <v>42</v>
      </c>
      <c r="B6988" t="s">
        <v>39</v>
      </c>
      <c r="C6988" t="s">
        <v>38</v>
      </c>
      <c r="D6988" t="s">
        <v>34</v>
      </c>
      <c r="E6988" t="s">
        <v>22</v>
      </c>
      <c r="F6988" t="s">
        <v>17</v>
      </c>
      <c r="G6988" s="1" t="str">
        <f t="shared" si="1522"/>
        <v>...</v>
      </c>
      <c r="H6988" s="1" t="str">
        <f t="shared" si="1522"/>
        <v>...</v>
      </c>
      <c r="I6988" s="1" t="str">
        <f t="shared" si="1522"/>
        <v>...</v>
      </c>
      <c r="J6988" s="1" t="str">
        <f t="shared" si="1522"/>
        <v>...</v>
      </c>
      <c r="K6988" s="1" t="str">
        <f t="shared" si="1522"/>
        <v>...</v>
      </c>
      <c r="L6988" s="1" t="str">
        <f t="shared" si="1522"/>
        <v>...</v>
      </c>
      <c r="M6988" s="1" t="str">
        <f t="shared" si="1522"/>
        <v>...</v>
      </c>
      <c r="N6988" t="s">
        <v>30</v>
      </c>
    </row>
    <row r="6989" spans="1:14" x14ac:dyDescent="0.25">
      <c r="A6989" t="s">
        <v>42</v>
      </c>
      <c r="B6989" t="s">
        <v>39</v>
      </c>
      <c r="C6989" t="s">
        <v>38</v>
      </c>
      <c r="D6989" t="s">
        <v>34</v>
      </c>
      <c r="E6989" t="s">
        <v>22</v>
      </c>
      <c r="F6989" t="s">
        <v>18</v>
      </c>
      <c r="G6989" s="1" t="str">
        <f t="shared" si="1522"/>
        <v>...</v>
      </c>
      <c r="H6989" s="1" t="str">
        <f t="shared" si="1522"/>
        <v>...</v>
      </c>
      <c r="I6989" s="1" t="str">
        <f t="shared" si="1522"/>
        <v>...</v>
      </c>
      <c r="J6989" s="1" t="str">
        <f t="shared" si="1522"/>
        <v>...</v>
      </c>
      <c r="K6989" s="1" t="str">
        <f t="shared" si="1522"/>
        <v>...</v>
      </c>
      <c r="L6989" s="1" t="str">
        <f t="shared" si="1522"/>
        <v>...</v>
      </c>
      <c r="M6989" s="1" t="str">
        <f t="shared" si="1522"/>
        <v>...</v>
      </c>
      <c r="N6989" t="s">
        <v>30</v>
      </c>
    </row>
    <row r="6990" spans="1:14" x14ac:dyDescent="0.25">
      <c r="A6990" t="s">
        <v>42</v>
      </c>
      <c r="B6990" t="s">
        <v>39</v>
      </c>
      <c r="C6990" t="s">
        <v>38</v>
      </c>
      <c r="D6990" t="s">
        <v>34</v>
      </c>
      <c r="E6990" t="s">
        <v>22</v>
      </c>
      <c r="F6990" t="s">
        <v>19</v>
      </c>
      <c r="G6990" s="1" t="str">
        <f t="shared" si="1522"/>
        <v>...</v>
      </c>
      <c r="H6990" s="1" t="str">
        <f t="shared" si="1522"/>
        <v>...</v>
      </c>
      <c r="I6990" s="1" t="str">
        <f t="shared" si="1522"/>
        <v>...</v>
      </c>
      <c r="J6990" s="1" t="str">
        <f t="shared" si="1522"/>
        <v>...</v>
      </c>
      <c r="K6990" s="1" t="str">
        <f t="shared" si="1522"/>
        <v>...</v>
      </c>
      <c r="L6990" s="1" t="str">
        <f t="shared" si="1522"/>
        <v>...</v>
      </c>
      <c r="M6990" s="1" t="str">
        <f t="shared" si="1522"/>
        <v>...</v>
      </c>
      <c r="N6990" t="s">
        <v>30</v>
      </c>
    </row>
    <row r="6991" spans="1:14" x14ac:dyDescent="0.25">
      <c r="A6991" t="s">
        <v>42</v>
      </c>
      <c r="B6991" t="s">
        <v>39</v>
      </c>
      <c r="C6991" t="s">
        <v>38</v>
      </c>
      <c r="D6991" t="s">
        <v>34</v>
      </c>
      <c r="E6991" t="s">
        <v>22</v>
      </c>
      <c r="F6991" t="s">
        <v>20</v>
      </c>
      <c r="G6991" s="1" t="str">
        <f t="shared" si="1522"/>
        <v>...</v>
      </c>
      <c r="H6991" s="1" t="str">
        <f t="shared" si="1522"/>
        <v>...</v>
      </c>
      <c r="I6991" s="1" t="str">
        <f t="shared" si="1522"/>
        <v>...</v>
      </c>
      <c r="J6991" s="1" t="str">
        <f t="shared" si="1522"/>
        <v>...</v>
      </c>
      <c r="K6991" s="1" t="str">
        <f t="shared" si="1522"/>
        <v>...</v>
      </c>
      <c r="L6991" s="1" t="str">
        <f t="shared" si="1522"/>
        <v>...</v>
      </c>
      <c r="M6991" s="1" t="str">
        <f t="shared" si="1522"/>
        <v>...</v>
      </c>
      <c r="N6991" t="s">
        <v>30</v>
      </c>
    </row>
    <row r="6992" spans="1:14" x14ac:dyDescent="0.25">
      <c r="A6992" t="s">
        <v>42</v>
      </c>
      <c r="B6992" t="s">
        <v>39</v>
      </c>
      <c r="C6992" t="s">
        <v>38</v>
      </c>
      <c r="D6992" t="s">
        <v>34</v>
      </c>
      <c r="E6992" t="s">
        <v>23</v>
      </c>
      <c r="F6992" t="s">
        <v>15</v>
      </c>
      <c r="G6992" s="1" t="str">
        <f t="shared" ref="G6992:M7001" si="1523">"..."</f>
        <v>...</v>
      </c>
      <c r="H6992" s="1" t="str">
        <f t="shared" si="1523"/>
        <v>...</v>
      </c>
      <c r="I6992" s="1" t="str">
        <f t="shared" si="1523"/>
        <v>...</v>
      </c>
      <c r="J6992" s="1" t="str">
        <f t="shared" si="1523"/>
        <v>...</v>
      </c>
      <c r="K6992" s="1" t="str">
        <f t="shared" si="1523"/>
        <v>...</v>
      </c>
      <c r="L6992" s="1" t="str">
        <f t="shared" si="1523"/>
        <v>...</v>
      </c>
      <c r="M6992" s="1" t="str">
        <f t="shared" si="1523"/>
        <v>...</v>
      </c>
      <c r="N6992" t="s">
        <v>30</v>
      </c>
    </row>
    <row r="6993" spans="1:14" x14ac:dyDescent="0.25">
      <c r="A6993" t="s">
        <v>42</v>
      </c>
      <c r="B6993" t="s">
        <v>39</v>
      </c>
      <c r="C6993" t="s">
        <v>38</v>
      </c>
      <c r="D6993" t="s">
        <v>34</v>
      </c>
      <c r="E6993" t="s">
        <v>23</v>
      </c>
      <c r="F6993" t="s">
        <v>17</v>
      </c>
      <c r="G6993" s="1" t="str">
        <f t="shared" si="1523"/>
        <v>...</v>
      </c>
      <c r="H6993" s="1" t="str">
        <f t="shared" si="1523"/>
        <v>...</v>
      </c>
      <c r="I6993" s="1" t="str">
        <f t="shared" si="1523"/>
        <v>...</v>
      </c>
      <c r="J6993" s="1" t="str">
        <f t="shared" si="1523"/>
        <v>...</v>
      </c>
      <c r="K6993" s="1" t="str">
        <f t="shared" si="1523"/>
        <v>...</v>
      </c>
      <c r="L6993" s="1" t="str">
        <f t="shared" si="1523"/>
        <v>...</v>
      </c>
      <c r="M6993" s="1" t="str">
        <f t="shared" si="1523"/>
        <v>...</v>
      </c>
      <c r="N6993" t="s">
        <v>30</v>
      </c>
    </row>
    <row r="6994" spans="1:14" x14ac:dyDescent="0.25">
      <c r="A6994" t="s">
        <v>42</v>
      </c>
      <c r="B6994" t="s">
        <v>39</v>
      </c>
      <c r="C6994" t="s">
        <v>38</v>
      </c>
      <c r="D6994" t="s">
        <v>34</v>
      </c>
      <c r="E6994" t="s">
        <v>23</v>
      </c>
      <c r="F6994" t="s">
        <v>18</v>
      </c>
      <c r="G6994" s="1" t="str">
        <f t="shared" si="1523"/>
        <v>...</v>
      </c>
      <c r="H6994" s="1" t="str">
        <f t="shared" si="1523"/>
        <v>...</v>
      </c>
      <c r="I6994" s="1" t="str">
        <f t="shared" si="1523"/>
        <v>...</v>
      </c>
      <c r="J6994" s="1" t="str">
        <f t="shared" si="1523"/>
        <v>...</v>
      </c>
      <c r="K6994" s="1" t="str">
        <f t="shared" si="1523"/>
        <v>...</v>
      </c>
      <c r="L6994" s="1" t="str">
        <f t="shared" si="1523"/>
        <v>...</v>
      </c>
      <c r="M6994" s="1" t="str">
        <f t="shared" si="1523"/>
        <v>...</v>
      </c>
      <c r="N6994" t="s">
        <v>30</v>
      </c>
    </row>
    <row r="6995" spans="1:14" x14ac:dyDescent="0.25">
      <c r="A6995" t="s">
        <v>42</v>
      </c>
      <c r="B6995" t="s">
        <v>39</v>
      </c>
      <c r="C6995" t="s">
        <v>38</v>
      </c>
      <c r="D6995" t="s">
        <v>34</v>
      </c>
      <c r="E6995" t="s">
        <v>23</v>
      </c>
      <c r="F6995" t="s">
        <v>19</v>
      </c>
      <c r="G6995" s="1" t="str">
        <f t="shared" si="1523"/>
        <v>...</v>
      </c>
      <c r="H6995" s="1" t="str">
        <f t="shared" si="1523"/>
        <v>...</v>
      </c>
      <c r="I6995" s="1" t="str">
        <f t="shared" si="1523"/>
        <v>...</v>
      </c>
      <c r="J6995" s="1" t="str">
        <f t="shared" si="1523"/>
        <v>...</v>
      </c>
      <c r="K6995" s="1" t="str">
        <f t="shared" si="1523"/>
        <v>...</v>
      </c>
      <c r="L6995" s="1" t="str">
        <f t="shared" si="1523"/>
        <v>...</v>
      </c>
      <c r="M6995" s="1" t="str">
        <f t="shared" si="1523"/>
        <v>...</v>
      </c>
      <c r="N6995" t="s">
        <v>30</v>
      </c>
    </row>
    <row r="6996" spans="1:14" x14ac:dyDescent="0.25">
      <c r="A6996" t="s">
        <v>42</v>
      </c>
      <c r="B6996" t="s">
        <v>39</v>
      </c>
      <c r="C6996" t="s">
        <v>38</v>
      </c>
      <c r="D6996" t="s">
        <v>34</v>
      </c>
      <c r="E6996" t="s">
        <v>23</v>
      </c>
      <c r="F6996" t="s">
        <v>20</v>
      </c>
      <c r="G6996" s="1" t="str">
        <f t="shared" si="1523"/>
        <v>...</v>
      </c>
      <c r="H6996" s="1" t="str">
        <f t="shared" si="1523"/>
        <v>...</v>
      </c>
      <c r="I6996" s="1" t="str">
        <f t="shared" si="1523"/>
        <v>...</v>
      </c>
      <c r="J6996" s="1" t="str">
        <f t="shared" si="1523"/>
        <v>...</v>
      </c>
      <c r="K6996" s="1" t="str">
        <f t="shared" si="1523"/>
        <v>...</v>
      </c>
      <c r="L6996" s="1" t="str">
        <f t="shared" si="1523"/>
        <v>...</v>
      </c>
      <c r="M6996" s="1" t="str">
        <f t="shared" si="1523"/>
        <v>...</v>
      </c>
      <c r="N6996" t="s">
        <v>30</v>
      </c>
    </row>
    <row r="6997" spans="1:14" x14ac:dyDescent="0.25">
      <c r="A6997" t="s">
        <v>42</v>
      </c>
      <c r="B6997" t="s">
        <v>39</v>
      </c>
      <c r="C6997" t="s">
        <v>38</v>
      </c>
      <c r="D6997" t="s">
        <v>34</v>
      </c>
      <c r="E6997" t="s">
        <v>26</v>
      </c>
      <c r="F6997" t="s">
        <v>15</v>
      </c>
      <c r="G6997" s="1" t="str">
        <f t="shared" si="1523"/>
        <v>...</v>
      </c>
      <c r="H6997" s="1" t="str">
        <f t="shared" si="1523"/>
        <v>...</v>
      </c>
      <c r="I6997" s="1" t="str">
        <f t="shared" si="1523"/>
        <v>...</v>
      </c>
      <c r="J6997" s="1" t="str">
        <f t="shared" si="1523"/>
        <v>...</v>
      </c>
      <c r="K6997" s="1" t="str">
        <f t="shared" si="1523"/>
        <v>...</v>
      </c>
      <c r="L6997" s="1" t="str">
        <f t="shared" si="1523"/>
        <v>...</v>
      </c>
      <c r="M6997" s="1" t="str">
        <f t="shared" si="1523"/>
        <v>...</v>
      </c>
      <c r="N6997" t="s">
        <v>30</v>
      </c>
    </row>
    <row r="6998" spans="1:14" x14ac:dyDescent="0.25">
      <c r="A6998" t="s">
        <v>42</v>
      </c>
      <c r="B6998" t="s">
        <v>39</v>
      </c>
      <c r="C6998" t="s">
        <v>38</v>
      </c>
      <c r="D6998" t="s">
        <v>34</v>
      </c>
      <c r="E6998" t="s">
        <v>26</v>
      </c>
      <c r="F6998" t="s">
        <v>17</v>
      </c>
      <c r="G6998" s="1" t="str">
        <f t="shared" si="1523"/>
        <v>...</v>
      </c>
      <c r="H6998" s="1" t="str">
        <f t="shared" si="1523"/>
        <v>...</v>
      </c>
      <c r="I6998" s="1" t="str">
        <f t="shared" si="1523"/>
        <v>...</v>
      </c>
      <c r="J6998" s="1" t="str">
        <f t="shared" si="1523"/>
        <v>...</v>
      </c>
      <c r="K6998" s="1" t="str">
        <f t="shared" si="1523"/>
        <v>...</v>
      </c>
      <c r="L6998" s="1" t="str">
        <f t="shared" si="1523"/>
        <v>...</v>
      </c>
      <c r="M6998" s="1" t="str">
        <f t="shared" si="1523"/>
        <v>...</v>
      </c>
      <c r="N6998" t="s">
        <v>30</v>
      </c>
    </row>
    <row r="6999" spans="1:14" x14ac:dyDescent="0.25">
      <c r="A6999" t="s">
        <v>42</v>
      </c>
      <c r="B6999" t="s">
        <v>39</v>
      </c>
      <c r="C6999" t="s">
        <v>38</v>
      </c>
      <c r="D6999" t="s">
        <v>34</v>
      </c>
      <c r="E6999" t="s">
        <v>26</v>
      </c>
      <c r="F6999" t="s">
        <v>18</v>
      </c>
      <c r="G6999" s="1" t="str">
        <f t="shared" si="1523"/>
        <v>...</v>
      </c>
      <c r="H6999" s="1" t="str">
        <f t="shared" si="1523"/>
        <v>...</v>
      </c>
      <c r="I6999" s="1" t="str">
        <f t="shared" si="1523"/>
        <v>...</v>
      </c>
      <c r="J6999" s="1" t="str">
        <f t="shared" si="1523"/>
        <v>...</v>
      </c>
      <c r="K6999" s="1" t="str">
        <f t="shared" si="1523"/>
        <v>...</v>
      </c>
      <c r="L6999" s="1" t="str">
        <f t="shared" si="1523"/>
        <v>...</v>
      </c>
      <c r="M6999" s="1" t="str">
        <f t="shared" si="1523"/>
        <v>...</v>
      </c>
      <c r="N6999" t="s">
        <v>30</v>
      </c>
    </row>
    <row r="7000" spans="1:14" x14ac:dyDescent="0.25">
      <c r="A7000" t="s">
        <v>42</v>
      </c>
      <c r="B7000" t="s">
        <v>39</v>
      </c>
      <c r="C7000" t="s">
        <v>38</v>
      </c>
      <c r="D7000" t="s">
        <v>34</v>
      </c>
      <c r="E7000" t="s">
        <v>26</v>
      </c>
      <c r="F7000" t="s">
        <v>19</v>
      </c>
      <c r="G7000" s="1" t="str">
        <f t="shared" si="1523"/>
        <v>...</v>
      </c>
      <c r="H7000" s="1" t="str">
        <f t="shared" si="1523"/>
        <v>...</v>
      </c>
      <c r="I7000" s="1" t="str">
        <f t="shared" si="1523"/>
        <v>...</v>
      </c>
      <c r="J7000" s="1" t="str">
        <f t="shared" si="1523"/>
        <v>...</v>
      </c>
      <c r="K7000" s="1" t="str">
        <f t="shared" si="1523"/>
        <v>...</v>
      </c>
      <c r="L7000" s="1" t="str">
        <f t="shared" si="1523"/>
        <v>...</v>
      </c>
      <c r="M7000" s="1" t="str">
        <f t="shared" si="1523"/>
        <v>...</v>
      </c>
      <c r="N7000" t="s">
        <v>30</v>
      </c>
    </row>
    <row r="7001" spans="1:14" x14ac:dyDescent="0.25">
      <c r="A7001" t="s">
        <v>42</v>
      </c>
      <c r="B7001" t="s">
        <v>39</v>
      </c>
      <c r="C7001" t="s">
        <v>38</v>
      </c>
      <c r="D7001" t="s">
        <v>34</v>
      </c>
      <c r="E7001" t="s">
        <v>26</v>
      </c>
      <c r="F7001" t="s">
        <v>20</v>
      </c>
      <c r="G7001" s="1" t="str">
        <f t="shared" si="1523"/>
        <v>...</v>
      </c>
      <c r="H7001" s="1" t="str">
        <f t="shared" si="1523"/>
        <v>...</v>
      </c>
      <c r="I7001" s="1" t="str">
        <f t="shared" si="1523"/>
        <v>...</v>
      </c>
      <c r="J7001" s="1" t="str">
        <f t="shared" si="1523"/>
        <v>...</v>
      </c>
      <c r="K7001" s="1" t="str">
        <f t="shared" si="1523"/>
        <v>...</v>
      </c>
      <c r="L7001" s="1" t="str">
        <f t="shared" si="1523"/>
        <v>...</v>
      </c>
      <c r="M7001" s="1" t="str">
        <f t="shared" si="1523"/>
        <v>...</v>
      </c>
      <c r="N7001" t="s">
        <v>30</v>
      </c>
    </row>
    <row r="7002" spans="1:14" x14ac:dyDescent="0.25">
      <c r="A7002" t="s">
        <v>42</v>
      </c>
      <c r="B7002" t="s">
        <v>40</v>
      </c>
      <c r="C7002" t="s">
        <v>15</v>
      </c>
      <c r="D7002" t="s">
        <v>15</v>
      </c>
      <c r="E7002" t="s">
        <v>15</v>
      </c>
      <c r="F7002" t="s">
        <v>15</v>
      </c>
      <c r="G7002" s="1">
        <f>VALUE(51285.63)</f>
        <v>51285.63</v>
      </c>
      <c r="H7002" s="1">
        <f>VALUE(41471.46)</f>
        <v>41471.46</v>
      </c>
      <c r="I7002" s="1">
        <f>VALUE(2725)</f>
        <v>2725</v>
      </c>
      <c r="J7002" s="1">
        <f>VALUE(3378)</f>
        <v>3378</v>
      </c>
      <c r="K7002" s="1">
        <f>VALUE(4353)</f>
        <v>4353</v>
      </c>
      <c r="L7002" s="1">
        <f>VALUE(5778)</f>
        <v>5778</v>
      </c>
      <c r="M7002" s="1">
        <f>VALUE(7628)</f>
        <v>7628</v>
      </c>
      <c r="N7002" t="s">
        <v>16</v>
      </c>
    </row>
    <row r="7003" spans="1:14" x14ac:dyDescent="0.25">
      <c r="A7003" t="s">
        <v>42</v>
      </c>
      <c r="B7003" t="s">
        <v>40</v>
      </c>
      <c r="C7003" t="s">
        <v>15</v>
      </c>
      <c r="D7003" t="s">
        <v>15</v>
      </c>
      <c r="E7003" t="s">
        <v>15</v>
      </c>
      <c r="F7003" t="s">
        <v>17</v>
      </c>
      <c r="G7003" s="1">
        <f>VALUE(4918.54)</f>
        <v>4918.54</v>
      </c>
      <c r="H7003" s="1">
        <f>VALUE(4373.06)</f>
        <v>4373.0600000000004</v>
      </c>
      <c r="I7003" s="1">
        <f>VALUE(3143)</f>
        <v>3143</v>
      </c>
      <c r="J7003" s="1">
        <f>VALUE(4127)</f>
        <v>4127</v>
      </c>
      <c r="K7003" s="1">
        <f>VALUE(6153)</f>
        <v>6153</v>
      </c>
      <c r="L7003" s="1">
        <f>VALUE(9036)</f>
        <v>9036</v>
      </c>
      <c r="M7003" s="8">
        <f>VALUE(12438)</f>
        <v>12438</v>
      </c>
      <c r="N7003" t="s">
        <v>25</v>
      </c>
    </row>
    <row r="7004" spans="1:14" x14ac:dyDescent="0.25">
      <c r="A7004" t="s">
        <v>42</v>
      </c>
      <c r="B7004" t="s">
        <v>40</v>
      </c>
      <c r="C7004" t="s">
        <v>15</v>
      </c>
      <c r="D7004" t="s">
        <v>15</v>
      </c>
      <c r="E7004" t="s">
        <v>15</v>
      </c>
      <c r="F7004" t="s">
        <v>18</v>
      </c>
      <c r="G7004" s="1">
        <f>VALUE(4481.78)</f>
        <v>4481.78</v>
      </c>
      <c r="H7004" s="1">
        <f>VALUE(3609.17)</f>
        <v>3609.17</v>
      </c>
      <c r="I7004" s="1">
        <f>VALUE(3216)</f>
        <v>3216</v>
      </c>
      <c r="J7004" s="1">
        <f>VALUE(4292)</f>
        <v>4292</v>
      </c>
      <c r="K7004" s="1">
        <f>VALUE(5638)</f>
        <v>5638</v>
      </c>
      <c r="L7004" s="1">
        <f>VALUE(7429)</f>
        <v>7429</v>
      </c>
      <c r="M7004" s="1">
        <f>VALUE(9000)</f>
        <v>9000</v>
      </c>
      <c r="N7004" t="s">
        <v>16</v>
      </c>
    </row>
    <row r="7005" spans="1:14" x14ac:dyDescent="0.25">
      <c r="A7005" t="s">
        <v>42</v>
      </c>
      <c r="B7005" t="s">
        <v>40</v>
      </c>
      <c r="C7005" t="s">
        <v>15</v>
      </c>
      <c r="D7005" t="s">
        <v>15</v>
      </c>
      <c r="E7005" t="s">
        <v>15</v>
      </c>
      <c r="F7005" t="s">
        <v>19</v>
      </c>
      <c r="G7005" s="1">
        <f>VALUE(6940.85)</f>
        <v>6940.85</v>
      </c>
      <c r="H7005" s="1">
        <f>VALUE(6026.49)</f>
        <v>6026.49</v>
      </c>
      <c r="I7005" s="1">
        <f>VALUE(2926)</f>
        <v>2926</v>
      </c>
      <c r="J7005" s="5">
        <f>VALUE(3509)</f>
        <v>3509</v>
      </c>
      <c r="K7005" s="1">
        <f>VALUE(4642)</f>
        <v>4642</v>
      </c>
      <c r="L7005" s="1">
        <f>VALUE(5961)</f>
        <v>5961</v>
      </c>
      <c r="M7005" s="1">
        <f>VALUE(7398)</f>
        <v>7398</v>
      </c>
      <c r="N7005" t="s">
        <v>25</v>
      </c>
    </row>
    <row r="7006" spans="1:14" x14ac:dyDescent="0.25">
      <c r="A7006" t="s">
        <v>42</v>
      </c>
      <c r="B7006" t="s">
        <v>40</v>
      </c>
      <c r="C7006" t="s">
        <v>15</v>
      </c>
      <c r="D7006" t="s">
        <v>15</v>
      </c>
      <c r="E7006" t="s">
        <v>15</v>
      </c>
      <c r="F7006" t="s">
        <v>20</v>
      </c>
      <c r="G7006" s="1">
        <f>VALUE(34944.46)</f>
        <v>34944.46</v>
      </c>
      <c r="H7006" s="1">
        <f>VALUE(27462.74)</f>
        <v>27462.74</v>
      </c>
      <c r="I7006" s="1">
        <f>VALUE(2600)</f>
        <v>2600</v>
      </c>
      <c r="J7006" s="1">
        <f>VALUE(3233)</f>
        <v>3233</v>
      </c>
      <c r="K7006" s="1">
        <f>VALUE(4063)</f>
        <v>4063</v>
      </c>
      <c r="L7006" s="1">
        <f>VALUE(5213)</f>
        <v>5213</v>
      </c>
      <c r="M7006" s="1">
        <f>VALUE(6546)</f>
        <v>6546</v>
      </c>
      <c r="N7006" t="s">
        <v>16</v>
      </c>
    </row>
    <row r="7007" spans="1:14" x14ac:dyDescent="0.25">
      <c r="A7007" t="s">
        <v>42</v>
      </c>
      <c r="B7007" t="s">
        <v>40</v>
      </c>
      <c r="C7007" t="s">
        <v>15</v>
      </c>
      <c r="D7007" t="s">
        <v>15</v>
      </c>
      <c r="E7007" t="s">
        <v>21</v>
      </c>
      <c r="F7007" t="s">
        <v>15</v>
      </c>
      <c r="G7007" s="1">
        <f>VALUE(9403.17)</f>
        <v>9403.17</v>
      </c>
      <c r="H7007" s="1">
        <f>VALUE(7811.06)</f>
        <v>7811.06</v>
      </c>
      <c r="I7007" s="1">
        <f>VALUE(3250)</f>
        <v>3250</v>
      </c>
      <c r="J7007" s="1">
        <f>VALUE(4375)</f>
        <v>4375</v>
      </c>
      <c r="K7007" s="1">
        <f>VALUE(5874)</f>
        <v>5874</v>
      </c>
      <c r="L7007" s="1">
        <f>VALUE(7788)</f>
        <v>7788</v>
      </c>
      <c r="M7007" s="1">
        <f>VALUE(10000)</f>
        <v>10000</v>
      </c>
      <c r="N7007" t="s">
        <v>16</v>
      </c>
    </row>
    <row r="7008" spans="1:14" x14ac:dyDescent="0.25">
      <c r="A7008" t="s">
        <v>42</v>
      </c>
      <c r="B7008" t="s">
        <v>40</v>
      </c>
      <c r="C7008" t="s">
        <v>15</v>
      </c>
      <c r="D7008" t="s">
        <v>15</v>
      </c>
      <c r="E7008" t="s">
        <v>21</v>
      </c>
      <c r="F7008" t="s">
        <v>17</v>
      </c>
      <c r="G7008" s="2">
        <f>VALUE(2171.66)</f>
        <v>2171.66</v>
      </c>
      <c r="H7008" s="3">
        <f>VALUE(1909.59)</f>
        <v>1909.59</v>
      </c>
      <c r="I7008" s="4">
        <f>VALUE(3514)</f>
        <v>3514</v>
      </c>
      <c r="J7008" s="5">
        <f>VALUE(5000)</f>
        <v>5000</v>
      </c>
      <c r="K7008" s="1">
        <f>VALUE(7420)</f>
        <v>7420</v>
      </c>
      <c r="L7008" s="7">
        <f>VALUE(9735)</f>
        <v>9735</v>
      </c>
      <c r="M7008" s="1">
        <f>VALUE(13972)</f>
        <v>13972</v>
      </c>
      <c r="N7008" t="s">
        <v>25</v>
      </c>
    </row>
    <row r="7009" spans="1:14" x14ac:dyDescent="0.25">
      <c r="A7009" t="s">
        <v>42</v>
      </c>
      <c r="B7009" t="s">
        <v>40</v>
      </c>
      <c r="C7009" t="s">
        <v>15</v>
      </c>
      <c r="D7009" t="s">
        <v>15</v>
      </c>
      <c r="E7009" t="s">
        <v>21</v>
      </c>
      <c r="F7009" t="s">
        <v>18</v>
      </c>
      <c r="G7009" s="2">
        <f>VALUE(1676.28)</f>
        <v>1676.28</v>
      </c>
      <c r="H7009" s="3">
        <f>VALUE(1353.09)</f>
        <v>1353.09</v>
      </c>
      <c r="I7009" s="4">
        <f>VALUE(3228)</f>
        <v>3228</v>
      </c>
      <c r="J7009" s="5">
        <f>VALUE(4923)</f>
        <v>4923</v>
      </c>
      <c r="K7009" s="1">
        <f>VALUE(6249)</f>
        <v>6249</v>
      </c>
      <c r="L7009" s="1">
        <f>VALUE(8283)</f>
        <v>8283</v>
      </c>
      <c r="M7009" s="1">
        <f>VALUE(9964)</f>
        <v>9964</v>
      </c>
      <c r="N7009" t="s">
        <v>25</v>
      </c>
    </row>
    <row r="7010" spans="1:14" x14ac:dyDescent="0.25">
      <c r="A7010" t="s">
        <v>42</v>
      </c>
      <c r="B7010" t="s">
        <v>40</v>
      </c>
      <c r="C7010" t="s">
        <v>15</v>
      </c>
      <c r="D7010" t="s">
        <v>15</v>
      </c>
      <c r="E7010" t="s">
        <v>21</v>
      </c>
      <c r="F7010" t="s">
        <v>19</v>
      </c>
      <c r="G7010" s="2">
        <f>VALUE(1223.09)</f>
        <v>1223.0899999999999</v>
      </c>
      <c r="H7010" s="1">
        <f>VALUE(1102.57)</f>
        <v>1102.57</v>
      </c>
      <c r="I7010" s="1">
        <f>VALUE(3706)</f>
        <v>3706</v>
      </c>
      <c r="J7010" s="1">
        <f>VALUE(4400)</f>
        <v>4400</v>
      </c>
      <c r="K7010" s="1">
        <f>VALUE(5904)</f>
        <v>5904</v>
      </c>
      <c r="L7010" s="1">
        <f>VALUE(7521)</f>
        <v>7521</v>
      </c>
      <c r="M7010" s="8">
        <f>VALUE(9096)</f>
        <v>9096</v>
      </c>
      <c r="N7010" t="s">
        <v>25</v>
      </c>
    </row>
    <row r="7011" spans="1:14" x14ac:dyDescent="0.25">
      <c r="A7011" t="s">
        <v>42</v>
      </c>
      <c r="B7011" t="s">
        <v>40</v>
      </c>
      <c r="C7011" t="s">
        <v>15</v>
      </c>
      <c r="D7011" t="s">
        <v>15</v>
      </c>
      <c r="E7011" t="s">
        <v>21</v>
      </c>
      <c r="F7011" t="s">
        <v>20</v>
      </c>
      <c r="G7011" s="1">
        <f>VALUE(4332.14)</f>
        <v>4332.1400000000003</v>
      </c>
      <c r="H7011" s="1">
        <f>VALUE(3445.81)</f>
        <v>3445.81</v>
      </c>
      <c r="I7011" s="1">
        <f>VALUE(3059)</f>
        <v>3059</v>
      </c>
      <c r="J7011" s="1">
        <f>VALUE(4032)</f>
        <v>4032</v>
      </c>
      <c r="K7011" s="1">
        <f>VALUE(5225)</f>
        <v>5225</v>
      </c>
      <c r="L7011" s="1">
        <f>VALUE(6696)</f>
        <v>6696</v>
      </c>
      <c r="M7011" s="1">
        <f>VALUE(8122)</f>
        <v>8122</v>
      </c>
      <c r="N7011" t="s">
        <v>16</v>
      </c>
    </row>
    <row r="7012" spans="1:14" x14ac:dyDescent="0.25">
      <c r="A7012" t="s">
        <v>42</v>
      </c>
      <c r="B7012" t="s">
        <v>40</v>
      </c>
      <c r="C7012" t="s">
        <v>15</v>
      </c>
      <c r="D7012" t="s">
        <v>15</v>
      </c>
      <c r="E7012" t="s">
        <v>22</v>
      </c>
      <c r="F7012" t="s">
        <v>15</v>
      </c>
      <c r="G7012" s="1">
        <f>VALUE(22903.14)</f>
        <v>22903.14</v>
      </c>
      <c r="H7012" s="1">
        <f>VALUE(18460.19)</f>
        <v>18460.189999999999</v>
      </c>
      <c r="I7012" s="1">
        <f>VALUE(3070)</f>
        <v>3070</v>
      </c>
      <c r="J7012" s="1">
        <f>VALUE(3921)</f>
        <v>3921</v>
      </c>
      <c r="K7012" s="1">
        <f>VALUE(4921)</f>
        <v>4921</v>
      </c>
      <c r="L7012" s="1">
        <f>VALUE(6064)</f>
        <v>6064</v>
      </c>
      <c r="M7012" s="1">
        <f>VALUE(7524)</f>
        <v>7524</v>
      </c>
      <c r="N7012" t="s">
        <v>16</v>
      </c>
    </row>
    <row r="7013" spans="1:14" x14ac:dyDescent="0.25">
      <c r="A7013" t="s">
        <v>42</v>
      </c>
      <c r="B7013" t="s">
        <v>40</v>
      </c>
      <c r="C7013" t="s">
        <v>15</v>
      </c>
      <c r="D7013" t="s">
        <v>15</v>
      </c>
      <c r="E7013" t="s">
        <v>22</v>
      </c>
      <c r="F7013" t="s">
        <v>17</v>
      </c>
      <c r="G7013" s="2">
        <f>VALUE(2246.79)</f>
        <v>2246.79</v>
      </c>
      <c r="H7013" s="3">
        <f>VALUE(2030.01)</f>
        <v>2030.01</v>
      </c>
      <c r="I7013" s="4">
        <f>VALUE(3044)</f>
        <v>3044</v>
      </c>
      <c r="J7013" s="5">
        <f>VALUE(4078)</f>
        <v>4078</v>
      </c>
      <c r="K7013" s="6">
        <f>VALUE(5696)</f>
        <v>5696</v>
      </c>
      <c r="L7013" s="1">
        <f>VALUE(8340)</f>
        <v>8340</v>
      </c>
      <c r="M7013" s="8">
        <f>VALUE(10833)</f>
        <v>10833</v>
      </c>
      <c r="N7013" t="s">
        <v>25</v>
      </c>
    </row>
    <row r="7014" spans="1:14" x14ac:dyDescent="0.25">
      <c r="A7014" t="s">
        <v>42</v>
      </c>
      <c r="B7014" t="s">
        <v>40</v>
      </c>
      <c r="C7014" t="s">
        <v>15</v>
      </c>
      <c r="D7014" t="s">
        <v>15</v>
      </c>
      <c r="E7014" t="s">
        <v>22</v>
      </c>
      <c r="F7014" t="s">
        <v>18</v>
      </c>
      <c r="G7014" s="1">
        <f>VALUE(2226.84)</f>
        <v>2226.84</v>
      </c>
      <c r="H7014" s="1">
        <f>VALUE(1784.06)</f>
        <v>1784.06</v>
      </c>
      <c r="I7014" s="4">
        <f>VALUE(3443)</f>
        <v>3443</v>
      </c>
      <c r="J7014" s="5">
        <f>VALUE(4390)</f>
        <v>4390</v>
      </c>
      <c r="K7014" s="1">
        <f>VALUE(5443)</f>
        <v>5443</v>
      </c>
      <c r="L7014" s="1">
        <f>VALUE(7015)</f>
        <v>7015</v>
      </c>
      <c r="M7014" s="1">
        <f>VALUE(8406)</f>
        <v>8406</v>
      </c>
      <c r="N7014" t="s">
        <v>25</v>
      </c>
    </row>
    <row r="7015" spans="1:14" x14ac:dyDescent="0.25">
      <c r="A7015" t="s">
        <v>42</v>
      </c>
      <c r="B7015" t="s">
        <v>40</v>
      </c>
      <c r="C7015" t="s">
        <v>15</v>
      </c>
      <c r="D7015" t="s">
        <v>15</v>
      </c>
      <c r="E7015" t="s">
        <v>22</v>
      </c>
      <c r="F7015" t="s">
        <v>19</v>
      </c>
      <c r="G7015" s="1">
        <f>VALUE(3875.79)</f>
        <v>3875.79</v>
      </c>
      <c r="H7015" s="1">
        <f>VALUE(3169.31)</f>
        <v>3169.31</v>
      </c>
      <c r="I7015" s="1">
        <f>VALUE(3471)</f>
        <v>3471</v>
      </c>
      <c r="J7015" s="1">
        <f>VALUE(4183)</f>
        <v>4183</v>
      </c>
      <c r="K7015" s="1">
        <f>VALUE(5156)</f>
        <v>5156</v>
      </c>
      <c r="L7015" s="1">
        <f>VALUE(6106)</f>
        <v>6106</v>
      </c>
      <c r="M7015" s="1">
        <f>VALUE(7249)</f>
        <v>7249</v>
      </c>
      <c r="N7015" t="s">
        <v>16</v>
      </c>
    </row>
    <row r="7016" spans="1:14" x14ac:dyDescent="0.25">
      <c r="A7016" t="s">
        <v>42</v>
      </c>
      <c r="B7016" t="s">
        <v>40</v>
      </c>
      <c r="C7016" t="s">
        <v>15</v>
      </c>
      <c r="D7016" t="s">
        <v>15</v>
      </c>
      <c r="E7016" t="s">
        <v>22</v>
      </c>
      <c r="F7016" t="s">
        <v>20</v>
      </c>
      <c r="G7016" s="1">
        <f>VALUE(14553.72)</f>
        <v>14553.72</v>
      </c>
      <c r="H7016" s="1">
        <f>VALUE(11476.81)</f>
        <v>11476.81</v>
      </c>
      <c r="I7016" s="1">
        <f>VALUE(2938)</f>
        <v>2938</v>
      </c>
      <c r="J7016" s="1">
        <f>VALUE(3788)</f>
        <v>3788</v>
      </c>
      <c r="K7016" s="1">
        <f>VALUE(4691)</f>
        <v>4691</v>
      </c>
      <c r="L7016" s="1">
        <f>VALUE(5691)</f>
        <v>5691</v>
      </c>
      <c r="M7016" s="1">
        <f>VALUE(6767)</f>
        <v>6767</v>
      </c>
      <c r="N7016" t="s">
        <v>16</v>
      </c>
    </row>
    <row r="7017" spans="1:14" x14ac:dyDescent="0.25">
      <c r="A7017" t="s">
        <v>42</v>
      </c>
      <c r="B7017" t="s">
        <v>40</v>
      </c>
      <c r="C7017" t="s">
        <v>15</v>
      </c>
      <c r="D7017" t="s">
        <v>15</v>
      </c>
      <c r="E7017" t="s">
        <v>23</v>
      </c>
      <c r="F7017" t="s">
        <v>15</v>
      </c>
      <c r="G7017" s="1">
        <f>VALUE(17479.7)</f>
        <v>17479.7</v>
      </c>
      <c r="H7017" s="1">
        <f>VALUE(13870.69)</f>
        <v>13870.69</v>
      </c>
      <c r="I7017" s="1">
        <f>VALUE(2560)</f>
        <v>2560</v>
      </c>
      <c r="J7017" s="1">
        <f>VALUE(2896)</f>
        <v>2896</v>
      </c>
      <c r="K7017" s="1">
        <f>VALUE(3423)</f>
        <v>3423</v>
      </c>
      <c r="L7017" s="1">
        <f>VALUE(4063)</f>
        <v>4063</v>
      </c>
      <c r="M7017" s="1">
        <f>VALUE(4813)</f>
        <v>4813</v>
      </c>
      <c r="N7017" t="s">
        <v>16</v>
      </c>
    </row>
    <row r="7018" spans="1:14" x14ac:dyDescent="0.25">
      <c r="A7018" t="s">
        <v>42</v>
      </c>
      <c r="B7018" t="s">
        <v>40</v>
      </c>
      <c r="C7018" t="s">
        <v>15</v>
      </c>
      <c r="D7018" t="s">
        <v>15</v>
      </c>
      <c r="E7018" t="s">
        <v>23</v>
      </c>
      <c r="F7018" t="s">
        <v>17</v>
      </c>
      <c r="G7018" s="2">
        <f>VALUE(409.73)</f>
        <v>409.73</v>
      </c>
      <c r="H7018" s="3">
        <f>VALUE(345.43)</f>
        <v>345.43</v>
      </c>
      <c r="I7018" s="4">
        <f>VALUE(2989)</f>
        <v>2989</v>
      </c>
      <c r="J7018" s="5">
        <f>VALUE(3611)</f>
        <v>3611</v>
      </c>
      <c r="K7018" s="6">
        <f>VALUE(3852)</f>
        <v>3852</v>
      </c>
      <c r="L7018" s="7">
        <f>VALUE(5034)</f>
        <v>5034</v>
      </c>
      <c r="M7018" s="8">
        <f>VALUE(7569)</f>
        <v>7569</v>
      </c>
      <c r="N7018" t="s">
        <v>24</v>
      </c>
    </row>
    <row r="7019" spans="1:14" x14ac:dyDescent="0.25">
      <c r="A7019" t="s">
        <v>42</v>
      </c>
      <c r="B7019" t="s">
        <v>40</v>
      </c>
      <c r="C7019" t="s">
        <v>15</v>
      </c>
      <c r="D7019" t="s">
        <v>15</v>
      </c>
      <c r="E7019" t="s">
        <v>23</v>
      </c>
      <c r="F7019" t="s">
        <v>18</v>
      </c>
      <c r="G7019" s="2">
        <f>VALUE(527.2)</f>
        <v>527.20000000000005</v>
      </c>
      <c r="H7019" s="3">
        <f>VALUE(423.61)</f>
        <v>423.61</v>
      </c>
      <c r="I7019" s="4">
        <f>VALUE(3022)</f>
        <v>3022</v>
      </c>
      <c r="J7019" s="5">
        <f>VALUE(3363)</f>
        <v>3363</v>
      </c>
      <c r="K7019" s="6">
        <f>VALUE(4073)</f>
        <v>4073</v>
      </c>
      <c r="L7019" s="7">
        <f>VALUE(4778)</f>
        <v>4778</v>
      </c>
      <c r="M7019" s="1">
        <f>VALUE(5877)</f>
        <v>5877</v>
      </c>
      <c r="N7019" t="s">
        <v>25</v>
      </c>
    </row>
    <row r="7020" spans="1:14" x14ac:dyDescent="0.25">
      <c r="A7020" t="s">
        <v>42</v>
      </c>
      <c r="B7020" t="s">
        <v>40</v>
      </c>
      <c r="C7020" t="s">
        <v>15</v>
      </c>
      <c r="D7020" t="s">
        <v>15</v>
      </c>
      <c r="E7020" t="s">
        <v>23</v>
      </c>
      <c r="F7020" t="s">
        <v>19</v>
      </c>
      <c r="G7020" s="1">
        <f>VALUE(1771.64)</f>
        <v>1771.64</v>
      </c>
      <c r="H7020" s="1">
        <f>VALUE(1695.34)</f>
        <v>1695.34</v>
      </c>
      <c r="I7020" s="1">
        <f>VALUE(2704)</f>
        <v>2704</v>
      </c>
      <c r="J7020" s="1">
        <f>VALUE(2918)</f>
        <v>2918</v>
      </c>
      <c r="K7020" s="6">
        <f>VALUE(3198)</f>
        <v>3198</v>
      </c>
      <c r="L7020" s="7">
        <f>VALUE(3935)</f>
        <v>3935</v>
      </c>
      <c r="M7020" s="1">
        <f>VALUE(4643)</f>
        <v>4643</v>
      </c>
      <c r="N7020" t="s">
        <v>25</v>
      </c>
    </row>
    <row r="7021" spans="1:14" x14ac:dyDescent="0.25">
      <c r="A7021" t="s">
        <v>42</v>
      </c>
      <c r="B7021" t="s">
        <v>40</v>
      </c>
      <c r="C7021" t="s">
        <v>15</v>
      </c>
      <c r="D7021" t="s">
        <v>15</v>
      </c>
      <c r="E7021" t="s">
        <v>23</v>
      </c>
      <c r="F7021" t="s">
        <v>20</v>
      </c>
      <c r="G7021" s="1">
        <f>VALUE(14771.13)</f>
        <v>14771.13</v>
      </c>
      <c r="H7021" s="1">
        <f>VALUE(11406.31)</f>
        <v>11406.31</v>
      </c>
      <c r="I7021" s="1">
        <f>VALUE(2527)</f>
        <v>2527</v>
      </c>
      <c r="J7021" s="1">
        <f>VALUE(2855)</f>
        <v>2855</v>
      </c>
      <c r="K7021" s="1">
        <f>VALUE(3423)</f>
        <v>3423</v>
      </c>
      <c r="L7021" s="1">
        <f>VALUE(4030)</f>
        <v>4030</v>
      </c>
      <c r="M7021" s="1">
        <f>VALUE(4754)</f>
        <v>4754</v>
      </c>
      <c r="N7021" t="s">
        <v>16</v>
      </c>
    </row>
    <row r="7022" spans="1:14" x14ac:dyDescent="0.25">
      <c r="A7022" t="s">
        <v>42</v>
      </c>
      <c r="B7022" t="s">
        <v>40</v>
      </c>
      <c r="C7022" t="s">
        <v>15</v>
      </c>
      <c r="D7022" t="s">
        <v>15</v>
      </c>
      <c r="E7022" t="s">
        <v>26</v>
      </c>
      <c r="F7022" t="s">
        <v>15</v>
      </c>
      <c r="G7022" s="2">
        <f>VALUE(1499.62)</f>
        <v>1499.62</v>
      </c>
      <c r="H7022" s="3">
        <f>VALUE(1329.52)</f>
        <v>1329.52</v>
      </c>
      <c r="I7022" s="4">
        <f>VALUE(2958)</f>
        <v>2958</v>
      </c>
      <c r="J7022" s="1">
        <f>VALUE(3508)</f>
        <v>3508</v>
      </c>
      <c r="K7022" s="6">
        <f>VALUE(4477)</f>
        <v>4477</v>
      </c>
      <c r="L7022" s="1">
        <f>VALUE(6021)</f>
        <v>6021</v>
      </c>
      <c r="M7022" s="8">
        <f>VALUE(7509)</f>
        <v>7509</v>
      </c>
      <c r="N7022" t="s">
        <v>25</v>
      </c>
    </row>
    <row r="7023" spans="1:14" x14ac:dyDescent="0.25">
      <c r="A7023" t="s">
        <v>42</v>
      </c>
      <c r="B7023" t="s">
        <v>40</v>
      </c>
      <c r="C7023" t="s">
        <v>15</v>
      </c>
      <c r="D7023" t="s">
        <v>15</v>
      </c>
      <c r="E7023" t="s">
        <v>26</v>
      </c>
      <c r="F7023" t="s">
        <v>17</v>
      </c>
      <c r="G7023" s="1" t="str">
        <f t="shared" ref="G7023:M7025" si="1524">"X"</f>
        <v>X</v>
      </c>
      <c r="H7023" s="1" t="str">
        <f t="shared" si="1524"/>
        <v>X</v>
      </c>
      <c r="I7023" s="1" t="str">
        <f t="shared" si="1524"/>
        <v>X</v>
      </c>
      <c r="J7023" s="1" t="str">
        <f t="shared" si="1524"/>
        <v>X</v>
      </c>
      <c r="K7023" s="1" t="str">
        <f t="shared" si="1524"/>
        <v>X</v>
      </c>
      <c r="L7023" s="1" t="str">
        <f t="shared" si="1524"/>
        <v>X</v>
      </c>
      <c r="M7023" s="1" t="str">
        <f t="shared" si="1524"/>
        <v>X</v>
      </c>
      <c r="N7023" t="s">
        <v>27</v>
      </c>
    </row>
    <row r="7024" spans="1:14" x14ac:dyDescent="0.25">
      <c r="A7024" t="s">
        <v>42</v>
      </c>
      <c r="B7024" t="s">
        <v>40</v>
      </c>
      <c r="C7024" t="s">
        <v>15</v>
      </c>
      <c r="D7024" t="s">
        <v>15</v>
      </c>
      <c r="E7024" t="s">
        <v>26</v>
      </c>
      <c r="F7024" t="s">
        <v>18</v>
      </c>
      <c r="G7024" s="1" t="str">
        <f t="shared" si="1524"/>
        <v>X</v>
      </c>
      <c r="H7024" s="1" t="str">
        <f t="shared" si="1524"/>
        <v>X</v>
      </c>
      <c r="I7024" s="1" t="str">
        <f t="shared" si="1524"/>
        <v>X</v>
      </c>
      <c r="J7024" s="1" t="str">
        <f t="shared" si="1524"/>
        <v>X</v>
      </c>
      <c r="K7024" s="1" t="str">
        <f t="shared" si="1524"/>
        <v>X</v>
      </c>
      <c r="L7024" s="1" t="str">
        <f t="shared" si="1524"/>
        <v>X</v>
      </c>
      <c r="M7024" s="1" t="str">
        <f t="shared" si="1524"/>
        <v>X</v>
      </c>
      <c r="N7024" t="s">
        <v>27</v>
      </c>
    </row>
    <row r="7025" spans="1:14" x14ac:dyDescent="0.25">
      <c r="A7025" t="s">
        <v>42</v>
      </c>
      <c r="B7025" t="s">
        <v>40</v>
      </c>
      <c r="C7025" t="s">
        <v>15</v>
      </c>
      <c r="D7025" t="s">
        <v>15</v>
      </c>
      <c r="E7025" t="s">
        <v>26</v>
      </c>
      <c r="F7025" t="s">
        <v>19</v>
      </c>
      <c r="G7025" s="1" t="str">
        <f t="shared" si="1524"/>
        <v>X</v>
      </c>
      <c r="H7025" s="1" t="str">
        <f t="shared" si="1524"/>
        <v>X</v>
      </c>
      <c r="I7025" s="1" t="str">
        <f t="shared" si="1524"/>
        <v>X</v>
      </c>
      <c r="J7025" s="1" t="str">
        <f t="shared" si="1524"/>
        <v>X</v>
      </c>
      <c r="K7025" s="1" t="str">
        <f t="shared" si="1524"/>
        <v>X</v>
      </c>
      <c r="L7025" s="1" t="str">
        <f t="shared" si="1524"/>
        <v>X</v>
      </c>
      <c r="M7025" s="1" t="str">
        <f t="shared" si="1524"/>
        <v>X</v>
      </c>
      <c r="N7025" t="s">
        <v>27</v>
      </c>
    </row>
    <row r="7026" spans="1:14" x14ac:dyDescent="0.25">
      <c r="A7026" t="s">
        <v>42</v>
      </c>
      <c r="B7026" t="s">
        <v>40</v>
      </c>
      <c r="C7026" t="s">
        <v>15</v>
      </c>
      <c r="D7026" t="s">
        <v>15</v>
      </c>
      <c r="E7026" t="s">
        <v>26</v>
      </c>
      <c r="F7026" t="s">
        <v>20</v>
      </c>
      <c r="G7026" s="2">
        <f>VALUE(1287.47)</f>
        <v>1287.47</v>
      </c>
      <c r="H7026" s="3">
        <f>VALUE(1133.81)</f>
        <v>1133.81</v>
      </c>
      <c r="I7026" s="4">
        <f>VALUE(2674)</f>
        <v>2674</v>
      </c>
      <c r="J7026" s="1">
        <f>VALUE(3508)</f>
        <v>3508</v>
      </c>
      <c r="K7026" s="6">
        <f>VALUE(4237)</f>
        <v>4237</v>
      </c>
      <c r="L7026" s="1">
        <f>VALUE(5622)</f>
        <v>5622</v>
      </c>
      <c r="M7026" s="1">
        <f>VALUE(6665)</f>
        <v>6665</v>
      </c>
      <c r="N7026" t="s">
        <v>25</v>
      </c>
    </row>
    <row r="7027" spans="1:14" x14ac:dyDescent="0.25">
      <c r="A7027" t="s">
        <v>42</v>
      </c>
      <c r="B7027" t="s">
        <v>40</v>
      </c>
      <c r="C7027" t="s">
        <v>15</v>
      </c>
      <c r="D7027" t="s">
        <v>28</v>
      </c>
      <c r="E7027" t="s">
        <v>15</v>
      </c>
      <c r="F7027" t="s">
        <v>15</v>
      </c>
      <c r="G7027" s="1">
        <f>VALUE(24352.72)</f>
        <v>24352.720000000001</v>
      </c>
      <c r="H7027" s="1">
        <f>VALUE(18419.62)</f>
        <v>18419.62</v>
      </c>
      <c r="I7027" s="1">
        <f>VALUE(3196)</f>
        <v>3196</v>
      </c>
      <c r="J7027" s="1">
        <f>VALUE(4047)</f>
        <v>4047</v>
      </c>
      <c r="K7027" s="1">
        <f>VALUE(5058)</f>
        <v>5058</v>
      </c>
      <c r="L7027" s="1">
        <f>VALUE(6476)</f>
        <v>6476</v>
      </c>
      <c r="M7027" s="1">
        <f>VALUE(8283)</f>
        <v>8283</v>
      </c>
      <c r="N7027" t="s">
        <v>16</v>
      </c>
    </row>
    <row r="7028" spans="1:14" x14ac:dyDescent="0.25">
      <c r="A7028" t="s">
        <v>42</v>
      </c>
      <c r="B7028" t="s">
        <v>40</v>
      </c>
      <c r="C7028" t="s">
        <v>15</v>
      </c>
      <c r="D7028" t="s">
        <v>28</v>
      </c>
      <c r="E7028" t="s">
        <v>15</v>
      </c>
      <c r="F7028" t="s">
        <v>17</v>
      </c>
      <c r="G7028" s="1">
        <f>VALUE(3228.41)</f>
        <v>3228.41</v>
      </c>
      <c r="H7028" s="1">
        <f>VALUE(2813.91)</f>
        <v>2813.91</v>
      </c>
      <c r="I7028" s="1">
        <f>VALUE(3095)</f>
        <v>3095</v>
      </c>
      <c r="J7028" s="5">
        <f>VALUE(4149)</f>
        <v>4149</v>
      </c>
      <c r="K7028" s="6">
        <f>VALUE(6113)</f>
        <v>6113</v>
      </c>
      <c r="L7028" s="1">
        <f>VALUE(8808)</f>
        <v>8808</v>
      </c>
      <c r="M7028" s="8">
        <f>VALUE(11283)</f>
        <v>11283</v>
      </c>
      <c r="N7028" t="s">
        <v>25</v>
      </c>
    </row>
    <row r="7029" spans="1:14" x14ac:dyDescent="0.25">
      <c r="A7029" t="s">
        <v>42</v>
      </c>
      <c r="B7029" t="s">
        <v>40</v>
      </c>
      <c r="C7029" t="s">
        <v>15</v>
      </c>
      <c r="D7029" t="s">
        <v>28</v>
      </c>
      <c r="E7029" t="s">
        <v>15</v>
      </c>
      <c r="F7029" t="s">
        <v>18</v>
      </c>
      <c r="G7029" s="1">
        <f>VALUE(2608.01)</f>
        <v>2608.0100000000002</v>
      </c>
      <c r="H7029" s="1">
        <f>VALUE(1973.98)</f>
        <v>1973.98</v>
      </c>
      <c r="I7029" s="4">
        <f>VALUE(3445)</f>
        <v>3445</v>
      </c>
      <c r="J7029" s="1">
        <f>VALUE(4473)</f>
        <v>4473</v>
      </c>
      <c r="K7029" s="1">
        <f>VALUE(5796)</f>
        <v>5796</v>
      </c>
      <c r="L7029" s="1">
        <f>VALUE(7334)</f>
        <v>7334</v>
      </c>
      <c r="M7029" s="1">
        <f>VALUE(8982)</f>
        <v>8982</v>
      </c>
      <c r="N7029" t="s">
        <v>25</v>
      </c>
    </row>
    <row r="7030" spans="1:14" x14ac:dyDescent="0.25">
      <c r="A7030" t="s">
        <v>42</v>
      </c>
      <c r="B7030" t="s">
        <v>40</v>
      </c>
      <c r="C7030" t="s">
        <v>15</v>
      </c>
      <c r="D7030" t="s">
        <v>28</v>
      </c>
      <c r="E7030" t="s">
        <v>15</v>
      </c>
      <c r="F7030" t="s">
        <v>19</v>
      </c>
      <c r="G7030" s="1">
        <f>VALUE(3292.31)</f>
        <v>3292.31</v>
      </c>
      <c r="H7030" s="1">
        <f>VALUE(2605.67)</f>
        <v>2605.67</v>
      </c>
      <c r="I7030" s="1">
        <f>VALUE(3602)</f>
        <v>3602</v>
      </c>
      <c r="J7030" s="1">
        <f>VALUE(4333)</f>
        <v>4333</v>
      </c>
      <c r="K7030" s="1">
        <f>VALUE(5396)</f>
        <v>5396</v>
      </c>
      <c r="L7030" s="1">
        <f>VALUE(6588)</f>
        <v>6588</v>
      </c>
      <c r="M7030" s="1">
        <f>VALUE(7753)</f>
        <v>7753</v>
      </c>
      <c r="N7030" t="s">
        <v>16</v>
      </c>
    </row>
    <row r="7031" spans="1:14" x14ac:dyDescent="0.25">
      <c r="A7031" t="s">
        <v>42</v>
      </c>
      <c r="B7031" t="s">
        <v>40</v>
      </c>
      <c r="C7031" t="s">
        <v>15</v>
      </c>
      <c r="D7031" t="s">
        <v>28</v>
      </c>
      <c r="E7031" t="s">
        <v>15</v>
      </c>
      <c r="F7031" t="s">
        <v>20</v>
      </c>
      <c r="G7031" s="1">
        <f>VALUE(15223.99)</f>
        <v>15223.99</v>
      </c>
      <c r="H7031" s="1">
        <f>VALUE(11026.06)</f>
        <v>11026.06</v>
      </c>
      <c r="I7031" s="1">
        <f>VALUE(3143)</f>
        <v>3143</v>
      </c>
      <c r="J7031" s="1">
        <f>VALUE(3947)</f>
        <v>3947</v>
      </c>
      <c r="K7031" s="1">
        <f>VALUE(4784)</f>
        <v>4784</v>
      </c>
      <c r="L7031" s="1">
        <f>VALUE(5912)</f>
        <v>5912</v>
      </c>
      <c r="M7031" s="1">
        <f>VALUE(7159)</f>
        <v>7159</v>
      </c>
      <c r="N7031" t="s">
        <v>16</v>
      </c>
    </row>
    <row r="7032" spans="1:14" x14ac:dyDescent="0.25">
      <c r="A7032" t="s">
        <v>42</v>
      </c>
      <c r="B7032" t="s">
        <v>40</v>
      </c>
      <c r="C7032" t="s">
        <v>15</v>
      </c>
      <c r="D7032" t="s">
        <v>28</v>
      </c>
      <c r="E7032" t="s">
        <v>21</v>
      </c>
      <c r="F7032" t="s">
        <v>15</v>
      </c>
      <c r="G7032" s="1">
        <f>VALUE(4826.6)</f>
        <v>4826.6000000000004</v>
      </c>
      <c r="H7032" s="1">
        <f>VALUE(3730.87)</f>
        <v>3730.87</v>
      </c>
      <c r="I7032" s="4">
        <f>VALUE(3514)</f>
        <v>3514</v>
      </c>
      <c r="J7032" s="1">
        <f>VALUE(4694)</f>
        <v>4694</v>
      </c>
      <c r="K7032" s="1">
        <f>VALUE(6380)</f>
        <v>6380</v>
      </c>
      <c r="L7032" s="1">
        <f>VALUE(8285)</f>
        <v>8285</v>
      </c>
      <c r="M7032" s="1">
        <f>VALUE(10748)</f>
        <v>10748</v>
      </c>
      <c r="N7032" t="s">
        <v>25</v>
      </c>
    </row>
    <row r="7033" spans="1:14" x14ac:dyDescent="0.25">
      <c r="A7033" t="s">
        <v>42</v>
      </c>
      <c r="B7033" t="s">
        <v>40</v>
      </c>
      <c r="C7033" t="s">
        <v>15</v>
      </c>
      <c r="D7033" t="s">
        <v>28</v>
      </c>
      <c r="E7033" t="s">
        <v>21</v>
      </c>
      <c r="F7033" t="s">
        <v>17</v>
      </c>
      <c r="G7033" s="2">
        <f>VALUE(1352.84)</f>
        <v>1352.84</v>
      </c>
      <c r="H7033" s="3">
        <f>VALUE(1145.72)</f>
        <v>1145.72</v>
      </c>
      <c r="I7033" s="4">
        <f>VALUE(3106)</f>
        <v>3106</v>
      </c>
      <c r="J7033" s="5">
        <f>VALUE(4790)</f>
        <v>4790</v>
      </c>
      <c r="K7033" s="6">
        <f>VALUE(7480)</f>
        <v>7480</v>
      </c>
      <c r="L7033" s="7">
        <f>VALUE(9489)</f>
        <v>9489</v>
      </c>
      <c r="M7033" s="8">
        <f>VALUE(13231)</f>
        <v>13231</v>
      </c>
      <c r="N7033" t="s">
        <v>24</v>
      </c>
    </row>
    <row r="7034" spans="1:14" x14ac:dyDescent="0.25">
      <c r="A7034" t="s">
        <v>42</v>
      </c>
      <c r="B7034" t="s">
        <v>40</v>
      </c>
      <c r="C7034" t="s">
        <v>15</v>
      </c>
      <c r="D7034" t="s">
        <v>28</v>
      </c>
      <c r="E7034" t="s">
        <v>21</v>
      </c>
      <c r="F7034" t="s">
        <v>18</v>
      </c>
      <c r="G7034" s="2">
        <f>VALUE(864.63)</f>
        <v>864.63</v>
      </c>
      <c r="H7034" s="3">
        <f>VALUE(640.06)</f>
        <v>640.05999999999995</v>
      </c>
      <c r="I7034" s="4">
        <f>VALUE(3183)</f>
        <v>3183</v>
      </c>
      <c r="J7034" s="5">
        <f>VALUE(4923)</f>
        <v>4923</v>
      </c>
      <c r="K7034" s="6">
        <f>VALUE(6210)</f>
        <v>6210</v>
      </c>
      <c r="L7034" s="1">
        <f>VALUE(8300)</f>
        <v>8300</v>
      </c>
      <c r="M7034" s="8">
        <f>VALUE(10308)</f>
        <v>10308</v>
      </c>
      <c r="N7034" t="s">
        <v>25</v>
      </c>
    </row>
    <row r="7035" spans="1:14" x14ac:dyDescent="0.25">
      <c r="A7035" t="s">
        <v>42</v>
      </c>
      <c r="B7035" t="s">
        <v>40</v>
      </c>
      <c r="C7035" t="s">
        <v>15</v>
      </c>
      <c r="D7035" t="s">
        <v>28</v>
      </c>
      <c r="E7035" t="s">
        <v>21</v>
      </c>
      <c r="F7035" t="s">
        <v>19</v>
      </c>
      <c r="G7035" s="2">
        <f>VALUE(476.11)</f>
        <v>476.11</v>
      </c>
      <c r="H7035" s="3">
        <f>VALUE(399.96)</f>
        <v>399.96</v>
      </c>
      <c r="I7035" s="1">
        <f>VALUE(3900)</f>
        <v>3900</v>
      </c>
      <c r="J7035" s="1">
        <f>VALUE(4894)</f>
        <v>4894</v>
      </c>
      <c r="K7035" s="1">
        <f>VALUE(6433)</f>
        <v>6433</v>
      </c>
      <c r="L7035" s="1">
        <f>VALUE(7882)</f>
        <v>7882</v>
      </c>
      <c r="M7035" s="8">
        <f>VALUE(9396)</f>
        <v>9396</v>
      </c>
      <c r="N7035" t="s">
        <v>25</v>
      </c>
    </row>
    <row r="7036" spans="1:14" x14ac:dyDescent="0.25">
      <c r="A7036" t="s">
        <v>42</v>
      </c>
      <c r="B7036" t="s">
        <v>40</v>
      </c>
      <c r="C7036" t="s">
        <v>15</v>
      </c>
      <c r="D7036" t="s">
        <v>28</v>
      </c>
      <c r="E7036" t="s">
        <v>21</v>
      </c>
      <c r="F7036" t="s">
        <v>20</v>
      </c>
      <c r="G7036" s="1">
        <f>VALUE(2133.02)</f>
        <v>2133.02</v>
      </c>
      <c r="H7036" s="1">
        <f>VALUE(1545.13)</f>
        <v>1545.13</v>
      </c>
      <c r="I7036" s="4">
        <f>VALUE(3562)</f>
        <v>3562</v>
      </c>
      <c r="J7036" s="1">
        <f>VALUE(4586)</f>
        <v>4586</v>
      </c>
      <c r="K7036" s="1">
        <f>VALUE(5896)</f>
        <v>5896</v>
      </c>
      <c r="L7036" s="1">
        <f>VALUE(7393)</f>
        <v>7393</v>
      </c>
      <c r="M7036" s="8">
        <f>VALUE(8718)</f>
        <v>8718</v>
      </c>
      <c r="N7036" t="s">
        <v>25</v>
      </c>
    </row>
    <row r="7037" spans="1:14" x14ac:dyDescent="0.25">
      <c r="A7037" t="s">
        <v>42</v>
      </c>
      <c r="B7037" t="s">
        <v>40</v>
      </c>
      <c r="C7037" t="s">
        <v>15</v>
      </c>
      <c r="D7037" t="s">
        <v>28</v>
      </c>
      <c r="E7037" t="s">
        <v>22</v>
      </c>
      <c r="F7037" t="s">
        <v>15</v>
      </c>
      <c r="G7037" s="1">
        <f>VALUE(15033.25)</f>
        <v>15033.25</v>
      </c>
      <c r="H7037" s="1">
        <f>VALUE(11642.56)</f>
        <v>11642.56</v>
      </c>
      <c r="I7037" s="1">
        <f>VALUE(3274)</f>
        <v>3274</v>
      </c>
      <c r="J7037" s="1">
        <f>VALUE(4129)</f>
        <v>4129</v>
      </c>
      <c r="K7037" s="1">
        <f>VALUE(5109)</f>
        <v>5109</v>
      </c>
      <c r="L7037" s="1">
        <f>VALUE(6266)</f>
        <v>6266</v>
      </c>
      <c r="M7037" s="1">
        <f>VALUE(7604)</f>
        <v>7604</v>
      </c>
      <c r="N7037" t="s">
        <v>16</v>
      </c>
    </row>
    <row r="7038" spans="1:14" x14ac:dyDescent="0.25">
      <c r="A7038" t="s">
        <v>42</v>
      </c>
      <c r="B7038" t="s">
        <v>40</v>
      </c>
      <c r="C7038" t="s">
        <v>15</v>
      </c>
      <c r="D7038" t="s">
        <v>28</v>
      </c>
      <c r="E7038" t="s">
        <v>22</v>
      </c>
      <c r="F7038" t="s">
        <v>17</v>
      </c>
      <c r="G7038" s="2">
        <f>VALUE(1675)</f>
        <v>1675</v>
      </c>
      <c r="H7038" s="3">
        <f>VALUE(1477.07)</f>
        <v>1477.07</v>
      </c>
      <c r="I7038" s="4">
        <f>VALUE(2857)</f>
        <v>2857</v>
      </c>
      <c r="J7038" s="5">
        <f>VALUE(4008)</f>
        <v>4008</v>
      </c>
      <c r="K7038" s="6">
        <f>VALUE(5555)</f>
        <v>5555</v>
      </c>
      <c r="L7038" s="1">
        <f>VALUE(8024)</f>
        <v>8024</v>
      </c>
      <c r="M7038" s="1">
        <f>VALUE(10562)</f>
        <v>10562</v>
      </c>
      <c r="N7038" t="s">
        <v>25</v>
      </c>
    </row>
    <row r="7039" spans="1:14" x14ac:dyDescent="0.25">
      <c r="A7039" t="s">
        <v>42</v>
      </c>
      <c r="B7039" t="s">
        <v>40</v>
      </c>
      <c r="C7039" t="s">
        <v>15</v>
      </c>
      <c r="D7039" t="s">
        <v>28</v>
      </c>
      <c r="E7039" t="s">
        <v>22</v>
      </c>
      <c r="F7039" t="s">
        <v>18</v>
      </c>
      <c r="G7039" s="2">
        <f>VALUE(1563.99)</f>
        <v>1563.99</v>
      </c>
      <c r="H7039" s="3">
        <f>VALUE(1200.17)</f>
        <v>1200.17</v>
      </c>
      <c r="I7039" s="4">
        <f>VALUE(3443)</f>
        <v>3443</v>
      </c>
      <c r="J7039" s="5">
        <f>VALUE(4490)</f>
        <v>4490</v>
      </c>
      <c r="K7039" s="1">
        <f>VALUE(5466)</f>
        <v>5466</v>
      </c>
      <c r="L7039" s="1">
        <f>VALUE(6893)</f>
        <v>6893</v>
      </c>
      <c r="M7039" s="1">
        <f>VALUE(8400)</f>
        <v>8400</v>
      </c>
      <c r="N7039" t="s">
        <v>25</v>
      </c>
    </row>
    <row r="7040" spans="1:14" x14ac:dyDescent="0.25">
      <c r="A7040" t="s">
        <v>42</v>
      </c>
      <c r="B7040" t="s">
        <v>40</v>
      </c>
      <c r="C7040" t="s">
        <v>15</v>
      </c>
      <c r="D7040" t="s">
        <v>28</v>
      </c>
      <c r="E7040" t="s">
        <v>22</v>
      </c>
      <c r="F7040" t="s">
        <v>19</v>
      </c>
      <c r="G7040" s="2">
        <f>VALUE(2521.01)</f>
        <v>2521.0100000000002</v>
      </c>
      <c r="H7040" s="3">
        <f>VALUE(1977.52)</f>
        <v>1977.52</v>
      </c>
      <c r="I7040" s="1">
        <f>VALUE(3677)</f>
        <v>3677</v>
      </c>
      <c r="J7040" s="1">
        <f>VALUE(4384)</f>
        <v>4384</v>
      </c>
      <c r="K7040" s="1">
        <f>VALUE(5369)</f>
        <v>5369</v>
      </c>
      <c r="L7040" s="1">
        <f>VALUE(6408)</f>
        <v>6408</v>
      </c>
      <c r="M7040" s="1">
        <f>VALUE(7310)</f>
        <v>7310</v>
      </c>
      <c r="N7040" t="s">
        <v>25</v>
      </c>
    </row>
    <row r="7041" spans="1:14" x14ac:dyDescent="0.25">
      <c r="A7041" t="s">
        <v>42</v>
      </c>
      <c r="B7041" t="s">
        <v>40</v>
      </c>
      <c r="C7041" t="s">
        <v>15</v>
      </c>
      <c r="D7041" t="s">
        <v>28</v>
      </c>
      <c r="E7041" t="s">
        <v>22</v>
      </c>
      <c r="F7041" t="s">
        <v>20</v>
      </c>
      <c r="G7041" s="1">
        <f>VALUE(9273.25)</f>
        <v>9273.25</v>
      </c>
      <c r="H7041" s="1">
        <f>VALUE(6987.8)</f>
        <v>6987.8</v>
      </c>
      <c r="I7041" s="1">
        <f>VALUE(3251)</f>
        <v>3251</v>
      </c>
      <c r="J7041" s="1">
        <f>VALUE(4061)</f>
        <v>4061</v>
      </c>
      <c r="K7041" s="1">
        <f>VALUE(4957)</f>
        <v>4957</v>
      </c>
      <c r="L7041" s="1">
        <f>VALUE(5929)</f>
        <v>5929</v>
      </c>
      <c r="M7041" s="1">
        <f>VALUE(6903)</f>
        <v>6903</v>
      </c>
      <c r="N7041" t="s">
        <v>16</v>
      </c>
    </row>
    <row r="7042" spans="1:14" x14ac:dyDescent="0.25">
      <c r="A7042" t="s">
        <v>42</v>
      </c>
      <c r="B7042" t="s">
        <v>40</v>
      </c>
      <c r="C7042" t="s">
        <v>15</v>
      </c>
      <c r="D7042" t="s">
        <v>28</v>
      </c>
      <c r="E7042" t="s">
        <v>23</v>
      </c>
      <c r="F7042" t="s">
        <v>15</v>
      </c>
      <c r="G7042" s="1">
        <f>VALUE(4004.21)</f>
        <v>4004.21</v>
      </c>
      <c r="H7042" s="1">
        <f>VALUE(2623.37)</f>
        <v>2623.37</v>
      </c>
      <c r="I7042" s="4">
        <f>VALUE(2680)</f>
        <v>2680</v>
      </c>
      <c r="J7042" s="1">
        <f>VALUE(3495)</f>
        <v>3495</v>
      </c>
      <c r="K7042" s="1">
        <f>VALUE(4103)</f>
        <v>4103</v>
      </c>
      <c r="L7042" s="1">
        <f>VALUE(4760)</f>
        <v>4760</v>
      </c>
      <c r="M7042" s="1">
        <f>VALUE(5723)</f>
        <v>5723</v>
      </c>
      <c r="N7042" t="s">
        <v>25</v>
      </c>
    </row>
    <row r="7043" spans="1:14" x14ac:dyDescent="0.25">
      <c r="A7043" t="s">
        <v>42</v>
      </c>
      <c r="B7043" t="s">
        <v>40</v>
      </c>
      <c r="C7043" t="s">
        <v>15</v>
      </c>
      <c r="D7043" t="s">
        <v>28</v>
      </c>
      <c r="E7043" t="s">
        <v>23</v>
      </c>
      <c r="F7043" t="s">
        <v>17</v>
      </c>
      <c r="G7043" s="1" t="str">
        <f t="shared" ref="G7043:M7044" si="1525">"X"</f>
        <v>X</v>
      </c>
      <c r="H7043" s="1" t="str">
        <f t="shared" si="1525"/>
        <v>X</v>
      </c>
      <c r="I7043" s="1" t="str">
        <f t="shared" si="1525"/>
        <v>X</v>
      </c>
      <c r="J7043" s="1" t="str">
        <f t="shared" si="1525"/>
        <v>X</v>
      </c>
      <c r="K7043" s="1" t="str">
        <f t="shared" si="1525"/>
        <v>X</v>
      </c>
      <c r="L7043" s="1" t="str">
        <f t="shared" si="1525"/>
        <v>X</v>
      </c>
      <c r="M7043" s="1" t="str">
        <f t="shared" si="1525"/>
        <v>X</v>
      </c>
      <c r="N7043" t="s">
        <v>27</v>
      </c>
    </row>
    <row r="7044" spans="1:14" x14ac:dyDescent="0.25">
      <c r="A7044" t="s">
        <v>42</v>
      </c>
      <c r="B7044" t="s">
        <v>40</v>
      </c>
      <c r="C7044" t="s">
        <v>15</v>
      </c>
      <c r="D7044" t="s">
        <v>28</v>
      </c>
      <c r="E7044" t="s">
        <v>23</v>
      </c>
      <c r="F7044" t="s">
        <v>18</v>
      </c>
      <c r="G7044" s="1" t="str">
        <f t="shared" si="1525"/>
        <v>X</v>
      </c>
      <c r="H7044" s="1" t="str">
        <f t="shared" si="1525"/>
        <v>X</v>
      </c>
      <c r="I7044" s="1" t="str">
        <f t="shared" si="1525"/>
        <v>X</v>
      </c>
      <c r="J7044" s="1" t="str">
        <f t="shared" si="1525"/>
        <v>X</v>
      </c>
      <c r="K7044" s="1" t="str">
        <f t="shared" si="1525"/>
        <v>X</v>
      </c>
      <c r="L7044" s="1" t="str">
        <f t="shared" si="1525"/>
        <v>X</v>
      </c>
      <c r="M7044" s="1" t="str">
        <f t="shared" si="1525"/>
        <v>X</v>
      </c>
      <c r="N7044" t="s">
        <v>27</v>
      </c>
    </row>
    <row r="7045" spans="1:14" x14ac:dyDescent="0.25">
      <c r="A7045" t="s">
        <v>42</v>
      </c>
      <c r="B7045" t="s">
        <v>40</v>
      </c>
      <c r="C7045" t="s">
        <v>15</v>
      </c>
      <c r="D7045" t="s">
        <v>28</v>
      </c>
      <c r="E7045" t="s">
        <v>23</v>
      </c>
      <c r="F7045" t="s">
        <v>19</v>
      </c>
      <c r="G7045" s="2">
        <f>VALUE(258.07)</f>
        <v>258.07</v>
      </c>
      <c r="H7045" s="3">
        <f>VALUE(200.35)</f>
        <v>200.35</v>
      </c>
      <c r="I7045" s="4">
        <f>VALUE(2618)</f>
        <v>2618</v>
      </c>
      <c r="J7045" s="1">
        <f>VALUE(3757)</f>
        <v>3757</v>
      </c>
      <c r="K7045" s="1">
        <f>VALUE(4181)</f>
        <v>4181</v>
      </c>
      <c r="L7045" s="1">
        <f>VALUE(4815)</f>
        <v>4815</v>
      </c>
      <c r="M7045" s="1">
        <f>VALUE(6141)</f>
        <v>6141</v>
      </c>
      <c r="N7045" t="s">
        <v>25</v>
      </c>
    </row>
    <row r="7046" spans="1:14" x14ac:dyDescent="0.25">
      <c r="A7046" t="s">
        <v>42</v>
      </c>
      <c r="B7046" t="s">
        <v>40</v>
      </c>
      <c r="C7046" t="s">
        <v>15</v>
      </c>
      <c r="D7046" t="s">
        <v>28</v>
      </c>
      <c r="E7046" t="s">
        <v>23</v>
      </c>
      <c r="F7046" t="s">
        <v>20</v>
      </c>
      <c r="G7046" s="1">
        <f>VALUE(3427.59)</f>
        <v>3427.59</v>
      </c>
      <c r="H7046" s="1">
        <f>VALUE(2159.48)</f>
        <v>2159.48</v>
      </c>
      <c r="I7046" s="4">
        <f>VALUE(2381)</f>
        <v>2381</v>
      </c>
      <c r="J7046" s="1">
        <f>VALUE(3467)</f>
        <v>3467</v>
      </c>
      <c r="K7046" s="1">
        <f>VALUE(4054)</f>
        <v>4054</v>
      </c>
      <c r="L7046" s="1">
        <f>VALUE(4666)</f>
        <v>4666</v>
      </c>
      <c r="M7046" s="1">
        <f>VALUE(5486)</f>
        <v>5486</v>
      </c>
      <c r="N7046" t="s">
        <v>25</v>
      </c>
    </row>
    <row r="7047" spans="1:14" x14ac:dyDescent="0.25">
      <c r="A7047" t="s">
        <v>42</v>
      </c>
      <c r="B7047" t="s">
        <v>40</v>
      </c>
      <c r="C7047" t="s">
        <v>15</v>
      </c>
      <c r="D7047" t="s">
        <v>28</v>
      </c>
      <c r="E7047" t="s">
        <v>26</v>
      </c>
      <c r="F7047" t="s">
        <v>15</v>
      </c>
      <c r="G7047" s="2">
        <f>VALUE(488.66)</f>
        <v>488.66</v>
      </c>
      <c r="H7047" s="3">
        <f>VALUE(422.82)</f>
        <v>422.82</v>
      </c>
      <c r="I7047" s="4">
        <f>VALUE(3453)</f>
        <v>3453</v>
      </c>
      <c r="J7047" s="1">
        <f>VALUE(3782)</f>
        <v>3782</v>
      </c>
      <c r="K7047" s="6">
        <f>VALUE(4738)</f>
        <v>4738</v>
      </c>
      <c r="L7047" s="1">
        <f>VALUE(5913)</f>
        <v>5913</v>
      </c>
      <c r="M7047" s="1">
        <f>VALUE(7371)</f>
        <v>7371</v>
      </c>
      <c r="N7047" t="s">
        <v>25</v>
      </c>
    </row>
    <row r="7048" spans="1:14" x14ac:dyDescent="0.25">
      <c r="A7048" t="s">
        <v>42</v>
      </c>
      <c r="B7048" t="s">
        <v>40</v>
      </c>
      <c r="C7048" t="s">
        <v>15</v>
      </c>
      <c r="D7048" t="s">
        <v>28</v>
      </c>
      <c r="E7048" t="s">
        <v>26</v>
      </c>
      <c r="F7048" t="s">
        <v>17</v>
      </c>
      <c r="G7048" s="1" t="str">
        <f t="shared" ref="G7048:M7050" si="1526">"X"</f>
        <v>X</v>
      </c>
      <c r="H7048" s="1" t="str">
        <f t="shared" si="1526"/>
        <v>X</v>
      </c>
      <c r="I7048" s="1" t="str">
        <f t="shared" si="1526"/>
        <v>X</v>
      </c>
      <c r="J7048" s="1" t="str">
        <f t="shared" si="1526"/>
        <v>X</v>
      </c>
      <c r="K7048" s="1" t="str">
        <f t="shared" si="1526"/>
        <v>X</v>
      </c>
      <c r="L7048" s="1" t="str">
        <f t="shared" si="1526"/>
        <v>X</v>
      </c>
      <c r="M7048" s="1" t="str">
        <f t="shared" si="1526"/>
        <v>X</v>
      </c>
      <c r="N7048" t="s">
        <v>27</v>
      </c>
    </row>
    <row r="7049" spans="1:14" x14ac:dyDescent="0.25">
      <c r="A7049" t="s">
        <v>42</v>
      </c>
      <c r="B7049" t="s">
        <v>40</v>
      </c>
      <c r="C7049" t="s">
        <v>15</v>
      </c>
      <c r="D7049" t="s">
        <v>28</v>
      </c>
      <c r="E7049" t="s">
        <v>26</v>
      </c>
      <c r="F7049" t="s">
        <v>18</v>
      </c>
      <c r="G7049" s="1" t="str">
        <f t="shared" si="1526"/>
        <v>X</v>
      </c>
      <c r="H7049" s="1" t="str">
        <f t="shared" si="1526"/>
        <v>X</v>
      </c>
      <c r="I7049" s="1" t="str">
        <f t="shared" si="1526"/>
        <v>X</v>
      </c>
      <c r="J7049" s="1" t="str">
        <f t="shared" si="1526"/>
        <v>X</v>
      </c>
      <c r="K7049" s="1" t="str">
        <f t="shared" si="1526"/>
        <v>X</v>
      </c>
      <c r="L7049" s="1" t="str">
        <f t="shared" si="1526"/>
        <v>X</v>
      </c>
      <c r="M7049" s="1" t="str">
        <f t="shared" si="1526"/>
        <v>X</v>
      </c>
      <c r="N7049" t="s">
        <v>27</v>
      </c>
    </row>
    <row r="7050" spans="1:14" x14ac:dyDescent="0.25">
      <c r="A7050" t="s">
        <v>42</v>
      </c>
      <c r="B7050" t="s">
        <v>40</v>
      </c>
      <c r="C7050" t="s">
        <v>15</v>
      </c>
      <c r="D7050" t="s">
        <v>28</v>
      </c>
      <c r="E7050" t="s">
        <v>26</v>
      </c>
      <c r="F7050" t="s">
        <v>19</v>
      </c>
      <c r="G7050" s="1" t="str">
        <f t="shared" si="1526"/>
        <v>X</v>
      </c>
      <c r="H7050" s="1" t="str">
        <f t="shared" si="1526"/>
        <v>X</v>
      </c>
      <c r="I7050" s="1" t="str">
        <f t="shared" si="1526"/>
        <v>X</v>
      </c>
      <c r="J7050" s="1" t="str">
        <f t="shared" si="1526"/>
        <v>X</v>
      </c>
      <c r="K7050" s="1" t="str">
        <f t="shared" si="1526"/>
        <v>X</v>
      </c>
      <c r="L7050" s="1" t="str">
        <f t="shared" si="1526"/>
        <v>X</v>
      </c>
      <c r="M7050" s="1" t="str">
        <f t="shared" si="1526"/>
        <v>X</v>
      </c>
      <c r="N7050" t="s">
        <v>27</v>
      </c>
    </row>
    <row r="7051" spans="1:14" x14ac:dyDescent="0.25">
      <c r="A7051" t="s">
        <v>42</v>
      </c>
      <c r="B7051" t="s">
        <v>40</v>
      </c>
      <c r="C7051" t="s">
        <v>15</v>
      </c>
      <c r="D7051" t="s">
        <v>28</v>
      </c>
      <c r="E7051" t="s">
        <v>26</v>
      </c>
      <c r="F7051" t="s">
        <v>20</v>
      </c>
      <c r="G7051" s="2">
        <f>VALUE(390.13)</f>
        <v>390.13</v>
      </c>
      <c r="H7051" s="3">
        <f>VALUE(333.65)</f>
        <v>333.65</v>
      </c>
      <c r="I7051" s="4">
        <f>VALUE(3302)</f>
        <v>3302</v>
      </c>
      <c r="J7051" s="5">
        <f>VALUE(3740)</f>
        <v>3740</v>
      </c>
      <c r="K7051" s="6">
        <f>VALUE(4629)</f>
        <v>4629</v>
      </c>
      <c r="L7051" s="1">
        <f>VALUE(5537)</f>
        <v>5537</v>
      </c>
      <c r="M7051" s="1">
        <f>VALUE(7065)</f>
        <v>7065</v>
      </c>
      <c r="N7051" t="s">
        <v>25</v>
      </c>
    </row>
    <row r="7052" spans="1:14" x14ac:dyDescent="0.25">
      <c r="A7052" t="s">
        <v>42</v>
      </c>
      <c r="B7052" t="s">
        <v>40</v>
      </c>
      <c r="C7052" t="s">
        <v>15</v>
      </c>
      <c r="D7052" t="s">
        <v>29</v>
      </c>
      <c r="E7052" t="s">
        <v>15</v>
      </c>
      <c r="F7052" t="s">
        <v>15</v>
      </c>
      <c r="G7052" s="1">
        <f>VALUE(6333.09)</f>
        <v>6333.09</v>
      </c>
      <c r="H7052" s="1">
        <f>VALUE(4878.09)</f>
        <v>4878.09</v>
      </c>
      <c r="I7052" s="1">
        <f>VALUE(3143)</f>
        <v>3143</v>
      </c>
      <c r="J7052" s="1">
        <f>VALUE(3678)</f>
        <v>3678</v>
      </c>
      <c r="K7052" s="1">
        <f>VALUE(4433)</f>
        <v>4433</v>
      </c>
      <c r="L7052" s="1">
        <f>VALUE(5714)</f>
        <v>5714</v>
      </c>
      <c r="M7052" s="1">
        <f>VALUE(7967)</f>
        <v>7967</v>
      </c>
      <c r="N7052" t="s">
        <v>16</v>
      </c>
    </row>
    <row r="7053" spans="1:14" x14ac:dyDescent="0.25">
      <c r="A7053" t="s">
        <v>42</v>
      </c>
      <c r="B7053" t="s">
        <v>40</v>
      </c>
      <c r="C7053" t="s">
        <v>15</v>
      </c>
      <c r="D7053" t="s">
        <v>29</v>
      </c>
      <c r="E7053" t="s">
        <v>15</v>
      </c>
      <c r="F7053" t="s">
        <v>17</v>
      </c>
      <c r="G7053" s="2">
        <f>VALUE(636.69)</f>
        <v>636.69000000000005</v>
      </c>
      <c r="H7053" s="3">
        <f>VALUE(581.47)</f>
        <v>581.47</v>
      </c>
      <c r="I7053" s="4">
        <f>VALUE(3296)</f>
        <v>3296</v>
      </c>
      <c r="J7053" s="5">
        <f>VALUE(3852)</f>
        <v>3852</v>
      </c>
      <c r="K7053" s="6">
        <f>VALUE(6465)</f>
        <v>6465</v>
      </c>
      <c r="L7053" s="7">
        <f>VALUE(10465)</f>
        <v>10465</v>
      </c>
      <c r="M7053" s="8">
        <f>VALUE(19391)</f>
        <v>19391</v>
      </c>
      <c r="N7053" t="s">
        <v>24</v>
      </c>
    </row>
    <row r="7054" spans="1:14" x14ac:dyDescent="0.25">
      <c r="A7054" t="s">
        <v>42</v>
      </c>
      <c r="B7054" t="s">
        <v>40</v>
      </c>
      <c r="C7054" t="s">
        <v>15</v>
      </c>
      <c r="D7054" t="s">
        <v>29</v>
      </c>
      <c r="E7054" t="s">
        <v>15</v>
      </c>
      <c r="F7054" t="s">
        <v>18</v>
      </c>
      <c r="G7054" s="2">
        <f>VALUE(466.31)</f>
        <v>466.31</v>
      </c>
      <c r="H7054" s="3">
        <f>VALUE(393.04)</f>
        <v>393.04</v>
      </c>
      <c r="I7054" s="4">
        <f>VALUE(3464)</f>
        <v>3464</v>
      </c>
      <c r="J7054" s="5">
        <f>VALUE(4784)</f>
        <v>4784</v>
      </c>
      <c r="K7054" s="6">
        <f>VALUE(5952)</f>
        <v>5952</v>
      </c>
      <c r="L7054" s="7">
        <f>VALUE(8074)</f>
        <v>8074</v>
      </c>
      <c r="M7054" s="1">
        <f>VALUE(9535)</f>
        <v>9535</v>
      </c>
      <c r="N7054" t="s">
        <v>25</v>
      </c>
    </row>
    <row r="7055" spans="1:14" x14ac:dyDescent="0.25">
      <c r="A7055" t="s">
        <v>42</v>
      </c>
      <c r="B7055" t="s">
        <v>40</v>
      </c>
      <c r="C7055" t="s">
        <v>15</v>
      </c>
      <c r="D7055" t="s">
        <v>29</v>
      </c>
      <c r="E7055" t="s">
        <v>15</v>
      </c>
      <c r="F7055" t="s">
        <v>19</v>
      </c>
      <c r="G7055" s="2">
        <f>VALUE(713.84)</f>
        <v>713.84</v>
      </c>
      <c r="H7055" s="3">
        <f>VALUE(606.91)</f>
        <v>606.91</v>
      </c>
      <c r="I7055" s="4">
        <f>VALUE(3400)</f>
        <v>3400</v>
      </c>
      <c r="J7055" s="1">
        <f>VALUE(4134)</f>
        <v>4134</v>
      </c>
      <c r="K7055" s="1">
        <f>VALUE(5040)</f>
        <v>5040</v>
      </c>
      <c r="L7055" s="1">
        <f>VALUE(5809)</f>
        <v>5809</v>
      </c>
      <c r="M7055" s="1">
        <f>VALUE(7130)</f>
        <v>7130</v>
      </c>
      <c r="N7055" t="s">
        <v>25</v>
      </c>
    </row>
    <row r="7056" spans="1:14" x14ac:dyDescent="0.25">
      <c r="A7056" t="s">
        <v>42</v>
      </c>
      <c r="B7056" t="s">
        <v>40</v>
      </c>
      <c r="C7056" t="s">
        <v>15</v>
      </c>
      <c r="D7056" t="s">
        <v>29</v>
      </c>
      <c r="E7056" t="s">
        <v>15</v>
      </c>
      <c r="F7056" t="s">
        <v>20</v>
      </c>
      <c r="G7056" s="1">
        <f>VALUE(4516.25)</f>
        <v>4516.25</v>
      </c>
      <c r="H7056" s="1">
        <f>VALUE(3296.67)</f>
        <v>3296.67</v>
      </c>
      <c r="I7056" s="1">
        <f>VALUE(3040)</f>
        <v>3040</v>
      </c>
      <c r="J7056" s="1">
        <f>VALUE(3529)</f>
        <v>3529</v>
      </c>
      <c r="K7056" s="1">
        <f>VALUE(4137)</f>
        <v>4137</v>
      </c>
      <c r="L7056" s="1">
        <f>VALUE(5111)</f>
        <v>5111</v>
      </c>
      <c r="M7056" s="1">
        <f>VALUE(6201)</f>
        <v>6201</v>
      </c>
      <c r="N7056" t="s">
        <v>16</v>
      </c>
    </row>
    <row r="7057" spans="1:14" x14ac:dyDescent="0.25">
      <c r="A7057" t="s">
        <v>42</v>
      </c>
      <c r="B7057" t="s">
        <v>40</v>
      </c>
      <c r="C7057" t="s">
        <v>15</v>
      </c>
      <c r="D7057" t="s">
        <v>29</v>
      </c>
      <c r="E7057" t="s">
        <v>21</v>
      </c>
      <c r="F7057" t="s">
        <v>15</v>
      </c>
      <c r="G7057" s="2">
        <f>VALUE(833.83)</f>
        <v>833.83</v>
      </c>
      <c r="H7057" s="3">
        <f>VALUE(706.22)</f>
        <v>706.22</v>
      </c>
      <c r="I7057" s="4">
        <f>VALUE(4181)</f>
        <v>4181</v>
      </c>
      <c r="J7057" s="1">
        <f>VALUE(5365)</f>
        <v>5365</v>
      </c>
      <c r="K7057" s="1">
        <f>VALUE(6966)</f>
        <v>6966</v>
      </c>
      <c r="L7057" s="1">
        <f>VALUE(8992)</f>
        <v>8992</v>
      </c>
      <c r="M7057" s="8">
        <f>VALUE(11000)</f>
        <v>11000</v>
      </c>
      <c r="N7057" t="s">
        <v>25</v>
      </c>
    </row>
    <row r="7058" spans="1:14" x14ac:dyDescent="0.25">
      <c r="A7058" t="s">
        <v>42</v>
      </c>
      <c r="B7058" t="s">
        <v>40</v>
      </c>
      <c r="C7058" t="s">
        <v>15</v>
      </c>
      <c r="D7058" t="s">
        <v>29</v>
      </c>
      <c r="E7058" t="s">
        <v>21</v>
      </c>
      <c r="F7058" t="s">
        <v>17</v>
      </c>
      <c r="G7058" s="2">
        <f>VALUE(221.66)</f>
        <v>221.66</v>
      </c>
      <c r="H7058" s="3">
        <f>VALUE(204.22)</f>
        <v>204.22</v>
      </c>
      <c r="I7058" s="4">
        <f>VALUE(4075)</f>
        <v>4075</v>
      </c>
      <c r="J7058" s="5">
        <f>VALUE(6222)</f>
        <v>6222</v>
      </c>
      <c r="K7058" s="6">
        <f>VALUE(9108)</f>
        <v>9108</v>
      </c>
      <c r="L7058" s="7">
        <f>VALUE(11000)</f>
        <v>11000</v>
      </c>
      <c r="M7058" s="8">
        <f>VALUE(17671)</f>
        <v>17671</v>
      </c>
      <c r="N7058" t="s">
        <v>24</v>
      </c>
    </row>
    <row r="7059" spans="1:14" x14ac:dyDescent="0.25">
      <c r="A7059" t="s">
        <v>42</v>
      </c>
      <c r="B7059" t="s">
        <v>40</v>
      </c>
      <c r="C7059" t="s">
        <v>15</v>
      </c>
      <c r="D7059" t="s">
        <v>29</v>
      </c>
      <c r="E7059" t="s">
        <v>21</v>
      </c>
      <c r="F7059" t="s">
        <v>18</v>
      </c>
      <c r="G7059" s="2">
        <f>VALUE(172.18)</f>
        <v>172.18</v>
      </c>
      <c r="H7059" s="3">
        <f>VALUE(145.47)</f>
        <v>145.47</v>
      </c>
      <c r="I7059" s="1">
        <f>VALUE(4699)</f>
        <v>4699</v>
      </c>
      <c r="J7059" s="5">
        <f>VALUE(5760)</f>
        <v>5760</v>
      </c>
      <c r="K7059" s="1">
        <f>VALUE(7807)</f>
        <v>7807</v>
      </c>
      <c r="L7059" s="1">
        <f>VALUE(8992)</f>
        <v>8992</v>
      </c>
      <c r="M7059" s="1">
        <f>VALUE(10856)</f>
        <v>10856</v>
      </c>
      <c r="N7059" t="s">
        <v>25</v>
      </c>
    </row>
    <row r="7060" spans="1:14" x14ac:dyDescent="0.25">
      <c r="A7060" t="s">
        <v>42</v>
      </c>
      <c r="B7060" t="s">
        <v>40</v>
      </c>
      <c r="C7060" t="s">
        <v>15</v>
      </c>
      <c r="D7060" t="s">
        <v>29</v>
      </c>
      <c r="E7060" t="s">
        <v>21</v>
      </c>
      <c r="F7060" t="s">
        <v>19</v>
      </c>
      <c r="G7060" s="1" t="str">
        <f t="shared" ref="G7060:M7060" si="1527">"X"</f>
        <v>X</v>
      </c>
      <c r="H7060" s="1" t="str">
        <f t="shared" si="1527"/>
        <v>X</v>
      </c>
      <c r="I7060" s="1" t="str">
        <f t="shared" si="1527"/>
        <v>X</v>
      </c>
      <c r="J7060" s="1" t="str">
        <f t="shared" si="1527"/>
        <v>X</v>
      </c>
      <c r="K7060" s="1" t="str">
        <f t="shared" si="1527"/>
        <v>X</v>
      </c>
      <c r="L7060" s="1" t="str">
        <f t="shared" si="1527"/>
        <v>X</v>
      </c>
      <c r="M7060" s="1" t="str">
        <f t="shared" si="1527"/>
        <v>X</v>
      </c>
      <c r="N7060" t="s">
        <v>27</v>
      </c>
    </row>
    <row r="7061" spans="1:14" x14ac:dyDescent="0.25">
      <c r="A7061" t="s">
        <v>42</v>
      </c>
      <c r="B7061" t="s">
        <v>40</v>
      </c>
      <c r="C7061" t="s">
        <v>15</v>
      </c>
      <c r="D7061" t="s">
        <v>29</v>
      </c>
      <c r="E7061" t="s">
        <v>21</v>
      </c>
      <c r="F7061" t="s">
        <v>20</v>
      </c>
      <c r="G7061" s="2">
        <f>VALUE(306.2)</f>
        <v>306.2</v>
      </c>
      <c r="H7061" s="3">
        <f>VALUE(226.27)</f>
        <v>226.27</v>
      </c>
      <c r="I7061" s="1">
        <f>VALUE(3869)</f>
        <v>3869</v>
      </c>
      <c r="J7061" s="1">
        <f>VALUE(4875)</f>
        <v>4875</v>
      </c>
      <c r="K7061" s="1">
        <f>VALUE(6125)</f>
        <v>6125</v>
      </c>
      <c r="L7061" s="1">
        <f>VALUE(7298)</f>
        <v>7298</v>
      </c>
      <c r="M7061" s="1">
        <f>VALUE(8423)</f>
        <v>8423</v>
      </c>
      <c r="N7061" t="s">
        <v>25</v>
      </c>
    </row>
    <row r="7062" spans="1:14" x14ac:dyDescent="0.25">
      <c r="A7062" t="s">
        <v>42</v>
      </c>
      <c r="B7062" t="s">
        <v>40</v>
      </c>
      <c r="C7062" t="s">
        <v>15</v>
      </c>
      <c r="D7062" t="s">
        <v>29</v>
      </c>
      <c r="E7062" t="s">
        <v>22</v>
      </c>
      <c r="F7062" t="s">
        <v>15</v>
      </c>
      <c r="G7062" s="2">
        <f>VALUE(2232.63)</f>
        <v>2232.63</v>
      </c>
      <c r="H7062" s="3">
        <f>VALUE(1886.39)</f>
        <v>1886.39</v>
      </c>
      <c r="I7062" s="1">
        <f>VALUE(3333)</f>
        <v>3333</v>
      </c>
      <c r="J7062" s="1">
        <f>VALUE(4061)</f>
        <v>4061</v>
      </c>
      <c r="K7062" s="1">
        <f>VALUE(5040)</f>
        <v>5040</v>
      </c>
      <c r="L7062" s="1">
        <f>VALUE(6110)</f>
        <v>6110</v>
      </c>
      <c r="M7062" s="8">
        <f>VALUE(7770)</f>
        <v>7770</v>
      </c>
      <c r="N7062" t="s">
        <v>25</v>
      </c>
    </row>
    <row r="7063" spans="1:14" x14ac:dyDescent="0.25">
      <c r="A7063" t="s">
        <v>42</v>
      </c>
      <c r="B7063" t="s">
        <v>40</v>
      </c>
      <c r="C7063" t="s">
        <v>15</v>
      </c>
      <c r="D7063" t="s">
        <v>29</v>
      </c>
      <c r="E7063" t="s">
        <v>22</v>
      </c>
      <c r="F7063" t="s">
        <v>17</v>
      </c>
      <c r="G7063" s="2">
        <f>VALUE(225.96)</f>
        <v>225.96</v>
      </c>
      <c r="H7063" s="3">
        <f>VALUE(223.83)</f>
        <v>223.83</v>
      </c>
      <c r="I7063" s="4">
        <f>VALUE(3371)</f>
        <v>3371</v>
      </c>
      <c r="J7063" s="5">
        <f>VALUE(5579)</f>
        <v>5579</v>
      </c>
      <c r="K7063" s="6">
        <f>VALUE(6992)</f>
        <v>6992</v>
      </c>
      <c r="L7063" s="7">
        <f>VALUE(10465)</f>
        <v>10465</v>
      </c>
      <c r="M7063" s="1">
        <f>VALUE(53782)</f>
        <v>53782</v>
      </c>
      <c r="N7063" t="s">
        <v>25</v>
      </c>
    </row>
    <row r="7064" spans="1:14" x14ac:dyDescent="0.25">
      <c r="A7064" t="s">
        <v>42</v>
      </c>
      <c r="B7064" t="s">
        <v>40</v>
      </c>
      <c r="C7064" t="s">
        <v>15</v>
      </c>
      <c r="D7064" t="s">
        <v>29</v>
      </c>
      <c r="E7064" t="s">
        <v>22</v>
      </c>
      <c r="F7064" t="s">
        <v>18</v>
      </c>
      <c r="G7064" s="2">
        <f>VALUE(199.37)</f>
        <v>199.37</v>
      </c>
      <c r="H7064" s="3">
        <f>VALUE(165.45)</f>
        <v>165.45</v>
      </c>
      <c r="I7064" s="4">
        <f>VALUE(4358)</f>
        <v>4358</v>
      </c>
      <c r="J7064" s="1">
        <f>VALUE(5038)</f>
        <v>5038</v>
      </c>
      <c r="K7064" s="1">
        <f>VALUE(5906)</f>
        <v>5906</v>
      </c>
      <c r="L7064" s="1">
        <f>VALUE(7337)</f>
        <v>7337</v>
      </c>
      <c r="M7064" s="1">
        <f>VALUE(8419)</f>
        <v>8419</v>
      </c>
      <c r="N7064" t="s">
        <v>25</v>
      </c>
    </row>
    <row r="7065" spans="1:14" x14ac:dyDescent="0.25">
      <c r="A7065" t="s">
        <v>42</v>
      </c>
      <c r="B7065" t="s">
        <v>40</v>
      </c>
      <c r="C7065" t="s">
        <v>15</v>
      </c>
      <c r="D7065" t="s">
        <v>29</v>
      </c>
      <c r="E7065" t="s">
        <v>22</v>
      </c>
      <c r="F7065" t="s">
        <v>19</v>
      </c>
      <c r="G7065" s="2">
        <f>VALUE(384.66)</f>
        <v>384.66</v>
      </c>
      <c r="H7065" s="3">
        <f>VALUE(318.71)</f>
        <v>318.70999999999998</v>
      </c>
      <c r="I7065" s="4">
        <f>VALUE(3835)</f>
        <v>3835</v>
      </c>
      <c r="J7065" s="5">
        <f>VALUE(4235)</f>
        <v>4235</v>
      </c>
      <c r="K7065" s="1">
        <f>VALUE(5040)</f>
        <v>5040</v>
      </c>
      <c r="L7065" s="7">
        <f>VALUE(5714)</f>
        <v>5714</v>
      </c>
      <c r="M7065" s="1">
        <f>VALUE(6653)</f>
        <v>6653</v>
      </c>
      <c r="N7065" t="s">
        <v>25</v>
      </c>
    </row>
    <row r="7066" spans="1:14" x14ac:dyDescent="0.25">
      <c r="A7066" t="s">
        <v>42</v>
      </c>
      <c r="B7066" t="s">
        <v>40</v>
      </c>
      <c r="C7066" t="s">
        <v>15</v>
      </c>
      <c r="D7066" t="s">
        <v>29</v>
      </c>
      <c r="E7066" t="s">
        <v>22</v>
      </c>
      <c r="F7066" t="s">
        <v>20</v>
      </c>
      <c r="G7066" s="2">
        <f>VALUE(1422.64)</f>
        <v>1422.64</v>
      </c>
      <c r="H7066" s="3">
        <f>VALUE(1178.4)</f>
        <v>1178.4000000000001</v>
      </c>
      <c r="I7066" s="4">
        <f>VALUE(3128)</f>
        <v>3128</v>
      </c>
      <c r="J7066" s="1">
        <f>VALUE(3815)</f>
        <v>3815</v>
      </c>
      <c r="K7066" s="1">
        <f>VALUE(4754)</f>
        <v>4754</v>
      </c>
      <c r="L7066" s="1">
        <f>VALUE(5626)</f>
        <v>5626</v>
      </c>
      <c r="M7066" s="1">
        <f>VALUE(6531)</f>
        <v>6531</v>
      </c>
      <c r="N7066" t="s">
        <v>25</v>
      </c>
    </row>
    <row r="7067" spans="1:14" x14ac:dyDescent="0.25">
      <c r="A7067" t="s">
        <v>42</v>
      </c>
      <c r="B7067" t="s">
        <v>40</v>
      </c>
      <c r="C7067" t="s">
        <v>15</v>
      </c>
      <c r="D7067" t="s">
        <v>29</v>
      </c>
      <c r="E7067" t="s">
        <v>23</v>
      </c>
      <c r="F7067" t="s">
        <v>15</v>
      </c>
      <c r="G7067" s="1">
        <f>VALUE(3033.73)</f>
        <v>3033.73</v>
      </c>
      <c r="H7067" s="1">
        <f>VALUE(2083.13)</f>
        <v>2083.13</v>
      </c>
      <c r="I7067" s="1">
        <f>VALUE(2864)</f>
        <v>2864</v>
      </c>
      <c r="J7067" s="1">
        <f>VALUE(3453)</f>
        <v>3453</v>
      </c>
      <c r="K7067" s="1">
        <f>VALUE(3891)</f>
        <v>3891</v>
      </c>
      <c r="L7067" s="1">
        <f>VALUE(4415)</f>
        <v>4415</v>
      </c>
      <c r="M7067" s="1">
        <f>VALUE(5103)</f>
        <v>5103</v>
      </c>
      <c r="N7067" t="s">
        <v>16</v>
      </c>
    </row>
    <row r="7068" spans="1:14" x14ac:dyDescent="0.25">
      <c r="A7068" t="s">
        <v>42</v>
      </c>
      <c r="B7068" t="s">
        <v>40</v>
      </c>
      <c r="C7068" t="s">
        <v>15</v>
      </c>
      <c r="D7068" t="s">
        <v>29</v>
      </c>
      <c r="E7068" t="s">
        <v>23</v>
      </c>
      <c r="F7068" t="s">
        <v>17</v>
      </c>
      <c r="G7068" s="1" t="str">
        <f t="shared" ref="G7068:M7069" si="1528">"X"</f>
        <v>X</v>
      </c>
      <c r="H7068" s="1" t="str">
        <f t="shared" si="1528"/>
        <v>X</v>
      </c>
      <c r="I7068" s="1" t="str">
        <f t="shared" si="1528"/>
        <v>X</v>
      </c>
      <c r="J7068" s="1" t="str">
        <f t="shared" si="1528"/>
        <v>X</v>
      </c>
      <c r="K7068" s="1" t="str">
        <f t="shared" si="1528"/>
        <v>X</v>
      </c>
      <c r="L7068" s="1" t="str">
        <f t="shared" si="1528"/>
        <v>X</v>
      </c>
      <c r="M7068" s="1" t="str">
        <f t="shared" si="1528"/>
        <v>X</v>
      </c>
      <c r="N7068" t="s">
        <v>27</v>
      </c>
    </row>
    <row r="7069" spans="1:14" x14ac:dyDescent="0.25">
      <c r="A7069" t="s">
        <v>42</v>
      </c>
      <c r="B7069" t="s">
        <v>40</v>
      </c>
      <c r="C7069" t="s">
        <v>15</v>
      </c>
      <c r="D7069" t="s">
        <v>29</v>
      </c>
      <c r="E7069" t="s">
        <v>23</v>
      </c>
      <c r="F7069" t="s">
        <v>18</v>
      </c>
      <c r="G7069" s="1" t="str">
        <f t="shared" si="1528"/>
        <v>X</v>
      </c>
      <c r="H7069" s="1" t="str">
        <f t="shared" si="1528"/>
        <v>X</v>
      </c>
      <c r="I7069" s="1" t="str">
        <f t="shared" si="1528"/>
        <v>X</v>
      </c>
      <c r="J7069" s="1" t="str">
        <f t="shared" si="1528"/>
        <v>X</v>
      </c>
      <c r="K7069" s="1" t="str">
        <f t="shared" si="1528"/>
        <v>X</v>
      </c>
      <c r="L7069" s="1" t="str">
        <f t="shared" si="1528"/>
        <v>X</v>
      </c>
      <c r="M7069" s="1" t="str">
        <f t="shared" si="1528"/>
        <v>X</v>
      </c>
      <c r="N7069" t="s">
        <v>27</v>
      </c>
    </row>
    <row r="7070" spans="1:14" x14ac:dyDescent="0.25">
      <c r="A7070" t="s">
        <v>42</v>
      </c>
      <c r="B7070" t="s">
        <v>40</v>
      </c>
      <c r="C7070" t="s">
        <v>15</v>
      </c>
      <c r="D7070" t="s">
        <v>29</v>
      </c>
      <c r="E7070" t="s">
        <v>23</v>
      </c>
      <c r="F7070" t="s">
        <v>19</v>
      </c>
      <c r="G7070" s="2">
        <f>VALUE(187.3)</f>
        <v>187.3</v>
      </c>
      <c r="H7070" s="3">
        <f>VALUE(150.73)</f>
        <v>150.72999999999999</v>
      </c>
      <c r="I7070" s="4">
        <f>VALUE(2791)</f>
        <v>2791</v>
      </c>
      <c r="J7070" s="5">
        <f>VALUE(3400)</f>
        <v>3400</v>
      </c>
      <c r="K7070" s="6">
        <f>VALUE(3840)</f>
        <v>3840</v>
      </c>
      <c r="L7070" s="1">
        <f>VALUE(4393)</f>
        <v>4393</v>
      </c>
      <c r="M7070" s="1">
        <f>VALUE(5055)</f>
        <v>5055</v>
      </c>
      <c r="N7070" t="s">
        <v>25</v>
      </c>
    </row>
    <row r="7071" spans="1:14" x14ac:dyDescent="0.25">
      <c r="A7071" t="s">
        <v>42</v>
      </c>
      <c r="B7071" t="s">
        <v>40</v>
      </c>
      <c r="C7071" t="s">
        <v>15</v>
      </c>
      <c r="D7071" t="s">
        <v>29</v>
      </c>
      <c r="E7071" t="s">
        <v>23</v>
      </c>
      <c r="F7071" t="s">
        <v>20</v>
      </c>
      <c r="G7071" s="1">
        <f>VALUE(2584.17)</f>
        <v>2584.17</v>
      </c>
      <c r="H7071" s="1">
        <f>VALUE(1715.66)</f>
        <v>1715.66</v>
      </c>
      <c r="I7071" s="1">
        <f>VALUE(2945)</f>
        <v>2945</v>
      </c>
      <c r="J7071" s="1">
        <f>VALUE(3463)</f>
        <v>3463</v>
      </c>
      <c r="K7071" s="1">
        <f>VALUE(3922)</f>
        <v>3922</v>
      </c>
      <c r="L7071" s="1">
        <f>VALUE(4415)</f>
        <v>4415</v>
      </c>
      <c r="M7071" s="1">
        <f>VALUE(5116)</f>
        <v>5116</v>
      </c>
      <c r="N7071" t="s">
        <v>16</v>
      </c>
    </row>
    <row r="7072" spans="1:14" x14ac:dyDescent="0.25">
      <c r="A7072" t="s">
        <v>42</v>
      </c>
      <c r="B7072" t="s">
        <v>40</v>
      </c>
      <c r="C7072" t="s">
        <v>15</v>
      </c>
      <c r="D7072" t="s">
        <v>29</v>
      </c>
      <c r="E7072" t="s">
        <v>26</v>
      </c>
      <c r="F7072" t="s">
        <v>15</v>
      </c>
      <c r="G7072" s="2">
        <f>VALUE(232.9)</f>
        <v>232.9</v>
      </c>
      <c r="H7072" s="3">
        <f>VALUE(202.35)</f>
        <v>202.35</v>
      </c>
      <c r="I7072" s="1">
        <f>VALUE(3171)</f>
        <v>3171</v>
      </c>
      <c r="J7072" s="1">
        <f>VALUE(3508)</f>
        <v>3508</v>
      </c>
      <c r="K7072" s="6">
        <f>VALUE(4184)</f>
        <v>4184</v>
      </c>
      <c r="L7072" s="7">
        <f>VALUE(6190)</f>
        <v>6190</v>
      </c>
      <c r="M7072" s="8">
        <f>VALUE(9146)</f>
        <v>9146</v>
      </c>
      <c r="N7072" t="s">
        <v>25</v>
      </c>
    </row>
    <row r="7073" spans="1:14" x14ac:dyDescent="0.25">
      <c r="A7073" t="s">
        <v>42</v>
      </c>
      <c r="B7073" t="s">
        <v>40</v>
      </c>
      <c r="C7073" t="s">
        <v>15</v>
      </c>
      <c r="D7073" t="s">
        <v>29</v>
      </c>
      <c r="E7073" t="s">
        <v>26</v>
      </c>
      <c r="F7073" t="s">
        <v>17</v>
      </c>
      <c r="G7073" s="1" t="str">
        <f t="shared" ref="G7073:M7075" si="1529">"X"</f>
        <v>X</v>
      </c>
      <c r="H7073" s="1" t="str">
        <f t="shared" si="1529"/>
        <v>X</v>
      </c>
      <c r="I7073" s="1" t="str">
        <f t="shared" si="1529"/>
        <v>X</v>
      </c>
      <c r="J7073" s="1" t="str">
        <f t="shared" si="1529"/>
        <v>X</v>
      </c>
      <c r="K7073" s="1" t="str">
        <f t="shared" si="1529"/>
        <v>X</v>
      </c>
      <c r="L7073" s="1" t="str">
        <f t="shared" si="1529"/>
        <v>X</v>
      </c>
      <c r="M7073" s="1" t="str">
        <f t="shared" si="1529"/>
        <v>X</v>
      </c>
      <c r="N7073" t="s">
        <v>27</v>
      </c>
    </row>
    <row r="7074" spans="1:14" x14ac:dyDescent="0.25">
      <c r="A7074" t="s">
        <v>42</v>
      </c>
      <c r="B7074" t="s">
        <v>40</v>
      </c>
      <c r="C7074" t="s">
        <v>15</v>
      </c>
      <c r="D7074" t="s">
        <v>29</v>
      </c>
      <c r="E7074" t="s">
        <v>26</v>
      </c>
      <c r="F7074" t="s">
        <v>18</v>
      </c>
      <c r="G7074" s="1" t="str">
        <f t="shared" si="1529"/>
        <v>X</v>
      </c>
      <c r="H7074" s="1" t="str">
        <f t="shared" si="1529"/>
        <v>X</v>
      </c>
      <c r="I7074" s="1" t="str">
        <f t="shared" si="1529"/>
        <v>X</v>
      </c>
      <c r="J7074" s="1" t="str">
        <f t="shared" si="1529"/>
        <v>X</v>
      </c>
      <c r="K7074" s="1" t="str">
        <f t="shared" si="1529"/>
        <v>X</v>
      </c>
      <c r="L7074" s="1" t="str">
        <f t="shared" si="1529"/>
        <v>X</v>
      </c>
      <c r="M7074" s="1" t="str">
        <f t="shared" si="1529"/>
        <v>X</v>
      </c>
      <c r="N7074" t="s">
        <v>27</v>
      </c>
    </row>
    <row r="7075" spans="1:14" x14ac:dyDescent="0.25">
      <c r="A7075" t="s">
        <v>42</v>
      </c>
      <c r="B7075" t="s">
        <v>40</v>
      </c>
      <c r="C7075" t="s">
        <v>15</v>
      </c>
      <c r="D7075" t="s">
        <v>29</v>
      </c>
      <c r="E7075" t="s">
        <v>26</v>
      </c>
      <c r="F7075" t="s">
        <v>19</v>
      </c>
      <c r="G7075" s="1" t="str">
        <f t="shared" si="1529"/>
        <v>X</v>
      </c>
      <c r="H7075" s="1" t="str">
        <f t="shared" si="1529"/>
        <v>X</v>
      </c>
      <c r="I7075" s="1" t="str">
        <f t="shared" si="1529"/>
        <v>X</v>
      </c>
      <c r="J7075" s="1" t="str">
        <f t="shared" si="1529"/>
        <v>X</v>
      </c>
      <c r="K7075" s="1" t="str">
        <f t="shared" si="1529"/>
        <v>X</v>
      </c>
      <c r="L7075" s="1" t="str">
        <f t="shared" si="1529"/>
        <v>X</v>
      </c>
      <c r="M7075" s="1" t="str">
        <f t="shared" si="1529"/>
        <v>X</v>
      </c>
      <c r="N7075" t="s">
        <v>27</v>
      </c>
    </row>
    <row r="7076" spans="1:14" x14ac:dyDescent="0.25">
      <c r="A7076" t="s">
        <v>42</v>
      </c>
      <c r="B7076" t="s">
        <v>40</v>
      </c>
      <c r="C7076" t="s">
        <v>15</v>
      </c>
      <c r="D7076" t="s">
        <v>29</v>
      </c>
      <c r="E7076" t="s">
        <v>26</v>
      </c>
      <c r="F7076" t="s">
        <v>20</v>
      </c>
      <c r="G7076" s="2">
        <f>VALUE(203.24)</f>
        <v>203.24</v>
      </c>
      <c r="H7076" s="3">
        <f>VALUE(176.34)</f>
        <v>176.34</v>
      </c>
      <c r="I7076" s="1">
        <f>VALUE(3141)</f>
        <v>3141</v>
      </c>
      <c r="J7076" s="5">
        <f>VALUE(3393)</f>
        <v>3393</v>
      </c>
      <c r="K7076" s="6">
        <f>VALUE(3529)</f>
        <v>3529</v>
      </c>
      <c r="L7076" s="7">
        <f>VALUE(5317)</f>
        <v>5317</v>
      </c>
      <c r="M7076" s="8">
        <f>VALUE(6659)</f>
        <v>6659</v>
      </c>
      <c r="N7076" t="s">
        <v>25</v>
      </c>
    </row>
    <row r="7077" spans="1:14" x14ac:dyDescent="0.25">
      <c r="A7077" t="s">
        <v>42</v>
      </c>
      <c r="B7077" t="s">
        <v>40</v>
      </c>
      <c r="C7077" t="s">
        <v>15</v>
      </c>
      <c r="D7077" t="s">
        <v>31</v>
      </c>
      <c r="E7077" t="s">
        <v>15</v>
      </c>
      <c r="F7077" t="s">
        <v>15</v>
      </c>
      <c r="G7077" s="1">
        <f>VALUE(3305.06)</f>
        <v>3305.06</v>
      </c>
      <c r="H7077" s="1">
        <f>VALUE(2678.55)</f>
        <v>2678.55</v>
      </c>
      <c r="I7077" s="1">
        <f>VALUE(2960)</f>
        <v>2960</v>
      </c>
      <c r="J7077" s="1">
        <f>VALUE(3552)</f>
        <v>3552</v>
      </c>
      <c r="K7077" s="1">
        <f>VALUE(4390)</f>
        <v>4390</v>
      </c>
      <c r="L7077" s="1">
        <f>VALUE(6030)</f>
        <v>6030</v>
      </c>
      <c r="M7077" s="1">
        <f>VALUE(8075)</f>
        <v>8075</v>
      </c>
      <c r="N7077" t="s">
        <v>16</v>
      </c>
    </row>
    <row r="7078" spans="1:14" x14ac:dyDescent="0.25">
      <c r="A7078" t="s">
        <v>42</v>
      </c>
      <c r="B7078" t="s">
        <v>40</v>
      </c>
      <c r="C7078" t="s">
        <v>15</v>
      </c>
      <c r="D7078" t="s">
        <v>31</v>
      </c>
      <c r="E7078" t="s">
        <v>15</v>
      </c>
      <c r="F7078" t="s">
        <v>17</v>
      </c>
      <c r="G7078" s="2">
        <f>VALUE(271.9)</f>
        <v>271.89999999999998</v>
      </c>
      <c r="H7078" s="3">
        <f>VALUE(252.36)</f>
        <v>252.36</v>
      </c>
      <c r="I7078" s="4">
        <f>VALUE(4444)</f>
        <v>4444</v>
      </c>
      <c r="J7078" s="5">
        <f>VALUE(5107)</f>
        <v>5107</v>
      </c>
      <c r="K7078" s="6">
        <f>VALUE(7253)</f>
        <v>7253</v>
      </c>
      <c r="L7078" s="7">
        <f>VALUE(11508)</f>
        <v>11508</v>
      </c>
      <c r="M7078" s="8">
        <f>VALUE(22857)</f>
        <v>22857</v>
      </c>
      <c r="N7078" t="s">
        <v>24</v>
      </c>
    </row>
    <row r="7079" spans="1:14" x14ac:dyDescent="0.25">
      <c r="A7079" t="s">
        <v>42</v>
      </c>
      <c r="B7079" t="s">
        <v>40</v>
      </c>
      <c r="C7079" t="s">
        <v>15</v>
      </c>
      <c r="D7079" t="s">
        <v>31</v>
      </c>
      <c r="E7079" t="s">
        <v>15</v>
      </c>
      <c r="F7079" t="s">
        <v>18</v>
      </c>
      <c r="G7079" s="2">
        <f>VALUE(375.46)</f>
        <v>375.46</v>
      </c>
      <c r="H7079" s="3">
        <f>VALUE(313.26)</f>
        <v>313.26</v>
      </c>
      <c r="I7079" s="4">
        <f>VALUE(3022)</f>
        <v>3022</v>
      </c>
      <c r="J7079" s="5">
        <f>VALUE(3644)</f>
        <v>3644</v>
      </c>
      <c r="K7079" s="6">
        <f>VALUE(5812)</f>
        <v>5812</v>
      </c>
      <c r="L7079" s="7">
        <f>VALUE(8023)</f>
        <v>8023</v>
      </c>
      <c r="M7079" s="1">
        <f>VALUE(9346)</f>
        <v>9346</v>
      </c>
      <c r="N7079" t="s">
        <v>25</v>
      </c>
    </row>
    <row r="7080" spans="1:14" x14ac:dyDescent="0.25">
      <c r="A7080" t="s">
        <v>42</v>
      </c>
      <c r="B7080" t="s">
        <v>40</v>
      </c>
      <c r="C7080" t="s">
        <v>15</v>
      </c>
      <c r="D7080" t="s">
        <v>31</v>
      </c>
      <c r="E7080" t="s">
        <v>15</v>
      </c>
      <c r="F7080" t="s">
        <v>19</v>
      </c>
      <c r="G7080" s="2">
        <f>VALUE(378.34)</f>
        <v>378.34</v>
      </c>
      <c r="H7080" s="3">
        <f>VALUE(341.51)</f>
        <v>341.51</v>
      </c>
      <c r="I7080" s="4">
        <f>VALUE(3810)</f>
        <v>3810</v>
      </c>
      <c r="J7080" s="5">
        <f>VALUE(4348)</f>
        <v>4348</v>
      </c>
      <c r="K7080" s="6">
        <f>VALUE(5266)</f>
        <v>5266</v>
      </c>
      <c r="L7080" s="7">
        <f>VALUE(6483)</f>
        <v>6483</v>
      </c>
      <c r="M7080" s="8">
        <f>VALUE(8354)</f>
        <v>8354</v>
      </c>
      <c r="N7080" t="s">
        <v>24</v>
      </c>
    </row>
    <row r="7081" spans="1:14" x14ac:dyDescent="0.25">
      <c r="A7081" t="s">
        <v>42</v>
      </c>
      <c r="B7081" t="s">
        <v>40</v>
      </c>
      <c r="C7081" t="s">
        <v>15</v>
      </c>
      <c r="D7081" t="s">
        <v>31</v>
      </c>
      <c r="E7081" t="s">
        <v>15</v>
      </c>
      <c r="F7081" t="s">
        <v>20</v>
      </c>
      <c r="G7081" s="1">
        <f>VALUE(2279.36)</f>
        <v>2279.36</v>
      </c>
      <c r="H7081" s="3">
        <f>VALUE(1771.42)</f>
        <v>1771.42</v>
      </c>
      <c r="I7081" s="4">
        <f>VALUE(2729)</f>
        <v>2729</v>
      </c>
      <c r="J7081" s="1">
        <f>VALUE(3460)</f>
        <v>3460</v>
      </c>
      <c r="K7081" s="1">
        <f>VALUE(3967)</f>
        <v>3967</v>
      </c>
      <c r="L7081" s="1">
        <f>VALUE(5006)</f>
        <v>5006</v>
      </c>
      <c r="M7081" s="1">
        <f>VALUE(6565)</f>
        <v>6565</v>
      </c>
      <c r="N7081" t="s">
        <v>25</v>
      </c>
    </row>
    <row r="7082" spans="1:14" x14ac:dyDescent="0.25">
      <c r="A7082" t="s">
        <v>42</v>
      </c>
      <c r="B7082" t="s">
        <v>40</v>
      </c>
      <c r="C7082" t="s">
        <v>15</v>
      </c>
      <c r="D7082" t="s">
        <v>31</v>
      </c>
      <c r="E7082" t="s">
        <v>21</v>
      </c>
      <c r="F7082" t="s">
        <v>15</v>
      </c>
      <c r="G7082" s="2">
        <f>VALUE(949.53)</f>
        <v>949.53</v>
      </c>
      <c r="H7082" s="3">
        <f>VALUE(869.66)</f>
        <v>869.66</v>
      </c>
      <c r="I7082" s="1">
        <f>VALUE(3799)</f>
        <v>3799</v>
      </c>
      <c r="J7082" s="1">
        <f>VALUE(4637)</f>
        <v>4637</v>
      </c>
      <c r="K7082" s="1">
        <f>VALUE(5983)</f>
        <v>5983</v>
      </c>
      <c r="L7082" s="1">
        <f>VALUE(7475)</f>
        <v>7475</v>
      </c>
      <c r="M7082" s="8">
        <f>VALUE(9682)</f>
        <v>9682</v>
      </c>
      <c r="N7082" t="s">
        <v>25</v>
      </c>
    </row>
    <row r="7083" spans="1:14" x14ac:dyDescent="0.25">
      <c r="A7083" t="s">
        <v>42</v>
      </c>
      <c r="B7083" t="s">
        <v>40</v>
      </c>
      <c r="C7083" t="s">
        <v>15</v>
      </c>
      <c r="D7083" t="s">
        <v>31</v>
      </c>
      <c r="E7083" t="s">
        <v>21</v>
      </c>
      <c r="F7083" t="s">
        <v>17</v>
      </c>
      <c r="G7083" s="1" t="str">
        <f t="shared" ref="G7083:M7083" si="1530">"X"</f>
        <v>X</v>
      </c>
      <c r="H7083" s="1" t="str">
        <f t="shared" si="1530"/>
        <v>X</v>
      </c>
      <c r="I7083" s="1" t="str">
        <f t="shared" si="1530"/>
        <v>X</v>
      </c>
      <c r="J7083" s="1" t="str">
        <f t="shared" si="1530"/>
        <v>X</v>
      </c>
      <c r="K7083" s="1" t="str">
        <f t="shared" si="1530"/>
        <v>X</v>
      </c>
      <c r="L7083" s="1" t="str">
        <f t="shared" si="1530"/>
        <v>X</v>
      </c>
      <c r="M7083" s="1" t="str">
        <f t="shared" si="1530"/>
        <v>X</v>
      </c>
      <c r="N7083" t="s">
        <v>27</v>
      </c>
    </row>
    <row r="7084" spans="1:14" x14ac:dyDescent="0.25">
      <c r="A7084" t="s">
        <v>42</v>
      </c>
      <c r="B7084" t="s">
        <v>40</v>
      </c>
      <c r="C7084" t="s">
        <v>15</v>
      </c>
      <c r="D7084" t="s">
        <v>31</v>
      </c>
      <c r="E7084" t="s">
        <v>21</v>
      </c>
      <c r="F7084" t="s">
        <v>18</v>
      </c>
      <c r="G7084" s="2">
        <f>VALUE(173.24)</f>
        <v>173.24</v>
      </c>
      <c r="H7084" s="3">
        <f>VALUE(151.62)</f>
        <v>151.62</v>
      </c>
      <c r="I7084" s="1">
        <f>VALUE(5078)</f>
        <v>5078</v>
      </c>
      <c r="J7084" s="1">
        <f>VALUE(5648)</f>
        <v>5648</v>
      </c>
      <c r="K7084" s="1">
        <f>VALUE(6701)</f>
        <v>6701</v>
      </c>
      <c r="L7084" s="1">
        <f>VALUE(8356)</f>
        <v>8356</v>
      </c>
      <c r="M7084" s="1">
        <f>VALUE(9666)</f>
        <v>9666</v>
      </c>
      <c r="N7084" t="s">
        <v>25</v>
      </c>
    </row>
    <row r="7085" spans="1:14" x14ac:dyDescent="0.25">
      <c r="A7085" t="s">
        <v>42</v>
      </c>
      <c r="B7085" t="s">
        <v>40</v>
      </c>
      <c r="C7085" t="s">
        <v>15</v>
      </c>
      <c r="D7085" t="s">
        <v>31</v>
      </c>
      <c r="E7085" t="s">
        <v>21</v>
      </c>
      <c r="F7085" t="s">
        <v>19</v>
      </c>
      <c r="G7085" s="1" t="str">
        <f t="shared" ref="G7085:M7085" si="1531">"X"</f>
        <v>X</v>
      </c>
      <c r="H7085" s="1" t="str">
        <f t="shared" si="1531"/>
        <v>X</v>
      </c>
      <c r="I7085" s="1" t="str">
        <f t="shared" si="1531"/>
        <v>X</v>
      </c>
      <c r="J7085" s="1" t="str">
        <f t="shared" si="1531"/>
        <v>X</v>
      </c>
      <c r="K7085" s="1" t="str">
        <f t="shared" si="1531"/>
        <v>X</v>
      </c>
      <c r="L7085" s="1" t="str">
        <f t="shared" si="1531"/>
        <v>X</v>
      </c>
      <c r="M7085" s="1" t="str">
        <f t="shared" si="1531"/>
        <v>X</v>
      </c>
      <c r="N7085" t="s">
        <v>27</v>
      </c>
    </row>
    <row r="7086" spans="1:14" x14ac:dyDescent="0.25">
      <c r="A7086" t="s">
        <v>42</v>
      </c>
      <c r="B7086" t="s">
        <v>40</v>
      </c>
      <c r="C7086" t="s">
        <v>15</v>
      </c>
      <c r="D7086" t="s">
        <v>31</v>
      </c>
      <c r="E7086" t="s">
        <v>21</v>
      </c>
      <c r="F7086" t="s">
        <v>20</v>
      </c>
      <c r="G7086" s="2">
        <f>VALUE(445.23)</f>
        <v>445.23</v>
      </c>
      <c r="H7086" s="3">
        <f>VALUE(406.53)</f>
        <v>406.53</v>
      </c>
      <c r="I7086" s="4">
        <f>VALUE(3451)</f>
        <v>3451</v>
      </c>
      <c r="J7086" s="1">
        <f>VALUE(4332)</f>
        <v>4332</v>
      </c>
      <c r="K7086" s="1">
        <f>VALUE(5436)</f>
        <v>5436</v>
      </c>
      <c r="L7086" s="1">
        <f>VALUE(6565)</f>
        <v>6565</v>
      </c>
      <c r="M7086" s="1">
        <f>VALUE(7473)</f>
        <v>7473</v>
      </c>
      <c r="N7086" t="s">
        <v>25</v>
      </c>
    </row>
    <row r="7087" spans="1:14" x14ac:dyDescent="0.25">
      <c r="A7087" t="s">
        <v>42</v>
      </c>
      <c r="B7087" t="s">
        <v>40</v>
      </c>
      <c r="C7087" t="s">
        <v>15</v>
      </c>
      <c r="D7087" t="s">
        <v>31</v>
      </c>
      <c r="E7087" t="s">
        <v>22</v>
      </c>
      <c r="F7087" t="s">
        <v>15</v>
      </c>
      <c r="G7087" s="2">
        <f>VALUE(932.99)</f>
        <v>932.99</v>
      </c>
      <c r="H7087" s="3">
        <f>VALUE(813.22)</f>
        <v>813.22</v>
      </c>
      <c r="I7087" s="1">
        <f>VALUE(3250)</f>
        <v>3250</v>
      </c>
      <c r="J7087" s="1">
        <f>VALUE(3788)</f>
        <v>3788</v>
      </c>
      <c r="K7087" s="1">
        <f>VALUE(4586)</f>
        <v>4586</v>
      </c>
      <c r="L7087" s="1">
        <f>VALUE(5607)</f>
        <v>5607</v>
      </c>
      <c r="M7087" s="8">
        <f>VALUE(7856)</f>
        <v>7856</v>
      </c>
      <c r="N7087" t="s">
        <v>25</v>
      </c>
    </row>
    <row r="7088" spans="1:14" x14ac:dyDescent="0.25">
      <c r="A7088" t="s">
        <v>42</v>
      </c>
      <c r="B7088" t="s">
        <v>40</v>
      </c>
      <c r="C7088" t="s">
        <v>15</v>
      </c>
      <c r="D7088" t="s">
        <v>31</v>
      </c>
      <c r="E7088" t="s">
        <v>22</v>
      </c>
      <c r="F7088" t="s">
        <v>17</v>
      </c>
      <c r="G7088" s="1" t="str">
        <f t="shared" ref="G7088:M7090" si="1532">"X"</f>
        <v>X</v>
      </c>
      <c r="H7088" s="1" t="str">
        <f t="shared" si="1532"/>
        <v>X</v>
      </c>
      <c r="I7088" s="1" t="str">
        <f t="shared" si="1532"/>
        <v>X</v>
      </c>
      <c r="J7088" s="1" t="str">
        <f t="shared" si="1532"/>
        <v>X</v>
      </c>
      <c r="K7088" s="1" t="str">
        <f t="shared" si="1532"/>
        <v>X</v>
      </c>
      <c r="L7088" s="1" t="str">
        <f t="shared" si="1532"/>
        <v>X</v>
      </c>
      <c r="M7088" s="1" t="str">
        <f t="shared" si="1532"/>
        <v>X</v>
      </c>
      <c r="N7088" t="s">
        <v>27</v>
      </c>
    </row>
    <row r="7089" spans="1:14" x14ac:dyDescent="0.25">
      <c r="A7089" t="s">
        <v>42</v>
      </c>
      <c r="B7089" t="s">
        <v>40</v>
      </c>
      <c r="C7089" t="s">
        <v>15</v>
      </c>
      <c r="D7089" t="s">
        <v>31</v>
      </c>
      <c r="E7089" t="s">
        <v>22</v>
      </c>
      <c r="F7089" t="s">
        <v>18</v>
      </c>
      <c r="G7089" s="1" t="str">
        <f t="shared" si="1532"/>
        <v>X</v>
      </c>
      <c r="H7089" s="1" t="str">
        <f t="shared" si="1532"/>
        <v>X</v>
      </c>
      <c r="I7089" s="1" t="str">
        <f t="shared" si="1532"/>
        <v>X</v>
      </c>
      <c r="J7089" s="1" t="str">
        <f t="shared" si="1532"/>
        <v>X</v>
      </c>
      <c r="K7089" s="1" t="str">
        <f t="shared" si="1532"/>
        <v>X</v>
      </c>
      <c r="L7089" s="1" t="str">
        <f t="shared" si="1532"/>
        <v>X</v>
      </c>
      <c r="M7089" s="1" t="str">
        <f t="shared" si="1532"/>
        <v>X</v>
      </c>
      <c r="N7089" t="s">
        <v>27</v>
      </c>
    </row>
    <row r="7090" spans="1:14" x14ac:dyDescent="0.25">
      <c r="A7090" t="s">
        <v>42</v>
      </c>
      <c r="B7090" t="s">
        <v>40</v>
      </c>
      <c r="C7090" t="s">
        <v>15</v>
      </c>
      <c r="D7090" t="s">
        <v>31</v>
      </c>
      <c r="E7090" t="s">
        <v>22</v>
      </c>
      <c r="F7090" t="s">
        <v>19</v>
      </c>
      <c r="G7090" s="1" t="str">
        <f t="shared" si="1532"/>
        <v>X</v>
      </c>
      <c r="H7090" s="1" t="str">
        <f t="shared" si="1532"/>
        <v>X</v>
      </c>
      <c r="I7090" s="1" t="str">
        <f t="shared" si="1532"/>
        <v>X</v>
      </c>
      <c r="J7090" s="1" t="str">
        <f t="shared" si="1532"/>
        <v>X</v>
      </c>
      <c r="K7090" s="1" t="str">
        <f t="shared" si="1532"/>
        <v>X</v>
      </c>
      <c r="L7090" s="1" t="str">
        <f t="shared" si="1532"/>
        <v>X</v>
      </c>
      <c r="M7090" s="1" t="str">
        <f t="shared" si="1532"/>
        <v>X</v>
      </c>
      <c r="N7090" t="s">
        <v>27</v>
      </c>
    </row>
    <row r="7091" spans="1:14" x14ac:dyDescent="0.25">
      <c r="A7091" t="s">
        <v>42</v>
      </c>
      <c r="B7091" t="s">
        <v>40</v>
      </c>
      <c r="C7091" t="s">
        <v>15</v>
      </c>
      <c r="D7091" t="s">
        <v>31</v>
      </c>
      <c r="E7091" t="s">
        <v>22</v>
      </c>
      <c r="F7091" t="s">
        <v>20</v>
      </c>
      <c r="G7091" s="2">
        <f>VALUE(600.49)</f>
        <v>600.49</v>
      </c>
      <c r="H7091" s="3">
        <f>VALUE(503.17)</f>
        <v>503.17</v>
      </c>
      <c r="I7091" s="4">
        <f>VALUE(2960)</f>
        <v>2960</v>
      </c>
      <c r="J7091" s="1">
        <f>VALUE(3588)</f>
        <v>3588</v>
      </c>
      <c r="K7091" s="1">
        <f>VALUE(4157)</f>
        <v>4157</v>
      </c>
      <c r="L7091" s="1">
        <f>VALUE(4982)</f>
        <v>4982</v>
      </c>
      <c r="M7091" s="1">
        <f>VALUE(6053)</f>
        <v>6053</v>
      </c>
      <c r="N7091" t="s">
        <v>25</v>
      </c>
    </row>
    <row r="7092" spans="1:14" x14ac:dyDescent="0.25">
      <c r="A7092" t="s">
        <v>42</v>
      </c>
      <c r="B7092" t="s">
        <v>40</v>
      </c>
      <c r="C7092" t="s">
        <v>15</v>
      </c>
      <c r="D7092" t="s">
        <v>31</v>
      </c>
      <c r="E7092" t="s">
        <v>23</v>
      </c>
      <c r="F7092" t="s">
        <v>15</v>
      </c>
      <c r="G7092" s="2">
        <f>VALUE(1217.49)</f>
        <v>1217.49</v>
      </c>
      <c r="H7092" s="3">
        <f>VALUE(822.25)</f>
        <v>822.25</v>
      </c>
      <c r="I7092" s="4">
        <f>VALUE(1867)</f>
        <v>1867</v>
      </c>
      <c r="J7092" s="1">
        <f>VALUE(3022)</f>
        <v>3022</v>
      </c>
      <c r="K7092" s="1">
        <f>VALUE(3508)</f>
        <v>3508</v>
      </c>
      <c r="L7092" s="1">
        <f>VALUE(4017)</f>
        <v>4017</v>
      </c>
      <c r="M7092" s="8">
        <f>VALUE(4694)</f>
        <v>4694</v>
      </c>
      <c r="N7092" t="s">
        <v>25</v>
      </c>
    </row>
    <row r="7093" spans="1:14" x14ac:dyDescent="0.25">
      <c r="A7093" t="s">
        <v>42</v>
      </c>
      <c r="B7093" t="s">
        <v>40</v>
      </c>
      <c r="C7093" t="s">
        <v>15</v>
      </c>
      <c r="D7093" t="s">
        <v>31</v>
      </c>
      <c r="E7093" t="s">
        <v>23</v>
      </c>
      <c r="F7093" t="s">
        <v>17</v>
      </c>
      <c r="G7093" s="1" t="str">
        <f t="shared" ref="G7093:M7095" si="1533">"X"</f>
        <v>X</v>
      </c>
      <c r="H7093" s="1" t="str">
        <f t="shared" si="1533"/>
        <v>X</v>
      </c>
      <c r="I7093" s="1" t="str">
        <f t="shared" si="1533"/>
        <v>X</v>
      </c>
      <c r="J7093" s="1" t="str">
        <f t="shared" si="1533"/>
        <v>X</v>
      </c>
      <c r="K7093" s="1" t="str">
        <f t="shared" si="1533"/>
        <v>X</v>
      </c>
      <c r="L7093" s="1" t="str">
        <f t="shared" si="1533"/>
        <v>X</v>
      </c>
      <c r="M7093" s="1" t="str">
        <f t="shared" si="1533"/>
        <v>X</v>
      </c>
      <c r="N7093" t="s">
        <v>27</v>
      </c>
    </row>
    <row r="7094" spans="1:14" x14ac:dyDescent="0.25">
      <c r="A7094" t="s">
        <v>42</v>
      </c>
      <c r="B7094" t="s">
        <v>40</v>
      </c>
      <c r="C7094" t="s">
        <v>15</v>
      </c>
      <c r="D7094" t="s">
        <v>31</v>
      </c>
      <c r="E7094" t="s">
        <v>23</v>
      </c>
      <c r="F7094" t="s">
        <v>18</v>
      </c>
      <c r="G7094" s="1" t="str">
        <f t="shared" si="1533"/>
        <v>X</v>
      </c>
      <c r="H7094" s="1" t="str">
        <f t="shared" si="1533"/>
        <v>X</v>
      </c>
      <c r="I7094" s="1" t="str">
        <f t="shared" si="1533"/>
        <v>X</v>
      </c>
      <c r="J7094" s="1" t="str">
        <f t="shared" si="1533"/>
        <v>X</v>
      </c>
      <c r="K7094" s="1" t="str">
        <f t="shared" si="1533"/>
        <v>X</v>
      </c>
      <c r="L7094" s="1" t="str">
        <f t="shared" si="1533"/>
        <v>X</v>
      </c>
      <c r="M7094" s="1" t="str">
        <f t="shared" si="1533"/>
        <v>X</v>
      </c>
      <c r="N7094" t="s">
        <v>27</v>
      </c>
    </row>
    <row r="7095" spans="1:14" x14ac:dyDescent="0.25">
      <c r="A7095" t="s">
        <v>42</v>
      </c>
      <c r="B7095" t="s">
        <v>40</v>
      </c>
      <c r="C7095" t="s">
        <v>15</v>
      </c>
      <c r="D7095" t="s">
        <v>31</v>
      </c>
      <c r="E7095" t="s">
        <v>23</v>
      </c>
      <c r="F7095" t="s">
        <v>19</v>
      </c>
      <c r="G7095" s="1" t="str">
        <f t="shared" si="1533"/>
        <v>X</v>
      </c>
      <c r="H7095" s="1" t="str">
        <f t="shared" si="1533"/>
        <v>X</v>
      </c>
      <c r="I7095" s="1" t="str">
        <f t="shared" si="1533"/>
        <v>X</v>
      </c>
      <c r="J7095" s="1" t="str">
        <f t="shared" si="1533"/>
        <v>X</v>
      </c>
      <c r="K7095" s="1" t="str">
        <f t="shared" si="1533"/>
        <v>X</v>
      </c>
      <c r="L7095" s="1" t="str">
        <f t="shared" si="1533"/>
        <v>X</v>
      </c>
      <c r="M7095" s="1" t="str">
        <f t="shared" si="1533"/>
        <v>X</v>
      </c>
      <c r="N7095" t="s">
        <v>27</v>
      </c>
    </row>
    <row r="7096" spans="1:14" x14ac:dyDescent="0.25">
      <c r="A7096" t="s">
        <v>42</v>
      </c>
      <c r="B7096" t="s">
        <v>40</v>
      </c>
      <c r="C7096" t="s">
        <v>15</v>
      </c>
      <c r="D7096" t="s">
        <v>31</v>
      </c>
      <c r="E7096" t="s">
        <v>23</v>
      </c>
      <c r="F7096" t="s">
        <v>20</v>
      </c>
      <c r="G7096" s="2">
        <f>VALUE(1055.37)</f>
        <v>1055.3699999999999</v>
      </c>
      <c r="H7096" s="3">
        <f>VALUE(714.73)</f>
        <v>714.73</v>
      </c>
      <c r="I7096" s="4">
        <f>VALUE(1867)</f>
        <v>1867</v>
      </c>
      <c r="J7096" s="5">
        <f>VALUE(3043)</f>
        <v>3043</v>
      </c>
      <c r="K7096" s="1">
        <f>VALUE(3552)</f>
        <v>3552</v>
      </c>
      <c r="L7096" s="1">
        <f>VALUE(4006)</f>
        <v>4006</v>
      </c>
      <c r="M7096" s="1">
        <f>VALUE(4694)</f>
        <v>4694</v>
      </c>
      <c r="N7096" t="s">
        <v>25</v>
      </c>
    </row>
    <row r="7097" spans="1:14" x14ac:dyDescent="0.25">
      <c r="A7097" t="s">
        <v>42</v>
      </c>
      <c r="B7097" t="s">
        <v>40</v>
      </c>
      <c r="C7097" t="s">
        <v>15</v>
      </c>
      <c r="D7097" t="s">
        <v>31</v>
      </c>
      <c r="E7097" t="s">
        <v>26</v>
      </c>
      <c r="F7097" t="s">
        <v>15</v>
      </c>
      <c r="G7097" s="2">
        <f>VALUE(205.05)</f>
        <v>205.05</v>
      </c>
      <c r="H7097" s="3">
        <f>VALUE(173.42)</f>
        <v>173.42</v>
      </c>
      <c r="I7097" s="4">
        <f>VALUE(3469)</f>
        <v>3469</v>
      </c>
      <c r="J7097" s="1">
        <f>VALUE(3512)</f>
        <v>3512</v>
      </c>
      <c r="K7097" s="6">
        <f>VALUE(3766)</f>
        <v>3766</v>
      </c>
      <c r="L7097" s="7">
        <f>VALUE(5871)</f>
        <v>5871</v>
      </c>
      <c r="M7097" s="8">
        <f>VALUE(7509)</f>
        <v>7509</v>
      </c>
      <c r="N7097" t="s">
        <v>25</v>
      </c>
    </row>
    <row r="7098" spans="1:14" x14ac:dyDescent="0.25">
      <c r="A7098" t="s">
        <v>42</v>
      </c>
      <c r="B7098" t="s">
        <v>40</v>
      </c>
      <c r="C7098" t="s">
        <v>15</v>
      </c>
      <c r="D7098" t="s">
        <v>31</v>
      </c>
      <c r="E7098" t="s">
        <v>26</v>
      </c>
      <c r="F7098" t="s">
        <v>17</v>
      </c>
      <c r="G7098" s="1" t="str">
        <f t="shared" ref="G7098:M7099" si="1534">"X"</f>
        <v>X</v>
      </c>
      <c r="H7098" s="1" t="str">
        <f t="shared" si="1534"/>
        <v>X</v>
      </c>
      <c r="I7098" s="1" t="str">
        <f t="shared" si="1534"/>
        <v>X</v>
      </c>
      <c r="J7098" s="1" t="str">
        <f t="shared" si="1534"/>
        <v>X</v>
      </c>
      <c r="K7098" s="1" t="str">
        <f t="shared" si="1534"/>
        <v>X</v>
      </c>
      <c r="L7098" s="1" t="str">
        <f t="shared" si="1534"/>
        <v>X</v>
      </c>
      <c r="M7098" s="1" t="str">
        <f t="shared" si="1534"/>
        <v>X</v>
      </c>
      <c r="N7098" t="s">
        <v>27</v>
      </c>
    </row>
    <row r="7099" spans="1:14" x14ac:dyDescent="0.25">
      <c r="A7099" t="s">
        <v>42</v>
      </c>
      <c r="B7099" t="s">
        <v>40</v>
      </c>
      <c r="C7099" t="s">
        <v>15</v>
      </c>
      <c r="D7099" t="s">
        <v>31</v>
      </c>
      <c r="E7099" t="s">
        <v>26</v>
      </c>
      <c r="F7099" t="s">
        <v>18</v>
      </c>
      <c r="G7099" s="1" t="str">
        <f t="shared" si="1534"/>
        <v>X</v>
      </c>
      <c r="H7099" s="1" t="str">
        <f t="shared" si="1534"/>
        <v>X</v>
      </c>
      <c r="I7099" s="1" t="str">
        <f t="shared" si="1534"/>
        <v>X</v>
      </c>
      <c r="J7099" s="1" t="str">
        <f t="shared" si="1534"/>
        <v>X</v>
      </c>
      <c r="K7099" s="1" t="str">
        <f t="shared" si="1534"/>
        <v>X</v>
      </c>
      <c r="L7099" s="1" t="str">
        <f t="shared" si="1534"/>
        <v>X</v>
      </c>
      <c r="M7099" s="1" t="str">
        <f t="shared" si="1534"/>
        <v>X</v>
      </c>
      <c r="N7099" t="s">
        <v>27</v>
      </c>
    </row>
    <row r="7100" spans="1:14" x14ac:dyDescent="0.25">
      <c r="A7100" t="s">
        <v>42</v>
      </c>
      <c r="B7100" t="s">
        <v>40</v>
      </c>
      <c r="C7100" t="s">
        <v>15</v>
      </c>
      <c r="D7100" t="s">
        <v>31</v>
      </c>
      <c r="E7100" t="s">
        <v>26</v>
      </c>
      <c r="F7100" t="s">
        <v>19</v>
      </c>
      <c r="G7100" s="1" t="str">
        <f t="shared" ref="G7100:M7100" si="1535">"..."</f>
        <v>...</v>
      </c>
      <c r="H7100" s="1" t="str">
        <f t="shared" si="1535"/>
        <v>...</v>
      </c>
      <c r="I7100" s="1" t="str">
        <f t="shared" si="1535"/>
        <v>...</v>
      </c>
      <c r="J7100" s="1" t="str">
        <f t="shared" si="1535"/>
        <v>...</v>
      </c>
      <c r="K7100" s="1" t="str">
        <f t="shared" si="1535"/>
        <v>...</v>
      </c>
      <c r="L7100" s="1" t="str">
        <f t="shared" si="1535"/>
        <v>...</v>
      </c>
      <c r="M7100" s="1" t="str">
        <f t="shared" si="1535"/>
        <v>...</v>
      </c>
      <c r="N7100" t="s">
        <v>30</v>
      </c>
    </row>
    <row r="7101" spans="1:14" x14ac:dyDescent="0.25">
      <c r="A7101" t="s">
        <v>42</v>
      </c>
      <c r="B7101" t="s">
        <v>40</v>
      </c>
      <c r="C7101" t="s">
        <v>15</v>
      </c>
      <c r="D7101" t="s">
        <v>31</v>
      </c>
      <c r="E7101" t="s">
        <v>26</v>
      </c>
      <c r="F7101" t="s">
        <v>20</v>
      </c>
      <c r="G7101" s="1" t="str">
        <f t="shared" ref="G7101:M7101" si="1536">"X"</f>
        <v>X</v>
      </c>
      <c r="H7101" s="1" t="str">
        <f t="shared" si="1536"/>
        <v>X</v>
      </c>
      <c r="I7101" s="1" t="str">
        <f t="shared" si="1536"/>
        <v>X</v>
      </c>
      <c r="J7101" s="1" t="str">
        <f t="shared" si="1536"/>
        <v>X</v>
      </c>
      <c r="K7101" s="1" t="str">
        <f t="shared" si="1536"/>
        <v>X</v>
      </c>
      <c r="L7101" s="1" t="str">
        <f t="shared" si="1536"/>
        <v>X</v>
      </c>
      <c r="M7101" s="1" t="str">
        <f t="shared" si="1536"/>
        <v>X</v>
      </c>
      <c r="N7101" t="s">
        <v>27</v>
      </c>
    </row>
    <row r="7102" spans="1:14" x14ac:dyDescent="0.25">
      <c r="A7102" t="s">
        <v>42</v>
      </c>
      <c r="B7102" t="s">
        <v>40</v>
      </c>
      <c r="C7102" t="s">
        <v>15</v>
      </c>
      <c r="D7102" t="s">
        <v>32</v>
      </c>
      <c r="E7102" t="s">
        <v>15</v>
      </c>
      <c r="F7102" t="s">
        <v>15</v>
      </c>
      <c r="G7102" s="1">
        <f>VALUE(16978.21)</f>
        <v>16978.21</v>
      </c>
      <c r="H7102" s="1">
        <f>VALUE(15203.64)</f>
        <v>15203.64</v>
      </c>
      <c r="I7102" s="1">
        <f>VALUE(2582)</f>
        <v>2582</v>
      </c>
      <c r="J7102" s="1">
        <f>VALUE(2911)</f>
        <v>2911</v>
      </c>
      <c r="K7102" s="1">
        <f>VALUE(3517)</f>
        <v>3517</v>
      </c>
      <c r="L7102" s="1">
        <f>VALUE(4642)</f>
        <v>4642</v>
      </c>
      <c r="M7102" s="1">
        <f>VALUE(6199)</f>
        <v>6199</v>
      </c>
      <c r="N7102" t="s">
        <v>16</v>
      </c>
    </row>
    <row r="7103" spans="1:14" x14ac:dyDescent="0.25">
      <c r="A7103" t="s">
        <v>42</v>
      </c>
      <c r="B7103" t="s">
        <v>40</v>
      </c>
      <c r="C7103" t="s">
        <v>15</v>
      </c>
      <c r="D7103" t="s">
        <v>32</v>
      </c>
      <c r="E7103" t="s">
        <v>15</v>
      </c>
      <c r="F7103" t="s">
        <v>17</v>
      </c>
      <c r="G7103" s="2">
        <f>VALUE(748.39)</f>
        <v>748.39</v>
      </c>
      <c r="H7103" s="3">
        <f>VALUE(693.65)</f>
        <v>693.65</v>
      </c>
      <c r="I7103" s="4">
        <f>VALUE(3436)</f>
        <v>3436</v>
      </c>
      <c r="J7103" s="5">
        <f>VALUE(4078)</f>
        <v>4078</v>
      </c>
      <c r="K7103" s="6">
        <f>VALUE(5762)</f>
        <v>5762</v>
      </c>
      <c r="L7103" s="1">
        <f>VALUE(8054)</f>
        <v>8054</v>
      </c>
      <c r="M7103" s="8">
        <f>VALUE(10750)</f>
        <v>10750</v>
      </c>
      <c r="N7103" t="s">
        <v>25</v>
      </c>
    </row>
    <row r="7104" spans="1:14" x14ac:dyDescent="0.25">
      <c r="A7104" t="s">
        <v>42</v>
      </c>
      <c r="B7104" t="s">
        <v>40</v>
      </c>
      <c r="C7104" t="s">
        <v>15</v>
      </c>
      <c r="D7104" t="s">
        <v>32</v>
      </c>
      <c r="E7104" t="s">
        <v>15</v>
      </c>
      <c r="F7104" t="s">
        <v>18</v>
      </c>
      <c r="G7104" s="2">
        <f>VALUE(948.45)</f>
        <v>948.45</v>
      </c>
      <c r="H7104" s="3">
        <f>VALUE(860.54)</f>
        <v>860.54</v>
      </c>
      <c r="I7104" s="1">
        <f>VALUE(3058)</f>
        <v>3058</v>
      </c>
      <c r="J7104" s="5">
        <f>VALUE(3500)</f>
        <v>3500</v>
      </c>
      <c r="K7104" s="6">
        <f>VALUE(5027)</f>
        <v>5027</v>
      </c>
      <c r="L7104" s="7">
        <f>VALUE(7161)</f>
        <v>7161</v>
      </c>
      <c r="M7104" s="8">
        <f>VALUE(8863)</f>
        <v>8863</v>
      </c>
      <c r="N7104" t="s">
        <v>25</v>
      </c>
    </row>
    <row r="7105" spans="1:14" x14ac:dyDescent="0.25">
      <c r="A7105" t="s">
        <v>42</v>
      </c>
      <c r="B7105" t="s">
        <v>40</v>
      </c>
      <c r="C7105" t="s">
        <v>15</v>
      </c>
      <c r="D7105" t="s">
        <v>32</v>
      </c>
      <c r="E7105" t="s">
        <v>15</v>
      </c>
      <c r="F7105" t="s">
        <v>19</v>
      </c>
      <c r="G7105" s="1">
        <f>VALUE(2524.03)</f>
        <v>2524.0300000000002</v>
      </c>
      <c r="H7105" s="1">
        <f>VALUE(2441.6)</f>
        <v>2441.6</v>
      </c>
      <c r="I7105" s="1">
        <f>VALUE(2786)</f>
        <v>2786</v>
      </c>
      <c r="J7105" s="1">
        <f>VALUE(3011)</f>
        <v>3011</v>
      </c>
      <c r="K7105" s="6">
        <f>VALUE(3548)</f>
        <v>3548</v>
      </c>
      <c r="L7105" s="7">
        <f>VALUE(4691)</f>
        <v>4691</v>
      </c>
      <c r="M7105" s="8">
        <f>VALUE(6190)</f>
        <v>6190</v>
      </c>
      <c r="N7105" t="s">
        <v>25</v>
      </c>
    </row>
    <row r="7106" spans="1:14" x14ac:dyDescent="0.25">
      <c r="A7106" t="s">
        <v>42</v>
      </c>
      <c r="B7106" t="s">
        <v>40</v>
      </c>
      <c r="C7106" t="s">
        <v>15</v>
      </c>
      <c r="D7106" t="s">
        <v>32</v>
      </c>
      <c r="E7106" t="s">
        <v>15</v>
      </c>
      <c r="F7106" t="s">
        <v>20</v>
      </c>
      <c r="G7106" s="1">
        <f>VALUE(12757.34)</f>
        <v>12757.34</v>
      </c>
      <c r="H7106" s="1">
        <f>VALUE(11207.85)</f>
        <v>11207.85</v>
      </c>
      <c r="I7106" s="1">
        <f>VALUE(2511)</f>
        <v>2511</v>
      </c>
      <c r="J7106" s="1">
        <f>VALUE(2817)</f>
        <v>2817</v>
      </c>
      <c r="K7106" s="1">
        <f>VALUE(3388)</f>
        <v>3388</v>
      </c>
      <c r="L7106" s="1">
        <f>VALUE(4269)</f>
        <v>4269</v>
      </c>
      <c r="M7106" s="1">
        <f>VALUE(5496)</f>
        <v>5496</v>
      </c>
      <c r="N7106" t="s">
        <v>16</v>
      </c>
    </row>
    <row r="7107" spans="1:14" x14ac:dyDescent="0.25">
      <c r="A7107" t="s">
        <v>42</v>
      </c>
      <c r="B7107" t="s">
        <v>40</v>
      </c>
      <c r="C7107" t="s">
        <v>15</v>
      </c>
      <c r="D7107" t="s">
        <v>32</v>
      </c>
      <c r="E7107" t="s">
        <v>21</v>
      </c>
      <c r="F7107" t="s">
        <v>15</v>
      </c>
      <c r="G7107" s="1">
        <f>VALUE(2673.24)</f>
        <v>2673.24</v>
      </c>
      <c r="H7107" s="1">
        <f>VALUE(2397.47)</f>
        <v>2397.4699999999998</v>
      </c>
      <c r="I7107" s="1">
        <f>VALUE(2965)</f>
        <v>2965</v>
      </c>
      <c r="J7107" s="1">
        <f>VALUE(3750)</f>
        <v>3750</v>
      </c>
      <c r="K7107" s="1">
        <f>VALUE(4850)</f>
        <v>4850</v>
      </c>
      <c r="L7107" s="1">
        <f>VALUE(6424)</f>
        <v>6424</v>
      </c>
      <c r="M7107" s="1">
        <f>VALUE(8531)</f>
        <v>8531</v>
      </c>
      <c r="N7107" t="s">
        <v>16</v>
      </c>
    </row>
    <row r="7108" spans="1:14" x14ac:dyDescent="0.25">
      <c r="A7108" t="s">
        <v>42</v>
      </c>
      <c r="B7108" t="s">
        <v>40</v>
      </c>
      <c r="C7108" t="s">
        <v>15</v>
      </c>
      <c r="D7108" t="s">
        <v>32</v>
      </c>
      <c r="E7108" t="s">
        <v>21</v>
      </c>
      <c r="F7108" t="s">
        <v>17</v>
      </c>
      <c r="G7108" s="2">
        <f>VALUE(413.88)</f>
        <v>413.88</v>
      </c>
      <c r="H7108" s="3">
        <f>VALUE(385.98)</f>
        <v>385.98</v>
      </c>
      <c r="I7108" s="4">
        <f>VALUE(3521)</f>
        <v>3521</v>
      </c>
      <c r="J7108" s="5">
        <f>VALUE(4946)</f>
        <v>4946</v>
      </c>
      <c r="K7108" s="6">
        <f>VALUE(6148)</f>
        <v>6148</v>
      </c>
      <c r="L7108" s="7">
        <f>VALUE(8432)</f>
        <v>8432</v>
      </c>
      <c r="M7108" s="8">
        <f>VALUE(10765)</f>
        <v>10765</v>
      </c>
      <c r="N7108" t="s">
        <v>24</v>
      </c>
    </row>
    <row r="7109" spans="1:14" x14ac:dyDescent="0.25">
      <c r="A7109" t="s">
        <v>42</v>
      </c>
      <c r="B7109" t="s">
        <v>40</v>
      </c>
      <c r="C7109" t="s">
        <v>15</v>
      </c>
      <c r="D7109" t="s">
        <v>32</v>
      </c>
      <c r="E7109" t="s">
        <v>21</v>
      </c>
      <c r="F7109" t="s">
        <v>18</v>
      </c>
      <c r="G7109" s="2">
        <f>VALUE(401.41)</f>
        <v>401.41</v>
      </c>
      <c r="H7109" s="3">
        <f>VALUE(363.58)</f>
        <v>363.58</v>
      </c>
      <c r="I7109" s="4">
        <f>VALUE(3048)</f>
        <v>3048</v>
      </c>
      <c r="J7109" s="5">
        <f>VALUE(3800)</f>
        <v>3800</v>
      </c>
      <c r="K7109" s="6">
        <f>VALUE(5608)</f>
        <v>5608</v>
      </c>
      <c r="L7109" s="1">
        <f>VALUE(7593)</f>
        <v>7593</v>
      </c>
      <c r="M7109" s="8">
        <f>VALUE(9786)</f>
        <v>9786</v>
      </c>
      <c r="N7109" t="s">
        <v>25</v>
      </c>
    </row>
    <row r="7110" spans="1:14" x14ac:dyDescent="0.25">
      <c r="A7110" t="s">
        <v>42</v>
      </c>
      <c r="B7110" t="s">
        <v>40</v>
      </c>
      <c r="C7110" t="s">
        <v>15</v>
      </c>
      <c r="D7110" t="s">
        <v>32</v>
      </c>
      <c r="E7110" t="s">
        <v>21</v>
      </c>
      <c r="F7110" t="s">
        <v>19</v>
      </c>
      <c r="G7110" s="2">
        <f>VALUE(426.45)</f>
        <v>426.45</v>
      </c>
      <c r="H7110" s="3">
        <f>VALUE(395.97)</f>
        <v>395.97</v>
      </c>
      <c r="I7110" s="1">
        <f>VALUE(3482)</f>
        <v>3482</v>
      </c>
      <c r="J7110" s="1">
        <f>VALUE(3983)</f>
        <v>3983</v>
      </c>
      <c r="K7110" s="1">
        <f>VALUE(5053)</f>
        <v>5053</v>
      </c>
      <c r="L7110" s="7">
        <f>VALUE(6879)</f>
        <v>6879</v>
      </c>
      <c r="M7110" s="8">
        <f>VALUE(8551)</f>
        <v>8551</v>
      </c>
      <c r="N7110" t="s">
        <v>25</v>
      </c>
    </row>
    <row r="7111" spans="1:14" x14ac:dyDescent="0.25">
      <c r="A7111" t="s">
        <v>42</v>
      </c>
      <c r="B7111" t="s">
        <v>40</v>
      </c>
      <c r="C7111" t="s">
        <v>15</v>
      </c>
      <c r="D7111" t="s">
        <v>32</v>
      </c>
      <c r="E7111" t="s">
        <v>21</v>
      </c>
      <c r="F7111" t="s">
        <v>20</v>
      </c>
      <c r="G7111" s="2">
        <f>VALUE(1431.5)</f>
        <v>1431.5</v>
      </c>
      <c r="H7111" s="3">
        <f>VALUE(1251.94)</f>
        <v>1251.94</v>
      </c>
      <c r="I7111" s="4">
        <f>VALUE(2571)</f>
        <v>2571</v>
      </c>
      <c r="J7111" s="1">
        <f>VALUE(3413)</f>
        <v>3413</v>
      </c>
      <c r="K7111" s="1">
        <f>VALUE(4433)</f>
        <v>4433</v>
      </c>
      <c r="L7111" s="1">
        <f>VALUE(5526)</f>
        <v>5526</v>
      </c>
      <c r="M7111" s="1">
        <f>VALUE(7057)</f>
        <v>7057</v>
      </c>
      <c r="N7111" t="s">
        <v>25</v>
      </c>
    </row>
    <row r="7112" spans="1:14" x14ac:dyDescent="0.25">
      <c r="A7112" t="s">
        <v>42</v>
      </c>
      <c r="B7112" t="s">
        <v>40</v>
      </c>
      <c r="C7112" t="s">
        <v>15</v>
      </c>
      <c r="D7112" t="s">
        <v>32</v>
      </c>
      <c r="E7112" t="s">
        <v>22</v>
      </c>
      <c r="F7112" t="s">
        <v>15</v>
      </c>
      <c r="G7112" s="1">
        <f>VALUE(4633.1)</f>
        <v>4633.1000000000004</v>
      </c>
      <c r="H7112" s="1">
        <f>VALUE(4056.72)</f>
        <v>4056.72</v>
      </c>
      <c r="I7112" s="1">
        <f>VALUE(2656)</f>
        <v>2656</v>
      </c>
      <c r="J7112" s="1">
        <f>VALUE(3400)</f>
        <v>3400</v>
      </c>
      <c r="K7112" s="1">
        <f>VALUE(4274)</f>
        <v>4274</v>
      </c>
      <c r="L7112" s="1">
        <f>VALUE(5420)</f>
        <v>5420</v>
      </c>
      <c r="M7112" s="1">
        <f>VALUE(7144)</f>
        <v>7144</v>
      </c>
      <c r="N7112" t="s">
        <v>16</v>
      </c>
    </row>
    <row r="7113" spans="1:14" x14ac:dyDescent="0.25">
      <c r="A7113" t="s">
        <v>42</v>
      </c>
      <c r="B7113" t="s">
        <v>40</v>
      </c>
      <c r="C7113" t="s">
        <v>15</v>
      </c>
      <c r="D7113" t="s">
        <v>32</v>
      </c>
      <c r="E7113" t="s">
        <v>22</v>
      </c>
      <c r="F7113" t="s">
        <v>17</v>
      </c>
      <c r="G7113" s="2">
        <f>VALUE(282.06)</f>
        <v>282.06</v>
      </c>
      <c r="H7113" s="3">
        <f>VALUE(270.04)</f>
        <v>270.04000000000002</v>
      </c>
      <c r="I7113" s="4">
        <f>VALUE(2840)</f>
        <v>2840</v>
      </c>
      <c r="J7113" s="1">
        <f>VALUE(3708)</f>
        <v>3708</v>
      </c>
      <c r="K7113" s="6">
        <f>VALUE(4827)</f>
        <v>4827</v>
      </c>
      <c r="L7113" s="7">
        <f>VALUE(7592)</f>
        <v>7592</v>
      </c>
      <c r="M7113" s="8">
        <f>VALUE(10571)</f>
        <v>10571</v>
      </c>
      <c r="N7113" t="s">
        <v>25</v>
      </c>
    </row>
    <row r="7114" spans="1:14" x14ac:dyDescent="0.25">
      <c r="A7114" t="s">
        <v>42</v>
      </c>
      <c r="B7114" t="s">
        <v>40</v>
      </c>
      <c r="C7114" t="s">
        <v>15</v>
      </c>
      <c r="D7114" t="s">
        <v>32</v>
      </c>
      <c r="E7114" t="s">
        <v>22</v>
      </c>
      <c r="F7114" t="s">
        <v>18</v>
      </c>
      <c r="G7114" s="2">
        <f>VALUE(335.91)</f>
        <v>335.91</v>
      </c>
      <c r="H7114" s="3">
        <f>VALUE(305.14)</f>
        <v>305.14</v>
      </c>
      <c r="I7114" s="4">
        <f>VALUE(3238)</f>
        <v>3238</v>
      </c>
      <c r="J7114" s="5">
        <f>VALUE(3776)</f>
        <v>3776</v>
      </c>
      <c r="K7114" s="6">
        <f>VALUE(5159)</f>
        <v>5159</v>
      </c>
      <c r="L7114" s="1">
        <f>VALUE(7161)</f>
        <v>7161</v>
      </c>
      <c r="M7114" s="8">
        <f>VALUE(8271)</f>
        <v>8271</v>
      </c>
      <c r="N7114" t="s">
        <v>25</v>
      </c>
    </row>
    <row r="7115" spans="1:14" x14ac:dyDescent="0.25">
      <c r="A7115" t="s">
        <v>42</v>
      </c>
      <c r="B7115" t="s">
        <v>40</v>
      </c>
      <c r="C7115" t="s">
        <v>15</v>
      </c>
      <c r="D7115" t="s">
        <v>32</v>
      </c>
      <c r="E7115" t="s">
        <v>22</v>
      </c>
      <c r="F7115" t="s">
        <v>19</v>
      </c>
      <c r="G7115" s="2">
        <f>VALUE(813.59)</f>
        <v>813.59</v>
      </c>
      <c r="H7115" s="3">
        <f>VALUE(724.61)</f>
        <v>724.61</v>
      </c>
      <c r="I7115" s="1">
        <f>VALUE(3147)</f>
        <v>3147</v>
      </c>
      <c r="J7115" s="1">
        <f>VALUE(3528)</f>
        <v>3528</v>
      </c>
      <c r="K7115" s="1">
        <f>VALUE(4442)</f>
        <v>4442</v>
      </c>
      <c r="L7115" s="1">
        <f>VALUE(5389)</f>
        <v>5389</v>
      </c>
      <c r="M7115" s="1">
        <f>VALUE(7290)</f>
        <v>7290</v>
      </c>
      <c r="N7115" t="s">
        <v>25</v>
      </c>
    </row>
    <row r="7116" spans="1:14" x14ac:dyDescent="0.25">
      <c r="A7116" t="s">
        <v>42</v>
      </c>
      <c r="B7116" t="s">
        <v>40</v>
      </c>
      <c r="C7116" t="s">
        <v>15</v>
      </c>
      <c r="D7116" t="s">
        <v>32</v>
      </c>
      <c r="E7116" t="s">
        <v>22</v>
      </c>
      <c r="F7116" t="s">
        <v>20</v>
      </c>
      <c r="G7116" s="1">
        <f>VALUE(3201.54)</f>
        <v>3201.54</v>
      </c>
      <c r="H7116" s="1">
        <f>VALUE(2756.93)</f>
        <v>2756.93</v>
      </c>
      <c r="I7116" s="1">
        <f>VALUE(2584)</f>
        <v>2584</v>
      </c>
      <c r="J7116" s="1">
        <f>VALUE(3250)</f>
        <v>3250</v>
      </c>
      <c r="K7116" s="1">
        <f>VALUE(4126)</f>
        <v>4126</v>
      </c>
      <c r="L7116" s="1">
        <f>VALUE(5243)</f>
        <v>5243</v>
      </c>
      <c r="M7116" s="1">
        <f>VALUE(6443)</f>
        <v>6443</v>
      </c>
      <c r="N7116" t="s">
        <v>16</v>
      </c>
    </row>
    <row r="7117" spans="1:14" x14ac:dyDescent="0.25">
      <c r="A7117" t="s">
        <v>42</v>
      </c>
      <c r="B7117" t="s">
        <v>40</v>
      </c>
      <c r="C7117" t="s">
        <v>15</v>
      </c>
      <c r="D7117" t="s">
        <v>32</v>
      </c>
      <c r="E7117" t="s">
        <v>23</v>
      </c>
      <c r="F7117" t="s">
        <v>15</v>
      </c>
      <c r="G7117" s="1">
        <f>VALUE(9112.38)</f>
        <v>9112.3799999999992</v>
      </c>
      <c r="H7117" s="1">
        <f>VALUE(8232.64)</f>
        <v>8232.64</v>
      </c>
      <c r="I7117" s="1">
        <f>VALUE(2528)</f>
        <v>2528</v>
      </c>
      <c r="J7117" s="1">
        <f>VALUE(2775)</f>
        <v>2775</v>
      </c>
      <c r="K7117" s="1">
        <f>VALUE(3114)</f>
        <v>3114</v>
      </c>
      <c r="L7117" s="1">
        <f>VALUE(3587)</f>
        <v>3587</v>
      </c>
      <c r="M7117" s="1">
        <f>VALUE(4236)</f>
        <v>4236</v>
      </c>
      <c r="N7117" t="s">
        <v>16</v>
      </c>
    </row>
    <row r="7118" spans="1:14" x14ac:dyDescent="0.25">
      <c r="A7118" t="s">
        <v>42</v>
      </c>
      <c r="B7118" t="s">
        <v>40</v>
      </c>
      <c r="C7118" t="s">
        <v>15</v>
      </c>
      <c r="D7118" t="s">
        <v>32</v>
      </c>
      <c r="E7118" t="s">
        <v>23</v>
      </c>
      <c r="F7118" t="s">
        <v>17</v>
      </c>
      <c r="G7118" s="1" t="str">
        <f t="shared" ref="G7118:M7118" si="1537">"X"</f>
        <v>X</v>
      </c>
      <c r="H7118" s="1" t="str">
        <f t="shared" si="1537"/>
        <v>X</v>
      </c>
      <c r="I7118" s="1" t="str">
        <f t="shared" si="1537"/>
        <v>X</v>
      </c>
      <c r="J7118" s="1" t="str">
        <f t="shared" si="1537"/>
        <v>X</v>
      </c>
      <c r="K7118" s="1" t="str">
        <f t="shared" si="1537"/>
        <v>X</v>
      </c>
      <c r="L7118" s="1" t="str">
        <f t="shared" si="1537"/>
        <v>X</v>
      </c>
      <c r="M7118" s="1" t="str">
        <f t="shared" si="1537"/>
        <v>X</v>
      </c>
      <c r="N7118" t="s">
        <v>27</v>
      </c>
    </row>
    <row r="7119" spans="1:14" x14ac:dyDescent="0.25">
      <c r="A7119" t="s">
        <v>42</v>
      </c>
      <c r="B7119" t="s">
        <v>40</v>
      </c>
      <c r="C7119" t="s">
        <v>15</v>
      </c>
      <c r="D7119" t="s">
        <v>32</v>
      </c>
      <c r="E7119" t="s">
        <v>23</v>
      </c>
      <c r="F7119" t="s">
        <v>18</v>
      </c>
      <c r="G7119" s="2">
        <f>VALUE(188.77)</f>
        <v>188.77</v>
      </c>
      <c r="H7119" s="3">
        <f>VALUE(170.14)</f>
        <v>170.14</v>
      </c>
      <c r="I7119" s="1">
        <f>VALUE(3200)</f>
        <v>3200</v>
      </c>
      <c r="J7119" s="1">
        <f>VALUE(3363)</f>
        <v>3363</v>
      </c>
      <c r="K7119" s="6">
        <f>VALUE(3764)</f>
        <v>3764</v>
      </c>
      <c r="L7119" s="1">
        <f>VALUE(4623)</f>
        <v>4623</v>
      </c>
      <c r="M7119" s="8">
        <f>VALUE(5877)</f>
        <v>5877</v>
      </c>
      <c r="N7119" t="s">
        <v>25</v>
      </c>
    </row>
    <row r="7120" spans="1:14" x14ac:dyDescent="0.25">
      <c r="A7120" t="s">
        <v>42</v>
      </c>
      <c r="B7120" t="s">
        <v>40</v>
      </c>
      <c r="C7120" t="s">
        <v>15</v>
      </c>
      <c r="D7120" t="s">
        <v>32</v>
      </c>
      <c r="E7120" t="s">
        <v>23</v>
      </c>
      <c r="F7120" t="s">
        <v>19</v>
      </c>
      <c r="G7120" s="1">
        <f>VALUE(1258.87)</f>
        <v>1258.8699999999999</v>
      </c>
      <c r="H7120" s="1">
        <f>VALUE(1296.8)</f>
        <v>1296.8</v>
      </c>
      <c r="I7120" s="1">
        <f>VALUE(2703)</f>
        <v>2703</v>
      </c>
      <c r="J7120" s="1">
        <f>VALUE(2868)</f>
        <v>2868</v>
      </c>
      <c r="K7120" s="1">
        <f>VALUE(3095)</f>
        <v>3095</v>
      </c>
      <c r="L7120" s="7">
        <f>VALUE(3515)</f>
        <v>3515</v>
      </c>
      <c r="M7120" s="8">
        <f>VALUE(4149)</f>
        <v>4149</v>
      </c>
      <c r="N7120" t="s">
        <v>25</v>
      </c>
    </row>
    <row r="7121" spans="1:14" x14ac:dyDescent="0.25">
      <c r="A7121" t="s">
        <v>42</v>
      </c>
      <c r="B7121" t="s">
        <v>40</v>
      </c>
      <c r="C7121" t="s">
        <v>15</v>
      </c>
      <c r="D7121" t="s">
        <v>32</v>
      </c>
      <c r="E7121" t="s">
        <v>23</v>
      </c>
      <c r="F7121" t="s">
        <v>20</v>
      </c>
      <c r="G7121" s="1">
        <f>VALUE(7621.99)</f>
        <v>7621.99</v>
      </c>
      <c r="H7121" s="1">
        <f>VALUE(6736.27)</f>
        <v>6736.27</v>
      </c>
      <c r="I7121" s="1">
        <f>VALUE(2501)</f>
        <v>2501</v>
      </c>
      <c r="J7121" s="1">
        <f>VALUE(2735)</f>
        <v>2735</v>
      </c>
      <c r="K7121" s="1">
        <f>VALUE(3107)</f>
        <v>3107</v>
      </c>
      <c r="L7121" s="1">
        <f>VALUE(3572)</f>
        <v>3572</v>
      </c>
      <c r="M7121" s="1">
        <f>VALUE(4181)</f>
        <v>4181</v>
      </c>
      <c r="N7121" t="s">
        <v>16</v>
      </c>
    </row>
    <row r="7122" spans="1:14" x14ac:dyDescent="0.25">
      <c r="A7122" t="s">
        <v>42</v>
      </c>
      <c r="B7122" t="s">
        <v>40</v>
      </c>
      <c r="C7122" t="s">
        <v>15</v>
      </c>
      <c r="D7122" t="s">
        <v>32</v>
      </c>
      <c r="E7122" t="s">
        <v>26</v>
      </c>
      <c r="F7122" t="s">
        <v>15</v>
      </c>
      <c r="G7122" s="2">
        <f>VALUE(559.49)</f>
        <v>559.49</v>
      </c>
      <c r="H7122" s="3">
        <f>VALUE(516.81)</f>
        <v>516.80999999999995</v>
      </c>
      <c r="I7122" s="4">
        <f>VALUE(2035)</f>
        <v>2035</v>
      </c>
      <c r="J7122" s="5">
        <f>VALUE(3422)</f>
        <v>3422</v>
      </c>
      <c r="K7122" s="6">
        <f>VALUE(4748)</f>
        <v>4748</v>
      </c>
      <c r="L7122" s="1">
        <f>VALUE(5956)</f>
        <v>5956</v>
      </c>
      <c r="M7122" s="8">
        <f>VALUE(7210)</f>
        <v>7210</v>
      </c>
      <c r="N7122" t="s">
        <v>25</v>
      </c>
    </row>
    <row r="7123" spans="1:14" x14ac:dyDescent="0.25">
      <c r="A7123" t="s">
        <v>42</v>
      </c>
      <c r="B7123" t="s">
        <v>40</v>
      </c>
      <c r="C7123" t="s">
        <v>15</v>
      </c>
      <c r="D7123" t="s">
        <v>32</v>
      </c>
      <c r="E7123" t="s">
        <v>26</v>
      </c>
      <c r="F7123" t="s">
        <v>17</v>
      </c>
      <c r="G7123" s="1" t="str">
        <f t="shared" ref="G7123:M7125" si="1538">"X"</f>
        <v>X</v>
      </c>
      <c r="H7123" s="1" t="str">
        <f t="shared" si="1538"/>
        <v>X</v>
      </c>
      <c r="I7123" s="1" t="str">
        <f t="shared" si="1538"/>
        <v>X</v>
      </c>
      <c r="J7123" s="1" t="str">
        <f t="shared" si="1538"/>
        <v>X</v>
      </c>
      <c r="K7123" s="1" t="str">
        <f t="shared" si="1538"/>
        <v>X</v>
      </c>
      <c r="L7123" s="1" t="str">
        <f t="shared" si="1538"/>
        <v>X</v>
      </c>
      <c r="M7123" s="1" t="str">
        <f t="shared" si="1538"/>
        <v>X</v>
      </c>
      <c r="N7123" t="s">
        <v>27</v>
      </c>
    </row>
    <row r="7124" spans="1:14" x14ac:dyDescent="0.25">
      <c r="A7124" t="s">
        <v>42</v>
      </c>
      <c r="B7124" t="s">
        <v>40</v>
      </c>
      <c r="C7124" t="s">
        <v>15</v>
      </c>
      <c r="D7124" t="s">
        <v>32</v>
      </c>
      <c r="E7124" t="s">
        <v>26</v>
      </c>
      <c r="F7124" t="s">
        <v>18</v>
      </c>
      <c r="G7124" s="1" t="str">
        <f t="shared" si="1538"/>
        <v>X</v>
      </c>
      <c r="H7124" s="1" t="str">
        <f t="shared" si="1538"/>
        <v>X</v>
      </c>
      <c r="I7124" s="1" t="str">
        <f t="shared" si="1538"/>
        <v>X</v>
      </c>
      <c r="J7124" s="1" t="str">
        <f t="shared" si="1538"/>
        <v>X</v>
      </c>
      <c r="K7124" s="1" t="str">
        <f t="shared" si="1538"/>
        <v>X</v>
      </c>
      <c r="L7124" s="1" t="str">
        <f t="shared" si="1538"/>
        <v>X</v>
      </c>
      <c r="M7124" s="1" t="str">
        <f t="shared" si="1538"/>
        <v>X</v>
      </c>
      <c r="N7124" t="s">
        <v>27</v>
      </c>
    </row>
    <row r="7125" spans="1:14" x14ac:dyDescent="0.25">
      <c r="A7125" t="s">
        <v>42</v>
      </c>
      <c r="B7125" t="s">
        <v>40</v>
      </c>
      <c r="C7125" t="s">
        <v>15</v>
      </c>
      <c r="D7125" t="s">
        <v>32</v>
      </c>
      <c r="E7125" t="s">
        <v>26</v>
      </c>
      <c r="F7125" t="s">
        <v>19</v>
      </c>
      <c r="G7125" s="1" t="str">
        <f t="shared" si="1538"/>
        <v>X</v>
      </c>
      <c r="H7125" s="1" t="str">
        <f t="shared" si="1538"/>
        <v>X</v>
      </c>
      <c r="I7125" s="1" t="str">
        <f t="shared" si="1538"/>
        <v>X</v>
      </c>
      <c r="J7125" s="1" t="str">
        <f t="shared" si="1538"/>
        <v>X</v>
      </c>
      <c r="K7125" s="1" t="str">
        <f t="shared" si="1538"/>
        <v>X</v>
      </c>
      <c r="L7125" s="1" t="str">
        <f t="shared" si="1538"/>
        <v>X</v>
      </c>
      <c r="M7125" s="1" t="str">
        <f t="shared" si="1538"/>
        <v>X</v>
      </c>
      <c r="N7125" t="s">
        <v>27</v>
      </c>
    </row>
    <row r="7126" spans="1:14" x14ac:dyDescent="0.25">
      <c r="A7126" t="s">
        <v>42</v>
      </c>
      <c r="B7126" t="s">
        <v>40</v>
      </c>
      <c r="C7126" t="s">
        <v>15</v>
      </c>
      <c r="D7126" t="s">
        <v>32</v>
      </c>
      <c r="E7126" t="s">
        <v>26</v>
      </c>
      <c r="F7126" t="s">
        <v>20</v>
      </c>
      <c r="G7126" s="2">
        <f>VALUE(502.31)</f>
        <v>502.31</v>
      </c>
      <c r="H7126" s="3">
        <f>VALUE(462.71)</f>
        <v>462.71</v>
      </c>
      <c r="I7126" s="4">
        <f>VALUE(1960)</f>
        <v>1960</v>
      </c>
      <c r="J7126" s="5">
        <f>VALUE(3303)</f>
        <v>3303</v>
      </c>
      <c r="K7126" s="6">
        <f>VALUE(4542)</f>
        <v>4542</v>
      </c>
      <c r="L7126" s="1">
        <f>VALUE(5743)</f>
        <v>5743</v>
      </c>
      <c r="M7126" s="1">
        <f>VALUE(6559)</f>
        <v>6559</v>
      </c>
      <c r="N7126" t="s">
        <v>25</v>
      </c>
    </row>
    <row r="7127" spans="1:14" x14ac:dyDescent="0.25">
      <c r="A7127" t="s">
        <v>42</v>
      </c>
      <c r="B7127" t="s">
        <v>40</v>
      </c>
      <c r="C7127" t="s">
        <v>15</v>
      </c>
      <c r="D7127" t="s">
        <v>33</v>
      </c>
      <c r="E7127" t="s">
        <v>15</v>
      </c>
      <c r="F7127" t="s">
        <v>15</v>
      </c>
      <c r="G7127" s="2">
        <f>VALUE(304.23)</f>
        <v>304.23</v>
      </c>
      <c r="H7127" s="3">
        <f>VALUE(283.99)</f>
        <v>283.99</v>
      </c>
      <c r="I7127" s="4">
        <f>VALUE(2992)</f>
        <v>2992</v>
      </c>
      <c r="J7127" s="1">
        <f>VALUE(3411)</f>
        <v>3411</v>
      </c>
      <c r="K7127" s="1">
        <f>VALUE(3951)</f>
        <v>3951</v>
      </c>
      <c r="L7127" s="7">
        <f>VALUE(5878)</f>
        <v>5878</v>
      </c>
      <c r="M7127" s="8">
        <f>VALUE(9788)</f>
        <v>9788</v>
      </c>
      <c r="N7127" t="s">
        <v>25</v>
      </c>
    </row>
    <row r="7128" spans="1:14" x14ac:dyDescent="0.25">
      <c r="A7128" t="s">
        <v>42</v>
      </c>
      <c r="B7128" t="s">
        <v>40</v>
      </c>
      <c r="C7128" t="s">
        <v>15</v>
      </c>
      <c r="D7128" t="s">
        <v>33</v>
      </c>
      <c r="E7128" t="s">
        <v>15</v>
      </c>
      <c r="F7128" t="s">
        <v>17</v>
      </c>
      <c r="G7128" s="1" t="str">
        <f t="shared" ref="G7128:M7137" si="1539">"X"</f>
        <v>X</v>
      </c>
      <c r="H7128" s="1" t="str">
        <f t="shared" si="1539"/>
        <v>X</v>
      </c>
      <c r="I7128" s="1" t="str">
        <f t="shared" si="1539"/>
        <v>X</v>
      </c>
      <c r="J7128" s="1" t="str">
        <f t="shared" si="1539"/>
        <v>X</v>
      </c>
      <c r="K7128" s="1" t="str">
        <f t="shared" si="1539"/>
        <v>X</v>
      </c>
      <c r="L7128" s="1" t="str">
        <f t="shared" si="1539"/>
        <v>X</v>
      </c>
      <c r="M7128" s="1" t="str">
        <f t="shared" si="1539"/>
        <v>X</v>
      </c>
      <c r="N7128" t="s">
        <v>27</v>
      </c>
    </row>
    <row r="7129" spans="1:14" x14ac:dyDescent="0.25">
      <c r="A7129" t="s">
        <v>42</v>
      </c>
      <c r="B7129" t="s">
        <v>40</v>
      </c>
      <c r="C7129" t="s">
        <v>15</v>
      </c>
      <c r="D7129" t="s">
        <v>33</v>
      </c>
      <c r="E7129" t="s">
        <v>15</v>
      </c>
      <c r="F7129" t="s">
        <v>18</v>
      </c>
      <c r="G7129" s="1" t="str">
        <f t="shared" si="1539"/>
        <v>X</v>
      </c>
      <c r="H7129" s="1" t="str">
        <f t="shared" si="1539"/>
        <v>X</v>
      </c>
      <c r="I7129" s="1" t="str">
        <f t="shared" si="1539"/>
        <v>X</v>
      </c>
      <c r="J7129" s="1" t="str">
        <f t="shared" si="1539"/>
        <v>X</v>
      </c>
      <c r="K7129" s="1" t="str">
        <f t="shared" si="1539"/>
        <v>X</v>
      </c>
      <c r="L7129" s="1" t="str">
        <f t="shared" si="1539"/>
        <v>X</v>
      </c>
      <c r="M7129" s="1" t="str">
        <f t="shared" si="1539"/>
        <v>X</v>
      </c>
      <c r="N7129" t="s">
        <v>27</v>
      </c>
    </row>
    <row r="7130" spans="1:14" x14ac:dyDescent="0.25">
      <c r="A7130" t="s">
        <v>42</v>
      </c>
      <c r="B7130" t="s">
        <v>40</v>
      </c>
      <c r="C7130" t="s">
        <v>15</v>
      </c>
      <c r="D7130" t="s">
        <v>33</v>
      </c>
      <c r="E7130" t="s">
        <v>15</v>
      </c>
      <c r="F7130" t="s">
        <v>19</v>
      </c>
      <c r="G7130" s="1" t="str">
        <f t="shared" si="1539"/>
        <v>X</v>
      </c>
      <c r="H7130" s="1" t="str">
        <f t="shared" si="1539"/>
        <v>X</v>
      </c>
      <c r="I7130" s="1" t="str">
        <f t="shared" si="1539"/>
        <v>X</v>
      </c>
      <c r="J7130" s="1" t="str">
        <f t="shared" si="1539"/>
        <v>X</v>
      </c>
      <c r="K7130" s="1" t="str">
        <f t="shared" si="1539"/>
        <v>X</v>
      </c>
      <c r="L7130" s="1" t="str">
        <f t="shared" si="1539"/>
        <v>X</v>
      </c>
      <c r="M7130" s="1" t="str">
        <f t="shared" si="1539"/>
        <v>X</v>
      </c>
      <c r="N7130" t="s">
        <v>27</v>
      </c>
    </row>
    <row r="7131" spans="1:14" x14ac:dyDescent="0.25">
      <c r="A7131" t="s">
        <v>42</v>
      </c>
      <c r="B7131" t="s">
        <v>40</v>
      </c>
      <c r="C7131" t="s">
        <v>15</v>
      </c>
      <c r="D7131" t="s">
        <v>33</v>
      </c>
      <c r="E7131" t="s">
        <v>15</v>
      </c>
      <c r="F7131" t="s">
        <v>20</v>
      </c>
      <c r="G7131" s="1" t="str">
        <f t="shared" si="1539"/>
        <v>X</v>
      </c>
      <c r="H7131" s="1" t="str">
        <f t="shared" si="1539"/>
        <v>X</v>
      </c>
      <c r="I7131" s="1" t="str">
        <f t="shared" si="1539"/>
        <v>X</v>
      </c>
      <c r="J7131" s="1" t="str">
        <f t="shared" si="1539"/>
        <v>X</v>
      </c>
      <c r="K7131" s="1" t="str">
        <f t="shared" si="1539"/>
        <v>X</v>
      </c>
      <c r="L7131" s="1" t="str">
        <f t="shared" si="1539"/>
        <v>X</v>
      </c>
      <c r="M7131" s="1" t="str">
        <f t="shared" si="1539"/>
        <v>X</v>
      </c>
      <c r="N7131" t="s">
        <v>27</v>
      </c>
    </row>
    <row r="7132" spans="1:14" x14ac:dyDescent="0.25">
      <c r="A7132" t="s">
        <v>42</v>
      </c>
      <c r="B7132" t="s">
        <v>40</v>
      </c>
      <c r="C7132" t="s">
        <v>15</v>
      </c>
      <c r="D7132" t="s">
        <v>33</v>
      </c>
      <c r="E7132" t="s">
        <v>21</v>
      </c>
      <c r="F7132" t="s">
        <v>15</v>
      </c>
      <c r="G7132" s="1" t="str">
        <f t="shared" si="1539"/>
        <v>X</v>
      </c>
      <c r="H7132" s="1" t="str">
        <f t="shared" si="1539"/>
        <v>X</v>
      </c>
      <c r="I7132" s="1" t="str">
        <f t="shared" si="1539"/>
        <v>X</v>
      </c>
      <c r="J7132" s="1" t="str">
        <f t="shared" si="1539"/>
        <v>X</v>
      </c>
      <c r="K7132" s="1" t="str">
        <f t="shared" si="1539"/>
        <v>X</v>
      </c>
      <c r="L7132" s="1" t="str">
        <f t="shared" si="1539"/>
        <v>X</v>
      </c>
      <c r="M7132" s="1" t="str">
        <f t="shared" si="1539"/>
        <v>X</v>
      </c>
      <c r="N7132" t="s">
        <v>27</v>
      </c>
    </row>
    <row r="7133" spans="1:14" x14ac:dyDescent="0.25">
      <c r="A7133" t="s">
        <v>42</v>
      </c>
      <c r="B7133" t="s">
        <v>40</v>
      </c>
      <c r="C7133" t="s">
        <v>15</v>
      </c>
      <c r="D7133" t="s">
        <v>33</v>
      </c>
      <c r="E7133" t="s">
        <v>21</v>
      </c>
      <c r="F7133" t="s">
        <v>17</v>
      </c>
      <c r="G7133" s="1" t="str">
        <f t="shared" si="1539"/>
        <v>X</v>
      </c>
      <c r="H7133" s="1" t="str">
        <f t="shared" si="1539"/>
        <v>X</v>
      </c>
      <c r="I7133" s="1" t="str">
        <f t="shared" si="1539"/>
        <v>X</v>
      </c>
      <c r="J7133" s="1" t="str">
        <f t="shared" si="1539"/>
        <v>X</v>
      </c>
      <c r="K7133" s="1" t="str">
        <f t="shared" si="1539"/>
        <v>X</v>
      </c>
      <c r="L7133" s="1" t="str">
        <f t="shared" si="1539"/>
        <v>X</v>
      </c>
      <c r="M7133" s="1" t="str">
        <f t="shared" si="1539"/>
        <v>X</v>
      </c>
      <c r="N7133" t="s">
        <v>27</v>
      </c>
    </row>
    <row r="7134" spans="1:14" x14ac:dyDescent="0.25">
      <c r="A7134" t="s">
        <v>42</v>
      </c>
      <c r="B7134" t="s">
        <v>40</v>
      </c>
      <c r="C7134" t="s">
        <v>15</v>
      </c>
      <c r="D7134" t="s">
        <v>33</v>
      </c>
      <c r="E7134" t="s">
        <v>21</v>
      </c>
      <c r="F7134" t="s">
        <v>18</v>
      </c>
      <c r="G7134" s="1" t="str">
        <f t="shared" si="1539"/>
        <v>X</v>
      </c>
      <c r="H7134" s="1" t="str">
        <f t="shared" si="1539"/>
        <v>X</v>
      </c>
      <c r="I7134" s="1" t="str">
        <f t="shared" si="1539"/>
        <v>X</v>
      </c>
      <c r="J7134" s="1" t="str">
        <f t="shared" si="1539"/>
        <v>X</v>
      </c>
      <c r="K7134" s="1" t="str">
        <f t="shared" si="1539"/>
        <v>X</v>
      </c>
      <c r="L7134" s="1" t="str">
        <f t="shared" si="1539"/>
        <v>X</v>
      </c>
      <c r="M7134" s="1" t="str">
        <f t="shared" si="1539"/>
        <v>X</v>
      </c>
      <c r="N7134" t="s">
        <v>27</v>
      </c>
    </row>
    <row r="7135" spans="1:14" x14ac:dyDescent="0.25">
      <c r="A7135" t="s">
        <v>42</v>
      </c>
      <c r="B7135" t="s">
        <v>40</v>
      </c>
      <c r="C7135" t="s">
        <v>15</v>
      </c>
      <c r="D7135" t="s">
        <v>33</v>
      </c>
      <c r="E7135" t="s">
        <v>21</v>
      </c>
      <c r="F7135" t="s">
        <v>19</v>
      </c>
      <c r="G7135" s="1" t="str">
        <f t="shared" si="1539"/>
        <v>X</v>
      </c>
      <c r="H7135" s="1" t="str">
        <f t="shared" si="1539"/>
        <v>X</v>
      </c>
      <c r="I7135" s="1" t="str">
        <f t="shared" si="1539"/>
        <v>X</v>
      </c>
      <c r="J7135" s="1" t="str">
        <f t="shared" si="1539"/>
        <v>X</v>
      </c>
      <c r="K7135" s="1" t="str">
        <f t="shared" si="1539"/>
        <v>X</v>
      </c>
      <c r="L7135" s="1" t="str">
        <f t="shared" si="1539"/>
        <v>X</v>
      </c>
      <c r="M7135" s="1" t="str">
        <f t="shared" si="1539"/>
        <v>X</v>
      </c>
      <c r="N7135" t="s">
        <v>27</v>
      </c>
    </row>
    <row r="7136" spans="1:14" x14ac:dyDescent="0.25">
      <c r="A7136" t="s">
        <v>42</v>
      </c>
      <c r="B7136" t="s">
        <v>40</v>
      </c>
      <c r="C7136" t="s">
        <v>15</v>
      </c>
      <c r="D7136" t="s">
        <v>33</v>
      </c>
      <c r="E7136" t="s">
        <v>21</v>
      </c>
      <c r="F7136" t="s">
        <v>20</v>
      </c>
      <c r="G7136" s="1" t="str">
        <f t="shared" si="1539"/>
        <v>X</v>
      </c>
      <c r="H7136" s="1" t="str">
        <f t="shared" si="1539"/>
        <v>X</v>
      </c>
      <c r="I7136" s="1" t="str">
        <f t="shared" si="1539"/>
        <v>X</v>
      </c>
      <c r="J7136" s="1" t="str">
        <f t="shared" si="1539"/>
        <v>X</v>
      </c>
      <c r="K7136" s="1" t="str">
        <f t="shared" si="1539"/>
        <v>X</v>
      </c>
      <c r="L7136" s="1" t="str">
        <f t="shared" si="1539"/>
        <v>X</v>
      </c>
      <c r="M7136" s="1" t="str">
        <f t="shared" si="1539"/>
        <v>X</v>
      </c>
      <c r="N7136" t="s">
        <v>27</v>
      </c>
    </row>
    <row r="7137" spans="1:14" x14ac:dyDescent="0.25">
      <c r="A7137" t="s">
        <v>42</v>
      </c>
      <c r="B7137" t="s">
        <v>40</v>
      </c>
      <c r="C7137" t="s">
        <v>15</v>
      </c>
      <c r="D7137" t="s">
        <v>33</v>
      </c>
      <c r="E7137" t="s">
        <v>22</v>
      </c>
      <c r="F7137" t="s">
        <v>15</v>
      </c>
      <c r="G7137" s="1" t="str">
        <f t="shared" si="1539"/>
        <v>X</v>
      </c>
      <c r="H7137" s="1" t="str">
        <f t="shared" si="1539"/>
        <v>X</v>
      </c>
      <c r="I7137" s="1" t="str">
        <f t="shared" si="1539"/>
        <v>X</v>
      </c>
      <c r="J7137" s="1" t="str">
        <f t="shared" si="1539"/>
        <v>X</v>
      </c>
      <c r="K7137" s="1" t="str">
        <f t="shared" si="1539"/>
        <v>X</v>
      </c>
      <c r="L7137" s="1" t="str">
        <f t="shared" si="1539"/>
        <v>X</v>
      </c>
      <c r="M7137" s="1" t="str">
        <f t="shared" si="1539"/>
        <v>X</v>
      </c>
      <c r="N7137" t="s">
        <v>27</v>
      </c>
    </row>
    <row r="7138" spans="1:14" x14ac:dyDescent="0.25">
      <c r="A7138" t="s">
        <v>42</v>
      </c>
      <c r="B7138" t="s">
        <v>40</v>
      </c>
      <c r="C7138" t="s">
        <v>15</v>
      </c>
      <c r="D7138" t="s">
        <v>33</v>
      </c>
      <c r="E7138" t="s">
        <v>22</v>
      </c>
      <c r="F7138" t="s">
        <v>17</v>
      </c>
      <c r="G7138" s="1" t="str">
        <f t="shared" ref="G7138:M7147" si="1540">"X"</f>
        <v>X</v>
      </c>
      <c r="H7138" s="1" t="str">
        <f t="shared" si="1540"/>
        <v>X</v>
      </c>
      <c r="I7138" s="1" t="str">
        <f t="shared" si="1540"/>
        <v>X</v>
      </c>
      <c r="J7138" s="1" t="str">
        <f t="shared" si="1540"/>
        <v>X</v>
      </c>
      <c r="K7138" s="1" t="str">
        <f t="shared" si="1540"/>
        <v>X</v>
      </c>
      <c r="L7138" s="1" t="str">
        <f t="shared" si="1540"/>
        <v>X</v>
      </c>
      <c r="M7138" s="1" t="str">
        <f t="shared" si="1540"/>
        <v>X</v>
      </c>
      <c r="N7138" t="s">
        <v>27</v>
      </c>
    </row>
    <row r="7139" spans="1:14" x14ac:dyDescent="0.25">
      <c r="A7139" t="s">
        <v>42</v>
      </c>
      <c r="B7139" t="s">
        <v>40</v>
      </c>
      <c r="C7139" t="s">
        <v>15</v>
      </c>
      <c r="D7139" t="s">
        <v>33</v>
      </c>
      <c r="E7139" t="s">
        <v>22</v>
      </c>
      <c r="F7139" t="s">
        <v>18</v>
      </c>
      <c r="G7139" s="1" t="str">
        <f t="shared" si="1540"/>
        <v>X</v>
      </c>
      <c r="H7139" s="1" t="str">
        <f t="shared" si="1540"/>
        <v>X</v>
      </c>
      <c r="I7139" s="1" t="str">
        <f t="shared" si="1540"/>
        <v>X</v>
      </c>
      <c r="J7139" s="1" t="str">
        <f t="shared" si="1540"/>
        <v>X</v>
      </c>
      <c r="K7139" s="1" t="str">
        <f t="shared" si="1540"/>
        <v>X</v>
      </c>
      <c r="L7139" s="1" t="str">
        <f t="shared" si="1540"/>
        <v>X</v>
      </c>
      <c r="M7139" s="1" t="str">
        <f t="shared" si="1540"/>
        <v>X</v>
      </c>
      <c r="N7139" t="s">
        <v>27</v>
      </c>
    </row>
    <row r="7140" spans="1:14" x14ac:dyDescent="0.25">
      <c r="A7140" t="s">
        <v>42</v>
      </c>
      <c r="B7140" t="s">
        <v>40</v>
      </c>
      <c r="C7140" t="s">
        <v>15</v>
      </c>
      <c r="D7140" t="s">
        <v>33</v>
      </c>
      <c r="E7140" t="s">
        <v>22</v>
      </c>
      <c r="F7140" t="s">
        <v>19</v>
      </c>
      <c r="G7140" s="1" t="str">
        <f t="shared" si="1540"/>
        <v>X</v>
      </c>
      <c r="H7140" s="1" t="str">
        <f t="shared" si="1540"/>
        <v>X</v>
      </c>
      <c r="I7140" s="1" t="str">
        <f t="shared" si="1540"/>
        <v>X</v>
      </c>
      <c r="J7140" s="1" t="str">
        <f t="shared" si="1540"/>
        <v>X</v>
      </c>
      <c r="K7140" s="1" t="str">
        <f t="shared" si="1540"/>
        <v>X</v>
      </c>
      <c r="L7140" s="1" t="str">
        <f t="shared" si="1540"/>
        <v>X</v>
      </c>
      <c r="M7140" s="1" t="str">
        <f t="shared" si="1540"/>
        <v>X</v>
      </c>
      <c r="N7140" t="s">
        <v>27</v>
      </c>
    </row>
    <row r="7141" spans="1:14" x14ac:dyDescent="0.25">
      <c r="A7141" t="s">
        <v>42</v>
      </c>
      <c r="B7141" t="s">
        <v>40</v>
      </c>
      <c r="C7141" t="s">
        <v>15</v>
      </c>
      <c r="D7141" t="s">
        <v>33</v>
      </c>
      <c r="E7141" t="s">
        <v>22</v>
      </c>
      <c r="F7141" t="s">
        <v>20</v>
      </c>
      <c r="G7141" s="1" t="str">
        <f t="shared" si="1540"/>
        <v>X</v>
      </c>
      <c r="H7141" s="1" t="str">
        <f t="shared" si="1540"/>
        <v>X</v>
      </c>
      <c r="I7141" s="1" t="str">
        <f t="shared" si="1540"/>
        <v>X</v>
      </c>
      <c r="J7141" s="1" t="str">
        <f t="shared" si="1540"/>
        <v>X</v>
      </c>
      <c r="K7141" s="1" t="str">
        <f t="shared" si="1540"/>
        <v>X</v>
      </c>
      <c r="L7141" s="1" t="str">
        <f t="shared" si="1540"/>
        <v>X</v>
      </c>
      <c r="M7141" s="1" t="str">
        <f t="shared" si="1540"/>
        <v>X</v>
      </c>
      <c r="N7141" t="s">
        <v>27</v>
      </c>
    </row>
    <row r="7142" spans="1:14" x14ac:dyDescent="0.25">
      <c r="A7142" t="s">
        <v>42</v>
      </c>
      <c r="B7142" t="s">
        <v>40</v>
      </c>
      <c r="C7142" t="s">
        <v>15</v>
      </c>
      <c r="D7142" t="s">
        <v>33</v>
      </c>
      <c r="E7142" t="s">
        <v>23</v>
      </c>
      <c r="F7142" t="s">
        <v>15</v>
      </c>
      <c r="G7142" s="1" t="str">
        <f t="shared" si="1540"/>
        <v>X</v>
      </c>
      <c r="H7142" s="1" t="str">
        <f t="shared" si="1540"/>
        <v>X</v>
      </c>
      <c r="I7142" s="1" t="str">
        <f t="shared" si="1540"/>
        <v>X</v>
      </c>
      <c r="J7142" s="1" t="str">
        <f t="shared" si="1540"/>
        <v>X</v>
      </c>
      <c r="K7142" s="1" t="str">
        <f t="shared" si="1540"/>
        <v>X</v>
      </c>
      <c r="L7142" s="1" t="str">
        <f t="shared" si="1540"/>
        <v>X</v>
      </c>
      <c r="M7142" s="1" t="str">
        <f t="shared" si="1540"/>
        <v>X</v>
      </c>
      <c r="N7142" t="s">
        <v>27</v>
      </c>
    </row>
    <row r="7143" spans="1:14" x14ac:dyDescent="0.25">
      <c r="A7143" t="s">
        <v>42</v>
      </c>
      <c r="B7143" t="s">
        <v>40</v>
      </c>
      <c r="C7143" t="s">
        <v>15</v>
      </c>
      <c r="D7143" t="s">
        <v>33</v>
      </c>
      <c r="E7143" t="s">
        <v>23</v>
      </c>
      <c r="F7143" t="s">
        <v>17</v>
      </c>
      <c r="G7143" s="1" t="str">
        <f t="shared" si="1540"/>
        <v>X</v>
      </c>
      <c r="H7143" s="1" t="str">
        <f t="shared" si="1540"/>
        <v>X</v>
      </c>
      <c r="I7143" s="1" t="str">
        <f t="shared" si="1540"/>
        <v>X</v>
      </c>
      <c r="J7143" s="1" t="str">
        <f t="shared" si="1540"/>
        <v>X</v>
      </c>
      <c r="K7143" s="1" t="str">
        <f t="shared" si="1540"/>
        <v>X</v>
      </c>
      <c r="L7143" s="1" t="str">
        <f t="shared" si="1540"/>
        <v>X</v>
      </c>
      <c r="M7143" s="1" t="str">
        <f t="shared" si="1540"/>
        <v>X</v>
      </c>
      <c r="N7143" t="s">
        <v>27</v>
      </c>
    </row>
    <row r="7144" spans="1:14" x14ac:dyDescent="0.25">
      <c r="A7144" t="s">
        <v>42</v>
      </c>
      <c r="B7144" t="s">
        <v>40</v>
      </c>
      <c r="C7144" t="s">
        <v>15</v>
      </c>
      <c r="D7144" t="s">
        <v>33</v>
      </c>
      <c r="E7144" t="s">
        <v>23</v>
      </c>
      <c r="F7144" t="s">
        <v>18</v>
      </c>
      <c r="G7144" s="1" t="str">
        <f t="shared" si="1540"/>
        <v>X</v>
      </c>
      <c r="H7144" s="1" t="str">
        <f t="shared" si="1540"/>
        <v>X</v>
      </c>
      <c r="I7144" s="1" t="str">
        <f t="shared" si="1540"/>
        <v>X</v>
      </c>
      <c r="J7144" s="1" t="str">
        <f t="shared" si="1540"/>
        <v>X</v>
      </c>
      <c r="K7144" s="1" t="str">
        <f t="shared" si="1540"/>
        <v>X</v>
      </c>
      <c r="L7144" s="1" t="str">
        <f t="shared" si="1540"/>
        <v>X</v>
      </c>
      <c r="M7144" s="1" t="str">
        <f t="shared" si="1540"/>
        <v>X</v>
      </c>
      <c r="N7144" t="s">
        <v>27</v>
      </c>
    </row>
    <row r="7145" spans="1:14" x14ac:dyDescent="0.25">
      <c r="A7145" t="s">
        <v>42</v>
      </c>
      <c r="B7145" t="s">
        <v>40</v>
      </c>
      <c r="C7145" t="s">
        <v>15</v>
      </c>
      <c r="D7145" t="s">
        <v>33</v>
      </c>
      <c r="E7145" t="s">
        <v>23</v>
      </c>
      <c r="F7145" t="s">
        <v>19</v>
      </c>
      <c r="G7145" s="1" t="str">
        <f t="shared" si="1540"/>
        <v>X</v>
      </c>
      <c r="H7145" s="1" t="str">
        <f t="shared" si="1540"/>
        <v>X</v>
      </c>
      <c r="I7145" s="1" t="str">
        <f t="shared" si="1540"/>
        <v>X</v>
      </c>
      <c r="J7145" s="1" t="str">
        <f t="shared" si="1540"/>
        <v>X</v>
      </c>
      <c r="K7145" s="1" t="str">
        <f t="shared" si="1540"/>
        <v>X</v>
      </c>
      <c r="L7145" s="1" t="str">
        <f t="shared" si="1540"/>
        <v>X</v>
      </c>
      <c r="M7145" s="1" t="str">
        <f t="shared" si="1540"/>
        <v>X</v>
      </c>
      <c r="N7145" t="s">
        <v>27</v>
      </c>
    </row>
    <row r="7146" spans="1:14" x14ac:dyDescent="0.25">
      <c r="A7146" t="s">
        <v>42</v>
      </c>
      <c r="B7146" t="s">
        <v>40</v>
      </c>
      <c r="C7146" t="s">
        <v>15</v>
      </c>
      <c r="D7146" t="s">
        <v>33</v>
      </c>
      <c r="E7146" t="s">
        <v>23</v>
      </c>
      <c r="F7146" t="s">
        <v>20</v>
      </c>
      <c r="G7146" s="1" t="str">
        <f t="shared" si="1540"/>
        <v>X</v>
      </c>
      <c r="H7146" s="1" t="str">
        <f t="shared" si="1540"/>
        <v>X</v>
      </c>
      <c r="I7146" s="1" t="str">
        <f t="shared" si="1540"/>
        <v>X</v>
      </c>
      <c r="J7146" s="1" t="str">
        <f t="shared" si="1540"/>
        <v>X</v>
      </c>
      <c r="K7146" s="1" t="str">
        <f t="shared" si="1540"/>
        <v>X</v>
      </c>
      <c r="L7146" s="1" t="str">
        <f t="shared" si="1540"/>
        <v>X</v>
      </c>
      <c r="M7146" s="1" t="str">
        <f t="shared" si="1540"/>
        <v>X</v>
      </c>
      <c r="N7146" t="s">
        <v>27</v>
      </c>
    </row>
    <row r="7147" spans="1:14" x14ac:dyDescent="0.25">
      <c r="A7147" t="s">
        <v>42</v>
      </c>
      <c r="B7147" t="s">
        <v>40</v>
      </c>
      <c r="C7147" t="s">
        <v>15</v>
      </c>
      <c r="D7147" t="s">
        <v>33</v>
      </c>
      <c r="E7147" t="s">
        <v>26</v>
      </c>
      <c r="F7147" t="s">
        <v>15</v>
      </c>
      <c r="G7147" s="1" t="str">
        <f t="shared" si="1540"/>
        <v>X</v>
      </c>
      <c r="H7147" s="1" t="str">
        <f t="shared" si="1540"/>
        <v>X</v>
      </c>
      <c r="I7147" s="1" t="str">
        <f t="shared" si="1540"/>
        <v>X</v>
      </c>
      <c r="J7147" s="1" t="str">
        <f t="shared" si="1540"/>
        <v>X</v>
      </c>
      <c r="K7147" s="1" t="str">
        <f t="shared" si="1540"/>
        <v>X</v>
      </c>
      <c r="L7147" s="1" t="str">
        <f t="shared" si="1540"/>
        <v>X</v>
      </c>
      <c r="M7147" s="1" t="str">
        <f t="shared" si="1540"/>
        <v>X</v>
      </c>
      <c r="N7147" t="s">
        <v>27</v>
      </c>
    </row>
    <row r="7148" spans="1:14" x14ac:dyDescent="0.25">
      <c r="A7148" t="s">
        <v>42</v>
      </c>
      <c r="B7148" t="s">
        <v>40</v>
      </c>
      <c r="C7148" t="s">
        <v>15</v>
      </c>
      <c r="D7148" t="s">
        <v>33</v>
      </c>
      <c r="E7148" t="s">
        <v>26</v>
      </c>
      <c r="F7148" t="s">
        <v>17</v>
      </c>
      <c r="G7148" s="1" t="str">
        <f t="shared" ref="G7148:M7150" si="1541">"..."</f>
        <v>...</v>
      </c>
      <c r="H7148" s="1" t="str">
        <f t="shared" si="1541"/>
        <v>...</v>
      </c>
      <c r="I7148" s="1" t="str">
        <f t="shared" si="1541"/>
        <v>...</v>
      </c>
      <c r="J7148" s="1" t="str">
        <f t="shared" si="1541"/>
        <v>...</v>
      </c>
      <c r="K7148" s="1" t="str">
        <f t="shared" si="1541"/>
        <v>...</v>
      </c>
      <c r="L7148" s="1" t="str">
        <f t="shared" si="1541"/>
        <v>...</v>
      </c>
      <c r="M7148" s="1" t="str">
        <f t="shared" si="1541"/>
        <v>...</v>
      </c>
      <c r="N7148" t="s">
        <v>30</v>
      </c>
    </row>
    <row r="7149" spans="1:14" x14ac:dyDescent="0.25">
      <c r="A7149" t="s">
        <v>42</v>
      </c>
      <c r="B7149" t="s">
        <v>40</v>
      </c>
      <c r="C7149" t="s">
        <v>15</v>
      </c>
      <c r="D7149" t="s">
        <v>33</v>
      </c>
      <c r="E7149" t="s">
        <v>26</v>
      </c>
      <c r="F7149" t="s">
        <v>18</v>
      </c>
      <c r="G7149" s="1" t="str">
        <f t="shared" si="1541"/>
        <v>...</v>
      </c>
      <c r="H7149" s="1" t="str">
        <f t="shared" si="1541"/>
        <v>...</v>
      </c>
      <c r="I7149" s="1" t="str">
        <f t="shared" si="1541"/>
        <v>...</v>
      </c>
      <c r="J7149" s="1" t="str">
        <f t="shared" si="1541"/>
        <v>...</v>
      </c>
      <c r="K7149" s="1" t="str">
        <f t="shared" si="1541"/>
        <v>...</v>
      </c>
      <c r="L7149" s="1" t="str">
        <f t="shared" si="1541"/>
        <v>...</v>
      </c>
      <c r="M7149" s="1" t="str">
        <f t="shared" si="1541"/>
        <v>...</v>
      </c>
      <c r="N7149" t="s">
        <v>30</v>
      </c>
    </row>
    <row r="7150" spans="1:14" x14ac:dyDescent="0.25">
      <c r="A7150" t="s">
        <v>42</v>
      </c>
      <c r="B7150" t="s">
        <v>40</v>
      </c>
      <c r="C7150" t="s">
        <v>15</v>
      </c>
      <c r="D7150" t="s">
        <v>33</v>
      </c>
      <c r="E7150" t="s">
        <v>26</v>
      </c>
      <c r="F7150" t="s">
        <v>19</v>
      </c>
      <c r="G7150" s="1" t="str">
        <f t="shared" si="1541"/>
        <v>...</v>
      </c>
      <c r="H7150" s="1" t="str">
        <f t="shared" si="1541"/>
        <v>...</v>
      </c>
      <c r="I7150" s="1" t="str">
        <f t="shared" si="1541"/>
        <v>...</v>
      </c>
      <c r="J7150" s="1" t="str">
        <f t="shared" si="1541"/>
        <v>...</v>
      </c>
      <c r="K7150" s="1" t="str">
        <f t="shared" si="1541"/>
        <v>...</v>
      </c>
      <c r="L7150" s="1" t="str">
        <f t="shared" si="1541"/>
        <v>...</v>
      </c>
      <c r="M7150" s="1" t="str">
        <f t="shared" si="1541"/>
        <v>...</v>
      </c>
      <c r="N7150" t="s">
        <v>30</v>
      </c>
    </row>
    <row r="7151" spans="1:14" x14ac:dyDescent="0.25">
      <c r="A7151" t="s">
        <v>42</v>
      </c>
      <c r="B7151" t="s">
        <v>40</v>
      </c>
      <c r="C7151" t="s">
        <v>15</v>
      </c>
      <c r="D7151" t="s">
        <v>33</v>
      </c>
      <c r="E7151" t="s">
        <v>26</v>
      </c>
      <c r="F7151" t="s">
        <v>20</v>
      </c>
      <c r="G7151" s="1" t="str">
        <f t="shared" ref="G7151:M7152" si="1542">"X"</f>
        <v>X</v>
      </c>
      <c r="H7151" s="1" t="str">
        <f t="shared" si="1542"/>
        <v>X</v>
      </c>
      <c r="I7151" s="1" t="str">
        <f t="shared" si="1542"/>
        <v>X</v>
      </c>
      <c r="J7151" s="1" t="str">
        <f t="shared" si="1542"/>
        <v>X</v>
      </c>
      <c r="K7151" s="1" t="str">
        <f t="shared" si="1542"/>
        <v>X</v>
      </c>
      <c r="L7151" s="1" t="str">
        <f t="shared" si="1542"/>
        <v>X</v>
      </c>
      <c r="M7151" s="1" t="str">
        <f t="shared" si="1542"/>
        <v>X</v>
      </c>
      <c r="N7151" t="s">
        <v>27</v>
      </c>
    </row>
    <row r="7152" spans="1:14" x14ac:dyDescent="0.25">
      <c r="A7152" t="s">
        <v>42</v>
      </c>
      <c r="B7152" t="s">
        <v>40</v>
      </c>
      <c r="C7152" t="s">
        <v>15</v>
      </c>
      <c r="D7152" t="s">
        <v>34</v>
      </c>
      <c r="E7152" t="s">
        <v>15</v>
      </c>
      <c r="F7152" t="s">
        <v>15</v>
      </c>
      <c r="G7152" s="1" t="str">
        <f t="shared" si="1542"/>
        <v>X</v>
      </c>
      <c r="H7152" s="1" t="str">
        <f t="shared" si="1542"/>
        <v>X</v>
      </c>
      <c r="I7152" s="1" t="str">
        <f t="shared" si="1542"/>
        <v>X</v>
      </c>
      <c r="J7152" s="1" t="str">
        <f t="shared" si="1542"/>
        <v>X</v>
      </c>
      <c r="K7152" s="1" t="str">
        <f t="shared" si="1542"/>
        <v>X</v>
      </c>
      <c r="L7152" s="1" t="str">
        <f t="shared" si="1542"/>
        <v>X</v>
      </c>
      <c r="M7152" s="1" t="str">
        <f t="shared" si="1542"/>
        <v>X</v>
      </c>
      <c r="N7152" t="s">
        <v>27</v>
      </c>
    </row>
    <row r="7153" spans="1:14" x14ac:dyDescent="0.25">
      <c r="A7153" t="s">
        <v>42</v>
      </c>
      <c r="B7153" t="s">
        <v>40</v>
      </c>
      <c r="C7153" t="s">
        <v>15</v>
      </c>
      <c r="D7153" t="s">
        <v>34</v>
      </c>
      <c r="E7153" t="s">
        <v>15</v>
      </c>
      <c r="F7153" t="s">
        <v>17</v>
      </c>
      <c r="G7153" s="1" t="str">
        <f t="shared" ref="G7153:M7155" si="1543">"..."</f>
        <v>...</v>
      </c>
      <c r="H7153" s="1" t="str">
        <f t="shared" si="1543"/>
        <v>...</v>
      </c>
      <c r="I7153" s="1" t="str">
        <f t="shared" si="1543"/>
        <v>...</v>
      </c>
      <c r="J7153" s="1" t="str">
        <f t="shared" si="1543"/>
        <v>...</v>
      </c>
      <c r="K7153" s="1" t="str">
        <f t="shared" si="1543"/>
        <v>...</v>
      </c>
      <c r="L7153" s="1" t="str">
        <f t="shared" si="1543"/>
        <v>...</v>
      </c>
      <c r="M7153" s="1" t="str">
        <f t="shared" si="1543"/>
        <v>...</v>
      </c>
      <c r="N7153" t="s">
        <v>30</v>
      </c>
    </row>
    <row r="7154" spans="1:14" x14ac:dyDescent="0.25">
      <c r="A7154" t="s">
        <v>42</v>
      </c>
      <c r="B7154" t="s">
        <v>40</v>
      </c>
      <c r="C7154" t="s">
        <v>15</v>
      </c>
      <c r="D7154" t="s">
        <v>34</v>
      </c>
      <c r="E7154" t="s">
        <v>15</v>
      </c>
      <c r="F7154" t="s">
        <v>18</v>
      </c>
      <c r="G7154" s="1" t="str">
        <f t="shared" si="1543"/>
        <v>...</v>
      </c>
      <c r="H7154" s="1" t="str">
        <f t="shared" si="1543"/>
        <v>...</v>
      </c>
      <c r="I7154" s="1" t="str">
        <f t="shared" si="1543"/>
        <v>...</v>
      </c>
      <c r="J7154" s="1" t="str">
        <f t="shared" si="1543"/>
        <v>...</v>
      </c>
      <c r="K7154" s="1" t="str">
        <f t="shared" si="1543"/>
        <v>...</v>
      </c>
      <c r="L7154" s="1" t="str">
        <f t="shared" si="1543"/>
        <v>...</v>
      </c>
      <c r="M7154" s="1" t="str">
        <f t="shared" si="1543"/>
        <v>...</v>
      </c>
      <c r="N7154" t="s">
        <v>30</v>
      </c>
    </row>
    <row r="7155" spans="1:14" x14ac:dyDescent="0.25">
      <c r="A7155" t="s">
        <v>42</v>
      </c>
      <c r="B7155" t="s">
        <v>40</v>
      </c>
      <c r="C7155" t="s">
        <v>15</v>
      </c>
      <c r="D7155" t="s">
        <v>34</v>
      </c>
      <c r="E7155" t="s">
        <v>15</v>
      </c>
      <c r="F7155" t="s">
        <v>19</v>
      </c>
      <c r="G7155" s="1" t="str">
        <f t="shared" si="1543"/>
        <v>...</v>
      </c>
      <c r="H7155" s="1" t="str">
        <f t="shared" si="1543"/>
        <v>...</v>
      </c>
      <c r="I7155" s="1" t="str">
        <f t="shared" si="1543"/>
        <v>...</v>
      </c>
      <c r="J7155" s="1" t="str">
        <f t="shared" si="1543"/>
        <v>...</v>
      </c>
      <c r="K7155" s="1" t="str">
        <f t="shared" si="1543"/>
        <v>...</v>
      </c>
      <c r="L7155" s="1" t="str">
        <f t="shared" si="1543"/>
        <v>...</v>
      </c>
      <c r="M7155" s="1" t="str">
        <f t="shared" si="1543"/>
        <v>...</v>
      </c>
      <c r="N7155" t="s">
        <v>30</v>
      </c>
    </row>
    <row r="7156" spans="1:14" x14ac:dyDescent="0.25">
      <c r="A7156" t="s">
        <v>42</v>
      </c>
      <c r="B7156" t="s">
        <v>40</v>
      </c>
      <c r="C7156" t="s">
        <v>15</v>
      </c>
      <c r="D7156" t="s">
        <v>34</v>
      </c>
      <c r="E7156" t="s">
        <v>15</v>
      </c>
      <c r="F7156" t="s">
        <v>20</v>
      </c>
      <c r="G7156" s="1" t="str">
        <f t="shared" ref="G7156:M7156" si="1544">"X"</f>
        <v>X</v>
      </c>
      <c r="H7156" s="1" t="str">
        <f t="shared" si="1544"/>
        <v>X</v>
      </c>
      <c r="I7156" s="1" t="str">
        <f t="shared" si="1544"/>
        <v>X</v>
      </c>
      <c r="J7156" s="1" t="str">
        <f t="shared" si="1544"/>
        <v>X</v>
      </c>
      <c r="K7156" s="1" t="str">
        <f t="shared" si="1544"/>
        <v>X</v>
      </c>
      <c r="L7156" s="1" t="str">
        <f t="shared" si="1544"/>
        <v>X</v>
      </c>
      <c r="M7156" s="1" t="str">
        <f t="shared" si="1544"/>
        <v>X</v>
      </c>
      <c r="N7156" t="s">
        <v>27</v>
      </c>
    </row>
    <row r="7157" spans="1:14" x14ac:dyDescent="0.25">
      <c r="A7157" t="s">
        <v>42</v>
      </c>
      <c r="B7157" t="s">
        <v>40</v>
      </c>
      <c r="C7157" t="s">
        <v>15</v>
      </c>
      <c r="D7157" t="s">
        <v>34</v>
      </c>
      <c r="E7157" t="s">
        <v>21</v>
      </c>
      <c r="F7157" t="s">
        <v>15</v>
      </c>
      <c r="G7157" s="1" t="str">
        <f t="shared" ref="G7157:M7161" si="1545">"..."</f>
        <v>...</v>
      </c>
      <c r="H7157" s="1" t="str">
        <f t="shared" si="1545"/>
        <v>...</v>
      </c>
      <c r="I7157" s="1" t="str">
        <f t="shared" si="1545"/>
        <v>...</v>
      </c>
      <c r="J7157" s="1" t="str">
        <f t="shared" si="1545"/>
        <v>...</v>
      </c>
      <c r="K7157" s="1" t="str">
        <f t="shared" si="1545"/>
        <v>...</v>
      </c>
      <c r="L7157" s="1" t="str">
        <f t="shared" si="1545"/>
        <v>...</v>
      </c>
      <c r="M7157" s="1" t="str">
        <f t="shared" si="1545"/>
        <v>...</v>
      </c>
      <c r="N7157" t="s">
        <v>30</v>
      </c>
    </row>
    <row r="7158" spans="1:14" x14ac:dyDescent="0.25">
      <c r="A7158" t="s">
        <v>42</v>
      </c>
      <c r="B7158" t="s">
        <v>40</v>
      </c>
      <c r="C7158" t="s">
        <v>15</v>
      </c>
      <c r="D7158" t="s">
        <v>34</v>
      </c>
      <c r="E7158" t="s">
        <v>21</v>
      </c>
      <c r="F7158" t="s">
        <v>17</v>
      </c>
      <c r="G7158" s="1" t="str">
        <f t="shared" si="1545"/>
        <v>...</v>
      </c>
      <c r="H7158" s="1" t="str">
        <f t="shared" si="1545"/>
        <v>...</v>
      </c>
      <c r="I7158" s="1" t="str">
        <f t="shared" si="1545"/>
        <v>...</v>
      </c>
      <c r="J7158" s="1" t="str">
        <f t="shared" si="1545"/>
        <v>...</v>
      </c>
      <c r="K7158" s="1" t="str">
        <f t="shared" si="1545"/>
        <v>...</v>
      </c>
      <c r="L7158" s="1" t="str">
        <f t="shared" si="1545"/>
        <v>...</v>
      </c>
      <c r="M7158" s="1" t="str">
        <f t="shared" si="1545"/>
        <v>...</v>
      </c>
      <c r="N7158" t="s">
        <v>30</v>
      </c>
    </row>
    <row r="7159" spans="1:14" x14ac:dyDescent="0.25">
      <c r="A7159" t="s">
        <v>42</v>
      </c>
      <c r="B7159" t="s">
        <v>40</v>
      </c>
      <c r="C7159" t="s">
        <v>15</v>
      </c>
      <c r="D7159" t="s">
        <v>34</v>
      </c>
      <c r="E7159" t="s">
        <v>21</v>
      </c>
      <c r="F7159" t="s">
        <v>18</v>
      </c>
      <c r="G7159" s="1" t="str">
        <f t="shared" si="1545"/>
        <v>...</v>
      </c>
      <c r="H7159" s="1" t="str">
        <f t="shared" si="1545"/>
        <v>...</v>
      </c>
      <c r="I7159" s="1" t="str">
        <f t="shared" si="1545"/>
        <v>...</v>
      </c>
      <c r="J7159" s="1" t="str">
        <f t="shared" si="1545"/>
        <v>...</v>
      </c>
      <c r="K7159" s="1" t="str">
        <f t="shared" si="1545"/>
        <v>...</v>
      </c>
      <c r="L7159" s="1" t="str">
        <f t="shared" si="1545"/>
        <v>...</v>
      </c>
      <c r="M7159" s="1" t="str">
        <f t="shared" si="1545"/>
        <v>...</v>
      </c>
      <c r="N7159" t="s">
        <v>30</v>
      </c>
    </row>
    <row r="7160" spans="1:14" x14ac:dyDescent="0.25">
      <c r="A7160" t="s">
        <v>42</v>
      </c>
      <c r="B7160" t="s">
        <v>40</v>
      </c>
      <c r="C7160" t="s">
        <v>15</v>
      </c>
      <c r="D7160" t="s">
        <v>34</v>
      </c>
      <c r="E7160" t="s">
        <v>21</v>
      </c>
      <c r="F7160" t="s">
        <v>19</v>
      </c>
      <c r="G7160" s="1" t="str">
        <f t="shared" si="1545"/>
        <v>...</v>
      </c>
      <c r="H7160" s="1" t="str">
        <f t="shared" si="1545"/>
        <v>...</v>
      </c>
      <c r="I7160" s="1" t="str">
        <f t="shared" si="1545"/>
        <v>...</v>
      </c>
      <c r="J7160" s="1" t="str">
        <f t="shared" si="1545"/>
        <v>...</v>
      </c>
      <c r="K7160" s="1" t="str">
        <f t="shared" si="1545"/>
        <v>...</v>
      </c>
      <c r="L7160" s="1" t="str">
        <f t="shared" si="1545"/>
        <v>...</v>
      </c>
      <c r="M7160" s="1" t="str">
        <f t="shared" si="1545"/>
        <v>...</v>
      </c>
      <c r="N7160" t="s">
        <v>30</v>
      </c>
    </row>
    <row r="7161" spans="1:14" x14ac:dyDescent="0.25">
      <c r="A7161" t="s">
        <v>42</v>
      </c>
      <c r="B7161" t="s">
        <v>40</v>
      </c>
      <c r="C7161" t="s">
        <v>15</v>
      </c>
      <c r="D7161" t="s">
        <v>34</v>
      </c>
      <c r="E7161" t="s">
        <v>21</v>
      </c>
      <c r="F7161" t="s">
        <v>20</v>
      </c>
      <c r="G7161" s="1" t="str">
        <f t="shared" si="1545"/>
        <v>...</v>
      </c>
      <c r="H7161" s="1" t="str">
        <f t="shared" si="1545"/>
        <v>...</v>
      </c>
      <c r="I7161" s="1" t="str">
        <f t="shared" si="1545"/>
        <v>...</v>
      </c>
      <c r="J7161" s="1" t="str">
        <f t="shared" si="1545"/>
        <v>...</v>
      </c>
      <c r="K7161" s="1" t="str">
        <f t="shared" si="1545"/>
        <v>...</v>
      </c>
      <c r="L7161" s="1" t="str">
        <f t="shared" si="1545"/>
        <v>...</v>
      </c>
      <c r="M7161" s="1" t="str">
        <f t="shared" si="1545"/>
        <v>...</v>
      </c>
      <c r="N7161" t="s">
        <v>30</v>
      </c>
    </row>
    <row r="7162" spans="1:14" x14ac:dyDescent="0.25">
      <c r="A7162" t="s">
        <v>42</v>
      </c>
      <c r="B7162" t="s">
        <v>40</v>
      </c>
      <c r="C7162" t="s">
        <v>15</v>
      </c>
      <c r="D7162" t="s">
        <v>34</v>
      </c>
      <c r="E7162" t="s">
        <v>22</v>
      </c>
      <c r="F7162" t="s">
        <v>15</v>
      </c>
      <c r="G7162" s="1" t="str">
        <f t="shared" ref="G7162:M7162" si="1546">"X"</f>
        <v>X</v>
      </c>
      <c r="H7162" s="1" t="str">
        <f t="shared" si="1546"/>
        <v>X</v>
      </c>
      <c r="I7162" s="1" t="str">
        <f t="shared" si="1546"/>
        <v>X</v>
      </c>
      <c r="J7162" s="1" t="str">
        <f t="shared" si="1546"/>
        <v>X</v>
      </c>
      <c r="K7162" s="1" t="str">
        <f t="shared" si="1546"/>
        <v>X</v>
      </c>
      <c r="L7162" s="1" t="str">
        <f t="shared" si="1546"/>
        <v>X</v>
      </c>
      <c r="M7162" s="1" t="str">
        <f t="shared" si="1546"/>
        <v>X</v>
      </c>
      <c r="N7162" t="s">
        <v>27</v>
      </c>
    </row>
    <row r="7163" spans="1:14" x14ac:dyDescent="0.25">
      <c r="A7163" t="s">
        <v>42</v>
      </c>
      <c r="B7163" t="s">
        <v>40</v>
      </c>
      <c r="C7163" t="s">
        <v>15</v>
      </c>
      <c r="D7163" t="s">
        <v>34</v>
      </c>
      <c r="E7163" t="s">
        <v>22</v>
      </c>
      <c r="F7163" t="s">
        <v>17</v>
      </c>
      <c r="G7163" s="1" t="str">
        <f t="shared" ref="G7163:M7165" si="1547">"..."</f>
        <v>...</v>
      </c>
      <c r="H7163" s="1" t="str">
        <f t="shared" si="1547"/>
        <v>...</v>
      </c>
      <c r="I7163" s="1" t="str">
        <f t="shared" si="1547"/>
        <v>...</v>
      </c>
      <c r="J7163" s="1" t="str">
        <f t="shared" si="1547"/>
        <v>...</v>
      </c>
      <c r="K7163" s="1" t="str">
        <f t="shared" si="1547"/>
        <v>...</v>
      </c>
      <c r="L7163" s="1" t="str">
        <f t="shared" si="1547"/>
        <v>...</v>
      </c>
      <c r="M7163" s="1" t="str">
        <f t="shared" si="1547"/>
        <v>...</v>
      </c>
      <c r="N7163" t="s">
        <v>30</v>
      </c>
    </row>
    <row r="7164" spans="1:14" x14ac:dyDescent="0.25">
      <c r="A7164" t="s">
        <v>42</v>
      </c>
      <c r="B7164" t="s">
        <v>40</v>
      </c>
      <c r="C7164" t="s">
        <v>15</v>
      </c>
      <c r="D7164" t="s">
        <v>34</v>
      </c>
      <c r="E7164" t="s">
        <v>22</v>
      </c>
      <c r="F7164" t="s">
        <v>18</v>
      </c>
      <c r="G7164" s="1" t="str">
        <f t="shared" si="1547"/>
        <v>...</v>
      </c>
      <c r="H7164" s="1" t="str">
        <f t="shared" si="1547"/>
        <v>...</v>
      </c>
      <c r="I7164" s="1" t="str">
        <f t="shared" si="1547"/>
        <v>...</v>
      </c>
      <c r="J7164" s="1" t="str">
        <f t="shared" si="1547"/>
        <v>...</v>
      </c>
      <c r="K7164" s="1" t="str">
        <f t="shared" si="1547"/>
        <v>...</v>
      </c>
      <c r="L7164" s="1" t="str">
        <f t="shared" si="1547"/>
        <v>...</v>
      </c>
      <c r="M7164" s="1" t="str">
        <f t="shared" si="1547"/>
        <v>...</v>
      </c>
      <c r="N7164" t="s">
        <v>30</v>
      </c>
    </row>
    <row r="7165" spans="1:14" x14ac:dyDescent="0.25">
      <c r="A7165" t="s">
        <v>42</v>
      </c>
      <c r="B7165" t="s">
        <v>40</v>
      </c>
      <c r="C7165" t="s">
        <v>15</v>
      </c>
      <c r="D7165" t="s">
        <v>34</v>
      </c>
      <c r="E7165" t="s">
        <v>22</v>
      </c>
      <c r="F7165" t="s">
        <v>19</v>
      </c>
      <c r="G7165" s="1" t="str">
        <f t="shared" si="1547"/>
        <v>...</v>
      </c>
      <c r="H7165" s="1" t="str">
        <f t="shared" si="1547"/>
        <v>...</v>
      </c>
      <c r="I7165" s="1" t="str">
        <f t="shared" si="1547"/>
        <v>...</v>
      </c>
      <c r="J7165" s="1" t="str">
        <f t="shared" si="1547"/>
        <v>...</v>
      </c>
      <c r="K7165" s="1" t="str">
        <f t="shared" si="1547"/>
        <v>...</v>
      </c>
      <c r="L7165" s="1" t="str">
        <f t="shared" si="1547"/>
        <v>...</v>
      </c>
      <c r="M7165" s="1" t="str">
        <f t="shared" si="1547"/>
        <v>...</v>
      </c>
      <c r="N7165" t="s">
        <v>30</v>
      </c>
    </row>
    <row r="7166" spans="1:14" x14ac:dyDescent="0.25">
      <c r="A7166" t="s">
        <v>42</v>
      </c>
      <c r="B7166" t="s">
        <v>40</v>
      </c>
      <c r="C7166" t="s">
        <v>15</v>
      </c>
      <c r="D7166" t="s">
        <v>34</v>
      </c>
      <c r="E7166" t="s">
        <v>22</v>
      </c>
      <c r="F7166" t="s">
        <v>20</v>
      </c>
      <c r="G7166" s="1" t="str">
        <f t="shared" ref="G7166:M7167" si="1548">"X"</f>
        <v>X</v>
      </c>
      <c r="H7166" s="1" t="str">
        <f t="shared" si="1548"/>
        <v>X</v>
      </c>
      <c r="I7166" s="1" t="str">
        <f t="shared" si="1548"/>
        <v>X</v>
      </c>
      <c r="J7166" s="1" t="str">
        <f t="shared" si="1548"/>
        <v>X</v>
      </c>
      <c r="K7166" s="1" t="str">
        <f t="shared" si="1548"/>
        <v>X</v>
      </c>
      <c r="L7166" s="1" t="str">
        <f t="shared" si="1548"/>
        <v>X</v>
      </c>
      <c r="M7166" s="1" t="str">
        <f t="shared" si="1548"/>
        <v>X</v>
      </c>
      <c r="N7166" t="s">
        <v>27</v>
      </c>
    </row>
    <row r="7167" spans="1:14" x14ac:dyDescent="0.25">
      <c r="A7167" t="s">
        <v>42</v>
      </c>
      <c r="B7167" t="s">
        <v>40</v>
      </c>
      <c r="C7167" t="s">
        <v>15</v>
      </c>
      <c r="D7167" t="s">
        <v>34</v>
      </c>
      <c r="E7167" t="s">
        <v>23</v>
      </c>
      <c r="F7167" t="s">
        <v>15</v>
      </c>
      <c r="G7167" s="1" t="str">
        <f t="shared" si="1548"/>
        <v>X</v>
      </c>
      <c r="H7167" s="1" t="str">
        <f t="shared" si="1548"/>
        <v>X</v>
      </c>
      <c r="I7167" s="1" t="str">
        <f t="shared" si="1548"/>
        <v>X</v>
      </c>
      <c r="J7167" s="1" t="str">
        <f t="shared" si="1548"/>
        <v>X</v>
      </c>
      <c r="K7167" s="1" t="str">
        <f t="shared" si="1548"/>
        <v>X</v>
      </c>
      <c r="L7167" s="1" t="str">
        <f t="shared" si="1548"/>
        <v>X</v>
      </c>
      <c r="M7167" s="1" t="str">
        <f t="shared" si="1548"/>
        <v>X</v>
      </c>
      <c r="N7167" t="s">
        <v>27</v>
      </c>
    </row>
    <row r="7168" spans="1:14" x14ac:dyDescent="0.25">
      <c r="A7168" t="s">
        <v>42</v>
      </c>
      <c r="B7168" t="s">
        <v>40</v>
      </c>
      <c r="C7168" t="s">
        <v>15</v>
      </c>
      <c r="D7168" t="s">
        <v>34</v>
      </c>
      <c r="E7168" t="s">
        <v>23</v>
      </c>
      <c r="F7168" t="s">
        <v>17</v>
      </c>
      <c r="G7168" s="1" t="str">
        <f t="shared" ref="G7168:M7170" si="1549">"..."</f>
        <v>...</v>
      </c>
      <c r="H7168" s="1" t="str">
        <f t="shared" si="1549"/>
        <v>...</v>
      </c>
      <c r="I7168" s="1" t="str">
        <f t="shared" si="1549"/>
        <v>...</v>
      </c>
      <c r="J7168" s="1" t="str">
        <f t="shared" si="1549"/>
        <v>...</v>
      </c>
      <c r="K7168" s="1" t="str">
        <f t="shared" si="1549"/>
        <v>...</v>
      </c>
      <c r="L7168" s="1" t="str">
        <f t="shared" si="1549"/>
        <v>...</v>
      </c>
      <c r="M7168" s="1" t="str">
        <f t="shared" si="1549"/>
        <v>...</v>
      </c>
      <c r="N7168" t="s">
        <v>30</v>
      </c>
    </row>
    <row r="7169" spans="1:14" x14ac:dyDescent="0.25">
      <c r="A7169" t="s">
        <v>42</v>
      </c>
      <c r="B7169" t="s">
        <v>40</v>
      </c>
      <c r="C7169" t="s">
        <v>15</v>
      </c>
      <c r="D7169" t="s">
        <v>34</v>
      </c>
      <c r="E7169" t="s">
        <v>23</v>
      </c>
      <c r="F7169" t="s">
        <v>18</v>
      </c>
      <c r="G7169" s="1" t="str">
        <f t="shared" si="1549"/>
        <v>...</v>
      </c>
      <c r="H7169" s="1" t="str">
        <f t="shared" si="1549"/>
        <v>...</v>
      </c>
      <c r="I7169" s="1" t="str">
        <f t="shared" si="1549"/>
        <v>...</v>
      </c>
      <c r="J7169" s="1" t="str">
        <f t="shared" si="1549"/>
        <v>...</v>
      </c>
      <c r="K7169" s="1" t="str">
        <f t="shared" si="1549"/>
        <v>...</v>
      </c>
      <c r="L7169" s="1" t="str">
        <f t="shared" si="1549"/>
        <v>...</v>
      </c>
      <c r="M7169" s="1" t="str">
        <f t="shared" si="1549"/>
        <v>...</v>
      </c>
      <c r="N7169" t="s">
        <v>30</v>
      </c>
    </row>
    <row r="7170" spans="1:14" x14ac:dyDescent="0.25">
      <c r="A7170" t="s">
        <v>42</v>
      </c>
      <c r="B7170" t="s">
        <v>40</v>
      </c>
      <c r="C7170" t="s">
        <v>15</v>
      </c>
      <c r="D7170" t="s">
        <v>34</v>
      </c>
      <c r="E7170" t="s">
        <v>23</v>
      </c>
      <c r="F7170" t="s">
        <v>19</v>
      </c>
      <c r="G7170" s="1" t="str">
        <f t="shared" si="1549"/>
        <v>...</v>
      </c>
      <c r="H7170" s="1" t="str">
        <f t="shared" si="1549"/>
        <v>...</v>
      </c>
      <c r="I7170" s="1" t="str">
        <f t="shared" si="1549"/>
        <v>...</v>
      </c>
      <c r="J7170" s="1" t="str">
        <f t="shared" si="1549"/>
        <v>...</v>
      </c>
      <c r="K7170" s="1" t="str">
        <f t="shared" si="1549"/>
        <v>...</v>
      </c>
      <c r="L7170" s="1" t="str">
        <f t="shared" si="1549"/>
        <v>...</v>
      </c>
      <c r="M7170" s="1" t="str">
        <f t="shared" si="1549"/>
        <v>...</v>
      </c>
      <c r="N7170" t="s">
        <v>30</v>
      </c>
    </row>
    <row r="7171" spans="1:14" x14ac:dyDescent="0.25">
      <c r="A7171" t="s">
        <v>42</v>
      </c>
      <c r="B7171" t="s">
        <v>40</v>
      </c>
      <c r="C7171" t="s">
        <v>15</v>
      </c>
      <c r="D7171" t="s">
        <v>34</v>
      </c>
      <c r="E7171" t="s">
        <v>23</v>
      </c>
      <c r="F7171" t="s">
        <v>20</v>
      </c>
      <c r="G7171" s="1" t="str">
        <f t="shared" ref="G7171:M7171" si="1550">"X"</f>
        <v>X</v>
      </c>
      <c r="H7171" s="1" t="str">
        <f t="shared" si="1550"/>
        <v>X</v>
      </c>
      <c r="I7171" s="1" t="str">
        <f t="shared" si="1550"/>
        <v>X</v>
      </c>
      <c r="J7171" s="1" t="str">
        <f t="shared" si="1550"/>
        <v>X</v>
      </c>
      <c r="K7171" s="1" t="str">
        <f t="shared" si="1550"/>
        <v>X</v>
      </c>
      <c r="L7171" s="1" t="str">
        <f t="shared" si="1550"/>
        <v>X</v>
      </c>
      <c r="M7171" s="1" t="str">
        <f t="shared" si="1550"/>
        <v>X</v>
      </c>
      <c r="N7171" t="s">
        <v>27</v>
      </c>
    </row>
    <row r="7172" spans="1:14" x14ac:dyDescent="0.25">
      <c r="A7172" t="s">
        <v>42</v>
      </c>
      <c r="B7172" t="s">
        <v>40</v>
      </c>
      <c r="C7172" t="s">
        <v>15</v>
      </c>
      <c r="D7172" t="s">
        <v>34</v>
      </c>
      <c r="E7172" t="s">
        <v>26</v>
      </c>
      <c r="F7172" t="s">
        <v>15</v>
      </c>
      <c r="G7172" s="1" t="str">
        <f t="shared" ref="G7172:M7176" si="1551">"..."</f>
        <v>...</v>
      </c>
      <c r="H7172" s="1" t="str">
        <f t="shared" si="1551"/>
        <v>...</v>
      </c>
      <c r="I7172" s="1" t="str">
        <f t="shared" si="1551"/>
        <v>...</v>
      </c>
      <c r="J7172" s="1" t="str">
        <f t="shared" si="1551"/>
        <v>...</v>
      </c>
      <c r="K7172" s="1" t="str">
        <f t="shared" si="1551"/>
        <v>...</v>
      </c>
      <c r="L7172" s="1" t="str">
        <f t="shared" si="1551"/>
        <v>...</v>
      </c>
      <c r="M7172" s="1" t="str">
        <f t="shared" si="1551"/>
        <v>...</v>
      </c>
      <c r="N7172" t="s">
        <v>30</v>
      </c>
    </row>
    <row r="7173" spans="1:14" x14ac:dyDescent="0.25">
      <c r="A7173" t="s">
        <v>42</v>
      </c>
      <c r="B7173" t="s">
        <v>40</v>
      </c>
      <c r="C7173" t="s">
        <v>15</v>
      </c>
      <c r="D7173" t="s">
        <v>34</v>
      </c>
      <c r="E7173" t="s">
        <v>26</v>
      </c>
      <c r="F7173" t="s">
        <v>17</v>
      </c>
      <c r="G7173" s="1" t="str">
        <f t="shared" si="1551"/>
        <v>...</v>
      </c>
      <c r="H7173" s="1" t="str">
        <f t="shared" si="1551"/>
        <v>...</v>
      </c>
      <c r="I7173" s="1" t="str">
        <f t="shared" si="1551"/>
        <v>...</v>
      </c>
      <c r="J7173" s="1" t="str">
        <f t="shared" si="1551"/>
        <v>...</v>
      </c>
      <c r="K7173" s="1" t="str">
        <f t="shared" si="1551"/>
        <v>...</v>
      </c>
      <c r="L7173" s="1" t="str">
        <f t="shared" si="1551"/>
        <v>...</v>
      </c>
      <c r="M7173" s="1" t="str">
        <f t="shared" si="1551"/>
        <v>...</v>
      </c>
      <c r="N7173" t="s">
        <v>30</v>
      </c>
    </row>
    <row r="7174" spans="1:14" x14ac:dyDescent="0.25">
      <c r="A7174" t="s">
        <v>42</v>
      </c>
      <c r="B7174" t="s">
        <v>40</v>
      </c>
      <c r="C7174" t="s">
        <v>15</v>
      </c>
      <c r="D7174" t="s">
        <v>34</v>
      </c>
      <c r="E7174" t="s">
        <v>26</v>
      </c>
      <c r="F7174" t="s">
        <v>18</v>
      </c>
      <c r="G7174" s="1" t="str">
        <f t="shared" si="1551"/>
        <v>...</v>
      </c>
      <c r="H7174" s="1" t="str">
        <f t="shared" si="1551"/>
        <v>...</v>
      </c>
      <c r="I7174" s="1" t="str">
        <f t="shared" si="1551"/>
        <v>...</v>
      </c>
      <c r="J7174" s="1" t="str">
        <f t="shared" si="1551"/>
        <v>...</v>
      </c>
      <c r="K7174" s="1" t="str">
        <f t="shared" si="1551"/>
        <v>...</v>
      </c>
      <c r="L7174" s="1" t="str">
        <f t="shared" si="1551"/>
        <v>...</v>
      </c>
      <c r="M7174" s="1" t="str">
        <f t="shared" si="1551"/>
        <v>...</v>
      </c>
      <c r="N7174" t="s">
        <v>30</v>
      </c>
    </row>
    <row r="7175" spans="1:14" x14ac:dyDescent="0.25">
      <c r="A7175" t="s">
        <v>42</v>
      </c>
      <c r="B7175" t="s">
        <v>40</v>
      </c>
      <c r="C7175" t="s">
        <v>15</v>
      </c>
      <c r="D7175" t="s">
        <v>34</v>
      </c>
      <c r="E7175" t="s">
        <v>26</v>
      </c>
      <c r="F7175" t="s">
        <v>19</v>
      </c>
      <c r="G7175" s="1" t="str">
        <f t="shared" si="1551"/>
        <v>...</v>
      </c>
      <c r="H7175" s="1" t="str">
        <f t="shared" si="1551"/>
        <v>...</v>
      </c>
      <c r="I7175" s="1" t="str">
        <f t="shared" si="1551"/>
        <v>...</v>
      </c>
      <c r="J7175" s="1" t="str">
        <f t="shared" si="1551"/>
        <v>...</v>
      </c>
      <c r="K7175" s="1" t="str">
        <f t="shared" si="1551"/>
        <v>...</v>
      </c>
      <c r="L7175" s="1" t="str">
        <f t="shared" si="1551"/>
        <v>...</v>
      </c>
      <c r="M7175" s="1" t="str">
        <f t="shared" si="1551"/>
        <v>...</v>
      </c>
      <c r="N7175" t="s">
        <v>30</v>
      </c>
    </row>
    <row r="7176" spans="1:14" x14ac:dyDescent="0.25">
      <c r="A7176" t="s">
        <v>42</v>
      </c>
      <c r="B7176" t="s">
        <v>40</v>
      </c>
      <c r="C7176" t="s">
        <v>15</v>
      </c>
      <c r="D7176" t="s">
        <v>34</v>
      </c>
      <c r="E7176" t="s">
        <v>26</v>
      </c>
      <c r="F7176" t="s">
        <v>20</v>
      </c>
      <c r="G7176" s="1" t="str">
        <f t="shared" si="1551"/>
        <v>...</v>
      </c>
      <c r="H7176" s="1" t="str">
        <f t="shared" si="1551"/>
        <v>...</v>
      </c>
      <c r="I7176" s="1" t="str">
        <f t="shared" si="1551"/>
        <v>...</v>
      </c>
      <c r="J7176" s="1" t="str">
        <f t="shared" si="1551"/>
        <v>...</v>
      </c>
      <c r="K7176" s="1" t="str">
        <f t="shared" si="1551"/>
        <v>...</v>
      </c>
      <c r="L7176" s="1" t="str">
        <f t="shared" si="1551"/>
        <v>...</v>
      </c>
      <c r="M7176" s="1" t="str">
        <f t="shared" si="1551"/>
        <v>...</v>
      </c>
      <c r="N7176" t="s">
        <v>30</v>
      </c>
    </row>
    <row r="7177" spans="1:14" x14ac:dyDescent="0.25">
      <c r="A7177" t="s">
        <v>42</v>
      </c>
      <c r="B7177" t="s">
        <v>40</v>
      </c>
      <c r="C7177" t="s">
        <v>35</v>
      </c>
      <c r="D7177" t="s">
        <v>15</v>
      </c>
      <c r="E7177" t="s">
        <v>15</v>
      </c>
      <c r="F7177" t="s">
        <v>15</v>
      </c>
      <c r="G7177" s="1">
        <f>VALUE(3543.27)</f>
        <v>3543.27</v>
      </c>
      <c r="H7177" s="1">
        <f>VALUE(3117.85)</f>
        <v>3117.85</v>
      </c>
      <c r="I7177" s="4">
        <f>VALUE(2179)</f>
        <v>2179</v>
      </c>
      <c r="J7177" s="1">
        <f>VALUE(2764)</f>
        <v>2764</v>
      </c>
      <c r="K7177" s="1">
        <f>VALUE(3500)</f>
        <v>3500</v>
      </c>
      <c r="L7177" s="1">
        <f>VALUE(4140)</f>
        <v>4140</v>
      </c>
      <c r="M7177" s="1">
        <f>VALUE(4854)</f>
        <v>4854</v>
      </c>
      <c r="N7177" t="s">
        <v>25</v>
      </c>
    </row>
    <row r="7178" spans="1:14" x14ac:dyDescent="0.25">
      <c r="A7178" t="s">
        <v>42</v>
      </c>
      <c r="B7178" t="s">
        <v>40</v>
      </c>
      <c r="C7178" t="s">
        <v>35</v>
      </c>
      <c r="D7178" t="s">
        <v>15</v>
      </c>
      <c r="E7178" t="s">
        <v>15</v>
      </c>
      <c r="F7178" t="s">
        <v>17</v>
      </c>
      <c r="G7178" s="1" t="str">
        <f t="shared" ref="G7178:M7179" si="1552">"X"</f>
        <v>X</v>
      </c>
      <c r="H7178" s="1" t="str">
        <f t="shared" si="1552"/>
        <v>X</v>
      </c>
      <c r="I7178" s="1" t="str">
        <f t="shared" si="1552"/>
        <v>X</v>
      </c>
      <c r="J7178" s="1" t="str">
        <f t="shared" si="1552"/>
        <v>X</v>
      </c>
      <c r="K7178" s="1" t="str">
        <f t="shared" si="1552"/>
        <v>X</v>
      </c>
      <c r="L7178" s="1" t="str">
        <f t="shared" si="1552"/>
        <v>X</v>
      </c>
      <c r="M7178" s="1" t="str">
        <f t="shared" si="1552"/>
        <v>X</v>
      </c>
      <c r="N7178" t="s">
        <v>27</v>
      </c>
    </row>
    <row r="7179" spans="1:14" x14ac:dyDescent="0.25">
      <c r="A7179" t="s">
        <v>42</v>
      </c>
      <c r="B7179" t="s">
        <v>40</v>
      </c>
      <c r="C7179" t="s">
        <v>35</v>
      </c>
      <c r="D7179" t="s">
        <v>15</v>
      </c>
      <c r="E7179" t="s">
        <v>15</v>
      </c>
      <c r="F7179" t="s">
        <v>18</v>
      </c>
      <c r="G7179" s="1" t="str">
        <f t="shared" si="1552"/>
        <v>X</v>
      </c>
      <c r="H7179" s="1" t="str">
        <f t="shared" si="1552"/>
        <v>X</v>
      </c>
      <c r="I7179" s="1" t="str">
        <f t="shared" si="1552"/>
        <v>X</v>
      </c>
      <c r="J7179" s="1" t="str">
        <f t="shared" si="1552"/>
        <v>X</v>
      </c>
      <c r="K7179" s="1" t="str">
        <f t="shared" si="1552"/>
        <v>X</v>
      </c>
      <c r="L7179" s="1" t="str">
        <f t="shared" si="1552"/>
        <v>X</v>
      </c>
      <c r="M7179" s="1" t="str">
        <f t="shared" si="1552"/>
        <v>X</v>
      </c>
      <c r="N7179" t="s">
        <v>27</v>
      </c>
    </row>
    <row r="7180" spans="1:14" x14ac:dyDescent="0.25">
      <c r="A7180" t="s">
        <v>42</v>
      </c>
      <c r="B7180" t="s">
        <v>40</v>
      </c>
      <c r="C7180" t="s">
        <v>35</v>
      </c>
      <c r="D7180" t="s">
        <v>15</v>
      </c>
      <c r="E7180" t="s">
        <v>15</v>
      </c>
      <c r="F7180" t="s">
        <v>19</v>
      </c>
      <c r="G7180" s="2">
        <f>VALUE(384.4)</f>
        <v>384.4</v>
      </c>
      <c r="H7180" s="3">
        <f>VALUE(356.74)</f>
        <v>356.74</v>
      </c>
      <c r="I7180" s="4">
        <f>VALUE(3009)</f>
        <v>3009</v>
      </c>
      <c r="J7180" s="5">
        <f>VALUE(3480)</f>
        <v>3480</v>
      </c>
      <c r="K7180" s="6">
        <f>VALUE(3899)</f>
        <v>3899</v>
      </c>
      <c r="L7180" s="7">
        <f>VALUE(4384)</f>
        <v>4384</v>
      </c>
      <c r="M7180" s="1">
        <f>VALUE(5103)</f>
        <v>5103</v>
      </c>
      <c r="N7180" t="s">
        <v>25</v>
      </c>
    </row>
    <row r="7181" spans="1:14" x14ac:dyDescent="0.25">
      <c r="A7181" t="s">
        <v>42</v>
      </c>
      <c r="B7181" t="s">
        <v>40</v>
      </c>
      <c r="C7181" t="s">
        <v>35</v>
      </c>
      <c r="D7181" t="s">
        <v>15</v>
      </c>
      <c r="E7181" t="s">
        <v>15</v>
      </c>
      <c r="F7181" t="s">
        <v>20</v>
      </c>
      <c r="G7181" s="1">
        <f>VALUE(2848.19)</f>
        <v>2848.19</v>
      </c>
      <c r="H7181" s="1">
        <f>VALUE(2506.02)</f>
        <v>2506.02</v>
      </c>
      <c r="I7181" s="4">
        <f>VALUE(1870)</f>
        <v>1870</v>
      </c>
      <c r="J7181" s="1">
        <f>VALUE(2604)</f>
        <v>2604</v>
      </c>
      <c r="K7181" s="1">
        <f>VALUE(3347)</f>
        <v>3347</v>
      </c>
      <c r="L7181" s="1">
        <f>VALUE(4010)</f>
        <v>4010</v>
      </c>
      <c r="M7181" s="1">
        <f>VALUE(4758)</f>
        <v>4758</v>
      </c>
      <c r="N7181" t="s">
        <v>25</v>
      </c>
    </row>
    <row r="7182" spans="1:14" x14ac:dyDescent="0.25">
      <c r="A7182" t="s">
        <v>42</v>
      </c>
      <c r="B7182" t="s">
        <v>40</v>
      </c>
      <c r="C7182" t="s">
        <v>35</v>
      </c>
      <c r="D7182" t="s">
        <v>15</v>
      </c>
      <c r="E7182" t="s">
        <v>21</v>
      </c>
      <c r="F7182" t="s">
        <v>15</v>
      </c>
      <c r="G7182" s="2">
        <f>VALUE(334.56)</f>
        <v>334.56</v>
      </c>
      <c r="H7182" s="3">
        <f>VALUE(280.52)</f>
        <v>280.52</v>
      </c>
      <c r="I7182" s="4">
        <f>VALUE(1372)</f>
        <v>1372</v>
      </c>
      <c r="J7182" s="5">
        <f>VALUE(2694)</f>
        <v>2694</v>
      </c>
      <c r="K7182" s="1">
        <f>VALUE(3765)</f>
        <v>3765</v>
      </c>
      <c r="L7182" s="7">
        <f>VALUE(4205)</f>
        <v>4205</v>
      </c>
      <c r="M7182" s="1">
        <f>VALUE(5478)</f>
        <v>5478</v>
      </c>
      <c r="N7182" t="s">
        <v>25</v>
      </c>
    </row>
    <row r="7183" spans="1:14" x14ac:dyDescent="0.25">
      <c r="A7183" t="s">
        <v>42</v>
      </c>
      <c r="B7183" t="s">
        <v>40</v>
      </c>
      <c r="C7183" t="s">
        <v>35</v>
      </c>
      <c r="D7183" t="s">
        <v>15</v>
      </c>
      <c r="E7183" t="s">
        <v>21</v>
      </c>
      <c r="F7183" t="s">
        <v>17</v>
      </c>
      <c r="G7183" s="1" t="str">
        <f t="shared" ref="G7183:M7185" si="1553">"X"</f>
        <v>X</v>
      </c>
      <c r="H7183" s="1" t="str">
        <f t="shared" si="1553"/>
        <v>X</v>
      </c>
      <c r="I7183" s="1" t="str">
        <f t="shared" si="1553"/>
        <v>X</v>
      </c>
      <c r="J7183" s="1" t="str">
        <f t="shared" si="1553"/>
        <v>X</v>
      </c>
      <c r="K7183" s="1" t="str">
        <f t="shared" si="1553"/>
        <v>X</v>
      </c>
      <c r="L7183" s="1" t="str">
        <f t="shared" si="1553"/>
        <v>X</v>
      </c>
      <c r="M7183" s="1" t="str">
        <f t="shared" si="1553"/>
        <v>X</v>
      </c>
      <c r="N7183" t="s">
        <v>27</v>
      </c>
    </row>
    <row r="7184" spans="1:14" x14ac:dyDescent="0.25">
      <c r="A7184" t="s">
        <v>42</v>
      </c>
      <c r="B7184" t="s">
        <v>40</v>
      </c>
      <c r="C7184" t="s">
        <v>35</v>
      </c>
      <c r="D7184" t="s">
        <v>15</v>
      </c>
      <c r="E7184" t="s">
        <v>21</v>
      </c>
      <c r="F7184" t="s">
        <v>18</v>
      </c>
      <c r="G7184" s="1" t="str">
        <f t="shared" si="1553"/>
        <v>X</v>
      </c>
      <c r="H7184" s="1" t="str">
        <f t="shared" si="1553"/>
        <v>X</v>
      </c>
      <c r="I7184" s="1" t="str">
        <f t="shared" si="1553"/>
        <v>X</v>
      </c>
      <c r="J7184" s="1" t="str">
        <f t="shared" si="1553"/>
        <v>X</v>
      </c>
      <c r="K7184" s="1" t="str">
        <f t="shared" si="1553"/>
        <v>X</v>
      </c>
      <c r="L7184" s="1" t="str">
        <f t="shared" si="1553"/>
        <v>X</v>
      </c>
      <c r="M7184" s="1" t="str">
        <f t="shared" si="1553"/>
        <v>X</v>
      </c>
      <c r="N7184" t="s">
        <v>27</v>
      </c>
    </row>
    <row r="7185" spans="1:14" x14ac:dyDescent="0.25">
      <c r="A7185" t="s">
        <v>42</v>
      </c>
      <c r="B7185" t="s">
        <v>40</v>
      </c>
      <c r="C7185" t="s">
        <v>35</v>
      </c>
      <c r="D7185" t="s">
        <v>15</v>
      </c>
      <c r="E7185" t="s">
        <v>21</v>
      </c>
      <c r="F7185" t="s">
        <v>19</v>
      </c>
      <c r="G7185" s="1" t="str">
        <f t="shared" si="1553"/>
        <v>X</v>
      </c>
      <c r="H7185" s="1" t="str">
        <f t="shared" si="1553"/>
        <v>X</v>
      </c>
      <c r="I7185" s="1" t="str">
        <f t="shared" si="1553"/>
        <v>X</v>
      </c>
      <c r="J7185" s="1" t="str">
        <f t="shared" si="1553"/>
        <v>X</v>
      </c>
      <c r="K7185" s="1" t="str">
        <f t="shared" si="1553"/>
        <v>X</v>
      </c>
      <c r="L7185" s="1" t="str">
        <f t="shared" si="1553"/>
        <v>X</v>
      </c>
      <c r="M7185" s="1" t="str">
        <f t="shared" si="1553"/>
        <v>X</v>
      </c>
      <c r="N7185" t="s">
        <v>27</v>
      </c>
    </row>
    <row r="7186" spans="1:14" x14ac:dyDescent="0.25">
      <c r="A7186" t="s">
        <v>42</v>
      </c>
      <c r="B7186" t="s">
        <v>40</v>
      </c>
      <c r="C7186" t="s">
        <v>35</v>
      </c>
      <c r="D7186" t="s">
        <v>15</v>
      </c>
      <c r="E7186" t="s">
        <v>21</v>
      </c>
      <c r="F7186" t="s">
        <v>20</v>
      </c>
      <c r="G7186" s="2">
        <f>VALUE(188.74)</f>
        <v>188.74</v>
      </c>
      <c r="H7186" s="3">
        <f>VALUE(159.14)</f>
        <v>159.13999999999999</v>
      </c>
      <c r="I7186" s="4">
        <f>VALUE(1032)</f>
        <v>1032</v>
      </c>
      <c r="J7186" s="5">
        <f>VALUE(2263)</f>
        <v>2263</v>
      </c>
      <c r="K7186" s="1">
        <f>VALUE(3793)</f>
        <v>3793</v>
      </c>
      <c r="L7186" s="1">
        <f>VALUE(4171)</f>
        <v>4171</v>
      </c>
      <c r="M7186" s="1">
        <f>VALUE(5450)</f>
        <v>5450</v>
      </c>
      <c r="N7186" t="s">
        <v>25</v>
      </c>
    </row>
    <row r="7187" spans="1:14" x14ac:dyDescent="0.25">
      <c r="A7187" t="s">
        <v>42</v>
      </c>
      <c r="B7187" t="s">
        <v>40</v>
      </c>
      <c r="C7187" t="s">
        <v>35</v>
      </c>
      <c r="D7187" t="s">
        <v>15</v>
      </c>
      <c r="E7187" t="s">
        <v>22</v>
      </c>
      <c r="F7187" t="s">
        <v>15</v>
      </c>
      <c r="G7187" s="2">
        <f>VALUE(1814.74)</f>
        <v>1814.74</v>
      </c>
      <c r="H7187" s="3">
        <f>VALUE(1628.67)</f>
        <v>1628.67</v>
      </c>
      <c r="I7187" s="4">
        <f>VALUE(2450)</f>
        <v>2450</v>
      </c>
      <c r="J7187" s="1">
        <f>VALUE(3263)</f>
        <v>3263</v>
      </c>
      <c r="K7187" s="1">
        <f>VALUE(3818)</f>
        <v>3818</v>
      </c>
      <c r="L7187" s="1">
        <f>VALUE(4384)</f>
        <v>4384</v>
      </c>
      <c r="M7187" s="8">
        <f>VALUE(5103)</f>
        <v>5103</v>
      </c>
      <c r="N7187" t="s">
        <v>25</v>
      </c>
    </row>
    <row r="7188" spans="1:14" x14ac:dyDescent="0.25">
      <c r="A7188" t="s">
        <v>42</v>
      </c>
      <c r="B7188" t="s">
        <v>40</v>
      </c>
      <c r="C7188" t="s">
        <v>35</v>
      </c>
      <c r="D7188" t="s">
        <v>15</v>
      </c>
      <c r="E7188" t="s">
        <v>22</v>
      </c>
      <c r="F7188" t="s">
        <v>17</v>
      </c>
      <c r="G7188" s="1" t="str">
        <f t="shared" ref="G7188:M7189" si="1554">"X"</f>
        <v>X</v>
      </c>
      <c r="H7188" s="1" t="str">
        <f t="shared" si="1554"/>
        <v>X</v>
      </c>
      <c r="I7188" s="1" t="str">
        <f t="shared" si="1554"/>
        <v>X</v>
      </c>
      <c r="J7188" s="1" t="str">
        <f t="shared" si="1554"/>
        <v>X</v>
      </c>
      <c r="K7188" s="1" t="str">
        <f t="shared" si="1554"/>
        <v>X</v>
      </c>
      <c r="L7188" s="1" t="str">
        <f t="shared" si="1554"/>
        <v>X</v>
      </c>
      <c r="M7188" s="1" t="str">
        <f t="shared" si="1554"/>
        <v>X</v>
      </c>
      <c r="N7188" t="s">
        <v>27</v>
      </c>
    </row>
    <row r="7189" spans="1:14" x14ac:dyDescent="0.25">
      <c r="A7189" t="s">
        <v>42</v>
      </c>
      <c r="B7189" t="s">
        <v>40</v>
      </c>
      <c r="C7189" t="s">
        <v>35</v>
      </c>
      <c r="D7189" t="s">
        <v>15</v>
      </c>
      <c r="E7189" t="s">
        <v>22</v>
      </c>
      <c r="F7189" t="s">
        <v>18</v>
      </c>
      <c r="G7189" s="1" t="str">
        <f t="shared" si="1554"/>
        <v>X</v>
      </c>
      <c r="H7189" s="1" t="str">
        <f t="shared" si="1554"/>
        <v>X</v>
      </c>
      <c r="I7189" s="1" t="str">
        <f t="shared" si="1554"/>
        <v>X</v>
      </c>
      <c r="J7189" s="1" t="str">
        <f t="shared" si="1554"/>
        <v>X</v>
      </c>
      <c r="K7189" s="1" t="str">
        <f t="shared" si="1554"/>
        <v>X</v>
      </c>
      <c r="L7189" s="1" t="str">
        <f t="shared" si="1554"/>
        <v>X</v>
      </c>
      <c r="M7189" s="1" t="str">
        <f t="shared" si="1554"/>
        <v>X</v>
      </c>
      <c r="N7189" t="s">
        <v>27</v>
      </c>
    </row>
    <row r="7190" spans="1:14" x14ac:dyDescent="0.25">
      <c r="A7190" t="s">
        <v>42</v>
      </c>
      <c r="B7190" t="s">
        <v>40</v>
      </c>
      <c r="C7190" t="s">
        <v>35</v>
      </c>
      <c r="D7190" t="s">
        <v>15</v>
      </c>
      <c r="E7190" t="s">
        <v>22</v>
      </c>
      <c r="F7190" t="s">
        <v>19</v>
      </c>
      <c r="G7190" s="2">
        <f>VALUE(287.3)</f>
        <v>287.3</v>
      </c>
      <c r="H7190" s="3">
        <f>VALUE(272.79)</f>
        <v>272.79000000000002</v>
      </c>
      <c r="I7190" s="4">
        <f>VALUE(3290)</f>
        <v>3290</v>
      </c>
      <c r="J7190" s="1">
        <f>VALUE(3592)</f>
        <v>3592</v>
      </c>
      <c r="K7190" s="6">
        <f>VALUE(4095)</f>
        <v>4095</v>
      </c>
      <c r="L7190" s="7">
        <f>VALUE(4384)</f>
        <v>4384</v>
      </c>
      <c r="M7190" s="8">
        <f>VALUE(5103)</f>
        <v>5103</v>
      </c>
      <c r="N7190" t="s">
        <v>25</v>
      </c>
    </row>
    <row r="7191" spans="1:14" x14ac:dyDescent="0.25">
      <c r="A7191" t="s">
        <v>42</v>
      </c>
      <c r="B7191" t="s">
        <v>40</v>
      </c>
      <c r="C7191" t="s">
        <v>35</v>
      </c>
      <c r="D7191" t="s">
        <v>15</v>
      </c>
      <c r="E7191" t="s">
        <v>22</v>
      </c>
      <c r="F7191" t="s">
        <v>20</v>
      </c>
      <c r="G7191" s="2">
        <f>VALUE(1331.01)</f>
        <v>1331.01</v>
      </c>
      <c r="H7191" s="3">
        <f>VALUE(1196.92)</f>
        <v>1196.92</v>
      </c>
      <c r="I7191" s="4">
        <f>VALUE(1650)</f>
        <v>1650</v>
      </c>
      <c r="J7191" s="1">
        <f>VALUE(3095)</f>
        <v>3095</v>
      </c>
      <c r="K7191" s="1">
        <f>VALUE(3762)</f>
        <v>3762</v>
      </c>
      <c r="L7191" s="1">
        <f>VALUE(4313)</f>
        <v>4313</v>
      </c>
      <c r="M7191" s="1">
        <f>VALUE(5009)</f>
        <v>5009</v>
      </c>
      <c r="N7191" t="s">
        <v>25</v>
      </c>
    </row>
    <row r="7192" spans="1:14" x14ac:dyDescent="0.25">
      <c r="A7192" t="s">
        <v>42</v>
      </c>
      <c r="B7192" t="s">
        <v>40</v>
      </c>
      <c r="C7192" t="s">
        <v>35</v>
      </c>
      <c r="D7192" t="s">
        <v>15</v>
      </c>
      <c r="E7192" t="s">
        <v>23</v>
      </c>
      <c r="F7192" t="s">
        <v>15</v>
      </c>
      <c r="G7192" s="2">
        <f>VALUE(1325.89)</f>
        <v>1325.89</v>
      </c>
      <c r="H7192" s="3">
        <f>VALUE(1141.91)</f>
        <v>1141.9100000000001</v>
      </c>
      <c r="I7192" s="1">
        <f>VALUE(2318)</f>
        <v>2318</v>
      </c>
      <c r="J7192" s="1">
        <f>VALUE(2600)</f>
        <v>2600</v>
      </c>
      <c r="K7192" s="1">
        <f>VALUE(2854)</f>
        <v>2854</v>
      </c>
      <c r="L7192" s="1">
        <f>VALUE(3425)</f>
        <v>3425</v>
      </c>
      <c r="M7192" s="1">
        <f>VALUE(3820)</f>
        <v>3820</v>
      </c>
      <c r="N7192" t="s">
        <v>25</v>
      </c>
    </row>
    <row r="7193" spans="1:14" x14ac:dyDescent="0.25">
      <c r="A7193" t="s">
        <v>42</v>
      </c>
      <c r="B7193" t="s">
        <v>40</v>
      </c>
      <c r="C7193" t="s">
        <v>35</v>
      </c>
      <c r="D7193" t="s">
        <v>15</v>
      </c>
      <c r="E7193" t="s">
        <v>23</v>
      </c>
      <c r="F7193" t="s">
        <v>17</v>
      </c>
      <c r="G7193" s="1" t="str">
        <f t="shared" ref="G7193:M7195" si="1555">"X"</f>
        <v>X</v>
      </c>
      <c r="H7193" s="1" t="str">
        <f t="shared" si="1555"/>
        <v>X</v>
      </c>
      <c r="I7193" s="1" t="str">
        <f t="shared" si="1555"/>
        <v>X</v>
      </c>
      <c r="J7193" s="1" t="str">
        <f t="shared" si="1555"/>
        <v>X</v>
      </c>
      <c r="K7193" s="1" t="str">
        <f t="shared" si="1555"/>
        <v>X</v>
      </c>
      <c r="L7193" s="1" t="str">
        <f t="shared" si="1555"/>
        <v>X</v>
      </c>
      <c r="M7193" s="1" t="str">
        <f t="shared" si="1555"/>
        <v>X</v>
      </c>
      <c r="N7193" t="s">
        <v>27</v>
      </c>
    </row>
    <row r="7194" spans="1:14" x14ac:dyDescent="0.25">
      <c r="A7194" t="s">
        <v>42</v>
      </c>
      <c r="B7194" t="s">
        <v>40</v>
      </c>
      <c r="C7194" t="s">
        <v>35</v>
      </c>
      <c r="D7194" t="s">
        <v>15</v>
      </c>
      <c r="E7194" t="s">
        <v>23</v>
      </c>
      <c r="F7194" t="s">
        <v>18</v>
      </c>
      <c r="G7194" s="1" t="str">
        <f t="shared" si="1555"/>
        <v>X</v>
      </c>
      <c r="H7194" s="1" t="str">
        <f t="shared" si="1555"/>
        <v>X</v>
      </c>
      <c r="I7194" s="1" t="str">
        <f t="shared" si="1555"/>
        <v>X</v>
      </c>
      <c r="J7194" s="1" t="str">
        <f t="shared" si="1555"/>
        <v>X</v>
      </c>
      <c r="K7194" s="1" t="str">
        <f t="shared" si="1555"/>
        <v>X</v>
      </c>
      <c r="L7194" s="1" t="str">
        <f t="shared" si="1555"/>
        <v>X</v>
      </c>
      <c r="M7194" s="1" t="str">
        <f t="shared" si="1555"/>
        <v>X</v>
      </c>
      <c r="N7194" t="s">
        <v>27</v>
      </c>
    </row>
    <row r="7195" spans="1:14" x14ac:dyDescent="0.25">
      <c r="A7195" t="s">
        <v>42</v>
      </c>
      <c r="B7195" t="s">
        <v>40</v>
      </c>
      <c r="C7195" t="s">
        <v>35</v>
      </c>
      <c r="D7195" t="s">
        <v>15</v>
      </c>
      <c r="E7195" t="s">
        <v>23</v>
      </c>
      <c r="F7195" t="s">
        <v>19</v>
      </c>
      <c r="G7195" s="1" t="str">
        <f t="shared" si="1555"/>
        <v>X</v>
      </c>
      <c r="H7195" s="1" t="str">
        <f t="shared" si="1555"/>
        <v>X</v>
      </c>
      <c r="I7195" s="1" t="str">
        <f t="shared" si="1555"/>
        <v>X</v>
      </c>
      <c r="J7195" s="1" t="str">
        <f t="shared" si="1555"/>
        <v>X</v>
      </c>
      <c r="K7195" s="1" t="str">
        <f t="shared" si="1555"/>
        <v>X</v>
      </c>
      <c r="L7195" s="1" t="str">
        <f t="shared" si="1555"/>
        <v>X</v>
      </c>
      <c r="M7195" s="1" t="str">
        <f t="shared" si="1555"/>
        <v>X</v>
      </c>
      <c r="N7195" t="s">
        <v>27</v>
      </c>
    </row>
    <row r="7196" spans="1:14" x14ac:dyDescent="0.25">
      <c r="A7196" t="s">
        <v>42</v>
      </c>
      <c r="B7196" t="s">
        <v>40</v>
      </c>
      <c r="C7196" t="s">
        <v>35</v>
      </c>
      <c r="D7196" t="s">
        <v>15</v>
      </c>
      <c r="E7196" t="s">
        <v>23</v>
      </c>
      <c r="F7196" t="s">
        <v>20</v>
      </c>
      <c r="G7196" s="2">
        <f>VALUE(1260.36)</f>
        <v>1260.3599999999999</v>
      </c>
      <c r="H7196" s="3">
        <f>VALUE(1083.21)</f>
        <v>1083.21</v>
      </c>
      <c r="I7196" s="1">
        <f>VALUE(2318)</f>
        <v>2318</v>
      </c>
      <c r="J7196" s="1">
        <f>VALUE(2600)</f>
        <v>2600</v>
      </c>
      <c r="K7196" s="1">
        <f>VALUE(2846)</f>
        <v>2846</v>
      </c>
      <c r="L7196" s="1">
        <f>VALUE(3423)</f>
        <v>3423</v>
      </c>
      <c r="M7196" s="1">
        <f>VALUE(3785)</f>
        <v>3785</v>
      </c>
      <c r="N7196" t="s">
        <v>25</v>
      </c>
    </row>
    <row r="7197" spans="1:14" x14ac:dyDescent="0.25">
      <c r="A7197" t="s">
        <v>42</v>
      </c>
      <c r="B7197" t="s">
        <v>40</v>
      </c>
      <c r="C7197" t="s">
        <v>35</v>
      </c>
      <c r="D7197" t="s">
        <v>15</v>
      </c>
      <c r="E7197" t="s">
        <v>26</v>
      </c>
      <c r="F7197" t="s">
        <v>15</v>
      </c>
      <c r="G7197" s="1" t="str">
        <f t="shared" ref="G7197:M7197" si="1556">"X"</f>
        <v>X</v>
      </c>
      <c r="H7197" s="1" t="str">
        <f t="shared" si="1556"/>
        <v>X</v>
      </c>
      <c r="I7197" s="1" t="str">
        <f t="shared" si="1556"/>
        <v>X</v>
      </c>
      <c r="J7197" s="1" t="str">
        <f t="shared" si="1556"/>
        <v>X</v>
      </c>
      <c r="K7197" s="1" t="str">
        <f t="shared" si="1556"/>
        <v>X</v>
      </c>
      <c r="L7197" s="1" t="str">
        <f t="shared" si="1556"/>
        <v>X</v>
      </c>
      <c r="M7197" s="1" t="str">
        <f t="shared" si="1556"/>
        <v>X</v>
      </c>
      <c r="N7197" t="s">
        <v>27</v>
      </c>
    </row>
    <row r="7198" spans="1:14" x14ac:dyDescent="0.25">
      <c r="A7198" t="s">
        <v>42</v>
      </c>
      <c r="B7198" t="s">
        <v>40</v>
      </c>
      <c r="C7198" t="s">
        <v>35</v>
      </c>
      <c r="D7198" t="s">
        <v>15</v>
      </c>
      <c r="E7198" t="s">
        <v>26</v>
      </c>
      <c r="F7198" t="s">
        <v>17</v>
      </c>
      <c r="G7198" s="1" t="str">
        <f t="shared" ref="G7198:M7200" si="1557">"..."</f>
        <v>...</v>
      </c>
      <c r="H7198" s="1" t="str">
        <f t="shared" si="1557"/>
        <v>...</v>
      </c>
      <c r="I7198" s="1" t="str">
        <f t="shared" si="1557"/>
        <v>...</v>
      </c>
      <c r="J7198" s="1" t="str">
        <f t="shared" si="1557"/>
        <v>...</v>
      </c>
      <c r="K7198" s="1" t="str">
        <f t="shared" si="1557"/>
        <v>...</v>
      </c>
      <c r="L7198" s="1" t="str">
        <f t="shared" si="1557"/>
        <v>...</v>
      </c>
      <c r="M7198" s="1" t="str">
        <f t="shared" si="1557"/>
        <v>...</v>
      </c>
      <c r="N7198" t="s">
        <v>30</v>
      </c>
    </row>
    <row r="7199" spans="1:14" x14ac:dyDescent="0.25">
      <c r="A7199" t="s">
        <v>42</v>
      </c>
      <c r="B7199" t="s">
        <v>40</v>
      </c>
      <c r="C7199" t="s">
        <v>35</v>
      </c>
      <c r="D7199" t="s">
        <v>15</v>
      </c>
      <c r="E7199" t="s">
        <v>26</v>
      </c>
      <c r="F7199" t="s">
        <v>18</v>
      </c>
      <c r="G7199" s="1" t="str">
        <f t="shared" si="1557"/>
        <v>...</v>
      </c>
      <c r="H7199" s="1" t="str">
        <f t="shared" si="1557"/>
        <v>...</v>
      </c>
      <c r="I7199" s="1" t="str">
        <f t="shared" si="1557"/>
        <v>...</v>
      </c>
      <c r="J7199" s="1" t="str">
        <f t="shared" si="1557"/>
        <v>...</v>
      </c>
      <c r="K7199" s="1" t="str">
        <f t="shared" si="1557"/>
        <v>...</v>
      </c>
      <c r="L7199" s="1" t="str">
        <f t="shared" si="1557"/>
        <v>...</v>
      </c>
      <c r="M7199" s="1" t="str">
        <f t="shared" si="1557"/>
        <v>...</v>
      </c>
      <c r="N7199" t="s">
        <v>30</v>
      </c>
    </row>
    <row r="7200" spans="1:14" x14ac:dyDescent="0.25">
      <c r="A7200" t="s">
        <v>42</v>
      </c>
      <c r="B7200" t="s">
        <v>40</v>
      </c>
      <c r="C7200" t="s">
        <v>35</v>
      </c>
      <c r="D7200" t="s">
        <v>15</v>
      </c>
      <c r="E7200" t="s">
        <v>26</v>
      </c>
      <c r="F7200" t="s">
        <v>19</v>
      </c>
      <c r="G7200" s="1" t="str">
        <f t="shared" si="1557"/>
        <v>...</v>
      </c>
      <c r="H7200" s="1" t="str">
        <f t="shared" si="1557"/>
        <v>...</v>
      </c>
      <c r="I7200" s="1" t="str">
        <f t="shared" si="1557"/>
        <v>...</v>
      </c>
      <c r="J7200" s="1" t="str">
        <f t="shared" si="1557"/>
        <v>...</v>
      </c>
      <c r="K7200" s="1" t="str">
        <f t="shared" si="1557"/>
        <v>...</v>
      </c>
      <c r="L7200" s="1" t="str">
        <f t="shared" si="1557"/>
        <v>...</v>
      </c>
      <c r="M7200" s="1" t="str">
        <f t="shared" si="1557"/>
        <v>...</v>
      </c>
      <c r="N7200" t="s">
        <v>30</v>
      </c>
    </row>
    <row r="7201" spans="1:14" x14ac:dyDescent="0.25">
      <c r="A7201" t="s">
        <v>42</v>
      </c>
      <c r="B7201" t="s">
        <v>40</v>
      </c>
      <c r="C7201" t="s">
        <v>35</v>
      </c>
      <c r="D7201" t="s">
        <v>15</v>
      </c>
      <c r="E7201" t="s">
        <v>26</v>
      </c>
      <c r="F7201" t="s">
        <v>20</v>
      </c>
      <c r="G7201" s="1" t="str">
        <f t="shared" ref="G7201:M7201" si="1558">"X"</f>
        <v>X</v>
      </c>
      <c r="H7201" s="1" t="str">
        <f t="shared" si="1558"/>
        <v>X</v>
      </c>
      <c r="I7201" s="1" t="str">
        <f t="shared" si="1558"/>
        <v>X</v>
      </c>
      <c r="J7201" s="1" t="str">
        <f t="shared" si="1558"/>
        <v>X</v>
      </c>
      <c r="K7201" s="1" t="str">
        <f t="shared" si="1558"/>
        <v>X</v>
      </c>
      <c r="L7201" s="1" t="str">
        <f t="shared" si="1558"/>
        <v>X</v>
      </c>
      <c r="M7201" s="1" t="str">
        <f t="shared" si="1558"/>
        <v>X</v>
      </c>
      <c r="N7201" t="s">
        <v>27</v>
      </c>
    </row>
    <row r="7202" spans="1:14" x14ac:dyDescent="0.25">
      <c r="A7202" t="s">
        <v>42</v>
      </c>
      <c r="B7202" t="s">
        <v>40</v>
      </c>
      <c r="C7202" t="s">
        <v>35</v>
      </c>
      <c r="D7202" t="s">
        <v>28</v>
      </c>
      <c r="E7202" t="s">
        <v>15</v>
      </c>
      <c r="F7202" t="s">
        <v>15</v>
      </c>
      <c r="G7202" s="2">
        <f>VALUE(1665.41)</f>
        <v>1665.41</v>
      </c>
      <c r="H7202" s="3">
        <f>VALUE(1428.68)</f>
        <v>1428.68</v>
      </c>
      <c r="I7202" s="4">
        <f>VALUE(1420)</f>
        <v>1420</v>
      </c>
      <c r="J7202" s="1">
        <f>VALUE(3287)</f>
        <v>3287</v>
      </c>
      <c r="K7202" s="1">
        <f>VALUE(3762)</f>
        <v>3762</v>
      </c>
      <c r="L7202" s="1">
        <f>VALUE(4270)</f>
        <v>4270</v>
      </c>
      <c r="M7202" s="1">
        <f>VALUE(4962)</f>
        <v>4962</v>
      </c>
      <c r="N7202" t="s">
        <v>25</v>
      </c>
    </row>
    <row r="7203" spans="1:14" x14ac:dyDescent="0.25">
      <c r="A7203" t="s">
        <v>42</v>
      </c>
      <c r="B7203" t="s">
        <v>40</v>
      </c>
      <c r="C7203" t="s">
        <v>35</v>
      </c>
      <c r="D7203" t="s">
        <v>28</v>
      </c>
      <c r="E7203" t="s">
        <v>15</v>
      </c>
      <c r="F7203" t="s">
        <v>17</v>
      </c>
      <c r="G7203" s="1" t="str">
        <f t="shared" ref="G7203:M7204" si="1559">"X"</f>
        <v>X</v>
      </c>
      <c r="H7203" s="1" t="str">
        <f t="shared" si="1559"/>
        <v>X</v>
      </c>
      <c r="I7203" s="1" t="str">
        <f t="shared" si="1559"/>
        <v>X</v>
      </c>
      <c r="J7203" s="1" t="str">
        <f t="shared" si="1559"/>
        <v>X</v>
      </c>
      <c r="K7203" s="1" t="str">
        <f t="shared" si="1559"/>
        <v>X</v>
      </c>
      <c r="L7203" s="1" t="str">
        <f t="shared" si="1559"/>
        <v>X</v>
      </c>
      <c r="M7203" s="1" t="str">
        <f t="shared" si="1559"/>
        <v>X</v>
      </c>
      <c r="N7203" t="s">
        <v>27</v>
      </c>
    </row>
    <row r="7204" spans="1:14" x14ac:dyDescent="0.25">
      <c r="A7204" t="s">
        <v>42</v>
      </c>
      <c r="B7204" t="s">
        <v>40</v>
      </c>
      <c r="C7204" t="s">
        <v>35</v>
      </c>
      <c r="D7204" t="s">
        <v>28</v>
      </c>
      <c r="E7204" t="s">
        <v>15</v>
      </c>
      <c r="F7204" t="s">
        <v>18</v>
      </c>
      <c r="G7204" s="1" t="str">
        <f t="shared" si="1559"/>
        <v>X</v>
      </c>
      <c r="H7204" s="1" t="str">
        <f t="shared" si="1559"/>
        <v>X</v>
      </c>
      <c r="I7204" s="1" t="str">
        <f t="shared" si="1559"/>
        <v>X</v>
      </c>
      <c r="J7204" s="1" t="str">
        <f t="shared" si="1559"/>
        <v>X</v>
      </c>
      <c r="K7204" s="1" t="str">
        <f t="shared" si="1559"/>
        <v>X</v>
      </c>
      <c r="L7204" s="1" t="str">
        <f t="shared" si="1559"/>
        <v>X</v>
      </c>
      <c r="M7204" s="1" t="str">
        <f t="shared" si="1559"/>
        <v>X</v>
      </c>
      <c r="N7204" t="s">
        <v>27</v>
      </c>
    </row>
    <row r="7205" spans="1:14" x14ac:dyDescent="0.25">
      <c r="A7205" t="s">
        <v>42</v>
      </c>
      <c r="B7205" t="s">
        <v>40</v>
      </c>
      <c r="C7205" t="s">
        <v>35</v>
      </c>
      <c r="D7205" t="s">
        <v>28</v>
      </c>
      <c r="E7205" t="s">
        <v>15</v>
      </c>
      <c r="F7205" t="s">
        <v>19</v>
      </c>
      <c r="G7205" s="2">
        <f>VALUE(225.12)</f>
        <v>225.12</v>
      </c>
      <c r="H7205" s="3">
        <f>VALUE(200.95)</f>
        <v>200.95</v>
      </c>
      <c r="I7205" s="4">
        <f>VALUE(3290)</f>
        <v>3290</v>
      </c>
      <c r="J7205" s="1">
        <f>VALUE(3507)</f>
        <v>3507</v>
      </c>
      <c r="K7205" s="1">
        <f>VALUE(3899)</f>
        <v>3899</v>
      </c>
      <c r="L7205" s="7">
        <f>VALUE(4218)</f>
        <v>4218</v>
      </c>
      <c r="M7205" s="1">
        <f>VALUE(4384)</f>
        <v>4384</v>
      </c>
      <c r="N7205" t="s">
        <v>25</v>
      </c>
    </row>
    <row r="7206" spans="1:14" x14ac:dyDescent="0.25">
      <c r="A7206" t="s">
        <v>42</v>
      </c>
      <c r="B7206" t="s">
        <v>40</v>
      </c>
      <c r="C7206" t="s">
        <v>35</v>
      </c>
      <c r="D7206" t="s">
        <v>28</v>
      </c>
      <c r="E7206" t="s">
        <v>15</v>
      </c>
      <c r="F7206" t="s">
        <v>20</v>
      </c>
      <c r="G7206" s="2">
        <f>VALUE(1258.07)</f>
        <v>1258.07</v>
      </c>
      <c r="H7206" s="3">
        <f>VALUE(1078.87)</f>
        <v>1078.8699999999999</v>
      </c>
      <c r="I7206" s="4">
        <f>VALUE(1290)</f>
        <v>1290</v>
      </c>
      <c r="J7206" s="1">
        <f>VALUE(3114)</f>
        <v>3114</v>
      </c>
      <c r="K7206" s="1">
        <f>VALUE(3756)</f>
        <v>3756</v>
      </c>
      <c r="L7206" s="1">
        <f>VALUE(4292)</f>
        <v>4292</v>
      </c>
      <c r="M7206" s="8">
        <f>VALUE(5031)</f>
        <v>5031</v>
      </c>
      <c r="N7206" t="s">
        <v>25</v>
      </c>
    </row>
    <row r="7207" spans="1:14" x14ac:dyDescent="0.25">
      <c r="A7207" t="s">
        <v>42</v>
      </c>
      <c r="B7207" t="s">
        <v>40</v>
      </c>
      <c r="C7207" t="s">
        <v>35</v>
      </c>
      <c r="D7207" t="s">
        <v>28</v>
      </c>
      <c r="E7207" t="s">
        <v>21</v>
      </c>
      <c r="F7207" t="s">
        <v>15</v>
      </c>
      <c r="G7207" s="2">
        <f>VALUE(189.44)</f>
        <v>189.44</v>
      </c>
      <c r="H7207" s="3">
        <f>VALUE(148.75)</f>
        <v>148.75</v>
      </c>
      <c r="I7207" s="4">
        <f>VALUE(1143)</f>
        <v>1143</v>
      </c>
      <c r="J7207" s="5">
        <f>VALUE(2923)</f>
        <v>2923</v>
      </c>
      <c r="K7207" s="1">
        <f>VALUE(3745)</f>
        <v>3745</v>
      </c>
      <c r="L7207" s="7">
        <f>VALUE(4356)</f>
        <v>4356</v>
      </c>
      <c r="M7207" s="1">
        <f>VALUE(5633)</f>
        <v>5633</v>
      </c>
      <c r="N7207" t="s">
        <v>25</v>
      </c>
    </row>
    <row r="7208" spans="1:14" x14ac:dyDescent="0.25">
      <c r="A7208" t="s">
        <v>42</v>
      </c>
      <c r="B7208" t="s">
        <v>40</v>
      </c>
      <c r="C7208" t="s">
        <v>35</v>
      </c>
      <c r="D7208" t="s">
        <v>28</v>
      </c>
      <c r="E7208" t="s">
        <v>21</v>
      </c>
      <c r="F7208" t="s">
        <v>17</v>
      </c>
      <c r="G7208" s="1" t="str">
        <f t="shared" ref="G7208:M7211" si="1560">"X"</f>
        <v>X</v>
      </c>
      <c r="H7208" s="1" t="str">
        <f t="shared" si="1560"/>
        <v>X</v>
      </c>
      <c r="I7208" s="1" t="str">
        <f t="shared" si="1560"/>
        <v>X</v>
      </c>
      <c r="J7208" s="1" t="str">
        <f t="shared" si="1560"/>
        <v>X</v>
      </c>
      <c r="K7208" s="1" t="str">
        <f t="shared" si="1560"/>
        <v>X</v>
      </c>
      <c r="L7208" s="1" t="str">
        <f t="shared" si="1560"/>
        <v>X</v>
      </c>
      <c r="M7208" s="1" t="str">
        <f t="shared" si="1560"/>
        <v>X</v>
      </c>
      <c r="N7208" t="s">
        <v>27</v>
      </c>
    </row>
    <row r="7209" spans="1:14" x14ac:dyDescent="0.25">
      <c r="A7209" t="s">
        <v>42</v>
      </c>
      <c r="B7209" t="s">
        <v>40</v>
      </c>
      <c r="C7209" t="s">
        <v>35</v>
      </c>
      <c r="D7209" t="s">
        <v>28</v>
      </c>
      <c r="E7209" t="s">
        <v>21</v>
      </c>
      <c r="F7209" t="s">
        <v>18</v>
      </c>
      <c r="G7209" s="1" t="str">
        <f t="shared" si="1560"/>
        <v>X</v>
      </c>
      <c r="H7209" s="1" t="str">
        <f t="shared" si="1560"/>
        <v>X</v>
      </c>
      <c r="I7209" s="1" t="str">
        <f t="shared" si="1560"/>
        <v>X</v>
      </c>
      <c r="J7209" s="1" t="str">
        <f t="shared" si="1560"/>
        <v>X</v>
      </c>
      <c r="K7209" s="1" t="str">
        <f t="shared" si="1560"/>
        <v>X</v>
      </c>
      <c r="L7209" s="1" t="str">
        <f t="shared" si="1560"/>
        <v>X</v>
      </c>
      <c r="M7209" s="1" t="str">
        <f t="shared" si="1560"/>
        <v>X</v>
      </c>
      <c r="N7209" t="s">
        <v>27</v>
      </c>
    </row>
    <row r="7210" spans="1:14" x14ac:dyDescent="0.25">
      <c r="A7210" t="s">
        <v>42</v>
      </c>
      <c r="B7210" t="s">
        <v>40</v>
      </c>
      <c r="C7210" t="s">
        <v>35</v>
      </c>
      <c r="D7210" t="s">
        <v>28</v>
      </c>
      <c r="E7210" t="s">
        <v>21</v>
      </c>
      <c r="F7210" t="s">
        <v>19</v>
      </c>
      <c r="G7210" s="1" t="str">
        <f t="shared" si="1560"/>
        <v>X</v>
      </c>
      <c r="H7210" s="1" t="str">
        <f t="shared" si="1560"/>
        <v>X</v>
      </c>
      <c r="I7210" s="1" t="str">
        <f t="shared" si="1560"/>
        <v>X</v>
      </c>
      <c r="J7210" s="1" t="str">
        <f t="shared" si="1560"/>
        <v>X</v>
      </c>
      <c r="K7210" s="1" t="str">
        <f t="shared" si="1560"/>
        <v>X</v>
      </c>
      <c r="L7210" s="1" t="str">
        <f t="shared" si="1560"/>
        <v>X</v>
      </c>
      <c r="M7210" s="1" t="str">
        <f t="shared" si="1560"/>
        <v>X</v>
      </c>
      <c r="N7210" t="s">
        <v>27</v>
      </c>
    </row>
    <row r="7211" spans="1:14" x14ac:dyDescent="0.25">
      <c r="A7211" t="s">
        <v>42</v>
      </c>
      <c r="B7211" t="s">
        <v>40</v>
      </c>
      <c r="C7211" t="s">
        <v>35</v>
      </c>
      <c r="D7211" t="s">
        <v>28</v>
      </c>
      <c r="E7211" t="s">
        <v>21</v>
      </c>
      <c r="F7211" t="s">
        <v>20</v>
      </c>
      <c r="G7211" s="1" t="str">
        <f t="shared" si="1560"/>
        <v>X</v>
      </c>
      <c r="H7211" s="1" t="str">
        <f t="shared" si="1560"/>
        <v>X</v>
      </c>
      <c r="I7211" s="1" t="str">
        <f t="shared" si="1560"/>
        <v>X</v>
      </c>
      <c r="J7211" s="1" t="str">
        <f t="shared" si="1560"/>
        <v>X</v>
      </c>
      <c r="K7211" s="1" t="str">
        <f t="shared" si="1560"/>
        <v>X</v>
      </c>
      <c r="L7211" s="1" t="str">
        <f t="shared" si="1560"/>
        <v>X</v>
      </c>
      <c r="M7211" s="1" t="str">
        <f t="shared" si="1560"/>
        <v>X</v>
      </c>
      <c r="N7211" t="s">
        <v>27</v>
      </c>
    </row>
    <row r="7212" spans="1:14" x14ac:dyDescent="0.25">
      <c r="A7212" t="s">
        <v>42</v>
      </c>
      <c r="B7212" t="s">
        <v>40</v>
      </c>
      <c r="C7212" t="s">
        <v>35</v>
      </c>
      <c r="D7212" t="s">
        <v>28</v>
      </c>
      <c r="E7212" t="s">
        <v>22</v>
      </c>
      <c r="F7212" t="s">
        <v>15</v>
      </c>
      <c r="G7212" s="2">
        <f>VALUE(1182.85)</f>
        <v>1182.8499999999999</v>
      </c>
      <c r="H7212" s="3">
        <f>VALUE(1076.88)</f>
        <v>1076.8800000000001</v>
      </c>
      <c r="I7212" s="4">
        <f>VALUE(1620)</f>
        <v>1620</v>
      </c>
      <c r="J7212" s="1">
        <f>VALUE(3354)</f>
        <v>3354</v>
      </c>
      <c r="K7212" s="1">
        <f>VALUE(3818)</f>
        <v>3818</v>
      </c>
      <c r="L7212" s="1">
        <f>VALUE(4301)</f>
        <v>4301</v>
      </c>
      <c r="M7212" s="1">
        <f>VALUE(4962)</f>
        <v>4962</v>
      </c>
      <c r="N7212" t="s">
        <v>25</v>
      </c>
    </row>
    <row r="7213" spans="1:14" x14ac:dyDescent="0.25">
      <c r="A7213" t="s">
        <v>42</v>
      </c>
      <c r="B7213" t="s">
        <v>40</v>
      </c>
      <c r="C7213" t="s">
        <v>35</v>
      </c>
      <c r="D7213" t="s">
        <v>28</v>
      </c>
      <c r="E7213" t="s">
        <v>22</v>
      </c>
      <c r="F7213" t="s">
        <v>17</v>
      </c>
      <c r="G7213" s="1" t="str">
        <f t="shared" ref="G7213:M7215" si="1561">"X"</f>
        <v>X</v>
      </c>
      <c r="H7213" s="1" t="str">
        <f t="shared" si="1561"/>
        <v>X</v>
      </c>
      <c r="I7213" s="1" t="str">
        <f t="shared" si="1561"/>
        <v>X</v>
      </c>
      <c r="J7213" s="1" t="str">
        <f t="shared" si="1561"/>
        <v>X</v>
      </c>
      <c r="K7213" s="1" t="str">
        <f t="shared" si="1561"/>
        <v>X</v>
      </c>
      <c r="L7213" s="1" t="str">
        <f t="shared" si="1561"/>
        <v>X</v>
      </c>
      <c r="M7213" s="1" t="str">
        <f t="shared" si="1561"/>
        <v>X</v>
      </c>
      <c r="N7213" t="s">
        <v>27</v>
      </c>
    </row>
    <row r="7214" spans="1:14" x14ac:dyDescent="0.25">
      <c r="A7214" t="s">
        <v>42</v>
      </c>
      <c r="B7214" t="s">
        <v>40</v>
      </c>
      <c r="C7214" t="s">
        <v>35</v>
      </c>
      <c r="D7214" t="s">
        <v>28</v>
      </c>
      <c r="E7214" t="s">
        <v>22</v>
      </c>
      <c r="F7214" t="s">
        <v>18</v>
      </c>
      <c r="G7214" s="1" t="str">
        <f t="shared" si="1561"/>
        <v>X</v>
      </c>
      <c r="H7214" s="1" t="str">
        <f t="shared" si="1561"/>
        <v>X</v>
      </c>
      <c r="I7214" s="1" t="str">
        <f t="shared" si="1561"/>
        <v>X</v>
      </c>
      <c r="J7214" s="1" t="str">
        <f t="shared" si="1561"/>
        <v>X</v>
      </c>
      <c r="K7214" s="1" t="str">
        <f t="shared" si="1561"/>
        <v>X</v>
      </c>
      <c r="L7214" s="1" t="str">
        <f t="shared" si="1561"/>
        <v>X</v>
      </c>
      <c r="M7214" s="1" t="str">
        <f t="shared" si="1561"/>
        <v>X</v>
      </c>
      <c r="N7214" t="s">
        <v>27</v>
      </c>
    </row>
    <row r="7215" spans="1:14" x14ac:dyDescent="0.25">
      <c r="A7215" t="s">
        <v>42</v>
      </c>
      <c r="B7215" t="s">
        <v>40</v>
      </c>
      <c r="C7215" t="s">
        <v>35</v>
      </c>
      <c r="D7215" t="s">
        <v>28</v>
      </c>
      <c r="E7215" t="s">
        <v>22</v>
      </c>
      <c r="F7215" t="s">
        <v>19</v>
      </c>
      <c r="G7215" s="1" t="str">
        <f t="shared" si="1561"/>
        <v>X</v>
      </c>
      <c r="H7215" s="1" t="str">
        <f t="shared" si="1561"/>
        <v>X</v>
      </c>
      <c r="I7215" s="1" t="str">
        <f t="shared" si="1561"/>
        <v>X</v>
      </c>
      <c r="J7215" s="1" t="str">
        <f t="shared" si="1561"/>
        <v>X</v>
      </c>
      <c r="K7215" s="1" t="str">
        <f t="shared" si="1561"/>
        <v>X</v>
      </c>
      <c r="L7215" s="1" t="str">
        <f t="shared" si="1561"/>
        <v>X</v>
      </c>
      <c r="M7215" s="1" t="str">
        <f t="shared" si="1561"/>
        <v>X</v>
      </c>
      <c r="N7215" t="s">
        <v>27</v>
      </c>
    </row>
    <row r="7216" spans="1:14" x14ac:dyDescent="0.25">
      <c r="A7216" t="s">
        <v>42</v>
      </c>
      <c r="B7216" t="s">
        <v>40</v>
      </c>
      <c r="C7216" t="s">
        <v>35</v>
      </c>
      <c r="D7216" t="s">
        <v>28</v>
      </c>
      <c r="E7216" t="s">
        <v>22</v>
      </c>
      <c r="F7216" t="s">
        <v>20</v>
      </c>
      <c r="G7216" s="2">
        <f>VALUE(874.43)</f>
        <v>874.43</v>
      </c>
      <c r="H7216" s="3">
        <f>VALUE(803.39)</f>
        <v>803.39</v>
      </c>
      <c r="I7216" s="4">
        <f>VALUE(1420)</f>
        <v>1420</v>
      </c>
      <c r="J7216" s="1">
        <f>VALUE(3302)</f>
        <v>3302</v>
      </c>
      <c r="K7216" s="1">
        <f>VALUE(3790)</f>
        <v>3790</v>
      </c>
      <c r="L7216" s="1">
        <f>VALUE(4381)</f>
        <v>4381</v>
      </c>
      <c r="M7216" s="8">
        <f>VALUE(5081)</f>
        <v>5081</v>
      </c>
      <c r="N7216" t="s">
        <v>25</v>
      </c>
    </row>
    <row r="7217" spans="1:14" x14ac:dyDescent="0.25">
      <c r="A7217" t="s">
        <v>42</v>
      </c>
      <c r="B7217" t="s">
        <v>40</v>
      </c>
      <c r="C7217" t="s">
        <v>35</v>
      </c>
      <c r="D7217" t="s">
        <v>28</v>
      </c>
      <c r="E7217" t="s">
        <v>23</v>
      </c>
      <c r="F7217" t="s">
        <v>15</v>
      </c>
      <c r="G7217" s="2">
        <f>VALUE(268.98)</f>
        <v>268.98</v>
      </c>
      <c r="H7217" s="3">
        <f>VALUE(180.32)</f>
        <v>180.32</v>
      </c>
      <c r="I7217" s="4">
        <f>VALUE(1279)</f>
        <v>1279</v>
      </c>
      <c r="J7217" s="5">
        <f>VALUE(2116)</f>
        <v>2116</v>
      </c>
      <c r="K7217" s="6">
        <f>VALUE(3304)</f>
        <v>3304</v>
      </c>
      <c r="L7217" s="7">
        <f>VALUE(3508)</f>
        <v>3508</v>
      </c>
      <c r="M7217" s="1">
        <f>VALUE(4188)</f>
        <v>4188</v>
      </c>
      <c r="N7217" t="s">
        <v>25</v>
      </c>
    </row>
    <row r="7218" spans="1:14" x14ac:dyDescent="0.25">
      <c r="A7218" t="s">
        <v>42</v>
      </c>
      <c r="B7218" t="s">
        <v>40</v>
      </c>
      <c r="C7218" t="s">
        <v>35</v>
      </c>
      <c r="D7218" t="s">
        <v>28</v>
      </c>
      <c r="E7218" t="s">
        <v>23</v>
      </c>
      <c r="F7218" t="s">
        <v>17</v>
      </c>
      <c r="G7218" s="1" t="str">
        <f t="shared" ref="G7218:M7218" si="1562">"..."</f>
        <v>...</v>
      </c>
      <c r="H7218" s="1" t="str">
        <f t="shared" si="1562"/>
        <v>...</v>
      </c>
      <c r="I7218" s="1" t="str">
        <f t="shared" si="1562"/>
        <v>...</v>
      </c>
      <c r="J7218" s="1" t="str">
        <f t="shared" si="1562"/>
        <v>...</v>
      </c>
      <c r="K7218" s="1" t="str">
        <f t="shared" si="1562"/>
        <v>...</v>
      </c>
      <c r="L7218" s="1" t="str">
        <f t="shared" si="1562"/>
        <v>...</v>
      </c>
      <c r="M7218" s="1" t="str">
        <f t="shared" si="1562"/>
        <v>...</v>
      </c>
      <c r="N7218" t="s">
        <v>30</v>
      </c>
    </row>
    <row r="7219" spans="1:14" x14ac:dyDescent="0.25">
      <c r="A7219" t="s">
        <v>42</v>
      </c>
      <c r="B7219" t="s">
        <v>40</v>
      </c>
      <c r="C7219" t="s">
        <v>35</v>
      </c>
      <c r="D7219" t="s">
        <v>28</v>
      </c>
      <c r="E7219" t="s">
        <v>23</v>
      </c>
      <c r="F7219" t="s">
        <v>18</v>
      </c>
      <c r="G7219" s="1" t="str">
        <f t="shared" ref="G7219:M7220" si="1563">"X"</f>
        <v>X</v>
      </c>
      <c r="H7219" s="1" t="str">
        <f t="shared" si="1563"/>
        <v>X</v>
      </c>
      <c r="I7219" s="1" t="str">
        <f t="shared" si="1563"/>
        <v>X</v>
      </c>
      <c r="J7219" s="1" t="str">
        <f t="shared" si="1563"/>
        <v>X</v>
      </c>
      <c r="K7219" s="1" t="str">
        <f t="shared" si="1563"/>
        <v>X</v>
      </c>
      <c r="L7219" s="1" t="str">
        <f t="shared" si="1563"/>
        <v>X</v>
      </c>
      <c r="M7219" s="1" t="str">
        <f t="shared" si="1563"/>
        <v>X</v>
      </c>
      <c r="N7219" t="s">
        <v>27</v>
      </c>
    </row>
    <row r="7220" spans="1:14" x14ac:dyDescent="0.25">
      <c r="A7220" t="s">
        <v>42</v>
      </c>
      <c r="B7220" t="s">
        <v>40</v>
      </c>
      <c r="C7220" t="s">
        <v>35</v>
      </c>
      <c r="D7220" t="s">
        <v>28</v>
      </c>
      <c r="E7220" t="s">
        <v>23</v>
      </c>
      <c r="F7220" t="s">
        <v>19</v>
      </c>
      <c r="G7220" s="1" t="str">
        <f t="shared" si="1563"/>
        <v>X</v>
      </c>
      <c r="H7220" s="1" t="str">
        <f t="shared" si="1563"/>
        <v>X</v>
      </c>
      <c r="I7220" s="1" t="str">
        <f t="shared" si="1563"/>
        <v>X</v>
      </c>
      <c r="J7220" s="1" t="str">
        <f t="shared" si="1563"/>
        <v>X</v>
      </c>
      <c r="K7220" s="1" t="str">
        <f t="shared" si="1563"/>
        <v>X</v>
      </c>
      <c r="L7220" s="1" t="str">
        <f t="shared" si="1563"/>
        <v>X</v>
      </c>
      <c r="M7220" s="1" t="str">
        <f t="shared" si="1563"/>
        <v>X</v>
      </c>
      <c r="N7220" t="s">
        <v>27</v>
      </c>
    </row>
    <row r="7221" spans="1:14" x14ac:dyDescent="0.25">
      <c r="A7221" t="s">
        <v>42</v>
      </c>
      <c r="B7221" t="s">
        <v>40</v>
      </c>
      <c r="C7221" t="s">
        <v>35</v>
      </c>
      <c r="D7221" t="s">
        <v>28</v>
      </c>
      <c r="E7221" t="s">
        <v>23</v>
      </c>
      <c r="F7221" t="s">
        <v>20</v>
      </c>
      <c r="G7221" s="2">
        <f>VALUE(248.91)</f>
        <v>248.91</v>
      </c>
      <c r="H7221" s="3">
        <f>VALUE(162.28)</f>
        <v>162.28</v>
      </c>
      <c r="I7221" s="4">
        <f>VALUE(1237)</f>
        <v>1237</v>
      </c>
      <c r="J7221" s="5">
        <f>VALUE(1844)</f>
        <v>1844</v>
      </c>
      <c r="K7221" s="6">
        <f>VALUE(3304)</f>
        <v>3304</v>
      </c>
      <c r="L7221" s="7">
        <f>VALUE(3508)</f>
        <v>3508</v>
      </c>
      <c r="M7221" s="1">
        <f>VALUE(4148)</f>
        <v>4148</v>
      </c>
      <c r="N7221" t="s">
        <v>25</v>
      </c>
    </row>
    <row r="7222" spans="1:14" x14ac:dyDescent="0.25">
      <c r="A7222" t="s">
        <v>42</v>
      </c>
      <c r="B7222" t="s">
        <v>40</v>
      </c>
      <c r="C7222" t="s">
        <v>35</v>
      </c>
      <c r="D7222" t="s">
        <v>28</v>
      </c>
      <c r="E7222" t="s">
        <v>26</v>
      </c>
      <c r="F7222" t="s">
        <v>15</v>
      </c>
      <c r="G7222" s="1" t="str">
        <f t="shared" ref="G7222:M7222" si="1564">"X"</f>
        <v>X</v>
      </c>
      <c r="H7222" s="1" t="str">
        <f t="shared" si="1564"/>
        <v>X</v>
      </c>
      <c r="I7222" s="1" t="str">
        <f t="shared" si="1564"/>
        <v>X</v>
      </c>
      <c r="J7222" s="1" t="str">
        <f t="shared" si="1564"/>
        <v>X</v>
      </c>
      <c r="K7222" s="1" t="str">
        <f t="shared" si="1564"/>
        <v>X</v>
      </c>
      <c r="L7222" s="1" t="str">
        <f t="shared" si="1564"/>
        <v>X</v>
      </c>
      <c r="M7222" s="1" t="str">
        <f t="shared" si="1564"/>
        <v>X</v>
      </c>
      <c r="N7222" t="s">
        <v>27</v>
      </c>
    </row>
    <row r="7223" spans="1:14" x14ac:dyDescent="0.25">
      <c r="A7223" t="s">
        <v>42</v>
      </c>
      <c r="B7223" t="s">
        <v>40</v>
      </c>
      <c r="C7223" t="s">
        <v>35</v>
      </c>
      <c r="D7223" t="s">
        <v>28</v>
      </c>
      <c r="E7223" t="s">
        <v>26</v>
      </c>
      <c r="F7223" t="s">
        <v>17</v>
      </c>
      <c r="G7223" s="1" t="str">
        <f t="shared" ref="G7223:M7225" si="1565">"..."</f>
        <v>...</v>
      </c>
      <c r="H7223" s="1" t="str">
        <f t="shared" si="1565"/>
        <v>...</v>
      </c>
      <c r="I7223" s="1" t="str">
        <f t="shared" si="1565"/>
        <v>...</v>
      </c>
      <c r="J7223" s="1" t="str">
        <f t="shared" si="1565"/>
        <v>...</v>
      </c>
      <c r="K7223" s="1" t="str">
        <f t="shared" si="1565"/>
        <v>...</v>
      </c>
      <c r="L7223" s="1" t="str">
        <f t="shared" si="1565"/>
        <v>...</v>
      </c>
      <c r="M7223" s="1" t="str">
        <f t="shared" si="1565"/>
        <v>...</v>
      </c>
      <c r="N7223" t="s">
        <v>30</v>
      </c>
    </row>
    <row r="7224" spans="1:14" x14ac:dyDescent="0.25">
      <c r="A7224" t="s">
        <v>42</v>
      </c>
      <c r="B7224" t="s">
        <v>40</v>
      </c>
      <c r="C7224" t="s">
        <v>35</v>
      </c>
      <c r="D7224" t="s">
        <v>28</v>
      </c>
      <c r="E7224" t="s">
        <v>26</v>
      </c>
      <c r="F7224" t="s">
        <v>18</v>
      </c>
      <c r="G7224" s="1" t="str">
        <f t="shared" si="1565"/>
        <v>...</v>
      </c>
      <c r="H7224" s="1" t="str">
        <f t="shared" si="1565"/>
        <v>...</v>
      </c>
      <c r="I7224" s="1" t="str">
        <f t="shared" si="1565"/>
        <v>...</v>
      </c>
      <c r="J7224" s="1" t="str">
        <f t="shared" si="1565"/>
        <v>...</v>
      </c>
      <c r="K7224" s="1" t="str">
        <f t="shared" si="1565"/>
        <v>...</v>
      </c>
      <c r="L7224" s="1" t="str">
        <f t="shared" si="1565"/>
        <v>...</v>
      </c>
      <c r="M7224" s="1" t="str">
        <f t="shared" si="1565"/>
        <v>...</v>
      </c>
      <c r="N7224" t="s">
        <v>30</v>
      </c>
    </row>
    <row r="7225" spans="1:14" x14ac:dyDescent="0.25">
      <c r="A7225" t="s">
        <v>42</v>
      </c>
      <c r="B7225" t="s">
        <v>40</v>
      </c>
      <c r="C7225" t="s">
        <v>35</v>
      </c>
      <c r="D7225" t="s">
        <v>28</v>
      </c>
      <c r="E7225" t="s">
        <v>26</v>
      </c>
      <c r="F7225" t="s">
        <v>19</v>
      </c>
      <c r="G7225" s="1" t="str">
        <f t="shared" si="1565"/>
        <v>...</v>
      </c>
      <c r="H7225" s="1" t="str">
        <f t="shared" si="1565"/>
        <v>...</v>
      </c>
      <c r="I7225" s="1" t="str">
        <f t="shared" si="1565"/>
        <v>...</v>
      </c>
      <c r="J7225" s="1" t="str">
        <f t="shared" si="1565"/>
        <v>...</v>
      </c>
      <c r="K7225" s="1" t="str">
        <f t="shared" si="1565"/>
        <v>...</v>
      </c>
      <c r="L7225" s="1" t="str">
        <f t="shared" si="1565"/>
        <v>...</v>
      </c>
      <c r="M7225" s="1" t="str">
        <f t="shared" si="1565"/>
        <v>...</v>
      </c>
      <c r="N7225" t="s">
        <v>30</v>
      </c>
    </row>
    <row r="7226" spans="1:14" x14ac:dyDescent="0.25">
      <c r="A7226" t="s">
        <v>42</v>
      </c>
      <c r="B7226" t="s">
        <v>40</v>
      </c>
      <c r="C7226" t="s">
        <v>35</v>
      </c>
      <c r="D7226" t="s">
        <v>28</v>
      </c>
      <c r="E7226" t="s">
        <v>26</v>
      </c>
      <c r="F7226" t="s">
        <v>20</v>
      </c>
      <c r="G7226" s="1" t="str">
        <f t="shared" ref="G7226:M7226" si="1566">"X"</f>
        <v>X</v>
      </c>
      <c r="H7226" s="1" t="str">
        <f t="shared" si="1566"/>
        <v>X</v>
      </c>
      <c r="I7226" s="1" t="str">
        <f t="shared" si="1566"/>
        <v>X</v>
      </c>
      <c r="J7226" s="1" t="str">
        <f t="shared" si="1566"/>
        <v>X</v>
      </c>
      <c r="K7226" s="1" t="str">
        <f t="shared" si="1566"/>
        <v>X</v>
      </c>
      <c r="L7226" s="1" t="str">
        <f t="shared" si="1566"/>
        <v>X</v>
      </c>
      <c r="M7226" s="1" t="str">
        <f t="shared" si="1566"/>
        <v>X</v>
      </c>
      <c r="N7226" t="s">
        <v>27</v>
      </c>
    </row>
    <row r="7227" spans="1:14" x14ac:dyDescent="0.25">
      <c r="A7227" t="s">
        <v>42</v>
      </c>
      <c r="B7227" t="s">
        <v>40</v>
      </c>
      <c r="C7227" t="s">
        <v>35</v>
      </c>
      <c r="D7227" t="s">
        <v>29</v>
      </c>
      <c r="E7227" t="s">
        <v>15</v>
      </c>
      <c r="F7227" t="s">
        <v>15</v>
      </c>
      <c r="G7227" s="2">
        <f>VALUE(268.89)</f>
        <v>268.89</v>
      </c>
      <c r="H7227" s="3">
        <f>VALUE(243.53)</f>
        <v>243.53</v>
      </c>
      <c r="I7227" s="4">
        <f>VALUE(2659)</f>
        <v>2659</v>
      </c>
      <c r="J7227" s="5">
        <f>VALUE(3166)</f>
        <v>3166</v>
      </c>
      <c r="K7227" s="1">
        <f>VALUE(3820)</f>
        <v>3820</v>
      </c>
      <c r="L7227" s="7">
        <f>VALUE(4524)</f>
        <v>4524</v>
      </c>
      <c r="M7227" s="1">
        <f>VALUE(53782)</f>
        <v>53782</v>
      </c>
      <c r="N7227" t="s">
        <v>25</v>
      </c>
    </row>
    <row r="7228" spans="1:14" x14ac:dyDescent="0.25">
      <c r="A7228" t="s">
        <v>42</v>
      </c>
      <c r="B7228" t="s">
        <v>40</v>
      </c>
      <c r="C7228" t="s">
        <v>35</v>
      </c>
      <c r="D7228" t="s">
        <v>29</v>
      </c>
      <c r="E7228" t="s">
        <v>15</v>
      </c>
      <c r="F7228" t="s">
        <v>17</v>
      </c>
      <c r="G7228" s="1" t="str">
        <f t="shared" ref="G7228:M7230" si="1567">"X"</f>
        <v>X</v>
      </c>
      <c r="H7228" s="1" t="str">
        <f t="shared" si="1567"/>
        <v>X</v>
      </c>
      <c r="I7228" s="1" t="str">
        <f t="shared" si="1567"/>
        <v>X</v>
      </c>
      <c r="J7228" s="1" t="str">
        <f t="shared" si="1567"/>
        <v>X</v>
      </c>
      <c r="K7228" s="1" t="str">
        <f t="shared" si="1567"/>
        <v>X</v>
      </c>
      <c r="L7228" s="1" t="str">
        <f t="shared" si="1567"/>
        <v>X</v>
      </c>
      <c r="M7228" s="1" t="str">
        <f t="shared" si="1567"/>
        <v>X</v>
      </c>
      <c r="N7228" t="s">
        <v>27</v>
      </c>
    </row>
    <row r="7229" spans="1:14" x14ac:dyDescent="0.25">
      <c r="A7229" t="s">
        <v>42</v>
      </c>
      <c r="B7229" t="s">
        <v>40</v>
      </c>
      <c r="C7229" t="s">
        <v>35</v>
      </c>
      <c r="D7229" t="s">
        <v>29</v>
      </c>
      <c r="E7229" t="s">
        <v>15</v>
      </c>
      <c r="F7229" t="s">
        <v>18</v>
      </c>
      <c r="G7229" s="1" t="str">
        <f t="shared" si="1567"/>
        <v>X</v>
      </c>
      <c r="H7229" s="1" t="str">
        <f t="shared" si="1567"/>
        <v>X</v>
      </c>
      <c r="I7229" s="1" t="str">
        <f t="shared" si="1567"/>
        <v>X</v>
      </c>
      <c r="J7229" s="1" t="str">
        <f t="shared" si="1567"/>
        <v>X</v>
      </c>
      <c r="K7229" s="1" t="str">
        <f t="shared" si="1567"/>
        <v>X</v>
      </c>
      <c r="L7229" s="1" t="str">
        <f t="shared" si="1567"/>
        <v>X</v>
      </c>
      <c r="M7229" s="1" t="str">
        <f t="shared" si="1567"/>
        <v>X</v>
      </c>
      <c r="N7229" t="s">
        <v>27</v>
      </c>
    </row>
    <row r="7230" spans="1:14" x14ac:dyDescent="0.25">
      <c r="A7230" t="s">
        <v>42</v>
      </c>
      <c r="B7230" t="s">
        <v>40</v>
      </c>
      <c r="C7230" t="s">
        <v>35</v>
      </c>
      <c r="D7230" t="s">
        <v>29</v>
      </c>
      <c r="E7230" t="s">
        <v>15</v>
      </c>
      <c r="F7230" t="s">
        <v>19</v>
      </c>
      <c r="G7230" s="1" t="str">
        <f t="shared" si="1567"/>
        <v>X</v>
      </c>
      <c r="H7230" s="1" t="str">
        <f t="shared" si="1567"/>
        <v>X</v>
      </c>
      <c r="I7230" s="1" t="str">
        <f t="shared" si="1567"/>
        <v>X</v>
      </c>
      <c r="J7230" s="1" t="str">
        <f t="shared" si="1567"/>
        <v>X</v>
      </c>
      <c r="K7230" s="1" t="str">
        <f t="shared" si="1567"/>
        <v>X</v>
      </c>
      <c r="L7230" s="1" t="str">
        <f t="shared" si="1567"/>
        <v>X</v>
      </c>
      <c r="M7230" s="1" t="str">
        <f t="shared" si="1567"/>
        <v>X</v>
      </c>
      <c r="N7230" t="s">
        <v>27</v>
      </c>
    </row>
    <row r="7231" spans="1:14" x14ac:dyDescent="0.25">
      <c r="A7231" t="s">
        <v>42</v>
      </c>
      <c r="B7231" t="s">
        <v>40</v>
      </c>
      <c r="C7231" t="s">
        <v>35</v>
      </c>
      <c r="D7231" t="s">
        <v>29</v>
      </c>
      <c r="E7231" t="s">
        <v>15</v>
      </c>
      <c r="F7231" t="s">
        <v>20</v>
      </c>
      <c r="G7231" s="2">
        <f>VALUE(187.32)</f>
        <v>187.32</v>
      </c>
      <c r="H7231" s="3">
        <f>VALUE(168.35)</f>
        <v>168.35</v>
      </c>
      <c r="I7231" s="4">
        <f>VALUE(2659)</f>
        <v>2659</v>
      </c>
      <c r="J7231" s="5">
        <f>VALUE(3040)</f>
        <v>3040</v>
      </c>
      <c r="K7231" s="1">
        <f>VALUE(3520)</f>
        <v>3520</v>
      </c>
      <c r="L7231" s="1">
        <f>VALUE(4130)</f>
        <v>4130</v>
      </c>
      <c r="M7231" s="1">
        <f>VALUE(4873)</f>
        <v>4873</v>
      </c>
      <c r="N7231" t="s">
        <v>25</v>
      </c>
    </row>
    <row r="7232" spans="1:14" x14ac:dyDescent="0.25">
      <c r="A7232" t="s">
        <v>42</v>
      </c>
      <c r="B7232" t="s">
        <v>40</v>
      </c>
      <c r="C7232" t="s">
        <v>35</v>
      </c>
      <c r="D7232" t="s">
        <v>29</v>
      </c>
      <c r="E7232" t="s">
        <v>21</v>
      </c>
      <c r="F7232" t="s">
        <v>15</v>
      </c>
      <c r="G7232" s="1" t="str">
        <f t="shared" ref="G7232:M7232" si="1568">"X"</f>
        <v>X</v>
      </c>
      <c r="H7232" s="1" t="str">
        <f t="shared" si="1568"/>
        <v>X</v>
      </c>
      <c r="I7232" s="1" t="str">
        <f t="shared" si="1568"/>
        <v>X</v>
      </c>
      <c r="J7232" s="1" t="str">
        <f t="shared" si="1568"/>
        <v>X</v>
      </c>
      <c r="K7232" s="1" t="str">
        <f t="shared" si="1568"/>
        <v>X</v>
      </c>
      <c r="L7232" s="1" t="str">
        <f t="shared" si="1568"/>
        <v>X</v>
      </c>
      <c r="M7232" s="1" t="str">
        <f t="shared" si="1568"/>
        <v>X</v>
      </c>
      <c r="N7232" t="s">
        <v>27</v>
      </c>
    </row>
    <row r="7233" spans="1:14" x14ac:dyDescent="0.25">
      <c r="A7233" t="s">
        <v>42</v>
      </c>
      <c r="B7233" t="s">
        <v>40</v>
      </c>
      <c r="C7233" t="s">
        <v>35</v>
      </c>
      <c r="D7233" t="s">
        <v>29</v>
      </c>
      <c r="E7233" t="s">
        <v>21</v>
      </c>
      <c r="F7233" t="s">
        <v>17</v>
      </c>
      <c r="G7233" s="1" t="str">
        <f t="shared" ref="G7233:M7235" si="1569">"..."</f>
        <v>...</v>
      </c>
      <c r="H7233" s="1" t="str">
        <f t="shared" si="1569"/>
        <v>...</v>
      </c>
      <c r="I7233" s="1" t="str">
        <f t="shared" si="1569"/>
        <v>...</v>
      </c>
      <c r="J7233" s="1" t="str">
        <f t="shared" si="1569"/>
        <v>...</v>
      </c>
      <c r="K7233" s="1" t="str">
        <f t="shared" si="1569"/>
        <v>...</v>
      </c>
      <c r="L7233" s="1" t="str">
        <f t="shared" si="1569"/>
        <v>...</v>
      </c>
      <c r="M7233" s="1" t="str">
        <f t="shared" si="1569"/>
        <v>...</v>
      </c>
      <c r="N7233" t="s">
        <v>30</v>
      </c>
    </row>
    <row r="7234" spans="1:14" x14ac:dyDescent="0.25">
      <c r="A7234" t="s">
        <v>42</v>
      </c>
      <c r="B7234" t="s">
        <v>40</v>
      </c>
      <c r="C7234" t="s">
        <v>35</v>
      </c>
      <c r="D7234" t="s">
        <v>29</v>
      </c>
      <c r="E7234" t="s">
        <v>21</v>
      </c>
      <c r="F7234" t="s">
        <v>18</v>
      </c>
      <c r="G7234" s="1" t="str">
        <f t="shared" si="1569"/>
        <v>...</v>
      </c>
      <c r="H7234" s="1" t="str">
        <f t="shared" si="1569"/>
        <v>...</v>
      </c>
      <c r="I7234" s="1" t="str">
        <f t="shared" si="1569"/>
        <v>...</v>
      </c>
      <c r="J7234" s="1" t="str">
        <f t="shared" si="1569"/>
        <v>...</v>
      </c>
      <c r="K7234" s="1" t="str">
        <f t="shared" si="1569"/>
        <v>...</v>
      </c>
      <c r="L7234" s="1" t="str">
        <f t="shared" si="1569"/>
        <v>...</v>
      </c>
      <c r="M7234" s="1" t="str">
        <f t="shared" si="1569"/>
        <v>...</v>
      </c>
      <c r="N7234" t="s">
        <v>30</v>
      </c>
    </row>
    <row r="7235" spans="1:14" x14ac:dyDescent="0.25">
      <c r="A7235" t="s">
        <v>42</v>
      </c>
      <c r="B7235" t="s">
        <v>40</v>
      </c>
      <c r="C7235" t="s">
        <v>35</v>
      </c>
      <c r="D7235" t="s">
        <v>29</v>
      </c>
      <c r="E7235" t="s">
        <v>21</v>
      </c>
      <c r="F7235" t="s">
        <v>19</v>
      </c>
      <c r="G7235" s="1" t="str">
        <f t="shared" si="1569"/>
        <v>...</v>
      </c>
      <c r="H7235" s="1" t="str">
        <f t="shared" si="1569"/>
        <v>...</v>
      </c>
      <c r="I7235" s="1" t="str">
        <f t="shared" si="1569"/>
        <v>...</v>
      </c>
      <c r="J7235" s="1" t="str">
        <f t="shared" si="1569"/>
        <v>...</v>
      </c>
      <c r="K7235" s="1" t="str">
        <f t="shared" si="1569"/>
        <v>...</v>
      </c>
      <c r="L7235" s="1" t="str">
        <f t="shared" si="1569"/>
        <v>...</v>
      </c>
      <c r="M7235" s="1" t="str">
        <f t="shared" si="1569"/>
        <v>...</v>
      </c>
      <c r="N7235" t="s">
        <v>30</v>
      </c>
    </row>
    <row r="7236" spans="1:14" x14ac:dyDescent="0.25">
      <c r="A7236" t="s">
        <v>42</v>
      </c>
      <c r="B7236" t="s">
        <v>40</v>
      </c>
      <c r="C7236" t="s">
        <v>35</v>
      </c>
      <c r="D7236" t="s">
        <v>29</v>
      </c>
      <c r="E7236" t="s">
        <v>21</v>
      </c>
      <c r="F7236" t="s">
        <v>20</v>
      </c>
      <c r="G7236" s="1" t="str">
        <f t="shared" ref="G7236:M7247" si="1570">"X"</f>
        <v>X</v>
      </c>
      <c r="H7236" s="1" t="str">
        <f t="shared" si="1570"/>
        <v>X</v>
      </c>
      <c r="I7236" s="1" t="str">
        <f t="shared" si="1570"/>
        <v>X</v>
      </c>
      <c r="J7236" s="1" t="str">
        <f t="shared" si="1570"/>
        <v>X</v>
      </c>
      <c r="K7236" s="1" t="str">
        <f t="shared" si="1570"/>
        <v>X</v>
      </c>
      <c r="L7236" s="1" t="str">
        <f t="shared" si="1570"/>
        <v>X</v>
      </c>
      <c r="M7236" s="1" t="str">
        <f t="shared" si="1570"/>
        <v>X</v>
      </c>
      <c r="N7236" t="s">
        <v>27</v>
      </c>
    </row>
    <row r="7237" spans="1:14" x14ac:dyDescent="0.25">
      <c r="A7237" t="s">
        <v>42</v>
      </c>
      <c r="B7237" t="s">
        <v>40</v>
      </c>
      <c r="C7237" t="s">
        <v>35</v>
      </c>
      <c r="D7237" t="s">
        <v>29</v>
      </c>
      <c r="E7237" t="s">
        <v>22</v>
      </c>
      <c r="F7237" t="s">
        <v>15</v>
      </c>
      <c r="G7237" s="1" t="str">
        <f t="shared" si="1570"/>
        <v>X</v>
      </c>
      <c r="H7237" s="1" t="str">
        <f t="shared" si="1570"/>
        <v>X</v>
      </c>
      <c r="I7237" s="1" t="str">
        <f t="shared" si="1570"/>
        <v>X</v>
      </c>
      <c r="J7237" s="1" t="str">
        <f t="shared" si="1570"/>
        <v>X</v>
      </c>
      <c r="K7237" s="1" t="str">
        <f t="shared" si="1570"/>
        <v>X</v>
      </c>
      <c r="L7237" s="1" t="str">
        <f t="shared" si="1570"/>
        <v>X</v>
      </c>
      <c r="M7237" s="1" t="str">
        <f t="shared" si="1570"/>
        <v>X</v>
      </c>
      <c r="N7237" t="s">
        <v>27</v>
      </c>
    </row>
    <row r="7238" spans="1:14" x14ac:dyDescent="0.25">
      <c r="A7238" t="s">
        <v>42</v>
      </c>
      <c r="B7238" t="s">
        <v>40</v>
      </c>
      <c r="C7238" t="s">
        <v>35</v>
      </c>
      <c r="D7238" t="s">
        <v>29</v>
      </c>
      <c r="E7238" t="s">
        <v>22</v>
      </c>
      <c r="F7238" t="s">
        <v>17</v>
      </c>
      <c r="G7238" s="1" t="str">
        <f t="shared" si="1570"/>
        <v>X</v>
      </c>
      <c r="H7238" s="1" t="str">
        <f t="shared" si="1570"/>
        <v>X</v>
      </c>
      <c r="I7238" s="1" t="str">
        <f t="shared" si="1570"/>
        <v>X</v>
      </c>
      <c r="J7238" s="1" t="str">
        <f t="shared" si="1570"/>
        <v>X</v>
      </c>
      <c r="K7238" s="1" t="str">
        <f t="shared" si="1570"/>
        <v>X</v>
      </c>
      <c r="L7238" s="1" t="str">
        <f t="shared" si="1570"/>
        <v>X</v>
      </c>
      <c r="M7238" s="1" t="str">
        <f t="shared" si="1570"/>
        <v>X</v>
      </c>
      <c r="N7238" t="s">
        <v>27</v>
      </c>
    </row>
    <row r="7239" spans="1:14" x14ac:dyDescent="0.25">
      <c r="A7239" t="s">
        <v>42</v>
      </c>
      <c r="B7239" t="s">
        <v>40</v>
      </c>
      <c r="C7239" t="s">
        <v>35</v>
      </c>
      <c r="D7239" t="s">
        <v>29</v>
      </c>
      <c r="E7239" t="s">
        <v>22</v>
      </c>
      <c r="F7239" t="s">
        <v>18</v>
      </c>
      <c r="G7239" s="1" t="str">
        <f t="shared" si="1570"/>
        <v>X</v>
      </c>
      <c r="H7239" s="1" t="str">
        <f t="shared" si="1570"/>
        <v>X</v>
      </c>
      <c r="I7239" s="1" t="str">
        <f t="shared" si="1570"/>
        <v>X</v>
      </c>
      <c r="J7239" s="1" t="str">
        <f t="shared" si="1570"/>
        <v>X</v>
      </c>
      <c r="K7239" s="1" t="str">
        <f t="shared" si="1570"/>
        <v>X</v>
      </c>
      <c r="L7239" s="1" t="str">
        <f t="shared" si="1570"/>
        <v>X</v>
      </c>
      <c r="M7239" s="1" t="str">
        <f t="shared" si="1570"/>
        <v>X</v>
      </c>
      <c r="N7239" t="s">
        <v>27</v>
      </c>
    </row>
    <row r="7240" spans="1:14" x14ac:dyDescent="0.25">
      <c r="A7240" t="s">
        <v>42</v>
      </c>
      <c r="B7240" t="s">
        <v>40</v>
      </c>
      <c r="C7240" t="s">
        <v>35</v>
      </c>
      <c r="D7240" t="s">
        <v>29</v>
      </c>
      <c r="E7240" t="s">
        <v>22</v>
      </c>
      <c r="F7240" t="s">
        <v>19</v>
      </c>
      <c r="G7240" s="1" t="str">
        <f t="shared" si="1570"/>
        <v>X</v>
      </c>
      <c r="H7240" s="1" t="str">
        <f t="shared" si="1570"/>
        <v>X</v>
      </c>
      <c r="I7240" s="1" t="str">
        <f t="shared" si="1570"/>
        <v>X</v>
      </c>
      <c r="J7240" s="1" t="str">
        <f t="shared" si="1570"/>
        <v>X</v>
      </c>
      <c r="K7240" s="1" t="str">
        <f t="shared" si="1570"/>
        <v>X</v>
      </c>
      <c r="L7240" s="1" t="str">
        <f t="shared" si="1570"/>
        <v>X</v>
      </c>
      <c r="M7240" s="1" t="str">
        <f t="shared" si="1570"/>
        <v>X</v>
      </c>
      <c r="N7240" t="s">
        <v>27</v>
      </c>
    </row>
    <row r="7241" spans="1:14" x14ac:dyDescent="0.25">
      <c r="A7241" t="s">
        <v>42</v>
      </c>
      <c r="B7241" t="s">
        <v>40</v>
      </c>
      <c r="C7241" t="s">
        <v>35</v>
      </c>
      <c r="D7241" t="s">
        <v>29</v>
      </c>
      <c r="E7241" t="s">
        <v>22</v>
      </c>
      <c r="F7241" t="s">
        <v>20</v>
      </c>
      <c r="G7241" s="1" t="str">
        <f t="shared" si="1570"/>
        <v>X</v>
      </c>
      <c r="H7241" s="1" t="str">
        <f t="shared" si="1570"/>
        <v>X</v>
      </c>
      <c r="I7241" s="1" t="str">
        <f t="shared" si="1570"/>
        <v>X</v>
      </c>
      <c r="J7241" s="1" t="str">
        <f t="shared" si="1570"/>
        <v>X</v>
      </c>
      <c r="K7241" s="1" t="str">
        <f t="shared" si="1570"/>
        <v>X</v>
      </c>
      <c r="L7241" s="1" t="str">
        <f t="shared" si="1570"/>
        <v>X</v>
      </c>
      <c r="M7241" s="1" t="str">
        <f t="shared" si="1570"/>
        <v>X</v>
      </c>
      <c r="N7241" t="s">
        <v>27</v>
      </c>
    </row>
    <row r="7242" spans="1:14" x14ac:dyDescent="0.25">
      <c r="A7242" t="s">
        <v>42</v>
      </c>
      <c r="B7242" t="s">
        <v>40</v>
      </c>
      <c r="C7242" t="s">
        <v>35</v>
      </c>
      <c r="D7242" t="s">
        <v>29</v>
      </c>
      <c r="E7242" t="s">
        <v>23</v>
      </c>
      <c r="F7242" t="s">
        <v>15</v>
      </c>
      <c r="G7242" s="1" t="str">
        <f t="shared" si="1570"/>
        <v>X</v>
      </c>
      <c r="H7242" s="1" t="str">
        <f t="shared" si="1570"/>
        <v>X</v>
      </c>
      <c r="I7242" s="1" t="str">
        <f t="shared" si="1570"/>
        <v>X</v>
      </c>
      <c r="J7242" s="1" t="str">
        <f t="shared" si="1570"/>
        <v>X</v>
      </c>
      <c r="K7242" s="1" t="str">
        <f t="shared" si="1570"/>
        <v>X</v>
      </c>
      <c r="L7242" s="1" t="str">
        <f t="shared" si="1570"/>
        <v>X</v>
      </c>
      <c r="M7242" s="1" t="str">
        <f t="shared" si="1570"/>
        <v>X</v>
      </c>
      <c r="N7242" t="s">
        <v>27</v>
      </c>
    </row>
    <row r="7243" spans="1:14" x14ac:dyDescent="0.25">
      <c r="A7243" t="s">
        <v>42</v>
      </c>
      <c r="B7243" t="s">
        <v>40</v>
      </c>
      <c r="C7243" t="s">
        <v>35</v>
      </c>
      <c r="D7243" t="s">
        <v>29</v>
      </c>
      <c r="E7243" t="s">
        <v>23</v>
      </c>
      <c r="F7243" t="s">
        <v>17</v>
      </c>
      <c r="G7243" s="1" t="str">
        <f t="shared" si="1570"/>
        <v>X</v>
      </c>
      <c r="H7243" s="1" t="str">
        <f t="shared" si="1570"/>
        <v>X</v>
      </c>
      <c r="I7243" s="1" t="str">
        <f t="shared" si="1570"/>
        <v>X</v>
      </c>
      <c r="J7243" s="1" t="str">
        <f t="shared" si="1570"/>
        <v>X</v>
      </c>
      <c r="K7243" s="1" t="str">
        <f t="shared" si="1570"/>
        <v>X</v>
      </c>
      <c r="L7243" s="1" t="str">
        <f t="shared" si="1570"/>
        <v>X</v>
      </c>
      <c r="M7243" s="1" t="str">
        <f t="shared" si="1570"/>
        <v>X</v>
      </c>
      <c r="N7243" t="s">
        <v>27</v>
      </c>
    </row>
    <row r="7244" spans="1:14" x14ac:dyDescent="0.25">
      <c r="A7244" t="s">
        <v>42</v>
      </c>
      <c r="B7244" t="s">
        <v>40</v>
      </c>
      <c r="C7244" t="s">
        <v>35</v>
      </c>
      <c r="D7244" t="s">
        <v>29</v>
      </c>
      <c r="E7244" t="s">
        <v>23</v>
      </c>
      <c r="F7244" t="s">
        <v>18</v>
      </c>
      <c r="G7244" s="1" t="str">
        <f t="shared" si="1570"/>
        <v>X</v>
      </c>
      <c r="H7244" s="1" t="str">
        <f t="shared" si="1570"/>
        <v>X</v>
      </c>
      <c r="I7244" s="1" t="str">
        <f t="shared" si="1570"/>
        <v>X</v>
      </c>
      <c r="J7244" s="1" t="str">
        <f t="shared" si="1570"/>
        <v>X</v>
      </c>
      <c r="K7244" s="1" t="str">
        <f t="shared" si="1570"/>
        <v>X</v>
      </c>
      <c r="L7244" s="1" t="str">
        <f t="shared" si="1570"/>
        <v>X</v>
      </c>
      <c r="M7244" s="1" t="str">
        <f t="shared" si="1570"/>
        <v>X</v>
      </c>
      <c r="N7244" t="s">
        <v>27</v>
      </c>
    </row>
    <row r="7245" spans="1:14" x14ac:dyDescent="0.25">
      <c r="A7245" t="s">
        <v>42</v>
      </c>
      <c r="B7245" t="s">
        <v>40</v>
      </c>
      <c r="C7245" t="s">
        <v>35</v>
      </c>
      <c r="D7245" t="s">
        <v>29</v>
      </c>
      <c r="E7245" t="s">
        <v>23</v>
      </c>
      <c r="F7245" t="s">
        <v>19</v>
      </c>
      <c r="G7245" s="1" t="str">
        <f t="shared" si="1570"/>
        <v>X</v>
      </c>
      <c r="H7245" s="1" t="str">
        <f t="shared" si="1570"/>
        <v>X</v>
      </c>
      <c r="I7245" s="1" t="str">
        <f t="shared" si="1570"/>
        <v>X</v>
      </c>
      <c r="J7245" s="1" t="str">
        <f t="shared" si="1570"/>
        <v>X</v>
      </c>
      <c r="K7245" s="1" t="str">
        <f t="shared" si="1570"/>
        <v>X</v>
      </c>
      <c r="L7245" s="1" t="str">
        <f t="shared" si="1570"/>
        <v>X</v>
      </c>
      <c r="M7245" s="1" t="str">
        <f t="shared" si="1570"/>
        <v>X</v>
      </c>
      <c r="N7245" t="s">
        <v>27</v>
      </c>
    </row>
    <row r="7246" spans="1:14" x14ac:dyDescent="0.25">
      <c r="A7246" t="s">
        <v>42</v>
      </c>
      <c r="B7246" t="s">
        <v>40</v>
      </c>
      <c r="C7246" t="s">
        <v>35</v>
      </c>
      <c r="D7246" t="s">
        <v>29</v>
      </c>
      <c r="E7246" t="s">
        <v>23</v>
      </c>
      <c r="F7246" t="s">
        <v>20</v>
      </c>
      <c r="G7246" s="1" t="str">
        <f t="shared" si="1570"/>
        <v>X</v>
      </c>
      <c r="H7246" s="1" t="str">
        <f t="shared" si="1570"/>
        <v>X</v>
      </c>
      <c r="I7246" s="1" t="str">
        <f t="shared" si="1570"/>
        <v>X</v>
      </c>
      <c r="J7246" s="1" t="str">
        <f t="shared" si="1570"/>
        <v>X</v>
      </c>
      <c r="K7246" s="1" t="str">
        <f t="shared" si="1570"/>
        <v>X</v>
      </c>
      <c r="L7246" s="1" t="str">
        <f t="shared" si="1570"/>
        <v>X</v>
      </c>
      <c r="M7246" s="1" t="str">
        <f t="shared" si="1570"/>
        <v>X</v>
      </c>
      <c r="N7246" t="s">
        <v>27</v>
      </c>
    </row>
    <row r="7247" spans="1:14" x14ac:dyDescent="0.25">
      <c r="A7247" t="s">
        <v>42</v>
      </c>
      <c r="B7247" t="s">
        <v>40</v>
      </c>
      <c r="C7247" t="s">
        <v>35</v>
      </c>
      <c r="D7247" t="s">
        <v>29</v>
      </c>
      <c r="E7247" t="s">
        <v>26</v>
      </c>
      <c r="F7247" t="s">
        <v>15</v>
      </c>
      <c r="G7247" s="1" t="str">
        <f t="shared" si="1570"/>
        <v>X</v>
      </c>
      <c r="H7247" s="1" t="str">
        <f t="shared" si="1570"/>
        <v>X</v>
      </c>
      <c r="I7247" s="1" t="str">
        <f t="shared" si="1570"/>
        <v>X</v>
      </c>
      <c r="J7247" s="1" t="str">
        <f t="shared" si="1570"/>
        <v>X</v>
      </c>
      <c r="K7247" s="1" t="str">
        <f t="shared" si="1570"/>
        <v>X</v>
      </c>
      <c r="L7247" s="1" t="str">
        <f t="shared" si="1570"/>
        <v>X</v>
      </c>
      <c r="M7247" s="1" t="str">
        <f t="shared" si="1570"/>
        <v>X</v>
      </c>
      <c r="N7247" t="s">
        <v>27</v>
      </c>
    </row>
    <row r="7248" spans="1:14" x14ac:dyDescent="0.25">
      <c r="A7248" t="s">
        <v>42</v>
      </c>
      <c r="B7248" t="s">
        <v>40</v>
      </c>
      <c r="C7248" t="s">
        <v>35</v>
      </c>
      <c r="D7248" t="s">
        <v>29</v>
      </c>
      <c r="E7248" t="s">
        <v>26</v>
      </c>
      <c r="F7248" t="s">
        <v>17</v>
      </c>
      <c r="G7248" s="1" t="str">
        <f t="shared" ref="G7248:M7250" si="1571">"..."</f>
        <v>...</v>
      </c>
      <c r="H7248" s="1" t="str">
        <f t="shared" si="1571"/>
        <v>...</v>
      </c>
      <c r="I7248" s="1" t="str">
        <f t="shared" si="1571"/>
        <v>...</v>
      </c>
      <c r="J7248" s="1" t="str">
        <f t="shared" si="1571"/>
        <v>...</v>
      </c>
      <c r="K7248" s="1" t="str">
        <f t="shared" si="1571"/>
        <v>...</v>
      </c>
      <c r="L7248" s="1" t="str">
        <f t="shared" si="1571"/>
        <v>...</v>
      </c>
      <c r="M7248" s="1" t="str">
        <f t="shared" si="1571"/>
        <v>...</v>
      </c>
      <c r="N7248" t="s">
        <v>30</v>
      </c>
    </row>
    <row r="7249" spans="1:14" x14ac:dyDescent="0.25">
      <c r="A7249" t="s">
        <v>42</v>
      </c>
      <c r="B7249" t="s">
        <v>40</v>
      </c>
      <c r="C7249" t="s">
        <v>35</v>
      </c>
      <c r="D7249" t="s">
        <v>29</v>
      </c>
      <c r="E7249" t="s">
        <v>26</v>
      </c>
      <c r="F7249" t="s">
        <v>18</v>
      </c>
      <c r="G7249" s="1" t="str">
        <f t="shared" si="1571"/>
        <v>...</v>
      </c>
      <c r="H7249" s="1" t="str">
        <f t="shared" si="1571"/>
        <v>...</v>
      </c>
      <c r="I7249" s="1" t="str">
        <f t="shared" si="1571"/>
        <v>...</v>
      </c>
      <c r="J7249" s="1" t="str">
        <f t="shared" si="1571"/>
        <v>...</v>
      </c>
      <c r="K7249" s="1" t="str">
        <f t="shared" si="1571"/>
        <v>...</v>
      </c>
      <c r="L7249" s="1" t="str">
        <f t="shared" si="1571"/>
        <v>...</v>
      </c>
      <c r="M7249" s="1" t="str">
        <f t="shared" si="1571"/>
        <v>...</v>
      </c>
      <c r="N7249" t="s">
        <v>30</v>
      </c>
    </row>
    <row r="7250" spans="1:14" x14ac:dyDescent="0.25">
      <c r="A7250" t="s">
        <v>42</v>
      </c>
      <c r="B7250" t="s">
        <v>40</v>
      </c>
      <c r="C7250" t="s">
        <v>35</v>
      </c>
      <c r="D7250" t="s">
        <v>29</v>
      </c>
      <c r="E7250" t="s">
        <v>26</v>
      </c>
      <c r="F7250" t="s">
        <v>19</v>
      </c>
      <c r="G7250" s="1" t="str">
        <f t="shared" si="1571"/>
        <v>...</v>
      </c>
      <c r="H7250" s="1" t="str">
        <f t="shared" si="1571"/>
        <v>...</v>
      </c>
      <c r="I7250" s="1" t="str">
        <f t="shared" si="1571"/>
        <v>...</v>
      </c>
      <c r="J7250" s="1" t="str">
        <f t="shared" si="1571"/>
        <v>...</v>
      </c>
      <c r="K7250" s="1" t="str">
        <f t="shared" si="1571"/>
        <v>...</v>
      </c>
      <c r="L7250" s="1" t="str">
        <f t="shared" si="1571"/>
        <v>...</v>
      </c>
      <c r="M7250" s="1" t="str">
        <f t="shared" si="1571"/>
        <v>...</v>
      </c>
      <c r="N7250" t="s">
        <v>30</v>
      </c>
    </row>
    <row r="7251" spans="1:14" x14ac:dyDescent="0.25">
      <c r="A7251" t="s">
        <v>42</v>
      </c>
      <c r="B7251" t="s">
        <v>40</v>
      </c>
      <c r="C7251" t="s">
        <v>35</v>
      </c>
      <c r="D7251" t="s">
        <v>29</v>
      </c>
      <c r="E7251" t="s">
        <v>26</v>
      </c>
      <c r="F7251" t="s">
        <v>20</v>
      </c>
      <c r="G7251" s="1" t="str">
        <f t="shared" ref="G7251:M7251" si="1572">"X"</f>
        <v>X</v>
      </c>
      <c r="H7251" s="1" t="str">
        <f t="shared" si="1572"/>
        <v>X</v>
      </c>
      <c r="I7251" s="1" t="str">
        <f t="shared" si="1572"/>
        <v>X</v>
      </c>
      <c r="J7251" s="1" t="str">
        <f t="shared" si="1572"/>
        <v>X</v>
      </c>
      <c r="K7251" s="1" t="str">
        <f t="shared" si="1572"/>
        <v>X</v>
      </c>
      <c r="L7251" s="1" t="str">
        <f t="shared" si="1572"/>
        <v>X</v>
      </c>
      <c r="M7251" s="1" t="str">
        <f t="shared" si="1572"/>
        <v>X</v>
      </c>
      <c r="N7251" t="s">
        <v>27</v>
      </c>
    </row>
    <row r="7252" spans="1:14" x14ac:dyDescent="0.25">
      <c r="A7252" t="s">
        <v>42</v>
      </c>
      <c r="B7252" t="s">
        <v>40</v>
      </c>
      <c r="C7252" t="s">
        <v>35</v>
      </c>
      <c r="D7252" t="s">
        <v>31</v>
      </c>
      <c r="E7252" t="s">
        <v>15</v>
      </c>
      <c r="F7252" t="s">
        <v>15</v>
      </c>
      <c r="G7252" s="2">
        <f>VALUE(256.23)</f>
        <v>256.23</v>
      </c>
      <c r="H7252" s="3">
        <f>VALUE(177.92)</f>
        <v>177.92</v>
      </c>
      <c r="I7252" s="4">
        <f>VALUE(3152)</f>
        <v>3152</v>
      </c>
      <c r="J7252" s="1">
        <f>VALUE(3665)</f>
        <v>3665</v>
      </c>
      <c r="K7252" s="1">
        <f>VALUE(4202)</f>
        <v>4202</v>
      </c>
      <c r="L7252" s="1">
        <f>VALUE(4694)</f>
        <v>4694</v>
      </c>
      <c r="M7252" s="1">
        <f>VALUE(5103)</f>
        <v>5103</v>
      </c>
      <c r="N7252" t="s">
        <v>25</v>
      </c>
    </row>
    <row r="7253" spans="1:14" x14ac:dyDescent="0.25">
      <c r="A7253" t="s">
        <v>42</v>
      </c>
      <c r="B7253" t="s">
        <v>40</v>
      </c>
      <c r="C7253" t="s">
        <v>35</v>
      </c>
      <c r="D7253" t="s">
        <v>31</v>
      </c>
      <c r="E7253" t="s">
        <v>15</v>
      </c>
      <c r="F7253" t="s">
        <v>17</v>
      </c>
      <c r="G7253" s="1" t="str">
        <f t="shared" ref="G7253:M7253" si="1573">"..."</f>
        <v>...</v>
      </c>
      <c r="H7253" s="1" t="str">
        <f t="shared" si="1573"/>
        <v>...</v>
      </c>
      <c r="I7253" s="1" t="str">
        <f t="shared" si="1573"/>
        <v>...</v>
      </c>
      <c r="J7253" s="1" t="str">
        <f t="shared" si="1573"/>
        <v>...</v>
      </c>
      <c r="K7253" s="1" t="str">
        <f t="shared" si="1573"/>
        <v>...</v>
      </c>
      <c r="L7253" s="1" t="str">
        <f t="shared" si="1573"/>
        <v>...</v>
      </c>
      <c r="M7253" s="1" t="str">
        <f t="shared" si="1573"/>
        <v>...</v>
      </c>
      <c r="N7253" t="s">
        <v>30</v>
      </c>
    </row>
    <row r="7254" spans="1:14" x14ac:dyDescent="0.25">
      <c r="A7254" t="s">
        <v>42</v>
      </c>
      <c r="B7254" t="s">
        <v>40</v>
      </c>
      <c r="C7254" t="s">
        <v>35</v>
      </c>
      <c r="D7254" t="s">
        <v>31</v>
      </c>
      <c r="E7254" t="s">
        <v>15</v>
      </c>
      <c r="F7254" t="s">
        <v>18</v>
      </c>
      <c r="G7254" s="1" t="str">
        <f t="shared" ref="G7254:M7255" si="1574">"X"</f>
        <v>X</v>
      </c>
      <c r="H7254" s="1" t="str">
        <f t="shared" si="1574"/>
        <v>X</v>
      </c>
      <c r="I7254" s="1" t="str">
        <f t="shared" si="1574"/>
        <v>X</v>
      </c>
      <c r="J7254" s="1" t="str">
        <f t="shared" si="1574"/>
        <v>X</v>
      </c>
      <c r="K7254" s="1" t="str">
        <f t="shared" si="1574"/>
        <v>X</v>
      </c>
      <c r="L7254" s="1" t="str">
        <f t="shared" si="1574"/>
        <v>X</v>
      </c>
      <c r="M7254" s="1" t="str">
        <f t="shared" si="1574"/>
        <v>X</v>
      </c>
      <c r="N7254" t="s">
        <v>27</v>
      </c>
    </row>
    <row r="7255" spans="1:14" x14ac:dyDescent="0.25">
      <c r="A7255" t="s">
        <v>42</v>
      </c>
      <c r="B7255" t="s">
        <v>40</v>
      </c>
      <c r="C7255" t="s">
        <v>35</v>
      </c>
      <c r="D7255" t="s">
        <v>31</v>
      </c>
      <c r="E7255" t="s">
        <v>15</v>
      </c>
      <c r="F7255" t="s">
        <v>19</v>
      </c>
      <c r="G7255" s="1" t="str">
        <f t="shared" si="1574"/>
        <v>X</v>
      </c>
      <c r="H7255" s="1" t="str">
        <f t="shared" si="1574"/>
        <v>X</v>
      </c>
      <c r="I7255" s="1" t="str">
        <f t="shared" si="1574"/>
        <v>X</v>
      </c>
      <c r="J7255" s="1" t="str">
        <f t="shared" si="1574"/>
        <v>X</v>
      </c>
      <c r="K7255" s="1" t="str">
        <f t="shared" si="1574"/>
        <v>X</v>
      </c>
      <c r="L7255" s="1" t="str">
        <f t="shared" si="1574"/>
        <v>X</v>
      </c>
      <c r="M7255" s="1" t="str">
        <f t="shared" si="1574"/>
        <v>X</v>
      </c>
      <c r="N7255" t="s">
        <v>27</v>
      </c>
    </row>
    <row r="7256" spans="1:14" x14ac:dyDescent="0.25">
      <c r="A7256" t="s">
        <v>42</v>
      </c>
      <c r="B7256" t="s">
        <v>40</v>
      </c>
      <c r="C7256" t="s">
        <v>35</v>
      </c>
      <c r="D7256" t="s">
        <v>31</v>
      </c>
      <c r="E7256" t="s">
        <v>15</v>
      </c>
      <c r="F7256" t="s">
        <v>20</v>
      </c>
      <c r="G7256" s="2">
        <f>VALUE(213.35)</f>
        <v>213.35</v>
      </c>
      <c r="H7256" s="3">
        <f>VALUE(145.43)</f>
        <v>145.43</v>
      </c>
      <c r="I7256" s="4">
        <f>VALUE(2867)</f>
        <v>2867</v>
      </c>
      <c r="J7256" s="1">
        <f>VALUE(3619)</f>
        <v>3619</v>
      </c>
      <c r="K7256" s="1">
        <f>VALUE(4031)</f>
        <v>4031</v>
      </c>
      <c r="L7256" s="7">
        <f>VALUE(4611)</f>
        <v>4611</v>
      </c>
      <c r="M7256" s="1">
        <f>VALUE(5006)</f>
        <v>5006</v>
      </c>
      <c r="N7256" t="s">
        <v>25</v>
      </c>
    </row>
    <row r="7257" spans="1:14" x14ac:dyDescent="0.25">
      <c r="A7257" t="s">
        <v>42</v>
      </c>
      <c r="B7257" t="s">
        <v>40</v>
      </c>
      <c r="C7257" t="s">
        <v>35</v>
      </c>
      <c r="D7257" t="s">
        <v>31</v>
      </c>
      <c r="E7257" t="s">
        <v>21</v>
      </c>
      <c r="F7257" t="s">
        <v>15</v>
      </c>
      <c r="G7257" s="1" t="str">
        <f t="shared" ref="G7257:M7257" si="1575">"X"</f>
        <v>X</v>
      </c>
      <c r="H7257" s="1" t="str">
        <f t="shared" si="1575"/>
        <v>X</v>
      </c>
      <c r="I7257" s="1" t="str">
        <f t="shared" si="1575"/>
        <v>X</v>
      </c>
      <c r="J7257" s="1" t="str">
        <f t="shared" si="1575"/>
        <v>X</v>
      </c>
      <c r="K7257" s="1" t="str">
        <f t="shared" si="1575"/>
        <v>X</v>
      </c>
      <c r="L7257" s="1" t="str">
        <f t="shared" si="1575"/>
        <v>X</v>
      </c>
      <c r="M7257" s="1" t="str">
        <f t="shared" si="1575"/>
        <v>X</v>
      </c>
      <c r="N7257" t="s">
        <v>27</v>
      </c>
    </row>
    <row r="7258" spans="1:14" x14ac:dyDescent="0.25">
      <c r="A7258" t="s">
        <v>42</v>
      </c>
      <c r="B7258" t="s">
        <v>40</v>
      </c>
      <c r="C7258" t="s">
        <v>35</v>
      </c>
      <c r="D7258" t="s">
        <v>31</v>
      </c>
      <c r="E7258" t="s">
        <v>21</v>
      </c>
      <c r="F7258" t="s">
        <v>17</v>
      </c>
      <c r="G7258" s="1" t="str">
        <f t="shared" ref="G7258:M7258" si="1576">"..."</f>
        <v>...</v>
      </c>
      <c r="H7258" s="1" t="str">
        <f t="shared" si="1576"/>
        <v>...</v>
      </c>
      <c r="I7258" s="1" t="str">
        <f t="shared" si="1576"/>
        <v>...</v>
      </c>
      <c r="J7258" s="1" t="str">
        <f t="shared" si="1576"/>
        <v>...</v>
      </c>
      <c r="K7258" s="1" t="str">
        <f t="shared" si="1576"/>
        <v>...</v>
      </c>
      <c r="L7258" s="1" t="str">
        <f t="shared" si="1576"/>
        <v>...</v>
      </c>
      <c r="M7258" s="1" t="str">
        <f t="shared" si="1576"/>
        <v>...</v>
      </c>
      <c r="N7258" t="s">
        <v>30</v>
      </c>
    </row>
    <row r="7259" spans="1:14" x14ac:dyDescent="0.25">
      <c r="A7259" t="s">
        <v>42</v>
      </c>
      <c r="B7259" t="s">
        <v>40</v>
      </c>
      <c r="C7259" t="s">
        <v>35</v>
      </c>
      <c r="D7259" t="s">
        <v>31</v>
      </c>
      <c r="E7259" t="s">
        <v>21</v>
      </c>
      <c r="F7259" t="s">
        <v>18</v>
      </c>
      <c r="G7259" s="1" t="str">
        <f t="shared" ref="G7259:M7259" si="1577">"X"</f>
        <v>X</v>
      </c>
      <c r="H7259" s="1" t="str">
        <f t="shared" si="1577"/>
        <v>X</v>
      </c>
      <c r="I7259" s="1" t="str">
        <f t="shared" si="1577"/>
        <v>X</v>
      </c>
      <c r="J7259" s="1" t="str">
        <f t="shared" si="1577"/>
        <v>X</v>
      </c>
      <c r="K7259" s="1" t="str">
        <f t="shared" si="1577"/>
        <v>X</v>
      </c>
      <c r="L7259" s="1" t="str">
        <f t="shared" si="1577"/>
        <v>X</v>
      </c>
      <c r="M7259" s="1" t="str">
        <f t="shared" si="1577"/>
        <v>X</v>
      </c>
      <c r="N7259" t="s">
        <v>27</v>
      </c>
    </row>
    <row r="7260" spans="1:14" x14ac:dyDescent="0.25">
      <c r="A7260" t="s">
        <v>42</v>
      </c>
      <c r="B7260" t="s">
        <v>40</v>
      </c>
      <c r="C7260" t="s">
        <v>35</v>
      </c>
      <c r="D7260" t="s">
        <v>31</v>
      </c>
      <c r="E7260" t="s">
        <v>21</v>
      </c>
      <c r="F7260" t="s">
        <v>19</v>
      </c>
      <c r="G7260" s="1" t="str">
        <f t="shared" ref="G7260:M7260" si="1578">"..."</f>
        <v>...</v>
      </c>
      <c r="H7260" s="1" t="str">
        <f t="shared" si="1578"/>
        <v>...</v>
      </c>
      <c r="I7260" s="1" t="str">
        <f t="shared" si="1578"/>
        <v>...</v>
      </c>
      <c r="J7260" s="1" t="str">
        <f t="shared" si="1578"/>
        <v>...</v>
      </c>
      <c r="K7260" s="1" t="str">
        <f t="shared" si="1578"/>
        <v>...</v>
      </c>
      <c r="L7260" s="1" t="str">
        <f t="shared" si="1578"/>
        <v>...</v>
      </c>
      <c r="M7260" s="1" t="str">
        <f t="shared" si="1578"/>
        <v>...</v>
      </c>
      <c r="N7260" t="s">
        <v>30</v>
      </c>
    </row>
    <row r="7261" spans="1:14" x14ac:dyDescent="0.25">
      <c r="A7261" t="s">
        <v>42</v>
      </c>
      <c r="B7261" t="s">
        <v>40</v>
      </c>
      <c r="C7261" t="s">
        <v>35</v>
      </c>
      <c r="D7261" t="s">
        <v>31</v>
      </c>
      <c r="E7261" t="s">
        <v>21</v>
      </c>
      <c r="F7261" t="s">
        <v>20</v>
      </c>
      <c r="G7261" s="1" t="str">
        <f t="shared" ref="G7261:M7262" si="1579">"X"</f>
        <v>X</v>
      </c>
      <c r="H7261" s="1" t="str">
        <f t="shared" si="1579"/>
        <v>X</v>
      </c>
      <c r="I7261" s="1" t="str">
        <f t="shared" si="1579"/>
        <v>X</v>
      </c>
      <c r="J7261" s="1" t="str">
        <f t="shared" si="1579"/>
        <v>X</v>
      </c>
      <c r="K7261" s="1" t="str">
        <f t="shared" si="1579"/>
        <v>X</v>
      </c>
      <c r="L7261" s="1" t="str">
        <f t="shared" si="1579"/>
        <v>X</v>
      </c>
      <c r="M7261" s="1" t="str">
        <f t="shared" si="1579"/>
        <v>X</v>
      </c>
      <c r="N7261" t="s">
        <v>27</v>
      </c>
    </row>
    <row r="7262" spans="1:14" x14ac:dyDescent="0.25">
      <c r="A7262" t="s">
        <v>42</v>
      </c>
      <c r="B7262" t="s">
        <v>40</v>
      </c>
      <c r="C7262" t="s">
        <v>35</v>
      </c>
      <c r="D7262" t="s">
        <v>31</v>
      </c>
      <c r="E7262" t="s">
        <v>22</v>
      </c>
      <c r="F7262" t="s">
        <v>15</v>
      </c>
      <c r="G7262" s="1" t="str">
        <f t="shared" si="1579"/>
        <v>X</v>
      </c>
      <c r="H7262" s="1" t="str">
        <f t="shared" si="1579"/>
        <v>X</v>
      </c>
      <c r="I7262" s="1" t="str">
        <f t="shared" si="1579"/>
        <v>X</v>
      </c>
      <c r="J7262" s="1" t="str">
        <f t="shared" si="1579"/>
        <v>X</v>
      </c>
      <c r="K7262" s="1" t="str">
        <f t="shared" si="1579"/>
        <v>X</v>
      </c>
      <c r="L7262" s="1" t="str">
        <f t="shared" si="1579"/>
        <v>X</v>
      </c>
      <c r="M7262" s="1" t="str">
        <f t="shared" si="1579"/>
        <v>X</v>
      </c>
      <c r="N7262" t="s">
        <v>27</v>
      </c>
    </row>
    <row r="7263" spans="1:14" x14ac:dyDescent="0.25">
      <c r="A7263" t="s">
        <v>42</v>
      </c>
      <c r="B7263" t="s">
        <v>40</v>
      </c>
      <c r="C7263" t="s">
        <v>35</v>
      </c>
      <c r="D7263" t="s">
        <v>31</v>
      </c>
      <c r="E7263" t="s">
        <v>22</v>
      </c>
      <c r="F7263" t="s">
        <v>17</v>
      </c>
      <c r="G7263" s="1" t="str">
        <f t="shared" ref="G7263:M7263" si="1580">"..."</f>
        <v>...</v>
      </c>
      <c r="H7263" s="1" t="str">
        <f t="shared" si="1580"/>
        <v>...</v>
      </c>
      <c r="I7263" s="1" t="str">
        <f t="shared" si="1580"/>
        <v>...</v>
      </c>
      <c r="J7263" s="1" t="str">
        <f t="shared" si="1580"/>
        <v>...</v>
      </c>
      <c r="K7263" s="1" t="str">
        <f t="shared" si="1580"/>
        <v>...</v>
      </c>
      <c r="L7263" s="1" t="str">
        <f t="shared" si="1580"/>
        <v>...</v>
      </c>
      <c r="M7263" s="1" t="str">
        <f t="shared" si="1580"/>
        <v>...</v>
      </c>
      <c r="N7263" t="s">
        <v>30</v>
      </c>
    </row>
    <row r="7264" spans="1:14" x14ac:dyDescent="0.25">
      <c r="A7264" t="s">
        <v>42</v>
      </c>
      <c r="B7264" t="s">
        <v>40</v>
      </c>
      <c r="C7264" t="s">
        <v>35</v>
      </c>
      <c r="D7264" t="s">
        <v>31</v>
      </c>
      <c r="E7264" t="s">
        <v>22</v>
      </c>
      <c r="F7264" t="s">
        <v>18</v>
      </c>
      <c r="G7264" s="1" t="str">
        <f t="shared" ref="G7264:M7267" si="1581">"X"</f>
        <v>X</v>
      </c>
      <c r="H7264" s="1" t="str">
        <f t="shared" si="1581"/>
        <v>X</v>
      </c>
      <c r="I7264" s="1" t="str">
        <f t="shared" si="1581"/>
        <v>X</v>
      </c>
      <c r="J7264" s="1" t="str">
        <f t="shared" si="1581"/>
        <v>X</v>
      </c>
      <c r="K7264" s="1" t="str">
        <f t="shared" si="1581"/>
        <v>X</v>
      </c>
      <c r="L7264" s="1" t="str">
        <f t="shared" si="1581"/>
        <v>X</v>
      </c>
      <c r="M7264" s="1" t="str">
        <f t="shared" si="1581"/>
        <v>X</v>
      </c>
      <c r="N7264" t="s">
        <v>27</v>
      </c>
    </row>
    <row r="7265" spans="1:14" x14ac:dyDescent="0.25">
      <c r="A7265" t="s">
        <v>42</v>
      </c>
      <c r="B7265" t="s">
        <v>40</v>
      </c>
      <c r="C7265" t="s">
        <v>35</v>
      </c>
      <c r="D7265" t="s">
        <v>31</v>
      </c>
      <c r="E7265" t="s">
        <v>22</v>
      </c>
      <c r="F7265" t="s">
        <v>19</v>
      </c>
      <c r="G7265" s="1" t="str">
        <f t="shared" si="1581"/>
        <v>X</v>
      </c>
      <c r="H7265" s="1" t="str">
        <f t="shared" si="1581"/>
        <v>X</v>
      </c>
      <c r="I7265" s="1" t="str">
        <f t="shared" si="1581"/>
        <v>X</v>
      </c>
      <c r="J7265" s="1" t="str">
        <f t="shared" si="1581"/>
        <v>X</v>
      </c>
      <c r="K7265" s="1" t="str">
        <f t="shared" si="1581"/>
        <v>X</v>
      </c>
      <c r="L7265" s="1" t="str">
        <f t="shared" si="1581"/>
        <v>X</v>
      </c>
      <c r="M7265" s="1" t="str">
        <f t="shared" si="1581"/>
        <v>X</v>
      </c>
      <c r="N7265" t="s">
        <v>27</v>
      </c>
    </row>
    <row r="7266" spans="1:14" x14ac:dyDescent="0.25">
      <c r="A7266" t="s">
        <v>42</v>
      </c>
      <c r="B7266" t="s">
        <v>40</v>
      </c>
      <c r="C7266" t="s">
        <v>35</v>
      </c>
      <c r="D7266" t="s">
        <v>31</v>
      </c>
      <c r="E7266" t="s">
        <v>22</v>
      </c>
      <c r="F7266" t="s">
        <v>20</v>
      </c>
      <c r="G7266" s="1" t="str">
        <f t="shared" si="1581"/>
        <v>X</v>
      </c>
      <c r="H7266" s="1" t="str">
        <f t="shared" si="1581"/>
        <v>X</v>
      </c>
      <c r="I7266" s="1" t="str">
        <f t="shared" si="1581"/>
        <v>X</v>
      </c>
      <c r="J7266" s="1" t="str">
        <f t="shared" si="1581"/>
        <v>X</v>
      </c>
      <c r="K7266" s="1" t="str">
        <f t="shared" si="1581"/>
        <v>X</v>
      </c>
      <c r="L7266" s="1" t="str">
        <f t="shared" si="1581"/>
        <v>X</v>
      </c>
      <c r="M7266" s="1" t="str">
        <f t="shared" si="1581"/>
        <v>X</v>
      </c>
      <c r="N7266" t="s">
        <v>27</v>
      </c>
    </row>
    <row r="7267" spans="1:14" x14ac:dyDescent="0.25">
      <c r="A7267" t="s">
        <v>42</v>
      </c>
      <c r="B7267" t="s">
        <v>40</v>
      </c>
      <c r="C7267" t="s">
        <v>35</v>
      </c>
      <c r="D7267" t="s">
        <v>31</v>
      </c>
      <c r="E7267" t="s">
        <v>23</v>
      </c>
      <c r="F7267" t="s">
        <v>15</v>
      </c>
      <c r="G7267" s="1" t="str">
        <f t="shared" si="1581"/>
        <v>X</v>
      </c>
      <c r="H7267" s="1" t="str">
        <f t="shared" si="1581"/>
        <v>X</v>
      </c>
      <c r="I7267" s="1" t="str">
        <f t="shared" si="1581"/>
        <v>X</v>
      </c>
      <c r="J7267" s="1" t="str">
        <f t="shared" si="1581"/>
        <v>X</v>
      </c>
      <c r="K7267" s="1" t="str">
        <f t="shared" si="1581"/>
        <v>X</v>
      </c>
      <c r="L7267" s="1" t="str">
        <f t="shared" si="1581"/>
        <v>X</v>
      </c>
      <c r="M7267" s="1" t="str">
        <f t="shared" si="1581"/>
        <v>X</v>
      </c>
      <c r="N7267" t="s">
        <v>27</v>
      </c>
    </row>
    <row r="7268" spans="1:14" x14ac:dyDescent="0.25">
      <c r="A7268" t="s">
        <v>42</v>
      </c>
      <c r="B7268" t="s">
        <v>40</v>
      </c>
      <c r="C7268" t="s">
        <v>35</v>
      </c>
      <c r="D7268" t="s">
        <v>31</v>
      </c>
      <c r="E7268" t="s">
        <v>23</v>
      </c>
      <c r="F7268" t="s">
        <v>17</v>
      </c>
      <c r="G7268" s="1" t="str">
        <f t="shared" ref="G7268:M7270" si="1582">"..."</f>
        <v>...</v>
      </c>
      <c r="H7268" s="1" t="str">
        <f t="shared" si="1582"/>
        <v>...</v>
      </c>
      <c r="I7268" s="1" t="str">
        <f t="shared" si="1582"/>
        <v>...</v>
      </c>
      <c r="J7268" s="1" t="str">
        <f t="shared" si="1582"/>
        <v>...</v>
      </c>
      <c r="K7268" s="1" t="str">
        <f t="shared" si="1582"/>
        <v>...</v>
      </c>
      <c r="L7268" s="1" t="str">
        <f t="shared" si="1582"/>
        <v>...</v>
      </c>
      <c r="M7268" s="1" t="str">
        <f t="shared" si="1582"/>
        <v>...</v>
      </c>
      <c r="N7268" t="s">
        <v>30</v>
      </c>
    </row>
    <row r="7269" spans="1:14" x14ac:dyDescent="0.25">
      <c r="A7269" t="s">
        <v>42</v>
      </c>
      <c r="B7269" t="s">
        <v>40</v>
      </c>
      <c r="C7269" t="s">
        <v>35</v>
      </c>
      <c r="D7269" t="s">
        <v>31</v>
      </c>
      <c r="E7269" t="s">
        <v>23</v>
      </c>
      <c r="F7269" t="s">
        <v>18</v>
      </c>
      <c r="G7269" s="1" t="str">
        <f t="shared" si="1582"/>
        <v>...</v>
      </c>
      <c r="H7269" s="1" t="str">
        <f t="shared" si="1582"/>
        <v>...</v>
      </c>
      <c r="I7269" s="1" t="str">
        <f t="shared" si="1582"/>
        <v>...</v>
      </c>
      <c r="J7269" s="1" t="str">
        <f t="shared" si="1582"/>
        <v>...</v>
      </c>
      <c r="K7269" s="1" t="str">
        <f t="shared" si="1582"/>
        <v>...</v>
      </c>
      <c r="L7269" s="1" t="str">
        <f t="shared" si="1582"/>
        <v>...</v>
      </c>
      <c r="M7269" s="1" t="str">
        <f t="shared" si="1582"/>
        <v>...</v>
      </c>
      <c r="N7269" t="s">
        <v>30</v>
      </c>
    </row>
    <row r="7270" spans="1:14" x14ac:dyDescent="0.25">
      <c r="A7270" t="s">
        <v>42</v>
      </c>
      <c r="B7270" t="s">
        <v>40</v>
      </c>
      <c r="C7270" t="s">
        <v>35</v>
      </c>
      <c r="D7270" t="s">
        <v>31</v>
      </c>
      <c r="E7270" t="s">
        <v>23</v>
      </c>
      <c r="F7270" t="s">
        <v>19</v>
      </c>
      <c r="G7270" s="1" t="str">
        <f t="shared" si="1582"/>
        <v>...</v>
      </c>
      <c r="H7270" s="1" t="str">
        <f t="shared" si="1582"/>
        <v>...</v>
      </c>
      <c r="I7270" s="1" t="str">
        <f t="shared" si="1582"/>
        <v>...</v>
      </c>
      <c r="J7270" s="1" t="str">
        <f t="shared" si="1582"/>
        <v>...</v>
      </c>
      <c r="K7270" s="1" t="str">
        <f t="shared" si="1582"/>
        <v>...</v>
      </c>
      <c r="L7270" s="1" t="str">
        <f t="shared" si="1582"/>
        <v>...</v>
      </c>
      <c r="M7270" s="1" t="str">
        <f t="shared" si="1582"/>
        <v>...</v>
      </c>
      <c r="N7270" t="s">
        <v>30</v>
      </c>
    </row>
    <row r="7271" spans="1:14" x14ac:dyDescent="0.25">
      <c r="A7271" t="s">
        <v>42</v>
      </c>
      <c r="B7271" t="s">
        <v>40</v>
      </c>
      <c r="C7271" t="s">
        <v>35</v>
      </c>
      <c r="D7271" t="s">
        <v>31</v>
      </c>
      <c r="E7271" t="s">
        <v>23</v>
      </c>
      <c r="F7271" t="s">
        <v>20</v>
      </c>
      <c r="G7271" s="1" t="str">
        <f t="shared" ref="G7271:M7272" si="1583">"X"</f>
        <v>X</v>
      </c>
      <c r="H7271" s="1" t="str">
        <f t="shared" si="1583"/>
        <v>X</v>
      </c>
      <c r="I7271" s="1" t="str">
        <f t="shared" si="1583"/>
        <v>X</v>
      </c>
      <c r="J7271" s="1" t="str">
        <f t="shared" si="1583"/>
        <v>X</v>
      </c>
      <c r="K7271" s="1" t="str">
        <f t="shared" si="1583"/>
        <v>X</v>
      </c>
      <c r="L7271" s="1" t="str">
        <f t="shared" si="1583"/>
        <v>X</v>
      </c>
      <c r="M7271" s="1" t="str">
        <f t="shared" si="1583"/>
        <v>X</v>
      </c>
      <c r="N7271" t="s">
        <v>27</v>
      </c>
    </row>
    <row r="7272" spans="1:14" x14ac:dyDescent="0.25">
      <c r="A7272" t="s">
        <v>42</v>
      </c>
      <c r="B7272" t="s">
        <v>40</v>
      </c>
      <c r="C7272" t="s">
        <v>35</v>
      </c>
      <c r="D7272" t="s">
        <v>31</v>
      </c>
      <c r="E7272" t="s">
        <v>26</v>
      </c>
      <c r="F7272" t="s">
        <v>15</v>
      </c>
      <c r="G7272" s="1" t="str">
        <f t="shared" si="1583"/>
        <v>X</v>
      </c>
      <c r="H7272" s="1" t="str">
        <f t="shared" si="1583"/>
        <v>X</v>
      </c>
      <c r="I7272" s="1" t="str">
        <f t="shared" si="1583"/>
        <v>X</v>
      </c>
      <c r="J7272" s="1" t="str">
        <f t="shared" si="1583"/>
        <v>X</v>
      </c>
      <c r="K7272" s="1" t="str">
        <f t="shared" si="1583"/>
        <v>X</v>
      </c>
      <c r="L7272" s="1" t="str">
        <f t="shared" si="1583"/>
        <v>X</v>
      </c>
      <c r="M7272" s="1" t="str">
        <f t="shared" si="1583"/>
        <v>X</v>
      </c>
      <c r="N7272" t="s">
        <v>27</v>
      </c>
    </row>
    <row r="7273" spans="1:14" x14ac:dyDescent="0.25">
      <c r="A7273" t="s">
        <v>42</v>
      </c>
      <c r="B7273" t="s">
        <v>40</v>
      </c>
      <c r="C7273" t="s">
        <v>35</v>
      </c>
      <c r="D7273" t="s">
        <v>31</v>
      </c>
      <c r="E7273" t="s">
        <v>26</v>
      </c>
      <c r="F7273" t="s">
        <v>17</v>
      </c>
      <c r="G7273" s="1" t="str">
        <f t="shared" ref="G7273:M7275" si="1584">"..."</f>
        <v>...</v>
      </c>
      <c r="H7273" s="1" t="str">
        <f t="shared" si="1584"/>
        <v>...</v>
      </c>
      <c r="I7273" s="1" t="str">
        <f t="shared" si="1584"/>
        <v>...</v>
      </c>
      <c r="J7273" s="1" t="str">
        <f t="shared" si="1584"/>
        <v>...</v>
      </c>
      <c r="K7273" s="1" t="str">
        <f t="shared" si="1584"/>
        <v>...</v>
      </c>
      <c r="L7273" s="1" t="str">
        <f t="shared" si="1584"/>
        <v>...</v>
      </c>
      <c r="M7273" s="1" t="str">
        <f t="shared" si="1584"/>
        <v>...</v>
      </c>
      <c r="N7273" t="s">
        <v>30</v>
      </c>
    </row>
    <row r="7274" spans="1:14" x14ac:dyDescent="0.25">
      <c r="A7274" t="s">
        <v>42</v>
      </c>
      <c r="B7274" t="s">
        <v>40</v>
      </c>
      <c r="C7274" t="s">
        <v>35</v>
      </c>
      <c r="D7274" t="s">
        <v>31</v>
      </c>
      <c r="E7274" t="s">
        <v>26</v>
      </c>
      <c r="F7274" t="s">
        <v>18</v>
      </c>
      <c r="G7274" s="1" t="str">
        <f t="shared" si="1584"/>
        <v>...</v>
      </c>
      <c r="H7274" s="1" t="str">
        <f t="shared" si="1584"/>
        <v>...</v>
      </c>
      <c r="I7274" s="1" t="str">
        <f t="shared" si="1584"/>
        <v>...</v>
      </c>
      <c r="J7274" s="1" t="str">
        <f t="shared" si="1584"/>
        <v>...</v>
      </c>
      <c r="K7274" s="1" t="str">
        <f t="shared" si="1584"/>
        <v>...</v>
      </c>
      <c r="L7274" s="1" t="str">
        <f t="shared" si="1584"/>
        <v>...</v>
      </c>
      <c r="M7274" s="1" t="str">
        <f t="shared" si="1584"/>
        <v>...</v>
      </c>
      <c r="N7274" t="s">
        <v>30</v>
      </c>
    </row>
    <row r="7275" spans="1:14" x14ac:dyDescent="0.25">
      <c r="A7275" t="s">
        <v>42</v>
      </c>
      <c r="B7275" t="s">
        <v>40</v>
      </c>
      <c r="C7275" t="s">
        <v>35</v>
      </c>
      <c r="D7275" t="s">
        <v>31</v>
      </c>
      <c r="E7275" t="s">
        <v>26</v>
      </c>
      <c r="F7275" t="s">
        <v>19</v>
      </c>
      <c r="G7275" s="1" t="str">
        <f t="shared" si="1584"/>
        <v>...</v>
      </c>
      <c r="H7275" s="1" t="str">
        <f t="shared" si="1584"/>
        <v>...</v>
      </c>
      <c r="I7275" s="1" t="str">
        <f t="shared" si="1584"/>
        <v>...</v>
      </c>
      <c r="J7275" s="1" t="str">
        <f t="shared" si="1584"/>
        <v>...</v>
      </c>
      <c r="K7275" s="1" t="str">
        <f t="shared" si="1584"/>
        <v>...</v>
      </c>
      <c r="L7275" s="1" t="str">
        <f t="shared" si="1584"/>
        <v>...</v>
      </c>
      <c r="M7275" s="1" t="str">
        <f t="shared" si="1584"/>
        <v>...</v>
      </c>
      <c r="N7275" t="s">
        <v>30</v>
      </c>
    </row>
    <row r="7276" spans="1:14" x14ac:dyDescent="0.25">
      <c r="A7276" t="s">
        <v>42</v>
      </c>
      <c r="B7276" t="s">
        <v>40</v>
      </c>
      <c r="C7276" t="s">
        <v>35</v>
      </c>
      <c r="D7276" t="s">
        <v>31</v>
      </c>
      <c r="E7276" t="s">
        <v>26</v>
      </c>
      <c r="F7276" t="s">
        <v>20</v>
      </c>
      <c r="G7276" s="1" t="str">
        <f t="shared" ref="G7276:M7276" si="1585">"X"</f>
        <v>X</v>
      </c>
      <c r="H7276" s="1" t="str">
        <f t="shared" si="1585"/>
        <v>X</v>
      </c>
      <c r="I7276" s="1" t="str">
        <f t="shared" si="1585"/>
        <v>X</v>
      </c>
      <c r="J7276" s="1" t="str">
        <f t="shared" si="1585"/>
        <v>X</v>
      </c>
      <c r="K7276" s="1" t="str">
        <f t="shared" si="1585"/>
        <v>X</v>
      </c>
      <c r="L7276" s="1" t="str">
        <f t="shared" si="1585"/>
        <v>X</v>
      </c>
      <c r="M7276" s="1" t="str">
        <f t="shared" si="1585"/>
        <v>X</v>
      </c>
      <c r="N7276" t="s">
        <v>27</v>
      </c>
    </row>
    <row r="7277" spans="1:14" x14ac:dyDescent="0.25">
      <c r="A7277" t="s">
        <v>42</v>
      </c>
      <c r="B7277" t="s">
        <v>40</v>
      </c>
      <c r="C7277" t="s">
        <v>35</v>
      </c>
      <c r="D7277" t="s">
        <v>32</v>
      </c>
      <c r="E7277" t="s">
        <v>15</v>
      </c>
      <c r="F7277" t="s">
        <v>15</v>
      </c>
      <c r="G7277" s="2">
        <f>VALUE(1340.51)</f>
        <v>1340.51</v>
      </c>
      <c r="H7277" s="3">
        <f>VALUE(1256.51)</f>
        <v>1256.51</v>
      </c>
      <c r="I7277" s="1">
        <f>VALUE(2353)</f>
        <v>2353</v>
      </c>
      <c r="J7277" s="1">
        <f>VALUE(2600)</f>
        <v>2600</v>
      </c>
      <c r="K7277" s="1">
        <f>VALUE(2892)</f>
        <v>2892</v>
      </c>
      <c r="L7277" s="1">
        <f>VALUE(3484)</f>
        <v>3484</v>
      </c>
      <c r="M7277" s="1">
        <f>VALUE(4127)</f>
        <v>4127</v>
      </c>
      <c r="N7277" t="s">
        <v>25</v>
      </c>
    </row>
    <row r="7278" spans="1:14" x14ac:dyDescent="0.25">
      <c r="A7278" t="s">
        <v>42</v>
      </c>
      <c r="B7278" t="s">
        <v>40</v>
      </c>
      <c r="C7278" t="s">
        <v>35</v>
      </c>
      <c r="D7278" t="s">
        <v>32</v>
      </c>
      <c r="E7278" t="s">
        <v>15</v>
      </c>
      <c r="F7278" t="s">
        <v>17</v>
      </c>
      <c r="G7278" s="1" t="str">
        <f t="shared" ref="G7278:M7280" si="1586">"X"</f>
        <v>X</v>
      </c>
      <c r="H7278" s="1" t="str">
        <f t="shared" si="1586"/>
        <v>X</v>
      </c>
      <c r="I7278" s="1" t="str">
        <f t="shared" si="1586"/>
        <v>X</v>
      </c>
      <c r="J7278" s="1" t="str">
        <f t="shared" si="1586"/>
        <v>X</v>
      </c>
      <c r="K7278" s="1" t="str">
        <f t="shared" si="1586"/>
        <v>X</v>
      </c>
      <c r="L7278" s="1" t="str">
        <f t="shared" si="1586"/>
        <v>X</v>
      </c>
      <c r="M7278" s="1" t="str">
        <f t="shared" si="1586"/>
        <v>X</v>
      </c>
      <c r="N7278" t="s">
        <v>27</v>
      </c>
    </row>
    <row r="7279" spans="1:14" x14ac:dyDescent="0.25">
      <c r="A7279" t="s">
        <v>42</v>
      </c>
      <c r="B7279" t="s">
        <v>40</v>
      </c>
      <c r="C7279" t="s">
        <v>35</v>
      </c>
      <c r="D7279" t="s">
        <v>32</v>
      </c>
      <c r="E7279" t="s">
        <v>15</v>
      </c>
      <c r="F7279" t="s">
        <v>18</v>
      </c>
      <c r="G7279" s="1" t="str">
        <f t="shared" si="1586"/>
        <v>X</v>
      </c>
      <c r="H7279" s="1" t="str">
        <f t="shared" si="1586"/>
        <v>X</v>
      </c>
      <c r="I7279" s="1" t="str">
        <f t="shared" si="1586"/>
        <v>X</v>
      </c>
      <c r="J7279" s="1" t="str">
        <f t="shared" si="1586"/>
        <v>X</v>
      </c>
      <c r="K7279" s="1" t="str">
        <f t="shared" si="1586"/>
        <v>X</v>
      </c>
      <c r="L7279" s="1" t="str">
        <f t="shared" si="1586"/>
        <v>X</v>
      </c>
      <c r="M7279" s="1" t="str">
        <f t="shared" si="1586"/>
        <v>X</v>
      </c>
      <c r="N7279" t="s">
        <v>27</v>
      </c>
    </row>
    <row r="7280" spans="1:14" x14ac:dyDescent="0.25">
      <c r="A7280" t="s">
        <v>42</v>
      </c>
      <c r="B7280" t="s">
        <v>40</v>
      </c>
      <c r="C7280" t="s">
        <v>35</v>
      </c>
      <c r="D7280" t="s">
        <v>32</v>
      </c>
      <c r="E7280" t="s">
        <v>15</v>
      </c>
      <c r="F7280" t="s">
        <v>19</v>
      </c>
      <c r="G7280" s="1" t="str">
        <f t="shared" si="1586"/>
        <v>X</v>
      </c>
      <c r="H7280" s="1" t="str">
        <f t="shared" si="1586"/>
        <v>X</v>
      </c>
      <c r="I7280" s="1" t="str">
        <f t="shared" si="1586"/>
        <v>X</v>
      </c>
      <c r="J7280" s="1" t="str">
        <f t="shared" si="1586"/>
        <v>X</v>
      </c>
      <c r="K7280" s="1" t="str">
        <f t="shared" si="1586"/>
        <v>X</v>
      </c>
      <c r="L7280" s="1" t="str">
        <f t="shared" si="1586"/>
        <v>X</v>
      </c>
      <c r="M7280" s="1" t="str">
        <f t="shared" si="1586"/>
        <v>X</v>
      </c>
      <c r="N7280" t="s">
        <v>27</v>
      </c>
    </row>
    <row r="7281" spans="1:14" x14ac:dyDescent="0.25">
      <c r="A7281" t="s">
        <v>42</v>
      </c>
      <c r="B7281" t="s">
        <v>40</v>
      </c>
      <c r="C7281" t="s">
        <v>35</v>
      </c>
      <c r="D7281" t="s">
        <v>32</v>
      </c>
      <c r="E7281" t="s">
        <v>15</v>
      </c>
      <c r="F7281" t="s">
        <v>20</v>
      </c>
      <c r="G7281" s="2">
        <f>VALUE(1177.22)</f>
        <v>1177.22</v>
      </c>
      <c r="H7281" s="3">
        <f>VALUE(1102.16)</f>
        <v>1102.1600000000001</v>
      </c>
      <c r="I7281" s="1">
        <f>VALUE(2271)</f>
        <v>2271</v>
      </c>
      <c r="J7281" s="1">
        <f>VALUE(2600)</f>
        <v>2600</v>
      </c>
      <c r="K7281" s="1">
        <f>VALUE(2826)</f>
        <v>2826</v>
      </c>
      <c r="L7281" s="1">
        <f>VALUE(3403)</f>
        <v>3403</v>
      </c>
      <c r="M7281" s="1">
        <f>VALUE(3971)</f>
        <v>3971</v>
      </c>
      <c r="N7281" t="s">
        <v>25</v>
      </c>
    </row>
    <row r="7282" spans="1:14" x14ac:dyDescent="0.25">
      <c r="A7282" t="s">
        <v>42</v>
      </c>
      <c r="B7282" t="s">
        <v>40</v>
      </c>
      <c r="C7282" t="s">
        <v>35</v>
      </c>
      <c r="D7282" t="s">
        <v>32</v>
      </c>
      <c r="E7282" t="s">
        <v>21</v>
      </c>
      <c r="F7282" t="s">
        <v>15</v>
      </c>
      <c r="G7282" s="1" t="str">
        <f t="shared" ref="G7282:M7286" si="1587">"X"</f>
        <v>X</v>
      </c>
      <c r="H7282" s="1" t="str">
        <f t="shared" si="1587"/>
        <v>X</v>
      </c>
      <c r="I7282" s="1" t="str">
        <f t="shared" si="1587"/>
        <v>X</v>
      </c>
      <c r="J7282" s="1" t="str">
        <f t="shared" si="1587"/>
        <v>X</v>
      </c>
      <c r="K7282" s="1" t="str">
        <f t="shared" si="1587"/>
        <v>X</v>
      </c>
      <c r="L7282" s="1" t="str">
        <f t="shared" si="1587"/>
        <v>X</v>
      </c>
      <c r="M7282" s="1" t="str">
        <f t="shared" si="1587"/>
        <v>X</v>
      </c>
      <c r="N7282" t="s">
        <v>27</v>
      </c>
    </row>
    <row r="7283" spans="1:14" x14ac:dyDescent="0.25">
      <c r="A7283" t="s">
        <v>42</v>
      </c>
      <c r="B7283" t="s">
        <v>40</v>
      </c>
      <c r="C7283" t="s">
        <v>35</v>
      </c>
      <c r="D7283" t="s">
        <v>32</v>
      </c>
      <c r="E7283" t="s">
        <v>21</v>
      </c>
      <c r="F7283" t="s">
        <v>17</v>
      </c>
      <c r="G7283" s="1" t="str">
        <f t="shared" si="1587"/>
        <v>X</v>
      </c>
      <c r="H7283" s="1" t="str">
        <f t="shared" si="1587"/>
        <v>X</v>
      </c>
      <c r="I7283" s="1" t="str">
        <f t="shared" si="1587"/>
        <v>X</v>
      </c>
      <c r="J7283" s="1" t="str">
        <f t="shared" si="1587"/>
        <v>X</v>
      </c>
      <c r="K7283" s="1" t="str">
        <f t="shared" si="1587"/>
        <v>X</v>
      </c>
      <c r="L7283" s="1" t="str">
        <f t="shared" si="1587"/>
        <v>X</v>
      </c>
      <c r="M7283" s="1" t="str">
        <f t="shared" si="1587"/>
        <v>X</v>
      </c>
      <c r="N7283" t="s">
        <v>27</v>
      </c>
    </row>
    <row r="7284" spans="1:14" x14ac:dyDescent="0.25">
      <c r="A7284" t="s">
        <v>42</v>
      </c>
      <c r="B7284" t="s">
        <v>40</v>
      </c>
      <c r="C7284" t="s">
        <v>35</v>
      </c>
      <c r="D7284" t="s">
        <v>32</v>
      </c>
      <c r="E7284" t="s">
        <v>21</v>
      </c>
      <c r="F7284" t="s">
        <v>18</v>
      </c>
      <c r="G7284" s="1" t="str">
        <f t="shared" si="1587"/>
        <v>X</v>
      </c>
      <c r="H7284" s="1" t="str">
        <f t="shared" si="1587"/>
        <v>X</v>
      </c>
      <c r="I7284" s="1" t="str">
        <f t="shared" si="1587"/>
        <v>X</v>
      </c>
      <c r="J7284" s="1" t="str">
        <f t="shared" si="1587"/>
        <v>X</v>
      </c>
      <c r="K7284" s="1" t="str">
        <f t="shared" si="1587"/>
        <v>X</v>
      </c>
      <c r="L7284" s="1" t="str">
        <f t="shared" si="1587"/>
        <v>X</v>
      </c>
      <c r="M7284" s="1" t="str">
        <f t="shared" si="1587"/>
        <v>X</v>
      </c>
      <c r="N7284" t="s">
        <v>27</v>
      </c>
    </row>
    <row r="7285" spans="1:14" x14ac:dyDescent="0.25">
      <c r="A7285" t="s">
        <v>42</v>
      </c>
      <c r="B7285" t="s">
        <v>40</v>
      </c>
      <c r="C7285" t="s">
        <v>35</v>
      </c>
      <c r="D7285" t="s">
        <v>32</v>
      </c>
      <c r="E7285" t="s">
        <v>21</v>
      </c>
      <c r="F7285" t="s">
        <v>19</v>
      </c>
      <c r="G7285" s="1" t="str">
        <f t="shared" si="1587"/>
        <v>X</v>
      </c>
      <c r="H7285" s="1" t="str">
        <f t="shared" si="1587"/>
        <v>X</v>
      </c>
      <c r="I7285" s="1" t="str">
        <f t="shared" si="1587"/>
        <v>X</v>
      </c>
      <c r="J7285" s="1" t="str">
        <f t="shared" si="1587"/>
        <v>X</v>
      </c>
      <c r="K7285" s="1" t="str">
        <f t="shared" si="1587"/>
        <v>X</v>
      </c>
      <c r="L7285" s="1" t="str">
        <f t="shared" si="1587"/>
        <v>X</v>
      </c>
      <c r="M7285" s="1" t="str">
        <f t="shared" si="1587"/>
        <v>X</v>
      </c>
      <c r="N7285" t="s">
        <v>27</v>
      </c>
    </row>
    <row r="7286" spans="1:14" x14ac:dyDescent="0.25">
      <c r="A7286" t="s">
        <v>42</v>
      </c>
      <c r="B7286" t="s">
        <v>40</v>
      </c>
      <c r="C7286" t="s">
        <v>35</v>
      </c>
      <c r="D7286" t="s">
        <v>32</v>
      </c>
      <c r="E7286" t="s">
        <v>21</v>
      </c>
      <c r="F7286" t="s">
        <v>20</v>
      </c>
      <c r="G7286" s="1" t="str">
        <f t="shared" si="1587"/>
        <v>X</v>
      </c>
      <c r="H7286" s="1" t="str">
        <f t="shared" si="1587"/>
        <v>X</v>
      </c>
      <c r="I7286" s="1" t="str">
        <f t="shared" si="1587"/>
        <v>X</v>
      </c>
      <c r="J7286" s="1" t="str">
        <f t="shared" si="1587"/>
        <v>X</v>
      </c>
      <c r="K7286" s="1" t="str">
        <f t="shared" si="1587"/>
        <v>X</v>
      </c>
      <c r="L7286" s="1" t="str">
        <f t="shared" si="1587"/>
        <v>X</v>
      </c>
      <c r="M7286" s="1" t="str">
        <f t="shared" si="1587"/>
        <v>X</v>
      </c>
      <c r="N7286" t="s">
        <v>27</v>
      </c>
    </row>
    <row r="7287" spans="1:14" x14ac:dyDescent="0.25">
      <c r="A7287" t="s">
        <v>42</v>
      </c>
      <c r="B7287" t="s">
        <v>40</v>
      </c>
      <c r="C7287" t="s">
        <v>35</v>
      </c>
      <c r="D7287" t="s">
        <v>32</v>
      </c>
      <c r="E7287" t="s">
        <v>22</v>
      </c>
      <c r="F7287" t="s">
        <v>15</v>
      </c>
      <c r="G7287" s="2">
        <f>VALUE(323.91)</f>
        <v>323.91000000000003</v>
      </c>
      <c r="H7287" s="3">
        <f>VALUE(276.17)</f>
        <v>276.17</v>
      </c>
      <c r="I7287" s="4">
        <f>VALUE(2095)</f>
        <v>2095</v>
      </c>
      <c r="J7287" s="5">
        <f>VALUE(2855)</f>
        <v>2855</v>
      </c>
      <c r="K7287" s="1">
        <f>VALUE(3330)</f>
        <v>3330</v>
      </c>
      <c r="L7287" s="1">
        <f>VALUE(4257)</f>
        <v>4257</v>
      </c>
      <c r="M7287" s="8">
        <f>VALUE(4803)</f>
        <v>4803</v>
      </c>
      <c r="N7287" t="s">
        <v>25</v>
      </c>
    </row>
    <row r="7288" spans="1:14" x14ac:dyDescent="0.25">
      <c r="A7288" t="s">
        <v>42</v>
      </c>
      <c r="B7288" t="s">
        <v>40</v>
      </c>
      <c r="C7288" t="s">
        <v>35</v>
      </c>
      <c r="D7288" t="s">
        <v>32</v>
      </c>
      <c r="E7288" t="s">
        <v>22</v>
      </c>
      <c r="F7288" t="s">
        <v>17</v>
      </c>
      <c r="G7288" s="1" t="str">
        <f t="shared" ref="G7288:M7288" si="1588">"..."</f>
        <v>...</v>
      </c>
      <c r="H7288" s="1" t="str">
        <f t="shared" si="1588"/>
        <v>...</v>
      </c>
      <c r="I7288" s="1" t="str">
        <f t="shared" si="1588"/>
        <v>...</v>
      </c>
      <c r="J7288" s="1" t="str">
        <f t="shared" si="1588"/>
        <v>...</v>
      </c>
      <c r="K7288" s="1" t="str">
        <f t="shared" si="1588"/>
        <v>...</v>
      </c>
      <c r="L7288" s="1" t="str">
        <f t="shared" si="1588"/>
        <v>...</v>
      </c>
      <c r="M7288" s="1" t="str">
        <f t="shared" si="1588"/>
        <v>...</v>
      </c>
      <c r="N7288" t="s">
        <v>30</v>
      </c>
    </row>
    <row r="7289" spans="1:14" x14ac:dyDescent="0.25">
      <c r="A7289" t="s">
        <v>42</v>
      </c>
      <c r="B7289" t="s">
        <v>40</v>
      </c>
      <c r="C7289" t="s">
        <v>35</v>
      </c>
      <c r="D7289" t="s">
        <v>32</v>
      </c>
      <c r="E7289" t="s">
        <v>22</v>
      </c>
      <c r="F7289" t="s">
        <v>18</v>
      </c>
      <c r="G7289" s="1" t="str">
        <f t="shared" ref="G7289:M7290" si="1589">"X"</f>
        <v>X</v>
      </c>
      <c r="H7289" s="1" t="str">
        <f t="shared" si="1589"/>
        <v>X</v>
      </c>
      <c r="I7289" s="1" t="str">
        <f t="shared" si="1589"/>
        <v>X</v>
      </c>
      <c r="J7289" s="1" t="str">
        <f t="shared" si="1589"/>
        <v>X</v>
      </c>
      <c r="K7289" s="1" t="str">
        <f t="shared" si="1589"/>
        <v>X</v>
      </c>
      <c r="L7289" s="1" t="str">
        <f t="shared" si="1589"/>
        <v>X</v>
      </c>
      <c r="M7289" s="1" t="str">
        <f t="shared" si="1589"/>
        <v>X</v>
      </c>
      <c r="N7289" t="s">
        <v>27</v>
      </c>
    </row>
    <row r="7290" spans="1:14" x14ac:dyDescent="0.25">
      <c r="A7290" t="s">
        <v>42</v>
      </c>
      <c r="B7290" t="s">
        <v>40</v>
      </c>
      <c r="C7290" t="s">
        <v>35</v>
      </c>
      <c r="D7290" t="s">
        <v>32</v>
      </c>
      <c r="E7290" t="s">
        <v>22</v>
      </c>
      <c r="F7290" t="s">
        <v>19</v>
      </c>
      <c r="G7290" s="1" t="str">
        <f t="shared" si="1589"/>
        <v>X</v>
      </c>
      <c r="H7290" s="1" t="str">
        <f t="shared" si="1589"/>
        <v>X</v>
      </c>
      <c r="I7290" s="1" t="str">
        <f t="shared" si="1589"/>
        <v>X</v>
      </c>
      <c r="J7290" s="1" t="str">
        <f t="shared" si="1589"/>
        <v>X</v>
      </c>
      <c r="K7290" s="1" t="str">
        <f t="shared" si="1589"/>
        <v>X</v>
      </c>
      <c r="L7290" s="1" t="str">
        <f t="shared" si="1589"/>
        <v>X</v>
      </c>
      <c r="M7290" s="1" t="str">
        <f t="shared" si="1589"/>
        <v>X</v>
      </c>
      <c r="N7290" t="s">
        <v>27</v>
      </c>
    </row>
    <row r="7291" spans="1:14" x14ac:dyDescent="0.25">
      <c r="A7291" t="s">
        <v>42</v>
      </c>
      <c r="B7291" t="s">
        <v>40</v>
      </c>
      <c r="C7291" t="s">
        <v>35</v>
      </c>
      <c r="D7291" t="s">
        <v>32</v>
      </c>
      <c r="E7291" t="s">
        <v>22</v>
      </c>
      <c r="F7291" t="s">
        <v>20</v>
      </c>
      <c r="G7291" s="2">
        <f>VALUE(256.39)</f>
        <v>256.39</v>
      </c>
      <c r="H7291" s="3">
        <f>VALUE(212.78)</f>
        <v>212.78</v>
      </c>
      <c r="I7291" s="4">
        <f>VALUE(1850)</f>
        <v>1850</v>
      </c>
      <c r="J7291" s="5">
        <f>VALUE(2575)</f>
        <v>2575</v>
      </c>
      <c r="K7291" s="1">
        <f>VALUE(3238)</f>
        <v>3238</v>
      </c>
      <c r="L7291" s="1">
        <f>VALUE(4126)</f>
        <v>4126</v>
      </c>
      <c r="M7291" s="8">
        <f>VALUE(4943)</f>
        <v>4943</v>
      </c>
      <c r="N7291" t="s">
        <v>25</v>
      </c>
    </row>
    <row r="7292" spans="1:14" x14ac:dyDescent="0.25">
      <c r="A7292" t="s">
        <v>42</v>
      </c>
      <c r="B7292" t="s">
        <v>40</v>
      </c>
      <c r="C7292" t="s">
        <v>35</v>
      </c>
      <c r="D7292" t="s">
        <v>32</v>
      </c>
      <c r="E7292" t="s">
        <v>23</v>
      </c>
      <c r="F7292" t="s">
        <v>15</v>
      </c>
      <c r="G7292" s="2">
        <f>VALUE(877.94)</f>
        <v>877.94</v>
      </c>
      <c r="H7292" s="3">
        <f>VALUE(848.7)</f>
        <v>848.7</v>
      </c>
      <c r="I7292" s="1">
        <f>VALUE(2420)</f>
        <v>2420</v>
      </c>
      <c r="J7292" s="1">
        <f>VALUE(2600)</f>
        <v>2600</v>
      </c>
      <c r="K7292" s="1">
        <f>VALUE(2801)</f>
        <v>2801</v>
      </c>
      <c r="L7292" s="1">
        <f>VALUE(3266)</f>
        <v>3266</v>
      </c>
      <c r="M7292" s="1">
        <f>VALUE(3554)</f>
        <v>3554</v>
      </c>
      <c r="N7292" t="s">
        <v>25</v>
      </c>
    </row>
    <row r="7293" spans="1:14" x14ac:dyDescent="0.25">
      <c r="A7293" t="s">
        <v>42</v>
      </c>
      <c r="B7293" t="s">
        <v>40</v>
      </c>
      <c r="C7293" t="s">
        <v>35</v>
      </c>
      <c r="D7293" t="s">
        <v>32</v>
      </c>
      <c r="E7293" t="s">
        <v>23</v>
      </c>
      <c r="F7293" t="s">
        <v>17</v>
      </c>
      <c r="G7293" s="1" t="str">
        <f t="shared" ref="G7293:M7293" si="1590">"..."</f>
        <v>...</v>
      </c>
      <c r="H7293" s="1" t="str">
        <f t="shared" si="1590"/>
        <v>...</v>
      </c>
      <c r="I7293" s="1" t="str">
        <f t="shared" si="1590"/>
        <v>...</v>
      </c>
      <c r="J7293" s="1" t="str">
        <f t="shared" si="1590"/>
        <v>...</v>
      </c>
      <c r="K7293" s="1" t="str">
        <f t="shared" si="1590"/>
        <v>...</v>
      </c>
      <c r="L7293" s="1" t="str">
        <f t="shared" si="1590"/>
        <v>...</v>
      </c>
      <c r="M7293" s="1" t="str">
        <f t="shared" si="1590"/>
        <v>...</v>
      </c>
      <c r="N7293" t="s">
        <v>30</v>
      </c>
    </row>
    <row r="7294" spans="1:14" x14ac:dyDescent="0.25">
      <c r="A7294" t="s">
        <v>42</v>
      </c>
      <c r="B7294" t="s">
        <v>40</v>
      </c>
      <c r="C7294" t="s">
        <v>35</v>
      </c>
      <c r="D7294" t="s">
        <v>32</v>
      </c>
      <c r="E7294" t="s">
        <v>23</v>
      </c>
      <c r="F7294" t="s">
        <v>18</v>
      </c>
      <c r="G7294" s="1" t="str">
        <f t="shared" ref="G7294:M7295" si="1591">"X"</f>
        <v>X</v>
      </c>
      <c r="H7294" s="1" t="str">
        <f t="shared" si="1591"/>
        <v>X</v>
      </c>
      <c r="I7294" s="1" t="str">
        <f t="shared" si="1591"/>
        <v>X</v>
      </c>
      <c r="J7294" s="1" t="str">
        <f t="shared" si="1591"/>
        <v>X</v>
      </c>
      <c r="K7294" s="1" t="str">
        <f t="shared" si="1591"/>
        <v>X</v>
      </c>
      <c r="L7294" s="1" t="str">
        <f t="shared" si="1591"/>
        <v>X</v>
      </c>
      <c r="M7294" s="1" t="str">
        <f t="shared" si="1591"/>
        <v>X</v>
      </c>
      <c r="N7294" t="s">
        <v>27</v>
      </c>
    </row>
    <row r="7295" spans="1:14" x14ac:dyDescent="0.25">
      <c r="A7295" t="s">
        <v>42</v>
      </c>
      <c r="B7295" t="s">
        <v>40</v>
      </c>
      <c r="C7295" t="s">
        <v>35</v>
      </c>
      <c r="D7295" t="s">
        <v>32</v>
      </c>
      <c r="E7295" t="s">
        <v>23</v>
      </c>
      <c r="F7295" t="s">
        <v>19</v>
      </c>
      <c r="G7295" s="1" t="str">
        <f t="shared" si="1591"/>
        <v>X</v>
      </c>
      <c r="H7295" s="1" t="str">
        <f t="shared" si="1591"/>
        <v>X</v>
      </c>
      <c r="I7295" s="1" t="str">
        <f t="shared" si="1591"/>
        <v>X</v>
      </c>
      <c r="J7295" s="1" t="str">
        <f t="shared" si="1591"/>
        <v>X</v>
      </c>
      <c r="K7295" s="1" t="str">
        <f t="shared" si="1591"/>
        <v>X</v>
      </c>
      <c r="L7295" s="1" t="str">
        <f t="shared" si="1591"/>
        <v>X</v>
      </c>
      <c r="M7295" s="1" t="str">
        <f t="shared" si="1591"/>
        <v>X</v>
      </c>
      <c r="N7295" t="s">
        <v>27</v>
      </c>
    </row>
    <row r="7296" spans="1:14" x14ac:dyDescent="0.25">
      <c r="A7296" t="s">
        <v>42</v>
      </c>
      <c r="B7296" t="s">
        <v>40</v>
      </c>
      <c r="C7296" t="s">
        <v>35</v>
      </c>
      <c r="D7296" t="s">
        <v>32</v>
      </c>
      <c r="E7296" t="s">
        <v>23</v>
      </c>
      <c r="F7296" t="s">
        <v>20</v>
      </c>
      <c r="G7296" s="2">
        <f>VALUE(845.73)</f>
        <v>845.73</v>
      </c>
      <c r="H7296" s="3">
        <f>VALUE(817.26)</f>
        <v>817.26</v>
      </c>
      <c r="I7296" s="1">
        <f>VALUE(2400)</f>
        <v>2400</v>
      </c>
      <c r="J7296" s="1">
        <f>VALUE(2600)</f>
        <v>2600</v>
      </c>
      <c r="K7296" s="1">
        <f>VALUE(2801)</f>
        <v>2801</v>
      </c>
      <c r="L7296" s="1">
        <f>VALUE(3272)</f>
        <v>3272</v>
      </c>
      <c r="M7296" s="1">
        <f>VALUE(3562)</f>
        <v>3562</v>
      </c>
      <c r="N7296" t="s">
        <v>25</v>
      </c>
    </row>
    <row r="7297" spans="1:14" x14ac:dyDescent="0.25">
      <c r="A7297" t="s">
        <v>42</v>
      </c>
      <c r="B7297" t="s">
        <v>40</v>
      </c>
      <c r="C7297" t="s">
        <v>35</v>
      </c>
      <c r="D7297" t="s">
        <v>32</v>
      </c>
      <c r="E7297" t="s">
        <v>26</v>
      </c>
      <c r="F7297" t="s">
        <v>15</v>
      </c>
      <c r="G7297" s="1" t="str">
        <f t="shared" ref="G7297:M7297" si="1592">"X"</f>
        <v>X</v>
      </c>
      <c r="H7297" s="1" t="str">
        <f t="shared" si="1592"/>
        <v>X</v>
      </c>
      <c r="I7297" s="1" t="str">
        <f t="shared" si="1592"/>
        <v>X</v>
      </c>
      <c r="J7297" s="1" t="str">
        <f t="shared" si="1592"/>
        <v>X</v>
      </c>
      <c r="K7297" s="1" t="str">
        <f t="shared" si="1592"/>
        <v>X</v>
      </c>
      <c r="L7297" s="1" t="str">
        <f t="shared" si="1592"/>
        <v>X</v>
      </c>
      <c r="M7297" s="1" t="str">
        <f t="shared" si="1592"/>
        <v>X</v>
      </c>
      <c r="N7297" t="s">
        <v>27</v>
      </c>
    </row>
    <row r="7298" spans="1:14" x14ac:dyDescent="0.25">
      <c r="A7298" t="s">
        <v>42</v>
      </c>
      <c r="B7298" t="s">
        <v>40</v>
      </c>
      <c r="C7298" t="s">
        <v>35</v>
      </c>
      <c r="D7298" t="s">
        <v>32</v>
      </c>
      <c r="E7298" t="s">
        <v>26</v>
      </c>
      <c r="F7298" t="s">
        <v>17</v>
      </c>
      <c r="G7298" s="1" t="str">
        <f t="shared" ref="G7298:M7300" si="1593">"..."</f>
        <v>...</v>
      </c>
      <c r="H7298" s="1" t="str">
        <f t="shared" si="1593"/>
        <v>...</v>
      </c>
      <c r="I7298" s="1" t="str">
        <f t="shared" si="1593"/>
        <v>...</v>
      </c>
      <c r="J7298" s="1" t="str">
        <f t="shared" si="1593"/>
        <v>...</v>
      </c>
      <c r="K7298" s="1" t="str">
        <f t="shared" si="1593"/>
        <v>...</v>
      </c>
      <c r="L7298" s="1" t="str">
        <f t="shared" si="1593"/>
        <v>...</v>
      </c>
      <c r="M7298" s="1" t="str">
        <f t="shared" si="1593"/>
        <v>...</v>
      </c>
      <c r="N7298" t="s">
        <v>30</v>
      </c>
    </row>
    <row r="7299" spans="1:14" x14ac:dyDescent="0.25">
      <c r="A7299" t="s">
        <v>42</v>
      </c>
      <c r="B7299" t="s">
        <v>40</v>
      </c>
      <c r="C7299" t="s">
        <v>35</v>
      </c>
      <c r="D7299" t="s">
        <v>32</v>
      </c>
      <c r="E7299" t="s">
        <v>26</v>
      </c>
      <c r="F7299" t="s">
        <v>18</v>
      </c>
      <c r="G7299" s="1" t="str">
        <f t="shared" si="1593"/>
        <v>...</v>
      </c>
      <c r="H7299" s="1" t="str">
        <f t="shared" si="1593"/>
        <v>...</v>
      </c>
      <c r="I7299" s="1" t="str">
        <f t="shared" si="1593"/>
        <v>...</v>
      </c>
      <c r="J7299" s="1" t="str">
        <f t="shared" si="1593"/>
        <v>...</v>
      </c>
      <c r="K7299" s="1" t="str">
        <f t="shared" si="1593"/>
        <v>...</v>
      </c>
      <c r="L7299" s="1" t="str">
        <f t="shared" si="1593"/>
        <v>...</v>
      </c>
      <c r="M7299" s="1" t="str">
        <f t="shared" si="1593"/>
        <v>...</v>
      </c>
      <c r="N7299" t="s">
        <v>30</v>
      </c>
    </row>
    <row r="7300" spans="1:14" x14ac:dyDescent="0.25">
      <c r="A7300" t="s">
        <v>42</v>
      </c>
      <c r="B7300" t="s">
        <v>40</v>
      </c>
      <c r="C7300" t="s">
        <v>35</v>
      </c>
      <c r="D7300" t="s">
        <v>32</v>
      </c>
      <c r="E7300" t="s">
        <v>26</v>
      </c>
      <c r="F7300" t="s">
        <v>19</v>
      </c>
      <c r="G7300" s="1" t="str">
        <f t="shared" si="1593"/>
        <v>...</v>
      </c>
      <c r="H7300" s="1" t="str">
        <f t="shared" si="1593"/>
        <v>...</v>
      </c>
      <c r="I7300" s="1" t="str">
        <f t="shared" si="1593"/>
        <v>...</v>
      </c>
      <c r="J7300" s="1" t="str">
        <f t="shared" si="1593"/>
        <v>...</v>
      </c>
      <c r="K7300" s="1" t="str">
        <f t="shared" si="1593"/>
        <v>...</v>
      </c>
      <c r="L7300" s="1" t="str">
        <f t="shared" si="1593"/>
        <v>...</v>
      </c>
      <c r="M7300" s="1" t="str">
        <f t="shared" si="1593"/>
        <v>...</v>
      </c>
      <c r="N7300" t="s">
        <v>30</v>
      </c>
    </row>
    <row r="7301" spans="1:14" x14ac:dyDescent="0.25">
      <c r="A7301" t="s">
        <v>42</v>
      </c>
      <c r="B7301" t="s">
        <v>40</v>
      </c>
      <c r="C7301" t="s">
        <v>35</v>
      </c>
      <c r="D7301" t="s">
        <v>32</v>
      </c>
      <c r="E7301" t="s">
        <v>26</v>
      </c>
      <c r="F7301" t="s">
        <v>20</v>
      </c>
      <c r="G7301" s="1" t="str">
        <f t="shared" ref="G7301:M7302" si="1594">"X"</f>
        <v>X</v>
      </c>
      <c r="H7301" s="1" t="str">
        <f t="shared" si="1594"/>
        <v>X</v>
      </c>
      <c r="I7301" s="1" t="str">
        <f t="shared" si="1594"/>
        <v>X</v>
      </c>
      <c r="J7301" s="1" t="str">
        <f t="shared" si="1594"/>
        <v>X</v>
      </c>
      <c r="K7301" s="1" t="str">
        <f t="shared" si="1594"/>
        <v>X</v>
      </c>
      <c r="L7301" s="1" t="str">
        <f t="shared" si="1594"/>
        <v>X</v>
      </c>
      <c r="M7301" s="1" t="str">
        <f t="shared" si="1594"/>
        <v>X</v>
      </c>
      <c r="N7301" t="s">
        <v>27</v>
      </c>
    </row>
    <row r="7302" spans="1:14" x14ac:dyDescent="0.25">
      <c r="A7302" t="s">
        <v>42</v>
      </c>
      <c r="B7302" t="s">
        <v>40</v>
      </c>
      <c r="C7302" t="s">
        <v>35</v>
      </c>
      <c r="D7302" t="s">
        <v>33</v>
      </c>
      <c r="E7302" t="s">
        <v>15</v>
      </c>
      <c r="F7302" t="s">
        <v>15</v>
      </c>
      <c r="G7302" s="1" t="str">
        <f t="shared" si="1594"/>
        <v>X</v>
      </c>
      <c r="H7302" s="1" t="str">
        <f t="shared" si="1594"/>
        <v>X</v>
      </c>
      <c r="I7302" s="1" t="str">
        <f t="shared" si="1594"/>
        <v>X</v>
      </c>
      <c r="J7302" s="1" t="str">
        <f t="shared" si="1594"/>
        <v>X</v>
      </c>
      <c r="K7302" s="1" t="str">
        <f t="shared" si="1594"/>
        <v>X</v>
      </c>
      <c r="L7302" s="1" t="str">
        <f t="shared" si="1594"/>
        <v>X</v>
      </c>
      <c r="M7302" s="1" t="str">
        <f t="shared" si="1594"/>
        <v>X</v>
      </c>
      <c r="N7302" t="s">
        <v>27</v>
      </c>
    </row>
    <row r="7303" spans="1:14" x14ac:dyDescent="0.25">
      <c r="A7303" t="s">
        <v>42</v>
      </c>
      <c r="B7303" t="s">
        <v>40</v>
      </c>
      <c r="C7303" t="s">
        <v>35</v>
      </c>
      <c r="D7303" t="s">
        <v>33</v>
      </c>
      <c r="E7303" t="s">
        <v>15</v>
      </c>
      <c r="F7303" t="s">
        <v>17</v>
      </c>
      <c r="G7303" s="1" t="str">
        <f t="shared" ref="G7303:M7305" si="1595">"..."</f>
        <v>...</v>
      </c>
      <c r="H7303" s="1" t="str">
        <f t="shared" si="1595"/>
        <v>...</v>
      </c>
      <c r="I7303" s="1" t="str">
        <f t="shared" si="1595"/>
        <v>...</v>
      </c>
      <c r="J7303" s="1" t="str">
        <f t="shared" si="1595"/>
        <v>...</v>
      </c>
      <c r="K7303" s="1" t="str">
        <f t="shared" si="1595"/>
        <v>...</v>
      </c>
      <c r="L7303" s="1" t="str">
        <f t="shared" si="1595"/>
        <v>...</v>
      </c>
      <c r="M7303" s="1" t="str">
        <f t="shared" si="1595"/>
        <v>...</v>
      </c>
      <c r="N7303" t="s">
        <v>30</v>
      </c>
    </row>
    <row r="7304" spans="1:14" x14ac:dyDescent="0.25">
      <c r="A7304" t="s">
        <v>42</v>
      </c>
      <c r="B7304" t="s">
        <v>40</v>
      </c>
      <c r="C7304" t="s">
        <v>35</v>
      </c>
      <c r="D7304" t="s">
        <v>33</v>
      </c>
      <c r="E7304" t="s">
        <v>15</v>
      </c>
      <c r="F7304" t="s">
        <v>18</v>
      </c>
      <c r="G7304" s="1" t="str">
        <f t="shared" si="1595"/>
        <v>...</v>
      </c>
      <c r="H7304" s="1" t="str">
        <f t="shared" si="1595"/>
        <v>...</v>
      </c>
      <c r="I7304" s="1" t="str">
        <f t="shared" si="1595"/>
        <v>...</v>
      </c>
      <c r="J7304" s="1" t="str">
        <f t="shared" si="1595"/>
        <v>...</v>
      </c>
      <c r="K7304" s="1" t="str">
        <f t="shared" si="1595"/>
        <v>...</v>
      </c>
      <c r="L7304" s="1" t="str">
        <f t="shared" si="1595"/>
        <v>...</v>
      </c>
      <c r="M7304" s="1" t="str">
        <f t="shared" si="1595"/>
        <v>...</v>
      </c>
      <c r="N7304" t="s">
        <v>30</v>
      </c>
    </row>
    <row r="7305" spans="1:14" x14ac:dyDescent="0.25">
      <c r="A7305" t="s">
        <v>42</v>
      </c>
      <c r="B7305" t="s">
        <v>40</v>
      </c>
      <c r="C7305" t="s">
        <v>35</v>
      </c>
      <c r="D7305" t="s">
        <v>33</v>
      </c>
      <c r="E7305" t="s">
        <v>15</v>
      </c>
      <c r="F7305" t="s">
        <v>19</v>
      </c>
      <c r="G7305" s="1" t="str">
        <f t="shared" si="1595"/>
        <v>...</v>
      </c>
      <c r="H7305" s="1" t="str">
        <f t="shared" si="1595"/>
        <v>...</v>
      </c>
      <c r="I7305" s="1" t="str">
        <f t="shared" si="1595"/>
        <v>...</v>
      </c>
      <c r="J7305" s="1" t="str">
        <f t="shared" si="1595"/>
        <v>...</v>
      </c>
      <c r="K7305" s="1" t="str">
        <f t="shared" si="1595"/>
        <v>...</v>
      </c>
      <c r="L7305" s="1" t="str">
        <f t="shared" si="1595"/>
        <v>...</v>
      </c>
      <c r="M7305" s="1" t="str">
        <f t="shared" si="1595"/>
        <v>...</v>
      </c>
      <c r="N7305" t="s">
        <v>30</v>
      </c>
    </row>
    <row r="7306" spans="1:14" x14ac:dyDescent="0.25">
      <c r="A7306" t="s">
        <v>42</v>
      </c>
      <c r="B7306" t="s">
        <v>40</v>
      </c>
      <c r="C7306" t="s">
        <v>35</v>
      </c>
      <c r="D7306" t="s">
        <v>33</v>
      </c>
      <c r="E7306" t="s">
        <v>15</v>
      </c>
      <c r="F7306" t="s">
        <v>20</v>
      </c>
      <c r="G7306" s="1" t="str">
        <f t="shared" ref="G7306:M7307" si="1596">"X"</f>
        <v>X</v>
      </c>
      <c r="H7306" s="1" t="str">
        <f t="shared" si="1596"/>
        <v>X</v>
      </c>
      <c r="I7306" s="1" t="str">
        <f t="shared" si="1596"/>
        <v>X</v>
      </c>
      <c r="J7306" s="1" t="str">
        <f t="shared" si="1596"/>
        <v>X</v>
      </c>
      <c r="K7306" s="1" t="str">
        <f t="shared" si="1596"/>
        <v>X</v>
      </c>
      <c r="L7306" s="1" t="str">
        <f t="shared" si="1596"/>
        <v>X</v>
      </c>
      <c r="M7306" s="1" t="str">
        <f t="shared" si="1596"/>
        <v>X</v>
      </c>
      <c r="N7306" t="s">
        <v>27</v>
      </c>
    </row>
    <row r="7307" spans="1:14" x14ac:dyDescent="0.25">
      <c r="A7307" t="s">
        <v>42</v>
      </c>
      <c r="B7307" t="s">
        <v>40</v>
      </c>
      <c r="C7307" t="s">
        <v>35</v>
      </c>
      <c r="D7307" t="s">
        <v>33</v>
      </c>
      <c r="E7307" t="s">
        <v>21</v>
      </c>
      <c r="F7307" t="s">
        <v>15</v>
      </c>
      <c r="G7307" s="1" t="str">
        <f t="shared" si="1596"/>
        <v>X</v>
      </c>
      <c r="H7307" s="1" t="str">
        <f t="shared" si="1596"/>
        <v>X</v>
      </c>
      <c r="I7307" s="1" t="str">
        <f t="shared" si="1596"/>
        <v>X</v>
      </c>
      <c r="J7307" s="1" t="str">
        <f t="shared" si="1596"/>
        <v>X</v>
      </c>
      <c r="K7307" s="1" t="str">
        <f t="shared" si="1596"/>
        <v>X</v>
      </c>
      <c r="L7307" s="1" t="str">
        <f t="shared" si="1596"/>
        <v>X</v>
      </c>
      <c r="M7307" s="1" t="str">
        <f t="shared" si="1596"/>
        <v>X</v>
      </c>
      <c r="N7307" t="s">
        <v>27</v>
      </c>
    </row>
    <row r="7308" spans="1:14" x14ac:dyDescent="0.25">
      <c r="A7308" t="s">
        <v>42</v>
      </c>
      <c r="B7308" t="s">
        <v>40</v>
      </c>
      <c r="C7308" t="s">
        <v>35</v>
      </c>
      <c r="D7308" t="s">
        <v>33</v>
      </c>
      <c r="E7308" t="s">
        <v>21</v>
      </c>
      <c r="F7308" t="s">
        <v>17</v>
      </c>
      <c r="G7308" s="1" t="str">
        <f t="shared" ref="G7308:M7310" si="1597">"..."</f>
        <v>...</v>
      </c>
      <c r="H7308" s="1" t="str">
        <f t="shared" si="1597"/>
        <v>...</v>
      </c>
      <c r="I7308" s="1" t="str">
        <f t="shared" si="1597"/>
        <v>...</v>
      </c>
      <c r="J7308" s="1" t="str">
        <f t="shared" si="1597"/>
        <v>...</v>
      </c>
      <c r="K7308" s="1" t="str">
        <f t="shared" si="1597"/>
        <v>...</v>
      </c>
      <c r="L7308" s="1" t="str">
        <f t="shared" si="1597"/>
        <v>...</v>
      </c>
      <c r="M7308" s="1" t="str">
        <f t="shared" si="1597"/>
        <v>...</v>
      </c>
      <c r="N7308" t="s">
        <v>30</v>
      </c>
    </row>
    <row r="7309" spans="1:14" x14ac:dyDescent="0.25">
      <c r="A7309" t="s">
        <v>42</v>
      </c>
      <c r="B7309" t="s">
        <v>40</v>
      </c>
      <c r="C7309" t="s">
        <v>35</v>
      </c>
      <c r="D7309" t="s">
        <v>33</v>
      </c>
      <c r="E7309" t="s">
        <v>21</v>
      </c>
      <c r="F7309" t="s">
        <v>18</v>
      </c>
      <c r="G7309" s="1" t="str">
        <f t="shared" si="1597"/>
        <v>...</v>
      </c>
      <c r="H7309" s="1" t="str">
        <f t="shared" si="1597"/>
        <v>...</v>
      </c>
      <c r="I7309" s="1" t="str">
        <f t="shared" si="1597"/>
        <v>...</v>
      </c>
      <c r="J7309" s="1" t="str">
        <f t="shared" si="1597"/>
        <v>...</v>
      </c>
      <c r="K7309" s="1" t="str">
        <f t="shared" si="1597"/>
        <v>...</v>
      </c>
      <c r="L7309" s="1" t="str">
        <f t="shared" si="1597"/>
        <v>...</v>
      </c>
      <c r="M7309" s="1" t="str">
        <f t="shared" si="1597"/>
        <v>...</v>
      </c>
      <c r="N7309" t="s">
        <v>30</v>
      </c>
    </row>
    <row r="7310" spans="1:14" x14ac:dyDescent="0.25">
      <c r="A7310" t="s">
        <v>42</v>
      </c>
      <c r="B7310" t="s">
        <v>40</v>
      </c>
      <c r="C7310" t="s">
        <v>35</v>
      </c>
      <c r="D7310" t="s">
        <v>33</v>
      </c>
      <c r="E7310" t="s">
        <v>21</v>
      </c>
      <c r="F7310" t="s">
        <v>19</v>
      </c>
      <c r="G7310" s="1" t="str">
        <f t="shared" si="1597"/>
        <v>...</v>
      </c>
      <c r="H7310" s="1" t="str">
        <f t="shared" si="1597"/>
        <v>...</v>
      </c>
      <c r="I7310" s="1" t="str">
        <f t="shared" si="1597"/>
        <v>...</v>
      </c>
      <c r="J7310" s="1" t="str">
        <f t="shared" si="1597"/>
        <v>...</v>
      </c>
      <c r="K7310" s="1" t="str">
        <f t="shared" si="1597"/>
        <v>...</v>
      </c>
      <c r="L7310" s="1" t="str">
        <f t="shared" si="1597"/>
        <v>...</v>
      </c>
      <c r="M7310" s="1" t="str">
        <f t="shared" si="1597"/>
        <v>...</v>
      </c>
      <c r="N7310" t="s">
        <v>30</v>
      </c>
    </row>
    <row r="7311" spans="1:14" x14ac:dyDescent="0.25">
      <c r="A7311" t="s">
        <v>42</v>
      </c>
      <c r="B7311" t="s">
        <v>40</v>
      </c>
      <c r="C7311" t="s">
        <v>35</v>
      </c>
      <c r="D7311" t="s">
        <v>33</v>
      </c>
      <c r="E7311" t="s">
        <v>21</v>
      </c>
      <c r="F7311" t="s">
        <v>20</v>
      </c>
      <c r="G7311" s="1" t="str">
        <f t="shared" ref="G7311:M7312" si="1598">"X"</f>
        <v>X</v>
      </c>
      <c r="H7311" s="1" t="str">
        <f t="shared" si="1598"/>
        <v>X</v>
      </c>
      <c r="I7311" s="1" t="str">
        <f t="shared" si="1598"/>
        <v>X</v>
      </c>
      <c r="J7311" s="1" t="str">
        <f t="shared" si="1598"/>
        <v>X</v>
      </c>
      <c r="K7311" s="1" t="str">
        <f t="shared" si="1598"/>
        <v>X</v>
      </c>
      <c r="L7311" s="1" t="str">
        <f t="shared" si="1598"/>
        <v>X</v>
      </c>
      <c r="M7311" s="1" t="str">
        <f t="shared" si="1598"/>
        <v>X</v>
      </c>
      <c r="N7311" t="s">
        <v>27</v>
      </c>
    </row>
    <row r="7312" spans="1:14" x14ac:dyDescent="0.25">
      <c r="A7312" t="s">
        <v>42</v>
      </c>
      <c r="B7312" t="s">
        <v>40</v>
      </c>
      <c r="C7312" t="s">
        <v>35</v>
      </c>
      <c r="D7312" t="s">
        <v>33</v>
      </c>
      <c r="E7312" t="s">
        <v>22</v>
      </c>
      <c r="F7312" t="s">
        <v>15</v>
      </c>
      <c r="G7312" s="1" t="str">
        <f t="shared" si="1598"/>
        <v>X</v>
      </c>
      <c r="H7312" s="1" t="str">
        <f t="shared" si="1598"/>
        <v>X</v>
      </c>
      <c r="I7312" s="1" t="str">
        <f t="shared" si="1598"/>
        <v>X</v>
      </c>
      <c r="J7312" s="1" t="str">
        <f t="shared" si="1598"/>
        <v>X</v>
      </c>
      <c r="K7312" s="1" t="str">
        <f t="shared" si="1598"/>
        <v>X</v>
      </c>
      <c r="L7312" s="1" t="str">
        <f t="shared" si="1598"/>
        <v>X</v>
      </c>
      <c r="M7312" s="1" t="str">
        <f t="shared" si="1598"/>
        <v>X</v>
      </c>
      <c r="N7312" t="s">
        <v>27</v>
      </c>
    </row>
    <row r="7313" spans="1:14" x14ac:dyDescent="0.25">
      <c r="A7313" t="s">
        <v>42</v>
      </c>
      <c r="B7313" t="s">
        <v>40</v>
      </c>
      <c r="C7313" t="s">
        <v>35</v>
      </c>
      <c r="D7313" t="s">
        <v>33</v>
      </c>
      <c r="E7313" t="s">
        <v>22</v>
      </c>
      <c r="F7313" t="s">
        <v>17</v>
      </c>
      <c r="G7313" s="1" t="str">
        <f t="shared" ref="G7313:M7315" si="1599">"..."</f>
        <v>...</v>
      </c>
      <c r="H7313" s="1" t="str">
        <f t="shared" si="1599"/>
        <v>...</v>
      </c>
      <c r="I7313" s="1" t="str">
        <f t="shared" si="1599"/>
        <v>...</v>
      </c>
      <c r="J7313" s="1" t="str">
        <f t="shared" si="1599"/>
        <v>...</v>
      </c>
      <c r="K7313" s="1" t="str">
        <f t="shared" si="1599"/>
        <v>...</v>
      </c>
      <c r="L7313" s="1" t="str">
        <f t="shared" si="1599"/>
        <v>...</v>
      </c>
      <c r="M7313" s="1" t="str">
        <f t="shared" si="1599"/>
        <v>...</v>
      </c>
      <c r="N7313" t="s">
        <v>30</v>
      </c>
    </row>
    <row r="7314" spans="1:14" x14ac:dyDescent="0.25">
      <c r="A7314" t="s">
        <v>42</v>
      </c>
      <c r="B7314" t="s">
        <v>40</v>
      </c>
      <c r="C7314" t="s">
        <v>35</v>
      </c>
      <c r="D7314" t="s">
        <v>33</v>
      </c>
      <c r="E7314" t="s">
        <v>22</v>
      </c>
      <c r="F7314" t="s">
        <v>18</v>
      </c>
      <c r="G7314" s="1" t="str">
        <f t="shared" si="1599"/>
        <v>...</v>
      </c>
      <c r="H7314" s="1" t="str">
        <f t="shared" si="1599"/>
        <v>...</v>
      </c>
      <c r="I7314" s="1" t="str">
        <f t="shared" si="1599"/>
        <v>...</v>
      </c>
      <c r="J7314" s="1" t="str">
        <f t="shared" si="1599"/>
        <v>...</v>
      </c>
      <c r="K7314" s="1" t="str">
        <f t="shared" si="1599"/>
        <v>...</v>
      </c>
      <c r="L7314" s="1" t="str">
        <f t="shared" si="1599"/>
        <v>...</v>
      </c>
      <c r="M7314" s="1" t="str">
        <f t="shared" si="1599"/>
        <v>...</v>
      </c>
      <c r="N7314" t="s">
        <v>30</v>
      </c>
    </row>
    <row r="7315" spans="1:14" x14ac:dyDescent="0.25">
      <c r="A7315" t="s">
        <v>42</v>
      </c>
      <c r="B7315" t="s">
        <v>40</v>
      </c>
      <c r="C7315" t="s">
        <v>35</v>
      </c>
      <c r="D7315" t="s">
        <v>33</v>
      </c>
      <c r="E7315" t="s">
        <v>22</v>
      </c>
      <c r="F7315" t="s">
        <v>19</v>
      </c>
      <c r="G7315" s="1" t="str">
        <f t="shared" si="1599"/>
        <v>...</v>
      </c>
      <c r="H7315" s="1" t="str">
        <f t="shared" si="1599"/>
        <v>...</v>
      </c>
      <c r="I7315" s="1" t="str">
        <f t="shared" si="1599"/>
        <v>...</v>
      </c>
      <c r="J7315" s="1" t="str">
        <f t="shared" si="1599"/>
        <v>...</v>
      </c>
      <c r="K7315" s="1" t="str">
        <f t="shared" si="1599"/>
        <v>...</v>
      </c>
      <c r="L7315" s="1" t="str">
        <f t="shared" si="1599"/>
        <v>...</v>
      </c>
      <c r="M7315" s="1" t="str">
        <f t="shared" si="1599"/>
        <v>...</v>
      </c>
      <c r="N7315" t="s">
        <v>30</v>
      </c>
    </row>
    <row r="7316" spans="1:14" x14ac:dyDescent="0.25">
      <c r="A7316" t="s">
        <v>42</v>
      </c>
      <c r="B7316" t="s">
        <v>40</v>
      </c>
      <c r="C7316" t="s">
        <v>35</v>
      </c>
      <c r="D7316" t="s">
        <v>33</v>
      </c>
      <c r="E7316" t="s">
        <v>22</v>
      </c>
      <c r="F7316" t="s">
        <v>20</v>
      </c>
      <c r="G7316" s="1" t="str">
        <f t="shared" ref="G7316:M7317" si="1600">"X"</f>
        <v>X</v>
      </c>
      <c r="H7316" s="1" t="str">
        <f t="shared" si="1600"/>
        <v>X</v>
      </c>
      <c r="I7316" s="1" t="str">
        <f t="shared" si="1600"/>
        <v>X</v>
      </c>
      <c r="J7316" s="1" t="str">
        <f t="shared" si="1600"/>
        <v>X</v>
      </c>
      <c r="K7316" s="1" t="str">
        <f t="shared" si="1600"/>
        <v>X</v>
      </c>
      <c r="L7316" s="1" t="str">
        <f t="shared" si="1600"/>
        <v>X</v>
      </c>
      <c r="M7316" s="1" t="str">
        <f t="shared" si="1600"/>
        <v>X</v>
      </c>
      <c r="N7316" t="s">
        <v>27</v>
      </c>
    </row>
    <row r="7317" spans="1:14" x14ac:dyDescent="0.25">
      <c r="A7317" t="s">
        <v>42</v>
      </c>
      <c r="B7317" t="s">
        <v>40</v>
      </c>
      <c r="C7317" t="s">
        <v>35</v>
      </c>
      <c r="D7317" t="s">
        <v>33</v>
      </c>
      <c r="E7317" t="s">
        <v>23</v>
      </c>
      <c r="F7317" t="s">
        <v>15</v>
      </c>
      <c r="G7317" s="1" t="str">
        <f t="shared" si="1600"/>
        <v>X</v>
      </c>
      <c r="H7317" s="1" t="str">
        <f t="shared" si="1600"/>
        <v>X</v>
      </c>
      <c r="I7317" s="1" t="str">
        <f t="shared" si="1600"/>
        <v>X</v>
      </c>
      <c r="J7317" s="1" t="str">
        <f t="shared" si="1600"/>
        <v>X</v>
      </c>
      <c r="K7317" s="1" t="str">
        <f t="shared" si="1600"/>
        <v>X</v>
      </c>
      <c r="L7317" s="1" t="str">
        <f t="shared" si="1600"/>
        <v>X</v>
      </c>
      <c r="M7317" s="1" t="str">
        <f t="shared" si="1600"/>
        <v>X</v>
      </c>
      <c r="N7317" t="s">
        <v>27</v>
      </c>
    </row>
    <row r="7318" spans="1:14" x14ac:dyDescent="0.25">
      <c r="A7318" t="s">
        <v>42</v>
      </c>
      <c r="B7318" t="s">
        <v>40</v>
      </c>
      <c r="C7318" t="s">
        <v>35</v>
      </c>
      <c r="D7318" t="s">
        <v>33</v>
      </c>
      <c r="E7318" t="s">
        <v>23</v>
      </c>
      <c r="F7318" t="s">
        <v>17</v>
      </c>
      <c r="G7318" s="1" t="str">
        <f t="shared" ref="G7318:M7320" si="1601">"..."</f>
        <v>...</v>
      </c>
      <c r="H7318" s="1" t="str">
        <f t="shared" si="1601"/>
        <v>...</v>
      </c>
      <c r="I7318" s="1" t="str">
        <f t="shared" si="1601"/>
        <v>...</v>
      </c>
      <c r="J7318" s="1" t="str">
        <f t="shared" si="1601"/>
        <v>...</v>
      </c>
      <c r="K7318" s="1" t="str">
        <f t="shared" si="1601"/>
        <v>...</v>
      </c>
      <c r="L7318" s="1" t="str">
        <f t="shared" si="1601"/>
        <v>...</v>
      </c>
      <c r="M7318" s="1" t="str">
        <f t="shared" si="1601"/>
        <v>...</v>
      </c>
      <c r="N7318" t="s">
        <v>30</v>
      </c>
    </row>
    <row r="7319" spans="1:14" x14ac:dyDescent="0.25">
      <c r="A7319" t="s">
        <v>42</v>
      </c>
      <c r="B7319" t="s">
        <v>40</v>
      </c>
      <c r="C7319" t="s">
        <v>35</v>
      </c>
      <c r="D7319" t="s">
        <v>33</v>
      </c>
      <c r="E7319" t="s">
        <v>23</v>
      </c>
      <c r="F7319" t="s">
        <v>18</v>
      </c>
      <c r="G7319" s="1" t="str">
        <f t="shared" si="1601"/>
        <v>...</v>
      </c>
      <c r="H7319" s="1" t="str">
        <f t="shared" si="1601"/>
        <v>...</v>
      </c>
      <c r="I7319" s="1" t="str">
        <f t="shared" si="1601"/>
        <v>...</v>
      </c>
      <c r="J7319" s="1" t="str">
        <f t="shared" si="1601"/>
        <v>...</v>
      </c>
      <c r="K7319" s="1" t="str">
        <f t="shared" si="1601"/>
        <v>...</v>
      </c>
      <c r="L7319" s="1" t="str">
        <f t="shared" si="1601"/>
        <v>...</v>
      </c>
      <c r="M7319" s="1" t="str">
        <f t="shared" si="1601"/>
        <v>...</v>
      </c>
      <c r="N7319" t="s">
        <v>30</v>
      </c>
    </row>
    <row r="7320" spans="1:14" x14ac:dyDescent="0.25">
      <c r="A7320" t="s">
        <v>42</v>
      </c>
      <c r="B7320" t="s">
        <v>40</v>
      </c>
      <c r="C7320" t="s">
        <v>35</v>
      </c>
      <c r="D7320" t="s">
        <v>33</v>
      </c>
      <c r="E7320" t="s">
        <v>23</v>
      </c>
      <c r="F7320" t="s">
        <v>19</v>
      </c>
      <c r="G7320" s="1" t="str">
        <f t="shared" si="1601"/>
        <v>...</v>
      </c>
      <c r="H7320" s="1" t="str">
        <f t="shared" si="1601"/>
        <v>...</v>
      </c>
      <c r="I7320" s="1" t="str">
        <f t="shared" si="1601"/>
        <v>...</v>
      </c>
      <c r="J7320" s="1" t="str">
        <f t="shared" si="1601"/>
        <v>...</v>
      </c>
      <c r="K7320" s="1" t="str">
        <f t="shared" si="1601"/>
        <v>...</v>
      </c>
      <c r="L7320" s="1" t="str">
        <f t="shared" si="1601"/>
        <v>...</v>
      </c>
      <c r="M7320" s="1" t="str">
        <f t="shared" si="1601"/>
        <v>...</v>
      </c>
      <c r="N7320" t="s">
        <v>30</v>
      </c>
    </row>
    <row r="7321" spans="1:14" x14ac:dyDescent="0.25">
      <c r="A7321" t="s">
        <v>42</v>
      </c>
      <c r="B7321" t="s">
        <v>40</v>
      </c>
      <c r="C7321" t="s">
        <v>35</v>
      </c>
      <c r="D7321" t="s">
        <v>33</v>
      </c>
      <c r="E7321" t="s">
        <v>23</v>
      </c>
      <c r="F7321" t="s">
        <v>20</v>
      </c>
      <c r="G7321" s="1" t="str">
        <f t="shared" ref="G7321:M7321" si="1602">"X"</f>
        <v>X</v>
      </c>
      <c r="H7321" s="1" t="str">
        <f t="shared" si="1602"/>
        <v>X</v>
      </c>
      <c r="I7321" s="1" t="str">
        <f t="shared" si="1602"/>
        <v>X</v>
      </c>
      <c r="J7321" s="1" t="str">
        <f t="shared" si="1602"/>
        <v>X</v>
      </c>
      <c r="K7321" s="1" t="str">
        <f t="shared" si="1602"/>
        <v>X</v>
      </c>
      <c r="L7321" s="1" t="str">
        <f t="shared" si="1602"/>
        <v>X</v>
      </c>
      <c r="M7321" s="1" t="str">
        <f t="shared" si="1602"/>
        <v>X</v>
      </c>
      <c r="N7321" t="s">
        <v>27</v>
      </c>
    </row>
    <row r="7322" spans="1:14" x14ac:dyDescent="0.25">
      <c r="A7322" t="s">
        <v>42</v>
      </c>
      <c r="B7322" t="s">
        <v>40</v>
      </c>
      <c r="C7322" t="s">
        <v>35</v>
      </c>
      <c r="D7322" t="s">
        <v>33</v>
      </c>
      <c r="E7322" t="s">
        <v>26</v>
      </c>
      <c r="F7322" t="s">
        <v>15</v>
      </c>
      <c r="G7322" s="1" t="str">
        <f t="shared" ref="G7322:M7331" si="1603">"..."</f>
        <v>...</v>
      </c>
      <c r="H7322" s="1" t="str">
        <f t="shared" si="1603"/>
        <v>...</v>
      </c>
      <c r="I7322" s="1" t="str">
        <f t="shared" si="1603"/>
        <v>...</v>
      </c>
      <c r="J7322" s="1" t="str">
        <f t="shared" si="1603"/>
        <v>...</v>
      </c>
      <c r="K7322" s="1" t="str">
        <f t="shared" si="1603"/>
        <v>...</v>
      </c>
      <c r="L7322" s="1" t="str">
        <f t="shared" si="1603"/>
        <v>...</v>
      </c>
      <c r="M7322" s="1" t="str">
        <f t="shared" si="1603"/>
        <v>...</v>
      </c>
      <c r="N7322" t="s">
        <v>30</v>
      </c>
    </row>
    <row r="7323" spans="1:14" x14ac:dyDescent="0.25">
      <c r="A7323" t="s">
        <v>42</v>
      </c>
      <c r="B7323" t="s">
        <v>40</v>
      </c>
      <c r="C7323" t="s">
        <v>35</v>
      </c>
      <c r="D7323" t="s">
        <v>33</v>
      </c>
      <c r="E7323" t="s">
        <v>26</v>
      </c>
      <c r="F7323" t="s">
        <v>17</v>
      </c>
      <c r="G7323" s="1" t="str">
        <f t="shared" si="1603"/>
        <v>...</v>
      </c>
      <c r="H7323" s="1" t="str">
        <f t="shared" si="1603"/>
        <v>...</v>
      </c>
      <c r="I7323" s="1" t="str">
        <f t="shared" si="1603"/>
        <v>...</v>
      </c>
      <c r="J7323" s="1" t="str">
        <f t="shared" si="1603"/>
        <v>...</v>
      </c>
      <c r="K7323" s="1" t="str">
        <f t="shared" si="1603"/>
        <v>...</v>
      </c>
      <c r="L7323" s="1" t="str">
        <f t="shared" si="1603"/>
        <v>...</v>
      </c>
      <c r="M7323" s="1" t="str">
        <f t="shared" si="1603"/>
        <v>...</v>
      </c>
      <c r="N7323" t="s">
        <v>30</v>
      </c>
    </row>
    <row r="7324" spans="1:14" x14ac:dyDescent="0.25">
      <c r="A7324" t="s">
        <v>42</v>
      </c>
      <c r="B7324" t="s">
        <v>40</v>
      </c>
      <c r="C7324" t="s">
        <v>35</v>
      </c>
      <c r="D7324" t="s">
        <v>33</v>
      </c>
      <c r="E7324" t="s">
        <v>26</v>
      </c>
      <c r="F7324" t="s">
        <v>18</v>
      </c>
      <c r="G7324" s="1" t="str">
        <f t="shared" si="1603"/>
        <v>...</v>
      </c>
      <c r="H7324" s="1" t="str">
        <f t="shared" si="1603"/>
        <v>...</v>
      </c>
      <c r="I7324" s="1" t="str">
        <f t="shared" si="1603"/>
        <v>...</v>
      </c>
      <c r="J7324" s="1" t="str">
        <f t="shared" si="1603"/>
        <v>...</v>
      </c>
      <c r="K7324" s="1" t="str">
        <f t="shared" si="1603"/>
        <v>...</v>
      </c>
      <c r="L7324" s="1" t="str">
        <f t="shared" si="1603"/>
        <v>...</v>
      </c>
      <c r="M7324" s="1" t="str">
        <f t="shared" si="1603"/>
        <v>...</v>
      </c>
      <c r="N7324" t="s">
        <v>30</v>
      </c>
    </row>
    <row r="7325" spans="1:14" x14ac:dyDescent="0.25">
      <c r="A7325" t="s">
        <v>42</v>
      </c>
      <c r="B7325" t="s">
        <v>40</v>
      </c>
      <c r="C7325" t="s">
        <v>35</v>
      </c>
      <c r="D7325" t="s">
        <v>33</v>
      </c>
      <c r="E7325" t="s">
        <v>26</v>
      </c>
      <c r="F7325" t="s">
        <v>19</v>
      </c>
      <c r="G7325" s="1" t="str">
        <f t="shared" si="1603"/>
        <v>...</v>
      </c>
      <c r="H7325" s="1" t="str">
        <f t="shared" si="1603"/>
        <v>...</v>
      </c>
      <c r="I7325" s="1" t="str">
        <f t="shared" si="1603"/>
        <v>...</v>
      </c>
      <c r="J7325" s="1" t="str">
        <f t="shared" si="1603"/>
        <v>...</v>
      </c>
      <c r="K7325" s="1" t="str">
        <f t="shared" si="1603"/>
        <v>...</v>
      </c>
      <c r="L7325" s="1" t="str">
        <f t="shared" si="1603"/>
        <v>...</v>
      </c>
      <c r="M7325" s="1" t="str">
        <f t="shared" si="1603"/>
        <v>...</v>
      </c>
      <c r="N7325" t="s">
        <v>30</v>
      </c>
    </row>
    <row r="7326" spans="1:14" x14ac:dyDescent="0.25">
      <c r="A7326" t="s">
        <v>42</v>
      </c>
      <c r="B7326" t="s">
        <v>40</v>
      </c>
      <c r="C7326" t="s">
        <v>35</v>
      </c>
      <c r="D7326" t="s">
        <v>33</v>
      </c>
      <c r="E7326" t="s">
        <v>26</v>
      </c>
      <c r="F7326" t="s">
        <v>20</v>
      </c>
      <c r="G7326" s="1" t="str">
        <f t="shared" si="1603"/>
        <v>...</v>
      </c>
      <c r="H7326" s="1" t="str">
        <f t="shared" si="1603"/>
        <v>...</v>
      </c>
      <c r="I7326" s="1" t="str">
        <f t="shared" si="1603"/>
        <v>...</v>
      </c>
      <c r="J7326" s="1" t="str">
        <f t="shared" si="1603"/>
        <v>...</v>
      </c>
      <c r="K7326" s="1" t="str">
        <f t="shared" si="1603"/>
        <v>...</v>
      </c>
      <c r="L7326" s="1" t="str">
        <f t="shared" si="1603"/>
        <v>...</v>
      </c>
      <c r="M7326" s="1" t="str">
        <f t="shared" si="1603"/>
        <v>...</v>
      </c>
      <c r="N7326" t="s">
        <v>30</v>
      </c>
    </row>
    <row r="7327" spans="1:14" x14ac:dyDescent="0.25">
      <c r="A7327" t="s">
        <v>42</v>
      </c>
      <c r="B7327" t="s">
        <v>40</v>
      </c>
      <c r="C7327" t="s">
        <v>35</v>
      </c>
      <c r="D7327" t="s">
        <v>34</v>
      </c>
      <c r="E7327" t="s">
        <v>15</v>
      </c>
      <c r="F7327" t="s">
        <v>15</v>
      </c>
      <c r="G7327" s="1" t="str">
        <f t="shared" si="1603"/>
        <v>...</v>
      </c>
      <c r="H7327" s="1" t="str">
        <f t="shared" si="1603"/>
        <v>...</v>
      </c>
      <c r="I7327" s="1" t="str">
        <f t="shared" si="1603"/>
        <v>...</v>
      </c>
      <c r="J7327" s="1" t="str">
        <f t="shared" si="1603"/>
        <v>...</v>
      </c>
      <c r="K7327" s="1" t="str">
        <f t="shared" si="1603"/>
        <v>...</v>
      </c>
      <c r="L7327" s="1" t="str">
        <f t="shared" si="1603"/>
        <v>...</v>
      </c>
      <c r="M7327" s="1" t="str">
        <f t="shared" si="1603"/>
        <v>...</v>
      </c>
      <c r="N7327" t="s">
        <v>30</v>
      </c>
    </row>
    <row r="7328" spans="1:14" x14ac:dyDescent="0.25">
      <c r="A7328" t="s">
        <v>42</v>
      </c>
      <c r="B7328" t="s">
        <v>40</v>
      </c>
      <c r="C7328" t="s">
        <v>35</v>
      </c>
      <c r="D7328" t="s">
        <v>34</v>
      </c>
      <c r="E7328" t="s">
        <v>15</v>
      </c>
      <c r="F7328" t="s">
        <v>17</v>
      </c>
      <c r="G7328" s="1" t="str">
        <f t="shared" si="1603"/>
        <v>...</v>
      </c>
      <c r="H7328" s="1" t="str">
        <f t="shared" si="1603"/>
        <v>...</v>
      </c>
      <c r="I7328" s="1" t="str">
        <f t="shared" si="1603"/>
        <v>...</v>
      </c>
      <c r="J7328" s="1" t="str">
        <f t="shared" si="1603"/>
        <v>...</v>
      </c>
      <c r="K7328" s="1" t="str">
        <f t="shared" si="1603"/>
        <v>...</v>
      </c>
      <c r="L7328" s="1" t="str">
        <f t="shared" si="1603"/>
        <v>...</v>
      </c>
      <c r="M7328" s="1" t="str">
        <f t="shared" si="1603"/>
        <v>...</v>
      </c>
      <c r="N7328" t="s">
        <v>30</v>
      </c>
    </row>
    <row r="7329" spans="1:14" x14ac:dyDescent="0.25">
      <c r="A7329" t="s">
        <v>42</v>
      </c>
      <c r="B7329" t="s">
        <v>40</v>
      </c>
      <c r="C7329" t="s">
        <v>35</v>
      </c>
      <c r="D7329" t="s">
        <v>34</v>
      </c>
      <c r="E7329" t="s">
        <v>15</v>
      </c>
      <c r="F7329" t="s">
        <v>18</v>
      </c>
      <c r="G7329" s="1" t="str">
        <f t="shared" si="1603"/>
        <v>...</v>
      </c>
      <c r="H7329" s="1" t="str">
        <f t="shared" si="1603"/>
        <v>...</v>
      </c>
      <c r="I7329" s="1" t="str">
        <f t="shared" si="1603"/>
        <v>...</v>
      </c>
      <c r="J7329" s="1" t="str">
        <f t="shared" si="1603"/>
        <v>...</v>
      </c>
      <c r="K7329" s="1" t="str">
        <f t="shared" si="1603"/>
        <v>...</v>
      </c>
      <c r="L7329" s="1" t="str">
        <f t="shared" si="1603"/>
        <v>...</v>
      </c>
      <c r="M7329" s="1" t="str">
        <f t="shared" si="1603"/>
        <v>...</v>
      </c>
      <c r="N7329" t="s">
        <v>30</v>
      </c>
    </row>
    <row r="7330" spans="1:14" x14ac:dyDescent="0.25">
      <c r="A7330" t="s">
        <v>42</v>
      </c>
      <c r="B7330" t="s">
        <v>40</v>
      </c>
      <c r="C7330" t="s">
        <v>35</v>
      </c>
      <c r="D7330" t="s">
        <v>34</v>
      </c>
      <c r="E7330" t="s">
        <v>15</v>
      </c>
      <c r="F7330" t="s">
        <v>19</v>
      </c>
      <c r="G7330" s="1" t="str">
        <f t="shared" si="1603"/>
        <v>...</v>
      </c>
      <c r="H7330" s="1" t="str">
        <f t="shared" si="1603"/>
        <v>...</v>
      </c>
      <c r="I7330" s="1" t="str">
        <f t="shared" si="1603"/>
        <v>...</v>
      </c>
      <c r="J7330" s="1" t="str">
        <f t="shared" si="1603"/>
        <v>...</v>
      </c>
      <c r="K7330" s="1" t="str">
        <f t="shared" si="1603"/>
        <v>...</v>
      </c>
      <c r="L7330" s="1" t="str">
        <f t="shared" si="1603"/>
        <v>...</v>
      </c>
      <c r="M7330" s="1" t="str">
        <f t="shared" si="1603"/>
        <v>...</v>
      </c>
      <c r="N7330" t="s">
        <v>30</v>
      </c>
    </row>
    <row r="7331" spans="1:14" x14ac:dyDescent="0.25">
      <c r="A7331" t="s">
        <v>42</v>
      </c>
      <c r="B7331" t="s">
        <v>40</v>
      </c>
      <c r="C7331" t="s">
        <v>35</v>
      </c>
      <c r="D7331" t="s">
        <v>34</v>
      </c>
      <c r="E7331" t="s">
        <v>15</v>
      </c>
      <c r="F7331" t="s">
        <v>20</v>
      </c>
      <c r="G7331" s="1" t="str">
        <f t="shared" si="1603"/>
        <v>...</v>
      </c>
      <c r="H7331" s="1" t="str">
        <f t="shared" si="1603"/>
        <v>...</v>
      </c>
      <c r="I7331" s="1" t="str">
        <f t="shared" si="1603"/>
        <v>...</v>
      </c>
      <c r="J7331" s="1" t="str">
        <f t="shared" si="1603"/>
        <v>...</v>
      </c>
      <c r="K7331" s="1" t="str">
        <f t="shared" si="1603"/>
        <v>...</v>
      </c>
      <c r="L7331" s="1" t="str">
        <f t="shared" si="1603"/>
        <v>...</v>
      </c>
      <c r="M7331" s="1" t="str">
        <f t="shared" si="1603"/>
        <v>...</v>
      </c>
      <c r="N7331" t="s">
        <v>30</v>
      </c>
    </row>
    <row r="7332" spans="1:14" x14ac:dyDescent="0.25">
      <c r="A7332" t="s">
        <v>42</v>
      </c>
      <c r="B7332" t="s">
        <v>40</v>
      </c>
      <c r="C7332" t="s">
        <v>35</v>
      </c>
      <c r="D7332" t="s">
        <v>34</v>
      </c>
      <c r="E7332" t="s">
        <v>21</v>
      </c>
      <c r="F7332" t="s">
        <v>15</v>
      </c>
      <c r="G7332" s="1" t="str">
        <f t="shared" ref="G7332:M7341" si="1604">"..."</f>
        <v>...</v>
      </c>
      <c r="H7332" s="1" t="str">
        <f t="shared" si="1604"/>
        <v>...</v>
      </c>
      <c r="I7332" s="1" t="str">
        <f t="shared" si="1604"/>
        <v>...</v>
      </c>
      <c r="J7332" s="1" t="str">
        <f t="shared" si="1604"/>
        <v>...</v>
      </c>
      <c r="K7332" s="1" t="str">
        <f t="shared" si="1604"/>
        <v>...</v>
      </c>
      <c r="L7332" s="1" t="str">
        <f t="shared" si="1604"/>
        <v>...</v>
      </c>
      <c r="M7332" s="1" t="str">
        <f t="shared" si="1604"/>
        <v>...</v>
      </c>
      <c r="N7332" t="s">
        <v>30</v>
      </c>
    </row>
    <row r="7333" spans="1:14" x14ac:dyDescent="0.25">
      <c r="A7333" t="s">
        <v>42</v>
      </c>
      <c r="B7333" t="s">
        <v>40</v>
      </c>
      <c r="C7333" t="s">
        <v>35</v>
      </c>
      <c r="D7333" t="s">
        <v>34</v>
      </c>
      <c r="E7333" t="s">
        <v>21</v>
      </c>
      <c r="F7333" t="s">
        <v>17</v>
      </c>
      <c r="G7333" s="1" t="str">
        <f t="shared" si="1604"/>
        <v>...</v>
      </c>
      <c r="H7333" s="1" t="str">
        <f t="shared" si="1604"/>
        <v>...</v>
      </c>
      <c r="I7333" s="1" t="str">
        <f t="shared" si="1604"/>
        <v>...</v>
      </c>
      <c r="J7333" s="1" t="str">
        <f t="shared" si="1604"/>
        <v>...</v>
      </c>
      <c r="K7333" s="1" t="str">
        <f t="shared" si="1604"/>
        <v>...</v>
      </c>
      <c r="L7333" s="1" t="str">
        <f t="shared" si="1604"/>
        <v>...</v>
      </c>
      <c r="M7333" s="1" t="str">
        <f t="shared" si="1604"/>
        <v>...</v>
      </c>
      <c r="N7333" t="s">
        <v>30</v>
      </c>
    </row>
    <row r="7334" spans="1:14" x14ac:dyDescent="0.25">
      <c r="A7334" t="s">
        <v>42</v>
      </c>
      <c r="B7334" t="s">
        <v>40</v>
      </c>
      <c r="C7334" t="s">
        <v>35</v>
      </c>
      <c r="D7334" t="s">
        <v>34</v>
      </c>
      <c r="E7334" t="s">
        <v>21</v>
      </c>
      <c r="F7334" t="s">
        <v>18</v>
      </c>
      <c r="G7334" s="1" t="str">
        <f t="shared" si="1604"/>
        <v>...</v>
      </c>
      <c r="H7334" s="1" t="str">
        <f t="shared" si="1604"/>
        <v>...</v>
      </c>
      <c r="I7334" s="1" t="str">
        <f t="shared" si="1604"/>
        <v>...</v>
      </c>
      <c r="J7334" s="1" t="str">
        <f t="shared" si="1604"/>
        <v>...</v>
      </c>
      <c r="K7334" s="1" t="str">
        <f t="shared" si="1604"/>
        <v>...</v>
      </c>
      <c r="L7334" s="1" t="str">
        <f t="shared" si="1604"/>
        <v>...</v>
      </c>
      <c r="M7334" s="1" t="str">
        <f t="shared" si="1604"/>
        <v>...</v>
      </c>
      <c r="N7334" t="s">
        <v>30</v>
      </c>
    </row>
    <row r="7335" spans="1:14" x14ac:dyDescent="0.25">
      <c r="A7335" t="s">
        <v>42</v>
      </c>
      <c r="B7335" t="s">
        <v>40</v>
      </c>
      <c r="C7335" t="s">
        <v>35</v>
      </c>
      <c r="D7335" t="s">
        <v>34</v>
      </c>
      <c r="E7335" t="s">
        <v>21</v>
      </c>
      <c r="F7335" t="s">
        <v>19</v>
      </c>
      <c r="G7335" s="1" t="str">
        <f t="shared" si="1604"/>
        <v>...</v>
      </c>
      <c r="H7335" s="1" t="str">
        <f t="shared" si="1604"/>
        <v>...</v>
      </c>
      <c r="I7335" s="1" t="str">
        <f t="shared" si="1604"/>
        <v>...</v>
      </c>
      <c r="J7335" s="1" t="str">
        <f t="shared" si="1604"/>
        <v>...</v>
      </c>
      <c r="K7335" s="1" t="str">
        <f t="shared" si="1604"/>
        <v>...</v>
      </c>
      <c r="L7335" s="1" t="str">
        <f t="shared" si="1604"/>
        <v>...</v>
      </c>
      <c r="M7335" s="1" t="str">
        <f t="shared" si="1604"/>
        <v>...</v>
      </c>
      <c r="N7335" t="s">
        <v>30</v>
      </c>
    </row>
    <row r="7336" spans="1:14" x14ac:dyDescent="0.25">
      <c r="A7336" t="s">
        <v>42</v>
      </c>
      <c r="B7336" t="s">
        <v>40</v>
      </c>
      <c r="C7336" t="s">
        <v>35</v>
      </c>
      <c r="D7336" t="s">
        <v>34</v>
      </c>
      <c r="E7336" t="s">
        <v>21</v>
      </c>
      <c r="F7336" t="s">
        <v>20</v>
      </c>
      <c r="G7336" s="1" t="str">
        <f t="shared" si="1604"/>
        <v>...</v>
      </c>
      <c r="H7336" s="1" t="str">
        <f t="shared" si="1604"/>
        <v>...</v>
      </c>
      <c r="I7336" s="1" t="str">
        <f t="shared" si="1604"/>
        <v>...</v>
      </c>
      <c r="J7336" s="1" t="str">
        <f t="shared" si="1604"/>
        <v>...</v>
      </c>
      <c r="K7336" s="1" t="str">
        <f t="shared" si="1604"/>
        <v>...</v>
      </c>
      <c r="L7336" s="1" t="str">
        <f t="shared" si="1604"/>
        <v>...</v>
      </c>
      <c r="M7336" s="1" t="str">
        <f t="shared" si="1604"/>
        <v>...</v>
      </c>
      <c r="N7336" t="s">
        <v>30</v>
      </c>
    </row>
    <row r="7337" spans="1:14" x14ac:dyDescent="0.25">
      <c r="A7337" t="s">
        <v>42</v>
      </c>
      <c r="B7337" t="s">
        <v>40</v>
      </c>
      <c r="C7337" t="s">
        <v>35</v>
      </c>
      <c r="D7337" t="s">
        <v>34</v>
      </c>
      <c r="E7337" t="s">
        <v>22</v>
      </c>
      <c r="F7337" t="s">
        <v>15</v>
      </c>
      <c r="G7337" s="1" t="str">
        <f t="shared" si="1604"/>
        <v>...</v>
      </c>
      <c r="H7337" s="1" t="str">
        <f t="shared" si="1604"/>
        <v>...</v>
      </c>
      <c r="I7337" s="1" t="str">
        <f t="shared" si="1604"/>
        <v>...</v>
      </c>
      <c r="J7337" s="1" t="str">
        <f t="shared" si="1604"/>
        <v>...</v>
      </c>
      <c r="K7337" s="1" t="str">
        <f t="shared" si="1604"/>
        <v>...</v>
      </c>
      <c r="L7337" s="1" t="str">
        <f t="shared" si="1604"/>
        <v>...</v>
      </c>
      <c r="M7337" s="1" t="str">
        <f t="shared" si="1604"/>
        <v>...</v>
      </c>
      <c r="N7337" t="s">
        <v>30</v>
      </c>
    </row>
    <row r="7338" spans="1:14" x14ac:dyDescent="0.25">
      <c r="A7338" t="s">
        <v>42</v>
      </c>
      <c r="B7338" t="s">
        <v>40</v>
      </c>
      <c r="C7338" t="s">
        <v>35</v>
      </c>
      <c r="D7338" t="s">
        <v>34</v>
      </c>
      <c r="E7338" t="s">
        <v>22</v>
      </c>
      <c r="F7338" t="s">
        <v>17</v>
      </c>
      <c r="G7338" s="1" t="str">
        <f t="shared" si="1604"/>
        <v>...</v>
      </c>
      <c r="H7338" s="1" t="str">
        <f t="shared" si="1604"/>
        <v>...</v>
      </c>
      <c r="I7338" s="1" t="str">
        <f t="shared" si="1604"/>
        <v>...</v>
      </c>
      <c r="J7338" s="1" t="str">
        <f t="shared" si="1604"/>
        <v>...</v>
      </c>
      <c r="K7338" s="1" t="str">
        <f t="shared" si="1604"/>
        <v>...</v>
      </c>
      <c r="L7338" s="1" t="str">
        <f t="shared" si="1604"/>
        <v>...</v>
      </c>
      <c r="M7338" s="1" t="str">
        <f t="shared" si="1604"/>
        <v>...</v>
      </c>
      <c r="N7338" t="s">
        <v>30</v>
      </c>
    </row>
    <row r="7339" spans="1:14" x14ac:dyDescent="0.25">
      <c r="A7339" t="s">
        <v>42</v>
      </c>
      <c r="B7339" t="s">
        <v>40</v>
      </c>
      <c r="C7339" t="s">
        <v>35</v>
      </c>
      <c r="D7339" t="s">
        <v>34</v>
      </c>
      <c r="E7339" t="s">
        <v>22</v>
      </c>
      <c r="F7339" t="s">
        <v>18</v>
      </c>
      <c r="G7339" s="1" t="str">
        <f t="shared" si="1604"/>
        <v>...</v>
      </c>
      <c r="H7339" s="1" t="str">
        <f t="shared" si="1604"/>
        <v>...</v>
      </c>
      <c r="I7339" s="1" t="str">
        <f t="shared" si="1604"/>
        <v>...</v>
      </c>
      <c r="J7339" s="1" t="str">
        <f t="shared" si="1604"/>
        <v>...</v>
      </c>
      <c r="K7339" s="1" t="str">
        <f t="shared" si="1604"/>
        <v>...</v>
      </c>
      <c r="L7339" s="1" t="str">
        <f t="shared" si="1604"/>
        <v>...</v>
      </c>
      <c r="M7339" s="1" t="str">
        <f t="shared" si="1604"/>
        <v>...</v>
      </c>
      <c r="N7339" t="s">
        <v>30</v>
      </c>
    </row>
    <row r="7340" spans="1:14" x14ac:dyDescent="0.25">
      <c r="A7340" t="s">
        <v>42</v>
      </c>
      <c r="B7340" t="s">
        <v>40</v>
      </c>
      <c r="C7340" t="s">
        <v>35</v>
      </c>
      <c r="D7340" t="s">
        <v>34</v>
      </c>
      <c r="E7340" t="s">
        <v>22</v>
      </c>
      <c r="F7340" t="s">
        <v>19</v>
      </c>
      <c r="G7340" s="1" t="str">
        <f t="shared" si="1604"/>
        <v>...</v>
      </c>
      <c r="H7340" s="1" t="str">
        <f t="shared" si="1604"/>
        <v>...</v>
      </c>
      <c r="I7340" s="1" t="str">
        <f t="shared" si="1604"/>
        <v>...</v>
      </c>
      <c r="J7340" s="1" t="str">
        <f t="shared" si="1604"/>
        <v>...</v>
      </c>
      <c r="K7340" s="1" t="str">
        <f t="shared" si="1604"/>
        <v>...</v>
      </c>
      <c r="L7340" s="1" t="str">
        <f t="shared" si="1604"/>
        <v>...</v>
      </c>
      <c r="M7340" s="1" t="str">
        <f t="shared" si="1604"/>
        <v>...</v>
      </c>
      <c r="N7340" t="s">
        <v>30</v>
      </c>
    </row>
    <row r="7341" spans="1:14" x14ac:dyDescent="0.25">
      <c r="A7341" t="s">
        <v>42</v>
      </c>
      <c r="B7341" t="s">
        <v>40</v>
      </c>
      <c r="C7341" t="s">
        <v>35</v>
      </c>
      <c r="D7341" t="s">
        <v>34</v>
      </c>
      <c r="E7341" t="s">
        <v>22</v>
      </c>
      <c r="F7341" t="s">
        <v>20</v>
      </c>
      <c r="G7341" s="1" t="str">
        <f t="shared" si="1604"/>
        <v>...</v>
      </c>
      <c r="H7341" s="1" t="str">
        <f t="shared" si="1604"/>
        <v>...</v>
      </c>
      <c r="I7341" s="1" t="str">
        <f t="shared" si="1604"/>
        <v>...</v>
      </c>
      <c r="J7341" s="1" t="str">
        <f t="shared" si="1604"/>
        <v>...</v>
      </c>
      <c r="K7341" s="1" t="str">
        <f t="shared" si="1604"/>
        <v>...</v>
      </c>
      <c r="L7341" s="1" t="str">
        <f t="shared" si="1604"/>
        <v>...</v>
      </c>
      <c r="M7341" s="1" t="str">
        <f t="shared" si="1604"/>
        <v>...</v>
      </c>
      <c r="N7341" t="s">
        <v>30</v>
      </c>
    </row>
    <row r="7342" spans="1:14" x14ac:dyDescent="0.25">
      <c r="A7342" t="s">
        <v>42</v>
      </c>
      <c r="B7342" t="s">
        <v>40</v>
      </c>
      <c r="C7342" t="s">
        <v>35</v>
      </c>
      <c r="D7342" t="s">
        <v>34</v>
      </c>
      <c r="E7342" t="s">
        <v>23</v>
      </c>
      <c r="F7342" t="s">
        <v>15</v>
      </c>
      <c r="G7342" s="1" t="str">
        <f t="shared" ref="G7342:M7351" si="1605">"..."</f>
        <v>...</v>
      </c>
      <c r="H7342" s="1" t="str">
        <f t="shared" si="1605"/>
        <v>...</v>
      </c>
      <c r="I7342" s="1" t="str">
        <f t="shared" si="1605"/>
        <v>...</v>
      </c>
      <c r="J7342" s="1" t="str">
        <f t="shared" si="1605"/>
        <v>...</v>
      </c>
      <c r="K7342" s="1" t="str">
        <f t="shared" si="1605"/>
        <v>...</v>
      </c>
      <c r="L7342" s="1" t="str">
        <f t="shared" si="1605"/>
        <v>...</v>
      </c>
      <c r="M7342" s="1" t="str">
        <f t="shared" si="1605"/>
        <v>...</v>
      </c>
      <c r="N7342" t="s">
        <v>30</v>
      </c>
    </row>
    <row r="7343" spans="1:14" x14ac:dyDescent="0.25">
      <c r="A7343" t="s">
        <v>42</v>
      </c>
      <c r="B7343" t="s">
        <v>40</v>
      </c>
      <c r="C7343" t="s">
        <v>35</v>
      </c>
      <c r="D7343" t="s">
        <v>34</v>
      </c>
      <c r="E7343" t="s">
        <v>23</v>
      </c>
      <c r="F7343" t="s">
        <v>17</v>
      </c>
      <c r="G7343" s="1" t="str">
        <f t="shared" si="1605"/>
        <v>...</v>
      </c>
      <c r="H7343" s="1" t="str">
        <f t="shared" si="1605"/>
        <v>...</v>
      </c>
      <c r="I7343" s="1" t="str">
        <f t="shared" si="1605"/>
        <v>...</v>
      </c>
      <c r="J7343" s="1" t="str">
        <f t="shared" si="1605"/>
        <v>...</v>
      </c>
      <c r="K7343" s="1" t="str">
        <f t="shared" si="1605"/>
        <v>...</v>
      </c>
      <c r="L7343" s="1" t="str">
        <f t="shared" si="1605"/>
        <v>...</v>
      </c>
      <c r="M7343" s="1" t="str">
        <f t="shared" si="1605"/>
        <v>...</v>
      </c>
      <c r="N7343" t="s">
        <v>30</v>
      </c>
    </row>
    <row r="7344" spans="1:14" x14ac:dyDescent="0.25">
      <c r="A7344" t="s">
        <v>42</v>
      </c>
      <c r="B7344" t="s">
        <v>40</v>
      </c>
      <c r="C7344" t="s">
        <v>35</v>
      </c>
      <c r="D7344" t="s">
        <v>34</v>
      </c>
      <c r="E7344" t="s">
        <v>23</v>
      </c>
      <c r="F7344" t="s">
        <v>18</v>
      </c>
      <c r="G7344" s="1" t="str">
        <f t="shared" si="1605"/>
        <v>...</v>
      </c>
      <c r="H7344" s="1" t="str">
        <f t="shared" si="1605"/>
        <v>...</v>
      </c>
      <c r="I7344" s="1" t="str">
        <f t="shared" si="1605"/>
        <v>...</v>
      </c>
      <c r="J7344" s="1" t="str">
        <f t="shared" si="1605"/>
        <v>...</v>
      </c>
      <c r="K7344" s="1" t="str">
        <f t="shared" si="1605"/>
        <v>...</v>
      </c>
      <c r="L7344" s="1" t="str">
        <f t="shared" si="1605"/>
        <v>...</v>
      </c>
      <c r="M7344" s="1" t="str">
        <f t="shared" si="1605"/>
        <v>...</v>
      </c>
      <c r="N7344" t="s">
        <v>30</v>
      </c>
    </row>
    <row r="7345" spans="1:14" x14ac:dyDescent="0.25">
      <c r="A7345" t="s">
        <v>42</v>
      </c>
      <c r="B7345" t="s">
        <v>40</v>
      </c>
      <c r="C7345" t="s">
        <v>35</v>
      </c>
      <c r="D7345" t="s">
        <v>34</v>
      </c>
      <c r="E7345" t="s">
        <v>23</v>
      </c>
      <c r="F7345" t="s">
        <v>19</v>
      </c>
      <c r="G7345" s="1" t="str">
        <f t="shared" si="1605"/>
        <v>...</v>
      </c>
      <c r="H7345" s="1" t="str">
        <f t="shared" si="1605"/>
        <v>...</v>
      </c>
      <c r="I7345" s="1" t="str">
        <f t="shared" si="1605"/>
        <v>...</v>
      </c>
      <c r="J7345" s="1" t="str">
        <f t="shared" si="1605"/>
        <v>...</v>
      </c>
      <c r="K7345" s="1" t="str">
        <f t="shared" si="1605"/>
        <v>...</v>
      </c>
      <c r="L7345" s="1" t="str">
        <f t="shared" si="1605"/>
        <v>...</v>
      </c>
      <c r="M7345" s="1" t="str">
        <f t="shared" si="1605"/>
        <v>...</v>
      </c>
      <c r="N7345" t="s">
        <v>30</v>
      </c>
    </row>
    <row r="7346" spans="1:14" x14ac:dyDescent="0.25">
      <c r="A7346" t="s">
        <v>42</v>
      </c>
      <c r="B7346" t="s">
        <v>40</v>
      </c>
      <c r="C7346" t="s">
        <v>35</v>
      </c>
      <c r="D7346" t="s">
        <v>34</v>
      </c>
      <c r="E7346" t="s">
        <v>23</v>
      </c>
      <c r="F7346" t="s">
        <v>20</v>
      </c>
      <c r="G7346" s="1" t="str">
        <f t="shared" si="1605"/>
        <v>...</v>
      </c>
      <c r="H7346" s="1" t="str">
        <f t="shared" si="1605"/>
        <v>...</v>
      </c>
      <c r="I7346" s="1" t="str">
        <f t="shared" si="1605"/>
        <v>...</v>
      </c>
      <c r="J7346" s="1" t="str">
        <f t="shared" si="1605"/>
        <v>...</v>
      </c>
      <c r="K7346" s="1" t="str">
        <f t="shared" si="1605"/>
        <v>...</v>
      </c>
      <c r="L7346" s="1" t="str">
        <f t="shared" si="1605"/>
        <v>...</v>
      </c>
      <c r="M7346" s="1" t="str">
        <f t="shared" si="1605"/>
        <v>...</v>
      </c>
      <c r="N7346" t="s">
        <v>30</v>
      </c>
    </row>
    <row r="7347" spans="1:14" x14ac:dyDescent="0.25">
      <c r="A7347" t="s">
        <v>42</v>
      </c>
      <c r="B7347" t="s">
        <v>40</v>
      </c>
      <c r="C7347" t="s">
        <v>35</v>
      </c>
      <c r="D7347" t="s">
        <v>34</v>
      </c>
      <c r="E7347" t="s">
        <v>26</v>
      </c>
      <c r="F7347" t="s">
        <v>15</v>
      </c>
      <c r="G7347" s="1" t="str">
        <f t="shared" si="1605"/>
        <v>...</v>
      </c>
      <c r="H7347" s="1" t="str">
        <f t="shared" si="1605"/>
        <v>...</v>
      </c>
      <c r="I7347" s="1" t="str">
        <f t="shared" si="1605"/>
        <v>...</v>
      </c>
      <c r="J7347" s="1" t="str">
        <f t="shared" si="1605"/>
        <v>...</v>
      </c>
      <c r="K7347" s="1" t="str">
        <f t="shared" si="1605"/>
        <v>...</v>
      </c>
      <c r="L7347" s="1" t="str">
        <f t="shared" si="1605"/>
        <v>...</v>
      </c>
      <c r="M7347" s="1" t="str">
        <f t="shared" si="1605"/>
        <v>...</v>
      </c>
      <c r="N7347" t="s">
        <v>30</v>
      </c>
    </row>
    <row r="7348" spans="1:14" x14ac:dyDescent="0.25">
      <c r="A7348" t="s">
        <v>42</v>
      </c>
      <c r="B7348" t="s">
        <v>40</v>
      </c>
      <c r="C7348" t="s">
        <v>35</v>
      </c>
      <c r="D7348" t="s">
        <v>34</v>
      </c>
      <c r="E7348" t="s">
        <v>26</v>
      </c>
      <c r="F7348" t="s">
        <v>17</v>
      </c>
      <c r="G7348" s="1" t="str">
        <f t="shared" si="1605"/>
        <v>...</v>
      </c>
      <c r="H7348" s="1" t="str">
        <f t="shared" si="1605"/>
        <v>...</v>
      </c>
      <c r="I7348" s="1" t="str">
        <f t="shared" si="1605"/>
        <v>...</v>
      </c>
      <c r="J7348" s="1" t="str">
        <f t="shared" si="1605"/>
        <v>...</v>
      </c>
      <c r="K7348" s="1" t="str">
        <f t="shared" si="1605"/>
        <v>...</v>
      </c>
      <c r="L7348" s="1" t="str">
        <f t="shared" si="1605"/>
        <v>...</v>
      </c>
      <c r="M7348" s="1" t="str">
        <f t="shared" si="1605"/>
        <v>...</v>
      </c>
      <c r="N7348" t="s">
        <v>30</v>
      </c>
    </row>
    <row r="7349" spans="1:14" x14ac:dyDescent="0.25">
      <c r="A7349" t="s">
        <v>42</v>
      </c>
      <c r="B7349" t="s">
        <v>40</v>
      </c>
      <c r="C7349" t="s">
        <v>35</v>
      </c>
      <c r="D7349" t="s">
        <v>34</v>
      </c>
      <c r="E7349" t="s">
        <v>26</v>
      </c>
      <c r="F7349" t="s">
        <v>18</v>
      </c>
      <c r="G7349" s="1" t="str">
        <f t="shared" si="1605"/>
        <v>...</v>
      </c>
      <c r="H7349" s="1" t="str">
        <f t="shared" si="1605"/>
        <v>...</v>
      </c>
      <c r="I7349" s="1" t="str">
        <f t="shared" si="1605"/>
        <v>...</v>
      </c>
      <c r="J7349" s="1" t="str">
        <f t="shared" si="1605"/>
        <v>...</v>
      </c>
      <c r="K7349" s="1" t="str">
        <f t="shared" si="1605"/>
        <v>...</v>
      </c>
      <c r="L7349" s="1" t="str">
        <f t="shared" si="1605"/>
        <v>...</v>
      </c>
      <c r="M7349" s="1" t="str">
        <f t="shared" si="1605"/>
        <v>...</v>
      </c>
      <c r="N7349" t="s">
        <v>30</v>
      </c>
    </row>
    <row r="7350" spans="1:14" x14ac:dyDescent="0.25">
      <c r="A7350" t="s">
        <v>42</v>
      </c>
      <c r="B7350" t="s">
        <v>40</v>
      </c>
      <c r="C7350" t="s">
        <v>35</v>
      </c>
      <c r="D7350" t="s">
        <v>34</v>
      </c>
      <c r="E7350" t="s">
        <v>26</v>
      </c>
      <c r="F7350" t="s">
        <v>19</v>
      </c>
      <c r="G7350" s="1" t="str">
        <f t="shared" si="1605"/>
        <v>...</v>
      </c>
      <c r="H7350" s="1" t="str">
        <f t="shared" si="1605"/>
        <v>...</v>
      </c>
      <c r="I7350" s="1" t="str">
        <f t="shared" si="1605"/>
        <v>...</v>
      </c>
      <c r="J7350" s="1" t="str">
        <f t="shared" si="1605"/>
        <v>...</v>
      </c>
      <c r="K7350" s="1" t="str">
        <f t="shared" si="1605"/>
        <v>...</v>
      </c>
      <c r="L7350" s="1" t="str">
        <f t="shared" si="1605"/>
        <v>...</v>
      </c>
      <c r="M7350" s="1" t="str">
        <f t="shared" si="1605"/>
        <v>...</v>
      </c>
      <c r="N7350" t="s">
        <v>30</v>
      </c>
    </row>
    <row r="7351" spans="1:14" x14ac:dyDescent="0.25">
      <c r="A7351" t="s">
        <v>42</v>
      </c>
      <c r="B7351" t="s">
        <v>40</v>
      </c>
      <c r="C7351" t="s">
        <v>35</v>
      </c>
      <c r="D7351" t="s">
        <v>34</v>
      </c>
      <c r="E7351" t="s">
        <v>26</v>
      </c>
      <c r="F7351" t="s">
        <v>20</v>
      </c>
      <c r="G7351" s="1" t="str">
        <f t="shared" si="1605"/>
        <v>...</v>
      </c>
      <c r="H7351" s="1" t="str">
        <f t="shared" si="1605"/>
        <v>...</v>
      </c>
      <c r="I7351" s="1" t="str">
        <f t="shared" si="1605"/>
        <v>...</v>
      </c>
      <c r="J7351" s="1" t="str">
        <f t="shared" si="1605"/>
        <v>...</v>
      </c>
      <c r="K7351" s="1" t="str">
        <f t="shared" si="1605"/>
        <v>...</v>
      </c>
      <c r="L7351" s="1" t="str">
        <f t="shared" si="1605"/>
        <v>...</v>
      </c>
      <c r="M7351" s="1" t="str">
        <f t="shared" si="1605"/>
        <v>...</v>
      </c>
      <c r="N7351" t="s">
        <v>30</v>
      </c>
    </row>
    <row r="7352" spans="1:14" x14ac:dyDescent="0.25">
      <c r="A7352" t="s">
        <v>42</v>
      </c>
      <c r="B7352" t="s">
        <v>40</v>
      </c>
      <c r="C7352" t="s">
        <v>36</v>
      </c>
      <c r="D7352" t="s">
        <v>15</v>
      </c>
      <c r="E7352" t="s">
        <v>15</v>
      </c>
      <c r="F7352" t="s">
        <v>15</v>
      </c>
      <c r="G7352" s="1">
        <f>VALUE(12058.1)</f>
        <v>12058.1</v>
      </c>
      <c r="H7352" s="1">
        <f>VALUE(10701.84)</f>
        <v>10701.84</v>
      </c>
      <c r="I7352" s="1">
        <f>VALUE(2729)</f>
        <v>2729</v>
      </c>
      <c r="J7352" s="1">
        <f>VALUE(3327)</f>
        <v>3327</v>
      </c>
      <c r="K7352" s="1">
        <f>VALUE(4186)</f>
        <v>4186</v>
      </c>
      <c r="L7352" s="1">
        <f>VALUE(5296)</f>
        <v>5296</v>
      </c>
      <c r="M7352" s="1">
        <f>VALUE(6537)</f>
        <v>6537</v>
      </c>
      <c r="N7352" t="s">
        <v>16</v>
      </c>
    </row>
    <row r="7353" spans="1:14" x14ac:dyDescent="0.25">
      <c r="A7353" t="s">
        <v>42</v>
      </c>
      <c r="B7353" t="s">
        <v>40</v>
      </c>
      <c r="C7353" t="s">
        <v>36</v>
      </c>
      <c r="D7353" t="s">
        <v>15</v>
      </c>
      <c r="E7353" t="s">
        <v>15</v>
      </c>
      <c r="F7353" t="s">
        <v>17</v>
      </c>
      <c r="G7353" s="2">
        <f>VALUE(735.83)</f>
        <v>735.83</v>
      </c>
      <c r="H7353" s="3">
        <f>VALUE(678.35)</f>
        <v>678.35</v>
      </c>
      <c r="I7353" s="4">
        <f>VALUE(3460)</f>
        <v>3460</v>
      </c>
      <c r="J7353" s="1">
        <f>VALUE(4445)</f>
        <v>4445</v>
      </c>
      <c r="K7353" s="6">
        <f>VALUE(5174)</f>
        <v>5174</v>
      </c>
      <c r="L7353" s="7">
        <f>VALUE(7222)</f>
        <v>7222</v>
      </c>
      <c r="M7353" s="8">
        <f>VALUE(9371)</f>
        <v>9371</v>
      </c>
      <c r="N7353" t="s">
        <v>25</v>
      </c>
    </row>
    <row r="7354" spans="1:14" x14ac:dyDescent="0.25">
      <c r="A7354" t="s">
        <v>42</v>
      </c>
      <c r="B7354" t="s">
        <v>40</v>
      </c>
      <c r="C7354" t="s">
        <v>36</v>
      </c>
      <c r="D7354" t="s">
        <v>15</v>
      </c>
      <c r="E7354" t="s">
        <v>15</v>
      </c>
      <c r="F7354" t="s">
        <v>18</v>
      </c>
      <c r="G7354" s="2">
        <f>VALUE(962.05)</f>
        <v>962.05</v>
      </c>
      <c r="H7354" s="3">
        <f>VALUE(838.48)</f>
        <v>838.48</v>
      </c>
      <c r="I7354" s="4">
        <f>VALUE(3200)</f>
        <v>3200</v>
      </c>
      <c r="J7354" s="5">
        <f>VALUE(3921)</f>
        <v>3921</v>
      </c>
      <c r="K7354" s="1">
        <f>VALUE(5200)</f>
        <v>5200</v>
      </c>
      <c r="L7354" s="1">
        <f>VALUE(6444)</f>
        <v>6444</v>
      </c>
      <c r="M7354" s="1">
        <f>VALUE(7854)</f>
        <v>7854</v>
      </c>
      <c r="N7354" t="s">
        <v>25</v>
      </c>
    </row>
    <row r="7355" spans="1:14" x14ac:dyDescent="0.25">
      <c r="A7355" t="s">
        <v>42</v>
      </c>
      <c r="B7355" t="s">
        <v>40</v>
      </c>
      <c r="C7355" t="s">
        <v>36</v>
      </c>
      <c r="D7355" t="s">
        <v>15</v>
      </c>
      <c r="E7355" t="s">
        <v>15</v>
      </c>
      <c r="F7355" t="s">
        <v>19</v>
      </c>
      <c r="G7355" s="2">
        <f>VALUE(1530)</f>
        <v>1530</v>
      </c>
      <c r="H7355" s="3">
        <f>VALUE(1408.88)</f>
        <v>1408.88</v>
      </c>
      <c r="I7355" s="1">
        <f>VALUE(2992)</f>
        <v>2992</v>
      </c>
      <c r="J7355" s="5">
        <f>VALUE(3560)</f>
        <v>3560</v>
      </c>
      <c r="K7355" s="1">
        <f>VALUE(4535)</f>
        <v>4535</v>
      </c>
      <c r="L7355" s="1">
        <f>VALUE(5581)</f>
        <v>5581</v>
      </c>
      <c r="M7355" s="1">
        <f>VALUE(6363)</f>
        <v>6363</v>
      </c>
      <c r="N7355" t="s">
        <v>25</v>
      </c>
    </row>
    <row r="7356" spans="1:14" x14ac:dyDescent="0.25">
      <c r="A7356" t="s">
        <v>42</v>
      </c>
      <c r="B7356" t="s">
        <v>40</v>
      </c>
      <c r="C7356" t="s">
        <v>36</v>
      </c>
      <c r="D7356" t="s">
        <v>15</v>
      </c>
      <c r="E7356" t="s">
        <v>15</v>
      </c>
      <c r="F7356" t="s">
        <v>20</v>
      </c>
      <c r="G7356" s="1">
        <f>VALUE(8830.22)</f>
        <v>8830.2199999999993</v>
      </c>
      <c r="H7356" s="1">
        <f>VALUE(7776.13)</f>
        <v>7776.13</v>
      </c>
      <c r="I7356" s="1">
        <f>VALUE(2600)</f>
        <v>2600</v>
      </c>
      <c r="J7356" s="1">
        <f>VALUE(3219)</f>
        <v>3219</v>
      </c>
      <c r="K7356" s="1">
        <f>VALUE(3980)</f>
        <v>3980</v>
      </c>
      <c r="L7356" s="1">
        <f>VALUE(5019)</f>
        <v>5019</v>
      </c>
      <c r="M7356" s="1">
        <f>VALUE(6147)</f>
        <v>6147</v>
      </c>
      <c r="N7356" t="s">
        <v>16</v>
      </c>
    </row>
    <row r="7357" spans="1:14" x14ac:dyDescent="0.25">
      <c r="A7357" t="s">
        <v>42</v>
      </c>
      <c r="B7357" t="s">
        <v>40</v>
      </c>
      <c r="C7357" t="s">
        <v>36</v>
      </c>
      <c r="D7357" t="s">
        <v>15</v>
      </c>
      <c r="E7357" t="s">
        <v>21</v>
      </c>
      <c r="F7357" t="s">
        <v>15</v>
      </c>
      <c r="G7357" s="1">
        <f>VALUE(3233.77)</f>
        <v>3233.77</v>
      </c>
      <c r="H7357" s="1">
        <f>VALUE(2867.96)</f>
        <v>2867.96</v>
      </c>
      <c r="I7357" s="1">
        <f>VALUE(3198)</f>
        <v>3198</v>
      </c>
      <c r="J7357" s="1">
        <f>VALUE(4000)</f>
        <v>4000</v>
      </c>
      <c r="K7357" s="1">
        <f>VALUE(5078)</f>
        <v>5078</v>
      </c>
      <c r="L7357" s="1">
        <f>VALUE(6415)</f>
        <v>6415</v>
      </c>
      <c r="M7357" s="1">
        <f>VALUE(7551)</f>
        <v>7551</v>
      </c>
      <c r="N7357" t="s">
        <v>16</v>
      </c>
    </row>
    <row r="7358" spans="1:14" x14ac:dyDescent="0.25">
      <c r="A7358" t="s">
        <v>42</v>
      </c>
      <c r="B7358" t="s">
        <v>40</v>
      </c>
      <c r="C7358" t="s">
        <v>36</v>
      </c>
      <c r="D7358" t="s">
        <v>15</v>
      </c>
      <c r="E7358" t="s">
        <v>21</v>
      </c>
      <c r="F7358" t="s">
        <v>17</v>
      </c>
      <c r="G7358" s="2">
        <f>VALUE(496.95)</f>
        <v>496.95</v>
      </c>
      <c r="H7358" s="3">
        <f>VALUE(455.01)</f>
        <v>455.01</v>
      </c>
      <c r="I7358" s="4">
        <f>VALUE(3460)</f>
        <v>3460</v>
      </c>
      <c r="J7358" s="5">
        <f>VALUE(4500)</f>
        <v>4500</v>
      </c>
      <c r="K7358" s="6">
        <f>VALUE(5845)</f>
        <v>5845</v>
      </c>
      <c r="L7358" s="7">
        <f>VALUE(7497)</f>
        <v>7497</v>
      </c>
      <c r="M7358" s="8">
        <f>VALUE(9524)</f>
        <v>9524</v>
      </c>
      <c r="N7358" t="s">
        <v>24</v>
      </c>
    </row>
    <row r="7359" spans="1:14" x14ac:dyDescent="0.25">
      <c r="A7359" t="s">
        <v>42</v>
      </c>
      <c r="B7359" t="s">
        <v>40</v>
      </c>
      <c r="C7359" t="s">
        <v>36</v>
      </c>
      <c r="D7359" t="s">
        <v>15</v>
      </c>
      <c r="E7359" t="s">
        <v>21</v>
      </c>
      <c r="F7359" t="s">
        <v>18</v>
      </c>
      <c r="G7359" s="2">
        <f>VALUE(425.72)</f>
        <v>425.72</v>
      </c>
      <c r="H7359" s="3">
        <f>VALUE(373.17)</f>
        <v>373.17</v>
      </c>
      <c r="I7359" s="1">
        <f>VALUE(3569)</f>
        <v>3569</v>
      </c>
      <c r="J7359" s="1">
        <f>VALUE(4789)</f>
        <v>4789</v>
      </c>
      <c r="K7359" s="1">
        <f>VALUE(5878)</f>
        <v>5878</v>
      </c>
      <c r="L7359" s="1">
        <f>VALUE(7006)</f>
        <v>7006</v>
      </c>
      <c r="M7359" s="1">
        <f>VALUE(8367)</f>
        <v>8367</v>
      </c>
      <c r="N7359" t="s">
        <v>25</v>
      </c>
    </row>
    <row r="7360" spans="1:14" x14ac:dyDescent="0.25">
      <c r="A7360" t="s">
        <v>42</v>
      </c>
      <c r="B7360" t="s">
        <v>40</v>
      </c>
      <c r="C7360" t="s">
        <v>36</v>
      </c>
      <c r="D7360" t="s">
        <v>15</v>
      </c>
      <c r="E7360" t="s">
        <v>21</v>
      </c>
      <c r="F7360" t="s">
        <v>19</v>
      </c>
      <c r="G7360" s="2">
        <f>VALUE(413.79)</f>
        <v>413.79</v>
      </c>
      <c r="H7360" s="3">
        <f>VALUE(388.2)</f>
        <v>388.2</v>
      </c>
      <c r="I7360" s="1">
        <f>VALUE(3610)</f>
        <v>3610</v>
      </c>
      <c r="J7360" s="1">
        <f>VALUE(4100)</f>
        <v>4100</v>
      </c>
      <c r="K7360" s="1">
        <f>VALUE(5057)</f>
        <v>5057</v>
      </c>
      <c r="L7360" s="1">
        <f>VALUE(6232)</f>
        <v>6232</v>
      </c>
      <c r="M7360" s="1">
        <f>VALUE(7136)</f>
        <v>7136</v>
      </c>
      <c r="N7360" t="s">
        <v>25</v>
      </c>
    </row>
    <row r="7361" spans="1:14" x14ac:dyDescent="0.25">
      <c r="A7361" t="s">
        <v>42</v>
      </c>
      <c r="B7361" t="s">
        <v>40</v>
      </c>
      <c r="C7361" t="s">
        <v>36</v>
      </c>
      <c r="D7361" t="s">
        <v>15</v>
      </c>
      <c r="E7361" t="s">
        <v>21</v>
      </c>
      <c r="F7361" t="s">
        <v>20</v>
      </c>
      <c r="G7361" s="1">
        <f>VALUE(1897.31)</f>
        <v>1897.31</v>
      </c>
      <c r="H7361" s="1">
        <f>VALUE(1651.58)</f>
        <v>1651.58</v>
      </c>
      <c r="I7361" s="4">
        <f>VALUE(2857)</f>
        <v>2857</v>
      </c>
      <c r="J7361" s="1">
        <f>VALUE(3810)</f>
        <v>3810</v>
      </c>
      <c r="K7361" s="1">
        <f>VALUE(4762)</f>
        <v>4762</v>
      </c>
      <c r="L7361" s="1">
        <f>VALUE(6088)</f>
        <v>6088</v>
      </c>
      <c r="M7361" s="1">
        <f>VALUE(7084)</f>
        <v>7084</v>
      </c>
      <c r="N7361" t="s">
        <v>25</v>
      </c>
    </row>
    <row r="7362" spans="1:14" x14ac:dyDescent="0.25">
      <c r="A7362" t="s">
        <v>42</v>
      </c>
      <c r="B7362" t="s">
        <v>40</v>
      </c>
      <c r="C7362" t="s">
        <v>36</v>
      </c>
      <c r="D7362" t="s">
        <v>15</v>
      </c>
      <c r="E7362" t="s">
        <v>22</v>
      </c>
      <c r="F7362" t="s">
        <v>15</v>
      </c>
      <c r="G7362" s="1">
        <f>VALUE(4922.56)</f>
        <v>4922.5600000000004</v>
      </c>
      <c r="H7362" s="1">
        <f>VALUE(4402.64)</f>
        <v>4402.6400000000003</v>
      </c>
      <c r="I7362" s="1">
        <f>VALUE(3022)</f>
        <v>3022</v>
      </c>
      <c r="J7362" s="1">
        <f>VALUE(3792)</f>
        <v>3792</v>
      </c>
      <c r="K7362" s="1">
        <f>VALUE(4588)</f>
        <v>4588</v>
      </c>
      <c r="L7362" s="1">
        <f>VALUE(5309)</f>
        <v>5309</v>
      </c>
      <c r="M7362" s="1">
        <f>VALUE(6226)</f>
        <v>6226</v>
      </c>
      <c r="N7362" t="s">
        <v>16</v>
      </c>
    </row>
    <row r="7363" spans="1:14" x14ac:dyDescent="0.25">
      <c r="A7363" t="s">
        <v>42</v>
      </c>
      <c r="B7363" t="s">
        <v>40</v>
      </c>
      <c r="C7363" t="s">
        <v>36</v>
      </c>
      <c r="D7363" t="s">
        <v>15</v>
      </c>
      <c r="E7363" t="s">
        <v>22</v>
      </c>
      <c r="F7363" t="s">
        <v>17</v>
      </c>
      <c r="G7363" s="2">
        <f>VALUE(223.46)</f>
        <v>223.46</v>
      </c>
      <c r="H7363" s="3">
        <f>VALUE(215.4)</f>
        <v>215.4</v>
      </c>
      <c r="I7363" s="4">
        <f>VALUE(3352)</f>
        <v>3352</v>
      </c>
      <c r="J7363" s="1">
        <f>VALUE(4200)</f>
        <v>4200</v>
      </c>
      <c r="K7363" s="1">
        <f>VALUE(4966)</f>
        <v>4966</v>
      </c>
      <c r="L7363" s="7">
        <f>VALUE(5955)</f>
        <v>5955</v>
      </c>
      <c r="M7363" s="8">
        <f>VALUE(8769)</f>
        <v>8769</v>
      </c>
      <c r="N7363" t="s">
        <v>25</v>
      </c>
    </row>
    <row r="7364" spans="1:14" x14ac:dyDescent="0.25">
      <c r="A7364" t="s">
        <v>42</v>
      </c>
      <c r="B7364" t="s">
        <v>40</v>
      </c>
      <c r="C7364" t="s">
        <v>36</v>
      </c>
      <c r="D7364" t="s">
        <v>15</v>
      </c>
      <c r="E7364" t="s">
        <v>22</v>
      </c>
      <c r="F7364" t="s">
        <v>18</v>
      </c>
      <c r="G7364" s="2">
        <f>VALUE(413.64)</f>
        <v>413.64</v>
      </c>
      <c r="H7364" s="3">
        <f>VALUE(372.8)</f>
        <v>372.8</v>
      </c>
      <c r="I7364" s="4">
        <f>VALUE(3500)</f>
        <v>3500</v>
      </c>
      <c r="J7364" s="5">
        <f>VALUE(3921)</f>
        <v>3921</v>
      </c>
      <c r="K7364" s="1">
        <f>VALUE(4950)</f>
        <v>4950</v>
      </c>
      <c r="L7364" s="7">
        <f>VALUE(6394)</f>
        <v>6394</v>
      </c>
      <c r="M7364" s="1">
        <f>VALUE(7650)</f>
        <v>7650</v>
      </c>
      <c r="N7364" t="s">
        <v>25</v>
      </c>
    </row>
    <row r="7365" spans="1:14" x14ac:dyDescent="0.25">
      <c r="A7365" t="s">
        <v>42</v>
      </c>
      <c r="B7365" t="s">
        <v>40</v>
      </c>
      <c r="C7365" t="s">
        <v>36</v>
      </c>
      <c r="D7365" t="s">
        <v>15</v>
      </c>
      <c r="E7365" t="s">
        <v>22</v>
      </c>
      <c r="F7365" t="s">
        <v>19</v>
      </c>
      <c r="G7365" s="2">
        <f>VALUE(810.95)</f>
        <v>810.95</v>
      </c>
      <c r="H7365" s="3">
        <f>VALUE(737.2)</f>
        <v>737.2</v>
      </c>
      <c r="I7365" s="1">
        <f>VALUE(3129)</f>
        <v>3129</v>
      </c>
      <c r="J7365" s="5">
        <f>VALUE(4000)</f>
        <v>4000</v>
      </c>
      <c r="K7365" s="1">
        <f>VALUE(4752)</f>
        <v>4752</v>
      </c>
      <c r="L7365" s="1">
        <f>VALUE(5443)</f>
        <v>5443</v>
      </c>
      <c r="M7365" s="1">
        <f>VALUE(5953)</f>
        <v>5953</v>
      </c>
      <c r="N7365" t="s">
        <v>25</v>
      </c>
    </row>
    <row r="7366" spans="1:14" x14ac:dyDescent="0.25">
      <c r="A7366" t="s">
        <v>42</v>
      </c>
      <c r="B7366" t="s">
        <v>40</v>
      </c>
      <c r="C7366" t="s">
        <v>36</v>
      </c>
      <c r="D7366" t="s">
        <v>15</v>
      </c>
      <c r="E7366" t="s">
        <v>22</v>
      </c>
      <c r="F7366" t="s">
        <v>20</v>
      </c>
      <c r="G7366" s="1">
        <f>VALUE(3474.51)</f>
        <v>3474.51</v>
      </c>
      <c r="H7366" s="1">
        <f>VALUE(3077.24)</f>
        <v>3077.24</v>
      </c>
      <c r="I7366" s="1">
        <f>VALUE(2947)</f>
        <v>2947</v>
      </c>
      <c r="J7366" s="1">
        <f>VALUE(3671)</f>
        <v>3671</v>
      </c>
      <c r="K7366" s="1">
        <f>VALUE(4454)</f>
        <v>4454</v>
      </c>
      <c r="L7366" s="1">
        <f>VALUE(5230)</f>
        <v>5230</v>
      </c>
      <c r="M7366" s="1">
        <f>VALUE(6048)</f>
        <v>6048</v>
      </c>
      <c r="N7366" t="s">
        <v>16</v>
      </c>
    </row>
    <row r="7367" spans="1:14" x14ac:dyDescent="0.25">
      <c r="A7367" t="s">
        <v>42</v>
      </c>
      <c r="B7367" t="s">
        <v>40</v>
      </c>
      <c r="C7367" t="s">
        <v>36</v>
      </c>
      <c r="D7367" t="s">
        <v>15</v>
      </c>
      <c r="E7367" t="s">
        <v>23</v>
      </c>
      <c r="F7367" t="s">
        <v>15</v>
      </c>
      <c r="G7367" s="1">
        <f>VALUE(3423.71)</f>
        <v>3423.71</v>
      </c>
      <c r="H7367" s="1">
        <f>VALUE(2969.74)</f>
        <v>2969.74</v>
      </c>
      <c r="I7367" s="1">
        <f>VALUE(2527)</f>
        <v>2527</v>
      </c>
      <c r="J7367" s="1">
        <f>VALUE(2824)</f>
        <v>2824</v>
      </c>
      <c r="K7367" s="1">
        <f>VALUE(3238)</f>
        <v>3238</v>
      </c>
      <c r="L7367" s="1">
        <f>VALUE(3646)</f>
        <v>3646</v>
      </c>
      <c r="M7367" s="1">
        <f>VALUE(4277)</f>
        <v>4277</v>
      </c>
      <c r="N7367" t="s">
        <v>16</v>
      </c>
    </row>
    <row r="7368" spans="1:14" x14ac:dyDescent="0.25">
      <c r="A7368" t="s">
        <v>42</v>
      </c>
      <c r="B7368" t="s">
        <v>40</v>
      </c>
      <c r="C7368" t="s">
        <v>36</v>
      </c>
      <c r="D7368" t="s">
        <v>15</v>
      </c>
      <c r="E7368" t="s">
        <v>23</v>
      </c>
      <c r="F7368" t="s">
        <v>17</v>
      </c>
      <c r="G7368" s="1" t="str">
        <f t="shared" ref="G7368:M7369" si="1606">"X"</f>
        <v>X</v>
      </c>
      <c r="H7368" s="1" t="str">
        <f t="shared" si="1606"/>
        <v>X</v>
      </c>
      <c r="I7368" s="1" t="str">
        <f t="shared" si="1606"/>
        <v>X</v>
      </c>
      <c r="J7368" s="1" t="str">
        <f t="shared" si="1606"/>
        <v>X</v>
      </c>
      <c r="K7368" s="1" t="str">
        <f t="shared" si="1606"/>
        <v>X</v>
      </c>
      <c r="L7368" s="1" t="str">
        <f t="shared" si="1606"/>
        <v>X</v>
      </c>
      <c r="M7368" s="1" t="str">
        <f t="shared" si="1606"/>
        <v>X</v>
      </c>
      <c r="N7368" t="s">
        <v>27</v>
      </c>
    </row>
    <row r="7369" spans="1:14" x14ac:dyDescent="0.25">
      <c r="A7369" t="s">
        <v>42</v>
      </c>
      <c r="B7369" t="s">
        <v>40</v>
      </c>
      <c r="C7369" t="s">
        <v>36</v>
      </c>
      <c r="D7369" t="s">
        <v>15</v>
      </c>
      <c r="E7369" t="s">
        <v>23</v>
      </c>
      <c r="F7369" t="s">
        <v>18</v>
      </c>
      <c r="G7369" s="1" t="str">
        <f t="shared" si="1606"/>
        <v>X</v>
      </c>
      <c r="H7369" s="1" t="str">
        <f t="shared" si="1606"/>
        <v>X</v>
      </c>
      <c r="I7369" s="1" t="str">
        <f t="shared" si="1606"/>
        <v>X</v>
      </c>
      <c r="J7369" s="1" t="str">
        <f t="shared" si="1606"/>
        <v>X</v>
      </c>
      <c r="K7369" s="1" t="str">
        <f t="shared" si="1606"/>
        <v>X</v>
      </c>
      <c r="L7369" s="1" t="str">
        <f t="shared" si="1606"/>
        <v>X</v>
      </c>
      <c r="M7369" s="1" t="str">
        <f t="shared" si="1606"/>
        <v>X</v>
      </c>
      <c r="N7369" t="s">
        <v>27</v>
      </c>
    </row>
    <row r="7370" spans="1:14" x14ac:dyDescent="0.25">
      <c r="A7370" t="s">
        <v>42</v>
      </c>
      <c r="B7370" t="s">
        <v>40</v>
      </c>
      <c r="C7370" t="s">
        <v>36</v>
      </c>
      <c r="D7370" t="s">
        <v>15</v>
      </c>
      <c r="E7370" t="s">
        <v>23</v>
      </c>
      <c r="F7370" t="s">
        <v>19</v>
      </c>
      <c r="G7370" s="2">
        <f>VALUE(283.71)</f>
        <v>283.70999999999998</v>
      </c>
      <c r="H7370" s="3">
        <f>VALUE(261.57)</f>
        <v>261.57</v>
      </c>
      <c r="I7370" s="1">
        <f>VALUE(2760)</f>
        <v>2760</v>
      </c>
      <c r="J7370" s="1">
        <f>VALUE(2956)</f>
        <v>2956</v>
      </c>
      <c r="K7370" s="1">
        <f>VALUE(3170)</f>
        <v>3170</v>
      </c>
      <c r="L7370" s="7">
        <f>VALUE(3875)</f>
        <v>3875</v>
      </c>
      <c r="M7370" s="8">
        <f>VALUE(4767)</f>
        <v>4767</v>
      </c>
      <c r="N7370" t="s">
        <v>25</v>
      </c>
    </row>
    <row r="7371" spans="1:14" x14ac:dyDescent="0.25">
      <c r="A7371" t="s">
        <v>42</v>
      </c>
      <c r="B7371" t="s">
        <v>40</v>
      </c>
      <c r="C7371" t="s">
        <v>36</v>
      </c>
      <c r="D7371" t="s">
        <v>15</v>
      </c>
      <c r="E7371" t="s">
        <v>23</v>
      </c>
      <c r="F7371" t="s">
        <v>20</v>
      </c>
      <c r="G7371" s="1">
        <f>VALUE(3012.7)</f>
        <v>3012.7</v>
      </c>
      <c r="H7371" s="1">
        <f>VALUE(2617.04)</f>
        <v>2617.04</v>
      </c>
      <c r="I7371" s="1">
        <f>VALUE(2503)</f>
        <v>2503</v>
      </c>
      <c r="J7371" s="1">
        <f>VALUE(2803)</f>
        <v>2803</v>
      </c>
      <c r="K7371" s="1">
        <f>VALUE(3253)</f>
        <v>3253</v>
      </c>
      <c r="L7371" s="1">
        <f>VALUE(3640)</f>
        <v>3640</v>
      </c>
      <c r="M7371" s="1">
        <f>VALUE(4191)</f>
        <v>4191</v>
      </c>
      <c r="N7371" t="s">
        <v>16</v>
      </c>
    </row>
    <row r="7372" spans="1:14" x14ac:dyDescent="0.25">
      <c r="A7372" t="s">
        <v>42</v>
      </c>
      <c r="B7372" t="s">
        <v>40</v>
      </c>
      <c r="C7372" t="s">
        <v>36</v>
      </c>
      <c r="D7372" t="s">
        <v>15</v>
      </c>
      <c r="E7372" t="s">
        <v>26</v>
      </c>
      <c r="F7372" t="s">
        <v>15</v>
      </c>
      <c r="G7372" s="2">
        <f>VALUE(478.06)</f>
        <v>478.06</v>
      </c>
      <c r="H7372" s="3">
        <f>VALUE(461.5)</f>
        <v>461.5</v>
      </c>
      <c r="I7372" s="4">
        <f>VALUE(3445)</f>
        <v>3445</v>
      </c>
      <c r="J7372" s="5">
        <f>VALUE(3550)</f>
        <v>3550</v>
      </c>
      <c r="K7372" s="6">
        <f>VALUE(4590)</f>
        <v>4590</v>
      </c>
      <c r="L7372" s="7">
        <f>VALUE(5467)</f>
        <v>5467</v>
      </c>
      <c r="M7372" s="1">
        <f>VALUE(6194)</f>
        <v>6194</v>
      </c>
      <c r="N7372" t="s">
        <v>25</v>
      </c>
    </row>
    <row r="7373" spans="1:14" x14ac:dyDescent="0.25">
      <c r="A7373" t="s">
        <v>42</v>
      </c>
      <c r="B7373" t="s">
        <v>40</v>
      </c>
      <c r="C7373" t="s">
        <v>36</v>
      </c>
      <c r="D7373" t="s">
        <v>15</v>
      </c>
      <c r="E7373" t="s">
        <v>26</v>
      </c>
      <c r="F7373" t="s">
        <v>17</v>
      </c>
      <c r="G7373" s="1" t="str">
        <f t="shared" ref="G7373:M7375" si="1607">"X"</f>
        <v>X</v>
      </c>
      <c r="H7373" s="1" t="str">
        <f t="shared" si="1607"/>
        <v>X</v>
      </c>
      <c r="I7373" s="1" t="str">
        <f t="shared" si="1607"/>
        <v>X</v>
      </c>
      <c r="J7373" s="1" t="str">
        <f t="shared" si="1607"/>
        <v>X</v>
      </c>
      <c r="K7373" s="1" t="str">
        <f t="shared" si="1607"/>
        <v>X</v>
      </c>
      <c r="L7373" s="1" t="str">
        <f t="shared" si="1607"/>
        <v>X</v>
      </c>
      <c r="M7373" s="1" t="str">
        <f t="shared" si="1607"/>
        <v>X</v>
      </c>
      <c r="N7373" t="s">
        <v>27</v>
      </c>
    </row>
    <row r="7374" spans="1:14" x14ac:dyDescent="0.25">
      <c r="A7374" t="s">
        <v>42</v>
      </c>
      <c r="B7374" t="s">
        <v>40</v>
      </c>
      <c r="C7374" t="s">
        <v>36</v>
      </c>
      <c r="D7374" t="s">
        <v>15</v>
      </c>
      <c r="E7374" t="s">
        <v>26</v>
      </c>
      <c r="F7374" t="s">
        <v>18</v>
      </c>
      <c r="G7374" s="1" t="str">
        <f t="shared" si="1607"/>
        <v>X</v>
      </c>
      <c r="H7374" s="1" t="str">
        <f t="shared" si="1607"/>
        <v>X</v>
      </c>
      <c r="I7374" s="1" t="str">
        <f t="shared" si="1607"/>
        <v>X</v>
      </c>
      <c r="J7374" s="1" t="str">
        <f t="shared" si="1607"/>
        <v>X</v>
      </c>
      <c r="K7374" s="1" t="str">
        <f t="shared" si="1607"/>
        <v>X</v>
      </c>
      <c r="L7374" s="1" t="str">
        <f t="shared" si="1607"/>
        <v>X</v>
      </c>
      <c r="M7374" s="1" t="str">
        <f t="shared" si="1607"/>
        <v>X</v>
      </c>
      <c r="N7374" t="s">
        <v>27</v>
      </c>
    </row>
    <row r="7375" spans="1:14" x14ac:dyDescent="0.25">
      <c r="A7375" t="s">
        <v>42</v>
      </c>
      <c r="B7375" t="s">
        <v>40</v>
      </c>
      <c r="C7375" t="s">
        <v>36</v>
      </c>
      <c r="D7375" t="s">
        <v>15</v>
      </c>
      <c r="E7375" t="s">
        <v>26</v>
      </c>
      <c r="F7375" t="s">
        <v>19</v>
      </c>
      <c r="G7375" s="1" t="str">
        <f t="shared" si="1607"/>
        <v>X</v>
      </c>
      <c r="H7375" s="1" t="str">
        <f t="shared" si="1607"/>
        <v>X</v>
      </c>
      <c r="I7375" s="1" t="str">
        <f t="shared" si="1607"/>
        <v>X</v>
      </c>
      <c r="J7375" s="1" t="str">
        <f t="shared" si="1607"/>
        <v>X</v>
      </c>
      <c r="K7375" s="1" t="str">
        <f t="shared" si="1607"/>
        <v>X</v>
      </c>
      <c r="L7375" s="1" t="str">
        <f t="shared" si="1607"/>
        <v>X</v>
      </c>
      <c r="M7375" s="1" t="str">
        <f t="shared" si="1607"/>
        <v>X</v>
      </c>
      <c r="N7375" t="s">
        <v>27</v>
      </c>
    </row>
    <row r="7376" spans="1:14" x14ac:dyDescent="0.25">
      <c r="A7376" t="s">
        <v>42</v>
      </c>
      <c r="B7376" t="s">
        <v>40</v>
      </c>
      <c r="C7376" t="s">
        <v>36</v>
      </c>
      <c r="D7376" t="s">
        <v>15</v>
      </c>
      <c r="E7376" t="s">
        <v>26</v>
      </c>
      <c r="F7376" t="s">
        <v>20</v>
      </c>
      <c r="G7376" s="2">
        <f>VALUE(445.7)</f>
        <v>445.7</v>
      </c>
      <c r="H7376" s="3">
        <f>VALUE(430.27)</f>
        <v>430.27</v>
      </c>
      <c r="I7376" s="4">
        <f>VALUE(3413)</f>
        <v>3413</v>
      </c>
      <c r="J7376" s="5">
        <f>VALUE(3550)</f>
        <v>3550</v>
      </c>
      <c r="K7376" s="6">
        <f>VALUE(4479)</f>
        <v>4479</v>
      </c>
      <c r="L7376" s="7">
        <f>VALUE(5197)</f>
        <v>5197</v>
      </c>
      <c r="M7376" s="1">
        <f>VALUE(6129)</f>
        <v>6129</v>
      </c>
      <c r="N7376" t="s">
        <v>25</v>
      </c>
    </row>
    <row r="7377" spans="1:14" x14ac:dyDescent="0.25">
      <c r="A7377" t="s">
        <v>42</v>
      </c>
      <c r="B7377" t="s">
        <v>40</v>
      </c>
      <c r="C7377" t="s">
        <v>36</v>
      </c>
      <c r="D7377" t="s">
        <v>28</v>
      </c>
      <c r="E7377" t="s">
        <v>15</v>
      </c>
      <c r="F7377" t="s">
        <v>15</v>
      </c>
      <c r="G7377" s="1">
        <f>VALUE(4781.01)</f>
        <v>4781.01</v>
      </c>
      <c r="H7377" s="1">
        <f>VALUE(4122.99)</f>
        <v>4122.99</v>
      </c>
      <c r="I7377" s="1">
        <f>VALUE(3508)</f>
        <v>3508</v>
      </c>
      <c r="J7377" s="1">
        <f>VALUE(4166)</f>
        <v>4166</v>
      </c>
      <c r="K7377" s="1">
        <f>VALUE(4930)</f>
        <v>4930</v>
      </c>
      <c r="L7377" s="1">
        <f>VALUE(5921)</f>
        <v>5921</v>
      </c>
      <c r="M7377" s="1">
        <f>VALUE(7084)</f>
        <v>7084</v>
      </c>
      <c r="N7377" t="s">
        <v>16</v>
      </c>
    </row>
    <row r="7378" spans="1:14" x14ac:dyDescent="0.25">
      <c r="A7378" t="s">
        <v>42</v>
      </c>
      <c r="B7378" t="s">
        <v>40</v>
      </c>
      <c r="C7378" t="s">
        <v>36</v>
      </c>
      <c r="D7378" t="s">
        <v>28</v>
      </c>
      <c r="E7378" t="s">
        <v>15</v>
      </c>
      <c r="F7378" t="s">
        <v>17</v>
      </c>
      <c r="G7378" s="2">
        <f>VALUE(428.93)</f>
        <v>428.93</v>
      </c>
      <c r="H7378" s="3">
        <f>VALUE(397.14)</f>
        <v>397.14</v>
      </c>
      <c r="I7378" s="4">
        <f>VALUE(3509)</f>
        <v>3509</v>
      </c>
      <c r="J7378" s="5">
        <f>VALUE(4567)</f>
        <v>4567</v>
      </c>
      <c r="K7378" s="6">
        <f>VALUE(4981)</f>
        <v>4981</v>
      </c>
      <c r="L7378" s="7">
        <f>VALUE(7467)</f>
        <v>7467</v>
      </c>
      <c r="M7378" s="1">
        <f>VALUE(9371)</f>
        <v>9371</v>
      </c>
      <c r="N7378" t="s">
        <v>25</v>
      </c>
    </row>
    <row r="7379" spans="1:14" x14ac:dyDescent="0.25">
      <c r="A7379" t="s">
        <v>42</v>
      </c>
      <c r="B7379" t="s">
        <v>40</v>
      </c>
      <c r="C7379" t="s">
        <v>36</v>
      </c>
      <c r="D7379" t="s">
        <v>28</v>
      </c>
      <c r="E7379" t="s">
        <v>15</v>
      </c>
      <c r="F7379" t="s">
        <v>18</v>
      </c>
      <c r="G7379" s="2">
        <f>VALUE(512.99)</f>
        <v>512.99</v>
      </c>
      <c r="H7379" s="3">
        <f>VALUE(447.26)</f>
        <v>447.26</v>
      </c>
      <c r="I7379" s="4">
        <f>VALUE(3852)</f>
        <v>3852</v>
      </c>
      <c r="J7379" s="5">
        <f>VALUE(4442)</f>
        <v>4442</v>
      </c>
      <c r="K7379" s="1">
        <f>VALUE(5416)</f>
        <v>5416</v>
      </c>
      <c r="L7379" s="1">
        <f>VALUE(6394)</f>
        <v>6394</v>
      </c>
      <c r="M7379" s="1">
        <f>VALUE(7383)</f>
        <v>7383</v>
      </c>
      <c r="N7379" t="s">
        <v>25</v>
      </c>
    </row>
    <row r="7380" spans="1:14" x14ac:dyDescent="0.25">
      <c r="A7380" t="s">
        <v>42</v>
      </c>
      <c r="B7380" t="s">
        <v>40</v>
      </c>
      <c r="C7380" t="s">
        <v>36</v>
      </c>
      <c r="D7380" t="s">
        <v>28</v>
      </c>
      <c r="E7380" t="s">
        <v>15</v>
      </c>
      <c r="F7380" t="s">
        <v>19</v>
      </c>
      <c r="G7380" s="2">
        <f>VALUE(657.63)</f>
        <v>657.63</v>
      </c>
      <c r="H7380" s="3">
        <f>VALUE(595.3)</f>
        <v>595.29999999999995</v>
      </c>
      <c r="I7380" s="4">
        <f>VALUE(3953)</f>
        <v>3953</v>
      </c>
      <c r="J7380" s="1">
        <f>VALUE(4365)</f>
        <v>4365</v>
      </c>
      <c r="K7380" s="1">
        <f>VALUE(5048)</f>
        <v>5048</v>
      </c>
      <c r="L7380" s="1">
        <f>VALUE(5670)</f>
        <v>5670</v>
      </c>
      <c r="M7380" s="1">
        <f>VALUE(6652)</f>
        <v>6652</v>
      </c>
      <c r="N7380" t="s">
        <v>25</v>
      </c>
    </row>
    <row r="7381" spans="1:14" x14ac:dyDescent="0.25">
      <c r="A7381" t="s">
        <v>42</v>
      </c>
      <c r="B7381" t="s">
        <v>40</v>
      </c>
      <c r="C7381" t="s">
        <v>36</v>
      </c>
      <c r="D7381" t="s">
        <v>28</v>
      </c>
      <c r="E7381" t="s">
        <v>15</v>
      </c>
      <c r="F7381" t="s">
        <v>20</v>
      </c>
      <c r="G7381" s="1">
        <f>VALUE(3181.46)</f>
        <v>3181.46</v>
      </c>
      <c r="H7381" s="1">
        <f>VALUE(2683.29)</f>
        <v>2683.29</v>
      </c>
      <c r="I7381" s="1">
        <f>VALUE(3481)</f>
        <v>3481</v>
      </c>
      <c r="J7381" s="1">
        <f>VALUE(4078)</f>
        <v>4078</v>
      </c>
      <c r="K7381" s="1">
        <f>VALUE(4848)</f>
        <v>4848</v>
      </c>
      <c r="L7381" s="1">
        <f>VALUE(5744)</f>
        <v>5744</v>
      </c>
      <c r="M7381" s="1">
        <f>VALUE(6684)</f>
        <v>6684</v>
      </c>
      <c r="N7381" t="s">
        <v>16</v>
      </c>
    </row>
    <row r="7382" spans="1:14" x14ac:dyDescent="0.25">
      <c r="A7382" t="s">
        <v>42</v>
      </c>
      <c r="B7382" t="s">
        <v>40</v>
      </c>
      <c r="C7382" t="s">
        <v>36</v>
      </c>
      <c r="D7382" t="s">
        <v>28</v>
      </c>
      <c r="E7382" t="s">
        <v>21</v>
      </c>
      <c r="F7382" t="s">
        <v>15</v>
      </c>
      <c r="G7382" s="2">
        <f>VALUE(1427.47)</f>
        <v>1427.47</v>
      </c>
      <c r="H7382" s="3">
        <f>VALUE(1206.4)</f>
        <v>1206.4000000000001</v>
      </c>
      <c r="I7382" s="4">
        <f>VALUE(3817)</f>
        <v>3817</v>
      </c>
      <c r="J7382" s="1">
        <f>VALUE(4653)</f>
        <v>4653</v>
      </c>
      <c r="K7382" s="1">
        <f>VALUE(5749)</f>
        <v>5749</v>
      </c>
      <c r="L7382" s="1">
        <f>VALUE(6712)</f>
        <v>6712</v>
      </c>
      <c r="M7382" s="8">
        <f>VALUE(7786)</f>
        <v>7786</v>
      </c>
      <c r="N7382" t="s">
        <v>25</v>
      </c>
    </row>
    <row r="7383" spans="1:14" x14ac:dyDescent="0.25">
      <c r="A7383" t="s">
        <v>42</v>
      </c>
      <c r="B7383" t="s">
        <v>40</v>
      </c>
      <c r="C7383" t="s">
        <v>36</v>
      </c>
      <c r="D7383" t="s">
        <v>28</v>
      </c>
      <c r="E7383" t="s">
        <v>21</v>
      </c>
      <c r="F7383" t="s">
        <v>17</v>
      </c>
      <c r="G7383" s="2">
        <f>VALUE(280.73)</f>
        <v>280.73</v>
      </c>
      <c r="H7383" s="3">
        <f>VALUE(258.9)</f>
        <v>258.89999999999998</v>
      </c>
      <c r="I7383" s="4">
        <f>VALUE(3817)</f>
        <v>3817</v>
      </c>
      <c r="J7383" s="5">
        <f>VALUE(4643)</f>
        <v>4643</v>
      </c>
      <c r="K7383" s="6">
        <f>VALUE(6075)</f>
        <v>6075</v>
      </c>
      <c r="L7383" s="7">
        <f>VALUE(7497)</f>
        <v>7497</v>
      </c>
      <c r="M7383" s="8">
        <f>VALUE(8750)</f>
        <v>8750</v>
      </c>
      <c r="N7383" t="s">
        <v>24</v>
      </c>
    </row>
    <row r="7384" spans="1:14" x14ac:dyDescent="0.25">
      <c r="A7384" t="s">
        <v>42</v>
      </c>
      <c r="B7384" t="s">
        <v>40</v>
      </c>
      <c r="C7384" t="s">
        <v>36</v>
      </c>
      <c r="D7384" t="s">
        <v>28</v>
      </c>
      <c r="E7384" t="s">
        <v>21</v>
      </c>
      <c r="F7384" t="s">
        <v>18</v>
      </c>
      <c r="G7384" s="2">
        <f>VALUE(213.19)</f>
        <v>213.19</v>
      </c>
      <c r="H7384" s="3">
        <f>VALUE(182.48)</f>
        <v>182.48</v>
      </c>
      <c r="I7384" s="1">
        <f>VALUE(4442)</f>
        <v>4442</v>
      </c>
      <c r="J7384" s="5">
        <f>VALUE(5200)</f>
        <v>5200</v>
      </c>
      <c r="K7384" s="1">
        <f>VALUE(5875)</f>
        <v>5875</v>
      </c>
      <c r="L7384" s="1">
        <f>VALUE(6457)</f>
        <v>6457</v>
      </c>
      <c r="M7384" s="8">
        <f>VALUE(7377)</f>
        <v>7377</v>
      </c>
      <c r="N7384" t="s">
        <v>25</v>
      </c>
    </row>
    <row r="7385" spans="1:14" x14ac:dyDescent="0.25">
      <c r="A7385" t="s">
        <v>42</v>
      </c>
      <c r="B7385" t="s">
        <v>40</v>
      </c>
      <c r="C7385" t="s">
        <v>36</v>
      </c>
      <c r="D7385" t="s">
        <v>28</v>
      </c>
      <c r="E7385" t="s">
        <v>21</v>
      </c>
      <c r="F7385" t="s">
        <v>19</v>
      </c>
      <c r="G7385" s="2">
        <f>VALUE(149.13)</f>
        <v>149.13</v>
      </c>
      <c r="H7385" s="3">
        <f>VALUE(137.14)</f>
        <v>137.13999999999999</v>
      </c>
      <c r="I7385" s="4">
        <f>VALUE(3900)</f>
        <v>3900</v>
      </c>
      <c r="J7385" s="1">
        <f>VALUE(4762)</f>
        <v>4762</v>
      </c>
      <c r="K7385" s="6">
        <f>VALUE(5967)</f>
        <v>5967</v>
      </c>
      <c r="L7385" s="1">
        <f>VALUE(6652)</f>
        <v>6652</v>
      </c>
      <c r="M7385" s="1">
        <f>VALUE(7540)</f>
        <v>7540</v>
      </c>
      <c r="N7385" t="s">
        <v>25</v>
      </c>
    </row>
    <row r="7386" spans="1:14" x14ac:dyDescent="0.25">
      <c r="A7386" t="s">
        <v>42</v>
      </c>
      <c r="B7386" t="s">
        <v>40</v>
      </c>
      <c r="C7386" t="s">
        <v>36</v>
      </c>
      <c r="D7386" t="s">
        <v>28</v>
      </c>
      <c r="E7386" t="s">
        <v>21</v>
      </c>
      <c r="F7386" t="s">
        <v>20</v>
      </c>
      <c r="G7386" s="2">
        <f>VALUE(784.42)</f>
        <v>784.42</v>
      </c>
      <c r="H7386" s="3">
        <f>VALUE(627.88)</f>
        <v>627.88</v>
      </c>
      <c r="I7386" s="4">
        <f>VALUE(3817)</f>
        <v>3817</v>
      </c>
      <c r="J7386" s="5">
        <f>VALUE(4653)</f>
        <v>4653</v>
      </c>
      <c r="K7386" s="1">
        <f>VALUE(5714)</f>
        <v>5714</v>
      </c>
      <c r="L7386" s="1">
        <f>VALUE(6600)</f>
        <v>6600</v>
      </c>
      <c r="M7386" s="8">
        <f>VALUE(7568)</f>
        <v>7568</v>
      </c>
      <c r="N7386" t="s">
        <v>25</v>
      </c>
    </row>
    <row r="7387" spans="1:14" x14ac:dyDescent="0.25">
      <c r="A7387" t="s">
        <v>42</v>
      </c>
      <c r="B7387" t="s">
        <v>40</v>
      </c>
      <c r="C7387" t="s">
        <v>36</v>
      </c>
      <c r="D7387" t="s">
        <v>28</v>
      </c>
      <c r="E7387" t="s">
        <v>22</v>
      </c>
      <c r="F7387" t="s">
        <v>15</v>
      </c>
      <c r="G7387" s="1">
        <f>VALUE(2773.71)</f>
        <v>2773.71</v>
      </c>
      <c r="H7387" s="1">
        <f>VALUE(2456.13)</f>
        <v>2456.13</v>
      </c>
      <c r="I7387" s="4">
        <f>VALUE(3576)</f>
        <v>3576</v>
      </c>
      <c r="J7387" s="1">
        <f>VALUE(4189)</f>
        <v>4189</v>
      </c>
      <c r="K7387" s="1">
        <f>VALUE(4853)</f>
        <v>4853</v>
      </c>
      <c r="L7387" s="1">
        <f>VALUE(5605)</f>
        <v>5605</v>
      </c>
      <c r="M7387" s="1">
        <f>VALUE(6579)</f>
        <v>6579</v>
      </c>
      <c r="N7387" t="s">
        <v>25</v>
      </c>
    </row>
    <row r="7388" spans="1:14" x14ac:dyDescent="0.25">
      <c r="A7388" t="s">
        <v>42</v>
      </c>
      <c r="B7388" t="s">
        <v>40</v>
      </c>
      <c r="C7388" t="s">
        <v>36</v>
      </c>
      <c r="D7388" t="s">
        <v>28</v>
      </c>
      <c r="E7388" t="s">
        <v>22</v>
      </c>
      <c r="F7388" t="s">
        <v>17</v>
      </c>
      <c r="G7388" s="1" t="str">
        <f t="shared" ref="G7388:M7388" si="1608">"X"</f>
        <v>X</v>
      </c>
      <c r="H7388" s="1" t="str">
        <f t="shared" si="1608"/>
        <v>X</v>
      </c>
      <c r="I7388" s="1" t="str">
        <f t="shared" si="1608"/>
        <v>X</v>
      </c>
      <c r="J7388" s="1" t="str">
        <f t="shared" si="1608"/>
        <v>X</v>
      </c>
      <c r="K7388" s="1" t="str">
        <f t="shared" si="1608"/>
        <v>X</v>
      </c>
      <c r="L7388" s="1" t="str">
        <f t="shared" si="1608"/>
        <v>X</v>
      </c>
      <c r="M7388" s="1" t="str">
        <f t="shared" si="1608"/>
        <v>X</v>
      </c>
      <c r="N7388" t="s">
        <v>27</v>
      </c>
    </row>
    <row r="7389" spans="1:14" x14ac:dyDescent="0.25">
      <c r="A7389" t="s">
        <v>42</v>
      </c>
      <c r="B7389" t="s">
        <v>40</v>
      </c>
      <c r="C7389" t="s">
        <v>36</v>
      </c>
      <c r="D7389" t="s">
        <v>28</v>
      </c>
      <c r="E7389" t="s">
        <v>22</v>
      </c>
      <c r="F7389" t="s">
        <v>18</v>
      </c>
      <c r="G7389" s="2">
        <f>VALUE(273.71)</f>
        <v>273.70999999999998</v>
      </c>
      <c r="H7389" s="3">
        <f>VALUE(239.29)</f>
        <v>239.29</v>
      </c>
      <c r="I7389" s="4">
        <f>VALUE(3852)</f>
        <v>3852</v>
      </c>
      <c r="J7389" s="5">
        <f>VALUE(4293)</f>
        <v>4293</v>
      </c>
      <c r="K7389" s="6">
        <f>VALUE(4950)</f>
        <v>4950</v>
      </c>
      <c r="L7389" s="7">
        <f>VALUE(6500)</f>
        <v>6500</v>
      </c>
      <c r="M7389" s="1">
        <f>VALUE(7408)</f>
        <v>7408</v>
      </c>
      <c r="N7389" t="s">
        <v>25</v>
      </c>
    </row>
    <row r="7390" spans="1:14" x14ac:dyDescent="0.25">
      <c r="A7390" t="s">
        <v>42</v>
      </c>
      <c r="B7390" t="s">
        <v>40</v>
      </c>
      <c r="C7390" t="s">
        <v>36</v>
      </c>
      <c r="D7390" t="s">
        <v>28</v>
      </c>
      <c r="E7390" t="s">
        <v>22</v>
      </c>
      <c r="F7390" t="s">
        <v>19</v>
      </c>
      <c r="G7390" s="2">
        <f>VALUE(472.19)</f>
        <v>472.19</v>
      </c>
      <c r="H7390" s="3">
        <f>VALUE(422.16)</f>
        <v>422.16</v>
      </c>
      <c r="I7390" s="4">
        <f>VALUE(3986)</f>
        <v>3986</v>
      </c>
      <c r="J7390" s="1">
        <f>VALUE(4334)</f>
        <v>4334</v>
      </c>
      <c r="K7390" s="1">
        <f>VALUE(4870)</f>
        <v>4870</v>
      </c>
      <c r="L7390" s="1">
        <f>VALUE(5633)</f>
        <v>5633</v>
      </c>
      <c r="M7390" s="1">
        <f>VALUE(6147)</f>
        <v>6147</v>
      </c>
      <c r="N7390" t="s">
        <v>25</v>
      </c>
    </row>
    <row r="7391" spans="1:14" x14ac:dyDescent="0.25">
      <c r="A7391" t="s">
        <v>42</v>
      </c>
      <c r="B7391" t="s">
        <v>40</v>
      </c>
      <c r="C7391" t="s">
        <v>36</v>
      </c>
      <c r="D7391" t="s">
        <v>28</v>
      </c>
      <c r="E7391" t="s">
        <v>22</v>
      </c>
      <c r="F7391" t="s">
        <v>20</v>
      </c>
      <c r="G7391" s="2">
        <f>VALUE(1885.3)</f>
        <v>1885.3</v>
      </c>
      <c r="H7391" s="3">
        <f>VALUE(1661.48)</f>
        <v>1661.48</v>
      </c>
      <c r="I7391" s="4">
        <f>VALUE(3508)</f>
        <v>3508</v>
      </c>
      <c r="J7391" s="1">
        <f>VALUE(4116)</f>
        <v>4116</v>
      </c>
      <c r="K7391" s="1">
        <f>VALUE(4832)</f>
        <v>4832</v>
      </c>
      <c r="L7391" s="1">
        <f>VALUE(5479)</f>
        <v>5479</v>
      </c>
      <c r="M7391" s="1">
        <f>VALUE(6441)</f>
        <v>6441</v>
      </c>
      <c r="N7391" t="s">
        <v>25</v>
      </c>
    </row>
    <row r="7392" spans="1:14" x14ac:dyDescent="0.25">
      <c r="A7392" t="s">
        <v>42</v>
      </c>
      <c r="B7392" t="s">
        <v>40</v>
      </c>
      <c r="C7392" t="s">
        <v>36</v>
      </c>
      <c r="D7392" t="s">
        <v>28</v>
      </c>
      <c r="E7392" t="s">
        <v>23</v>
      </c>
      <c r="F7392" t="s">
        <v>15</v>
      </c>
      <c r="G7392" s="2">
        <f>VALUE(427.75)</f>
        <v>427.75</v>
      </c>
      <c r="H7392" s="3">
        <f>VALUE(307.32)</f>
        <v>307.32</v>
      </c>
      <c r="I7392" s="4">
        <f>VALUE(2740)</f>
        <v>2740</v>
      </c>
      <c r="J7392" s="1">
        <f>VALUE(3445)</f>
        <v>3445</v>
      </c>
      <c r="K7392" s="1">
        <f>VALUE(3892)</f>
        <v>3892</v>
      </c>
      <c r="L7392" s="1">
        <f>VALUE(4429)</f>
        <v>4429</v>
      </c>
      <c r="M7392" s="8">
        <f>VALUE(5492)</f>
        <v>5492</v>
      </c>
      <c r="N7392" t="s">
        <v>25</v>
      </c>
    </row>
    <row r="7393" spans="1:14" x14ac:dyDescent="0.25">
      <c r="A7393" t="s">
        <v>42</v>
      </c>
      <c r="B7393" t="s">
        <v>40</v>
      </c>
      <c r="C7393" t="s">
        <v>36</v>
      </c>
      <c r="D7393" t="s">
        <v>28</v>
      </c>
      <c r="E7393" t="s">
        <v>23</v>
      </c>
      <c r="F7393" t="s">
        <v>17</v>
      </c>
      <c r="G7393" s="1" t="str">
        <f t="shared" ref="G7393:M7395" si="1609">"X"</f>
        <v>X</v>
      </c>
      <c r="H7393" s="1" t="str">
        <f t="shared" si="1609"/>
        <v>X</v>
      </c>
      <c r="I7393" s="1" t="str">
        <f t="shared" si="1609"/>
        <v>X</v>
      </c>
      <c r="J7393" s="1" t="str">
        <f t="shared" si="1609"/>
        <v>X</v>
      </c>
      <c r="K7393" s="1" t="str">
        <f t="shared" si="1609"/>
        <v>X</v>
      </c>
      <c r="L7393" s="1" t="str">
        <f t="shared" si="1609"/>
        <v>X</v>
      </c>
      <c r="M7393" s="1" t="str">
        <f t="shared" si="1609"/>
        <v>X</v>
      </c>
      <c r="N7393" t="s">
        <v>27</v>
      </c>
    </row>
    <row r="7394" spans="1:14" x14ac:dyDescent="0.25">
      <c r="A7394" t="s">
        <v>42</v>
      </c>
      <c r="B7394" t="s">
        <v>40</v>
      </c>
      <c r="C7394" t="s">
        <v>36</v>
      </c>
      <c r="D7394" t="s">
        <v>28</v>
      </c>
      <c r="E7394" t="s">
        <v>23</v>
      </c>
      <c r="F7394" t="s">
        <v>18</v>
      </c>
      <c r="G7394" s="1" t="str">
        <f t="shared" si="1609"/>
        <v>X</v>
      </c>
      <c r="H7394" s="1" t="str">
        <f t="shared" si="1609"/>
        <v>X</v>
      </c>
      <c r="I7394" s="1" t="str">
        <f t="shared" si="1609"/>
        <v>X</v>
      </c>
      <c r="J7394" s="1" t="str">
        <f t="shared" si="1609"/>
        <v>X</v>
      </c>
      <c r="K7394" s="1" t="str">
        <f t="shared" si="1609"/>
        <v>X</v>
      </c>
      <c r="L7394" s="1" t="str">
        <f t="shared" si="1609"/>
        <v>X</v>
      </c>
      <c r="M7394" s="1" t="str">
        <f t="shared" si="1609"/>
        <v>X</v>
      </c>
      <c r="N7394" t="s">
        <v>27</v>
      </c>
    </row>
    <row r="7395" spans="1:14" x14ac:dyDescent="0.25">
      <c r="A7395" t="s">
        <v>42</v>
      </c>
      <c r="B7395" t="s">
        <v>40</v>
      </c>
      <c r="C7395" t="s">
        <v>36</v>
      </c>
      <c r="D7395" t="s">
        <v>28</v>
      </c>
      <c r="E7395" t="s">
        <v>23</v>
      </c>
      <c r="F7395" t="s">
        <v>19</v>
      </c>
      <c r="G7395" s="1" t="str">
        <f t="shared" si="1609"/>
        <v>X</v>
      </c>
      <c r="H7395" s="1" t="str">
        <f t="shared" si="1609"/>
        <v>X</v>
      </c>
      <c r="I7395" s="1" t="str">
        <f t="shared" si="1609"/>
        <v>X</v>
      </c>
      <c r="J7395" s="1" t="str">
        <f t="shared" si="1609"/>
        <v>X</v>
      </c>
      <c r="K7395" s="1" t="str">
        <f t="shared" si="1609"/>
        <v>X</v>
      </c>
      <c r="L7395" s="1" t="str">
        <f t="shared" si="1609"/>
        <v>X</v>
      </c>
      <c r="M7395" s="1" t="str">
        <f t="shared" si="1609"/>
        <v>X</v>
      </c>
      <c r="N7395" t="s">
        <v>27</v>
      </c>
    </row>
    <row r="7396" spans="1:14" x14ac:dyDescent="0.25">
      <c r="A7396" t="s">
        <v>42</v>
      </c>
      <c r="B7396" t="s">
        <v>40</v>
      </c>
      <c r="C7396" t="s">
        <v>36</v>
      </c>
      <c r="D7396" t="s">
        <v>28</v>
      </c>
      <c r="E7396" t="s">
        <v>23</v>
      </c>
      <c r="F7396" t="s">
        <v>20</v>
      </c>
      <c r="G7396" s="2">
        <f>VALUE(371.98)</f>
        <v>371.98</v>
      </c>
      <c r="H7396" s="3">
        <f>VALUE(251.69)</f>
        <v>251.69</v>
      </c>
      <c r="I7396" s="4">
        <f>VALUE(2373)</f>
        <v>2373</v>
      </c>
      <c r="J7396" s="5">
        <f>VALUE(3456)</f>
        <v>3456</v>
      </c>
      <c r="K7396" s="1">
        <f>VALUE(3766)</f>
        <v>3766</v>
      </c>
      <c r="L7396" s="1">
        <f>VALUE(4335)</f>
        <v>4335</v>
      </c>
      <c r="M7396" s="8">
        <f>VALUE(5007)</f>
        <v>5007</v>
      </c>
      <c r="N7396" t="s">
        <v>25</v>
      </c>
    </row>
    <row r="7397" spans="1:14" x14ac:dyDescent="0.25">
      <c r="A7397" t="s">
        <v>42</v>
      </c>
      <c r="B7397" t="s">
        <v>40</v>
      </c>
      <c r="C7397" t="s">
        <v>36</v>
      </c>
      <c r="D7397" t="s">
        <v>28</v>
      </c>
      <c r="E7397" t="s">
        <v>26</v>
      </c>
      <c r="F7397" t="s">
        <v>15</v>
      </c>
      <c r="G7397" s="2">
        <f>VALUE(152.08)</f>
        <v>152.08000000000001</v>
      </c>
      <c r="H7397" s="3">
        <f>VALUE(153.14)</f>
        <v>153.13999999999999</v>
      </c>
      <c r="I7397" s="4">
        <f>VALUE(3508)</f>
        <v>3508</v>
      </c>
      <c r="J7397" s="5">
        <f>VALUE(3550)</f>
        <v>3550</v>
      </c>
      <c r="K7397" s="6">
        <f>VALUE(4745)</f>
        <v>4745</v>
      </c>
      <c r="L7397" s="1">
        <f>VALUE(5159)</f>
        <v>5159</v>
      </c>
      <c r="M7397" s="1">
        <f>VALUE(6057)</f>
        <v>6057</v>
      </c>
      <c r="N7397" t="s">
        <v>25</v>
      </c>
    </row>
    <row r="7398" spans="1:14" x14ac:dyDescent="0.25">
      <c r="A7398" t="s">
        <v>42</v>
      </c>
      <c r="B7398" t="s">
        <v>40</v>
      </c>
      <c r="C7398" t="s">
        <v>36</v>
      </c>
      <c r="D7398" t="s">
        <v>28</v>
      </c>
      <c r="E7398" t="s">
        <v>26</v>
      </c>
      <c r="F7398" t="s">
        <v>17</v>
      </c>
      <c r="G7398" s="1" t="str">
        <f t="shared" ref="G7398:M7401" si="1610">"X"</f>
        <v>X</v>
      </c>
      <c r="H7398" s="1" t="str">
        <f t="shared" si="1610"/>
        <v>X</v>
      </c>
      <c r="I7398" s="1" t="str">
        <f t="shared" si="1610"/>
        <v>X</v>
      </c>
      <c r="J7398" s="1" t="str">
        <f t="shared" si="1610"/>
        <v>X</v>
      </c>
      <c r="K7398" s="1" t="str">
        <f t="shared" si="1610"/>
        <v>X</v>
      </c>
      <c r="L7398" s="1" t="str">
        <f t="shared" si="1610"/>
        <v>X</v>
      </c>
      <c r="M7398" s="1" t="str">
        <f t="shared" si="1610"/>
        <v>X</v>
      </c>
      <c r="N7398" t="s">
        <v>27</v>
      </c>
    </row>
    <row r="7399" spans="1:14" x14ac:dyDescent="0.25">
      <c r="A7399" t="s">
        <v>42</v>
      </c>
      <c r="B7399" t="s">
        <v>40</v>
      </c>
      <c r="C7399" t="s">
        <v>36</v>
      </c>
      <c r="D7399" t="s">
        <v>28</v>
      </c>
      <c r="E7399" t="s">
        <v>26</v>
      </c>
      <c r="F7399" t="s">
        <v>18</v>
      </c>
      <c r="G7399" s="1" t="str">
        <f t="shared" si="1610"/>
        <v>X</v>
      </c>
      <c r="H7399" s="1" t="str">
        <f t="shared" si="1610"/>
        <v>X</v>
      </c>
      <c r="I7399" s="1" t="str">
        <f t="shared" si="1610"/>
        <v>X</v>
      </c>
      <c r="J7399" s="1" t="str">
        <f t="shared" si="1610"/>
        <v>X</v>
      </c>
      <c r="K7399" s="1" t="str">
        <f t="shared" si="1610"/>
        <v>X</v>
      </c>
      <c r="L7399" s="1" t="str">
        <f t="shared" si="1610"/>
        <v>X</v>
      </c>
      <c r="M7399" s="1" t="str">
        <f t="shared" si="1610"/>
        <v>X</v>
      </c>
      <c r="N7399" t="s">
        <v>27</v>
      </c>
    </row>
    <row r="7400" spans="1:14" x14ac:dyDescent="0.25">
      <c r="A7400" t="s">
        <v>42</v>
      </c>
      <c r="B7400" t="s">
        <v>40</v>
      </c>
      <c r="C7400" t="s">
        <v>36</v>
      </c>
      <c r="D7400" t="s">
        <v>28</v>
      </c>
      <c r="E7400" t="s">
        <v>26</v>
      </c>
      <c r="F7400" t="s">
        <v>19</v>
      </c>
      <c r="G7400" s="1" t="str">
        <f t="shared" si="1610"/>
        <v>X</v>
      </c>
      <c r="H7400" s="1" t="str">
        <f t="shared" si="1610"/>
        <v>X</v>
      </c>
      <c r="I7400" s="1" t="str">
        <f t="shared" si="1610"/>
        <v>X</v>
      </c>
      <c r="J7400" s="1" t="str">
        <f t="shared" si="1610"/>
        <v>X</v>
      </c>
      <c r="K7400" s="1" t="str">
        <f t="shared" si="1610"/>
        <v>X</v>
      </c>
      <c r="L7400" s="1" t="str">
        <f t="shared" si="1610"/>
        <v>X</v>
      </c>
      <c r="M7400" s="1" t="str">
        <f t="shared" si="1610"/>
        <v>X</v>
      </c>
      <c r="N7400" t="s">
        <v>27</v>
      </c>
    </row>
    <row r="7401" spans="1:14" x14ac:dyDescent="0.25">
      <c r="A7401" t="s">
        <v>42</v>
      </c>
      <c r="B7401" t="s">
        <v>40</v>
      </c>
      <c r="C7401" t="s">
        <v>36</v>
      </c>
      <c r="D7401" t="s">
        <v>28</v>
      </c>
      <c r="E7401" t="s">
        <v>26</v>
      </c>
      <c r="F7401" t="s">
        <v>20</v>
      </c>
      <c r="G7401" s="1" t="str">
        <f t="shared" si="1610"/>
        <v>X</v>
      </c>
      <c r="H7401" s="1" t="str">
        <f t="shared" si="1610"/>
        <v>X</v>
      </c>
      <c r="I7401" s="1" t="str">
        <f t="shared" si="1610"/>
        <v>X</v>
      </c>
      <c r="J7401" s="1" t="str">
        <f t="shared" si="1610"/>
        <v>X</v>
      </c>
      <c r="K7401" s="1" t="str">
        <f t="shared" si="1610"/>
        <v>X</v>
      </c>
      <c r="L7401" s="1" t="str">
        <f t="shared" si="1610"/>
        <v>X</v>
      </c>
      <c r="M7401" s="1" t="str">
        <f t="shared" si="1610"/>
        <v>X</v>
      </c>
      <c r="N7401" t="s">
        <v>27</v>
      </c>
    </row>
    <row r="7402" spans="1:14" x14ac:dyDescent="0.25">
      <c r="A7402" t="s">
        <v>42</v>
      </c>
      <c r="B7402" t="s">
        <v>40</v>
      </c>
      <c r="C7402" t="s">
        <v>36</v>
      </c>
      <c r="D7402" t="s">
        <v>29</v>
      </c>
      <c r="E7402" t="s">
        <v>15</v>
      </c>
      <c r="F7402" t="s">
        <v>15</v>
      </c>
      <c r="G7402" s="2">
        <f>VALUE(938.36)</f>
        <v>938.36</v>
      </c>
      <c r="H7402" s="3">
        <f>VALUE(796.24)</f>
        <v>796.24</v>
      </c>
      <c r="I7402" s="1">
        <f>VALUE(2864)</f>
        <v>2864</v>
      </c>
      <c r="J7402" s="1">
        <f>VALUE(3560)</f>
        <v>3560</v>
      </c>
      <c r="K7402" s="1">
        <f>VALUE(4376)</f>
        <v>4376</v>
      </c>
      <c r="L7402" s="1">
        <f>VALUE(5309)</f>
        <v>5309</v>
      </c>
      <c r="M7402" s="1">
        <f>VALUE(6321)</f>
        <v>6321</v>
      </c>
      <c r="N7402" t="s">
        <v>25</v>
      </c>
    </row>
    <row r="7403" spans="1:14" x14ac:dyDescent="0.25">
      <c r="A7403" t="s">
        <v>42</v>
      </c>
      <c r="B7403" t="s">
        <v>40</v>
      </c>
      <c r="C7403" t="s">
        <v>36</v>
      </c>
      <c r="D7403" t="s">
        <v>29</v>
      </c>
      <c r="E7403" t="s">
        <v>15</v>
      </c>
      <c r="F7403" t="s">
        <v>17</v>
      </c>
      <c r="G7403" s="1" t="str">
        <f t="shared" ref="G7403:M7405" si="1611">"X"</f>
        <v>X</v>
      </c>
      <c r="H7403" s="1" t="str">
        <f t="shared" si="1611"/>
        <v>X</v>
      </c>
      <c r="I7403" s="1" t="str">
        <f t="shared" si="1611"/>
        <v>X</v>
      </c>
      <c r="J7403" s="1" t="str">
        <f t="shared" si="1611"/>
        <v>X</v>
      </c>
      <c r="K7403" s="1" t="str">
        <f t="shared" si="1611"/>
        <v>X</v>
      </c>
      <c r="L7403" s="1" t="str">
        <f t="shared" si="1611"/>
        <v>X</v>
      </c>
      <c r="M7403" s="1" t="str">
        <f t="shared" si="1611"/>
        <v>X</v>
      </c>
      <c r="N7403" t="s">
        <v>27</v>
      </c>
    </row>
    <row r="7404" spans="1:14" x14ac:dyDescent="0.25">
      <c r="A7404" t="s">
        <v>42</v>
      </c>
      <c r="B7404" t="s">
        <v>40</v>
      </c>
      <c r="C7404" t="s">
        <v>36</v>
      </c>
      <c r="D7404" t="s">
        <v>29</v>
      </c>
      <c r="E7404" t="s">
        <v>15</v>
      </c>
      <c r="F7404" t="s">
        <v>18</v>
      </c>
      <c r="G7404" s="1" t="str">
        <f t="shared" si="1611"/>
        <v>X</v>
      </c>
      <c r="H7404" s="1" t="str">
        <f t="shared" si="1611"/>
        <v>X</v>
      </c>
      <c r="I7404" s="1" t="str">
        <f t="shared" si="1611"/>
        <v>X</v>
      </c>
      <c r="J7404" s="1" t="str">
        <f t="shared" si="1611"/>
        <v>X</v>
      </c>
      <c r="K7404" s="1" t="str">
        <f t="shared" si="1611"/>
        <v>X</v>
      </c>
      <c r="L7404" s="1" t="str">
        <f t="shared" si="1611"/>
        <v>X</v>
      </c>
      <c r="M7404" s="1" t="str">
        <f t="shared" si="1611"/>
        <v>X</v>
      </c>
      <c r="N7404" t="s">
        <v>27</v>
      </c>
    </row>
    <row r="7405" spans="1:14" x14ac:dyDescent="0.25">
      <c r="A7405" t="s">
        <v>42</v>
      </c>
      <c r="B7405" t="s">
        <v>40</v>
      </c>
      <c r="C7405" t="s">
        <v>36</v>
      </c>
      <c r="D7405" t="s">
        <v>29</v>
      </c>
      <c r="E7405" t="s">
        <v>15</v>
      </c>
      <c r="F7405" t="s">
        <v>19</v>
      </c>
      <c r="G7405" s="1" t="str">
        <f t="shared" si="1611"/>
        <v>X</v>
      </c>
      <c r="H7405" s="1" t="str">
        <f t="shared" si="1611"/>
        <v>X</v>
      </c>
      <c r="I7405" s="1" t="str">
        <f t="shared" si="1611"/>
        <v>X</v>
      </c>
      <c r="J7405" s="1" t="str">
        <f t="shared" si="1611"/>
        <v>X</v>
      </c>
      <c r="K7405" s="1" t="str">
        <f t="shared" si="1611"/>
        <v>X</v>
      </c>
      <c r="L7405" s="1" t="str">
        <f t="shared" si="1611"/>
        <v>X</v>
      </c>
      <c r="M7405" s="1" t="str">
        <f t="shared" si="1611"/>
        <v>X</v>
      </c>
      <c r="N7405" t="s">
        <v>27</v>
      </c>
    </row>
    <row r="7406" spans="1:14" x14ac:dyDescent="0.25">
      <c r="A7406" t="s">
        <v>42</v>
      </c>
      <c r="B7406" t="s">
        <v>40</v>
      </c>
      <c r="C7406" t="s">
        <v>36</v>
      </c>
      <c r="D7406" t="s">
        <v>29</v>
      </c>
      <c r="E7406" t="s">
        <v>15</v>
      </c>
      <c r="F7406" t="s">
        <v>20</v>
      </c>
      <c r="G7406" s="2">
        <f>VALUE(772.15)</f>
        <v>772.15</v>
      </c>
      <c r="H7406" s="3">
        <f>VALUE(655.41)</f>
        <v>655.41</v>
      </c>
      <c r="I7406" s="1">
        <f>VALUE(2824)</f>
        <v>2824</v>
      </c>
      <c r="J7406" s="5">
        <f>VALUE(3467)</f>
        <v>3467</v>
      </c>
      <c r="K7406" s="1">
        <f>VALUE(4078)</f>
        <v>4078</v>
      </c>
      <c r="L7406" s="1">
        <f>VALUE(5063)</f>
        <v>5063</v>
      </c>
      <c r="M7406" s="1">
        <f>VALUE(6176)</f>
        <v>6176</v>
      </c>
      <c r="N7406" t="s">
        <v>25</v>
      </c>
    </row>
    <row r="7407" spans="1:14" x14ac:dyDescent="0.25">
      <c r="A7407" t="s">
        <v>42</v>
      </c>
      <c r="B7407" t="s">
        <v>40</v>
      </c>
      <c r="C7407" t="s">
        <v>36</v>
      </c>
      <c r="D7407" t="s">
        <v>29</v>
      </c>
      <c r="E7407" t="s">
        <v>21</v>
      </c>
      <c r="F7407" t="s">
        <v>15</v>
      </c>
      <c r="G7407" s="1" t="str">
        <f t="shared" ref="G7407:M7411" si="1612">"X"</f>
        <v>X</v>
      </c>
      <c r="H7407" s="1" t="str">
        <f t="shared" si="1612"/>
        <v>X</v>
      </c>
      <c r="I7407" s="1" t="str">
        <f t="shared" si="1612"/>
        <v>X</v>
      </c>
      <c r="J7407" s="1" t="str">
        <f t="shared" si="1612"/>
        <v>X</v>
      </c>
      <c r="K7407" s="1" t="str">
        <f t="shared" si="1612"/>
        <v>X</v>
      </c>
      <c r="L7407" s="1" t="str">
        <f t="shared" si="1612"/>
        <v>X</v>
      </c>
      <c r="M7407" s="1" t="str">
        <f t="shared" si="1612"/>
        <v>X</v>
      </c>
      <c r="N7407" t="s">
        <v>27</v>
      </c>
    </row>
    <row r="7408" spans="1:14" x14ac:dyDescent="0.25">
      <c r="A7408" t="s">
        <v>42</v>
      </c>
      <c r="B7408" t="s">
        <v>40</v>
      </c>
      <c r="C7408" t="s">
        <v>36</v>
      </c>
      <c r="D7408" t="s">
        <v>29</v>
      </c>
      <c r="E7408" t="s">
        <v>21</v>
      </c>
      <c r="F7408" t="s">
        <v>17</v>
      </c>
      <c r="G7408" s="1" t="str">
        <f t="shared" si="1612"/>
        <v>X</v>
      </c>
      <c r="H7408" s="1" t="str">
        <f t="shared" si="1612"/>
        <v>X</v>
      </c>
      <c r="I7408" s="1" t="str">
        <f t="shared" si="1612"/>
        <v>X</v>
      </c>
      <c r="J7408" s="1" t="str">
        <f t="shared" si="1612"/>
        <v>X</v>
      </c>
      <c r="K7408" s="1" t="str">
        <f t="shared" si="1612"/>
        <v>X</v>
      </c>
      <c r="L7408" s="1" t="str">
        <f t="shared" si="1612"/>
        <v>X</v>
      </c>
      <c r="M7408" s="1" t="str">
        <f t="shared" si="1612"/>
        <v>X</v>
      </c>
      <c r="N7408" t="s">
        <v>27</v>
      </c>
    </row>
    <row r="7409" spans="1:14" x14ac:dyDescent="0.25">
      <c r="A7409" t="s">
        <v>42</v>
      </c>
      <c r="B7409" t="s">
        <v>40</v>
      </c>
      <c r="C7409" t="s">
        <v>36</v>
      </c>
      <c r="D7409" t="s">
        <v>29</v>
      </c>
      <c r="E7409" t="s">
        <v>21</v>
      </c>
      <c r="F7409" t="s">
        <v>18</v>
      </c>
      <c r="G7409" s="1" t="str">
        <f t="shared" si="1612"/>
        <v>X</v>
      </c>
      <c r="H7409" s="1" t="str">
        <f t="shared" si="1612"/>
        <v>X</v>
      </c>
      <c r="I7409" s="1" t="str">
        <f t="shared" si="1612"/>
        <v>X</v>
      </c>
      <c r="J7409" s="1" t="str">
        <f t="shared" si="1612"/>
        <v>X</v>
      </c>
      <c r="K7409" s="1" t="str">
        <f t="shared" si="1612"/>
        <v>X</v>
      </c>
      <c r="L7409" s="1" t="str">
        <f t="shared" si="1612"/>
        <v>X</v>
      </c>
      <c r="M7409" s="1" t="str">
        <f t="shared" si="1612"/>
        <v>X</v>
      </c>
      <c r="N7409" t="s">
        <v>27</v>
      </c>
    </row>
    <row r="7410" spans="1:14" x14ac:dyDescent="0.25">
      <c r="A7410" t="s">
        <v>42</v>
      </c>
      <c r="B7410" t="s">
        <v>40</v>
      </c>
      <c r="C7410" t="s">
        <v>36</v>
      </c>
      <c r="D7410" t="s">
        <v>29</v>
      </c>
      <c r="E7410" t="s">
        <v>21</v>
      </c>
      <c r="F7410" t="s">
        <v>19</v>
      </c>
      <c r="G7410" s="1" t="str">
        <f t="shared" si="1612"/>
        <v>X</v>
      </c>
      <c r="H7410" s="1" t="str">
        <f t="shared" si="1612"/>
        <v>X</v>
      </c>
      <c r="I7410" s="1" t="str">
        <f t="shared" si="1612"/>
        <v>X</v>
      </c>
      <c r="J7410" s="1" t="str">
        <f t="shared" si="1612"/>
        <v>X</v>
      </c>
      <c r="K7410" s="1" t="str">
        <f t="shared" si="1612"/>
        <v>X</v>
      </c>
      <c r="L7410" s="1" t="str">
        <f t="shared" si="1612"/>
        <v>X</v>
      </c>
      <c r="M7410" s="1" t="str">
        <f t="shared" si="1612"/>
        <v>X</v>
      </c>
      <c r="N7410" t="s">
        <v>27</v>
      </c>
    </row>
    <row r="7411" spans="1:14" x14ac:dyDescent="0.25">
      <c r="A7411" t="s">
        <v>42</v>
      </c>
      <c r="B7411" t="s">
        <v>40</v>
      </c>
      <c r="C7411" t="s">
        <v>36</v>
      </c>
      <c r="D7411" t="s">
        <v>29</v>
      </c>
      <c r="E7411" t="s">
        <v>21</v>
      </c>
      <c r="F7411" t="s">
        <v>20</v>
      </c>
      <c r="G7411" s="1" t="str">
        <f t="shared" si="1612"/>
        <v>X</v>
      </c>
      <c r="H7411" s="1" t="str">
        <f t="shared" si="1612"/>
        <v>X</v>
      </c>
      <c r="I7411" s="1" t="str">
        <f t="shared" si="1612"/>
        <v>X</v>
      </c>
      <c r="J7411" s="1" t="str">
        <f t="shared" si="1612"/>
        <v>X</v>
      </c>
      <c r="K7411" s="1" t="str">
        <f t="shared" si="1612"/>
        <v>X</v>
      </c>
      <c r="L7411" s="1" t="str">
        <f t="shared" si="1612"/>
        <v>X</v>
      </c>
      <c r="M7411" s="1" t="str">
        <f t="shared" si="1612"/>
        <v>X</v>
      </c>
      <c r="N7411" t="s">
        <v>27</v>
      </c>
    </row>
    <row r="7412" spans="1:14" x14ac:dyDescent="0.25">
      <c r="A7412" t="s">
        <v>42</v>
      </c>
      <c r="B7412" t="s">
        <v>40</v>
      </c>
      <c r="C7412" t="s">
        <v>36</v>
      </c>
      <c r="D7412" t="s">
        <v>29</v>
      </c>
      <c r="E7412" t="s">
        <v>22</v>
      </c>
      <c r="F7412" t="s">
        <v>15</v>
      </c>
      <c r="G7412" s="2">
        <f>VALUE(466.34)</f>
        <v>466.34</v>
      </c>
      <c r="H7412" s="3">
        <f>VALUE(400.62)</f>
        <v>400.62</v>
      </c>
      <c r="I7412" s="4">
        <f>VALUE(3302)</f>
        <v>3302</v>
      </c>
      <c r="J7412" s="5">
        <f>VALUE(3714)</f>
        <v>3714</v>
      </c>
      <c r="K7412" s="1">
        <f>VALUE(4853)</f>
        <v>4853</v>
      </c>
      <c r="L7412" s="1">
        <f>VALUE(5550)</f>
        <v>5550</v>
      </c>
      <c r="M7412" s="1">
        <f>VALUE(6181)</f>
        <v>6181</v>
      </c>
      <c r="N7412" t="s">
        <v>25</v>
      </c>
    </row>
    <row r="7413" spans="1:14" x14ac:dyDescent="0.25">
      <c r="A7413" t="s">
        <v>42</v>
      </c>
      <c r="B7413" t="s">
        <v>40</v>
      </c>
      <c r="C7413" t="s">
        <v>36</v>
      </c>
      <c r="D7413" t="s">
        <v>29</v>
      </c>
      <c r="E7413" t="s">
        <v>22</v>
      </c>
      <c r="F7413" t="s">
        <v>17</v>
      </c>
      <c r="G7413" s="1" t="str">
        <f t="shared" ref="G7413:M7415" si="1613">"X"</f>
        <v>X</v>
      </c>
      <c r="H7413" s="1" t="str">
        <f t="shared" si="1613"/>
        <v>X</v>
      </c>
      <c r="I7413" s="1" t="str">
        <f t="shared" si="1613"/>
        <v>X</v>
      </c>
      <c r="J7413" s="1" t="str">
        <f t="shared" si="1613"/>
        <v>X</v>
      </c>
      <c r="K7413" s="1" t="str">
        <f t="shared" si="1613"/>
        <v>X</v>
      </c>
      <c r="L7413" s="1" t="str">
        <f t="shared" si="1613"/>
        <v>X</v>
      </c>
      <c r="M7413" s="1" t="str">
        <f t="shared" si="1613"/>
        <v>X</v>
      </c>
      <c r="N7413" t="s">
        <v>27</v>
      </c>
    </row>
    <row r="7414" spans="1:14" x14ac:dyDescent="0.25">
      <c r="A7414" t="s">
        <v>42</v>
      </c>
      <c r="B7414" t="s">
        <v>40</v>
      </c>
      <c r="C7414" t="s">
        <v>36</v>
      </c>
      <c r="D7414" t="s">
        <v>29</v>
      </c>
      <c r="E7414" t="s">
        <v>22</v>
      </c>
      <c r="F7414" t="s">
        <v>18</v>
      </c>
      <c r="G7414" s="1" t="str">
        <f t="shared" si="1613"/>
        <v>X</v>
      </c>
      <c r="H7414" s="1" t="str">
        <f t="shared" si="1613"/>
        <v>X</v>
      </c>
      <c r="I7414" s="1" t="str">
        <f t="shared" si="1613"/>
        <v>X</v>
      </c>
      <c r="J7414" s="1" t="str">
        <f t="shared" si="1613"/>
        <v>X</v>
      </c>
      <c r="K7414" s="1" t="str">
        <f t="shared" si="1613"/>
        <v>X</v>
      </c>
      <c r="L7414" s="1" t="str">
        <f t="shared" si="1613"/>
        <v>X</v>
      </c>
      <c r="M7414" s="1" t="str">
        <f t="shared" si="1613"/>
        <v>X</v>
      </c>
      <c r="N7414" t="s">
        <v>27</v>
      </c>
    </row>
    <row r="7415" spans="1:14" x14ac:dyDescent="0.25">
      <c r="A7415" t="s">
        <v>42</v>
      </c>
      <c r="B7415" t="s">
        <v>40</v>
      </c>
      <c r="C7415" t="s">
        <v>36</v>
      </c>
      <c r="D7415" t="s">
        <v>29</v>
      </c>
      <c r="E7415" t="s">
        <v>22</v>
      </c>
      <c r="F7415" t="s">
        <v>19</v>
      </c>
      <c r="G7415" s="1" t="str">
        <f t="shared" si="1613"/>
        <v>X</v>
      </c>
      <c r="H7415" s="1" t="str">
        <f t="shared" si="1613"/>
        <v>X</v>
      </c>
      <c r="I7415" s="1" t="str">
        <f t="shared" si="1613"/>
        <v>X</v>
      </c>
      <c r="J7415" s="1" t="str">
        <f t="shared" si="1613"/>
        <v>X</v>
      </c>
      <c r="K7415" s="1" t="str">
        <f t="shared" si="1613"/>
        <v>X</v>
      </c>
      <c r="L7415" s="1" t="str">
        <f t="shared" si="1613"/>
        <v>X</v>
      </c>
      <c r="M7415" s="1" t="str">
        <f t="shared" si="1613"/>
        <v>X</v>
      </c>
      <c r="N7415" t="s">
        <v>27</v>
      </c>
    </row>
    <row r="7416" spans="1:14" x14ac:dyDescent="0.25">
      <c r="A7416" t="s">
        <v>42</v>
      </c>
      <c r="B7416" t="s">
        <v>40</v>
      </c>
      <c r="C7416" t="s">
        <v>36</v>
      </c>
      <c r="D7416" t="s">
        <v>29</v>
      </c>
      <c r="E7416" t="s">
        <v>22</v>
      </c>
      <c r="F7416" t="s">
        <v>20</v>
      </c>
      <c r="G7416" s="2">
        <f>VALUE(361.15)</f>
        <v>361.15</v>
      </c>
      <c r="H7416" s="3">
        <f>VALUE(309.58)</f>
        <v>309.58</v>
      </c>
      <c r="I7416" s="4">
        <f>VALUE(3223)</f>
        <v>3223</v>
      </c>
      <c r="J7416" s="5">
        <f>VALUE(3700)</f>
        <v>3700</v>
      </c>
      <c r="K7416" s="1">
        <f>VALUE(4691)</f>
        <v>4691</v>
      </c>
      <c r="L7416" s="7">
        <f>VALUE(5297)</f>
        <v>5297</v>
      </c>
      <c r="M7416" s="1">
        <f>VALUE(6176)</f>
        <v>6176</v>
      </c>
      <c r="N7416" t="s">
        <v>25</v>
      </c>
    </row>
    <row r="7417" spans="1:14" x14ac:dyDescent="0.25">
      <c r="A7417" t="s">
        <v>42</v>
      </c>
      <c r="B7417" t="s">
        <v>40</v>
      </c>
      <c r="C7417" t="s">
        <v>36</v>
      </c>
      <c r="D7417" t="s">
        <v>29</v>
      </c>
      <c r="E7417" t="s">
        <v>23</v>
      </c>
      <c r="F7417" t="s">
        <v>15</v>
      </c>
      <c r="G7417" s="2">
        <f>VALUE(311.59)</f>
        <v>311.58999999999997</v>
      </c>
      <c r="H7417" s="3">
        <f>VALUE(254.84)</f>
        <v>254.84</v>
      </c>
      <c r="I7417" s="1">
        <f>VALUE(2799)</f>
        <v>2799</v>
      </c>
      <c r="J7417" s="1">
        <f>VALUE(2953)</f>
        <v>2953</v>
      </c>
      <c r="K7417" s="6">
        <f>VALUE(3508)</f>
        <v>3508</v>
      </c>
      <c r="L7417" s="1">
        <f>VALUE(4014)</f>
        <v>4014</v>
      </c>
      <c r="M7417" s="1">
        <f>VALUE(4525)</f>
        <v>4525</v>
      </c>
      <c r="N7417" t="s">
        <v>25</v>
      </c>
    </row>
    <row r="7418" spans="1:14" x14ac:dyDescent="0.25">
      <c r="A7418" t="s">
        <v>42</v>
      </c>
      <c r="B7418" t="s">
        <v>40</v>
      </c>
      <c r="C7418" t="s">
        <v>36</v>
      </c>
      <c r="D7418" t="s">
        <v>29</v>
      </c>
      <c r="E7418" t="s">
        <v>23</v>
      </c>
      <c r="F7418" t="s">
        <v>17</v>
      </c>
      <c r="G7418" s="1" t="str">
        <f t="shared" ref="G7418:M7418" si="1614">"X"</f>
        <v>X</v>
      </c>
      <c r="H7418" s="1" t="str">
        <f t="shared" si="1614"/>
        <v>X</v>
      </c>
      <c r="I7418" s="1" t="str">
        <f t="shared" si="1614"/>
        <v>X</v>
      </c>
      <c r="J7418" s="1" t="str">
        <f t="shared" si="1614"/>
        <v>X</v>
      </c>
      <c r="K7418" s="1" t="str">
        <f t="shared" si="1614"/>
        <v>X</v>
      </c>
      <c r="L7418" s="1" t="str">
        <f t="shared" si="1614"/>
        <v>X</v>
      </c>
      <c r="M7418" s="1" t="str">
        <f t="shared" si="1614"/>
        <v>X</v>
      </c>
      <c r="N7418" t="s">
        <v>27</v>
      </c>
    </row>
    <row r="7419" spans="1:14" x14ac:dyDescent="0.25">
      <c r="A7419" t="s">
        <v>42</v>
      </c>
      <c r="B7419" t="s">
        <v>40</v>
      </c>
      <c r="C7419" t="s">
        <v>36</v>
      </c>
      <c r="D7419" t="s">
        <v>29</v>
      </c>
      <c r="E7419" t="s">
        <v>23</v>
      </c>
      <c r="F7419" t="s">
        <v>18</v>
      </c>
      <c r="G7419" s="1" t="str">
        <f t="shared" ref="G7419:M7419" si="1615">"..."</f>
        <v>...</v>
      </c>
      <c r="H7419" s="1" t="str">
        <f t="shared" si="1615"/>
        <v>...</v>
      </c>
      <c r="I7419" s="1" t="str">
        <f t="shared" si="1615"/>
        <v>...</v>
      </c>
      <c r="J7419" s="1" t="str">
        <f t="shared" si="1615"/>
        <v>...</v>
      </c>
      <c r="K7419" s="1" t="str">
        <f t="shared" si="1615"/>
        <v>...</v>
      </c>
      <c r="L7419" s="1" t="str">
        <f t="shared" si="1615"/>
        <v>...</v>
      </c>
      <c r="M7419" s="1" t="str">
        <f t="shared" si="1615"/>
        <v>...</v>
      </c>
      <c r="N7419" t="s">
        <v>30</v>
      </c>
    </row>
    <row r="7420" spans="1:14" x14ac:dyDescent="0.25">
      <c r="A7420" t="s">
        <v>42</v>
      </c>
      <c r="B7420" t="s">
        <v>40</v>
      </c>
      <c r="C7420" t="s">
        <v>36</v>
      </c>
      <c r="D7420" t="s">
        <v>29</v>
      </c>
      <c r="E7420" t="s">
        <v>23</v>
      </c>
      <c r="F7420" t="s">
        <v>19</v>
      </c>
      <c r="G7420" s="1" t="str">
        <f t="shared" ref="G7420:M7420" si="1616">"X"</f>
        <v>X</v>
      </c>
      <c r="H7420" s="1" t="str">
        <f t="shared" si="1616"/>
        <v>X</v>
      </c>
      <c r="I7420" s="1" t="str">
        <f t="shared" si="1616"/>
        <v>X</v>
      </c>
      <c r="J7420" s="1" t="str">
        <f t="shared" si="1616"/>
        <v>X</v>
      </c>
      <c r="K7420" s="1" t="str">
        <f t="shared" si="1616"/>
        <v>X</v>
      </c>
      <c r="L7420" s="1" t="str">
        <f t="shared" si="1616"/>
        <v>X</v>
      </c>
      <c r="M7420" s="1" t="str">
        <f t="shared" si="1616"/>
        <v>X</v>
      </c>
      <c r="N7420" t="s">
        <v>27</v>
      </c>
    </row>
    <row r="7421" spans="1:14" x14ac:dyDescent="0.25">
      <c r="A7421" t="s">
        <v>42</v>
      </c>
      <c r="B7421" t="s">
        <v>40</v>
      </c>
      <c r="C7421" t="s">
        <v>36</v>
      </c>
      <c r="D7421" t="s">
        <v>29</v>
      </c>
      <c r="E7421" t="s">
        <v>23</v>
      </c>
      <c r="F7421" t="s">
        <v>20</v>
      </c>
      <c r="G7421" s="2">
        <f>VALUE(293.9)</f>
        <v>293.89999999999998</v>
      </c>
      <c r="H7421" s="3">
        <f>VALUE(246.42)</f>
        <v>246.42</v>
      </c>
      <c r="I7421" s="1">
        <f>VALUE(2778)</f>
        <v>2778</v>
      </c>
      <c r="J7421" s="1">
        <f>VALUE(2953)</f>
        <v>2953</v>
      </c>
      <c r="K7421" s="6">
        <f>VALUE(3506)</f>
        <v>3506</v>
      </c>
      <c r="L7421" s="1">
        <f>VALUE(3999)</f>
        <v>3999</v>
      </c>
      <c r="M7421" s="1">
        <f>VALUE(4448)</f>
        <v>4448</v>
      </c>
      <c r="N7421" t="s">
        <v>25</v>
      </c>
    </row>
    <row r="7422" spans="1:14" x14ac:dyDescent="0.25">
      <c r="A7422" t="s">
        <v>42</v>
      </c>
      <c r="B7422" t="s">
        <v>40</v>
      </c>
      <c r="C7422" t="s">
        <v>36</v>
      </c>
      <c r="D7422" t="s">
        <v>29</v>
      </c>
      <c r="E7422" t="s">
        <v>26</v>
      </c>
      <c r="F7422" t="s">
        <v>15</v>
      </c>
      <c r="G7422" s="1" t="str">
        <f t="shared" ref="G7422:M7422" si="1617">"X"</f>
        <v>X</v>
      </c>
      <c r="H7422" s="1" t="str">
        <f t="shared" si="1617"/>
        <v>X</v>
      </c>
      <c r="I7422" s="1" t="str">
        <f t="shared" si="1617"/>
        <v>X</v>
      </c>
      <c r="J7422" s="1" t="str">
        <f t="shared" si="1617"/>
        <v>X</v>
      </c>
      <c r="K7422" s="1" t="str">
        <f t="shared" si="1617"/>
        <v>X</v>
      </c>
      <c r="L7422" s="1" t="str">
        <f t="shared" si="1617"/>
        <v>X</v>
      </c>
      <c r="M7422" s="1" t="str">
        <f t="shared" si="1617"/>
        <v>X</v>
      </c>
      <c r="N7422" t="s">
        <v>27</v>
      </c>
    </row>
    <row r="7423" spans="1:14" x14ac:dyDescent="0.25">
      <c r="A7423" t="s">
        <v>42</v>
      </c>
      <c r="B7423" t="s">
        <v>40</v>
      </c>
      <c r="C7423" t="s">
        <v>36</v>
      </c>
      <c r="D7423" t="s">
        <v>29</v>
      </c>
      <c r="E7423" t="s">
        <v>26</v>
      </c>
      <c r="F7423" t="s">
        <v>17</v>
      </c>
      <c r="G7423" s="1" t="str">
        <f t="shared" ref="G7423:M7423" si="1618">"..."</f>
        <v>...</v>
      </c>
      <c r="H7423" s="1" t="str">
        <f t="shared" si="1618"/>
        <v>...</v>
      </c>
      <c r="I7423" s="1" t="str">
        <f t="shared" si="1618"/>
        <v>...</v>
      </c>
      <c r="J7423" s="1" t="str">
        <f t="shared" si="1618"/>
        <v>...</v>
      </c>
      <c r="K7423" s="1" t="str">
        <f t="shared" si="1618"/>
        <v>...</v>
      </c>
      <c r="L7423" s="1" t="str">
        <f t="shared" si="1618"/>
        <v>...</v>
      </c>
      <c r="M7423" s="1" t="str">
        <f t="shared" si="1618"/>
        <v>...</v>
      </c>
      <c r="N7423" t="s">
        <v>30</v>
      </c>
    </row>
    <row r="7424" spans="1:14" x14ac:dyDescent="0.25">
      <c r="A7424" t="s">
        <v>42</v>
      </c>
      <c r="B7424" t="s">
        <v>40</v>
      </c>
      <c r="C7424" t="s">
        <v>36</v>
      </c>
      <c r="D7424" t="s">
        <v>29</v>
      </c>
      <c r="E7424" t="s">
        <v>26</v>
      </c>
      <c r="F7424" t="s">
        <v>18</v>
      </c>
      <c r="G7424" s="1" t="str">
        <f t="shared" ref="G7424:M7424" si="1619">"X"</f>
        <v>X</v>
      </c>
      <c r="H7424" s="1" t="str">
        <f t="shared" si="1619"/>
        <v>X</v>
      </c>
      <c r="I7424" s="1" t="str">
        <f t="shared" si="1619"/>
        <v>X</v>
      </c>
      <c r="J7424" s="1" t="str">
        <f t="shared" si="1619"/>
        <v>X</v>
      </c>
      <c r="K7424" s="1" t="str">
        <f t="shared" si="1619"/>
        <v>X</v>
      </c>
      <c r="L7424" s="1" t="str">
        <f t="shared" si="1619"/>
        <v>X</v>
      </c>
      <c r="M7424" s="1" t="str">
        <f t="shared" si="1619"/>
        <v>X</v>
      </c>
      <c r="N7424" t="s">
        <v>27</v>
      </c>
    </row>
    <row r="7425" spans="1:14" x14ac:dyDescent="0.25">
      <c r="A7425" t="s">
        <v>42</v>
      </c>
      <c r="B7425" t="s">
        <v>40</v>
      </c>
      <c r="C7425" t="s">
        <v>36</v>
      </c>
      <c r="D7425" t="s">
        <v>29</v>
      </c>
      <c r="E7425" t="s">
        <v>26</v>
      </c>
      <c r="F7425" t="s">
        <v>19</v>
      </c>
      <c r="G7425" s="1" t="str">
        <f t="shared" ref="G7425:M7425" si="1620">"..."</f>
        <v>...</v>
      </c>
      <c r="H7425" s="1" t="str">
        <f t="shared" si="1620"/>
        <v>...</v>
      </c>
      <c r="I7425" s="1" t="str">
        <f t="shared" si="1620"/>
        <v>...</v>
      </c>
      <c r="J7425" s="1" t="str">
        <f t="shared" si="1620"/>
        <v>...</v>
      </c>
      <c r="K7425" s="1" t="str">
        <f t="shared" si="1620"/>
        <v>...</v>
      </c>
      <c r="L7425" s="1" t="str">
        <f t="shared" si="1620"/>
        <v>...</v>
      </c>
      <c r="M7425" s="1" t="str">
        <f t="shared" si="1620"/>
        <v>...</v>
      </c>
      <c r="N7425" t="s">
        <v>30</v>
      </c>
    </row>
    <row r="7426" spans="1:14" x14ac:dyDescent="0.25">
      <c r="A7426" t="s">
        <v>42</v>
      </c>
      <c r="B7426" t="s">
        <v>40</v>
      </c>
      <c r="C7426" t="s">
        <v>36</v>
      </c>
      <c r="D7426" t="s">
        <v>29</v>
      </c>
      <c r="E7426" t="s">
        <v>26</v>
      </c>
      <c r="F7426" t="s">
        <v>20</v>
      </c>
      <c r="G7426" s="1" t="str">
        <f t="shared" ref="G7426:M7426" si="1621">"X"</f>
        <v>X</v>
      </c>
      <c r="H7426" s="1" t="str">
        <f t="shared" si="1621"/>
        <v>X</v>
      </c>
      <c r="I7426" s="1" t="str">
        <f t="shared" si="1621"/>
        <v>X</v>
      </c>
      <c r="J7426" s="1" t="str">
        <f t="shared" si="1621"/>
        <v>X</v>
      </c>
      <c r="K7426" s="1" t="str">
        <f t="shared" si="1621"/>
        <v>X</v>
      </c>
      <c r="L7426" s="1" t="str">
        <f t="shared" si="1621"/>
        <v>X</v>
      </c>
      <c r="M7426" s="1" t="str">
        <f t="shared" si="1621"/>
        <v>X</v>
      </c>
      <c r="N7426" t="s">
        <v>27</v>
      </c>
    </row>
    <row r="7427" spans="1:14" x14ac:dyDescent="0.25">
      <c r="A7427" t="s">
        <v>42</v>
      </c>
      <c r="B7427" t="s">
        <v>40</v>
      </c>
      <c r="C7427" t="s">
        <v>36</v>
      </c>
      <c r="D7427" t="s">
        <v>31</v>
      </c>
      <c r="E7427" t="s">
        <v>15</v>
      </c>
      <c r="F7427" t="s">
        <v>15</v>
      </c>
      <c r="G7427" s="2">
        <f>VALUE(1499.58)</f>
        <v>1499.58</v>
      </c>
      <c r="H7427" s="3">
        <f>VALUE(1266.75)</f>
        <v>1266.75</v>
      </c>
      <c r="I7427" s="4">
        <f>VALUE(2960)</f>
        <v>2960</v>
      </c>
      <c r="J7427" s="1">
        <f>VALUE(3500)</f>
        <v>3500</v>
      </c>
      <c r="K7427" s="1">
        <f>VALUE(4216)</f>
        <v>4216</v>
      </c>
      <c r="L7427" s="1">
        <f>VALUE(5462)</f>
        <v>5462</v>
      </c>
      <c r="M7427" s="1">
        <f>VALUE(7137)</f>
        <v>7137</v>
      </c>
      <c r="N7427" t="s">
        <v>25</v>
      </c>
    </row>
    <row r="7428" spans="1:14" x14ac:dyDescent="0.25">
      <c r="A7428" t="s">
        <v>42</v>
      </c>
      <c r="B7428" t="s">
        <v>40</v>
      </c>
      <c r="C7428" t="s">
        <v>36</v>
      </c>
      <c r="D7428" t="s">
        <v>31</v>
      </c>
      <c r="E7428" t="s">
        <v>15</v>
      </c>
      <c r="F7428" t="s">
        <v>17</v>
      </c>
      <c r="G7428" s="1" t="str">
        <f t="shared" ref="G7428:M7430" si="1622">"X"</f>
        <v>X</v>
      </c>
      <c r="H7428" s="1" t="str">
        <f t="shared" si="1622"/>
        <v>X</v>
      </c>
      <c r="I7428" s="1" t="str">
        <f t="shared" si="1622"/>
        <v>X</v>
      </c>
      <c r="J7428" s="1" t="str">
        <f t="shared" si="1622"/>
        <v>X</v>
      </c>
      <c r="K7428" s="1" t="str">
        <f t="shared" si="1622"/>
        <v>X</v>
      </c>
      <c r="L7428" s="1" t="str">
        <f t="shared" si="1622"/>
        <v>X</v>
      </c>
      <c r="M7428" s="1" t="str">
        <f t="shared" si="1622"/>
        <v>X</v>
      </c>
      <c r="N7428" t="s">
        <v>27</v>
      </c>
    </row>
    <row r="7429" spans="1:14" x14ac:dyDescent="0.25">
      <c r="A7429" t="s">
        <v>42</v>
      </c>
      <c r="B7429" t="s">
        <v>40</v>
      </c>
      <c r="C7429" t="s">
        <v>36</v>
      </c>
      <c r="D7429" t="s">
        <v>31</v>
      </c>
      <c r="E7429" t="s">
        <v>15</v>
      </c>
      <c r="F7429" t="s">
        <v>18</v>
      </c>
      <c r="G7429" s="1" t="str">
        <f t="shared" si="1622"/>
        <v>X</v>
      </c>
      <c r="H7429" s="1" t="str">
        <f t="shared" si="1622"/>
        <v>X</v>
      </c>
      <c r="I7429" s="1" t="str">
        <f t="shared" si="1622"/>
        <v>X</v>
      </c>
      <c r="J7429" s="1" t="str">
        <f t="shared" si="1622"/>
        <v>X</v>
      </c>
      <c r="K7429" s="1" t="str">
        <f t="shared" si="1622"/>
        <v>X</v>
      </c>
      <c r="L7429" s="1" t="str">
        <f t="shared" si="1622"/>
        <v>X</v>
      </c>
      <c r="M7429" s="1" t="str">
        <f t="shared" si="1622"/>
        <v>X</v>
      </c>
      <c r="N7429" t="s">
        <v>27</v>
      </c>
    </row>
    <row r="7430" spans="1:14" x14ac:dyDescent="0.25">
      <c r="A7430" t="s">
        <v>42</v>
      </c>
      <c r="B7430" t="s">
        <v>40</v>
      </c>
      <c r="C7430" t="s">
        <v>36</v>
      </c>
      <c r="D7430" t="s">
        <v>31</v>
      </c>
      <c r="E7430" t="s">
        <v>15</v>
      </c>
      <c r="F7430" t="s">
        <v>19</v>
      </c>
      <c r="G7430" s="1" t="str">
        <f t="shared" si="1622"/>
        <v>X</v>
      </c>
      <c r="H7430" s="1" t="str">
        <f t="shared" si="1622"/>
        <v>X</v>
      </c>
      <c r="I7430" s="1" t="str">
        <f t="shared" si="1622"/>
        <v>X</v>
      </c>
      <c r="J7430" s="1" t="str">
        <f t="shared" si="1622"/>
        <v>X</v>
      </c>
      <c r="K7430" s="1" t="str">
        <f t="shared" si="1622"/>
        <v>X</v>
      </c>
      <c r="L7430" s="1" t="str">
        <f t="shared" si="1622"/>
        <v>X</v>
      </c>
      <c r="M7430" s="1" t="str">
        <f t="shared" si="1622"/>
        <v>X</v>
      </c>
      <c r="N7430" t="s">
        <v>27</v>
      </c>
    </row>
    <row r="7431" spans="1:14" x14ac:dyDescent="0.25">
      <c r="A7431" t="s">
        <v>42</v>
      </c>
      <c r="B7431" t="s">
        <v>40</v>
      </c>
      <c r="C7431" t="s">
        <v>36</v>
      </c>
      <c r="D7431" t="s">
        <v>31</v>
      </c>
      <c r="E7431" t="s">
        <v>15</v>
      </c>
      <c r="F7431" t="s">
        <v>20</v>
      </c>
      <c r="G7431" s="2">
        <f>VALUE(1071.84)</f>
        <v>1071.8399999999999</v>
      </c>
      <c r="H7431" s="3">
        <f>VALUE(910.82)</f>
        <v>910.82</v>
      </c>
      <c r="I7431" s="4">
        <f>VALUE(2676)</f>
        <v>2676</v>
      </c>
      <c r="J7431" s="1">
        <f>VALUE(3404)</f>
        <v>3404</v>
      </c>
      <c r="K7431" s="1">
        <f>VALUE(3969)</f>
        <v>3969</v>
      </c>
      <c r="L7431" s="1">
        <f>VALUE(4996)</f>
        <v>4996</v>
      </c>
      <c r="M7431" s="1">
        <f>VALUE(6481)</f>
        <v>6481</v>
      </c>
      <c r="N7431" t="s">
        <v>25</v>
      </c>
    </row>
    <row r="7432" spans="1:14" x14ac:dyDescent="0.25">
      <c r="A7432" t="s">
        <v>42</v>
      </c>
      <c r="B7432" t="s">
        <v>40</v>
      </c>
      <c r="C7432" t="s">
        <v>36</v>
      </c>
      <c r="D7432" t="s">
        <v>31</v>
      </c>
      <c r="E7432" t="s">
        <v>21</v>
      </c>
      <c r="F7432" t="s">
        <v>15</v>
      </c>
      <c r="G7432" s="2">
        <f>VALUE(442.75)</f>
        <v>442.75</v>
      </c>
      <c r="H7432" s="3">
        <f>VALUE(409.32)</f>
        <v>409.32</v>
      </c>
      <c r="I7432" s="1">
        <f>VALUE(3681)</f>
        <v>3681</v>
      </c>
      <c r="J7432" s="1">
        <f>VALUE(4375)</f>
        <v>4375</v>
      </c>
      <c r="K7432" s="1">
        <f>VALUE(5503)</f>
        <v>5503</v>
      </c>
      <c r="L7432" s="1">
        <f>VALUE(6762)</f>
        <v>6762</v>
      </c>
      <c r="M7432" s="8">
        <f>VALUE(8180)</f>
        <v>8180</v>
      </c>
      <c r="N7432" t="s">
        <v>25</v>
      </c>
    </row>
    <row r="7433" spans="1:14" x14ac:dyDescent="0.25">
      <c r="A7433" t="s">
        <v>42</v>
      </c>
      <c r="B7433" t="s">
        <v>40</v>
      </c>
      <c r="C7433" t="s">
        <v>36</v>
      </c>
      <c r="D7433" t="s">
        <v>31</v>
      </c>
      <c r="E7433" t="s">
        <v>21</v>
      </c>
      <c r="F7433" t="s">
        <v>17</v>
      </c>
      <c r="G7433" s="1" t="str">
        <f t="shared" ref="G7433:M7435" si="1623">"X"</f>
        <v>X</v>
      </c>
      <c r="H7433" s="1" t="str">
        <f t="shared" si="1623"/>
        <v>X</v>
      </c>
      <c r="I7433" s="1" t="str">
        <f t="shared" si="1623"/>
        <v>X</v>
      </c>
      <c r="J7433" s="1" t="str">
        <f t="shared" si="1623"/>
        <v>X</v>
      </c>
      <c r="K7433" s="1" t="str">
        <f t="shared" si="1623"/>
        <v>X</v>
      </c>
      <c r="L7433" s="1" t="str">
        <f t="shared" si="1623"/>
        <v>X</v>
      </c>
      <c r="M7433" s="1" t="str">
        <f t="shared" si="1623"/>
        <v>X</v>
      </c>
      <c r="N7433" t="s">
        <v>27</v>
      </c>
    </row>
    <row r="7434" spans="1:14" x14ac:dyDescent="0.25">
      <c r="A7434" t="s">
        <v>42</v>
      </c>
      <c r="B7434" t="s">
        <v>40</v>
      </c>
      <c r="C7434" t="s">
        <v>36</v>
      </c>
      <c r="D7434" t="s">
        <v>31</v>
      </c>
      <c r="E7434" t="s">
        <v>21</v>
      </c>
      <c r="F7434" t="s">
        <v>18</v>
      </c>
      <c r="G7434" s="1" t="str">
        <f t="shared" si="1623"/>
        <v>X</v>
      </c>
      <c r="H7434" s="1" t="str">
        <f t="shared" si="1623"/>
        <v>X</v>
      </c>
      <c r="I7434" s="1" t="str">
        <f t="shared" si="1623"/>
        <v>X</v>
      </c>
      <c r="J7434" s="1" t="str">
        <f t="shared" si="1623"/>
        <v>X</v>
      </c>
      <c r="K7434" s="1" t="str">
        <f t="shared" si="1623"/>
        <v>X</v>
      </c>
      <c r="L7434" s="1" t="str">
        <f t="shared" si="1623"/>
        <v>X</v>
      </c>
      <c r="M7434" s="1" t="str">
        <f t="shared" si="1623"/>
        <v>X</v>
      </c>
      <c r="N7434" t="s">
        <v>27</v>
      </c>
    </row>
    <row r="7435" spans="1:14" x14ac:dyDescent="0.25">
      <c r="A7435" t="s">
        <v>42</v>
      </c>
      <c r="B7435" t="s">
        <v>40</v>
      </c>
      <c r="C7435" t="s">
        <v>36</v>
      </c>
      <c r="D7435" t="s">
        <v>31</v>
      </c>
      <c r="E7435" t="s">
        <v>21</v>
      </c>
      <c r="F7435" t="s">
        <v>19</v>
      </c>
      <c r="G7435" s="1" t="str">
        <f t="shared" si="1623"/>
        <v>X</v>
      </c>
      <c r="H7435" s="1" t="str">
        <f t="shared" si="1623"/>
        <v>X</v>
      </c>
      <c r="I7435" s="1" t="str">
        <f t="shared" si="1623"/>
        <v>X</v>
      </c>
      <c r="J7435" s="1" t="str">
        <f t="shared" si="1623"/>
        <v>X</v>
      </c>
      <c r="K7435" s="1" t="str">
        <f t="shared" si="1623"/>
        <v>X</v>
      </c>
      <c r="L7435" s="1" t="str">
        <f t="shared" si="1623"/>
        <v>X</v>
      </c>
      <c r="M7435" s="1" t="str">
        <f t="shared" si="1623"/>
        <v>X</v>
      </c>
      <c r="N7435" t="s">
        <v>27</v>
      </c>
    </row>
    <row r="7436" spans="1:14" x14ac:dyDescent="0.25">
      <c r="A7436" t="s">
        <v>42</v>
      </c>
      <c r="B7436" t="s">
        <v>40</v>
      </c>
      <c r="C7436" t="s">
        <v>36</v>
      </c>
      <c r="D7436" t="s">
        <v>31</v>
      </c>
      <c r="E7436" t="s">
        <v>21</v>
      </c>
      <c r="F7436" t="s">
        <v>20</v>
      </c>
      <c r="G7436" s="2">
        <f>VALUE(227.93)</f>
        <v>227.93</v>
      </c>
      <c r="H7436" s="3">
        <f>VALUE(221.97)</f>
        <v>221.97</v>
      </c>
      <c r="I7436" s="4">
        <f>VALUE(3327)</f>
        <v>3327</v>
      </c>
      <c r="J7436" s="1">
        <f>VALUE(4304)</f>
        <v>4304</v>
      </c>
      <c r="K7436" s="1">
        <f>VALUE(5308)</f>
        <v>5308</v>
      </c>
      <c r="L7436" s="1">
        <f>VALUE(6371)</f>
        <v>6371</v>
      </c>
      <c r="M7436" s="1">
        <f>VALUE(7223)</f>
        <v>7223</v>
      </c>
      <c r="N7436" t="s">
        <v>25</v>
      </c>
    </row>
    <row r="7437" spans="1:14" x14ac:dyDescent="0.25">
      <c r="A7437" t="s">
        <v>42</v>
      </c>
      <c r="B7437" t="s">
        <v>40</v>
      </c>
      <c r="C7437" t="s">
        <v>36</v>
      </c>
      <c r="D7437" t="s">
        <v>31</v>
      </c>
      <c r="E7437" t="s">
        <v>22</v>
      </c>
      <c r="F7437" t="s">
        <v>15</v>
      </c>
      <c r="G7437" s="2">
        <f>VALUE(429.67)</f>
        <v>429.67</v>
      </c>
      <c r="H7437" s="3">
        <f>VALUE(395.64)</f>
        <v>395.64</v>
      </c>
      <c r="I7437" s="4">
        <f>VALUE(3200)</f>
        <v>3200</v>
      </c>
      <c r="J7437" s="1">
        <f>VALUE(3644)</f>
        <v>3644</v>
      </c>
      <c r="K7437" s="1">
        <f>VALUE(4224)</f>
        <v>4224</v>
      </c>
      <c r="L7437" s="1">
        <f>VALUE(5107)</f>
        <v>5107</v>
      </c>
      <c r="M7437" s="8">
        <f>VALUE(5995)</f>
        <v>5995</v>
      </c>
      <c r="N7437" t="s">
        <v>25</v>
      </c>
    </row>
    <row r="7438" spans="1:14" x14ac:dyDescent="0.25">
      <c r="A7438" t="s">
        <v>42</v>
      </c>
      <c r="B7438" t="s">
        <v>40</v>
      </c>
      <c r="C7438" t="s">
        <v>36</v>
      </c>
      <c r="D7438" t="s">
        <v>31</v>
      </c>
      <c r="E7438" t="s">
        <v>22</v>
      </c>
      <c r="F7438" t="s">
        <v>17</v>
      </c>
      <c r="G7438" s="1" t="str">
        <f t="shared" ref="G7438:M7440" si="1624">"X"</f>
        <v>X</v>
      </c>
      <c r="H7438" s="1" t="str">
        <f t="shared" si="1624"/>
        <v>X</v>
      </c>
      <c r="I7438" s="1" t="str">
        <f t="shared" si="1624"/>
        <v>X</v>
      </c>
      <c r="J7438" s="1" t="str">
        <f t="shared" si="1624"/>
        <v>X</v>
      </c>
      <c r="K7438" s="1" t="str">
        <f t="shared" si="1624"/>
        <v>X</v>
      </c>
      <c r="L7438" s="1" t="str">
        <f t="shared" si="1624"/>
        <v>X</v>
      </c>
      <c r="M7438" s="1" t="str">
        <f t="shared" si="1624"/>
        <v>X</v>
      </c>
      <c r="N7438" t="s">
        <v>27</v>
      </c>
    </row>
    <row r="7439" spans="1:14" x14ac:dyDescent="0.25">
      <c r="A7439" t="s">
        <v>42</v>
      </c>
      <c r="B7439" t="s">
        <v>40</v>
      </c>
      <c r="C7439" t="s">
        <v>36</v>
      </c>
      <c r="D7439" t="s">
        <v>31</v>
      </c>
      <c r="E7439" t="s">
        <v>22</v>
      </c>
      <c r="F7439" t="s">
        <v>18</v>
      </c>
      <c r="G7439" s="1" t="str">
        <f t="shared" si="1624"/>
        <v>X</v>
      </c>
      <c r="H7439" s="1" t="str">
        <f t="shared" si="1624"/>
        <v>X</v>
      </c>
      <c r="I7439" s="1" t="str">
        <f t="shared" si="1624"/>
        <v>X</v>
      </c>
      <c r="J7439" s="1" t="str">
        <f t="shared" si="1624"/>
        <v>X</v>
      </c>
      <c r="K7439" s="1" t="str">
        <f t="shared" si="1624"/>
        <v>X</v>
      </c>
      <c r="L7439" s="1" t="str">
        <f t="shared" si="1624"/>
        <v>X</v>
      </c>
      <c r="M7439" s="1" t="str">
        <f t="shared" si="1624"/>
        <v>X</v>
      </c>
      <c r="N7439" t="s">
        <v>27</v>
      </c>
    </row>
    <row r="7440" spans="1:14" x14ac:dyDescent="0.25">
      <c r="A7440" t="s">
        <v>42</v>
      </c>
      <c r="B7440" t="s">
        <v>40</v>
      </c>
      <c r="C7440" t="s">
        <v>36</v>
      </c>
      <c r="D7440" t="s">
        <v>31</v>
      </c>
      <c r="E7440" t="s">
        <v>22</v>
      </c>
      <c r="F7440" t="s">
        <v>19</v>
      </c>
      <c r="G7440" s="1" t="str">
        <f t="shared" si="1624"/>
        <v>X</v>
      </c>
      <c r="H7440" s="1" t="str">
        <f t="shared" si="1624"/>
        <v>X</v>
      </c>
      <c r="I7440" s="1" t="str">
        <f t="shared" si="1624"/>
        <v>X</v>
      </c>
      <c r="J7440" s="1" t="str">
        <f t="shared" si="1624"/>
        <v>X</v>
      </c>
      <c r="K7440" s="1" t="str">
        <f t="shared" si="1624"/>
        <v>X</v>
      </c>
      <c r="L7440" s="1" t="str">
        <f t="shared" si="1624"/>
        <v>X</v>
      </c>
      <c r="M7440" s="1" t="str">
        <f t="shared" si="1624"/>
        <v>X</v>
      </c>
      <c r="N7440" t="s">
        <v>27</v>
      </c>
    </row>
    <row r="7441" spans="1:14" x14ac:dyDescent="0.25">
      <c r="A7441" t="s">
        <v>42</v>
      </c>
      <c r="B7441" t="s">
        <v>40</v>
      </c>
      <c r="C7441" t="s">
        <v>36</v>
      </c>
      <c r="D7441" t="s">
        <v>31</v>
      </c>
      <c r="E7441" t="s">
        <v>22</v>
      </c>
      <c r="F7441" t="s">
        <v>20</v>
      </c>
      <c r="G7441" s="2">
        <f>VALUE(312.56)</f>
        <v>312.56</v>
      </c>
      <c r="H7441" s="3">
        <f>VALUE(278.37)</f>
        <v>278.37</v>
      </c>
      <c r="I7441" s="4">
        <f>VALUE(2960)</f>
        <v>2960</v>
      </c>
      <c r="J7441" s="5">
        <f>VALUE(3588)</f>
        <v>3588</v>
      </c>
      <c r="K7441" s="1">
        <f>VALUE(4157)</f>
        <v>4157</v>
      </c>
      <c r="L7441" s="7">
        <f>VALUE(4586)</f>
        <v>4586</v>
      </c>
      <c r="M7441" s="8">
        <f>VALUE(5690)</f>
        <v>5690</v>
      </c>
      <c r="N7441" t="s">
        <v>25</v>
      </c>
    </row>
    <row r="7442" spans="1:14" x14ac:dyDescent="0.25">
      <c r="A7442" t="s">
        <v>42</v>
      </c>
      <c r="B7442" t="s">
        <v>40</v>
      </c>
      <c r="C7442" t="s">
        <v>36</v>
      </c>
      <c r="D7442" t="s">
        <v>31</v>
      </c>
      <c r="E7442" t="s">
        <v>23</v>
      </c>
      <c r="F7442" t="s">
        <v>15</v>
      </c>
      <c r="G7442" s="2">
        <f>VALUE(537.2)</f>
        <v>537.20000000000005</v>
      </c>
      <c r="H7442" s="3">
        <f>VALUE(373.48)</f>
        <v>373.48</v>
      </c>
      <c r="I7442" s="4">
        <f>VALUE(1332)</f>
        <v>1332</v>
      </c>
      <c r="J7442" s="5">
        <f>VALUE(3022)</f>
        <v>3022</v>
      </c>
      <c r="K7442" s="1">
        <f>VALUE(3400)</f>
        <v>3400</v>
      </c>
      <c r="L7442" s="1">
        <f>VALUE(3946)</f>
        <v>3946</v>
      </c>
      <c r="M7442" s="8">
        <f>VALUE(4662)</f>
        <v>4662</v>
      </c>
      <c r="N7442" t="s">
        <v>25</v>
      </c>
    </row>
    <row r="7443" spans="1:14" x14ac:dyDescent="0.25">
      <c r="A7443" t="s">
        <v>42</v>
      </c>
      <c r="B7443" t="s">
        <v>40</v>
      </c>
      <c r="C7443" t="s">
        <v>36</v>
      </c>
      <c r="D7443" t="s">
        <v>31</v>
      </c>
      <c r="E7443" t="s">
        <v>23</v>
      </c>
      <c r="F7443" t="s">
        <v>17</v>
      </c>
      <c r="G7443" s="1" t="str">
        <f t="shared" ref="G7443:M7443" si="1625">"..."</f>
        <v>...</v>
      </c>
      <c r="H7443" s="1" t="str">
        <f t="shared" si="1625"/>
        <v>...</v>
      </c>
      <c r="I7443" s="1" t="str">
        <f t="shared" si="1625"/>
        <v>...</v>
      </c>
      <c r="J7443" s="1" t="str">
        <f t="shared" si="1625"/>
        <v>...</v>
      </c>
      <c r="K7443" s="1" t="str">
        <f t="shared" si="1625"/>
        <v>...</v>
      </c>
      <c r="L7443" s="1" t="str">
        <f t="shared" si="1625"/>
        <v>...</v>
      </c>
      <c r="M7443" s="1" t="str">
        <f t="shared" si="1625"/>
        <v>...</v>
      </c>
      <c r="N7443" t="s">
        <v>30</v>
      </c>
    </row>
    <row r="7444" spans="1:14" x14ac:dyDescent="0.25">
      <c r="A7444" t="s">
        <v>42</v>
      </c>
      <c r="B7444" t="s">
        <v>40</v>
      </c>
      <c r="C7444" t="s">
        <v>36</v>
      </c>
      <c r="D7444" t="s">
        <v>31</v>
      </c>
      <c r="E7444" t="s">
        <v>23</v>
      </c>
      <c r="F7444" t="s">
        <v>18</v>
      </c>
      <c r="G7444" s="1" t="str">
        <f t="shared" ref="G7444:M7445" si="1626">"X"</f>
        <v>X</v>
      </c>
      <c r="H7444" s="1" t="str">
        <f t="shared" si="1626"/>
        <v>X</v>
      </c>
      <c r="I7444" s="1" t="str">
        <f t="shared" si="1626"/>
        <v>X</v>
      </c>
      <c r="J7444" s="1" t="str">
        <f t="shared" si="1626"/>
        <v>X</v>
      </c>
      <c r="K7444" s="1" t="str">
        <f t="shared" si="1626"/>
        <v>X</v>
      </c>
      <c r="L7444" s="1" t="str">
        <f t="shared" si="1626"/>
        <v>X</v>
      </c>
      <c r="M7444" s="1" t="str">
        <f t="shared" si="1626"/>
        <v>X</v>
      </c>
      <c r="N7444" t="s">
        <v>27</v>
      </c>
    </row>
    <row r="7445" spans="1:14" x14ac:dyDescent="0.25">
      <c r="A7445" t="s">
        <v>42</v>
      </c>
      <c r="B7445" t="s">
        <v>40</v>
      </c>
      <c r="C7445" t="s">
        <v>36</v>
      </c>
      <c r="D7445" t="s">
        <v>31</v>
      </c>
      <c r="E7445" t="s">
        <v>23</v>
      </c>
      <c r="F7445" t="s">
        <v>19</v>
      </c>
      <c r="G7445" s="1" t="str">
        <f t="shared" si="1626"/>
        <v>X</v>
      </c>
      <c r="H7445" s="1" t="str">
        <f t="shared" si="1626"/>
        <v>X</v>
      </c>
      <c r="I7445" s="1" t="str">
        <f t="shared" si="1626"/>
        <v>X</v>
      </c>
      <c r="J7445" s="1" t="str">
        <f t="shared" si="1626"/>
        <v>X</v>
      </c>
      <c r="K7445" s="1" t="str">
        <f t="shared" si="1626"/>
        <v>X</v>
      </c>
      <c r="L7445" s="1" t="str">
        <f t="shared" si="1626"/>
        <v>X</v>
      </c>
      <c r="M7445" s="1" t="str">
        <f t="shared" si="1626"/>
        <v>X</v>
      </c>
      <c r="N7445" t="s">
        <v>27</v>
      </c>
    </row>
    <row r="7446" spans="1:14" x14ac:dyDescent="0.25">
      <c r="A7446" t="s">
        <v>42</v>
      </c>
      <c r="B7446" t="s">
        <v>40</v>
      </c>
      <c r="C7446" t="s">
        <v>36</v>
      </c>
      <c r="D7446" t="s">
        <v>31</v>
      </c>
      <c r="E7446" t="s">
        <v>23</v>
      </c>
      <c r="F7446" t="s">
        <v>20</v>
      </c>
      <c r="G7446" s="2">
        <f>VALUE(441.39)</f>
        <v>441.39</v>
      </c>
      <c r="H7446" s="3">
        <f>VALUE(322.17)</f>
        <v>322.17</v>
      </c>
      <c r="I7446" s="4">
        <f>VALUE(1332)</f>
        <v>1332</v>
      </c>
      <c r="J7446" s="5">
        <f>VALUE(2999)</f>
        <v>2999</v>
      </c>
      <c r="K7446" s="1">
        <f>VALUE(3460)</f>
        <v>3460</v>
      </c>
      <c r="L7446" s="1">
        <f>VALUE(3962)</f>
        <v>3962</v>
      </c>
      <c r="M7446" s="8">
        <f>VALUE(4662)</f>
        <v>4662</v>
      </c>
      <c r="N7446" t="s">
        <v>25</v>
      </c>
    </row>
    <row r="7447" spans="1:14" x14ac:dyDescent="0.25">
      <c r="A7447" t="s">
        <v>42</v>
      </c>
      <c r="B7447" t="s">
        <v>40</v>
      </c>
      <c r="C7447" t="s">
        <v>36</v>
      </c>
      <c r="D7447" t="s">
        <v>31</v>
      </c>
      <c r="E7447" t="s">
        <v>26</v>
      </c>
      <c r="F7447" t="s">
        <v>15</v>
      </c>
      <c r="G7447" s="1" t="str">
        <f t="shared" ref="G7447:M7447" si="1627">"X"</f>
        <v>X</v>
      </c>
      <c r="H7447" s="1" t="str">
        <f t="shared" si="1627"/>
        <v>X</v>
      </c>
      <c r="I7447" s="1" t="str">
        <f t="shared" si="1627"/>
        <v>X</v>
      </c>
      <c r="J7447" s="1" t="str">
        <f t="shared" si="1627"/>
        <v>X</v>
      </c>
      <c r="K7447" s="1" t="str">
        <f t="shared" si="1627"/>
        <v>X</v>
      </c>
      <c r="L7447" s="1" t="str">
        <f t="shared" si="1627"/>
        <v>X</v>
      </c>
      <c r="M7447" s="1" t="str">
        <f t="shared" si="1627"/>
        <v>X</v>
      </c>
      <c r="N7447" t="s">
        <v>27</v>
      </c>
    </row>
    <row r="7448" spans="1:14" x14ac:dyDescent="0.25">
      <c r="A7448" t="s">
        <v>42</v>
      </c>
      <c r="B7448" t="s">
        <v>40</v>
      </c>
      <c r="C7448" t="s">
        <v>36</v>
      </c>
      <c r="D7448" t="s">
        <v>31</v>
      </c>
      <c r="E7448" t="s">
        <v>26</v>
      </c>
      <c r="F7448" t="s">
        <v>17</v>
      </c>
      <c r="G7448" s="1" t="str">
        <f t="shared" ref="G7448:M7450" si="1628">"..."</f>
        <v>...</v>
      </c>
      <c r="H7448" s="1" t="str">
        <f t="shared" si="1628"/>
        <v>...</v>
      </c>
      <c r="I7448" s="1" t="str">
        <f t="shared" si="1628"/>
        <v>...</v>
      </c>
      <c r="J7448" s="1" t="str">
        <f t="shared" si="1628"/>
        <v>...</v>
      </c>
      <c r="K7448" s="1" t="str">
        <f t="shared" si="1628"/>
        <v>...</v>
      </c>
      <c r="L7448" s="1" t="str">
        <f t="shared" si="1628"/>
        <v>...</v>
      </c>
      <c r="M7448" s="1" t="str">
        <f t="shared" si="1628"/>
        <v>...</v>
      </c>
      <c r="N7448" t="s">
        <v>30</v>
      </c>
    </row>
    <row r="7449" spans="1:14" x14ac:dyDescent="0.25">
      <c r="A7449" t="s">
        <v>42</v>
      </c>
      <c r="B7449" t="s">
        <v>40</v>
      </c>
      <c r="C7449" t="s">
        <v>36</v>
      </c>
      <c r="D7449" t="s">
        <v>31</v>
      </c>
      <c r="E7449" t="s">
        <v>26</v>
      </c>
      <c r="F7449" t="s">
        <v>18</v>
      </c>
      <c r="G7449" s="1" t="str">
        <f t="shared" si="1628"/>
        <v>...</v>
      </c>
      <c r="H7449" s="1" t="str">
        <f t="shared" si="1628"/>
        <v>...</v>
      </c>
      <c r="I7449" s="1" t="str">
        <f t="shared" si="1628"/>
        <v>...</v>
      </c>
      <c r="J7449" s="1" t="str">
        <f t="shared" si="1628"/>
        <v>...</v>
      </c>
      <c r="K7449" s="1" t="str">
        <f t="shared" si="1628"/>
        <v>...</v>
      </c>
      <c r="L7449" s="1" t="str">
        <f t="shared" si="1628"/>
        <v>...</v>
      </c>
      <c r="M7449" s="1" t="str">
        <f t="shared" si="1628"/>
        <v>...</v>
      </c>
      <c r="N7449" t="s">
        <v>30</v>
      </c>
    </row>
    <row r="7450" spans="1:14" x14ac:dyDescent="0.25">
      <c r="A7450" t="s">
        <v>42</v>
      </c>
      <c r="B7450" t="s">
        <v>40</v>
      </c>
      <c r="C7450" t="s">
        <v>36</v>
      </c>
      <c r="D7450" t="s">
        <v>31</v>
      </c>
      <c r="E7450" t="s">
        <v>26</v>
      </c>
      <c r="F7450" t="s">
        <v>19</v>
      </c>
      <c r="G7450" s="1" t="str">
        <f t="shared" si="1628"/>
        <v>...</v>
      </c>
      <c r="H7450" s="1" t="str">
        <f t="shared" si="1628"/>
        <v>...</v>
      </c>
      <c r="I7450" s="1" t="str">
        <f t="shared" si="1628"/>
        <v>...</v>
      </c>
      <c r="J7450" s="1" t="str">
        <f t="shared" si="1628"/>
        <v>...</v>
      </c>
      <c r="K7450" s="1" t="str">
        <f t="shared" si="1628"/>
        <v>...</v>
      </c>
      <c r="L7450" s="1" t="str">
        <f t="shared" si="1628"/>
        <v>...</v>
      </c>
      <c r="M7450" s="1" t="str">
        <f t="shared" si="1628"/>
        <v>...</v>
      </c>
      <c r="N7450" t="s">
        <v>30</v>
      </c>
    </row>
    <row r="7451" spans="1:14" x14ac:dyDescent="0.25">
      <c r="A7451" t="s">
        <v>42</v>
      </c>
      <c r="B7451" t="s">
        <v>40</v>
      </c>
      <c r="C7451" t="s">
        <v>36</v>
      </c>
      <c r="D7451" t="s">
        <v>31</v>
      </c>
      <c r="E7451" t="s">
        <v>26</v>
      </c>
      <c r="F7451" t="s">
        <v>20</v>
      </c>
      <c r="G7451" s="1" t="str">
        <f t="shared" ref="G7451:M7451" si="1629">"X"</f>
        <v>X</v>
      </c>
      <c r="H7451" s="1" t="str">
        <f t="shared" si="1629"/>
        <v>X</v>
      </c>
      <c r="I7451" s="1" t="str">
        <f t="shared" si="1629"/>
        <v>X</v>
      </c>
      <c r="J7451" s="1" t="str">
        <f t="shared" si="1629"/>
        <v>X</v>
      </c>
      <c r="K7451" s="1" t="str">
        <f t="shared" si="1629"/>
        <v>X</v>
      </c>
      <c r="L7451" s="1" t="str">
        <f t="shared" si="1629"/>
        <v>X</v>
      </c>
      <c r="M7451" s="1" t="str">
        <f t="shared" si="1629"/>
        <v>X</v>
      </c>
      <c r="N7451" t="s">
        <v>27</v>
      </c>
    </row>
    <row r="7452" spans="1:14" x14ac:dyDescent="0.25">
      <c r="A7452" t="s">
        <v>42</v>
      </c>
      <c r="B7452" t="s">
        <v>40</v>
      </c>
      <c r="C7452" t="s">
        <v>36</v>
      </c>
      <c r="D7452" t="s">
        <v>32</v>
      </c>
      <c r="E7452" t="s">
        <v>15</v>
      </c>
      <c r="F7452" t="s">
        <v>15</v>
      </c>
      <c r="G7452" s="1">
        <f>VALUE(4704.02)</f>
        <v>4704.0200000000004</v>
      </c>
      <c r="H7452" s="1">
        <f>VALUE(4386.91)</f>
        <v>4386.91</v>
      </c>
      <c r="I7452" s="1">
        <f>VALUE(2536)</f>
        <v>2536</v>
      </c>
      <c r="J7452" s="1">
        <f>VALUE(2916)</f>
        <v>2916</v>
      </c>
      <c r="K7452" s="1">
        <f>VALUE(3487)</f>
        <v>3487</v>
      </c>
      <c r="L7452" s="1">
        <f>VALUE(4333)</f>
        <v>4333</v>
      </c>
      <c r="M7452" s="1">
        <f>VALUE(5506)</f>
        <v>5506</v>
      </c>
      <c r="N7452" t="s">
        <v>16</v>
      </c>
    </row>
    <row r="7453" spans="1:14" x14ac:dyDescent="0.25">
      <c r="A7453" t="s">
        <v>42</v>
      </c>
      <c r="B7453" t="s">
        <v>40</v>
      </c>
      <c r="C7453" t="s">
        <v>36</v>
      </c>
      <c r="D7453" t="s">
        <v>32</v>
      </c>
      <c r="E7453" t="s">
        <v>15</v>
      </c>
      <c r="F7453" t="s">
        <v>17</v>
      </c>
      <c r="G7453" s="2">
        <f>VALUE(182.95)</f>
        <v>182.95</v>
      </c>
      <c r="H7453" s="3">
        <f>VALUE(173.03)</f>
        <v>173.03</v>
      </c>
      <c r="I7453" s="4">
        <f>VALUE(3436)</f>
        <v>3436</v>
      </c>
      <c r="J7453" s="5">
        <f>VALUE(3964)</f>
        <v>3964</v>
      </c>
      <c r="K7453" s="6">
        <f>VALUE(5734)</f>
        <v>5734</v>
      </c>
      <c r="L7453" s="7">
        <f>VALUE(6200)</f>
        <v>6200</v>
      </c>
      <c r="M7453" s="8">
        <f>VALUE(7429)</f>
        <v>7429</v>
      </c>
      <c r="N7453" t="s">
        <v>24</v>
      </c>
    </row>
    <row r="7454" spans="1:14" x14ac:dyDescent="0.25">
      <c r="A7454" t="s">
        <v>42</v>
      </c>
      <c r="B7454" t="s">
        <v>40</v>
      </c>
      <c r="C7454" t="s">
        <v>36</v>
      </c>
      <c r="D7454" t="s">
        <v>32</v>
      </c>
      <c r="E7454" t="s">
        <v>15</v>
      </c>
      <c r="F7454" t="s">
        <v>18</v>
      </c>
      <c r="G7454" s="2">
        <f>VALUE(210.51)</f>
        <v>210.51</v>
      </c>
      <c r="H7454" s="3">
        <f>VALUE(195.14)</f>
        <v>195.14</v>
      </c>
      <c r="I7454" s="1">
        <f>VALUE(3000)</f>
        <v>3000</v>
      </c>
      <c r="J7454" s="1">
        <f>VALUE(3250)</f>
        <v>3250</v>
      </c>
      <c r="K7454" s="1">
        <f>VALUE(4693)</f>
        <v>4693</v>
      </c>
      <c r="L7454" s="1">
        <f>VALUE(6274)</f>
        <v>6274</v>
      </c>
      <c r="M7454" s="1">
        <f>VALUE(7593)</f>
        <v>7593</v>
      </c>
      <c r="N7454" t="s">
        <v>25</v>
      </c>
    </row>
    <row r="7455" spans="1:14" x14ac:dyDescent="0.25">
      <c r="A7455" t="s">
        <v>42</v>
      </c>
      <c r="B7455" t="s">
        <v>40</v>
      </c>
      <c r="C7455" t="s">
        <v>36</v>
      </c>
      <c r="D7455" t="s">
        <v>32</v>
      </c>
      <c r="E7455" t="s">
        <v>15</v>
      </c>
      <c r="F7455" t="s">
        <v>19</v>
      </c>
      <c r="G7455" s="2">
        <f>VALUE(592.71)</f>
        <v>592.71</v>
      </c>
      <c r="H7455" s="3">
        <f>VALUE(575.89)</f>
        <v>575.89</v>
      </c>
      <c r="I7455" s="1">
        <f>VALUE(2826)</f>
        <v>2826</v>
      </c>
      <c r="J7455" s="1">
        <f>VALUE(3091)</f>
        <v>3091</v>
      </c>
      <c r="K7455" s="6">
        <f>VALUE(3509)</f>
        <v>3509</v>
      </c>
      <c r="L7455" s="7">
        <f>VALUE(4442)</f>
        <v>4442</v>
      </c>
      <c r="M7455" s="8">
        <f>VALUE(5610)</f>
        <v>5610</v>
      </c>
      <c r="N7455" t="s">
        <v>25</v>
      </c>
    </row>
    <row r="7456" spans="1:14" x14ac:dyDescent="0.25">
      <c r="A7456" t="s">
        <v>42</v>
      </c>
      <c r="B7456" t="s">
        <v>40</v>
      </c>
      <c r="C7456" t="s">
        <v>36</v>
      </c>
      <c r="D7456" t="s">
        <v>32</v>
      </c>
      <c r="E7456" t="s">
        <v>15</v>
      </c>
      <c r="F7456" t="s">
        <v>20</v>
      </c>
      <c r="G7456" s="1">
        <f>VALUE(3717.85)</f>
        <v>3717.85</v>
      </c>
      <c r="H7456" s="1">
        <f>VALUE(3442.85)</f>
        <v>3442.85</v>
      </c>
      <c r="I7456" s="1">
        <f>VALUE(2491)</f>
        <v>2491</v>
      </c>
      <c r="J7456" s="1">
        <f>VALUE(2854)</f>
        <v>2854</v>
      </c>
      <c r="K7456" s="1">
        <f>VALUE(3394)</f>
        <v>3394</v>
      </c>
      <c r="L7456" s="1">
        <f>VALUE(4078)</f>
        <v>4078</v>
      </c>
      <c r="M7456" s="1">
        <f>VALUE(5094)</f>
        <v>5094</v>
      </c>
      <c r="N7456" t="s">
        <v>16</v>
      </c>
    </row>
    <row r="7457" spans="1:14" x14ac:dyDescent="0.25">
      <c r="A7457" t="s">
        <v>42</v>
      </c>
      <c r="B7457" t="s">
        <v>40</v>
      </c>
      <c r="C7457" t="s">
        <v>36</v>
      </c>
      <c r="D7457" t="s">
        <v>32</v>
      </c>
      <c r="E7457" t="s">
        <v>21</v>
      </c>
      <c r="F7457" t="s">
        <v>15</v>
      </c>
      <c r="G7457" s="2">
        <f>VALUE(1185.48)</f>
        <v>1185.48</v>
      </c>
      <c r="H7457" s="3">
        <f>VALUE(1095.97)</f>
        <v>1095.97</v>
      </c>
      <c r="I7457" s="4">
        <f>VALUE(2667)</f>
        <v>2667</v>
      </c>
      <c r="J7457" s="1">
        <f>VALUE(3436)</f>
        <v>3436</v>
      </c>
      <c r="K7457" s="1">
        <f>VALUE(4204)</f>
        <v>4204</v>
      </c>
      <c r="L7457" s="1">
        <f>VALUE(5326)</f>
        <v>5326</v>
      </c>
      <c r="M7457" s="1">
        <f>VALUE(6813)</f>
        <v>6813</v>
      </c>
      <c r="N7457" t="s">
        <v>25</v>
      </c>
    </row>
    <row r="7458" spans="1:14" x14ac:dyDescent="0.25">
      <c r="A7458" t="s">
        <v>42</v>
      </c>
      <c r="B7458" t="s">
        <v>40</v>
      </c>
      <c r="C7458" t="s">
        <v>36</v>
      </c>
      <c r="D7458" t="s">
        <v>32</v>
      </c>
      <c r="E7458" t="s">
        <v>21</v>
      </c>
      <c r="F7458" t="s">
        <v>17</v>
      </c>
      <c r="G7458" s="1" t="str">
        <f t="shared" ref="G7458:M7459" si="1630">"X"</f>
        <v>X</v>
      </c>
      <c r="H7458" s="1" t="str">
        <f t="shared" si="1630"/>
        <v>X</v>
      </c>
      <c r="I7458" s="1" t="str">
        <f t="shared" si="1630"/>
        <v>X</v>
      </c>
      <c r="J7458" s="1" t="str">
        <f t="shared" si="1630"/>
        <v>X</v>
      </c>
      <c r="K7458" s="1" t="str">
        <f t="shared" si="1630"/>
        <v>X</v>
      </c>
      <c r="L7458" s="1" t="str">
        <f t="shared" si="1630"/>
        <v>X</v>
      </c>
      <c r="M7458" s="1" t="str">
        <f t="shared" si="1630"/>
        <v>X</v>
      </c>
      <c r="N7458" t="s">
        <v>27</v>
      </c>
    </row>
    <row r="7459" spans="1:14" x14ac:dyDescent="0.25">
      <c r="A7459" t="s">
        <v>42</v>
      </c>
      <c r="B7459" t="s">
        <v>40</v>
      </c>
      <c r="C7459" t="s">
        <v>36</v>
      </c>
      <c r="D7459" t="s">
        <v>32</v>
      </c>
      <c r="E7459" t="s">
        <v>21</v>
      </c>
      <c r="F7459" t="s">
        <v>18</v>
      </c>
      <c r="G7459" s="1" t="str">
        <f t="shared" si="1630"/>
        <v>X</v>
      </c>
      <c r="H7459" s="1" t="str">
        <f t="shared" si="1630"/>
        <v>X</v>
      </c>
      <c r="I7459" s="1" t="str">
        <f t="shared" si="1630"/>
        <v>X</v>
      </c>
      <c r="J7459" s="1" t="str">
        <f t="shared" si="1630"/>
        <v>X</v>
      </c>
      <c r="K7459" s="1" t="str">
        <f t="shared" si="1630"/>
        <v>X</v>
      </c>
      <c r="L7459" s="1" t="str">
        <f t="shared" si="1630"/>
        <v>X</v>
      </c>
      <c r="M7459" s="1" t="str">
        <f t="shared" si="1630"/>
        <v>X</v>
      </c>
      <c r="N7459" t="s">
        <v>27</v>
      </c>
    </row>
    <row r="7460" spans="1:14" x14ac:dyDescent="0.25">
      <c r="A7460" t="s">
        <v>42</v>
      </c>
      <c r="B7460" t="s">
        <v>40</v>
      </c>
      <c r="C7460" t="s">
        <v>36</v>
      </c>
      <c r="D7460" t="s">
        <v>32</v>
      </c>
      <c r="E7460" t="s">
        <v>21</v>
      </c>
      <c r="F7460" t="s">
        <v>19</v>
      </c>
      <c r="G7460" s="2">
        <f>VALUE(168.29)</f>
        <v>168.29</v>
      </c>
      <c r="H7460" s="3">
        <f>VALUE(163.22)</f>
        <v>163.22</v>
      </c>
      <c r="I7460" s="1">
        <f>VALUE(3333)</f>
        <v>3333</v>
      </c>
      <c r="J7460" s="1">
        <f>VALUE(3793)</f>
        <v>3793</v>
      </c>
      <c r="K7460" s="1">
        <f>VALUE(4328)</f>
        <v>4328</v>
      </c>
      <c r="L7460" s="1">
        <f>VALUE(5159)</f>
        <v>5159</v>
      </c>
      <c r="M7460" s="1">
        <f>VALUE(6424)</f>
        <v>6424</v>
      </c>
      <c r="N7460" t="s">
        <v>25</v>
      </c>
    </row>
    <row r="7461" spans="1:14" x14ac:dyDescent="0.25">
      <c r="A7461" t="s">
        <v>42</v>
      </c>
      <c r="B7461" t="s">
        <v>40</v>
      </c>
      <c r="C7461" t="s">
        <v>36</v>
      </c>
      <c r="D7461" t="s">
        <v>32</v>
      </c>
      <c r="E7461" t="s">
        <v>21</v>
      </c>
      <c r="F7461" t="s">
        <v>20</v>
      </c>
      <c r="G7461" s="2">
        <f>VALUE(790.37)</f>
        <v>790.37</v>
      </c>
      <c r="H7461" s="3">
        <f>VALUE(723.54)</f>
        <v>723.54</v>
      </c>
      <c r="I7461" s="4">
        <f>VALUE(2384)</f>
        <v>2384</v>
      </c>
      <c r="J7461" s="1">
        <f>VALUE(3206)</f>
        <v>3206</v>
      </c>
      <c r="K7461" s="1">
        <f>VALUE(4032)</f>
        <v>4032</v>
      </c>
      <c r="L7461" s="1">
        <f>VALUE(4826)</f>
        <v>4826</v>
      </c>
      <c r="M7461" s="1">
        <f>VALUE(6292)</f>
        <v>6292</v>
      </c>
      <c r="N7461" t="s">
        <v>25</v>
      </c>
    </row>
    <row r="7462" spans="1:14" x14ac:dyDescent="0.25">
      <c r="A7462" t="s">
        <v>42</v>
      </c>
      <c r="B7462" t="s">
        <v>40</v>
      </c>
      <c r="C7462" t="s">
        <v>36</v>
      </c>
      <c r="D7462" t="s">
        <v>32</v>
      </c>
      <c r="E7462" t="s">
        <v>22</v>
      </c>
      <c r="F7462" t="s">
        <v>15</v>
      </c>
      <c r="G7462" s="2">
        <f>VALUE(1221.73)</f>
        <v>1221.73</v>
      </c>
      <c r="H7462" s="1">
        <f>VALUE(1121.71)</f>
        <v>1121.71</v>
      </c>
      <c r="I7462" s="1">
        <f>VALUE(2584)</f>
        <v>2584</v>
      </c>
      <c r="J7462" s="1">
        <f>VALUE(3162)</f>
        <v>3162</v>
      </c>
      <c r="K7462" s="1">
        <f>VALUE(3772)</f>
        <v>3772</v>
      </c>
      <c r="L7462" s="1">
        <f>VALUE(4762)</f>
        <v>4762</v>
      </c>
      <c r="M7462" s="1">
        <f>VALUE(5560)</f>
        <v>5560</v>
      </c>
      <c r="N7462" t="s">
        <v>25</v>
      </c>
    </row>
    <row r="7463" spans="1:14" x14ac:dyDescent="0.25">
      <c r="A7463" t="s">
        <v>42</v>
      </c>
      <c r="B7463" t="s">
        <v>40</v>
      </c>
      <c r="C7463" t="s">
        <v>36</v>
      </c>
      <c r="D7463" t="s">
        <v>32</v>
      </c>
      <c r="E7463" t="s">
        <v>22</v>
      </c>
      <c r="F7463" t="s">
        <v>17</v>
      </c>
      <c r="G7463" s="1" t="str">
        <f t="shared" ref="G7463:M7464" si="1631">"X"</f>
        <v>X</v>
      </c>
      <c r="H7463" s="1" t="str">
        <f t="shared" si="1631"/>
        <v>X</v>
      </c>
      <c r="I7463" s="1" t="str">
        <f t="shared" si="1631"/>
        <v>X</v>
      </c>
      <c r="J7463" s="1" t="str">
        <f t="shared" si="1631"/>
        <v>X</v>
      </c>
      <c r="K7463" s="1" t="str">
        <f t="shared" si="1631"/>
        <v>X</v>
      </c>
      <c r="L7463" s="1" t="str">
        <f t="shared" si="1631"/>
        <v>X</v>
      </c>
      <c r="M7463" s="1" t="str">
        <f t="shared" si="1631"/>
        <v>X</v>
      </c>
      <c r="N7463" t="s">
        <v>27</v>
      </c>
    </row>
    <row r="7464" spans="1:14" x14ac:dyDescent="0.25">
      <c r="A7464" t="s">
        <v>42</v>
      </c>
      <c r="B7464" t="s">
        <v>40</v>
      </c>
      <c r="C7464" t="s">
        <v>36</v>
      </c>
      <c r="D7464" t="s">
        <v>32</v>
      </c>
      <c r="E7464" t="s">
        <v>22</v>
      </c>
      <c r="F7464" t="s">
        <v>18</v>
      </c>
      <c r="G7464" s="1" t="str">
        <f t="shared" si="1631"/>
        <v>X</v>
      </c>
      <c r="H7464" s="1" t="str">
        <f t="shared" si="1631"/>
        <v>X</v>
      </c>
      <c r="I7464" s="1" t="str">
        <f t="shared" si="1631"/>
        <v>X</v>
      </c>
      <c r="J7464" s="1" t="str">
        <f t="shared" si="1631"/>
        <v>X</v>
      </c>
      <c r="K7464" s="1" t="str">
        <f t="shared" si="1631"/>
        <v>X</v>
      </c>
      <c r="L7464" s="1" t="str">
        <f t="shared" si="1631"/>
        <v>X</v>
      </c>
      <c r="M7464" s="1" t="str">
        <f t="shared" si="1631"/>
        <v>X</v>
      </c>
      <c r="N7464" t="s">
        <v>27</v>
      </c>
    </row>
    <row r="7465" spans="1:14" x14ac:dyDescent="0.25">
      <c r="A7465" t="s">
        <v>42</v>
      </c>
      <c r="B7465" t="s">
        <v>40</v>
      </c>
      <c r="C7465" t="s">
        <v>36</v>
      </c>
      <c r="D7465" t="s">
        <v>32</v>
      </c>
      <c r="E7465" t="s">
        <v>22</v>
      </c>
      <c r="F7465" t="s">
        <v>19</v>
      </c>
      <c r="G7465" s="2">
        <f>VALUE(203.15)</f>
        <v>203.15</v>
      </c>
      <c r="H7465" s="3">
        <f>VALUE(190.68)</f>
        <v>190.68</v>
      </c>
      <c r="I7465" s="1">
        <f>VALUE(2826)</f>
        <v>2826</v>
      </c>
      <c r="J7465" s="1">
        <f>VALUE(3147)</f>
        <v>3147</v>
      </c>
      <c r="K7465" s="1">
        <f>VALUE(3560)</f>
        <v>3560</v>
      </c>
      <c r="L7465" s="7">
        <f>VALUE(4361)</f>
        <v>4361</v>
      </c>
      <c r="M7465" s="8">
        <f>VALUE(5164)</f>
        <v>5164</v>
      </c>
      <c r="N7465" t="s">
        <v>25</v>
      </c>
    </row>
    <row r="7466" spans="1:14" x14ac:dyDescent="0.25">
      <c r="A7466" t="s">
        <v>42</v>
      </c>
      <c r="B7466" t="s">
        <v>40</v>
      </c>
      <c r="C7466" t="s">
        <v>36</v>
      </c>
      <c r="D7466" t="s">
        <v>32</v>
      </c>
      <c r="E7466" t="s">
        <v>22</v>
      </c>
      <c r="F7466" t="s">
        <v>20</v>
      </c>
      <c r="G7466" s="2">
        <f>VALUE(884.39)</f>
        <v>884.39</v>
      </c>
      <c r="H7466" s="3">
        <f>VALUE(799.27)</f>
        <v>799.27</v>
      </c>
      <c r="I7466" s="4">
        <f>VALUE(2525)</f>
        <v>2525</v>
      </c>
      <c r="J7466" s="5">
        <f>VALUE(3134)</f>
        <v>3134</v>
      </c>
      <c r="K7466" s="1">
        <f>VALUE(3736)</f>
        <v>3736</v>
      </c>
      <c r="L7466" s="1">
        <f>VALUE(4639)</f>
        <v>4639</v>
      </c>
      <c r="M7466" s="1">
        <f>VALUE(5417)</f>
        <v>5417</v>
      </c>
      <c r="N7466" t="s">
        <v>25</v>
      </c>
    </row>
    <row r="7467" spans="1:14" x14ac:dyDescent="0.25">
      <c r="A7467" t="s">
        <v>42</v>
      </c>
      <c r="B7467" t="s">
        <v>40</v>
      </c>
      <c r="C7467" t="s">
        <v>36</v>
      </c>
      <c r="D7467" t="s">
        <v>32</v>
      </c>
      <c r="E7467" t="s">
        <v>23</v>
      </c>
      <c r="F7467" t="s">
        <v>15</v>
      </c>
      <c r="G7467" s="1">
        <f>VALUE(2110.36)</f>
        <v>2110.36</v>
      </c>
      <c r="H7467" s="1">
        <f>VALUE(1997.52)</f>
        <v>1997.52</v>
      </c>
      <c r="I7467" s="1">
        <f>VALUE(2509)</f>
        <v>2509</v>
      </c>
      <c r="J7467" s="1">
        <f>VALUE(2764.5)</f>
        <v>2764.5</v>
      </c>
      <c r="K7467" s="1">
        <f>VALUE(3092)</f>
        <v>3092</v>
      </c>
      <c r="L7467" s="1">
        <f>VALUE(3518)</f>
        <v>3518</v>
      </c>
      <c r="M7467" s="1">
        <f>VALUE(3903)</f>
        <v>3903</v>
      </c>
      <c r="N7467" t="s">
        <v>16</v>
      </c>
    </row>
    <row r="7468" spans="1:14" x14ac:dyDescent="0.25">
      <c r="A7468" t="s">
        <v>42</v>
      </c>
      <c r="B7468" t="s">
        <v>40</v>
      </c>
      <c r="C7468" t="s">
        <v>36</v>
      </c>
      <c r="D7468" t="s">
        <v>32</v>
      </c>
      <c r="E7468" t="s">
        <v>23</v>
      </c>
      <c r="F7468" t="s">
        <v>17</v>
      </c>
      <c r="G7468" s="1" t="str">
        <f t="shared" ref="G7468:M7468" si="1632">"..."</f>
        <v>...</v>
      </c>
      <c r="H7468" s="1" t="str">
        <f t="shared" si="1632"/>
        <v>...</v>
      </c>
      <c r="I7468" s="1" t="str">
        <f t="shared" si="1632"/>
        <v>...</v>
      </c>
      <c r="J7468" s="1" t="str">
        <f t="shared" si="1632"/>
        <v>...</v>
      </c>
      <c r="K7468" s="1" t="str">
        <f t="shared" si="1632"/>
        <v>...</v>
      </c>
      <c r="L7468" s="1" t="str">
        <f t="shared" si="1632"/>
        <v>...</v>
      </c>
      <c r="M7468" s="1" t="str">
        <f t="shared" si="1632"/>
        <v>...</v>
      </c>
      <c r="N7468" t="s">
        <v>30</v>
      </c>
    </row>
    <row r="7469" spans="1:14" x14ac:dyDescent="0.25">
      <c r="A7469" t="s">
        <v>42</v>
      </c>
      <c r="B7469" t="s">
        <v>40</v>
      </c>
      <c r="C7469" t="s">
        <v>36</v>
      </c>
      <c r="D7469" t="s">
        <v>32</v>
      </c>
      <c r="E7469" t="s">
        <v>23</v>
      </c>
      <c r="F7469" t="s">
        <v>18</v>
      </c>
      <c r="G7469" s="1" t="str">
        <f t="shared" ref="G7469:M7469" si="1633">"X"</f>
        <v>X</v>
      </c>
      <c r="H7469" s="1" t="str">
        <f t="shared" si="1633"/>
        <v>X</v>
      </c>
      <c r="I7469" s="1" t="str">
        <f t="shared" si="1633"/>
        <v>X</v>
      </c>
      <c r="J7469" s="1" t="str">
        <f t="shared" si="1633"/>
        <v>X</v>
      </c>
      <c r="K7469" s="1" t="str">
        <f t="shared" si="1633"/>
        <v>X</v>
      </c>
      <c r="L7469" s="1" t="str">
        <f t="shared" si="1633"/>
        <v>X</v>
      </c>
      <c r="M7469" s="1" t="str">
        <f t="shared" si="1633"/>
        <v>X</v>
      </c>
      <c r="N7469" t="s">
        <v>27</v>
      </c>
    </row>
    <row r="7470" spans="1:14" x14ac:dyDescent="0.25">
      <c r="A7470" t="s">
        <v>42</v>
      </c>
      <c r="B7470" t="s">
        <v>40</v>
      </c>
      <c r="C7470" t="s">
        <v>36</v>
      </c>
      <c r="D7470" t="s">
        <v>32</v>
      </c>
      <c r="E7470" t="s">
        <v>23</v>
      </c>
      <c r="F7470" t="s">
        <v>19</v>
      </c>
      <c r="G7470" s="2">
        <f>VALUE(206.93)</f>
        <v>206.93</v>
      </c>
      <c r="H7470" s="3">
        <f>VALUE(206.99)</f>
        <v>206.99</v>
      </c>
      <c r="I7470" s="1">
        <f>VALUE(2696)</f>
        <v>2696</v>
      </c>
      <c r="J7470" s="1">
        <f>VALUE(2893)</f>
        <v>2893</v>
      </c>
      <c r="K7470" s="1">
        <f>VALUE(3101)</f>
        <v>3101</v>
      </c>
      <c r="L7470" s="1">
        <f>VALUE(3256)</f>
        <v>3256</v>
      </c>
      <c r="M7470" s="8">
        <f>VALUE(3875)</f>
        <v>3875</v>
      </c>
      <c r="N7470" t="s">
        <v>25</v>
      </c>
    </row>
    <row r="7471" spans="1:14" x14ac:dyDescent="0.25">
      <c r="A7471" t="s">
        <v>42</v>
      </c>
      <c r="B7471" t="s">
        <v>40</v>
      </c>
      <c r="C7471" t="s">
        <v>36</v>
      </c>
      <c r="D7471" t="s">
        <v>32</v>
      </c>
      <c r="E7471" t="s">
        <v>23</v>
      </c>
      <c r="F7471" t="s">
        <v>20</v>
      </c>
      <c r="G7471" s="1">
        <f>VALUE(1873.44)</f>
        <v>1873.44</v>
      </c>
      <c r="H7471" s="1">
        <f>VALUE(1765.42)</f>
        <v>1765.42</v>
      </c>
      <c r="I7471" s="1">
        <f>VALUE(2503)</f>
        <v>2503</v>
      </c>
      <c r="J7471" s="1">
        <f>VALUE(2722)</f>
        <v>2722</v>
      </c>
      <c r="K7471" s="1">
        <f>VALUE(3081)</f>
        <v>3081</v>
      </c>
      <c r="L7471" s="1">
        <f>VALUE(3525)</f>
        <v>3525</v>
      </c>
      <c r="M7471" s="1">
        <f>VALUE(3879)</f>
        <v>3879</v>
      </c>
      <c r="N7471" t="s">
        <v>16</v>
      </c>
    </row>
    <row r="7472" spans="1:14" x14ac:dyDescent="0.25">
      <c r="A7472" t="s">
        <v>42</v>
      </c>
      <c r="B7472" t="s">
        <v>40</v>
      </c>
      <c r="C7472" t="s">
        <v>36</v>
      </c>
      <c r="D7472" t="s">
        <v>32</v>
      </c>
      <c r="E7472" t="s">
        <v>26</v>
      </c>
      <c r="F7472" t="s">
        <v>15</v>
      </c>
      <c r="G7472" s="2">
        <f>VALUE(186.45)</f>
        <v>186.45</v>
      </c>
      <c r="H7472" s="3">
        <f>VALUE(171.71)</f>
        <v>171.71</v>
      </c>
      <c r="I7472" s="4">
        <f>VALUE(1778)</f>
        <v>1778</v>
      </c>
      <c r="J7472" s="5">
        <f>VALUE(3998)</f>
        <v>3998</v>
      </c>
      <c r="K7472" s="1">
        <f>VALUE(4814)</f>
        <v>4814</v>
      </c>
      <c r="L7472" s="1">
        <f>VALUE(5802)</f>
        <v>5802</v>
      </c>
      <c r="M7472" s="1">
        <f>VALUE(6190)</f>
        <v>6190</v>
      </c>
      <c r="N7472" t="s">
        <v>25</v>
      </c>
    </row>
    <row r="7473" spans="1:14" x14ac:dyDescent="0.25">
      <c r="A7473" t="s">
        <v>42</v>
      </c>
      <c r="B7473" t="s">
        <v>40</v>
      </c>
      <c r="C7473" t="s">
        <v>36</v>
      </c>
      <c r="D7473" t="s">
        <v>32</v>
      </c>
      <c r="E7473" t="s">
        <v>26</v>
      </c>
      <c r="F7473" t="s">
        <v>17</v>
      </c>
      <c r="G7473" s="1" t="str">
        <f t="shared" ref="G7473:M7473" si="1634">"X"</f>
        <v>X</v>
      </c>
      <c r="H7473" s="1" t="str">
        <f t="shared" si="1634"/>
        <v>X</v>
      </c>
      <c r="I7473" s="1" t="str">
        <f t="shared" si="1634"/>
        <v>X</v>
      </c>
      <c r="J7473" s="1" t="str">
        <f t="shared" si="1634"/>
        <v>X</v>
      </c>
      <c r="K7473" s="1" t="str">
        <f t="shared" si="1634"/>
        <v>X</v>
      </c>
      <c r="L7473" s="1" t="str">
        <f t="shared" si="1634"/>
        <v>X</v>
      </c>
      <c r="M7473" s="1" t="str">
        <f t="shared" si="1634"/>
        <v>X</v>
      </c>
      <c r="N7473" t="s">
        <v>27</v>
      </c>
    </row>
    <row r="7474" spans="1:14" x14ac:dyDescent="0.25">
      <c r="A7474" t="s">
        <v>42</v>
      </c>
      <c r="B7474" t="s">
        <v>40</v>
      </c>
      <c r="C7474" t="s">
        <v>36</v>
      </c>
      <c r="D7474" t="s">
        <v>32</v>
      </c>
      <c r="E7474" t="s">
        <v>26</v>
      </c>
      <c r="F7474" t="s">
        <v>18</v>
      </c>
      <c r="G7474" s="1" t="str">
        <f t="shared" ref="G7474:M7474" si="1635">"..."</f>
        <v>...</v>
      </c>
      <c r="H7474" s="1" t="str">
        <f t="shared" si="1635"/>
        <v>...</v>
      </c>
      <c r="I7474" s="1" t="str">
        <f t="shared" si="1635"/>
        <v>...</v>
      </c>
      <c r="J7474" s="1" t="str">
        <f t="shared" si="1635"/>
        <v>...</v>
      </c>
      <c r="K7474" s="1" t="str">
        <f t="shared" si="1635"/>
        <v>...</v>
      </c>
      <c r="L7474" s="1" t="str">
        <f t="shared" si="1635"/>
        <v>...</v>
      </c>
      <c r="M7474" s="1" t="str">
        <f t="shared" si="1635"/>
        <v>...</v>
      </c>
      <c r="N7474" t="s">
        <v>30</v>
      </c>
    </row>
    <row r="7475" spans="1:14" x14ac:dyDescent="0.25">
      <c r="A7475" t="s">
        <v>42</v>
      </c>
      <c r="B7475" t="s">
        <v>40</v>
      </c>
      <c r="C7475" t="s">
        <v>36</v>
      </c>
      <c r="D7475" t="s">
        <v>32</v>
      </c>
      <c r="E7475" t="s">
        <v>26</v>
      </c>
      <c r="F7475" t="s">
        <v>19</v>
      </c>
      <c r="G7475" s="1" t="str">
        <f t="shared" ref="G7475:M7475" si="1636">"X"</f>
        <v>X</v>
      </c>
      <c r="H7475" s="1" t="str">
        <f t="shared" si="1636"/>
        <v>X</v>
      </c>
      <c r="I7475" s="1" t="str">
        <f t="shared" si="1636"/>
        <v>X</v>
      </c>
      <c r="J7475" s="1" t="str">
        <f t="shared" si="1636"/>
        <v>X</v>
      </c>
      <c r="K7475" s="1" t="str">
        <f t="shared" si="1636"/>
        <v>X</v>
      </c>
      <c r="L7475" s="1" t="str">
        <f t="shared" si="1636"/>
        <v>X</v>
      </c>
      <c r="M7475" s="1" t="str">
        <f t="shared" si="1636"/>
        <v>X</v>
      </c>
      <c r="N7475" t="s">
        <v>27</v>
      </c>
    </row>
    <row r="7476" spans="1:14" x14ac:dyDescent="0.25">
      <c r="A7476" t="s">
        <v>42</v>
      </c>
      <c r="B7476" t="s">
        <v>40</v>
      </c>
      <c r="C7476" t="s">
        <v>36</v>
      </c>
      <c r="D7476" t="s">
        <v>32</v>
      </c>
      <c r="E7476" t="s">
        <v>26</v>
      </c>
      <c r="F7476" t="s">
        <v>20</v>
      </c>
      <c r="G7476" s="2">
        <f>VALUE(169.65)</f>
        <v>169.65</v>
      </c>
      <c r="H7476" s="3">
        <f>VALUE(154.62)</f>
        <v>154.62</v>
      </c>
      <c r="I7476" s="4">
        <f>VALUE(1778)</f>
        <v>1778</v>
      </c>
      <c r="J7476" s="5">
        <f>VALUE(3968)</f>
        <v>3968</v>
      </c>
      <c r="K7476" s="6">
        <f>VALUE(4737)</f>
        <v>4737</v>
      </c>
      <c r="L7476" s="1">
        <f>VALUE(5438)</f>
        <v>5438</v>
      </c>
      <c r="M7476" s="1">
        <f>VALUE(6102)</f>
        <v>6102</v>
      </c>
      <c r="N7476" t="s">
        <v>25</v>
      </c>
    </row>
    <row r="7477" spans="1:14" x14ac:dyDescent="0.25">
      <c r="A7477" t="s">
        <v>42</v>
      </c>
      <c r="B7477" t="s">
        <v>40</v>
      </c>
      <c r="C7477" t="s">
        <v>36</v>
      </c>
      <c r="D7477" t="s">
        <v>33</v>
      </c>
      <c r="E7477" t="s">
        <v>15</v>
      </c>
      <c r="F7477" t="s">
        <v>15</v>
      </c>
      <c r="G7477" s="1" t="str">
        <f t="shared" ref="G7477:M7487" si="1637">"X"</f>
        <v>X</v>
      </c>
      <c r="H7477" s="1" t="str">
        <f t="shared" si="1637"/>
        <v>X</v>
      </c>
      <c r="I7477" s="1" t="str">
        <f t="shared" si="1637"/>
        <v>X</v>
      </c>
      <c r="J7477" s="1" t="str">
        <f t="shared" si="1637"/>
        <v>X</v>
      </c>
      <c r="K7477" s="1" t="str">
        <f t="shared" si="1637"/>
        <v>X</v>
      </c>
      <c r="L7477" s="1" t="str">
        <f t="shared" si="1637"/>
        <v>X</v>
      </c>
      <c r="M7477" s="1" t="str">
        <f t="shared" si="1637"/>
        <v>X</v>
      </c>
      <c r="N7477" t="s">
        <v>27</v>
      </c>
    </row>
    <row r="7478" spans="1:14" x14ac:dyDescent="0.25">
      <c r="A7478" t="s">
        <v>42</v>
      </c>
      <c r="B7478" t="s">
        <v>40</v>
      </c>
      <c r="C7478" t="s">
        <v>36</v>
      </c>
      <c r="D7478" t="s">
        <v>33</v>
      </c>
      <c r="E7478" t="s">
        <v>15</v>
      </c>
      <c r="F7478" t="s">
        <v>17</v>
      </c>
      <c r="G7478" s="1" t="str">
        <f t="shared" si="1637"/>
        <v>X</v>
      </c>
      <c r="H7478" s="1" t="str">
        <f t="shared" si="1637"/>
        <v>X</v>
      </c>
      <c r="I7478" s="1" t="str">
        <f t="shared" si="1637"/>
        <v>X</v>
      </c>
      <c r="J7478" s="1" t="str">
        <f t="shared" si="1637"/>
        <v>X</v>
      </c>
      <c r="K7478" s="1" t="str">
        <f t="shared" si="1637"/>
        <v>X</v>
      </c>
      <c r="L7478" s="1" t="str">
        <f t="shared" si="1637"/>
        <v>X</v>
      </c>
      <c r="M7478" s="1" t="str">
        <f t="shared" si="1637"/>
        <v>X</v>
      </c>
      <c r="N7478" t="s">
        <v>27</v>
      </c>
    </row>
    <row r="7479" spans="1:14" x14ac:dyDescent="0.25">
      <c r="A7479" t="s">
        <v>42</v>
      </c>
      <c r="B7479" t="s">
        <v>40</v>
      </c>
      <c r="C7479" t="s">
        <v>36</v>
      </c>
      <c r="D7479" t="s">
        <v>33</v>
      </c>
      <c r="E7479" t="s">
        <v>15</v>
      </c>
      <c r="F7479" t="s">
        <v>18</v>
      </c>
      <c r="G7479" s="1" t="str">
        <f t="shared" si="1637"/>
        <v>X</v>
      </c>
      <c r="H7479" s="1" t="str">
        <f t="shared" si="1637"/>
        <v>X</v>
      </c>
      <c r="I7479" s="1" t="str">
        <f t="shared" si="1637"/>
        <v>X</v>
      </c>
      <c r="J7479" s="1" t="str">
        <f t="shared" si="1637"/>
        <v>X</v>
      </c>
      <c r="K7479" s="1" t="str">
        <f t="shared" si="1637"/>
        <v>X</v>
      </c>
      <c r="L7479" s="1" t="str">
        <f t="shared" si="1637"/>
        <v>X</v>
      </c>
      <c r="M7479" s="1" t="str">
        <f t="shared" si="1637"/>
        <v>X</v>
      </c>
      <c r="N7479" t="s">
        <v>27</v>
      </c>
    </row>
    <row r="7480" spans="1:14" x14ac:dyDescent="0.25">
      <c r="A7480" t="s">
        <v>42</v>
      </c>
      <c r="B7480" t="s">
        <v>40</v>
      </c>
      <c r="C7480" t="s">
        <v>36</v>
      </c>
      <c r="D7480" t="s">
        <v>33</v>
      </c>
      <c r="E7480" t="s">
        <v>15</v>
      </c>
      <c r="F7480" t="s">
        <v>19</v>
      </c>
      <c r="G7480" s="1" t="str">
        <f t="shared" si="1637"/>
        <v>X</v>
      </c>
      <c r="H7480" s="1" t="str">
        <f t="shared" si="1637"/>
        <v>X</v>
      </c>
      <c r="I7480" s="1" t="str">
        <f t="shared" si="1637"/>
        <v>X</v>
      </c>
      <c r="J7480" s="1" t="str">
        <f t="shared" si="1637"/>
        <v>X</v>
      </c>
      <c r="K7480" s="1" t="str">
        <f t="shared" si="1637"/>
        <v>X</v>
      </c>
      <c r="L7480" s="1" t="str">
        <f t="shared" si="1637"/>
        <v>X</v>
      </c>
      <c r="M7480" s="1" t="str">
        <f t="shared" si="1637"/>
        <v>X</v>
      </c>
      <c r="N7480" t="s">
        <v>27</v>
      </c>
    </row>
    <row r="7481" spans="1:14" x14ac:dyDescent="0.25">
      <c r="A7481" t="s">
        <v>42</v>
      </c>
      <c r="B7481" t="s">
        <v>40</v>
      </c>
      <c r="C7481" t="s">
        <v>36</v>
      </c>
      <c r="D7481" t="s">
        <v>33</v>
      </c>
      <c r="E7481" t="s">
        <v>15</v>
      </c>
      <c r="F7481" t="s">
        <v>20</v>
      </c>
      <c r="G7481" s="1" t="str">
        <f t="shared" si="1637"/>
        <v>X</v>
      </c>
      <c r="H7481" s="1" t="str">
        <f t="shared" si="1637"/>
        <v>X</v>
      </c>
      <c r="I7481" s="1" t="str">
        <f t="shared" si="1637"/>
        <v>X</v>
      </c>
      <c r="J7481" s="1" t="str">
        <f t="shared" si="1637"/>
        <v>X</v>
      </c>
      <c r="K7481" s="1" t="str">
        <f t="shared" si="1637"/>
        <v>X</v>
      </c>
      <c r="L7481" s="1" t="str">
        <f t="shared" si="1637"/>
        <v>X</v>
      </c>
      <c r="M7481" s="1" t="str">
        <f t="shared" si="1637"/>
        <v>X</v>
      </c>
      <c r="N7481" t="s">
        <v>27</v>
      </c>
    </row>
    <row r="7482" spans="1:14" x14ac:dyDescent="0.25">
      <c r="A7482" t="s">
        <v>42</v>
      </c>
      <c r="B7482" t="s">
        <v>40</v>
      </c>
      <c r="C7482" t="s">
        <v>36</v>
      </c>
      <c r="D7482" t="s">
        <v>33</v>
      </c>
      <c r="E7482" t="s">
        <v>21</v>
      </c>
      <c r="F7482" t="s">
        <v>15</v>
      </c>
      <c r="G7482" s="1" t="str">
        <f t="shared" si="1637"/>
        <v>X</v>
      </c>
      <c r="H7482" s="1" t="str">
        <f t="shared" si="1637"/>
        <v>X</v>
      </c>
      <c r="I7482" s="1" t="str">
        <f t="shared" si="1637"/>
        <v>X</v>
      </c>
      <c r="J7482" s="1" t="str">
        <f t="shared" si="1637"/>
        <v>X</v>
      </c>
      <c r="K7482" s="1" t="str">
        <f t="shared" si="1637"/>
        <v>X</v>
      </c>
      <c r="L7482" s="1" t="str">
        <f t="shared" si="1637"/>
        <v>X</v>
      </c>
      <c r="M7482" s="1" t="str">
        <f t="shared" si="1637"/>
        <v>X</v>
      </c>
      <c r="N7482" t="s">
        <v>27</v>
      </c>
    </row>
    <row r="7483" spans="1:14" x14ac:dyDescent="0.25">
      <c r="A7483" t="s">
        <v>42</v>
      </c>
      <c r="B7483" t="s">
        <v>40</v>
      </c>
      <c r="C7483" t="s">
        <v>36</v>
      </c>
      <c r="D7483" t="s">
        <v>33</v>
      </c>
      <c r="E7483" t="s">
        <v>21</v>
      </c>
      <c r="F7483" t="s">
        <v>17</v>
      </c>
      <c r="G7483" s="1" t="str">
        <f t="shared" si="1637"/>
        <v>X</v>
      </c>
      <c r="H7483" s="1" t="str">
        <f t="shared" si="1637"/>
        <v>X</v>
      </c>
      <c r="I7483" s="1" t="str">
        <f t="shared" si="1637"/>
        <v>X</v>
      </c>
      <c r="J7483" s="1" t="str">
        <f t="shared" si="1637"/>
        <v>X</v>
      </c>
      <c r="K7483" s="1" t="str">
        <f t="shared" si="1637"/>
        <v>X</v>
      </c>
      <c r="L7483" s="1" t="str">
        <f t="shared" si="1637"/>
        <v>X</v>
      </c>
      <c r="M7483" s="1" t="str">
        <f t="shared" si="1637"/>
        <v>X</v>
      </c>
      <c r="N7483" t="s">
        <v>27</v>
      </c>
    </row>
    <row r="7484" spans="1:14" x14ac:dyDescent="0.25">
      <c r="A7484" t="s">
        <v>42</v>
      </c>
      <c r="B7484" t="s">
        <v>40</v>
      </c>
      <c r="C7484" t="s">
        <v>36</v>
      </c>
      <c r="D7484" t="s">
        <v>33</v>
      </c>
      <c r="E7484" t="s">
        <v>21</v>
      </c>
      <c r="F7484" t="s">
        <v>18</v>
      </c>
      <c r="G7484" s="1" t="str">
        <f t="shared" si="1637"/>
        <v>X</v>
      </c>
      <c r="H7484" s="1" t="str">
        <f t="shared" si="1637"/>
        <v>X</v>
      </c>
      <c r="I7484" s="1" t="str">
        <f t="shared" si="1637"/>
        <v>X</v>
      </c>
      <c r="J7484" s="1" t="str">
        <f t="shared" si="1637"/>
        <v>X</v>
      </c>
      <c r="K7484" s="1" t="str">
        <f t="shared" si="1637"/>
        <v>X</v>
      </c>
      <c r="L7484" s="1" t="str">
        <f t="shared" si="1637"/>
        <v>X</v>
      </c>
      <c r="M7484" s="1" t="str">
        <f t="shared" si="1637"/>
        <v>X</v>
      </c>
      <c r="N7484" t="s">
        <v>27</v>
      </c>
    </row>
    <row r="7485" spans="1:14" x14ac:dyDescent="0.25">
      <c r="A7485" t="s">
        <v>42</v>
      </c>
      <c r="B7485" t="s">
        <v>40</v>
      </c>
      <c r="C7485" t="s">
        <v>36</v>
      </c>
      <c r="D7485" t="s">
        <v>33</v>
      </c>
      <c r="E7485" t="s">
        <v>21</v>
      </c>
      <c r="F7485" t="s">
        <v>19</v>
      </c>
      <c r="G7485" s="1" t="str">
        <f t="shared" si="1637"/>
        <v>X</v>
      </c>
      <c r="H7485" s="1" t="str">
        <f t="shared" si="1637"/>
        <v>X</v>
      </c>
      <c r="I7485" s="1" t="str">
        <f t="shared" si="1637"/>
        <v>X</v>
      </c>
      <c r="J7485" s="1" t="str">
        <f t="shared" si="1637"/>
        <v>X</v>
      </c>
      <c r="K7485" s="1" t="str">
        <f t="shared" si="1637"/>
        <v>X</v>
      </c>
      <c r="L7485" s="1" t="str">
        <f t="shared" si="1637"/>
        <v>X</v>
      </c>
      <c r="M7485" s="1" t="str">
        <f t="shared" si="1637"/>
        <v>X</v>
      </c>
      <c r="N7485" t="s">
        <v>27</v>
      </c>
    </row>
    <row r="7486" spans="1:14" x14ac:dyDescent="0.25">
      <c r="A7486" t="s">
        <v>42</v>
      </c>
      <c r="B7486" t="s">
        <v>40</v>
      </c>
      <c r="C7486" t="s">
        <v>36</v>
      </c>
      <c r="D7486" t="s">
        <v>33</v>
      </c>
      <c r="E7486" t="s">
        <v>21</v>
      </c>
      <c r="F7486" t="s">
        <v>20</v>
      </c>
      <c r="G7486" s="1" t="str">
        <f t="shared" si="1637"/>
        <v>X</v>
      </c>
      <c r="H7486" s="1" t="str">
        <f t="shared" si="1637"/>
        <v>X</v>
      </c>
      <c r="I7486" s="1" t="str">
        <f t="shared" si="1637"/>
        <v>X</v>
      </c>
      <c r="J7486" s="1" t="str">
        <f t="shared" si="1637"/>
        <v>X</v>
      </c>
      <c r="K7486" s="1" t="str">
        <f t="shared" si="1637"/>
        <v>X</v>
      </c>
      <c r="L7486" s="1" t="str">
        <f t="shared" si="1637"/>
        <v>X</v>
      </c>
      <c r="M7486" s="1" t="str">
        <f t="shared" si="1637"/>
        <v>X</v>
      </c>
      <c r="N7486" t="s">
        <v>27</v>
      </c>
    </row>
    <row r="7487" spans="1:14" x14ac:dyDescent="0.25">
      <c r="A7487" t="s">
        <v>42</v>
      </c>
      <c r="B7487" t="s">
        <v>40</v>
      </c>
      <c r="C7487" t="s">
        <v>36</v>
      </c>
      <c r="D7487" t="s">
        <v>33</v>
      </c>
      <c r="E7487" t="s">
        <v>22</v>
      </c>
      <c r="F7487" t="s">
        <v>15</v>
      </c>
      <c r="G7487" s="1" t="str">
        <f t="shared" si="1637"/>
        <v>X</v>
      </c>
      <c r="H7487" s="1" t="str">
        <f t="shared" si="1637"/>
        <v>X</v>
      </c>
      <c r="I7487" s="1" t="str">
        <f t="shared" si="1637"/>
        <v>X</v>
      </c>
      <c r="J7487" s="1" t="str">
        <f t="shared" si="1637"/>
        <v>X</v>
      </c>
      <c r="K7487" s="1" t="str">
        <f t="shared" si="1637"/>
        <v>X</v>
      </c>
      <c r="L7487" s="1" t="str">
        <f t="shared" si="1637"/>
        <v>X</v>
      </c>
      <c r="M7487" s="1" t="str">
        <f t="shared" si="1637"/>
        <v>X</v>
      </c>
      <c r="N7487" t="s">
        <v>27</v>
      </c>
    </row>
    <row r="7488" spans="1:14" x14ac:dyDescent="0.25">
      <c r="A7488" t="s">
        <v>42</v>
      </c>
      <c r="B7488" t="s">
        <v>40</v>
      </c>
      <c r="C7488" t="s">
        <v>36</v>
      </c>
      <c r="D7488" t="s">
        <v>33</v>
      </c>
      <c r="E7488" t="s">
        <v>22</v>
      </c>
      <c r="F7488" t="s">
        <v>17</v>
      </c>
      <c r="G7488" s="1" t="str">
        <f t="shared" ref="G7488:M7490" si="1638">"..."</f>
        <v>...</v>
      </c>
      <c r="H7488" s="1" t="str">
        <f t="shared" si="1638"/>
        <v>...</v>
      </c>
      <c r="I7488" s="1" t="str">
        <f t="shared" si="1638"/>
        <v>...</v>
      </c>
      <c r="J7488" s="1" t="str">
        <f t="shared" si="1638"/>
        <v>...</v>
      </c>
      <c r="K7488" s="1" t="str">
        <f t="shared" si="1638"/>
        <v>...</v>
      </c>
      <c r="L7488" s="1" t="str">
        <f t="shared" si="1638"/>
        <v>...</v>
      </c>
      <c r="M7488" s="1" t="str">
        <f t="shared" si="1638"/>
        <v>...</v>
      </c>
      <c r="N7488" t="s">
        <v>30</v>
      </c>
    </row>
    <row r="7489" spans="1:14" x14ac:dyDescent="0.25">
      <c r="A7489" t="s">
        <v>42</v>
      </c>
      <c r="B7489" t="s">
        <v>40</v>
      </c>
      <c r="C7489" t="s">
        <v>36</v>
      </c>
      <c r="D7489" t="s">
        <v>33</v>
      </c>
      <c r="E7489" t="s">
        <v>22</v>
      </c>
      <c r="F7489" t="s">
        <v>18</v>
      </c>
      <c r="G7489" s="1" t="str">
        <f t="shared" si="1638"/>
        <v>...</v>
      </c>
      <c r="H7489" s="1" t="str">
        <f t="shared" si="1638"/>
        <v>...</v>
      </c>
      <c r="I7489" s="1" t="str">
        <f t="shared" si="1638"/>
        <v>...</v>
      </c>
      <c r="J7489" s="1" t="str">
        <f t="shared" si="1638"/>
        <v>...</v>
      </c>
      <c r="K7489" s="1" t="str">
        <f t="shared" si="1638"/>
        <v>...</v>
      </c>
      <c r="L7489" s="1" t="str">
        <f t="shared" si="1638"/>
        <v>...</v>
      </c>
      <c r="M7489" s="1" t="str">
        <f t="shared" si="1638"/>
        <v>...</v>
      </c>
      <c r="N7489" t="s">
        <v>30</v>
      </c>
    </row>
    <row r="7490" spans="1:14" x14ac:dyDescent="0.25">
      <c r="A7490" t="s">
        <v>42</v>
      </c>
      <c r="B7490" t="s">
        <v>40</v>
      </c>
      <c r="C7490" t="s">
        <v>36</v>
      </c>
      <c r="D7490" t="s">
        <v>33</v>
      </c>
      <c r="E7490" t="s">
        <v>22</v>
      </c>
      <c r="F7490" t="s">
        <v>19</v>
      </c>
      <c r="G7490" s="1" t="str">
        <f t="shared" si="1638"/>
        <v>...</v>
      </c>
      <c r="H7490" s="1" t="str">
        <f t="shared" si="1638"/>
        <v>...</v>
      </c>
      <c r="I7490" s="1" t="str">
        <f t="shared" si="1638"/>
        <v>...</v>
      </c>
      <c r="J7490" s="1" t="str">
        <f t="shared" si="1638"/>
        <v>...</v>
      </c>
      <c r="K7490" s="1" t="str">
        <f t="shared" si="1638"/>
        <v>...</v>
      </c>
      <c r="L7490" s="1" t="str">
        <f t="shared" si="1638"/>
        <v>...</v>
      </c>
      <c r="M7490" s="1" t="str">
        <f t="shared" si="1638"/>
        <v>...</v>
      </c>
      <c r="N7490" t="s">
        <v>30</v>
      </c>
    </row>
    <row r="7491" spans="1:14" x14ac:dyDescent="0.25">
      <c r="A7491" t="s">
        <v>42</v>
      </c>
      <c r="B7491" t="s">
        <v>40</v>
      </c>
      <c r="C7491" t="s">
        <v>36</v>
      </c>
      <c r="D7491" t="s">
        <v>33</v>
      </c>
      <c r="E7491" t="s">
        <v>22</v>
      </c>
      <c r="F7491" t="s">
        <v>20</v>
      </c>
      <c r="G7491" s="1" t="str">
        <f t="shared" ref="G7491:M7492" si="1639">"X"</f>
        <v>X</v>
      </c>
      <c r="H7491" s="1" t="str">
        <f t="shared" si="1639"/>
        <v>X</v>
      </c>
      <c r="I7491" s="1" t="str">
        <f t="shared" si="1639"/>
        <v>X</v>
      </c>
      <c r="J7491" s="1" t="str">
        <f t="shared" si="1639"/>
        <v>X</v>
      </c>
      <c r="K7491" s="1" t="str">
        <f t="shared" si="1639"/>
        <v>X</v>
      </c>
      <c r="L7491" s="1" t="str">
        <f t="shared" si="1639"/>
        <v>X</v>
      </c>
      <c r="M7491" s="1" t="str">
        <f t="shared" si="1639"/>
        <v>X</v>
      </c>
      <c r="N7491" t="s">
        <v>27</v>
      </c>
    </row>
    <row r="7492" spans="1:14" x14ac:dyDescent="0.25">
      <c r="A7492" t="s">
        <v>42</v>
      </c>
      <c r="B7492" t="s">
        <v>40</v>
      </c>
      <c r="C7492" t="s">
        <v>36</v>
      </c>
      <c r="D7492" t="s">
        <v>33</v>
      </c>
      <c r="E7492" t="s">
        <v>23</v>
      </c>
      <c r="F7492" t="s">
        <v>15</v>
      </c>
      <c r="G7492" s="1" t="str">
        <f t="shared" si="1639"/>
        <v>X</v>
      </c>
      <c r="H7492" s="1" t="str">
        <f t="shared" si="1639"/>
        <v>X</v>
      </c>
      <c r="I7492" s="1" t="str">
        <f t="shared" si="1639"/>
        <v>X</v>
      </c>
      <c r="J7492" s="1" t="str">
        <f t="shared" si="1639"/>
        <v>X</v>
      </c>
      <c r="K7492" s="1" t="str">
        <f t="shared" si="1639"/>
        <v>X</v>
      </c>
      <c r="L7492" s="1" t="str">
        <f t="shared" si="1639"/>
        <v>X</v>
      </c>
      <c r="M7492" s="1" t="str">
        <f t="shared" si="1639"/>
        <v>X</v>
      </c>
      <c r="N7492" t="s">
        <v>27</v>
      </c>
    </row>
    <row r="7493" spans="1:14" x14ac:dyDescent="0.25">
      <c r="A7493" t="s">
        <v>42</v>
      </c>
      <c r="B7493" t="s">
        <v>40</v>
      </c>
      <c r="C7493" t="s">
        <v>36</v>
      </c>
      <c r="D7493" t="s">
        <v>33</v>
      </c>
      <c r="E7493" t="s">
        <v>23</v>
      </c>
      <c r="F7493" t="s">
        <v>17</v>
      </c>
      <c r="G7493" s="1" t="str">
        <f t="shared" ref="G7493:M7494" si="1640">"..."</f>
        <v>...</v>
      </c>
      <c r="H7493" s="1" t="str">
        <f t="shared" si="1640"/>
        <v>...</v>
      </c>
      <c r="I7493" s="1" t="str">
        <f t="shared" si="1640"/>
        <v>...</v>
      </c>
      <c r="J7493" s="1" t="str">
        <f t="shared" si="1640"/>
        <v>...</v>
      </c>
      <c r="K7493" s="1" t="str">
        <f t="shared" si="1640"/>
        <v>...</v>
      </c>
      <c r="L7493" s="1" t="str">
        <f t="shared" si="1640"/>
        <v>...</v>
      </c>
      <c r="M7493" s="1" t="str">
        <f t="shared" si="1640"/>
        <v>...</v>
      </c>
      <c r="N7493" t="s">
        <v>30</v>
      </c>
    </row>
    <row r="7494" spans="1:14" x14ac:dyDescent="0.25">
      <c r="A7494" t="s">
        <v>42</v>
      </c>
      <c r="B7494" t="s">
        <v>40</v>
      </c>
      <c r="C7494" t="s">
        <v>36</v>
      </c>
      <c r="D7494" t="s">
        <v>33</v>
      </c>
      <c r="E7494" t="s">
        <v>23</v>
      </c>
      <c r="F7494" t="s">
        <v>18</v>
      </c>
      <c r="G7494" s="1" t="str">
        <f t="shared" si="1640"/>
        <v>...</v>
      </c>
      <c r="H7494" s="1" t="str">
        <f t="shared" si="1640"/>
        <v>...</v>
      </c>
      <c r="I7494" s="1" t="str">
        <f t="shared" si="1640"/>
        <v>...</v>
      </c>
      <c r="J7494" s="1" t="str">
        <f t="shared" si="1640"/>
        <v>...</v>
      </c>
      <c r="K7494" s="1" t="str">
        <f t="shared" si="1640"/>
        <v>...</v>
      </c>
      <c r="L7494" s="1" t="str">
        <f t="shared" si="1640"/>
        <v>...</v>
      </c>
      <c r="M7494" s="1" t="str">
        <f t="shared" si="1640"/>
        <v>...</v>
      </c>
      <c r="N7494" t="s">
        <v>30</v>
      </c>
    </row>
    <row r="7495" spans="1:14" x14ac:dyDescent="0.25">
      <c r="A7495" t="s">
        <v>42</v>
      </c>
      <c r="B7495" t="s">
        <v>40</v>
      </c>
      <c r="C7495" t="s">
        <v>36</v>
      </c>
      <c r="D7495" t="s">
        <v>33</v>
      </c>
      <c r="E7495" t="s">
        <v>23</v>
      </c>
      <c r="F7495" t="s">
        <v>19</v>
      </c>
      <c r="G7495" s="1" t="str">
        <f t="shared" ref="G7495:M7497" si="1641">"X"</f>
        <v>X</v>
      </c>
      <c r="H7495" s="1" t="str">
        <f t="shared" si="1641"/>
        <v>X</v>
      </c>
      <c r="I7495" s="1" t="str">
        <f t="shared" si="1641"/>
        <v>X</v>
      </c>
      <c r="J7495" s="1" t="str">
        <f t="shared" si="1641"/>
        <v>X</v>
      </c>
      <c r="K7495" s="1" t="str">
        <f t="shared" si="1641"/>
        <v>X</v>
      </c>
      <c r="L7495" s="1" t="str">
        <f t="shared" si="1641"/>
        <v>X</v>
      </c>
      <c r="M7495" s="1" t="str">
        <f t="shared" si="1641"/>
        <v>X</v>
      </c>
      <c r="N7495" t="s">
        <v>27</v>
      </c>
    </row>
    <row r="7496" spans="1:14" x14ac:dyDescent="0.25">
      <c r="A7496" t="s">
        <v>42</v>
      </c>
      <c r="B7496" t="s">
        <v>40</v>
      </c>
      <c r="C7496" t="s">
        <v>36</v>
      </c>
      <c r="D7496" t="s">
        <v>33</v>
      </c>
      <c r="E7496" t="s">
        <v>23</v>
      </c>
      <c r="F7496" t="s">
        <v>20</v>
      </c>
      <c r="G7496" s="1" t="str">
        <f t="shared" si="1641"/>
        <v>X</v>
      </c>
      <c r="H7496" s="1" t="str">
        <f t="shared" si="1641"/>
        <v>X</v>
      </c>
      <c r="I7496" s="1" t="str">
        <f t="shared" si="1641"/>
        <v>X</v>
      </c>
      <c r="J7496" s="1" t="str">
        <f t="shared" si="1641"/>
        <v>X</v>
      </c>
      <c r="K7496" s="1" t="str">
        <f t="shared" si="1641"/>
        <v>X</v>
      </c>
      <c r="L7496" s="1" t="str">
        <f t="shared" si="1641"/>
        <v>X</v>
      </c>
      <c r="M7496" s="1" t="str">
        <f t="shared" si="1641"/>
        <v>X</v>
      </c>
      <c r="N7496" t="s">
        <v>27</v>
      </c>
    </row>
    <row r="7497" spans="1:14" x14ac:dyDescent="0.25">
      <c r="A7497" t="s">
        <v>42</v>
      </c>
      <c r="B7497" t="s">
        <v>40</v>
      </c>
      <c r="C7497" t="s">
        <v>36</v>
      </c>
      <c r="D7497" t="s">
        <v>33</v>
      </c>
      <c r="E7497" t="s">
        <v>26</v>
      </c>
      <c r="F7497" t="s">
        <v>15</v>
      </c>
      <c r="G7497" s="1" t="str">
        <f t="shared" si="1641"/>
        <v>X</v>
      </c>
      <c r="H7497" s="1" t="str">
        <f t="shared" si="1641"/>
        <v>X</v>
      </c>
      <c r="I7497" s="1" t="str">
        <f t="shared" si="1641"/>
        <v>X</v>
      </c>
      <c r="J7497" s="1" t="str">
        <f t="shared" si="1641"/>
        <v>X</v>
      </c>
      <c r="K7497" s="1" t="str">
        <f t="shared" si="1641"/>
        <v>X</v>
      </c>
      <c r="L7497" s="1" t="str">
        <f t="shared" si="1641"/>
        <v>X</v>
      </c>
      <c r="M7497" s="1" t="str">
        <f t="shared" si="1641"/>
        <v>X</v>
      </c>
      <c r="N7497" t="s">
        <v>27</v>
      </c>
    </row>
    <row r="7498" spans="1:14" x14ac:dyDescent="0.25">
      <c r="A7498" t="s">
        <v>42</v>
      </c>
      <c r="B7498" t="s">
        <v>40</v>
      </c>
      <c r="C7498" t="s">
        <v>36</v>
      </c>
      <c r="D7498" t="s">
        <v>33</v>
      </c>
      <c r="E7498" t="s">
        <v>26</v>
      </c>
      <c r="F7498" t="s">
        <v>17</v>
      </c>
      <c r="G7498" s="1" t="str">
        <f t="shared" ref="G7498:M7500" si="1642">"..."</f>
        <v>...</v>
      </c>
      <c r="H7498" s="1" t="str">
        <f t="shared" si="1642"/>
        <v>...</v>
      </c>
      <c r="I7498" s="1" t="str">
        <f t="shared" si="1642"/>
        <v>...</v>
      </c>
      <c r="J7498" s="1" t="str">
        <f t="shared" si="1642"/>
        <v>...</v>
      </c>
      <c r="K7498" s="1" t="str">
        <f t="shared" si="1642"/>
        <v>...</v>
      </c>
      <c r="L7498" s="1" t="str">
        <f t="shared" si="1642"/>
        <v>...</v>
      </c>
      <c r="M7498" s="1" t="str">
        <f t="shared" si="1642"/>
        <v>...</v>
      </c>
      <c r="N7498" t="s">
        <v>30</v>
      </c>
    </row>
    <row r="7499" spans="1:14" x14ac:dyDescent="0.25">
      <c r="A7499" t="s">
        <v>42</v>
      </c>
      <c r="B7499" t="s">
        <v>40</v>
      </c>
      <c r="C7499" t="s">
        <v>36</v>
      </c>
      <c r="D7499" t="s">
        <v>33</v>
      </c>
      <c r="E7499" t="s">
        <v>26</v>
      </c>
      <c r="F7499" t="s">
        <v>18</v>
      </c>
      <c r="G7499" s="1" t="str">
        <f t="shared" si="1642"/>
        <v>...</v>
      </c>
      <c r="H7499" s="1" t="str">
        <f t="shared" si="1642"/>
        <v>...</v>
      </c>
      <c r="I7499" s="1" t="str">
        <f t="shared" si="1642"/>
        <v>...</v>
      </c>
      <c r="J7499" s="1" t="str">
        <f t="shared" si="1642"/>
        <v>...</v>
      </c>
      <c r="K7499" s="1" t="str">
        <f t="shared" si="1642"/>
        <v>...</v>
      </c>
      <c r="L7499" s="1" t="str">
        <f t="shared" si="1642"/>
        <v>...</v>
      </c>
      <c r="M7499" s="1" t="str">
        <f t="shared" si="1642"/>
        <v>...</v>
      </c>
      <c r="N7499" t="s">
        <v>30</v>
      </c>
    </row>
    <row r="7500" spans="1:14" x14ac:dyDescent="0.25">
      <c r="A7500" t="s">
        <v>42</v>
      </c>
      <c r="B7500" t="s">
        <v>40</v>
      </c>
      <c r="C7500" t="s">
        <v>36</v>
      </c>
      <c r="D7500" t="s">
        <v>33</v>
      </c>
      <c r="E7500" t="s">
        <v>26</v>
      </c>
      <c r="F7500" t="s">
        <v>19</v>
      </c>
      <c r="G7500" s="1" t="str">
        <f t="shared" si="1642"/>
        <v>...</v>
      </c>
      <c r="H7500" s="1" t="str">
        <f t="shared" si="1642"/>
        <v>...</v>
      </c>
      <c r="I7500" s="1" t="str">
        <f t="shared" si="1642"/>
        <v>...</v>
      </c>
      <c r="J7500" s="1" t="str">
        <f t="shared" si="1642"/>
        <v>...</v>
      </c>
      <c r="K7500" s="1" t="str">
        <f t="shared" si="1642"/>
        <v>...</v>
      </c>
      <c r="L7500" s="1" t="str">
        <f t="shared" si="1642"/>
        <v>...</v>
      </c>
      <c r="M7500" s="1" t="str">
        <f t="shared" si="1642"/>
        <v>...</v>
      </c>
      <c r="N7500" t="s">
        <v>30</v>
      </c>
    </row>
    <row r="7501" spans="1:14" x14ac:dyDescent="0.25">
      <c r="A7501" t="s">
        <v>42</v>
      </c>
      <c r="B7501" t="s">
        <v>40</v>
      </c>
      <c r="C7501" t="s">
        <v>36</v>
      </c>
      <c r="D7501" t="s">
        <v>33</v>
      </c>
      <c r="E7501" t="s">
        <v>26</v>
      </c>
      <c r="F7501" t="s">
        <v>20</v>
      </c>
      <c r="G7501" s="1" t="str">
        <f t="shared" ref="G7501:M7502" si="1643">"X"</f>
        <v>X</v>
      </c>
      <c r="H7501" s="1" t="str">
        <f t="shared" si="1643"/>
        <v>X</v>
      </c>
      <c r="I7501" s="1" t="str">
        <f t="shared" si="1643"/>
        <v>X</v>
      </c>
      <c r="J7501" s="1" t="str">
        <f t="shared" si="1643"/>
        <v>X</v>
      </c>
      <c r="K7501" s="1" t="str">
        <f t="shared" si="1643"/>
        <v>X</v>
      </c>
      <c r="L7501" s="1" t="str">
        <f t="shared" si="1643"/>
        <v>X</v>
      </c>
      <c r="M7501" s="1" t="str">
        <f t="shared" si="1643"/>
        <v>X</v>
      </c>
      <c r="N7501" t="s">
        <v>27</v>
      </c>
    </row>
    <row r="7502" spans="1:14" x14ac:dyDescent="0.25">
      <c r="A7502" t="s">
        <v>42</v>
      </c>
      <c r="B7502" t="s">
        <v>40</v>
      </c>
      <c r="C7502" t="s">
        <v>36</v>
      </c>
      <c r="D7502" t="s">
        <v>34</v>
      </c>
      <c r="E7502" t="s">
        <v>15</v>
      </c>
      <c r="F7502" t="s">
        <v>15</v>
      </c>
      <c r="G7502" s="1" t="str">
        <f t="shared" si="1643"/>
        <v>X</v>
      </c>
      <c r="H7502" s="1" t="str">
        <f t="shared" si="1643"/>
        <v>X</v>
      </c>
      <c r="I7502" s="1" t="str">
        <f t="shared" si="1643"/>
        <v>X</v>
      </c>
      <c r="J7502" s="1" t="str">
        <f t="shared" si="1643"/>
        <v>X</v>
      </c>
      <c r="K7502" s="1" t="str">
        <f t="shared" si="1643"/>
        <v>X</v>
      </c>
      <c r="L7502" s="1" t="str">
        <f t="shared" si="1643"/>
        <v>X</v>
      </c>
      <c r="M7502" s="1" t="str">
        <f t="shared" si="1643"/>
        <v>X</v>
      </c>
      <c r="N7502" t="s">
        <v>27</v>
      </c>
    </row>
    <row r="7503" spans="1:14" x14ac:dyDescent="0.25">
      <c r="A7503" t="s">
        <v>42</v>
      </c>
      <c r="B7503" t="s">
        <v>40</v>
      </c>
      <c r="C7503" t="s">
        <v>36</v>
      </c>
      <c r="D7503" t="s">
        <v>34</v>
      </c>
      <c r="E7503" t="s">
        <v>15</v>
      </c>
      <c r="F7503" t="s">
        <v>17</v>
      </c>
      <c r="G7503" s="1" t="str">
        <f t="shared" ref="G7503:M7505" si="1644">"..."</f>
        <v>...</v>
      </c>
      <c r="H7503" s="1" t="str">
        <f t="shared" si="1644"/>
        <v>...</v>
      </c>
      <c r="I7503" s="1" t="str">
        <f t="shared" si="1644"/>
        <v>...</v>
      </c>
      <c r="J7503" s="1" t="str">
        <f t="shared" si="1644"/>
        <v>...</v>
      </c>
      <c r="K7503" s="1" t="str">
        <f t="shared" si="1644"/>
        <v>...</v>
      </c>
      <c r="L7503" s="1" t="str">
        <f t="shared" si="1644"/>
        <v>...</v>
      </c>
      <c r="M7503" s="1" t="str">
        <f t="shared" si="1644"/>
        <v>...</v>
      </c>
      <c r="N7503" t="s">
        <v>30</v>
      </c>
    </row>
    <row r="7504" spans="1:14" x14ac:dyDescent="0.25">
      <c r="A7504" t="s">
        <v>42</v>
      </c>
      <c r="B7504" t="s">
        <v>40</v>
      </c>
      <c r="C7504" t="s">
        <v>36</v>
      </c>
      <c r="D7504" t="s">
        <v>34</v>
      </c>
      <c r="E7504" t="s">
        <v>15</v>
      </c>
      <c r="F7504" t="s">
        <v>18</v>
      </c>
      <c r="G7504" s="1" t="str">
        <f t="shared" si="1644"/>
        <v>...</v>
      </c>
      <c r="H7504" s="1" t="str">
        <f t="shared" si="1644"/>
        <v>...</v>
      </c>
      <c r="I7504" s="1" t="str">
        <f t="shared" si="1644"/>
        <v>...</v>
      </c>
      <c r="J7504" s="1" t="str">
        <f t="shared" si="1644"/>
        <v>...</v>
      </c>
      <c r="K7504" s="1" t="str">
        <f t="shared" si="1644"/>
        <v>...</v>
      </c>
      <c r="L7504" s="1" t="str">
        <f t="shared" si="1644"/>
        <v>...</v>
      </c>
      <c r="M7504" s="1" t="str">
        <f t="shared" si="1644"/>
        <v>...</v>
      </c>
      <c r="N7504" t="s">
        <v>30</v>
      </c>
    </row>
    <row r="7505" spans="1:14" x14ac:dyDescent="0.25">
      <c r="A7505" t="s">
        <v>42</v>
      </c>
      <c r="B7505" t="s">
        <v>40</v>
      </c>
      <c r="C7505" t="s">
        <v>36</v>
      </c>
      <c r="D7505" t="s">
        <v>34</v>
      </c>
      <c r="E7505" t="s">
        <v>15</v>
      </c>
      <c r="F7505" t="s">
        <v>19</v>
      </c>
      <c r="G7505" s="1" t="str">
        <f t="shared" si="1644"/>
        <v>...</v>
      </c>
      <c r="H7505" s="1" t="str">
        <f t="shared" si="1644"/>
        <v>...</v>
      </c>
      <c r="I7505" s="1" t="str">
        <f t="shared" si="1644"/>
        <v>...</v>
      </c>
      <c r="J7505" s="1" t="str">
        <f t="shared" si="1644"/>
        <v>...</v>
      </c>
      <c r="K7505" s="1" t="str">
        <f t="shared" si="1644"/>
        <v>...</v>
      </c>
      <c r="L7505" s="1" t="str">
        <f t="shared" si="1644"/>
        <v>...</v>
      </c>
      <c r="M7505" s="1" t="str">
        <f t="shared" si="1644"/>
        <v>...</v>
      </c>
      <c r="N7505" t="s">
        <v>30</v>
      </c>
    </row>
    <row r="7506" spans="1:14" x14ac:dyDescent="0.25">
      <c r="A7506" t="s">
        <v>42</v>
      </c>
      <c r="B7506" t="s">
        <v>40</v>
      </c>
      <c r="C7506" t="s">
        <v>36</v>
      </c>
      <c r="D7506" t="s">
        <v>34</v>
      </c>
      <c r="E7506" t="s">
        <v>15</v>
      </c>
      <c r="F7506" t="s">
        <v>20</v>
      </c>
      <c r="G7506" s="1" t="str">
        <f t="shared" ref="G7506:M7506" si="1645">"X"</f>
        <v>X</v>
      </c>
      <c r="H7506" s="1" t="str">
        <f t="shared" si="1645"/>
        <v>X</v>
      </c>
      <c r="I7506" s="1" t="str">
        <f t="shared" si="1645"/>
        <v>X</v>
      </c>
      <c r="J7506" s="1" t="str">
        <f t="shared" si="1645"/>
        <v>X</v>
      </c>
      <c r="K7506" s="1" t="str">
        <f t="shared" si="1645"/>
        <v>X</v>
      </c>
      <c r="L7506" s="1" t="str">
        <f t="shared" si="1645"/>
        <v>X</v>
      </c>
      <c r="M7506" s="1" t="str">
        <f t="shared" si="1645"/>
        <v>X</v>
      </c>
      <c r="N7506" t="s">
        <v>27</v>
      </c>
    </row>
    <row r="7507" spans="1:14" x14ac:dyDescent="0.25">
      <c r="A7507" t="s">
        <v>42</v>
      </c>
      <c r="B7507" t="s">
        <v>40</v>
      </c>
      <c r="C7507" t="s">
        <v>36</v>
      </c>
      <c r="D7507" t="s">
        <v>34</v>
      </c>
      <c r="E7507" t="s">
        <v>21</v>
      </c>
      <c r="F7507" t="s">
        <v>15</v>
      </c>
      <c r="G7507" s="1" t="str">
        <f t="shared" ref="G7507:M7511" si="1646">"..."</f>
        <v>...</v>
      </c>
      <c r="H7507" s="1" t="str">
        <f t="shared" si="1646"/>
        <v>...</v>
      </c>
      <c r="I7507" s="1" t="str">
        <f t="shared" si="1646"/>
        <v>...</v>
      </c>
      <c r="J7507" s="1" t="str">
        <f t="shared" si="1646"/>
        <v>...</v>
      </c>
      <c r="K7507" s="1" t="str">
        <f t="shared" si="1646"/>
        <v>...</v>
      </c>
      <c r="L7507" s="1" t="str">
        <f t="shared" si="1646"/>
        <v>...</v>
      </c>
      <c r="M7507" s="1" t="str">
        <f t="shared" si="1646"/>
        <v>...</v>
      </c>
      <c r="N7507" t="s">
        <v>30</v>
      </c>
    </row>
    <row r="7508" spans="1:14" x14ac:dyDescent="0.25">
      <c r="A7508" t="s">
        <v>42</v>
      </c>
      <c r="B7508" t="s">
        <v>40</v>
      </c>
      <c r="C7508" t="s">
        <v>36</v>
      </c>
      <c r="D7508" t="s">
        <v>34</v>
      </c>
      <c r="E7508" t="s">
        <v>21</v>
      </c>
      <c r="F7508" t="s">
        <v>17</v>
      </c>
      <c r="G7508" s="1" t="str">
        <f t="shared" si="1646"/>
        <v>...</v>
      </c>
      <c r="H7508" s="1" t="str">
        <f t="shared" si="1646"/>
        <v>...</v>
      </c>
      <c r="I7508" s="1" t="str">
        <f t="shared" si="1646"/>
        <v>...</v>
      </c>
      <c r="J7508" s="1" t="str">
        <f t="shared" si="1646"/>
        <v>...</v>
      </c>
      <c r="K7508" s="1" t="str">
        <f t="shared" si="1646"/>
        <v>...</v>
      </c>
      <c r="L7508" s="1" t="str">
        <f t="shared" si="1646"/>
        <v>...</v>
      </c>
      <c r="M7508" s="1" t="str">
        <f t="shared" si="1646"/>
        <v>...</v>
      </c>
      <c r="N7508" t="s">
        <v>30</v>
      </c>
    </row>
    <row r="7509" spans="1:14" x14ac:dyDescent="0.25">
      <c r="A7509" t="s">
        <v>42</v>
      </c>
      <c r="B7509" t="s">
        <v>40</v>
      </c>
      <c r="C7509" t="s">
        <v>36</v>
      </c>
      <c r="D7509" t="s">
        <v>34</v>
      </c>
      <c r="E7509" t="s">
        <v>21</v>
      </c>
      <c r="F7509" t="s">
        <v>18</v>
      </c>
      <c r="G7509" s="1" t="str">
        <f t="shared" si="1646"/>
        <v>...</v>
      </c>
      <c r="H7509" s="1" t="str">
        <f t="shared" si="1646"/>
        <v>...</v>
      </c>
      <c r="I7509" s="1" t="str">
        <f t="shared" si="1646"/>
        <v>...</v>
      </c>
      <c r="J7509" s="1" t="str">
        <f t="shared" si="1646"/>
        <v>...</v>
      </c>
      <c r="K7509" s="1" t="str">
        <f t="shared" si="1646"/>
        <v>...</v>
      </c>
      <c r="L7509" s="1" t="str">
        <f t="shared" si="1646"/>
        <v>...</v>
      </c>
      <c r="M7509" s="1" t="str">
        <f t="shared" si="1646"/>
        <v>...</v>
      </c>
      <c r="N7509" t="s">
        <v>30</v>
      </c>
    </row>
    <row r="7510" spans="1:14" x14ac:dyDescent="0.25">
      <c r="A7510" t="s">
        <v>42</v>
      </c>
      <c r="B7510" t="s">
        <v>40</v>
      </c>
      <c r="C7510" t="s">
        <v>36</v>
      </c>
      <c r="D7510" t="s">
        <v>34</v>
      </c>
      <c r="E7510" t="s">
        <v>21</v>
      </c>
      <c r="F7510" t="s">
        <v>19</v>
      </c>
      <c r="G7510" s="1" t="str">
        <f t="shared" si="1646"/>
        <v>...</v>
      </c>
      <c r="H7510" s="1" t="str">
        <f t="shared" si="1646"/>
        <v>...</v>
      </c>
      <c r="I7510" s="1" t="str">
        <f t="shared" si="1646"/>
        <v>...</v>
      </c>
      <c r="J7510" s="1" t="str">
        <f t="shared" si="1646"/>
        <v>...</v>
      </c>
      <c r="K7510" s="1" t="str">
        <f t="shared" si="1646"/>
        <v>...</v>
      </c>
      <c r="L7510" s="1" t="str">
        <f t="shared" si="1646"/>
        <v>...</v>
      </c>
      <c r="M7510" s="1" t="str">
        <f t="shared" si="1646"/>
        <v>...</v>
      </c>
      <c r="N7510" t="s">
        <v>30</v>
      </c>
    </row>
    <row r="7511" spans="1:14" x14ac:dyDescent="0.25">
      <c r="A7511" t="s">
        <v>42</v>
      </c>
      <c r="B7511" t="s">
        <v>40</v>
      </c>
      <c r="C7511" t="s">
        <v>36</v>
      </c>
      <c r="D7511" t="s">
        <v>34</v>
      </c>
      <c r="E7511" t="s">
        <v>21</v>
      </c>
      <c r="F7511" t="s">
        <v>20</v>
      </c>
      <c r="G7511" s="1" t="str">
        <f t="shared" si="1646"/>
        <v>...</v>
      </c>
      <c r="H7511" s="1" t="str">
        <f t="shared" si="1646"/>
        <v>...</v>
      </c>
      <c r="I7511" s="1" t="str">
        <f t="shared" si="1646"/>
        <v>...</v>
      </c>
      <c r="J7511" s="1" t="str">
        <f t="shared" si="1646"/>
        <v>...</v>
      </c>
      <c r="K7511" s="1" t="str">
        <f t="shared" si="1646"/>
        <v>...</v>
      </c>
      <c r="L7511" s="1" t="str">
        <f t="shared" si="1646"/>
        <v>...</v>
      </c>
      <c r="M7511" s="1" t="str">
        <f t="shared" si="1646"/>
        <v>...</v>
      </c>
      <c r="N7511" t="s">
        <v>30</v>
      </c>
    </row>
    <row r="7512" spans="1:14" x14ac:dyDescent="0.25">
      <c r="A7512" t="s">
        <v>42</v>
      </c>
      <c r="B7512" t="s">
        <v>40</v>
      </c>
      <c r="C7512" t="s">
        <v>36</v>
      </c>
      <c r="D7512" t="s">
        <v>34</v>
      </c>
      <c r="E7512" t="s">
        <v>22</v>
      </c>
      <c r="F7512" t="s">
        <v>15</v>
      </c>
      <c r="G7512" s="1" t="str">
        <f t="shared" ref="G7512:M7512" si="1647">"X"</f>
        <v>X</v>
      </c>
      <c r="H7512" s="1" t="str">
        <f t="shared" si="1647"/>
        <v>X</v>
      </c>
      <c r="I7512" s="1" t="str">
        <f t="shared" si="1647"/>
        <v>X</v>
      </c>
      <c r="J7512" s="1" t="str">
        <f t="shared" si="1647"/>
        <v>X</v>
      </c>
      <c r="K7512" s="1" t="str">
        <f t="shared" si="1647"/>
        <v>X</v>
      </c>
      <c r="L7512" s="1" t="str">
        <f t="shared" si="1647"/>
        <v>X</v>
      </c>
      <c r="M7512" s="1" t="str">
        <f t="shared" si="1647"/>
        <v>X</v>
      </c>
      <c r="N7512" t="s">
        <v>27</v>
      </c>
    </row>
    <row r="7513" spans="1:14" x14ac:dyDescent="0.25">
      <c r="A7513" t="s">
        <v>42</v>
      </c>
      <c r="B7513" t="s">
        <v>40</v>
      </c>
      <c r="C7513" t="s">
        <v>36</v>
      </c>
      <c r="D7513" t="s">
        <v>34</v>
      </c>
      <c r="E7513" t="s">
        <v>22</v>
      </c>
      <c r="F7513" t="s">
        <v>17</v>
      </c>
      <c r="G7513" s="1" t="str">
        <f t="shared" ref="G7513:M7515" si="1648">"..."</f>
        <v>...</v>
      </c>
      <c r="H7513" s="1" t="str">
        <f t="shared" si="1648"/>
        <v>...</v>
      </c>
      <c r="I7513" s="1" t="str">
        <f t="shared" si="1648"/>
        <v>...</v>
      </c>
      <c r="J7513" s="1" t="str">
        <f t="shared" si="1648"/>
        <v>...</v>
      </c>
      <c r="K7513" s="1" t="str">
        <f t="shared" si="1648"/>
        <v>...</v>
      </c>
      <c r="L7513" s="1" t="str">
        <f t="shared" si="1648"/>
        <v>...</v>
      </c>
      <c r="M7513" s="1" t="str">
        <f t="shared" si="1648"/>
        <v>...</v>
      </c>
      <c r="N7513" t="s">
        <v>30</v>
      </c>
    </row>
    <row r="7514" spans="1:14" x14ac:dyDescent="0.25">
      <c r="A7514" t="s">
        <v>42</v>
      </c>
      <c r="B7514" t="s">
        <v>40</v>
      </c>
      <c r="C7514" t="s">
        <v>36</v>
      </c>
      <c r="D7514" t="s">
        <v>34</v>
      </c>
      <c r="E7514" t="s">
        <v>22</v>
      </c>
      <c r="F7514" t="s">
        <v>18</v>
      </c>
      <c r="G7514" s="1" t="str">
        <f t="shared" si="1648"/>
        <v>...</v>
      </c>
      <c r="H7514" s="1" t="str">
        <f t="shared" si="1648"/>
        <v>...</v>
      </c>
      <c r="I7514" s="1" t="str">
        <f t="shared" si="1648"/>
        <v>...</v>
      </c>
      <c r="J7514" s="1" t="str">
        <f t="shared" si="1648"/>
        <v>...</v>
      </c>
      <c r="K7514" s="1" t="str">
        <f t="shared" si="1648"/>
        <v>...</v>
      </c>
      <c r="L7514" s="1" t="str">
        <f t="shared" si="1648"/>
        <v>...</v>
      </c>
      <c r="M7514" s="1" t="str">
        <f t="shared" si="1648"/>
        <v>...</v>
      </c>
      <c r="N7514" t="s">
        <v>30</v>
      </c>
    </row>
    <row r="7515" spans="1:14" x14ac:dyDescent="0.25">
      <c r="A7515" t="s">
        <v>42</v>
      </c>
      <c r="B7515" t="s">
        <v>40</v>
      </c>
      <c r="C7515" t="s">
        <v>36</v>
      </c>
      <c r="D7515" t="s">
        <v>34</v>
      </c>
      <c r="E7515" t="s">
        <v>22</v>
      </c>
      <c r="F7515" t="s">
        <v>19</v>
      </c>
      <c r="G7515" s="1" t="str">
        <f t="shared" si="1648"/>
        <v>...</v>
      </c>
      <c r="H7515" s="1" t="str">
        <f t="shared" si="1648"/>
        <v>...</v>
      </c>
      <c r="I7515" s="1" t="str">
        <f t="shared" si="1648"/>
        <v>...</v>
      </c>
      <c r="J7515" s="1" t="str">
        <f t="shared" si="1648"/>
        <v>...</v>
      </c>
      <c r="K7515" s="1" t="str">
        <f t="shared" si="1648"/>
        <v>...</v>
      </c>
      <c r="L7515" s="1" t="str">
        <f t="shared" si="1648"/>
        <v>...</v>
      </c>
      <c r="M7515" s="1" t="str">
        <f t="shared" si="1648"/>
        <v>...</v>
      </c>
      <c r="N7515" t="s">
        <v>30</v>
      </c>
    </row>
    <row r="7516" spans="1:14" x14ac:dyDescent="0.25">
      <c r="A7516" t="s">
        <v>42</v>
      </c>
      <c r="B7516" t="s">
        <v>40</v>
      </c>
      <c r="C7516" t="s">
        <v>36</v>
      </c>
      <c r="D7516" t="s">
        <v>34</v>
      </c>
      <c r="E7516" t="s">
        <v>22</v>
      </c>
      <c r="F7516" t="s">
        <v>20</v>
      </c>
      <c r="G7516" s="1" t="str">
        <f t="shared" ref="G7516:M7517" si="1649">"X"</f>
        <v>X</v>
      </c>
      <c r="H7516" s="1" t="str">
        <f t="shared" si="1649"/>
        <v>X</v>
      </c>
      <c r="I7516" s="1" t="str">
        <f t="shared" si="1649"/>
        <v>X</v>
      </c>
      <c r="J7516" s="1" t="str">
        <f t="shared" si="1649"/>
        <v>X</v>
      </c>
      <c r="K7516" s="1" t="str">
        <f t="shared" si="1649"/>
        <v>X</v>
      </c>
      <c r="L7516" s="1" t="str">
        <f t="shared" si="1649"/>
        <v>X</v>
      </c>
      <c r="M7516" s="1" t="str">
        <f t="shared" si="1649"/>
        <v>X</v>
      </c>
      <c r="N7516" t="s">
        <v>27</v>
      </c>
    </row>
    <row r="7517" spans="1:14" x14ac:dyDescent="0.25">
      <c r="A7517" t="s">
        <v>42</v>
      </c>
      <c r="B7517" t="s">
        <v>40</v>
      </c>
      <c r="C7517" t="s">
        <v>36</v>
      </c>
      <c r="D7517" t="s">
        <v>34</v>
      </c>
      <c r="E7517" t="s">
        <v>23</v>
      </c>
      <c r="F7517" t="s">
        <v>15</v>
      </c>
      <c r="G7517" s="1" t="str">
        <f t="shared" si="1649"/>
        <v>X</v>
      </c>
      <c r="H7517" s="1" t="str">
        <f t="shared" si="1649"/>
        <v>X</v>
      </c>
      <c r="I7517" s="1" t="str">
        <f t="shared" si="1649"/>
        <v>X</v>
      </c>
      <c r="J7517" s="1" t="str">
        <f t="shared" si="1649"/>
        <v>X</v>
      </c>
      <c r="K7517" s="1" t="str">
        <f t="shared" si="1649"/>
        <v>X</v>
      </c>
      <c r="L7517" s="1" t="str">
        <f t="shared" si="1649"/>
        <v>X</v>
      </c>
      <c r="M7517" s="1" t="str">
        <f t="shared" si="1649"/>
        <v>X</v>
      </c>
      <c r="N7517" t="s">
        <v>27</v>
      </c>
    </row>
    <row r="7518" spans="1:14" x14ac:dyDescent="0.25">
      <c r="A7518" t="s">
        <v>42</v>
      </c>
      <c r="B7518" t="s">
        <v>40</v>
      </c>
      <c r="C7518" t="s">
        <v>36</v>
      </c>
      <c r="D7518" t="s">
        <v>34</v>
      </c>
      <c r="E7518" t="s">
        <v>23</v>
      </c>
      <c r="F7518" t="s">
        <v>17</v>
      </c>
      <c r="G7518" s="1" t="str">
        <f t="shared" ref="G7518:M7520" si="1650">"..."</f>
        <v>...</v>
      </c>
      <c r="H7518" s="1" t="str">
        <f t="shared" si="1650"/>
        <v>...</v>
      </c>
      <c r="I7518" s="1" t="str">
        <f t="shared" si="1650"/>
        <v>...</v>
      </c>
      <c r="J7518" s="1" t="str">
        <f t="shared" si="1650"/>
        <v>...</v>
      </c>
      <c r="K7518" s="1" t="str">
        <f t="shared" si="1650"/>
        <v>...</v>
      </c>
      <c r="L7518" s="1" t="str">
        <f t="shared" si="1650"/>
        <v>...</v>
      </c>
      <c r="M7518" s="1" t="str">
        <f t="shared" si="1650"/>
        <v>...</v>
      </c>
      <c r="N7518" t="s">
        <v>30</v>
      </c>
    </row>
    <row r="7519" spans="1:14" x14ac:dyDescent="0.25">
      <c r="A7519" t="s">
        <v>42</v>
      </c>
      <c r="B7519" t="s">
        <v>40</v>
      </c>
      <c r="C7519" t="s">
        <v>36</v>
      </c>
      <c r="D7519" t="s">
        <v>34</v>
      </c>
      <c r="E7519" t="s">
        <v>23</v>
      </c>
      <c r="F7519" t="s">
        <v>18</v>
      </c>
      <c r="G7519" s="1" t="str">
        <f t="shared" si="1650"/>
        <v>...</v>
      </c>
      <c r="H7519" s="1" t="str">
        <f t="shared" si="1650"/>
        <v>...</v>
      </c>
      <c r="I7519" s="1" t="str">
        <f t="shared" si="1650"/>
        <v>...</v>
      </c>
      <c r="J7519" s="1" t="str">
        <f t="shared" si="1650"/>
        <v>...</v>
      </c>
      <c r="K7519" s="1" t="str">
        <f t="shared" si="1650"/>
        <v>...</v>
      </c>
      <c r="L7519" s="1" t="str">
        <f t="shared" si="1650"/>
        <v>...</v>
      </c>
      <c r="M7519" s="1" t="str">
        <f t="shared" si="1650"/>
        <v>...</v>
      </c>
      <c r="N7519" t="s">
        <v>30</v>
      </c>
    </row>
    <row r="7520" spans="1:14" x14ac:dyDescent="0.25">
      <c r="A7520" t="s">
        <v>42</v>
      </c>
      <c r="B7520" t="s">
        <v>40</v>
      </c>
      <c r="C7520" t="s">
        <v>36</v>
      </c>
      <c r="D7520" t="s">
        <v>34</v>
      </c>
      <c r="E7520" t="s">
        <v>23</v>
      </c>
      <c r="F7520" t="s">
        <v>19</v>
      </c>
      <c r="G7520" s="1" t="str">
        <f t="shared" si="1650"/>
        <v>...</v>
      </c>
      <c r="H7520" s="1" t="str">
        <f t="shared" si="1650"/>
        <v>...</v>
      </c>
      <c r="I7520" s="1" t="str">
        <f t="shared" si="1650"/>
        <v>...</v>
      </c>
      <c r="J7520" s="1" t="str">
        <f t="shared" si="1650"/>
        <v>...</v>
      </c>
      <c r="K7520" s="1" t="str">
        <f t="shared" si="1650"/>
        <v>...</v>
      </c>
      <c r="L7520" s="1" t="str">
        <f t="shared" si="1650"/>
        <v>...</v>
      </c>
      <c r="M7520" s="1" t="str">
        <f t="shared" si="1650"/>
        <v>...</v>
      </c>
      <c r="N7520" t="s">
        <v>30</v>
      </c>
    </row>
    <row r="7521" spans="1:14" x14ac:dyDescent="0.25">
      <c r="A7521" t="s">
        <v>42</v>
      </c>
      <c r="B7521" t="s">
        <v>40</v>
      </c>
      <c r="C7521" t="s">
        <v>36</v>
      </c>
      <c r="D7521" t="s">
        <v>34</v>
      </c>
      <c r="E7521" t="s">
        <v>23</v>
      </c>
      <c r="F7521" t="s">
        <v>20</v>
      </c>
      <c r="G7521" s="1" t="str">
        <f t="shared" ref="G7521:M7521" si="1651">"X"</f>
        <v>X</v>
      </c>
      <c r="H7521" s="1" t="str">
        <f t="shared" si="1651"/>
        <v>X</v>
      </c>
      <c r="I7521" s="1" t="str">
        <f t="shared" si="1651"/>
        <v>X</v>
      </c>
      <c r="J7521" s="1" t="str">
        <f t="shared" si="1651"/>
        <v>X</v>
      </c>
      <c r="K7521" s="1" t="str">
        <f t="shared" si="1651"/>
        <v>X</v>
      </c>
      <c r="L7521" s="1" t="str">
        <f t="shared" si="1651"/>
        <v>X</v>
      </c>
      <c r="M7521" s="1" t="str">
        <f t="shared" si="1651"/>
        <v>X</v>
      </c>
      <c r="N7521" t="s">
        <v>27</v>
      </c>
    </row>
    <row r="7522" spans="1:14" x14ac:dyDescent="0.25">
      <c r="A7522" t="s">
        <v>42</v>
      </c>
      <c r="B7522" t="s">
        <v>40</v>
      </c>
      <c r="C7522" t="s">
        <v>36</v>
      </c>
      <c r="D7522" t="s">
        <v>34</v>
      </c>
      <c r="E7522" t="s">
        <v>26</v>
      </c>
      <c r="F7522" t="s">
        <v>15</v>
      </c>
      <c r="G7522" s="1" t="str">
        <f t="shared" ref="G7522:M7526" si="1652">"..."</f>
        <v>...</v>
      </c>
      <c r="H7522" s="1" t="str">
        <f t="shared" si="1652"/>
        <v>...</v>
      </c>
      <c r="I7522" s="1" t="str">
        <f t="shared" si="1652"/>
        <v>...</v>
      </c>
      <c r="J7522" s="1" t="str">
        <f t="shared" si="1652"/>
        <v>...</v>
      </c>
      <c r="K7522" s="1" t="str">
        <f t="shared" si="1652"/>
        <v>...</v>
      </c>
      <c r="L7522" s="1" t="str">
        <f t="shared" si="1652"/>
        <v>...</v>
      </c>
      <c r="M7522" s="1" t="str">
        <f t="shared" si="1652"/>
        <v>...</v>
      </c>
      <c r="N7522" t="s">
        <v>30</v>
      </c>
    </row>
    <row r="7523" spans="1:14" x14ac:dyDescent="0.25">
      <c r="A7523" t="s">
        <v>42</v>
      </c>
      <c r="B7523" t="s">
        <v>40</v>
      </c>
      <c r="C7523" t="s">
        <v>36</v>
      </c>
      <c r="D7523" t="s">
        <v>34</v>
      </c>
      <c r="E7523" t="s">
        <v>26</v>
      </c>
      <c r="F7523" t="s">
        <v>17</v>
      </c>
      <c r="G7523" s="1" t="str">
        <f t="shared" si="1652"/>
        <v>...</v>
      </c>
      <c r="H7523" s="1" t="str">
        <f t="shared" si="1652"/>
        <v>...</v>
      </c>
      <c r="I7523" s="1" t="str">
        <f t="shared" si="1652"/>
        <v>...</v>
      </c>
      <c r="J7523" s="1" t="str">
        <f t="shared" si="1652"/>
        <v>...</v>
      </c>
      <c r="K7523" s="1" t="str">
        <f t="shared" si="1652"/>
        <v>...</v>
      </c>
      <c r="L7523" s="1" t="str">
        <f t="shared" si="1652"/>
        <v>...</v>
      </c>
      <c r="M7523" s="1" t="str">
        <f t="shared" si="1652"/>
        <v>...</v>
      </c>
      <c r="N7523" t="s">
        <v>30</v>
      </c>
    </row>
    <row r="7524" spans="1:14" x14ac:dyDescent="0.25">
      <c r="A7524" t="s">
        <v>42</v>
      </c>
      <c r="B7524" t="s">
        <v>40</v>
      </c>
      <c r="C7524" t="s">
        <v>36</v>
      </c>
      <c r="D7524" t="s">
        <v>34</v>
      </c>
      <c r="E7524" t="s">
        <v>26</v>
      </c>
      <c r="F7524" t="s">
        <v>18</v>
      </c>
      <c r="G7524" s="1" t="str">
        <f t="shared" si="1652"/>
        <v>...</v>
      </c>
      <c r="H7524" s="1" t="str">
        <f t="shared" si="1652"/>
        <v>...</v>
      </c>
      <c r="I7524" s="1" t="str">
        <f t="shared" si="1652"/>
        <v>...</v>
      </c>
      <c r="J7524" s="1" t="str">
        <f t="shared" si="1652"/>
        <v>...</v>
      </c>
      <c r="K7524" s="1" t="str">
        <f t="shared" si="1652"/>
        <v>...</v>
      </c>
      <c r="L7524" s="1" t="str">
        <f t="shared" si="1652"/>
        <v>...</v>
      </c>
      <c r="M7524" s="1" t="str">
        <f t="shared" si="1652"/>
        <v>...</v>
      </c>
      <c r="N7524" t="s">
        <v>30</v>
      </c>
    </row>
    <row r="7525" spans="1:14" x14ac:dyDescent="0.25">
      <c r="A7525" t="s">
        <v>42</v>
      </c>
      <c r="B7525" t="s">
        <v>40</v>
      </c>
      <c r="C7525" t="s">
        <v>36</v>
      </c>
      <c r="D7525" t="s">
        <v>34</v>
      </c>
      <c r="E7525" t="s">
        <v>26</v>
      </c>
      <c r="F7525" t="s">
        <v>19</v>
      </c>
      <c r="G7525" s="1" t="str">
        <f t="shared" si="1652"/>
        <v>...</v>
      </c>
      <c r="H7525" s="1" t="str">
        <f t="shared" si="1652"/>
        <v>...</v>
      </c>
      <c r="I7525" s="1" t="str">
        <f t="shared" si="1652"/>
        <v>...</v>
      </c>
      <c r="J7525" s="1" t="str">
        <f t="shared" si="1652"/>
        <v>...</v>
      </c>
      <c r="K7525" s="1" t="str">
        <f t="shared" si="1652"/>
        <v>...</v>
      </c>
      <c r="L7525" s="1" t="str">
        <f t="shared" si="1652"/>
        <v>...</v>
      </c>
      <c r="M7525" s="1" t="str">
        <f t="shared" si="1652"/>
        <v>...</v>
      </c>
      <c r="N7525" t="s">
        <v>30</v>
      </c>
    </row>
    <row r="7526" spans="1:14" x14ac:dyDescent="0.25">
      <c r="A7526" t="s">
        <v>42</v>
      </c>
      <c r="B7526" t="s">
        <v>40</v>
      </c>
      <c r="C7526" t="s">
        <v>36</v>
      </c>
      <c r="D7526" t="s">
        <v>34</v>
      </c>
      <c r="E7526" t="s">
        <v>26</v>
      </c>
      <c r="F7526" t="s">
        <v>20</v>
      </c>
      <c r="G7526" s="1" t="str">
        <f t="shared" si="1652"/>
        <v>...</v>
      </c>
      <c r="H7526" s="1" t="str">
        <f t="shared" si="1652"/>
        <v>...</v>
      </c>
      <c r="I7526" s="1" t="str">
        <f t="shared" si="1652"/>
        <v>...</v>
      </c>
      <c r="J7526" s="1" t="str">
        <f t="shared" si="1652"/>
        <v>...</v>
      </c>
      <c r="K7526" s="1" t="str">
        <f t="shared" si="1652"/>
        <v>...</v>
      </c>
      <c r="L7526" s="1" t="str">
        <f t="shared" si="1652"/>
        <v>...</v>
      </c>
      <c r="M7526" s="1" t="str">
        <f t="shared" si="1652"/>
        <v>...</v>
      </c>
      <c r="N7526" t="s">
        <v>30</v>
      </c>
    </row>
    <row r="7527" spans="1:14" x14ac:dyDescent="0.25">
      <c r="A7527" t="s">
        <v>42</v>
      </c>
      <c r="B7527" t="s">
        <v>40</v>
      </c>
      <c r="C7527" t="s">
        <v>37</v>
      </c>
      <c r="D7527" t="s">
        <v>15</v>
      </c>
      <c r="E7527" t="s">
        <v>15</v>
      </c>
      <c r="F7527" t="s">
        <v>15</v>
      </c>
      <c r="G7527" s="1">
        <f>VALUE(23435.72)</f>
        <v>23435.72</v>
      </c>
      <c r="H7527" s="1">
        <f>VALUE(18516.74)</f>
        <v>18516.740000000002</v>
      </c>
      <c r="I7527" s="1">
        <f>VALUE(2823)</f>
        <v>2823</v>
      </c>
      <c r="J7527" s="1">
        <f>VALUE(3506)</f>
        <v>3506</v>
      </c>
      <c r="K7527" s="1">
        <f>VALUE(4600)</f>
        <v>4600</v>
      </c>
      <c r="L7527" s="1">
        <f>VALUE(6203)</f>
        <v>6203</v>
      </c>
      <c r="M7527" s="1">
        <f>VALUE(8181)</f>
        <v>8181</v>
      </c>
      <c r="N7527" t="s">
        <v>16</v>
      </c>
    </row>
    <row r="7528" spans="1:14" x14ac:dyDescent="0.25">
      <c r="A7528" t="s">
        <v>42</v>
      </c>
      <c r="B7528" t="s">
        <v>40</v>
      </c>
      <c r="C7528" t="s">
        <v>37</v>
      </c>
      <c r="D7528" t="s">
        <v>15</v>
      </c>
      <c r="E7528" t="s">
        <v>15</v>
      </c>
      <c r="F7528" t="s">
        <v>17</v>
      </c>
      <c r="G7528" s="2">
        <f>VALUE(2459)</f>
        <v>2459</v>
      </c>
      <c r="H7528" s="3">
        <f>VALUE(2172.94)</f>
        <v>2172.94</v>
      </c>
      <c r="I7528" s="4">
        <f>VALUE(3508)</f>
        <v>3508</v>
      </c>
      <c r="J7528" s="5">
        <f>VALUE(4553)</f>
        <v>4553</v>
      </c>
      <c r="K7528" s="1">
        <f>VALUE(6810)</f>
        <v>6810</v>
      </c>
      <c r="L7528" s="1">
        <f>VALUE(9512)</f>
        <v>9512</v>
      </c>
      <c r="M7528" s="8">
        <f>VALUE(13399)</f>
        <v>13399</v>
      </c>
      <c r="N7528" t="s">
        <v>25</v>
      </c>
    </row>
    <row r="7529" spans="1:14" x14ac:dyDescent="0.25">
      <c r="A7529" t="s">
        <v>42</v>
      </c>
      <c r="B7529" t="s">
        <v>40</v>
      </c>
      <c r="C7529" t="s">
        <v>37</v>
      </c>
      <c r="D7529" t="s">
        <v>15</v>
      </c>
      <c r="E7529" t="s">
        <v>15</v>
      </c>
      <c r="F7529" t="s">
        <v>18</v>
      </c>
      <c r="G7529" s="1">
        <f>VALUE(2190.02)</f>
        <v>2190.02</v>
      </c>
      <c r="H7529" s="1">
        <f>VALUE(1755.29)</f>
        <v>1755.29</v>
      </c>
      <c r="I7529" s="1">
        <f>VALUE(3365)</f>
        <v>3365</v>
      </c>
      <c r="J7529" s="1">
        <f>VALUE(4700)</f>
        <v>4700</v>
      </c>
      <c r="K7529" s="1">
        <f>VALUE(6019)</f>
        <v>6019</v>
      </c>
      <c r="L7529" s="1">
        <f>VALUE(7922)</f>
        <v>7922</v>
      </c>
      <c r="M7529" s="1">
        <f>VALUE(9854)</f>
        <v>9854</v>
      </c>
      <c r="N7529" t="s">
        <v>16</v>
      </c>
    </row>
    <row r="7530" spans="1:14" x14ac:dyDescent="0.25">
      <c r="A7530" t="s">
        <v>42</v>
      </c>
      <c r="B7530" t="s">
        <v>40</v>
      </c>
      <c r="C7530" t="s">
        <v>37</v>
      </c>
      <c r="D7530" t="s">
        <v>15</v>
      </c>
      <c r="E7530" t="s">
        <v>15</v>
      </c>
      <c r="F7530" t="s">
        <v>19</v>
      </c>
      <c r="G7530" s="1">
        <f>VALUE(3359.66)</f>
        <v>3359.66</v>
      </c>
      <c r="H7530" s="1">
        <f>VALUE(2875.03)</f>
        <v>2875.03</v>
      </c>
      <c r="I7530" s="1">
        <f>VALUE(2931)</f>
        <v>2931</v>
      </c>
      <c r="J7530" s="5">
        <f>VALUE(3525)</f>
        <v>3525</v>
      </c>
      <c r="K7530" s="6">
        <f>VALUE(4828)</f>
        <v>4828</v>
      </c>
      <c r="L7530" s="1">
        <f>VALUE(6454)</f>
        <v>6454</v>
      </c>
      <c r="M7530" s="1">
        <f>VALUE(7765)</f>
        <v>7765</v>
      </c>
      <c r="N7530" t="s">
        <v>25</v>
      </c>
    </row>
    <row r="7531" spans="1:14" x14ac:dyDescent="0.25">
      <c r="A7531" t="s">
        <v>42</v>
      </c>
      <c r="B7531" t="s">
        <v>40</v>
      </c>
      <c r="C7531" t="s">
        <v>37</v>
      </c>
      <c r="D7531" t="s">
        <v>15</v>
      </c>
      <c r="E7531" t="s">
        <v>15</v>
      </c>
      <c r="F7531" t="s">
        <v>20</v>
      </c>
      <c r="G7531" s="1">
        <f>VALUE(15427.04)</f>
        <v>15427.04</v>
      </c>
      <c r="H7531" s="1">
        <f>VALUE(11713.48)</f>
        <v>11713.48</v>
      </c>
      <c r="I7531" s="1">
        <f>VALUE(2693)</f>
        <v>2693</v>
      </c>
      <c r="J7531" s="1">
        <f>VALUE(3293)</f>
        <v>3293</v>
      </c>
      <c r="K7531" s="1">
        <f>VALUE(4177)</f>
        <v>4177</v>
      </c>
      <c r="L7531" s="1">
        <f>VALUE(5471)</f>
        <v>5471</v>
      </c>
      <c r="M7531" s="1">
        <f>VALUE(6758)</f>
        <v>6758</v>
      </c>
      <c r="N7531" t="s">
        <v>16</v>
      </c>
    </row>
    <row r="7532" spans="1:14" x14ac:dyDescent="0.25">
      <c r="A7532" t="s">
        <v>42</v>
      </c>
      <c r="B7532" t="s">
        <v>40</v>
      </c>
      <c r="C7532" t="s">
        <v>37</v>
      </c>
      <c r="D7532" t="s">
        <v>15</v>
      </c>
      <c r="E7532" t="s">
        <v>21</v>
      </c>
      <c r="F7532" t="s">
        <v>15</v>
      </c>
      <c r="G7532" s="1">
        <f>VALUE(4217.32)</f>
        <v>4217.32</v>
      </c>
      <c r="H7532" s="1">
        <f>VALUE(3379.64)</f>
        <v>3379.64</v>
      </c>
      <c r="I7532" s="1">
        <f>VALUE(3810)</f>
        <v>3810</v>
      </c>
      <c r="J7532" s="1">
        <f>VALUE(5040)</f>
        <v>5040</v>
      </c>
      <c r="K7532" s="1">
        <f>VALUE(6571)</f>
        <v>6571</v>
      </c>
      <c r="L7532" s="1">
        <f>VALUE(8472)</f>
        <v>8472</v>
      </c>
      <c r="M7532" s="1">
        <f>VALUE(11000)</f>
        <v>11000</v>
      </c>
      <c r="N7532" t="s">
        <v>16</v>
      </c>
    </row>
    <row r="7533" spans="1:14" x14ac:dyDescent="0.25">
      <c r="A7533" t="s">
        <v>42</v>
      </c>
      <c r="B7533" t="s">
        <v>40</v>
      </c>
      <c r="C7533" t="s">
        <v>37</v>
      </c>
      <c r="D7533" t="s">
        <v>15</v>
      </c>
      <c r="E7533" t="s">
        <v>21</v>
      </c>
      <c r="F7533" t="s">
        <v>17</v>
      </c>
      <c r="G7533" s="2">
        <f>VALUE(1100.9)</f>
        <v>1100.9000000000001</v>
      </c>
      <c r="H7533" s="3">
        <f>VALUE(939.89)</f>
        <v>939.89</v>
      </c>
      <c r="I7533" s="4">
        <f>VALUE(4040)</f>
        <v>4040</v>
      </c>
      <c r="J7533" s="5">
        <f>VALUE(5778)</f>
        <v>5778</v>
      </c>
      <c r="K7533" s="1">
        <f>VALUE(8125)</f>
        <v>8125</v>
      </c>
      <c r="L7533" s="1">
        <f>VALUE(10833)</f>
        <v>10833</v>
      </c>
      <c r="M7533" s="8">
        <f>VALUE(14632)</f>
        <v>14632</v>
      </c>
      <c r="N7533" t="s">
        <v>25</v>
      </c>
    </row>
    <row r="7534" spans="1:14" x14ac:dyDescent="0.25">
      <c r="A7534" t="s">
        <v>42</v>
      </c>
      <c r="B7534" t="s">
        <v>40</v>
      </c>
      <c r="C7534" t="s">
        <v>37</v>
      </c>
      <c r="D7534" t="s">
        <v>15</v>
      </c>
      <c r="E7534" t="s">
        <v>21</v>
      </c>
      <c r="F7534" t="s">
        <v>18</v>
      </c>
      <c r="G7534" s="2">
        <f>VALUE(815.46)</f>
        <v>815.46</v>
      </c>
      <c r="H7534" s="3">
        <f>VALUE(637)</f>
        <v>637</v>
      </c>
      <c r="I7534" s="4">
        <f>VALUE(4106)</f>
        <v>4106</v>
      </c>
      <c r="J7534" s="1">
        <f>VALUE(5503)</f>
        <v>5503</v>
      </c>
      <c r="K7534" s="6">
        <f>VALUE(6902)</f>
        <v>6902</v>
      </c>
      <c r="L7534" s="7">
        <f>VALUE(8756)</f>
        <v>8756</v>
      </c>
      <c r="M7534" s="1">
        <f>VALUE(10565)</f>
        <v>10565</v>
      </c>
      <c r="N7534" t="s">
        <v>25</v>
      </c>
    </row>
    <row r="7535" spans="1:14" x14ac:dyDescent="0.25">
      <c r="A7535" t="s">
        <v>42</v>
      </c>
      <c r="B7535" t="s">
        <v>40</v>
      </c>
      <c r="C7535" t="s">
        <v>37</v>
      </c>
      <c r="D7535" t="s">
        <v>15</v>
      </c>
      <c r="E7535" t="s">
        <v>21</v>
      </c>
      <c r="F7535" t="s">
        <v>19</v>
      </c>
      <c r="G7535" s="2">
        <f>VALUE(591.39)</f>
        <v>591.39</v>
      </c>
      <c r="H7535" s="3">
        <f>VALUE(541.8)</f>
        <v>541.79999999999995</v>
      </c>
      <c r="I7535" s="1">
        <f>VALUE(3810)</f>
        <v>3810</v>
      </c>
      <c r="J7535" s="5">
        <f>VALUE(4953)</f>
        <v>4953</v>
      </c>
      <c r="K7535" s="6">
        <f>VALUE(6808)</f>
        <v>6808</v>
      </c>
      <c r="L7535" s="1">
        <f>VALUE(8381)</f>
        <v>8381</v>
      </c>
      <c r="M7535" s="1">
        <f>VALUE(10197)</f>
        <v>10197</v>
      </c>
      <c r="N7535" t="s">
        <v>25</v>
      </c>
    </row>
    <row r="7536" spans="1:14" x14ac:dyDescent="0.25">
      <c r="A7536" t="s">
        <v>42</v>
      </c>
      <c r="B7536" t="s">
        <v>40</v>
      </c>
      <c r="C7536" t="s">
        <v>37</v>
      </c>
      <c r="D7536" t="s">
        <v>15</v>
      </c>
      <c r="E7536" t="s">
        <v>21</v>
      </c>
      <c r="F7536" t="s">
        <v>20</v>
      </c>
      <c r="G7536" s="1">
        <f>VALUE(1709.57)</f>
        <v>1709.57</v>
      </c>
      <c r="H7536" s="3">
        <f>VALUE(1260.95)</f>
        <v>1260.95</v>
      </c>
      <c r="I7536" s="4">
        <f>VALUE(3476)</f>
        <v>3476</v>
      </c>
      <c r="J7536" s="1">
        <f>VALUE(4652)</f>
        <v>4652</v>
      </c>
      <c r="K7536" s="1">
        <f>VALUE(5777)</f>
        <v>5777</v>
      </c>
      <c r="L7536" s="1">
        <f>VALUE(7280)</f>
        <v>7280</v>
      </c>
      <c r="M7536" s="1">
        <f>VALUE(8464)</f>
        <v>8464</v>
      </c>
      <c r="N7536" t="s">
        <v>25</v>
      </c>
    </row>
    <row r="7537" spans="1:14" x14ac:dyDescent="0.25">
      <c r="A7537" t="s">
        <v>42</v>
      </c>
      <c r="B7537" t="s">
        <v>40</v>
      </c>
      <c r="C7537" t="s">
        <v>37</v>
      </c>
      <c r="D7537" t="s">
        <v>15</v>
      </c>
      <c r="E7537" t="s">
        <v>22</v>
      </c>
      <c r="F7537" t="s">
        <v>15</v>
      </c>
      <c r="G7537" s="1">
        <f>VALUE(10408.33)</f>
        <v>10408.33</v>
      </c>
      <c r="H7537" s="1">
        <f>VALUE(8101.94)</f>
        <v>8101.94</v>
      </c>
      <c r="I7537" s="1">
        <f>VALUE(3255)</f>
        <v>3255</v>
      </c>
      <c r="J7537" s="1">
        <f>VALUE(4191)</f>
        <v>4191</v>
      </c>
      <c r="K7537" s="1">
        <f>VALUE(5298)</f>
        <v>5298</v>
      </c>
      <c r="L7537" s="1">
        <f>VALUE(6476)</f>
        <v>6476</v>
      </c>
      <c r="M7537" s="1">
        <f>VALUE(7929)</f>
        <v>7929</v>
      </c>
      <c r="N7537" t="s">
        <v>16</v>
      </c>
    </row>
    <row r="7538" spans="1:14" x14ac:dyDescent="0.25">
      <c r="A7538" t="s">
        <v>42</v>
      </c>
      <c r="B7538" t="s">
        <v>40</v>
      </c>
      <c r="C7538" t="s">
        <v>37</v>
      </c>
      <c r="D7538" t="s">
        <v>15</v>
      </c>
      <c r="E7538" t="s">
        <v>22</v>
      </c>
      <c r="F7538" t="s">
        <v>17</v>
      </c>
      <c r="G7538" s="2">
        <f>VALUE(1049.97)</f>
        <v>1049.97</v>
      </c>
      <c r="H7538" s="3">
        <f>VALUE(948.01)</f>
        <v>948.01</v>
      </c>
      <c r="I7538" s="4">
        <f>VALUE(3333)</f>
        <v>3333</v>
      </c>
      <c r="J7538" s="5">
        <f>VALUE(4465)</f>
        <v>4465</v>
      </c>
      <c r="K7538" s="6">
        <f>VALUE(6422)</f>
        <v>6422</v>
      </c>
      <c r="L7538" s="7">
        <f>VALUE(9093)</f>
        <v>9093</v>
      </c>
      <c r="M7538" s="1">
        <f>VALUE(11190)</f>
        <v>11190</v>
      </c>
      <c r="N7538" t="s">
        <v>25</v>
      </c>
    </row>
    <row r="7539" spans="1:14" x14ac:dyDescent="0.25">
      <c r="A7539" t="s">
        <v>42</v>
      </c>
      <c r="B7539" t="s">
        <v>40</v>
      </c>
      <c r="C7539" t="s">
        <v>37</v>
      </c>
      <c r="D7539" t="s">
        <v>15</v>
      </c>
      <c r="E7539" t="s">
        <v>22</v>
      </c>
      <c r="F7539" t="s">
        <v>18</v>
      </c>
      <c r="G7539" s="2">
        <f>VALUE(1119.09)</f>
        <v>1119.0899999999999</v>
      </c>
      <c r="H7539" s="3">
        <f>VALUE(883.53)</f>
        <v>883.53</v>
      </c>
      <c r="I7539" s="4">
        <f>VALUE(3613)</f>
        <v>3613</v>
      </c>
      <c r="J7539" s="1">
        <f>VALUE(4813)</f>
        <v>4813</v>
      </c>
      <c r="K7539" s="1">
        <f>VALUE(5965)</f>
        <v>5965</v>
      </c>
      <c r="L7539" s="1">
        <f>VALUE(7564)</f>
        <v>7564</v>
      </c>
      <c r="M7539" s="8">
        <f>VALUE(8831)</f>
        <v>8831</v>
      </c>
      <c r="N7539" t="s">
        <v>25</v>
      </c>
    </row>
    <row r="7540" spans="1:14" x14ac:dyDescent="0.25">
      <c r="A7540" t="s">
        <v>42</v>
      </c>
      <c r="B7540" t="s">
        <v>40</v>
      </c>
      <c r="C7540" t="s">
        <v>37</v>
      </c>
      <c r="D7540" t="s">
        <v>15</v>
      </c>
      <c r="E7540" t="s">
        <v>22</v>
      </c>
      <c r="F7540" t="s">
        <v>19</v>
      </c>
      <c r="G7540" s="2">
        <f>VALUE(1806.35)</f>
        <v>1806.35</v>
      </c>
      <c r="H7540" s="3">
        <f>VALUE(1411.04)</f>
        <v>1411.04</v>
      </c>
      <c r="I7540" s="1">
        <f>VALUE(3720)</f>
        <v>3720</v>
      </c>
      <c r="J7540" s="1">
        <f>VALUE(4519)</f>
        <v>4519</v>
      </c>
      <c r="K7540" s="1">
        <f>VALUE(5417)</f>
        <v>5417</v>
      </c>
      <c r="L7540" s="1">
        <f>VALUE(6568)</f>
        <v>6568</v>
      </c>
      <c r="M7540" s="1">
        <f>VALUE(7453)</f>
        <v>7453</v>
      </c>
      <c r="N7540" t="s">
        <v>25</v>
      </c>
    </row>
    <row r="7541" spans="1:14" x14ac:dyDescent="0.25">
      <c r="A7541" t="s">
        <v>42</v>
      </c>
      <c r="B7541" t="s">
        <v>40</v>
      </c>
      <c r="C7541" t="s">
        <v>37</v>
      </c>
      <c r="D7541" t="s">
        <v>15</v>
      </c>
      <c r="E7541" t="s">
        <v>22</v>
      </c>
      <c r="F7541" t="s">
        <v>20</v>
      </c>
      <c r="G7541" s="1">
        <f>VALUE(6432.92)</f>
        <v>6432.92</v>
      </c>
      <c r="H7541" s="1">
        <f>VALUE(4859.36)</f>
        <v>4859.3599999999997</v>
      </c>
      <c r="I7541" s="1">
        <f>VALUE(3106)</f>
        <v>3106</v>
      </c>
      <c r="J7541" s="1">
        <f>VALUE(3994)</f>
        <v>3994</v>
      </c>
      <c r="K7541" s="1">
        <f>VALUE(4995)</f>
        <v>4995</v>
      </c>
      <c r="L7541" s="1">
        <f>VALUE(5949)</f>
        <v>5949</v>
      </c>
      <c r="M7541" s="1">
        <f>VALUE(7018)</f>
        <v>7018</v>
      </c>
      <c r="N7541" t="s">
        <v>16</v>
      </c>
    </row>
    <row r="7542" spans="1:14" x14ac:dyDescent="0.25">
      <c r="A7542" t="s">
        <v>42</v>
      </c>
      <c r="B7542" t="s">
        <v>40</v>
      </c>
      <c r="C7542" t="s">
        <v>37</v>
      </c>
      <c r="D7542" t="s">
        <v>15</v>
      </c>
      <c r="E7542" t="s">
        <v>23</v>
      </c>
      <c r="F7542" t="s">
        <v>15</v>
      </c>
      <c r="G7542" s="1">
        <f>VALUE(8057.87)</f>
        <v>8057.87</v>
      </c>
      <c r="H7542" s="1">
        <f>VALUE(6407.47)</f>
        <v>6407.47</v>
      </c>
      <c r="I7542" s="1">
        <f>VALUE(2590)</f>
        <v>2590</v>
      </c>
      <c r="J7542" s="1">
        <f>VALUE(2962)</f>
        <v>2962</v>
      </c>
      <c r="K7542" s="1">
        <f>VALUE(3504)</f>
        <v>3504</v>
      </c>
      <c r="L7542" s="1">
        <f>VALUE(4085)</f>
        <v>4085</v>
      </c>
      <c r="M7542" s="1">
        <f>VALUE(4770)</f>
        <v>4770</v>
      </c>
      <c r="N7542" t="s">
        <v>16</v>
      </c>
    </row>
    <row r="7543" spans="1:14" x14ac:dyDescent="0.25">
      <c r="A7543" t="s">
        <v>42</v>
      </c>
      <c r="B7543" t="s">
        <v>40</v>
      </c>
      <c r="C7543" t="s">
        <v>37</v>
      </c>
      <c r="D7543" t="s">
        <v>15</v>
      </c>
      <c r="E7543" t="s">
        <v>23</v>
      </c>
      <c r="F7543" t="s">
        <v>17</v>
      </c>
      <c r="G7543" s="1" t="str">
        <f t="shared" ref="G7543:M7543" si="1653">"X"</f>
        <v>X</v>
      </c>
      <c r="H7543" s="1" t="str">
        <f t="shared" si="1653"/>
        <v>X</v>
      </c>
      <c r="I7543" s="1" t="str">
        <f t="shared" si="1653"/>
        <v>X</v>
      </c>
      <c r="J7543" s="1" t="str">
        <f t="shared" si="1653"/>
        <v>X</v>
      </c>
      <c r="K7543" s="1" t="str">
        <f t="shared" si="1653"/>
        <v>X</v>
      </c>
      <c r="L7543" s="1" t="str">
        <f t="shared" si="1653"/>
        <v>X</v>
      </c>
      <c r="M7543" s="1" t="str">
        <f t="shared" si="1653"/>
        <v>X</v>
      </c>
      <c r="N7543" t="s">
        <v>27</v>
      </c>
    </row>
    <row r="7544" spans="1:14" x14ac:dyDescent="0.25">
      <c r="A7544" t="s">
        <v>42</v>
      </c>
      <c r="B7544" t="s">
        <v>40</v>
      </c>
      <c r="C7544" t="s">
        <v>37</v>
      </c>
      <c r="D7544" t="s">
        <v>15</v>
      </c>
      <c r="E7544" t="s">
        <v>23</v>
      </c>
      <c r="F7544" t="s">
        <v>18</v>
      </c>
      <c r="G7544" s="2">
        <f>VALUE(216.9)</f>
        <v>216.9</v>
      </c>
      <c r="H7544" s="3">
        <f>VALUE(198.97)</f>
        <v>198.97</v>
      </c>
      <c r="I7544" s="4">
        <f>VALUE(3268)</f>
        <v>3268</v>
      </c>
      <c r="J7544" s="1">
        <f>VALUE(3365)</f>
        <v>3365</v>
      </c>
      <c r="K7544" s="6">
        <f>VALUE(3697)</f>
        <v>3697</v>
      </c>
      <c r="L7544" s="7">
        <f>VALUE(4712)</f>
        <v>4712</v>
      </c>
      <c r="M7544" s="8">
        <f>VALUE(5918)</f>
        <v>5918</v>
      </c>
      <c r="N7544" t="s">
        <v>25</v>
      </c>
    </row>
    <row r="7545" spans="1:14" x14ac:dyDescent="0.25">
      <c r="A7545" t="s">
        <v>42</v>
      </c>
      <c r="B7545" t="s">
        <v>40</v>
      </c>
      <c r="C7545" t="s">
        <v>37</v>
      </c>
      <c r="D7545" t="s">
        <v>15</v>
      </c>
      <c r="E7545" t="s">
        <v>23</v>
      </c>
      <c r="F7545" t="s">
        <v>19</v>
      </c>
      <c r="G7545" s="1">
        <f>VALUE(939.42)</f>
        <v>939.42</v>
      </c>
      <c r="H7545" s="1">
        <f>VALUE(903.26)</f>
        <v>903.26</v>
      </c>
      <c r="I7545" s="1">
        <f>VALUE(2697)</f>
        <v>2697</v>
      </c>
      <c r="J7545" s="1">
        <f>VALUE(2927)</f>
        <v>2927</v>
      </c>
      <c r="K7545" s="1">
        <f>VALUE(3247)</f>
        <v>3247</v>
      </c>
      <c r="L7545" s="7">
        <f>VALUE(3914)</f>
        <v>3914</v>
      </c>
      <c r="M7545" s="1">
        <f>VALUE(4599)</f>
        <v>4599</v>
      </c>
      <c r="N7545" t="s">
        <v>25</v>
      </c>
    </row>
    <row r="7546" spans="1:14" x14ac:dyDescent="0.25">
      <c r="A7546" t="s">
        <v>42</v>
      </c>
      <c r="B7546" t="s">
        <v>40</v>
      </c>
      <c r="C7546" t="s">
        <v>37</v>
      </c>
      <c r="D7546" t="s">
        <v>15</v>
      </c>
      <c r="E7546" t="s">
        <v>23</v>
      </c>
      <c r="F7546" t="s">
        <v>20</v>
      </c>
      <c r="G7546" s="1">
        <f>VALUE(6654.01)</f>
        <v>6654.01</v>
      </c>
      <c r="H7546" s="1">
        <f>VALUE(5078.8)</f>
        <v>5078.8</v>
      </c>
      <c r="I7546" s="1">
        <f>VALUE(2566)</f>
        <v>2566</v>
      </c>
      <c r="J7546" s="1">
        <f>VALUE(2947)</f>
        <v>2947</v>
      </c>
      <c r="K7546" s="1">
        <f>VALUE(3508)</f>
        <v>3508</v>
      </c>
      <c r="L7546" s="1">
        <f>VALUE(4074)</f>
        <v>4074</v>
      </c>
      <c r="M7546" s="1">
        <f>VALUE(4753)</f>
        <v>4753</v>
      </c>
      <c r="N7546" t="s">
        <v>16</v>
      </c>
    </row>
    <row r="7547" spans="1:14" x14ac:dyDescent="0.25">
      <c r="A7547" t="s">
        <v>42</v>
      </c>
      <c r="B7547" t="s">
        <v>40</v>
      </c>
      <c r="C7547" t="s">
        <v>37</v>
      </c>
      <c r="D7547" t="s">
        <v>15</v>
      </c>
      <c r="E7547" t="s">
        <v>26</v>
      </c>
      <c r="F7547" t="s">
        <v>15</v>
      </c>
      <c r="G7547" s="2">
        <f>VALUE(752.2)</f>
        <v>752.2</v>
      </c>
      <c r="H7547" s="3">
        <f>VALUE(627.69)</f>
        <v>627.69000000000005</v>
      </c>
      <c r="I7547" s="4">
        <f>VALUE(3017)</f>
        <v>3017</v>
      </c>
      <c r="J7547" s="1">
        <f>VALUE(3508)</f>
        <v>3508</v>
      </c>
      <c r="K7547" s="6">
        <f>VALUE(4752)</f>
        <v>4752</v>
      </c>
      <c r="L7547" s="7">
        <f>VALUE(6559)</f>
        <v>6559</v>
      </c>
      <c r="M7547" s="8">
        <f>VALUE(8525)</f>
        <v>8525</v>
      </c>
      <c r="N7547" t="s">
        <v>25</v>
      </c>
    </row>
    <row r="7548" spans="1:14" x14ac:dyDescent="0.25">
      <c r="A7548" t="s">
        <v>42</v>
      </c>
      <c r="B7548" t="s">
        <v>40</v>
      </c>
      <c r="C7548" t="s">
        <v>37</v>
      </c>
      <c r="D7548" t="s">
        <v>15</v>
      </c>
      <c r="E7548" t="s">
        <v>26</v>
      </c>
      <c r="F7548" t="s">
        <v>17</v>
      </c>
      <c r="G7548" s="1" t="str">
        <f t="shared" ref="G7548:M7550" si="1654">"X"</f>
        <v>X</v>
      </c>
      <c r="H7548" s="1" t="str">
        <f t="shared" si="1654"/>
        <v>X</v>
      </c>
      <c r="I7548" s="1" t="str">
        <f t="shared" si="1654"/>
        <v>X</v>
      </c>
      <c r="J7548" s="1" t="str">
        <f t="shared" si="1654"/>
        <v>X</v>
      </c>
      <c r="K7548" s="1" t="str">
        <f t="shared" si="1654"/>
        <v>X</v>
      </c>
      <c r="L7548" s="1" t="str">
        <f t="shared" si="1654"/>
        <v>X</v>
      </c>
      <c r="M7548" s="1" t="str">
        <f t="shared" si="1654"/>
        <v>X</v>
      </c>
      <c r="N7548" t="s">
        <v>27</v>
      </c>
    </row>
    <row r="7549" spans="1:14" x14ac:dyDescent="0.25">
      <c r="A7549" t="s">
        <v>42</v>
      </c>
      <c r="B7549" t="s">
        <v>40</v>
      </c>
      <c r="C7549" t="s">
        <v>37</v>
      </c>
      <c r="D7549" t="s">
        <v>15</v>
      </c>
      <c r="E7549" t="s">
        <v>26</v>
      </c>
      <c r="F7549" t="s">
        <v>18</v>
      </c>
      <c r="G7549" s="1" t="str">
        <f t="shared" si="1654"/>
        <v>X</v>
      </c>
      <c r="H7549" s="1" t="str">
        <f t="shared" si="1654"/>
        <v>X</v>
      </c>
      <c r="I7549" s="1" t="str">
        <f t="shared" si="1654"/>
        <v>X</v>
      </c>
      <c r="J7549" s="1" t="str">
        <f t="shared" si="1654"/>
        <v>X</v>
      </c>
      <c r="K7549" s="1" t="str">
        <f t="shared" si="1654"/>
        <v>X</v>
      </c>
      <c r="L7549" s="1" t="str">
        <f t="shared" si="1654"/>
        <v>X</v>
      </c>
      <c r="M7549" s="1" t="str">
        <f t="shared" si="1654"/>
        <v>X</v>
      </c>
      <c r="N7549" t="s">
        <v>27</v>
      </c>
    </row>
    <row r="7550" spans="1:14" x14ac:dyDescent="0.25">
      <c r="A7550" t="s">
        <v>42</v>
      </c>
      <c r="B7550" t="s">
        <v>40</v>
      </c>
      <c r="C7550" t="s">
        <v>37</v>
      </c>
      <c r="D7550" t="s">
        <v>15</v>
      </c>
      <c r="E7550" t="s">
        <v>26</v>
      </c>
      <c r="F7550" t="s">
        <v>19</v>
      </c>
      <c r="G7550" s="1" t="str">
        <f t="shared" si="1654"/>
        <v>X</v>
      </c>
      <c r="H7550" s="1" t="str">
        <f t="shared" si="1654"/>
        <v>X</v>
      </c>
      <c r="I7550" s="1" t="str">
        <f t="shared" si="1654"/>
        <v>X</v>
      </c>
      <c r="J7550" s="1" t="str">
        <f t="shared" si="1654"/>
        <v>X</v>
      </c>
      <c r="K7550" s="1" t="str">
        <f t="shared" si="1654"/>
        <v>X</v>
      </c>
      <c r="L7550" s="1" t="str">
        <f t="shared" si="1654"/>
        <v>X</v>
      </c>
      <c r="M7550" s="1" t="str">
        <f t="shared" si="1654"/>
        <v>X</v>
      </c>
      <c r="N7550" t="s">
        <v>27</v>
      </c>
    </row>
    <row r="7551" spans="1:14" x14ac:dyDescent="0.25">
      <c r="A7551" t="s">
        <v>42</v>
      </c>
      <c r="B7551" t="s">
        <v>40</v>
      </c>
      <c r="C7551" t="s">
        <v>37</v>
      </c>
      <c r="D7551" t="s">
        <v>15</v>
      </c>
      <c r="E7551" t="s">
        <v>26</v>
      </c>
      <c r="F7551" t="s">
        <v>20</v>
      </c>
      <c r="G7551" s="2">
        <f>VALUE(630.54)</f>
        <v>630.54</v>
      </c>
      <c r="H7551" s="3">
        <f>VALUE(514.37)</f>
        <v>514.37</v>
      </c>
      <c r="I7551" s="4">
        <f>VALUE(2922)</f>
        <v>2922</v>
      </c>
      <c r="J7551" s="1">
        <f>VALUE(3469)</f>
        <v>3469</v>
      </c>
      <c r="K7551" s="6">
        <f>VALUE(4327)</f>
        <v>4327</v>
      </c>
      <c r="L7551" s="1">
        <f>VALUE(5881)</f>
        <v>5881</v>
      </c>
      <c r="M7551" s="1">
        <f>VALUE(7234)</f>
        <v>7234</v>
      </c>
      <c r="N7551" t="s">
        <v>25</v>
      </c>
    </row>
    <row r="7552" spans="1:14" x14ac:dyDescent="0.25">
      <c r="A7552" t="s">
        <v>42</v>
      </c>
      <c r="B7552" t="s">
        <v>40</v>
      </c>
      <c r="C7552" t="s">
        <v>37</v>
      </c>
      <c r="D7552" t="s">
        <v>28</v>
      </c>
      <c r="E7552" t="s">
        <v>15</v>
      </c>
      <c r="F7552" t="s">
        <v>15</v>
      </c>
      <c r="G7552" s="1">
        <f>VALUE(10667.49)</f>
        <v>10667.49</v>
      </c>
      <c r="H7552" s="1">
        <f>VALUE(7688.87)</f>
        <v>7688.87</v>
      </c>
      <c r="I7552" s="1">
        <f>VALUE(3315)</f>
        <v>3315</v>
      </c>
      <c r="J7552" s="1">
        <f>VALUE(4286)</f>
        <v>4286</v>
      </c>
      <c r="K7552" s="1">
        <f>VALUE(5444)</f>
        <v>5444</v>
      </c>
      <c r="L7552" s="1">
        <f>VALUE(6855)</f>
        <v>6855</v>
      </c>
      <c r="M7552" s="1">
        <f>VALUE(8854)</f>
        <v>8854</v>
      </c>
      <c r="N7552" t="s">
        <v>16</v>
      </c>
    </row>
    <row r="7553" spans="1:14" x14ac:dyDescent="0.25">
      <c r="A7553" t="s">
        <v>42</v>
      </c>
      <c r="B7553" t="s">
        <v>40</v>
      </c>
      <c r="C7553" t="s">
        <v>37</v>
      </c>
      <c r="D7553" t="s">
        <v>28</v>
      </c>
      <c r="E7553" t="s">
        <v>15</v>
      </c>
      <c r="F7553" t="s">
        <v>17</v>
      </c>
      <c r="G7553" s="2">
        <f>VALUE(1451.35)</f>
        <v>1451.35</v>
      </c>
      <c r="H7553" s="3">
        <f>VALUE(1217.86)</f>
        <v>1217.8599999999999</v>
      </c>
      <c r="I7553" s="4">
        <f>VALUE(3508)</f>
        <v>3508</v>
      </c>
      <c r="J7553" s="5">
        <f>VALUE(4667)</f>
        <v>4667</v>
      </c>
      <c r="K7553" s="6">
        <f>VALUE(7134)</f>
        <v>7134</v>
      </c>
      <c r="L7553" s="1">
        <f>VALUE(9451)</f>
        <v>9451</v>
      </c>
      <c r="M7553" s="1">
        <f>VALUE(13399)</f>
        <v>13399</v>
      </c>
      <c r="N7553" t="s">
        <v>25</v>
      </c>
    </row>
    <row r="7554" spans="1:14" x14ac:dyDescent="0.25">
      <c r="A7554" t="s">
        <v>42</v>
      </c>
      <c r="B7554" t="s">
        <v>40</v>
      </c>
      <c r="C7554" t="s">
        <v>37</v>
      </c>
      <c r="D7554" t="s">
        <v>28</v>
      </c>
      <c r="E7554" t="s">
        <v>15</v>
      </c>
      <c r="F7554" t="s">
        <v>18</v>
      </c>
      <c r="G7554" s="2">
        <f>VALUE(1183.78)</f>
        <v>1183.78</v>
      </c>
      <c r="H7554" s="3">
        <f>VALUE(863.62)</f>
        <v>863.62</v>
      </c>
      <c r="I7554" s="4">
        <f>VALUE(4168)</f>
        <v>4168</v>
      </c>
      <c r="J7554" s="1">
        <f>VALUE(5079)</f>
        <v>5079</v>
      </c>
      <c r="K7554" s="1">
        <f>VALUE(6488)</f>
        <v>6488</v>
      </c>
      <c r="L7554" s="1">
        <f>VALUE(8090)</f>
        <v>8090</v>
      </c>
      <c r="M7554" s="8">
        <f>VALUE(9964)</f>
        <v>9964</v>
      </c>
      <c r="N7554" t="s">
        <v>25</v>
      </c>
    </row>
    <row r="7555" spans="1:14" x14ac:dyDescent="0.25">
      <c r="A7555" t="s">
        <v>42</v>
      </c>
      <c r="B7555" t="s">
        <v>40</v>
      </c>
      <c r="C7555" t="s">
        <v>37</v>
      </c>
      <c r="D7555" t="s">
        <v>28</v>
      </c>
      <c r="E7555" t="s">
        <v>15</v>
      </c>
      <c r="F7555" t="s">
        <v>19</v>
      </c>
      <c r="G7555" s="2">
        <f>VALUE(1434.98)</f>
        <v>1434.98</v>
      </c>
      <c r="H7555" s="3">
        <f>VALUE(1078.19)</f>
        <v>1078.19</v>
      </c>
      <c r="I7555" s="4">
        <f>VALUE(3941)</f>
        <v>3941</v>
      </c>
      <c r="J7555" s="1">
        <f>VALUE(4762)</f>
        <v>4762</v>
      </c>
      <c r="K7555" s="1">
        <f>VALUE(5960)</f>
        <v>5960</v>
      </c>
      <c r="L7555" s="1">
        <f>VALUE(7036)</f>
        <v>7036</v>
      </c>
      <c r="M7555" s="1">
        <f>VALUE(8290)</f>
        <v>8290</v>
      </c>
      <c r="N7555" t="s">
        <v>25</v>
      </c>
    </row>
    <row r="7556" spans="1:14" x14ac:dyDescent="0.25">
      <c r="A7556" t="s">
        <v>42</v>
      </c>
      <c r="B7556" t="s">
        <v>40</v>
      </c>
      <c r="C7556" t="s">
        <v>37</v>
      </c>
      <c r="D7556" t="s">
        <v>28</v>
      </c>
      <c r="E7556" t="s">
        <v>15</v>
      </c>
      <c r="F7556" t="s">
        <v>20</v>
      </c>
      <c r="G7556" s="1">
        <f>VALUE(6597.38)</f>
        <v>6597.38</v>
      </c>
      <c r="H7556" s="1">
        <f>VALUE(4529.2)</f>
        <v>4529.2</v>
      </c>
      <c r="I7556" s="1">
        <f>VALUE(3151)</f>
        <v>3151</v>
      </c>
      <c r="J7556" s="1">
        <f>VALUE(4021)</f>
        <v>4021</v>
      </c>
      <c r="K7556" s="1">
        <f>VALUE(4979)</f>
        <v>4979</v>
      </c>
      <c r="L7556" s="1">
        <f>VALUE(6078)</f>
        <v>6078</v>
      </c>
      <c r="M7556" s="1">
        <f>VALUE(7365)</f>
        <v>7365</v>
      </c>
      <c r="N7556" t="s">
        <v>16</v>
      </c>
    </row>
    <row r="7557" spans="1:14" x14ac:dyDescent="0.25">
      <c r="A7557" t="s">
        <v>42</v>
      </c>
      <c r="B7557" t="s">
        <v>40</v>
      </c>
      <c r="C7557" t="s">
        <v>37</v>
      </c>
      <c r="D7557" t="s">
        <v>28</v>
      </c>
      <c r="E7557" t="s">
        <v>21</v>
      </c>
      <c r="F7557" t="s">
        <v>15</v>
      </c>
      <c r="G7557" s="1">
        <f>VALUE(2060.8)</f>
        <v>2060.8000000000002</v>
      </c>
      <c r="H7557" s="3">
        <f>VALUE(1485.44)</f>
        <v>1485.44</v>
      </c>
      <c r="I7557" s="4">
        <f>VALUE(4250)</f>
        <v>4250</v>
      </c>
      <c r="J7557" s="1">
        <f>VALUE(5555)</f>
        <v>5555</v>
      </c>
      <c r="K7557" s="1">
        <f>VALUE(7310)</f>
        <v>7310</v>
      </c>
      <c r="L7557" s="1">
        <f>VALUE(8969)</f>
        <v>8969</v>
      </c>
      <c r="M7557" s="8">
        <f>VALUE(11436)</f>
        <v>11436</v>
      </c>
      <c r="N7557" t="s">
        <v>25</v>
      </c>
    </row>
    <row r="7558" spans="1:14" x14ac:dyDescent="0.25">
      <c r="A7558" t="s">
        <v>42</v>
      </c>
      <c r="B7558" t="s">
        <v>40</v>
      </c>
      <c r="C7558" t="s">
        <v>37</v>
      </c>
      <c r="D7558" t="s">
        <v>28</v>
      </c>
      <c r="E7558" t="s">
        <v>21</v>
      </c>
      <c r="F7558" t="s">
        <v>17</v>
      </c>
      <c r="G7558" s="2">
        <f>VALUE(637.92)</f>
        <v>637.91999999999996</v>
      </c>
      <c r="H7558" s="3">
        <f>VALUE(498.22)</f>
        <v>498.22</v>
      </c>
      <c r="I7558" s="4">
        <f>VALUE(4600)</f>
        <v>4600</v>
      </c>
      <c r="J7558" s="5">
        <f>VALUE(6429)</f>
        <v>6429</v>
      </c>
      <c r="K7558" s="1">
        <f>VALUE(8249)</f>
        <v>8249</v>
      </c>
      <c r="L7558" s="7">
        <f>VALUE(10833)</f>
        <v>10833</v>
      </c>
      <c r="M7558" s="1">
        <f>VALUE(14553)</f>
        <v>14553</v>
      </c>
      <c r="N7558" t="s">
        <v>25</v>
      </c>
    </row>
    <row r="7559" spans="1:14" x14ac:dyDescent="0.25">
      <c r="A7559" t="s">
        <v>42</v>
      </c>
      <c r="B7559" t="s">
        <v>40</v>
      </c>
      <c r="C7559" t="s">
        <v>37</v>
      </c>
      <c r="D7559" t="s">
        <v>28</v>
      </c>
      <c r="E7559" t="s">
        <v>21</v>
      </c>
      <c r="F7559" t="s">
        <v>18</v>
      </c>
      <c r="G7559" s="2">
        <f>VALUE(397.06)</f>
        <v>397.06</v>
      </c>
      <c r="H7559" s="3">
        <f>VALUE(271.66)</f>
        <v>271.66000000000003</v>
      </c>
      <c r="I7559" s="1">
        <f>VALUE(4683)</f>
        <v>4683</v>
      </c>
      <c r="J7559" s="5">
        <f>VALUE(5916)</f>
        <v>5916</v>
      </c>
      <c r="K7559" s="6">
        <f>VALUE(7696)</f>
        <v>7696</v>
      </c>
      <c r="L7559" s="7">
        <f>VALUE(9964)</f>
        <v>9964</v>
      </c>
      <c r="M7559" s="1">
        <f>VALUE(11352)</f>
        <v>11352</v>
      </c>
      <c r="N7559" t="s">
        <v>25</v>
      </c>
    </row>
    <row r="7560" spans="1:14" x14ac:dyDescent="0.25">
      <c r="A7560" t="s">
        <v>42</v>
      </c>
      <c r="B7560" t="s">
        <v>40</v>
      </c>
      <c r="C7560" t="s">
        <v>37</v>
      </c>
      <c r="D7560" t="s">
        <v>28</v>
      </c>
      <c r="E7560" t="s">
        <v>21</v>
      </c>
      <c r="F7560" t="s">
        <v>19</v>
      </c>
      <c r="G7560" s="2">
        <f>VALUE(190.18)</f>
        <v>190.18</v>
      </c>
      <c r="H7560" s="3">
        <f>VALUE(164.63)</f>
        <v>164.63</v>
      </c>
      <c r="I7560" s="1">
        <f>VALUE(4332)</f>
        <v>4332</v>
      </c>
      <c r="J7560" s="1">
        <f>VALUE(6146)</f>
        <v>6146</v>
      </c>
      <c r="K7560" s="6">
        <f>VALUE(7266)</f>
        <v>7266</v>
      </c>
      <c r="L7560" s="7">
        <f>VALUE(9096)</f>
        <v>9096</v>
      </c>
      <c r="M7560" s="1">
        <f>VALUE(10773)</f>
        <v>10773</v>
      </c>
      <c r="N7560" t="s">
        <v>25</v>
      </c>
    </row>
    <row r="7561" spans="1:14" x14ac:dyDescent="0.25">
      <c r="A7561" t="s">
        <v>42</v>
      </c>
      <c r="B7561" t="s">
        <v>40</v>
      </c>
      <c r="C7561" t="s">
        <v>37</v>
      </c>
      <c r="D7561" t="s">
        <v>28</v>
      </c>
      <c r="E7561" t="s">
        <v>21</v>
      </c>
      <c r="F7561" t="s">
        <v>20</v>
      </c>
      <c r="G7561" s="2">
        <f>VALUE(835.64)</f>
        <v>835.64</v>
      </c>
      <c r="H7561" s="3">
        <f>VALUE(550.93)</f>
        <v>550.92999999999995</v>
      </c>
      <c r="I7561" s="4">
        <f>VALUE(3871)</f>
        <v>3871</v>
      </c>
      <c r="J7561" s="1">
        <f>VALUE(4824)</f>
        <v>4824</v>
      </c>
      <c r="K7561" s="1">
        <f>VALUE(6367)</f>
        <v>6367</v>
      </c>
      <c r="L7561" s="1">
        <f>VALUE(7556)</f>
        <v>7556</v>
      </c>
      <c r="M7561" s="1">
        <f>VALUE(8716)</f>
        <v>8716</v>
      </c>
      <c r="N7561" t="s">
        <v>25</v>
      </c>
    </row>
    <row r="7562" spans="1:14" x14ac:dyDescent="0.25">
      <c r="A7562" t="s">
        <v>42</v>
      </c>
      <c r="B7562" t="s">
        <v>40</v>
      </c>
      <c r="C7562" t="s">
        <v>37</v>
      </c>
      <c r="D7562" t="s">
        <v>28</v>
      </c>
      <c r="E7562" t="s">
        <v>22</v>
      </c>
      <c r="F7562" t="s">
        <v>15</v>
      </c>
      <c r="G7562" s="1">
        <f>VALUE(6635.85)</f>
        <v>6635.85</v>
      </c>
      <c r="H7562" s="1">
        <f>VALUE(4892.62)</f>
        <v>4892.62</v>
      </c>
      <c r="I7562" s="1">
        <f>VALUE(3378)</f>
        <v>3378</v>
      </c>
      <c r="J7562" s="1">
        <f>VALUE(4457)</f>
        <v>4457</v>
      </c>
      <c r="K7562" s="1">
        <f>VALUE(5489)</f>
        <v>5489</v>
      </c>
      <c r="L7562" s="1">
        <f>VALUE(6568)</f>
        <v>6568</v>
      </c>
      <c r="M7562" s="1">
        <f>VALUE(8125)</f>
        <v>8125</v>
      </c>
      <c r="N7562" t="s">
        <v>16</v>
      </c>
    </row>
    <row r="7563" spans="1:14" x14ac:dyDescent="0.25">
      <c r="A7563" t="s">
        <v>42</v>
      </c>
      <c r="B7563" t="s">
        <v>40</v>
      </c>
      <c r="C7563" t="s">
        <v>37</v>
      </c>
      <c r="D7563" t="s">
        <v>28</v>
      </c>
      <c r="E7563" t="s">
        <v>22</v>
      </c>
      <c r="F7563" t="s">
        <v>17</v>
      </c>
      <c r="G7563" s="2">
        <f>VALUE(715.3)</f>
        <v>715.3</v>
      </c>
      <c r="H7563" s="3">
        <f>VALUE(621.64)</f>
        <v>621.64</v>
      </c>
      <c r="I7563" s="4">
        <f>VALUE(3200)</f>
        <v>3200</v>
      </c>
      <c r="J7563" s="5">
        <f>VALUE(4461)</f>
        <v>4461</v>
      </c>
      <c r="K7563" s="6">
        <f>VALUE(6301)</f>
        <v>6301</v>
      </c>
      <c r="L7563" s="1">
        <f>VALUE(9060)</f>
        <v>9060</v>
      </c>
      <c r="M7563" s="8">
        <f>VALUE(11470)</f>
        <v>11470</v>
      </c>
      <c r="N7563" t="s">
        <v>25</v>
      </c>
    </row>
    <row r="7564" spans="1:14" x14ac:dyDescent="0.25">
      <c r="A7564" t="s">
        <v>42</v>
      </c>
      <c r="B7564" t="s">
        <v>40</v>
      </c>
      <c r="C7564" t="s">
        <v>37</v>
      </c>
      <c r="D7564" t="s">
        <v>28</v>
      </c>
      <c r="E7564" t="s">
        <v>22</v>
      </c>
      <c r="F7564" t="s">
        <v>18</v>
      </c>
      <c r="G7564" s="2">
        <f>VALUE(735.71)</f>
        <v>735.71</v>
      </c>
      <c r="H7564" s="3">
        <f>VALUE(546)</f>
        <v>546</v>
      </c>
      <c r="I7564" s="4">
        <f>VALUE(3636)</f>
        <v>3636</v>
      </c>
      <c r="J7564" s="1">
        <f>VALUE(4875)</f>
        <v>4875</v>
      </c>
      <c r="K7564" s="1">
        <f>VALUE(6019)</f>
        <v>6019</v>
      </c>
      <c r="L7564" s="1">
        <f>VALUE(7460)</f>
        <v>7460</v>
      </c>
      <c r="M7564" s="1">
        <f>VALUE(8658)</f>
        <v>8658</v>
      </c>
      <c r="N7564" t="s">
        <v>25</v>
      </c>
    </row>
    <row r="7565" spans="1:14" x14ac:dyDescent="0.25">
      <c r="A7565" t="s">
        <v>42</v>
      </c>
      <c r="B7565" t="s">
        <v>40</v>
      </c>
      <c r="C7565" t="s">
        <v>37</v>
      </c>
      <c r="D7565" t="s">
        <v>28</v>
      </c>
      <c r="E7565" t="s">
        <v>22</v>
      </c>
      <c r="F7565" t="s">
        <v>19</v>
      </c>
      <c r="G7565" s="2">
        <f>VALUE(1117.14)</f>
        <v>1117.1400000000001</v>
      </c>
      <c r="H7565" s="3">
        <f>VALUE(821.29)</f>
        <v>821.29</v>
      </c>
      <c r="I7565" s="4">
        <f>VALUE(4154)</f>
        <v>4154</v>
      </c>
      <c r="J7565" s="1">
        <f>VALUE(4830)</f>
        <v>4830</v>
      </c>
      <c r="K7565" s="1">
        <f>VALUE(5960)</f>
        <v>5960</v>
      </c>
      <c r="L7565" s="1">
        <f>VALUE(6737)</f>
        <v>6737</v>
      </c>
      <c r="M7565" s="1">
        <f>VALUE(7500)</f>
        <v>7500</v>
      </c>
      <c r="N7565" t="s">
        <v>25</v>
      </c>
    </row>
    <row r="7566" spans="1:14" x14ac:dyDescent="0.25">
      <c r="A7566" t="s">
        <v>42</v>
      </c>
      <c r="B7566" t="s">
        <v>40</v>
      </c>
      <c r="C7566" t="s">
        <v>37</v>
      </c>
      <c r="D7566" t="s">
        <v>28</v>
      </c>
      <c r="E7566" t="s">
        <v>22</v>
      </c>
      <c r="F7566" t="s">
        <v>20</v>
      </c>
      <c r="G7566" s="1">
        <f>VALUE(4067.7)</f>
        <v>4067.7</v>
      </c>
      <c r="H7566" s="1">
        <f>VALUE(2903.69)</f>
        <v>2903.69</v>
      </c>
      <c r="I7566" s="1">
        <f>VALUE(3274)</f>
        <v>3274</v>
      </c>
      <c r="J7566" s="1">
        <f>VALUE(4272)</f>
        <v>4272</v>
      </c>
      <c r="K7566" s="1">
        <f>VALUE(5291)</f>
        <v>5291</v>
      </c>
      <c r="L7566" s="1">
        <f>VALUE(6093)</f>
        <v>6093</v>
      </c>
      <c r="M7566" s="1">
        <f>VALUE(7024)</f>
        <v>7024</v>
      </c>
      <c r="N7566" t="s">
        <v>16</v>
      </c>
    </row>
    <row r="7567" spans="1:14" x14ac:dyDescent="0.25">
      <c r="A7567" t="s">
        <v>42</v>
      </c>
      <c r="B7567" t="s">
        <v>40</v>
      </c>
      <c r="C7567" t="s">
        <v>37</v>
      </c>
      <c r="D7567" t="s">
        <v>28</v>
      </c>
      <c r="E7567" t="s">
        <v>23</v>
      </c>
      <c r="F7567" t="s">
        <v>15</v>
      </c>
      <c r="G7567" s="2">
        <f>VALUE(1760.11)</f>
        <v>1760.11</v>
      </c>
      <c r="H7567" s="3">
        <f>VALUE(1146.54)</f>
        <v>1146.54</v>
      </c>
      <c r="I7567" s="4">
        <f>VALUE(2836)</f>
        <v>2836</v>
      </c>
      <c r="J7567" s="5">
        <f>VALUE(3611)</f>
        <v>3611</v>
      </c>
      <c r="K7567" s="1">
        <f>VALUE(4134)</f>
        <v>4134</v>
      </c>
      <c r="L7567" s="1">
        <f>VALUE(4754)</f>
        <v>4754</v>
      </c>
      <c r="M7567" s="1">
        <f>VALUE(5742)</f>
        <v>5742</v>
      </c>
      <c r="N7567" t="s">
        <v>25</v>
      </c>
    </row>
    <row r="7568" spans="1:14" x14ac:dyDescent="0.25">
      <c r="A7568" t="s">
        <v>42</v>
      </c>
      <c r="B7568" t="s">
        <v>40</v>
      </c>
      <c r="C7568" t="s">
        <v>37</v>
      </c>
      <c r="D7568" t="s">
        <v>28</v>
      </c>
      <c r="E7568" t="s">
        <v>23</v>
      </c>
      <c r="F7568" t="s">
        <v>17</v>
      </c>
      <c r="G7568" s="1" t="str">
        <f t="shared" ref="G7568:M7570" si="1655">"X"</f>
        <v>X</v>
      </c>
      <c r="H7568" s="1" t="str">
        <f t="shared" si="1655"/>
        <v>X</v>
      </c>
      <c r="I7568" s="1" t="str">
        <f t="shared" si="1655"/>
        <v>X</v>
      </c>
      <c r="J7568" s="1" t="str">
        <f t="shared" si="1655"/>
        <v>X</v>
      </c>
      <c r="K7568" s="1" t="str">
        <f t="shared" si="1655"/>
        <v>X</v>
      </c>
      <c r="L7568" s="1" t="str">
        <f t="shared" si="1655"/>
        <v>X</v>
      </c>
      <c r="M7568" s="1" t="str">
        <f t="shared" si="1655"/>
        <v>X</v>
      </c>
      <c r="N7568" t="s">
        <v>27</v>
      </c>
    </row>
    <row r="7569" spans="1:14" x14ac:dyDescent="0.25">
      <c r="A7569" t="s">
        <v>42</v>
      </c>
      <c r="B7569" t="s">
        <v>40</v>
      </c>
      <c r="C7569" t="s">
        <v>37</v>
      </c>
      <c r="D7569" t="s">
        <v>28</v>
      </c>
      <c r="E7569" t="s">
        <v>23</v>
      </c>
      <c r="F7569" t="s">
        <v>18</v>
      </c>
      <c r="G7569" s="1" t="str">
        <f t="shared" si="1655"/>
        <v>X</v>
      </c>
      <c r="H7569" s="1" t="str">
        <f t="shared" si="1655"/>
        <v>X</v>
      </c>
      <c r="I7569" s="1" t="str">
        <f t="shared" si="1655"/>
        <v>X</v>
      </c>
      <c r="J7569" s="1" t="str">
        <f t="shared" si="1655"/>
        <v>X</v>
      </c>
      <c r="K7569" s="1" t="str">
        <f t="shared" si="1655"/>
        <v>X</v>
      </c>
      <c r="L7569" s="1" t="str">
        <f t="shared" si="1655"/>
        <v>X</v>
      </c>
      <c r="M7569" s="1" t="str">
        <f t="shared" si="1655"/>
        <v>X</v>
      </c>
      <c r="N7569" t="s">
        <v>27</v>
      </c>
    </row>
    <row r="7570" spans="1:14" x14ac:dyDescent="0.25">
      <c r="A7570" t="s">
        <v>42</v>
      </c>
      <c r="B7570" t="s">
        <v>40</v>
      </c>
      <c r="C7570" t="s">
        <v>37</v>
      </c>
      <c r="D7570" t="s">
        <v>28</v>
      </c>
      <c r="E7570" t="s">
        <v>23</v>
      </c>
      <c r="F7570" t="s">
        <v>19</v>
      </c>
      <c r="G7570" s="1" t="str">
        <f t="shared" si="1655"/>
        <v>X</v>
      </c>
      <c r="H7570" s="1" t="str">
        <f t="shared" si="1655"/>
        <v>X</v>
      </c>
      <c r="I7570" s="1" t="str">
        <f t="shared" si="1655"/>
        <v>X</v>
      </c>
      <c r="J7570" s="1" t="str">
        <f t="shared" si="1655"/>
        <v>X</v>
      </c>
      <c r="K7570" s="1" t="str">
        <f t="shared" si="1655"/>
        <v>X</v>
      </c>
      <c r="L7570" s="1" t="str">
        <f t="shared" si="1655"/>
        <v>X</v>
      </c>
      <c r="M7570" s="1" t="str">
        <f t="shared" si="1655"/>
        <v>X</v>
      </c>
      <c r="N7570" t="s">
        <v>27</v>
      </c>
    </row>
    <row r="7571" spans="1:14" x14ac:dyDescent="0.25">
      <c r="A7571" t="s">
        <v>42</v>
      </c>
      <c r="B7571" t="s">
        <v>40</v>
      </c>
      <c r="C7571" t="s">
        <v>37</v>
      </c>
      <c r="D7571" t="s">
        <v>28</v>
      </c>
      <c r="E7571" t="s">
        <v>23</v>
      </c>
      <c r="F7571" t="s">
        <v>20</v>
      </c>
      <c r="G7571" s="2">
        <f>VALUE(1523.09)</f>
        <v>1523.09</v>
      </c>
      <c r="H7571" s="3">
        <f>VALUE(949.12)</f>
        <v>949.12</v>
      </c>
      <c r="I7571" s="4">
        <f>VALUE(2493)</f>
        <v>2493</v>
      </c>
      <c r="J7571" s="1">
        <f>VALUE(3508)</f>
        <v>3508</v>
      </c>
      <c r="K7571" s="1">
        <f>VALUE(4072)</f>
        <v>4072</v>
      </c>
      <c r="L7571" s="1">
        <f>VALUE(4677)</f>
        <v>4677</v>
      </c>
      <c r="M7571" s="1">
        <f>VALUE(5473)</f>
        <v>5473</v>
      </c>
      <c r="N7571" t="s">
        <v>25</v>
      </c>
    </row>
    <row r="7572" spans="1:14" x14ac:dyDescent="0.25">
      <c r="A7572" t="s">
        <v>42</v>
      </c>
      <c r="B7572" t="s">
        <v>40</v>
      </c>
      <c r="C7572" t="s">
        <v>37</v>
      </c>
      <c r="D7572" t="s">
        <v>28</v>
      </c>
      <c r="E7572" t="s">
        <v>26</v>
      </c>
      <c r="F7572" t="s">
        <v>15</v>
      </c>
      <c r="G7572" s="2">
        <f>VALUE(210.73)</f>
        <v>210.73</v>
      </c>
      <c r="H7572" s="3">
        <f>VALUE(164.27)</f>
        <v>164.27</v>
      </c>
      <c r="I7572" s="4">
        <f>VALUE(3445)</f>
        <v>3445</v>
      </c>
      <c r="J7572" s="5">
        <f>VALUE(4197)</f>
        <v>4197</v>
      </c>
      <c r="K7572" s="6">
        <f>VALUE(5022)</f>
        <v>5022</v>
      </c>
      <c r="L7572" s="1">
        <f>VALUE(7065)</f>
        <v>7065</v>
      </c>
      <c r="M7572" s="1">
        <f>VALUE(8525)</f>
        <v>8525</v>
      </c>
      <c r="N7572" t="s">
        <v>25</v>
      </c>
    </row>
    <row r="7573" spans="1:14" x14ac:dyDescent="0.25">
      <c r="A7573" t="s">
        <v>42</v>
      </c>
      <c r="B7573" t="s">
        <v>40</v>
      </c>
      <c r="C7573" t="s">
        <v>37</v>
      </c>
      <c r="D7573" t="s">
        <v>28</v>
      </c>
      <c r="E7573" t="s">
        <v>26</v>
      </c>
      <c r="F7573" t="s">
        <v>17</v>
      </c>
      <c r="G7573" s="1" t="str">
        <f t="shared" ref="G7573:M7575" si="1656">"X"</f>
        <v>X</v>
      </c>
      <c r="H7573" s="1" t="str">
        <f t="shared" si="1656"/>
        <v>X</v>
      </c>
      <c r="I7573" s="1" t="str">
        <f t="shared" si="1656"/>
        <v>X</v>
      </c>
      <c r="J7573" s="1" t="str">
        <f t="shared" si="1656"/>
        <v>X</v>
      </c>
      <c r="K7573" s="1" t="str">
        <f t="shared" si="1656"/>
        <v>X</v>
      </c>
      <c r="L7573" s="1" t="str">
        <f t="shared" si="1656"/>
        <v>X</v>
      </c>
      <c r="M7573" s="1" t="str">
        <f t="shared" si="1656"/>
        <v>X</v>
      </c>
      <c r="N7573" t="s">
        <v>27</v>
      </c>
    </row>
    <row r="7574" spans="1:14" x14ac:dyDescent="0.25">
      <c r="A7574" t="s">
        <v>42</v>
      </c>
      <c r="B7574" t="s">
        <v>40</v>
      </c>
      <c r="C7574" t="s">
        <v>37</v>
      </c>
      <c r="D7574" t="s">
        <v>28</v>
      </c>
      <c r="E7574" t="s">
        <v>26</v>
      </c>
      <c r="F7574" t="s">
        <v>18</v>
      </c>
      <c r="G7574" s="1" t="str">
        <f t="shared" si="1656"/>
        <v>X</v>
      </c>
      <c r="H7574" s="1" t="str">
        <f t="shared" si="1656"/>
        <v>X</v>
      </c>
      <c r="I7574" s="1" t="str">
        <f t="shared" si="1656"/>
        <v>X</v>
      </c>
      <c r="J7574" s="1" t="str">
        <f t="shared" si="1656"/>
        <v>X</v>
      </c>
      <c r="K7574" s="1" t="str">
        <f t="shared" si="1656"/>
        <v>X</v>
      </c>
      <c r="L7574" s="1" t="str">
        <f t="shared" si="1656"/>
        <v>X</v>
      </c>
      <c r="M7574" s="1" t="str">
        <f t="shared" si="1656"/>
        <v>X</v>
      </c>
      <c r="N7574" t="s">
        <v>27</v>
      </c>
    </row>
    <row r="7575" spans="1:14" x14ac:dyDescent="0.25">
      <c r="A7575" t="s">
        <v>42</v>
      </c>
      <c r="B7575" t="s">
        <v>40</v>
      </c>
      <c r="C7575" t="s">
        <v>37</v>
      </c>
      <c r="D7575" t="s">
        <v>28</v>
      </c>
      <c r="E7575" t="s">
        <v>26</v>
      </c>
      <c r="F7575" t="s">
        <v>19</v>
      </c>
      <c r="G7575" s="1" t="str">
        <f t="shared" si="1656"/>
        <v>X</v>
      </c>
      <c r="H7575" s="1" t="str">
        <f t="shared" si="1656"/>
        <v>X</v>
      </c>
      <c r="I7575" s="1" t="str">
        <f t="shared" si="1656"/>
        <v>X</v>
      </c>
      <c r="J7575" s="1" t="str">
        <f t="shared" si="1656"/>
        <v>X</v>
      </c>
      <c r="K7575" s="1" t="str">
        <f t="shared" si="1656"/>
        <v>X</v>
      </c>
      <c r="L7575" s="1" t="str">
        <f t="shared" si="1656"/>
        <v>X</v>
      </c>
      <c r="M7575" s="1" t="str">
        <f t="shared" si="1656"/>
        <v>X</v>
      </c>
      <c r="N7575" t="s">
        <v>27</v>
      </c>
    </row>
    <row r="7576" spans="1:14" x14ac:dyDescent="0.25">
      <c r="A7576" t="s">
        <v>42</v>
      </c>
      <c r="B7576" t="s">
        <v>40</v>
      </c>
      <c r="C7576" t="s">
        <v>37</v>
      </c>
      <c r="D7576" t="s">
        <v>28</v>
      </c>
      <c r="E7576" t="s">
        <v>26</v>
      </c>
      <c r="F7576" t="s">
        <v>20</v>
      </c>
      <c r="G7576" s="2">
        <f>VALUE(170.95)</f>
        <v>170.95</v>
      </c>
      <c r="H7576" s="3">
        <f>VALUE(125.46)</f>
        <v>125.46</v>
      </c>
      <c r="I7576" s="4">
        <f>VALUE(3020)</f>
        <v>3020</v>
      </c>
      <c r="J7576" s="1">
        <f>VALUE(4206)</f>
        <v>4206</v>
      </c>
      <c r="K7576" s="1">
        <f>VALUE(5022)</f>
        <v>5022</v>
      </c>
      <c r="L7576" s="1">
        <f>VALUE(6820)</f>
        <v>6820</v>
      </c>
      <c r="M7576" s="1">
        <f>VALUE(7828)</f>
        <v>7828</v>
      </c>
      <c r="N7576" t="s">
        <v>25</v>
      </c>
    </row>
    <row r="7577" spans="1:14" x14ac:dyDescent="0.25">
      <c r="A7577" t="s">
        <v>42</v>
      </c>
      <c r="B7577" t="s">
        <v>40</v>
      </c>
      <c r="C7577" t="s">
        <v>37</v>
      </c>
      <c r="D7577" t="s">
        <v>29</v>
      </c>
      <c r="E7577" t="s">
        <v>15</v>
      </c>
      <c r="F7577" t="s">
        <v>15</v>
      </c>
      <c r="G7577" s="1">
        <f>VALUE(3301.36)</f>
        <v>3301.36</v>
      </c>
      <c r="H7577" s="1">
        <f>VALUE(2547.44)</f>
        <v>2547.44</v>
      </c>
      <c r="I7577" s="1">
        <f>VALUE(3350)</f>
        <v>3350</v>
      </c>
      <c r="J7577" s="1">
        <f>VALUE(3791)</f>
        <v>3791</v>
      </c>
      <c r="K7577" s="1">
        <f>VALUE(4582)</f>
        <v>4582</v>
      </c>
      <c r="L7577" s="1">
        <f>VALUE(6081)</f>
        <v>6081</v>
      </c>
      <c r="M7577" s="8">
        <f>VALUE(8214)</f>
        <v>8214</v>
      </c>
      <c r="N7577" t="s">
        <v>25</v>
      </c>
    </row>
    <row r="7578" spans="1:14" x14ac:dyDescent="0.25">
      <c r="A7578" t="s">
        <v>42</v>
      </c>
      <c r="B7578" t="s">
        <v>40</v>
      </c>
      <c r="C7578" t="s">
        <v>37</v>
      </c>
      <c r="D7578" t="s">
        <v>29</v>
      </c>
      <c r="E7578" t="s">
        <v>15</v>
      </c>
      <c r="F7578" t="s">
        <v>17</v>
      </c>
      <c r="G7578" s="2">
        <f>VALUE(452.43)</f>
        <v>452.43</v>
      </c>
      <c r="H7578" s="3">
        <f>VALUE(433.48)</f>
        <v>433.48</v>
      </c>
      <c r="I7578" s="4">
        <f>VALUE(3296)</f>
        <v>3296</v>
      </c>
      <c r="J7578" s="5">
        <f>VALUE(3852)</f>
        <v>3852</v>
      </c>
      <c r="K7578" s="6">
        <f>VALUE(6422)</f>
        <v>6422</v>
      </c>
      <c r="L7578" s="7">
        <f>VALUE(9975)</f>
        <v>9975</v>
      </c>
      <c r="M7578" s="8">
        <f>VALUE(12946)</f>
        <v>12946</v>
      </c>
      <c r="N7578" t="s">
        <v>24</v>
      </c>
    </row>
    <row r="7579" spans="1:14" x14ac:dyDescent="0.25">
      <c r="A7579" t="s">
        <v>42</v>
      </c>
      <c r="B7579" t="s">
        <v>40</v>
      </c>
      <c r="C7579" t="s">
        <v>37</v>
      </c>
      <c r="D7579" t="s">
        <v>29</v>
      </c>
      <c r="E7579" t="s">
        <v>15</v>
      </c>
      <c r="F7579" t="s">
        <v>18</v>
      </c>
      <c r="G7579" s="2">
        <f>VALUE(258.61)</f>
        <v>258.61</v>
      </c>
      <c r="H7579" s="3">
        <f>VALUE(214.09)</f>
        <v>214.09</v>
      </c>
      <c r="I7579" s="4">
        <f>VALUE(3464)</f>
        <v>3464</v>
      </c>
      <c r="J7579" s="5">
        <f>VALUE(4940)</f>
        <v>4940</v>
      </c>
      <c r="K7579" s="6">
        <f>VALUE(5616)</f>
        <v>5616</v>
      </c>
      <c r="L7579" s="1">
        <f>VALUE(7900)</f>
        <v>7900</v>
      </c>
      <c r="M7579" s="1">
        <f>VALUE(9796)</f>
        <v>9796</v>
      </c>
      <c r="N7579" t="s">
        <v>25</v>
      </c>
    </row>
    <row r="7580" spans="1:14" x14ac:dyDescent="0.25">
      <c r="A7580" t="s">
        <v>42</v>
      </c>
      <c r="B7580" t="s">
        <v>40</v>
      </c>
      <c r="C7580" t="s">
        <v>37</v>
      </c>
      <c r="D7580" t="s">
        <v>29</v>
      </c>
      <c r="E7580" t="s">
        <v>15</v>
      </c>
      <c r="F7580" t="s">
        <v>19</v>
      </c>
      <c r="G7580" s="2">
        <f>VALUE(418.82)</f>
        <v>418.82</v>
      </c>
      <c r="H7580" s="3">
        <f>VALUE(346.13)</f>
        <v>346.13</v>
      </c>
      <c r="I7580" s="4">
        <f>VALUE(3467)</f>
        <v>3467</v>
      </c>
      <c r="J7580" s="5">
        <f>VALUE(4333)</f>
        <v>4333</v>
      </c>
      <c r="K7580" s="1">
        <f>VALUE(5333)</f>
        <v>5333</v>
      </c>
      <c r="L7580" s="7">
        <f>VALUE(6360)</f>
        <v>6360</v>
      </c>
      <c r="M7580" s="1">
        <f>VALUE(7441)</f>
        <v>7441</v>
      </c>
      <c r="N7580" t="s">
        <v>25</v>
      </c>
    </row>
    <row r="7581" spans="1:14" x14ac:dyDescent="0.25">
      <c r="A7581" t="s">
        <v>42</v>
      </c>
      <c r="B7581" t="s">
        <v>40</v>
      </c>
      <c r="C7581" t="s">
        <v>37</v>
      </c>
      <c r="D7581" t="s">
        <v>29</v>
      </c>
      <c r="E7581" t="s">
        <v>15</v>
      </c>
      <c r="F7581" t="s">
        <v>20</v>
      </c>
      <c r="G7581" s="1">
        <f>VALUE(2171.5)</f>
        <v>2171.5</v>
      </c>
      <c r="H7581" s="1">
        <f>VALUE(1553.74)</f>
        <v>1553.74</v>
      </c>
      <c r="I7581" s="1">
        <f>VALUE(3283)</f>
        <v>3283</v>
      </c>
      <c r="J7581" s="1">
        <f>VALUE(3666)</f>
        <v>3666</v>
      </c>
      <c r="K7581" s="1">
        <f>VALUE(4176)</f>
        <v>4176</v>
      </c>
      <c r="L7581" s="1">
        <f>VALUE(5225)</f>
        <v>5225</v>
      </c>
      <c r="M7581" s="1">
        <f>VALUE(6604)</f>
        <v>6604</v>
      </c>
      <c r="N7581" t="s">
        <v>16</v>
      </c>
    </row>
    <row r="7582" spans="1:14" x14ac:dyDescent="0.25">
      <c r="A7582" t="s">
        <v>42</v>
      </c>
      <c r="B7582" t="s">
        <v>40</v>
      </c>
      <c r="C7582" t="s">
        <v>37</v>
      </c>
      <c r="D7582" t="s">
        <v>29</v>
      </c>
      <c r="E7582" t="s">
        <v>21</v>
      </c>
      <c r="F7582" t="s">
        <v>15</v>
      </c>
      <c r="G7582" s="2">
        <f>VALUE(498.48)</f>
        <v>498.48</v>
      </c>
      <c r="H7582" s="3">
        <f>VALUE(417.09)</f>
        <v>417.09</v>
      </c>
      <c r="I7582" s="1">
        <f>VALUE(4699)</f>
        <v>4699</v>
      </c>
      <c r="J7582" s="1">
        <f>VALUE(5417)</f>
        <v>5417</v>
      </c>
      <c r="K7582" s="6">
        <f>VALUE(7143)</f>
        <v>7143</v>
      </c>
      <c r="L7582" s="7">
        <f>VALUE(9108)</f>
        <v>9108</v>
      </c>
      <c r="M7582" s="8">
        <f>VALUE(11176)</f>
        <v>11176</v>
      </c>
      <c r="N7582" t="s">
        <v>25</v>
      </c>
    </row>
    <row r="7583" spans="1:14" x14ac:dyDescent="0.25">
      <c r="A7583" t="s">
        <v>42</v>
      </c>
      <c r="B7583" t="s">
        <v>40</v>
      </c>
      <c r="C7583" t="s">
        <v>37</v>
      </c>
      <c r="D7583" t="s">
        <v>29</v>
      </c>
      <c r="E7583" t="s">
        <v>21</v>
      </c>
      <c r="F7583" t="s">
        <v>17</v>
      </c>
      <c r="G7583" s="1" t="str">
        <f t="shared" ref="G7583:M7585" si="1657">"X"</f>
        <v>X</v>
      </c>
      <c r="H7583" s="1" t="str">
        <f t="shared" si="1657"/>
        <v>X</v>
      </c>
      <c r="I7583" s="1" t="str">
        <f t="shared" si="1657"/>
        <v>X</v>
      </c>
      <c r="J7583" s="1" t="str">
        <f t="shared" si="1657"/>
        <v>X</v>
      </c>
      <c r="K7583" s="1" t="str">
        <f t="shared" si="1657"/>
        <v>X</v>
      </c>
      <c r="L7583" s="1" t="str">
        <f t="shared" si="1657"/>
        <v>X</v>
      </c>
      <c r="M7583" s="1" t="str">
        <f t="shared" si="1657"/>
        <v>X</v>
      </c>
      <c r="N7583" t="s">
        <v>27</v>
      </c>
    </row>
    <row r="7584" spans="1:14" x14ac:dyDescent="0.25">
      <c r="A7584" t="s">
        <v>42</v>
      </c>
      <c r="B7584" t="s">
        <v>40</v>
      </c>
      <c r="C7584" t="s">
        <v>37</v>
      </c>
      <c r="D7584" t="s">
        <v>29</v>
      </c>
      <c r="E7584" t="s">
        <v>21</v>
      </c>
      <c r="F7584" t="s">
        <v>18</v>
      </c>
      <c r="G7584" s="1" t="str">
        <f t="shared" si="1657"/>
        <v>X</v>
      </c>
      <c r="H7584" s="1" t="str">
        <f t="shared" si="1657"/>
        <v>X</v>
      </c>
      <c r="I7584" s="1" t="str">
        <f t="shared" si="1657"/>
        <v>X</v>
      </c>
      <c r="J7584" s="1" t="str">
        <f t="shared" si="1657"/>
        <v>X</v>
      </c>
      <c r="K7584" s="1" t="str">
        <f t="shared" si="1657"/>
        <v>X</v>
      </c>
      <c r="L7584" s="1" t="str">
        <f t="shared" si="1657"/>
        <v>X</v>
      </c>
      <c r="M7584" s="1" t="str">
        <f t="shared" si="1657"/>
        <v>X</v>
      </c>
      <c r="N7584" t="s">
        <v>27</v>
      </c>
    </row>
    <row r="7585" spans="1:14" x14ac:dyDescent="0.25">
      <c r="A7585" t="s">
        <v>42</v>
      </c>
      <c r="B7585" t="s">
        <v>40</v>
      </c>
      <c r="C7585" t="s">
        <v>37</v>
      </c>
      <c r="D7585" t="s">
        <v>29</v>
      </c>
      <c r="E7585" t="s">
        <v>21</v>
      </c>
      <c r="F7585" t="s">
        <v>19</v>
      </c>
      <c r="G7585" s="1" t="str">
        <f t="shared" si="1657"/>
        <v>X</v>
      </c>
      <c r="H7585" s="1" t="str">
        <f t="shared" si="1657"/>
        <v>X</v>
      </c>
      <c r="I7585" s="1" t="str">
        <f t="shared" si="1657"/>
        <v>X</v>
      </c>
      <c r="J7585" s="1" t="str">
        <f t="shared" si="1657"/>
        <v>X</v>
      </c>
      <c r="K7585" s="1" t="str">
        <f t="shared" si="1657"/>
        <v>X</v>
      </c>
      <c r="L7585" s="1" t="str">
        <f t="shared" si="1657"/>
        <v>X</v>
      </c>
      <c r="M7585" s="1" t="str">
        <f t="shared" si="1657"/>
        <v>X</v>
      </c>
      <c r="N7585" t="s">
        <v>27</v>
      </c>
    </row>
    <row r="7586" spans="1:14" x14ac:dyDescent="0.25">
      <c r="A7586" t="s">
        <v>42</v>
      </c>
      <c r="B7586" t="s">
        <v>40</v>
      </c>
      <c r="C7586" t="s">
        <v>37</v>
      </c>
      <c r="D7586" t="s">
        <v>29</v>
      </c>
      <c r="E7586" t="s">
        <v>21</v>
      </c>
      <c r="F7586" t="s">
        <v>20</v>
      </c>
      <c r="G7586" s="2">
        <f>VALUE(171.02)</f>
        <v>171.02</v>
      </c>
      <c r="H7586" s="3">
        <f>VALUE(116.52)</f>
        <v>116.52</v>
      </c>
      <c r="I7586" s="4">
        <f>VALUE(4487)</f>
        <v>4487</v>
      </c>
      <c r="J7586" s="1">
        <f>VALUE(5217)</f>
        <v>5217</v>
      </c>
      <c r="K7586" s="1">
        <f>VALUE(6667)</f>
        <v>6667</v>
      </c>
      <c r="L7586" s="1">
        <f>VALUE(7665)</f>
        <v>7665</v>
      </c>
      <c r="M7586" s="1">
        <f>VALUE(8673)</f>
        <v>8673</v>
      </c>
      <c r="N7586" t="s">
        <v>25</v>
      </c>
    </row>
    <row r="7587" spans="1:14" x14ac:dyDescent="0.25">
      <c r="A7587" t="s">
        <v>42</v>
      </c>
      <c r="B7587" t="s">
        <v>40</v>
      </c>
      <c r="C7587" t="s">
        <v>37</v>
      </c>
      <c r="D7587" t="s">
        <v>29</v>
      </c>
      <c r="E7587" t="s">
        <v>22</v>
      </c>
      <c r="F7587" t="s">
        <v>15</v>
      </c>
      <c r="G7587" s="2">
        <f>VALUE(1139.84)</f>
        <v>1139.8399999999999</v>
      </c>
      <c r="H7587" s="3">
        <f>VALUE(940.41)</f>
        <v>940.41</v>
      </c>
      <c r="I7587" s="1">
        <f>VALUE(3765)</f>
        <v>3765</v>
      </c>
      <c r="J7587" s="1">
        <f>VALUE(4333)</f>
        <v>4333</v>
      </c>
      <c r="K7587" s="1">
        <f>VALUE(5316)</f>
        <v>5316</v>
      </c>
      <c r="L7587" s="1">
        <f>VALUE(6465)</f>
        <v>6465</v>
      </c>
      <c r="M7587" s="8">
        <f>VALUE(8050)</f>
        <v>8050</v>
      </c>
      <c r="N7587" t="s">
        <v>25</v>
      </c>
    </row>
    <row r="7588" spans="1:14" x14ac:dyDescent="0.25">
      <c r="A7588" t="s">
        <v>42</v>
      </c>
      <c r="B7588" t="s">
        <v>40</v>
      </c>
      <c r="C7588" t="s">
        <v>37</v>
      </c>
      <c r="D7588" t="s">
        <v>29</v>
      </c>
      <c r="E7588" t="s">
        <v>22</v>
      </c>
      <c r="F7588" t="s">
        <v>17</v>
      </c>
      <c r="G7588" s="1" t="str">
        <f t="shared" ref="G7588:M7590" si="1658">"X"</f>
        <v>X</v>
      </c>
      <c r="H7588" s="1" t="str">
        <f t="shared" si="1658"/>
        <v>X</v>
      </c>
      <c r="I7588" s="1" t="str">
        <f t="shared" si="1658"/>
        <v>X</v>
      </c>
      <c r="J7588" s="1" t="str">
        <f t="shared" si="1658"/>
        <v>X</v>
      </c>
      <c r="K7588" s="1" t="str">
        <f t="shared" si="1658"/>
        <v>X</v>
      </c>
      <c r="L7588" s="1" t="str">
        <f t="shared" si="1658"/>
        <v>X</v>
      </c>
      <c r="M7588" s="1" t="str">
        <f t="shared" si="1658"/>
        <v>X</v>
      </c>
      <c r="N7588" t="s">
        <v>27</v>
      </c>
    </row>
    <row r="7589" spans="1:14" x14ac:dyDescent="0.25">
      <c r="A7589" t="s">
        <v>42</v>
      </c>
      <c r="B7589" t="s">
        <v>40</v>
      </c>
      <c r="C7589" t="s">
        <v>37</v>
      </c>
      <c r="D7589" t="s">
        <v>29</v>
      </c>
      <c r="E7589" t="s">
        <v>22</v>
      </c>
      <c r="F7589" t="s">
        <v>18</v>
      </c>
      <c r="G7589" s="1" t="str">
        <f t="shared" si="1658"/>
        <v>X</v>
      </c>
      <c r="H7589" s="1" t="str">
        <f t="shared" si="1658"/>
        <v>X</v>
      </c>
      <c r="I7589" s="1" t="str">
        <f t="shared" si="1658"/>
        <v>X</v>
      </c>
      <c r="J7589" s="1" t="str">
        <f t="shared" si="1658"/>
        <v>X</v>
      </c>
      <c r="K7589" s="1" t="str">
        <f t="shared" si="1658"/>
        <v>X</v>
      </c>
      <c r="L7589" s="1" t="str">
        <f t="shared" si="1658"/>
        <v>X</v>
      </c>
      <c r="M7589" s="1" t="str">
        <f t="shared" si="1658"/>
        <v>X</v>
      </c>
      <c r="N7589" t="s">
        <v>27</v>
      </c>
    </row>
    <row r="7590" spans="1:14" x14ac:dyDescent="0.25">
      <c r="A7590" t="s">
        <v>42</v>
      </c>
      <c r="B7590" t="s">
        <v>40</v>
      </c>
      <c r="C7590" t="s">
        <v>37</v>
      </c>
      <c r="D7590" t="s">
        <v>29</v>
      </c>
      <c r="E7590" t="s">
        <v>22</v>
      </c>
      <c r="F7590" t="s">
        <v>19</v>
      </c>
      <c r="G7590" s="1" t="str">
        <f t="shared" si="1658"/>
        <v>X</v>
      </c>
      <c r="H7590" s="1" t="str">
        <f t="shared" si="1658"/>
        <v>X</v>
      </c>
      <c r="I7590" s="1" t="str">
        <f t="shared" si="1658"/>
        <v>X</v>
      </c>
      <c r="J7590" s="1" t="str">
        <f t="shared" si="1658"/>
        <v>X</v>
      </c>
      <c r="K7590" s="1" t="str">
        <f t="shared" si="1658"/>
        <v>X</v>
      </c>
      <c r="L7590" s="1" t="str">
        <f t="shared" si="1658"/>
        <v>X</v>
      </c>
      <c r="M7590" s="1" t="str">
        <f t="shared" si="1658"/>
        <v>X</v>
      </c>
      <c r="N7590" t="s">
        <v>27</v>
      </c>
    </row>
    <row r="7591" spans="1:14" x14ac:dyDescent="0.25">
      <c r="A7591" t="s">
        <v>42</v>
      </c>
      <c r="B7591" t="s">
        <v>40</v>
      </c>
      <c r="C7591" t="s">
        <v>37</v>
      </c>
      <c r="D7591" t="s">
        <v>29</v>
      </c>
      <c r="E7591" t="s">
        <v>22</v>
      </c>
      <c r="F7591" t="s">
        <v>20</v>
      </c>
      <c r="G7591" s="2">
        <f>VALUE(641.41)</f>
        <v>641.41</v>
      </c>
      <c r="H7591" s="3">
        <f>VALUE(516.12)</f>
        <v>516.12</v>
      </c>
      <c r="I7591" s="4">
        <f>VALUE(3535)</f>
        <v>3535</v>
      </c>
      <c r="J7591" s="1">
        <f>VALUE(4100)</f>
        <v>4100</v>
      </c>
      <c r="K7591" s="1">
        <f>VALUE(5102)</f>
        <v>5102</v>
      </c>
      <c r="L7591" s="1">
        <f>VALUE(5945)</f>
        <v>5945</v>
      </c>
      <c r="M7591" s="1">
        <f>VALUE(6785)</f>
        <v>6785</v>
      </c>
      <c r="N7591" t="s">
        <v>25</v>
      </c>
    </row>
    <row r="7592" spans="1:14" x14ac:dyDescent="0.25">
      <c r="A7592" t="s">
        <v>42</v>
      </c>
      <c r="B7592" t="s">
        <v>40</v>
      </c>
      <c r="C7592" t="s">
        <v>37</v>
      </c>
      <c r="D7592" t="s">
        <v>29</v>
      </c>
      <c r="E7592" t="s">
        <v>23</v>
      </c>
      <c r="F7592" t="s">
        <v>15</v>
      </c>
      <c r="G7592" s="2">
        <f>VALUE(1512.66)</f>
        <v>1512.66</v>
      </c>
      <c r="H7592" s="3">
        <f>VALUE(1068.38)</f>
        <v>1068.3800000000001</v>
      </c>
      <c r="I7592" s="4">
        <f>VALUE(3162)</f>
        <v>3162</v>
      </c>
      <c r="J7592" s="1">
        <f>VALUE(3488)</f>
        <v>3488</v>
      </c>
      <c r="K7592" s="1">
        <f>VALUE(3913)</f>
        <v>3913</v>
      </c>
      <c r="L7592" s="1">
        <f>VALUE(4346)</f>
        <v>4346</v>
      </c>
      <c r="M7592" s="1">
        <f>VALUE(4962)</f>
        <v>4962</v>
      </c>
      <c r="N7592" t="s">
        <v>25</v>
      </c>
    </row>
    <row r="7593" spans="1:14" x14ac:dyDescent="0.25">
      <c r="A7593" t="s">
        <v>42</v>
      </c>
      <c r="B7593" t="s">
        <v>40</v>
      </c>
      <c r="C7593" t="s">
        <v>37</v>
      </c>
      <c r="D7593" t="s">
        <v>29</v>
      </c>
      <c r="E7593" t="s">
        <v>23</v>
      </c>
      <c r="F7593" t="s">
        <v>17</v>
      </c>
      <c r="G7593" s="1" t="str">
        <f t="shared" ref="G7593:M7595" si="1659">"X"</f>
        <v>X</v>
      </c>
      <c r="H7593" s="1" t="str">
        <f t="shared" si="1659"/>
        <v>X</v>
      </c>
      <c r="I7593" s="1" t="str">
        <f t="shared" si="1659"/>
        <v>X</v>
      </c>
      <c r="J7593" s="1" t="str">
        <f t="shared" si="1659"/>
        <v>X</v>
      </c>
      <c r="K7593" s="1" t="str">
        <f t="shared" si="1659"/>
        <v>X</v>
      </c>
      <c r="L7593" s="1" t="str">
        <f t="shared" si="1659"/>
        <v>X</v>
      </c>
      <c r="M7593" s="1" t="str">
        <f t="shared" si="1659"/>
        <v>X</v>
      </c>
      <c r="N7593" t="s">
        <v>27</v>
      </c>
    </row>
    <row r="7594" spans="1:14" x14ac:dyDescent="0.25">
      <c r="A7594" t="s">
        <v>42</v>
      </c>
      <c r="B7594" t="s">
        <v>40</v>
      </c>
      <c r="C7594" t="s">
        <v>37</v>
      </c>
      <c r="D7594" t="s">
        <v>29</v>
      </c>
      <c r="E7594" t="s">
        <v>23</v>
      </c>
      <c r="F7594" t="s">
        <v>18</v>
      </c>
      <c r="G7594" s="1" t="str">
        <f t="shared" si="1659"/>
        <v>X</v>
      </c>
      <c r="H7594" s="1" t="str">
        <f t="shared" si="1659"/>
        <v>X</v>
      </c>
      <c r="I7594" s="1" t="str">
        <f t="shared" si="1659"/>
        <v>X</v>
      </c>
      <c r="J7594" s="1" t="str">
        <f t="shared" si="1659"/>
        <v>X</v>
      </c>
      <c r="K7594" s="1" t="str">
        <f t="shared" si="1659"/>
        <v>X</v>
      </c>
      <c r="L7594" s="1" t="str">
        <f t="shared" si="1659"/>
        <v>X</v>
      </c>
      <c r="M7594" s="1" t="str">
        <f t="shared" si="1659"/>
        <v>X</v>
      </c>
      <c r="N7594" t="s">
        <v>27</v>
      </c>
    </row>
    <row r="7595" spans="1:14" x14ac:dyDescent="0.25">
      <c r="A7595" t="s">
        <v>42</v>
      </c>
      <c r="B7595" t="s">
        <v>40</v>
      </c>
      <c r="C7595" t="s">
        <v>37</v>
      </c>
      <c r="D7595" t="s">
        <v>29</v>
      </c>
      <c r="E7595" t="s">
        <v>23</v>
      </c>
      <c r="F7595" t="s">
        <v>19</v>
      </c>
      <c r="G7595" s="1" t="str">
        <f t="shared" si="1659"/>
        <v>X</v>
      </c>
      <c r="H7595" s="1" t="str">
        <f t="shared" si="1659"/>
        <v>X</v>
      </c>
      <c r="I7595" s="1" t="str">
        <f t="shared" si="1659"/>
        <v>X</v>
      </c>
      <c r="J7595" s="1" t="str">
        <f t="shared" si="1659"/>
        <v>X</v>
      </c>
      <c r="K7595" s="1" t="str">
        <f t="shared" si="1659"/>
        <v>X</v>
      </c>
      <c r="L7595" s="1" t="str">
        <f t="shared" si="1659"/>
        <v>X</v>
      </c>
      <c r="M7595" s="1" t="str">
        <f t="shared" si="1659"/>
        <v>X</v>
      </c>
      <c r="N7595" t="s">
        <v>27</v>
      </c>
    </row>
    <row r="7596" spans="1:14" x14ac:dyDescent="0.25">
      <c r="A7596" t="s">
        <v>42</v>
      </c>
      <c r="B7596" t="s">
        <v>40</v>
      </c>
      <c r="C7596" t="s">
        <v>37</v>
      </c>
      <c r="D7596" t="s">
        <v>29</v>
      </c>
      <c r="E7596" t="s">
        <v>23</v>
      </c>
      <c r="F7596" t="s">
        <v>20</v>
      </c>
      <c r="G7596" s="2">
        <f>VALUE(1235.11)</f>
        <v>1235.1099999999999</v>
      </c>
      <c r="H7596" s="3">
        <f>VALUE(822.31)</f>
        <v>822.31</v>
      </c>
      <c r="I7596" s="1">
        <f>VALUE(3236)</f>
        <v>3236</v>
      </c>
      <c r="J7596" s="1">
        <f>VALUE(3514)</f>
        <v>3514</v>
      </c>
      <c r="K7596" s="1">
        <f>VALUE(3969)</f>
        <v>3969</v>
      </c>
      <c r="L7596" s="1">
        <f>VALUE(4373)</f>
        <v>4373</v>
      </c>
      <c r="M7596" s="1">
        <f>VALUE(4977)</f>
        <v>4977</v>
      </c>
      <c r="N7596" t="s">
        <v>25</v>
      </c>
    </row>
    <row r="7597" spans="1:14" x14ac:dyDescent="0.25">
      <c r="A7597" t="s">
        <v>42</v>
      </c>
      <c r="B7597" t="s">
        <v>40</v>
      </c>
      <c r="C7597" t="s">
        <v>37</v>
      </c>
      <c r="D7597" t="s">
        <v>29</v>
      </c>
      <c r="E7597" t="s">
        <v>26</v>
      </c>
      <c r="F7597" t="s">
        <v>15</v>
      </c>
      <c r="G7597" s="1" t="str">
        <f t="shared" ref="G7597:M7601" si="1660">"X"</f>
        <v>X</v>
      </c>
      <c r="H7597" s="1" t="str">
        <f t="shared" si="1660"/>
        <v>X</v>
      </c>
      <c r="I7597" s="1" t="str">
        <f t="shared" si="1660"/>
        <v>X</v>
      </c>
      <c r="J7597" s="1" t="str">
        <f t="shared" si="1660"/>
        <v>X</v>
      </c>
      <c r="K7597" s="1" t="str">
        <f t="shared" si="1660"/>
        <v>X</v>
      </c>
      <c r="L7597" s="1" t="str">
        <f t="shared" si="1660"/>
        <v>X</v>
      </c>
      <c r="M7597" s="1" t="str">
        <f t="shared" si="1660"/>
        <v>X</v>
      </c>
      <c r="N7597" t="s">
        <v>27</v>
      </c>
    </row>
    <row r="7598" spans="1:14" x14ac:dyDescent="0.25">
      <c r="A7598" t="s">
        <v>42</v>
      </c>
      <c r="B7598" t="s">
        <v>40</v>
      </c>
      <c r="C7598" t="s">
        <v>37</v>
      </c>
      <c r="D7598" t="s">
        <v>29</v>
      </c>
      <c r="E7598" t="s">
        <v>26</v>
      </c>
      <c r="F7598" t="s">
        <v>17</v>
      </c>
      <c r="G7598" s="1" t="str">
        <f t="shared" si="1660"/>
        <v>X</v>
      </c>
      <c r="H7598" s="1" t="str">
        <f t="shared" si="1660"/>
        <v>X</v>
      </c>
      <c r="I7598" s="1" t="str">
        <f t="shared" si="1660"/>
        <v>X</v>
      </c>
      <c r="J7598" s="1" t="str">
        <f t="shared" si="1660"/>
        <v>X</v>
      </c>
      <c r="K7598" s="1" t="str">
        <f t="shared" si="1660"/>
        <v>X</v>
      </c>
      <c r="L7598" s="1" t="str">
        <f t="shared" si="1660"/>
        <v>X</v>
      </c>
      <c r="M7598" s="1" t="str">
        <f t="shared" si="1660"/>
        <v>X</v>
      </c>
      <c r="N7598" t="s">
        <v>27</v>
      </c>
    </row>
    <row r="7599" spans="1:14" x14ac:dyDescent="0.25">
      <c r="A7599" t="s">
        <v>42</v>
      </c>
      <c r="B7599" t="s">
        <v>40</v>
      </c>
      <c r="C7599" t="s">
        <v>37</v>
      </c>
      <c r="D7599" t="s">
        <v>29</v>
      </c>
      <c r="E7599" t="s">
        <v>26</v>
      </c>
      <c r="F7599" t="s">
        <v>18</v>
      </c>
      <c r="G7599" s="1" t="str">
        <f t="shared" si="1660"/>
        <v>X</v>
      </c>
      <c r="H7599" s="1" t="str">
        <f t="shared" si="1660"/>
        <v>X</v>
      </c>
      <c r="I7599" s="1" t="str">
        <f t="shared" si="1660"/>
        <v>X</v>
      </c>
      <c r="J7599" s="1" t="str">
        <f t="shared" si="1660"/>
        <v>X</v>
      </c>
      <c r="K7599" s="1" t="str">
        <f t="shared" si="1660"/>
        <v>X</v>
      </c>
      <c r="L7599" s="1" t="str">
        <f t="shared" si="1660"/>
        <v>X</v>
      </c>
      <c r="M7599" s="1" t="str">
        <f t="shared" si="1660"/>
        <v>X</v>
      </c>
      <c r="N7599" t="s">
        <v>27</v>
      </c>
    </row>
    <row r="7600" spans="1:14" x14ac:dyDescent="0.25">
      <c r="A7600" t="s">
        <v>42</v>
      </c>
      <c r="B7600" t="s">
        <v>40</v>
      </c>
      <c r="C7600" t="s">
        <v>37</v>
      </c>
      <c r="D7600" t="s">
        <v>29</v>
      </c>
      <c r="E7600" t="s">
        <v>26</v>
      </c>
      <c r="F7600" t="s">
        <v>19</v>
      </c>
      <c r="G7600" s="1" t="str">
        <f t="shared" si="1660"/>
        <v>X</v>
      </c>
      <c r="H7600" s="1" t="str">
        <f t="shared" si="1660"/>
        <v>X</v>
      </c>
      <c r="I7600" s="1" t="str">
        <f t="shared" si="1660"/>
        <v>X</v>
      </c>
      <c r="J7600" s="1" t="str">
        <f t="shared" si="1660"/>
        <v>X</v>
      </c>
      <c r="K7600" s="1" t="str">
        <f t="shared" si="1660"/>
        <v>X</v>
      </c>
      <c r="L7600" s="1" t="str">
        <f t="shared" si="1660"/>
        <v>X</v>
      </c>
      <c r="M7600" s="1" t="str">
        <f t="shared" si="1660"/>
        <v>X</v>
      </c>
      <c r="N7600" t="s">
        <v>27</v>
      </c>
    </row>
    <row r="7601" spans="1:14" x14ac:dyDescent="0.25">
      <c r="A7601" t="s">
        <v>42</v>
      </c>
      <c r="B7601" t="s">
        <v>40</v>
      </c>
      <c r="C7601" t="s">
        <v>37</v>
      </c>
      <c r="D7601" t="s">
        <v>29</v>
      </c>
      <c r="E7601" t="s">
        <v>26</v>
      </c>
      <c r="F7601" t="s">
        <v>20</v>
      </c>
      <c r="G7601" s="1" t="str">
        <f t="shared" si="1660"/>
        <v>X</v>
      </c>
      <c r="H7601" s="1" t="str">
        <f t="shared" si="1660"/>
        <v>X</v>
      </c>
      <c r="I7601" s="1" t="str">
        <f t="shared" si="1660"/>
        <v>X</v>
      </c>
      <c r="J7601" s="1" t="str">
        <f t="shared" si="1660"/>
        <v>X</v>
      </c>
      <c r="K7601" s="1" t="str">
        <f t="shared" si="1660"/>
        <v>X</v>
      </c>
      <c r="L7601" s="1" t="str">
        <f t="shared" si="1660"/>
        <v>X</v>
      </c>
      <c r="M7601" s="1" t="str">
        <f t="shared" si="1660"/>
        <v>X</v>
      </c>
      <c r="N7601" t="s">
        <v>27</v>
      </c>
    </row>
    <row r="7602" spans="1:14" x14ac:dyDescent="0.25">
      <c r="A7602" t="s">
        <v>42</v>
      </c>
      <c r="B7602" t="s">
        <v>40</v>
      </c>
      <c r="C7602" t="s">
        <v>37</v>
      </c>
      <c r="D7602" t="s">
        <v>31</v>
      </c>
      <c r="E7602" t="s">
        <v>15</v>
      </c>
      <c r="F7602" t="s">
        <v>15</v>
      </c>
      <c r="G7602" s="2">
        <f>VALUE(1289.27)</f>
        <v>1289.27</v>
      </c>
      <c r="H7602" s="3">
        <f>VALUE(1046.21)</f>
        <v>1046.21</v>
      </c>
      <c r="I7602" s="1">
        <f>VALUE(3065)</f>
        <v>3065</v>
      </c>
      <c r="J7602" s="1">
        <f>VALUE(3596)</f>
        <v>3596</v>
      </c>
      <c r="K7602" s="6">
        <f>VALUE(4889)</f>
        <v>4889</v>
      </c>
      <c r="L7602" s="7">
        <f>VALUE(6763)</f>
        <v>6763</v>
      </c>
      <c r="M7602" s="8">
        <f>VALUE(9274)</f>
        <v>9274</v>
      </c>
      <c r="N7602" t="s">
        <v>25</v>
      </c>
    </row>
    <row r="7603" spans="1:14" x14ac:dyDescent="0.25">
      <c r="A7603" t="s">
        <v>42</v>
      </c>
      <c r="B7603" t="s">
        <v>40</v>
      </c>
      <c r="C7603" t="s">
        <v>37</v>
      </c>
      <c r="D7603" t="s">
        <v>31</v>
      </c>
      <c r="E7603" t="s">
        <v>15</v>
      </c>
      <c r="F7603" t="s">
        <v>17</v>
      </c>
      <c r="G7603" s="1" t="str">
        <f t="shared" ref="G7603:M7603" si="1661">"X"</f>
        <v>X</v>
      </c>
      <c r="H7603" s="1" t="str">
        <f t="shared" si="1661"/>
        <v>X</v>
      </c>
      <c r="I7603" s="1" t="str">
        <f t="shared" si="1661"/>
        <v>X</v>
      </c>
      <c r="J7603" s="1" t="str">
        <f t="shared" si="1661"/>
        <v>X</v>
      </c>
      <c r="K7603" s="1" t="str">
        <f t="shared" si="1661"/>
        <v>X</v>
      </c>
      <c r="L7603" s="1" t="str">
        <f t="shared" si="1661"/>
        <v>X</v>
      </c>
      <c r="M7603" s="1" t="str">
        <f t="shared" si="1661"/>
        <v>X</v>
      </c>
      <c r="N7603" t="s">
        <v>27</v>
      </c>
    </row>
    <row r="7604" spans="1:14" x14ac:dyDescent="0.25">
      <c r="A7604" t="s">
        <v>42</v>
      </c>
      <c r="B7604" t="s">
        <v>40</v>
      </c>
      <c r="C7604" t="s">
        <v>37</v>
      </c>
      <c r="D7604" t="s">
        <v>31</v>
      </c>
      <c r="E7604" t="s">
        <v>15</v>
      </c>
      <c r="F7604" t="s">
        <v>18</v>
      </c>
      <c r="G7604" s="2">
        <f>VALUE(173.07)</f>
        <v>173.07</v>
      </c>
      <c r="H7604" s="3">
        <f>VALUE(155.59)</f>
        <v>155.59</v>
      </c>
      <c r="I7604" s="1">
        <f>VALUE(3268)</f>
        <v>3268</v>
      </c>
      <c r="J7604" s="1">
        <f>VALUE(4475)</f>
        <v>4475</v>
      </c>
      <c r="K7604" s="1">
        <f>VALUE(6148)</f>
        <v>6148</v>
      </c>
      <c r="L7604" s="1">
        <f>VALUE(8059)</f>
        <v>8059</v>
      </c>
      <c r="M7604" s="1">
        <f>VALUE(8715)</f>
        <v>8715</v>
      </c>
      <c r="N7604" t="s">
        <v>25</v>
      </c>
    </row>
    <row r="7605" spans="1:14" x14ac:dyDescent="0.25">
      <c r="A7605" t="s">
        <v>42</v>
      </c>
      <c r="B7605" t="s">
        <v>40</v>
      </c>
      <c r="C7605" t="s">
        <v>37</v>
      </c>
      <c r="D7605" t="s">
        <v>31</v>
      </c>
      <c r="E7605" t="s">
        <v>15</v>
      </c>
      <c r="F7605" t="s">
        <v>19</v>
      </c>
      <c r="G7605" s="1" t="str">
        <f t="shared" ref="G7605:M7605" si="1662">"X"</f>
        <v>X</v>
      </c>
      <c r="H7605" s="1" t="str">
        <f t="shared" si="1662"/>
        <v>X</v>
      </c>
      <c r="I7605" s="1" t="str">
        <f t="shared" si="1662"/>
        <v>X</v>
      </c>
      <c r="J7605" s="1" t="str">
        <f t="shared" si="1662"/>
        <v>X</v>
      </c>
      <c r="K7605" s="1" t="str">
        <f t="shared" si="1662"/>
        <v>X</v>
      </c>
      <c r="L7605" s="1" t="str">
        <f t="shared" si="1662"/>
        <v>X</v>
      </c>
      <c r="M7605" s="1" t="str">
        <f t="shared" si="1662"/>
        <v>X</v>
      </c>
      <c r="N7605" t="s">
        <v>27</v>
      </c>
    </row>
    <row r="7606" spans="1:14" x14ac:dyDescent="0.25">
      <c r="A7606" t="s">
        <v>42</v>
      </c>
      <c r="B7606" t="s">
        <v>40</v>
      </c>
      <c r="C7606" t="s">
        <v>37</v>
      </c>
      <c r="D7606" t="s">
        <v>31</v>
      </c>
      <c r="E7606" t="s">
        <v>15</v>
      </c>
      <c r="F7606" t="s">
        <v>20</v>
      </c>
      <c r="G7606" s="2">
        <f>VALUE(830.94)</f>
        <v>830.94</v>
      </c>
      <c r="H7606" s="3">
        <f>VALUE(610.39)</f>
        <v>610.39</v>
      </c>
      <c r="I7606" s="4">
        <f>VALUE(2824)</f>
        <v>2824</v>
      </c>
      <c r="J7606" s="1">
        <f>VALUE(3508)</f>
        <v>3508</v>
      </c>
      <c r="K7606" s="1">
        <f>VALUE(3900)</f>
        <v>3900</v>
      </c>
      <c r="L7606" s="7">
        <f>VALUE(5540)</f>
        <v>5540</v>
      </c>
      <c r="M7606" s="1">
        <f>VALUE(6565)</f>
        <v>6565</v>
      </c>
      <c r="N7606" t="s">
        <v>25</v>
      </c>
    </row>
    <row r="7607" spans="1:14" x14ac:dyDescent="0.25">
      <c r="A7607" t="s">
        <v>42</v>
      </c>
      <c r="B7607" t="s">
        <v>40</v>
      </c>
      <c r="C7607" t="s">
        <v>37</v>
      </c>
      <c r="D7607" t="s">
        <v>31</v>
      </c>
      <c r="E7607" t="s">
        <v>21</v>
      </c>
      <c r="F7607" t="s">
        <v>15</v>
      </c>
      <c r="G7607" s="2">
        <f>VALUE(452.87)</f>
        <v>452.87</v>
      </c>
      <c r="H7607" s="3">
        <f>VALUE(413.79)</f>
        <v>413.79</v>
      </c>
      <c r="I7607" s="1">
        <f>VALUE(3810)</f>
        <v>3810</v>
      </c>
      <c r="J7607" s="1">
        <f>VALUE(5295)</f>
        <v>5295</v>
      </c>
      <c r="K7607" s="1">
        <f>VALUE(6366)</f>
        <v>6366</v>
      </c>
      <c r="L7607" s="1">
        <f>VALUE(8253)</f>
        <v>8253</v>
      </c>
      <c r="M7607" s="8">
        <f>VALUE(11212)</f>
        <v>11212</v>
      </c>
      <c r="N7607" t="s">
        <v>25</v>
      </c>
    </row>
    <row r="7608" spans="1:14" x14ac:dyDescent="0.25">
      <c r="A7608" t="s">
        <v>42</v>
      </c>
      <c r="B7608" t="s">
        <v>40</v>
      </c>
      <c r="C7608" t="s">
        <v>37</v>
      </c>
      <c r="D7608" t="s">
        <v>31</v>
      </c>
      <c r="E7608" t="s">
        <v>21</v>
      </c>
      <c r="F7608" t="s">
        <v>17</v>
      </c>
      <c r="G7608" s="1" t="str">
        <f t="shared" ref="G7608:M7610" si="1663">"X"</f>
        <v>X</v>
      </c>
      <c r="H7608" s="1" t="str">
        <f t="shared" si="1663"/>
        <v>X</v>
      </c>
      <c r="I7608" s="1" t="str">
        <f t="shared" si="1663"/>
        <v>X</v>
      </c>
      <c r="J7608" s="1" t="str">
        <f t="shared" si="1663"/>
        <v>X</v>
      </c>
      <c r="K7608" s="1" t="str">
        <f t="shared" si="1663"/>
        <v>X</v>
      </c>
      <c r="L7608" s="1" t="str">
        <f t="shared" si="1663"/>
        <v>X</v>
      </c>
      <c r="M7608" s="1" t="str">
        <f t="shared" si="1663"/>
        <v>X</v>
      </c>
      <c r="N7608" t="s">
        <v>27</v>
      </c>
    </row>
    <row r="7609" spans="1:14" x14ac:dyDescent="0.25">
      <c r="A7609" t="s">
        <v>42</v>
      </c>
      <c r="B7609" t="s">
        <v>40</v>
      </c>
      <c r="C7609" t="s">
        <v>37</v>
      </c>
      <c r="D7609" t="s">
        <v>31</v>
      </c>
      <c r="E7609" t="s">
        <v>21</v>
      </c>
      <c r="F7609" t="s">
        <v>18</v>
      </c>
      <c r="G7609" s="1" t="str">
        <f t="shared" si="1663"/>
        <v>X</v>
      </c>
      <c r="H7609" s="1" t="str">
        <f t="shared" si="1663"/>
        <v>X</v>
      </c>
      <c r="I7609" s="1" t="str">
        <f t="shared" si="1663"/>
        <v>X</v>
      </c>
      <c r="J7609" s="1" t="str">
        <f t="shared" si="1663"/>
        <v>X</v>
      </c>
      <c r="K7609" s="1" t="str">
        <f t="shared" si="1663"/>
        <v>X</v>
      </c>
      <c r="L7609" s="1" t="str">
        <f t="shared" si="1663"/>
        <v>X</v>
      </c>
      <c r="M7609" s="1" t="str">
        <f t="shared" si="1663"/>
        <v>X</v>
      </c>
      <c r="N7609" t="s">
        <v>27</v>
      </c>
    </row>
    <row r="7610" spans="1:14" x14ac:dyDescent="0.25">
      <c r="A7610" t="s">
        <v>42</v>
      </c>
      <c r="B7610" t="s">
        <v>40</v>
      </c>
      <c r="C7610" t="s">
        <v>37</v>
      </c>
      <c r="D7610" t="s">
        <v>31</v>
      </c>
      <c r="E7610" t="s">
        <v>21</v>
      </c>
      <c r="F7610" t="s">
        <v>19</v>
      </c>
      <c r="G7610" s="1" t="str">
        <f t="shared" si="1663"/>
        <v>X</v>
      </c>
      <c r="H7610" s="1" t="str">
        <f t="shared" si="1663"/>
        <v>X</v>
      </c>
      <c r="I7610" s="1" t="str">
        <f t="shared" si="1663"/>
        <v>X</v>
      </c>
      <c r="J7610" s="1" t="str">
        <f t="shared" si="1663"/>
        <v>X</v>
      </c>
      <c r="K7610" s="1" t="str">
        <f t="shared" si="1663"/>
        <v>X</v>
      </c>
      <c r="L7610" s="1" t="str">
        <f t="shared" si="1663"/>
        <v>X</v>
      </c>
      <c r="M7610" s="1" t="str">
        <f t="shared" si="1663"/>
        <v>X</v>
      </c>
      <c r="N7610" t="s">
        <v>27</v>
      </c>
    </row>
    <row r="7611" spans="1:14" x14ac:dyDescent="0.25">
      <c r="A7611" t="s">
        <v>42</v>
      </c>
      <c r="B7611" t="s">
        <v>40</v>
      </c>
      <c r="C7611" t="s">
        <v>37</v>
      </c>
      <c r="D7611" t="s">
        <v>31</v>
      </c>
      <c r="E7611" t="s">
        <v>21</v>
      </c>
      <c r="F7611" t="s">
        <v>20</v>
      </c>
      <c r="G7611" s="2">
        <f>VALUE(194.29)</f>
        <v>194.29</v>
      </c>
      <c r="H7611" s="3">
        <f>VALUE(166.67)</f>
        <v>166.67</v>
      </c>
      <c r="I7611" s="4">
        <f>VALUE(3681)</f>
        <v>3681</v>
      </c>
      <c r="J7611" s="5">
        <f>VALUE(5190)</f>
        <v>5190</v>
      </c>
      <c r="K7611" s="6">
        <f>VALUE(5705)</f>
        <v>5705</v>
      </c>
      <c r="L7611" s="7">
        <f>VALUE(6831)</f>
        <v>6831</v>
      </c>
      <c r="M7611" s="8">
        <f>VALUE(7893)</f>
        <v>7893</v>
      </c>
      <c r="N7611" t="s">
        <v>24</v>
      </c>
    </row>
    <row r="7612" spans="1:14" x14ac:dyDescent="0.25">
      <c r="A7612" t="s">
        <v>42</v>
      </c>
      <c r="B7612" t="s">
        <v>40</v>
      </c>
      <c r="C7612" t="s">
        <v>37</v>
      </c>
      <c r="D7612" t="s">
        <v>31</v>
      </c>
      <c r="E7612" t="s">
        <v>22</v>
      </c>
      <c r="F7612" t="s">
        <v>15</v>
      </c>
      <c r="G7612" s="2">
        <f>VALUE(324.93)</f>
        <v>324.93</v>
      </c>
      <c r="H7612" s="3">
        <f>VALUE(265.86)</f>
        <v>265.86</v>
      </c>
      <c r="I7612" s="4">
        <f>VALUE(3295)</f>
        <v>3295</v>
      </c>
      <c r="J7612" s="5">
        <f>VALUE(3971)</f>
        <v>3971</v>
      </c>
      <c r="K7612" s="6">
        <f>VALUE(5203)</f>
        <v>5203</v>
      </c>
      <c r="L7612" s="7">
        <f>VALUE(6456)</f>
        <v>6456</v>
      </c>
      <c r="M7612" s="8">
        <f>VALUE(10098)</f>
        <v>10098</v>
      </c>
      <c r="N7612" t="s">
        <v>24</v>
      </c>
    </row>
    <row r="7613" spans="1:14" x14ac:dyDescent="0.25">
      <c r="A7613" t="s">
        <v>42</v>
      </c>
      <c r="B7613" t="s">
        <v>40</v>
      </c>
      <c r="C7613" t="s">
        <v>37</v>
      </c>
      <c r="D7613" t="s">
        <v>31</v>
      </c>
      <c r="E7613" t="s">
        <v>22</v>
      </c>
      <c r="F7613" t="s">
        <v>17</v>
      </c>
      <c r="G7613" s="1" t="str">
        <f t="shared" ref="G7613:M7615" si="1664">"X"</f>
        <v>X</v>
      </c>
      <c r="H7613" s="1" t="str">
        <f t="shared" si="1664"/>
        <v>X</v>
      </c>
      <c r="I7613" s="1" t="str">
        <f t="shared" si="1664"/>
        <v>X</v>
      </c>
      <c r="J7613" s="1" t="str">
        <f t="shared" si="1664"/>
        <v>X</v>
      </c>
      <c r="K7613" s="1" t="str">
        <f t="shared" si="1664"/>
        <v>X</v>
      </c>
      <c r="L7613" s="1" t="str">
        <f t="shared" si="1664"/>
        <v>X</v>
      </c>
      <c r="M7613" s="1" t="str">
        <f t="shared" si="1664"/>
        <v>X</v>
      </c>
      <c r="N7613" t="s">
        <v>27</v>
      </c>
    </row>
    <row r="7614" spans="1:14" x14ac:dyDescent="0.25">
      <c r="A7614" t="s">
        <v>42</v>
      </c>
      <c r="B7614" t="s">
        <v>40</v>
      </c>
      <c r="C7614" t="s">
        <v>37</v>
      </c>
      <c r="D7614" t="s">
        <v>31</v>
      </c>
      <c r="E7614" t="s">
        <v>22</v>
      </c>
      <c r="F7614" t="s">
        <v>18</v>
      </c>
      <c r="G7614" s="1" t="str">
        <f t="shared" si="1664"/>
        <v>X</v>
      </c>
      <c r="H7614" s="1" t="str">
        <f t="shared" si="1664"/>
        <v>X</v>
      </c>
      <c r="I7614" s="1" t="str">
        <f t="shared" si="1664"/>
        <v>X</v>
      </c>
      <c r="J7614" s="1" t="str">
        <f t="shared" si="1664"/>
        <v>X</v>
      </c>
      <c r="K7614" s="1" t="str">
        <f t="shared" si="1664"/>
        <v>X</v>
      </c>
      <c r="L7614" s="1" t="str">
        <f t="shared" si="1664"/>
        <v>X</v>
      </c>
      <c r="M7614" s="1" t="str">
        <f t="shared" si="1664"/>
        <v>X</v>
      </c>
      <c r="N7614" t="s">
        <v>27</v>
      </c>
    </row>
    <row r="7615" spans="1:14" x14ac:dyDescent="0.25">
      <c r="A7615" t="s">
        <v>42</v>
      </c>
      <c r="B7615" t="s">
        <v>40</v>
      </c>
      <c r="C7615" t="s">
        <v>37</v>
      </c>
      <c r="D7615" t="s">
        <v>31</v>
      </c>
      <c r="E7615" t="s">
        <v>22</v>
      </c>
      <c r="F7615" t="s">
        <v>19</v>
      </c>
      <c r="G7615" s="1" t="str">
        <f t="shared" si="1664"/>
        <v>X</v>
      </c>
      <c r="H7615" s="1" t="str">
        <f t="shared" si="1664"/>
        <v>X</v>
      </c>
      <c r="I7615" s="1" t="str">
        <f t="shared" si="1664"/>
        <v>X</v>
      </c>
      <c r="J7615" s="1" t="str">
        <f t="shared" si="1664"/>
        <v>X</v>
      </c>
      <c r="K7615" s="1" t="str">
        <f t="shared" si="1664"/>
        <v>X</v>
      </c>
      <c r="L7615" s="1" t="str">
        <f t="shared" si="1664"/>
        <v>X</v>
      </c>
      <c r="M7615" s="1" t="str">
        <f t="shared" si="1664"/>
        <v>X</v>
      </c>
      <c r="N7615" t="s">
        <v>27</v>
      </c>
    </row>
    <row r="7616" spans="1:14" x14ac:dyDescent="0.25">
      <c r="A7616" t="s">
        <v>42</v>
      </c>
      <c r="B7616" t="s">
        <v>40</v>
      </c>
      <c r="C7616" t="s">
        <v>37</v>
      </c>
      <c r="D7616" t="s">
        <v>31</v>
      </c>
      <c r="E7616" t="s">
        <v>22</v>
      </c>
      <c r="F7616" t="s">
        <v>20</v>
      </c>
      <c r="G7616" s="2">
        <f>VALUE(182.59)</f>
        <v>182.59</v>
      </c>
      <c r="H7616" s="3">
        <f>VALUE(131.39)</f>
        <v>131.38999999999999</v>
      </c>
      <c r="I7616" s="4">
        <f>VALUE(2756)</f>
        <v>2756</v>
      </c>
      <c r="J7616" s="1">
        <f>VALUE(3568)</f>
        <v>3568</v>
      </c>
      <c r="K7616" s="1">
        <f>VALUE(4312)</f>
        <v>4312</v>
      </c>
      <c r="L7616" s="1">
        <f>VALUE(5502)</f>
        <v>5502</v>
      </c>
      <c r="M7616" s="1">
        <f>VALUE(6342)</f>
        <v>6342</v>
      </c>
      <c r="N7616" t="s">
        <v>25</v>
      </c>
    </row>
    <row r="7617" spans="1:14" x14ac:dyDescent="0.25">
      <c r="A7617" t="s">
        <v>42</v>
      </c>
      <c r="B7617" t="s">
        <v>40</v>
      </c>
      <c r="C7617" t="s">
        <v>37</v>
      </c>
      <c r="D7617" t="s">
        <v>31</v>
      </c>
      <c r="E7617" t="s">
        <v>23</v>
      </c>
      <c r="F7617" t="s">
        <v>15</v>
      </c>
      <c r="G7617" s="2">
        <f>VALUE(411.03)</f>
        <v>411.03</v>
      </c>
      <c r="H7617" s="3">
        <f>VALUE(292.13)</f>
        <v>292.13</v>
      </c>
      <c r="I7617" s="4">
        <f>VALUE(2597)</f>
        <v>2597</v>
      </c>
      <c r="J7617" s="5">
        <f>VALUE(3048)</f>
        <v>3048</v>
      </c>
      <c r="K7617" s="1">
        <f>VALUE(3552)</f>
        <v>3552</v>
      </c>
      <c r="L7617" s="1">
        <f>VALUE(3972)</f>
        <v>3972</v>
      </c>
      <c r="M7617" s="1">
        <f>VALUE(4453)</f>
        <v>4453</v>
      </c>
      <c r="N7617" t="s">
        <v>25</v>
      </c>
    </row>
    <row r="7618" spans="1:14" x14ac:dyDescent="0.25">
      <c r="A7618" t="s">
        <v>42</v>
      </c>
      <c r="B7618" t="s">
        <v>40</v>
      </c>
      <c r="C7618" t="s">
        <v>37</v>
      </c>
      <c r="D7618" t="s">
        <v>31</v>
      </c>
      <c r="E7618" t="s">
        <v>23</v>
      </c>
      <c r="F7618" t="s">
        <v>17</v>
      </c>
      <c r="G7618" s="1" t="str">
        <f t="shared" ref="G7618:M7618" si="1665">"..."</f>
        <v>...</v>
      </c>
      <c r="H7618" s="1" t="str">
        <f t="shared" si="1665"/>
        <v>...</v>
      </c>
      <c r="I7618" s="1" t="str">
        <f t="shared" si="1665"/>
        <v>...</v>
      </c>
      <c r="J7618" s="1" t="str">
        <f t="shared" si="1665"/>
        <v>...</v>
      </c>
      <c r="K7618" s="1" t="str">
        <f t="shared" si="1665"/>
        <v>...</v>
      </c>
      <c r="L7618" s="1" t="str">
        <f t="shared" si="1665"/>
        <v>...</v>
      </c>
      <c r="M7618" s="1" t="str">
        <f t="shared" si="1665"/>
        <v>...</v>
      </c>
      <c r="N7618" t="s">
        <v>30</v>
      </c>
    </row>
    <row r="7619" spans="1:14" x14ac:dyDescent="0.25">
      <c r="A7619" t="s">
        <v>42</v>
      </c>
      <c r="B7619" t="s">
        <v>40</v>
      </c>
      <c r="C7619" t="s">
        <v>37</v>
      </c>
      <c r="D7619" t="s">
        <v>31</v>
      </c>
      <c r="E7619" t="s">
        <v>23</v>
      </c>
      <c r="F7619" t="s">
        <v>18</v>
      </c>
      <c r="G7619" s="1" t="str">
        <f t="shared" ref="G7619:M7620" si="1666">"X"</f>
        <v>X</v>
      </c>
      <c r="H7619" s="1" t="str">
        <f t="shared" si="1666"/>
        <v>X</v>
      </c>
      <c r="I7619" s="1" t="str">
        <f t="shared" si="1666"/>
        <v>X</v>
      </c>
      <c r="J7619" s="1" t="str">
        <f t="shared" si="1666"/>
        <v>X</v>
      </c>
      <c r="K7619" s="1" t="str">
        <f t="shared" si="1666"/>
        <v>X</v>
      </c>
      <c r="L7619" s="1" t="str">
        <f t="shared" si="1666"/>
        <v>X</v>
      </c>
      <c r="M7619" s="1" t="str">
        <f t="shared" si="1666"/>
        <v>X</v>
      </c>
      <c r="N7619" t="s">
        <v>27</v>
      </c>
    </row>
    <row r="7620" spans="1:14" x14ac:dyDescent="0.25">
      <c r="A7620" t="s">
        <v>42</v>
      </c>
      <c r="B7620" t="s">
        <v>40</v>
      </c>
      <c r="C7620" t="s">
        <v>37</v>
      </c>
      <c r="D7620" t="s">
        <v>31</v>
      </c>
      <c r="E7620" t="s">
        <v>23</v>
      </c>
      <c r="F7620" t="s">
        <v>19</v>
      </c>
      <c r="G7620" s="1" t="str">
        <f t="shared" si="1666"/>
        <v>X</v>
      </c>
      <c r="H7620" s="1" t="str">
        <f t="shared" si="1666"/>
        <v>X</v>
      </c>
      <c r="I7620" s="1" t="str">
        <f t="shared" si="1666"/>
        <v>X</v>
      </c>
      <c r="J7620" s="1" t="str">
        <f t="shared" si="1666"/>
        <v>X</v>
      </c>
      <c r="K7620" s="1" t="str">
        <f t="shared" si="1666"/>
        <v>X</v>
      </c>
      <c r="L7620" s="1" t="str">
        <f t="shared" si="1666"/>
        <v>X</v>
      </c>
      <c r="M7620" s="1" t="str">
        <f t="shared" si="1666"/>
        <v>X</v>
      </c>
      <c r="N7620" t="s">
        <v>27</v>
      </c>
    </row>
    <row r="7621" spans="1:14" x14ac:dyDescent="0.25">
      <c r="A7621" t="s">
        <v>42</v>
      </c>
      <c r="B7621" t="s">
        <v>40</v>
      </c>
      <c r="C7621" t="s">
        <v>37</v>
      </c>
      <c r="D7621" t="s">
        <v>31</v>
      </c>
      <c r="E7621" t="s">
        <v>23</v>
      </c>
      <c r="F7621" t="s">
        <v>20</v>
      </c>
      <c r="G7621" s="2">
        <f>VALUE(374.79)</f>
        <v>374.79</v>
      </c>
      <c r="H7621" s="3">
        <f>VALUE(258.72)</f>
        <v>258.72000000000003</v>
      </c>
      <c r="I7621" s="4">
        <f>VALUE(2632)</f>
        <v>2632</v>
      </c>
      <c r="J7621" s="5">
        <f>VALUE(3029)</f>
        <v>3029</v>
      </c>
      <c r="K7621" s="1">
        <f>VALUE(3594)</f>
        <v>3594</v>
      </c>
      <c r="L7621" s="1">
        <f>VALUE(3972)</f>
        <v>3972</v>
      </c>
      <c r="M7621" s="1">
        <f>VALUE(4453)</f>
        <v>4453</v>
      </c>
      <c r="N7621" t="s">
        <v>25</v>
      </c>
    </row>
    <row r="7622" spans="1:14" x14ac:dyDescent="0.25">
      <c r="A7622" t="s">
        <v>42</v>
      </c>
      <c r="B7622" t="s">
        <v>40</v>
      </c>
      <c r="C7622" t="s">
        <v>37</v>
      </c>
      <c r="D7622" t="s">
        <v>31</v>
      </c>
      <c r="E7622" t="s">
        <v>26</v>
      </c>
      <c r="F7622" t="s">
        <v>15</v>
      </c>
      <c r="G7622" s="1" t="str">
        <f t="shared" ref="G7622:M7624" si="1667">"X"</f>
        <v>X</v>
      </c>
      <c r="H7622" s="1" t="str">
        <f t="shared" si="1667"/>
        <v>X</v>
      </c>
      <c r="I7622" s="1" t="str">
        <f t="shared" si="1667"/>
        <v>X</v>
      </c>
      <c r="J7622" s="1" t="str">
        <f t="shared" si="1667"/>
        <v>X</v>
      </c>
      <c r="K7622" s="1" t="str">
        <f t="shared" si="1667"/>
        <v>X</v>
      </c>
      <c r="L7622" s="1" t="str">
        <f t="shared" si="1667"/>
        <v>X</v>
      </c>
      <c r="M7622" s="1" t="str">
        <f t="shared" si="1667"/>
        <v>X</v>
      </c>
      <c r="N7622" t="s">
        <v>27</v>
      </c>
    </row>
    <row r="7623" spans="1:14" x14ac:dyDescent="0.25">
      <c r="A7623" t="s">
        <v>42</v>
      </c>
      <c r="B7623" t="s">
        <v>40</v>
      </c>
      <c r="C7623" t="s">
        <v>37</v>
      </c>
      <c r="D7623" t="s">
        <v>31</v>
      </c>
      <c r="E7623" t="s">
        <v>26</v>
      </c>
      <c r="F7623" t="s">
        <v>17</v>
      </c>
      <c r="G7623" s="1" t="str">
        <f t="shared" si="1667"/>
        <v>X</v>
      </c>
      <c r="H7623" s="1" t="str">
        <f t="shared" si="1667"/>
        <v>X</v>
      </c>
      <c r="I7623" s="1" t="str">
        <f t="shared" si="1667"/>
        <v>X</v>
      </c>
      <c r="J7623" s="1" t="str">
        <f t="shared" si="1667"/>
        <v>X</v>
      </c>
      <c r="K7623" s="1" t="str">
        <f t="shared" si="1667"/>
        <v>X</v>
      </c>
      <c r="L7623" s="1" t="str">
        <f t="shared" si="1667"/>
        <v>X</v>
      </c>
      <c r="M7623" s="1" t="str">
        <f t="shared" si="1667"/>
        <v>X</v>
      </c>
      <c r="N7623" t="s">
        <v>27</v>
      </c>
    </row>
    <row r="7624" spans="1:14" x14ac:dyDescent="0.25">
      <c r="A7624" t="s">
        <v>42</v>
      </c>
      <c r="B7624" t="s">
        <v>40</v>
      </c>
      <c r="C7624" t="s">
        <v>37</v>
      </c>
      <c r="D7624" t="s">
        <v>31</v>
      </c>
      <c r="E7624" t="s">
        <v>26</v>
      </c>
      <c r="F7624" t="s">
        <v>18</v>
      </c>
      <c r="G7624" s="1" t="str">
        <f t="shared" si="1667"/>
        <v>X</v>
      </c>
      <c r="H7624" s="1" t="str">
        <f t="shared" si="1667"/>
        <v>X</v>
      </c>
      <c r="I7624" s="1" t="str">
        <f t="shared" si="1667"/>
        <v>X</v>
      </c>
      <c r="J7624" s="1" t="str">
        <f t="shared" si="1667"/>
        <v>X</v>
      </c>
      <c r="K7624" s="1" t="str">
        <f t="shared" si="1667"/>
        <v>X</v>
      </c>
      <c r="L7624" s="1" t="str">
        <f t="shared" si="1667"/>
        <v>X</v>
      </c>
      <c r="M7624" s="1" t="str">
        <f t="shared" si="1667"/>
        <v>X</v>
      </c>
      <c r="N7624" t="s">
        <v>27</v>
      </c>
    </row>
    <row r="7625" spans="1:14" x14ac:dyDescent="0.25">
      <c r="A7625" t="s">
        <v>42</v>
      </c>
      <c r="B7625" t="s">
        <v>40</v>
      </c>
      <c r="C7625" t="s">
        <v>37</v>
      </c>
      <c r="D7625" t="s">
        <v>31</v>
      </c>
      <c r="E7625" t="s">
        <v>26</v>
      </c>
      <c r="F7625" t="s">
        <v>19</v>
      </c>
      <c r="G7625" s="1" t="str">
        <f t="shared" ref="G7625:M7625" si="1668">"..."</f>
        <v>...</v>
      </c>
      <c r="H7625" s="1" t="str">
        <f t="shared" si="1668"/>
        <v>...</v>
      </c>
      <c r="I7625" s="1" t="str">
        <f t="shared" si="1668"/>
        <v>...</v>
      </c>
      <c r="J7625" s="1" t="str">
        <f t="shared" si="1668"/>
        <v>...</v>
      </c>
      <c r="K7625" s="1" t="str">
        <f t="shared" si="1668"/>
        <v>...</v>
      </c>
      <c r="L7625" s="1" t="str">
        <f t="shared" si="1668"/>
        <v>...</v>
      </c>
      <c r="M7625" s="1" t="str">
        <f t="shared" si="1668"/>
        <v>...</v>
      </c>
      <c r="N7625" t="s">
        <v>30</v>
      </c>
    </row>
    <row r="7626" spans="1:14" x14ac:dyDescent="0.25">
      <c r="A7626" t="s">
        <v>42</v>
      </c>
      <c r="B7626" t="s">
        <v>40</v>
      </c>
      <c r="C7626" t="s">
        <v>37</v>
      </c>
      <c r="D7626" t="s">
        <v>31</v>
      </c>
      <c r="E7626" t="s">
        <v>26</v>
      </c>
      <c r="F7626" t="s">
        <v>20</v>
      </c>
      <c r="G7626" s="1" t="str">
        <f t="shared" ref="G7626:M7626" si="1669">"X"</f>
        <v>X</v>
      </c>
      <c r="H7626" s="1" t="str">
        <f t="shared" si="1669"/>
        <v>X</v>
      </c>
      <c r="I7626" s="1" t="str">
        <f t="shared" si="1669"/>
        <v>X</v>
      </c>
      <c r="J7626" s="1" t="str">
        <f t="shared" si="1669"/>
        <v>X</v>
      </c>
      <c r="K7626" s="1" t="str">
        <f t="shared" si="1669"/>
        <v>X</v>
      </c>
      <c r="L7626" s="1" t="str">
        <f t="shared" si="1669"/>
        <v>X</v>
      </c>
      <c r="M7626" s="1" t="str">
        <f t="shared" si="1669"/>
        <v>X</v>
      </c>
      <c r="N7626" t="s">
        <v>27</v>
      </c>
    </row>
    <row r="7627" spans="1:14" x14ac:dyDescent="0.25">
      <c r="A7627" t="s">
        <v>42</v>
      </c>
      <c r="B7627" t="s">
        <v>40</v>
      </c>
      <c r="C7627" t="s">
        <v>37</v>
      </c>
      <c r="D7627" t="s">
        <v>32</v>
      </c>
      <c r="E7627" t="s">
        <v>15</v>
      </c>
      <c r="F7627" t="s">
        <v>15</v>
      </c>
      <c r="G7627" s="1">
        <f>VALUE(8051.87)</f>
        <v>8051.87</v>
      </c>
      <c r="H7627" s="1">
        <f>VALUE(7125.91)</f>
        <v>7125.91</v>
      </c>
      <c r="I7627" s="1">
        <f>VALUE(2609)</f>
        <v>2609</v>
      </c>
      <c r="J7627" s="1">
        <f>VALUE(3002)</f>
        <v>3002</v>
      </c>
      <c r="K7627" s="1">
        <f>VALUE(3662)</f>
        <v>3662</v>
      </c>
      <c r="L7627" s="1">
        <f>VALUE(4980)</f>
        <v>4980</v>
      </c>
      <c r="M7627" s="1">
        <f>VALUE(7018)</f>
        <v>7018</v>
      </c>
      <c r="N7627" t="s">
        <v>16</v>
      </c>
    </row>
    <row r="7628" spans="1:14" x14ac:dyDescent="0.25">
      <c r="A7628" t="s">
        <v>42</v>
      </c>
      <c r="B7628" t="s">
        <v>40</v>
      </c>
      <c r="C7628" t="s">
        <v>37</v>
      </c>
      <c r="D7628" t="s">
        <v>32</v>
      </c>
      <c r="E7628" t="s">
        <v>15</v>
      </c>
      <c r="F7628" t="s">
        <v>17</v>
      </c>
      <c r="G7628" s="2">
        <f>VALUE(422.57)</f>
        <v>422.57</v>
      </c>
      <c r="H7628" s="3">
        <f>VALUE(388.16)</f>
        <v>388.16</v>
      </c>
      <c r="I7628" s="4">
        <f>VALUE(3508)</f>
        <v>3508</v>
      </c>
      <c r="J7628" s="5">
        <f>VALUE(4693)</f>
        <v>4693</v>
      </c>
      <c r="K7628" s="6">
        <f>VALUE(6089)</f>
        <v>6089</v>
      </c>
      <c r="L7628" s="7">
        <f>VALUE(8774)</f>
        <v>8774</v>
      </c>
      <c r="M7628" s="8">
        <f>VALUE(10765)</f>
        <v>10765</v>
      </c>
      <c r="N7628" t="s">
        <v>24</v>
      </c>
    </row>
    <row r="7629" spans="1:14" x14ac:dyDescent="0.25">
      <c r="A7629" t="s">
        <v>42</v>
      </c>
      <c r="B7629" t="s">
        <v>40</v>
      </c>
      <c r="C7629" t="s">
        <v>37</v>
      </c>
      <c r="D7629" t="s">
        <v>32</v>
      </c>
      <c r="E7629" t="s">
        <v>15</v>
      </c>
      <c r="F7629" t="s">
        <v>18</v>
      </c>
      <c r="G7629" s="2">
        <f>VALUE(533.3)</f>
        <v>533.29999999999995</v>
      </c>
      <c r="H7629" s="3">
        <f>VALUE(491.49)</f>
        <v>491.49</v>
      </c>
      <c r="I7629" s="1">
        <f>VALUE(3326)</f>
        <v>3326</v>
      </c>
      <c r="J7629" s="5">
        <f>VALUE(3776)</f>
        <v>3776</v>
      </c>
      <c r="K7629" s="6">
        <f>VALUE(5550)</f>
        <v>5550</v>
      </c>
      <c r="L7629" s="1">
        <f>VALUE(7578)</f>
        <v>7578</v>
      </c>
      <c r="M7629" s="8">
        <f>VALUE(9854)</f>
        <v>9854</v>
      </c>
      <c r="N7629" t="s">
        <v>25</v>
      </c>
    </row>
    <row r="7630" spans="1:14" x14ac:dyDescent="0.25">
      <c r="A7630" t="s">
        <v>42</v>
      </c>
      <c r="B7630" t="s">
        <v>40</v>
      </c>
      <c r="C7630" t="s">
        <v>37</v>
      </c>
      <c r="D7630" t="s">
        <v>32</v>
      </c>
      <c r="E7630" t="s">
        <v>15</v>
      </c>
      <c r="F7630" t="s">
        <v>19</v>
      </c>
      <c r="G7630" s="1">
        <f>VALUE(1315.61)</f>
        <v>1315.61</v>
      </c>
      <c r="H7630" s="1">
        <f>VALUE(1268.95)</f>
        <v>1268.95</v>
      </c>
      <c r="I7630" s="1">
        <f>VALUE(2799)</f>
        <v>2799</v>
      </c>
      <c r="J7630" s="1">
        <f>VALUE(3027)</f>
        <v>3027</v>
      </c>
      <c r="K7630" s="6">
        <f>VALUE(3671)</f>
        <v>3671</v>
      </c>
      <c r="L7630" s="7">
        <f>VALUE(4901)</f>
        <v>4901</v>
      </c>
      <c r="M7630" s="8">
        <f>VALUE(7103)</f>
        <v>7103</v>
      </c>
      <c r="N7630" t="s">
        <v>25</v>
      </c>
    </row>
    <row r="7631" spans="1:14" x14ac:dyDescent="0.25">
      <c r="A7631" t="s">
        <v>42</v>
      </c>
      <c r="B7631" t="s">
        <v>40</v>
      </c>
      <c r="C7631" t="s">
        <v>37</v>
      </c>
      <c r="D7631" t="s">
        <v>32</v>
      </c>
      <c r="E7631" t="s">
        <v>15</v>
      </c>
      <c r="F7631" t="s">
        <v>20</v>
      </c>
      <c r="G7631" s="1">
        <f>VALUE(5780.39)</f>
        <v>5780.39</v>
      </c>
      <c r="H7631" s="1">
        <f>VALUE(4977.31)</f>
        <v>4977.3100000000004</v>
      </c>
      <c r="I7631" s="1">
        <f>VALUE(2562)</f>
        <v>2562</v>
      </c>
      <c r="J7631" s="1">
        <f>VALUE(2922)</f>
        <v>2922</v>
      </c>
      <c r="K7631" s="1">
        <f>VALUE(3525)</f>
        <v>3525</v>
      </c>
      <c r="L7631" s="1">
        <f>VALUE(4575)</f>
        <v>4575</v>
      </c>
      <c r="M7631" s="1">
        <f>VALUE(5940)</f>
        <v>5940</v>
      </c>
      <c r="N7631" t="s">
        <v>16</v>
      </c>
    </row>
    <row r="7632" spans="1:14" x14ac:dyDescent="0.25">
      <c r="A7632" t="s">
        <v>42</v>
      </c>
      <c r="B7632" t="s">
        <v>40</v>
      </c>
      <c r="C7632" t="s">
        <v>37</v>
      </c>
      <c r="D7632" t="s">
        <v>32</v>
      </c>
      <c r="E7632" t="s">
        <v>21</v>
      </c>
      <c r="F7632" t="s">
        <v>15</v>
      </c>
      <c r="G7632" s="2">
        <f>VALUE(1164.09)</f>
        <v>1164.0899999999999</v>
      </c>
      <c r="H7632" s="3">
        <f>VALUE(1031.02)</f>
        <v>1031.02</v>
      </c>
      <c r="I7632" s="4">
        <f>VALUE(3372)</f>
        <v>3372</v>
      </c>
      <c r="J7632" s="1">
        <f>VALUE(4451)</f>
        <v>4451</v>
      </c>
      <c r="K7632" s="1">
        <f>VALUE(5526)</f>
        <v>5526</v>
      </c>
      <c r="L7632" s="1">
        <f>VALUE(7765)</f>
        <v>7765</v>
      </c>
      <c r="M7632" s="1">
        <f>VALUE(9820)</f>
        <v>9820</v>
      </c>
      <c r="N7632" t="s">
        <v>25</v>
      </c>
    </row>
    <row r="7633" spans="1:14" x14ac:dyDescent="0.25">
      <c r="A7633" t="s">
        <v>42</v>
      </c>
      <c r="B7633" t="s">
        <v>40</v>
      </c>
      <c r="C7633" t="s">
        <v>37</v>
      </c>
      <c r="D7633" t="s">
        <v>32</v>
      </c>
      <c r="E7633" t="s">
        <v>21</v>
      </c>
      <c r="F7633" t="s">
        <v>17</v>
      </c>
      <c r="G7633" s="2">
        <f>VALUE(236.71)</f>
        <v>236.71</v>
      </c>
      <c r="H7633" s="3">
        <f>VALUE(221.04)</f>
        <v>221.04</v>
      </c>
      <c r="I7633" s="4">
        <f>VALUE(3683)</f>
        <v>3683</v>
      </c>
      <c r="J7633" s="5">
        <f>VALUE(5143)</f>
        <v>5143</v>
      </c>
      <c r="K7633" s="6">
        <f>VALUE(6429)</f>
        <v>6429</v>
      </c>
      <c r="L7633" s="7">
        <f>VALUE(8903)</f>
        <v>8903</v>
      </c>
      <c r="M7633" s="8">
        <f>VALUE(10867)</f>
        <v>10867</v>
      </c>
      <c r="N7633" t="s">
        <v>24</v>
      </c>
    </row>
    <row r="7634" spans="1:14" x14ac:dyDescent="0.25">
      <c r="A7634" t="s">
        <v>42</v>
      </c>
      <c r="B7634" t="s">
        <v>40</v>
      </c>
      <c r="C7634" t="s">
        <v>37</v>
      </c>
      <c r="D7634" t="s">
        <v>32</v>
      </c>
      <c r="E7634" t="s">
        <v>21</v>
      </c>
      <c r="F7634" t="s">
        <v>18</v>
      </c>
      <c r="G7634" s="2">
        <f>VALUE(210.18)</f>
        <v>210.18</v>
      </c>
      <c r="H7634" s="3">
        <f>VALUE(194.98)</f>
        <v>194.98</v>
      </c>
      <c r="I7634" s="1">
        <f>VALUE(3048)</f>
        <v>3048</v>
      </c>
      <c r="J7634" s="5">
        <f>VALUE(4429)</f>
        <v>4429</v>
      </c>
      <c r="K7634" s="1">
        <f>VALUE(5714)</f>
        <v>5714</v>
      </c>
      <c r="L7634" s="1">
        <f>VALUE(7985)</f>
        <v>7985</v>
      </c>
      <c r="M7634" s="1">
        <f>VALUE(10048)</f>
        <v>10048</v>
      </c>
      <c r="N7634" t="s">
        <v>25</v>
      </c>
    </row>
    <row r="7635" spans="1:14" x14ac:dyDescent="0.25">
      <c r="A7635" t="s">
        <v>42</v>
      </c>
      <c r="B7635" t="s">
        <v>40</v>
      </c>
      <c r="C7635" t="s">
        <v>37</v>
      </c>
      <c r="D7635" t="s">
        <v>32</v>
      </c>
      <c r="E7635" t="s">
        <v>21</v>
      </c>
      <c r="F7635" t="s">
        <v>19</v>
      </c>
      <c r="G7635" s="2">
        <f>VALUE(208.58)</f>
        <v>208.58</v>
      </c>
      <c r="H7635" s="3">
        <f>VALUE(188.17)</f>
        <v>188.17</v>
      </c>
      <c r="I7635" s="4">
        <f>VALUE(3650)</f>
        <v>3650</v>
      </c>
      <c r="J7635" s="5">
        <f>VALUE(4100)</f>
        <v>4100</v>
      </c>
      <c r="K7635" s="6">
        <f>VALUE(6058)</f>
        <v>6058</v>
      </c>
      <c r="L7635" s="7">
        <f>VALUE(8129)</f>
        <v>8129</v>
      </c>
      <c r="M7635" s="1">
        <f>VALUE(10039)</f>
        <v>10039</v>
      </c>
      <c r="N7635" t="s">
        <v>25</v>
      </c>
    </row>
    <row r="7636" spans="1:14" x14ac:dyDescent="0.25">
      <c r="A7636" t="s">
        <v>42</v>
      </c>
      <c r="B7636" t="s">
        <v>40</v>
      </c>
      <c r="C7636" t="s">
        <v>37</v>
      </c>
      <c r="D7636" t="s">
        <v>32</v>
      </c>
      <c r="E7636" t="s">
        <v>21</v>
      </c>
      <c r="F7636" t="s">
        <v>20</v>
      </c>
      <c r="G7636" s="2">
        <f>VALUE(508.62)</f>
        <v>508.62</v>
      </c>
      <c r="H7636" s="3">
        <f>VALUE(426.83)</f>
        <v>426.83</v>
      </c>
      <c r="I7636" s="1">
        <f>VALUE(3228)</f>
        <v>3228</v>
      </c>
      <c r="J7636" s="1">
        <f>VALUE(4198)</f>
        <v>4198</v>
      </c>
      <c r="K7636" s="1">
        <f>VALUE(5006)</f>
        <v>5006</v>
      </c>
      <c r="L7636" s="7">
        <f>VALUE(6094)</f>
        <v>6094</v>
      </c>
      <c r="M7636" s="1">
        <f>VALUE(7904)</f>
        <v>7904</v>
      </c>
      <c r="N7636" t="s">
        <v>25</v>
      </c>
    </row>
    <row r="7637" spans="1:14" x14ac:dyDescent="0.25">
      <c r="A7637" t="s">
        <v>42</v>
      </c>
      <c r="B7637" t="s">
        <v>40</v>
      </c>
      <c r="C7637" t="s">
        <v>37</v>
      </c>
      <c r="D7637" t="s">
        <v>32</v>
      </c>
      <c r="E7637" t="s">
        <v>22</v>
      </c>
      <c r="F7637" t="s">
        <v>15</v>
      </c>
      <c r="G7637" s="1">
        <f>VALUE(2285.34)</f>
        <v>2285.34</v>
      </c>
      <c r="H7637" s="1">
        <f>VALUE(1987.69)</f>
        <v>1987.69</v>
      </c>
      <c r="I7637" s="4">
        <f>VALUE(2947)</f>
        <v>2947</v>
      </c>
      <c r="J7637" s="1">
        <f>VALUE(3613)</f>
        <v>3613</v>
      </c>
      <c r="K7637" s="1">
        <f>VALUE(4607)</f>
        <v>4607</v>
      </c>
      <c r="L7637" s="1">
        <f>VALUE(5958)</f>
        <v>5958</v>
      </c>
      <c r="M7637" s="1">
        <f>VALUE(7592)</f>
        <v>7592</v>
      </c>
      <c r="N7637" t="s">
        <v>25</v>
      </c>
    </row>
    <row r="7638" spans="1:14" x14ac:dyDescent="0.25">
      <c r="A7638" t="s">
        <v>42</v>
      </c>
      <c r="B7638" t="s">
        <v>40</v>
      </c>
      <c r="C7638" t="s">
        <v>37</v>
      </c>
      <c r="D7638" t="s">
        <v>32</v>
      </c>
      <c r="E7638" t="s">
        <v>22</v>
      </c>
      <c r="F7638" t="s">
        <v>17</v>
      </c>
      <c r="G7638" s="1" t="str">
        <f t="shared" ref="G7638:M7638" si="1670">"X"</f>
        <v>X</v>
      </c>
      <c r="H7638" s="1" t="str">
        <f t="shared" si="1670"/>
        <v>X</v>
      </c>
      <c r="I7638" s="1" t="str">
        <f t="shared" si="1670"/>
        <v>X</v>
      </c>
      <c r="J7638" s="1" t="str">
        <f t="shared" si="1670"/>
        <v>X</v>
      </c>
      <c r="K7638" s="1" t="str">
        <f t="shared" si="1670"/>
        <v>X</v>
      </c>
      <c r="L7638" s="1" t="str">
        <f t="shared" si="1670"/>
        <v>X</v>
      </c>
      <c r="M7638" s="1" t="str">
        <f t="shared" si="1670"/>
        <v>X</v>
      </c>
      <c r="N7638" t="s">
        <v>27</v>
      </c>
    </row>
    <row r="7639" spans="1:14" x14ac:dyDescent="0.25">
      <c r="A7639" t="s">
        <v>42</v>
      </c>
      <c r="B7639" t="s">
        <v>40</v>
      </c>
      <c r="C7639" t="s">
        <v>37</v>
      </c>
      <c r="D7639" t="s">
        <v>32</v>
      </c>
      <c r="E7639" t="s">
        <v>22</v>
      </c>
      <c r="F7639" t="s">
        <v>18</v>
      </c>
      <c r="G7639" s="2">
        <f>VALUE(195.25)</f>
        <v>195.25</v>
      </c>
      <c r="H7639" s="3">
        <f>VALUE(176.6)</f>
        <v>176.6</v>
      </c>
      <c r="I7639" s="4">
        <f>VALUE(3449)</f>
        <v>3449</v>
      </c>
      <c r="J7639" s="5">
        <f>VALUE(4292)</f>
        <v>4292</v>
      </c>
      <c r="K7639" s="6">
        <f>VALUE(5701)</f>
        <v>5701</v>
      </c>
      <c r="L7639" s="1">
        <f>VALUE(7620)</f>
        <v>7620</v>
      </c>
      <c r="M7639" s="8">
        <f>VALUE(10009)</f>
        <v>10009</v>
      </c>
      <c r="N7639" t="s">
        <v>25</v>
      </c>
    </row>
    <row r="7640" spans="1:14" x14ac:dyDescent="0.25">
      <c r="A7640" t="s">
        <v>42</v>
      </c>
      <c r="B7640" t="s">
        <v>40</v>
      </c>
      <c r="C7640" t="s">
        <v>37</v>
      </c>
      <c r="D7640" t="s">
        <v>32</v>
      </c>
      <c r="E7640" t="s">
        <v>22</v>
      </c>
      <c r="F7640" t="s">
        <v>19</v>
      </c>
      <c r="G7640" s="2">
        <f>VALUE(403.72)</f>
        <v>403.72</v>
      </c>
      <c r="H7640" s="3">
        <f>VALUE(361.91)</f>
        <v>361.91</v>
      </c>
      <c r="I7640" s="1">
        <f>VALUE(3365)</f>
        <v>3365</v>
      </c>
      <c r="J7640" s="1">
        <f>VALUE(3728)</f>
        <v>3728</v>
      </c>
      <c r="K7640" s="1">
        <f>VALUE(4715)</f>
        <v>4715</v>
      </c>
      <c r="L7640" s="1">
        <f>VALUE(5785)</f>
        <v>5785</v>
      </c>
      <c r="M7640" s="1">
        <f>VALUE(7430)</f>
        <v>7430</v>
      </c>
      <c r="N7640" t="s">
        <v>25</v>
      </c>
    </row>
    <row r="7641" spans="1:14" x14ac:dyDescent="0.25">
      <c r="A7641" t="s">
        <v>42</v>
      </c>
      <c r="B7641" t="s">
        <v>40</v>
      </c>
      <c r="C7641" t="s">
        <v>37</v>
      </c>
      <c r="D7641" t="s">
        <v>32</v>
      </c>
      <c r="E7641" t="s">
        <v>22</v>
      </c>
      <c r="F7641" t="s">
        <v>20</v>
      </c>
      <c r="G7641" s="1">
        <f>VALUE(1531.61)</f>
        <v>1531.61</v>
      </c>
      <c r="H7641" s="1">
        <f>VALUE(1302.08)</f>
        <v>1302.08</v>
      </c>
      <c r="I7641" s="4">
        <f>VALUE(2697)</f>
        <v>2697</v>
      </c>
      <c r="J7641" s="5">
        <f>VALUE(3520)</f>
        <v>3520</v>
      </c>
      <c r="K7641" s="1">
        <f>VALUE(4452)</f>
        <v>4452</v>
      </c>
      <c r="L7641" s="1">
        <f>VALUE(5606)</f>
        <v>5606</v>
      </c>
      <c r="M7641" s="1">
        <f>VALUE(7042)</f>
        <v>7042</v>
      </c>
      <c r="N7641" t="s">
        <v>25</v>
      </c>
    </row>
    <row r="7642" spans="1:14" x14ac:dyDescent="0.25">
      <c r="A7642" t="s">
        <v>42</v>
      </c>
      <c r="B7642" t="s">
        <v>40</v>
      </c>
      <c r="C7642" t="s">
        <v>37</v>
      </c>
      <c r="D7642" t="s">
        <v>32</v>
      </c>
      <c r="E7642" t="s">
        <v>23</v>
      </c>
      <c r="F7642" t="s">
        <v>15</v>
      </c>
      <c r="G7642" s="1">
        <f>VALUE(4315.4)</f>
        <v>4315.3999999999996</v>
      </c>
      <c r="H7642" s="1">
        <f>VALUE(3843.55)</f>
        <v>3843.55</v>
      </c>
      <c r="I7642" s="1">
        <f>VALUE(2542)</f>
        <v>2542</v>
      </c>
      <c r="J7642" s="1">
        <f>VALUE(2815)</f>
        <v>2815</v>
      </c>
      <c r="K7642" s="1">
        <f>VALUE(3157)</f>
        <v>3157</v>
      </c>
      <c r="L7642" s="1">
        <f>VALUE(3702)</f>
        <v>3702</v>
      </c>
      <c r="M7642" s="1">
        <f>VALUE(4334)</f>
        <v>4334</v>
      </c>
      <c r="N7642" t="s">
        <v>16</v>
      </c>
    </row>
    <row r="7643" spans="1:14" x14ac:dyDescent="0.25">
      <c r="A7643" t="s">
        <v>42</v>
      </c>
      <c r="B7643" t="s">
        <v>40</v>
      </c>
      <c r="C7643" t="s">
        <v>37</v>
      </c>
      <c r="D7643" t="s">
        <v>32</v>
      </c>
      <c r="E7643" t="s">
        <v>23</v>
      </c>
      <c r="F7643" t="s">
        <v>17</v>
      </c>
      <c r="G7643" s="1" t="str">
        <f t="shared" ref="G7643:M7644" si="1671">"X"</f>
        <v>X</v>
      </c>
      <c r="H7643" s="1" t="str">
        <f t="shared" si="1671"/>
        <v>X</v>
      </c>
      <c r="I7643" s="1" t="str">
        <f t="shared" si="1671"/>
        <v>X</v>
      </c>
      <c r="J7643" s="1" t="str">
        <f t="shared" si="1671"/>
        <v>X</v>
      </c>
      <c r="K7643" s="1" t="str">
        <f t="shared" si="1671"/>
        <v>X</v>
      </c>
      <c r="L7643" s="1" t="str">
        <f t="shared" si="1671"/>
        <v>X</v>
      </c>
      <c r="M7643" s="1" t="str">
        <f t="shared" si="1671"/>
        <v>X</v>
      </c>
      <c r="N7643" t="s">
        <v>27</v>
      </c>
    </row>
    <row r="7644" spans="1:14" x14ac:dyDescent="0.25">
      <c r="A7644" t="s">
        <v>42</v>
      </c>
      <c r="B7644" t="s">
        <v>40</v>
      </c>
      <c r="C7644" t="s">
        <v>37</v>
      </c>
      <c r="D7644" t="s">
        <v>32</v>
      </c>
      <c r="E7644" t="s">
        <v>23</v>
      </c>
      <c r="F7644" t="s">
        <v>18</v>
      </c>
      <c r="G7644" s="1" t="str">
        <f t="shared" si="1671"/>
        <v>X</v>
      </c>
      <c r="H7644" s="1" t="str">
        <f t="shared" si="1671"/>
        <v>X</v>
      </c>
      <c r="I7644" s="1" t="str">
        <f t="shared" si="1671"/>
        <v>X</v>
      </c>
      <c r="J7644" s="1" t="str">
        <f t="shared" si="1671"/>
        <v>X</v>
      </c>
      <c r="K7644" s="1" t="str">
        <f t="shared" si="1671"/>
        <v>X</v>
      </c>
      <c r="L7644" s="1" t="str">
        <f t="shared" si="1671"/>
        <v>X</v>
      </c>
      <c r="M7644" s="1" t="str">
        <f t="shared" si="1671"/>
        <v>X</v>
      </c>
      <c r="N7644" t="s">
        <v>27</v>
      </c>
    </row>
    <row r="7645" spans="1:14" x14ac:dyDescent="0.25">
      <c r="A7645" t="s">
        <v>42</v>
      </c>
      <c r="B7645" t="s">
        <v>40</v>
      </c>
      <c r="C7645" t="s">
        <v>37</v>
      </c>
      <c r="D7645" t="s">
        <v>32</v>
      </c>
      <c r="E7645" t="s">
        <v>23</v>
      </c>
      <c r="F7645" t="s">
        <v>19</v>
      </c>
      <c r="G7645" s="1">
        <f>VALUE(695.77)</f>
        <v>695.77</v>
      </c>
      <c r="H7645" s="1">
        <f>VALUE(712.89)</f>
        <v>712.89</v>
      </c>
      <c r="I7645" s="1">
        <f>VALUE(2694)</f>
        <v>2694</v>
      </c>
      <c r="J7645" s="1">
        <f>VALUE(2896)</f>
        <v>2896</v>
      </c>
      <c r="K7645" s="1">
        <f>VALUE(3105)</f>
        <v>3105</v>
      </c>
      <c r="L7645" s="7">
        <f>VALUE(3605)</f>
        <v>3605</v>
      </c>
      <c r="M7645" s="8">
        <f>VALUE(4249)</f>
        <v>4249</v>
      </c>
      <c r="N7645" t="s">
        <v>25</v>
      </c>
    </row>
    <row r="7646" spans="1:14" x14ac:dyDescent="0.25">
      <c r="A7646" t="s">
        <v>42</v>
      </c>
      <c r="B7646" t="s">
        <v>40</v>
      </c>
      <c r="C7646" t="s">
        <v>37</v>
      </c>
      <c r="D7646" t="s">
        <v>32</v>
      </c>
      <c r="E7646" t="s">
        <v>23</v>
      </c>
      <c r="F7646" t="s">
        <v>20</v>
      </c>
      <c r="G7646" s="1">
        <f>VALUE(3487.41)</f>
        <v>3487.41</v>
      </c>
      <c r="H7646" s="1">
        <f>VALUE(3015.67)</f>
        <v>3015.67</v>
      </c>
      <c r="I7646" s="1">
        <f>VALUE(2526)</f>
        <v>2526</v>
      </c>
      <c r="J7646" s="1">
        <f>VALUE(2779)</f>
        <v>2779</v>
      </c>
      <c r="K7646" s="1">
        <f>VALUE(3156)</f>
        <v>3156</v>
      </c>
      <c r="L7646" s="1">
        <f>VALUE(3700)</f>
        <v>3700</v>
      </c>
      <c r="M7646" s="1">
        <f>VALUE(4309)</f>
        <v>4309</v>
      </c>
      <c r="N7646" t="s">
        <v>16</v>
      </c>
    </row>
    <row r="7647" spans="1:14" x14ac:dyDescent="0.25">
      <c r="A7647" t="s">
        <v>42</v>
      </c>
      <c r="B7647" t="s">
        <v>40</v>
      </c>
      <c r="C7647" t="s">
        <v>37</v>
      </c>
      <c r="D7647" t="s">
        <v>32</v>
      </c>
      <c r="E7647" t="s">
        <v>26</v>
      </c>
      <c r="F7647" t="s">
        <v>15</v>
      </c>
      <c r="G7647" s="2">
        <f>VALUE(287.04)</f>
        <v>287.04000000000002</v>
      </c>
      <c r="H7647" s="3">
        <f>VALUE(263.65)</f>
        <v>263.64999999999998</v>
      </c>
      <c r="I7647" s="4">
        <f>VALUE(2497)</f>
        <v>2497</v>
      </c>
      <c r="J7647" s="5">
        <f>VALUE(3496)</f>
        <v>3496</v>
      </c>
      <c r="K7647" s="1">
        <f>VALUE(5151)</f>
        <v>5151</v>
      </c>
      <c r="L7647" s="1">
        <f>VALUE(6400)</f>
        <v>6400</v>
      </c>
      <c r="M7647" s="8">
        <f>VALUE(8262)</f>
        <v>8262</v>
      </c>
      <c r="N7647" t="s">
        <v>25</v>
      </c>
    </row>
    <row r="7648" spans="1:14" x14ac:dyDescent="0.25">
      <c r="A7648" t="s">
        <v>42</v>
      </c>
      <c r="B7648" t="s">
        <v>40</v>
      </c>
      <c r="C7648" t="s">
        <v>37</v>
      </c>
      <c r="D7648" t="s">
        <v>32</v>
      </c>
      <c r="E7648" t="s">
        <v>26</v>
      </c>
      <c r="F7648" t="s">
        <v>17</v>
      </c>
      <c r="G7648" s="1" t="str">
        <f t="shared" ref="G7648:M7650" si="1672">"X"</f>
        <v>X</v>
      </c>
      <c r="H7648" s="1" t="str">
        <f t="shared" si="1672"/>
        <v>X</v>
      </c>
      <c r="I7648" s="1" t="str">
        <f t="shared" si="1672"/>
        <v>X</v>
      </c>
      <c r="J7648" s="1" t="str">
        <f t="shared" si="1672"/>
        <v>X</v>
      </c>
      <c r="K7648" s="1" t="str">
        <f t="shared" si="1672"/>
        <v>X</v>
      </c>
      <c r="L7648" s="1" t="str">
        <f t="shared" si="1672"/>
        <v>X</v>
      </c>
      <c r="M7648" s="1" t="str">
        <f t="shared" si="1672"/>
        <v>X</v>
      </c>
      <c r="N7648" t="s">
        <v>27</v>
      </c>
    </row>
    <row r="7649" spans="1:14" x14ac:dyDescent="0.25">
      <c r="A7649" t="s">
        <v>42</v>
      </c>
      <c r="B7649" t="s">
        <v>40</v>
      </c>
      <c r="C7649" t="s">
        <v>37</v>
      </c>
      <c r="D7649" t="s">
        <v>32</v>
      </c>
      <c r="E7649" t="s">
        <v>26</v>
      </c>
      <c r="F7649" t="s">
        <v>18</v>
      </c>
      <c r="G7649" s="1" t="str">
        <f t="shared" si="1672"/>
        <v>X</v>
      </c>
      <c r="H7649" s="1" t="str">
        <f t="shared" si="1672"/>
        <v>X</v>
      </c>
      <c r="I7649" s="1" t="str">
        <f t="shared" si="1672"/>
        <v>X</v>
      </c>
      <c r="J7649" s="1" t="str">
        <f t="shared" si="1672"/>
        <v>X</v>
      </c>
      <c r="K7649" s="1" t="str">
        <f t="shared" si="1672"/>
        <v>X</v>
      </c>
      <c r="L7649" s="1" t="str">
        <f t="shared" si="1672"/>
        <v>X</v>
      </c>
      <c r="M7649" s="1" t="str">
        <f t="shared" si="1672"/>
        <v>X</v>
      </c>
      <c r="N7649" t="s">
        <v>27</v>
      </c>
    </row>
    <row r="7650" spans="1:14" x14ac:dyDescent="0.25">
      <c r="A7650" t="s">
        <v>42</v>
      </c>
      <c r="B7650" t="s">
        <v>40</v>
      </c>
      <c r="C7650" t="s">
        <v>37</v>
      </c>
      <c r="D7650" t="s">
        <v>32</v>
      </c>
      <c r="E7650" t="s">
        <v>26</v>
      </c>
      <c r="F7650" t="s">
        <v>19</v>
      </c>
      <c r="G7650" s="1" t="str">
        <f t="shared" si="1672"/>
        <v>X</v>
      </c>
      <c r="H7650" s="1" t="str">
        <f t="shared" si="1672"/>
        <v>X</v>
      </c>
      <c r="I7650" s="1" t="str">
        <f t="shared" si="1672"/>
        <v>X</v>
      </c>
      <c r="J7650" s="1" t="str">
        <f t="shared" si="1672"/>
        <v>X</v>
      </c>
      <c r="K7650" s="1" t="str">
        <f t="shared" si="1672"/>
        <v>X</v>
      </c>
      <c r="L7650" s="1" t="str">
        <f t="shared" si="1672"/>
        <v>X</v>
      </c>
      <c r="M7650" s="1" t="str">
        <f t="shared" si="1672"/>
        <v>X</v>
      </c>
      <c r="N7650" t="s">
        <v>27</v>
      </c>
    </row>
    <row r="7651" spans="1:14" x14ac:dyDescent="0.25">
      <c r="A7651" t="s">
        <v>42</v>
      </c>
      <c r="B7651" t="s">
        <v>40</v>
      </c>
      <c r="C7651" t="s">
        <v>37</v>
      </c>
      <c r="D7651" t="s">
        <v>32</v>
      </c>
      <c r="E7651" t="s">
        <v>26</v>
      </c>
      <c r="F7651" t="s">
        <v>20</v>
      </c>
      <c r="G7651" s="2">
        <f>VALUE(252.75)</f>
        <v>252.75</v>
      </c>
      <c r="H7651" s="3">
        <f>VALUE(232.73)</f>
        <v>232.73</v>
      </c>
      <c r="I7651" s="4">
        <f>VALUE(2493)</f>
        <v>2493</v>
      </c>
      <c r="J7651" s="5">
        <f>VALUE(3422)</f>
        <v>3422</v>
      </c>
      <c r="K7651" s="6">
        <f>VALUE(4768)</f>
        <v>4768</v>
      </c>
      <c r="L7651" s="1">
        <f>VALUE(5971)</f>
        <v>5971</v>
      </c>
      <c r="M7651" s="1">
        <f>VALUE(7135)</f>
        <v>7135</v>
      </c>
      <c r="N7651" t="s">
        <v>25</v>
      </c>
    </row>
    <row r="7652" spans="1:14" x14ac:dyDescent="0.25">
      <c r="A7652" t="s">
        <v>42</v>
      </c>
      <c r="B7652" t="s">
        <v>40</v>
      </c>
      <c r="C7652" t="s">
        <v>37</v>
      </c>
      <c r="D7652" t="s">
        <v>33</v>
      </c>
      <c r="E7652" t="s">
        <v>15</v>
      </c>
      <c r="F7652" t="s">
        <v>15</v>
      </c>
      <c r="G7652" s="1" t="str">
        <f t="shared" ref="G7652:M7660" si="1673">"X"</f>
        <v>X</v>
      </c>
      <c r="H7652" s="1" t="str">
        <f t="shared" si="1673"/>
        <v>X</v>
      </c>
      <c r="I7652" s="1" t="str">
        <f t="shared" si="1673"/>
        <v>X</v>
      </c>
      <c r="J7652" s="1" t="str">
        <f t="shared" si="1673"/>
        <v>X</v>
      </c>
      <c r="K7652" s="1" t="str">
        <f t="shared" si="1673"/>
        <v>X</v>
      </c>
      <c r="L7652" s="1" t="str">
        <f t="shared" si="1673"/>
        <v>X</v>
      </c>
      <c r="M7652" s="1" t="str">
        <f t="shared" si="1673"/>
        <v>X</v>
      </c>
      <c r="N7652" t="s">
        <v>27</v>
      </c>
    </row>
    <row r="7653" spans="1:14" x14ac:dyDescent="0.25">
      <c r="A7653" t="s">
        <v>42</v>
      </c>
      <c r="B7653" t="s">
        <v>40</v>
      </c>
      <c r="C7653" t="s">
        <v>37</v>
      </c>
      <c r="D7653" t="s">
        <v>33</v>
      </c>
      <c r="E7653" t="s">
        <v>15</v>
      </c>
      <c r="F7653" t="s">
        <v>17</v>
      </c>
      <c r="G7653" s="1" t="str">
        <f t="shared" si="1673"/>
        <v>X</v>
      </c>
      <c r="H7653" s="1" t="str">
        <f t="shared" si="1673"/>
        <v>X</v>
      </c>
      <c r="I7653" s="1" t="str">
        <f t="shared" si="1673"/>
        <v>X</v>
      </c>
      <c r="J7653" s="1" t="str">
        <f t="shared" si="1673"/>
        <v>X</v>
      </c>
      <c r="K7653" s="1" t="str">
        <f t="shared" si="1673"/>
        <v>X</v>
      </c>
      <c r="L7653" s="1" t="str">
        <f t="shared" si="1673"/>
        <v>X</v>
      </c>
      <c r="M7653" s="1" t="str">
        <f t="shared" si="1673"/>
        <v>X</v>
      </c>
      <c r="N7653" t="s">
        <v>27</v>
      </c>
    </row>
    <row r="7654" spans="1:14" x14ac:dyDescent="0.25">
      <c r="A7654" t="s">
        <v>42</v>
      </c>
      <c r="B7654" t="s">
        <v>40</v>
      </c>
      <c r="C7654" t="s">
        <v>37</v>
      </c>
      <c r="D7654" t="s">
        <v>33</v>
      </c>
      <c r="E7654" t="s">
        <v>15</v>
      </c>
      <c r="F7654" t="s">
        <v>18</v>
      </c>
      <c r="G7654" s="1" t="str">
        <f t="shared" si="1673"/>
        <v>X</v>
      </c>
      <c r="H7654" s="1" t="str">
        <f t="shared" si="1673"/>
        <v>X</v>
      </c>
      <c r="I7654" s="1" t="str">
        <f t="shared" si="1673"/>
        <v>X</v>
      </c>
      <c r="J7654" s="1" t="str">
        <f t="shared" si="1673"/>
        <v>X</v>
      </c>
      <c r="K7654" s="1" t="str">
        <f t="shared" si="1673"/>
        <v>X</v>
      </c>
      <c r="L7654" s="1" t="str">
        <f t="shared" si="1673"/>
        <v>X</v>
      </c>
      <c r="M7654" s="1" t="str">
        <f t="shared" si="1673"/>
        <v>X</v>
      </c>
      <c r="N7654" t="s">
        <v>27</v>
      </c>
    </row>
    <row r="7655" spans="1:14" x14ac:dyDescent="0.25">
      <c r="A7655" t="s">
        <v>42</v>
      </c>
      <c r="B7655" t="s">
        <v>40</v>
      </c>
      <c r="C7655" t="s">
        <v>37</v>
      </c>
      <c r="D7655" t="s">
        <v>33</v>
      </c>
      <c r="E7655" t="s">
        <v>15</v>
      </c>
      <c r="F7655" t="s">
        <v>19</v>
      </c>
      <c r="G7655" s="1" t="str">
        <f t="shared" si="1673"/>
        <v>X</v>
      </c>
      <c r="H7655" s="1" t="str">
        <f t="shared" si="1673"/>
        <v>X</v>
      </c>
      <c r="I7655" s="1" t="str">
        <f t="shared" si="1673"/>
        <v>X</v>
      </c>
      <c r="J7655" s="1" t="str">
        <f t="shared" si="1673"/>
        <v>X</v>
      </c>
      <c r="K7655" s="1" t="str">
        <f t="shared" si="1673"/>
        <v>X</v>
      </c>
      <c r="L7655" s="1" t="str">
        <f t="shared" si="1673"/>
        <v>X</v>
      </c>
      <c r="M7655" s="1" t="str">
        <f t="shared" si="1673"/>
        <v>X</v>
      </c>
      <c r="N7655" t="s">
        <v>27</v>
      </c>
    </row>
    <row r="7656" spans="1:14" x14ac:dyDescent="0.25">
      <c r="A7656" t="s">
        <v>42</v>
      </c>
      <c r="B7656" t="s">
        <v>40</v>
      </c>
      <c r="C7656" t="s">
        <v>37</v>
      </c>
      <c r="D7656" t="s">
        <v>33</v>
      </c>
      <c r="E7656" t="s">
        <v>15</v>
      </c>
      <c r="F7656" t="s">
        <v>20</v>
      </c>
      <c r="G7656" s="1" t="str">
        <f t="shared" si="1673"/>
        <v>X</v>
      </c>
      <c r="H7656" s="1" t="str">
        <f t="shared" si="1673"/>
        <v>X</v>
      </c>
      <c r="I7656" s="1" t="str">
        <f t="shared" si="1673"/>
        <v>X</v>
      </c>
      <c r="J7656" s="1" t="str">
        <f t="shared" si="1673"/>
        <v>X</v>
      </c>
      <c r="K7656" s="1" t="str">
        <f t="shared" si="1673"/>
        <v>X</v>
      </c>
      <c r="L7656" s="1" t="str">
        <f t="shared" si="1673"/>
        <v>X</v>
      </c>
      <c r="M7656" s="1" t="str">
        <f t="shared" si="1673"/>
        <v>X</v>
      </c>
      <c r="N7656" t="s">
        <v>27</v>
      </c>
    </row>
    <row r="7657" spans="1:14" x14ac:dyDescent="0.25">
      <c r="A7657" t="s">
        <v>42</v>
      </c>
      <c r="B7657" t="s">
        <v>40</v>
      </c>
      <c r="C7657" t="s">
        <v>37</v>
      </c>
      <c r="D7657" t="s">
        <v>33</v>
      </c>
      <c r="E7657" t="s">
        <v>21</v>
      </c>
      <c r="F7657" t="s">
        <v>15</v>
      </c>
      <c r="G7657" s="1" t="str">
        <f t="shared" si="1673"/>
        <v>X</v>
      </c>
      <c r="H7657" s="1" t="str">
        <f t="shared" si="1673"/>
        <v>X</v>
      </c>
      <c r="I7657" s="1" t="str">
        <f t="shared" si="1673"/>
        <v>X</v>
      </c>
      <c r="J7657" s="1" t="str">
        <f t="shared" si="1673"/>
        <v>X</v>
      </c>
      <c r="K7657" s="1" t="str">
        <f t="shared" si="1673"/>
        <v>X</v>
      </c>
      <c r="L7657" s="1" t="str">
        <f t="shared" si="1673"/>
        <v>X</v>
      </c>
      <c r="M7657" s="1" t="str">
        <f t="shared" si="1673"/>
        <v>X</v>
      </c>
      <c r="N7657" t="s">
        <v>27</v>
      </c>
    </row>
    <row r="7658" spans="1:14" x14ac:dyDescent="0.25">
      <c r="A7658" t="s">
        <v>42</v>
      </c>
      <c r="B7658" t="s">
        <v>40</v>
      </c>
      <c r="C7658" t="s">
        <v>37</v>
      </c>
      <c r="D7658" t="s">
        <v>33</v>
      </c>
      <c r="E7658" t="s">
        <v>21</v>
      </c>
      <c r="F7658" t="s">
        <v>17</v>
      </c>
      <c r="G7658" s="1" t="str">
        <f t="shared" si="1673"/>
        <v>X</v>
      </c>
      <c r="H7658" s="1" t="str">
        <f t="shared" si="1673"/>
        <v>X</v>
      </c>
      <c r="I7658" s="1" t="str">
        <f t="shared" si="1673"/>
        <v>X</v>
      </c>
      <c r="J7658" s="1" t="str">
        <f t="shared" si="1673"/>
        <v>X</v>
      </c>
      <c r="K7658" s="1" t="str">
        <f t="shared" si="1673"/>
        <v>X</v>
      </c>
      <c r="L7658" s="1" t="str">
        <f t="shared" si="1673"/>
        <v>X</v>
      </c>
      <c r="M7658" s="1" t="str">
        <f t="shared" si="1673"/>
        <v>X</v>
      </c>
      <c r="N7658" t="s">
        <v>27</v>
      </c>
    </row>
    <row r="7659" spans="1:14" x14ac:dyDescent="0.25">
      <c r="A7659" t="s">
        <v>42</v>
      </c>
      <c r="B7659" t="s">
        <v>40</v>
      </c>
      <c r="C7659" t="s">
        <v>37</v>
      </c>
      <c r="D7659" t="s">
        <v>33</v>
      </c>
      <c r="E7659" t="s">
        <v>21</v>
      </c>
      <c r="F7659" t="s">
        <v>18</v>
      </c>
      <c r="G7659" s="1" t="str">
        <f t="shared" si="1673"/>
        <v>X</v>
      </c>
      <c r="H7659" s="1" t="str">
        <f t="shared" si="1673"/>
        <v>X</v>
      </c>
      <c r="I7659" s="1" t="str">
        <f t="shared" si="1673"/>
        <v>X</v>
      </c>
      <c r="J7659" s="1" t="str">
        <f t="shared" si="1673"/>
        <v>X</v>
      </c>
      <c r="K7659" s="1" t="str">
        <f t="shared" si="1673"/>
        <v>X</v>
      </c>
      <c r="L7659" s="1" t="str">
        <f t="shared" si="1673"/>
        <v>X</v>
      </c>
      <c r="M7659" s="1" t="str">
        <f t="shared" si="1673"/>
        <v>X</v>
      </c>
      <c r="N7659" t="s">
        <v>27</v>
      </c>
    </row>
    <row r="7660" spans="1:14" x14ac:dyDescent="0.25">
      <c r="A7660" t="s">
        <v>42</v>
      </c>
      <c r="B7660" t="s">
        <v>40</v>
      </c>
      <c r="C7660" t="s">
        <v>37</v>
      </c>
      <c r="D7660" t="s">
        <v>33</v>
      </c>
      <c r="E7660" t="s">
        <v>21</v>
      </c>
      <c r="F7660" t="s">
        <v>19</v>
      </c>
      <c r="G7660" s="1" t="str">
        <f t="shared" si="1673"/>
        <v>X</v>
      </c>
      <c r="H7660" s="1" t="str">
        <f t="shared" si="1673"/>
        <v>X</v>
      </c>
      <c r="I7660" s="1" t="str">
        <f t="shared" si="1673"/>
        <v>X</v>
      </c>
      <c r="J7660" s="1" t="str">
        <f t="shared" si="1673"/>
        <v>X</v>
      </c>
      <c r="K7660" s="1" t="str">
        <f t="shared" si="1673"/>
        <v>X</v>
      </c>
      <c r="L7660" s="1" t="str">
        <f t="shared" si="1673"/>
        <v>X</v>
      </c>
      <c r="M7660" s="1" t="str">
        <f t="shared" si="1673"/>
        <v>X</v>
      </c>
      <c r="N7660" t="s">
        <v>27</v>
      </c>
    </row>
    <row r="7661" spans="1:14" x14ac:dyDescent="0.25">
      <c r="A7661" t="s">
        <v>42</v>
      </c>
      <c r="B7661" t="s">
        <v>40</v>
      </c>
      <c r="C7661" t="s">
        <v>37</v>
      </c>
      <c r="D7661" t="s">
        <v>33</v>
      </c>
      <c r="E7661" t="s">
        <v>21</v>
      </c>
      <c r="F7661" t="s">
        <v>20</v>
      </c>
      <c r="G7661" s="1" t="str">
        <f t="shared" ref="G7661:M7661" si="1674">"..."</f>
        <v>...</v>
      </c>
      <c r="H7661" s="1" t="str">
        <f t="shared" si="1674"/>
        <v>...</v>
      </c>
      <c r="I7661" s="1" t="str">
        <f t="shared" si="1674"/>
        <v>...</v>
      </c>
      <c r="J7661" s="1" t="str">
        <f t="shared" si="1674"/>
        <v>...</v>
      </c>
      <c r="K7661" s="1" t="str">
        <f t="shared" si="1674"/>
        <v>...</v>
      </c>
      <c r="L7661" s="1" t="str">
        <f t="shared" si="1674"/>
        <v>...</v>
      </c>
      <c r="M7661" s="1" t="str">
        <f t="shared" si="1674"/>
        <v>...</v>
      </c>
      <c r="N7661" t="s">
        <v>30</v>
      </c>
    </row>
    <row r="7662" spans="1:14" x14ac:dyDescent="0.25">
      <c r="A7662" t="s">
        <v>42</v>
      </c>
      <c r="B7662" t="s">
        <v>40</v>
      </c>
      <c r="C7662" t="s">
        <v>37</v>
      </c>
      <c r="D7662" t="s">
        <v>33</v>
      </c>
      <c r="E7662" t="s">
        <v>22</v>
      </c>
      <c r="F7662" t="s">
        <v>15</v>
      </c>
      <c r="G7662" s="1" t="str">
        <f t="shared" ref="G7662:M7662" si="1675">"X"</f>
        <v>X</v>
      </c>
      <c r="H7662" s="1" t="str">
        <f t="shared" si="1675"/>
        <v>X</v>
      </c>
      <c r="I7662" s="1" t="str">
        <f t="shared" si="1675"/>
        <v>X</v>
      </c>
      <c r="J7662" s="1" t="str">
        <f t="shared" si="1675"/>
        <v>X</v>
      </c>
      <c r="K7662" s="1" t="str">
        <f t="shared" si="1675"/>
        <v>X</v>
      </c>
      <c r="L7662" s="1" t="str">
        <f t="shared" si="1675"/>
        <v>X</v>
      </c>
      <c r="M7662" s="1" t="str">
        <f t="shared" si="1675"/>
        <v>X</v>
      </c>
      <c r="N7662" t="s">
        <v>27</v>
      </c>
    </row>
    <row r="7663" spans="1:14" x14ac:dyDescent="0.25">
      <c r="A7663" t="s">
        <v>42</v>
      </c>
      <c r="B7663" t="s">
        <v>40</v>
      </c>
      <c r="C7663" t="s">
        <v>37</v>
      </c>
      <c r="D7663" t="s">
        <v>33</v>
      </c>
      <c r="E7663" t="s">
        <v>22</v>
      </c>
      <c r="F7663" t="s">
        <v>17</v>
      </c>
      <c r="G7663" s="1" t="str">
        <f t="shared" ref="G7663:M7663" si="1676">"..."</f>
        <v>...</v>
      </c>
      <c r="H7663" s="1" t="str">
        <f t="shared" si="1676"/>
        <v>...</v>
      </c>
      <c r="I7663" s="1" t="str">
        <f t="shared" si="1676"/>
        <v>...</v>
      </c>
      <c r="J7663" s="1" t="str">
        <f t="shared" si="1676"/>
        <v>...</v>
      </c>
      <c r="K7663" s="1" t="str">
        <f t="shared" si="1676"/>
        <v>...</v>
      </c>
      <c r="L7663" s="1" t="str">
        <f t="shared" si="1676"/>
        <v>...</v>
      </c>
      <c r="M7663" s="1" t="str">
        <f t="shared" si="1676"/>
        <v>...</v>
      </c>
      <c r="N7663" t="s">
        <v>30</v>
      </c>
    </row>
    <row r="7664" spans="1:14" x14ac:dyDescent="0.25">
      <c r="A7664" t="s">
        <v>42</v>
      </c>
      <c r="B7664" t="s">
        <v>40</v>
      </c>
      <c r="C7664" t="s">
        <v>37</v>
      </c>
      <c r="D7664" t="s">
        <v>33</v>
      </c>
      <c r="E7664" t="s">
        <v>22</v>
      </c>
      <c r="F7664" t="s">
        <v>18</v>
      </c>
      <c r="G7664" s="1" t="str">
        <f t="shared" ref="G7664:M7672" si="1677">"X"</f>
        <v>X</v>
      </c>
      <c r="H7664" s="1" t="str">
        <f t="shared" si="1677"/>
        <v>X</v>
      </c>
      <c r="I7664" s="1" t="str">
        <f t="shared" si="1677"/>
        <v>X</v>
      </c>
      <c r="J7664" s="1" t="str">
        <f t="shared" si="1677"/>
        <v>X</v>
      </c>
      <c r="K7664" s="1" t="str">
        <f t="shared" si="1677"/>
        <v>X</v>
      </c>
      <c r="L7664" s="1" t="str">
        <f t="shared" si="1677"/>
        <v>X</v>
      </c>
      <c r="M7664" s="1" t="str">
        <f t="shared" si="1677"/>
        <v>X</v>
      </c>
      <c r="N7664" t="s">
        <v>27</v>
      </c>
    </row>
    <row r="7665" spans="1:14" x14ac:dyDescent="0.25">
      <c r="A7665" t="s">
        <v>42</v>
      </c>
      <c r="B7665" t="s">
        <v>40</v>
      </c>
      <c r="C7665" t="s">
        <v>37</v>
      </c>
      <c r="D7665" t="s">
        <v>33</v>
      </c>
      <c r="E7665" t="s">
        <v>22</v>
      </c>
      <c r="F7665" t="s">
        <v>19</v>
      </c>
      <c r="G7665" s="1" t="str">
        <f t="shared" si="1677"/>
        <v>X</v>
      </c>
      <c r="H7665" s="1" t="str">
        <f t="shared" si="1677"/>
        <v>X</v>
      </c>
      <c r="I7665" s="1" t="str">
        <f t="shared" si="1677"/>
        <v>X</v>
      </c>
      <c r="J7665" s="1" t="str">
        <f t="shared" si="1677"/>
        <v>X</v>
      </c>
      <c r="K7665" s="1" t="str">
        <f t="shared" si="1677"/>
        <v>X</v>
      </c>
      <c r="L7665" s="1" t="str">
        <f t="shared" si="1677"/>
        <v>X</v>
      </c>
      <c r="M7665" s="1" t="str">
        <f t="shared" si="1677"/>
        <v>X</v>
      </c>
      <c r="N7665" t="s">
        <v>27</v>
      </c>
    </row>
    <row r="7666" spans="1:14" x14ac:dyDescent="0.25">
      <c r="A7666" t="s">
        <v>42</v>
      </c>
      <c r="B7666" t="s">
        <v>40</v>
      </c>
      <c r="C7666" t="s">
        <v>37</v>
      </c>
      <c r="D7666" t="s">
        <v>33</v>
      </c>
      <c r="E7666" t="s">
        <v>22</v>
      </c>
      <c r="F7666" t="s">
        <v>20</v>
      </c>
      <c r="G7666" s="1" t="str">
        <f t="shared" si="1677"/>
        <v>X</v>
      </c>
      <c r="H7666" s="1" t="str">
        <f t="shared" si="1677"/>
        <v>X</v>
      </c>
      <c r="I7666" s="1" t="str">
        <f t="shared" si="1677"/>
        <v>X</v>
      </c>
      <c r="J7666" s="1" t="str">
        <f t="shared" si="1677"/>
        <v>X</v>
      </c>
      <c r="K7666" s="1" t="str">
        <f t="shared" si="1677"/>
        <v>X</v>
      </c>
      <c r="L7666" s="1" t="str">
        <f t="shared" si="1677"/>
        <v>X</v>
      </c>
      <c r="M7666" s="1" t="str">
        <f t="shared" si="1677"/>
        <v>X</v>
      </c>
      <c r="N7666" t="s">
        <v>27</v>
      </c>
    </row>
    <row r="7667" spans="1:14" x14ac:dyDescent="0.25">
      <c r="A7667" t="s">
        <v>42</v>
      </c>
      <c r="B7667" t="s">
        <v>40</v>
      </c>
      <c r="C7667" t="s">
        <v>37</v>
      </c>
      <c r="D7667" t="s">
        <v>33</v>
      </c>
      <c r="E7667" t="s">
        <v>23</v>
      </c>
      <c r="F7667" t="s">
        <v>15</v>
      </c>
      <c r="G7667" s="1" t="str">
        <f t="shared" si="1677"/>
        <v>X</v>
      </c>
      <c r="H7667" s="1" t="str">
        <f t="shared" si="1677"/>
        <v>X</v>
      </c>
      <c r="I7667" s="1" t="str">
        <f t="shared" si="1677"/>
        <v>X</v>
      </c>
      <c r="J7667" s="1" t="str">
        <f t="shared" si="1677"/>
        <v>X</v>
      </c>
      <c r="K7667" s="1" t="str">
        <f t="shared" si="1677"/>
        <v>X</v>
      </c>
      <c r="L7667" s="1" t="str">
        <f t="shared" si="1677"/>
        <v>X</v>
      </c>
      <c r="M7667" s="1" t="str">
        <f t="shared" si="1677"/>
        <v>X</v>
      </c>
      <c r="N7667" t="s">
        <v>27</v>
      </c>
    </row>
    <row r="7668" spans="1:14" x14ac:dyDescent="0.25">
      <c r="A7668" t="s">
        <v>42</v>
      </c>
      <c r="B7668" t="s">
        <v>40</v>
      </c>
      <c r="C7668" t="s">
        <v>37</v>
      </c>
      <c r="D7668" t="s">
        <v>33</v>
      </c>
      <c r="E7668" t="s">
        <v>23</v>
      </c>
      <c r="F7668" t="s">
        <v>17</v>
      </c>
      <c r="G7668" s="1" t="str">
        <f t="shared" si="1677"/>
        <v>X</v>
      </c>
      <c r="H7668" s="1" t="str">
        <f t="shared" si="1677"/>
        <v>X</v>
      </c>
      <c r="I7668" s="1" t="str">
        <f t="shared" si="1677"/>
        <v>X</v>
      </c>
      <c r="J7668" s="1" t="str">
        <f t="shared" si="1677"/>
        <v>X</v>
      </c>
      <c r="K7668" s="1" t="str">
        <f t="shared" si="1677"/>
        <v>X</v>
      </c>
      <c r="L7668" s="1" t="str">
        <f t="shared" si="1677"/>
        <v>X</v>
      </c>
      <c r="M7668" s="1" t="str">
        <f t="shared" si="1677"/>
        <v>X</v>
      </c>
      <c r="N7668" t="s">
        <v>27</v>
      </c>
    </row>
    <row r="7669" spans="1:14" x14ac:dyDescent="0.25">
      <c r="A7669" t="s">
        <v>42</v>
      </c>
      <c r="B7669" t="s">
        <v>40</v>
      </c>
      <c r="C7669" t="s">
        <v>37</v>
      </c>
      <c r="D7669" t="s">
        <v>33</v>
      </c>
      <c r="E7669" t="s">
        <v>23</v>
      </c>
      <c r="F7669" t="s">
        <v>18</v>
      </c>
      <c r="G7669" s="1" t="str">
        <f t="shared" si="1677"/>
        <v>X</v>
      </c>
      <c r="H7669" s="1" t="str">
        <f t="shared" si="1677"/>
        <v>X</v>
      </c>
      <c r="I7669" s="1" t="str">
        <f t="shared" si="1677"/>
        <v>X</v>
      </c>
      <c r="J7669" s="1" t="str">
        <f t="shared" si="1677"/>
        <v>X</v>
      </c>
      <c r="K7669" s="1" t="str">
        <f t="shared" si="1677"/>
        <v>X</v>
      </c>
      <c r="L7669" s="1" t="str">
        <f t="shared" si="1677"/>
        <v>X</v>
      </c>
      <c r="M7669" s="1" t="str">
        <f t="shared" si="1677"/>
        <v>X</v>
      </c>
      <c r="N7669" t="s">
        <v>27</v>
      </c>
    </row>
    <row r="7670" spans="1:14" x14ac:dyDescent="0.25">
      <c r="A7670" t="s">
        <v>42</v>
      </c>
      <c r="B7670" t="s">
        <v>40</v>
      </c>
      <c r="C7670" t="s">
        <v>37</v>
      </c>
      <c r="D7670" t="s">
        <v>33</v>
      </c>
      <c r="E7670" t="s">
        <v>23</v>
      </c>
      <c r="F7670" t="s">
        <v>19</v>
      </c>
      <c r="G7670" s="1" t="str">
        <f t="shared" si="1677"/>
        <v>X</v>
      </c>
      <c r="H7670" s="1" t="str">
        <f t="shared" si="1677"/>
        <v>X</v>
      </c>
      <c r="I7670" s="1" t="str">
        <f t="shared" si="1677"/>
        <v>X</v>
      </c>
      <c r="J7670" s="1" t="str">
        <f t="shared" si="1677"/>
        <v>X</v>
      </c>
      <c r="K7670" s="1" t="str">
        <f t="shared" si="1677"/>
        <v>X</v>
      </c>
      <c r="L7670" s="1" t="str">
        <f t="shared" si="1677"/>
        <v>X</v>
      </c>
      <c r="M7670" s="1" t="str">
        <f t="shared" si="1677"/>
        <v>X</v>
      </c>
      <c r="N7670" t="s">
        <v>27</v>
      </c>
    </row>
    <row r="7671" spans="1:14" x14ac:dyDescent="0.25">
      <c r="A7671" t="s">
        <v>42</v>
      </c>
      <c r="B7671" t="s">
        <v>40</v>
      </c>
      <c r="C7671" t="s">
        <v>37</v>
      </c>
      <c r="D7671" t="s">
        <v>33</v>
      </c>
      <c r="E7671" t="s">
        <v>23</v>
      </c>
      <c r="F7671" t="s">
        <v>20</v>
      </c>
      <c r="G7671" s="1" t="str">
        <f t="shared" si="1677"/>
        <v>X</v>
      </c>
      <c r="H7671" s="1" t="str">
        <f t="shared" si="1677"/>
        <v>X</v>
      </c>
      <c r="I7671" s="1" t="str">
        <f t="shared" si="1677"/>
        <v>X</v>
      </c>
      <c r="J7671" s="1" t="str">
        <f t="shared" si="1677"/>
        <v>X</v>
      </c>
      <c r="K7671" s="1" t="str">
        <f t="shared" si="1677"/>
        <v>X</v>
      </c>
      <c r="L7671" s="1" t="str">
        <f t="shared" si="1677"/>
        <v>X</v>
      </c>
      <c r="M7671" s="1" t="str">
        <f t="shared" si="1677"/>
        <v>X</v>
      </c>
      <c r="N7671" t="s">
        <v>27</v>
      </c>
    </row>
    <row r="7672" spans="1:14" x14ac:dyDescent="0.25">
      <c r="A7672" t="s">
        <v>42</v>
      </c>
      <c r="B7672" t="s">
        <v>40</v>
      </c>
      <c r="C7672" t="s">
        <v>37</v>
      </c>
      <c r="D7672" t="s">
        <v>33</v>
      </c>
      <c r="E7672" t="s">
        <v>26</v>
      </c>
      <c r="F7672" t="s">
        <v>15</v>
      </c>
      <c r="G7672" s="1" t="str">
        <f t="shared" si="1677"/>
        <v>X</v>
      </c>
      <c r="H7672" s="1" t="str">
        <f t="shared" si="1677"/>
        <v>X</v>
      </c>
      <c r="I7672" s="1" t="str">
        <f t="shared" si="1677"/>
        <v>X</v>
      </c>
      <c r="J7672" s="1" t="str">
        <f t="shared" si="1677"/>
        <v>X</v>
      </c>
      <c r="K7672" s="1" t="str">
        <f t="shared" si="1677"/>
        <v>X</v>
      </c>
      <c r="L7672" s="1" t="str">
        <f t="shared" si="1677"/>
        <v>X</v>
      </c>
      <c r="M7672" s="1" t="str">
        <f t="shared" si="1677"/>
        <v>X</v>
      </c>
      <c r="N7672" t="s">
        <v>27</v>
      </c>
    </row>
    <row r="7673" spans="1:14" x14ac:dyDescent="0.25">
      <c r="A7673" t="s">
        <v>42</v>
      </c>
      <c r="B7673" t="s">
        <v>40</v>
      </c>
      <c r="C7673" t="s">
        <v>37</v>
      </c>
      <c r="D7673" t="s">
        <v>33</v>
      </c>
      <c r="E7673" t="s">
        <v>26</v>
      </c>
      <c r="F7673" t="s">
        <v>17</v>
      </c>
      <c r="G7673" s="1" t="str">
        <f t="shared" ref="G7673:M7675" si="1678">"..."</f>
        <v>...</v>
      </c>
      <c r="H7673" s="1" t="str">
        <f t="shared" si="1678"/>
        <v>...</v>
      </c>
      <c r="I7673" s="1" t="str">
        <f t="shared" si="1678"/>
        <v>...</v>
      </c>
      <c r="J7673" s="1" t="str">
        <f t="shared" si="1678"/>
        <v>...</v>
      </c>
      <c r="K7673" s="1" t="str">
        <f t="shared" si="1678"/>
        <v>...</v>
      </c>
      <c r="L7673" s="1" t="str">
        <f t="shared" si="1678"/>
        <v>...</v>
      </c>
      <c r="M7673" s="1" t="str">
        <f t="shared" si="1678"/>
        <v>...</v>
      </c>
      <c r="N7673" t="s">
        <v>30</v>
      </c>
    </row>
    <row r="7674" spans="1:14" x14ac:dyDescent="0.25">
      <c r="A7674" t="s">
        <v>42</v>
      </c>
      <c r="B7674" t="s">
        <v>40</v>
      </c>
      <c r="C7674" t="s">
        <v>37</v>
      </c>
      <c r="D7674" t="s">
        <v>33</v>
      </c>
      <c r="E7674" t="s">
        <v>26</v>
      </c>
      <c r="F7674" t="s">
        <v>18</v>
      </c>
      <c r="G7674" s="1" t="str">
        <f t="shared" si="1678"/>
        <v>...</v>
      </c>
      <c r="H7674" s="1" t="str">
        <f t="shared" si="1678"/>
        <v>...</v>
      </c>
      <c r="I7674" s="1" t="str">
        <f t="shared" si="1678"/>
        <v>...</v>
      </c>
      <c r="J7674" s="1" t="str">
        <f t="shared" si="1678"/>
        <v>...</v>
      </c>
      <c r="K7674" s="1" t="str">
        <f t="shared" si="1678"/>
        <v>...</v>
      </c>
      <c r="L7674" s="1" t="str">
        <f t="shared" si="1678"/>
        <v>...</v>
      </c>
      <c r="M7674" s="1" t="str">
        <f t="shared" si="1678"/>
        <v>...</v>
      </c>
      <c r="N7674" t="s">
        <v>30</v>
      </c>
    </row>
    <row r="7675" spans="1:14" x14ac:dyDescent="0.25">
      <c r="A7675" t="s">
        <v>42</v>
      </c>
      <c r="B7675" t="s">
        <v>40</v>
      </c>
      <c r="C7675" t="s">
        <v>37</v>
      </c>
      <c r="D7675" t="s">
        <v>33</v>
      </c>
      <c r="E7675" t="s">
        <v>26</v>
      </c>
      <c r="F7675" t="s">
        <v>19</v>
      </c>
      <c r="G7675" s="1" t="str">
        <f t="shared" si="1678"/>
        <v>...</v>
      </c>
      <c r="H7675" s="1" t="str">
        <f t="shared" si="1678"/>
        <v>...</v>
      </c>
      <c r="I7675" s="1" t="str">
        <f t="shared" si="1678"/>
        <v>...</v>
      </c>
      <c r="J7675" s="1" t="str">
        <f t="shared" si="1678"/>
        <v>...</v>
      </c>
      <c r="K7675" s="1" t="str">
        <f t="shared" si="1678"/>
        <v>...</v>
      </c>
      <c r="L7675" s="1" t="str">
        <f t="shared" si="1678"/>
        <v>...</v>
      </c>
      <c r="M7675" s="1" t="str">
        <f t="shared" si="1678"/>
        <v>...</v>
      </c>
      <c r="N7675" t="s">
        <v>30</v>
      </c>
    </row>
    <row r="7676" spans="1:14" x14ac:dyDescent="0.25">
      <c r="A7676" t="s">
        <v>42</v>
      </c>
      <c r="B7676" t="s">
        <v>40</v>
      </c>
      <c r="C7676" t="s">
        <v>37</v>
      </c>
      <c r="D7676" t="s">
        <v>33</v>
      </c>
      <c r="E7676" t="s">
        <v>26</v>
      </c>
      <c r="F7676" t="s">
        <v>20</v>
      </c>
      <c r="G7676" s="1" t="str">
        <f t="shared" ref="G7676:M7677" si="1679">"X"</f>
        <v>X</v>
      </c>
      <c r="H7676" s="1" t="str">
        <f t="shared" si="1679"/>
        <v>X</v>
      </c>
      <c r="I7676" s="1" t="str">
        <f t="shared" si="1679"/>
        <v>X</v>
      </c>
      <c r="J7676" s="1" t="str">
        <f t="shared" si="1679"/>
        <v>X</v>
      </c>
      <c r="K7676" s="1" t="str">
        <f t="shared" si="1679"/>
        <v>X</v>
      </c>
      <c r="L7676" s="1" t="str">
        <f t="shared" si="1679"/>
        <v>X</v>
      </c>
      <c r="M7676" s="1" t="str">
        <f t="shared" si="1679"/>
        <v>X</v>
      </c>
      <c r="N7676" t="s">
        <v>27</v>
      </c>
    </row>
    <row r="7677" spans="1:14" x14ac:dyDescent="0.25">
      <c r="A7677" t="s">
        <v>42</v>
      </c>
      <c r="B7677" t="s">
        <v>40</v>
      </c>
      <c r="C7677" t="s">
        <v>37</v>
      </c>
      <c r="D7677" t="s">
        <v>34</v>
      </c>
      <c r="E7677" t="s">
        <v>15</v>
      </c>
      <c r="F7677" t="s">
        <v>15</v>
      </c>
      <c r="G7677" s="1" t="str">
        <f t="shared" si="1679"/>
        <v>X</v>
      </c>
      <c r="H7677" s="1" t="str">
        <f t="shared" si="1679"/>
        <v>X</v>
      </c>
      <c r="I7677" s="1" t="str">
        <f t="shared" si="1679"/>
        <v>X</v>
      </c>
      <c r="J7677" s="1" t="str">
        <f t="shared" si="1679"/>
        <v>X</v>
      </c>
      <c r="K7677" s="1" t="str">
        <f t="shared" si="1679"/>
        <v>X</v>
      </c>
      <c r="L7677" s="1" t="str">
        <f t="shared" si="1679"/>
        <v>X</v>
      </c>
      <c r="M7677" s="1" t="str">
        <f t="shared" si="1679"/>
        <v>X</v>
      </c>
      <c r="N7677" t="s">
        <v>27</v>
      </c>
    </row>
    <row r="7678" spans="1:14" x14ac:dyDescent="0.25">
      <c r="A7678" t="s">
        <v>42</v>
      </c>
      <c r="B7678" t="s">
        <v>40</v>
      </c>
      <c r="C7678" t="s">
        <v>37</v>
      </c>
      <c r="D7678" t="s">
        <v>34</v>
      </c>
      <c r="E7678" t="s">
        <v>15</v>
      </c>
      <c r="F7678" t="s">
        <v>17</v>
      </c>
      <c r="G7678" s="1" t="str">
        <f t="shared" ref="G7678:M7680" si="1680">"..."</f>
        <v>...</v>
      </c>
      <c r="H7678" s="1" t="str">
        <f t="shared" si="1680"/>
        <v>...</v>
      </c>
      <c r="I7678" s="1" t="str">
        <f t="shared" si="1680"/>
        <v>...</v>
      </c>
      <c r="J7678" s="1" t="str">
        <f t="shared" si="1680"/>
        <v>...</v>
      </c>
      <c r="K7678" s="1" t="str">
        <f t="shared" si="1680"/>
        <v>...</v>
      </c>
      <c r="L7678" s="1" t="str">
        <f t="shared" si="1680"/>
        <v>...</v>
      </c>
      <c r="M7678" s="1" t="str">
        <f t="shared" si="1680"/>
        <v>...</v>
      </c>
      <c r="N7678" t="s">
        <v>30</v>
      </c>
    </row>
    <row r="7679" spans="1:14" x14ac:dyDescent="0.25">
      <c r="A7679" t="s">
        <v>42</v>
      </c>
      <c r="B7679" t="s">
        <v>40</v>
      </c>
      <c r="C7679" t="s">
        <v>37</v>
      </c>
      <c r="D7679" t="s">
        <v>34</v>
      </c>
      <c r="E7679" t="s">
        <v>15</v>
      </c>
      <c r="F7679" t="s">
        <v>18</v>
      </c>
      <c r="G7679" s="1" t="str">
        <f t="shared" si="1680"/>
        <v>...</v>
      </c>
      <c r="H7679" s="1" t="str">
        <f t="shared" si="1680"/>
        <v>...</v>
      </c>
      <c r="I7679" s="1" t="str">
        <f t="shared" si="1680"/>
        <v>...</v>
      </c>
      <c r="J7679" s="1" t="str">
        <f t="shared" si="1680"/>
        <v>...</v>
      </c>
      <c r="K7679" s="1" t="str">
        <f t="shared" si="1680"/>
        <v>...</v>
      </c>
      <c r="L7679" s="1" t="str">
        <f t="shared" si="1680"/>
        <v>...</v>
      </c>
      <c r="M7679" s="1" t="str">
        <f t="shared" si="1680"/>
        <v>...</v>
      </c>
      <c r="N7679" t="s">
        <v>30</v>
      </c>
    </row>
    <row r="7680" spans="1:14" x14ac:dyDescent="0.25">
      <c r="A7680" t="s">
        <v>42</v>
      </c>
      <c r="B7680" t="s">
        <v>40</v>
      </c>
      <c r="C7680" t="s">
        <v>37</v>
      </c>
      <c r="D7680" t="s">
        <v>34</v>
      </c>
      <c r="E7680" t="s">
        <v>15</v>
      </c>
      <c r="F7680" t="s">
        <v>19</v>
      </c>
      <c r="G7680" s="1" t="str">
        <f t="shared" si="1680"/>
        <v>...</v>
      </c>
      <c r="H7680" s="1" t="str">
        <f t="shared" si="1680"/>
        <v>...</v>
      </c>
      <c r="I7680" s="1" t="str">
        <f t="shared" si="1680"/>
        <v>...</v>
      </c>
      <c r="J7680" s="1" t="str">
        <f t="shared" si="1680"/>
        <v>...</v>
      </c>
      <c r="K7680" s="1" t="str">
        <f t="shared" si="1680"/>
        <v>...</v>
      </c>
      <c r="L7680" s="1" t="str">
        <f t="shared" si="1680"/>
        <v>...</v>
      </c>
      <c r="M7680" s="1" t="str">
        <f t="shared" si="1680"/>
        <v>...</v>
      </c>
      <c r="N7680" t="s">
        <v>30</v>
      </c>
    </row>
    <row r="7681" spans="1:14" x14ac:dyDescent="0.25">
      <c r="A7681" t="s">
        <v>42</v>
      </c>
      <c r="B7681" t="s">
        <v>40</v>
      </c>
      <c r="C7681" t="s">
        <v>37</v>
      </c>
      <c r="D7681" t="s">
        <v>34</v>
      </c>
      <c r="E7681" t="s">
        <v>15</v>
      </c>
      <c r="F7681" t="s">
        <v>20</v>
      </c>
      <c r="G7681" s="1" t="str">
        <f t="shared" ref="G7681:M7681" si="1681">"X"</f>
        <v>X</v>
      </c>
      <c r="H7681" s="1" t="str">
        <f t="shared" si="1681"/>
        <v>X</v>
      </c>
      <c r="I7681" s="1" t="str">
        <f t="shared" si="1681"/>
        <v>X</v>
      </c>
      <c r="J7681" s="1" t="str">
        <f t="shared" si="1681"/>
        <v>X</v>
      </c>
      <c r="K7681" s="1" t="str">
        <f t="shared" si="1681"/>
        <v>X</v>
      </c>
      <c r="L7681" s="1" t="str">
        <f t="shared" si="1681"/>
        <v>X</v>
      </c>
      <c r="M7681" s="1" t="str">
        <f t="shared" si="1681"/>
        <v>X</v>
      </c>
      <c r="N7681" t="s">
        <v>27</v>
      </c>
    </row>
    <row r="7682" spans="1:14" x14ac:dyDescent="0.25">
      <c r="A7682" t="s">
        <v>42</v>
      </c>
      <c r="B7682" t="s">
        <v>40</v>
      </c>
      <c r="C7682" t="s">
        <v>37</v>
      </c>
      <c r="D7682" t="s">
        <v>34</v>
      </c>
      <c r="E7682" t="s">
        <v>21</v>
      </c>
      <c r="F7682" t="s">
        <v>15</v>
      </c>
      <c r="G7682" s="1" t="str">
        <f t="shared" ref="G7682:M7686" si="1682">"..."</f>
        <v>...</v>
      </c>
      <c r="H7682" s="1" t="str">
        <f t="shared" si="1682"/>
        <v>...</v>
      </c>
      <c r="I7682" s="1" t="str">
        <f t="shared" si="1682"/>
        <v>...</v>
      </c>
      <c r="J7682" s="1" t="str">
        <f t="shared" si="1682"/>
        <v>...</v>
      </c>
      <c r="K7682" s="1" t="str">
        <f t="shared" si="1682"/>
        <v>...</v>
      </c>
      <c r="L7682" s="1" t="str">
        <f t="shared" si="1682"/>
        <v>...</v>
      </c>
      <c r="M7682" s="1" t="str">
        <f t="shared" si="1682"/>
        <v>...</v>
      </c>
      <c r="N7682" t="s">
        <v>30</v>
      </c>
    </row>
    <row r="7683" spans="1:14" x14ac:dyDescent="0.25">
      <c r="A7683" t="s">
        <v>42</v>
      </c>
      <c r="B7683" t="s">
        <v>40</v>
      </c>
      <c r="C7683" t="s">
        <v>37</v>
      </c>
      <c r="D7683" t="s">
        <v>34</v>
      </c>
      <c r="E7683" t="s">
        <v>21</v>
      </c>
      <c r="F7683" t="s">
        <v>17</v>
      </c>
      <c r="G7683" s="1" t="str">
        <f t="shared" si="1682"/>
        <v>...</v>
      </c>
      <c r="H7683" s="1" t="str">
        <f t="shared" si="1682"/>
        <v>...</v>
      </c>
      <c r="I7683" s="1" t="str">
        <f t="shared" si="1682"/>
        <v>...</v>
      </c>
      <c r="J7683" s="1" t="str">
        <f t="shared" si="1682"/>
        <v>...</v>
      </c>
      <c r="K7683" s="1" t="str">
        <f t="shared" si="1682"/>
        <v>...</v>
      </c>
      <c r="L7683" s="1" t="str">
        <f t="shared" si="1682"/>
        <v>...</v>
      </c>
      <c r="M7683" s="1" t="str">
        <f t="shared" si="1682"/>
        <v>...</v>
      </c>
      <c r="N7683" t="s">
        <v>30</v>
      </c>
    </row>
    <row r="7684" spans="1:14" x14ac:dyDescent="0.25">
      <c r="A7684" t="s">
        <v>42</v>
      </c>
      <c r="B7684" t="s">
        <v>40</v>
      </c>
      <c r="C7684" t="s">
        <v>37</v>
      </c>
      <c r="D7684" t="s">
        <v>34</v>
      </c>
      <c r="E7684" t="s">
        <v>21</v>
      </c>
      <c r="F7684" t="s">
        <v>18</v>
      </c>
      <c r="G7684" s="1" t="str">
        <f t="shared" si="1682"/>
        <v>...</v>
      </c>
      <c r="H7684" s="1" t="str">
        <f t="shared" si="1682"/>
        <v>...</v>
      </c>
      <c r="I7684" s="1" t="str">
        <f t="shared" si="1682"/>
        <v>...</v>
      </c>
      <c r="J7684" s="1" t="str">
        <f t="shared" si="1682"/>
        <v>...</v>
      </c>
      <c r="K7684" s="1" t="str">
        <f t="shared" si="1682"/>
        <v>...</v>
      </c>
      <c r="L7684" s="1" t="str">
        <f t="shared" si="1682"/>
        <v>...</v>
      </c>
      <c r="M7684" s="1" t="str">
        <f t="shared" si="1682"/>
        <v>...</v>
      </c>
      <c r="N7684" t="s">
        <v>30</v>
      </c>
    </row>
    <row r="7685" spans="1:14" x14ac:dyDescent="0.25">
      <c r="A7685" t="s">
        <v>42</v>
      </c>
      <c r="B7685" t="s">
        <v>40</v>
      </c>
      <c r="C7685" t="s">
        <v>37</v>
      </c>
      <c r="D7685" t="s">
        <v>34</v>
      </c>
      <c r="E7685" t="s">
        <v>21</v>
      </c>
      <c r="F7685" t="s">
        <v>19</v>
      </c>
      <c r="G7685" s="1" t="str">
        <f t="shared" si="1682"/>
        <v>...</v>
      </c>
      <c r="H7685" s="1" t="str">
        <f t="shared" si="1682"/>
        <v>...</v>
      </c>
      <c r="I7685" s="1" t="str">
        <f t="shared" si="1682"/>
        <v>...</v>
      </c>
      <c r="J7685" s="1" t="str">
        <f t="shared" si="1682"/>
        <v>...</v>
      </c>
      <c r="K7685" s="1" t="str">
        <f t="shared" si="1682"/>
        <v>...</v>
      </c>
      <c r="L7685" s="1" t="str">
        <f t="shared" si="1682"/>
        <v>...</v>
      </c>
      <c r="M7685" s="1" t="str">
        <f t="shared" si="1682"/>
        <v>...</v>
      </c>
      <c r="N7685" t="s">
        <v>30</v>
      </c>
    </row>
    <row r="7686" spans="1:14" x14ac:dyDescent="0.25">
      <c r="A7686" t="s">
        <v>42</v>
      </c>
      <c r="B7686" t="s">
        <v>40</v>
      </c>
      <c r="C7686" t="s">
        <v>37</v>
      </c>
      <c r="D7686" t="s">
        <v>34</v>
      </c>
      <c r="E7686" t="s">
        <v>21</v>
      </c>
      <c r="F7686" t="s">
        <v>20</v>
      </c>
      <c r="G7686" s="1" t="str">
        <f t="shared" si="1682"/>
        <v>...</v>
      </c>
      <c r="H7686" s="1" t="str">
        <f t="shared" si="1682"/>
        <v>...</v>
      </c>
      <c r="I7686" s="1" t="str">
        <f t="shared" si="1682"/>
        <v>...</v>
      </c>
      <c r="J7686" s="1" t="str">
        <f t="shared" si="1682"/>
        <v>...</v>
      </c>
      <c r="K7686" s="1" t="str">
        <f t="shared" si="1682"/>
        <v>...</v>
      </c>
      <c r="L7686" s="1" t="str">
        <f t="shared" si="1682"/>
        <v>...</v>
      </c>
      <c r="M7686" s="1" t="str">
        <f t="shared" si="1682"/>
        <v>...</v>
      </c>
      <c r="N7686" t="s">
        <v>30</v>
      </c>
    </row>
    <row r="7687" spans="1:14" x14ac:dyDescent="0.25">
      <c r="A7687" t="s">
        <v>42</v>
      </c>
      <c r="B7687" t="s">
        <v>40</v>
      </c>
      <c r="C7687" t="s">
        <v>37</v>
      </c>
      <c r="D7687" t="s">
        <v>34</v>
      </c>
      <c r="E7687" t="s">
        <v>22</v>
      </c>
      <c r="F7687" t="s">
        <v>15</v>
      </c>
      <c r="G7687" s="1" t="str">
        <f t="shared" ref="G7687:M7687" si="1683">"X"</f>
        <v>X</v>
      </c>
      <c r="H7687" s="1" t="str">
        <f t="shared" si="1683"/>
        <v>X</v>
      </c>
      <c r="I7687" s="1" t="str">
        <f t="shared" si="1683"/>
        <v>X</v>
      </c>
      <c r="J7687" s="1" t="str">
        <f t="shared" si="1683"/>
        <v>X</v>
      </c>
      <c r="K7687" s="1" t="str">
        <f t="shared" si="1683"/>
        <v>X</v>
      </c>
      <c r="L7687" s="1" t="str">
        <f t="shared" si="1683"/>
        <v>X</v>
      </c>
      <c r="M7687" s="1" t="str">
        <f t="shared" si="1683"/>
        <v>X</v>
      </c>
      <c r="N7687" t="s">
        <v>27</v>
      </c>
    </row>
    <row r="7688" spans="1:14" x14ac:dyDescent="0.25">
      <c r="A7688" t="s">
        <v>42</v>
      </c>
      <c r="B7688" t="s">
        <v>40</v>
      </c>
      <c r="C7688" t="s">
        <v>37</v>
      </c>
      <c r="D7688" t="s">
        <v>34</v>
      </c>
      <c r="E7688" t="s">
        <v>22</v>
      </c>
      <c r="F7688" t="s">
        <v>17</v>
      </c>
      <c r="G7688" s="1" t="str">
        <f t="shared" ref="G7688:M7690" si="1684">"..."</f>
        <v>...</v>
      </c>
      <c r="H7688" s="1" t="str">
        <f t="shared" si="1684"/>
        <v>...</v>
      </c>
      <c r="I7688" s="1" t="str">
        <f t="shared" si="1684"/>
        <v>...</v>
      </c>
      <c r="J7688" s="1" t="str">
        <f t="shared" si="1684"/>
        <v>...</v>
      </c>
      <c r="K7688" s="1" t="str">
        <f t="shared" si="1684"/>
        <v>...</v>
      </c>
      <c r="L7688" s="1" t="str">
        <f t="shared" si="1684"/>
        <v>...</v>
      </c>
      <c r="M7688" s="1" t="str">
        <f t="shared" si="1684"/>
        <v>...</v>
      </c>
      <c r="N7688" t="s">
        <v>30</v>
      </c>
    </row>
    <row r="7689" spans="1:14" x14ac:dyDescent="0.25">
      <c r="A7689" t="s">
        <v>42</v>
      </c>
      <c r="B7689" t="s">
        <v>40</v>
      </c>
      <c r="C7689" t="s">
        <v>37</v>
      </c>
      <c r="D7689" t="s">
        <v>34</v>
      </c>
      <c r="E7689" t="s">
        <v>22</v>
      </c>
      <c r="F7689" t="s">
        <v>18</v>
      </c>
      <c r="G7689" s="1" t="str">
        <f t="shared" si="1684"/>
        <v>...</v>
      </c>
      <c r="H7689" s="1" t="str">
        <f t="shared" si="1684"/>
        <v>...</v>
      </c>
      <c r="I7689" s="1" t="str">
        <f t="shared" si="1684"/>
        <v>...</v>
      </c>
      <c r="J7689" s="1" t="str">
        <f t="shared" si="1684"/>
        <v>...</v>
      </c>
      <c r="K7689" s="1" t="str">
        <f t="shared" si="1684"/>
        <v>...</v>
      </c>
      <c r="L7689" s="1" t="str">
        <f t="shared" si="1684"/>
        <v>...</v>
      </c>
      <c r="M7689" s="1" t="str">
        <f t="shared" si="1684"/>
        <v>...</v>
      </c>
      <c r="N7689" t="s">
        <v>30</v>
      </c>
    </row>
    <row r="7690" spans="1:14" x14ac:dyDescent="0.25">
      <c r="A7690" t="s">
        <v>42</v>
      </c>
      <c r="B7690" t="s">
        <v>40</v>
      </c>
      <c r="C7690" t="s">
        <v>37</v>
      </c>
      <c r="D7690" t="s">
        <v>34</v>
      </c>
      <c r="E7690" t="s">
        <v>22</v>
      </c>
      <c r="F7690" t="s">
        <v>19</v>
      </c>
      <c r="G7690" s="1" t="str">
        <f t="shared" si="1684"/>
        <v>...</v>
      </c>
      <c r="H7690" s="1" t="str">
        <f t="shared" si="1684"/>
        <v>...</v>
      </c>
      <c r="I7690" s="1" t="str">
        <f t="shared" si="1684"/>
        <v>...</v>
      </c>
      <c r="J7690" s="1" t="str">
        <f t="shared" si="1684"/>
        <v>...</v>
      </c>
      <c r="K7690" s="1" t="str">
        <f t="shared" si="1684"/>
        <v>...</v>
      </c>
      <c r="L7690" s="1" t="str">
        <f t="shared" si="1684"/>
        <v>...</v>
      </c>
      <c r="M7690" s="1" t="str">
        <f t="shared" si="1684"/>
        <v>...</v>
      </c>
      <c r="N7690" t="s">
        <v>30</v>
      </c>
    </row>
    <row r="7691" spans="1:14" x14ac:dyDescent="0.25">
      <c r="A7691" t="s">
        <v>42</v>
      </c>
      <c r="B7691" t="s">
        <v>40</v>
      </c>
      <c r="C7691" t="s">
        <v>37</v>
      </c>
      <c r="D7691" t="s">
        <v>34</v>
      </c>
      <c r="E7691" t="s">
        <v>22</v>
      </c>
      <c r="F7691" t="s">
        <v>20</v>
      </c>
      <c r="G7691" s="1" t="str">
        <f t="shared" ref="G7691:M7692" si="1685">"X"</f>
        <v>X</v>
      </c>
      <c r="H7691" s="1" t="str">
        <f t="shared" si="1685"/>
        <v>X</v>
      </c>
      <c r="I7691" s="1" t="str">
        <f t="shared" si="1685"/>
        <v>X</v>
      </c>
      <c r="J7691" s="1" t="str">
        <f t="shared" si="1685"/>
        <v>X</v>
      </c>
      <c r="K7691" s="1" t="str">
        <f t="shared" si="1685"/>
        <v>X</v>
      </c>
      <c r="L7691" s="1" t="str">
        <f t="shared" si="1685"/>
        <v>X</v>
      </c>
      <c r="M7691" s="1" t="str">
        <f t="shared" si="1685"/>
        <v>X</v>
      </c>
      <c r="N7691" t="s">
        <v>27</v>
      </c>
    </row>
    <row r="7692" spans="1:14" x14ac:dyDescent="0.25">
      <c r="A7692" t="s">
        <v>42</v>
      </c>
      <c r="B7692" t="s">
        <v>40</v>
      </c>
      <c r="C7692" t="s">
        <v>37</v>
      </c>
      <c r="D7692" t="s">
        <v>34</v>
      </c>
      <c r="E7692" t="s">
        <v>23</v>
      </c>
      <c r="F7692" t="s">
        <v>15</v>
      </c>
      <c r="G7692" s="1" t="str">
        <f t="shared" si="1685"/>
        <v>X</v>
      </c>
      <c r="H7692" s="1" t="str">
        <f t="shared" si="1685"/>
        <v>X</v>
      </c>
      <c r="I7692" s="1" t="str">
        <f t="shared" si="1685"/>
        <v>X</v>
      </c>
      <c r="J7692" s="1" t="str">
        <f t="shared" si="1685"/>
        <v>X</v>
      </c>
      <c r="K7692" s="1" t="str">
        <f t="shared" si="1685"/>
        <v>X</v>
      </c>
      <c r="L7692" s="1" t="str">
        <f t="shared" si="1685"/>
        <v>X</v>
      </c>
      <c r="M7692" s="1" t="str">
        <f t="shared" si="1685"/>
        <v>X</v>
      </c>
      <c r="N7692" t="s">
        <v>27</v>
      </c>
    </row>
    <row r="7693" spans="1:14" x14ac:dyDescent="0.25">
      <c r="A7693" t="s">
        <v>42</v>
      </c>
      <c r="B7693" t="s">
        <v>40</v>
      </c>
      <c r="C7693" t="s">
        <v>37</v>
      </c>
      <c r="D7693" t="s">
        <v>34</v>
      </c>
      <c r="E7693" t="s">
        <v>23</v>
      </c>
      <c r="F7693" t="s">
        <v>17</v>
      </c>
      <c r="G7693" s="1" t="str">
        <f t="shared" ref="G7693:M7695" si="1686">"..."</f>
        <v>...</v>
      </c>
      <c r="H7693" s="1" t="str">
        <f t="shared" si="1686"/>
        <v>...</v>
      </c>
      <c r="I7693" s="1" t="str">
        <f t="shared" si="1686"/>
        <v>...</v>
      </c>
      <c r="J7693" s="1" t="str">
        <f t="shared" si="1686"/>
        <v>...</v>
      </c>
      <c r="K7693" s="1" t="str">
        <f t="shared" si="1686"/>
        <v>...</v>
      </c>
      <c r="L7693" s="1" t="str">
        <f t="shared" si="1686"/>
        <v>...</v>
      </c>
      <c r="M7693" s="1" t="str">
        <f t="shared" si="1686"/>
        <v>...</v>
      </c>
      <c r="N7693" t="s">
        <v>30</v>
      </c>
    </row>
    <row r="7694" spans="1:14" x14ac:dyDescent="0.25">
      <c r="A7694" t="s">
        <v>42</v>
      </c>
      <c r="B7694" t="s">
        <v>40</v>
      </c>
      <c r="C7694" t="s">
        <v>37</v>
      </c>
      <c r="D7694" t="s">
        <v>34</v>
      </c>
      <c r="E7694" t="s">
        <v>23</v>
      </c>
      <c r="F7694" t="s">
        <v>18</v>
      </c>
      <c r="G7694" s="1" t="str">
        <f t="shared" si="1686"/>
        <v>...</v>
      </c>
      <c r="H7694" s="1" t="str">
        <f t="shared" si="1686"/>
        <v>...</v>
      </c>
      <c r="I7694" s="1" t="str">
        <f t="shared" si="1686"/>
        <v>...</v>
      </c>
      <c r="J7694" s="1" t="str">
        <f t="shared" si="1686"/>
        <v>...</v>
      </c>
      <c r="K7694" s="1" t="str">
        <f t="shared" si="1686"/>
        <v>...</v>
      </c>
      <c r="L7694" s="1" t="str">
        <f t="shared" si="1686"/>
        <v>...</v>
      </c>
      <c r="M7694" s="1" t="str">
        <f t="shared" si="1686"/>
        <v>...</v>
      </c>
      <c r="N7694" t="s">
        <v>30</v>
      </c>
    </row>
    <row r="7695" spans="1:14" x14ac:dyDescent="0.25">
      <c r="A7695" t="s">
        <v>42</v>
      </c>
      <c r="B7695" t="s">
        <v>40</v>
      </c>
      <c r="C7695" t="s">
        <v>37</v>
      </c>
      <c r="D7695" t="s">
        <v>34</v>
      </c>
      <c r="E7695" t="s">
        <v>23</v>
      </c>
      <c r="F7695" t="s">
        <v>19</v>
      </c>
      <c r="G7695" s="1" t="str">
        <f t="shared" si="1686"/>
        <v>...</v>
      </c>
      <c r="H7695" s="1" t="str">
        <f t="shared" si="1686"/>
        <v>...</v>
      </c>
      <c r="I7695" s="1" t="str">
        <f t="shared" si="1686"/>
        <v>...</v>
      </c>
      <c r="J7695" s="1" t="str">
        <f t="shared" si="1686"/>
        <v>...</v>
      </c>
      <c r="K7695" s="1" t="str">
        <f t="shared" si="1686"/>
        <v>...</v>
      </c>
      <c r="L7695" s="1" t="str">
        <f t="shared" si="1686"/>
        <v>...</v>
      </c>
      <c r="M7695" s="1" t="str">
        <f t="shared" si="1686"/>
        <v>...</v>
      </c>
      <c r="N7695" t="s">
        <v>30</v>
      </c>
    </row>
    <row r="7696" spans="1:14" x14ac:dyDescent="0.25">
      <c r="A7696" t="s">
        <v>42</v>
      </c>
      <c r="B7696" t="s">
        <v>40</v>
      </c>
      <c r="C7696" t="s">
        <v>37</v>
      </c>
      <c r="D7696" t="s">
        <v>34</v>
      </c>
      <c r="E7696" t="s">
        <v>23</v>
      </c>
      <c r="F7696" t="s">
        <v>20</v>
      </c>
      <c r="G7696" s="1" t="str">
        <f t="shared" ref="G7696:M7696" si="1687">"X"</f>
        <v>X</v>
      </c>
      <c r="H7696" s="1" t="str">
        <f t="shared" si="1687"/>
        <v>X</v>
      </c>
      <c r="I7696" s="1" t="str">
        <f t="shared" si="1687"/>
        <v>X</v>
      </c>
      <c r="J7696" s="1" t="str">
        <f t="shared" si="1687"/>
        <v>X</v>
      </c>
      <c r="K7696" s="1" t="str">
        <f t="shared" si="1687"/>
        <v>X</v>
      </c>
      <c r="L7696" s="1" t="str">
        <f t="shared" si="1687"/>
        <v>X</v>
      </c>
      <c r="M7696" s="1" t="str">
        <f t="shared" si="1687"/>
        <v>X</v>
      </c>
      <c r="N7696" t="s">
        <v>27</v>
      </c>
    </row>
    <row r="7697" spans="1:14" x14ac:dyDescent="0.25">
      <c r="A7697" t="s">
        <v>42</v>
      </c>
      <c r="B7697" t="s">
        <v>40</v>
      </c>
      <c r="C7697" t="s">
        <v>37</v>
      </c>
      <c r="D7697" t="s">
        <v>34</v>
      </c>
      <c r="E7697" t="s">
        <v>26</v>
      </c>
      <c r="F7697" t="s">
        <v>15</v>
      </c>
      <c r="G7697" s="1" t="str">
        <f t="shared" ref="G7697:M7701" si="1688">"..."</f>
        <v>...</v>
      </c>
      <c r="H7697" s="1" t="str">
        <f t="shared" si="1688"/>
        <v>...</v>
      </c>
      <c r="I7697" s="1" t="str">
        <f t="shared" si="1688"/>
        <v>...</v>
      </c>
      <c r="J7697" s="1" t="str">
        <f t="shared" si="1688"/>
        <v>...</v>
      </c>
      <c r="K7697" s="1" t="str">
        <f t="shared" si="1688"/>
        <v>...</v>
      </c>
      <c r="L7697" s="1" t="str">
        <f t="shared" si="1688"/>
        <v>...</v>
      </c>
      <c r="M7697" s="1" t="str">
        <f t="shared" si="1688"/>
        <v>...</v>
      </c>
      <c r="N7697" t="s">
        <v>30</v>
      </c>
    </row>
    <row r="7698" spans="1:14" x14ac:dyDescent="0.25">
      <c r="A7698" t="s">
        <v>42</v>
      </c>
      <c r="B7698" t="s">
        <v>40</v>
      </c>
      <c r="C7698" t="s">
        <v>37</v>
      </c>
      <c r="D7698" t="s">
        <v>34</v>
      </c>
      <c r="E7698" t="s">
        <v>26</v>
      </c>
      <c r="F7698" t="s">
        <v>17</v>
      </c>
      <c r="G7698" s="1" t="str">
        <f t="shared" si="1688"/>
        <v>...</v>
      </c>
      <c r="H7698" s="1" t="str">
        <f t="shared" si="1688"/>
        <v>...</v>
      </c>
      <c r="I7698" s="1" t="str">
        <f t="shared" si="1688"/>
        <v>...</v>
      </c>
      <c r="J7698" s="1" t="str">
        <f t="shared" si="1688"/>
        <v>...</v>
      </c>
      <c r="K7698" s="1" t="str">
        <f t="shared" si="1688"/>
        <v>...</v>
      </c>
      <c r="L7698" s="1" t="str">
        <f t="shared" si="1688"/>
        <v>...</v>
      </c>
      <c r="M7698" s="1" t="str">
        <f t="shared" si="1688"/>
        <v>...</v>
      </c>
      <c r="N7698" t="s">
        <v>30</v>
      </c>
    </row>
    <row r="7699" spans="1:14" x14ac:dyDescent="0.25">
      <c r="A7699" t="s">
        <v>42</v>
      </c>
      <c r="B7699" t="s">
        <v>40</v>
      </c>
      <c r="C7699" t="s">
        <v>37</v>
      </c>
      <c r="D7699" t="s">
        <v>34</v>
      </c>
      <c r="E7699" t="s">
        <v>26</v>
      </c>
      <c r="F7699" t="s">
        <v>18</v>
      </c>
      <c r="G7699" s="1" t="str">
        <f t="shared" si="1688"/>
        <v>...</v>
      </c>
      <c r="H7699" s="1" t="str">
        <f t="shared" si="1688"/>
        <v>...</v>
      </c>
      <c r="I7699" s="1" t="str">
        <f t="shared" si="1688"/>
        <v>...</v>
      </c>
      <c r="J7699" s="1" t="str">
        <f t="shared" si="1688"/>
        <v>...</v>
      </c>
      <c r="K7699" s="1" t="str">
        <f t="shared" si="1688"/>
        <v>...</v>
      </c>
      <c r="L7699" s="1" t="str">
        <f t="shared" si="1688"/>
        <v>...</v>
      </c>
      <c r="M7699" s="1" t="str">
        <f t="shared" si="1688"/>
        <v>...</v>
      </c>
      <c r="N7699" t="s">
        <v>30</v>
      </c>
    </row>
    <row r="7700" spans="1:14" x14ac:dyDescent="0.25">
      <c r="A7700" t="s">
        <v>42</v>
      </c>
      <c r="B7700" t="s">
        <v>40</v>
      </c>
      <c r="C7700" t="s">
        <v>37</v>
      </c>
      <c r="D7700" t="s">
        <v>34</v>
      </c>
      <c r="E7700" t="s">
        <v>26</v>
      </c>
      <c r="F7700" t="s">
        <v>19</v>
      </c>
      <c r="G7700" s="1" t="str">
        <f t="shared" si="1688"/>
        <v>...</v>
      </c>
      <c r="H7700" s="1" t="str">
        <f t="shared" si="1688"/>
        <v>...</v>
      </c>
      <c r="I7700" s="1" t="str">
        <f t="shared" si="1688"/>
        <v>...</v>
      </c>
      <c r="J7700" s="1" t="str">
        <f t="shared" si="1688"/>
        <v>...</v>
      </c>
      <c r="K7700" s="1" t="str">
        <f t="shared" si="1688"/>
        <v>...</v>
      </c>
      <c r="L7700" s="1" t="str">
        <f t="shared" si="1688"/>
        <v>...</v>
      </c>
      <c r="M7700" s="1" t="str">
        <f t="shared" si="1688"/>
        <v>...</v>
      </c>
      <c r="N7700" t="s">
        <v>30</v>
      </c>
    </row>
    <row r="7701" spans="1:14" x14ac:dyDescent="0.25">
      <c r="A7701" t="s">
        <v>42</v>
      </c>
      <c r="B7701" t="s">
        <v>40</v>
      </c>
      <c r="C7701" t="s">
        <v>37</v>
      </c>
      <c r="D7701" t="s">
        <v>34</v>
      </c>
      <c r="E7701" t="s">
        <v>26</v>
      </c>
      <c r="F7701" t="s">
        <v>20</v>
      </c>
      <c r="G7701" s="1" t="str">
        <f t="shared" si="1688"/>
        <v>...</v>
      </c>
      <c r="H7701" s="1" t="str">
        <f t="shared" si="1688"/>
        <v>...</v>
      </c>
      <c r="I7701" s="1" t="str">
        <f t="shared" si="1688"/>
        <v>...</v>
      </c>
      <c r="J7701" s="1" t="str">
        <f t="shared" si="1688"/>
        <v>...</v>
      </c>
      <c r="K7701" s="1" t="str">
        <f t="shared" si="1688"/>
        <v>...</v>
      </c>
      <c r="L7701" s="1" t="str">
        <f t="shared" si="1688"/>
        <v>...</v>
      </c>
      <c r="M7701" s="1" t="str">
        <f t="shared" si="1688"/>
        <v>...</v>
      </c>
      <c r="N7701" t="s">
        <v>30</v>
      </c>
    </row>
    <row r="7702" spans="1:14" x14ac:dyDescent="0.25">
      <c r="A7702" t="s">
        <v>42</v>
      </c>
      <c r="B7702" t="s">
        <v>40</v>
      </c>
      <c r="C7702" t="s">
        <v>38</v>
      </c>
      <c r="D7702" t="s">
        <v>15</v>
      </c>
      <c r="E7702" t="s">
        <v>15</v>
      </c>
      <c r="F7702" t="s">
        <v>15</v>
      </c>
      <c r="G7702" s="1">
        <f>VALUE(12248.54)</f>
        <v>12248.54</v>
      </c>
      <c r="H7702" s="1">
        <f>VALUE(9135.03)</f>
        <v>9135.0300000000007</v>
      </c>
      <c r="I7702" s="1">
        <f>VALUE(2799)</f>
        <v>2799</v>
      </c>
      <c r="J7702" s="1">
        <f>VALUE(3508)</f>
        <v>3508</v>
      </c>
      <c r="K7702" s="1">
        <f>VALUE(4654)</f>
        <v>4654</v>
      </c>
      <c r="L7702" s="1">
        <f>VALUE(6190)</f>
        <v>6190</v>
      </c>
      <c r="M7702" s="1">
        <f>VALUE(8295)</f>
        <v>8295</v>
      </c>
      <c r="N7702" t="s">
        <v>16</v>
      </c>
    </row>
    <row r="7703" spans="1:14" x14ac:dyDescent="0.25">
      <c r="A7703" t="s">
        <v>42</v>
      </c>
      <c r="B7703" t="s">
        <v>40</v>
      </c>
      <c r="C7703" t="s">
        <v>38</v>
      </c>
      <c r="D7703" t="s">
        <v>15</v>
      </c>
      <c r="E7703" t="s">
        <v>15</v>
      </c>
      <c r="F7703" t="s">
        <v>17</v>
      </c>
      <c r="G7703" s="2">
        <f>VALUE(1630.38)</f>
        <v>1630.38</v>
      </c>
      <c r="H7703" s="3">
        <f>VALUE(1447.61)</f>
        <v>1447.61</v>
      </c>
      <c r="I7703" s="4">
        <f>VALUE(2857)</f>
        <v>2857</v>
      </c>
      <c r="J7703" s="5">
        <f>VALUE(3573)</f>
        <v>3573</v>
      </c>
      <c r="K7703" s="6">
        <f>VALUE(5704)</f>
        <v>5704</v>
      </c>
      <c r="L7703" s="7">
        <f>VALUE(8963)</f>
        <v>8963</v>
      </c>
      <c r="M7703" s="1">
        <f>VALUE(11111)</f>
        <v>11111</v>
      </c>
      <c r="N7703" t="s">
        <v>25</v>
      </c>
    </row>
    <row r="7704" spans="1:14" x14ac:dyDescent="0.25">
      <c r="A7704" t="s">
        <v>42</v>
      </c>
      <c r="B7704" t="s">
        <v>40</v>
      </c>
      <c r="C7704" t="s">
        <v>38</v>
      </c>
      <c r="D7704" t="s">
        <v>15</v>
      </c>
      <c r="E7704" t="s">
        <v>15</v>
      </c>
      <c r="F7704" t="s">
        <v>18</v>
      </c>
      <c r="G7704" s="2">
        <f>VALUE(1112.36)</f>
        <v>1112.3599999999999</v>
      </c>
      <c r="H7704" s="3">
        <f>VALUE(834.47)</f>
        <v>834.47</v>
      </c>
      <c r="I7704" s="4">
        <f>VALUE(3040)</f>
        <v>3040</v>
      </c>
      <c r="J7704" s="1">
        <f>VALUE(4364)</f>
        <v>4364</v>
      </c>
      <c r="K7704" s="1">
        <f>VALUE(5850)</f>
        <v>5850</v>
      </c>
      <c r="L7704" s="1">
        <f>VALUE(7635)</f>
        <v>7635</v>
      </c>
      <c r="M7704" s="1">
        <f>VALUE(8992)</f>
        <v>8992</v>
      </c>
      <c r="N7704" t="s">
        <v>25</v>
      </c>
    </row>
    <row r="7705" spans="1:14" x14ac:dyDescent="0.25">
      <c r="A7705" t="s">
        <v>42</v>
      </c>
      <c r="B7705" t="s">
        <v>40</v>
      </c>
      <c r="C7705" t="s">
        <v>38</v>
      </c>
      <c r="D7705" t="s">
        <v>15</v>
      </c>
      <c r="E7705" t="s">
        <v>15</v>
      </c>
      <c r="F7705" t="s">
        <v>19</v>
      </c>
      <c r="G7705" s="2">
        <f>VALUE(1666.79)</f>
        <v>1666.79</v>
      </c>
      <c r="H7705" s="1">
        <f>VALUE(1385.84)</f>
        <v>1385.84</v>
      </c>
      <c r="I7705" s="1">
        <f>VALUE(2816)</f>
        <v>2816</v>
      </c>
      <c r="J7705" s="5">
        <f>VALUE(3441)</f>
        <v>3441</v>
      </c>
      <c r="K7705" s="6">
        <f>VALUE(4834)</f>
        <v>4834</v>
      </c>
      <c r="L7705" s="7">
        <f>VALUE(6073)</f>
        <v>6073</v>
      </c>
      <c r="M7705" s="1">
        <f>VALUE(7883)</f>
        <v>7883</v>
      </c>
      <c r="N7705" t="s">
        <v>25</v>
      </c>
    </row>
    <row r="7706" spans="1:14" x14ac:dyDescent="0.25">
      <c r="A7706" t="s">
        <v>42</v>
      </c>
      <c r="B7706" t="s">
        <v>40</v>
      </c>
      <c r="C7706" t="s">
        <v>38</v>
      </c>
      <c r="D7706" t="s">
        <v>15</v>
      </c>
      <c r="E7706" t="s">
        <v>15</v>
      </c>
      <c r="F7706" t="s">
        <v>20</v>
      </c>
      <c r="G7706" s="1">
        <f>VALUE(7839.01)</f>
        <v>7839.01</v>
      </c>
      <c r="H7706" s="1">
        <f>VALUE(5467.11)</f>
        <v>5467.11</v>
      </c>
      <c r="I7706" s="1">
        <f>VALUE(2723)</f>
        <v>2723</v>
      </c>
      <c r="J7706" s="1">
        <f>VALUE(3456)</f>
        <v>3456</v>
      </c>
      <c r="K7706" s="1">
        <f>VALUE(4377)</f>
        <v>4377</v>
      </c>
      <c r="L7706" s="1">
        <f>VALUE(5536)</f>
        <v>5536</v>
      </c>
      <c r="M7706" s="1">
        <f>VALUE(7167)</f>
        <v>7167</v>
      </c>
      <c r="N7706" t="s">
        <v>16</v>
      </c>
    </row>
    <row r="7707" spans="1:14" x14ac:dyDescent="0.25">
      <c r="A7707" t="s">
        <v>42</v>
      </c>
      <c r="B7707" t="s">
        <v>40</v>
      </c>
      <c r="C7707" t="s">
        <v>38</v>
      </c>
      <c r="D7707" t="s">
        <v>15</v>
      </c>
      <c r="E7707" t="s">
        <v>21</v>
      </c>
      <c r="F7707" t="s">
        <v>15</v>
      </c>
      <c r="G7707" s="2">
        <f>VALUE(1617.52)</f>
        <v>1617.52</v>
      </c>
      <c r="H7707" s="3">
        <f>VALUE(1282.94)</f>
        <v>1282.94</v>
      </c>
      <c r="I7707" s="4">
        <f>VALUE(3095)</f>
        <v>3095</v>
      </c>
      <c r="J7707" s="5">
        <f>VALUE(4869)</f>
        <v>4869</v>
      </c>
      <c r="K7707" s="1">
        <f>VALUE(7359)</f>
        <v>7359</v>
      </c>
      <c r="L7707" s="1">
        <f>VALUE(9281)</f>
        <v>9281</v>
      </c>
      <c r="M7707" s="1">
        <f>VALUE(11283)</f>
        <v>11283</v>
      </c>
      <c r="N7707" t="s">
        <v>25</v>
      </c>
    </row>
    <row r="7708" spans="1:14" x14ac:dyDescent="0.25">
      <c r="A7708" t="s">
        <v>42</v>
      </c>
      <c r="B7708" t="s">
        <v>40</v>
      </c>
      <c r="C7708" t="s">
        <v>38</v>
      </c>
      <c r="D7708" t="s">
        <v>15</v>
      </c>
      <c r="E7708" t="s">
        <v>21</v>
      </c>
      <c r="F7708" t="s">
        <v>17</v>
      </c>
      <c r="G7708" s="2">
        <f>VALUE(557.67)</f>
        <v>557.66999999999996</v>
      </c>
      <c r="H7708" s="3">
        <f>VALUE(499.17)</f>
        <v>499.17</v>
      </c>
      <c r="I7708" s="4">
        <f>VALUE(3095)</f>
        <v>3095</v>
      </c>
      <c r="J7708" s="5">
        <f>VALUE(4181)</f>
        <v>4181</v>
      </c>
      <c r="K7708" s="6">
        <f>VALUE(8269)</f>
        <v>8269</v>
      </c>
      <c r="L7708" s="7">
        <f>VALUE(10169)</f>
        <v>10169</v>
      </c>
      <c r="M7708" s="8">
        <f>VALUE(12699)</f>
        <v>12699</v>
      </c>
      <c r="N7708" t="s">
        <v>24</v>
      </c>
    </row>
    <row r="7709" spans="1:14" x14ac:dyDescent="0.25">
      <c r="A7709" t="s">
        <v>42</v>
      </c>
      <c r="B7709" t="s">
        <v>40</v>
      </c>
      <c r="C7709" t="s">
        <v>38</v>
      </c>
      <c r="D7709" t="s">
        <v>15</v>
      </c>
      <c r="E7709" t="s">
        <v>21</v>
      </c>
      <c r="F7709" t="s">
        <v>18</v>
      </c>
      <c r="G7709" s="2">
        <f>VALUE(355)</f>
        <v>355</v>
      </c>
      <c r="H7709" s="3">
        <f>VALUE(273.14)</f>
        <v>273.14</v>
      </c>
      <c r="I7709" s="4">
        <f>VALUE(1917)</f>
        <v>1917</v>
      </c>
      <c r="J7709" s="5">
        <f>VALUE(4919)</f>
        <v>4919</v>
      </c>
      <c r="K7709" s="1">
        <f>VALUE(7606)</f>
        <v>7606</v>
      </c>
      <c r="L7709" s="1">
        <f>VALUE(8992)</f>
        <v>8992</v>
      </c>
      <c r="M7709" s="8">
        <f>VALUE(10168)</f>
        <v>10168</v>
      </c>
      <c r="N7709" t="s">
        <v>25</v>
      </c>
    </row>
    <row r="7710" spans="1:14" x14ac:dyDescent="0.25">
      <c r="A7710" t="s">
        <v>42</v>
      </c>
      <c r="B7710" t="s">
        <v>40</v>
      </c>
      <c r="C7710" t="s">
        <v>38</v>
      </c>
      <c r="D7710" t="s">
        <v>15</v>
      </c>
      <c r="E7710" t="s">
        <v>21</v>
      </c>
      <c r="F7710" t="s">
        <v>19</v>
      </c>
      <c r="G7710" s="2">
        <f>VALUE(168.33)</f>
        <v>168.33</v>
      </c>
      <c r="H7710" s="3">
        <f>VALUE(136.49)</f>
        <v>136.49</v>
      </c>
      <c r="I7710" s="4">
        <f>VALUE(4320)</f>
        <v>4320</v>
      </c>
      <c r="J7710" s="1">
        <f>VALUE(5417)</f>
        <v>5417</v>
      </c>
      <c r="K7710" s="6">
        <f>VALUE(6213)</f>
        <v>6213</v>
      </c>
      <c r="L7710" s="1">
        <f>VALUE(8310)</f>
        <v>8310</v>
      </c>
      <c r="M7710" s="1">
        <f>VALUE(8884)</f>
        <v>8884</v>
      </c>
      <c r="N7710" t="s">
        <v>25</v>
      </c>
    </row>
    <row r="7711" spans="1:14" x14ac:dyDescent="0.25">
      <c r="A7711" t="s">
        <v>42</v>
      </c>
      <c r="B7711" t="s">
        <v>40</v>
      </c>
      <c r="C7711" t="s">
        <v>38</v>
      </c>
      <c r="D7711" t="s">
        <v>15</v>
      </c>
      <c r="E7711" t="s">
        <v>21</v>
      </c>
      <c r="F7711" t="s">
        <v>20</v>
      </c>
      <c r="G7711" s="2">
        <f>VALUE(536.52)</f>
        <v>536.52</v>
      </c>
      <c r="H7711" s="3">
        <f>VALUE(374.14)</f>
        <v>374.14</v>
      </c>
      <c r="I7711" s="4">
        <f>VALUE(3562)</f>
        <v>3562</v>
      </c>
      <c r="J7711" s="5">
        <f>VALUE(4694)</f>
        <v>4694</v>
      </c>
      <c r="K7711" s="6">
        <f>VALUE(7093)</f>
        <v>7093</v>
      </c>
      <c r="L7711" s="1">
        <f>VALUE(8472)</f>
        <v>8472</v>
      </c>
      <c r="M7711" s="8">
        <f>VALUE(10875)</f>
        <v>10875</v>
      </c>
      <c r="N7711" t="s">
        <v>25</v>
      </c>
    </row>
    <row r="7712" spans="1:14" x14ac:dyDescent="0.25">
      <c r="A7712" t="s">
        <v>42</v>
      </c>
      <c r="B7712" t="s">
        <v>40</v>
      </c>
      <c r="C7712" t="s">
        <v>38</v>
      </c>
      <c r="D7712" t="s">
        <v>15</v>
      </c>
      <c r="E7712" t="s">
        <v>22</v>
      </c>
      <c r="F7712" t="s">
        <v>15</v>
      </c>
      <c r="G7712" s="1">
        <f>VALUE(5757.51)</f>
        <v>5757.51</v>
      </c>
      <c r="H7712" s="1">
        <f>VALUE(4326.94)</f>
        <v>4326.9399999999996</v>
      </c>
      <c r="I7712" s="4">
        <f>VALUE(3044)</f>
        <v>3044</v>
      </c>
      <c r="J7712" s="1">
        <f>VALUE(4106)</f>
        <v>4106</v>
      </c>
      <c r="K7712" s="1">
        <f>VALUE(5291)</f>
        <v>5291</v>
      </c>
      <c r="L7712" s="1">
        <f>VALUE(6663)</f>
        <v>6663</v>
      </c>
      <c r="M7712" s="1">
        <f>VALUE(8013)</f>
        <v>8013</v>
      </c>
      <c r="N7712" t="s">
        <v>25</v>
      </c>
    </row>
    <row r="7713" spans="1:14" x14ac:dyDescent="0.25">
      <c r="A7713" t="s">
        <v>42</v>
      </c>
      <c r="B7713" t="s">
        <v>40</v>
      </c>
      <c r="C7713" t="s">
        <v>38</v>
      </c>
      <c r="D7713" t="s">
        <v>15</v>
      </c>
      <c r="E7713" t="s">
        <v>22</v>
      </c>
      <c r="F7713" t="s">
        <v>17</v>
      </c>
      <c r="G7713" s="2">
        <f>VALUE(903.44)</f>
        <v>903.44</v>
      </c>
      <c r="H7713" s="3">
        <f>VALUE(811.05)</f>
        <v>811.05</v>
      </c>
      <c r="I7713" s="4">
        <f>VALUE(2857)</f>
        <v>2857</v>
      </c>
      <c r="J7713" s="5">
        <f>VALUE(3426)</f>
        <v>3426</v>
      </c>
      <c r="K7713" s="6">
        <f>VALUE(4940)</f>
        <v>4940</v>
      </c>
      <c r="L7713" s="7">
        <f>VALUE(7529)</f>
        <v>7529</v>
      </c>
      <c r="M7713" s="1">
        <f>VALUE(10111)</f>
        <v>10111</v>
      </c>
      <c r="N7713" t="s">
        <v>25</v>
      </c>
    </row>
    <row r="7714" spans="1:14" x14ac:dyDescent="0.25">
      <c r="A7714" t="s">
        <v>42</v>
      </c>
      <c r="B7714" t="s">
        <v>40</v>
      </c>
      <c r="C7714" t="s">
        <v>38</v>
      </c>
      <c r="D7714" t="s">
        <v>15</v>
      </c>
      <c r="E7714" t="s">
        <v>22</v>
      </c>
      <c r="F7714" t="s">
        <v>18</v>
      </c>
      <c r="G7714" s="2">
        <f>VALUE(567.6)</f>
        <v>567.6</v>
      </c>
      <c r="H7714" s="3">
        <f>VALUE(424.32)</f>
        <v>424.32</v>
      </c>
      <c r="I7714" s="4">
        <f>VALUE(3443)</f>
        <v>3443</v>
      </c>
      <c r="J7714" s="5">
        <f>VALUE(4559)</f>
        <v>4559</v>
      </c>
      <c r="K7714" s="1">
        <f>VALUE(5850)</f>
        <v>5850</v>
      </c>
      <c r="L7714" s="1">
        <f>VALUE(7144)</f>
        <v>7144</v>
      </c>
      <c r="M7714" s="1">
        <f>VALUE(8406)</f>
        <v>8406</v>
      </c>
      <c r="N7714" t="s">
        <v>25</v>
      </c>
    </row>
    <row r="7715" spans="1:14" x14ac:dyDescent="0.25">
      <c r="A7715" t="s">
        <v>42</v>
      </c>
      <c r="B7715" t="s">
        <v>40</v>
      </c>
      <c r="C7715" t="s">
        <v>38</v>
      </c>
      <c r="D7715" t="s">
        <v>15</v>
      </c>
      <c r="E7715" t="s">
        <v>22</v>
      </c>
      <c r="F7715" t="s">
        <v>19</v>
      </c>
      <c r="G7715" s="2">
        <f>VALUE(971.19)</f>
        <v>971.19</v>
      </c>
      <c r="H7715" s="3">
        <f>VALUE(748.28)</f>
        <v>748.28</v>
      </c>
      <c r="I7715" s="4">
        <f>VALUE(3733)</f>
        <v>3733</v>
      </c>
      <c r="J7715" s="1">
        <f>VALUE(4603)</f>
        <v>4603</v>
      </c>
      <c r="K7715" s="1">
        <f>VALUE(5459)</f>
        <v>5459</v>
      </c>
      <c r="L7715" s="1">
        <f>VALUE(6728)</f>
        <v>6728</v>
      </c>
      <c r="M7715" s="1">
        <f>VALUE(8126)</f>
        <v>8126</v>
      </c>
      <c r="N7715" t="s">
        <v>25</v>
      </c>
    </row>
    <row r="7716" spans="1:14" x14ac:dyDescent="0.25">
      <c r="A7716" t="s">
        <v>42</v>
      </c>
      <c r="B7716" t="s">
        <v>40</v>
      </c>
      <c r="C7716" t="s">
        <v>38</v>
      </c>
      <c r="D7716" t="s">
        <v>15</v>
      </c>
      <c r="E7716" t="s">
        <v>22</v>
      </c>
      <c r="F7716" t="s">
        <v>20</v>
      </c>
      <c r="G7716" s="1">
        <f>VALUE(3315.28)</f>
        <v>3315.28</v>
      </c>
      <c r="H7716" s="1">
        <f>VALUE(2343.29)</f>
        <v>2343.29</v>
      </c>
      <c r="I7716" s="4">
        <f>VALUE(3078)</f>
        <v>3078</v>
      </c>
      <c r="J7716" s="1">
        <f>VALUE(4071)</f>
        <v>4071</v>
      </c>
      <c r="K7716" s="1">
        <f>VALUE(5158)</f>
        <v>5158</v>
      </c>
      <c r="L7716" s="1">
        <f>VALUE(6322)</f>
        <v>6322</v>
      </c>
      <c r="M7716" s="1">
        <f>VALUE(7380)</f>
        <v>7380</v>
      </c>
      <c r="N7716" t="s">
        <v>25</v>
      </c>
    </row>
    <row r="7717" spans="1:14" x14ac:dyDescent="0.25">
      <c r="A7717" t="s">
        <v>42</v>
      </c>
      <c r="B7717" t="s">
        <v>40</v>
      </c>
      <c r="C7717" t="s">
        <v>38</v>
      </c>
      <c r="D7717" t="s">
        <v>15</v>
      </c>
      <c r="E7717" t="s">
        <v>23</v>
      </c>
      <c r="F7717" t="s">
        <v>15</v>
      </c>
      <c r="G7717" s="1">
        <f>VALUE(4672.23)</f>
        <v>4672.2299999999996</v>
      </c>
      <c r="H7717" s="1">
        <f>VALUE(3351.57)</f>
        <v>3351.57</v>
      </c>
      <c r="I7717" s="1">
        <f>VALUE(2682)</f>
        <v>2682</v>
      </c>
      <c r="J7717" s="1">
        <f>VALUE(3040)</f>
        <v>3040</v>
      </c>
      <c r="K7717" s="1">
        <f>VALUE(3765)</f>
        <v>3765</v>
      </c>
      <c r="L7717" s="1">
        <f>VALUE(4540)</f>
        <v>4540</v>
      </c>
      <c r="M7717" s="1">
        <f>VALUE(5267)</f>
        <v>5267</v>
      </c>
      <c r="N7717" t="s">
        <v>16</v>
      </c>
    </row>
    <row r="7718" spans="1:14" x14ac:dyDescent="0.25">
      <c r="A7718" t="s">
        <v>42</v>
      </c>
      <c r="B7718" t="s">
        <v>40</v>
      </c>
      <c r="C7718" t="s">
        <v>38</v>
      </c>
      <c r="D7718" t="s">
        <v>15</v>
      </c>
      <c r="E7718" t="s">
        <v>23</v>
      </c>
      <c r="F7718" t="s">
        <v>17</v>
      </c>
      <c r="G7718" s="1" t="str">
        <f t="shared" ref="G7718:M7719" si="1689">"X"</f>
        <v>X</v>
      </c>
      <c r="H7718" s="1" t="str">
        <f t="shared" si="1689"/>
        <v>X</v>
      </c>
      <c r="I7718" s="1" t="str">
        <f t="shared" si="1689"/>
        <v>X</v>
      </c>
      <c r="J7718" s="1" t="str">
        <f t="shared" si="1689"/>
        <v>X</v>
      </c>
      <c r="K7718" s="1" t="str">
        <f t="shared" si="1689"/>
        <v>X</v>
      </c>
      <c r="L7718" s="1" t="str">
        <f t="shared" si="1689"/>
        <v>X</v>
      </c>
      <c r="M7718" s="1" t="str">
        <f t="shared" si="1689"/>
        <v>X</v>
      </c>
      <c r="N7718" t="s">
        <v>27</v>
      </c>
    </row>
    <row r="7719" spans="1:14" x14ac:dyDescent="0.25">
      <c r="A7719" t="s">
        <v>42</v>
      </c>
      <c r="B7719" t="s">
        <v>40</v>
      </c>
      <c r="C7719" t="s">
        <v>38</v>
      </c>
      <c r="D7719" t="s">
        <v>15</v>
      </c>
      <c r="E7719" t="s">
        <v>23</v>
      </c>
      <c r="F7719" t="s">
        <v>18</v>
      </c>
      <c r="G7719" s="1" t="str">
        <f t="shared" si="1689"/>
        <v>X</v>
      </c>
      <c r="H7719" s="1" t="str">
        <f t="shared" si="1689"/>
        <v>X</v>
      </c>
      <c r="I7719" s="1" t="str">
        <f t="shared" si="1689"/>
        <v>X</v>
      </c>
      <c r="J7719" s="1" t="str">
        <f t="shared" si="1689"/>
        <v>X</v>
      </c>
      <c r="K7719" s="1" t="str">
        <f t="shared" si="1689"/>
        <v>X</v>
      </c>
      <c r="L7719" s="1" t="str">
        <f t="shared" si="1689"/>
        <v>X</v>
      </c>
      <c r="M7719" s="1" t="str">
        <f t="shared" si="1689"/>
        <v>X</v>
      </c>
      <c r="N7719" t="s">
        <v>27</v>
      </c>
    </row>
    <row r="7720" spans="1:14" x14ac:dyDescent="0.25">
      <c r="A7720" t="s">
        <v>42</v>
      </c>
      <c r="B7720" t="s">
        <v>40</v>
      </c>
      <c r="C7720" t="s">
        <v>38</v>
      </c>
      <c r="D7720" t="s">
        <v>15</v>
      </c>
      <c r="E7720" t="s">
        <v>23</v>
      </c>
      <c r="F7720" t="s">
        <v>19</v>
      </c>
      <c r="G7720" s="2">
        <f>VALUE(500.99)</f>
        <v>500.99</v>
      </c>
      <c r="H7720" s="3">
        <f>VALUE(482.64)</f>
        <v>482.64</v>
      </c>
      <c r="I7720" s="1">
        <f>VALUE(2728)</f>
        <v>2728</v>
      </c>
      <c r="J7720" s="1">
        <f>VALUE(2883)</f>
        <v>2883</v>
      </c>
      <c r="K7720" s="6">
        <f>VALUE(3196)</f>
        <v>3196</v>
      </c>
      <c r="L7720" s="7">
        <f>VALUE(4091)</f>
        <v>4091</v>
      </c>
      <c r="M7720" s="8">
        <f>VALUE(4538)</f>
        <v>4538</v>
      </c>
      <c r="N7720" t="s">
        <v>25</v>
      </c>
    </row>
    <row r="7721" spans="1:14" x14ac:dyDescent="0.25">
      <c r="A7721" t="s">
        <v>42</v>
      </c>
      <c r="B7721" t="s">
        <v>40</v>
      </c>
      <c r="C7721" t="s">
        <v>38</v>
      </c>
      <c r="D7721" t="s">
        <v>15</v>
      </c>
      <c r="E7721" t="s">
        <v>23</v>
      </c>
      <c r="F7721" t="s">
        <v>20</v>
      </c>
      <c r="G7721" s="1">
        <f>VALUE(3844.06)</f>
        <v>3844.06</v>
      </c>
      <c r="H7721" s="1">
        <f>VALUE(2627.26)</f>
        <v>2627.26</v>
      </c>
      <c r="I7721" s="4">
        <f>VALUE(2648)</f>
        <v>2648</v>
      </c>
      <c r="J7721" s="1">
        <f>VALUE(3108)</f>
        <v>3108</v>
      </c>
      <c r="K7721" s="1">
        <f>VALUE(3794)</f>
        <v>3794</v>
      </c>
      <c r="L7721" s="1">
        <f>VALUE(4559)</f>
        <v>4559</v>
      </c>
      <c r="M7721" s="1">
        <f>VALUE(5193)</f>
        <v>5193</v>
      </c>
      <c r="N7721" t="s">
        <v>25</v>
      </c>
    </row>
    <row r="7722" spans="1:14" x14ac:dyDescent="0.25">
      <c r="A7722" t="s">
        <v>42</v>
      </c>
      <c r="B7722" t="s">
        <v>40</v>
      </c>
      <c r="C7722" t="s">
        <v>38</v>
      </c>
      <c r="D7722" t="s">
        <v>15</v>
      </c>
      <c r="E7722" t="s">
        <v>26</v>
      </c>
      <c r="F7722" t="s">
        <v>15</v>
      </c>
      <c r="G7722" s="2">
        <f>VALUE(201.28)</f>
        <v>201.28</v>
      </c>
      <c r="H7722" s="3">
        <f>VALUE(173.58)</f>
        <v>173.58</v>
      </c>
      <c r="I7722" s="4">
        <f>VALUE(2848)</f>
        <v>2848</v>
      </c>
      <c r="J7722" s="5">
        <f>VALUE(3638)</f>
        <v>3638</v>
      </c>
      <c r="K7722" s="6">
        <f>VALUE(4127)</f>
        <v>4127</v>
      </c>
      <c r="L7722" s="7">
        <f>VALUE(6190)</f>
        <v>6190</v>
      </c>
      <c r="M7722" s="8">
        <f>VALUE(9852)</f>
        <v>9852</v>
      </c>
      <c r="N7722" t="s">
        <v>24</v>
      </c>
    </row>
    <row r="7723" spans="1:14" x14ac:dyDescent="0.25">
      <c r="A7723" t="s">
        <v>42</v>
      </c>
      <c r="B7723" t="s">
        <v>40</v>
      </c>
      <c r="C7723" t="s">
        <v>38</v>
      </c>
      <c r="D7723" t="s">
        <v>15</v>
      </c>
      <c r="E7723" t="s">
        <v>26</v>
      </c>
      <c r="F7723" t="s">
        <v>17</v>
      </c>
      <c r="G7723" s="1" t="str">
        <f t="shared" ref="G7723:M7725" si="1690">"X"</f>
        <v>X</v>
      </c>
      <c r="H7723" s="1" t="str">
        <f t="shared" si="1690"/>
        <v>X</v>
      </c>
      <c r="I7723" s="1" t="str">
        <f t="shared" si="1690"/>
        <v>X</v>
      </c>
      <c r="J7723" s="1" t="str">
        <f t="shared" si="1690"/>
        <v>X</v>
      </c>
      <c r="K7723" s="1" t="str">
        <f t="shared" si="1690"/>
        <v>X</v>
      </c>
      <c r="L7723" s="1" t="str">
        <f t="shared" si="1690"/>
        <v>X</v>
      </c>
      <c r="M7723" s="1" t="str">
        <f t="shared" si="1690"/>
        <v>X</v>
      </c>
      <c r="N7723" t="s">
        <v>27</v>
      </c>
    </row>
    <row r="7724" spans="1:14" x14ac:dyDescent="0.25">
      <c r="A7724" t="s">
        <v>42</v>
      </c>
      <c r="B7724" t="s">
        <v>40</v>
      </c>
      <c r="C7724" t="s">
        <v>38</v>
      </c>
      <c r="D7724" t="s">
        <v>15</v>
      </c>
      <c r="E7724" t="s">
        <v>26</v>
      </c>
      <c r="F7724" t="s">
        <v>18</v>
      </c>
      <c r="G7724" s="1" t="str">
        <f t="shared" si="1690"/>
        <v>X</v>
      </c>
      <c r="H7724" s="1" t="str">
        <f t="shared" si="1690"/>
        <v>X</v>
      </c>
      <c r="I7724" s="1" t="str">
        <f t="shared" si="1690"/>
        <v>X</v>
      </c>
      <c r="J7724" s="1" t="str">
        <f t="shared" si="1690"/>
        <v>X</v>
      </c>
      <c r="K7724" s="1" t="str">
        <f t="shared" si="1690"/>
        <v>X</v>
      </c>
      <c r="L7724" s="1" t="str">
        <f t="shared" si="1690"/>
        <v>X</v>
      </c>
      <c r="M7724" s="1" t="str">
        <f t="shared" si="1690"/>
        <v>X</v>
      </c>
      <c r="N7724" t="s">
        <v>27</v>
      </c>
    </row>
    <row r="7725" spans="1:14" x14ac:dyDescent="0.25">
      <c r="A7725" t="s">
        <v>42</v>
      </c>
      <c r="B7725" t="s">
        <v>40</v>
      </c>
      <c r="C7725" t="s">
        <v>38</v>
      </c>
      <c r="D7725" t="s">
        <v>15</v>
      </c>
      <c r="E7725" t="s">
        <v>26</v>
      </c>
      <c r="F7725" t="s">
        <v>19</v>
      </c>
      <c r="G7725" s="1" t="str">
        <f t="shared" si="1690"/>
        <v>X</v>
      </c>
      <c r="H7725" s="1" t="str">
        <f t="shared" si="1690"/>
        <v>X</v>
      </c>
      <c r="I7725" s="1" t="str">
        <f t="shared" si="1690"/>
        <v>X</v>
      </c>
      <c r="J7725" s="1" t="str">
        <f t="shared" si="1690"/>
        <v>X</v>
      </c>
      <c r="K7725" s="1" t="str">
        <f t="shared" si="1690"/>
        <v>X</v>
      </c>
      <c r="L7725" s="1" t="str">
        <f t="shared" si="1690"/>
        <v>X</v>
      </c>
      <c r="M7725" s="1" t="str">
        <f t="shared" si="1690"/>
        <v>X</v>
      </c>
      <c r="N7725" t="s">
        <v>27</v>
      </c>
    </row>
    <row r="7726" spans="1:14" x14ac:dyDescent="0.25">
      <c r="A7726" t="s">
        <v>42</v>
      </c>
      <c r="B7726" t="s">
        <v>40</v>
      </c>
      <c r="C7726" t="s">
        <v>38</v>
      </c>
      <c r="D7726" t="s">
        <v>15</v>
      </c>
      <c r="E7726" t="s">
        <v>26</v>
      </c>
      <c r="F7726" t="s">
        <v>20</v>
      </c>
      <c r="G7726" s="2">
        <f>VALUE(143.15)</f>
        <v>143.15</v>
      </c>
      <c r="H7726" s="3">
        <f>VALUE(122.42)</f>
        <v>122.42</v>
      </c>
      <c r="I7726" s="1">
        <f>VALUE(2362)</f>
        <v>2362</v>
      </c>
      <c r="J7726" s="1">
        <f>VALUE(3387)</f>
        <v>3387</v>
      </c>
      <c r="K7726" s="1">
        <f>VALUE(4127)</f>
        <v>4127</v>
      </c>
      <c r="L7726" s="1">
        <f>VALUE(6190)</f>
        <v>6190</v>
      </c>
      <c r="M7726" s="1">
        <f>VALUE(7460)</f>
        <v>7460</v>
      </c>
      <c r="N7726" t="s">
        <v>25</v>
      </c>
    </row>
    <row r="7727" spans="1:14" x14ac:dyDescent="0.25">
      <c r="A7727" t="s">
        <v>42</v>
      </c>
      <c r="B7727" t="s">
        <v>40</v>
      </c>
      <c r="C7727" t="s">
        <v>38</v>
      </c>
      <c r="D7727" t="s">
        <v>28</v>
      </c>
      <c r="E7727" t="s">
        <v>15</v>
      </c>
      <c r="F7727" t="s">
        <v>15</v>
      </c>
      <c r="G7727" s="1">
        <f>VALUE(7238.81)</f>
        <v>7238.81</v>
      </c>
      <c r="H7727" s="1">
        <f>VALUE(5179.08)</f>
        <v>5179.08</v>
      </c>
      <c r="I7727" s="1">
        <f>VALUE(3095)</f>
        <v>3095</v>
      </c>
      <c r="J7727" s="1">
        <f>VALUE(4070)</f>
        <v>4070</v>
      </c>
      <c r="K7727" s="1">
        <f>VALUE(5225)</f>
        <v>5225</v>
      </c>
      <c r="L7727" s="1">
        <f>VALUE(6903)</f>
        <v>6903</v>
      </c>
      <c r="M7727" s="1">
        <f>VALUE(8723)</f>
        <v>8723</v>
      </c>
      <c r="N7727" t="s">
        <v>16</v>
      </c>
    </row>
    <row r="7728" spans="1:14" x14ac:dyDescent="0.25">
      <c r="A7728" t="s">
        <v>42</v>
      </c>
      <c r="B7728" t="s">
        <v>40</v>
      </c>
      <c r="C7728" t="s">
        <v>38</v>
      </c>
      <c r="D7728" t="s">
        <v>28</v>
      </c>
      <c r="E7728" t="s">
        <v>15</v>
      </c>
      <c r="F7728" t="s">
        <v>17</v>
      </c>
      <c r="G7728" s="2">
        <f>VALUE(1304.99)</f>
        <v>1304.99</v>
      </c>
      <c r="H7728" s="3">
        <f>VALUE(1167.09)</f>
        <v>1167.0899999999999</v>
      </c>
      <c r="I7728" s="4">
        <f>VALUE(2857)</f>
        <v>2857</v>
      </c>
      <c r="J7728" s="5">
        <f>VALUE(3514)</f>
        <v>3514</v>
      </c>
      <c r="K7728" s="6">
        <f>VALUE(5555)</f>
        <v>5555</v>
      </c>
      <c r="L7728" s="7">
        <f>VALUE(8667)</f>
        <v>8667</v>
      </c>
      <c r="M7728" s="1">
        <f>VALUE(10833)</f>
        <v>10833</v>
      </c>
      <c r="N7728" t="s">
        <v>25</v>
      </c>
    </row>
    <row r="7729" spans="1:14" x14ac:dyDescent="0.25">
      <c r="A7729" t="s">
        <v>42</v>
      </c>
      <c r="B7729" t="s">
        <v>40</v>
      </c>
      <c r="C7729" t="s">
        <v>38</v>
      </c>
      <c r="D7729" t="s">
        <v>28</v>
      </c>
      <c r="E7729" t="s">
        <v>15</v>
      </c>
      <c r="F7729" t="s">
        <v>18</v>
      </c>
      <c r="G7729" s="2">
        <f>VALUE(772.16)</f>
        <v>772.16</v>
      </c>
      <c r="H7729" s="3">
        <f>VALUE(546.06)</f>
        <v>546.05999999999995</v>
      </c>
      <c r="I7729" s="4">
        <f>VALUE(2958)</f>
        <v>2958</v>
      </c>
      <c r="J7729" s="5">
        <f>VALUE(4140)</f>
        <v>4140</v>
      </c>
      <c r="K7729" s="1">
        <f>VALUE(5735)</f>
        <v>5735</v>
      </c>
      <c r="L7729" s="1">
        <f>VALUE(7301)</f>
        <v>7301</v>
      </c>
      <c r="M7729" s="1">
        <f>VALUE(8852)</f>
        <v>8852</v>
      </c>
      <c r="N7729" t="s">
        <v>25</v>
      </c>
    </row>
    <row r="7730" spans="1:14" x14ac:dyDescent="0.25">
      <c r="A7730" t="s">
        <v>42</v>
      </c>
      <c r="B7730" t="s">
        <v>40</v>
      </c>
      <c r="C7730" t="s">
        <v>38</v>
      </c>
      <c r="D7730" t="s">
        <v>28</v>
      </c>
      <c r="E7730" t="s">
        <v>15</v>
      </c>
      <c r="F7730" t="s">
        <v>19</v>
      </c>
      <c r="G7730" s="2">
        <f>VALUE(974.58)</f>
        <v>974.58</v>
      </c>
      <c r="H7730" s="3">
        <f>VALUE(731.23)</f>
        <v>731.23</v>
      </c>
      <c r="I7730" s="4">
        <f>VALUE(3556)</f>
        <v>3556</v>
      </c>
      <c r="J7730" s="1">
        <f>VALUE(4555)</f>
        <v>4555</v>
      </c>
      <c r="K7730" s="1">
        <f>VALUE(5484)</f>
        <v>5484</v>
      </c>
      <c r="L7730" s="1">
        <f>VALUE(6929)</f>
        <v>6929</v>
      </c>
      <c r="M7730" s="1">
        <f>VALUE(8259)</f>
        <v>8259</v>
      </c>
      <c r="N7730" t="s">
        <v>25</v>
      </c>
    </row>
    <row r="7731" spans="1:14" x14ac:dyDescent="0.25">
      <c r="A7731" t="s">
        <v>42</v>
      </c>
      <c r="B7731" t="s">
        <v>40</v>
      </c>
      <c r="C7731" t="s">
        <v>38</v>
      </c>
      <c r="D7731" t="s">
        <v>28</v>
      </c>
      <c r="E7731" t="s">
        <v>15</v>
      </c>
      <c r="F7731" t="s">
        <v>20</v>
      </c>
      <c r="G7731" s="1">
        <f>VALUE(4187.08)</f>
        <v>4187.08</v>
      </c>
      <c r="H7731" s="1">
        <f>VALUE(2734.7)</f>
        <v>2734.7</v>
      </c>
      <c r="I7731" s="1">
        <f>VALUE(3388)</f>
        <v>3388</v>
      </c>
      <c r="J7731" s="1">
        <f>VALUE(4070)</f>
        <v>4070</v>
      </c>
      <c r="K7731" s="1">
        <f>VALUE(4965.5)</f>
        <v>4965.5</v>
      </c>
      <c r="L7731" s="1">
        <f>VALUE(6321)</f>
        <v>6321</v>
      </c>
      <c r="M7731" s="1">
        <f>VALUE(7718)</f>
        <v>7718</v>
      </c>
      <c r="N7731" t="s">
        <v>16</v>
      </c>
    </row>
    <row r="7732" spans="1:14" x14ac:dyDescent="0.25">
      <c r="A7732" t="s">
        <v>42</v>
      </c>
      <c r="B7732" t="s">
        <v>40</v>
      </c>
      <c r="C7732" t="s">
        <v>38</v>
      </c>
      <c r="D7732" t="s">
        <v>28</v>
      </c>
      <c r="E7732" t="s">
        <v>21</v>
      </c>
      <c r="F7732" t="s">
        <v>15</v>
      </c>
      <c r="G7732" s="2">
        <f>VALUE(1148.89)</f>
        <v>1148.8900000000001</v>
      </c>
      <c r="H7732" s="3">
        <f>VALUE(890.28)</f>
        <v>890.28</v>
      </c>
      <c r="I7732" s="4">
        <f>VALUE(3033)</f>
        <v>3033</v>
      </c>
      <c r="J7732" s="5">
        <f>VALUE(4505)</f>
        <v>4505</v>
      </c>
      <c r="K7732" s="6">
        <f>VALUE(7225)</f>
        <v>7225</v>
      </c>
      <c r="L7732" s="1">
        <f>VALUE(9315)</f>
        <v>9315</v>
      </c>
      <c r="M7732" s="1">
        <f>VALUE(11283)</f>
        <v>11283</v>
      </c>
      <c r="N7732" t="s">
        <v>25</v>
      </c>
    </row>
    <row r="7733" spans="1:14" x14ac:dyDescent="0.25">
      <c r="A7733" t="s">
        <v>42</v>
      </c>
      <c r="B7733" t="s">
        <v>40</v>
      </c>
      <c r="C7733" t="s">
        <v>38</v>
      </c>
      <c r="D7733" t="s">
        <v>28</v>
      </c>
      <c r="E7733" t="s">
        <v>21</v>
      </c>
      <c r="F7733" t="s">
        <v>17</v>
      </c>
      <c r="G7733" s="2">
        <f>VALUE(424.32)</f>
        <v>424.32</v>
      </c>
      <c r="H7733" s="3">
        <f>VALUE(379.35)</f>
        <v>379.35</v>
      </c>
      <c r="I7733" s="4">
        <f>VALUE(3095)</f>
        <v>3095</v>
      </c>
      <c r="J7733" s="5">
        <f>VALUE(4000)</f>
        <v>4000</v>
      </c>
      <c r="K7733" s="6">
        <f>VALUE(8269)</f>
        <v>8269</v>
      </c>
      <c r="L7733" s="7">
        <f>VALUE(10169)</f>
        <v>10169</v>
      </c>
      <c r="M7733" s="1">
        <f>VALUE(12500)</f>
        <v>12500</v>
      </c>
      <c r="N7733" t="s">
        <v>25</v>
      </c>
    </row>
    <row r="7734" spans="1:14" x14ac:dyDescent="0.25">
      <c r="A7734" t="s">
        <v>42</v>
      </c>
      <c r="B7734" t="s">
        <v>40</v>
      </c>
      <c r="C7734" t="s">
        <v>38</v>
      </c>
      <c r="D7734" t="s">
        <v>28</v>
      </c>
      <c r="E7734" t="s">
        <v>21</v>
      </c>
      <c r="F7734" t="s">
        <v>18</v>
      </c>
      <c r="G7734" s="2">
        <f>VALUE(220.29)</f>
        <v>220.29</v>
      </c>
      <c r="H7734" s="3">
        <f>VALUE(159.19)</f>
        <v>159.19</v>
      </c>
      <c r="I7734" s="1">
        <f>VALUE(1701)</f>
        <v>1701</v>
      </c>
      <c r="J7734" s="5">
        <f>VALUE(3751)</f>
        <v>3751</v>
      </c>
      <c r="K7734" s="6">
        <f>VALUE(5755)</f>
        <v>5755</v>
      </c>
      <c r="L7734" s="1">
        <f>VALUE(8230)</f>
        <v>8230</v>
      </c>
      <c r="M7734" s="1">
        <f>VALUE(9787)</f>
        <v>9787</v>
      </c>
      <c r="N7734" t="s">
        <v>25</v>
      </c>
    </row>
    <row r="7735" spans="1:14" x14ac:dyDescent="0.25">
      <c r="A7735" t="s">
        <v>42</v>
      </c>
      <c r="B7735" t="s">
        <v>40</v>
      </c>
      <c r="C7735" t="s">
        <v>38</v>
      </c>
      <c r="D7735" t="s">
        <v>28</v>
      </c>
      <c r="E7735" t="s">
        <v>21</v>
      </c>
      <c r="F7735" t="s">
        <v>19</v>
      </c>
      <c r="G7735" s="1" t="str">
        <f t="shared" ref="G7735:M7735" si="1691">"X"</f>
        <v>X</v>
      </c>
      <c r="H7735" s="1" t="str">
        <f t="shared" si="1691"/>
        <v>X</v>
      </c>
      <c r="I7735" s="1" t="str">
        <f t="shared" si="1691"/>
        <v>X</v>
      </c>
      <c r="J7735" s="1" t="str">
        <f t="shared" si="1691"/>
        <v>X</v>
      </c>
      <c r="K7735" s="1" t="str">
        <f t="shared" si="1691"/>
        <v>X</v>
      </c>
      <c r="L7735" s="1" t="str">
        <f t="shared" si="1691"/>
        <v>X</v>
      </c>
      <c r="M7735" s="1" t="str">
        <f t="shared" si="1691"/>
        <v>X</v>
      </c>
      <c r="N7735" t="s">
        <v>27</v>
      </c>
    </row>
    <row r="7736" spans="1:14" x14ac:dyDescent="0.25">
      <c r="A7736" t="s">
        <v>42</v>
      </c>
      <c r="B7736" t="s">
        <v>40</v>
      </c>
      <c r="C7736" t="s">
        <v>38</v>
      </c>
      <c r="D7736" t="s">
        <v>28</v>
      </c>
      <c r="E7736" t="s">
        <v>21</v>
      </c>
      <c r="F7736" t="s">
        <v>20</v>
      </c>
      <c r="G7736" s="2">
        <f>VALUE(402.37)</f>
        <v>402.37</v>
      </c>
      <c r="H7736" s="3">
        <f>VALUE(275.85)</f>
        <v>275.85000000000002</v>
      </c>
      <c r="I7736" s="1">
        <f>VALUE(3763)</f>
        <v>3763</v>
      </c>
      <c r="J7736" s="5">
        <f>VALUE(4694)</f>
        <v>4694</v>
      </c>
      <c r="K7736" s="6">
        <f>VALUE(7563)</f>
        <v>7563</v>
      </c>
      <c r="L7736" s="1">
        <f>VALUE(8709)</f>
        <v>8709</v>
      </c>
      <c r="M7736" s="8">
        <f>VALUE(11194)</f>
        <v>11194</v>
      </c>
      <c r="N7736" t="s">
        <v>25</v>
      </c>
    </row>
    <row r="7737" spans="1:14" x14ac:dyDescent="0.25">
      <c r="A7737" t="s">
        <v>42</v>
      </c>
      <c r="B7737" t="s">
        <v>40</v>
      </c>
      <c r="C7737" t="s">
        <v>38</v>
      </c>
      <c r="D7737" t="s">
        <v>28</v>
      </c>
      <c r="E7737" t="s">
        <v>22</v>
      </c>
      <c r="F7737" t="s">
        <v>15</v>
      </c>
      <c r="G7737" s="1">
        <f>VALUE(4440.84)</f>
        <v>4440.84</v>
      </c>
      <c r="H7737" s="1">
        <f>VALUE(3216.93)</f>
        <v>3216.93</v>
      </c>
      <c r="I7737" s="4">
        <f>VALUE(3332)</f>
        <v>3332</v>
      </c>
      <c r="J7737" s="1">
        <f>VALUE(4267)</f>
        <v>4267</v>
      </c>
      <c r="K7737" s="1">
        <f>VALUE(5417)</f>
        <v>5417</v>
      </c>
      <c r="L7737" s="1">
        <f>VALUE(6789)</f>
        <v>6789</v>
      </c>
      <c r="M7737" s="1">
        <f>VALUE(8024)</f>
        <v>8024</v>
      </c>
      <c r="N7737" t="s">
        <v>25</v>
      </c>
    </row>
    <row r="7738" spans="1:14" x14ac:dyDescent="0.25">
      <c r="A7738" t="s">
        <v>42</v>
      </c>
      <c r="B7738" t="s">
        <v>40</v>
      </c>
      <c r="C7738" t="s">
        <v>38</v>
      </c>
      <c r="D7738" t="s">
        <v>28</v>
      </c>
      <c r="E7738" t="s">
        <v>22</v>
      </c>
      <c r="F7738" t="s">
        <v>17</v>
      </c>
      <c r="G7738" s="2">
        <f>VALUE(783.92)</f>
        <v>783.92</v>
      </c>
      <c r="H7738" s="3">
        <f>VALUE(699.66)</f>
        <v>699.66</v>
      </c>
      <c r="I7738" s="4">
        <f>VALUE(2857)</f>
        <v>2857</v>
      </c>
      <c r="J7738" s="5">
        <f>VALUE(3504)</f>
        <v>3504</v>
      </c>
      <c r="K7738" s="6">
        <f>VALUE(5039)</f>
        <v>5039</v>
      </c>
      <c r="L7738" s="7">
        <f>VALUE(7529)</f>
        <v>7529</v>
      </c>
      <c r="M7738" s="8">
        <f>VALUE(10111)</f>
        <v>10111</v>
      </c>
      <c r="N7738" t="s">
        <v>24</v>
      </c>
    </row>
    <row r="7739" spans="1:14" x14ac:dyDescent="0.25">
      <c r="A7739" t="s">
        <v>42</v>
      </c>
      <c r="B7739" t="s">
        <v>40</v>
      </c>
      <c r="C7739" t="s">
        <v>38</v>
      </c>
      <c r="D7739" t="s">
        <v>28</v>
      </c>
      <c r="E7739" t="s">
        <v>22</v>
      </c>
      <c r="F7739" t="s">
        <v>18</v>
      </c>
      <c r="G7739" s="2">
        <f>VALUE(455.62)</f>
        <v>455.62</v>
      </c>
      <c r="H7739" s="3">
        <f>VALUE(329.19)</f>
        <v>329.19</v>
      </c>
      <c r="I7739" s="4">
        <f>VALUE(3250)</f>
        <v>3250</v>
      </c>
      <c r="J7739" s="5">
        <f>VALUE(4559)</f>
        <v>4559</v>
      </c>
      <c r="K7739" s="6">
        <f>VALUE(5850)</f>
        <v>5850</v>
      </c>
      <c r="L7739" s="1">
        <f>VALUE(7181)</f>
        <v>7181</v>
      </c>
      <c r="M7739" s="1">
        <f>VALUE(8481)</f>
        <v>8481</v>
      </c>
      <c r="N7739" t="s">
        <v>25</v>
      </c>
    </row>
    <row r="7740" spans="1:14" x14ac:dyDescent="0.25">
      <c r="A7740" t="s">
        <v>42</v>
      </c>
      <c r="B7740" t="s">
        <v>40</v>
      </c>
      <c r="C7740" t="s">
        <v>38</v>
      </c>
      <c r="D7740" t="s">
        <v>28</v>
      </c>
      <c r="E7740" t="s">
        <v>22</v>
      </c>
      <c r="F7740" t="s">
        <v>19</v>
      </c>
      <c r="G7740" s="2">
        <f>VALUE(755.48)</f>
        <v>755.48</v>
      </c>
      <c r="H7740" s="3">
        <f>VALUE(568.84)</f>
        <v>568.84</v>
      </c>
      <c r="I7740" s="4">
        <f>VALUE(3625)</f>
        <v>3625</v>
      </c>
      <c r="J7740" s="1">
        <f>VALUE(4634)</f>
        <v>4634</v>
      </c>
      <c r="K7740" s="1">
        <f>VALUE(5481)</f>
        <v>5481</v>
      </c>
      <c r="L7740" s="1">
        <f>VALUE(6728)</f>
        <v>6728</v>
      </c>
      <c r="M7740" s="1">
        <f>VALUE(7936)</f>
        <v>7936</v>
      </c>
      <c r="N7740" t="s">
        <v>25</v>
      </c>
    </row>
    <row r="7741" spans="1:14" x14ac:dyDescent="0.25">
      <c r="A7741" t="s">
        <v>42</v>
      </c>
      <c r="B7741" t="s">
        <v>40</v>
      </c>
      <c r="C7741" t="s">
        <v>38</v>
      </c>
      <c r="D7741" t="s">
        <v>28</v>
      </c>
      <c r="E7741" t="s">
        <v>22</v>
      </c>
      <c r="F7741" t="s">
        <v>20</v>
      </c>
      <c r="G7741" s="1">
        <f>VALUE(2445.82)</f>
        <v>2445.8200000000002</v>
      </c>
      <c r="H7741" s="1">
        <f>VALUE(1619.24)</f>
        <v>1619.24</v>
      </c>
      <c r="I7741" s="4">
        <f>VALUE(3524)</f>
        <v>3524</v>
      </c>
      <c r="J7741" s="1">
        <f>VALUE(4380)</f>
        <v>4380</v>
      </c>
      <c r="K7741" s="1">
        <f>VALUE(5361)</f>
        <v>5361</v>
      </c>
      <c r="L7741" s="1">
        <f>VALUE(6503)</f>
        <v>6503</v>
      </c>
      <c r="M7741" s="1">
        <f>VALUE(7454)</f>
        <v>7454</v>
      </c>
      <c r="N7741" t="s">
        <v>25</v>
      </c>
    </row>
    <row r="7742" spans="1:14" x14ac:dyDescent="0.25">
      <c r="A7742" t="s">
        <v>42</v>
      </c>
      <c r="B7742" t="s">
        <v>40</v>
      </c>
      <c r="C7742" t="s">
        <v>38</v>
      </c>
      <c r="D7742" t="s">
        <v>28</v>
      </c>
      <c r="E7742" t="s">
        <v>23</v>
      </c>
      <c r="F7742" t="s">
        <v>15</v>
      </c>
      <c r="G7742" s="2">
        <f>VALUE(1547.37)</f>
        <v>1547.37</v>
      </c>
      <c r="H7742" s="3">
        <f>VALUE(989.19)</f>
        <v>989.19</v>
      </c>
      <c r="I7742" s="4">
        <f>VALUE(3048)</f>
        <v>3048</v>
      </c>
      <c r="J7742" s="1">
        <f>VALUE(3707)</f>
        <v>3707</v>
      </c>
      <c r="K7742" s="1">
        <f>VALUE(4205)</f>
        <v>4205</v>
      </c>
      <c r="L7742" s="1">
        <f>VALUE(5028)</f>
        <v>5028</v>
      </c>
      <c r="M7742" s="1">
        <f>VALUE(5866)</f>
        <v>5866</v>
      </c>
      <c r="N7742" t="s">
        <v>25</v>
      </c>
    </row>
    <row r="7743" spans="1:14" x14ac:dyDescent="0.25">
      <c r="A7743" t="s">
        <v>42</v>
      </c>
      <c r="B7743" t="s">
        <v>40</v>
      </c>
      <c r="C7743" t="s">
        <v>38</v>
      </c>
      <c r="D7743" t="s">
        <v>28</v>
      </c>
      <c r="E7743" t="s">
        <v>23</v>
      </c>
      <c r="F7743" t="s">
        <v>17</v>
      </c>
      <c r="G7743" s="1" t="str">
        <f t="shared" ref="G7743:M7745" si="1692">"X"</f>
        <v>X</v>
      </c>
      <c r="H7743" s="1" t="str">
        <f t="shared" si="1692"/>
        <v>X</v>
      </c>
      <c r="I7743" s="1" t="str">
        <f t="shared" si="1692"/>
        <v>X</v>
      </c>
      <c r="J7743" s="1" t="str">
        <f t="shared" si="1692"/>
        <v>X</v>
      </c>
      <c r="K7743" s="1" t="str">
        <f t="shared" si="1692"/>
        <v>X</v>
      </c>
      <c r="L7743" s="1" t="str">
        <f t="shared" si="1692"/>
        <v>X</v>
      </c>
      <c r="M7743" s="1" t="str">
        <f t="shared" si="1692"/>
        <v>X</v>
      </c>
      <c r="N7743" t="s">
        <v>27</v>
      </c>
    </row>
    <row r="7744" spans="1:14" x14ac:dyDescent="0.25">
      <c r="A7744" t="s">
        <v>42</v>
      </c>
      <c r="B7744" t="s">
        <v>40</v>
      </c>
      <c r="C7744" t="s">
        <v>38</v>
      </c>
      <c r="D7744" t="s">
        <v>28</v>
      </c>
      <c r="E7744" t="s">
        <v>23</v>
      </c>
      <c r="F7744" t="s">
        <v>18</v>
      </c>
      <c r="G7744" s="1" t="str">
        <f t="shared" si="1692"/>
        <v>X</v>
      </c>
      <c r="H7744" s="1" t="str">
        <f t="shared" si="1692"/>
        <v>X</v>
      </c>
      <c r="I7744" s="1" t="str">
        <f t="shared" si="1692"/>
        <v>X</v>
      </c>
      <c r="J7744" s="1" t="str">
        <f t="shared" si="1692"/>
        <v>X</v>
      </c>
      <c r="K7744" s="1" t="str">
        <f t="shared" si="1692"/>
        <v>X</v>
      </c>
      <c r="L7744" s="1" t="str">
        <f t="shared" si="1692"/>
        <v>X</v>
      </c>
      <c r="M7744" s="1" t="str">
        <f t="shared" si="1692"/>
        <v>X</v>
      </c>
      <c r="N7744" t="s">
        <v>27</v>
      </c>
    </row>
    <row r="7745" spans="1:14" x14ac:dyDescent="0.25">
      <c r="A7745" t="s">
        <v>42</v>
      </c>
      <c r="B7745" t="s">
        <v>40</v>
      </c>
      <c r="C7745" t="s">
        <v>38</v>
      </c>
      <c r="D7745" t="s">
        <v>28</v>
      </c>
      <c r="E7745" t="s">
        <v>23</v>
      </c>
      <c r="F7745" t="s">
        <v>19</v>
      </c>
      <c r="G7745" s="1" t="str">
        <f t="shared" si="1692"/>
        <v>X</v>
      </c>
      <c r="H7745" s="1" t="str">
        <f t="shared" si="1692"/>
        <v>X</v>
      </c>
      <c r="I7745" s="1" t="str">
        <f t="shared" si="1692"/>
        <v>X</v>
      </c>
      <c r="J7745" s="1" t="str">
        <f t="shared" si="1692"/>
        <v>X</v>
      </c>
      <c r="K7745" s="1" t="str">
        <f t="shared" si="1692"/>
        <v>X</v>
      </c>
      <c r="L7745" s="1" t="str">
        <f t="shared" si="1692"/>
        <v>X</v>
      </c>
      <c r="M7745" s="1" t="str">
        <f t="shared" si="1692"/>
        <v>X</v>
      </c>
      <c r="N7745" t="s">
        <v>27</v>
      </c>
    </row>
    <row r="7746" spans="1:14" x14ac:dyDescent="0.25">
      <c r="A7746" t="s">
        <v>42</v>
      </c>
      <c r="B7746" t="s">
        <v>40</v>
      </c>
      <c r="C7746" t="s">
        <v>38</v>
      </c>
      <c r="D7746" t="s">
        <v>28</v>
      </c>
      <c r="E7746" t="s">
        <v>23</v>
      </c>
      <c r="F7746" t="s">
        <v>20</v>
      </c>
      <c r="G7746" s="2">
        <f>VALUE(1283.61)</f>
        <v>1283.6099999999999</v>
      </c>
      <c r="H7746" s="3">
        <f>VALUE(796.39)</f>
        <v>796.39</v>
      </c>
      <c r="I7746" s="4">
        <f>VALUE(3238)</f>
        <v>3238</v>
      </c>
      <c r="J7746" s="1">
        <f>VALUE(3611)</f>
        <v>3611</v>
      </c>
      <c r="K7746" s="1">
        <f>VALUE(4205)</f>
        <v>4205</v>
      </c>
      <c r="L7746" s="1">
        <f>VALUE(4995)</f>
        <v>4995</v>
      </c>
      <c r="M7746" s="1">
        <f>VALUE(5637)</f>
        <v>5637</v>
      </c>
      <c r="N7746" t="s">
        <v>25</v>
      </c>
    </row>
    <row r="7747" spans="1:14" x14ac:dyDescent="0.25">
      <c r="A7747" t="s">
        <v>42</v>
      </c>
      <c r="B7747" t="s">
        <v>40</v>
      </c>
      <c r="C7747" t="s">
        <v>38</v>
      </c>
      <c r="D7747" t="s">
        <v>28</v>
      </c>
      <c r="E7747" t="s">
        <v>26</v>
      </c>
      <c r="F7747" t="s">
        <v>15</v>
      </c>
      <c r="G7747" s="1" t="str">
        <f t="shared" ref="G7747:M7751" si="1693">"X"</f>
        <v>X</v>
      </c>
      <c r="H7747" s="1" t="str">
        <f t="shared" si="1693"/>
        <v>X</v>
      </c>
      <c r="I7747" s="1" t="str">
        <f t="shared" si="1693"/>
        <v>X</v>
      </c>
      <c r="J7747" s="1" t="str">
        <f t="shared" si="1693"/>
        <v>X</v>
      </c>
      <c r="K7747" s="1" t="str">
        <f t="shared" si="1693"/>
        <v>X</v>
      </c>
      <c r="L7747" s="1" t="str">
        <f t="shared" si="1693"/>
        <v>X</v>
      </c>
      <c r="M7747" s="1" t="str">
        <f t="shared" si="1693"/>
        <v>X</v>
      </c>
      <c r="N7747" t="s">
        <v>27</v>
      </c>
    </row>
    <row r="7748" spans="1:14" x14ac:dyDescent="0.25">
      <c r="A7748" t="s">
        <v>42</v>
      </c>
      <c r="B7748" t="s">
        <v>40</v>
      </c>
      <c r="C7748" t="s">
        <v>38</v>
      </c>
      <c r="D7748" t="s">
        <v>28</v>
      </c>
      <c r="E7748" t="s">
        <v>26</v>
      </c>
      <c r="F7748" t="s">
        <v>17</v>
      </c>
      <c r="G7748" s="1" t="str">
        <f t="shared" si="1693"/>
        <v>X</v>
      </c>
      <c r="H7748" s="1" t="str">
        <f t="shared" si="1693"/>
        <v>X</v>
      </c>
      <c r="I7748" s="1" t="str">
        <f t="shared" si="1693"/>
        <v>X</v>
      </c>
      <c r="J7748" s="1" t="str">
        <f t="shared" si="1693"/>
        <v>X</v>
      </c>
      <c r="K7748" s="1" t="str">
        <f t="shared" si="1693"/>
        <v>X</v>
      </c>
      <c r="L7748" s="1" t="str">
        <f t="shared" si="1693"/>
        <v>X</v>
      </c>
      <c r="M7748" s="1" t="str">
        <f t="shared" si="1693"/>
        <v>X</v>
      </c>
      <c r="N7748" t="s">
        <v>27</v>
      </c>
    </row>
    <row r="7749" spans="1:14" x14ac:dyDescent="0.25">
      <c r="A7749" t="s">
        <v>42</v>
      </c>
      <c r="B7749" t="s">
        <v>40</v>
      </c>
      <c r="C7749" t="s">
        <v>38</v>
      </c>
      <c r="D7749" t="s">
        <v>28</v>
      </c>
      <c r="E7749" t="s">
        <v>26</v>
      </c>
      <c r="F7749" t="s">
        <v>18</v>
      </c>
      <c r="G7749" s="1" t="str">
        <f t="shared" si="1693"/>
        <v>X</v>
      </c>
      <c r="H7749" s="1" t="str">
        <f t="shared" si="1693"/>
        <v>X</v>
      </c>
      <c r="I7749" s="1" t="str">
        <f t="shared" si="1693"/>
        <v>X</v>
      </c>
      <c r="J7749" s="1" t="str">
        <f t="shared" si="1693"/>
        <v>X</v>
      </c>
      <c r="K7749" s="1" t="str">
        <f t="shared" si="1693"/>
        <v>X</v>
      </c>
      <c r="L7749" s="1" t="str">
        <f t="shared" si="1693"/>
        <v>X</v>
      </c>
      <c r="M7749" s="1" t="str">
        <f t="shared" si="1693"/>
        <v>X</v>
      </c>
      <c r="N7749" t="s">
        <v>27</v>
      </c>
    </row>
    <row r="7750" spans="1:14" x14ac:dyDescent="0.25">
      <c r="A7750" t="s">
        <v>42</v>
      </c>
      <c r="B7750" t="s">
        <v>40</v>
      </c>
      <c r="C7750" t="s">
        <v>38</v>
      </c>
      <c r="D7750" t="s">
        <v>28</v>
      </c>
      <c r="E7750" t="s">
        <v>26</v>
      </c>
      <c r="F7750" t="s">
        <v>19</v>
      </c>
      <c r="G7750" s="1" t="str">
        <f t="shared" si="1693"/>
        <v>X</v>
      </c>
      <c r="H7750" s="1" t="str">
        <f t="shared" si="1693"/>
        <v>X</v>
      </c>
      <c r="I7750" s="1" t="str">
        <f t="shared" si="1693"/>
        <v>X</v>
      </c>
      <c r="J7750" s="1" t="str">
        <f t="shared" si="1693"/>
        <v>X</v>
      </c>
      <c r="K7750" s="1" t="str">
        <f t="shared" si="1693"/>
        <v>X</v>
      </c>
      <c r="L7750" s="1" t="str">
        <f t="shared" si="1693"/>
        <v>X</v>
      </c>
      <c r="M7750" s="1" t="str">
        <f t="shared" si="1693"/>
        <v>X</v>
      </c>
      <c r="N7750" t="s">
        <v>27</v>
      </c>
    </row>
    <row r="7751" spans="1:14" x14ac:dyDescent="0.25">
      <c r="A7751" t="s">
        <v>42</v>
      </c>
      <c r="B7751" t="s">
        <v>40</v>
      </c>
      <c r="C7751" t="s">
        <v>38</v>
      </c>
      <c r="D7751" t="s">
        <v>28</v>
      </c>
      <c r="E7751" t="s">
        <v>26</v>
      </c>
      <c r="F7751" t="s">
        <v>20</v>
      </c>
      <c r="G7751" s="1" t="str">
        <f t="shared" si="1693"/>
        <v>X</v>
      </c>
      <c r="H7751" s="1" t="str">
        <f t="shared" si="1693"/>
        <v>X</v>
      </c>
      <c r="I7751" s="1" t="str">
        <f t="shared" si="1693"/>
        <v>X</v>
      </c>
      <c r="J7751" s="1" t="str">
        <f t="shared" si="1693"/>
        <v>X</v>
      </c>
      <c r="K7751" s="1" t="str">
        <f t="shared" si="1693"/>
        <v>X</v>
      </c>
      <c r="L7751" s="1" t="str">
        <f t="shared" si="1693"/>
        <v>X</v>
      </c>
      <c r="M7751" s="1" t="str">
        <f t="shared" si="1693"/>
        <v>X</v>
      </c>
      <c r="N7751" t="s">
        <v>27</v>
      </c>
    </row>
    <row r="7752" spans="1:14" x14ac:dyDescent="0.25">
      <c r="A7752" t="s">
        <v>42</v>
      </c>
      <c r="B7752" t="s">
        <v>40</v>
      </c>
      <c r="C7752" t="s">
        <v>38</v>
      </c>
      <c r="D7752" t="s">
        <v>29</v>
      </c>
      <c r="E7752" t="s">
        <v>15</v>
      </c>
      <c r="F7752" t="s">
        <v>15</v>
      </c>
      <c r="G7752" s="1">
        <f>VALUE(1824.48)</f>
        <v>1824.48</v>
      </c>
      <c r="H7752" s="3">
        <f>VALUE(1290.88)</f>
        <v>1290.8800000000001</v>
      </c>
      <c r="I7752" s="4">
        <f>VALUE(3080)</f>
        <v>3080</v>
      </c>
      <c r="J7752" s="1">
        <f>VALUE(3607)</f>
        <v>3607</v>
      </c>
      <c r="K7752" s="1">
        <f>VALUE(4465)</f>
        <v>4465</v>
      </c>
      <c r="L7752" s="1">
        <f>VALUE(5605)</f>
        <v>5605</v>
      </c>
      <c r="M7752" s="8">
        <f>VALUE(8091)</f>
        <v>8091</v>
      </c>
      <c r="N7752" t="s">
        <v>25</v>
      </c>
    </row>
    <row r="7753" spans="1:14" x14ac:dyDescent="0.25">
      <c r="A7753" t="s">
        <v>42</v>
      </c>
      <c r="B7753" t="s">
        <v>40</v>
      </c>
      <c r="C7753" t="s">
        <v>38</v>
      </c>
      <c r="D7753" t="s">
        <v>29</v>
      </c>
      <c r="E7753" t="s">
        <v>15</v>
      </c>
      <c r="F7753" t="s">
        <v>17</v>
      </c>
      <c r="G7753" s="1" t="str">
        <f t="shared" ref="G7753:M7754" si="1694">"X"</f>
        <v>X</v>
      </c>
      <c r="H7753" s="1" t="str">
        <f t="shared" si="1694"/>
        <v>X</v>
      </c>
      <c r="I7753" s="1" t="str">
        <f t="shared" si="1694"/>
        <v>X</v>
      </c>
      <c r="J7753" s="1" t="str">
        <f t="shared" si="1694"/>
        <v>X</v>
      </c>
      <c r="K7753" s="1" t="str">
        <f t="shared" si="1694"/>
        <v>X</v>
      </c>
      <c r="L7753" s="1" t="str">
        <f t="shared" si="1694"/>
        <v>X</v>
      </c>
      <c r="M7753" s="1" t="str">
        <f t="shared" si="1694"/>
        <v>X</v>
      </c>
      <c r="N7753" t="s">
        <v>27</v>
      </c>
    </row>
    <row r="7754" spans="1:14" x14ac:dyDescent="0.25">
      <c r="A7754" t="s">
        <v>42</v>
      </c>
      <c r="B7754" t="s">
        <v>40</v>
      </c>
      <c r="C7754" t="s">
        <v>38</v>
      </c>
      <c r="D7754" t="s">
        <v>29</v>
      </c>
      <c r="E7754" t="s">
        <v>15</v>
      </c>
      <c r="F7754" t="s">
        <v>18</v>
      </c>
      <c r="G7754" s="1" t="str">
        <f t="shared" si="1694"/>
        <v>X</v>
      </c>
      <c r="H7754" s="1" t="str">
        <f t="shared" si="1694"/>
        <v>X</v>
      </c>
      <c r="I7754" s="1" t="str">
        <f t="shared" si="1694"/>
        <v>X</v>
      </c>
      <c r="J7754" s="1" t="str">
        <f t="shared" si="1694"/>
        <v>X</v>
      </c>
      <c r="K7754" s="1" t="str">
        <f t="shared" si="1694"/>
        <v>X</v>
      </c>
      <c r="L7754" s="1" t="str">
        <f t="shared" si="1694"/>
        <v>X</v>
      </c>
      <c r="M7754" s="1" t="str">
        <f t="shared" si="1694"/>
        <v>X</v>
      </c>
      <c r="N7754" t="s">
        <v>27</v>
      </c>
    </row>
    <row r="7755" spans="1:14" x14ac:dyDescent="0.25">
      <c r="A7755" t="s">
        <v>42</v>
      </c>
      <c r="B7755" t="s">
        <v>40</v>
      </c>
      <c r="C7755" t="s">
        <v>38</v>
      </c>
      <c r="D7755" t="s">
        <v>29</v>
      </c>
      <c r="E7755" t="s">
        <v>15</v>
      </c>
      <c r="F7755" t="s">
        <v>19</v>
      </c>
      <c r="G7755" s="2">
        <f>VALUE(170.86)</f>
        <v>170.86</v>
      </c>
      <c r="H7755" s="3">
        <f>VALUE(150.95)</f>
        <v>150.94999999999999</v>
      </c>
      <c r="I7755" s="4">
        <f>VALUE(3143)</f>
        <v>3143</v>
      </c>
      <c r="J7755" s="5">
        <f>VALUE(3840)</f>
        <v>3840</v>
      </c>
      <c r="K7755" s="6">
        <f>VALUE(5163)</f>
        <v>5163</v>
      </c>
      <c r="L7755" s="1">
        <f>VALUE(5714)</f>
        <v>5714</v>
      </c>
      <c r="M7755" s="8">
        <f>VALUE(7679)</f>
        <v>7679</v>
      </c>
      <c r="N7755" t="s">
        <v>25</v>
      </c>
    </row>
    <row r="7756" spans="1:14" x14ac:dyDescent="0.25">
      <c r="A7756" t="s">
        <v>42</v>
      </c>
      <c r="B7756" t="s">
        <v>40</v>
      </c>
      <c r="C7756" t="s">
        <v>38</v>
      </c>
      <c r="D7756" t="s">
        <v>29</v>
      </c>
      <c r="E7756" t="s">
        <v>15</v>
      </c>
      <c r="F7756" t="s">
        <v>20</v>
      </c>
      <c r="G7756" s="2">
        <f>VALUE(1385.28)</f>
        <v>1385.28</v>
      </c>
      <c r="H7756" s="3">
        <f>VALUE(919.17)</f>
        <v>919.17</v>
      </c>
      <c r="I7756" s="4">
        <f>VALUE(3080)</f>
        <v>3080</v>
      </c>
      <c r="J7756" s="1">
        <f>VALUE(3508)</f>
        <v>3508</v>
      </c>
      <c r="K7756" s="1">
        <f>VALUE(4208)</f>
        <v>4208</v>
      </c>
      <c r="L7756" s="1">
        <f>VALUE(5119)</f>
        <v>5119</v>
      </c>
      <c r="M7756" s="1">
        <f>VALUE(6190)</f>
        <v>6190</v>
      </c>
      <c r="N7756" t="s">
        <v>25</v>
      </c>
    </row>
    <row r="7757" spans="1:14" x14ac:dyDescent="0.25">
      <c r="A7757" t="s">
        <v>42</v>
      </c>
      <c r="B7757" t="s">
        <v>40</v>
      </c>
      <c r="C7757" t="s">
        <v>38</v>
      </c>
      <c r="D7757" t="s">
        <v>29</v>
      </c>
      <c r="E7757" t="s">
        <v>21</v>
      </c>
      <c r="F7757" t="s">
        <v>15</v>
      </c>
      <c r="G7757" s="2">
        <f>VALUE(198.32)</f>
        <v>198.32</v>
      </c>
      <c r="H7757" s="3">
        <f>VALUE(172.15)</f>
        <v>172.15</v>
      </c>
      <c r="I7757" s="4">
        <f>VALUE(4137)</f>
        <v>4137</v>
      </c>
      <c r="J7757" s="5">
        <f>VALUE(6213)</f>
        <v>6213</v>
      </c>
      <c r="K7757" s="6">
        <f>VALUE(8105)</f>
        <v>8105</v>
      </c>
      <c r="L7757" s="1">
        <f>VALUE(9389)</f>
        <v>9389</v>
      </c>
      <c r="M7757" s="8">
        <f>VALUE(11375)</f>
        <v>11375</v>
      </c>
      <c r="N7757" t="s">
        <v>25</v>
      </c>
    </row>
    <row r="7758" spans="1:14" x14ac:dyDescent="0.25">
      <c r="A7758" t="s">
        <v>42</v>
      </c>
      <c r="B7758" t="s">
        <v>40</v>
      </c>
      <c r="C7758" t="s">
        <v>38</v>
      </c>
      <c r="D7758" t="s">
        <v>29</v>
      </c>
      <c r="E7758" t="s">
        <v>21</v>
      </c>
      <c r="F7758" t="s">
        <v>17</v>
      </c>
      <c r="G7758" s="1" t="str">
        <f t="shared" ref="G7758:M7761" si="1695">"X"</f>
        <v>X</v>
      </c>
      <c r="H7758" s="1" t="str">
        <f t="shared" si="1695"/>
        <v>X</v>
      </c>
      <c r="I7758" s="1" t="str">
        <f t="shared" si="1695"/>
        <v>X</v>
      </c>
      <c r="J7758" s="1" t="str">
        <f t="shared" si="1695"/>
        <v>X</v>
      </c>
      <c r="K7758" s="1" t="str">
        <f t="shared" si="1695"/>
        <v>X</v>
      </c>
      <c r="L7758" s="1" t="str">
        <f t="shared" si="1695"/>
        <v>X</v>
      </c>
      <c r="M7758" s="1" t="str">
        <f t="shared" si="1695"/>
        <v>X</v>
      </c>
      <c r="N7758" t="s">
        <v>27</v>
      </c>
    </row>
    <row r="7759" spans="1:14" x14ac:dyDescent="0.25">
      <c r="A7759" t="s">
        <v>42</v>
      </c>
      <c r="B7759" t="s">
        <v>40</v>
      </c>
      <c r="C7759" t="s">
        <v>38</v>
      </c>
      <c r="D7759" t="s">
        <v>29</v>
      </c>
      <c r="E7759" t="s">
        <v>21</v>
      </c>
      <c r="F7759" t="s">
        <v>18</v>
      </c>
      <c r="G7759" s="1" t="str">
        <f t="shared" si="1695"/>
        <v>X</v>
      </c>
      <c r="H7759" s="1" t="str">
        <f t="shared" si="1695"/>
        <v>X</v>
      </c>
      <c r="I7759" s="1" t="str">
        <f t="shared" si="1695"/>
        <v>X</v>
      </c>
      <c r="J7759" s="1" t="str">
        <f t="shared" si="1695"/>
        <v>X</v>
      </c>
      <c r="K7759" s="1" t="str">
        <f t="shared" si="1695"/>
        <v>X</v>
      </c>
      <c r="L7759" s="1" t="str">
        <f t="shared" si="1695"/>
        <v>X</v>
      </c>
      <c r="M7759" s="1" t="str">
        <f t="shared" si="1695"/>
        <v>X</v>
      </c>
      <c r="N7759" t="s">
        <v>27</v>
      </c>
    </row>
    <row r="7760" spans="1:14" x14ac:dyDescent="0.25">
      <c r="A7760" t="s">
        <v>42</v>
      </c>
      <c r="B7760" t="s">
        <v>40</v>
      </c>
      <c r="C7760" t="s">
        <v>38</v>
      </c>
      <c r="D7760" t="s">
        <v>29</v>
      </c>
      <c r="E7760" t="s">
        <v>21</v>
      </c>
      <c r="F7760" t="s">
        <v>19</v>
      </c>
      <c r="G7760" s="1" t="str">
        <f t="shared" si="1695"/>
        <v>X</v>
      </c>
      <c r="H7760" s="1" t="str">
        <f t="shared" si="1695"/>
        <v>X</v>
      </c>
      <c r="I7760" s="1" t="str">
        <f t="shared" si="1695"/>
        <v>X</v>
      </c>
      <c r="J7760" s="1" t="str">
        <f t="shared" si="1695"/>
        <v>X</v>
      </c>
      <c r="K7760" s="1" t="str">
        <f t="shared" si="1695"/>
        <v>X</v>
      </c>
      <c r="L7760" s="1" t="str">
        <f t="shared" si="1695"/>
        <v>X</v>
      </c>
      <c r="M7760" s="1" t="str">
        <f t="shared" si="1695"/>
        <v>X</v>
      </c>
      <c r="N7760" t="s">
        <v>27</v>
      </c>
    </row>
    <row r="7761" spans="1:14" x14ac:dyDescent="0.25">
      <c r="A7761" t="s">
        <v>42</v>
      </c>
      <c r="B7761" t="s">
        <v>40</v>
      </c>
      <c r="C7761" t="s">
        <v>38</v>
      </c>
      <c r="D7761" t="s">
        <v>29</v>
      </c>
      <c r="E7761" t="s">
        <v>21</v>
      </c>
      <c r="F7761" t="s">
        <v>20</v>
      </c>
      <c r="G7761" s="1" t="str">
        <f t="shared" si="1695"/>
        <v>X</v>
      </c>
      <c r="H7761" s="1" t="str">
        <f t="shared" si="1695"/>
        <v>X</v>
      </c>
      <c r="I7761" s="1" t="str">
        <f t="shared" si="1695"/>
        <v>X</v>
      </c>
      <c r="J7761" s="1" t="str">
        <f t="shared" si="1695"/>
        <v>X</v>
      </c>
      <c r="K7761" s="1" t="str">
        <f t="shared" si="1695"/>
        <v>X</v>
      </c>
      <c r="L7761" s="1" t="str">
        <f t="shared" si="1695"/>
        <v>X</v>
      </c>
      <c r="M7761" s="1" t="str">
        <f t="shared" si="1695"/>
        <v>X</v>
      </c>
      <c r="N7761" t="s">
        <v>27</v>
      </c>
    </row>
    <row r="7762" spans="1:14" x14ac:dyDescent="0.25">
      <c r="A7762" t="s">
        <v>42</v>
      </c>
      <c r="B7762" t="s">
        <v>40</v>
      </c>
      <c r="C7762" t="s">
        <v>38</v>
      </c>
      <c r="D7762" t="s">
        <v>29</v>
      </c>
      <c r="E7762" t="s">
        <v>22</v>
      </c>
      <c r="F7762" t="s">
        <v>15</v>
      </c>
      <c r="G7762" s="2">
        <f>VALUE(433.78)</f>
        <v>433.78</v>
      </c>
      <c r="H7762" s="3">
        <f>VALUE(363.29)</f>
        <v>363.29</v>
      </c>
      <c r="I7762" s="4">
        <f>VALUE(3333)</f>
        <v>3333</v>
      </c>
      <c r="J7762" s="5">
        <f>VALUE(3898)</f>
        <v>3898</v>
      </c>
      <c r="K7762" s="1">
        <f>VALUE(5163)</f>
        <v>5163</v>
      </c>
      <c r="L7762" s="1">
        <f>VALUE(5925)</f>
        <v>5925</v>
      </c>
      <c r="M7762" s="1">
        <f>VALUE(7447)</f>
        <v>7447</v>
      </c>
      <c r="N7762" t="s">
        <v>25</v>
      </c>
    </row>
    <row r="7763" spans="1:14" x14ac:dyDescent="0.25">
      <c r="A7763" t="s">
        <v>42</v>
      </c>
      <c r="B7763" t="s">
        <v>40</v>
      </c>
      <c r="C7763" t="s">
        <v>38</v>
      </c>
      <c r="D7763" t="s">
        <v>29</v>
      </c>
      <c r="E7763" t="s">
        <v>22</v>
      </c>
      <c r="F7763" t="s">
        <v>17</v>
      </c>
      <c r="G7763" s="1" t="str">
        <f t="shared" ref="G7763:M7765" si="1696">"X"</f>
        <v>X</v>
      </c>
      <c r="H7763" s="1" t="str">
        <f t="shared" si="1696"/>
        <v>X</v>
      </c>
      <c r="I7763" s="1" t="str">
        <f t="shared" si="1696"/>
        <v>X</v>
      </c>
      <c r="J7763" s="1" t="str">
        <f t="shared" si="1696"/>
        <v>X</v>
      </c>
      <c r="K7763" s="1" t="str">
        <f t="shared" si="1696"/>
        <v>X</v>
      </c>
      <c r="L7763" s="1" t="str">
        <f t="shared" si="1696"/>
        <v>X</v>
      </c>
      <c r="M7763" s="1" t="str">
        <f t="shared" si="1696"/>
        <v>X</v>
      </c>
      <c r="N7763" t="s">
        <v>27</v>
      </c>
    </row>
    <row r="7764" spans="1:14" x14ac:dyDescent="0.25">
      <c r="A7764" t="s">
        <v>42</v>
      </c>
      <c r="B7764" t="s">
        <v>40</v>
      </c>
      <c r="C7764" t="s">
        <v>38</v>
      </c>
      <c r="D7764" t="s">
        <v>29</v>
      </c>
      <c r="E7764" t="s">
        <v>22</v>
      </c>
      <c r="F7764" t="s">
        <v>18</v>
      </c>
      <c r="G7764" s="1" t="str">
        <f t="shared" si="1696"/>
        <v>X</v>
      </c>
      <c r="H7764" s="1" t="str">
        <f t="shared" si="1696"/>
        <v>X</v>
      </c>
      <c r="I7764" s="1" t="str">
        <f t="shared" si="1696"/>
        <v>X</v>
      </c>
      <c r="J7764" s="1" t="str">
        <f t="shared" si="1696"/>
        <v>X</v>
      </c>
      <c r="K7764" s="1" t="str">
        <f t="shared" si="1696"/>
        <v>X</v>
      </c>
      <c r="L7764" s="1" t="str">
        <f t="shared" si="1696"/>
        <v>X</v>
      </c>
      <c r="M7764" s="1" t="str">
        <f t="shared" si="1696"/>
        <v>X</v>
      </c>
      <c r="N7764" t="s">
        <v>27</v>
      </c>
    </row>
    <row r="7765" spans="1:14" x14ac:dyDescent="0.25">
      <c r="A7765" t="s">
        <v>42</v>
      </c>
      <c r="B7765" t="s">
        <v>40</v>
      </c>
      <c r="C7765" t="s">
        <v>38</v>
      </c>
      <c r="D7765" t="s">
        <v>29</v>
      </c>
      <c r="E7765" t="s">
        <v>22</v>
      </c>
      <c r="F7765" t="s">
        <v>19</v>
      </c>
      <c r="G7765" s="1" t="str">
        <f t="shared" si="1696"/>
        <v>X</v>
      </c>
      <c r="H7765" s="1" t="str">
        <f t="shared" si="1696"/>
        <v>X</v>
      </c>
      <c r="I7765" s="1" t="str">
        <f t="shared" si="1696"/>
        <v>X</v>
      </c>
      <c r="J7765" s="1" t="str">
        <f t="shared" si="1696"/>
        <v>X</v>
      </c>
      <c r="K7765" s="1" t="str">
        <f t="shared" si="1696"/>
        <v>X</v>
      </c>
      <c r="L7765" s="1" t="str">
        <f t="shared" si="1696"/>
        <v>X</v>
      </c>
      <c r="M7765" s="1" t="str">
        <f t="shared" si="1696"/>
        <v>X</v>
      </c>
      <c r="N7765" t="s">
        <v>27</v>
      </c>
    </row>
    <row r="7766" spans="1:14" x14ac:dyDescent="0.25">
      <c r="A7766" t="s">
        <v>42</v>
      </c>
      <c r="B7766" t="s">
        <v>40</v>
      </c>
      <c r="C7766" t="s">
        <v>38</v>
      </c>
      <c r="D7766" t="s">
        <v>29</v>
      </c>
      <c r="E7766" t="s">
        <v>22</v>
      </c>
      <c r="F7766" t="s">
        <v>20</v>
      </c>
      <c r="G7766" s="2">
        <f>VALUE(295.73)</f>
        <v>295.73</v>
      </c>
      <c r="H7766" s="3">
        <f>VALUE(236.59)</f>
        <v>236.59</v>
      </c>
      <c r="I7766" s="4">
        <f>VALUE(2783)</f>
        <v>2783</v>
      </c>
      <c r="J7766" s="5">
        <f>VALUE(3817)</f>
        <v>3817</v>
      </c>
      <c r="K7766" s="1">
        <f>VALUE(4868)</f>
        <v>4868</v>
      </c>
      <c r="L7766" s="1">
        <f>VALUE(5625)</f>
        <v>5625</v>
      </c>
      <c r="M7766" s="1">
        <f>VALUE(7321)</f>
        <v>7321</v>
      </c>
      <c r="N7766" t="s">
        <v>25</v>
      </c>
    </row>
    <row r="7767" spans="1:14" x14ac:dyDescent="0.25">
      <c r="A7767" t="s">
        <v>42</v>
      </c>
      <c r="B7767" t="s">
        <v>40</v>
      </c>
      <c r="C7767" t="s">
        <v>38</v>
      </c>
      <c r="D7767" t="s">
        <v>29</v>
      </c>
      <c r="E7767" t="s">
        <v>23</v>
      </c>
      <c r="F7767" t="s">
        <v>15</v>
      </c>
      <c r="G7767" s="2">
        <f>VALUE(1153.81)</f>
        <v>1153.81</v>
      </c>
      <c r="H7767" s="3">
        <f>VALUE(717.13)</f>
        <v>717.13</v>
      </c>
      <c r="I7767" s="4">
        <f>VALUE(2876)</f>
        <v>2876</v>
      </c>
      <c r="J7767" s="1">
        <f>VALUE(3458)</f>
        <v>3458</v>
      </c>
      <c r="K7767" s="1">
        <f>VALUE(4001)</f>
        <v>4001</v>
      </c>
      <c r="L7767" s="1">
        <f>VALUE(4774)</f>
        <v>4774</v>
      </c>
      <c r="M7767" s="1">
        <f>VALUE(5267)</f>
        <v>5267</v>
      </c>
      <c r="N7767" t="s">
        <v>25</v>
      </c>
    </row>
    <row r="7768" spans="1:14" x14ac:dyDescent="0.25">
      <c r="A7768" t="s">
        <v>42</v>
      </c>
      <c r="B7768" t="s">
        <v>40</v>
      </c>
      <c r="C7768" t="s">
        <v>38</v>
      </c>
      <c r="D7768" t="s">
        <v>29</v>
      </c>
      <c r="E7768" t="s">
        <v>23</v>
      </c>
      <c r="F7768" t="s">
        <v>17</v>
      </c>
      <c r="G7768" s="1" t="str">
        <f t="shared" ref="G7768:M7770" si="1697">"X"</f>
        <v>X</v>
      </c>
      <c r="H7768" s="1" t="str">
        <f t="shared" si="1697"/>
        <v>X</v>
      </c>
      <c r="I7768" s="1" t="str">
        <f t="shared" si="1697"/>
        <v>X</v>
      </c>
      <c r="J7768" s="1" t="str">
        <f t="shared" si="1697"/>
        <v>X</v>
      </c>
      <c r="K7768" s="1" t="str">
        <f t="shared" si="1697"/>
        <v>X</v>
      </c>
      <c r="L7768" s="1" t="str">
        <f t="shared" si="1697"/>
        <v>X</v>
      </c>
      <c r="M7768" s="1" t="str">
        <f t="shared" si="1697"/>
        <v>X</v>
      </c>
      <c r="N7768" t="s">
        <v>27</v>
      </c>
    </row>
    <row r="7769" spans="1:14" x14ac:dyDescent="0.25">
      <c r="A7769" t="s">
        <v>42</v>
      </c>
      <c r="B7769" t="s">
        <v>40</v>
      </c>
      <c r="C7769" t="s">
        <v>38</v>
      </c>
      <c r="D7769" t="s">
        <v>29</v>
      </c>
      <c r="E7769" t="s">
        <v>23</v>
      </c>
      <c r="F7769" t="s">
        <v>18</v>
      </c>
      <c r="G7769" s="1" t="str">
        <f t="shared" si="1697"/>
        <v>X</v>
      </c>
      <c r="H7769" s="1" t="str">
        <f t="shared" si="1697"/>
        <v>X</v>
      </c>
      <c r="I7769" s="1" t="str">
        <f t="shared" si="1697"/>
        <v>X</v>
      </c>
      <c r="J7769" s="1" t="str">
        <f t="shared" si="1697"/>
        <v>X</v>
      </c>
      <c r="K7769" s="1" t="str">
        <f t="shared" si="1697"/>
        <v>X</v>
      </c>
      <c r="L7769" s="1" t="str">
        <f t="shared" si="1697"/>
        <v>X</v>
      </c>
      <c r="M7769" s="1" t="str">
        <f t="shared" si="1697"/>
        <v>X</v>
      </c>
      <c r="N7769" t="s">
        <v>27</v>
      </c>
    </row>
    <row r="7770" spans="1:14" x14ac:dyDescent="0.25">
      <c r="A7770" t="s">
        <v>42</v>
      </c>
      <c r="B7770" t="s">
        <v>40</v>
      </c>
      <c r="C7770" t="s">
        <v>38</v>
      </c>
      <c r="D7770" t="s">
        <v>29</v>
      </c>
      <c r="E7770" t="s">
        <v>23</v>
      </c>
      <c r="F7770" t="s">
        <v>19</v>
      </c>
      <c r="G7770" s="1" t="str">
        <f t="shared" si="1697"/>
        <v>X</v>
      </c>
      <c r="H7770" s="1" t="str">
        <f t="shared" si="1697"/>
        <v>X</v>
      </c>
      <c r="I7770" s="1" t="str">
        <f t="shared" si="1697"/>
        <v>X</v>
      </c>
      <c r="J7770" s="1" t="str">
        <f t="shared" si="1697"/>
        <v>X</v>
      </c>
      <c r="K7770" s="1" t="str">
        <f t="shared" si="1697"/>
        <v>X</v>
      </c>
      <c r="L7770" s="1" t="str">
        <f t="shared" si="1697"/>
        <v>X</v>
      </c>
      <c r="M7770" s="1" t="str">
        <f t="shared" si="1697"/>
        <v>X</v>
      </c>
      <c r="N7770" t="s">
        <v>27</v>
      </c>
    </row>
    <row r="7771" spans="1:14" x14ac:dyDescent="0.25">
      <c r="A7771" t="s">
        <v>42</v>
      </c>
      <c r="B7771" t="s">
        <v>40</v>
      </c>
      <c r="C7771" t="s">
        <v>38</v>
      </c>
      <c r="D7771" t="s">
        <v>29</v>
      </c>
      <c r="E7771" t="s">
        <v>23</v>
      </c>
      <c r="F7771" t="s">
        <v>20</v>
      </c>
      <c r="G7771" s="2">
        <f>VALUE(1012.74)</f>
        <v>1012.74</v>
      </c>
      <c r="H7771" s="3">
        <f>VALUE(613.37)</f>
        <v>613.37</v>
      </c>
      <c r="I7771" s="4">
        <f>VALUE(2995)</f>
        <v>2995</v>
      </c>
      <c r="J7771" s="1">
        <f>VALUE(3508)</f>
        <v>3508</v>
      </c>
      <c r="K7771" s="1">
        <f>VALUE(4001)</f>
        <v>4001</v>
      </c>
      <c r="L7771" s="1">
        <f>VALUE(4725)</f>
        <v>4725</v>
      </c>
      <c r="M7771" s="1">
        <f>VALUE(5256)</f>
        <v>5256</v>
      </c>
      <c r="N7771" t="s">
        <v>25</v>
      </c>
    </row>
    <row r="7772" spans="1:14" x14ac:dyDescent="0.25">
      <c r="A7772" t="s">
        <v>42</v>
      </c>
      <c r="B7772" t="s">
        <v>40</v>
      </c>
      <c r="C7772" t="s">
        <v>38</v>
      </c>
      <c r="D7772" t="s">
        <v>29</v>
      </c>
      <c r="E7772" t="s">
        <v>26</v>
      </c>
      <c r="F7772" t="s">
        <v>15</v>
      </c>
      <c r="G7772" s="1" t="str">
        <f t="shared" ref="G7772:M7772" si="1698">"X"</f>
        <v>X</v>
      </c>
      <c r="H7772" s="1" t="str">
        <f t="shared" si="1698"/>
        <v>X</v>
      </c>
      <c r="I7772" s="1" t="str">
        <f t="shared" si="1698"/>
        <v>X</v>
      </c>
      <c r="J7772" s="1" t="str">
        <f t="shared" si="1698"/>
        <v>X</v>
      </c>
      <c r="K7772" s="1" t="str">
        <f t="shared" si="1698"/>
        <v>X</v>
      </c>
      <c r="L7772" s="1" t="str">
        <f t="shared" si="1698"/>
        <v>X</v>
      </c>
      <c r="M7772" s="1" t="str">
        <f t="shared" si="1698"/>
        <v>X</v>
      </c>
      <c r="N7772" t="s">
        <v>27</v>
      </c>
    </row>
    <row r="7773" spans="1:14" x14ac:dyDescent="0.25">
      <c r="A7773" t="s">
        <v>42</v>
      </c>
      <c r="B7773" t="s">
        <v>40</v>
      </c>
      <c r="C7773" t="s">
        <v>38</v>
      </c>
      <c r="D7773" t="s">
        <v>29</v>
      </c>
      <c r="E7773" t="s">
        <v>26</v>
      </c>
      <c r="F7773" t="s">
        <v>17</v>
      </c>
      <c r="G7773" s="1" t="str">
        <f t="shared" ref="G7773:M7775" si="1699">"..."</f>
        <v>...</v>
      </c>
      <c r="H7773" s="1" t="str">
        <f t="shared" si="1699"/>
        <v>...</v>
      </c>
      <c r="I7773" s="1" t="str">
        <f t="shared" si="1699"/>
        <v>...</v>
      </c>
      <c r="J7773" s="1" t="str">
        <f t="shared" si="1699"/>
        <v>...</v>
      </c>
      <c r="K7773" s="1" t="str">
        <f t="shared" si="1699"/>
        <v>...</v>
      </c>
      <c r="L7773" s="1" t="str">
        <f t="shared" si="1699"/>
        <v>...</v>
      </c>
      <c r="M7773" s="1" t="str">
        <f t="shared" si="1699"/>
        <v>...</v>
      </c>
      <c r="N7773" t="s">
        <v>30</v>
      </c>
    </row>
    <row r="7774" spans="1:14" x14ac:dyDescent="0.25">
      <c r="A7774" t="s">
        <v>42</v>
      </c>
      <c r="B7774" t="s">
        <v>40</v>
      </c>
      <c r="C7774" t="s">
        <v>38</v>
      </c>
      <c r="D7774" t="s">
        <v>29</v>
      </c>
      <c r="E7774" t="s">
        <v>26</v>
      </c>
      <c r="F7774" t="s">
        <v>18</v>
      </c>
      <c r="G7774" s="1" t="str">
        <f t="shared" si="1699"/>
        <v>...</v>
      </c>
      <c r="H7774" s="1" t="str">
        <f t="shared" si="1699"/>
        <v>...</v>
      </c>
      <c r="I7774" s="1" t="str">
        <f t="shared" si="1699"/>
        <v>...</v>
      </c>
      <c r="J7774" s="1" t="str">
        <f t="shared" si="1699"/>
        <v>...</v>
      </c>
      <c r="K7774" s="1" t="str">
        <f t="shared" si="1699"/>
        <v>...</v>
      </c>
      <c r="L7774" s="1" t="str">
        <f t="shared" si="1699"/>
        <v>...</v>
      </c>
      <c r="M7774" s="1" t="str">
        <f t="shared" si="1699"/>
        <v>...</v>
      </c>
      <c r="N7774" t="s">
        <v>30</v>
      </c>
    </row>
    <row r="7775" spans="1:14" x14ac:dyDescent="0.25">
      <c r="A7775" t="s">
        <v>42</v>
      </c>
      <c r="B7775" t="s">
        <v>40</v>
      </c>
      <c r="C7775" t="s">
        <v>38</v>
      </c>
      <c r="D7775" t="s">
        <v>29</v>
      </c>
      <c r="E7775" t="s">
        <v>26</v>
      </c>
      <c r="F7775" t="s">
        <v>19</v>
      </c>
      <c r="G7775" s="1" t="str">
        <f t="shared" si="1699"/>
        <v>...</v>
      </c>
      <c r="H7775" s="1" t="str">
        <f t="shared" si="1699"/>
        <v>...</v>
      </c>
      <c r="I7775" s="1" t="str">
        <f t="shared" si="1699"/>
        <v>...</v>
      </c>
      <c r="J7775" s="1" t="str">
        <f t="shared" si="1699"/>
        <v>...</v>
      </c>
      <c r="K7775" s="1" t="str">
        <f t="shared" si="1699"/>
        <v>...</v>
      </c>
      <c r="L7775" s="1" t="str">
        <f t="shared" si="1699"/>
        <v>...</v>
      </c>
      <c r="M7775" s="1" t="str">
        <f t="shared" si="1699"/>
        <v>...</v>
      </c>
      <c r="N7775" t="s">
        <v>30</v>
      </c>
    </row>
    <row r="7776" spans="1:14" x14ac:dyDescent="0.25">
      <c r="A7776" t="s">
        <v>42</v>
      </c>
      <c r="B7776" t="s">
        <v>40</v>
      </c>
      <c r="C7776" t="s">
        <v>38</v>
      </c>
      <c r="D7776" t="s">
        <v>29</v>
      </c>
      <c r="E7776" t="s">
        <v>26</v>
      </c>
      <c r="F7776" t="s">
        <v>20</v>
      </c>
      <c r="G7776" s="1" t="str">
        <f t="shared" ref="G7776:M7776" si="1700">"X"</f>
        <v>X</v>
      </c>
      <c r="H7776" s="1" t="str">
        <f t="shared" si="1700"/>
        <v>X</v>
      </c>
      <c r="I7776" s="1" t="str">
        <f t="shared" si="1700"/>
        <v>X</v>
      </c>
      <c r="J7776" s="1" t="str">
        <f t="shared" si="1700"/>
        <v>X</v>
      </c>
      <c r="K7776" s="1" t="str">
        <f t="shared" si="1700"/>
        <v>X</v>
      </c>
      <c r="L7776" s="1" t="str">
        <f t="shared" si="1700"/>
        <v>X</v>
      </c>
      <c r="M7776" s="1" t="str">
        <f t="shared" si="1700"/>
        <v>X</v>
      </c>
      <c r="N7776" t="s">
        <v>27</v>
      </c>
    </row>
    <row r="7777" spans="1:14" x14ac:dyDescent="0.25">
      <c r="A7777" t="s">
        <v>42</v>
      </c>
      <c r="B7777" t="s">
        <v>40</v>
      </c>
      <c r="C7777" t="s">
        <v>38</v>
      </c>
      <c r="D7777" t="s">
        <v>31</v>
      </c>
      <c r="E7777" t="s">
        <v>15</v>
      </c>
      <c r="F7777" t="s">
        <v>15</v>
      </c>
      <c r="G7777" s="2">
        <f>VALUE(259.98)</f>
        <v>259.98</v>
      </c>
      <c r="H7777" s="3">
        <f>VALUE(187.67)</f>
        <v>187.67</v>
      </c>
      <c r="I7777" s="4">
        <f>VALUE(1867)</f>
        <v>1867</v>
      </c>
      <c r="J7777" s="5">
        <f>VALUE(3508)</f>
        <v>3508</v>
      </c>
      <c r="K7777" s="6">
        <f>VALUE(4999)</f>
        <v>4999</v>
      </c>
      <c r="L7777" s="7">
        <f>VALUE(7564)</f>
        <v>7564</v>
      </c>
      <c r="M7777" s="8">
        <f>VALUE(10703)</f>
        <v>10703</v>
      </c>
      <c r="N7777" t="s">
        <v>24</v>
      </c>
    </row>
    <row r="7778" spans="1:14" x14ac:dyDescent="0.25">
      <c r="A7778" t="s">
        <v>42</v>
      </c>
      <c r="B7778" t="s">
        <v>40</v>
      </c>
      <c r="C7778" t="s">
        <v>38</v>
      </c>
      <c r="D7778" t="s">
        <v>31</v>
      </c>
      <c r="E7778" t="s">
        <v>15</v>
      </c>
      <c r="F7778" t="s">
        <v>17</v>
      </c>
      <c r="G7778" s="1" t="str">
        <f t="shared" ref="G7778:M7787" si="1701">"X"</f>
        <v>X</v>
      </c>
      <c r="H7778" s="1" t="str">
        <f t="shared" si="1701"/>
        <v>X</v>
      </c>
      <c r="I7778" s="1" t="str">
        <f t="shared" si="1701"/>
        <v>X</v>
      </c>
      <c r="J7778" s="1" t="str">
        <f t="shared" si="1701"/>
        <v>X</v>
      </c>
      <c r="K7778" s="1" t="str">
        <f t="shared" si="1701"/>
        <v>X</v>
      </c>
      <c r="L7778" s="1" t="str">
        <f t="shared" si="1701"/>
        <v>X</v>
      </c>
      <c r="M7778" s="1" t="str">
        <f t="shared" si="1701"/>
        <v>X</v>
      </c>
      <c r="N7778" t="s">
        <v>27</v>
      </c>
    </row>
    <row r="7779" spans="1:14" x14ac:dyDescent="0.25">
      <c r="A7779" t="s">
        <v>42</v>
      </c>
      <c r="B7779" t="s">
        <v>40</v>
      </c>
      <c r="C7779" t="s">
        <v>38</v>
      </c>
      <c r="D7779" t="s">
        <v>31</v>
      </c>
      <c r="E7779" t="s">
        <v>15</v>
      </c>
      <c r="F7779" t="s">
        <v>18</v>
      </c>
      <c r="G7779" s="1" t="str">
        <f t="shared" si="1701"/>
        <v>X</v>
      </c>
      <c r="H7779" s="1" t="str">
        <f t="shared" si="1701"/>
        <v>X</v>
      </c>
      <c r="I7779" s="1" t="str">
        <f t="shared" si="1701"/>
        <v>X</v>
      </c>
      <c r="J7779" s="1" t="str">
        <f t="shared" si="1701"/>
        <v>X</v>
      </c>
      <c r="K7779" s="1" t="str">
        <f t="shared" si="1701"/>
        <v>X</v>
      </c>
      <c r="L7779" s="1" t="str">
        <f t="shared" si="1701"/>
        <v>X</v>
      </c>
      <c r="M7779" s="1" t="str">
        <f t="shared" si="1701"/>
        <v>X</v>
      </c>
      <c r="N7779" t="s">
        <v>27</v>
      </c>
    </row>
    <row r="7780" spans="1:14" x14ac:dyDescent="0.25">
      <c r="A7780" t="s">
        <v>42</v>
      </c>
      <c r="B7780" t="s">
        <v>40</v>
      </c>
      <c r="C7780" t="s">
        <v>38</v>
      </c>
      <c r="D7780" t="s">
        <v>31</v>
      </c>
      <c r="E7780" t="s">
        <v>15</v>
      </c>
      <c r="F7780" t="s">
        <v>19</v>
      </c>
      <c r="G7780" s="1" t="str">
        <f t="shared" si="1701"/>
        <v>X</v>
      </c>
      <c r="H7780" s="1" t="str">
        <f t="shared" si="1701"/>
        <v>X</v>
      </c>
      <c r="I7780" s="1" t="str">
        <f t="shared" si="1701"/>
        <v>X</v>
      </c>
      <c r="J7780" s="1" t="str">
        <f t="shared" si="1701"/>
        <v>X</v>
      </c>
      <c r="K7780" s="1" t="str">
        <f t="shared" si="1701"/>
        <v>X</v>
      </c>
      <c r="L7780" s="1" t="str">
        <f t="shared" si="1701"/>
        <v>X</v>
      </c>
      <c r="M7780" s="1" t="str">
        <f t="shared" si="1701"/>
        <v>X</v>
      </c>
      <c r="N7780" t="s">
        <v>27</v>
      </c>
    </row>
    <row r="7781" spans="1:14" x14ac:dyDescent="0.25">
      <c r="A7781" t="s">
        <v>42</v>
      </c>
      <c r="B7781" t="s">
        <v>40</v>
      </c>
      <c r="C7781" t="s">
        <v>38</v>
      </c>
      <c r="D7781" t="s">
        <v>31</v>
      </c>
      <c r="E7781" t="s">
        <v>15</v>
      </c>
      <c r="F7781" t="s">
        <v>20</v>
      </c>
      <c r="G7781" s="1" t="str">
        <f t="shared" si="1701"/>
        <v>X</v>
      </c>
      <c r="H7781" s="1" t="str">
        <f t="shared" si="1701"/>
        <v>X</v>
      </c>
      <c r="I7781" s="1" t="str">
        <f t="shared" si="1701"/>
        <v>X</v>
      </c>
      <c r="J7781" s="1" t="str">
        <f t="shared" si="1701"/>
        <v>X</v>
      </c>
      <c r="K7781" s="1" t="str">
        <f t="shared" si="1701"/>
        <v>X</v>
      </c>
      <c r="L7781" s="1" t="str">
        <f t="shared" si="1701"/>
        <v>X</v>
      </c>
      <c r="M7781" s="1" t="str">
        <f t="shared" si="1701"/>
        <v>X</v>
      </c>
      <c r="N7781" t="s">
        <v>27</v>
      </c>
    </row>
    <row r="7782" spans="1:14" x14ac:dyDescent="0.25">
      <c r="A7782" t="s">
        <v>42</v>
      </c>
      <c r="B7782" t="s">
        <v>40</v>
      </c>
      <c r="C7782" t="s">
        <v>38</v>
      </c>
      <c r="D7782" t="s">
        <v>31</v>
      </c>
      <c r="E7782" t="s">
        <v>21</v>
      </c>
      <c r="F7782" t="s">
        <v>15</v>
      </c>
      <c r="G7782" s="1" t="str">
        <f t="shared" si="1701"/>
        <v>X</v>
      </c>
      <c r="H7782" s="1" t="str">
        <f t="shared" si="1701"/>
        <v>X</v>
      </c>
      <c r="I7782" s="1" t="str">
        <f t="shared" si="1701"/>
        <v>X</v>
      </c>
      <c r="J7782" s="1" t="str">
        <f t="shared" si="1701"/>
        <v>X</v>
      </c>
      <c r="K7782" s="1" t="str">
        <f t="shared" si="1701"/>
        <v>X</v>
      </c>
      <c r="L7782" s="1" t="str">
        <f t="shared" si="1701"/>
        <v>X</v>
      </c>
      <c r="M7782" s="1" t="str">
        <f t="shared" si="1701"/>
        <v>X</v>
      </c>
      <c r="N7782" t="s">
        <v>27</v>
      </c>
    </row>
    <row r="7783" spans="1:14" x14ac:dyDescent="0.25">
      <c r="A7783" t="s">
        <v>42</v>
      </c>
      <c r="B7783" t="s">
        <v>40</v>
      </c>
      <c r="C7783" t="s">
        <v>38</v>
      </c>
      <c r="D7783" t="s">
        <v>31</v>
      </c>
      <c r="E7783" t="s">
        <v>21</v>
      </c>
      <c r="F7783" t="s">
        <v>17</v>
      </c>
      <c r="G7783" s="1" t="str">
        <f t="shared" si="1701"/>
        <v>X</v>
      </c>
      <c r="H7783" s="1" t="str">
        <f t="shared" si="1701"/>
        <v>X</v>
      </c>
      <c r="I7783" s="1" t="str">
        <f t="shared" si="1701"/>
        <v>X</v>
      </c>
      <c r="J7783" s="1" t="str">
        <f t="shared" si="1701"/>
        <v>X</v>
      </c>
      <c r="K7783" s="1" t="str">
        <f t="shared" si="1701"/>
        <v>X</v>
      </c>
      <c r="L7783" s="1" t="str">
        <f t="shared" si="1701"/>
        <v>X</v>
      </c>
      <c r="M7783" s="1" t="str">
        <f t="shared" si="1701"/>
        <v>X</v>
      </c>
      <c r="N7783" t="s">
        <v>27</v>
      </c>
    </row>
    <row r="7784" spans="1:14" x14ac:dyDescent="0.25">
      <c r="A7784" t="s">
        <v>42</v>
      </c>
      <c r="B7784" t="s">
        <v>40</v>
      </c>
      <c r="C7784" t="s">
        <v>38</v>
      </c>
      <c r="D7784" t="s">
        <v>31</v>
      </c>
      <c r="E7784" t="s">
        <v>21</v>
      </c>
      <c r="F7784" t="s">
        <v>18</v>
      </c>
      <c r="G7784" s="1" t="str">
        <f t="shared" si="1701"/>
        <v>X</v>
      </c>
      <c r="H7784" s="1" t="str">
        <f t="shared" si="1701"/>
        <v>X</v>
      </c>
      <c r="I7784" s="1" t="str">
        <f t="shared" si="1701"/>
        <v>X</v>
      </c>
      <c r="J7784" s="1" t="str">
        <f t="shared" si="1701"/>
        <v>X</v>
      </c>
      <c r="K7784" s="1" t="str">
        <f t="shared" si="1701"/>
        <v>X</v>
      </c>
      <c r="L7784" s="1" t="str">
        <f t="shared" si="1701"/>
        <v>X</v>
      </c>
      <c r="M7784" s="1" t="str">
        <f t="shared" si="1701"/>
        <v>X</v>
      </c>
      <c r="N7784" t="s">
        <v>27</v>
      </c>
    </row>
    <row r="7785" spans="1:14" x14ac:dyDescent="0.25">
      <c r="A7785" t="s">
        <v>42</v>
      </c>
      <c r="B7785" t="s">
        <v>40</v>
      </c>
      <c r="C7785" t="s">
        <v>38</v>
      </c>
      <c r="D7785" t="s">
        <v>31</v>
      </c>
      <c r="E7785" t="s">
        <v>21</v>
      </c>
      <c r="F7785" t="s">
        <v>19</v>
      </c>
      <c r="G7785" s="1" t="str">
        <f t="shared" si="1701"/>
        <v>X</v>
      </c>
      <c r="H7785" s="1" t="str">
        <f t="shared" si="1701"/>
        <v>X</v>
      </c>
      <c r="I7785" s="1" t="str">
        <f t="shared" si="1701"/>
        <v>X</v>
      </c>
      <c r="J7785" s="1" t="str">
        <f t="shared" si="1701"/>
        <v>X</v>
      </c>
      <c r="K7785" s="1" t="str">
        <f t="shared" si="1701"/>
        <v>X</v>
      </c>
      <c r="L7785" s="1" t="str">
        <f t="shared" si="1701"/>
        <v>X</v>
      </c>
      <c r="M7785" s="1" t="str">
        <f t="shared" si="1701"/>
        <v>X</v>
      </c>
      <c r="N7785" t="s">
        <v>27</v>
      </c>
    </row>
    <row r="7786" spans="1:14" x14ac:dyDescent="0.25">
      <c r="A7786" t="s">
        <v>42</v>
      </c>
      <c r="B7786" t="s">
        <v>40</v>
      </c>
      <c r="C7786" t="s">
        <v>38</v>
      </c>
      <c r="D7786" t="s">
        <v>31</v>
      </c>
      <c r="E7786" t="s">
        <v>21</v>
      </c>
      <c r="F7786" t="s">
        <v>20</v>
      </c>
      <c r="G7786" s="1" t="str">
        <f t="shared" si="1701"/>
        <v>X</v>
      </c>
      <c r="H7786" s="1" t="str">
        <f t="shared" si="1701"/>
        <v>X</v>
      </c>
      <c r="I7786" s="1" t="str">
        <f t="shared" si="1701"/>
        <v>X</v>
      </c>
      <c r="J7786" s="1" t="str">
        <f t="shared" si="1701"/>
        <v>X</v>
      </c>
      <c r="K7786" s="1" t="str">
        <f t="shared" si="1701"/>
        <v>X</v>
      </c>
      <c r="L7786" s="1" t="str">
        <f t="shared" si="1701"/>
        <v>X</v>
      </c>
      <c r="M7786" s="1" t="str">
        <f t="shared" si="1701"/>
        <v>X</v>
      </c>
      <c r="N7786" t="s">
        <v>27</v>
      </c>
    </row>
    <row r="7787" spans="1:14" x14ac:dyDescent="0.25">
      <c r="A7787" t="s">
        <v>42</v>
      </c>
      <c r="B7787" t="s">
        <v>40</v>
      </c>
      <c r="C7787" t="s">
        <v>38</v>
      </c>
      <c r="D7787" t="s">
        <v>31</v>
      </c>
      <c r="E7787" t="s">
        <v>22</v>
      </c>
      <c r="F7787" t="s">
        <v>15</v>
      </c>
      <c r="G7787" s="1" t="str">
        <f t="shared" si="1701"/>
        <v>X</v>
      </c>
      <c r="H7787" s="1" t="str">
        <f t="shared" si="1701"/>
        <v>X</v>
      </c>
      <c r="I7787" s="1" t="str">
        <f t="shared" si="1701"/>
        <v>X</v>
      </c>
      <c r="J7787" s="1" t="str">
        <f t="shared" si="1701"/>
        <v>X</v>
      </c>
      <c r="K7787" s="1" t="str">
        <f t="shared" si="1701"/>
        <v>X</v>
      </c>
      <c r="L7787" s="1" t="str">
        <f t="shared" si="1701"/>
        <v>X</v>
      </c>
      <c r="M7787" s="1" t="str">
        <f t="shared" si="1701"/>
        <v>X</v>
      </c>
      <c r="N7787" t="s">
        <v>27</v>
      </c>
    </row>
    <row r="7788" spans="1:14" x14ac:dyDescent="0.25">
      <c r="A7788" t="s">
        <v>42</v>
      </c>
      <c r="B7788" t="s">
        <v>40</v>
      </c>
      <c r="C7788" t="s">
        <v>38</v>
      </c>
      <c r="D7788" t="s">
        <v>31</v>
      </c>
      <c r="E7788" t="s">
        <v>22</v>
      </c>
      <c r="F7788" t="s">
        <v>17</v>
      </c>
      <c r="G7788" s="1" t="str">
        <f t="shared" ref="G7788:M7793" si="1702">"X"</f>
        <v>X</v>
      </c>
      <c r="H7788" s="1" t="str">
        <f t="shared" si="1702"/>
        <v>X</v>
      </c>
      <c r="I7788" s="1" t="str">
        <f t="shared" si="1702"/>
        <v>X</v>
      </c>
      <c r="J7788" s="1" t="str">
        <f t="shared" si="1702"/>
        <v>X</v>
      </c>
      <c r="K7788" s="1" t="str">
        <f t="shared" si="1702"/>
        <v>X</v>
      </c>
      <c r="L7788" s="1" t="str">
        <f t="shared" si="1702"/>
        <v>X</v>
      </c>
      <c r="M7788" s="1" t="str">
        <f t="shared" si="1702"/>
        <v>X</v>
      </c>
      <c r="N7788" t="s">
        <v>27</v>
      </c>
    </row>
    <row r="7789" spans="1:14" x14ac:dyDescent="0.25">
      <c r="A7789" t="s">
        <v>42</v>
      </c>
      <c r="B7789" t="s">
        <v>40</v>
      </c>
      <c r="C7789" t="s">
        <v>38</v>
      </c>
      <c r="D7789" t="s">
        <v>31</v>
      </c>
      <c r="E7789" t="s">
        <v>22</v>
      </c>
      <c r="F7789" t="s">
        <v>18</v>
      </c>
      <c r="G7789" s="1" t="str">
        <f t="shared" si="1702"/>
        <v>X</v>
      </c>
      <c r="H7789" s="1" t="str">
        <f t="shared" si="1702"/>
        <v>X</v>
      </c>
      <c r="I7789" s="1" t="str">
        <f t="shared" si="1702"/>
        <v>X</v>
      </c>
      <c r="J7789" s="1" t="str">
        <f t="shared" si="1702"/>
        <v>X</v>
      </c>
      <c r="K7789" s="1" t="str">
        <f t="shared" si="1702"/>
        <v>X</v>
      </c>
      <c r="L7789" s="1" t="str">
        <f t="shared" si="1702"/>
        <v>X</v>
      </c>
      <c r="M7789" s="1" t="str">
        <f t="shared" si="1702"/>
        <v>X</v>
      </c>
      <c r="N7789" t="s">
        <v>27</v>
      </c>
    </row>
    <row r="7790" spans="1:14" x14ac:dyDescent="0.25">
      <c r="A7790" t="s">
        <v>42</v>
      </c>
      <c r="B7790" t="s">
        <v>40</v>
      </c>
      <c r="C7790" t="s">
        <v>38</v>
      </c>
      <c r="D7790" t="s">
        <v>31</v>
      </c>
      <c r="E7790" t="s">
        <v>22</v>
      </c>
      <c r="F7790" t="s">
        <v>19</v>
      </c>
      <c r="G7790" s="1" t="str">
        <f t="shared" si="1702"/>
        <v>X</v>
      </c>
      <c r="H7790" s="1" t="str">
        <f t="shared" si="1702"/>
        <v>X</v>
      </c>
      <c r="I7790" s="1" t="str">
        <f t="shared" si="1702"/>
        <v>X</v>
      </c>
      <c r="J7790" s="1" t="str">
        <f t="shared" si="1702"/>
        <v>X</v>
      </c>
      <c r="K7790" s="1" t="str">
        <f t="shared" si="1702"/>
        <v>X</v>
      </c>
      <c r="L7790" s="1" t="str">
        <f t="shared" si="1702"/>
        <v>X</v>
      </c>
      <c r="M7790" s="1" t="str">
        <f t="shared" si="1702"/>
        <v>X</v>
      </c>
      <c r="N7790" t="s">
        <v>27</v>
      </c>
    </row>
    <row r="7791" spans="1:14" x14ac:dyDescent="0.25">
      <c r="A7791" t="s">
        <v>42</v>
      </c>
      <c r="B7791" t="s">
        <v>40</v>
      </c>
      <c r="C7791" t="s">
        <v>38</v>
      </c>
      <c r="D7791" t="s">
        <v>31</v>
      </c>
      <c r="E7791" t="s">
        <v>22</v>
      </c>
      <c r="F7791" t="s">
        <v>20</v>
      </c>
      <c r="G7791" s="1" t="str">
        <f t="shared" si="1702"/>
        <v>X</v>
      </c>
      <c r="H7791" s="1" t="str">
        <f t="shared" si="1702"/>
        <v>X</v>
      </c>
      <c r="I7791" s="1" t="str">
        <f t="shared" si="1702"/>
        <v>X</v>
      </c>
      <c r="J7791" s="1" t="str">
        <f t="shared" si="1702"/>
        <v>X</v>
      </c>
      <c r="K7791" s="1" t="str">
        <f t="shared" si="1702"/>
        <v>X</v>
      </c>
      <c r="L7791" s="1" t="str">
        <f t="shared" si="1702"/>
        <v>X</v>
      </c>
      <c r="M7791" s="1" t="str">
        <f t="shared" si="1702"/>
        <v>X</v>
      </c>
      <c r="N7791" t="s">
        <v>27</v>
      </c>
    </row>
    <row r="7792" spans="1:14" x14ac:dyDescent="0.25">
      <c r="A7792" t="s">
        <v>42</v>
      </c>
      <c r="B7792" t="s">
        <v>40</v>
      </c>
      <c r="C7792" t="s">
        <v>38</v>
      </c>
      <c r="D7792" t="s">
        <v>31</v>
      </c>
      <c r="E7792" t="s">
        <v>23</v>
      </c>
      <c r="F7792" t="s">
        <v>15</v>
      </c>
      <c r="G7792" s="1" t="str">
        <f t="shared" si="1702"/>
        <v>X</v>
      </c>
      <c r="H7792" s="1" t="str">
        <f t="shared" si="1702"/>
        <v>X</v>
      </c>
      <c r="I7792" s="1" t="str">
        <f t="shared" si="1702"/>
        <v>X</v>
      </c>
      <c r="J7792" s="1" t="str">
        <f t="shared" si="1702"/>
        <v>X</v>
      </c>
      <c r="K7792" s="1" t="str">
        <f t="shared" si="1702"/>
        <v>X</v>
      </c>
      <c r="L7792" s="1" t="str">
        <f t="shared" si="1702"/>
        <v>X</v>
      </c>
      <c r="M7792" s="1" t="str">
        <f t="shared" si="1702"/>
        <v>X</v>
      </c>
      <c r="N7792" t="s">
        <v>27</v>
      </c>
    </row>
    <row r="7793" spans="1:14" x14ac:dyDescent="0.25">
      <c r="A7793" t="s">
        <v>42</v>
      </c>
      <c r="B7793" t="s">
        <v>40</v>
      </c>
      <c r="C7793" t="s">
        <v>38</v>
      </c>
      <c r="D7793" t="s">
        <v>31</v>
      </c>
      <c r="E7793" t="s">
        <v>23</v>
      </c>
      <c r="F7793" t="s">
        <v>17</v>
      </c>
      <c r="G7793" s="1" t="str">
        <f t="shared" si="1702"/>
        <v>X</v>
      </c>
      <c r="H7793" s="1" t="str">
        <f t="shared" si="1702"/>
        <v>X</v>
      </c>
      <c r="I7793" s="1" t="str">
        <f t="shared" si="1702"/>
        <v>X</v>
      </c>
      <c r="J7793" s="1" t="str">
        <f t="shared" si="1702"/>
        <v>X</v>
      </c>
      <c r="K7793" s="1" t="str">
        <f t="shared" si="1702"/>
        <v>X</v>
      </c>
      <c r="L7793" s="1" t="str">
        <f t="shared" si="1702"/>
        <v>X</v>
      </c>
      <c r="M7793" s="1" t="str">
        <f t="shared" si="1702"/>
        <v>X</v>
      </c>
      <c r="N7793" t="s">
        <v>27</v>
      </c>
    </row>
    <row r="7794" spans="1:14" x14ac:dyDescent="0.25">
      <c r="A7794" t="s">
        <v>42</v>
      </c>
      <c r="B7794" t="s">
        <v>40</v>
      </c>
      <c r="C7794" t="s">
        <v>38</v>
      </c>
      <c r="D7794" t="s">
        <v>31</v>
      </c>
      <c r="E7794" t="s">
        <v>23</v>
      </c>
      <c r="F7794" t="s">
        <v>18</v>
      </c>
      <c r="G7794" s="1" t="str">
        <f t="shared" ref="G7794:M7794" si="1703">"..."</f>
        <v>...</v>
      </c>
      <c r="H7794" s="1" t="str">
        <f t="shared" si="1703"/>
        <v>...</v>
      </c>
      <c r="I7794" s="1" t="str">
        <f t="shared" si="1703"/>
        <v>...</v>
      </c>
      <c r="J7794" s="1" t="str">
        <f t="shared" si="1703"/>
        <v>...</v>
      </c>
      <c r="K7794" s="1" t="str">
        <f t="shared" si="1703"/>
        <v>...</v>
      </c>
      <c r="L7794" s="1" t="str">
        <f t="shared" si="1703"/>
        <v>...</v>
      </c>
      <c r="M7794" s="1" t="str">
        <f t="shared" si="1703"/>
        <v>...</v>
      </c>
      <c r="N7794" t="s">
        <v>30</v>
      </c>
    </row>
    <row r="7795" spans="1:14" x14ac:dyDescent="0.25">
      <c r="A7795" t="s">
        <v>42</v>
      </c>
      <c r="B7795" t="s">
        <v>40</v>
      </c>
      <c r="C7795" t="s">
        <v>38</v>
      </c>
      <c r="D7795" t="s">
        <v>31</v>
      </c>
      <c r="E7795" t="s">
        <v>23</v>
      </c>
      <c r="F7795" t="s">
        <v>19</v>
      </c>
      <c r="G7795" s="1" t="str">
        <f t="shared" ref="G7795:M7798" si="1704">"X"</f>
        <v>X</v>
      </c>
      <c r="H7795" s="1" t="str">
        <f t="shared" si="1704"/>
        <v>X</v>
      </c>
      <c r="I7795" s="1" t="str">
        <f t="shared" si="1704"/>
        <v>X</v>
      </c>
      <c r="J7795" s="1" t="str">
        <f t="shared" si="1704"/>
        <v>X</v>
      </c>
      <c r="K7795" s="1" t="str">
        <f t="shared" si="1704"/>
        <v>X</v>
      </c>
      <c r="L7795" s="1" t="str">
        <f t="shared" si="1704"/>
        <v>X</v>
      </c>
      <c r="M7795" s="1" t="str">
        <f t="shared" si="1704"/>
        <v>X</v>
      </c>
      <c r="N7795" t="s">
        <v>27</v>
      </c>
    </row>
    <row r="7796" spans="1:14" x14ac:dyDescent="0.25">
      <c r="A7796" t="s">
        <v>42</v>
      </c>
      <c r="B7796" t="s">
        <v>40</v>
      </c>
      <c r="C7796" t="s">
        <v>38</v>
      </c>
      <c r="D7796" t="s">
        <v>31</v>
      </c>
      <c r="E7796" t="s">
        <v>23</v>
      </c>
      <c r="F7796" t="s">
        <v>20</v>
      </c>
      <c r="G7796" s="1" t="str">
        <f t="shared" si="1704"/>
        <v>X</v>
      </c>
      <c r="H7796" s="1" t="str">
        <f t="shared" si="1704"/>
        <v>X</v>
      </c>
      <c r="I7796" s="1" t="str">
        <f t="shared" si="1704"/>
        <v>X</v>
      </c>
      <c r="J7796" s="1" t="str">
        <f t="shared" si="1704"/>
        <v>X</v>
      </c>
      <c r="K7796" s="1" t="str">
        <f t="shared" si="1704"/>
        <v>X</v>
      </c>
      <c r="L7796" s="1" t="str">
        <f t="shared" si="1704"/>
        <v>X</v>
      </c>
      <c r="M7796" s="1" t="str">
        <f t="shared" si="1704"/>
        <v>X</v>
      </c>
      <c r="N7796" t="s">
        <v>27</v>
      </c>
    </row>
    <row r="7797" spans="1:14" x14ac:dyDescent="0.25">
      <c r="A7797" t="s">
        <v>42</v>
      </c>
      <c r="B7797" t="s">
        <v>40</v>
      </c>
      <c r="C7797" t="s">
        <v>38</v>
      </c>
      <c r="D7797" t="s">
        <v>31</v>
      </c>
      <c r="E7797" t="s">
        <v>26</v>
      </c>
      <c r="F7797" t="s">
        <v>15</v>
      </c>
      <c r="G7797" s="1" t="str">
        <f t="shared" si="1704"/>
        <v>X</v>
      </c>
      <c r="H7797" s="1" t="str">
        <f t="shared" si="1704"/>
        <v>X</v>
      </c>
      <c r="I7797" s="1" t="str">
        <f t="shared" si="1704"/>
        <v>X</v>
      </c>
      <c r="J7797" s="1" t="str">
        <f t="shared" si="1704"/>
        <v>X</v>
      </c>
      <c r="K7797" s="1" t="str">
        <f t="shared" si="1704"/>
        <v>X</v>
      </c>
      <c r="L7797" s="1" t="str">
        <f t="shared" si="1704"/>
        <v>X</v>
      </c>
      <c r="M7797" s="1" t="str">
        <f t="shared" si="1704"/>
        <v>X</v>
      </c>
      <c r="N7797" t="s">
        <v>27</v>
      </c>
    </row>
    <row r="7798" spans="1:14" x14ac:dyDescent="0.25">
      <c r="A7798" t="s">
        <v>42</v>
      </c>
      <c r="B7798" t="s">
        <v>40</v>
      </c>
      <c r="C7798" t="s">
        <v>38</v>
      </c>
      <c r="D7798" t="s">
        <v>31</v>
      </c>
      <c r="E7798" t="s">
        <v>26</v>
      </c>
      <c r="F7798" t="s">
        <v>17</v>
      </c>
      <c r="G7798" s="1" t="str">
        <f t="shared" si="1704"/>
        <v>X</v>
      </c>
      <c r="H7798" s="1" t="str">
        <f t="shared" si="1704"/>
        <v>X</v>
      </c>
      <c r="I7798" s="1" t="str">
        <f t="shared" si="1704"/>
        <v>X</v>
      </c>
      <c r="J7798" s="1" t="str">
        <f t="shared" si="1704"/>
        <v>X</v>
      </c>
      <c r="K7798" s="1" t="str">
        <f t="shared" si="1704"/>
        <v>X</v>
      </c>
      <c r="L7798" s="1" t="str">
        <f t="shared" si="1704"/>
        <v>X</v>
      </c>
      <c r="M7798" s="1" t="str">
        <f t="shared" si="1704"/>
        <v>X</v>
      </c>
      <c r="N7798" t="s">
        <v>27</v>
      </c>
    </row>
    <row r="7799" spans="1:14" x14ac:dyDescent="0.25">
      <c r="A7799" t="s">
        <v>42</v>
      </c>
      <c r="B7799" t="s">
        <v>40</v>
      </c>
      <c r="C7799" t="s">
        <v>38</v>
      </c>
      <c r="D7799" t="s">
        <v>31</v>
      </c>
      <c r="E7799" t="s">
        <v>26</v>
      </c>
      <c r="F7799" t="s">
        <v>18</v>
      </c>
      <c r="G7799" s="1" t="str">
        <f t="shared" ref="G7799:M7800" si="1705">"..."</f>
        <v>...</v>
      </c>
      <c r="H7799" s="1" t="str">
        <f t="shared" si="1705"/>
        <v>...</v>
      </c>
      <c r="I7799" s="1" t="str">
        <f t="shared" si="1705"/>
        <v>...</v>
      </c>
      <c r="J7799" s="1" t="str">
        <f t="shared" si="1705"/>
        <v>...</v>
      </c>
      <c r="K7799" s="1" t="str">
        <f t="shared" si="1705"/>
        <v>...</v>
      </c>
      <c r="L7799" s="1" t="str">
        <f t="shared" si="1705"/>
        <v>...</v>
      </c>
      <c r="M7799" s="1" t="str">
        <f t="shared" si="1705"/>
        <v>...</v>
      </c>
      <c r="N7799" t="s">
        <v>30</v>
      </c>
    </row>
    <row r="7800" spans="1:14" x14ac:dyDescent="0.25">
      <c r="A7800" t="s">
        <v>42</v>
      </c>
      <c r="B7800" t="s">
        <v>40</v>
      </c>
      <c r="C7800" t="s">
        <v>38</v>
      </c>
      <c r="D7800" t="s">
        <v>31</v>
      </c>
      <c r="E7800" t="s">
        <v>26</v>
      </c>
      <c r="F7800" t="s">
        <v>19</v>
      </c>
      <c r="G7800" s="1" t="str">
        <f t="shared" si="1705"/>
        <v>...</v>
      </c>
      <c r="H7800" s="1" t="str">
        <f t="shared" si="1705"/>
        <v>...</v>
      </c>
      <c r="I7800" s="1" t="str">
        <f t="shared" si="1705"/>
        <v>...</v>
      </c>
      <c r="J7800" s="1" t="str">
        <f t="shared" si="1705"/>
        <v>...</v>
      </c>
      <c r="K7800" s="1" t="str">
        <f t="shared" si="1705"/>
        <v>...</v>
      </c>
      <c r="L7800" s="1" t="str">
        <f t="shared" si="1705"/>
        <v>...</v>
      </c>
      <c r="M7800" s="1" t="str">
        <f t="shared" si="1705"/>
        <v>...</v>
      </c>
      <c r="N7800" t="s">
        <v>30</v>
      </c>
    </row>
    <row r="7801" spans="1:14" x14ac:dyDescent="0.25">
      <c r="A7801" t="s">
        <v>42</v>
      </c>
      <c r="B7801" t="s">
        <v>40</v>
      </c>
      <c r="C7801" t="s">
        <v>38</v>
      </c>
      <c r="D7801" t="s">
        <v>31</v>
      </c>
      <c r="E7801" t="s">
        <v>26</v>
      </c>
      <c r="F7801" t="s">
        <v>20</v>
      </c>
      <c r="G7801" s="1" t="str">
        <f t="shared" ref="G7801:M7801" si="1706">"X"</f>
        <v>X</v>
      </c>
      <c r="H7801" s="1" t="str">
        <f t="shared" si="1706"/>
        <v>X</v>
      </c>
      <c r="I7801" s="1" t="str">
        <f t="shared" si="1706"/>
        <v>X</v>
      </c>
      <c r="J7801" s="1" t="str">
        <f t="shared" si="1706"/>
        <v>X</v>
      </c>
      <c r="K7801" s="1" t="str">
        <f t="shared" si="1706"/>
        <v>X</v>
      </c>
      <c r="L7801" s="1" t="str">
        <f t="shared" si="1706"/>
        <v>X</v>
      </c>
      <c r="M7801" s="1" t="str">
        <f t="shared" si="1706"/>
        <v>X</v>
      </c>
      <c r="N7801" t="s">
        <v>27</v>
      </c>
    </row>
    <row r="7802" spans="1:14" x14ac:dyDescent="0.25">
      <c r="A7802" t="s">
        <v>42</v>
      </c>
      <c r="B7802" t="s">
        <v>40</v>
      </c>
      <c r="C7802" t="s">
        <v>38</v>
      </c>
      <c r="D7802" t="s">
        <v>32</v>
      </c>
      <c r="E7802" t="s">
        <v>15</v>
      </c>
      <c r="F7802" t="s">
        <v>15</v>
      </c>
      <c r="G7802" s="1">
        <f>VALUE(2881.81)</f>
        <v>2881.81</v>
      </c>
      <c r="H7802" s="1">
        <f>VALUE(2434.31)</f>
        <v>2434.31</v>
      </c>
      <c r="I7802" s="1">
        <f>VALUE(2653)</f>
        <v>2653</v>
      </c>
      <c r="J7802" s="1">
        <f>VALUE(2926)</f>
        <v>2926</v>
      </c>
      <c r="K7802" s="1">
        <f>VALUE(3568)</f>
        <v>3568</v>
      </c>
      <c r="L7802" s="1">
        <f>VALUE(4853)</f>
        <v>4853</v>
      </c>
      <c r="M7802" s="1">
        <f>VALUE(6665)</f>
        <v>6665</v>
      </c>
      <c r="N7802" t="s">
        <v>16</v>
      </c>
    </row>
    <row r="7803" spans="1:14" x14ac:dyDescent="0.25">
      <c r="A7803" t="s">
        <v>42</v>
      </c>
      <c r="B7803" t="s">
        <v>40</v>
      </c>
      <c r="C7803" t="s">
        <v>38</v>
      </c>
      <c r="D7803" t="s">
        <v>32</v>
      </c>
      <c r="E7803" t="s">
        <v>15</v>
      </c>
      <c r="F7803" t="s">
        <v>17</v>
      </c>
      <c r="G7803" s="1" t="str">
        <f t="shared" ref="G7803:M7803" si="1707">"X"</f>
        <v>X</v>
      </c>
      <c r="H7803" s="1" t="str">
        <f t="shared" si="1707"/>
        <v>X</v>
      </c>
      <c r="I7803" s="1" t="str">
        <f t="shared" si="1707"/>
        <v>X</v>
      </c>
      <c r="J7803" s="1" t="str">
        <f t="shared" si="1707"/>
        <v>X</v>
      </c>
      <c r="K7803" s="1" t="str">
        <f t="shared" si="1707"/>
        <v>X</v>
      </c>
      <c r="L7803" s="1" t="str">
        <f t="shared" si="1707"/>
        <v>X</v>
      </c>
      <c r="M7803" s="1" t="str">
        <f t="shared" si="1707"/>
        <v>X</v>
      </c>
      <c r="N7803" t="s">
        <v>27</v>
      </c>
    </row>
    <row r="7804" spans="1:14" x14ac:dyDescent="0.25">
      <c r="A7804" t="s">
        <v>42</v>
      </c>
      <c r="B7804" t="s">
        <v>40</v>
      </c>
      <c r="C7804" t="s">
        <v>38</v>
      </c>
      <c r="D7804" t="s">
        <v>32</v>
      </c>
      <c r="E7804" t="s">
        <v>15</v>
      </c>
      <c r="F7804" t="s">
        <v>18</v>
      </c>
      <c r="G7804" s="2">
        <f>VALUE(153.23)</f>
        <v>153.22999999999999</v>
      </c>
      <c r="H7804" s="3">
        <f>VALUE(129.33)</f>
        <v>129.33000000000001</v>
      </c>
      <c r="I7804" s="4">
        <f>VALUE(3485)</f>
        <v>3485</v>
      </c>
      <c r="J7804" s="5">
        <f>VALUE(4156)</f>
        <v>4156</v>
      </c>
      <c r="K7804" s="6">
        <f>VALUE(5500)</f>
        <v>5500</v>
      </c>
      <c r="L7804" s="1">
        <f>VALUE(7372)</f>
        <v>7372</v>
      </c>
      <c r="M7804" s="8">
        <f>VALUE(8464)</f>
        <v>8464</v>
      </c>
      <c r="N7804" t="s">
        <v>25</v>
      </c>
    </row>
    <row r="7805" spans="1:14" x14ac:dyDescent="0.25">
      <c r="A7805" t="s">
        <v>42</v>
      </c>
      <c r="B7805" t="s">
        <v>40</v>
      </c>
      <c r="C7805" t="s">
        <v>38</v>
      </c>
      <c r="D7805" t="s">
        <v>32</v>
      </c>
      <c r="E7805" t="s">
        <v>15</v>
      </c>
      <c r="F7805" t="s">
        <v>19</v>
      </c>
      <c r="G7805" s="2">
        <f>VALUE(510.1)</f>
        <v>510.1</v>
      </c>
      <c r="H7805" s="3">
        <f>VALUE(493.26)</f>
        <v>493.26</v>
      </c>
      <c r="I7805" s="1">
        <f>VALUE(2766)</f>
        <v>2766</v>
      </c>
      <c r="J7805" s="1">
        <f>VALUE(2934)</f>
        <v>2934</v>
      </c>
      <c r="K7805" s="6">
        <f>VALUE(3420)</f>
        <v>3420</v>
      </c>
      <c r="L7805" s="7">
        <f>VALUE(4496)</f>
        <v>4496</v>
      </c>
      <c r="M7805" s="8">
        <f>VALUE(6510)</f>
        <v>6510</v>
      </c>
      <c r="N7805" t="s">
        <v>25</v>
      </c>
    </row>
    <row r="7806" spans="1:14" x14ac:dyDescent="0.25">
      <c r="A7806" t="s">
        <v>42</v>
      </c>
      <c r="B7806" t="s">
        <v>40</v>
      </c>
      <c r="C7806" t="s">
        <v>38</v>
      </c>
      <c r="D7806" t="s">
        <v>32</v>
      </c>
      <c r="E7806" t="s">
        <v>15</v>
      </c>
      <c r="F7806" t="s">
        <v>20</v>
      </c>
      <c r="G7806" s="1">
        <f>VALUE(2081.88)</f>
        <v>2081.88</v>
      </c>
      <c r="H7806" s="1">
        <f>VALUE(1685.53)</f>
        <v>1685.53</v>
      </c>
      <c r="I7806" s="1">
        <f>VALUE(2595)</f>
        <v>2595</v>
      </c>
      <c r="J7806" s="1">
        <f>VALUE(2859)</f>
        <v>2859</v>
      </c>
      <c r="K7806" s="1">
        <f>VALUE(3488)</f>
        <v>3488</v>
      </c>
      <c r="L7806" s="1">
        <f>VALUE(4658)</f>
        <v>4658</v>
      </c>
      <c r="M7806" s="8">
        <f>VALUE(5716)</f>
        <v>5716</v>
      </c>
      <c r="N7806" t="s">
        <v>25</v>
      </c>
    </row>
    <row r="7807" spans="1:14" x14ac:dyDescent="0.25">
      <c r="A7807" t="s">
        <v>42</v>
      </c>
      <c r="B7807" t="s">
        <v>40</v>
      </c>
      <c r="C7807" t="s">
        <v>38</v>
      </c>
      <c r="D7807" t="s">
        <v>32</v>
      </c>
      <c r="E7807" t="s">
        <v>21</v>
      </c>
      <c r="F7807" t="s">
        <v>15</v>
      </c>
      <c r="G7807" s="2">
        <f>VALUE(218.15)</f>
        <v>218.15</v>
      </c>
      <c r="H7807" s="3">
        <f>VALUE(174.12)</f>
        <v>174.12</v>
      </c>
      <c r="I7807" s="4">
        <f>VALUE(4094)</f>
        <v>4094</v>
      </c>
      <c r="J7807" s="1">
        <f>VALUE(5417)</f>
        <v>5417</v>
      </c>
      <c r="K7807" s="1">
        <f>VALUE(6392)</f>
        <v>6392</v>
      </c>
      <c r="L7807" s="1">
        <f>VALUE(8295)</f>
        <v>8295</v>
      </c>
      <c r="M7807" s="8">
        <f>VALUE(10260)</f>
        <v>10260</v>
      </c>
      <c r="N7807" t="s">
        <v>25</v>
      </c>
    </row>
    <row r="7808" spans="1:14" x14ac:dyDescent="0.25">
      <c r="A7808" t="s">
        <v>42</v>
      </c>
      <c r="B7808" t="s">
        <v>40</v>
      </c>
      <c r="C7808" t="s">
        <v>38</v>
      </c>
      <c r="D7808" t="s">
        <v>32</v>
      </c>
      <c r="E7808" t="s">
        <v>21</v>
      </c>
      <c r="F7808" t="s">
        <v>17</v>
      </c>
      <c r="G7808" s="1" t="str">
        <f t="shared" ref="G7808:M7811" si="1708">"X"</f>
        <v>X</v>
      </c>
      <c r="H7808" s="1" t="str">
        <f t="shared" si="1708"/>
        <v>X</v>
      </c>
      <c r="I7808" s="1" t="str">
        <f t="shared" si="1708"/>
        <v>X</v>
      </c>
      <c r="J7808" s="1" t="str">
        <f t="shared" si="1708"/>
        <v>X</v>
      </c>
      <c r="K7808" s="1" t="str">
        <f t="shared" si="1708"/>
        <v>X</v>
      </c>
      <c r="L7808" s="1" t="str">
        <f t="shared" si="1708"/>
        <v>X</v>
      </c>
      <c r="M7808" s="1" t="str">
        <f t="shared" si="1708"/>
        <v>X</v>
      </c>
      <c r="N7808" t="s">
        <v>27</v>
      </c>
    </row>
    <row r="7809" spans="1:14" x14ac:dyDescent="0.25">
      <c r="A7809" t="s">
        <v>42</v>
      </c>
      <c r="B7809" t="s">
        <v>40</v>
      </c>
      <c r="C7809" t="s">
        <v>38</v>
      </c>
      <c r="D7809" t="s">
        <v>32</v>
      </c>
      <c r="E7809" t="s">
        <v>21</v>
      </c>
      <c r="F7809" t="s">
        <v>18</v>
      </c>
      <c r="G7809" s="1" t="str">
        <f t="shared" si="1708"/>
        <v>X</v>
      </c>
      <c r="H7809" s="1" t="str">
        <f t="shared" si="1708"/>
        <v>X</v>
      </c>
      <c r="I7809" s="1" t="str">
        <f t="shared" si="1708"/>
        <v>X</v>
      </c>
      <c r="J7809" s="1" t="str">
        <f t="shared" si="1708"/>
        <v>X</v>
      </c>
      <c r="K7809" s="1" t="str">
        <f t="shared" si="1708"/>
        <v>X</v>
      </c>
      <c r="L7809" s="1" t="str">
        <f t="shared" si="1708"/>
        <v>X</v>
      </c>
      <c r="M7809" s="1" t="str">
        <f t="shared" si="1708"/>
        <v>X</v>
      </c>
      <c r="N7809" t="s">
        <v>27</v>
      </c>
    </row>
    <row r="7810" spans="1:14" x14ac:dyDescent="0.25">
      <c r="A7810" t="s">
        <v>42</v>
      </c>
      <c r="B7810" t="s">
        <v>40</v>
      </c>
      <c r="C7810" t="s">
        <v>38</v>
      </c>
      <c r="D7810" t="s">
        <v>32</v>
      </c>
      <c r="E7810" t="s">
        <v>21</v>
      </c>
      <c r="F7810" t="s">
        <v>19</v>
      </c>
      <c r="G7810" s="1" t="str">
        <f t="shared" si="1708"/>
        <v>X</v>
      </c>
      <c r="H7810" s="1" t="str">
        <f t="shared" si="1708"/>
        <v>X</v>
      </c>
      <c r="I7810" s="1" t="str">
        <f t="shared" si="1708"/>
        <v>X</v>
      </c>
      <c r="J7810" s="1" t="str">
        <f t="shared" si="1708"/>
        <v>X</v>
      </c>
      <c r="K7810" s="1" t="str">
        <f t="shared" si="1708"/>
        <v>X</v>
      </c>
      <c r="L7810" s="1" t="str">
        <f t="shared" si="1708"/>
        <v>X</v>
      </c>
      <c r="M7810" s="1" t="str">
        <f t="shared" si="1708"/>
        <v>X</v>
      </c>
      <c r="N7810" t="s">
        <v>27</v>
      </c>
    </row>
    <row r="7811" spans="1:14" x14ac:dyDescent="0.25">
      <c r="A7811" t="s">
        <v>42</v>
      </c>
      <c r="B7811" t="s">
        <v>40</v>
      </c>
      <c r="C7811" t="s">
        <v>38</v>
      </c>
      <c r="D7811" t="s">
        <v>32</v>
      </c>
      <c r="E7811" t="s">
        <v>21</v>
      </c>
      <c r="F7811" t="s">
        <v>20</v>
      </c>
      <c r="G7811" s="1" t="str">
        <f t="shared" si="1708"/>
        <v>X</v>
      </c>
      <c r="H7811" s="1" t="str">
        <f t="shared" si="1708"/>
        <v>X</v>
      </c>
      <c r="I7811" s="1" t="str">
        <f t="shared" si="1708"/>
        <v>X</v>
      </c>
      <c r="J7811" s="1" t="str">
        <f t="shared" si="1708"/>
        <v>X</v>
      </c>
      <c r="K7811" s="1" t="str">
        <f t="shared" si="1708"/>
        <v>X</v>
      </c>
      <c r="L7811" s="1" t="str">
        <f t="shared" si="1708"/>
        <v>X</v>
      </c>
      <c r="M7811" s="1" t="str">
        <f t="shared" si="1708"/>
        <v>X</v>
      </c>
      <c r="N7811" t="s">
        <v>27</v>
      </c>
    </row>
    <row r="7812" spans="1:14" x14ac:dyDescent="0.25">
      <c r="A7812" t="s">
        <v>42</v>
      </c>
      <c r="B7812" t="s">
        <v>40</v>
      </c>
      <c r="C7812" t="s">
        <v>38</v>
      </c>
      <c r="D7812" t="s">
        <v>32</v>
      </c>
      <c r="E7812" t="s">
        <v>22</v>
      </c>
      <c r="F7812" t="s">
        <v>15</v>
      </c>
      <c r="G7812" s="2">
        <f>VALUE(802.12)</f>
        <v>802.12</v>
      </c>
      <c r="H7812" s="3">
        <f>VALUE(671.15)</f>
        <v>671.15</v>
      </c>
      <c r="I7812" s="1">
        <f>VALUE(2694)</f>
        <v>2694</v>
      </c>
      <c r="J7812" s="5">
        <f>VALUE(3518)</f>
        <v>3518</v>
      </c>
      <c r="K7812" s="1">
        <f>VALUE(4761)</f>
        <v>4761</v>
      </c>
      <c r="L7812" s="7">
        <f>VALUE(5966)</f>
        <v>5966</v>
      </c>
      <c r="M7812" s="1">
        <f>VALUE(7876)</f>
        <v>7876</v>
      </c>
      <c r="N7812" t="s">
        <v>25</v>
      </c>
    </row>
    <row r="7813" spans="1:14" x14ac:dyDescent="0.25">
      <c r="A7813" t="s">
        <v>42</v>
      </c>
      <c r="B7813" t="s">
        <v>40</v>
      </c>
      <c r="C7813" t="s">
        <v>38</v>
      </c>
      <c r="D7813" t="s">
        <v>32</v>
      </c>
      <c r="E7813" t="s">
        <v>22</v>
      </c>
      <c r="F7813" t="s">
        <v>17</v>
      </c>
      <c r="G7813" s="1" t="str">
        <f t="shared" ref="G7813:M7815" si="1709">"X"</f>
        <v>X</v>
      </c>
      <c r="H7813" s="1" t="str">
        <f t="shared" si="1709"/>
        <v>X</v>
      </c>
      <c r="I7813" s="1" t="str">
        <f t="shared" si="1709"/>
        <v>X</v>
      </c>
      <c r="J7813" s="1" t="str">
        <f t="shared" si="1709"/>
        <v>X</v>
      </c>
      <c r="K7813" s="1" t="str">
        <f t="shared" si="1709"/>
        <v>X</v>
      </c>
      <c r="L7813" s="1" t="str">
        <f t="shared" si="1709"/>
        <v>X</v>
      </c>
      <c r="M7813" s="1" t="str">
        <f t="shared" si="1709"/>
        <v>X</v>
      </c>
      <c r="N7813" t="s">
        <v>27</v>
      </c>
    </row>
    <row r="7814" spans="1:14" x14ac:dyDescent="0.25">
      <c r="A7814" t="s">
        <v>42</v>
      </c>
      <c r="B7814" t="s">
        <v>40</v>
      </c>
      <c r="C7814" t="s">
        <v>38</v>
      </c>
      <c r="D7814" t="s">
        <v>32</v>
      </c>
      <c r="E7814" t="s">
        <v>22</v>
      </c>
      <c r="F7814" t="s">
        <v>18</v>
      </c>
      <c r="G7814" s="1" t="str">
        <f t="shared" si="1709"/>
        <v>X</v>
      </c>
      <c r="H7814" s="1" t="str">
        <f t="shared" si="1709"/>
        <v>X</v>
      </c>
      <c r="I7814" s="1" t="str">
        <f t="shared" si="1709"/>
        <v>X</v>
      </c>
      <c r="J7814" s="1" t="str">
        <f t="shared" si="1709"/>
        <v>X</v>
      </c>
      <c r="K7814" s="1" t="str">
        <f t="shared" si="1709"/>
        <v>X</v>
      </c>
      <c r="L7814" s="1" t="str">
        <f t="shared" si="1709"/>
        <v>X</v>
      </c>
      <c r="M7814" s="1" t="str">
        <f t="shared" si="1709"/>
        <v>X</v>
      </c>
      <c r="N7814" t="s">
        <v>27</v>
      </c>
    </row>
    <row r="7815" spans="1:14" x14ac:dyDescent="0.25">
      <c r="A7815" t="s">
        <v>42</v>
      </c>
      <c r="B7815" t="s">
        <v>40</v>
      </c>
      <c r="C7815" t="s">
        <v>38</v>
      </c>
      <c r="D7815" t="s">
        <v>32</v>
      </c>
      <c r="E7815" t="s">
        <v>22</v>
      </c>
      <c r="F7815" t="s">
        <v>19</v>
      </c>
      <c r="G7815" s="1" t="str">
        <f t="shared" si="1709"/>
        <v>X</v>
      </c>
      <c r="H7815" s="1" t="str">
        <f t="shared" si="1709"/>
        <v>X</v>
      </c>
      <c r="I7815" s="1" t="str">
        <f t="shared" si="1709"/>
        <v>X</v>
      </c>
      <c r="J7815" s="1" t="str">
        <f t="shared" si="1709"/>
        <v>X</v>
      </c>
      <c r="K7815" s="1" t="str">
        <f t="shared" si="1709"/>
        <v>X</v>
      </c>
      <c r="L7815" s="1" t="str">
        <f t="shared" si="1709"/>
        <v>X</v>
      </c>
      <c r="M7815" s="1" t="str">
        <f t="shared" si="1709"/>
        <v>X</v>
      </c>
      <c r="N7815" t="s">
        <v>27</v>
      </c>
    </row>
    <row r="7816" spans="1:14" x14ac:dyDescent="0.25">
      <c r="A7816" t="s">
        <v>42</v>
      </c>
      <c r="B7816" t="s">
        <v>40</v>
      </c>
      <c r="C7816" t="s">
        <v>38</v>
      </c>
      <c r="D7816" t="s">
        <v>32</v>
      </c>
      <c r="E7816" t="s">
        <v>22</v>
      </c>
      <c r="F7816" t="s">
        <v>20</v>
      </c>
      <c r="G7816" s="2">
        <f>VALUE(529.15)</f>
        <v>529.15</v>
      </c>
      <c r="H7816" s="3">
        <f>VALUE(442.8)</f>
        <v>442.8</v>
      </c>
      <c r="I7816" s="4">
        <f>VALUE(2644)</f>
        <v>2644</v>
      </c>
      <c r="J7816" s="5">
        <f>VALUE(3450)</f>
        <v>3450</v>
      </c>
      <c r="K7816" s="6">
        <f>VALUE(4632)</f>
        <v>4632</v>
      </c>
      <c r="L7816" s="7">
        <f>VALUE(5566)</f>
        <v>5566</v>
      </c>
      <c r="M7816" s="1">
        <f>VALUE(7144)</f>
        <v>7144</v>
      </c>
      <c r="N7816" t="s">
        <v>25</v>
      </c>
    </row>
    <row r="7817" spans="1:14" x14ac:dyDescent="0.25">
      <c r="A7817" t="s">
        <v>42</v>
      </c>
      <c r="B7817" t="s">
        <v>40</v>
      </c>
      <c r="C7817" t="s">
        <v>38</v>
      </c>
      <c r="D7817" t="s">
        <v>32</v>
      </c>
      <c r="E7817" t="s">
        <v>23</v>
      </c>
      <c r="F7817" t="s">
        <v>15</v>
      </c>
      <c r="G7817" s="1">
        <f>VALUE(1808.68)</f>
        <v>1808.68</v>
      </c>
      <c r="H7817" s="1">
        <f>VALUE(1542.87)</f>
        <v>1542.87</v>
      </c>
      <c r="I7817" s="1">
        <f>VALUE(2648)</f>
        <v>2648</v>
      </c>
      <c r="J7817" s="1">
        <f>VALUE(2837)</f>
        <v>2837</v>
      </c>
      <c r="K7817" s="1">
        <f>VALUE(3210)</f>
        <v>3210</v>
      </c>
      <c r="L7817" s="1">
        <f>VALUE(3871)</f>
        <v>3871</v>
      </c>
      <c r="M7817" s="1">
        <f>VALUE(4733)</f>
        <v>4733</v>
      </c>
      <c r="N7817" t="s">
        <v>16</v>
      </c>
    </row>
    <row r="7818" spans="1:14" x14ac:dyDescent="0.25">
      <c r="A7818" t="s">
        <v>42</v>
      </c>
      <c r="B7818" t="s">
        <v>40</v>
      </c>
      <c r="C7818" t="s">
        <v>38</v>
      </c>
      <c r="D7818" t="s">
        <v>32</v>
      </c>
      <c r="E7818" t="s">
        <v>23</v>
      </c>
      <c r="F7818" t="s">
        <v>17</v>
      </c>
      <c r="G7818" s="1" t="str">
        <f t="shared" ref="G7818:M7819" si="1710">"X"</f>
        <v>X</v>
      </c>
      <c r="H7818" s="1" t="str">
        <f t="shared" si="1710"/>
        <v>X</v>
      </c>
      <c r="I7818" s="1" t="str">
        <f t="shared" si="1710"/>
        <v>X</v>
      </c>
      <c r="J7818" s="1" t="str">
        <f t="shared" si="1710"/>
        <v>X</v>
      </c>
      <c r="K7818" s="1" t="str">
        <f t="shared" si="1710"/>
        <v>X</v>
      </c>
      <c r="L7818" s="1" t="str">
        <f t="shared" si="1710"/>
        <v>X</v>
      </c>
      <c r="M7818" s="1" t="str">
        <f t="shared" si="1710"/>
        <v>X</v>
      </c>
      <c r="N7818" t="s">
        <v>27</v>
      </c>
    </row>
    <row r="7819" spans="1:14" x14ac:dyDescent="0.25">
      <c r="A7819" t="s">
        <v>42</v>
      </c>
      <c r="B7819" t="s">
        <v>40</v>
      </c>
      <c r="C7819" t="s">
        <v>38</v>
      </c>
      <c r="D7819" t="s">
        <v>32</v>
      </c>
      <c r="E7819" t="s">
        <v>23</v>
      </c>
      <c r="F7819" t="s">
        <v>18</v>
      </c>
      <c r="G7819" s="1" t="str">
        <f t="shared" si="1710"/>
        <v>X</v>
      </c>
      <c r="H7819" s="1" t="str">
        <f t="shared" si="1710"/>
        <v>X</v>
      </c>
      <c r="I7819" s="1" t="str">
        <f t="shared" si="1710"/>
        <v>X</v>
      </c>
      <c r="J7819" s="1" t="str">
        <f t="shared" si="1710"/>
        <v>X</v>
      </c>
      <c r="K7819" s="1" t="str">
        <f t="shared" si="1710"/>
        <v>X</v>
      </c>
      <c r="L7819" s="1" t="str">
        <f t="shared" si="1710"/>
        <v>X</v>
      </c>
      <c r="M7819" s="1" t="str">
        <f t="shared" si="1710"/>
        <v>X</v>
      </c>
      <c r="N7819" t="s">
        <v>27</v>
      </c>
    </row>
    <row r="7820" spans="1:14" x14ac:dyDescent="0.25">
      <c r="A7820" t="s">
        <v>42</v>
      </c>
      <c r="B7820" t="s">
        <v>40</v>
      </c>
      <c r="C7820" t="s">
        <v>38</v>
      </c>
      <c r="D7820" t="s">
        <v>32</v>
      </c>
      <c r="E7820" t="s">
        <v>23</v>
      </c>
      <c r="F7820" t="s">
        <v>19</v>
      </c>
      <c r="G7820" s="2">
        <f>VALUE(325.58)</f>
        <v>325.58</v>
      </c>
      <c r="H7820" s="3">
        <f>VALUE(345.52)</f>
        <v>345.52</v>
      </c>
      <c r="I7820" s="1">
        <f>VALUE(2728)</f>
        <v>2728</v>
      </c>
      <c r="J7820" s="1">
        <f>VALUE(2837)</f>
        <v>2837</v>
      </c>
      <c r="K7820" s="1">
        <f>VALUE(3053)</f>
        <v>3053</v>
      </c>
      <c r="L7820" s="7">
        <f>VALUE(3537)</f>
        <v>3537</v>
      </c>
      <c r="M7820" s="1">
        <f>VALUE(4118)</f>
        <v>4118</v>
      </c>
      <c r="N7820" t="s">
        <v>25</v>
      </c>
    </row>
    <row r="7821" spans="1:14" x14ac:dyDescent="0.25">
      <c r="A7821" t="s">
        <v>42</v>
      </c>
      <c r="B7821" t="s">
        <v>40</v>
      </c>
      <c r="C7821" t="s">
        <v>38</v>
      </c>
      <c r="D7821" t="s">
        <v>32</v>
      </c>
      <c r="E7821" t="s">
        <v>23</v>
      </c>
      <c r="F7821" t="s">
        <v>20</v>
      </c>
      <c r="G7821" s="1">
        <f>VALUE(1415.41)</f>
        <v>1415.41</v>
      </c>
      <c r="H7821" s="1">
        <f>VALUE(1137.92)</f>
        <v>1137.92</v>
      </c>
      <c r="I7821" s="1">
        <f>VALUE(2579)</f>
        <v>2579</v>
      </c>
      <c r="J7821" s="1">
        <f>VALUE(2817)</f>
        <v>2817</v>
      </c>
      <c r="K7821" s="1">
        <f>VALUE(3252)</f>
        <v>3252</v>
      </c>
      <c r="L7821" s="1">
        <f>VALUE(3868)</f>
        <v>3868</v>
      </c>
      <c r="M7821" s="1">
        <f>VALUE(4767)</f>
        <v>4767</v>
      </c>
      <c r="N7821" t="s">
        <v>16</v>
      </c>
    </row>
    <row r="7822" spans="1:14" x14ac:dyDescent="0.25">
      <c r="A7822" t="s">
        <v>42</v>
      </c>
      <c r="B7822" t="s">
        <v>40</v>
      </c>
      <c r="C7822" t="s">
        <v>38</v>
      </c>
      <c r="D7822" t="s">
        <v>32</v>
      </c>
      <c r="E7822" t="s">
        <v>26</v>
      </c>
      <c r="F7822" t="s">
        <v>15</v>
      </c>
      <c r="G7822" s="1" t="str">
        <f t="shared" ref="G7822:M7822" si="1711">"X"</f>
        <v>X</v>
      </c>
      <c r="H7822" s="1" t="str">
        <f t="shared" si="1711"/>
        <v>X</v>
      </c>
      <c r="I7822" s="1" t="str">
        <f t="shared" si="1711"/>
        <v>X</v>
      </c>
      <c r="J7822" s="1" t="str">
        <f t="shared" si="1711"/>
        <v>X</v>
      </c>
      <c r="K7822" s="1" t="str">
        <f t="shared" si="1711"/>
        <v>X</v>
      </c>
      <c r="L7822" s="1" t="str">
        <f t="shared" si="1711"/>
        <v>X</v>
      </c>
      <c r="M7822" s="1" t="str">
        <f t="shared" si="1711"/>
        <v>X</v>
      </c>
      <c r="N7822" t="s">
        <v>27</v>
      </c>
    </row>
    <row r="7823" spans="1:14" x14ac:dyDescent="0.25">
      <c r="A7823" t="s">
        <v>42</v>
      </c>
      <c r="B7823" t="s">
        <v>40</v>
      </c>
      <c r="C7823" t="s">
        <v>38</v>
      </c>
      <c r="D7823" t="s">
        <v>32</v>
      </c>
      <c r="E7823" t="s">
        <v>26</v>
      </c>
      <c r="F7823" t="s">
        <v>17</v>
      </c>
      <c r="G7823" s="1" t="str">
        <f t="shared" ref="G7823:M7823" si="1712">"..."</f>
        <v>...</v>
      </c>
      <c r="H7823" s="1" t="str">
        <f t="shared" si="1712"/>
        <v>...</v>
      </c>
      <c r="I7823" s="1" t="str">
        <f t="shared" si="1712"/>
        <v>...</v>
      </c>
      <c r="J7823" s="1" t="str">
        <f t="shared" si="1712"/>
        <v>...</v>
      </c>
      <c r="K7823" s="1" t="str">
        <f t="shared" si="1712"/>
        <v>...</v>
      </c>
      <c r="L7823" s="1" t="str">
        <f t="shared" si="1712"/>
        <v>...</v>
      </c>
      <c r="M7823" s="1" t="str">
        <f t="shared" si="1712"/>
        <v>...</v>
      </c>
      <c r="N7823" t="s">
        <v>30</v>
      </c>
    </row>
    <row r="7824" spans="1:14" x14ac:dyDescent="0.25">
      <c r="A7824" t="s">
        <v>42</v>
      </c>
      <c r="B7824" t="s">
        <v>40</v>
      </c>
      <c r="C7824" t="s">
        <v>38</v>
      </c>
      <c r="D7824" t="s">
        <v>32</v>
      </c>
      <c r="E7824" t="s">
        <v>26</v>
      </c>
      <c r="F7824" t="s">
        <v>18</v>
      </c>
      <c r="G7824" s="1" t="str">
        <f t="shared" ref="G7824:M7835" si="1713">"X"</f>
        <v>X</v>
      </c>
      <c r="H7824" s="1" t="str">
        <f t="shared" si="1713"/>
        <v>X</v>
      </c>
      <c r="I7824" s="1" t="str">
        <f t="shared" si="1713"/>
        <v>X</v>
      </c>
      <c r="J7824" s="1" t="str">
        <f t="shared" si="1713"/>
        <v>X</v>
      </c>
      <c r="K7824" s="1" t="str">
        <f t="shared" si="1713"/>
        <v>X</v>
      </c>
      <c r="L7824" s="1" t="str">
        <f t="shared" si="1713"/>
        <v>X</v>
      </c>
      <c r="M7824" s="1" t="str">
        <f t="shared" si="1713"/>
        <v>X</v>
      </c>
      <c r="N7824" t="s">
        <v>27</v>
      </c>
    </row>
    <row r="7825" spans="1:14" x14ac:dyDescent="0.25">
      <c r="A7825" t="s">
        <v>42</v>
      </c>
      <c r="B7825" t="s">
        <v>40</v>
      </c>
      <c r="C7825" t="s">
        <v>38</v>
      </c>
      <c r="D7825" t="s">
        <v>32</v>
      </c>
      <c r="E7825" t="s">
        <v>26</v>
      </c>
      <c r="F7825" t="s">
        <v>19</v>
      </c>
      <c r="G7825" s="1" t="str">
        <f t="shared" si="1713"/>
        <v>X</v>
      </c>
      <c r="H7825" s="1" t="str">
        <f t="shared" si="1713"/>
        <v>X</v>
      </c>
      <c r="I7825" s="1" t="str">
        <f t="shared" si="1713"/>
        <v>X</v>
      </c>
      <c r="J7825" s="1" t="str">
        <f t="shared" si="1713"/>
        <v>X</v>
      </c>
      <c r="K7825" s="1" t="str">
        <f t="shared" si="1713"/>
        <v>X</v>
      </c>
      <c r="L7825" s="1" t="str">
        <f t="shared" si="1713"/>
        <v>X</v>
      </c>
      <c r="M7825" s="1" t="str">
        <f t="shared" si="1713"/>
        <v>X</v>
      </c>
      <c r="N7825" t="s">
        <v>27</v>
      </c>
    </row>
    <row r="7826" spans="1:14" x14ac:dyDescent="0.25">
      <c r="A7826" t="s">
        <v>42</v>
      </c>
      <c r="B7826" t="s">
        <v>40</v>
      </c>
      <c r="C7826" t="s">
        <v>38</v>
      </c>
      <c r="D7826" t="s">
        <v>32</v>
      </c>
      <c r="E7826" t="s">
        <v>26</v>
      </c>
      <c r="F7826" t="s">
        <v>20</v>
      </c>
      <c r="G7826" s="1" t="str">
        <f t="shared" si="1713"/>
        <v>X</v>
      </c>
      <c r="H7826" s="1" t="str">
        <f t="shared" si="1713"/>
        <v>X</v>
      </c>
      <c r="I7826" s="1" t="str">
        <f t="shared" si="1713"/>
        <v>X</v>
      </c>
      <c r="J7826" s="1" t="str">
        <f t="shared" si="1713"/>
        <v>X</v>
      </c>
      <c r="K7826" s="1" t="str">
        <f t="shared" si="1713"/>
        <v>X</v>
      </c>
      <c r="L7826" s="1" t="str">
        <f t="shared" si="1713"/>
        <v>X</v>
      </c>
      <c r="M7826" s="1" t="str">
        <f t="shared" si="1713"/>
        <v>X</v>
      </c>
      <c r="N7826" t="s">
        <v>27</v>
      </c>
    </row>
    <row r="7827" spans="1:14" x14ac:dyDescent="0.25">
      <c r="A7827" t="s">
        <v>42</v>
      </c>
      <c r="B7827" t="s">
        <v>40</v>
      </c>
      <c r="C7827" t="s">
        <v>38</v>
      </c>
      <c r="D7827" t="s">
        <v>33</v>
      </c>
      <c r="E7827" t="s">
        <v>15</v>
      </c>
      <c r="F7827" t="s">
        <v>15</v>
      </c>
      <c r="G7827" s="1" t="str">
        <f t="shared" si="1713"/>
        <v>X</v>
      </c>
      <c r="H7827" s="1" t="str">
        <f t="shared" si="1713"/>
        <v>X</v>
      </c>
      <c r="I7827" s="1" t="str">
        <f t="shared" si="1713"/>
        <v>X</v>
      </c>
      <c r="J7827" s="1" t="str">
        <f t="shared" si="1713"/>
        <v>X</v>
      </c>
      <c r="K7827" s="1" t="str">
        <f t="shared" si="1713"/>
        <v>X</v>
      </c>
      <c r="L7827" s="1" t="str">
        <f t="shared" si="1713"/>
        <v>X</v>
      </c>
      <c r="M7827" s="1" t="str">
        <f t="shared" si="1713"/>
        <v>X</v>
      </c>
      <c r="N7827" t="s">
        <v>27</v>
      </c>
    </row>
    <row r="7828" spans="1:14" x14ac:dyDescent="0.25">
      <c r="A7828" t="s">
        <v>42</v>
      </c>
      <c r="B7828" t="s">
        <v>40</v>
      </c>
      <c r="C7828" t="s">
        <v>38</v>
      </c>
      <c r="D7828" t="s">
        <v>33</v>
      </c>
      <c r="E7828" t="s">
        <v>15</v>
      </c>
      <c r="F7828" t="s">
        <v>17</v>
      </c>
      <c r="G7828" s="1" t="str">
        <f t="shared" si="1713"/>
        <v>X</v>
      </c>
      <c r="H7828" s="1" t="str">
        <f t="shared" si="1713"/>
        <v>X</v>
      </c>
      <c r="I7828" s="1" t="str">
        <f t="shared" si="1713"/>
        <v>X</v>
      </c>
      <c r="J7828" s="1" t="str">
        <f t="shared" si="1713"/>
        <v>X</v>
      </c>
      <c r="K7828" s="1" t="str">
        <f t="shared" si="1713"/>
        <v>X</v>
      </c>
      <c r="L7828" s="1" t="str">
        <f t="shared" si="1713"/>
        <v>X</v>
      </c>
      <c r="M7828" s="1" t="str">
        <f t="shared" si="1713"/>
        <v>X</v>
      </c>
      <c r="N7828" t="s">
        <v>27</v>
      </c>
    </row>
    <row r="7829" spans="1:14" x14ac:dyDescent="0.25">
      <c r="A7829" t="s">
        <v>42</v>
      </c>
      <c r="B7829" t="s">
        <v>40</v>
      </c>
      <c r="C7829" t="s">
        <v>38</v>
      </c>
      <c r="D7829" t="s">
        <v>33</v>
      </c>
      <c r="E7829" t="s">
        <v>15</v>
      </c>
      <c r="F7829" t="s">
        <v>18</v>
      </c>
      <c r="G7829" s="1" t="str">
        <f t="shared" si="1713"/>
        <v>X</v>
      </c>
      <c r="H7829" s="1" t="str">
        <f t="shared" si="1713"/>
        <v>X</v>
      </c>
      <c r="I7829" s="1" t="str">
        <f t="shared" si="1713"/>
        <v>X</v>
      </c>
      <c r="J7829" s="1" t="str">
        <f t="shared" si="1713"/>
        <v>X</v>
      </c>
      <c r="K7829" s="1" t="str">
        <f t="shared" si="1713"/>
        <v>X</v>
      </c>
      <c r="L7829" s="1" t="str">
        <f t="shared" si="1713"/>
        <v>X</v>
      </c>
      <c r="M7829" s="1" t="str">
        <f t="shared" si="1713"/>
        <v>X</v>
      </c>
      <c r="N7829" t="s">
        <v>27</v>
      </c>
    </row>
    <row r="7830" spans="1:14" x14ac:dyDescent="0.25">
      <c r="A7830" t="s">
        <v>42</v>
      </c>
      <c r="B7830" t="s">
        <v>40</v>
      </c>
      <c r="C7830" t="s">
        <v>38</v>
      </c>
      <c r="D7830" t="s">
        <v>33</v>
      </c>
      <c r="E7830" t="s">
        <v>15</v>
      </c>
      <c r="F7830" t="s">
        <v>19</v>
      </c>
      <c r="G7830" s="1" t="str">
        <f t="shared" si="1713"/>
        <v>X</v>
      </c>
      <c r="H7830" s="1" t="str">
        <f t="shared" si="1713"/>
        <v>X</v>
      </c>
      <c r="I7830" s="1" t="str">
        <f t="shared" si="1713"/>
        <v>X</v>
      </c>
      <c r="J7830" s="1" t="str">
        <f t="shared" si="1713"/>
        <v>X</v>
      </c>
      <c r="K7830" s="1" t="str">
        <f t="shared" si="1713"/>
        <v>X</v>
      </c>
      <c r="L7830" s="1" t="str">
        <f t="shared" si="1713"/>
        <v>X</v>
      </c>
      <c r="M7830" s="1" t="str">
        <f t="shared" si="1713"/>
        <v>X</v>
      </c>
      <c r="N7830" t="s">
        <v>27</v>
      </c>
    </row>
    <row r="7831" spans="1:14" x14ac:dyDescent="0.25">
      <c r="A7831" t="s">
        <v>42</v>
      </c>
      <c r="B7831" t="s">
        <v>40</v>
      </c>
      <c r="C7831" t="s">
        <v>38</v>
      </c>
      <c r="D7831" t="s">
        <v>33</v>
      </c>
      <c r="E7831" t="s">
        <v>15</v>
      </c>
      <c r="F7831" t="s">
        <v>20</v>
      </c>
      <c r="G7831" s="1" t="str">
        <f t="shared" si="1713"/>
        <v>X</v>
      </c>
      <c r="H7831" s="1" t="str">
        <f t="shared" si="1713"/>
        <v>X</v>
      </c>
      <c r="I7831" s="1" t="str">
        <f t="shared" si="1713"/>
        <v>X</v>
      </c>
      <c r="J7831" s="1" t="str">
        <f t="shared" si="1713"/>
        <v>X</v>
      </c>
      <c r="K7831" s="1" t="str">
        <f t="shared" si="1713"/>
        <v>X</v>
      </c>
      <c r="L7831" s="1" t="str">
        <f t="shared" si="1713"/>
        <v>X</v>
      </c>
      <c r="M7831" s="1" t="str">
        <f t="shared" si="1713"/>
        <v>X</v>
      </c>
      <c r="N7831" t="s">
        <v>27</v>
      </c>
    </row>
    <row r="7832" spans="1:14" x14ac:dyDescent="0.25">
      <c r="A7832" t="s">
        <v>42</v>
      </c>
      <c r="B7832" t="s">
        <v>40</v>
      </c>
      <c r="C7832" t="s">
        <v>38</v>
      </c>
      <c r="D7832" t="s">
        <v>33</v>
      </c>
      <c r="E7832" t="s">
        <v>21</v>
      </c>
      <c r="F7832" t="s">
        <v>15</v>
      </c>
      <c r="G7832" s="1" t="str">
        <f t="shared" si="1713"/>
        <v>X</v>
      </c>
      <c r="H7832" s="1" t="str">
        <f t="shared" si="1713"/>
        <v>X</v>
      </c>
      <c r="I7832" s="1" t="str">
        <f t="shared" si="1713"/>
        <v>X</v>
      </c>
      <c r="J7832" s="1" t="str">
        <f t="shared" si="1713"/>
        <v>X</v>
      </c>
      <c r="K7832" s="1" t="str">
        <f t="shared" si="1713"/>
        <v>X</v>
      </c>
      <c r="L7832" s="1" t="str">
        <f t="shared" si="1713"/>
        <v>X</v>
      </c>
      <c r="M7832" s="1" t="str">
        <f t="shared" si="1713"/>
        <v>X</v>
      </c>
      <c r="N7832" t="s">
        <v>27</v>
      </c>
    </row>
    <row r="7833" spans="1:14" x14ac:dyDescent="0.25">
      <c r="A7833" t="s">
        <v>42</v>
      </c>
      <c r="B7833" t="s">
        <v>40</v>
      </c>
      <c r="C7833" t="s">
        <v>38</v>
      </c>
      <c r="D7833" t="s">
        <v>33</v>
      </c>
      <c r="E7833" t="s">
        <v>21</v>
      </c>
      <c r="F7833" t="s">
        <v>17</v>
      </c>
      <c r="G7833" s="1" t="str">
        <f t="shared" si="1713"/>
        <v>X</v>
      </c>
      <c r="H7833" s="1" t="str">
        <f t="shared" si="1713"/>
        <v>X</v>
      </c>
      <c r="I7833" s="1" t="str">
        <f t="shared" si="1713"/>
        <v>X</v>
      </c>
      <c r="J7833" s="1" t="str">
        <f t="shared" si="1713"/>
        <v>X</v>
      </c>
      <c r="K7833" s="1" t="str">
        <f t="shared" si="1713"/>
        <v>X</v>
      </c>
      <c r="L7833" s="1" t="str">
        <f t="shared" si="1713"/>
        <v>X</v>
      </c>
      <c r="M7833" s="1" t="str">
        <f t="shared" si="1713"/>
        <v>X</v>
      </c>
      <c r="N7833" t="s">
        <v>27</v>
      </c>
    </row>
    <row r="7834" spans="1:14" x14ac:dyDescent="0.25">
      <c r="A7834" t="s">
        <v>42</v>
      </c>
      <c r="B7834" t="s">
        <v>40</v>
      </c>
      <c r="C7834" t="s">
        <v>38</v>
      </c>
      <c r="D7834" t="s">
        <v>33</v>
      </c>
      <c r="E7834" t="s">
        <v>21</v>
      </c>
      <c r="F7834" t="s">
        <v>18</v>
      </c>
      <c r="G7834" s="1" t="str">
        <f t="shared" si="1713"/>
        <v>X</v>
      </c>
      <c r="H7834" s="1" t="str">
        <f t="shared" si="1713"/>
        <v>X</v>
      </c>
      <c r="I7834" s="1" t="str">
        <f t="shared" si="1713"/>
        <v>X</v>
      </c>
      <c r="J7834" s="1" t="str">
        <f t="shared" si="1713"/>
        <v>X</v>
      </c>
      <c r="K7834" s="1" t="str">
        <f t="shared" si="1713"/>
        <v>X</v>
      </c>
      <c r="L7834" s="1" t="str">
        <f t="shared" si="1713"/>
        <v>X</v>
      </c>
      <c r="M7834" s="1" t="str">
        <f t="shared" si="1713"/>
        <v>X</v>
      </c>
      <c r="N7834" t="s">
        <v>27</v>
      </c>
    </row>
    <row r="7835" spans="1:14" x14ac:dyDescent="0.25">
      <c r="A7835" t="s">
        <v>42</v>
      </c>
      <c r="B7835" t="s">
        <v>40</v>
      </c>
      <c r="C7835" t="s">
        <v>38</v>
      </c>
      <c r="D7835" t="s">
        <v>33</v>
      </c>
      <c r="E7835" t="s">
        <v>21</v>
      </c>
      <c r="F7835" t="s">
        <v>19</v>
      </c>
      <c r="G7835" s="1" t="str">
        <f t="shared" si="1713"/>
        <v>X</v>
      </c>
      <c r="H7835" s="1" t="str">
        <f t="shared" si="1713"/>
        <v>X</v>
      </c>
      <c r="I7835" s="1" t="str">
        <f t="shared" si="1713"/>
        <v>X</v>
      </c>
      <c r="J7835" s="1" t="str">
        <f t="shared" si="1713"/>
        <v>X</v>
      </c>
      <c r="K7835" s="1" t="str">
        <f t="shared" si="1713"/>
        <v>X</v>
      </c>
      <c r="L7835" s="1" t="str">
        <f t="shared" si="1713"/>
        <v>X</v>
      </c>
      <c r="M7835" s="1" t="str">
        <f t="shared" si="1713"/>
        <v>X</v>
      </c>
      <c r="N7835" t="s">
        <v>27</v>
      </c>
    </row>
    <row r="7836" spans="1:14" x14ac:dyDescent="0.25">
      <c r="A7836" t="s">
        <v>42</v>
      </c>
      <c r="B7836" t="s">
        <v>40</v>
      </c>
      <c r="C7836" t="s">
        <v>38</v>
      </c>
      <c r="D7836" t="s">
        <v>33</v>
      </c>
      <c r="E7836" t="s">
        <v>21</v>
      </c>
      <c r="F7836" t="s">
        <v>20</v>
      </c>
      <c r="G7836" s="1" t="str">
        <f t="shared" ref="G7836:M7836" si="1714">"..."</f>
        <v>...</v>
      </c>
      <c r="H7836" s="1" t="str">
        <f t="shared" si="1714"/>
        <v>...</v>
      </c>
      <c r="I7836" s="1" t="str">
        <f t="shared" si="1714"/>
        <v>...</v>
      </c>
      <c r="J7836" s="1" t="str">
        <f t="shared" si="1714"/>
        <v>...</v>
      </c>
      <c r="K7836" s="1" t="str">
        <f t="shared" si="1714"/>
        <v>...</v>
      </c>
      <c r="L7836" s="1" t="str">
        <f t="shared" si="1714"/>
        <v>...</v>
      </c>
      <c r="M7836" s="1" t="str">
        <f t="shared" si="1714"/>
        <v>...</v>
      </c>
      <c r="N7836" t="s">
        <v>30</v>
      </c>
    </row>
    <row r="7837" spans="1:14" x14ac:dyDescent="0.25">
      <c r="A7837" t="s">
        <v>42</v>
      </c>
      <c r="B7837" t="s">
        <v>40</v>
      </c>
      <c r="C7837" t="s">
        <v>38</v>
      </c>
      <c r="D7837" t="s">
        <v>33</v>
      </c>
      <c r="E7837" t="s">
        <v>22</v>
      </c>
      <c r="F7837" t="s">
        <v>15</v>
      </c>
      <c r="G7837" s="1" t="str">
        <f t="shared" ref="G7837:M7839" si="1715">"X"</f>
        <v>X</v>
      </c>
      <c r="H7837" s="1" t="str">
        <f t="shared" si="1715"/>
        <v>X</v>
      </c>
      <c r="I7837" s="1" t="str">
        <f t="shared" si="1715"/>
        <v>X</v>
      </c>
      <c r="J7837" s="1" t="str">
        <f t="shared" si="1715"/>
        <v>X</v>
      </c>
      <c r="K7837" s="1" t="str">
        <f t="shared" si="1715"/>
        <v>X</v>
      </c>
      <c r="L7837" s="1" t="str">
        <f t="shared" si="1715"/>
        <v>X</v>
      </c>
      <c r="M7837" s="1" t="str">
        <f t="shared" si="1715"/>
        <v>X</v>
      </c>
      <c r="N7837" t="s">
        <v>27</v>
      </c>
    </row>
    <row r="7838" spans="1:14" x14ac:dyDescent="0.25">
      <c r="A7838" t="s">
        <v>42</v>
      </c>
      <c r="B7838" t="s">
        <v>40</v>
      </c>
      <c r="C7838" t="s">
        <v>38</v>
      </c>
      <c r="D7838" t="s">
        <v>33</v>
      </c>
      <c r="E7838" t="s">
        <v>22</v>
      </c>
      <c r="F7838" t="s">
        <v>17</v>
      </c>
      <c r="G7838" s="1" t="str">
        <f t="shared" si="1715"/>
        <v>X</v>
      </c>
      <c r="H7838" s="1" t="str">
        <f t="shared" si="1715"/>
        <v>X</v>
      </c>
      <c r="I7838" s="1" t="str">
        <f t="shared" si="1715"/>
        <v>X</v>
      </c>
      <c r="J7838" s="1" t="str">
        <f t="shared" si="1715"/>
        <v>X</v>
      </c>
      <c r="K7838" s="1" t="str">
        <f t="shared" si="1715"/>
        <v>X</v>
      </c>
      <c r="L7838" s="1" t="str">
        <f t="shared" si="1715"/>
        <v>X</v>
      </c>
      <c r="M7838" s="1" t="str">
        <f t="shared" si="1715"/>
        <v>X</v>
      </c>
      <c r="N7838" t="s">
        <v>27</v>
      </c>
    </row>
    <row r="7839" spans="1:14" x14ac:dyDescent="0.25">
      <c r="A7839" t="s">
        <v>42</v>
      </c>
      <c r="B7839" t="s">
        <v>40</v>
      </c>
      <c r="C7839" t="s">
        <v>38</v>
      </c>
      <c r="D7839" t="s">
        <v>33</v>
      </c>
      <c r="E7839" t="s">
        <v>22</v>
      </c>
      <c r="F7839" t="s">
        <v>18</v>
      </c>
      <c r="G7839" s="1" t="str">
        <f t="shared" si="1715"/>
        <v>X</v>
      </c>
      <c r="H7839" s="1" t="str">
        <f t="shared" si="1715"/>
        <v>X</v>
      </c>
      <c r="I7839" s="1" t="str">
        <f t="shared" si="1715"/>
        <v>X</v>
      </c>
      <c r="J7839" s="1" t="str">
        <f t="shared" si="1715"/>
        <v>X</v>
      </c>
      <c r="K7839" s="1" t="str">
        <f t="shared" si="1715"/>
        <v>X</v>
      </c>
      <c r="L7839" s="1" t="str">
        <f t="shared" si="1715"/>
        <v>X</v>
      </c>
      <c r="M7839" s="1" t="str">
        <f t="shared" si="1715"/>
        <v>X</v>
      </c>
      <c r="N7839" t="s">
        <v>27</v>
      </c>
    </row>
    <row r="7840" spans="1:14" x14ac:dyDescent="0.25">
      <c r="A7840" t="s">
        <v>42</v>
      </c>
      <c r="B7840" t="s">
        <v>40</v>
      </c>
      <c r="C7840" t="s">
        <v>38</v>
      </c>
      <c r="D7840" t="s">
        <v>33</v>
      </c>
      <c r="E7840" t="s">
        <v>22</v>
      </c>
      <c r="F7840" t="s">
        <v>19</v>
      </c>
      <c r="G7840" s="1" t="str">
        <f t="shared" ref="G7840:M7840" si="1716">"..."</f>
        <v>...</v>
      </c>
      <c r="H7840" s="1" t="str">
        <f t="shared" si="1716"/>
        <v>...</v>
      </c>
      <c r="I7840" s="1" t="str">
        <f t="shared" si="1716"/>
        <v>...</v>
      </c>
      <c r="J7840" s="1" t="str">
        <f t="shared" si="1716"/>
        <v>...</v>
      </c>
      <c r="K7840" s="1" t="str">
        <f t="shared" si="1716"/>
        <v>...</v>
      </c>
      <c r="L7840" s="1" t="str">
        <f t="shared" si="1716"/>
        <v>...</v>
      </c>
      <c r="M7840" s="1" t="str">
        <f t="shared" si="1716"/>
        <v>...</v>
      </c>
      <c r="N7840" t="s">
        <v>30</v>
      </c>
    </row>
    <row r="7841" spans="1:14" x14ac:dyDescent="0.25">
      <c r="A7841" t="s">
        <v>42</v>
      </c>
      <c r="B7841" t="s">
        <v>40</v>
      </c>
      <c r="C7841" t="s">
        <v>38</v>
      </c>
      <c r="D7841" t="s">
        <v>33</v>
      </c>
      <c r="E7841" t="s">
        <v>22</v>
      </c>
      <c r="F7841" t="s">
        <v>20</v>
      </c>
      <c r="G7841" s="1" t="str">
        <f t="shared" ref="G7841:M7842" si="1717">"X"</f>
        <v>X</v>
      </c>
      <c r="H7841" s="1" t="str">
        <f t="shared" si="1717"/>
        <v>X</v>
      </c>
      <c r="I7841" s="1" t="str">
        <f t="shared" si="1717"/>
        <v>X</v>
      </c>
      <c r="J7841" s="1" t="str">
        <f t="shared" si="1717"/>
        <v>X</v>
      </c>
      <c r="K7841" s="1" t="str">
        <f t="shared" si="1717"/>
        <v>X</v>
      </c>
      <c r="L7841" s="1" t="str">
        <f t="shared" si="1717"/>
        <v>X</v>
      </c>
      <c r="M7841" s="1" t="str">
        <f t="shared" si="1717"/>
        <v>X</v>
      </c>
      <c r="N7841" t="s">
        <v>27</v>
      </c>
    </row>
    <row r="7842" spans="1:14" x14ac:dyDescent="0.25">
      <c r="A7842" t="s">
        <v>42</v>
      </c>
      <c r="B7842" t="s">
        <v>40</v>
      </c>
      <c r="C7842" t="s">
        <v>38</v>
      </c>
      <c r="D7842" t="s">
        <v>33</v>
      </c>
      <c r="E7842" t="s">
        <v>23</v>
      </c>
      <c r="F7842" t="s">
        <v>15</v>
      </c>
      <c r="G7842" s="1" t="str">
        <f t="shared" si="1717"/>
        <v>X</v>
      </c>
      <c r="H7842" s="1" t="str">
        <f t="shared" si="1717"/>
        <v>X</v>
      </c>
      <c r="I7842" s="1" t="str">
        <f t="shared" si="1717"/>
        <v>X</v>
      </c>
      <c r="J7842" s="1" t="str">
        <f t="shared" si="1717"/>
        <v>X</v>
      </c>
      <c r="K7842" s="1" t="str">
        <f t="shared" si="1717"/>
        <v>X</v>
      </c>
      <c r="L7842" s="1" t="str">
        <f t="shared" si="1717"/>
        <v>X</v>
      </c>
      <c r="M7842" s="1" t="str">
        <f t="shared" si="1717"/>
        <v>X</v>
      </c>
      <c r="N7842" t="s">
        <v>27</v>
      </c>
    </row>
    <row r="7843" spans="1:14" x14ac:dyDescent="0.25">
      <c r="A7843" t="s">
        <v>42</v>
      </c>
      <c r="B7843" t="s">
        <v>40</v>
      </c>
      <c r="C7843" t="s">
        <v>38</v>
      </c>
      <c r="D7843" t="s">
        <v>33</v>
      </c>
      <c r="E7843" t="s">
        <v>23</v>
      </c>
      <c r="F7843" t="s">
        <v>17</v>
      </c>
      <c r="G7843" s="1" t="str">
        <f t="shared" ref="G7843:M7845" si="1718">"..."</f>
        <v>...</v>
      </c>
      <c r="H7843" s="1" t="str">
        <f t="shared" si="1718"/>
        <v>...</v>
      </c>
      <c r="I7843" s="1" t="str">
        <f t="shared" si="1718"/>
        <v>...</v>
      </c>
      <c r="J7843" s="1" t="str">
        <f t="shared" si="1718"/>
        <v>...</v>
      </c>
      <c r="K7843" s="1" t="str">
        <f t="shared" si="1718"/>
        <v>...</v>
      </c>
      <c r="L7843" s="1" t="str">
        <f t="shared" si="1718"/>
        <v>...</v>
      </c>
      <c r="M7843" s="1" t="str">
        <f t="shared" si="1718"/>
        <v>...</v>
      </c>
      <c r="N7843" t="s">
        <v>30</v>
      </c>
    </row>
    <row r="7844" spans="1:14" x14ac:dyDescent="0.25">
      <c r="A7844" t="s">
        <v>42</v>
      </c>
      <c r="B7844" t="s">
        <v>40</v>
      </c>
      <c r="C7844" t="s">
        <v>38</v>
      </c>
      <c r="D7844" t="s">
        <v>33</v>
      </c>
      <c r="E7844" t="s">
        <v>23</v>
      </c>
      <c r="F7844" t="s">
        <v>18</v>
      </c>
      <c r="G7844" s="1" t="str">
        <f t="shared" si="1718"/>
        <v>...</v>
      </c>
      <c r="H7844" s="1" t="str">
        <f t="shared" si="1718"/>
        <v>...</v>
      </c>
      <c r="I7844" s="1" t="str">
        <f t="shared" si="1718"/>
        <v>...</v>
      </c>
      <c r="J7844" s="1" t="str">
        <f t="shared" si="1718"/>
        <v>...</v>
      </c>
      <c r="K7844" s="1" t="str">
        <f t="shared" si="1718"/>
        <v>...</v>
      </c>
      <c r="L7844" s="1" t="str">
        <f t="shared" si="1718"/>
        <v>...</v>
      </c>
      <c r="M7844" s="1" t="str">
        <f t="shared" si="1718"/>
        <v>...</v>
      </c>
      <c r="N7844" t="s">
        <v>30</v>
      </c>
    </row>
    <row r="7845" spans="1:14" x14ac:dyDescent="0.25">
      <c r="A7845" t="s">
        <v>42</v>
      </c>
      <c r="B7845" t="s">
        <v>40</v>
      </c>
      <c r="C7845" t="s">
        <v>38</v>
      </c>
      <c r="D7845" t="s">
        <v>33</v>
      </c>
      <c r="E7845" t="s">
        <v>23</v>
      </c>
      <c r="F7845" t="s">
        <v>19</v>
      </c>
      <c r="G7845" s="1" t="str">
        <f t="shared" si="1718"/>
        <v>...</v>
      </c>
      <c r="H7845" s="1" t="str">
        <f t="shared" si="1718"/>
        <v>...</v>
      </c>
      <c r="I7845" s="1" t="str">
        <f t="shared" si="1718"/>
        <v>...</v>
      </c>
      <c r="J7845" s="1" t="str">
        <f t="shared" si="1718"/>
        <v>...</v>
      </c>
      <c r="K7845" s="1" t="str">
        <f t="shared" si="1718"/>
        <v>...</v>
      </c>
      <c r="L7845" s="1" t="str">
        <f t="shared" si="1718"/>
        <v>...</v>
      </c>
      <c r="M7845" s="1" t="str">
        <f t="shared" si="1718"/>
        <v>...</v>
      </c>
      <c r="N7845" t="s">
        <v>30</v>
      </c>
    </row>
    <row r="7846" spans="1:14" x14ac:dyDescent="0.25">
      <c r="A7846" t="s">
        <v>42</v>
      </c>
      <c r="B7846" t="s">
        <v>40</v>
      </c>
      <c r="C7846" t="s">
        <v>38</v>
      </c>
      <c r="D7846" t="s">
        <v>33</v>
      </c>
      <c r="E7846" t="s">
        <v>23</v>
      </c>
      <c r="F7846" t="s">
        <v>20</v>
      </c>
      <c r="G7846" s="1" t="str">
        <f t="shared" ref="G7846:M7846" si="1719">"X"</f>
        <v>X</v>
      </c>
      <c r="H7846" s="1" t="str">
        <f t="shared" si="1719"/>
        <v>X</v>
      </c>
      <c r="I7846" s="1" t="str">
        <f t="shared" si="1719"/>
        <v>X</v>
      </c>
      <c r="J7846" s="1" t="str">
        <f t="shared" si="1719"/>
        <v>X</v>
      </c>
      <c r="K7846" s="1" t="str">
        <f t="shared" si="1719"/>
        <v>X</v>
      </c>
      <c r="L7846" s="1" t="str">
        <f t="shared" si="1719"/>
        <v>X</v>
      </c>
      <c r="M7846" s="1" t="str">
        <f t="shared" si="1719"/>
        <v>X</v>
      </c>
      <c r="N7846" t="s">
        <v>27</v>
      </c>
    </row>
    <row r="7847" spans="1:14" x14ac:dyDescent="0.25">
      <c r="A7847" t="s">
        <v>42</v>
      </c>
      <c r="B7847" t="s">
        <v>40</v>
      </c>
      <c r="C7847" t="s">
        <v>38</v>
      </c>
      <c r="D7847" t="s">
        <v>33</v>
      </c>
      <c r="E7847" t="s">
        <v>26</v>
      </c>
      <c r="F7847" t="s">
        <v>15</v>
      </c>
      <c r="G7847" s="1" t="str">
        <f t="shared" ref="G7847:M7856" si="1720">"..."</f>
        <v>...</v>
      </c>
      <c r="H7847" s="1" t="str">
        <f t="shared" si="1720"/>
        <v>...</v>
      </c>
      <c r="I7847" s="1" t="str">
        <f t="shared" si="1720"/>
        <v>...</v>
      </c>
      <c r="J7847" s="1" t="str">
        <f t="shared" si="1720"/>
        <v>...</v>
      </c>
      <c r="K7847" s="1" t="str">
        <f t="shared" si="1720"/>
        <v>...</v>
      </c>
      <c r="L7847" s="1" t="str">
        <f t="shared" si="1720"/>
        <v>...</v>
      </c>
      <c r="M7847" s="1" t="str">
        <f t="shared" si="1720"/>
        <v>...</v>
      </c>
      <c r="N7847" t="s">
        <v>30</v>
      </c>
    </row>
    <row r="7848" spans="1:14" x14ac:dyDescent="0.25">
      <c r="A7848" t="s">
        <v>42</v>
      </c>
      <c r="B7848" t="s">
        <v>40</v>
      </c>
      <c r="C7848" t="s">
        <v>38</v>
      </c>
      <c r="D7848" t="s">
        <v>33</v>
      </c>
      <c r="E7848" t="s">
        <v>26</v>
      </c>
      <c r="F7848" t="s">
        <v>17</v>
      </c>
      <c r="G7848" s="1" t="str">
        <f t="shared" si="1720"/>
        <v>...</v>
      </c>
      <c r="H7848" s="1" t="str">
        <f t="shared" si="1720"/>
        <v>...</v>
      </c>
      <c r="I7848" s="1" t="str">
        <f t="shared" si="1720"/>
        <v>...</v>
      </c>
      <c r="J7848" s="1" t="str">
        <f t="shared" si="1720"/>
        <v>...</v>
      </c>
      <c r="K7848" s="1" t="str">
        <f t="shared" si="1720"/>
        <v>...</v>
      </c>
      <c r="L7848" s="1" t="str">
        <f t="shared" si="1720"/>
        <v>...</v>
      </c>
      <c r="M7848" s="1" t="str">
        <f t="shared" si="1720"/>
        <v>...</v>
      </c>
      <c r="N7848" t="s">
        <v>30</v>
      </c>
    </row>
    <row r="7849" spans="1:14" x14ac:dyDescent="0.25">
      <c r="A7849" t="s">
        <v>42</v>
      </c>
      <c r="B7849" t="s">
        <v>40</v>
      </c>
      <c r="C7849" t="s">
        <v>38</v>
      </c>
      <c r="D7849" t="s">
        <v>33</v>
      </c>
      <c r="E7849" t="s">
        <v>26</v>
      </c>
      <c r="F7849" t="s">
        <v>18</v>
      </c>
      <c r="G7849" s="1" t="str">
        <f t="shared" si="1720"/>
        <v>...</v>
      </c>
      <c r="H7849" s="1" t="str">
        <f t="shared" si="1720"/>
        <v>...</v>
      </c>
      <c r="I7849" s="1" t="str">
        <f t="shared" si="1720"/>
        <v>...</v>
      </c>
      <c r="J7849" s="1" t="str">
        <f t="shared" si="1720"/>
        <v>...</v>
      </c>
      <c r="K7849" s="1" t="str">
        <f t="shared" si="1720"/>
        <v>...</v>
      </c>
      <c r="L7849" s="1" t="str">
        <f t="shared" si="1720"/>
        <v>...</v>
      </c>
      <c r="M7849" s="1" t="str">
        <f t="shared" si="1720"/>
        <v>...</v>
      </c>
      <c r="N7849" t="s">
        <v>30</v>
      </c>
    </row>
    <row r="7850" spans="1:14" x14ac:dyDescent="0.25">
      <c r="A7850" t="s">
        <v>42</v>
      </c>
      <c r="B7850" t="s">
        <v>40</v>
      </c>
      <c r="C7850" t="s">
        <v>38</v>
      </c>
      <c r="D7850" t="s">
        <v>33</v>
      </c>
      <c r="E7850" t="s">
        <v>26</v>
      </c>
      <c r="F7850" t="s">
        <v>19</v>
      </c>
      <c r="G7850" s="1" t="str">
        <f t="shared" si="1720"/>
        <v>...</v>
      </c>
      <c r="H7850" s="1" t="str">
        <f t="shared" si="1720"/>
        <v>...</v>
      </c>
      <c r="I7850" s="1" t="str">
        <f t="shared" si="1720"/>
        <v>...</v>
      </c>
      <c r="J7850" s="1" t="str">
        <f t="shared" si="1720"/>
        <v>...</v>
      </c>
      <c r="K7850" s="1" t="str">
        <f t="shared" si="1720"/>
        <v>...</v>
      </c>
      <c r="L7850" s="1" t="str">
        <f t="shared" si="1720"/>
        <v>...</v>
      </c>
      <c r="M7850" s="1" t="str">
        <f t="shared" si="1720"/>
        <v>...</v>
      </c>
      <c r="N7850" t="s">
        <v>30</v>
      </c>
    </row>
    <row r="7851" spans="1:14" x14ac:dyDescent="0.25">
      <c r="A7851" t="s">
        <v>42</v>
      </c>
      <c r="B7851" t="s">
        <v>40</v>
      </c>
      <c r="C7851" t="s">
        <v>38</v>
      </c>
      <c r="D7851" t="s">
        <v>33</v>
      </c>
      <c r="E7851" t="s">
        <v>26</v>
      </c>
      <c r="F7851" t="s">
        <v>20</v>
      </c>
      <c r="G7851" s="1" t="str">
        <f t="shared" si="1720"/>
        <v>...</v>
      </c>
      <c r="H7851" s="1" t="str">
        <f t="shared" si="1720"/>
        <v>...</v>
      </c>
      <c r="I7851" s="1" t="str">
        <f t="shared" si="1720"/>
        <v>...</v>
      </c>
      <c r="J7851" s="1" t="str">
        <f t="shared" si="1720"/>
        <v>...</v>
      </c>
      <c r="K7851" s="1" t="str">
        <f t="shared" si="1720"/>
        <v>...</v>
      </c>
      <c r="L7851" s="1" t="str">
        <f t="shared" si="1720"/>
        <v>...</v>
      </c>
      <c r="M7851" s="1" t="str">
        <f t="shared" si="1720"/>
        <v>...</v>
      </c>
      <c r="N7851" t="s">
        <v>30</v>
      </c>
    </row>
    <row r="7852" spans="1:14" x14ac:dyDescent="0.25">
      <c r="A7852" t="s">
        <v>42</v>
      </c>
      <c r="B7852" t="s">
        <v>40</v>
      </c>
      <c r="C7852" t="s">
        <v>38</v>
      </c>
      <c r="D7852" t="s">
        <v>34</v>
      </c>
      <c r="E7852" t="s">
        <v>15</v>
      </c>
      <c r="F7852" t="s">
        <v>15</v>
      </c>
      <c r="G7852" s="1" t="str">
        <f t="shared" si="1720"/>
        <v>...</v>
      </c>
      <c r="H7852" s="1" t="str">
        <f t="shared" si="1720"/>
        <v>...</v>
      </c>
      <c r="I7852" s="1" t="str">
        <f t="shared" si="1720"/>
        <v>...</v>
      </c>
      <c r="J7852" s="1" t="str">
        <f t="shared" si="1720"/>
        <v>...</v>
      </c>
      <c r="K7852" s="1" t="str">
        <f t="shared" si="1720"/>
        <v>...</v>
      </c>
      <c r="L7852" s="1" t="str">
        <f t="shared" si="1720"/>
        <v>...</v>
      </c>
      <c r="M7852" s="1" t="str">
        <f t="shared" si="1720"/>
        <v>...</v>
      </c>
      <c r="N7852" t="s">
        <v>30</v>
      </c>
    </row>
    <row r="7853" spans="1:14" x14ac:dyDescent="0.25">
      <c r="A7853" t="s">
        <v>42</v>
      </c>
      <c r="B7853" t="s">
        <v>40</v>
      </c>
      <c r="C7853" t="s">
        <v>38</v>
      </c>
      <c r="D7853" t="s">
        <v>34</v>
      </c>
      <c r="E7853" t="s">
        <v>15</v>
      </c>
      <c r="F7853" t="s">
        <v>17</v>
      </c>
      <c r="G7853" s="1" t="str">
        <f t="shared" si="1720"/>
        <v>...</v>
      </c>
      <c r="H7853" s="1" t="str">
        <f t="shared" si="1720"/>
        <v>...</v>
      </c>
      <c r="I7853" s="1" t="str">
        <f t="shared" si="1720"/>
        <v>...</v>
      </c>
      <c r="J7853" s="1" t="str">
        <f t="shared" si="1720"/>
        <v>...</v>
      </c>
      <c r="K7853" s="1" t="str">
        <f t="shared" si="1720"/>
        <v>...</v>
      </c>
      <c r="L7853" s="1" t="str">
        <f t="shared" si="1720"/>
        <v>...</v>
      </c>
      <c r="M7853" s="1" t="str">
        <f t="shared" si="1720"/>
        <v>...</v>
      </c>
      <c r="N7853" t="s">
        <v>30</v>
      </c>
    </row>
    <row r="7854" spans="1:14" x14ac:dyDescent="0.25">
      <c r="A7854" t="s">
        <v>42</v>
      </c>
      <c r="B7854" t="s">
        <v>40</v>
      </c>
      <c r="C7854" t="s">
        <v>38</v>
      </c>
      <c r="D7854" t="s">
        <v>34</v>
      </c>
      <c r="E7854" t="s">
        <v>15</v>
      </c>
      <c r="F7854" t="s">
        <v>18</v>
      </c>
      <c r="G7854" s="1" t="str">
        <f t="shared" si="1720"/>
        <v>...</v>
      </c>
      <c r="H7854" s="1" t="str">
        <f t="shared" si="1720"/>
        <v>...</v>
      </c>
      <c r="I7854" s="1" t="str">
        <f t="shared" si="1720"/>
        <v>...</v>
      </c>
      <c r="J7854" s="1" t="str">
        <f t="shared" si="1720"/>
        <v>...</v>
      </c>
      <c r="K7854" s="1" t="str">
        <f t="shared" si="1720"/>
        <v>...</v>
      </c>
      <c r="L7854" s="1" t="str">
        <f t="shared" si="1720"/>
        <v>...</v>
      </c>
      <c r="M7854" s="1" t="str">
        <f t="shared" si="1720"/>
        <v>...</v>
      </c>
      <c r="N7854" t="s">
        <v>30</v>
      </c>
    </row>
    <row r="7855" spans="1:14" x14ac:dyDescent="0.25">
      <c r="A7855" t="s">
        <v>42</v>
      </c>
      <c r="B7855" t="s">
        <v>40</v>
      </c>
      <c r="C7855" t="s">
        <v>38</v>
      </c>
      <c r="D7855" t="s">
        <v>34</v>
      </c>
      <c r="E7855" t="s">
        <v>15</v>
      </c>
      <c r="F7855" t="s">
        <v>19</v>
      </c>
      <c r="G7855" s="1" t="str">
        <f t="shared" si="1720"/>
        <v>...</v>
      </c>
      <c r="H7855" s="1" t="str">
        <f t="shared" si="1720"/>
        <v>...</v>
      </c>
      <c r="I7855" s="1" t="str">
        <f t="shared" si="1720"/>
        <v>...</v>
      </c>
      <c r="J7855" s="1" t="str">
        <f t="shared" si="1720"/>
        <v>...</v>
      </c>
      <c r="K7855" s="1" t="str">
        <f t="shared" si="1720"/>
        <v>...</v>
      </c>
      <c r="L7855" s="1" t="str">
        <f t="shared" si="1720"/>
        <v>...</v>
      </c>
      <c r="M7855" s="1" t="str">
        <f t="shared" si="1720"/>
        <v>...</v>
      </c>
      <c r="N7855" t="s">
        <v>30</v>
      </c>
    </row>
    <row r="7856" spans="1:14" x14ac:dyDescent="0.25">
      <c r="A7856" t="s">
        <v>42</v>
      </c>
      <c r="B7856" t="s">
        <v>40</v>
      </c>
      <c r="C7856" t="s">
        <v>38</v>
      </c>
      <c r="D7856" t="s">
        <v>34</v>
      </c>
      <c r="E7856" t="s">
        <v>15</v>
      </c>
      <c r="F7856" t="s">
        <v>20</v>
      </c>
      <c r="G7856" s="1" t="str">
        <f t="shared" si="1720"/>
        <v>...</v>
      </c>
      <c r="H7856" s="1" t="str">
        <f t="shared" si="1720"/>
        <v>...</v>
      </c>
      <c r="I7856" s="1" t="str">
        <f t="shared" si="1720"/>
        <v>...</v>
      </c>
      <c r="J7856" s="1" t="str">
        <f t="shared" si="1720"/>
        <v>...</v>
      </c>
      <c r="K7856" s="1" t="str">
        <f t="shared" si="1720"/>
        <v>...</v>
      </c>
      <c r="L7856" s="1" t="str">
        <f t="shared" si="1720"/>
        <v>...</v>
      </c>
      <c r="M7856" s="1" t="str">
        <f t="shared" si="1720"/>
        <v>...</v>
      </c>
      <c r="N7856" t="s">
        <v>30</v>
      </c>
    </row>
    <row r="7857" spans="1:14" x14ac:dyDescent="0.25">
      <c r="A7857" t="s">
        <v>42</v>
      </c>
      <c r="B7857" t="s">
        <v>40</v>
      </c>
      <c r="C7857" t="s">
        <v>38</v>
      </c>
      <c r="D7857" t="s">
        <v>34</v>
      </c>
      <c r="E7857" t="s">
        <v>21</v>
      </c>
      <c r="F7857" t="s">
        <v>15</v>
      </c>
      <c r="G7857" s="1" t="str">
        <f t="shared" ref="G7857:M7866" si="1721">"..."</f>
        <v>...</v>
      </c>
      <c r="H7857" s="1" t="str">
        <f t="shared" si="1721"/>
        <v>...</v>
      </c>
      <c r="I7857" s="1" t="str">
        <f t="shared" si="1721"/>
        <v>...</v>
      </c>
      <c r="J7857" s="1" t="str">
        <f t="shared" si="1721"/>
        <v>...</v>
      </c>
      <c r="K7857" s="1" t="str">
        <f t="shared" si="1721"/>
        <v>...</v>
      </c>
      <c r="L7857" s="1" t="str">
        <f t="shared" si="1721"/>
        <v>...</v>
      </c>
      <c r="M7857" s="1" t="str">
        <f t="shared" si="1721"/>
        <v>...</v>
      </c>
      <c r="N7857" t="s">
        <v>30</v>
      </c>
    </row>
    <row r="7858" spans="1:14" x14ac:dyDescent="0.25">
      <c r="A7858" t="s">
        <v>42</v>
      </c>
      <c r="B7858" t="s">
        <v>40</v>
      </c>
      <c r="C7858" t="s">
        <v>38</v>
      </c>
      <c r="D7858" t="s">
        <v>34</v>
      </c>
      <c r="E7858" t="s">
        <v>21</v>
      </c>
      <c r="F7858" t="s">
        <v>17</v>
      </c>
      <c r="G7858" s="1" t="str">
        <f t="shared" si="1721"/>
        <v>...</v>
      </c>
      <c r="H7858" s="1" t="str">
        <f t="shared" si="1721"/>
        <v>...</v>
      </c>
      <c r="I7858" s="1" t="str">
        <f t="shared" si="1721"/>
        <v>...</v>
      </c>
      <c r="J7858" s="1" t="str">
        <f t="shared" si="1721"/>
        <v>...</v>
      </c>
      <c r="K7858" s="1" t="str">
        <f t="shared" si="1721"/>
        <v>...</v>
      </c>
      <c r="L7858" s="1" t="str">
        <f t="shared" si="1721"/>
        <v>...</v>
      </c>
      <c r="M7858" s="1" t="str">
        <f t="shared" si="1721"/>
        <v>...</v>
      </c>
      <c r="N7858" t="s">
        <v>30</v>
      </c>
    </row>
    <row r="7859" spans="1:14" x14ac:dyDescent="0.25">
      <c r="A7859" t="s">
        <v>42</v>
      </c>
      <c r="B7859" t="s">
        <v>40</v>
      </c>
      <c r="C7859" t="s">
        <v>38</v>
      </c>
      <c r="D7859" t="s">
        <v>34</v>
      </c>
      <c r="E7859" t="s">
        <v>21</v>
      </c>
      <c r="F7859" t="s">
        <v>18</v>
      </c>
      <c r="G7859" s="1" t="str">
        <f t="shared" si="1721"/>
        <v>...</v>
      </c>
      <c r="H7859" s="1" t="str">
        <f t="shared" si="1721"/>
        <v>...</v>
      </c>
      <c r="I7859" s="1" t="str">
        <f t="shared" si="1721"/>
        <v>...</v>
      </c>
      <c r="J7859" s="1" t="str">
        <f t="shared" si="1721"/>
        <v>...</v>
      </c>
      <c r="K7859" s="1" t="str">
        <f t="shared" si="1721"/>
        <v>...</v>
      </c>
      <c r="L7859" s="1" t="str">
        <f t="shared" si="1721"/>
        <v>...</v>
      </c>
      <c r="M7859" s="1" t="str">
        <f t="shared" si="1721"/>
        <v>...</v>
      </c>
      <c r="N7859" t="s">
        <v>30</v>
      </c>
    </row>
    <row r="7860" spans="1:14" x14ac:dyDescent="0.25">
      <c r="A7860" t="s">
        <v>42</v>
      </c>
      <c r="B7860" t="s">
        <v>40</v>
      </c>
      <c r="C7860" t="s">
        <v>38</v>
      </c>
      <c r="D7860" t="s">
        <v>34</v>
      </c>
      <c r="E7860" t="s">
        <v>21</v>
      </c>
      <c r="F7860" t="s">
        <v>19</v>
      </c>
      <c r="G7860" s="1" t="str">
        <f t="shared" si="1721"/>
        <v>...</v>
      </c>
      <c r="H7860" s="1" t="str">
        <f t="shared" si="1721"/>
        <v>...</v>
      </c>
      <c r="I7860" s="1" t="str">
        <f t="shared" si="1721"/>
        <v>...</v>
      </c>
      <c r="J7860" s="1" t="str">
        <f t="shared" si="1721"/>
        <v>...</v>
      </c>
      <c r="K7860" s="1" t="str">
        <f t="shared" si="1721"/>
        <v>...</v>
      </c>
      <c r="L7860" s="1" t="str">
        <f t="shared" si="1721"/>
        <v>...</v>
      </c>
      <c r="M7860" s="1" t="str">
        <f t="shared" si="1721"/>
        <v>...</v>
      </c>
      <c r="N7860" t="s">
        <v>30</v>
      </c>
    </row>
    <row r="7861" spans="1:14" x14ac:dyDescent="0.25">
      <c r="A7861" t="s">
        <v>42</v>
      </c>
      <c r="B7861" t="s">
        <v>40</v>
      </c>
      <c r="C7861" t="s">
        <v>38</v>
      </c>
      <c r="D7861" t="s">
        <v>34</v>
      </c>
      <c r="E7861" t="s">
        <v>21</v>
      </c>
      <c r="F7861" t="s">
        <v>20</v>
      </c>
      <c r="G7861" s="1" t="str">
        <f t="shared" si="1721"/>
        <v>...</v>
      </c>
      <c r="H7861" s="1" t="str">
        <f t="shared" si="1721"/>
        <v>...</v>
      </c>
      <c r="I7861" s="1" t="str">
        <f t="shared" si="1721"/>
        <v>...</v>
      </c>
      <c r="J7861" s="1" t="str">
        <f t="shared" si="1721"/>
        <v>...</v>
      </c>
      <c r="K7861" s="1" t="str">
        <f t="shared" si="1721"/>
        <v>...</v>
      </c>
      <c r="L7861" s="1" t="str">
        <f t="shared" si="1721"/>
        <v>...</v>
      </c>
      <c r="M7861" s="1" t="str">
        <f t="shared" si="1721"/>
        <v>...</v>
      </c>
      <c r="N7861" t="s">
        <v>30</v>
      </c>
    </row>
    <row r="7862" spans="1:14" x14ac:dyDescent="0.25">
      <c r="A7862" t="s">
        <v>42</v>
      </c>
      <c r="B7862" t="s">
        <v>40</v>
      </c>
      <c r="C7862" t="s">
        <v>38</v>
      </c>
      <c r="D7862" t="s">
        <v>34</v>
      </c>
      <c r="E7862" t="s">
        <v>22</v>
      </c>
      <c r="F7862" t="s">
        <v>15</v>
      </c>
      <c r="G7862" s="1" t="str">
        <f t="shared" si="1721"/>
        <v>...</v>
      </c>
      <c r="H7862" s="1" t="str">
        <f t="shared" si="1721"/>
        <v>...</v>
      </c>
      <c r="I7862" s="1" t="str">
        <f t="shared" si="1721"/>
        <v>...</v>
      </c>
      <c r="J7862" s="1" t="str">
        <f t="shared" si="1721"/>
        <v>...</v>
      </c>
      <c r="K7862" s="1" t="str">
        <f t="shared" si="1721"/>
        <v>...</v>
      </c>
      <c r="L7862" s="1" t="str">
        <f t="shared" si="1721"/>
        <v>...</v>
      </c>
      <c r="M7862" s="1" t="str">
        <f t="shared" si="1721"/>
        <v>...</v>
      </c>
      <c r="N7862" t="s">
        <v>30</v>
      </c>
    </row>
    <row r="7863" spans="1:14" x14ac:dyDescent="0.25">
      <c r="A7863" t="s">
        <v>42</v>
      </c>
      <c r="B7863" t="s">
        <v>40</v>
      </c>
      <c r="C7863" t="s">
        <v>38</v>
      </c>
      <c r="D7863" t="s">
        <v>34</v>
      </c>
      <c r="E7863" t="s">
        <v>22</v>
      </c>
      <c r="F7863" t="s">
        <v>17</v>
      </c>
      <c r="G7863" s="1" t="str">
        <f t="shared" si="1721"/>
        <v>...</v>
      </c>
      <c r="H7863" s="1" t="str">
        <f t="shared" si="1721"/>
        <v>...</v>
      </c>
      <c r="I7863" s="1" t="str">
        <f t="shared" si="1721"/>
        <v>...</v>
      </c>
      <c r="J7863" s="1" t="str">
        <f t="shared" si="1721"/>
        <v>...</v>
      </c>
      <c r="K7863" s="1" t="str">
        <f t="shared" si="1721"/>
        <v>...</v>
      </c>
      <c r="L7863" s="1" t="str">
        <f t="shared" si="1721"/>
        <v>...</v>
      </c>
      <c r="M7863" s="1" t="str">
        <f t="shared" si="1721"/>
        <v>...</v>
      </c>
      <c r="N7863" t="s">
        <v>30</v>
      </c>
    </row>
    <row r="7864" spans="1:14" x14ac:dyDescent="0.25">
      <c r="A7864" t="s">
        <v>42</v>
      </c>
      <c r="B7864" t="s">
        <v>40</v>
      </c>
      <c r="C7864" t="s">
        <v>38</v>
      </c>
      <c r="D7864" t="s">
        <v>34</v>
      </c>
      <c r="E7864" t="s">
        <v>22</v>
      </c>
      <c r="F7864" t="s">
        <v>18</v>
      </c>
      <c r="G7864" s="1" t="str">
        <f t="shared" si="1721"/>
        <v>...</v>
      </c>
      <c r="H7864" s="1" t="str">
        <f t="shared" si="1721"/>
        <v>...</v>
      </c>
      <c r="I7864" s="1" t="str">
        <f t="shared" si="1721"/>
        <v>...</v>
      </c>
      <c r="J7864" s="1" t="str">
        <f t="shared" si="1721"/>
        <v>...</v>
      </c>
      <c r="K7864" s="1" t="str">
        <f t="shared" si="1721"/>
        <v>...</v>
      </c>
      <c r="L7864" s="1" t="str">
        <f t="shared" si="1721"/>
        <v>...</v>
      </c>
      <c r="M7864" s="1" t="str">
        <f t="shared" si="1721"/>
        <v>...</v>
      </c>
      <c r="N7864" t="s">
        <v>30</v>
      </c>
    </row>
    <row r="7865" spans="1:14" x14ac:dyDescent="0.25">
      <c r="A7865" t="s">
        <v>42</v>
      </c>
      <c r="B7865" t="s">
        <v>40</v>
      </c>
      <c r="C7865" t="s">
        <v>38</v>
      </c>
      <c r="D7865" t="s">
        <v>34</v>
      </c>
      <c r="E7865" t="s">
        <v>22</v>
      </c>
      <c r="F7865" t="s">
        <v>19</v>
      </c>
      <c r="G7865" s="1" t="str">
        <f t="shared" si="1721"/>
        <v>...</v>
      </c>
      <c r="H7865" s="1" t="str">
        <f t="shared" si="1721"/>
        <v>...</v>
      </c>
      <c r="I7865" s="1" t="str">
        <f t="shared" si="1721"/>
        <v>...</v>
      </c>
      <c r="J7865" s="1" t="str">
        <f t="shared" si="1721"/>
        <v>...</v>
      </c>
      <c r="K7865" s="1" t="str">
        <f t="shared" si="1721"/>
        <v>...</v>
      </c>
      <c r="L7865" s="1" t="str">
        <f t="shared" si="1721"/>
        <v>...</v>
      </c>
      <c r="M7865" s="1" t="str">
        <f t="shared" si="1721"/>
        <v>...</v>
      </c>
      <c r="N7865" t="s">
        <v>30</v>
      </c>
    </row>
    <row r="7866" spans="1:14" x14ac:dyDescent="0.25">
      <c r="A7866" t="s">
        <v>42</v>
      </c>
      <c r="B7866" t="s">
        <v>40</v>
      </c>
      <c r="C7866" t="s">
        <v>38</v>
      </c>
      <c r="D7866" t="s">
        <v>34</v>
      </c>
      <c r="E7866" t="s">
        <v>22</v>
      </c>
      <c r="F7866" t="s">
        <v>20</v>
      </c>
      <c r="G7866" s="1" t="str">
        <f t="shared" si="1721"/>
        <v>...</v>
      </c>
      <c r="H7866" s="1" t="str">
        <f t="shared" si="1721"/>
        <v>...</v>
      </c>
      <c r="I7866" s="1" t="str">
        <f t="shared" si="1721"/>
        <v>...</v>
      </c>
      <c r="J7866" s="1" t="str">
        <f t="shared" si="1721"/>
        <v>...</v>
      </c>
      <c r="K7866" s="1" t="str">
        <f t="shared" si="1721"/>
        <v>...</v>
      </c>
      <c r="L7866" s="1" t="str">
        <f t="shared" si="1721"/>
        <v>...</v>
      </c>
      <c r="M7866" s="1" t="str">
        <f t="shared" si="1721"/>
        <v>...</v>
      </c>
      <c r="N7866" t="s">
        <v>30</v>
      </c>
    </row>
    <row r="7867" spans="1:14" x14ac:dyDescent="0.25">
      <c r="A7867" t="s">
        <v>42</v>
      </c>
      <c r="B7867" t="s">
        <v>40</v>
      </c>
      <c r="C7867" t="s">
        <v>38</v>
      </c>
      <c r="D7867" t="s">
        <v>34</v>
      </c>
      <c r="E7867" t="s">
        <v>23</v>
      </c>
      <c r="F7867" t="s">
        <v>15</v>
      </c>
      <c r="G7867" s="1" t="str">
        <f t="shared" ref="G7867:M7876" si="1722">"..."</f>
        <v>...</v>
      </c>
      <c r="H7867" s="1" t="str">
        <f t="shared" si="1722"/>
        <v>...</v>
      </c>
      <c r="I7867" s="1" t="str">
        <f t="shared" si="1722"/>
        <v>...</v>
      </c>
      <c r="J7867" s="1" t="str">
        <f t="shared" si="1722"/>
        <v>...</v>
      </c>
      <c r="K7867" s="1" t="str">
        <f t="shared" si="1722"/>
        <v>...</v>
      </c>
      <c r="L7867" s="1" t="str">
        <f t="shared" si="1722"/>
        <v>...</v>
      </c>
      <c r="M7867" s="1" t="str">
        <f t="shared" si="1722"/>
        <v>...</v>
      </c>
      <c r="N7867" t="s">
        <v>30</v>
      </c>
    </row>
    <row r="7868" spans="1:14" x14ac:dyDescent="0.25">
      <c r="A7868" t="s">
        <v>42</v>
      </c>
      <c r="B7868" t="s">
        <v>40</v>
      </c>
      <c r="C7868" t="s">
        <v>38</v>
      </c>
      <c r="D7868" t="s">
        <v>34</v>
      </c>
      <c r="E7868" t="s">
        <v>23</v>
      </c>
      <c r="F7868" t="s">
        <v>17</v>
      </c>
      <c r="G7868" s="1" t="str">
        <f t="shared" si="1722"/>
        <v>...</v>
      </c>
      <c r="H7868" s="1" t="str">
        <f t="shared" si="1722"/>
        <v>...</v>
      </c>
      <c r="I7868" s="1" t="str">
        <f t="shared" si="1722"/>
        <v>...</v>
      </c>
      <c r="J7868" s="1" t="str">
        <f t="shared" si="1722"/>
        <v>...</v>
      </c>
      <c r="K7868" s="1" t="str">
        <f t="shared" si="1722"/>
        <v>...</v>
      </c>
      <c r="L7868" s="1" t="str">
        <f t="shared" si="1722"/>
        <v>...</v>
      </c>
      <c r="M7868" s="1" t="str">
        <f t="shared" si="1722"/>
        <v>...</v>
      </c>
      <c r="N7868" t="s">
        <v>30</v>
      </c>
    </row>
    <row r="7869" spans="1:14" x14ac:dyDescent="0.25">
      <c r="A7869" t="s">
        <v>42</v>
      </c>
      <c r="B7869" t="s">
        <v>40</v>
      </c>
      <c r="C7869" t="s">
        <v>38</v>
      </c>
      <c r="D7869" t="s">
        <v>34</v>
      </c>
      <c r="E7869" t="s">
        <v>23</v>
      </c>
      <c r="F7869" t="s">
        <v>18</v>
      </c>
      <c r="G7869" s="1" t="str">
        <f t="shared" si="1722"/>
        <v>...</v>
      </c>
      <c r="H7869" s="1" t="str">
        <f t="shared" si="1722"/>
        <v>...</v>
      </c>
      <c r="I7869" s="1" t="str">
        <f t="shared" si="1722"/>
        <v>...</v>
      </c>
      <c r="J7869" s="1" t="str">
        <f t="shared" si="1722"/>
        <v>...</v>
      </c>
      <c r="K7869" s="1" t="str">
        <f t="shared" si="1722"/>
        <v>...</v>
      </c>
      <c r="L7869" s="1" t="str">
        <f t="shared" si="1722"/>
        <v>...</v>
      </c>
      <c r="M7869" s="1" t="str">
        <f t="shared" si="1722"/>
        <v>...</v>
      </c>
      <c r="N7869" t="s">
        <v>30</v>
      </c>
    </row>
    <row r="7870" spans="1:14" x14ac:dyDescent="0.25">
      <c r="A7870" t="s">
        <v>42</v>
      </c>
      <c r="B7870" t="s">
        <v>40</v>
      </c>
      <c r="C7870" t="s">
        <v>38</v>
      </c>
      <c r="D7870" t="s">
        <v>34</v>
      </c>
      <c r="E7870" t="s">
        <v>23</v>
      </c>
      <c r="F7870" t="s">
        <v>19</v>
      </c>
      <c r="G7870" s="1" t="str">
        <f t="shared" si="1722"/>
        <v>...</v>
      </c>
      <c r="H7870" s="1" t="str">
        <f t="shared" si="1722"/>
        <v>...</v>
      </c>
      <c r="I7870" s="1" t="str">
        <f t="shared" si="1722"/>
        <v>...</v>
      </c>
      <c r="J7870" s="1" t="str">
        <f t="shared" si="1722"/>
        <v>...</v>
      </c>
      <c r="K7870" s="1" t="str">
        <f t="shared" si="1722"/>
        <v>...</v>
      </c>
      <c r="L7870" s="1" t="str">
        <f t="shared" si="1722"/>
        <v>...</v>
      </c>
      <c r="M7870" s="1" t="str">
        <f t="shared" si="1722"/>
        <v>...</v>
      </c>
      <c r="N7870" t="s">
        <v>30</v>
      </c>
    </row>
    <row r="7871" spans="1:14" x14ac:dyDescent="0.25">
      <c r="A7871" t="s">
        <v>42</v>
      </c>
      <c r="B7871" t="s">
        <v>40</v>
      </c>
      <c r="C7871" t="s">
        <v>38</v>
      </c>
      <c r="D7871" t="s">
        <v>34</v>
      </c>
      <c r="E7871" t="s">
        <v>23</v>
      </c>
      <c r="F7871" t="s">
        <v>20</v>
      </c>
      <c r="G7871" s="1" t="str">
        <f t="shared" si="1722"/>
        <v>...</v>
      </c>
      <c r="H7871" s="1" t="str">
        <f t="shared" si="1722"/>
        <v>...</v>
      </c>
      <c r="I7871" s="1" t="str">
        <f t="shared" si="1722"/>
        <v>...</v>
      </c>
      <c r="J7871" s="1" t="str">
        <f t="shared" si="1722"/>
        <v>...</v>
      </c>
      <c r="K7871" s="1" t="str">
        <f t="shared" si="1722"/>
        <v>...</v>
      </c>
      <c r="L7871" s="1" t="str">
        <f t="shared" si="1722"/>
        <v>...</v>
      </c>
      <c r="M7871" s="1" t="str">
        <f t="shared" si="1722"/>
        <v>...</v>
      </c>
      <c r="N7871" t="s">
        <v>30</v>
      </c>
    </row>
    <row r="7872" spans="1:14" x14ac:dyDescent="0.25">
      <c r="A7872" t="s">
        <v>42</v>
      </c>
      <c r="B7872" t="s">
        <v>40</v>
      </c>
      <c r="C7872" t="s">
        <v>38</v>
      </c>
      <c r="D7872" t="s">
        <v>34</v>
      </c>
      <c r="E7872" t="s">
        <v>26</v>
      </c>
      <c r="F7872" t="s">
        <v>15</v>
      </c>
      <c r="G7872" s="1" t="str">
        <f t="shared" si="1722"/>
        <v>...</v>
      </c>
      <c r="H7872" s="1" t="str">
        <f t="shared" si="1722"/>
        <v>...</v>
      </c>
      <c r="I7872" s="1" t="str">
        <f t="shared" si="1722"/>
        <v>...</v>
      </c>
      <c r="J7872" s="1" t="str">
        <f t="shared" si="1722"/>
        <v>...</v>
      </c>
      <c r="K7872" s="1" t="str">
        <f t="shared" si="1722"/>
        <v>...</v>
      </c>
      <c r="L7872" s="1" t="str">
        <f t="shared" si="1722"/>
        <v>...</v>
      </c>
      <c r="M7872" s="1" t="str">
        <f t="shared" si="1722"/>
        <v>...</v>
      </c>
      <c r="N7872" t="s">
        <v>30</v>
      </c>
    </row>
    <row r="7873" spans="1:14" x14ac:dyDescent="0.25">
      <c r="A7873" t="s">
        <v>42</v>
      </c>
      <c r="B7873" t="s">
        <v>40</v>
      </c>
      <c r="C7873" t="s">
        <v>38</v>
      </c>
      <c r="D7873" t="s">
        <v>34</v>
      </c>
      <c r="E7873" t="s">
        <v>26</v>
      </c>
      <c r="F7873" t="s">
        <v>17</v>
      </c>
      <c r="G7873" s="1" t="str">
        <f t="shared" si="1722"/>
        <v>...</v>
      </c>
      <c r="H7873" s="1" t="str">
        <f t="shared" si="1722"/>
        <v>...</v>
      </c>
      <c r="I7873" s="1" t="str">
        <f t="shared" si="1722"/>
        <v>...</v>
      </c>
      <c r="J7873" s="1" t="str">
        <f t="shared" si="1722"/>
        <v>...</v>
      </c>
      <c r="K7873" s="1" t="str">
        <f t="shared" si="1722"/>
        <v>...</v>
      </c>
      <c r="L7873" s="1" t="str">
        <f t="shared" si="1722"/>
        <v>...</v>
      </c>
      <c r="M7873" s="1" t="str">
        <f t="shared" si="1722"/>
        <v>...</v>
      </c>
      <c r="N7873" t="s">
        <v>30</v>
      </c>
    </row>
    <row r="7874" spans="1:14" x14ac:dyDescent="0.25">
      <c r="A7874" t="s">
        <v>42</v>
      </c>
      <c r="B7874" t="s">
        <v>40</v>
      </c>
      <c r="C7874" t="s">
        <v>38</v>
      </c>
      <c r="D7874" t="s">
        <v>34</v>
      </c>
      <c r="E7874" t="s">
        <v>26</v>
      </c>
      <c r="F7874" t="s">
        <v>18</v>
      </c>
      <c r="G7874" s="1" t="str">
        <f t="shared" si="1722"/>
        <v>...</v>
      </c>
      <c r="H7874" s="1" t="str">
        <f t="shared" si="1722"/>
        <v>...</v>
      </c>
      <c r="I7874" s="1" t="str">
        <f t="shared" si="1722"/>
        <v>...</v>
      </c>
      <c r="J7874" s="1" t="str">
        <f t="shared" si="1722"/>
        <v>...</v>
      </c>
      <c r="K7874" s="1" t="str">
        <f t="shared" si="1722"/>
        <v>...</v>
      </c>
      <c r="L7874" s="1" t="str">
        <f t="shared" si="1722"/>
        <v>...</v>
      </c>
      <c r="M7874" s="1" t="str">
        <f t="shared" si="1722"/>
        <v>...</v>
      </c>
      <c r="N7874" t="s">
        <v>30</v>
      </c>
    </row>
    <row r="7875" spans="1:14" x14ac:dyDescent="0.25">
      <c r="A7875" t="s">
        <v>42</v>
      </c>
      <c r="B7875" t="s">
        <v>40</v>
      </c>
      <c r="C7875" t="s">
        <v>38</v>
      </c>
      <c r="D7875" t="s">
        <v>34</v>
      </c>
      <c r="E7875" t="s">
        <v>26</v>
      </c>
      <c r="F7875" t="s">
        <v>19</v>
      </c>
      <c r="G7875" s="1" t="str">
        <f t="shared" si="1722"/>
        <v>...</v>
      </c>
      <c r="H7875" s="1" t="str">
        <f t="shared" si="1722"/>
        <v>...</v>
      </c>
      <c r="I7875" s="1" t="str">
        <f t="shared" si="1722"/>
        <v>...</v>
      </c>
      <c r="J7875" s="1" t="str">
        <f t="shared" si="1722"/>
        <v>...</v>
      </c>
      <c r="K7875" s="1" t="str">
        <f t="shared" si="1722"/>
        <v>...</v>
      </c>
      <c r="L7875" s="1" t="str">
        <f t="shared" si="1722"/>
        <v>...</v>
      </c>
      <c r="M7875" s="1" t="str">
        <f t="shared" si="1722"/>
        <v>...</v>
      </c>
      <c r="N7875" t="s">
        <v>30</v>
      </c>
    </row>
    <row r="7876" spans="1:14" x14ac:dyDescent="0.25">
      <c r="A7876" t="s">
        <v>42</v>
      </c>
      <c r="B7876" t="s">
        <v>40</v>
      </c>
      <c r="C7876" t="s">
        <v>38</v>
      </c>
      <c r="D7876" t="s">
        <v>34</v>
      </c>
      <c r="E7876" t="s">
        <v>26</v>
      </c>
      <c r="F7876" t="s">
        <v>20</v>
      </c>
      <c r="G7876" s="1" t="str">
        <f t="shared" si="1722"/>
        <v>...</v>
      </c>
      <c r="H7876" s="1" t="str">
        <f t="shared" si="1722"/>
        <v>...</v>
      </c>
      <c r="I7876" s="1" t="str">
        <f t="shared" si="1722"/>
        <v>...</v>
      </c>
      <c r="J7876" s="1" t="str">
        <f t="shared" si="1722"/>
        <v>...</v>
      </c>
      <c r="K7876" s="1" t="str">
        <f t="shared" si="1722"/>
        <v>...</v>
      </c>
      <c r="L7876" s="1" t="str">
        <f t="shared" si="1722"/>
        <v>...</v>
      </c>
      <c r="M7876" s="1" t="str">
        <f t="shared" si="1722"/>
        <v>...</v>
      </c>
      <c r="N7876" t="s">
        <v>30</v>
      </c>
    </row>
    <row r="7877" spans="1:14" x14ac:dyDescent="0.25">
      <c r="A7877" t="s">
        <v>43</v>
      </c>
      <c r="B7877" t="s">
        <v>15</v>
      </c>
      <c r="C7877" t="s">
        <v>15</v>
      </c>
      <c r="D7877" t="s">
        <v>15</v>
      </c>
      <c r="E7877" t="s">
        <v>15</v>
      </c>
      <c r="F7877" t="s">
        <v>15</v>
      </c>
      <c r="G7877" s="1">
        <f>VALUE(122088.92)</f>
        <v>122088.92</v>
      </c>
      <c r="H7877" s="1">
        <f>VALUE(106039.91)</f>
        <v>106039.91</v>
      </c>
      <c r="I7877" s="1">
        <f>VALUE(3402)</f>
        <v>3402</v>
      </c>
      <c r="J7877" s="1">
        <f>VALUE(4051)</f>
        <v>4051</v>
      </c>
      <c r="K7877" s="1">
        <f>VALUE(5125)</f>
        <v>5125</v>
      </c>
      <c r="L7877" s="1">
        <f>VALUE(6394)</f>
        <v>6394</v>
      </c>
      <c r="M7877" s="1">
        <f>VALUE(8333)</f>
        <v>8333</v>
      </c>
      <c r="N7877" t="s">
        <v>16</v>
      </c>
    </row>
    <row r="7878" spans="1:14" x14ac:dyDescent="0.25">
      <c r="A7878" t="s">
        <v>43</v>
      </c>
      <c r="B7878" t="s">
        <v>15</v>
      </c>
      <c r="C7878" t="s">
        <v>15</v>
      </c>
      <c r="D7878" t="s">
        <v>15</v>
      </c>
      <c r="E7878" t="s">
        <v>15</v>
      </c>
      <c r="F7878" t="s">
        <v>17</v>
      </c>
      <c r="G7878" s="1">
        <f>VALUE(14478.02)</f>
        <v>14478.02</v>
      </c>
      <c r="H7878" s="1">
        <f>VALUE(13372.8)</f>
        <v>13372.8</v>
      </c>
      <c r="I7878" s="1">
        <f>VALUE(5031)</f>
        <v>5031</v>
      </c>
      <c r="J7878" s="1">
        <f>VALUE(6138)</f>
        <v>6138</v>
      </c>
      <c r="K7878" s="1">
        <f>VALUE(7999)</f>
        <v>7999</v>
      </c>
      <c r="L7878" s="1">
        <f>VALUE(10833)</f>
        <v>10833</v>
      </c>
      <c r="M7878" s="1">
        <f>VALUE(15774)</f>
        <v>15774</v>
      </c>
      <c r="N7878" t="s">
        <v>16</v>
      </c>
    </row>
    <row r="7879" spans="1:14" x14ac:dyDescent="0.25">
      <c r="A7879" t="s">
        <v>43</v>
      </c>
      <c r="B7879" t="s">
        <v>15</v>
      </c>
      <c r="C7879" t="s">
        <v>15</v>
      </c>
      <c r="D7879" t="s">
        <v>15</v>
      </c>
      <c r="E7879" t="s">
        <v>15</v>
      </c>
      <c r="F7879" t="s">
        <v>18</v>
      </c>
      <c r="G7879" s="1">
        <f>VALUE(11703.86)</f>
        <v>11703.86</v>
      </c>
      <c r="H7879" s="1">
        <f>VALUE(10583.05)</f>
        <v>10583.05</v>
      </c>
      <c r="I7879" s="1">
        <f>VALUE(4127)</f>
        <v>4127</v>
      </c>
      <c r="J7879" s="1">
        <f>VALUE(4875)</f>
        <v>4875</v>
      </c>
      <c r="K7879" s="1">
        <f>VALUE(6129)</f>
        <v>6129</v>
      </c>
      <c r="L7879" s="1">
        <f>VALUE(7857)</f>
        <v>7857</v>
      </c>
      <c r="M7879" s="1">
        <f>VALUE(10079)</f>
        <v>10079</v>
      </c>
      <c r="N7879" t="s">
        <v>16</v>
      </c>
    </row>
    <row r="7880" spans="1:14" x14ac:dyDescent="0.25">
      <c r="A7880" t="s">
        <v>43</v>
      </c>
      <c r="B7880" t="s">
        <v>15</v>
      </c>
      <c r="C7880" t="s">
        <v>15</v>
      </c>
      <c r="D7880" t="s">
        <v>15</v>
      </c>
      <c r="E7880" t="s">
        <v>15</v>
      </c>
      <c r="F7880" t="s">
        <v>19</v>
      </c>
      <c r="G7880" s="1">
        <f>VALUE(15604.36)</f>
        <v>15604.36</v>
      </c>
      <c r="H7880" s="1">
        <f>VALUE(14730.22)</f>
        <v>14730.22</v>
      </c>
      <c r="I7880" s="1">
        <f>VALUE(3791)</f>
        <v>3791</v>
      </c>
      <c r="J7880" s="1">
        <f>VALUE(4385)</f>
        <v>4385</v>
      </c>
      <c r="K7880" s="1">
        <f>VALUE(5366)</f>
        <v>5366</v>
      </c>
      <c r="L7880" s="1">
        <f>VALUE(6551)</f>
        <v>6551</v>
      </c>
      <c r="M7880" s="1">
        <f>VALUE(7771)</f>
        <v>7771</v>
      </c>
      <c r="N7880" t="s">
        <v>16</v>
      </c>
    </row>
    <row r="7881" spans="1:14" x14ac:dyDescent="0.25">
      <c r="A7881" t="s">
        <v>43</v>
      </c>
      <c r="B7881" t="s">
        <v>15</v>
      </c>
      <c r="C7881" t="s">
        <v>15</v>
      </c>
      <c r="D7881" t="s">
        <v>15</v>
      </c>
      <c r="E7881" t="s">
        <v>15</v>
      </c>
      <c r="F7881" t="s">
        <v>20</v>
      </c>
      <c r="G7881" s="1">
        <f>VALUE(80302.68)</f>
        <v>80302.679999999993</v>
      </c>
      <c r="H7881" s="1">
        <f>VALUE(67353.84)</f>
        <v>67353.84</v>
      </c>
      <c r="I7881" s="1">
        <f>VALUE(3232)</f>
        <v>3232</v>
      </c>
      <c r="J7881" s="1">
        <f>VALUE(3714)</f>
        <v>3714</v>
      </c>
      <c r="K7881" s="1">
        <f>VALUE(4640)</f>
        <v>4640</v>
      </c>
      <c r="L7881" s="1">
        <f>VALUE(5563)</f>
        <v>5563</v>
      </c>
      <c r="M7881" s="1">
        <f>VALUE(6556)</f>
        <v>6556</v>
      </c>
      <c r="N7881" t="s">
        <v>16</v>
      </c>
    </row>
    <row r="7882" spans="1:14" x14ac:dyDescent="0.25">
      <c r="A7882" t="s">
        <v>43</v>
      </c>
      <c r="B7882" t="s">
        <v>15</v>
      </c>
      <c r="C7882" t="s">
        <v>15</v>
      </c>
      <c r="D7882" t="s">
        <v>15</v>
      </c>
      <c r="E7882" t="s">
        <v>21</v>
      </c>
      <c r="F7882" t="s">
        <v>15</v>
      </c>
      <c r="G7882" s="1">
        <f>VALUE(25437.78)</f>
        <v>25437.78</v>
      </c>
      <c r="H7882" s="1">
        <f>VALUE(22336.33)</f>
        <v>22336.33</v>
      </c>
      <c r="I7882" s="1">
        <f>VALUE(4230)</f>
        <v>4230</v>
      </c>
      <c r="J7882" s="1">
        <f>VALUE(5247)</f>
        <v>5247</v>
      </c>
      <c r="K7882" s="1">
        <f>VALUE(6640)</f>
        <v>6640</v>
      </c>
      <c r="L7882" s="1">
        <f>VALUE(8881)</f>
        <v>8881</v>
      </c>
      <c r="M7882" s="1">
        <f>VALUE(12254)</f>
        <v>12254</v>
      </c>
      <c r="N7882" t="s">
        <v>16</v>
      </c>
    </row>
    <row r="7883" spans="1:14" x14ac:dyDescent="0.25">
      <c r="A7883" t="s">
        <v>43</v>
      </c>
      <c r="B7883" t="s">
        <v>15</v>
      </c>
      <c r="C7883" t="s">
        <v>15</v>
      </c>
      <c r="D7883" t="s">
        <v>15</v>
      </c>
      <c r="E7883" t="s">
        <v>21</v>
      </c>
      <c r="F7883" t="s">
        <v>17</v>
      </c>
      <c r="G7883" s="1">
        <f>VALUE(7201.69)</f>
        <v>7201.69</v>
      </c>
      <c r="H7883" s="1">
        <f>VALUE(6575.59)</f>
        <v>6575.59</v>
      </c>
      <c r="I7883" s="1">
        <f>VALUE(5785)</f>
        <v>5785</v>
      </c>
      <c r="J7883" s="1">
        <f>VALUE(7367)</f>
        <v>7367</v>
      </c>
      <c r="K7883" s="1">
        <f>VALUE(9587)</f>
        <v>9587</v>
      </c>
      <c r="L7883" s="1">
        <f>VALUE(12875)</f>
        <v>12875</v>
      </c>
      <c r="M7883" s="1">
        <f>VALUE(18029)</f>
        <v>18029</v>
      </c>
      <c r="N7883" t="s">
        <v>16</v>
      </c>
    </row>
    <row r="7884" spans="1:14" x14ac:dyDescent="0.25">
      <c r="A7884" t="s">
        <v>43</v>
      </c>
      <c r="B7884" t="s">
        <v>15</v>
      </c>
      <c r="C7884" t="s">
        <v>15</v>
      </c>
      <c r="D7884" t="s">
        <v>15</v>
      </c>
      <c r="E7884" t="s">
        <v>21</v>
      </c>
      <c r="F7884" t="s">
        <v>18</v>
      </c>
      <c r="G7884" s="1">
        <f>VALUE(4197.89)</f>
        <v>4197.8900000000003</v>
      </c>
      <c r="H7884" s="1">
        <f>VALUE(3728.24)</f>
        <v>3728.24</v>
      </c>
      <c r="I7884" s="4">
        <f>VALUE(4759)</f>
        <v>4759</v>
      </c>
      <c r="J7884" s="1">
        <f>VALUE(5661)</f>
        <v>5661</v>
      </c>
      <c r="K7884" s="1">
        <f>VALUE(7358)</f>
        <v>7358</v>
      </c>
      <c r="L7884" s="1">
        <f>VALUE(9125)</f>
        <v>9125</v>
      </c>
      <c r="M7884" s="1">
        <f>VALUE(11254)</f>
        <v>11254</v>
      </c>
      <c r="N7884" t="s">
        <v>25</v>
      </c>
    </row>
    <row r="7885" spans="1:14" x14ac:dyDescent="0.25">
      <c r="A7885" t="s">
        <v>43</v>
      </c>
      <c r="B7885" t="s">
        <v>15</v>
      </c>
      <c r="C7885" t="s">
        <v>15</v>
      </c>
      <c r="D7885" t="s">
        <v>15</v>
      </c>
      <c r="E7885" t="s">
        <v>21</v>
      </c>
      <c r="F7885" t="s">
        <v>19</v>
      </c>
      <c r="G7885" s="1">
        <f>VALUE(3604.41)</f>
        <v>3604.41</v>
      </c>
      <c r="H7885" s="3">
        <f>VALUE(3319.89)</f>
        <v>3319.89</v>
      </c>
      <c r="I7885" s="1">
        <f>VALUE(4522)</f>
        <v>4522</v>
      </c>
      <c r="J7885" s="1">
        <f>VALUE(5327)</f>
        <v>5327</v>
      </c>
      <c r="K7885" s="1">
        <f>VALUE(6456)</f>
        <v>6456</v>
      </c>
      <c r="L7885" s="1">
        <f>VALUE(7738)</f>
        <v>7738</v>
      </c>
      <c r="M7885" s="1">
        <f>VALUE(9169)</f>
        <v>9169</v>
      </c>
      <c r="N7885" t="s">
        <v>25</v>
      </c>
    </row>
    <row r="7886" spans="1:14" x14ac:dyDescent="0.25">
      <c r="A7886" t="s">
        <v>43</v>
      </c>
      <c r="B7886" t="s">
        <v>15</v>
      </c>
      <c r="C7886" t="s">
        <v>15</v>
      </c>
      <c r="D7886" t="s">
        <v>15</v>
      </c>
      <c r="E7886" t="s">
        <v>21</v>
      </c>
      <c r="F7886" t="s">
        <v>20</v>
      </c>
      <c r="G7886" s="1">
        <f>VALUE(10433.79)</f>
        <v>10433.790000000001</v>
      </c>
      <c r="H7886" s="1">
        <f>VALUE(8712.61)</f>
        <v>8712.61</v>
      </c>
      <c r="I7886" s="1">
        <f>VALUE(3684)</f>
        <v>3684</v>
      </c>
      <c r="J7886" s="1">
        <f>VALUE(4409)</f>
        <v>4409</v>
      </c>
      <c r="K7886" s="1">
        <f>VALUE(5414)</f>
        <v>5414</v>
      </c>
      <c r="L7886" s="1">
        <f>VALUE(6603)</f>
        <v>6603</v>
      </c>
      <c r="M7886" s="1">
        <f>VALUE(8069)</f>
        <v>8069</v>
      </c>
      <c r="N7886" t="s">
        <v>16</v>
      </c>
    </row>
    <row r="7887" spans="1:14" x14ac:dyDescent="0.25">
      <c r="A7887" t="s">
        <v>43</v>
      </c>
      <c r="B7887" t="s">
        <v>15</v>
      </c>
      <c r="C7887" t="s">
        <v>15</v>
      </c>
      <c r="D7887" t="s">
        <v>15</v>
      </c>
      <c r="E7887" t="s">
        <v>22</v>
      </c>
      <c r="F7887" t="s">
        <v>15</v>
      </c>
      <c r="G7887" s="1">
        <f>VALUE(54813.23)</f>
        <v>54813.23</v>
      </c>
      <c r="H7887" s="1">
        <f>VALUE(48238.35)</f>
        <v>48238.35</v>
      </c>
      <c r="I7887" s="1">
        <f>VALUE(3647)</f>
        <v>3647</v>
      </c>
      <c r="J7887" s="1">
        <f>VALUE(4340)</f>
        <v>4340</v>
      </c>
      <c r="K7887" s="1">
        <f>VALUE(5283)</f>
        <v>5283</v>
      </c>
      <c r="L7887" s="1">
        <f>VALUE(6320)</f>
        <v>6320</v>
      </c>
      <c r="M7887" s="1">
        <f>VALUE(7710)</f>
        <v>7710</v>
      </c>
      <c r="N7887" t="s">
        <v>16</v>
      </c>
    </row>
    <row r="7888" spans="1:14" x14ac:dyDescent="0.25">
      <c r="A7888" t="s">
        <v>43</v>
      </c>
      <c r="B7888" t="s">
        <v>15</v>
      </c>
      <c r="C7888" t="s">
        <v>15</v>
      </c>
      <c r="D7888" t="s">
        <v>15</v>
      </c>
      <c r="E7888" t="s">
        <v>22</v>
      </c>
      <c r="F7888" t="s">
        <v>17</v>
      </c>
      <c r="G7888" s="2">
        <f>VALUE(6021.82)</f>
        <v>6021.82</v>
      </c>
      <c r="H7888" s="3">
        <f>VALUE(5569.9)</f>
        <v>5569.9</v>
      </c>
      <c r="I7888" s="1">
        <f>VALUE(4762)</f>
        <v>4762</v>
      </c>
      <c r="J7888" s="1">
        <f>VALUE(5832)</f>
        <v>5832</v>
      </c>
      <c r="K7888" s="1">
        <f>VALUE(7051)</f>
        <v>7051</v>
      </c>
      <c r="L7888" s="1">
        <f>VALUE(8892)</f>
        <v>8892</v>
      </c>
      <c r="M7888" s="8">
        <f>VALUE(12229)</f>
        <v>12229</v>
      </c>
      <c r="N7888" t="s">
        <v>25</v>
      </c>
    </row>
    <row r="7889" spans="1:14" x14ac:dyDescent="0.25">
      <c r="A7889" t="s">
        <v>43</v>
      </c>
      <c r="B7889" t="s">
        <v>15</v>
      </c>
      <c r="C7889" t="s">
        <v>15</v>
      </c>
      <c r="D7889" t="s">
        <v>15</v>
      </c>
      <c r="E7889" t="s">
        <v>22</v>
      </c>
      <c r="F7889" t="s">
        <v>18</v>
      </c>
      <c r="G7889" s="1">
        <f>VALUE(6005.5)</f>
        <v>6005.5</v>
      </c>
      <c r="H7889" s="1">
        <f>VALUE(5488.77)</f>
        <v>5488.77</v>
      </c>
      <c r="I7889" s="1">
        <f>VALUE(4127)</f>
        <v>4127</v>
      </c>
      <c r="J7889" s="1">
        <f>VALUE(4804)</f>
        <v>4804</v>
      </c>
      <c r="K7889" s="1">
        <f>VALUE(5850)</f>
        <v>5850</v>
      </c>
      <c r="L7889" s="1">
        <f>VALUE(7254)</f>
        <v>7254</v>
      </c>
      <c r="M7889" s="1">
        <f>VALUE(9115)</f>
        <v>9115</v>
      </c>
      <c r="N7889" t="s">
        <v>16</v>
      </c>
    </row>
    <row r="7890" spans="1:14" x14ac:dyDescent="0.25">
      <c r="A7890" t="s">
        <v>43</v>
      </c>
      <c r="B7890" t="s">
        <v>15</v>
      </c>
      <c r="C7890" t="s">
        <v>15</v>
      </c>
      <c r="D7890" t="s">
        <v>15</v>
      </c>
      <c r="E7890" t="s">
        <v>22</v>
      </c>
      <c r="F7890" t="s">
        <v>19</v>
      </c>
      <c r="G7890" s="1">
        <f>VALUE(7690.86)</f>
        <v>7690.86</v>
      </c>
      <c r="H7890" s="1">
        <f>VALUE(7201.61)</f>
        <v>7201.61</v>
      </c>
      <c r="I7890" s="1">
        <f>VALUE(4092)</f>
        <v>4092</v>
      </c>
      <c r="J7890" s="1">
        <f>VALUE(4600)</f>
        <v>4600</v>
      </c>
      <c r="K7890" s="1">
        <f>VALUE(5479)</f>
        <v>5479</v>
      </c>
      <c r="L7890" s="1">
        <f>VALUE(6389)</f>
        <v>6389</v>
      </c>
      <c r="M7890" s="1">
        <f>VALUE(7573)</f>
        <v>7573</v>
      </c>
      <c r="N7890" t="s">
        <v>16</v>
      </c>
    </row>
    <row r="7891" spans="1:14" x14ac:dyDescent="0.25">
      <c r="A7891" t="s">
        <v>43</v>
      </c>
      <c r="B7891" t="s">
        <v>15</v>
      </c>
      <c r="C7891" t="s">
        <v>15</v>
      </c>
      <c r="D7891" t="s">
        <v>15</v>
      </c>
      <c r="E7891" t="s">
        <v>22</v>
      </c>
      <c r="F7891" t="s">
        <v>20</v>
      </c>
      <c r="G7891" s="1">
        <f>VALUE(35095.05)</f>
        <v>35095.050000000003</v>
      </c>
      <c r="H7891" s="1">
        <f>VALUE(29978.07)</f>
        <v>29978.07</v>
      </c>
      <c r="I7891" s="1">
        <f>VALUE(3456)</f>
        <v>3456</v>
      </c>
      <c r="J7891" s="1">
        <f>VALUE(4119)</f>
        <v>4119</v>
      </c>
      <c r="K7891" s="1">
        <f>VALUE(4952)</f>
        <v>4952</v>
      </c>
      <c r="L7891" s="1">
        <f>VALUE(5760)</f>
        <v>5760</v>
      </c>
      <c r="M7891" s="1">
        <f>VALUE(6720)</f>
        <v>6720</v>
      </c>
      <c r="N7891" t="s">
        <v>16</v>
      </c>
    </row>
    <row r="7892" spans="1:14" x14ac:dyDescent="0.25">
      <c r="A7892" t="s">
        <v>43</v>
      </c>
      <c r="B7892" t="s">
        <v>15</v>
      </c>
      <c r="C7892" t="s">
        <v>15</v>
      </c>
      <c r="D7892" t="s">
        <v>15</v>
      </c>
      <c r="E7892" t="s">
        <v>23</v>
      </c>
      <c r="F7892" t="s">
        <v>15</v>
      </c>
      <c r="G7892" s="1">
        <f>VALUE(40112.72)</f>
        <v>40112.720000000001</v>
      </c>
      <c r="H7892" s="1">
        <f>VALUE(34008.68)</f>
        <v>34008.68</v>
      </c>
      <c r="I7892" s="1">
        <f>VALUE(3062)</f>
        <v>3062</v>
      </c>
      <c r="J7892" s="1">
        <f>VALUE(3513)</f>
        <v>3513</v>
      </c>
      <c r="K7892" s="1">
        <f>VALUE(4117)</f>
        <v>4117</v>
      </c>
      <c r="L7892" s="1">
        <f>VALUE(5143)</f>
        <v>5143</v>
      </c>
      <c r="M7892" s="1">
        <f>VALUE(6038)</f>
        <v>6038</v>
      </c>
      <c r="N7892" t="s">
        <v>16</v>
      </c>
    </row>
    <row r="7893" spans="1:14" x14ac:dyDescent="0.25">
      <c r="A7893" t="s">
        <v>43</v>
      </c>
      <c r="B7893" t="s">
        <v>15</v>
      </c>
      <c r="C7893" t="s">
        <v>15</v>
      </c>
      <c r="D7893" t="s">
        <v>15</v>
      </c>
      <c r="E7893" t="s">
        <v>23</v>
      </c>
      <c r="F7893" t="s">
        <v>17</v>
      </c>
      <c r="G7893" s="2">
        <f>VALUE(1116.34)</f>
        <v>1116.3399999999999</v>
      </c>
      <c r="H7893" s="3">
        <f>VALUE(1090.62)</f>
        <v>1090.6199999999999</v>
      </c>
      <c r="I7893" s="4">
        <f>VALUE(3714)</f>
        <v>3714</v>
      </c>
      <c r="J7893" s="5">
        <f>VALUE(4408)</f>
        <v>4408</v>
      </c>
      <c r="K7893" s="6">
        <f>VALUE(5493)</f>
        <v>5493</v>
      </c>
      <c r="L7893" s="7">
        <f>VALUE(7467)</f>
        <v>7467</v>
      </c>
      <c r="M7893" s="8">
        <f>VALUE(8984)</f>
        <v>8984</v>
      </c>
      <c r="N7893" t="s">
        <v>24</v>
      </c>
    </row>
    <row r="7894" spans="1:14" x14ac:dyDescent="0.25">
      <c r="A7894" t="s">
        <v>43</v>
      </c>
      <c r="B7894" t="s">
        <v>15</v>
      </c>
      <c r="C7894" t="s">
        <v>15</v>
      </c>
      <c r="D7894" t="s">
        <v>15</v>
      </c>
      <c r="E7894" t="s">
        <v>23</v>
      </c>
      <c r="F7894" t="s">
        <v>18</v>
      </c>
      <c r="G7894" s="2">
        <f>VALUE(1384.57)</f>
        <v>1384.57</v>
      </c>
      <c r="H7894" s="3">
        <f>VALUE(1265.79)</f>
        <v>1265.79</v>
      </c>
      <c r="I7894" s="4">
        <f>VALUE(3358)</f>
        <v>3358</v>
      </c>
      <c r="J7894" s="5">
        <f>VALUE(3805)</f>
        <v>3805</v>
      </c>
      <c r="K7894" s="6">
        <f>VALUE(4875)</f>
        <v>4875</v>
      </c>
      <c r="L7894" s="7">
        <f>VALUE(5680)</f>
        <v>5680</v>
      </c>
      <c r="M7894" s="1">
        <f>VALUE(6808)</f>
        <v>6808</v>
      </c>
      <c r="N7894" t="s">
        <v>25</v>
      </c>
    </row>
    <row r="7895" spans="1:14" x14ac:dyDescent="0.25">
      <c r="A7895" t="s">
        <v>43</v>
      </c>
      <c r="B7895" t="s">
        <v>15</v>
      </c>
      <c r="C7895" t="s">
        <v>15</v>
      </c>
      <c r="D7895" t="s">
        <v>15</v>
      </c>
      <c r="E7895" t="s">
        <v>23</v>
      </c>
      <c r="F7895" t="s">
        <v>19</v>
      </c>
      <c r="G7895" s="2">
        <f>VALUE(4176.82)</f>
        <v>4176.82</v>
      </c>
      <c r="H7895" s="3">
        <f>VALUE(4094.35)</f>
        <v>4094.35</v>
      </c>
      <c r="I7895" s="4">
        <f>VALUE(3263)</f>
        <v>3263</v>
      </c>
      <c r="J7895" s="1">
        <f>VALUE(3791)</f>
        <v>3791</v>
      </c>
      <c r="K7895" s="6">
        <f>VALUE(4333)</f>
        <v>4333</v>
      </c>
      <c r="L7895" s="7">
        <f>VALUE(5390)</f>
        <v>5390</v>
      </c>
      <c r="M7895" s="8">
        <f>VALUE(6767)</f>
        <v>6767</v>
      </c>
      <c r="N7895" t="s">
        <v>25</v>
      </c>
    </row>
    <row r="7896" spans="1:14" x14ac:dyDescent="0.25">
      <c r="A7896" t="s">
        <v>43</v>
      </c>
      <c r="B7896" t="s">
        <v>15</v>
      </c>
      <c r="C7896" t="s">
        <v>15</v>
      </c>
      <c r="D7896" t="s">
        <v>15</v>
      </c>
      <c r="E7896" t="s">
        <v>23</v>
      </c>
      <c r="F7896" t="s">
        <v>20</v>
      </c>
      <c r="G7896" s="1">
        <f>VALUE(33434.99)</f>
        <v>33434.99</v>
      </c>
      <c r="H7896" s="1">
        <f>VALUE(27557.92)</f>
        <v>27557.919999999998</v>
      </c>
      <c r="I7896" s="1">
        <f>VALUE(2999)</f>
        <v>2999</v>
      </c>
      <c r="J7896" s="1">
        <f>VALUE(3435)</f>
        <v>3435</v>
      </c>
      <c r="K7896" s="1">
        <f>VALUE(3995)</f>
        <v>3995</v>
      </c>
      <c r="L7896" s="1">
        <f>VALUE(4988)</f>
        <v>4988</v>
      </c>
      <c r="M7896" s="1">
        <f>VALUE(5752)</f>
        <v>5752</v>
      </c>
      <c r="N7896" t="s">
        <v>16</v>
      </c>
    </row>
    <row r="7897" spans="1:14" x14ac:dyDescent="0.25">
      <c r="A7897" t="s">
        <v>43</v>
      </c>
      <c r="B7897" t="s">
        <v>15</v>
      </c>
      <c r="C7897" t="s">
        <v>15</v>
      </c>
      <c r="D7897" t="s">
        <v>15</v>
      </c>
      <c r="E7897" t="s">
        <v>26</v>
      </c>
      <c r="F7897" t="s">
        <v>15</v>
      </c>
      <c r="G7897" s="2">
        <f>VALUE(1725.19)</f>
        <v>1725.19</v>
      </c>
      <c r="H7897" s="1">
        <f>VALUE(1456.55)</f>
        <v>1456.55</v>
      </c>
      <c r="I7897" s="1">
        <f>VALUE(3667)</f>
        <v>3667</v>
      </c>
      <c r="J7897" s="1">
        <f>VALUE(4420)</f>
        <v>4420</v>
      </c>
      <c r="K7897" s="1">
        <f>VALUE(5262)</f>
        <v>5262</v>
      </c>
      <c r="L7897" s="1">
        <f>VALUE(6503)</f>
        <v>6503</v>
      </c>
      <c r="M7897" s="1">
        <f>VALUE(9501)</f>
        <v>9501</v>
      </c>
      <c r="N7897" t="s">
        <v>25</v>
      </c>
    </row>
    <row r="7898" spans="1:14" x14ac:dyDescent="0.25">
      <c r="A7898" t="s">
        <v>43</v>
      </c>
      <c r="B7898" t="s">
        <v>15</v>
      </c>
      <c r="C7898" t="s">
        <v>15</v>
      </c>
      <c r="D7898" t="s">
        <v>15</v>
      </c>
      <c r="E7898" t="s">
        <v>26</v>
      </c>
      <c r="F7898" t="s">
        <v>17</v>
      </c>
      <c r="G7898" s="2">
        <f>VALUE(138.17)</f>
        <v>138.16999999999999</v>
      </c>
      <c r="H7898" s="3">
        <f>VALUE(136.69)</f>
        <v>136.69</v>
      </c>
      <c r="I7898" s="1">
        <f>VALUE(5549)</f>
        <v>5549</v>
      </c>
      <c r="J7898" s="1">
        <f>VALUE(8692)</f>
        <v>8692</v>
      </c>
      <c r="K7898" s="6">
        <f>VALUE(12600)</f>
        <v>12600</v>
      </c>
      <c r="L7898" s="7">
        <f>VALUE(15749)</f>
        <v>15749</v>
      </c>
      <c r="M7898" s="1">
        <f>VALUE(20000)</f>
        <v>20000</v>
      </c>
      <c r="N7898" t="s">
        <v>25</v>
      </c>
    </row>
    <row r="7899" spans="1:14" x14ac:dyDescent="0.25">
      <c r="A7899" t="s">
        <v>43</v>
      </c>
      <c r="B7899" t="s">
        <v>15</v>
      </c>
      <c r="C7899" t="s">
        <v>15</v>
      </c>
      <c r="D7899" t="s">
        <v>15</v>
      </c>
      <c r="E7899" t="s">
        <v>26</v>
      </c>
      <c r="F7899" t="s">
        <v>18</v>
      </c>
      <c r="G7899" s="2">
        <f>VALUE(115.9)</f>
        <v>115.9</v>
      </c>
      <c r="H7899" s="3">
        <f>VALUE(100.25)</f>
        <v>100.25</v>
      </c>
      <c r="I7899" s="1">
        <f>VALUE(4270)</f>
        <v>4270</v>
      </c>
      <c r="J7899" s="1">
        <f>VALUE(5069)</f>
        <v>5069</v>
      </c>
      <c r="K7899" s="1">
        <f>VALUE(7633)</f>
        <v>7633</v>
      </c>
      <c r="L7899" s="1">
        <f>VALUE(9634)</f>
        <v>9634</v>
      </c>
      <c r="M7899" s="1">
        <f>VALUE(11971)</f>
        <v>11971</v>
      </c>
      <c r="N7899" t="s">
        <v>25</v>
      </c>
    </row>
    <row r="7900" spans="1:14" x14ac:dyDescent="0.25">
      <c r="A7900" t="s">
        <v>43</v>
      </c>
      <c r="B7900" t="s">
        <v>15</v>
      </c>
      <c r="C7900" t="s">
        <v>15</v>
      </c>
      <c r="D7900" t="s">
        <v>15</v>
      </c>
      <c r="E7900" t="s">
        <v>26</v>
      </c>
      <c r="F7900" t="s">
        <v>19</v>
      </c>
      <c r="G7900" s="1" t="str">
        <f t="shared" ref="G7900:M7900" si="1723">"X"</f>
        <v>X</v>
      </c>
      <c r="H7900" s="1" t="str">
        <f t="shared" si="1723"/>
        <v>X</v>
      </c>
      <c r="I7900" s="1" t="str">
        <f t="shared" si="1723"/>
        <v>X</v>
      </c>
      <c r="J7900" s="1" t="str">
        <f t="shared" si="1723"/>
        <v>X</v>
      </c>
      <c r="K7900" s="1" t="str">
        <f t="shared" si="1723"/>
        <v>X</v>
      </c>
      <c r="L7900" s="1" t="str">
        <f t="shared" si="1723"/>
        <v>X</v>
      </c>
      <c r="M7900" s="1" t="str">
        <f t="shared" si="1723"/>
        <v>X</v>
      </c>
      <c r="N7900" t="s">
        <v>27</v>
      </c>
    </row>
    <row r="7901" spans="1:14" x14ac:dyDescent="0.25">
      <c r="A7901" t="s">
        <v>43</v>
      </c>
      <c r="B7901" t="s">
        <v>15</v>
      </c>
      <c r="C7901" t="s">
        <v>15</v>
      </c>
      <c r="D7901" t="s">
        <v>15</v>
      </c>
      <c r="E7901" t="s">
        <v>26</v>
      </c>
      <c r="F7901" t="s">
        <v>20</v>
      </c>
      <c r="G7901" s="2">
        <f>VALUE(1338.85)</f>
        <v>1338.85</v>
      </c>
      <c r="H7901" s="3">
        <f>VALUE(1105.24)</f>
        <v>1105.24</v>
      </c>
      <c r="I7901" s="1">
        <f>VALUE(3578)</f>
        <v>3578</v>
      </c>
      <c r="J7901" s="1">
        <f>VALUE(4277)</f>
        <v>4277</v>
      </c>
      <c r="K7901" s="1">
        <f>VALUE(5188)</f>
        <v>5188</v>
      </c>
      <c r="L7901" s="1">
        <f>VALUE(5843)</f>
        <v>5843</v>
      </c>
      <c r="M7901" s="1">
        <f>VALUE(6700)</f>
        <v>6700</v>
      </c>
      <c r="N7901" t="s">
        <v>25</v>
      </c>
    </row>
    <row r="7902" spans="1:14" x14ac:dyDescent="0.25">
      <c r="A7902" t="s">
        <v>43</v>
      </c>
      <c r="B7902" t="s">
        <v>15</v>
      </c>
      <c r="C7902" t="s">
        <v>15</v>
      </c>
      <c r="D7902" t="s">
        <v>28</v>
      </c>
      <c r="E7902" t="s">
        <v>15</v>
      </c>
      <c r="F7902" t="s">
        <v>15</v>
      </c>
      <c r="G7902" s="1">
        <f>VALUE(48361.37)</f>
        <v>48361.37</v>
      </c>
      <c r="H7902" s="1">
        <f>VALUE(40030.46)</f>
        <v>40030.46</v>
      </c>
      <c r="I7902" s="1">
        <f>VALUE(3857)</f>
        <v>3857</v>
      </c>
      <c r="J7902" s="1">
        <f>VALUE(4640)</f>
        <v>4640</v>
      </c>
      <c r="K7902" s="1">
        <f>VALUE(5694)</f>
        <v>5694</v>
      </c>
      <c r="L7902" s="1">
        <f>VALUE(7273)</f>
        <v>7273</v>
      </c>
      <c r="M7902" s="1">
        <f>VALUE(9755)</f>
        <v>9755</v>
      </c>
      <c r="N7902" t="s">
        <v>16</v>
      </c>
    </row>
    <row r="7903" spans="1:14" x14ac:dyDescent="0.25">
      <c r="A7903" t="s">
        <v>43</v>
      </c>
      <c r="B7903" t="s">
        <v>15</v>
      </c>
      <c r="C7903" t="s">
        <v>15</v>
      </c>
      <c r="D7903" t="s">
        <v>28</v>
      </c>
      <c r="E7903" t="s">
        <v>15</v>
      </c>
      <c r="F7903" t="s">
        <v>17</v>
      </c>
      <c r="G7903" s="1">
        <f>VALUE(9282.03)</f>
        <v>9282.0300000000007</v>
      </c>
      <c r="H7903" s="1">
        <f>VALUE(8355.13)</f>
        <v>8355.1299999999992</v>
      </c>
      <c r="I7903" s="4">
        <f>VALUE(5300)</f>
        <v>5300</v>
      </c>
      <c r="J7903" s="1">
        <f>VALUE(6222)</f>
        <v>6222</v>
      </c>
      <c r="K7903" s="1">
        <f>VALUE(8233)</f>
        <v>8233</v>
      </c>
      <c r="L7903" s="1">
        <f>VALUE(10984)</f>
        <v>10984</v>
      </c>
      <c r="M7903" s="1">
        <f>VALUE(16065)</f>
        <v>16065</v>
      </c>
      <c r="N7903" t="s">
        <v>25</v>
      </c>
    </row>
    <row r="7904" spans="1:14" x14ac:dyDescent="0.25">
      <c r="A7904" t="s">
        <v>43</v>
      </c>
      <c r="B7904" t="s">
        <v>15</v>
      </c>
      <c r="C7904" t="s">
        <v>15</v>
      </c>
      <c r="D7904" t="s">
        <v>28</v>
      </c>
      <c r="E7904" t="s">
        <v>15</v>
      </c>
      <c r="F7904" t="s">
        <v>18</v>
      </c>
      <c r="G7904" s="1">
        <f>VALUE(6225.12)</f>
        <v>6225.12</v>
      </c>
      <c r="H7904" s="1">
        <f>VALUE(5506.09)</f>
        <v>5506.09</v>
      </c>
      <c r="I7904" s="1">
        <f>VALUE(4246)</f>
        <v>4246</v>
      </c>
      <c r="J7904" s="1">
        <f>VALUE(5132)</f>
        <v>5132</v>
      </c>
      <c r="K7904" s="1">
        <f>VALUE(6327)</f>
        <v>6327</v>
      </c>
      <c r="L7904" s="1">
        <f>VALUE(8250)</f>
        <v>8250</v>
      </c>
      <c r="M7904" s="1">
        <f>VALUE(10325)</f>
        <v>10325</v>
      </c>
      <c r="N7904" t="s">
        <v>16</v>
      </c>
    </row>
    <row r="7905" spans="1:14" x14ac:dyDescent="0.25">
      <c r="A7905" t="s">
        <v>43</v>
      </c>
      <c r="B7905" t="s">
        <v>15</v>
      </c>
      <c r="C7905" t="s">
        <v>15</v>
      </c>
      <c r="D7905" t="s">
        <v>28</v>
      </c>
      <c r="E7905" t="s">
        <v>15</v>
      </c>
      <c r="F7905" t="s">
        <v>19</v>
      </c>
      <c r="G7905" s="1">
        <f>VALUE(6619.07)</f>
        <v>6619.07</v>
      </c>
      <c r="H7905" s="3">
        <f>VALUE(5990.1)</f>
        <v>5990.1</v>
      </c>
      <c r="I7905" s="1">
        <f>VALUE(4000)</f>
        <v>4000</v>
      </c>
      <c r="J7905" s="1">
        <f>VALUE(4550)</f>
        <v>4550</v>
      </c>
      <c r="K7905" s="1">
        <f>VALUE(5500)</f>
        <v>5500</v>
      </c>
      <c r="L7905" s="1">
        <f>VALUE(6703)</f>
        <v>6703</v>
      </c>
      <c r="M7905" s="1">
        <f>VALUE(8068)</f>
        <v>8068</v>
      </c>
      <c r="N7905" t="s">
        <v>25</v>
      </c>
    </row>
    <row r="7906" spans="1:14" x14ac:dyDescent="0.25">
      <c r="A7906" t="s">
        <v>43</v>
      </c>
      <c r="B7906" t="s">
        <v>15</v>
      </c>
      <c r="C7906" t="s">
        <v>15</v>
      </c>
      <c r="D7906" t="s">
        <v>28</v>
      </c>
      <c r="E7906" t="s">
        <v>15</v>
      </c>
      <c r="F7906" t="s">
        <v>20</v>
      </c>
      <c r="G7906" s="1">
        <f>VALUE(26235.15)</f>
        <v>26235.15</v>
      </c>
      <c r="H7906" s="1">
        <f>VALUE(20179.14)</f>
        <v>20179.14</v>
      </c>
      <c r="I7906" s="1">
        <f>VALUE(3574)</f>
        <v>3574</v>
      </c>
      <c r="J7906" s="1">
        <f>VALUE(4259)</f>
        <v>4259</v>
      </c>
      <c r="K7906" s="1">
        <f>VALUE(5136)</f>
        <v>5136</v>
      </c>
      <c r="L7906" s="1">
        <f>VALUE(6030)</f>
        <v>6030</v>
      </c>
      <c r="M7906" s="1">
        <f>VALUE(7061)</f>
        <v>7061</v>
      </c>
      <c r="N7906" t="s">
        <v>16</v>
      </c>
    </row>
    <row r="7907" spans="1:14" x14ac:dyDescent="0.25">
      <c r="A7907" t="s">
        <v>43</v>
      </c>
      <c r="B7907" t="s">
        <v>15</v>
      </c>
      <c r="C7907" t="s">
        <v>15</v>
      </c>
      <c r="D7907" t="s">
        <v>28</v>
      </c>
      <c r="E7907" t="s">
        <v>21</v>
      </c>
      <c r="F7907" t="s">
        <v>15</v>
      </c>
      <c r="G7907" s="1">
        <f>VALUE(12652.3)</f>
        <v>12652.3</v>
      </c>
      <c r="H7907" s="1">
        <f>VALUE(10574.47)</f>
        <v>10574.47</v>
      </c>
      <c r="I7907" s="1">
        <f>VALUE(4675)</f>
        <v>4675</v>
      </c>
      <c r="J7907" s="1">
        <f>VALUE(5732)</f>
        <v>5732</v>
      </c>
      <c r="K7907" s="1">
        <f>VALUE(7367)</f>
        <v>7367</v>
      </c>
      <c r="L7907" s="1">
        <f>VALUE(9708)</f>
        <v>9708</v>
      </c>
      <c r="M7907" s="1">
        <f>VALUE(13391)</f>
        <v>13391</v>
      </c>
      <c r="N7907" t="s">
        <v>16</v>
      </c>
    </row>
    <row r="7908" spans="1:14" x14ac:dyDescent="0.25">
      <c r="A7908" t="s">
        <v>43</v>
      </c>
      <c r="B7908" t="s">
        <v>15</v>
      </c>
      <c r="C7908" t="s">
        <v>15</v>
      </c>
      <c r="D7908" t="s">
        <v>28</v>
      </c>
      <c r="E7908" t="s">
        <v>21</v>
      </c>
      <c r="F7908" t="s">
        <v>17</v>
      </c>
      <c r="G7908" s="1">
        <f>VALUE(4612.04)</f>
        <v>4612.04</v>
      </c>
      <c r="H7908" s="1">
        <f>VALUE(4116.96)</f>
        <v>4116.96</v>
      </c>
      <c r="I7908" s="1">
        <f>VALUE(6038)</f>
        <v>6038</v>
      </c>
      <c r="J7908" s="1">
        <f>VALUE(7380)</f>
        <v>7380</v>
      </c>
      <c r="K7908" s="1">
        <f>VALUE(9587)</f>
        <v>9587</v>
      </c>
      <c r="L7908" s="1">
        <f>VALUE(12817)</f>
        <v>12817</v>
      </c>
      <c r="M7908" s="1">
        <f>VALUE(18174)</f>
        <v>18174</v>
      </c>
      <c r="N7908" t="s">
        <v>16</v>
      </c>
    </row>
    <row r="7909" spans="1:14" x14ac:dyDescent="0.25">
      <c r="A7909" t="s">
        <v>43</v>
      </c>
      <c r="B7909" t="s">
        <v>15</v>
      </c>
      <c r="C7909" t="s">
        <v>15</v>
      </c>
      <c r="D7909" t="s">
        <v>28</v>
      </c>
      <c r="E7909" t="s">
        <v>21</v>
      </c>
      <c r="F7909" t="s">
        <v>18</v>
      </c>
      <c r="G7909" s="2">
        <f>VALUE(2267.48)</f>
        <v>2267.48</v>
      </c>
      <c r="H7909" s="3">
        <f>VALUE(1917.92)</f>
        <v>1917.92</v>
      </c>
      <c r="I7909" s="4">
        <f>VALUE(4621)</f>
        <v>4621</v>
      </c>
      <c r="J7909" s="5">
        <f>VALUE(5632)</f>
        <v>5632</v>
      </c>
      <c r="K7909" s="1">
        <f>VALUE(7468)</f>
        <v>7468</v>
      </c>
      <c r="L7909" s="1">
        <f>VALUE(9207)</f>
        <v>9207</v>
      </c>
      <c r="M7909" s="1">
        <f>VALUE(11152)</f>
        <v>11152</v>
      </c>
      <c r="N7909" t="s">
        <v>25</v>
      </c>
    </row>
    <row r="7910" spans="1:14" x14ac:dyDescent="0.25">
      <c r="A7910" t="s">
        <v>43</v>
      </c>
      <c r="B7910" t="s">
        <v>15</v>
      </c>
      <c r="C7910" t="s">
        <v>15</v>
      </c>
      <c r="D7910" t="s">
        <v>28</v>
      </c>
      <c r="E7910" t="s">
        <v>21</v>
      </c>
      <c r="F7910" t="s">
        <v>19</v>
      </c>
      <c r="G7910" s="2">
        <f>VALUE(1676.87)</f>
        <v>1676.87</v>
      </c>
      <c r="H7910" s="3">
        <f>VALUE(1509.02)</f>
        <v>1509.02</v>
      </c>
      <c r="I7910" s="1">
        <f>VALUE(4715)</f>
        <v>4715</v>
      </c>
      <c r="J7910" s="1">
        <f>VALUE(5680)</f>
        <v>5680</v>
      </c>
      <c r="K7910" s="1">
        <f>VALUE(6700)</f>
        <v>6700</v>
      </c>
      <c r="L7910" s="1">
        <f>VALUE(7840)</f>
        <v>7840</v>
      </c>
      <c r="M7910" s="1">
        <f>VALUE(9084)</f>
        <v>9084</v>
      </c>
      <c r="N7910" t="s">
        <v>25</v>
      </c>
    </row>
    <row r="7911" spans="1:14" x14ac:dyDescent="0.25">
      <c r="A7911" t="s">
        <v>43</v>
      </c>
      <c r="B7911" t="s">
        <v>15</v>
      </c>
      <c r="C7911" t="s">
        <v>15</v>
      </c>
      <c r="D7911" t="s">
        <v>28</v>
      </c>
      <c r="E7911" t="s">
        <v>21</v>
      </c>
      <c r="F7911" t="s">
        <v>20</v>
      </c>
      <c r="G7911" s="2">
        <f>VALUE(4095.91)</f>
        <v>4095.91</v>
      </c>
      <c r="H7911" s="3">
        <f>VALUE(3030.57)</f>
        <v>3030.57</v>
      </c>
      <c r="I7911" s="1">
        <f>VALUE(4206)</f>
        <v>4206</v>
      </c>
      <c r="J7911" s="1">
        <f>VALUE(4943)</f>
        <v>4943</v>
      </c>
      <c r="K7911" s="1">
        <f>VALUE(5930)</f>
        <v>5930</v>
      </c>
      <c r="L7911" s="1">
        <f>VALUE(7039)</f>
        <v>7039</v>
      </c>
      <c r="M7911" s="1">
        <f>VALUE(8479)</f>
        <v>8479</v>
      </c>
      <c r="N7911" t="s">
        <v>25</v>
      </c>
    </row>
    <row r="7912" spans="1:14" x14ac:dyDescent="0.25">
      <c r="A7912" t="s">
        <v>43</v>
      </c>
      <c r="B7912" t="s">
        <v>15</v>
      </c>
      <c r="C7912" t="s">
        <v>15</v>
      </c>
      <c r="D7912" t="s">
        <v>28</v>
      </c>
      <c r="E7912" t="s">
        <v>22</v>
      </c>
      <c r="F7912" t="s">
        <v>15</v>
      </c>
      <c r="G7912" s="1">
        <f>VALUE(28881.66)</f>
        <v>28881.66</v>
      </c>
      <c r="H7912" s="1">
        <f>VALUE(24276.77)</f>
        <v>24276.77</v>
      </c>
      <c r="I7912" s="1">
        <f>VALUE(3953)</f>
        <v>3953</v>
      </c>
      <c r="J7912" s="1">
        <f>VALUE(4591)</f>
        <v>4591</v>
      </c>
      <c r="K7912" s="1">
        <f>VALUE(5507)</f>
        <v>5507</v>
      </c>
      <c r="L7912" s="1">
        <f>VALUE(6588)</f>
        <v>6588</v>
      </c>
      <c r="M7912" s="1">
        <f>VALUE(8297)</f>
        <v>8297</v>
      </c>
      <c r="N7912" t="s">
        <v>16</v>
      </c>
    </row>
    <row r="7913" spans="1:14" x14ac:dyDescent="0.25">
      <c r="A7913" t="s">
        <v>43</v>
      </c>
      <c r="B7913" t="s">
        <v>15</v>
      </c>
      <c r="C7913" t="s">
        <v>15</v>
      </c>
      <c r="D7913" t="s">
        <v>28</v>
      </c>
      <c r="E7913" t="s">
        <v>22</v>
      </c>
      <c r="F7913" t="s">
        <v>17</v>
      </c>
      <c r="G7913" s="2">
        <f>VALUE(4118.68)</f>
        <v>4118.68</v>
      </c>
      <c r="H7913" s="3">
        <f>VALUE(3705.96)</f>
        <v>3705.96</v>
      </c>
      <c r="I7913" s="4">
        <f>VALUE(4762)</f>
        <v>4762</v>
      </c>
      <c r="J7913" s="1">
        <f>VALUE(5862)</f>
        <v>5862</v>
      </c>
      <c r="K7913" s="1">
        <f>VALUE(7308)</f>
        <v>7308</v>
      </c>
      <c r="L7913" s="1">
        <f>VALUE(9141)</f>
        <v>9141</v>
      </c>
      <c r="M7913" s="8">
        <f>VALUE(13034)</f>
        <v>13034</v>
      </c>
      <c r="N7913" t="s">
        <v>25</v>
      </c>
    </row>
    <row r="7914" spans="1:14" x14ac:dyDescent="0.25">
      <c r="A7914" t="s">
        <v>43</v>
      </c>
      <c r="B7914" t="s">
        <v>15</v>
      </c>
      <c r="C7914" t="s">
        <v>15</v>
      </c>
      <c r="D7914" t="s">
        <v>28</v>
      </c>
      <c r="E7914" t="s">
        <v>22</v>
      </c>
      <c r="F7914" t="s">
        <v>18</v>
      </c>
      <c r="G7914" s="2">
        <f>VALUE(3629.68)</f>
        <v>3629.68</v>
      </c>
      <c r="H7914" s="3">
        <f>VALUE(3289.08)</f>
        <v>3289.08</v>
      </c>
      <c r="I7914" s="1">
        <f>VALUE(4246)</f>
        <v>4246</v>
      </c>
      <c r="J7914" s="1">
        <f>VALUE(5001)</f>
        <v>5001</v>
      </c>
      <c r="K7914" s="1">
        <f>VALUE(6087)</f>
        <v>6087</v>
      </c>
      <c r="L7914" s="1">
        <f>VALUE(7529)</f>
        <v>7529</v>
      </c>
      <c r="M7914" s="1">
        <f>VALUE(9603)</f>
        <v>9603</v>
      </c>
      <c r="N7914" t="s">
        <v>25</v>
      </c>
    </row>
    <row r="7915" spans="1:14" x14ac:dyDescent="0.25">
      <c r="A7915" t="s">
        <v>43</v>
      </c>
      <c r="B7915" t="s">
        <v>15</v>
      </c>
      <c r="C7915" t="s">
        <v>15</v>
      </c>
      <c r="D7915" t="s">
        <v>28</v>
      </c>
      <c r="E7915" t="s">
        <v>22</v>
      </c>
      <c r="F7915" t="s">
        <v>19</v>
      </c>
      <c r="G7915" s="2">
        <f>VALUE(4035.25)</f>
        <v>4035.25</v>
      </c>
      <c r="H7915" s="3">
        <f>VALUE(3637.98)</f>
        <v>3637.98</v>
      </c>
      <c r="I7915" s="1">
        <f>VALUE(4127)</f>
        <v>4127</v>
      </c>
      <c r="J7915" s="1">
        <f>VALUE(4591)</f>
        <v>4591</v>
      </c>
      <c r="K7915" s="1">
        <f>VALUE(5333)</f>
        <v>5333</v>
      </c>
      <c r="L7915" s="1">
        <f>VALUE(6389)</f>
        <v>6389</v>
      </c>
      <c r="M7915" s="1">
        <f>VALUE(7704)</f>
        <v>7704</v>
      </c>
      <c r="N7915" t="s">
        <v>25</v>
      </c>
    </row>
    <row r="7916" spans="1:14" x14ac:dyDescent="0.25">
      <c r="A7916" t="s">
        <v>43</v>
      </c>
      <c r="B7916" t="s">
        <v>15</v>
      </c>
      <c r="C7916" t="s">
        <v>15</v>
      </c>
      <c r="D7916" t="s">
        <v>28</v>
      </c>
      <c r="E7916" t="s">
        <v>22</v>
      </c>
      <c r="F7916" t="s">
        <v>20</v>
      </c>
      <c r="G7916" s="1">
        <f>VALUE(17098.05)</f>
        <v>17098.05</v>
      </c>
      <c r="H7916" s="1">
        <f>VALUE(13643.75)</f>
        <v>13643.75</v>
      </c>
      <c r="I7916" s="1">
        <f>VALUE(3652)</f>
        <v>3652</v>
      </c>
      <c r="J7916" s="1">
        <f>VALUE(4333)</f>
        <v>4333</v>
      </c>
      <c r="K7916" s="1">
        <f>VALUE(5158)</f>
        <v>5158</v>
      </c>
      <c r="L7916" s="1">
        <f>VALUE(6012)</f>
        <v>6012</v>
      </c>
      <c r="M7916" s="1">
        <f>VALUE(6935)</f>
        <v>6935</v>
      </c>
      <c r="N7916" t="s">
        <v>16</v>
      </c>
    </row>
    <row r="7917" spans="1:14" x14ac:dyDescent="0.25">
      <c r="A7917" t="s">
        <v>43</v>
      </c>
      <c r="B7917" t="s">
        <v>15</v>
      </c>
      <c r="C7917" t="s">
        <v>15</v>
      </c>
      <c r="D7917" t="s">
        <v>28</v>
      </c>
      <c r="E7917" t="s">
        <v>23</v>
      </c>
      <c r="F7917" t="s">
        <v>15</v>
      </c>
      <c r="G7917" s="2">
        <f>VALUE(6407.43)</f>
        <v>6407.43</v>
      </c>
      <c r="H7917" s="3">
        <f>VALUE(4832.78)</f>
        <v>4832.78</v>
      </c>
      <c r="I7917" s="1">
        <f>VALUE(3343)</f>
        <v>3343</v>
      </c>
      <c r="J7917" s="1">
        <f>VALUE(3759)</f>
        <v>3759</v>
      </c>
      <c r="K7917" s="1">
        <f>VALUE(4489)</f>
        <v>4489</v>
      </c>
      <c r="L7917" s="1">
        <f>VALUE(5408)</f>
        <v>5408</v>
      </c>
      <c r="M7917" s="1">
        <f>VALUE(6414)</f>
        <v>6414</v>
      </c>
      <c r="N7917" t="s">
        <v>25</v>
      </c>
    </row>
    <row r="7918" spans="1:14" x14ac:dyDescent="0.25">
      <c r="A7918" t="s">
        <v>43</v>
      </c>
      <c r="B7918" t="s">
        <v>15</v>
      </c>
      <c r="C7918" t="s">
        <v>15</v>
      </c>
      <c r="D7918" t="s">
        <v>28</v>
      </c>
      <c r="E7918" t="s">
        <v>23</v>
      </c>
      <c r="F7918" t="s">
        <v>17</v>
      </c>
      <c r="G7918" s="2">
        <f>VALUE(492.68)</f>
        <v>492.68</v>
      </c>
      <c r="H7918" s="3">
        <f>VALUE(474.26)</f>
        <v>474.26</v>
      </c>
      <c r="I7918" s="4">
        <f>VALUE(4286)</f>
        <v>4286</v>
      </c>
      <c r="J7918" s="5">
        <f>VALUE(5329)</f>
        <v>5329</v>
      </c>
      <c r="K7918" s="6">
        <f>VALUE(5495)</f>
        <v>5495</v>
      </c>
      <c r="L7918" s="7">
        <f>VALUE(8770)</f>
        <v>8770</v>
      </c>
      <c r="M7918" s="1">
        <f>VALUE(10458)</f>
        <v>10458</v>
      </c>
      <c r="N7918" t="s">
        <v>25</v>
      </c>
    </row>
    <row r="7919" spans="1:14" x14ac:dyDescent="0.25">
      <c r="A7919" t="s">
        <v>43</v>
      </c>
      <c r="B7919" t="s">
        <v>15</v>
      </c>
      <c r="C7919" t="s">
        <v>15</v>
      </c>
      <c r="D7919" t="s">
        <v>28</v>
      </c>
      <c r="E7919" t="s">
        <v>23</v>
      </c>
      <c r="F7919" t="s">
        <v>18</v>
      </c>
      <c r="G7919" s="2">
        <f>VALUE(288.85)</f>
        <v>288.85000000000002</v>
      </c>
      <c r="H7919" s="3">
        <f>VALUE(261.19)</f>
        <v>261.19</v>
      </c>
      <c r="I7919" s="4">
        <f>VALUE(3714)</f>
        <v>3714</v>
      </c>
      <c r="J7919" s="1">
        <f>VALUE(3905)</f>
        <v>3905</v>
      </c>
      <c r="K7919" s="1">
        <f>VALUE(4746)</f>
        <v>4746</v>
      </c>
      <c r="L7919" s="1">
        <f>VALUE(5637)</f>
        <v>5637</v>
      </c>
      <c r="M7919" s="8">
        <f>VALUE(7042)</f>
        <v>7042</v>
      </c>
      <c r="N7919" t="s">
        <v>25</v>
      </c>
    </row>
    <row r="7920" spans="1:14" x14ac:dyDescent="0.25">
      <c r="A7920" t="s">
        <v>43</v>
      </c>
      <c r="B7920" t="s">
        <v>15</v>
      </c>
      <c r="C7920" t="s">
        <v>15</v>
      </c>
      <c r="D7920" t="s">
        <v>28</v>
      </c>
      <c r="E7920" t="s">
        <v>23</v>
      </c>
      <c r="F7920" t="s">
        <v>19</v>
      </c>
      <c r="G7920" s="2">
        <f>VALUE(871.27)</f>
        <v>871.27</v>
      </c>
      <c r="H7920" s="3">
        <f>VALUE(819.28)</f>
        <v>819.28</v>
      </c>
      <c r="I7920" s="4">
        <f>VALUE(3714)</f>
        <v>3714</v>
      </c>
      <c r="J7920" s="5">
        <f>VALUE(3801)</f>
        <v>3801</v>
      </c>
      <c r="K7920" s="6">
        <f>VALUE(4370)</f>
        <v>4370</v>
      </c>
      <c r="L7920" s="7">
        <f>VALUE(5119)</f>
        <v>5119</v>
      </c>
      <c r="M7920" s="1">
        <f>VALUE(6414)</f>
        <v>6414</v>
      </c>
      <c r="N7920" t="s">
        <v>25</v>
      </c>
    </row>
    <row r="7921" spans="1:14" x14ac:dyDescent="0.25">
      <c r="A7921" t="s">
        <v>43</v>
      </c>
      <c r="B7921" t="s">
        <v>15</v>
      </c>
      <c r="C7921" t="s">
        <v>15</v>
      </c>
      <c r="D7921" t="s">
        <v>28</v>
      </c>
      <c r="E7921" t="s">
        <v>23</v>
      </c>
      <c r="F7921" t="s">
        <v>20</v>
      </c>
      <c r="G7921" s="2">
        <f>VALUE(4754.63)</f>
        <v>4754.63</v>
      </c>
      <c r="H7921" s="3">
        <f>VALUE(3278.05)</f>
        <v>3278.05</v>
      </c>
      <c r="I7921" s="1">
        <f>VALUE(3200)</f>
        <v>3200</v>
      </c>
      <c r="J7921" s="1">
        <f>VALUE(3594)</f>
        <v>3594</v>
      </c>
      <c r="K7921" s="1">
        <f>VALUE(4381)</f>
        <v>4381</v>
      </c>
      <c r="L7921" s="1">
        <f>VALUE(5291)</f>
        <v>5291</v>
      </c>
      <c r="M7921" s="1">
        <f>VALUE(5946)</f>
        <v>5946</v>
      </c>
      <c r="N7921" t="s">
        <v>25</v>
      </c>
    </row>
    <row r="7922" spans="1:14" x14ac:dyDescent="0.25">
      <c r="A7922" t="s">
        <v>43</v>
      </c>
      <c r="B7922" t="s">
        <v>15</v>
      </c>
      <c r="C7922" t="s">
        <v>15</v>
      </c>
      <c r="D7922" t="s">
        <v>28</v>
      </c>
      <c r="E7922" t="s">
        <v>26</v>
      </c>
      <c r="F7922" t="s">
        <v>15</v>
      </c>
      <c r="G7922" s="2">
        <f>VALUE(419.98)</f>
        <v>419.98</v>
      </c>
      <c r="H7922" s="3">
        <f>VALUE(346.44)</f>
        <v>346.44</v>
      </c>
      <c r="I7922" s="4">
        <f>VALUE(3420)</f>
        <v>3420</v>
      </c>
      <c r="J7922" s="5">
        <f>VALUE(4759)</f>
        <v>4759</v>
      </c>
      <c r="K7922" s="1">
        <f>VALUE(5550)</f>
        <v>5550</v>
      </c>
      <c r="L7922" s="7">
        <f>VALUE(6736)</f>
        <v>6736</v>
      </c>
      <c r="M7922" s="8">
        <f>VALUE(13333)</f>
        <v>13333</v>
      </c>
      <c r="N7922" t="s">
        <v>25</v>
      </c>
    </row>
    <row r="7923" spans="1:14" x14ac:dyDescent="0.25">
      <c r="A7923" t="s">
        <v>43</v>
      </c>
      <c r="B7923" t="s">
        <v>15</v>
      </c>
      <c r="C7923" t="s">
        <v>15</v>
      </c>
      <c r="D7923" t="s">
        <v>28</v>
      </c>
      <c r="E7923" t="s">
        <v>26</v>
      </c>
      <c r="F7923" t="s">
        <v>17</v>
      </c>
      <c r="G7923" s="1" t="str">
        <f t="shared" ref="G7923:M7925" si="1724">"X"</f>
        <v>X</v>
      </c>
      <c r="H7923" s="1" t="str">
        <f t="shared" si="1724"/>
        <v>X</v>
      </c>
      <c r="I7923" s="1" t="str">
        <f t="shared" si="1724"/>
        <v>X</v>
      </c>
      <c r="J7923" s="1" t="str">
        <f t="shared" si="1724"/>
        <v>X</v>
      </c>
      <c r="K7923" s="1" t="str">
        <f t="shared" si="1724"/>
        <v>X</v>
      </c>
      <c r="L7923" s="1" t="str">
        <f t="shared" si="1724"/>
        <v>X</v>
      </c>
      <c r="M7923" s="1" t="str">
        <f t="shared" si="1724"/>
        <v>X</v>
      </c>
      <c r="N7923" t="s">
        <v>27</v>
      </c>
    </row>
    <row r="7924" spans="1:14" x14ac:dyDescent="0.25">
      <c r="A7924" t="s">
        <v>43</v>
      </c>
      <c r="B7924" t="s">
        <v>15</v>
      </c>
      <c r="C7924" t="s">
        <v>15</v>
      </c>
      <c r="D7924" t="s">
        <v>28</v>
      </c>
      <c r="E7924" t="s">
        <v>26</v>
      </c>
      <c r="F7924" t="s">
        <v>18</v>
      </c>
      <c r="G7924" s="1" t="str">
        <f t="shared" si="1724"/>
        <v>X</v>
      </c>
      <c r="H7924" s="1" t="str">
        <f t="shared" si="1724"/>
        <v>X</v>
      </c>
      <c r="I7924" s="1" t="str">
        <f t="shared" si="1724"/>
        <v>X</v>
      </c>
      <c r="J7924" s="1" t="str">
        <f t="shared" si="1724"/>
        <v>X</v>
      </c>
      <c r="K7924" s="1" t="str">
        <f t="shared" si="1724"/>
        <v>X</v>
      </c>
      <c r="L7924" s="1" t="str">
        <f t="shared" si="1724"/>
        <v>X</v>
      </c>
      <c r="M7924" s="1" t="str">
        <f t="shared" si="1724"/>
        <v>X</v>
      </c>
      <c r="N7924" t="s">
        <v>27</v>
      </c>
    </row>
    <row r="7925" spans="1:14" x14ac:dyDescent="0.25">
      <c r="A7925" t="s">
        <v>43</v>
      </c>
      <c r="B7925" t="s">
        <v>15</v>
      </c>
      <c r="C7925" t="s">
        <v>15</v>
      </c>
      <c r="D7925" t="s">
        <v>28</v>
      </c>
      <c r="E7925" t="s">
        <v>26</v>
      </c>
      <c r="F7925" t="s">
        <v>19</v>
      </c>
      <c r="G7925" s="1" t="str">
        <f t="shared" si="1724"/>
        <v>X</v>
      </c>
      <c r="H7925" s="1" t="str">
        <f t="shared" si="1724"/>
        <v>X</v>
      </c>
      <c r="I7925" s="1" t="str">
        <f t="shared" si="1724"/>
        <v>X</v>
      </c>
      <c r="J7925" s="1" t="str">
        <f t="shared" si="1724"/>
        <v>X</v>
      </c>
      <c r="K7925" s="1" t="str">
        <f t="shared" si="1724"/>
        <v>X</v>
      </c>
      <c r="L7925" s="1" t="str">
        <f t="shared" si="1724"/>
        <v>X</v>
      </c>
      <c r="M7925" s="1" t="str">
        <f t="shared" si="1724"/>
        <v>X</v>
      </c>
      <c r="N7925" t="s">
        <v>27</v>
      </c>
    </row>
    <row r="7926" spans="1:14" x14ac:dyDescent="0.25">
      <c r="A7926" t="s">
        <v>43</v>
      </c>
      <c r="B7926" t="s">
        <v>15</v>
      </c>
      <c r="C7926" t="s">
        <v>15</v>
      </c>
      <c r="D7926" t="s">
        <v>28</v>
      </c>
      <c r="E7926" t="s">
        <v>26</v>
      </c>
      <c r="F7926" t="s">
        <v>20</v>
      </c>
      <c r="G7926" s="2">
        <f>VALUE(286.56)</f>
        <v>286.56</v>
      </c>
      <c r="H7926" s="3">
        <f>VALUE(226.77)</f>
        <v>226.77</v>
      </c>
      <c r="I7926" s="4">
        <f>VALUE(3251)</f>
        <v>3251</v>
      </c>
      <c r="J7926" s="5">
        <f>VALUE(4333)</f>
        <v>4333</v>
      </c>
      <c r="K7926" s="6">
        <f>VALUE(5280)</f>
        <v>5280</v>
      </c>
      <c r="L7926" s="7">
        <f>VALUE(6319)</f>
        <v>6319</v>
      </c>
      <c r="M7926" s="1">
        <f>VALUE(6736)</f>
        <v>6736</v>
      </c>
      <c r="N7926" t="s">
        <v>25</v>
      </c>
    </row>
    <row r="7927" spans="1:14" x14ac:dyDescent="0.25">
      <c r="A7927" t="s">
        <v>43</v>
      </c>
      <c r="B7927" t="s">
        <v>15</v>
      </c>
      <c r="C7927" t="s">
        <v>15</v>
      </c>
      <c r="D7927" t="s">
        <v>29</v>
      </c>
      <c r="E7927" t="s">
        <v>15</v>
      </c>
      <c r="F7927" t="s">
        <v>15</v>
      </c>
      <c r="G7927" s="1">
        <f>VALUE(16930.72)</f>
        <v>16930.72</v>
      </c>
      <c r="H7927" s="1">
        <f>VALUE(14759.65)</f>
        <v>14759.65</v>
      </c>
      <c r="I7927" s="1">
        <f>VALUE(3671)</f>
        <v>3671</v>
      </c>
      <c r="J7927" s="1">
        <f>VALUE(4294)</f>
        <v>4294</v>
      </c>
      <c r="K7927" s="1">
        <f>VALUE(5349)</f>
        <v>5349</v>
      </c>
      <c r="L7927" s="1">
        <f>VALUE(6465)</f>
        <v>6465</v>
      </c>
      <c r="M7927" s="1">
        <f>VALUE(8366)</f>
        <v>8366</v>
      </c>
      <c r="N7927" t="s">
        <v>16</v>
      </c>
    </row>
    <row r="7928" spans="1:14" x14ac:dyDescent="0.25">
      <c r="A7928" t="s">
        <v>43</v>
      </c>
      <c r="B7928" t="s">
        <v>15</v>
      </c>
      <c r="C7928" t="s">
        <v>15</v>
      </c>
      <c r="D7928" t="s">
        <v>29</v>
      </c>
      <c r="E7928" t="s">
        <v>15</v>
      </c>
      <c r="F7928" t="s">
        <v>17</v>
      </c>
      <c r="G7928" s="2">
        <f>VALUE(1790.8)</f>
        <v>1790.8</v>
      </c>
      <c r="H7928" s="3">
        <f>VALUE(1745.45)</f>
        <v>1745.45</v>
      </c>
      <c r="I7928" s="4">
        <f>VALUE(4618)</f>
        <v>4618</v>
      </c>
      <c r="J7928" s="5">
        <f>VALUE(5919)</f>
        <v>5919</v>
      </c>
      <c r="K7928" s="6">
        <f>VALUE(7675)</f>
        <v>7675</v>
      </c>
      <c r="L7928" s="7">
        <f>VALUE(11113)</f>
        <v>11113</v>
      </c>
      <c r="M7928" s="8">
        <f>VALUE(17066)</f>
        <v>17066</v>
      </c>
      <c r="N7928" t="s">
        <v>24</v>
      </c>
    </row>
    <row r="7929" spans="1:14" x14ac:dyDescent="0.25">
      <c r="A7929" t="s">
        <v>43</v>
      </c>
      <c r="B7929" t="s">
        <v>15</v>
      </c>
      <c r="C7929" t="s">
        <v>15</v>
      </c>
      <c r="D7929" t="s">
        <v>29</v>
      </c>
      <c r="E7929" t="s">
        <v>15</v>
      </c>
      <c r="F7929" t="s">
        <v>18</v>
      </c>
      <c r="G7929" s="2">
        <f>VALUE(1483.51)</f>
        <v>1483.51</v>
      </c>
      <c r="H7929" s="3">
        <f>VALUE(1344.61)</f>
        <v>1344.61</v>
      </c>
      <c r="I7929" s="1">
        <f>VALUE(4532)</f>
        <v>4532</v>
      </c>
      <c r="J7929" s="1">
        <f>VALUE(5222)</f>
        <v>5222</v>
      </c>
      <c r="K7929" s="1">
        <f>VALUE(6400)</f>
        <v>6400</v>
      </c>
      <c r="L7929" s="1">
        <f>VALUE(8125)</f>
        <v>8125</v>
      </c>
      <c r="M7929" s="8">
        <f>VALUE(10385)</f>
        <v>10385</v>
      </c>
      <c r="N7929" t="s">
        <v>25</v>
      </c>
    </row>
    <row r="7930" spans="1:14" x14ac:dyDescent="0.25">
      <c r="A7930" t="s">
        <v>43</v>
      </c>
      <c r="B7930" t="s">
        <v>15</v>
      </c>
      <c r="C7930" t="s">
        <v>15</v>
      </c>
      <c r="D7930" t="s">
        <v>29</v>
      </c>
      <c r="E7930" t="s">
        <v>15</v>
      </c>
      <c r="F7930" t="s">
        <v>19</v>
      </c>
      <c r="G7930" s="2">
        <f>VALUE(2191.61)</f>
        <v>2191.61</v>
      </c>
      <c r="H7930" s="3">
        <f>VALUE(2153.19)</f>
        <v>2153.19</v>
      </c>
      <c r="I7930" s="4">
        <f>VALUE(3895)</f>
        <v>3895</v>
      </c>
      <c r="J7930" s="5">
        <f>VALUE(4354)</f>
        <v>4354</v>
      </c>
      <c r="K7930" s="6">
        <f>VALUE(5479)</f>
        <v>5479</v>
      </c>
      <c r="L7930" s="1">
        <f>VALUE(6557)</f>
        <v>6557</v>
      </c>
      <c r="M7930" s="1">
        <f>VALUE(8119)</f>
        <v>8119</v>
      </c>
      <c r="N7930" t="s">
        <v>25</v>
      </c>
    </row>
    <row r="7931" spans="1:14" x14ac:dyDescent="0.25">
      <c r="A7931" t="s">
        <v>43</v>
      </c>
      <c r="B7931" t="s">
        <v>15</v>
      </c>
      <c r="C7931" t="s">
        <v>15</v>
      </c>
      <c r="D7931" t="s">
        <v>29</v>
      </c>
      <c r="E7931" t="s">
        <v>15</v>
      </c>
      <c r="F7931" t="s">
        <v>20</v>
      </c>
      <c r="G7931" s="1">
        <f>VALUE(11464.8)</f>
        <v>11464.8</v>
      </c>
      <c r="H7931" s="1">
        <f>VALUE(9516.4)</f>
        <v>9516.4</v>
      </c>
      <c r="I7931" s="1">
        <f>VALUE(3515)</f>
        <v>3515</v>
      </c>
      <c r="J7931" s="1">
        <f>VALUE(4044)</f>
        <v>4044</v>
      </c>
      <c r="K7931" s="1">
        <f>VALUE(5040)</f>
        <v>5040</v>
      </c>
      <c r="L7931" s="1">
        <f>VALUE(5785)</f>
        <v>5785</v>
      </c>
      <c r="M7931" s="1">
        <f>VALUE(6716)</f>
        <v>6716</v>
      </c>
      <c r="N7931" t="s">
        <v>16</v>
      </c>
    </row>
    <row r="7932" spans="1:14" x14ac:dyDescent="0.25">
      <c r="A7932" t="s">
        <v>43</v>
      </c>
      <c r="B7932" t="s">
        <v>15</v>
      </c>
      <c r="C7932" t="s">
        <v>15</v>
      </c>
      <c r="D7932" t="s">
        <v>29</v>
      </c>
      <c r="E7932" t="s">
        <v>21</v>
      </c>
      <c r="F7932" t="s">
        <v>15</v>
      </c>
      <c r="G7932" s="2">
        <f>VALUE(2615.18)</f>
        <v>2615.1799999999998</v>
      </c>
      <c r="H7932" s="3">
        <f>VALUE(2403.71)</f>
        <v>2403.71</v>
      </c>
      <c r="I7932" s="1">
        <f>VALUE(4875)</f>
        <v>4875</v>
      </c>
      <c r="J7932" s="1">
        <f>VALUE(6013)</f>
        <v>6013</v>
      </c>
      <c r="K7932" s="1">
        <f>VALUE(7638)</f>
        <v>7638</v>
      </c>
      <c r="L7932" s="7">
        <f>VALUE(10240)</f>
        <v>10240</v>
      </c>
      <c r="M7932" s="1">
        <f>VALUE(14717)</f>
        <v>14717</v>
      </c>
      <c r="N7932" t="s">
        <v>25</v>
      </c>
    </row>
    <row r="7933" spans="1:14" x14ac:dyDescent="0.25">
      <c r="A7933" t="s">
        <v>43</v>
      </c>
      <c r="B7933" t="s">
        <v>15</v>
      </c>
      <c r="C7933" t="s">
        <v>15</v>
      </c>
      <c r="D7933" t="s">
        <v>29</v>
      </c>
      <c r="E7933" t="s">
        <v>21</v>
      </c>
      <c r="F7933" t="s">
        <v>17</v>
      </c>
      <c r="G7933" s="2">
        <f>VALUE(775.17)</f>
        <v>775.17</v>
      </c>
      <c r="H7933" s="3">
        <f>VALUE(741.61)</f>
        <v>741.61</v>
      </c>
      <c r="I7933" s="4">
        <f>VALUE(5919)</f>
        <v>5919</v>
      </c>
      <c r="J7933" s="5">
        <f>VALUE(8193)</f>
        <v>8193</v>
      </c>
      <c r="K7933" s="6">
        <f>VALUE(10667)</f>
        <v>10667</v>
      </c>
      <c r="L7933" s="7">
        <f>VALUE(14717)</f>
        <v>14717</v>
      </c>
      <c r="M7933" s="8">
        <f>VALUE(19842)</f>
        <v>19842</v>
      </c>
      <c r="N7933" t="s">
        <v>24</v>
      </c>
    </row>
    <row r="7934" spans="1:14" x14ac:dyDescent="0.25">
      <c r="A7934" t="s">
        <v>43</v>
      </c>
      <c r="B7934" t="s">
        <v>15</v>
      </c>
      <c r="C7934" t="s">
        <v>15</v>
      </c>
      <c r="D7934" t="s">
        <v>29</v>
      </c>
      <c r="E7934" t="s">
        <v>21</v>
      </c>
      <c r="F7934" t="s">
        <v>18</v>
      </c>
      <c r="G7934" s="2">
        <f>VALUE(489.91)</f>
        <v>489.91</v>
      </c>
      <c r="H7934" s="3">
        <f>VALUE(453.71)</f>
        <v>453.71</v>
      </c>
      <c r="I7934" s="4">
        <f>VALUE(5366)</f>
        <v>5366</v>
      </c>
      <c r="J7934" s="5">
        <f>VALUE(6498)</f>
        <v>6498</v>
      </c>
      <c r="K7934" s="1">
        <f>VALUE(8177)</f>
        <v>8177</v>
      </c>
      <c r="L7934" s="7">
        <f>VALUE(9802)</f>
        <v>9802</v>
      </c>
      <c r="M7934" s="8">
        <f>VALUE(13278)</f>
        <v>13278</v>
      </c>
      <c r="N7934" t="s">
        <v>25</v>
      </c>
    </row>
    <row r="7935" spans="1:14" x14ac:dyDescent="0.25">
      <c r="A7935" t="s">
        <v>43</v>
      </c>
      <c r="B7935" t="s">
        <v>15</v>
      </c>
      <c r="C7935" t="s">
        <v>15</v>
      </c>
      <c r="D7935" t="s">
        <v>29</v>
      </c>
      <c r="E7935" t="s">
        <v>21</v>
      </c>
      <c r="F7935" t="s">
        <v>19</v>
      </c>
      <c r="G7935" s="2">
        <f>VALUE(423.05)</f>
        <v>423.05</v>
      </c>
      <c r="H7935" s="3">
        <f>VALUE(407.21)</f>
        <v>407.21</v>
      </c>
      <c r="I7935" s="4">
        <f>VALUE(4674)</f>
        <v>4674</v>
      </c>
      <c r="J7935" s="5">
        <f>VALUE(5290)</f>
        <v>5290</v>
      </c>
      <c r="K7935" s="6">
        <f>VALUE(6751)</f>
        <v>6751</v>
      </c>
      <c r="L7935" s="7">
        <f>VALUE(8125)</f>
        <v>8125</v>
      </c>
      <c r="M7935" s="8">
        <f>VALUE(10566)</f>
        <v>10566</v>
      </c>
      <c r="N7935" t="s">
        <v>24</v>
      </c>
    </row>
    <row r="7936" spans="1:14" x14ac:dyDescent="0.25">
      <c r="A7936" t="s">
        <v>43</v>
      </c>
      <c r="B7936" t="s">
        <v>15</v>
      </c>
      <c r="C7936" t="s">
        <v>15</v>
      </c>
      <c r="D7936" t="s">
        <v>29</v>
      </c>
      <c r="E7936" t="s">
        <v>21</v>
      </c>
      <c r="F7936" t="s">
        <v>20</v>
      </c>
      <c r="G7936" s="2">
        <f>VALUE(927.05)</f>
        <v>927.05</v>
      </c>
      <c r="H7936" s="3">
        <f>VALUE(801.18)</f>
        <v>801.18</v>
      </c>
      <c r="I7936" s="1">
        <f>VALUE(4547)</f>
        <v>4547</v>
      </c>
      <c r="J7936" s="5">
        <f>VALUE(5478)</f>
        <v>5478</v>
      </c>
      <c r="K7936" s="1">
        <f>VALUE(6500)</f>
        <v>6500</v>
      </c>
      <c r="L7936" s="7">
        <f>VALUE(7527)</f>
        <v>7527</v>
      </c>
      <c r="M7936" s="8">
        <f>VALUE(8667)</f>
        <v>8667</v>
      </c>
      <c r="N7936" t="s">
        <v>25</v>
      </c>
    </row>
    <row r="7937" spans="1:14" x14ac:dyDescent="0.25">
      <c r="A7937" t="s">
        <v>43</v>
      </c>
      <c r="B7937" t="s">
        <v>15</v>
      </c>
      <c r="C7937" t="s">
        <v>15</v>
      </c>
      <c r="D7937" t="s">
        <v>29</v>
      </c>
      <c r="E7937" t="s">
        <v>22</v>
      </c>
      <c r="F7937" t="s">
        <v>15</v>
      </c>
      <c r="G7937" s="1">
        <f>VALUE(6620.85)</f>
        <v>6620.85</v>
      </c>
      <c r="H7937" s="1">
        <f>VALUE(6186.03)</f>
        <v>6186.03</v>
      </c>
      <c r="I7937" s="1">
        <f>VALUE(3972)</f>
        <v>3972</v>
      </c>
      <c r="J7937" s="1">
        <f>VALUE(4775)</f>
        <v>4775</v>
      </c>
      <c r="K7937" s="1">
        <f>VALUE(5496)</f>
        <v>5496</v>
      </c>
      <c r="L7937" s="1">
        <f>VALUE(6423)</f>
        <v>6423</v>
      </c>
      <c r="M7937" s="1">
        <f>VALUE(7769)</f>
        <v>7769</v>
      </c>
      <c r="N7937" t="s">
        <v>16</v>
      </c>
    </row>
    <row r="7938" spans="1:14" x14ac:dyDescent="0.25">
      <c r="A7938" t="s">
        <v>43</v>
      </c>
      <c r="B7938" t="s">
        <v>15</v>
      </c>
      <c r="C7938" t="s">
        <v>15</v>
      </c>
      <c r="D7938" t="s">
        <v>29</v>
      </c>
      <c r="E7938" t="s">
        <v>22</v>
      </c>
      <c r="F7938" t="s">
        <v>17</v>
      </c>
      <c r="G7938" s="2">
        <f>VALUE(851.15)</f>
        <v>851.15</v>
      </c>
      <c r="H7938" s="3">
        <f>VALUE(834.96)</f>
        <v>834.96</v>
      </c>
      <c r="I7938" s="4">
        <f>VALUE(5150)</f>
        <v>5150</v>
      </c>
      <c r="J7938" s="5">
        <f>VALUE(5760)</f>
        <v>5760</v>
      </c>
      <c r="K7938" s="6">
        <f>VALUE(6605)</f>
        <v>6605</v>
      </c>
      <c r="L7938" s="7">
        <f>VALUE(8613)</f>
        <v>8613</v>
      </c>
      <c r="M7938" s="8">
        <f>VALUE(10851)</f>
        <v>10851</v>
      </c>
      <c r="N7938" t="s">
        <v>24</v>
      </c>
    </row>
    <row r="7939" spans="1:14" x14ac:dyDescent="0.25">
      <c r="A7939" t="s">
        <v>43</v>
      </c>
      <c r="B7939" t="s">
        <v>15</v>
      </c>
      <c r="C7939" t="s">
        <v>15</v>
      </c>
      <c r="D7939" t="s">
        <v>29</v>
      </c>
      <c r="E7939" t="s">
        <v>22</v>
      </c>
      <c r="F7939" t="s">
        <v>18</v>
      </c>
      <c r="G7939" s="2">
        <f>VALUE(570.34)</f>
        <v>570.34</v>
      </c>
      <c r="H7939" s="3">
        <f>VALUE(530.87)</f>
        <v>530.87</v>
      </c>
      <c r="I7939" s="1">
        <f>VALUE(4532)</f>
        <v>4532</v>
      </c>
      <c r="J7939" s="1">
        <f>VALUE(4952)</f>
        <v>4952</v>
      </c>
      <c r="K7939" s="1">
        <f>VALUE(6301)</f>
        <v>6301</v>
      </c>
      <c r="L7939" s="1">
        <f>VALUE(7409)</f>
        <v>7409</v>
      </c>
      <c r="M7939" s="1">
        <f>VALUE(9207)</f>
        <v>9207</v>
      </c>
      <c r="N7939" t="s">
        <v>25</v>
      </c>
    </row>
    <row r="7940" spans="1:14" x14ac:dyDescent="0.25">
      <c r="A7940" t="s">
        <v>43</v>
      </c>
      <c r="B7940" t="s">
        <v>15</v>
      </c>
      <c r="C7940" t="s">
        <v>15</v>
      </c>
      <c r="D7940" t="s">
        <v>29</v>
      </c>
      <c r="E7940" t="s">
        <v>22</v>
      </c>
      <c r="F7940" t="s">
        <v>19</v>
      </c>
      <c r="G7940" s="2">
        <f>VALUE(1075.25)</f>
        <v>1075.25</v>
      </c>
      <c r="H7940" s="3">
        <f>VALUE(1058.5)</f>
        <v>1058.5</v>
      </c>
      <c r="I7940" s="4">
        <f>VALUE(4047)</f>
        <v>4047</v>
      </c>
      <c r="J7940" s="5">
        <f>VALUE(4786)</f>
        <v>4786</v>
      </c>
      <c r="K7940" s="1">
        <f>VALUE(5804)</f>
        <v>5804</v>
      </c>
      <c r="L7940" s="1">
        <f>VALUE(6491)</f>
        <v>6491</v>
      </c>
      <c r="M7940" s="1">
        <f>VALUE(7791)</f>
        <v>7791</v>
      </c>
      <c r="N7940" t="s">
        <v>25</v>
      </c>
    </row>
    <row r="7941" spans="1:14" x14ac:dyDescent="0.25">
      <c r="A7941" t="s">
        <v>43</v>
      </c>
      <c r="B7941" t="s">
        <v>15</v>
      </c>
      <c r="C7941" t="s">
        <v>15</v>
      </c>
      <c r="D7941" t="s">
        <v>29</v>
      </c>
      <c r="E7941" t="s">
        <v>22</v>
      </c>
      <c r="F7941" t="s">
        <v>20</v>
      </c>
      <c r="G7941" s="2">
        <f>VALUE(4124.11)</f>
        <v>4124.1099999999997</v>
      </c>
      <c r="H7941" s="3">
        <f>VALUE(3761.7)</f>
        <v>3761.7</v>
      </c>
      <c r="I7941" s="1">
        <f>VALUE(3780)</f>
        <v>3780</v>
      </c>
      <c r="J7941" s="1">
        <f>VALUE(4554)</f>
        <v>4554</v>
      </c>
      <c r="K7941" s="1">
        <f>VALUE(5281)</f>
        <v>5281</v>
      </c>
      <c r="L7941" s="1">
        <f>VALUE(5963)</f>
        <v>5963</v>
      </c>
      <c r="M7941" s="1">
        <f>VALUE(6750)</f>
        <v>6750</v>
      </c>
      <c r="N7941" t="s">
        <v>25</v>
      </c>
    </row>
    <row r="7942" spans="1:14" x14ac:dyDescent="0.25">
      <c r="A7942" t="s">
        <v>43</v>
      </c>
      <c r="B7942" t="s">
        <v>15</v>
      </c>
      <c r="C7942" t="s">
        <v>15</v>
      </c>
      <c r="D7942" t="s">
        <v>29</v>
      </c>
      <c r="E7942" t="s">
        <v>23</v>
      </c>
      <c r="F7942" t="s">
        <v>15</v>
      </c>
      <c r="G7942" s="2">
        <f>VALUE(7496.63)</f>
        <v>7496.63</v>
      </c>
      <c r="H7942" s="3">
        <f>VALUE(6022.18)</f>
        <v>6022.18</v>
      </c>
      <c r="I7942" s="1">
        <f>VALUE(3500)</f>
        <v>3500</v>
      </c>
      <c r="J7942" s="1">
        <f>VALUE(3830)</f>
        <v>3830</v>
      </c>
      <c r="K7942" s="1">
        <f>VALUE(4599)</f>
        <v>4599</v>
      </c>
      <c r="L7942" s="1">
        <f>VALUE(5409)</f>
        <v>5409</v>
      </c>
      <c r="M7942" s="1">
        <f>VALUE(6356)</f>
        <v>6356</v>
      </c>
      <c r="N7942" t="s">
        <v>25</v>
      </c>
    </row>
    <row r="7943" spans="1:14" x14ac:dyDescent="0.25">
      <c r="A7943" t="s">
        <v>43</v>
      </c>
      <c r="B7943" t="s">
        <v>15</v>
      </c>
      <c r="C7943" t="s">
        <v>15</v>
      </c>
      <c r="D7943" t="s">
        <v>29</v>
      </c>
      <c r="E7943" t="s">
        <v>23</v>
      </c>
      <c r="F7943" t="s">
        <v>17</v>
      </c>
      <c r="G7943" s="1" t="str">
        <f t="shared" ref="G7943:M7943" si="1725">"X"</f>
        <v>X</v>
      </c>
      <c r="H7943" s="1" t="str">
        <f t="shared" si="1725"/>
        <v>X</v>
      </c>
      <c r="I7943" s="1" t="str">
        <f t="shared" si="1725"/>
        <v>X</v>
      </c>
      <c r="J7943" s="1" t="str">
        <f t="shared" si="1725"/>
        <v>X</v>
      </c>
      <c r="K7943" s="1" t="str">
        <f t="shared" si="1725"/>
        <v>X</v>
      </c>
      <c r="L7943" s="1" t="str">
        <f t="shared" si="1725"/>
        <v>X</v>
      </c>
      <c r="M7943" s="1" t="str">
        <f t="shared" si="1725"/>
        <v>X</v>
      </c>
      <c r="N7943" t="s">
        <v>27</v>
      </c>
    </row>
    <row r="7944" spans="1:14" x14ac:dyDescent="0.25">
      <c r="A7944" t="s">
        <v>43</v>
      </c>
      <c r="B7944" t="s">
        <v>15</v>
      </c>
      <c r="C7944" t="s">
        <v>15</v>
      </c>
      <c r="D7944" t="s">
        <v>29</v>
      </c>
      <c r="E7944" t="s">
        <v>23</v>
      </c>
      <c r="F7944" t="s">
        <v>18</v>
      </c>
      <c r="G7944" s="2">
        <f>VALUE(411.95)</f>
        <v>411.95</v>
      </c>
      <c r="H7944" s="3">
        <f>VALUE(348.74)</f>
        <v>348.74</v>
      </c>
      <c r="I7944" s="4">
        <f>VALUE(4336)</f>
        <v>4336</v>
      </c>
      <c r="J7944" s="1">
        <f>VALUE(4875)</f>
        <v>4875</v>
      </c>
      <c r="K7944" s="1">
        <f>VALUE(5484)</f>
        <v>5484</v>
      </c>
      <c r="L7944" s="1">
        <f>VALUE(6273)</f>
        <v>6273</v>
      </c>
      <c r="M7944" s="1">
        <f>VALUE(6400)</f>
        <v>6400</v>
      </c>
      <c r="N7944" t="s">
        <v>25</v>
      </c>
    </row>
    <row r="7945" spans="1:14" x14ac:dyDescent="0.25">
      <c r="A7945" t="s">
        <v>43</v>
      </c>
      <c r="B7945" t="s">
        <v>15</v>
      </c>
      <c r="C7945" t="s">
        <v>15</v>
      </c>
      <c r="D7945" t="s">
        <v>29</v>
      </c>
      <c r="E7945" t="s">
        <v>23</v>
      </c>
      <c r="F7945" t="s">
        <v>19</v>
      </c>
      <c r="G7945" s="2">
        <f>VALUE(673.25)</f>
        <v>673.25</v>
      </c>
      <c r="H7945" s="3">
        <f>VALUE(666.38)</f>
        <v>666.38</v>
      </c>
      <c r="I7945" s="4">
        <f>VALUE(3579)</f>
        <v>3579</v>
      </c>
      <c r="J7945" s="5">
        <f>VALUE(3895)</f>
        <v>3895</v>
      </c>
      <c r="K7945" s="6">
        <f>VALUE(4381)</f>
        <v>4381</v>
      </c>
      <c r="L7945" s="7">
        <f>VALUE(5468)</f>
        <v>5468</v>
      </c>
      <c r="M7945" s="8">
        <f>VALUE(6830)</f>
        <v>6830</v>
      </c>
      <c r="N7945" t="s">
        <v>24</v>
      </c>
    </row>
    <row r="7946" spans="1:14" x14ac:dyDescent="0.25">
      <c r="A7946" t="s">
        <v>43</v>
      </c>
      <c r="B7946" t="s">
        <v>15</v>
      </c>
      <c r="C7946" t="s">
        <v>15</v>
      </c>
      <c r="D7946" t="s">
        <v>29</v>
      </c>
      <c r="E7946" t="s">
        <v>23</v>
      </c>
      <c r="F7946" t="s">
        <v>20</v>
      </c>
      <c r="G7946" s="2">
        <f>VALUE(6273.77)</f>
        <v>6273.77</v>
      </c>
      <c r="H7946" s="3">
        <f>VALUE(4863.68)</f>
        <v>4863.68</v>
      </c>
      <c r="I7946" s="1">
        <f>VALUE(3467)</f>
        <v>3467</v>
      </c>
      <c r="J7946" s="1">
        <f>VALUE(3746)</f>
        <v>3746</v>
      </c>
      <c r="K7946" s="1">
        <f>VALUE(4492)</f>
        <v>4492</v>
      </c>
      <c r="L7946" s="1">
        <f>VALUE(5393)</f>
        <v>5393</v>
      </c>
      <c r="M7946" s="1">
        <f>VALUE(6097)</f>
        <v>6097</v>
      </c>
      <c r="N7946" t="s">
        <v>25</v>
      </c>
    </row>
    <row r="7947" spans="1:14" x14ac:dyDescent="0.25">
      <c r="A7947" t="s">
        <v>43</v>
      </c>
      <c r="B7947" t="s">
        <v>15</v>
      </c>
      <c r="C7947" t="s">
        <v>15</v>
      </c>
      <c r="D7947" t="s">
        <v>29</v>
      </c>
      <c r="E7947" t="s">
        <v>26</v>
      </c>
      <c r="F7947" t="s">
        <v>15</v>
      </c>
      <c r="G7947" s="2">
        <f>VALUE(198.06)</f>
        <v>198.06</v>
      </c>
      <c r="H7947" s="3">
        <f>VALUE(147.73)</f>
        <v>147.72999999999999</v>
      </c>
      <c r="I7947" s="4">
        <f>VALUE(3533)</f>
        <v>3533</v>
      </c>
      <c r="J7947" s="5">
        <f>VALUE(4333)</f>
        <v>4333</v>
      </c>
      <c r="K7947" s="6">
        <f>VALUE(5642)</f>
        <v>5642</v>
      </c>
      <c r="L7947" s="7">
        <f>VALUE(8096)</f>
        <v>8096</v>
      </c>
      <c r="M7947" s="8">
        <f>VALUE(13303)</f>
        <v>13303</v>
      </c>
      <c r="N7947" t="s">
        <v>24</v>
      </c>
    </row>
    <row r="7948" spans="1:14" x14ac:dyDescent="0.25">
      <c r="A7948" t="s">
        <v>43</v>
      </c>
      <c r="B7948" t="s">
        <v>15</v>
      </c>
      <c r="C7948" t="s">
        <v>15</v>
      </c>
      <c r="D7948" t="s">
        <v>29</v>
      </c>
      <c r="E7948" t="s">
        <v>26</v>
      </c>
      <c r="F7948" t="s">
        <v>17</v>
      </c>
      <c r="G7948" s="1" t="str">
        <f t="shared" ref="G7948:M7951" si="1726">"X"</f>
        <v>X</v>
      </c>
      <c r="H7948" s="1" t="str">
        <f t="shared" si="1726"/>
        <v>X</v>
      </c>
      <c r="I7948" s="1" t="str">
        <f t="shared" si="1726"/>
        <v>X</v>
      </c>
      <c r="J7948" s="1" t="str">
        <f t="shared" si="1726"/>
        <v>X</v>
      </c>
      <c r="K7948" s="1" t="str">
        <f t="shared" si="1726"/>
        <v>X</v>
      </c>
      <c r="L7948" s="1" t="str">
        <f t="shared" si="1726"/>
        <v>X</v>
      </c>
      <c r="M7948" s="1" t="str">
        <f t="shared" si="1726"/>
        <v>X</v>
      </c>
      <c r="N7948" t="s">
        <v>27</v>
      </c>
    </row>
    <row r="7949" spans="1:14" x14ac:dyDescent="0.25">
      <c r="A7949" t="s">
        <v>43</v>
      </c>
      <c r="B7949" t="s">
        <v>15</v>
      </c>
      <c r="C7949" t="s">
        <v>15</v>
      </c>
      <c r="D7949" t="s">
        <v>29</v>
      </c>
      <c r="E7949" t="s">
        <v>26</v>
      </c>
      <c r="F7949" t="s">
        <v>18</v>
      </c>
      <c r="G7949" s="1" t="str">
        <f t="shared" si="1726"/>
        <v>X</v>
      </c>
      <c r="H7949" s="1" t="str">
        <f t="shared" si="1726"/>
        <v>X</v>
      </c>
      <c r="I7949" s="1" t="str">
        <f t="shared" si="1726"/>
        <v>X</v>
      </c>
      <c r="J7949" s="1" t="str">
        <f t="shared" si="1726"/>
        <v>X</v>
      </c>
      <c r="K7949" s="1" t="str">
        <f t="shared" si="1726"/>
        <v>X</v>
      </c>
      <c r="L7949" s="1" t="str">
        <f t="shared" si="1726"/>
        <v>X</v>
      </c>
      <c r="M7949" s="1" t="str">
        <f t="shared" si="1726"/>
        <v>X</v>
      </c>
      <c r="N7949" t="s">
        <v>27</v>
      </c>
    </row>
    <row r="7950" spans="1:14" x14ac:dyDescent="0.25">
      <c r="A7950" t="s">
        <v>43</v>
      </c>
      <c r="B7950" t="s">
        <v>15</v>
      </c>
      <c r="C7950" t="s">
        <v>15</v>
      </c>
      <c r="D7950" t="s">
        <v>29</v>
      </c>
      <c r="E7950" t="s">
        <v>26</v>
      </c>
      <c r="F7950" t="s">
        <v>19</v>
      </c>
      <c r="G7950" s="1" t="str">
        <f t="shared" si="1726"/>
        <v>X</v>
      </c>
      <c r="H7950" s="1" t="str">
        <f t="shared" si="1726"/>
        <v>X</v>
      </c>
      <c r="I7950" s="1" t="str">
        <f t="shared" si="1726"/>
        <v>X</v>
      </c>
      <c r="J7950" s="1" t="str">
        <f t="shared" si="1726"/>
        <v>X</v>
      </c>
      <c r="K7950" s="1" t="str">
        <f t="shared" si="1726"/>
        <v>X</v>
      </c>
      <c r="L7950" s="1" t="str">
        <f t="shared" si="1726"/>
        <v>X</v>
      </c>
      <c r="M7950" s="1" t="str">
        <f t="shared" si="1726"/>
        <v>X</v>
      </c>
      <c r="N7950" t="s">
        <v>27</v>
      </c>
    </row>
    <row r="7951" spans="1:14" x14ac:dyDescent="0.25">
      <c r="A7951" t="s">
        <v>43</v>
      </c>
      <c r="B7951" t="s">
        <v>15</v>
      </c>
      <c r="C7951" t="s">
        <v>15</v>
      </c>
      <c r="D7951" t="s">
        <v>29</v>
      </c>
      <c r="E7951" t="s">
        <v>26</v>
      </c>
      <c r="F7951" t="s">
        <v>20</v>
      </c>
      <c r="G7951" s="1" t="str">
        <f t="shared" si="1726"/>
        <v>X</v>
      </c>
      <c r="H7951" s="1" t="str">
        <f t="shared" si="1726"/>
        <v>X</v>
      </c>
      <c r="I7951" s="1" t="str">
        <f t="shared" si="1726"/>
        <v>X</v>
      </c>
      <c r="J7951" s="1" t="str">
        <f t="shared" si="1726"/>
        <v>X</v>
      </c>
      <c r="K7951" s="1" t="str">
        <f t="shared" si="1726"/>
        <v>X</v>
      </c>
      <c r="L7951" s="1" t="str">
        <f t="shared" si="1726"/>
        <v>X</v>
      </c>
      <c r="M7951" s="1" t="str">
        <f t="shared" si="1726"/>
        <v>X</v>
      </c>
      <c r="N7951" t="s">
        <v>27</v>
      </c>
    </row>
    <row r="7952" spans="1:14" x14ac:dyDescent="0.25">
      <c r="A7952" t="s">
        <v>43</v>
      </c>
      <c r="B7952" t="s">
        <v>15</v>
      </c>
      <c r="C7952" t="s">
        <v>15</v>
      </c>
      <c r="D7952" t="s">
        <v>31</v>
      </c>
      <c r="E7952" t="s">
        <v>15</v>
      </c>
      <c r="F7952" t="s">
        <v>15</v>
      </c>
      <c r="G7952" s="2">
        <f>VALUE(9547.14)</f>
        <v>9547.14</v>
      </c>
      <c r="H7952" s="1">
        <f>VALUE(8134.57)</f>
        <v>8134.57</v>
      </c>
      <c r="I7952" s="1">
        <f>VALUE(3515)</f>
        <v>3515</v>
      </c>
      <c r="J7952" s="1">
        <f>VALUE(3813)</f>
        <v>3813</v>
      </c>
      <c r="K7952" s="1">
        <f>VALUE(4790)</f>
        <v>4790</v>
      </c>
      <c r="L7952" s="1">
        <f>VALUE(6233)</f>
        <v>6233</v>
      </c>
      <c r="M7952" s="1">
        <f>VALUE(8130)</f>
        <v>8130</v>
      </c>
      <c r="N7952" t="s">
        <v>25</v>
      </c>
    </row>
    <row r="7953" spans="1:14" x14ac:dyDescent="0.25">
      <c r="A7953" t="s">
        <v>43</v>
      </c>
      <c r="B7953" t="s">
        <v>15</v>
      </c>
      <c r="C7953" t="s">
        <v>15</v>
      </c>
      <c r="D7953" t="s">
        <v>31</v>
      </c>
      <c r="E7953" t="s">
        <v>15</v>
      </c>
      <c r="F7953" t="s">
        <v>17</v>
      </c>
      <c r="G7953" s="2">
        <f>VALUE(773.99)</f>
        <v>773.99</v>
      </c>
      <c r="H7953" s="3">
        <f>VALUE(777.54)</f>
        <v>777.54</v>
      </c>
      <c r="I7953" s="4">
        <f>VALUE(3714)</f>
        <v>3714</v>
      </c>
      <c r="J7953" s="5">
        <f>VALUE(5778)</f>
        <v>5778</v>
      </c>
      <c r="K7953" s="6">
        <f>VALUE(7490)</f>
        <v>7490</v>
      </c>
      <c r="L7953" s="7">
        <f>VALUE(11678)</f>
        <v>11678</v>
      </c>
      <c r="M7953" s="8">
        <f>VALUE(18795)</f>
        <v>18795</v>
      </c>
      <c r="N7953" t="s">
        <v>24</v>
      </c>
    </row>
    <row r="7954" spans="1:14" x14ac:dyDescent="0.25">
      <c r="A7954" t="s">
        <v>43</v>
      </c>
      <c r="B7954" t="s">
        <v>15</v>
      </c>
      <c r="C7954" t="s">
        <v>15</v>
      </c>
      <c r="D7954" t="s">
        <v>31</v>
      </c>
      <c r="E7954" t="s">
        <v>15</v>
      </c>
      <c r="F7954" t="s">
        <v>18</v>
      </c>
      <c r="G7954" s="2">
        <f>VALUE(648.63)</f>
        <v>648.63</v>
      </c>
      <c r="H7954" s="3">
        <f>VALUE(628.93)</f>
        <v>628.92999999999995</v>
      </c>
      <c r="I7954" s="1">
        <f>VALUE(4251)</f>
        <v>4251</v>
      </c>
      <c r="J7954" s="5">
        <f>VALUE(4808)</f>
        <v>4808</v>
      </c>
      <c r="K7954" s="1">
        <f>VALUE(6607)</f>
        <v>6607</v>
      </c>
      <c r="L7954" s="1">
        <f>VALUE(8433)</f>
        <v>8433</v>
      </c>
      <c r="M7954" s="8">
        <f>VALUE(11546)</f>
        <v>11546</v>
      </c>
      <c r="N7954" t="s">
        <v>25</v>
      </c>
    </row>
    <row r="7955" spans="1:14" x14ac:dyDescent="0.25">
      <c r="A7955" t="s">
        <v>43</v>
      </c>
      <c r="B7955" t="s">
        <v>15</v>
      </c>
      <c r="C7955" t="s">
        <v>15</v>
      </c>
      <c r="D7955" t="s">
        <v>31</v>
      </c>
      <c r="E7955" t="s">
        <v>15</v>
      </c>
      <c r="F7955" t="s">
        <v>19</v>
      </c>
      <c r="G7955" s="2">
        <f>VALUE(1041.27)</f>
        <v>1041.27</v>
      </c>
      <c r="H7955" s="3">
        <f>VALUE(1036.07)</f>
        <v>1036.07</v>
      </c>
      <c r="I7955" s="4">
        <f>VALUE(3705)</f>
        <v>3705</v>
      </c>
      <c r="J7955" s="5">
        <f>VALUE(3705)</f>
        <v>3705</v>
      </c>
      <c r="K7955" s="6">
        <f>VALUE(5043)</f>
        <v>5043</v>
      </c>
      <c r="L7955" s="7">
        <f>VALUE(7025)</f>
        <v>7025</v>
      </c>
      <c r="M7955" s="8">
        <f>VALUE(8285)</f>
        <v>8285</v>
      </c>
      <c r="N7955" t="s">
        <v>24</v>
      </c>
    </row>
    <row r="7956" spans="1:14" x14ac:dyDescent="0.25">
      <c r="A7956" t="s">
        <v>43</v>
      </c>
      <c r="B7956" t="s">
        <v>15</v>
      </c>
      <c r="C7956" t="s">
        <v>15</v>
      </c>
      <c r="D7956" t="s">
        <v>31</v>
      </c>
      <c r="E7956" t="s">
        <v>15</v>
      </c>
      <c r="F7956" t="s">
        <v>20</v>
      </c>
      <c r="G7956" s="2">
        <f>VALUE(7083.25)</f>
        <v>7083.25</v>
      </c>
      <c r="H7956" s="3">
        <f>VALUE(5692.03)</f>
        <v>5692.03</v>
      </c>
      <c r="I7956" s="1">
        <f>VALUE(3458)</f>
        <v>3458</v>
      </c>
      <c r="J7956" s="1">
        <f>VALUE(3736)</f>
        <v>3736</v>
      </c>
      <c r="K7956" s="1">
        <f>VALUE(4498)</f>
        <v>4498</v>
      </c>
      <c r="L7956" s="1">
        <f>VALUE(5435)</f>
        <v>5435</v>
      </c>
      <c r="M7956" s="1">
        <f>VALUE(6523)</f>
        <v>6523</v>
      </c>
      <c r="N7956" t="s">
        <v>25</v>
      </c>
    </row>
    <row r="7957" spans="1:14" x14ac:dyDescent="0.25">
      <c r="A7957" t="s">
        <v>43</v>
      </c>
      <c r="B7957" t="s">
        <v>15</v>
      </c>
      <c r="C7957" t="s">
        <v>15</v>
      </c>
      <c r="D7957" t="s">
        <v>31</v>
      </c>
      <c r="E7957" t="s">
        <v>21</v>
      </c>
      <c r="F7957" t="s">
        <v>15</v>
      </c>
      <c r="G7957" s="2">
        <f>VALUE(2180.85)</f>
        <v>2180.85</v>
      </c>
      <c r="H7957" s="3">
        <f>VALUE(2056.44)</f>
        <v>2056.44</v>
      </c>
      <c r="I7957" s="1">
        <f>VALUE(4516)</f>
        <v>4516</v>
      </c>
      <c r="J7957" s="1">
        <f>VALUE(5296)</f>
        <v>5296</v>
      </c>
      <c r="K7957" s="1">
        <f>VALUE(6797)</f>
        <v>6797</v>
      </c>
      <c r="L7957" s="7">
        <f>VALUE(8662)</f>
        <v>8662</v>
      </c>
      <c r="M7957" s="8">
        <f>VALUE(13996)</f>
        <v>13996</v>
      </c>
      <c r="N7957" t="s">
        <v>25</v>
      </c>
    </row>
    <row r="7958" spans="1:14" x14ac:dyDescent="0.25">
      <c r="A7958" t="s">
        <v>43</v>
      </c>
      <c r="B7958" t="s">
        <v>15</v>
      </c>
      <c r="C7958" t="s">
        <v>15</v>
      </c>
      <c r="D7958" t="s">
        <v>31</v>
      </c>
      <c r="E7958" t="s">
        <v>21</v>
      </c>
      <c r="F7958" t="s">
        <v>17</v>
      </c>
      <c r="G7958" s="2">
        <f>VALUE(434.81)</f>
        <v>434.81</v>
      </c>
      <c r="H7958" s="3">
        <f>VALUE(424.78)</f>
        <v>424.78</v>
      </c>
      <c r="I7958" s="1">
        <f>VALUE(5835)</f>
        <v>5835</v>
      </c>
      <c r="J7958" s="1">
        <f>VALUE(7490)</f>
        <v>7490</v>
      </c>
      <c r="K7958" s="1">
        <f>VALUE(9914)</f>
        <v>9914</v>
      </c>
      <c r="L7958" s="1">
        <f>VALUE(15374)</f>
        <v>15374</v>
      </c>
      <c r="M7958" s="1">
        <f>VALUE(20700)</f>
        <v>20700</v>
      </c>
      <c r="N7958" t="s">
        <v>25</v>
      </c>
    </row>
    <row r="7959" spans="1:14" x14ac:dyDescent="0.25">
      <c r="A7959" t="s">
        <v>43</v>
      </c>
      <c r="B7959" t="s">
        <v>15</v>
      </c>
      <c r="C7959" t="s">
        <v>15</v>
      </c>
      <c r="D7959" t="s">
        <v>31</v>
      </c>
      <c r="E7959" t="s">
        <v>21</v>
      </c>
      <c r="F7959" t="s">
        <v>18</v>
      </c>
      <c r="G7959" s="2">
        <f>VALUE(341.5)</f>
        <v>341.5</v>
      </c>
      <c r="H7959" s="3">
        <f>VALUE(339.06)</f>
        <v>339.06</v>
      </c>
      <c r="I7959" s="1">
        <f>VALUE(5575)</f>
        <v>5575</v>
      </c>
      <c r="J7959" s="1">
        <f>VALUE(6409)</f>
        <v>6409</v>
      </c>
      <c r="K7959" s="1">
        <f>VALUE(7571)</f>
        <v>7571</v>
      </c>
      <c r="L7959" s="7">
        <f>VALUE(10516)</f>
        <v>10516</v>
      </c>
      <c r="M7959" s="8">
        <f>VALUE(13726)</f>
        <v>13726</v>
      </c>
      <c r="N7959" t="s">
        <v>25</v>
      </c>
    </row>
    <row r="7960" spans="1:14" x14ac:dyDescent="0.25">
      <c r="A7960" t="s">
        <v>43</v>
      </c>
      <c r="B7960" t="s">
        <v>15</v>
      </c>
      <c r="C7960" t="s">
        <v>15</v>
      </c>
      <c r="D7960" t="s">
        <v>31</v>
      </c>
      <c r="E7960" t="s">
        <v>21</v>
      </c>
      <c r="F7960" t="s">
        <v>19</v>
      </c>
      <c r="G7960" s="2">
        <f>VALUE(354.24)</f>
        <v>354.24</v>
      </c>
      <c r="H7960" s="3">
        <f>VALUE(343.43)</f>
        <v>343.43</v>
      </c>
      <c r="I7960" s="1">
        <f>VALUE(5089)</f>
        <v>5089</v>
      </c>
      <c r="J7960" s="5">
        <f>VALUE(6221)</f>
        <v>6221</v>
      </c>
      <c r="K7960" s="1">
        <f>VALUE(7258)</f>
        <v>7258</v>
      </c>
      <c r="L7960" s="7">
        <f>VALUE(8291)</f>
        <v>8291</v>
      </c>
      <c r="M7960" s="8">
        <f>VALUE(13149)</f>
        <v>13149</v>
      </c>
      <c r="N7960" t="s">
        <v>25</v>
      </c>
    </row>
    <row r="7961" spans="1:14" x14ac:dyDescent="0.25">
      <c r="A7961" t="s">
        <v>43</v>
      </c>
      <c r="B7961" t="s">
        <v>15</v>
      </c>
      <c r="C7961" t="s">
        <v>15</v>
      </c>
      <c r="D7961" t="s">
        <v>31</v>
      </c>
      <c r="E7961" t="s">
        <v>21</v>
      </c>
      <c r="F7961" t="s">
        <v>20</v>
      </c>
      <c r="G7961" s="2">
        <f>VALUE(1050.3)</f>
        <v>1050.3</v>
      </c>
      <c r="H7961" s="3">
        <f>VALUE(949.17)</f>
        <v>949.17</v>
      </c>
      <c r="I7961" s="1">
        <f>VALUE(4063)</f>
        <v>4063</v>
      </c>
      <c r="J7961" s="1">
        <f>VALUE(4762)</f>
        <v>4762</v>
      </c>
      <c r="K7961" s="1">
        <f>VALUE(5434)</f>
        <v>5434</v>
      </c>
      <c r="L7961" s="1">
        <f>VALUE(6736)</f>
        <v>6736</v>
      </c>
      <c r="M7961" s="1">
        <f>VALUE(8147)</f>
        <v>8147</v>
      </c>
      <c r="N7961" t="s">
        <v>25</v>
      </c>
    </row>
    <row r="7962" spans="1:14" x14ac:dyDescent="0.25">
      <c r="A7962" t="s">
        <v>43</v>
      </c>
      <c r="B7962" t="s">
        <v>15</v>
      </c>
      <c r="C7962" t="s">
        <v>15</v>
      </c>
      <c r="D7962" t="s">
        <v>31</v>
      </c>
      <c r="E7962" t="s">
        <v>22</v>
      </c>
      <c r="F7962" t="s">
        <v>15</v>
      </c>
      <c r="G7962" s="2">
        <f>VALUE(3018.96)</f>
        <v>3018.96</v>
      </c>
      <c r="H7962" s="3">
        <f>VALUE(2797.71)</f>
        <v>2797.71</v>
      </c>
      <c r="I7962" s="1">
        <f>VALUE(3600)</f>
        <v>3600</v>
      </c>
      <c r="J7962" s="1">
        <f>VALUE(4108)</f>
        <v>4108</v>
      </c>
      <c r="K7962" s="1">
        <f>VALUE(4762)</f>
        <v>4762</v>
      </c>
      <c r="L7962" s="1">
        <f>VALUE(6013)</f>
        <v>6013</v>
      </c>
      <c r="M7962" s="1">
        <f>VALUE(7059)</f>
        <v>7059</v>
      </c>
      <c r="N7962" t="s">
        <v>25</v>
      </c>
    </row>
    <row r="7963" spans="1:14" x14ac:dyDescent="0.25">
      <c r="A7963" t="s">
        <v>43</v>
      </c>
      <c r="B7963" t="s">
        <v>15</v>
      </c>
      <c r="C7963" t="s">
        <v>15</v>
      </c>
      <c r="D7963" t="s">
        <v>31</v>
      </c>
      <c r="E7963" t="s">
        <v>22</v>
      </c>
      <c r="F7963" t="s">
        <v>17</v>
      </c>
      <c r="G7963" s="1" t="str">
        <f t="shared" ref="G7963:M7963" si="1727">"X"</f>
        <v>X</v>
      </c>
      <c r="H7963" s="1" t="str">
        <f t="shared" si="1727"/>
        <v>X</v>
      </c>
      <c r="I7963" s="1" t="str">
        <f t="shared" si="1727"/>
        <v>X</v>
      </c>
      <c r="J7963" s="1" t="str">
        <f t="shared" si="1727"/>
        <v>X</v>
      </c>
      <c r="K7963" s="1" t="str">
        <f t="shared" si="1727"/>
        <v>X</v>
      </c>
      <c r="L7963" s="1" t="str">
        <f t="shared" si="1727"/>
        <v>X</v>
      </c>
      <c r="M7963" s="1" t="str">
        <f t="shared" si="1727"/>
        <v>X</v>
      </c>
      <c r="N7963" t="s">
        <v>27</v>
      </c>
    </row>
    <row r="7964" spans="1:14" x14ac:dyDescent="0.25">
      <c r="A7964" t="s">
        <v>43</v>
      </c>
      <c r="B7964" t="s">
        <v>15</v>
      </c>
      <c r="C7964" t="s">
        <v>15</v>
      </c>
      <c r="D7964" t="s">
        <v>31</v>
      </c>
      <c r="E7964" t="s">
        <v>22</v>
      </c>
      <c r="F7964" t="s">
        <v>18</v>
      </c>
      <c r="G7964" s="2">
        <f>VALUE(253.51)</f>
        <v>253.51</v>
      </c>
      <c r="H7964" s="3">
        <f>VALUE(237.07)</f>
        <v>237.07</v>
      </c>
      <c r="I7964" s="1">
        <f>VALUE(3916)</f>
        <v>3916</v>
      </c>
      <c r="J7964" s="1">
        <f>VALUE(4280)</f>
        <v>4280</v>
      </c>
      <c r="K7964" s="6">
        <f>VALUE(4922)</f>
        <v>4922</v>
      </c>
      <c r="L7964" s="7">
        <f>VALUE(6290)</f>
        <v>6290</v>
      </c>
      <c r="M7964" s="1">
        <f>VALUE(8503)</f>
        <v>8503</v>
      </c>
      <c r="N7964" t="s">
        <v>25</v>
      </c>
    </row>
    <row r="7965" spans="1:14" x14ac:dyDescent="0.25">
      <c r="A7965" t="s">
        <v>43</v>
      </c>
      <c r="B7965" t="s">
        <v>15</v>
      </c>
      <c r="C7965" t="s">
        <v>15</v>
      </c>
      <c r="D7965" t="s">
        <v>31</v>
      </c>
      <c r="E7965" t="s">
        <v>22</v>
      </c>
      <c r="F7965" t="s">
        <v>19</v>
      </c>
      <c r="G7965" s="2">
        <f>VALUE(305.36)</f>
        <v>305.36</v>
      </c>
      <c r="H7965" s="3">
        <f>VALUE(296.23)</f>
        <v>296.23</v>
      </c>
      <c r="I7965" s="1">
        <f>VALUE(4000)</f>
        <v>4000</v>
      </c>
      <c r="J7965" s="1">
        <f>VALUE(4675)</f>
        <v>4675</v>
      </c>
      <c r="K7965" s="1">
        <f>VALUE(5413)</f>
        <v>5413</v>
      </c>
      <c r="L7965" s="1">
        <f>VALUE(6500)</f>
        <v>6500</v>
      </c>
      <c r="M7965" s="1">
        <f>VALUE(7698)</f>
        <v>7698</v>
      </c>
      <c r="N7965" t="s">
        <v>25</v>
      </c>
    </row>
    <row r="7966" spans="1:14" x14ac:dyDescent="0.25">
      <c r="A7966" t="s">
        <v>43</v>
      </c>
      <c r="B7966" t="s">
        <v>15</v>
      </c>
      <c r="C7966" t="s">
        <v>15</v>
      </c>
      <c r="D7966" t="s">
        <v>31</v>
      </c>
      <c r="E7966" t="s">
        <v>22</v>
      </c>
      <c r="F7966" t="s">
        <v>20</v>
      </c>
      <c r="G7966" s="2">
        <f>VALUE(2266.98)</f>
        <v>2266.98</v>
      </c>
      <c r="H7966" s="3">
        <f>VALUE(2063.59)</f>
        <v>2063.59</v>
      </c>
      <c r="I7966" s="1">
        <f>VALUE(3496)</f>
        <v>3496</v>
      </c>
      <c r="J7966" s="1">
        <f>VALUE(3921)</f>
        <v>3921</v>
      </c>
      <c r="K7966" s="1">
        <f>VALUE(4498)</f>
        <v>4498</v>
      </c>
      <c r="L7966" s="7">
        <f>VALUE(5443)</f>
        <v>5443</v>
      </c>
      <c r="M7966" s="1">
        <f>VALUE(6523)</f>
        <v>6523</v>
      </c>
      <c r="N7966" t="s">
        <v>25</v>
      </c>
    </row>
    <row r="7967" spans="1:14" x14ac:dyDescent="0.25">
      <c r="A7967" t="s">
        <v>43</v>
      </c>
      <c r="B7967" t="s">
        <v>15</v>
      </c>
      <c r="C7967" t="s">
        <v>15</v>
      </c>
      <c r="D7967" t="s">
        <v>31</v>
      </c>
      <c r="E7967" t="s">
        <v>23</v>
      </c>
      <c r="F7967" t="s">
        <v>15</v>
      </c>
      <c r="G7967" s="2">
        <f>VALUE(4225.7)</f>
        <v>4225.7</v>
      </c>
      <c r="H7967" s="3">
        <f>VALUE(3190.88)</f>
        <v>3190.88</v>
      </c>
      <c r="I7967" s="1">
        <f>VALUE(3397)</f>
        <v>3397</v>
      </c>
      <c r="J7967" s="1">
        <f>VALUE(3644)</f>
        <v>3644</v>
      </c>
      <c r="K7967" s="1">
        <f>VALUE(3965)</f>
        <v>3965</v>
      </c>
      <c r="L7967" s="1">
        <f>VALUE(4857)</f>
        <v>4857</v>
      </c>
      <c r="M7967" s="1">
        <f>VALUE(5619)</f>
        <v>5619</v>
      </c>
      <c r="N7967" t="s">
        <v>25</v>
      </c>
    </row>
    <row r="7968" spans="1:14" x14ac:dyDescent="0.25">
      <c r="A7968" t="s">
        <v>43</v>
      </c>
      <c r="B7968" t="s">
        <v>15</v>
      </c>
      <c r="C7968" t="s">
        <v>15</v>
      </c>
      <c r="D7968" t="s">
        <v>31</v>
      </c>
      <c r="E7968" t="s">
        <v>23</v>
      </c>
      <c r="F7968" t="s">
        <v>17</v>
      </c>
      <c r="G7968" s="1" t="str">
        <f t="shared" ref="G7968:M7970" si="1728">"X"</f>
        <v>X</v>
      </c>
      <c r="H7968" s="1" t="str">
        <f t="shared" si="1728"/>
        <v>X</v>
      </c>
      <c r="I7968" s="1" t="str">
        <f t="shared" si="1728"/>
        <v>X</v>
      </c>
      <c r="J7968" s="1" t="str">
        <f t="shared" si="1728"/>
        <v>X</v>
      </c>
      <c r="K7968" s="1" t="str">
        <f t="shared" si="1728"/>
        <v>X</v>
      </c>
      <c r="L7968" s="1" t="str">
        <f t="shared" si="1728"/>
        <v>X</v>
      </c>
      <c r="M7968" s="1" t="str">
        <f t="shared" si="1728"/>
        <v>X</v>
      </c>
      <c r="N7968" t="s">
        <v>27</v>
      </c>
    </row>
    <row r="7969" spans="1:14" x14ac:dyDescent="0.25">
      <c r="A7969" t="s">
        <v>43</v>
      </c>
      <c r="B7969" t="s">
        <v>15</v>
      </c>
      <c r="C7969" t="s">
        <v>15</v>
      </c>
      <c r="D7969" t="s">
        <v>31</v>
      </c>
      <c r="E7969" t="s">
        <v>23</v>
      </c>
      <c r="F7969" t="s">
        <v>18</v>
      </c>
      <c r="G7969" s="1" t="str">
        <f t="shared" si="1728"/>
        <v>X</v>
      </c>
      <c r="H7969" s="1" t="str">
        <f t="shared" si="1728"/>
        <v>X</v>
      </c>
      <c r="I7969" s="1" t="str">
        <f t="shared" si="1728"/>
        <v>X</v>
      </c>
      <c r="J7969" s="1" t="str">
        <f t="shared" si="1728"/>
        <v>X</v>
      </c>
      <c r="K7969" s="1" t="str">
        <f t="shared" si="1728"/>
        <v>X</v>
      </c>
      <c r="L7969" s="1" t="str">
        <f t="shared" si="1728"/>
        <v>X</v>
      </c>
      <c r="M7969" s="1" t="str">
        <f t="shared" si="1728"/>
        <v>X</v>
      </c>
      <c r="N7969" t="s">
        <v>27</v>
      </c>
    </row>
    <row r="7970" spans="1:14" x14ac:dyDescent="0.25">
      <c r="A7970" t="s">
        <v>43</v>
      </c>
      <c r="B7970" t="s">
        <v>15</v>
      </c>
      <c r="C7970" t="s">
        <v>15</v>
      </c>
      <c r="D7970" t="s">
        <v>31</v>
      </c>
      <c r="E7970" t="s">
        <v>23</v>
      </c>
      <c r="F7970" t="s">
        <v>19</v>
      </c>
      <c r="G7970" s="1" t="str">
        <f t="shared" si="1728"/>
        <v>X</v>
      </c>
      <c r="H7970" s="1" t="str">
        <f t="shared" si="1728"/>
        <v>X</v>
      </c>
      <c r="I7970" s="1" t="str">
        <f t="shared" si="1728"/>
        <v>X</v>
      </c>
      <c r="J7970" s="1" t="str">
        <f t="shared" si="1728"/>
        <v>X</v>
      </c>
      <c r="K7970" s="1" t="str">
        <f t="shared" si="1728"/>
        <v>X</v>
      </c>
      <c r="L7970" s="1" t="str">
        <f t="shared" si="1728"/>
        <v>X</v>
      </c>
      <c r="M7970" s="1" t="str">
        <f t="shared" si="1728"/>
        <v>X</v>
      </c>
      <c r="N7970" t="s">
        <v>27</v>
      </c>
    </row>
    <row r="7971" spans="1:14" x14ac:dyDescent="0.25">
      <c r="A7971" t="s">
        <v>43</v>
      </c>
      <c r="B7971" t="s">
        <v>15</v>
      </c>
      <c r="C7971" t="s">
        <v>15</v>
      </c>
      <c r="D7971" t="s">
        <v>31</v>
      </c>
      <c r="E7971" t="s">
        <v>23</v>
      </c>
      <c r="F7971" t="s">
        <v>20</v>
      </c>
      <c r="G7971" s="2">
        <f>VALUE(3673.75)</f>
        <v>3673.75</v>
      </c>
      <c r="H7971" s="3">
        <f>VALUE(2619.87)</f>
        <v>2619.87</v>
      </c>
      <c r="I7971" s="1">
        <f>VALUE(3295)</f>
        <v>3295</v>
      </c>
      <c r="J7971" s="1">
        <f>VALUE(3614)</f>
        <v>3614</v>
      </c>
      <c r="K7971" s="1">
        <f>VALUE(4008)</f>
        <v>4008</v>
      </c>
      <c r="L7971" s="1">
        <f>VALUE(4867)</f>
        <v>4867</v>
      </c>
      <c r="M7971" s="1">
        <f>VALUE(5599)</f>
        <v>5599</v>
      </c>
      <c r="N7971" t="s">
        <v>25</v>
      </c>
    </row>
    <row r="7972" spans="1:14" x14ac:dyDescent="0.25">
      <c r="A7972" t="s">
        <v>43</v>
      </c>
      <c r="B7972" t="s">
        <v>15</v>
      </c>
      <c r="C7972" t="s">
        <v>15</v>
      </c>
      <c r="D7972" t="s">
        <v>31</v>
      </c>
      <c r="E7972" t="s">
        <v>26</v>
      </c>
      <c r="F7972" t="s">
        <v>15</v>
      </c>
      <c r="G7972" s="1" t="str">
        <f t="shared" ref="G7972:M7976" si="1729">"X"</f>
        <v>X</v>
      </c>
      <c r="H7972" s="1" t="str">
        <f t="shared" si="1729"/>
        <v>X</v>
      </c>
      <c r="I7972" s="1" t="str">
        <f t="shared" si="1729"/>
        <v>X</v>
      </c>
      <c r="J7972" s="1" t="str">
        <f t="shared" si="1729"/>
        <v>X</v>
      </c>
      <c r="K7972" s="1" t="str">
        <f t="shared" si="1729"/>
        <v>X</v>
      </c>
      <c r="L7972" s="1" t="str">
        <f t="shared" si="1729"/>
        <v>X</v>
      </c>
      <c r="M7972" s="1" t="str">
        <f t="shared" si="1729"/>
        <v>X</v>
      </c>
      <c r="N7972" t="s">
        <v>27</v>
      </c>
    </row>
    <row r="7973" spans="1:14" x14ac:dyDescent="0.25">
      <c r="A7973" t="s">
        <v>43</v>
      </c>
      <c r="B7973" t="s">
        <v>15</v>
      </c>
      <c r="C7973" t="s">
        <v>15</v>
      </c>
      <c r="D7973" t="s">
        <v>31</v>
      </c>
      <c r="E7973" t="s">
        <v>26</v>
      </c>
      <c r="F7973" t="s">
        <v>17</v>
      </c>
      <c r="G7973" s="1" t="str">
        <f t="shared" si="1729"/>
        <v>X</v>
      </c>
      <c r="H7973" s="1" t="str">
        <f t="shared" si="1729"/>
        <v>X</v>
      </c>
      <c r="I7973" s="1" t="str">
        <f t="shared" si="1729"/>
        <v>X</v>
      </c>
      <c r="J7973" s="1" t="str">
        <f t="shared" si="1729"/>
        <v>X</v>
      </c>
      <c r="K7973" s="1" t="str">
        <f t="shared" si="1729"/>
        <v>X</v>
      </c>
      <c r="L7973" s="1" t="str">
        <f t="shared" si="1729"/>
        <v>X</v>
      </c>
      <c r="M7973" s="1" t="str">
        <f t="shared" si="1729"/>
        <v>X</v>
      </c>
      <c r="N7973" t="s">
        <v>27</v>
      </c>
    </row>
    <row r="7974" spans="1:14" x14ac:dyDescent="0.25">
      <c r="A7974" t="s">
        <v>43</v>
      </c>
      <c r="B7974" t="s">
        <v>15</v>
      </c>
      <c r="C7974" t="s">
        <v>15</v>
      </c>
      <c r="D7974" t="s">
        <v>31</v>
      </c>
      <c r="E7974" t="s">
        <v>26</v>
      </c>
      <c r="F7974" t="s">
        <v>18</v>
      </c>
      <c r="G7974" s="1" t="str">
        <f t="shared" si="1729"/>
        <v>X</v>
      </c>
      <c r="H7974" s="1" t="str">
        <f t="shared" si="1729"/>
        <v>X</v>
      </c>
      <c r="I7974" s="1" t="str">
        <f t="shared" si="1729"/>
        <v>X</v>
      </c>
      <c r="J7974" s="1" t="str">
        <f t="shared" si="1729"/>
        <v>X</v>
      </c>
      <c r="K7974" s="1" t="str">
        <f t="shared" si="1729"/>
        <v>X</v>
      </c>
      <c r="L7974" s="1" t="str">
        <f t="shared" si="1729"/>
        <v>X</v>
      </c>
      <c r="M7974" s="1" t="str">
        <f t="shared" si="1729"/>
        <v>X</v>
      </c>
      <c r="N7974" t="s">
        <v>27</v>
      </c>
    </row>
    <row r="7975" spans="1:14" x14ac:dyDescent="0.25">
      <c r="A7975" t="s">
        <v>43</v>
      </c>
      <c r="B7975" t="s">
        <v>15</v>
      </c>
      <c r="C7975" t="s">
        <v>15</v>
      </c>
      <c r="D7975" t="s">
        <v>31</v>
      </c>
      <c r="E7975" t="s">
        <v>26</v>
      </c>
      <c r="F7975" t="s">
        <v>19</v>
      </c>
      <c r="G7975" s="1" t="str">
        <f t="shared" si="1729"/>
        <v>X</v>
      </c>
      <c r="H7975" s="1" t="str">
        <f t="shared" si="1729"/>
        <v>X</v>
      </c>
      <c r="I7975" s="1" t="str">
        <f t="shared" si="1729"/>
        <v>X</v>
      </c>
      <c r="J7975" s="1" t="str">
        <f t="shared" si="1729"/>
        <v>X</v>
      </c>
      <c r="K7975" s="1" t="str">
        <f t="shared" si="1729"/>
        <v>X</v>
      </c>
      <c r="L7975" s="1" t="str">
        <f t="shared" si="1729"/>
        <v>X</v>
      </c>
      <c r="M7975" s="1" t="str">
        <f t="shared" si="1729"/>
        <v>X</v>
      </c>
      <c r="N7975" t="s">
        <v>27</v>
      </c>
    </row>
    <row r="7976" spans="1:14" x14ac:dyDescent="0.25">
      <c r="A7976" t="s">
        <v>43</v>
      </c>
      <c r="B7976" t="s">
        <v>15</v>
      </c>
      <c r="C7976" t="s">
        <v>15</v>
      </c>
      <c r="D7976" t="s">
        <v>31</v>
      </c>
      <c r="E7976" t="s">
        <v>26</v>
      </c>
      <c r="F7976" t="s">
        <v>20</v>
      </c>
      <c r="G7976" s="1" t="str">
        <f t="shared" si="1729"/>
        <v>X</v>
      </c>
      <c r="H7976" s="1" t="str">
        <f t="shared" si="1729"/>
        <v>X</v>
      </c>
      <c r="I7976" s="1" t="str">
        <f t="shared" si="1729"/>
        <v>X</v>
      </c>
      <c r="J7976" s="1" t="str">
        <f t="shared" si="1729"/>
        <v>X</v>
      </c>
      <c r="K7976" s="1" t="str">
        <f t="shared" si="1729"/>
        <v>X</v>
      </c>
      <c r="L7976" s="1" t="str">
        <f t="shared" si="1729"/>
        <v>X</v>
      </c>
      <c r="M7976" s="1" t="str">
        <f t="shared" si="1729"/>
        <v>X</v>
      </c>
      <c r="N7976" t="s">
        <v>27</v>
      </c>
    </row>
    <row r="7977" spans="1:14" x14ac:dyDescent="0.25">
      <c r="A7977" t="s">
        <v>43</v>
      </c>
      <c r="B7977" t="s">
        <v>15</v>
      </c>
      <c r="C7977" t="s">
        <v>15</v>
      </c>
      <c r="D7977" t="s">
        <v>32</v>
      </c>
      <c r="E7977" t="s">
        <v>15</v>
      </c>
      <c r="F7977" t="s">
        <v>15</v>
      </c>
      <c r="G7977" s="1">
        <f>VALUE(46157.59)</f>
        <v>46157.59</v>
      </c>
      <c r="H7977" s="1">
        <f>VALUE(42275.48)</f>
        <v>42275.48</v>
      </c>
      <c r="I7977" s="1">
        <f>VALUE(3142)</f>
        <v>3142</v>
      </c>
      <c r="J7977" s="1">
        <f>VALUE(3601)</f>
        <v>3601</v>
      </c>
      <c r="K7977" s="1">
        <f>VALUE(4523)</f>
        <v>4523</v>
      </c>
      <c r="L7977" s="1">
        <f>VALUE(5579)</f>
        <v>5579</v>
      </c>
      <c r="M7977" s="1">
        <f>VALUE(6917)</f>
        <v>6917</v>
      </c>
      <c r="N7977" t="s">
        <v>16</v>
      </c>
    </row>
    <row r="7978" spans="1:14" x14ac:dyDescent="0.25">
      <c r="A7978" t="s">
        <v>43</v>
      </c>
      <c r="B7978" t="s">
        <v>15</v>
      </c>
      <c r="C7978" t="s">
        <v>15</v>
      </c>
      <c r="D7978" t="s">
        <v>32</v>
      </c>
      <c r="E7978" t="s">
        <v>15</v>
      </c>
      <c r="F7978" t="s">
        <v>17</v>
      </c>
      <c r="G7978" s="2">
        <f>VALUE(2568.76)</f>
        <v>2568.7600000000002</v>
      </c>
      <c r="H7978" s="3">
        <f>VALUE(2444.03)</f>
        <v>2444.0300000000002</v>
      </c>
      <c r="I7978" s="4">
        <f>VALUE(4713)</f>
        <v>4713</v>
      </c>
      <c r="J7978" s="1">
        <f>VALUE(5926)</f>
        <v>5926</v>
      </c>
      <c r="K7978" s="1">
        <f>VALUE(7484)</f>
        <v>7484</v>
      </c>
      <c r="L7978" s="1">
        <f>VALUE(9889)</f>
        <v>9889</v>
      </c>
      <c r="M7978" s="1">
        <f>VALUE(12939)</f>
        <v>12939</v>
      </c>
      <c r="N7978" t="s">
        <v>25</v>
      </c>
    </row>
    <row r="7979" spans="1:14" x14ac:dyDescent="0.25">
      <c r="A7979" t="s">
        <v>43</v>
      </c>
      <c r="B7979" t="s">
        <v>15</v>
      </c>
      <c r="C7979" t="s">
        <v>15</v>
      </c>
      <c r="D7979" t="s">
        <v>32</v>
      </c>
      <c r="E7979" t="s">
        <v>15</v>
      </c>
      <c r="F7979" t="s">
        <v>18</v>
      </c>
      <c r="G7979" s="2">
        <f>VALUE(3259.46)</f>
        <v>3259.46</v>
      </c>
      <c r="H7979" s="3">
        <f>VALUE(3035.1)</f>
        <v>3035.1</v>
      </c>
      <c r="I7979" s="4">
        <f>VALUE(3805)</f>
        <v>3805</v>
      </c>
      <c r="J7979" s="1">
        <f>VALUE(4433)</f>
        <v>4433</v>
      </c>
      <c r="K7979" s="1">
        <f>VALUE(5479)</f>
        <v>5479</v>
      </c>
      <c r="L7979" s="1">
        <f>VALUE(7024)</f>
        <v>7024</v>
      </c>
      <c r="M7979" s="1">
        <f>VALUE(8573)</f>
        <v>8573</v>
      </c>
      <c r="N7979" t="s">
        <v>25</v>
      </c>
    </row>
    <row r="7980" spans="1:14" x14ac:dyDescent="0.25">
      <c r="A7980" t="s">
        <v>43</v>
      </c>
      <c r="B7980" t="s">
        <v>15</v>
      </c>
      <c r="C7980" t="s">
        <v>15</v>
      </c>
      <c r="D7980" t="s">
        <v>32</v>
      </c>
      <c r="E7980" t="s">
        <v>15</v>
      </c>
      <c r="F7980" t="s">
        <v>19</v>
      </c>
      <c r="G7980" s="2">
        <f>VALUE(5702.67)</f>
        <v>5702.67</v>
      </c>
      <c r="H7980" s="3">
        <f>VALUE(5513.31)</f>
        <v>5513.31</v>
      </c>
      <c r="I7980" s="1">
        <f>VALUE(3569)</f>
        <v>3569</v>
      </c>
      <c r="J7980" s="1">
        <f>VALUE(4293)</f>
        <v>4293</v>
      </c>
      <c r="K7980" s="1">
        <f>VALUE(5289)</f>
        <v>5289</v>
      </c>
      <c r="L7980" s="1">
        <f>VALUE(6190)</f>
        <v>6190</v>
      </c>
      <c r="M7980" s="1">
        <f>VALUE(7337)</f>
        <v>7337</v>
      </c>
      <c r="N7980" t="s">
        <v>25</v>
      </c>
    </row>
    <row r="7981" spans="1:14" x14ac:dyDescent="0.25">
      <c r="A7981" t="s">
        <v>43</v>
      </c>
      <c r="B7981" t="s">
        <v>15</v>
      </c>
      <c r="C7981" t="s">
        <v>15</v>
      </c>
      <c r="D7981" t="s">
        <v>32</v>
      </c>
      <c r="E7981" t="s">
        <v>15</v>
      </c>
      <c r="F7981" t="s">
        <v>20</v>
      </c>
      <c r="G7981" s="1">
        <f>VALUE(34626.7)</f>
        <v>34626.699999999997</v>
      </c>
      <c r="H7981" s="1">
        <f>VALUE(31283.04)</f>
        <v>31283.040000000001</v>
      </c>
      <c r="I7981" s="1">
        <f>VALUE(3005)</f>
        <v>3005</v>
      </c>
      <c r="J7981" s="1">
        <f>VALUE(3465)</f>
        <v>3465</v>
      </c>
      <c r="K7981" s="1">
        <f>VALUE(4198)</f>
        <v>4198</v>
      </c>
      <c r="L7981" s="1">
        <f>VALUE(5247)</f>
        <v>5247</v>
      </c>
      <c r="M7981" s="1">
        <f>VALUE(6093)</f>
        <v>6093</v>
      </c>
      <c r="N7981" t="s">
        <v>16</v>
      </c>
    </row>
    <row r="7982" spans="1:14" x14ac:dyDescent="0.25">
      <c r="A7982" t="s">
        <v>43</v>
      </c>
      <c r="B7982" t="s">
        <v>15</v>
      </c>
      <c r="C7982" t="s">
        <v>15</v>
      </c>
      <c r="D7982" t="s">
        <v>32</v>
      </c>
      <c r="E7982" t="s">
        <v>21</v>
      </c>
      <c r="F7982" t="s">
        <v>15</v>
      </c>
      <c r="G7982" s="1">
        <f>VALUE(7731.9)</f>
        <v>7731.9</v>
      </c>
      <c r="H7982" s="1">
        <f>VALUE(7081.67)</f>
        <v>7081.67</v>
      </c>
      <c r="I7982" s="1">
        <f>VALUE(3628)</f>
        <v>3628</v>
      </c>
      <c r="J7982" s="1">
        <f>VALUE(4517)</f>
        <v>4517</v>
      </c>
      <c r="K7982" s="1">
        <f>VALUE(5504)</f>
        <v>5504</v>
      </c>
      <c r="L7982" s="1">
        <f>VALUE(7275)</f>
        <v>7275</v>
      </c>
      <c r="M7982" s="1">
        <f>VALUE(9736)</f>
        <v>9736</v>
      </c>
      <c r="N7982" t="s">
        <v>16</v>
      </c>
    </row>
    <row r="7983" spans="1:14" x14ac:dyDescent="0.25">
      <c r="A7983" t="s">
        <v>43</v>
      </c>
      <c r="B7983" t="s">
        <v>15</v>
      </c>
      <c r="C7983" t="s">
        <v>15</v>
      </c>
      <c r="D7983" t="s">
        <v>32</v>
      </c>
      <c r="E7983" t="s">
        <v>21</v>
      </c>
      <c r="F7983" t="s">
        <v>17</v>
      </c>
      <c r="G7983" s="2">
        <f>VALUE(1325.58)</f>
        <v>1325.58</v>
      </c>
      <c r="H7983" s="3">
        <f>VALUE(1247.12)</f>
        <v>1247.1199999999999</v>
      </c>
      <c r="I7983" s="4">
        <f>VALUE(5348)</f>
        <v>5348</v>
      </c>
      <c r="J7983" s="5">
        <f>VALUE(6665)</f>
        <v>6665</v>
      </c>
      <c r="K7983" s="1">
        <f>VALUE(8614)</f>
        <v>8614</v>
      </c>
      <c r="L7983" s="1">
        <f>VALUE(11059)</f>
        <v>11059</v>
      </c>
      <c r="M7983" s="8">
        <f>VALUE(15443)</f>
        <v>15443</v>
      </c>
      <c r="N7983" t="s">
        <v>25</v>
      </c>
    </row>
    <row r="7984" spans="1:14" x14ac:dyDescent="0.25">
      <c r="A7984" t="s">
        <v>43</v>
      </c>
      <c r="B7984" t="s">
        <v>15</v>
      </c>
      <c r="C7984" t="s">
        <v>15</v>
      </c>
      <c r="D7984" t="s">
        <v>32</v>
      </c>
      <c r="E7984" t="s">
        <v>21</v>
      </c>
      <c r="F7984" t="s">
        <v>18</v>
      </c>
      <c r="G7984" s="2">
        <f>VALUE(1027.62)</f>
        <v>1027.6199999999999</v>
      </c>
      <c r="H7984" s="3">
        <f>VALUE(964.26)</f>
        <v>964.26</v>
      </c>
      <c r="I7984" s="1">
        <f>VALUE(4550)</f>
        <v>4550</v>
      </c>
      <c r="J7984" s="1">
        <f>VALUE(5170)</f>
        <v>5170</v>
      </c>
      <c r="K7984" s="1">
        <f>VALUE(6408)</f>
        <v>6408</v>
      </c>
      <c r="L7984" s="1">
        <f>VALUE(8119)</f>
        <v>8119</v>
      </c>
      <c r="M7984" s="1">
        <f>VALUE(10073)</f>
        <v>10073</v>
      </c>
      <c r="N7984" t="s">
        <v>25</v>
      </c>
    </row>
    <row r="7985" spans="1:14" x14ac:dyDescent="0.25">
      <c r="A7985" t="s">
        <v>43</v>
      </c>
      <c r="B7985" t="s">
        <v>15</v>
      </c>
      <c r="C7985" t="s">
        <v>15</v>
      </c>
      <c r="D7985" t="s">
        <v>32</v>
      </c>
      <c r="E7985" t="s">
        <v>21</v>
      </c>
      <c r="F7985" t="s">
        <v>19</v>
      </c>
      <c r="G7985" s="2">
        <f>VALUE(1135.25)</f>
        <v>1135.25</v>
      </c>
      <c r="H7985" s="3">
        <f>VALUE(1048.15)</f>
        <v>1048.1500000000001</v>
      </c>
      <c r="I7985" s="4">
        <f>VALUE(4270)</f>
        <v>4270</v>
      </c>
      <c r="J7985" s="1">
        <f>VALUE(5098)</f>
        <v>5098</v>
      </c>
      <c r="K7985" s="1">
        <f>VALUE(5952)</f>
        <v>5952</v>
      </c>
      <c r="L7985" s="1">
        <f>VALUE(7320)</f>
        <v>7320</v>
      </c>
      <c r="M7985" s="1">
        <f>VALUE(8258)</f>
        <v>8258</v>
      </c>
      <c r="N7985" t="s">
        <v>25</v>
      </c>
    </row>
    <row r="7986" spans="1:14" x14ac:dyDescent="0.25">
      <c r="A7986" t="s">
        <v>43</v>
      </c>
      <c r="B7986" t="s">
        <v>15</v>
      </c>
      <c r="C7986" t="s">
        <v>15</v>
      </c>
      <c r="D7986" t="s">
        <v>32</v>
      </c>
      <c r="E7986" t="s">
        <v>21</v>
      </c>
      <c r="F7986" t="s">
        <v>20</v>
      </c>
      <c r="G7986" s="1">
        <f>VALUE(4243.45)</f>
        <v>4243.45</v>
      </c>
      <c r="H7986" s="1">
        <f>VALUE(3822.14)</f>
        <v>3822.14</v>
      </c>
      <c r="I7986" s="1">
        <f>VALUE(3367)</f>
        <v>3367</v>
      </c>
      <c r="J7986" s="1">
        <f>VALUE(4042)</f>
        <v>4042</v>
      </c>
      <c r="K7986" s="1">
        <f>VALUE(4953)</f>
        <v>4953</v>
      </c>
      <c r="L7986" s="1">
        <f>VALUE(5709)</f>
        <v>5709</v>
      </c>
      <c r="M7986" s="1">
        <f>VALUE(6837)</f>
        <v>6837</v>
      </c>
      <c r="N7986" t="s">
        <v>16</v>
      </c>
    </row>
    <row r="7987" spans="1:14" x14ac:dyDescent="0.25">
      <c r="A7987" t="s">
        <v>43</v>
      </c>
      <c r="B7987" t="s">
        <v>15</v>
      </c>
      <c r="C7987" t="s">
        <v>15</v>
      </c>
      <c r="D7987" t="s">
        <v>32</v>
      </c>
      <c r="E7987" t="s">
        <v>22</v>
      </c>
      <c r="F7987" t="s">
        <v>15</v>
      </c>
      <c r="G7987" s="1">
        <f>VALUE(15934.38)</f>
        <v>15934.38</v>
      </c>
      <c r="H7987" s="1">
        <f>VALUE(14692.38)</f>
        <v>14692.38</v>
      </c>
      <c r="I7987" s="1">
        <f>VALUE(3425)</f>
        <v>3425</v>
      </c>
      <c r="J7987" s="1">
        <f>VALUE(4000)</f>
        <v>4000</v>
      </c>
      <c r="K7987" s="1">
        <f>VALUE(4875)</f>
        <v>4875</v>
      </c>
      <c r="L7987" s="1">
        <f>VALUE(5819)</f>
        <v>5819</v>
      </c>
      <c r="M7987" s="1">
        <f>VALUE(7056)</f>
        <v>7056</v>
      </c>
      <c r="N7987" t="s">
        <v>16</v>
      </c>
    </row>
    <row r="7988" spans="1:14" x14ac:dyDescent="0.25">
      <c r="A7988" t="s">
        <v>43</v>
      </c>
      <c r="B7988" t="s">
        <v>15</v>
      </c>
      <c r="C7988" t="s">
        <v>15</v>
      </c>
      <c r="D7988" t="s">
        <v>32</v>
      </c>
      <c r="E7988" t="s">
        <v>22</v>
      </c>
      <c r="F7988" t="s">
        <v>17</v>
      </c>
      <c r="G7988" s="2">
        <f>VALUE(851.9)</f>
        <v>851.9</v>
      </c>
      <c r="H7988" s="3">
        <f>VALUE(824)</f>
        <v>824</v>
      </c>
      <c r="I7988" s="4">
        <f>VALUE(4541)</f>
        <v>4541</v>
      </c>
      <c r="J7988" s="1">
        <f>VALUE(5789)</f>
        <v>5789</v>
      </c>
      <c r="K7988" s="1">
        <f>VALUE(6689)</f>
        <v>6689</v>
      </c>
      <c r="L7988" s="7">
        <f>VALUE(8458)</f>
        <v>8458</v>
      </c>
      <c r="M7988" s="8">
        <f>VALUE(9479)</f>
        <v>9479</v>
      </c>
      <c r="N7988" t="s">
        <v>25</v>
      </c>
    </row>
    <row r="7989" spans="1:14" x14ac:dyDescent="0.25">
      <c r="A7989" t="s">
        <v>43</v>
      </c>
      <c r="B7989" t="s">
        <v>15</v>
      </c>
      <c r="C7989" t="s">
        <v>15</v>
      </c>
      <c r="D7989" t="s">
        <v>32</v>
      </c>
      <c r="E7989" t="s">
        <v>22</v>
      </c>
      <c r="F7989" t="s">
        <v>18</v>
      </c>
      <c r="G7989" s="2">
        <f>VALUE(1546.16)</f>
        <v>1546.16</v>
      </c>
      <c r="H7989" s="3">
        <f>VALUE(1426.97)</f>
        <v>1426.97</v>
      </c>
      <c r="I7989" s="4">
        <f>VALUE(3831)</f>
        <v>3831</v>
      </c>
      <c r="J7989" s="1">
        <f>VALUE(4368)</f>
        <v>4368</v>
      </c>
      <c r="K7989" s="1">
        <f>VALUE(5282)</f>
        <v>5282</v>
      </c>
      <c r="L7989" s="1">
        <f>VALUE(6864)</f>
        <v>6864</v>
      </c>
      <c r="M7989" s="1">
        <f>VALUE(7810)</f>
        <v>7810</v>
      </c>
      <c r="N7989" t="s">
        <v>25</v>
      </c>
    </row>
    <row r="7990" spans="1:14" x14ac:dyDescent="0.25">
      <c r="A7990" t="s">
        <v>43</v>
      </c>
      <c r="B7990" t="s">
        <v>15</v>
      </c>
      <c r="C7990" t="s">
        <v>15</v>
      </c>
      <c r="D7990" t="s">
        <v>32</v>
      </c>
      <c r="E7990" t="s">
        <v>22</v>
      </c>
      <c r="F7990" t="s">
        <v>19</v>
      </c>
      <c r="G7990" s="2">
        <f>VALUE(2258.6)</f>
        <v>2258.6</v>
      </c>
      <c r="H7990" s="3">
        <f>VALUE(2200.4)</f>
        <v>2200.4</v>
      </c>
      <c r="I7990" s="1">
        <f>VALUE(4020)</f>
        <v>4020</v>
      </c>
      <c r="J7990" s="1">
        <f>VALUE(4590)</f>
        <v>4590</v>
      </c>
      <c r="K7990" s="1">
        <f>VALUE(5504)</f>
        <v>5504</v>
      </c>
      <c r="L7990" s="1">
        <f>VALUE(6289)</f>
        <v>6289</v>
      </c>
      <c r="M7990" s="1">
        <f>VALUE(7469)</f>
        <v>7469</v>
      </c>
      <c r="N7990" t="s">
        <v>25</v>
      </c>
    </row>
    <row r="7991" spans="1:14" x14ac:dyDescent="0.25">
      <c r="A7991" t="s">
        <v>43</v>
      </c>
      <c r="B7991" t="s">
        <v>15</v>
      </c>
      <c r="C7991" t="s">
        <v>15</v>
      </c>
      <c r="D7991" t="s">
        <v>32</v>
      </c>
      <c r="E7991" t="s">
        <v>22</v>
      </c>
      <c r="F7991" t="s">
        <v>20</v>
      </c>
      <c r="G7991" s="1">
        <f>VALUE(11277.72)</f>
        <v>11277.72</v>
      </c>
      <c r="H7991" s="1">
        <f>VALUE(10241.01)</f>
        <v>10241.01</v>
      </c>
      <c r="I7991" s="1">
        <f>VALUE(3323)</f>
        <v>3323</v>
      </c>
      <c r="J7991" s="1">
        <f>VALUE(3721)</f>
        <v>3721</v>
      </c>
      <c r="K7991" s="1">
        <f>VALUE(4560)</f>
        <v>4560</v>
      </c>
      <c r="L7991" s="1">
        <f>VALUE(5444)</f>
        <v>5444</v>
      </c>
      <c r="M7991" s="1">
        <f>VALUE(6371)</f>
        <v>6371</v>
      </c>
      <c r="N7991" t="s">
        <v>16</v>
      </c>
    </row>
    <row r="7992" spans="1:14" x14ac:dyDescent="0.25">
      <c r="A7992" t="s">
        <v>43</v>
      </c>
      <c r="B7992" t="s">
        <v>15</v>
      </c>
      <c r="C7992" t="s">
        <v>15</v>
      </c>
      <c r="D7992" t="s">
        <v>32</v>
      </c>
      <c r="E7992" t="s">
        <v>23</v>
      </c>
      <c r="F7992" t="s">
        <v>15</v>
      </c>
      <c r="G7992" s="1">
        <f>VALUE(21521.13)</f>
        <v>21521.13</v>
      </c>
      <c r="H7992" s="1">
        <f>VALUE(19643.31)</f>
        <v>19643.310000000001</v>
      </c>
      <c r="I7992" s="1">
        <f>VALUE(2954)</f>
        <v>2954</v>
      </c>
      <c r="J7992" s="1">
        <f>VALUE(3323)</f>
        <v>3323</v>
      </c>
      <c r="K7992" s="1">
        <f>VALUE(3913)</f>
        <v>3913</v>
      </c>
      <c r="L7992" s="1">
        <f>VALUE(4934)</f>
        <v>4934</v>
      </c>
      <c r="M7992" s="1">
        <f>VALUE(5875)</f>
        <v>5875</v>
      </c>
      <c r="N7992" t="s">
        <v>16</v>
      </c>
    </row>
    <row r="7993" spans="1:14" x14ac:dyDescent="0.25">
      <c r="A7993" t="s">
        <v>43</v>
      </c>
      <c r="B7993" t="s">
        <v>15</v>
      </c>
      <c r="C7993" t="s">
        <v>15</v>
      </c>
      <c r="D7993" t="s">
        <v>32</v>
      </c>
      <c r="E7993" t="s">
        <v>23</v>
      </c>
      <c r="F7993" t="s">
        <v>17</v>
      </c>
      <c r="G7993" s="2">
        <f>VALUE(353.26)</f>
        <v>353.26</v>
      </c>
      <c r="H7993" s="3">
        <f>VALUE(334.71)</f>
        <v>334.71</v>
      </c>
      <c r="I7993" s="1">
        <f>VALUE(4130)</f>
        <v>4130</v>
      </c>
      <c r="J7993" s="5">
        <f>VALUE(5220)</f>
        <v>5220</v>
      </c>
      <c r="K7993" s="6">
        <f>VALUE(6028)</f>
        <v>6028</v>
      </c>
      <c r="L7993" s="7">
        <f>VALUE(6979)</f>
        <v>6979</v>
      </c>
      <c r="M7993" s="1">
        <f>VALUE(7745)</f>
        <v>7745</v>
      </c>
      <c r="N7993" t="s">
        <v>25</v>
      </c>
    </row>
    <row r="7994" spans="1:14" x14ac:dyDescent="0.25">
      <c r="A7994" t="s">
        <v>43</v>
      </c>
      <c r="B7994" t="s">
        <v>15</v>
      </c>
      <c r="C7994" t="s">
        <v>15</v>
      </c>
      <c r="D7994" t="s">
        <v>32</v>
      </c>
      <c r="E7994" t="s">
        <v>23</v>
      </c>
      <c r="F7994" t="s">
        <v>18</v>
      </c>
      <c r="G7994" s="2">
        <f>VALUE(631.04)</f>
        <v>631.04</v>
      </c>
      <c r="H7994" s="3">
        <f>VALUE(603.78)</f>
        <v>603.78</v>
      </c>
      <c r="I7994" s="1">
        <f>VALUE(3358)</f>
        <v>3358</v>
      </c>
      <c r="J7994" s="5">
        <f>VALUE(3743)</f>
        <v>3743</v>
      </c>
      <c r="K7994" s="6">
        <f>VALUE(4500)</f>
        <v>4500</v>
      </c>
      <c r="L7994" s="7">
        <f>VALUE(5479)</f>
        <v>5479</v>
      </c>
      <c r="M7994" s="8">
        <f>VALUE(6936)</f>
        <v>6936</v>
      </c>
      <c r="N7994" t="s">
        <v>25</v>
      </c>
    </row>
    <row r="7995" spans="1:14" x14ac:dyDescent="0.25">
      <c r="A7995" t="s">
        <v>43</v>
      </c>
      <c r="B7995" t="s">
        <v>15</v>
      </c>
      <c r="C7995" t="s">
        <v>15</v>
      </c>
      <c r="D7995" t="s">
        <v>32</v>
      </c>
      <c r="E7995" t="s">
        <v>23</v>
      </c>
      <c r="F7995" t="s">
        <v>19</v>
      </c>
      <c r="G7995" s="2">
        <f>VALUE(2239.66)</f>
        <v>2239.66</v>
      </c>
      <c r="H7995" s="3">
        <f>VALUE(2202.94)</f>
        <v>2202.94</v>
      </c>
      <c r="I7995" s="4">
        <f>VALUE(3260)</f>
        <v>3260</v>
      </c>
      <c r="J7995" s="5">
        <f>VALUE(3791)</f>
        <v>3791</v>
      </c>
      <c r="K7995" s="1">
        <f>VALUE(4683)</f>
        <v>4683</v>
      </c>
      <c r="L7995" s="7">
        <f>VALUE(5503)</f>
        <v>5503</v>
      </c>
      <c r="M7995" s="1">
        <f>VALUE(6866)</f>
        <v>6866</v>
      </c>
      <c r="N7995" t="s">
        <v>25</v>
      </c>
    </row>
    <row r="7996" spans="1:14" x14ac:dyDescent="0.25">
      <c r="A7996" t="s">
        <v>43</v>
      </c>
      <c r="B7996" t="s">
        <v>15</v>
      </c>
      <c r="C7996" t="s">
        <v>15</v>
      </c>
      <c r="D7996" t="s">
        <v>32</v>
      </c>
      <c r="E7996" t="s">
        <v>23</v>
      </c>
      <c r="F7996" t="s">
        <v>20</v>
      </c>
      <c r="G7996" s="1">
        <f>VALUE(18297.17)</f>
        <v>18297.169999999998</v>
      </c>
      <c r="H7996" s="1">
        <f>VALUE(16501.88)</f>
        <v>16501.88</v>
      </c>
      <c r="I7996" s="1">
        <f>VALUE(2919)</f>
        <v>2919</v>
      </c>
      <c r="J7996" s="1">
        <f>VALUE(3268)</f>
        <v>3268</v>
      </c>
      <c r="K7996" s="1">
        <f>VALUE(3792)</f>
        <v>3792</v>
      </c>
      <c r="L7996" s="1">
        <f>VALUE(4735)</f>
        <v>4735</v>
      </c>
      <c r="M7996" s="1">
        <f>VALUE(5568)</f>
        <v>5568</v>
      </c>
      <c r="N7996" t="s">
        <v>16</v>
      </c>
    </row>
    <row r="7997" spans="1:14" x14ac:dyDescent="0.25">
      <c r="A7997" t="s">
        <v>43</v>
      </c>
      <c r="B7997" t="s">
        <v>15</v>
      </c>
      <c r="C7997" t="s">
        <v>15</v>
      </c>
      <c r="D7997" t="s">
        <v>32</v>
      </c>
      <c r="E7997" t="s">
        <v>26</v>
      </c>
      <c r="F7997" t="s">
        <v>15</v>
      </c>
      <c r="G7997" s="2">
        <f>VALUE(970.18)</f>
        <v>970.18</v>
      </c>
      <c r="H7997" s="3">
        <f>VALUE(858.12)</f>
        <v>858.12</v>
      </c>
      <c r="I7997" s="1">
        <f>VALUE(3702)</f>
        <v>3702</v>
      </c>
      <c r="J7997" s="1">
        <f>VALUE(4295)</f>
        <v>4295</v>
      </c>
      <c r="K7997" s="1">
        <f>VALUE(5188)</f>
        <v>5188</v>
      </c>
      <c r="L7997" s="1">
        <f>VALUE(6090)</f>
        <v>6090</v>
      </c>
      <c r="M7997" s="8">
        <f>VALUE(7695)</f>
        <v>7695</v>
      </c>
      <c r="N7997" t="s">
        <v>25</v>
      </c>
    </row>
    <row r="7998" spans="1:14" x14ac:dyDescent="0.25">
      <c r="A7998" t="s">
        <v>43</v>
      </c>
      <c r="B7998" t="s">
        <v>15</v>
      </c>
      <c r="C7998" t="s">
        <v>15</v>
      </c>
      <c r="D7998" t="s">
        <v>32</v>
      </c>
      <c r="E7998" t="s">
        <v>26</v>
      </c>
      <c r="F7998" t="s">
        <v>17</v>
      </c>
      <c r="G7998" s="1" t="str">
        <f t="shared" ref="G7998:M8000" si="1730">"X"</f>
        <v>X</v>
      </c>
      <c r="H7998" s="1" t="str">
        <f t="shared" si="1730"/>
        <v>X</v>
      </c>
      <c r="I7998" s="1" t="str">
        <f t="shared" si="1730"/>
        <v>X</v>
      </c>
      <c r="J7998" s="1" t="str">
        <f t="shared" si="1730"/>
        <v>X</v>
      </c>
      <c r="K7998" s="1" t="str">
        <f t="shared" si="1730"/>
        <v>X</v>
      </c>
      <c r="L7998" s="1" t="str">
        <f t="shared" si="1730"/>
        <v>X</v>
      </c>
      <c r="M7998" s="1" t="str">
        <f t="shared" si="1730"/>
        <v>X</v>
      </c>
      <c r="N7998" t="s">
        <v>27</v>
      </c>
    </row>
    <row r="7999" spans="1:14" x14ac:dyDescent="0.25">
      <c r="A7999" t="s">
        <v>43</v>
      </c>
      <c r="B7999" t="s">
        <v>15</v>
      </c>
      <c r="C7999" t="s">
        <v>15</v>
      </c>
      <c r="D7999" t="s">
        <v>32</v>
      </c>
      <c r="E7999" t="s">
        <v>26</v>
      </c>
      <c r="F7999" t="s">
        <v>18</v>
      </c>
      <c r="G7999" s="1" t="str">
        <f t="shared" si="1730"/>
        <v>X</v>
      </c>
      <c r="H7999" s="1" t="str">
        <f t="shared" si="1730"/>
        <v>X</v>
      </c>
      <c r="I7999" s="1" t="str">
        <f t="shared" si="1730"/>
        <v>X</v>
      </c>
      <c r="J7999" s="1" t="str">
        <f t="shared" si="1730"/>
        <v>X</v>
      </c>
      <c r="K7999" s="1" t="str">
        <f t="shared" si="1730"/>
        <v>X</v>
      </c>
      <c r="L7999" s="1" t="str">
        <f t="shared" si="1730"/>
        <v>X</v>
      </c>
      <c r="M7999" s="1" t="str">
        <f t="shared" si="1730"/>
        <v>X</v>
      </c>
      <c r="N7999" t="s">
        <v>27</v>
      </c>
    </row>
    <row r="8000" spans="1:14" x14ac:dyDescent="0.25">
      <c r="A8000" t="s">
        <v>43</v>
      </c>
      <c r="B8000" t="s">
        <v>15</v>
      </c>
      <c r="C8000" t="s">
        <v>15</v>
      </c>
      <c r="D8000" t="s">
        <v>32</v>
      </c>
      <c r="E8000" t="s">
        <v>26</v>
      </c>
      <c r="F8000" t="s">
        <v>19</v>
      </c>
      <c r="G8000" s="1" t="str">
        <f t="shared" si="1730"/>
        <v>X</v>
      </c>
      <c r="H8000" s="1" t="str">
        <f t="shared" si="1730"/>
        <v>X</v>
      </c>
      <c r="I8000" s="1" t="str">
        <f t="shared" si="1730"/>
        <v>X</v>
      </c>
      <c r="J8000" s="1" t="str">
        <f t="shared" si="1730"/>
        <v>X</v>
      </c>
      <c r="K8000" s="1" t="str">
        <f t="shared" si="1730"/>
        <v>X</v>
      </c>
      <c r="L8000" s="1" t="str">
        <f t="shared" si="1730"/>
        <v>X</v>
      </c>
      <c r="M8000" s="1" t="str">
        <f t="shared" si="1730"/>
        <v>X</v>
      </c>
      <c r="N8000" t="s">
        <v>27</v>
      </c>
    </row>
    <row r="8001" spans="1:14" x14ac:dyDescent="0.25">
      <c r="A8001" t="s">
        <v>43</v>
      </c>
      <c r="B8001" t="s">
        <v>15</v>
      </c>
      <c r="C8001" t="s">
        <v>15</v>
      </c>
      <c r="D8001" t="s">
        <v>32</v>
      </c>
      <c r="E8001" t="s">
        <v>26</v>
      </c>
      <c r="F8001" t="s">
        <v>20</v>
      </c>
      <c r="G8001" s="2">
        <f>VALUE(808.36)</f>
        <v>808.36</v>
      </c>
      <c r="H8001" s="3">
        <f>VALUE(718.01)</f>
        <v>718.01</v>
      </c>
      <c r="I8001" s="1">
        <f>VALUE(3634)</f>
        <v>3634</v>
      </c>
      <c r="J8001" s="1">
        <f>VALUE(4266)</f>
        <v>4266</v>
      </c>
      <c r="K8001" s="1">
        <f>VALUE(5097)</f>
        <v>5097</v>
      </c>
      <c r="L8001" s="1">
        <f>VALUE(5679)</f>
        <v>5679</v>
      </c>
      <c r="M8001" s="1">
        <f>VALUE(6503)</f>
        <v>6503</v>
      </c>
      <c r="N8001" t="s">
        <v>25</v>
      </c>
    </row>
    <row r="8002" spans="1:14" x14ac:dyDescent="0.25">
      <c r="A8002" t="s">
        <v>43</v>
      </c>
      <c r="B8002" t="s">
        <v>15</v>
      </c>
      <c r="C8002" t="s">
        <v>15</v>
      </c>
      <c r="D8002" t="s">
        <v>33</v>
      </c>
      <c r="E8002" t="s">
        <v>15</v>
      </c>
      <c r="F8002" t="s">
        <v>15</v>
      </c>
      <c r="G8002" s="2">
        <f>VALUE(306.51)</f>
        <v>306.51</v>
      </c>
      <c r="H8002" s="3">
        <f>VALUE(277.65)</f>
        <v>277.64999999999998</v>
      </c>
      <c r="I8002" s="1">
        <f>VALUE(3379)</f>
        <v>3379</v>
      </c>
      <c r="J8002" s="1">
        <f>VALUE(3848)</f>
        <v>3848</v>
      </c>
      <c r="K8002" s="1">
        <f>VALUE(4952)</f>
        <v>4952</v>
      </c>
      <c r="L8002" s="7">
        <f>VALUE(6733)</f>
        <v>6733</v>
      </c>
      <c r="M8002" s="1">
        <f>VALUE(10526)</f>
        <v>10526</v>
      </c>
      <c r="N8002" t="s">
        <v>25</v>
      </c>
    </row>
    <row r="8003" spans="1:14" x14ac:dyDescent="0.25">
      <c r="A8003" t="s">
        <v>43</v>
      </c>
      <c r="B8003" t="s">
        <v>15</v>
      </c>
      <c r="C8003" t="s">
        <v>15</v>
      </c>
      <c r="D8003" t="s">
        <v>33</v>
      </c>
      <c r="E8003" t="s">
        <v>15</v>
      </c>
      <c r="F8003" t="s">
        <v>17</v>
      </c>
      <c r="G8003" s="1" t="str">
        <f t="shared" ref="G8003:M8005" si="1731">"X"</f>
        <v>X</v>
      </c>
      <c r="H8003" s="1" t="str">
        <f t="shared" si="1731"/>
        <v>X</v>
      </c>
      <c r="I8003" s="1" t="str">
        <f t="shared" si="1731"/>
        <v>X</v>
      </c>
      <c r="J8003" s="1" t="str">
        <f t="shared" si="1731"/>
        <v>X</v>
      </c>
      <c r="K8003" s="1" t="str">
        <f t="shared" si="1731"/>
        <v>X</v>
      </c>
      <c r="L8003" s="1" t="str">
        <f t="shared" si="1731"/>
        <v>X</v>
      </c>
      <c r="M8003" s="1" t="str">
        <f t="shared" si="1731"/>
        <v>X</v>
      </c>
      <c r="N8003" t="s">
        <v>27</v>
      </c>
    </row>
    <row r="8004" spans="1:14" x14ac:dyDescent="0.25">
      <c r="A8004" t="s">
        <v>43</v>
      </c>
      <c r="B8004" t="s">
        <v>15</v>
      </c>
      <c r="C8004" t="s">
        <v>15</v>
      </c>
      <c r="D8004" t="s">
        <v>33</v>
      </c>
      <c r="E8004" t="s">
        <v>15</v>
      </c>
      <c r="F8004" t="s">
        <v>18</v>
      </c>
      <c r="G8004" s="1" t="str">
        <f t="shared" si="1731"/>
        <v>X</v>
      </c>
      <c r="H8004" s="1" t="str">
        <f t="shared" si="1731"/>
        <v>X</v>
      </c>
      <c r="I8004" s="1" t="str">
        <f t="shared" si="1731"/>
        <v>X</v>
      </c>
      <c r="J8004" s="1" t="str">
        <f t="shared" si="1731"/>
        <v>X</v>
      </c>
      <c r="K8004" s="1" t="str">
        <f t="shared" si="1731"/>
        <v>X</v>
      </c>
      <c r="L8004" s="1" t="str">
        <f t="shared" si="1731"/>
        <v>X</v>
      </c>
      <c r="M8004" s="1" t="str">
        <f t="shared" si="1731"/>
        <v>X</v>
      </c>
      <c r="N8004" t="s">
        <v>27</v>
      </c>
    </row>
    <row r="8005" spans="1:14" x14ac:dyDescent="0.25">
      <c r="A8005" t="s">
        <v>43</v>
      </c>
      <c r="B8005" t="s">
        <v>15</v>
      </c>
      <c r="C8005" t="s">
        <v>15</v>
      </c>
      <c r="D8005" t="s">
        <v>33</v>
      </c>
      <c r="E8005" t="s">
        <v>15</v>
      </c>
      <c r="F8005" t="s">
        <v>19</v>
      </c>
      <c r="G8005" s="1" t="str">
        <f t="shared" si="1731"/>
        <v>X</v>
      </c>
      <c r="H8005" s="1" t="str">
        <f t="shared" si="1731"/>
        <v>X</v>
      </c>
      <c r="I8005" s="1" t="str">
        <f t="shared" si="1731"/>
        <v>X</v>
      </c>
      <c r="J8005" s="1" t="str">
        <f t="shared" si="1731"/>
        <v>X</v>
      </c>
      <c r="K8005" s="1" t="str">
        <f t="shared" si="1731"/>
        <v>X</v>
      </c>
      <c r="L8005" s="1" t="str">
        <f t="shared" si="1731"/>
        <v>X</v>
      </c>
      <c r="M8005" s="1" t="str">
        <f t="shared" si="1731"/>
        <v>X</v>
      </c>
      <c r="N8005" t="s">
        <v>27</v>
      </c>
    </row>
    <row r="8006" spans="1:14" x14ac:dyDescent="0.25">
      <c r="A8006" t="s">
        <v>43</v>
      </c>
      <c r="B8006" t="s">
        <v>15</v>
      </c>
      <c r="C8006" t="s">
        <v>15</v>
      </c>
      <c r="D8006" t="s">
        <v>33</v>
      </c>
      <c r="E8006" t="s">
        <v>15</v>
      </c>
      <c r="F8006" t="s">
        <v>20</v>
      </c>
      <c r="G8006" s="2">
        <f>VALUE(211.36)</f>
        <v>211.36</v>
      </c>
      <c r="H8006" s="3">
        <f>VALUE(189.96)</f>
        <v>189.96</v>
      </c>
      <c r="I8006" s="1">
        <f>VALUE(3144)</f>
        <v>3144</v>
      </c>
      <c r="J8006" s="1">
        <f>VALUE(3600)</f>
        <v>3600</v>
      </c>
      <c r="K8006" s="6">
        <f>VALUE(4282)</f>
        <v>4282</v>
      </c>
      <c r="L8006" s="7">
        <f>VALUE(5553)</f>
        <v>5553</v>
      </c>
      <c r="M8006" s="8">
        <f>VALUE(6733)</f>
        <v>6733</v>
      </c>
      <c r="N8006" t="s">
        <v>25</v>
      </c>
    </row>
    <row r="8007" spans="1:14" x14ac:dyDescent="0.25">
      <c r="A8007" t="s">
        <v>43</v>
      </c>
      <c r="B8007" t="s">
        <v>15</v>
      </c>
      <c r="C8007" t="s">
        <v>15</v>
      </c>
      <c r="D8007" t="s">
        <v>33</v>
      </c>
      <c r="E8007" t="s">
        <v>21</v>
      </c>
      <c r="F8007" t="s">
        <v>15</v>
      </c>
      <c r="G8007" s="2">
        <f>VALUE(128.21)</f>
        <v>128.21</v>
      </c>
      <c r="H8007" s="3">
        <f>VALUE(119.06)</f>
        <v>119.06</v>
      </c>
      <c r="I8007" s="4">
        <f>VALUE(3901)</f>
        <v>3901</v>
      </c>
      <c r="J8007" s="1">
        <f>VALUE(4723)</f>
        <v>4723</v>
      </c>
      <c r="K8007" s="6">
        <f>VALUE(6277)</f>
        <v>6277</v>
      </c>
      <c r="L8007" s="7">
        <f>VALUE(10526)</f>
        <v>10526</v>
      </c>
      <c r="M8007" s="8">
        <f>VALUE(11669)</f>
        <v>11669</v>
      </c>
      <c r="N8007" t="s">
        <v>25</v>
      </c>
    </row>
    <row r="8008" spans="1:14" x14ac:dyDescent="0.25">
      <c r="A8008" t="s">
        <v>43</v>
      </c>
      <c r="B8008" t="s">
        <v>15</v>
      </c>
      <c r="C8008" t="s">
        <v>15</v>
      </c>
      <c r="D8008" t="s">
        <v>33</v>
      </c>
      <c r="E8008" t="s">
        <v>21</v>
      </c>
      <c r="F8008" t="s">
        <v>17</v>
      </c>
      <c r="G8008" s="1" t="str">
        <f t="shared" ref="G8008:M8014" si="1732">"X"</f>
        <v>X</v>
      </c>
      <c r="H8008" s="1" t="str">
        <f t="shared" si="1732"/>
        <v>X</v>
      </c>
      <c r="I8008" s="1" t="str">
        <f t="shared" si="1732"/>
        <v>X</v>
      </c>
      <c r="J8008" s="1" t="str">
        <f t="shared" si="1732"/>
        <v>X</v>
      </c>
      <c r="K8008" s="1" t="str">
        <f t="shared" si="1732"/>
        <v>X</v>
      </c>
      <c r="L8008" s="1" t="str">
        <f t="shared" si="1732"/>
        <v>X</v>
      </c>
      <c r="M8008" s="1" t="str">
        <f t="shared" si="1732"/>
        <v>X</v>
      </c>
      <c r="N8008" t="s">
        <v>27</v>
      </c>
    </row>
    <row r="8009" spans="1:14" x14ac:dyDescent="0.25">
      <c r="A8009" t="s">
        <v>43</v>
      </c>
      <c r="B8009" t="s">
        <v>15</v>
      </c>
      <c r="C8009" t="s">
        <v>15</v>
      </c>
      <c r="D8009" t="s">
        <v>33</v>
      </c>
      <c r="E8009" t="s">
        <v>21</v>
      </c>
      <c r="F8009" t="s">
        <v>18</v>
      </c>
      <c r="G8009" s="1" t="str">
        <f t="shared" si="1732"/>
        <v>X</v>
      </c>
      <c r="H8009" s="1" t="str">
        <f t="shared" si="1732"/>
        <v>X</v>
      </c>
      <c r="I8009" s="1" t="str">
        <f t="shared" si="1732"/>
        <v>X</v>
      </c>
      <c r="J8009" s="1" t="str">
        <f t="shared" si="1732"/>
        <v>X</v>
      </c>
      <c r="K8009" s="1" t="str">
        <f t="shared" si="1732"/>
        <v>X</v>
      </c>
      <c r="L8009" s="1" t="str">
        <f t="shared" si="1732"/>
        <v>X</v>
      </c>
      <c r="M8009" s="1" t="str">
        <f t="shared" si="1732"/>
        <v>X</v>
      </c>
      <c r="N8009" t="s">
        <v>27</v>
      </c>
    </row>
    <row r="8010" spans="1:14" x14ac:dyDescent="0.25">
      <c r="A8010" t="s">
        <v>43</v>
      </c>
      <c r="B8010" t="s">
        <v>15</v>
      </c>
      <c r="C8010" t="s">
        <v>15</v>
      </c>
      <c r="D8010" t="s">
        <v>33</v>
      </c>
      <c r="E8010" t="s">
        <v>21</v>
      </c>
      <c r="F8010" t="s">
        <v>19</v>
      </c>
      <c r="G8010" s="1" t="str">
        <f t="shared" si="1732"/>
        <v>X</v>
      </c>
      <c r="H8010" s="1" t="str">
        <f t="shared" si="1732"/>
        <v>X</v>
      </c>
      <c r="I8010" s="1" t="str">
        <f t="shared" si="1732"/>
        <v>X</v>
      </c>
      <c r="J8010" s="1" t="str">
        <f t="shared" si="1732"/>
        <v>X</v>
      </c>
      <c r="K8010" s="1" t="str">
        <f t="shared" si="1732"/>
        <v>X</v>
      </c>
      <c r="L8010" s="1" t="str">
        <f t="shared" si="1732"/>
        <v>X</v>
      </c>
      <c r="M8010" s="1" t="str">
        <f t="shared" si="1732"/>
        <v>X</v>
      </c>
      <c r="N8010" t="s">
        <v>27</v>
      </c>
    </row>
    <row r="8011" spans="1:14" x14ac:dyDescent="0.25">
      <c r="A8011" t="s">
        <v>43</v>
      </c>
      <c r="B8011" t="s">
        <v>15</v>
      </c>
      <c r="C8011" t="s">
        <v>15</v>
      </c>
      <c r="D8011" t="s">
        <v>33</v>
      </c>
      <c r="E8011" t="s">
        <v>21</v>
      </c>
      <c r="F8011" t="s">
        <v>20</v>
      </c>
      <c r="G8011" s="1" t="str">
        <f t="shared" si="1732"/>
        <v>X</v>
      </c>
      <c r="H8011" s="1" t="str">
        <f t="shared" si="1732"/>
        <v>X</v>
      </c>
      <c r="I8011" s="1" t="str">
        <f t="shared" si="1732"/>
        <v>X</v>
      </c>
      <c r="J8011" s="1" t="str">
        <f t="shared" si="1732"/>
        <v>X</v>
      </c>
      <c r="K8011" s="1" t="str">
        <f t="shared" si="1732"/>
        <v>X</v>
      </c>
      <c r="L8011" s="1" t="str">
        <f t="shared" si="1732"/>
        <v>X</v>
      </c>
      <c r="M8011" s="1" t="str">
        <f t="shared" si="1732"/>
        <v>X</v>
      </c>
      <c r="N8011" t="s">
        <v>27</v>
      </c>
    </row>
    <row r="8012" spans="1:14" x14ac:dyDescent="0.25">
      <c r="A8012" t="s">
        <v>43</v>
      </c>
      <c r="B8012" t="s">
        <v>15</v>
      </c>
      <c r="C8012" t="s">
        <v>15</v>
      </c>
      <c r="D8012" t="s">
        <v>33</v>
      </c>
      <c r="E8012" t="s">
        <v>22</v>
      </c>
      <c r="F8012" t="s">
        <v>15</v>
      </c>
      <c r="G8012" s="1" t="str">
        <f t="shared" si="1732"/>
        <v>X</v>
      </c>
      <c r="H8012" s="1" t="str">
        <f t="shared" si="1732"/>
        <v>X</v>
      </c>
      <c r="I8012" s="1" t="str">
        <f t="shared" si="1732"/>
        <v>X</v>
      </c>
      <c r="J8012" s="1" t="str">
        <f t="shared" si="1732"/>
        <v>X</v>
      </c>
      <c r="K8012" s="1" t="str">
        <f t="shared" si="1732"/>
        <v>X</v>
      </c>
      <c r="L8012" s="1" t="str">
        <f t="shared" si="1732"/>
        <v>X</v>
      </c>
      <c r="M8012" s="1" t="str">
        <f t="shared" si="1732"/>
        <v>X</v>
      </c>
      <c r="N8012" t="s">
        <v>27</v>
      </c>
    </row>
    <row r="8013" spans="1:14" x14ac:dyDescent="0.25">
      <c r="A8013" t="s">
        <v>43</v>
      </c>
      <c r="B8013" t="s">
        <v>15</v>
      </c>
      <c r="C8013" t="s">
        <v>15</v>
      </c>
      <c r="D8013" t="s">
        <v>33</v>
      </c>
      <c r="E8013" t="s">
        <v>22</v>
      </c>
      <c r="F8013" t="s">
        <v>17</v>
      </c>
      <c r="G8013" s="1" t="str">
        <f t="shared" si="1732"/>
        <v>X</v>
      </c>
      <c r="H8013" s="1" t="str">
        <f t="shared" si="1732"/>
        <v>X</v>
      </c>
      <c r="I8013" s="1" t="str">
        <f t="shared" si="1732"/>
        <v>X</v>
      </c>
      <c r="J8013" s="1" t="str">
        <f t="shared" si="1732"/>
        <v>X</v>
      </c>
      <c r="K8013" s="1" t="str">
        <f t="shared" si="1732"/>
        <v>X</v>
      </c>
      <c r="L8013" s="1" t="str">
        <f t="shared" si="1732"/>
        <v>X</v>
      </c>
      <c r="M8013" s="1" t="str">
        <f t="shared" si="1732"/>
        <v>X</v>
      </c>
      <c r="N8013" t="s">
        <v>27</v>
      </c>
    </row>
    <row r="8014" spans="1:14" x14ac:dyDescent="0.25">
      <c r="A8014" t="s">
        <v>43</v>
      </c>
      <c r="B8014" t="s">
        <v>15</v>
      </c>
      <c r="C8014" t="s">
        <v>15</v>
      </c>
      <c r="D8014" t="s">
        <v>33</v>
      </c>
      <c r="E8014" t="s">
        <v>22</v>
      </c>
      <c r="F8014" t="s">
        <v>18</v>
      </c>
      <c r="G8014" s="1" t="str">
        <f t="shared" si="1732"/>
        <v>X</v>
      </c>
      <c r="H8014" s="1" t="str">
        <f t="shared" si="1732"/>
        <v>X</v>
      </c>
      <c r="I8014" s="1" t="str">
        <f t="shared" si="1732"/>
        <v>X</v>
      </c>
      <c r="J8014" s="1" t="str">
        <f t="shared" si="1732"/>
        <v>X</v>
      </c>
      <c r="K8014" s="1" t="str">
        <f t="shared" si="1732"/>
        <v>X</v>
      </c>
      <c r="L8014" s="1" t="str">
        <f t="shared" si="1732"/>
        <v>X</v>
      </c>
      <c r="M8014" s="1" t="str">
        <f t="shared" si="1732"/>
        <v>X</v>
      </c>
      <c r="N8014" t="s">
        <v>27</v>
      </c>
    </row>
    <row r="8015" spans="1:14" x14ac:dyDescent="0.25">
      <c r="A8015" t="s">
        <v>43</v>
      </c>
      <c r="B8015" t="s">
        <v>15</v>
      </c>
      <c r="C8015" t="s">
        <v>15</v>
      </c>
      <c r="D8015" t="s">
        <v>33</v>
      </c>
      <c r="E8015" t="s">
        <v>22</v>
      </c>
      <c r="F8015" t="s">
        <v>19</v>
      </c>
      <c r="G8015" s="1" t="str">
        <f t="shared" ref="G8015:M8015" si="1733">"..."</f>
        <v>...</v>
      </c>
      <c r="H8015" s="1" t="str">
        <f t="shared" si="1733"/>
        <v>...</v>
      </c>
      <c r="I8015" s="1" t="str">
        <f t="shared" si="1733"/>
        <v>...</v>
      </c>
      <c r="J8015" s="1" t="str">
        <f t="shared" si="1733"/>
        <v>...</v>
      </c>
      <c r="K8015" s="1" t="str">
        <f t="shared" si="1733"/>
        <v>...</v>
      </c>
      <c r="L8015" s="1" t="str">
        <f t="shared" si="1733"/>
        <v>...</v>
      </c>
      <c r="M8015" s="1" t="str">
        <f t="shared" si="1733"/>
        <v>...</v>
      </c>
      <c r="N8015" t="s">
        <v>30</v>
      </c>
    </row>
    <row r="8016" spans="1:14" x14ac:dyDescent="0.25">
      <c r="A8016" t="s">
        <v>43</v>
      </c>
      <c r="B8016" t="s">
        <v>15</v>
      </c>
      <c r="C8016" t="s">
        <v>15</v>
      </c>
      <c r="D8016" t="s">
        <v>33</v>
      </c>
      <c r="E8016" t="s">
        <v>22</v>
      </c>
      <c r="F8016" t="s">
        <v>20</v>
      </c>
      <c r="G8016" s="1" t="str">
        <f t="shared" ref="G8016:M8017" si="1734">"X"</f>
        <v>X</v>
      </c>
      <c r="H8016" s="1" t="str">
        <f t="shared" si="1734"/>
        <v>X</v>
      </c>
      <c r="I8016" s="1" t="str">
        <f t="shared" si="1734"/>
        <v>X</v>
      </c>
      <c r="J8016" s="1" t="str">
        <f t="shared" si="1734"/>
        <v>X</v>
      </c>
      <c r="K8016" s="1" t="str">
        <f t="shared" si="1734"/>
        <v>X</v>
      </c>
      <c r="L8016" s="1" t="str">
        <f t="shared" si="1734"/>
        <v>X</v>
      </c>
      <c r="M8016" s="1" t="str">
        <f t="shared" si="1734"/>
        <v>X</v>
      </c>
      <c r="N8016" t="s">
        <v>27</v>
      </c>
    </row>
    <row r="8017" spans="1:14" x14ac:dyDescent="0.25">
      <c r="A8017" t="s">
        <v>43</v>
      </c>
      <c r="B8017" t="s">
        <v>15</v>
      </c>
      <c r="C8017" t="s">
        <v>15</v>
      </c>
      <c r="D8017" t="s">
        <v>33</v>
      </c>
      <c r="E8017" t="s">
        <v>23</v>
      </c>
      <c r="F8017" t="s">
        <v>15</v>
      </c>
      <c r="G8017" s="1" t="str">
        <f t="shared" si="1734"/>
        <v>X</v>
      </c>
      <c r="H8017" s="1" t="str">
        <f t="shared" si="1734"/>
        <v>X</v>
      </c>
      <c r="I8017" s="1" t="str">
        <f t="shared" si="1734"/>
        <v>X</v>
      </c>
      <c r="J8017" s="1" t="str">
        <f t="shared" si="1734"/>
        <v>X</v>
      </c>
      <c r="K8017" s="1" t="str">
        <f t="shared" si="1734"/>
        <v>X</v>
      </c>
      <c r="L8017" s="1" t="str">
        <f t="shared" si="1734"/>
        <v>X</v>
      </c>
      <c r="M8017" s="1" t="str">
        <f t="shared" si="1734"/>
        <v>X</v>
      </c>
      <c r="N8017" t="s">
        <v>27</v>
      </c>
    </row>
    <row r="8018" spans="1:14" x14ac:dyDescent="0.25">
      <c r="A8018" t="s">
        <v>43</v>
      </c>
      <c r="B8018" t="s">
        <v>15</v>
      </c>
      <c r="C8018" t="s">
        <v>15</v>
      </c>
      <c r="D8018" t="s">
        <v>33</v>
      </c>
      <c r="E8018" t="s">
        <v>23</v>
      </c>
      <c r="F8018" t="s">
        <v>17</v>
      </c>
      <c r="G8018" s="1" t="str">
        <f t="shared" ref="G8018:M8019" si="1735">"..."</f>
        <v>...</v>
      </c>
      <c r="H8018" s="1" t="str">
        <f t="shared" si="1735"/>
        <v>...</v>
      </c>
      <c r="I8018" s="1" t="str">
        <f t="shared" si="1735"/>
        <v>...</v>
      </c>
      <c r="J8018" s="1" t="str">
        <f t="shared" si="1735"/>
        <v>...</v>
      </c>
      <c r="K8018" s="1" t="str">
        <f t="shared" si="1735"/>
        <v>...</v>
      </c>
      <c r="L8018" s="1" t="str">
        <f t="shared" si="1735"/>
        <v>...</v>
      </c>
      <c r="M8018" s="1" t="str">
        <f t="shared" si="1735"/>
        <v>...</v>
      </c>
      <c r="N8018" t="s">
        <v>30</v>
      </c>
    </row>
    <row r="8019" spans="1:14" x14ac:dyDescent="0.25">
      <c r="A8019" t="s">
        <v>43</v>
      </c>
      <c r="B8019" t="s">
        <v>15</v>
      </c>
      <c r="C8019" t="s">
        <v>15</v>
      </c>
      <c r="D8019" t="s">
        <v>33</v>
      </c>
      <c r="E8019" t="s">
        <v>23</v>
      </c>
      <c r="F8019" t="s">
        <v>18</v>
      </c>
      <c r="G8019" s="1" t="str">
        <f t="shared" si="1735"/>
        <v>...</v>
      </c>
      <c r="H8019" s="1" t="str">
        <f t="shared" si="1735"/>
        <v>...</v>
      </c>
      <c r="I8019" s="1" t="str">
        <f t="shared" si="1735"/>
        <v>...</v>
      </c>
      <c r="J8019" s="1" t="str">
        <f t="shared" si="1735"/>
        <v>...</v>
      </c>
      <c r="K8019" s="1" t="str">
        <f t="shared" si="1735"/>
        <v>...</v>
      </c>
      <c r="L8019" s="1" t="str">
        <f t="shared" si="1735"/>
        <v>...</v>
      </c>
      <c r="M8019" s="1" t="str">
        <f t="shared" si="1735"/>
        <v>...</v>
      </c>
      <c r="N8019" t="s">
        <v>30</v>
      </c>
    </row>
    <row r="8020" spans="1:14" x14ac:dyDescent="0.25">
      <c r="A8020" t="s">
        <v>43</v>
      </c>
      <c r="B8020" t="s">
        <v>15</v>
      </c>
      <c r="C8020" t="s">
        <v>15</v>
      </c>
      <c r="D8020" t="s">
        <v>33</v>
      </c>
      <c r="E8020" t="s">
        <v>23</v>
      </c>
      <c r="F8020" t="s">
        <v>19</v>
      </c>
      <c r="G8020" s="1" t="str">
        <f t="shared" ref="G8020:M8023" si="1736">"X"</f>
        <v>X</v>
      </c>
      <c r="H8020" s="1" t="str">
        <f t="shared" si="1736"/>
        <v>X</v>
      </c>
      <c r="I8020" s="1" t="str">
        <f t="shared" si="1736"/>
        <v>X</v>
      </c>
      <c r="J8020" s="1" t="str">
        <f t="shared" si="1736"/>
        <v>X</v>
      </c>
      <c r="K8020" s="1" t="str">
        <f t="shared" si="1736"/>
        <v>X</v>
      </c>
      <c r="L8020" s="1" t="str">
        <f t="shared" si="1736"/>
        <v>X</v>
      </c>
      <c r="M8020" s="1" t="str">
        <f t="shared" si="1736"/>
        <v>X</v>
      </c>
      <c r="N8020" t="s">
        <v>27</v>
      </c>
    </row>
    <row r="8021" spans="1:14" x14ac:dyDescent="0.25">
      <c r="A8021" t="s">
        <v>43</v>
      </c>
      <c r="B8021" t="s">
        <v>15</v>
      </c>
      <c r="C8021" t="s">
        <v>15</v>
      </c>
      <c r="D8021" t="s">
        <v>33</v>
      </c>
      <c r="E8021" t="s">
        <v>23</v>
      </c>
      <c r="F8021" t="s">
        <v>20</v>
      </c>
      <c r="G8021" s="1" t="str">
        <f t="shared" si="1736"/>
        <v>X</v>
      </c>
      <c r="H8021" s="1" t="str">
        <f t="shared" si="1736"/>
        <v>X</v>
      </c>
      <c r="I8021" s="1" t="str">
        <f t="shared" si="1736"/>
        <v>X</v>
      </c>
      <c r="J8021" s="1" t="str">
        <f t="shared" si="1736"/>
        <v>X</v>
      </c>
      <c r="K8021" s="1" t="str">
        <f t="shared" si="1736"/>
        <v>X</v>
      </c>
      <c r="L8021" s="1" t="str">
        <f t="shared" si="1736"/>
        <v>X</v>
      </c>
      <c r="M8021" s="1" t="str">
        <f t="shared" si="1736"/>
        <v>X</v>
      </c>
      <c r="N8021" t="s">
        <v>27</v>
      </c>
    </row>
    <row r="8022" spans="1:14" x14ac:dyDescent="0.25">
      <c r="A8022" t="s">
        <v>43</v>
      </c>
      <c r="B8022" t="s">
        <v>15</v>
      </c>
      <c r="C8022" t="s">
        <v>15</v>
      </c>
      <c r="D8022" t="s">
        <v>33</v>
      </c>
      <c r="E8022" t="s">
        <v>26</v>
      </c>
      <c r="F8022" t="s">
        <v>15</v>
      </c>
      <c r="G8022" s="1" t="str">
        <f t="shared" si="1736"/>
        <v>X</v>
      </c>
      <c r="H8022" s="1" t="str">
        <f t="shared" si="1736"/>
        <v>X</v>
      </c>
      <c r="I8022" s="1" t="str">
        <f t="shared" si="1736"/>
        <v>X</v>
      </c>
      <c r="J8022" s="1" t="str">
        <f t="shared" si="1736"/>
        <v>X</v>
      </c>
      <c r="K8022" s="1" t="str">
        <f t="shared" si="1736"/>
        <v>X</v>
      </c>
      <c r="L8022" s="1" t="str">
        <f t="shared" si="1736"/>
        <v>X</v>
      </c>
      <c r="M8022" s="1" t="str">
        <f t="shared" si="1736"/>
        <v>X</v>
      </c>
      <c r="N8022" t="s">
        <v>27</v>
      </c>
    </row>
    <row r="8023" spans="1:14" x14ac:dyDescent="0.25">
      <c r="A8023" t="s">
        <v>43</v>
      </c>
      <c r="B8023" t="s">
        <v>15</v>
      </c>
      <c r="C8023" t="s">
        <v>15</v>
      </c>
      <c r="D8023" t="s">
        <v>33</v>
      </c>
      <c r="E8023" t="s">
        <v>26</v>
      </c>
      <c r="F8023" t="s">
        <v>17</v>
      </c>
      <c r="G8023" s="1" t="str">
        <f t="shared" si="1736"/>
        <v>X</v>
      </c>
      <c r="H8023" s="1" t="str">
        <f t="shared" si="1736"/>
        <v>X</v>
      </c>
      <c r="I8023" s="1" t="str">
        <f t="shared" si="1736"/>
        <v>X</v>
      </c>
      <c r="J8023" s="1" t="str">
        <f t="shared" si="1736"/>
        <v>X</v>
      </c>
      <c r="K8023" s="1" t="str">
        <f t="shared" si="1736"/>
        <v>X</v>
      </c>
      <c r="L8023" s="1" t="str">
        <f t="shared" si="1736"/>
        <v>X</v>
      </c>
      <c r="M8023" s="1" t="str">
        <f t="shared" si="1736"/>
        <v>X</v>
      </c>
      <c r="N8023" t="s">
        <v>27</v>
      </c>
    </row>
    <row r="8024" spans="1:14" x14ac:dyDescent="0.25">
      <c r="A8024" t="s">
        <v>43</v>
      </c>
      <c r="B8024" t="s">
        <v>15</v>
      </c>
      <c r="C8024" t="s">
        <v>15</v>
      </c>
      <c r="D8024" t="s">
        <v>33</v>
      </c>
      <c r="E8024" t="s">
        <v>26</v>
      </c>
      <c r="F8024" t="s">
        <v>18</v>
      </c>
      <c r="G8024" s="1" t="str">
        <f t="shared" ref="G8024:M8024" si="1737">"..."</f>
        <v>...</v>
      </c>
      <c r="H8024" s="1" t="str">
        <f t="shared" si="1737"/>
        <v>...</v>
      </c>
      <c r="I8024" s="1" t="str">
        <f t="shared" si="1737"/>
        <v>...</v>
      </c>
      <c r="J8024" s="1" t="str">
        <f t="shared" si="1737"/>
        <v>...</v>
      </c>
      <c r="K8024" s="1" t="str">
        <f t="shared" si="1737"/>
        <v>...</v>
      </c>
      <c r="L8024" s="1" t="str">
        <f t="shared" si="1737"/>
        <v>...</v>
      </c>
      <c r="M8024" s="1" t="str">
        <f t="shared" si="1737"/>
        <v>...</v>
      </c>
      <c r="N8024" t="s">
        <v>30</v>
      </c>
    </row>
    <row r="8025" spans="1:14" x14ac:dyDescent="0.25">
      <c r="A8025" t="s">
        <v>43</v>
      </c>
      <c r="B8025" t="s">
        <v>15</v>
      </c>
      <c r="C8025" t="s">
        <v>15</v>
      </c>
      <c r="D8025" t="s">
        <v>33</v>
      </c>
      <c r="E8025" t="s">
        <v>26</v>
      </c>
      <c r="F8025" t="s">
        <v>19</v>
      </c>
      <c r="G8025" s="1" t="str">
        <f t="shared" ref="G8025:M8026" si="1738">"X"</f>
        <v>X</v>
      </c>
      <c r="H8025" s="1" t="str">
        <f t="shared" si="1738"/>
        <v>X</v>
      </c>
      <c r="I8025" s="1" t="str">
        <f t="shared" si="1738"/>
        <v>X</v>
      </c>
      <c r="J8025" s="1" t="str">
        <f t="shared" si="1738"/>
        <v>X</v>
      </c>
      <c r="K8025" s="1" t="str">
        <f t="shared" si="1738"/>
        <v>X</v>
      </c>
      <c r="L8025" s="1" t="str">
        <f t="shared" si="1738"/>
        <v>X</v>
      </c>
      <c r="M8025" s="1" t="str">
        <f t="shared" si="1738"/>
        <v>X</v>
      </c>
      <c r="N8025" t="s">
        <v>27</v>
      </c>
    </row>
    <row r="8026" spans="1:14" x14ac:dyDescent="0.25">
      <c r="A8026" t="s">
        <v>43</v>
      </c>
      <c r="B8026" t="s">
        <v>15</v>
      </c>
      <c r="C8026" t="s">
        <v>15</v>
      </c>
      <c r="D8026" t="s">
        <v>33</v>
      </c>
      <c r="E8026" t="s">
        <v>26</v>
      </c>
      <c r="F8026" t="s">
        <v>20</v>
      </c>
      <c r="G8026" s="1" t="str">
        <f t="shared" si="1738"/>
        <v>X</v>
      </c>
      <c r="H8026" s="1" t="str">
        <f t="shared" si="1738"/>
        <v>X</v>
      </c>
      <c r="I8026" s="1" t="str">
        <f t="shared" si="1738"/>
        <v>X</v>
      </c>
      <c r="J8026" s="1" t="str">
        <f t="shared" si="1738"/>
        <v>X</v>
      </c>
      <c r="K8026" s="1" t="str">
        <f t="shared" si="1738"/>
        <v>X</v>
      </c>
      <c r="L8026" s="1" t="str">
        <f t="shared" si="1738"/>
        <v>X</v>
      </c>
      <c r="M8026" s="1" t="str">
        <f t="shared" si="1738"/>
        <v>X</v>
      </c>
      <c r="N8026" t="s">
        <v>27</v>
      </c>
    </row>
    <row r="8027" spans="1:14" x14ac:dyDescent="0.25">
      <c r="A8027" t="s">
        <v>43</v>
      </c>
      <c r="B8027" t="s">
        <v>15</v>
      </c>
      <c r="C8027" t="s">
        <v>15</v>
      </c>
      <c r="D8027" t="s">
        <v>34</v>
      </c>
      <c r="E8027" t="s">
        <v>15</v>
      </c>
      <c r="F8027" t="s">
        <v>15</v>
      </c>
      <c r="G8027" s="2">
        <f>VALUE(785.59)</f>
        <v>785.59</v>
      </c>
      <c r="H8027" s="3">
        <f>VALUE(562.1)</f>
        <v>562.1</v>
      </c>
      <c r="I8027" s="4">
        <f>VALUE(2606)</f>
        <v>2606</v>
      </c>
      <c r="J8027" s="1">
        <f>VALUE(3461)</f>
        <v>3461</v>
      </c>
      <c r="K8027" s="1">
        <f>VALUE(4066)</f>
        <v>4066</v>
      </c>
      <c r="L8027" s="7">
        <f>VALUE(5125)</f>
        <v>5125</v>
      </c>
      <c r="M8027" s="8">
        <f>VALUE(6384)</f>
        <v>6384</v>
      </c>
      <c r="N8027" t="s">
        <v>25</v>
      </c>
    </row>
    <row r="8028" spans="1:14" x14ac:dyDescent="0.25">
      <c r="A8028" t="s">
        <v>43</v>
      </c>
      <c r="B8028" t="s">
        <v>15</v>
      </c>
      <c r="C8028" t="s">
        <v>15</v>
      </c>
      <c r="D8028" t="s">
        <v>34</v>
      </c>
      <c r="E8028" t="s">
        <v>15</v>
      </c>
      <c r="F8028" t="s">
        <v>17</v>
      </c>
      <c r="G8028" s="1" t="str">
        <f t="shared" ref="G8028:M8030" si="1739">"X"</f>
        <v>X</v>
      </c>
      <c r="H8028" s="1" t="str">
        <f t="shared" si="1739"/>
        <v>X</v>
      </c>
      <c r="I8028" s="1" t="str">
        <f t="shared" si="1739"/>
        <v>X</v>
      </c>
      <c r="J8028" s="1" t="str">
        <f t="shared" si="1739"/>
        <v>X</v>
      </c>
      <c r="K8028" s="1" t="str">
        <f t="shared" si="1739"/>
        <v>X</v>
      </c>
      <c r="L8028" s="1" t="str">
        <f t="shared" si="1739"/>
        <v>X</v>
      </c>
      <c r="M8028" s="1" t="str">
        <f t="shared" si="1739"/>
        <v>X</v>
      </c>
      <c r="N8028" t="s">
        <v>27</v>
      </c>
    </row>
    <row r="8029" spans="1:14" x14ac:dyDescent="0.25">
      <c r="A8029" t="s">
        <v>43</v>
      </c>
      <c r="B8029" t="s">
        <v>15</v>
      </c>
      <c r="C8029" t="s">
        <v>15</v>
      </c>
      <c r="D8029" t="s">
        <v>34</v>
      </c>
      <c r="E8029" t="s">
        <v>15</v>
      </c>
      <c r="F8029" t="s">
        <v>18</v>
      </c>
      <c r="G8029" s="1" t="str">
        <f t="shared" si="1739"/>
        <v>X</v>
      </c>
      <c r="H8029" s="1" t="str">
        <f t="shared" si="1739"/>
        <v>X</v>
      </c>
      <c r="I8029" s="1" t="str">
        <f t="shared" si="1739"/>
        <v>X</v>
      </c>
      <c r="J8029" s="1" t="str">
        <f t="shared" si="1739"/>
        <v>X</v>
      </c>
      <c r="K8029" s="1" t="str">
        <f t="shared" si="1739"/>
        <v>X</v>
      </c>
      <c r="L8029" s="1" t="str">
        <f t="shared" si="1739"/>
        <v>X</v>
      </c>
      <c r="M8029" s="1" t="str">
        <f t="shared" si="1739"/>
        <v>X</v>
      </c>
      <c r="N8029" t="s">
        <v>27</v>
      </c>
    </row>
    <row r="8030" spans="1:14" x14ac:dyDescent="0.25">
      <c r="A8030" t="s">
        <v>43</v>
      </c>
      <c r="B8030" t="s">
        <v>15</v>
      </c>
      <c r="C8030" t="s">
        <v>15</v>
      </c>
      <c r="D8030" t="s">
        <v>34</v>
      </c>
      <c r="E8030" t="s">
        <v>15</v>
      </c>
      <c r="F8030" t="s">
        <v>19</v>
      </c>
      <c r="G8030" s="1" t="str">
        <f t="shared" si="1739"/>
        <v>X</v>
      </c>
      <c r="H8030" s="1" t="str">
        <f t="shared" si="1739"/>
        <v>X</v>
      </c>
      <c r="I8030" s="1" t="str">
        <f t="shared" si="1739"/>
        <v>X</v>
      </c>
      <c r="J8030" s="1" t="str">
        <f t="shared" si="1739"/>
        <v>X</v>
      </c>
      <c r="K8030" s="1" t="str">
        <f t="shared" si="1739"/>
        <v>X</v>
      </c>
      <c r="L8030" s="1" t="str">
        <f t="shared" si="1739"/>
        <v>X</v>
      </c>
      <c r="M8030" s="1" t="str">
        <f t="shared" si="1739"/>
        <v>X</v>
      </c>
      <c r="N8030" t="s">
        <v>27</v>
      </c>
    </row>
    <row r="8031" spans="1:14" x14ac:dyDescent="0.25">
      <c r="A8031" t="s">
        <v>43</v>
      </c>
      <c r="B8031" t="s">
        <v>15</v>
      </c>
      <c r="C8031" t="s">
        <v>15</v>
      </c>
      <c r="D8031" t="s">
        <v>34</v>
      </c>
      <c r="E8031" t="s">
        <v>15</v>
      </c>
      <c r="F8031" t="s">
        <v>20</v>
      </c>
      <c r="G8031" s="2">
        <f>VALUE(681.42)</f>
        <v>681.42</v>
      </c>
      <c r="H8031" s="3">
        <f>VALUE(493.27)</f>
        <v>493.27</v>
      </c>
      <c r="I8031" s="1">
        <f>VALUE(2589)</f>
        <v>2589</v>
      </c>
      <c r="J8031" s="1">
        <f>VALUE(3363)</f>
        <v>3363</v>
      </c>
      <c r="K8031" s="1">
        <f>VALUE(3860)</f>
        <v>3860</v>
      </c>
      <c r="L8031" s="1">
        <f>VALUE(4940)</f>
        <v>4940</v>
      </c>
      <c r="M8031" s="1">
        <f>VALUE(5954)</f>
        <v>5954</v>
      </c>
      <c r="N8031" t="s">
        <v>25</v>
      </c>
    </row>
    <row r="8032" spans="1:14" x14ac:dyDescent="0.25">
      <c r="A8032" t="s">
        <v>43</v>
      </c>
      <c r="B8032" t="s">
        <v>15</v>
      </c>
      <c r="C8032" t="s">
        <v>15</v>
      </c>
      <c r="D8032" t="s">
        <v>34</v>
      </c>
      <c r="E8032" t="s">
        <v>21</v>
      </c>
      <c r="F8032" t="s">
        <v>15</v>
      </c>
      <c r="G8032" s="1" t="str">
        <f t="shared" ref="G8032:M8036" si="1740">"X"</f>
        <v>X</v>
      </c>
      <c r="H8032" s="1" t="str">
        <f t="shared" si="1740"/>
        <v>X</v>
      </c>
      <c r="I8032" s="1" t="str">
        <f t="shared" si="1740"/>
        <v>X</v>
      </c>
      <c r="J8032" s="1" t="str">
        <f t="shared" si="1740"/>
        <v>X</v>
      </c>
      <c r="K8032" s="1" t="str">
        <f t="shared" si="1740"/>
        <v>X</v>
      </c>
      <c r="L8032" s="1" t="str">
        <f t="shared" si="1740"/>
        <v>X</v>
      </c>
      <c r="M8032" s="1" t="str">
        <f t="shared" si="1740"/>
        <v>X</v>
      </c>
      <c r="N8032" t="s">
        <v>27</v>
      </c>
    </row>
    <row r="8033" spans="1:14" x14ac:dyDescent="0.25">
      <c r="A8033" t="s">
        <v>43</v>
      </c>
      <c r="B8033" t="s">
        <v>15</v>
      </c>
      <c r="C8033" t="s">
        <v>15</v>
      </c>
      <c r="D8033" t="s">
        <v>34</v>
      </c>
      <c r="E8033" t="s">
        <v>21</v>
      </c>
      <c r="F8033" t="s">
        <v>17</v>
      </c>
      <c r="G8033" s="1" t="str">
        <f t="shared" si="1740"/>
        <v>X</v>
      </c>
      <c r="H8033" s="1" t="str">
        <f t="shared" si="1740"/>
        <v>X</v>
      </c>
      <c r="I8033" s="1" t="str">
        <f t="shared" si="1740"/>
        <v>X</v>
      </c>
      <c r="J8033" s="1" t="str">
        <f t="shared" si="1740"/>
        <v>X</v>
      </c>
      <c r="K8033" s="1" t="str">
        <f t="shared" si="1740"/>
        <v>X</v>
      </c>
      <c r="L8033" s="1" t="str">
        <f t="shared" si="1740"/>
        <v>X</v>
      </c>
      <c r="M8033" s="1" t="str">
        <f t="shared" si="1740"/>
        <v>X</v>
      </c>
      <c r="N8033" t="s">
        <v>27</v>
      </c>
    </row>
    <row r="8034" spans="1:14" x14ac:dyDescent="0.25">
      <c r="A8034" t="s">
        <v>43</v>
      </c>
      <c r="B8034" t="s">
        <v>15</v>
      </c>
      <c r="C8034" t="s">
        <v>15</v>
      </c>
      <c r="D8034" t="s">
        <v>34</v>
      </c>
      <c r="E8034" t="s">
        <v>21</v>
      </c>
      <c r="F8034" t="s">
        <v>18</v>
      </c>
      <c r="G8034" s="1" t="str">
        <f t="shared" si="1740"/>
        <v>X</v>
      </c>
      <c r="H8034" s="1" t="str">
        <f t="shared" si="1740"/>
        <v>X</v>
      </c>
      <c r="I8034" s="1" t="str">
        <f t="shared" si="1740"/>
        <v>X</v>
      </c>
      <c r="J8034" s="1" t="str">
        <f t="shared" si="1740"/>
        <v>X</v>
      </c>
      <c r="K8034" s="1" t="str">
        <f t="shared" si="1740"/>
        <v>X</v>
      </c>
      <c r="L8034" s="1" t="str">
        <f t="shared" si="1740"/>
        <v>X</v>
      </c>
      <c r="M8034" s="1" t="str">
        <f t="shared" si="1740"/>
        <v>X</v>
      </c>
      <c r="N8034" t="s">
        <v>27</v>
      </c>
    </row>
    <row r="8035" spans="1:14" x14ac:dyDescent="0.25">
      <c r="A8035" t="s">
        <v>43</v>
      </c>
      <c r="B8035" t="s">
        <v>15</v>
      </c>
      <c r="C8035" t="s">
        <v>15</v>
      </c>
      <c r="D8035" t="s">
        <v>34</v>
      </c>
      <c r="E8035" t="s">
        <v>21</v>
      </c>
      <c r="F8035" t="s">
        <v>19</v>
      </c>
      <c r="G8035" s="1" t="str">
        <f t="shared" si="1740"/>
        <v>X</v>
      </c>
      <c r="H8035" s="1" t="str">
        <f t="shared" si="1740"/>
        <v>X</v>
      </c>
      <c r="I8035" s="1" t="str">
        <f t="shared" si="1740"/>
        <v>X</v>
      </c>
      <c r="J8035" s="1" t="str">
        <f t="shared" si="1740"/>
        <v>X</v>
      </c>
      <c r="K8035" s="1" t="str">
        <f t="shared" si="1740"/>
        <v>X</v>
      </c>
      <c r="L8035" s="1" t="str">
        <f t="shared" si="1740"/>
        <v>X</v>
      </c>
      <c r="M8035" s="1" t="str">
        <f t="shared" si="1740"/>
        <v>X</v>
      </c>
      <c r="N8035" t="s">
        <v>27</v>
      </c>
    </row>
    <row r="8036" spans="1:14" x14ac:dyDescent="0.25">
      <c r="A8036" t="s">
        <v>43</v>
      </c>
      <c r="B8036" t="s">
        <v>15</v>
      </c>
      <c r="C8036" t="s">
        <v>15</v>
      </c>
      <c r="D8036" t="s">
        <v>34</v>
      </c>
      <c r="E8036" t="s">
        <v>21</v>
      </c>
      <c r="F8036" t="s">
        <v>20</v>
      </c>
      <c r="G8036" s="1" t="str">
        <f t="shared" si="1740"/>
        <v>X</v>
      </c>
      <c r="H8036" s="1" t="str">
        <f t="shared" si="1740"/>
        <v>X</v>
      </c>
      <c r="I8036" s="1" t="str">
        <f t="shared" si="1740"/>
        <v>X</v>
      </c>
      <c r="J8036" s="1" t="str">
        <f t="shared" si="1740"/>
        <v>X</v>
      </c>
      <c r="K8036" s="1" t="str">
        <f t="shared" si="1740"/>
        <v>X</v>
      </c>
      <c r="L8036" s="1" t="str">
        <f t="shared" si="1740"/>
        <v>X</v>
      </c>
      <c r="M8036" s="1" t="str">
        <f t="shared" si="1740"/>
        <v>X</v>
      </c>
      <c r="N8036" t="s">
        <v>27</v>
      </c>
    </row>
    <row r="8037" spans="1:14" x14ac:dyDescent="0.25">
      <c r="A8037" t="s">
        <v>43</v>
      </c>
      <c r="B8037" t="s">
        <v>15</v>
      </c>
      <c r="C8037" t="s">
        <v>15</v>
      </c>
      <c r="D8037" t="s">
        <v>34</v>
      </c>
      <c r="E8037" t="s">
        <v>22</v>
      </c>
      <c r="F8037" t="s">
        <v>15</v>
      </c>
      <c r="G8037" s="2">
        <f>VALUE(268.05)</f>
        <v>268.05</v>
      </c>
      <c r="H8037" s="3">
        <f>VALUE(216.38)</f>
        <v>216.38</v>
      </c>
      <c r="I8037" s="4">
        <f>VALUE(3120)</f>
        <v>3120</v>
      </c>
      <c r="J8037" s="1">
        <f>VALUE(3456)</f>
        <v>3456</v>
      </c>
      <c r="K8037" s="1">
        <f>VALUE(4066)</f>
        <v>4066</v>
      </c>
      <c r="L8037" s="1">
        <f>VALUE(5027)</f>
        <v>5027</v>
      </c>
      <c r="M8037" s="1">
        <f>VALUE(5641)</f>
        <v>5641</v>
      </c>
      <c r="N8037" t="s">
        <v>25</v>
      </c>
    </row>
    <row r="8038" spans="1:14" x14ac:dyDescent="0.25">
      <c r="A8038" t="s">
        <v>43</v>
      </c>
      <c r="B8038" t="s">
        <v>15</v>
      </c>
      <c r="C8038" t="s">
        <v>15</v>
      </c>
      <c r="D8038" t="s">
        <v>34</v>
      </c>
      <c r="E8038" t="s">
        <v>22</v>
      </c>
      <c r="F8038" t="s">
        <v>17</v>
      </c>
      <c r="G8038" s="1" t="str">
        <f t="shared" ref="G8038:M8040" si="1741">"X"</f>
        <v>X</v>
      </c>
      <c r="H8038" s="1" t="str">
        <f t="shared" si="1741"/>
        <v>X</v>
      </c>
      <c r="I8038" s="1" t="str">
        <f t="shared" si="1741"/>
        <v>X</v>
      </c>
      <c r="J8038" s="1" t="str">
        <f t="shared" si="1741"/>
        <v>X</v>
      </c>
      <c r="K8038" s="1" t="str">
        <f t="shared" si="1741"/>
        <v>X</v>
      </c>
      <c r="L8038" s="1" t="str">
        <f t="shared" si="1741"/>
        <v>X</v>
      </c>
      <c r="M8038" s="1" t="str">
        <f t="shared" si="1741"/>
        <v>X</v>
      </c>
      <c r="N8038" t="s">
        <v>27</v>
      </c>
    </row>
    <row r="8039" spans="1:14" x14ac:dyDescent="0.25">
      <c r="A8039" t="s">
        <v>43</v>
      </c>
      <c r="B8039" t="s">
        <v>15</v>
      </c>
      <c r="C8039" t="s">
        <v>15</v>
      </c>
      <c r="D8039" t="s">
        <v>34</v>
      </c>
      <c r="E8039" t="s">
        <v>22</v>
      </c>
      <c r="F8039" t="s">
        <v>18</v>
      </c>
      <c r="G8039" s="1" t="str">
        <f t="shared" si="1741"/>
        <v>X</v>
      </c>
      <c r="H8039" s="1" t="str">
        <f t="shared" si="1741"/>
        <v>X</v>
      </c>
      <c r="I8039" s="1" t="str">
        <f t="shared" si="1741"/>
        <v>X</v>
      </c>
      <c r="J8039" s="1" t="str">
        <f t="shared" si="1741"/>
        <v>X</v>
      </c>
      <c r="K8039" s="1" t="str">
        <f t="shared" si="1741"/>
        <v>X</v>
      </c>
      <c r="L8039" s="1" t="str">
        <f t="shared" si="1741"/>
        <v>X</v>
      </c>
      <c r="M8039" s="1" t="str">
        <f t="shared" si="1741"/>
        <v>X</v>
      </c>
      <c r="N8039" t="s">
        <v>27</v>
      </c>
    </row>
    <row r="8040" spans="1:14" x14ac:dyDescent="0.25">
      <c r="A8040" t="s">
        <v>43</v>
      </c>
      <c r="B8040" t="s">
        <v>15</v>
      </c>
      <c r="C8040" t="s">
        <v>15</v>
      </c>
      <c r="D8040" t="s">
        <v>34</v>
      </c>
      <c r="E8040" t="s">
        <v>22</v>
      </c>
      <c r="F8040" t="s">
        <v>19</v>
      </c>
      <c r="G8040" s="1" t="str">
        <f t="shared" si="1741"/>
        <v>X</v>
      </c>
      <c r="H8040" s="1" t="str">
        <f t="shared" si="1741"/>
        <v>X</v>
      </c>
      <c r="I8040" s="1" t="str">
        <f t="shared" si="1741"/>
        <v>X</v>
      </c>
      <c r="J8040" s="1" t="str">
        <f t="shared" si="1741"/>
        <v>X</v>
      </c>
      <c r="K8040" s="1" t="str">
        <f t="shared" si="1741"/>
        <v>X</v>
      </c>
      <c r="L8040" s="1" t="str">
        <f t="shared" si="1741"/>
        <v>X</v>
      </c>
      <c r="M8040" s="1" t="str">
        <f t="shared" si="1741"/>
        <v>X</v>
      </c>
      <c r="N8040" t="s">
        <v>27</v>
      </c>
    </row>
    <row r="8041" spans="1:14" x14ac:dyDescent="0.25">
      <c r="A8041" t="s">
        <v>43</v>
      </c>
      <c r="B8041" t="s">
        <v>15</v>
      </c>
      <c r="C8041" t="s">
        <v>15</v>
      </c>
      <c r="D8041" t="s">
        <v>34</v>
      </c>
      <c r="E8041" t="s">
        <v>22</v>
      </c>
      <c r="F8041" t="s">
        <v>20</v>
      </c>
      <c r="G8041" s="2">
        <f>VALUE(244.79)</f>
        <v>244.79</v>
      </c>
      <c r="H8041" s="3">
        <f>VALUE(202.2)</f>
        <v>202.2</v>
      </c>
      <c r="I8041" s="4">
        <f>VALUE(3047)</f>
        <v>3047</v>
      </c>
      <c r="J8041" s="1">
        <f>VALUE(3414)</f>
        <v>3414</v>
      </c>
      <c r="K8041" s="1">
        <f>VALUE(4056)</f>
        <v>4056</v>
      </c>
      <c r="L8041" s="1">
        <f>VALUE(4902)</f>
        <v>4902</v>
      </c>
      <c r="M8041" s="1">
        <f>VALUE(5442)</f>
        <v>5442</v>
      </c>
      <c r="N8041" t="s">
        <v>25</v>
      </c>
    </row>
    <row r="8042" spans="1:14" x14ac:dyDescent="0.25">
      <c r="A8042" t="s">
        <v>43</v>
      </c>
      <c r="B8042" t="s">
        <v>15</v>
      </c>
      <c r="C8042" t="s">
        <v>15</v>
      </c>
      <c r="D8042" t="s">
        <v>34</v>
      </c>
      <c r="E8042" t="s">
        <v>23</v>
      </c>
      <c r="F8042" t="s">
        <v>15</v>
      </c>
      <c r="G8042" s="2">
        <f>VALUE(381.84)</f>
        <v>381.84</v>
      </c>
      <c r="H8042" s="3">
        <f>VALUE(239)</f>
        <v>239</v>
      </c>
      <c r="I8042" s="1">
        <f>VALUE(2498)</f>
        <v>2498</v>
      </c>
      <c r="J8042" s="5">
        <f>VALUE(2976)</f>
        <v>2976</v>
      </c>
      <c r="K8042" s="1">
        <f>VALUE(3677)</f>
        <v>3677</v>
      </c>
      <c r="L8042" s="7">
        <f>VALUE(4928)</f>
        <v>4928</v>
      </c>
      <c r="M8042" s="1">
        <f>VALUE(6077)</f>
        <v>6077</v>
      </c>
      <c r="N8042" t="s">
        <v>25</v>
      </c>
    </row>
    <row r="8043" spans="1:14" x14ac:dyDescent="0.25">
      <c r="A8043" t="s">
        <v>43</v>
      </c>
      <c r="B8043" t="s">
        <v>15</v>
      </c>
      <c r="C8043" t="s">
        <v>15</v>
      </c>
      <c r="D8043" t="s">
        <v>34</v>
      </c>
      <c r="E8043" t="s">
        <v>23</v>
      </c>
      <c r="F8043" t="s">
        <v>17</v>
      </c>
      <c r="G8043" s="1" t="str">
        <f t="shared" ref="G8043:M8043" si="1742">"..."</f>
        <v>...</v>
      </c>
      <c r="H8043" s="1" t="str">
        <f t="shared" si="1742"/>
        <v>...</v>
      </c>
      <c r="I8043" s="1" t="str">
        <f t="shared" si="1742"/>
        <v>...</v>
      </c>
      <c r="J8043" s="1" t="str">
        <f t="shared" si="1742"/>
        <v>...</v>
      </c>
      <c r="K8043" s="1" t="str">
        <f t="shared" si="1742"/>
        <v>...</v>
      </c>
      <c r="L8043" s="1" t="str">
        <f t="shared" si="1742"/>
        <v>...</v>
      </c>
      <c r="M8043" s="1" t="str">
        <f t="shared" si="1742"/>
        <v>...</v>
      </c>
      <c r="N8043" t="s">
        <v>30</v>
      </c>
    </row>
    <row r="8044" spans="1:14" x14ac:dyDescent="0.25">
      <c r="A8044" t="s">
        <v>43</v>
      </c>
      <c r="B8044" t="s">
        <v>15</v>
      </c>
      <c r="C8044" t="s">
        <v>15</v>
      </c>
      <c r="D8044" t="s">
        <v>34</v>
      </c>
      <c r="E8044" t="s">
        <v>23</v>
      </c>
      <c r="F8044" t="s">
        <v>18</v>
      </c>
      <c r="G8044" s="1" t="str">
        <f t="shared" ref="G8044:M8045" si="1743">"X"</f>
        <v>X</v>
      </c>
      <c r="H8044" s="1" t="str">
        <f t="shared" si="1743"/>
        <v>X</v>
      </c>
      <c r="I8044" s="1" t="str">
        <f t="shared" si="1743"/>
        <v>X</v>
      </c>
      <c r="J8044" s="1" t="str">
        <f t="shared" si="1743"/>
        <v>X</v>
      </c>
      <c r="K8044" s="1" t="str">
        <f t="shared" si="1743"/>
        <v>X</v>
      </c>
      <c r="L8044" s="1" t="str">
        <f t="shared" si="1743"/>
        <v>X</v>
      </c>
      <c r="M8044" s="1" t="str">
        <f t="shared" si="1743"/>
        <v>X</v>
      </c>
      <c r="N8044" t="s">
        <v>27</v>
      </c>
    </row>
    <row r="8045" spans="1:14" x14ac:dyDescent="0.25">
      <c r="A8045" t="s">
        <v>43</v>
      </c>
      <c r="B8045" t="s">
        <v>15</v>
      </c>
      <c r="C8045" t="s">
        <v>15</v>
      </c>
      <c r="D8045" t="s">
        <v>34</v>
      </c>
      <c r="E8045" t="s">
        <v>23</v>
      </c>
      <c r="F8045" t="s">
        <v>19</v>
      </c>
      <c r="G8045" s="1" t="str">
        <f t="shared" si="1743"/>
        <v>X</v>
      </c>
      <c r="H8045" s="1" t="str">
        <f t="shared" si="1743"/>
        <v>X</v>
      </c>
      <c r="I8045" s="1" t="str">
        <f t="shared" si="1743"/>
        <v>X</v>
      </c>
      <c r="J8045" s="1" t="str">
        <f t="shared" si="1743"/>
        <v>X</v>
      </c>
      <c r="K8045" s="1" t="str">
        <f t="shared" si="1743"/>
        <v>X</v>
      </c>
      <c r="L8045" s="1" t="str">
        <f t="shared" si="1743"/>
        <v>X</v>
      </c>
      <c r="M8045" s="1" t="str">
        <f t="shared" si="1743"/>
        <v>X</v>
      </c>
      <c r="N8045" t="s">
        <v>27</v>
      </c>
    </row>
    <row r="8046" spans="1:14" x14ac:dyDescent="0.25">
      <c r="A8046" t="s">
        <v>43</v>
      </c>
      <c r="B8046" t="s">
        <v>15</v>
      </c>
      <c r="C8046" t="s">
        <v>15</v>
      </c>
      <c r="D8046" t="s">
        <v>34</v>
      </c>
      <c r="E8046" t="s">
        <v>23</v>
      </c>
      <c r="F8046" t="s">
        <v>20</v>
      </c>
      <c r="G8046" s="2">
        <f>VALUE(362.1)</f>
        <v>362.1</v>
      </c>
      <c r="H8046" s="3">
        <f>VALUE(220.89)</f>
        <v>220.89</v>
      </c>
      <c r="I8046" s="1">
        <f>VALUE(2498)</f>
        <v>2498</v>
      </c>
      <c r="J8046" s="5">
        <f>VALUE(2908)</f>
        <v>2908</v>
      </c>
      <c r="K8046" s="6">
        <f>VALUE(3537)</f>
        <v>3537</v>
      </c>
      <c r="L8046" s="7">
        <f>VALUE(4957)</f>
        <v>4957</v>
      </c>
      <c r="M8046" s="1">
        <f>VALUE(6077)</f>
        <v>6077</v>
      </c>
      <c r="N8046" t="s">
        <v>25</v>
      </c>
    </row>
    <row r="8047" spans="1:14" x14ac:dyDescent="0.25">
      <c r="A8047" t="s">
        <v>43</v>
      </c>
      <c r="B8047" t="s">
        <v>15</v>
      </c>
      <c r="C8047" t="s">
        <v>15</v>
      </c>
      <c r="D8047" t="s">
        <v>34</v>
      </c>
      <c r="E8047" t="s">
        <v>26</v>
      </c>
      <c r="F8047" t="s">
        <v>15</v>
      </c>
      <c r="G8047" s="1" t="str">
        <f t="shared" ref="G8047:M8047" si="1744">"X"</f>
        <v>X</v>
      </c>
      <c r="H8047" s="1" t="str">
        <f t="shared" si="1744"/>
        <v>X</v>
      </c>
      <c r="I8047" s="1" t="str">
        <f t="shared" si="1744"/>
        <v>X</v>
      </c>
      <c r="J8047" s="1" t="str">
        <f t="shared" si="1744"/>
        <v>X</v>
      </c>
      <c r="K8047" s="1" t="str">
        <f t="shared" si="1744"/>
        <v>X</v>
      </c>
      <c r="L8047" s="1" t="str">
        <f t="shared" si="1744"/>
        <v>X</v>
      </c>
      <c r="M8047" s="1" t="str">
        <f t="shared" si="1744"/>
        <v>X</v>
      </c>
      <c r="N8047" t="s">
        <v>27</v>
      </c>
    </row>
    <row r="8048" spans="1:14" x14ac:dyDescent="0.25">
      <c r="A8048" t="s">
        <v>43</v>
      </c>
      <c r="B8048" t="s">
        <v>15</v>
      </c>
      <c r="C8048" t="s">
        <v>15</v>
      </c>
      <c r="D8048" t="s">
        <v>34</v>
      </c>
      <c r="E8048" t="s">
        <v>26</v>
      </c>
      <c r="F8048" t="s">
        <v>17</v>
      </c>
      <c r="G8048" s="1" t="str">
        <f t="shared" ref="G8048:M8050" si="1745">"..."</f>
        <v>...</v>
      </c>
      <c r="H8048" s="1" t="str">
        <f t="shared" si="1745"/>
        <v>...</v>
      </c>
      <c r="I8048" s="1" t="str">
        <f t="shared" si="1745"/>
        <v>...</v>
      </c>
      <c r="J8048" s="1" t="str">
        <f t="shared" si="1745"/>
        <v>...</v>
      </c>
      <c r="K8048" s="1" t="str">
        <f t="shared" si="1745"/>
        <v>...</v>
      </c>
      <c r="L8048" s="1" t="str">
        <f t="shared" si="1745"/>
        <v>...</v>
      </c>
      <c r="M8048" s="1" t="str">
        <f t="shared" si="1745"/>
        <v>...</v>
      </c>
      <c r="N8048" t="s">
        <v>30</v>
      </c>
    </row>
    <row r="8049" spans="1:14" x14ac:dyDescent="0.25">
      <c r="A8049" t="s">
        <v>43</v>
      </c>
      <c r="B8049" t="s">
        <v>15</v>
      </c>
      <c r="C8049" t="s">
        <v>15</v>
      </c>
      <c r="D8049" t="s">
        <v>34</v>
      </c>
      <c r="E8049" t="s">
        <v>26</v>
      </c>
      <c r="F8049" t="s">
        <v>18</v>
      </c>
      <c r="G8049" s="1" t="str">
        <f t="shared" si="1745"/>
        <v>...</v>
      </c>
      <c r="H8049" s="1" t="str">
        <f t="shared" si="1745"/>
        <v>...</v>
      </c>
      <c r="I8049" s="1" t="str">
        <f t="shared" si="1745"/>
        <v>...</v>
      </c>
      <c r="J8049" s="1" t="str">
        <f t="shared" si="1745"/>
        <v>...</v>
      </c>
      <c r="K8049" s="1" t="str">
        <f t="shared" si="1745"/>
        <v>...</v>
      </c>
      <c r="L8049" s="1" t="str">
        <f t="shared" si="1745"/>
        <v>...</v>
      </c>
      <c r="M8049" s="1" t="str">
        <f t="shared" si="1745"/>
        <v>...</v>
      </c>
      <c r="N8049" t="s">
        <v>30</v>
      </c>
    </row>
    <row r="8050" spans="1:14" x14ac:dyDescent="0.25">
      <c r="A8050" t="s">
        <v>43</v>
      </c>
      <c r="B8050" t="s">
        <v>15</v>
      </c>
      <c r="C8050" t="s">
        <v>15</v>
      </c>
      <c r="D8050" t="s">
        <v>34</v>
      </c>
      <c r="E8050" t="s">
        <v>26</v>
      </c>
      <c r="F8050" t="s">
        <v>19</v>
      </c>
      <c r="G8050" s="1" t="str">
        <f t="shared" si="1745"/>
        <v>...</v>
      </c>
      <c r="H8050" s="1" t="str">
        <f t="shared" si="1745"/>
        <v>...</v>
      </c>
      <c r="I8050" s="1" t="str">
        <f t="shared" si="1745"/>
        <v>...</v>
      </c>
      <c r="J8050" s="1" t="str">
        <f t="shared" si="1745"/>
        <v>...</v>
      </c>
      <c r="K8050" s="1" t="str">
        <f t="shared" si="1745"/>
        <v>...</v>
      </c>
      <c r="L8050" s="1" t="str">
        <f t="shared" si="1745"/>
        <v>...</v>
      </c>
      <c r="M8050" s="1" t="str">
        <f t="shared" si="1745"/>
        <v>...</v>
      </c>
      <c r="N8050" t="s">
        <v>30</v>
      </c>
    </row>
    <row r="8051" spans="1:14" x14ac:dyDescent="0.25">
      <c r="A8051" t="s">
        <v>43</v>
      </c>
      <c r="B8051" t="s">
        <v>15</v>
      </c>
      <c r="C8051" t="s">
        <v>15</v>
      </c>
      <c r="D8051" t="s">
        <v>34</v>
      </c>
      <c r="E8051" t="s">
        <v>26</v>
      </c>
      <c r="F8051" t="s">
        <v>20</v>
      </c>
      <c r="G8051" s="1" t="str">
        <f t="shared" ref="G8051:M8051" si="1746">"X"</f>
        <v>X</v>
      </c>
      <c r="H8051" s="1" t="str">
        <f t="shared" si="1746"/>
        <v>X</v>
      </c>
      <c r="I8051" s="1" t="str">
        <f t="shared" si="1746"/>
        <v>X</v>
      </c>
      <c r="J8051" s="1" t="str">
        <f t="shared" si="1746"/>
        <v>X</v>
      </c>
      <c r="K8051" s="1" t="str">
        <f t="shared" si="1746"/>
        <v>X</v>
      </c>
      <c r="L8051" s="1" t="str">
        <f t="shared" si="1746"/>
        <v>X</v>
      </c>
      <c r="M8051" s="1" t="str">
        <f t="shared" si="1746"/>
        <v>X</v>
      </c>
      <c r="N8051" t="s">
        <v>27</v>
      </c>
    </row>
    <row r="8052" spans="1:14" x14ac:dyDescent="0.25">
      <c r="A8052" t="s">
        <v>43</v>
      </c>
      <c r="B8052" t="s">
        <v>15</v>
      </c>
      <c r="C8052" t="s">
        <v>35</v>
      </c>
      <c r="D8052" t="s">
        <v>15</v>
      </c>
      <c r="E8052" t="s">
        <v>15</v>
      </c>
      <c r="F8052" t="s">
        <v>15</v>
      </c>
      <c r="G8052" s="1">
        <f>VALUE(6384.38)</f>
        <v>6384.38</v>
      </c>
      <c r="H8052" s="3">
        <f>VALUE(5558.18)</f>
        <v>5558.18</v>
      </c>
      <c r="I8052" s="1">
        <f>VALUE(2745)</f>
        <v>2745</v>
      </c>
      <c r="J8052" s="1">
        <f>VALUE(3260)</f>
        <v>3260</v>
      </c>
      <c r="K8052" s="1">
        <f>VALUE(3765)</f>
        <v>3765</v>
      </c>
      <c r="L8052" s="1">
        <f>VALUE(4392)</f>
        <v>4392</v>
      </c>
      <c r="M8052" s="1">
        <f>VALUE(4983)</f>
        <v>4983</v>
      </c>
      <c r="N8052" t="s">
        <v>25</v>
      </c>
    </row>
    <row r="8053" spans="1:14" x14ac:dyDescent="0.25">
      <c r="A8053" t="s">
        <v>43</v>
      </c>
      <c r="B8053" t="s">
        <v>15</v>
      </c>
      <c r="C8053" t="s">
        <v>35</v>
      </c>
      <c r="D8053" t="s">
        <v>15</v>
      </c>
      <c r="E8053" t="s">
        <v>15</v>
      </c>
      <c r="F8053" t="s">
        <v>17</v>
      </c>
      <c r="G8053" s="1" t="str">
        <f t="shared" ref="G8053:M8054" si="1747">"X"</f>
        <v>X</v>
      </c>
      <c r="H8053" s="1" t="str">
        <f t="shared" si="1747"/>
        <v>X</v>
      </c>
      <c r="I8053" s="1" t="str">
        <f t="shared" si="1747"/>
        <v>X</v>
      </c>
      <c r="J8053" s="1" t="str">
        <f t="shared" si="1747"/>
        <v>X</v>
      </c>
      <c r="K8053" s="1" t="str">
        <f t="shared" si="1747"/>
        <v>X</v>
      </c>
      <c r="L8053" s="1" t="str">
        <f t="shared" si="1747"/>
        <v>X</v>
      </c>
      <c r="M8053" s="1" t="str">
        <f t="shared" si="1747"/>
        <v>X</v>
      </c>
      <c r="N8053" t="s">
        <v>27</v>
      </c>
    </row>
    <row r="8054" spans="1:14" x14ac:dyDescent="0.25">
      <c r="A8054" t="s">
        <v>43</v>
      </c>
      <c r="B8054" t="s">
        <v>15</v>
      </c>
      <c r="C8054" t="s">
        <v>35</v>
      </c>
      <c r="D8054" t="s">
        <v>15</v>
      </c>
      <c r="E8054" t="s">
        <v>15</v>
      </c>
      <c r="F8054" t="s">
        <v>18</v>
      </c>
      <c r="G8054" s="1" t="str">
        <f t="shared" si="1747"/>
        <v>X</v>
      </c>
      <c r="H8054" s="1" t="str">
        <f t="shared" si="1747"/>
        <v>X</v>
      </c>
      <c r="I8054" s="1" t="str">
        <f t="shared" si="1747"/>
        <v>X</v>
      </c>
      <c r="J8054" s="1" t="str">
        <f t="shared" si="1747"/>
        <v>X</v>
      </c>
      <c r="K8054" s="1" t="str">
        <f t="shared" si="1747"/>
        <v>X</v>
      </c>
      <c r="L8054" s="1" t="str">
        <f t="shared" si="1747"/>
        <v>X</v>
      </c>
      <c r="M8054" s="1" t="str">
        <f t="shared" si="1747"/>
        <v>X</v>
      </c>
      <c r="N8054" t="s">
        <v>27</v>
      </c>
    </row>
    <row r="8055" spans="1:14" x14ac:dyDescent="0.25">
      <c r="A8055" t="s">
        <v>43</v>
      </c>
      <c r="B8055" t="s">
        <v>15</v>
      </c>
      <c r="C8055" t="s">
        <v>35</v>
      </c>
      <c r="D8055" t="s">
        <v>15</v>
      </c>
      <c r="E8055" t="s">
        <v>15</v>
      </c>
      <c r="F8055" t="s">
        <v>19</v>
      </c>
      <c r="G8055" s="2">
        <f>VALUE(740.35)</f>
        <v>740.35</v>
      </c>
      <c r="H8055" s="3">
        <f>VALUE(706.04)</f>
        <v>706.04</v>
      </c>
      <c r="I8055" s="4">
        <f>VALUE(3193)</f>
        <v>3193</v>
      </c>
      <c r="J8055" s="5">
        <f>VALUE(3691)</f>
        <v>3691</v>
      </c>
      <c r="K8055" s="6">
        <f>VALUE(3800)</f>
        <v>3800</v>
      </c>
      <c r="L8055" s="7">
        <f>VALUE(4333)</f>
        <v>4333</v>
      </c>
      <c r="M8055" s="8">
        <f>VALUE(5238)</f>
        <v>5238</v>
      </c>
      <c r="N8055" t="s">
        <v>24</v>
      </c>
    </row>
    <row r="8056" spans="1:14" x14ac:dyDescent="0.25">
      <c r="A8056" t="s">
        <v>43</v>
      </c>
      <c r="B8056" t="s">
        <v>15</v>
      </c>
      <c r="C8056" t="s">
        <v>35</v>
      </c>
      <c r="D8056" t="s">
        <v>15</v>
      </c>
      <c r="E8056" t="s">
        <v>15</v>
      </c>
      <c r="F8056" t="s">
        <v>20</v>
      </c>
      <c r="G8056" s="2">
        <f>VALUE(5290.41)</f>
        <v>5290.41</v>
      </c>
      <c r="H8056" s="3">
        <f>VALUE(4531.15)</f>
        <v>4531.1499999999996</v>
      </c>
      <c r="I8056" s="1">
        <f>VALUE(2671)</f>
        <v>2671</v>
      </c>
      <c r="J8056" s="1">
        <f>VALUE(3175)</f>
        <v>3175</v>
      </c>
      <c r="K8056" s="1">
        <f>VALUE(3734)</f>
        <v>3734</v>
      </c>
      <c r="L8056" s="1">
        <f>VALUE(4410)</f>
        <v>4410</v>
      </c>
      <c r="M8056" s="1">
        <f>VALUE(4951)</f>
        <v>4951</v>
      </c>
      <c r="N8056" t="s">
        <v>25</v>
      </c>
    </row>
    <row r="8057" spans="1:14" x14ac:dyDescent="0.25">
      <c r="A8057" t="s">
        <v>43</v>
      </c>
      <c r="B8057" t="s">
        <v>15</v>
      </c>
      <c r="C8057" t="s">
        <v>35</v>
      </c>
      <c r="D8057" t="s">
        <v>15</v>
      </c>
      <c r="E8057" t="s">
        <v>21</v>
      </c>
      <c r="F8057" t="s">
        <v>15</v>
      </c>
      <c r="G8057" s="2">
        <f>VALUE(680.48)</f>
        <v>680.48</v>
      </c>
      <c r="H8057" s="3">
        <f>VALUE(560.04)</f>
        <v>560.04</v>
      </c>
      <c r="I8057" s="4">
        <f>VALUE(3393)</f>
        <v>3393</v>
      </c>
      <c r="J8057" s="1">
        <f>VALUE(3825)</f>
        <v>3825</v>
      </c>
      <c r="K8057" s="1">
        <f>VALUE(4167)</f>
        <v>4167</v>
      </c>
      <c r="L8057" s="1">
        <f>VALUE(4980)</f>
        <v>4980</v>
      </c>
      <c r="M8057" s="8">
        <f>VALUE(5680)</f>
        <v>5680</v>
      </c>
      <c r="N8057" t="s">
        <v>25</v>
      </c>
    </row>
    <row r="8058" spans="1:14" x14ac:dyDescent="0.25">
      <c r="A8058" t="s">
        <v>43</v>
      </c>
      <c r="B8058" t="s">
        <v>15</v>
      </c>
      <c r="C8058" t="s">
        <v>35</v>
      </c>
      <c r="D8058" t="s">
        <v>15</v>
      </c>
      <c r="E8058" t="s">
        <v>21</v>
      </c>
      <c r="F8058" t="s">
        <v>17</v>
      </c>
      <c r="G8058" s="1" t="str">
        <f t="shared" ref="G8058:M8060" si="1748">"X"</f>
        <v>X</v>
      </c>
      <c r="H8058" s="1" t="str">
        <f t="shared" si="1748"/>
        <v>X</v>
      </c>
      <c r="I8058" s="1" t="str">
        <f t="shared" si="1748"/>
        <v>X</v>
      </c>
      <c r="J8058" s="1" t="str">
        <f t="shared" si="1748"/>
        <v>X</v>
      </c>
      <c r="K8058" s="1" t="str">
        <f t="shared" si="1748"/>
        <v>X</v>
      </c>
      <c r="L8058" s="1" t="str">
        <f t="shared" si="1748"/>
        <v>X</v>
      </c>
      <c r="M8058" s="1" t="str">
        <f t="shared" si="1748"/>
        <v>X</v>
      </c>
      <c r="N8058" t="s">
        <v>27</v>
      </c>
    </row>
    <row r="8059" spans="1:14" x14ac:dyDescent="0.25">
      <c r="A8059" t="s">
        <v>43</v>
      </c>
      <c r="B8059" t="s">
        <v>15</v>
      </c>
      <c r="C8059" t="s">
        <v>35</v>
      </c>
      <c r="D8059" t="s">
        <v>15</v>
      </c>
      <c r="E8059" t="s">
        <v>21</v>
      </c>
      <c r="F8059" t="s">
        <v>18</v>
      </c>
      <c r="G8059" s="1" t="str">
        <f t="shared" si="1748"/>
        <v>X</v>
      </c>
      <c r="H8059" s="1" t="str">
        <f t="shared" si="1748"/>
        <v>X</v>
      </c>
      <c r="I8059" s="1" t="str">
        <f t="shared" si="1748"/>
        <v>X</v>
      </c>
      <c r="J8059" s="1" t="str">
        <f t="shared" si="1748"/>
        <v>X</v>
      </c>
      <c r="K8059" s="1" t="str">
        <f t="shared" si="1748"/>
        <v>X</v>
      </c>
      <c r="L8059" s="1" t="str">
        <f t="shared" si="1748"/>
        <v>X</v>
      </c>
      <c r="M8059" s="1" t="str">
        <f t="shared" si="1748"/>
        <v>X</v>
      </c>
      <c r="N8059" t="s">
        <v>27</v>
      </c>
    </row>
    <row r="8060" spans="1:14" x14ac:dyDescent="0.25">
      <c r="A8060" t="s">
        <v>43</v>
      </c>
      <c r="B8060" t="s">
        <v>15</v>
      </c>
      <c r="C8060" t="s">
        <v>35</v>
      </c>
      <c r="D8060" t="s">
        <v>15</v>
      </c>
      <c r="E8060" t="s">
        <v>21</v>
      </c>
      <c r="F8060" t="s">
        <v>19</v>
      </c>
      <c r="G8060" s="1" t="str">
        <f t="shared" si="1748"/>
        <v>X</v>
      </c>
      <c r="H8060" s="1" t="str">
        <f t="shared" si="1748"/>
        <v>X</v>
      </c>
      <c r="I8060" s="1" t="str">
        <f t="shared" si="1748"/>
        <v>X</v>
      </c>
      <c r="J8060" s="1" t="str">
        <f t="shared" si="1748"/>
        <v>X</v>
      </c>
      <c r="K8060" s="1" t="str">
        <f t="shared" si="1748"/>
        <v>X</v>
      </c>
      <c r="L8060" s="1" t="str">
        <f t="shared" si="1748"/>
        <v>X</v>
      </c>
      <c r="M8060" s="1" t="str">
        <f t="shared" si="1748"/>
        <v>X</v>
      </c>
      <c r="N8060" t="s">
        <v>27</v>
      </c>
    </row>
    <row r="8061" spans="1:14" x14ac:dyDescent="0.25">
      <c r="A8061" t="s">
        <v>43</v>
      </c>
      <c r="B8061" t="s">
        <v>15</v>
      </c>
      <c r="C8061" t="s">
        <v>35</v>
      </c>
      <c r="D8061" t="s">
        <v>15</v>
      </c>
      <c r="E8061" t="s">
        <v>21</v>
      </c>
      <c r="F8061" t="s">
        <v>20</v>
      </c>
      <c r="G8061" s="2">
        <f>VALUE(479.32)</f>
        <v>479.32</v>
      </c>
      <c r="H8061" s="3">
        <f>VALUE(378.43)</f>
        <v>378.43</v>
      </c>
      <c r="I8061" s="4">
        <f>VALUE(3275)</f>
        <v>3275</v>
      </c>
      <c r="J8061" s="5">
        <f>VALUE(3844)</f>
        <v>3844</v>
      </c>
      <c r="K8061" s="1">
        <f>VALUE(4333)</f>
        <v>4333</v>
      </c>
      <c r="L8061" s="7">
        <f>VALUE(5022)</f>
        <v>5022</v>
      </c>
      <c r="M8061" s="8">
        <f>VALUE(5871)</f>
        <v>5871</v>
      </c>
      <c r="N8061" t="s">
        <v>25</v>
      </c>
    </row>
    <row r="8062" spans="1:14" x14ac:dyDescent="0.25">
      <c r="A8062" t="s">
        <v>43</v>
      </c>
      <c r="B8062" t="s">
        <v>15</v>
      </c>
      <c r="C8062" t="s">
        <v>35</v>
      </c>
      <c r="D8062" t="s">
        <v>15</v>
      </c>
      <c r="E8062" t="s">
        <v>22</v>
      </c>
      <c r="F8062" t="s">
        <v>15</v>
      </c>
      <c r="G8062" s="2">
        <f>VALUE(3411.41)</f>
        <v>3411.41</v>
      </c>
      <c r="H8062" s="3">
        <f>VALUE(3073.34)</f>
        <v>3073.34</v>
      </c>
      <c r="I8062" s="4">
        <f>VALUE(2986)</f>
        <v>2986</v>
      </c>
      <c r="J8062" s="1">
        <f>VALUE(3520)</f>
        <v>3520</v>
      </c>
      <c r="K8062" s="1">
        <f>VALUE(4024)</f>
        <v>4024</v>
      </c>
      <c r="L8062" s="1">
        <f>VALUE(4550)</f>
        <v>4550</v>
      </c>
      <c r="M8062" s="1">
        <f>VALUE(4971)</f>
        <v>4971</v>
      </c>
      <c r="N8062" t="s">
        <v>25</v>
      </c>
    </row>
    <row r="8063" spans="1:14" x14ac:dyDescent="0.25">
      <c r="A8063" t="s">
        <v>43</v>
      </c>
      <c r="B8063" t="s">
        <v>15</v>
      </c>
      <c r="C8063" t="s">
        <v>35</v>
      </c>
      <c r="D8063" t="s">
        <v>15</v>
      </c>
      <c r="E8063" t="s">
        <v>22</v>
      </c>
      <c r="F8063" t="s">
        <v>17</v>
      </c>
      <c r="G8063" s="1" t="str">
        <f t="shared" ref="G8063:M8064" si="1749">"X"</f>
        <v>X</v>
      </c>
      <c r="H8063" s="1" t="str">
        <f t="shared" si="1749"/>
        <v>X</v>
      </c>
      <c r="I8063" s="1" t="str">
        <f t="shared" si="1749"/>
        <v>X</v>
      </c>
      <c r="J8063" s="1" t="str">
        <f t="shared" si="1749"/>
        <v>X</v>
      </c>
      <c r="K8063" s="1" t="str">
        <f t="shared" si="1749"/>
        <v>X</v>
      </c>
      <c r="L8063" s="1" t="str">
        <f t="shared" si="1749"/>
        <v>X</v>
      </c>
      <c r="M8063" s="1" t="str">
        <f t="shared" si="1749"/>
        <v>X</v>
      </c>
      <c r="N8063" t="s">
        <v>27</v>
      </c>
    </row>
    <row r="8064" spans="1:14" x14ac:dyDescent="0.25">
      <c r="A8064" t="s">
        <v>43</v>
      </c>
      <c r="B8064" t="s">
        <v>15</v>
      </c>
      <c r="C8064" t="s">
        <v>35</v>
      </c>
      <c r="D8064" t="s">
        <v>15</v>
      </c>
      <c r="E8064" t="s">
        <v>22</v>
      </c>
      <c r="F8064" t="s">
        <v>18</v>
      </c>
      <c r="G8064" s="1" t="str">
        <f t="shared" si="1749"/>
        <v>X</v>
      </c>
      <c r="H8064" s="1" t="str">
        <f t="shared" si="1749"/>
        <v>X</v>
      </c>
      <c r="I8064" s="1" t="str">
        <f t="shared" si="1749"/>
        <v>X</v>
      </c>
      <c r="J8064" s="1" t="str">
        <f t="shared" si="1749"/>
        <v>X</v>
      </c>
      <c r="K8064" s="1" t="str">
        <f t="shared" si="1749"/>
        <v>X</v>
      </c>
      <c r="L8064" s="1" t="str">
        <f t="shared" si="1749"/>
        <v>X</v>
      </c>
      <c r="M8064" s="1" t="str">
        <f t="shared" si="1749"/>
        <v>X</v>
      </c>
      <c r="N8064" t="s">
        <v>27</v>
      </c>
    </row>
    <row r="8065" spans="1:14" x14ac:dyDescent="0.25">
      <c r="A8065" t="s">
        <v>43</v>
      </c>
      <c r="B8065" t="s">
        <v>15</v>
      </c>
      <c r="C8065" t="s">
        <v>35</v>
      </c>
      <c r="D8065" t="s">
        <v>15</v>
      </c>
      <c r="E8065" t="s">
        <v>22</v>
      </c>
      <c r="F8065" t="s">
        <v>19</v>
      </c>
      <c r="G8065" s="2">
        <f>VALUE(314.04)</f>
        <v>314.04000000000002</v>
      </c>
      <c r="H8065" s="3">
        <f>VALUE(286.48)</f>
        <v>286.48</v>
      </c>
      <c r="I8065" s="1">
        <f>VALUE(3446)</f>
        <v>3446</v>
      </c>
      <c r="J8065" s="1">
        <f>VALUE(4062)</f>
        <v>4062</v>
      </c>
      <c r="K8065" s="1">
        <f>VALUE(4297)</f>
        <v>4297</v>
      </c>
      <c r="L8065" s="1">
        <f>VALUE(4860)</f>
        <v>4860</v>
      </c>
      <c r="M8065" s="1">
        <f>VALUE(5807)</f>
        <v>5807</v>
      </c>
      <c r="N8065" t="s">
        <v>25</v>
      </c>
    </row>
    <row r="8066" spans="1:14" x14ac:dyDescent="0.25">
      <c r="A8066" t="s">
        <v>43</v>
      </c>
      <c r="B8066" t="s">
        <v>15</v>
      </c>
      <c r="C8066" t="s">
        <v>35</v>
      </c>
      <c r="D8066" t="s">
        <v>15</v>
      </c>
      <c r="E8066" t="s">
        <v>22</v>
      </c>
      <c r="F8066" t="s">
        <v>20</v>
      </c>
      <c r="G8066" s="2">
        <f>VALUE(2868.77)</f>
        <v>2868.77</v>
      </c>
      <c r="H8066" s="3">
        <f>VALUE(2582.71)</f>
        <v>2582.71</v>
      </c>
      <c r="I8066" s="4">
        <f>VALUE(2857)</f>
        <v>2857</v>
      </c>
      <c r="J8066" s="1">
        <f>VALUE(3467)</f>
        <v>3467</v>
      </c>
      <c r="K8066" s="1">
        <f>VALUE(3952)</f>
        <v>3952</v>
      </c>
      <c r="L8066" s="1">
        <f>VALUE(4544)</f>
        <v>4544</v>
      </c>
      <c r="M8066" s="1">
        <f>VALUE(4890)</f>
        <v>4890</v>
      </c>
      <c r="N8066" t="s">
        <v>25</v>
      </c>
    </row>
    <row r="8067" spans="1:14" x14ac:dyDescent="0.25">
      <c r="A8067" t="s">
        <v>43</v>
      </c>
      <c r="B8067" t="s">
        <v>15</v>
      </c>
      <c r="C8067" t="s">
        <v>35</v>
      </c>
      <c r="D8067" t="s">
        <v>15</v>
      </c>
      <c r="E8067" t="s">
        <v>23</v>
      </c>
      <c r="F8067" t="s">
        <v>15</v>
      </c>
      <c r="G8067" s="2">
        <f>VALUE(2237.09)</f>
        <v>2237.09</v>
      </c>
      <c r="H8067" s="3">
        <f>VALUE(1873.78)</f>
        <v>1873.78</v>
      </c>
      <c r="I8067" s="4">
        <f>VALUE(2563)</f>
        <v>2563</v>
      </c>
      <c r="J8067" s="5">
        <f>VALUE(2932)</f>
        <v>2932</v>
      </c>
      <c r="K8067" s="1">
        <f>VALUE(3378)</f>
        <v>3378</v>
      </c>
      <c r="L8067" s="7">
        <f>VALUE(3746)</f>
        <v>3746</v>
      </c>
      <c r="M8067" s="8">
        <f>VALUE(4385)</f>
        <v>4385</v>
      </c>
      <c r="N8067" t="s">
        <v>25</v>
      </c>
    </row>
    <row r="8068" spans="1:14" x14ac:dyDescent="0.25">
      <c r="A8068" t="s">
        <v>43</v>
      </c>
      <c r="B8068" t="s">
        <v>15</v>
      </c>
      <c r="C8068" t="s">
        <v>35</v>
      </c>
      <c r="D8068" t="s">
        <v>15</v>
      </c>
      <c r="E8068" t="s">
        <v>23</v>
      </c>
      <c r="F8068" t="s">
        <v>17</v>
      </c>
      <c r="G8068" s="1" t="str">
        <f t="shared" ref="G8068:M8068" si="1750">"..."</f>
        <v>...</v>
      </c>
      <c r="H8068" s="1" t="str">
        <f t="shared" si="1750"/>
        <v>...</v>
      </c>
      <c r="I8068" s="1" t="str">
        <f t="shared" si="1750"/>
        <v>...</v>
      </c>
      <c r="J8068" s="1" t="str">
        <f t="shared" si="1750"/>
        <v>...</v>
      </c>
      <c r="K8068" s="1" t="str">
        <f t="shared" si="1750"/>
        <v>...</v>
      </c>
      <c r="L8068" s="1" t="str">
        <f t="shared" si="1750"/>
        <v>...</v>
      </c>
      <c r="M8068" s="1" t="str">
        <f t="shared" si="1750"/>
        <v>...</v>
      </c>
      <c r="N8068" t="s">
        <v>30</v>
      </c>
    </row>
    <row r="8069" spans="1:14" x14ac:dyDescent="0.25">
      <c r="A8069" t="s">
        <v>43</v>
      </c>
      <c r="B8069" t="s">
        <v>15</v>
      </c>
      <c r="C8069" t="s">
        <v>35</v>
      </c>
      <c r="D8069" t="s">
        <v>15</v>
      </c>
      <c r="E8069" t="s">
        <v>23</v>
      </c>
      <c r="F8069" t="s">
        <v>18</v>
      </c>
      <c r="G8069" s="1" t="str">
        <f t="shared" ref="G8069:M8070" si="1751">"X"</f>
        <v>X</v>
      </c>
      <c r="H8069" s="1" t="str">
        <f t="shared" si="1751"/>
        <v>X</v>
      </c>
      <c r="I8069" s="1" t="str">
        <f t="shared" si="1751"/>
        <v>X</v>
      </c>
      <c r="J8069" s="1" t="str">
        <f t="shared" si="1751"/>
        <v>X</v>
      </c>
      <c r="K8069" s="1" t="str">
        <f t="shared" si="1751"/>
        <v>X</v>
      </c>
      <c r="L8069" s="1" t="str">
        <f t="shared" si="1751"/>
        <v>X</v>
      </c>
      <c r="M8069" s="1" t="str">
        <f t="shared" si="1751"/>
        <v>X</v>
      </c>
      <c r="N8069" t="s">
        <v>27</v>
      </c>
    </row>
    <row r="8070" spans="1:14" x14ac:dyDescent="0.25">
      <c r="A8070" t="s">
        <v>43</v>
      </c>
      <c r="B8070" t="s">
        <v>15</v>
      </c>
      <c r="C8070" t="s">
        <v>35</v>
      </c>
      <c r="D8070" t="s">
        <v>15</v>
      </c>
      <c r="E8070" t="s">
        <v>23</v>
      </c>
      <c r="F8070" t="s">
        <v>19</v>
      </c>
      <c r="G8070" s="1" t="str">
        <f t="shared" si="1751"/>
        <v>X</v>
      </c>
      <c r="H8070" s="1" t="str">
        <f t="shared" si="1751"/>
        <v>X</v>
      </c>
      <c r="I8070" s="1" t="str">
        <f t="shared" si="1751"/>
        <v>X</v>
      </c>
      <c r="J8070" s="1" t="str">
        <f t="shared" si="1751"/>
        <v>X</v>
      </c>
      <c r="K8070" s="1" t="str">
        <f t="shared" si="1751"/>
        <v>X</v>
      </c>
      <c r="L8070" s="1" t="str">
        <f t="shared" si="1751"/>
        <v>X</v>
      </c>
      <c r="M8070" s="1" t="str">
        <f t="shared" si="1751"/>
        <v>X</v>
      </c>
      <c r="N8070" t="s">
        <v>27</v>
      </c>
    </row>
    <row r="8071" spans="1:14" x14ac:dyDescent="0.25">
      <c r="A8071" t="s">
        <v>43</v>
      </c>
      <c r="B8071" t="s">
        <v>15</v>
      </c>
      <c r="C8071" t="s">
        <v>35</v>
      </c>
      <c r="D8071" t="s">
        <v>15</v>
      </c>
      <c r="E8071" t="s">
        <v>23</v>
      </c>
      <c r="F8071" t="s">
        <v>20</v>
      </c>
      <c r="G8071" s="2">
        <f>VALUE(1886.92)</f>
        <v>1886.92</v>
      </c>
      <c r="H8071" s="3">
        <f>VALUE(1518.99)</f>
        <v>1518.99</v>
      </c>
      <c r="I8071" s="4">
        <f>VALUE(2563)</f>
        <v>2563</v>
      </c>
      <c r="J8071" s="5">
        <f>VALUE(2871)</f>
        <v>2871</v>
      </c>
      <c r="K8071" s="1">
        <f>VALUE(3266)</f>
        <v>3266</v>
      </c>
      <c r="L8071" s="1">
        <f>VALUE(3746)</f>
        <v>3746</v>
      </c>
      <c r="M8071" s="8">
        <f>VALUE(4559)</f>
        <v>4559</v>
      </c>
      <c r="N8071" t="s">
        <v>25</v>
      </c>
    </row>
    <row r="8072" spans="1:14" x14ac:dyDescent="0.25">
      <c r="A8072" t="s">
        <v>43</v>
      </c>
      <c r="B8072" t="s">
        <v>15</v>
      </c>
      <c r="C8072" t="s">
        <v>35</v>
      </c>
      <c r="D8072" t="s">
        <v>15</v>
      </c>
      <c r="E8072" t="s">
        <v>26</v>
      </c>
      <c r="F8072" t="s">
        <v>15</v>
      </c>
      <c r="G8072" s="1" t="str">
        <f t="shared" ref="G8072:M8072" si="1752">"X"</f>
        <v>X</v>
      </c>
      <c r="H8072" s="1" t="str">
        <f t="shared" si="1752"/>
        <v>X</v>
      </c>
      <c r="I8072" s="1" t="str">
        <f t="shared" si="1752"/>
        <v>X</v>
      </c>
      <c r="J8072" s="1" t="str">
        <f t="shared" si="1752"/>
        <v>X</v>
      </c>
      <c r="K8072" s="1" t="str">
        <f t="shared" si="1752"/>
        <v>X</v>
      </c>
      <c r="L8072" s="1" t="str">
        <f t="shared" si="1752"/>
        <v>X</v>
      </c>
      <c r="M8072" s="1" t="str">
        <f t="shared" si="1752"/>
        <v>X</v>
      </c>
      <c r="N8072" t="s">
        <v>27</v>
      </c>
    </row>
    <row r="8073" spans="1:14" x14ac:dyDescent="0.25">
      <c r="A8073" t="s">
        <v>43</v>
      </c>
      <c r="B8073" t="s">
        <v>15</v>
      </c>
      <c r="C8073" t="s">
        <v>35</v>
      </c>
      <c r="D8073" t="s">
        <v>15</v>
      </c>
      <c r="E8073" t="s">
        <v>26</v>
      </c>
      <c r="F8073" t="s">
        <v>17</v>
      </c>
      <c r="G8073" s="1" t="str">
        <f t="shared" ref="G8073:M8075" si="1753">"..."</f>
        <v>...</v>
      </c>
      <c r="H8073" s="1" t="str">
        <f t="shared" si="1753"/>
        <v>...</v>
      </c>
      <c r="I8073" s="1" t="str">
        <f t="shared" si="1753"/>
        <v>...</v>
      </c>
      <c r="J8073" s="1" t="str">
        <f t="shared" si="1753"/>
        <v>...</v>
      </c>
      <c r="K8073" s="1" t="str">
        <f t="shared" si="1753"/>
        <v>...</v>
      </c>
      <c r="L8073" s="1" t="str">
        <f t="shared" si="1753"/>
        <v>...</v>
      </c>
      <c r="M8073" s="1" t="str">
        <f t="shared" si="1753"/>
        <v>...</v>
      </c>
      <c r="N8073" t="s">
        <v>30</v>
      </c>
    </row>
    <row r="8074" spans="1:14" x14ac:dyDescent="0.25">
      <c r="A8074" t="s">
        <v>43</v>
      </c>
      <c r="B8074" t="s">
        <v>15</v>
      </c>
      <c r="C8074" t="s">
        <v>35</v>
      </c>
      <c r="D8074" t="s">
        <v>15</v>
      </c>
      <c r="E8074" t="s">
        <v>26</v>
      </c>
      <c r="F8074" t="s">
        <v>18</v>
      </c>
      <c r="G8074" s="1" t="str">
        <f t="shared" si="1753"/>
        <v>...</v>
      </c>
      <c r="H8074" s="1" t="str">
        <f t="shared" si="1753"/>
        <v>...</v>
      </c>
      <c r="I8074" s="1" t="str">
        <f t="shared" si="1753"/>
        <v>...</v>
      </c>
      <c r="J8074" s="1" t="str">
        <f t="shared" si="1753"/>
        <v>...</v>
      </c>
      <c r="K8074" s="1" t="str">
        <f t="shared" si="1753"/>
        <v>...</v>
      </c>
      <c r="L8074" s="1" t="str">
        <f t="shared" si="1753"/>
        <v>...</v>
      </c>
      <c r="M8074" s="1" t="str">
        <f t="shared" si="1753"/>
        <v>...</v>
      </c>
      <c r="N8074" t="s">
        <v>30</v>
      </c>
    </row>
    <row r="8075" spans="1:14" x14ac:dyDescent="0.25">
      <c r="A8075" t="s">
        <v>43</v>
      </c>
      <c r="B8075" t="s">
        <v>15</v>
      </c>
      <c r="C8075" t="s">
        <v>35</v>
      </c>
      <c r="D8075" t="s">
        <v>15</v>
      </c>
      <c r="E8075" t="s">
        <v>26</v>
      </c>
      <c r="F8075" t="s">
        <v>19</v>
      </c>
      <c r="G8075" s="1" t="str">
        <f t="shared" si="1753"/>
        <v>...</v>
      </c>
      <c r="H8075" s="1" t="str">
        <f t="shared" si="1753"/>
        <v>...</v>
      </c>
      <c r="I8075" s="1" t="str">
        <f t="shared" si="1753"/>
        <v>...</v>
      </c>
      <c r="J8075" s="1" t="str">
        <f t="shared" si="1753"/>
        <v>...</v>
      </c>
      <c r="K8075" s="1" t="str">
        <f t="shared" si="1753"/>
        <v>...</v>
      </c>
      <c r="L8075" s="1" t="str">
        <f t="shared" si="1753"/>
        <v>...</v>
      </c>
      <c r="M8075" s="1" t="str">
        <f t="shared" si="1753"/>
        <v>...</v>
      </c>
      <c r="N8075" t="s">
        <v>30</v>
      </c>
    </row>
    <row r="8076" spans="1:14" x14ac:dyDescent="0.25">
      <c r="A8076" t="s">
        <v>43</v>
      </c>
      <c r="B8076" t="s">
        <v>15</v>
      </c>
      <c r="C8076" t="s">
        <v>35</v>
      </c>
      <c r="D8076" t="s">
        <v>15</v>
      </c>
      <c r="E8076" t="s">
        <v>26</v>
      </c>
      <c r="F8076" t="s">
        <v>20</v>
      </c>
      <c r="G8076" s="1" t="str">
        <f t="shared" ref="G8076:M8076" si="1754">"X"</f>
        <v>X</v>
      </c>
      <c r="H8076" s="1" t="str">
        <f t="shared" si="1754"/>
        <v>X</v>
      </c>
      <c r="I8076" s="1" t="str">
        <f t="shared" si="1754"/>
        <v>X</v>
      </c>
      <c r="J8076" s="1" t="str">
        <f t="shared" si="1754"/>
        <v>X</v>
      </c>
      <c r="K8076" s="1" t="str">
        <f t="shared" si="1754"/>
        <v>X</v>
      </c>
      <c r="L8076" s="1" t="str">
        <f t="shared" si="1754"/>
        <v>X</v>
      </c>
      <c r="M8076" s="1" t="str">
        <f t="shared" si="1754"/>
        <v>X</v>
      </c>
      <c r="N8076" t="s">
        <v>27</v>
      </c>
    </row>
    <row r="8077" spans="1:14" x14ac:dyDescent="0.25">
      <c r="A8077" t="s">
        <v>43</v>
      </c>
      <c r="B8077" t="s">
        <v>15</v>
      </c>
      <c r="C8077" t="s">
        <v>35</v>
      </c>
      <c r="D8077" t="s">
        <v>28</v>
      </c>
      <c r="E8077" t="s">
        <v>15</v>
      </c>
      <c r="F8077" t="s">
        <v>15</v>
      </c>
      <c r="G8077" s="2">
        <f>VALUE(2886.31)</f>
        <v>2886.31</v>
      </c>
      <c r="H8077" s="3">
        <f>VALUE(2540.87)</f>
        <v>2540.87</v>
      </c>
      <c r="I8077" s="4">
        <f>VALUE(3140)</f>
        <v>3140</v>
      </c>
      <c r="J8077" s="1">
        <f>VALUE(3621)</f>
        <v>3621</v>
      </c>
      <c r="K8077" s="1">
        <f>VALUE(4024)</f>
        <v>4024</v>
      </c>
      <c r="L8077" s="1">
        <f>VALUE(4624)</f>
        <v>4624</v>
      </c>
      <c r="M8077" s="1">
        <f>VALUE(4983)</f>
        <v>4983</v>
      </c>
      <c r="N8077" t="s">
        <v>25</v>
      </c>
    </row>
    <row r="8078" spans="1:14" x14ac:dyDescent="0.25">
      <c r="A8078" t="s">
        <v>43</v>
      </c>
      <c r="B8078" t="s">
        <v>15</v>
      </c>
      <c r="C8078" t="s">
        <v>35</v>
      </c>
      <c r="D8078" t="s">
        <v>28</v>
      </c>
      <c r="E8078" t="s">
        <v>15</v>
      </c>
      <c r="F8078" t="s">
        <v>17</v>
      </c>
      <c r="G8078" s="1" t="str">
        <f t="shared" ref="G8078:M8079" si="1755">"X"</f>
        <v>X</v>
      </c>
      <c r="H8078" s="1" t="str">
        <f t="shared" si="1755"/>
        <v>X</v>
      </c>
      <c r="I8078" s="1" t="str">
        <f t="shared" si="1755"/>
        <v>X</v>
      </c>
      <c r="J8078" s="1" t="str">
        <f t="shared" si="1755"/>
        <v>X</v>
      </c>
      <c r="K8078" s="1" t="str">
        <f t="shared" si="1755"/>
        <v>X</v>
      </c>
      <c r="L8078" s="1" t="str">
        <f t="shared" si="1755"/>
        <v>X</v>
      </c>
      <c r="M8078" s="1" t="str">
        <f t="shared" si="1755"/>
        <v>X</v>
      </c>
      <c r="N8078" t="s">
        <v>27</v>
      </c>
    </row>
    <row r="8079" spans="1:14" x14ac:dyDescent="0.25">
      <c r="A8079" t="s">
        <v>43</v>
      </c>
      <c r="B8079" t="s">
        <v>15</v>
      </c>
      <c r="C8079" t="s">
        <v>35</v>
      </c>
      <c r="D8079" t="s">
        <v>28</v>
      </c>
      <c r="E8079" t="s">
        <v>15</v>
      </c>
      <c r="F8079" t="s">
        <v>18</v>
      </c>
      <c r="G8079" s="1" t="str">
        <f t="shared" si="1755"/>
        <v>X</v>
      </c>
      <c r="H8079" s="1" t="str">
        <f t="shared" si="1755"/>
        <v>X</v>
      </c>
      <c r="I8079" s="1" t="str">
        <f t="shared" si="1755"/>
        <v>X</v>
      </c>
      <c r="J8079" s="1" t="str">
        <f t="shared" si="1755"/>
        <v>X</v>
      </c>
      <c r="K8079" s="1" t="str">
        <f t="shared" si="1755"/>
        <v>X</v>
      </c>
      <c r="L8079" s="1" t="str">
        <f t="shared" si="1755"/>
        <v>X</v>
      </c>
      <c r="M8079" s="1" t="str">
        <f t="shared" si="1755"/>
        <v>X</v>
      </c>
      <c r="N8079" t="s">
        <v>27</v>
      </c>
    </row>
    <row r="8080" spans="1:14" x14ac:dyDescent="0.25">
      <c r="A8080" t="s">
        <v>43</v>
      </c>
      <c r="B8080" t="s">
        <v>15</v>
      </c>
      <c r="C8080" t="s">
        <v>35</v>
      </c>
      <c r="D8080" t="s">
        <v>28</v>
      </c>
      <c r="E8080" t="s">
        <v>15</v>
      </c>
      <c r="F8080" t="s">
        <v>19</v>
      </c>
      <c r="G8080" s="2">
        <f>VALUE(340.72)</f>
        <v>340.72</v>
      </c>
      <c r="H8080" s="3">
        <f>VALUE(317.11)</f>
        <v>317.11</v>
      </c>
      <c r="I8080" s="1">
        <f>VALUE(3508)</f>
        <v>3508</v>
      </c>
      <c r="J8080" s="1">
        <f>VALUE(3714)</f>
        <v>3714</v>
      </c>
      <c r="K8080" s="1">
        <f>VALUE(4062)</f>
        <v>4062</v>
      </c>
      <c r="L8080" s="1">
        <f>VALUE(4427)</f>
        <v>4427</v>
      </c>
      <c r="M8080" s="1">
        <f>VALUE(5030)</f>
        <v>5030</v>
      </c>
      <c r="N8080" t="s">
        <v>25</v>
      </c>
    </row>
    <row r="8081" spans="1:14" x14ac:dyDescent="0.25">
      <c r="A8081" t="s">
        <v>43</v>
      </c>
      <c r="B8081" t="s">
        <v>15</v>
      </c>
      <c r="C8081" t="s">
        <v>35</v>
      </c>
      <c r="D8081" t="s">
        <v>28</v>
      </c>
      <c r="E8081" t="s">
        <v>15</v>
      </c>
      <c r="F8081" t="s">
        <v>20</v>
      </c>
      <c r="G8081" s="2">
        <f>VALUE(2329.92)</f>
        <v>2329.92</v>
      </c>
      <c r="H8081" s="3">
        <f>VALUE(2039.73)</f>
        <v>2039.73</v>
      </c>
      <c r="I8081" s="4">
        <f>VALUE(3085)</f>
        <v>3085</v>
      </c>
      <c r="J8081" s="1">
        <f>VALUE(3581)</f>
        <v>3581</v>
      </c>
      <c r="K8081" s="1">
        <f>VALUE(4025)</f>
        <v>4025</v>
      </c>
      <c r="L8081" s="1">
        <f>VALUE(4667)</f>
        <v>4667</v>
      </c>
      <c r="M8081" s="1">
        <f>VALUE(4951)</f>
        <v>4951</v>
      </c>
      <c r="N8081" t="s">
        <v>25</v>
      </c>
    </row>
    <row r="8082" spans="1:14" x14ac:dyDescent="0.25">
      <c r="A8082" t="s">
        <v>43</v>
      </c>
      <c r="B8082" t="s">
        <v>15</v>
      </c>
      <c r="C8082" t="s">
        <v>35</v>
      </c>
      <c r="D8082" t="s">
        <v>28</v>
      </c>
      <c r="E8082" t="s">
        <v>21</v>
      </c>
      <c r="F8082" t="s">
        <v>15</v>
      </c>
      <c r="G8082" s="2">
        <f>VALUE(310.73)</f>
        <v>310.73</v>
      </c>
      <c r="H8082" s="3">
        <f>VALUE(254.07)</f>
        <v>254.07</v>
      </c>
      <c r="I8082" s="1">
        <f>VALUE(3750)</f>
        <v>3750</v>
      </c>
      <c r="J8082" s="1">
        <f>VALUE(3825)</f>
        <v>3825</v>
      </c>
      <c r="K8082" s="1">
        <f>VALUE(4024)</f>
        <v>4024</v>
      </c>
      <c r="L8082" s="1">
        <f>VALUE(4675)</f>
        <v>4675</v>
      </c>
      <c r="M8082" s="1">
        <f>VALUE(5611)</f>
        <v>5611</v>
      </c>
      <c r="N8082" t="s">
        <v>25</v>
      </c>
    </row>
    <row r="8083" spans="1:14" x14ac:dyDescent="0.25">
      <c r="A8083" t="s">
        <v>43</v>
      </c>
      <c r="B8083" t="s">
        <v>15</v>
      </c>
      <c r="C8083" t="s">
        <v>35</v>
      </c>
      <c r="D8083" t="s">
        <v>28</v>
      </c>
      <c r="E8083" t="s">
        <v>21</v>
      </c>
      <c r="F8083" t="s">
        <v>17</v>
      </c>
      <c r="G8083" s="1" t="str">
        <f t="shared" ref="G8083:M8086" si="1756">"X"</f>
        <v>X</v>
      </c>
      <c r="H8083" s="1" t="str">
        <f t="shared" si="1756"/>
        <v>X</v>
      </c>
      <c r="I8083" s="1" t="str">
        <f t="shared" si="1756"/>
        <v>X</v>
      </c>
      <c r="J8083" s="1" t="str">
        <f t="shared" si="1756"/>
        <v>X</v>
      </c>
      <c r="K8083" s="1" t="str">
        <f t="shared" si="1756"/>
        <v>X</v>
      </c>
      <c r="L8083" s="1" t="str">
        <f t="shared" si="1756"/>
        <v>X</v>
      </c>
      <c r="M8083" s="1" t="str">
        <f t="shared" si="1756"/>
        <v>X</v>
      </c>
      <c r="N8083" t="s">
        <v>27</v>
      </c>
    </row>
    <row r="8084" spans="1:14" x14ac:dyDescent="0.25">
      <c r="A8084" t="s">
        <v>43</v>
      </c>
      <c r="B8084" t="s">
        <v>15</v>
      </c>
      <c r="C8084" t="s">
        <v>35</v>
      </c>
      <c r="D8084" t="s">
        <v>28</v>
      </c>
      <c r="E8084" t="s">
        <v>21</v>
      </c>
      <c r="F8084" t="s">
        <v>18</v>
      </c>
      <c r="G8084" s="1" t="str">
        <f t="shared" si="1756"/>
        <v>X</v>
      </c>
      <c r="H8084" s="1" t="str">
        <f t="shared" si="1756"/>
        <v>X</v>
      </c>
      <c r="I8084" s="1" t="str">
        <f t="shared" si="1756"/>
        <v>X</v>
      </c>
      <c r="J8084" s="1" t="str">
        <f t="shared" si="1756"/>
        <v>X</v>
      </c>
      <c r="K8084" s="1" t="str">
        <f t="shared" si="1756"/>
        <v>X</v>
      </c>
      <c r="L8084" s="1" t="str">
        <f t="shared" si="1756"/>
        <v>X</v>
      </c>
      <c r="M8084" s="1" t="str">
        <f t="shared" si="1756"/>
        <v>X</v>
      </c>
      <c r="N8084" t="s">
        <v>27</v>
      </c>
    </row>
    <row r="8085" spans="1:14" x14ac:dyDescent="0.25">
      <c r="A8085" t="s">
        <v>43</v>
      </c>
      <c r="B8085" t="s">
        <v>15</v>
      </c>
      <c r="C8085" t="s">
        <v>35</v>
      </c>
      <c r="D8085" t="s">
        <v>28</v>
      </c>
      <c r="E8085" t="s">
        <v>21</v>
      </c>
      <c r="F8085" t="s">
        <v>19</v>
      </c>
      <c r="G8085" s="1" t="str">
        <f t="shared" si="1756"/>
        <v>X</v>
      </c>
      <c r="H8085" s="1" t="str">
        <f t="shared" si="1756"/>
        <v>X</v>
      </c>
      <c r="I8085" s="1" t="str">
        <f t="shared" si="1756"/>
        <v>X</v>
      </c>
      <c r="J8085" s="1" t="str">
        <f t="shared" si="1756"/>
        <v>X</v>
      </c>
      <c r="K8085" s="1" t="str">
        <f t="shared" si="1756"/>
        <v>X</v>
      </c>
      <c r="L8085" s="1" t="str">
        <f t="shared" si="1756"/>
        <v>X</v>
      </c>
      <c r="M8085" s="1" t="str">
        <f t="shared" si="1756"/>
        <v>X</v>
      </c>
      <c r="N8085" t="s">
        <v>27</v>
      </c>
    </row>
    <row r="8086" spans="1:14" x14ac:dyDescent="0.25">
      <c r="A8086" t="s">
        <v>43</v>
      </c>
      <c r="B8086" t="s">
        <v>15</v>
      </c>
      <c r="C8086" t="s">
        <v>35</v>
      </c>
      <c r="D8086" t="s">
        <v>28</v>
      </c>
      <c r="E8086" t="s">
        <v>21</v>
      </c>
      <c r="F8086" t="s">
        <v>20</v>
      </c>
      <c r="G8086" s="1" t="str">
        <f t="shared" si="1756"/>
        <v>X</v>
      </c>
      <c r="H8086" s="1" t="str">
        <f t="shared" si="1756"/>
        <v>X</v>
      </c>
      <c r="I8086" s="1" t="str">
        <f t="shared" si="1756"/>
        <v>X</v>
      </c>
      <c r="J8086" s="1" t="str">
        <f t="shared" si="1756"/>
        <v>X</v>
      </c>
      <c r="K8086" s="1" t="str">
        <f t="shared" si="1756"/>
        <v>X</v>
      </c>
      <c r="L8086" s="1" t="str">
        <f t="shared" si="1756"/>
        <v>X</v>
      </c>
      <c r="M8086" s="1" t="str">
        <f t="shared" si="1756"/>
        <v>X</v>
      </c>
      <c r="N8086" t="s">
        <v>27</v>
      </c>
    </row>
    <row r="8087" spans="1:14" x14ac:dyDescent="0.25">
      <c r="A8087" t="s">
        <v>43</v>
      </c>
      <c r="B8087" t="s">
        <v>15</v>
      </c>
      <c r="C8087" t="s">
        <v>35</v>
      </c>
      <c r="D8087" t="s">
        <v>28</v>
      </c>
      <c r="E8087" t="s">
        <v>22</v>
      </c>
      <c r="F8087" t="s">
        <v>15</v>
      </c>
      <c r="G8087" s="2">
        <f>VALUE(2176.86)</f>
        <v>2176.86</v>
      </c>
      <c r="H8087" s="3">
        <f>VALUE(2013.38)</f>
        <v>2013.38</v>
      </c>
      <c r="I8087" s="4">
        <f>VALUE(3140)</f>
        <v>3140</v>
      </c>
      <c r="J8087" s="1">
        <f>VALUE(3600)</f>
        <v>3600</v>
      </c>
      <c r="K8087" s="1">
        <f>VALUE(4092)</f>
        <v>4092</v>
      </c>
      <c r="L8087" s="1">
        <f>VALUE(4643)</f>
        <v>4643</v>
      </c>
      <c r="M8087" s="1">
        <f>VALUE(4850)</f>
        <v>4850</v>
      </c>
      <c r="N8087" t="s">
        <v>25</v>
      </c>
    </row>
    <row r="8088" spans="1:14" x14ac:dyDescent="0.25">
      <c r="A8088" t="s">
        <v>43</v>
      </c>
      <c r="B8088" t="s">
        <v>15</v>
      </c>
      <c r="C8088" t="s">
        <v>35</v>
      </c>
      <c r="D8088" t="s">
        <v>28</v>
      </c>
      <c r="E8088" t="s">
        <v>22</v>
      </c>
      <c r="F8088" t="s">
        <v>17</v>
      </c>
      <c r="G8088" s="1" t="str">
        <f t="shared" ref="G8088:M8089" si="1757">"X"</f>
        <v>X</v>
      </c>
      <c r="H8088" s="1" t="str">
        <f t="shared" si="1757"/>
        <v>X</v>
      </c>
      <c r="I8088" s="1" t="str">
        <f t="shared" si="1757"/>
        <v>X</v>
      </c>
      <c r="J8088" s="1" t="str">
        <f t="shared" si="1757"/>
        <v>X</v>
      </c>
      <c r="K8088" s="1" t="str">
        <f t="shared" si="1757"/>
        <v>X</v>
      </c>
      <c r="L8088" s="1" t="str">
        <f t="shared" si="1757"/>
        <v>X</v>
      </c>
      <c r="M8088" s="1" t="str">
        <f t="shared" si="1757"/>
        <v>X</v>
      </c>
      <c r="N8088" t="s">
        <v>27</v>
      </c>
    </row>
    <row r="8089" spans="1:14" x14ac:dyDescent="0.25">
      <c r="A8089" t="s">
        <v>43</v>
      </c>
      <c r="B8089" t="s">
        <v>15</v>
      </c>
      <c r="C8089" t="s">
        <v>35</v>
      </c>
      <c r="D8089" t="s">
        <v>28</v>
      </c>
      <c r="E8089" t="s">
        <v>22</v>
      </c>
      <c r="F8089" t="s">
        <v>18</v>
      </c>
      <c r="G8089" s="1" t="str">
        <f t="shared" si="1757"/>
        <v>X</v>
      </c>
      <c r="H8089" s="1" t="str">
        <f t="shared" si="1757"/>
        <v>X</v>
      </c>
      <c r="I8089" s="1" t="str">
        <f t="shared" si="1757"/>
        <v>X</v>
      </c>
      <c r="J8089" s="1" t="str">
        <f t="shared" si="1757"/>
        <v>X</v>
      </c>
      <c r="K8089" s="1" t="str">
        <f t="shared" si="1757"/>
        <v>X</v>
      </c>
      <c r="L8089" s="1" t="str">
        <f t="shared" si="1757"/>
        <v>X</v>
      </c>
      <c r="M8089" s="1" t="str">
        <f t="shared" si="1757"/>
        <v>X</v>
      </c>
      <c r="N8089" t="s">
        <v>27</v>
      </c>
    </row>
    <row r="8090" spans="1:14" x14ac:dyDescent="0.25">
      <c r="A8090" t="s">
        <v>43</v>
      </c>
      <c r="B8090" t="s">
        <v>15</v>
      </c>
      <c r="C8090" t="s">
        <v>35</v>
      </c>
      <c r="D8090" t="s">
        <v>28</v>
      </c>
      <c r="E8090" t="s">
        <v>22</v>
      </c>
      <c r="F8090" t="s">
        <v>19</v>
      </c>
      <c r="G8090" s="2">
        <f>VALUE(221.4)</f>
        <v>221.4</v>
      </c>
      <c r="H8090" s="3">
        <f>VALUE(198.73)</f>
        <v>198.73</v>
      </c>
      <c r="I8090" s="1">
        <f>VALUE(3349)</f>
        <v>3349</v>
      </c>
      <c r="J8090" s="1">
        <f>VALUE(3810)</f>
        <v>3810</v>
      </c>
      <c r="K8090" s="1">
        <f>VALUE(4211)</f>
        <v>4211</v>
      </c>
      <c r="L8090" s="1">
        <f>VALUE(4526)</f>
        <v>4526</v>
      </c>
      <c r="M8090" s="1">
        <f>VALUE(5136)</f>
        <v>5136</v>
      </c>
      <c r="N8090" t="s">
        <v>25</v>
      </c>
    </row>
    <row r="8091" spans="1:14" x14ac:dyDescent="0.25">
      <c r="A8091" t="s">
        <v>43</v>
      </c>
      <c r="B8091" t="s">
        <v>15</v>
      </c>
      <c r="C8091" t="s">
        <v>35</v>
      </c>
      <c r="D8091" t="s">
        <v>28</v>
      </c>
      <c r="E8091" t="s">
        <v>22</v>
      </c>
      <c r="F8091" t="s">
        <v>20</v>
      </c>
      <c r="G8091" s="2">
        <f>VALUE(1814.72)</f>
        <v>1814.72</v>
      </c>
      <c r="H8091" s="3">
        <f>VALUE(1700.89)</f>
        <v>1700.89</v>
      </c>
      <c r="I8091" s="4">
        <f>VALUE(3140)</f>
        <v>3140</v>
      </c>
      <c r="J8091" s="1">
        <f>VALUE(3581)</f>
        <v>3581</v>
      </c>
      <c r="K8091" s="1">
        <f>VALUE(4032)</f>
        <v>4032</v>
      </c>
      <c r="L8091" s="1">
        <f>VALUE(4643)</f>
        <v>4643</v>
      </c>
      <c r="M8091" s="1">
        <f>VALUE(4850)</f>
        <v>4850</v>
      </c>
      <c r="N8091" t="s">
        <v>25</v>
      </c>
    </row>
    <row r="8092" spans="1:14" x14ac:dyDescent="0.25">
      <c r="A8092" t="s">
        <v>43</v>
      </c>
      <c r="B8092" t="s">
        <v>15</v>
      </c>
      <c r="C8092" t="s">
        <v>35</v>
      </c>
      <c r="D8092" t="s">
        <v>28</v>
      </c>
      <c r="E8092" t="s">
        <v>23</v>
      </c>
      <c r="F8092" t="s">
        <v>15</v>
      </c>
      <c r="G8092" s="2">
        <f>VALUE(366.08)</f>
        <v>366.08</v>
      </c>
      <c r="H8092" s="3">
        <f>VALUE(241.68)</f>
        <v>241.68</v>
      </c>
      <c r="I8092" s="4">
        <f>VALUE(2463)</f>
        <v>2463</v>
      </c>
      <c r="J8092" s="1">
        <f>VALUE(3547)</f>
        <v>3547</v>
      </c>
      <c r="K8092" s="1">
        <f>VALUE(3714)</f>
        <v>3714</v>
      </c>
      <c r="L8092" s="1">
        <f>VALUE(3951)</f>
        <v>3951</v>
      </c>
      <c r="M8092" s="1">
        <f>VALUE(5027)</f>
        <v>5027</v>
      </c>
      <c r="N8092" t="s">
        <v>25</v>
      </c>
    </row>
    <row r="8093" spans="1:14" x14ac:dyDescent="0.25">
      <c r="A8093" t="s">
        <v>43</v>
      </c>
      <c r="B8093" t="s">
        <v>15</v>
      </c>
      <c r="C8093" t="s">
        <v>35</v>
      </c>
      <c r="D8093" t="s">
        <v>28</v>
      </c>
      <c r="E8093" t="s">
        <v>23</v>
      </c>
      <c r="F8093" t="s">
        <v>17</v>
      </c>
      <c r="G8093" s="1" t="str">
        <f t="shared" ref="G8093:M8093" si="1758">"..."</f>
        <v>...</v>
      </c>
      <c r="H8093" s="1" t="str">
        <f t="shared" si="1758"/>
        <v>...</v>
      </c>
      <c r="I8093" s="1" t="str">
        <f t="shared" si="1758"/>
        <v>...</v>
      </c>
      <c r="J8093" s="1" t="str">
        <f t="shared" si="1758"/>
        <v>...</v>
      </c>
      <c r="K8093" s="1" t="str">
        <f t="shared" si="1758"/>
        <v>...</v>
      </c>
      <c r="L8093" s="1" t="str">
        <f t="shared" si="1758"/>
        <v>...</v>
      </c>
      <c r="M8093" s="1" t="str">
        <f t="shared" si="1758"/>
        <v>...</v>
      </c>
      <c r="N8093" t="s">
        <v>30</v>
      </c>
    </row>
    <row r="8094" spans="1:14" x14ac:dyDescent="0.25">
      <c r="A8094" t="s">
        <v>43</v>
      </c>
      <c r="B8094" t="s">
        <v>15</v>
      </c>
      <c r="C8094" t="s">
        <v>35</v>
      </c>
      <c r="D8094" t="s">
        <v>28</v>
      </c>
      <c r="E8094" t="s">
        <v>23</v>
      </c>
      <c r="F8094" t="s">
        <v>18</v>
      </c>
      <c r="G8094" s="1" t="str">
        <f t="shared" ref="G8094:M8095" si="1759">"X"</f>
        <v>X</v>
      </c>
      <c r="H8094" s="1" t="str">
        <f t="shared" si="1759"/>
        <v>X</v>
      </c>
      <c r="I8094" s="1" t="str">
        <f t="shared" si="1759"/>
        <v>X</v>
      </c>
      <c r="J8094" s="1" t="str">
        <f t="shared" si="1759"/>
        <v>X</v>
      </c>
      <c r="K8094" s="1" t="str">
        <f t="shared" si="1759"/>
        <v>X</v>
      </c>
      <c r="L8094" s="1" t="str">
        <f t="shared" si="1759"/>
        <v>X</v>
      </c>
      <c r="M8094" s="1" t="str">
        <f t="shared" si="1759"/>
        <v>X</v>
      </c>
      <c r="N8094" t="s">
        <v>27</v>
      </c>
    </row>
    <row r="8095" spans="1:14" x14ac:dyDescent="0.25">
      <c r="A8095" t="s">
        <v>43</v>
      </c>
      <c r="B8095" t="s">
        <v>15</v>
      </c>
      <c r="C8095" t="s">
        <v>35</v>
      </c>
      <c r="D8095" t="s">
        <v>28</v>
      </c>
      <c r="E8095" t="s">
        <v>23</v>
      </c>
      <c r="F8095" t="s">
        <v>19</v>
      </c>
      <c r="G8095" s="1" t="str">
        <f t="shared" si="1759"/>
        <v>X</v>
      </c>
      <c r="H8095" s="1" t="str">
        <f t="shared" si="1759"/>
        <v>X</v>
      </c>
      <c r="I8095" s="1" t="str">
        <f t="shared" si="1759"/>
        <v>X</v>
      </c>
      <c r="J8095" s="1" t="str">
        <f t="shared" si="1759"/>
        <v>X</v>
      </c>
      <c r="K8095" s="1" t="str">
        <f t="shared" si="1759"/>
        <v>X</v>
      </c>
      <c r="L8095" s="1" t="str">
        <f t="shared" si="1759"/>
        <v>X</v>
      </c>
      <c r="M8095" s="1" t="str">
        <f t="shared" si="1759"/>
        <v>X</v>
      </c>
      <c r="N8095" t="s">
        <v>27</v>
      </c>
    </row>
    <row r="8096" spans="1:14" x14ac:dyDescent="0.25">
      <c r="A8096" t="s">
        <v>43</v>
      </c>
      <c r="B8096" t="s">
        <v>15</v>
      </c>
      <c r="C8096" t="s">
        <v>35</v>
      </c>
      <c r="D8096" t="s">
        <v>28</v>
      </c>
      <c r="E8096" t="s">
        <v>23</v>
      </c>
      <c r="F8096" t="s">
        <v>20</v>
      </c>
      <c r="G8096" s="2">
        <f>VALUE(274.66)</f>
        <v>274.66000000000003</v>
      </c>
      <c r="H8096" s="3">
        <f>VALUE(151.61)</f>
        <v>151.61000000000001</v>
      </c>
      <c r="I8096" s="4">
        <f>VALUE(2463)</f>
        <v>2463</v>
      </c>
      <c r="J8096" s="5">
        <f>VALUE(3333)</f>
        <v>3333</v>
      </c>
      <c r="K8096" s="1">
        <f>VALUE(3764)</f>
        <v>3764</v>
      </c>
      <c r="L8096" s="7">
        <f>VALUE(4332)</f>
        <v>4332</v>
      </c>
      <c r="M8096" s="1">
        <f>VALUE(5323)</f>
        <v>5323</v>
      </c>
      <c r="N8096" t="s">
        <v>25</v>
      </c>
    </row>
    <row r="8097" spans="1:14" x14ac:dyDescent="0.25">
      <c r="A8097" t="s">
        <v>43</v>
      </c>
      <c r="B8097" t="s">
        <v>15</v>
      </c>
      <c r="C8097" t="s">
        <v>35</v>
      </c>
      <c r="D8097" t="s">
        <v>28</v>
      </c>
      <c r="E8097" t="s">
        <v>26</v>
      </c>
      <c r="F8097" t="s">
        <v>15</v>
      </c>
      <c r="G8097" s="1" t="str">
        <f t="shared" ref="G8097:M8097" si="1760">"X"</f>
        <v>X</v>
      </c>
      <c r="H8097" s="1" t="str">
        <f t="shared" si="1760"/>
        <v>X</v>
      </c>
      <c r="I8097" s="1" t="str">
        <f t="shared" si="1760"/>
        <v>X</v>
      </c>
      <c r="J8097" s="1" t="str">
        <f t="shared" si="1760"/>
        <v>X</v>
      </c>
      <c r="K8097" s="1" t="str">
        <f t="shared" si="1760"/>
        <v>X</v>
      </c>
      <c r="L8097" s="1" t="str">
        <f t="shared" si="1760"/>
        <v>X</v>
      </c>
      <c r="M8097" s="1" t="str">
        <f t="shared" si="1760"/>
        <v>X</v>
      </c>
      <c r="N8097" t="s">
        <v>27</v>
      </c>
    </row>
    <row r="8098" spans="1:14" x14ac:dyDescent="0.25">
      <c r="A8098" t="s">
        <v>43</v>
      </c>
      <c r="B8098" t="s">
        <v>15</v>
      </c>
      <c r="C8098" t="s">
        <v>35</v>
      </c>
      <c r="D8098" t="s">
        <v>28</v>
      </c>
      <c r="E8098" t="s">
        <v>26</v>
      </c>
      <c r="F8098" t="s">
        <v>17</v>
      </c>
      <c r="G8098" s="1" t="str">
        <f t="shared" ref="G8098:M8100" si="1761">"..."</f>
        <v>...</v>
      </c>
      <c r="H8098" s="1" t="str">
        <f t="shared" si="1761"/>
        <v>...</v>
      </c>
      <c r="I8098" s="1" t="str">
        <f t="shared" si="1761"/>
        <v>...</v>
      </c>
      <c r="J8098" s="1" t="str">
        <f t="shared" si="1761"/>
        <v>...</v>
      </c>
      <c r="K8098" s="1" t="str">
        <f t="shared" si="1761"/>
        <v>...</v>
      </c>
      <c r="L8098" s="1" t="str">
        <f t="shared" si="1761"/>
        <v>...</v>
      </c>
      <c r="M8098" s="1" t="str">
        <f t="shared" si="1761"/>
        <v>...</v>
      </c>
      <c r="N8098" t="s">
        <v>30</v>
      </c>
    </row>
    <row r="8099" spans="1:14" x14ac:dyDescent="0.25">
      <c r="A8099" t="s">
        <v>43</v>
      </c>
      <c r="B8099" t="s">
        <v>15</v>
      </c>
      <c r="C8099" t="s">
        <v>35</v>
      </c>
      <c r="D8099" t="s">
        <v>28</v>
      </c>
      <c r="E8099" t="s">
        <v>26</v>
      </c>
      <c r="F8099" t="s">
        <v>18</v>
      </c>
      <c r="G8099" s="1" t="str">
        <f t="shared" si="1761"/>
        <v>...</v>
      </c>
      <c r="H8099" s="1" t="str">
        <f t="shared" si="1761"/>
        <v>...</v>
      </c>
      <c r="I8099" s="1" t="str">
        <f t="shared" si="1761"/>
        <v>...</v>
      </c>
      <c r="J8099" s="1" t="str">
        <f t="shared" si="1761"/>
        <v>...</v>
      </c>
      <c r="K8099" s="1" t="str">
        <f t="shared" si="1761"/>
        <v>...</v>
      </c>
      <c r="L8099" s="1" t="str">
        <f t="shared" si="1761"/>
        <v>...</v>
      </c>
      <c r="M8099" s="1" t="str">
        <f t="shared" si="1761"/>
        <v>...</v>
      </c>
      <c r="N8099" t="s">
        <v>30</v>
      </c>
    </row>
    <row r="8100" spans="1:14" x14ac:dyDescent="0.25">
      <c r="A8100" t="s">
        <v>43</v>
      </c>
      <c r="B8100" t="s">
        <v>15</v>
      </c>
      <c r="C8100" t="s">
        <v>35</v>
      </c>
      <c r="D8100" t="s">
        <v>28</v>
      </c>
      <c r="E8100" t="s">
        <v>26</v>
      </c>
      <c r="F8100" t="s">
        <v>19</v>
      </c>
      <c r="G8100" s="1" t="str">
        <f t="shared" si="1761"/>
        <v>...</v>
      </c>
      <c r="H8100" s="1" t="str">
        <f t="shared" si="1761"/>
        <v>...</v>
      </c>
      <c r="I8100" s="1" t="str">
        <f t="shared" si="1761"/>
        <v>...</v>
      </c>
      <c r="J8100" s="1" t="str">
        <f t="shared" si="1761"/>
        <v>...</v>
      </c>
      <c r="K8100" s="1" t="str">
        <f t="shared" si="1761"/>
        <v>...</v>
      </c>
      <c r="L8100" s="1" t="str">
        <f t="shared" si="1761"/>
        <v>...</v>
      </c>
      <c r="M8100" s="1" t="str">
        <f t="shared" si="1761"/>
        <v>...</v>
      </c>
      <c r="N8100" t="s">
        <v>30</v>
      </c>
    </row>
    <row r="8101" spans="1:14" x14ac:dyDescent="0.25">
      <c r="A8101" t="s">
        <v>43</v>
      </c>
      <c r="B8101" t="s">
        <v>15</v>
      </c>
      <c r="C8101" t="s">
        <v>35</v>
      </c>
      <c r="D8101" t="s">
        <v>28</v>
      </c>
      <c r="E8101" t="s">
        <v>26</v>
      </c>
      <c r="F8101" t="s">
        <v>20</v>
      </c>
      <c r="G8101" s="1" t="str">
        <f t="shared" ref="G8101:M8101" si="1762">"X"</f>
        <v>X</v>
      </c>
      <c r="H8101" s="1" t="str">
        <f t="shared" si="1762"/>
        <v>X</v>
      </c>
      <c r="I8101" s="1" t="str">
        <f t="shared" si="1762"/>
        <v>X</v>
      </c>
      <c r="J8101" s="1" t="str">
        <f t="shared" si="1762"/>
        <v>X</v>
      </c>
      <c r="K8101" s="1" t="str">
        <f t="shared" si="1762"/>
        <v>X</v>
      </c>
      <c r="L8101" s="1" t="str">
        <f t="shared" si="1762"/>
        <v>X</v>
      </c>
      <c r="M8101" s="1" t="str">
        <f t="shared" si="1762"/>
        <v>X</v>
      </c>
      <c r="N8101" t="s">
        <v>27</v>
      </c>
    </row>
    <row r="8102" spans="1:14" x14ac:dyDescent="0.25">
      <c r="A8102" t="s">
        <v>43</v>
      </c>
      <c r="B8102" t="s">
        <v>15</v>
      </c>
      <c r="C8102" t="s">
        <v>35</v>
      </c>
      <c r="D8102" t="s">
        <v>29</v>
      </c>
      <c r="E8102" t="s">
        <v>15</v>
      </c>
      <c r="F8102" t="s">
        <v>15</v>
      </c>
      <c r="G8102" s="2">
        <f>VALUE(468.29)</f>
        <v>468.29</v>
      </c>
      <c r="H8102" s="3">
        <f>VALUE(419.78)</f>
        <v>419.78</v>
      </c>
      <c r="I8102" s="4">
        <f>VALUE(2857)</f>
        <v>2857</v>
      </c>
      <c r="J8102" s="5">
        <f>VALUE(3187)</f>
        <v>3187</v>
      </c>
      <c r="K8102" s="6">
        <f>VALUE(4144)</f>
        <v>4144</v>
      </c>
      <c r="L8102" s="1">
        <f>VALUE(4436)</f>
        <v>4436</v>
      </c>
      <c r="M8102" s="8">
        <f>VALUE(4980)</f>
        <v>4980</v>
      </c>
      <c r="N8102" t="s">
        <v>25</v>
      </c>
    </row>
    <row r="8103" spans="1:14" x14ac:dyDescent="0.25">
      <c r="A8103" t="s">
        <v>43</v>
      </c>
      <c r="B8103" t="s">
        <v>15</v>
      </c>
      <c r="C8103" t="s">
        <v>35</v>
      </c>
      <c r="D8103" t="s">
        <v>29</v>
      </c>
      <c r="E8103" t="s">
        <v>15</v>
      </c>
      <c r="F8103" t="s">
        <v>17</v>
      </c>
      <c r="G8103" s="1" t="str">
        <f t="shared" ref="G8103:M8105" si="1763">"X"</f>
        <v>X</v>
      </c>
      <c r="H8103" s="1" t="str">
        <f t="shared" si="1763"/>
        <v>X</v>
      </c>
      <c r="I8103" s="1" t="str">
        <f t="shared" si="1763"/>
        <v>X</v>
      </c>
      <c r="J8103" s="1" t="str">
        <f t="shared" si="1763"/>
        <v>X</v>
      </c>
      <c r="K8103" s="1" t="str">
        <f t="shared" si="1763"/>
        <v>X</v>
      </c>
      <c r="L8103" s="1" t="str">
        <f t="shared" si="1763"/>
        <v>X</v>
      </c>
      <c r="M8103" s="1" t="str">
        <f t="shared" si="1763"/>
        <v>X</v>
      </c>
      <c r="N8103" t="s">
        <v>27</v>
      </c>
    </row>
    <row r="8104" spans="1:14" x14ac:dyDescent="0.25">
      <c r="A8104" t="s">
        <v>43</v>
      </c>
      <c r="B8104" t="s">
        <v>15</v>
      </c>
      <c r="C8104" t="s">
        <v>35</v>
      </c>
      <c r="D8104" t="s">
        <v>29</v>
      </c>
      <c r="E8104" t="s">
        <v>15</v>
      </c>
      <c r="F8104" t="s">
        <v>18</v>
      </c>
      <c r="G8104" s="1" t="str">
        <f t="shared" si="1763"/>
        <v>X</v>
      </c>
      <c r="H8104" s="1" t="str">
        <f t="shared" si="1763"/>
        <v>X</v>
      </c>
      <c r="I8104" s="1" t="str">
        <f t="shared" si="1763"/>
        <v>X</v>
      </c>
      <c r="J8104" s="1" t="str">
        <f t="shared" si="1763"/>
        <v>X</v>
      </c>
      <c r="K8104" s="1" t="str">
        <f t="shared" si="1763"/>
        <v>X</v>
      </c>
      <c r="L8104" s="1" t="str">
        <f t="shared" si="1763"/>
        <v>X</v>
      </c>
      <c r="M8104" s="1" t="str">
        <f t="shared" si="1763"/>
        <v>X</v>
      </c>
      <c r="N8104" t="s">
        <v>27</v>
      </c>
    </row>
    <row r="8105" spans="1:14" x14ac:dyDescent="0.25">
      <c r="A8105" t="s">
        <v>43</v>
      </c>
      <c r="B8105" t="s">
        <v>15</v>
      </c>
      <c r="C8105" t="s">
        <v>35</v>
      </c>
      <c r="D8105" t="s">
        <v>29</v>
      </c>
      <c r="E8105" t="s">
        <v>15</v>
      </c>
      <c r="F8105" t="s">
        <v>19</v>
      </c>
      <c r="G8105" s="1" t="str">
        <f t="shared" si="1763"/>
        <v>X</v>
      </c>
      <c r="H8105" s="1" t="str">
        <f t="shared" si="1763"/>
        <v>X</v>
      </c>
      <c r="I8105" s="1" t="str">
        <f t="shared" si="1763"/>
        <v>X</v>
      </c>
      <c r="J8105" s="1" t="str">
        <f t="shared" si="1763"/>
        <v>X</v>
      </c>
      <c r="K8105" s="1" t="str">
        <f t="shared" si="1763"/>
        <v>X</v>
      </c>
      <c r="L8105" s="1" t="str">
        <f t="shared" si="1763"/>
        <v>X</v>
      </c>
      <c r="M8105" s="1" t="str">
        <f t="shared" si="1763"/>
        <v>X</v>
      </c>
      <c r="N8105" t="s">
        <v>27</v>
      </c>
    </row>
    <row r="8106" spans="1:14" x14ac:dyDescent="0.25">
      <c r="A8106" t="s">
        <v>43</v>
      </c>
      <c r="B8106" t="s">
        <v>15</v>
      </c>
      <c r="C8106" t="s">
        <v>35</v>
      </c>
      <c r="D8106" t="s">
        <v>29</v>
      </c>
      <c r="E8106" t="s">
        <v>15</v>
      </c>
      <c r="F8106" t="s">
        <v>20</v>
      </c>
      <c r="G8106" s="2">
        <f>VALUE(336.65)</f>
        <v>336.65</v>
      </c>
      <c r="H8106" s="3">
        <f>VALUE(297.79)</f>
        <v>297.79000000000002</v>
      </c>
      <c r="I8106" s="1">
        <f>VALUE(2857)</f>
        <v>2857</v>
      </c>
      <c r="J8106" s="1">
        <f>VALUE(2857)</f>
        <v>2857</v>
      </c>
      <c r="K8106" s="1">
        <f>VALUE(3748)</f>
        <v>3748</v>
      </c>
      <c r="L8106" s="1">
        <f>VALUE(4434)</f>
        <v>4434</v>
      </c>
      <c r="M8106" s="1">
        <f>VALUE(4784)</f>
        <v>4784</v>
      </c>
      <c r="N8106" t="s">
        <v>25</v>
      </c>
    </row>
    <row r="8107" spans="1:14" x14ac:dyDescent="0.25">
      <c r="A8107" t="s">
        <v>43</v>
      </c>
      <c r="B8107" t="s">
        <v>15</v>
      </c>
      <c r="C8107" t="s">
        <v>35</v>
      </c>
      <c r="D8107" t="s">
        <v>29</v>
      </c>
      <c r="E8107" t="s">
        <v>21</v>
      </c>
      <c r="F8107" t="s">
        <v>15</v>
      </c>
      <c r="G8107" s="1" t="str">
        <f t="shared" ref="G8107:M8107" si="1764">"X"</f>
        <v>X</v>
      </c>
      <c r="H8107" s="1" t="str">
        <f t="shared" si="1764"/>
        <v>X</v>
      </c>
      <c r="I8107" s="1" t="str">
        <f t="shared" si="1764"/>
        <v>X</v>
      </c>
      <c r="J8107" s="1" t="str">
        <f t="shared" si="1764"/>
        <v>X</v>
      </c>
      <c r="K8107" s="1" t="str">
        <f t="shared" si="1764"/>
        <v>X</v>
      </c>
      <c r="L8107" s="1" t="str">
        <f t="shared" si="1764"/>
        <v>X</v>
      </c>
      <c r="M8107" s="1" t="str">
        <f t="shared" si="1764"/>
        <v>X</v>
      </c>
      <c r="N8107" t="s">
        <v>27</v>
      </c>
    </row>
    <row r="8108" spans="1:14" x14ac:dyDescent="0.25">
      <c r="A8108" t="s">
        <v>43</v>
      </c>
      <c r="B8108" t="s">
        <v>15</v>
      </c>
      <c r="C8108" t="s">
        <v>35</v>
      </c>
      <c r="D8108" t="s">
        <v>29</v>
      </c>
      <c r="E8108" t="s">
        <v>21</v>
      </c>
      <c r="F8108" t="s">
        <v>17</v>
      </c>
      <c r="G8108" s="1" t="str">
        <f t="shared" ref="G8108:M8109" si="1765">"..."</f>
        <v>...</v>
      </c>
      <c r="H8108" s="1" t="str">
        <f t="shared" si="1765"/>
        <v>...</v>
      </c>
      <c r="I8108" s="1" t="str">
        <f t="shared" si="1765"/>
        <v>...</v>
      </c>
      <c r="J8108" s="1" t="str">
        <f t="shared" si="1765"/>
        <v>...</v>
      </c>
      <c r="K8108" s="1" t="str">
        <f t="shared" si="1765"/>
        <v>...</v>
      </c>
      <c r="L8108" s="1" t="str">
        <f t="shared" si="1765"/>
        <v>...</v>
      </c>
      <c r="M8108" s="1" t="str">
        <f t="shared" si="1765"/>
        <v>...</v>
      </c>
      <c r="N8108" t="s">
        <v>30</v>
      </c>
    </row>
    <row r="8109" spans="1:14" x14ac:dyDescent="0.25">
      <c r="A8109" t="s">
        <v>43</v>
      </c>
      <c r="B8109" t="s">
        <v>15</v>
      </c>
      <c r="C8109" t="s">
        <v>35</v>
      </c>
      <c r="D8109" t="s">
        <v>29</v>
      </c>
      <c r="E8109" t="s">
        <v>21</v>
      </c>
      <c r="F8109" t="s">
        <v>18</v>
      </c>
      <c r="G8109" s="1" t="str">
        <f t="shared" si="1765"/>
        <v>...</v>
      </c>
      <c r="H8109" s="1" t="str">
        <f t="shared" si="1765"/>
        <v>...</v>
      </c>
      <c r="I8109" s="1" t="str">
        <f t="shared" si="1765"/>
        <v>...</v>
      </c>
      <c r="J8109" s="1" t="str">
        <f t="shared" si="1765"/>
        <v>...</v>
      </c>
      <c r="K8109" s="1" t="str">
        <f t="shared" si="1765"/>
        <v>...</v>
      </c>
      <c r="L8109" s="1" t="str">
        <f t="shared" si="1765"/>
        <v>...</v>
      </c>
      <c r="M8109" s="1" t="str">
        <f t="shared" si="1765"/>
        <v>...</v>
      </c>
      <c r="N8109" t="s">
        <v>30</v>
      </c>
    </row>
    <row r="8110" spans="1:14" x14ac:dyDescent="0.25">
      <c r="A8110" t="s">
        <v>43</v>
      </c>
      <c r="B8110" t="s">
        <v>15</v>
      </c>
      <c r="C8110" t="s">
        <v>35</v>
      </c>
      <c r="D8110" t="s">
        <v>29</v>
      </c>
      <c r="E8110" t="s">
        <v>21</v>
      </c>
      <c r="F8110" t="s">
        <v>19</v>
      </c>
      <c r="G8110" s="1" t="str">
        <f t="shared" ref="G8110:M8111" si="1766">"X"</f>
        <v>X</v>
      </c>
      <c r="H8110" s="1" t="str">
        <f t="shared" si="1766"/>
        <v>X</v>
      </c>
      <c r="I8110" s="1" t="str">
        <f t="shared" si="1766"/>
        <v>X</v>
      </c>
      <c r="J8110" s="1" t="str">
        <f t="shared" si="1766"/>
        <v>X</v>
      </c>
      <c r="K8110" s="1" t="str">
        <f t="shared" si="1766"/>
        <v>X</v>
      </c>
      <c r="L8110" s="1" t="str">
        <f t="shared" si="1766"/>
        <v>X</v>
      </c>
      <c r="M8110" s="1" t="str">
        <f t="shared" si="1766"/>
        <v>X</v>
      </c>
      <c r="N8110" t="s">
        <v>27</v>
      </c>
    </row>
    <row r="8111" spans="1:14" x14ac:dyDescent="0.25">
      <c r="A8111" t="s">
        <v>43</v>
      </c>
      <c r="B8111" t="s">
        <v>15</v>
      </c>
      <c r="C8111" t="s">
        <v>35</v>
      </c>
      <c r="D8111" t="s">
        <v>29</v>
      </c>
      <c r="E8111" t="s">
        <v>21</v>
      </c>
      <c r="F8111" t="s">
        <v>20</v>
      </c>
      <c r="G8111" s="1" t="str">
        <f t="shared" si="1766"/>
        <v>X</v>
      </c>
      <c r="H8111" s="1" t="str">
        <f t="shared" si="1766"/>
        <v>X</v>
      </c>
      <c r="I8111" s="1" t="str">
        <f t="shared" si="1766"/>
        <v>X</v>
      </c>
      <c r="J8111" s="1" t="str">
        <f t="shared" si="1766"/>
        <v>X</v>
      </c>
      <c r="K8111" s="1" t="str">
        <f t="shared" si="1766"/>
        <v>X</v>
      </c>
      <c r="L8111" s="1" t="str">
        <f t="shared" si="1766"/>
        <v>X</v>
      </c>
      <c r="M8111" s="1" t="str">
        <f t="shared" si="1766"/>
        <v>X</v>
      </c>
      <c r="N8111" t="s">
        <v>27</v>
      </c>
    </row>
    <row r="8112" spans="1:14" x14ac:dyDescent="0.25">
      <c r="A8112" t="s">
        <v>43</v>
      </c>
      <c r="B8112" t="s">
        <v>15</v>
      </c>
      <c r="C8112" t="s">
        <v>35</v>
      </c>
      <c r="D8112" t="s">
        <v>29</v>
      </c>
      <c r="E8112" t="s">
        <v>22</v>
      </c>
      <c r="F8112" t="s">
        <v>15</v>
      </c>
      <c r="G8112" s="2">
        <f>VALUE(359.55)</f>
        <v>359.55</v>
      </c>
      <c r="H8112" s="3">
        <f>VALUE(346.5)</f>
        <v>346.5</v>
      </c>
      <c r="I8112" s="4">
        <f>VALUE(2857)</f>
        <v>2857</v>
      </c>
      <c r="J8112" s="5">
        <f>VALUE(3070)</f>
        <v>3070</v>
      </c>
      <c r="K8112" s="6">
        <f>VALUE(4157)</f>
        <v>4157</v>
      </c>
      <c r="L8112" s="7">
        <f>VALUE(4434)</f>
        <v>4434</v>
      </c>
      <c r="M8112" s="8">
        <f>VALUE(5079)</f>
        <v>5079</v>
      </c>
      <c r="N8112" t="s">
        <v>24</v>
      </c>
    </row>
    <row r="8113" spans="1:14" x14ac:dyDescent="0.25">
      <c r="A8113" t="s">
        <v>43</v>
      </c>
      <c r="B8113" t="s">
        <v>15</v>
      </c>
      <c r="C8113" t="s">
        <v>35</v>
      </c>
      <c r="D8113" t="s">
        <v>29</v>
      </c>
      <c r="E8113" t="s">
        <v>22</v>
      </c>
      <c r="F8113" t="s">
        <v>17</v>
      </c>
      <c r="G8113" s="1" t="str">
        <f t="shared" ref="G8113:M8115" si="1767">"X"</f>
        <v>X</v>
      </c>
      <c r="H8113" s="1" t="str">
        <f t="shared" si="1767"/>
        <v>X</v>
      </c>
      <c r="I8113" s="1" t="str">
        <f t="shared" si="1767"/>
        <v>X</v>
      </c>
      <c r="J8113" s="1" t="str">
        <f t="shared" si="1767"/>
        <v>X</v>
      </c>
      <c r="K8113" s="1" t="str">
        <f t="shared" si="1767"/>
        <v>X</v>
      </c>
      <c r="L8113" s="1" t="str">
        <f t="shared" si="1767"/>
        <v>X</v>
      </c>
      <c r="M8113" s="1" t="str">
        <f t="shared" si="1767"/>
        <v>X</v>
      </c>
      <c r="N8113" t="s">
        <v>27</v>
      </c>
    </row>
    <row r="8114" spans="1:14" x14ac:dyDescent="0.25">
      <c r="A8114" t="s">
        <v>43</v>
      </c>
      <c r="B8114" t="s">
        <v>15</v>
      </c>
      <c r="C8114" t="s">
        <v>35</v>
      </c>
      <c r="D8114" t="s">
        <v>29</v>
      </c>
      <c r="E8114" t="s">
        <v>22</v>
      </c>
      <c r="F8114" t="s">
        <v>18</v>
      </c>
      <c r="G8114" s="1" t="str">
        <f t="shared" si="1767"/>
        <v>X</v>
      </c>
      <c r="H8114" s="1" t="str">
        <f t="shared" si="1767"/>
        <v>X</v>
      </c>
      <c r="I8114" s="1" t="str">
        <f t="shared" si="1767"/>
        <v>X</v>
      </c>
      <c r="J8114" s="1" t="str">
        <f t="shared" si="1767"/>
        <v>X</v>
      </c>
      <c r="K8114" s="1" t="str">
        <f t="shared" si="1767"/>
        <v>X</v>
      </c>
      <c r="L8114" s="1" t="str">
        <f t="shared" si="1767"/>
        <v>X</v>
      </c>
      <c r="M8114" s="1" t="str">
        <f t="shared" si="1767"/>
        <v>X</v>
      </c>
      <c r="N8114" t="s">
        <v>27</v>
      </c>
    </row>
    <row r="8115" spans="1:14" x14ac:dyDescent="0.25">
      <c r="A8115" t="s">
        <v>43</v>
      </c>
      <c r="B8115" t="s">
        <v>15</v>
      </c>
      <c r="C8115" t="s">
        <v>35</v>
      </c>
      <c r="D8115" t="s">
        <v>29</v>
      </c>
      <c r="E8115" t="s">
        <v>22</v>
      </c>
      <c r="F8115" t="s">
        <v>19</v>
      </c>
      <c r="G8115" s="1" t="str">
        <f t="shared" si="1767"/>
        <v>X</v>
      </c>
      <c r="H8115" s="1" t="str">
        <f t="shared" si="1767"/>
        <v>X</v>
      </c>
      <c r="I8115" s="1" t="str">
        <f t="shared" si="1767"/>
        <v>X</v>
      </c>
      <c r="J8115" s="1" t="str">
        <f t="shared" si="1767"/>
        <v>X</v>
      </c>
      <c r="K8115" s="1" t="str">
        <f t="shared" si="1767"/>
        <v>X</v>
      </c>
      <c r="L8115" s="1" t="str">
        <f t="shared" si="1767"/>
        <v>X</v>
      </c>
      <c r="M8115" s="1" t="str">
        <f t="shared" si="1767"/>
        <v>X</v>
      </c>
      <c r="N8115" t="s">
        <v>27</v>
      </c>
    </row>
    <row r="8116" spans="1:14" x14ac:dyDescent="0.25">
      <c r="A8116" t="s">
        <v>43</v>
      </c>
      <c r="B8116" t="s">
        <v>15</v>
      </c>
      <c r="C8116" t="s">
        <v>35</v>
      </c>
      <c r="D8116" t="s">
        <v>29</v>
      </c>
      <c r="E8116" t="s">
        <v>22</v>
      </c>
      <c r="F8116" t="s">
        <v>20</v>
      </c>
      <c r="G8116" s="2">
        <f>VALUE(248.98)</f>
        <v>248.98</v>
      </c>
      <c r="H8116" s="3">
        <f>VALUE(236.66)</f>
        <v>236.66</v>
      </c>
      <c r="I8116" s="1">
        <f>VALUE(2857)</f>
        <v>2857</v>
      </c>
      <c r="J8116" s="1">
        <f>VALUE(2857)</f>
        <v>2857</v>
      </c>
      <c r="K8116" s="1">
        <f>VALUE(3748)</f>
        <v>3748</v>
      </c>
      <c r="L8116" s="1">
        <f>VALUE(4410)</f>
        <v>4410</v>
      </c>
      <c r="M8116" s="1">
        <f>VALUE(4667)</f>
        <v>4667</v>
      </c>
      <c r="N8116" t="s">
        <v>25</v>
      </c>
    </row>
    <row r="8117" spans="1:14" x14ac:dyDescent="0.25">
      <c r="A8117" t="s">
        <v>43</v>
      </c>
      <c r="B8117" t="s">
        <v>15</v>
      </c>
      <c r="C8117" t="s">
        <v>35</v>
      </c>
      <c r="D8117" t="s">
        <v>29</v>
      </c>
      <c r="E8117" t="s">
        <v>23</v>
      </c>
      <c r="F8117" t="s">
        <v>15</v>
      </c>
      <c r="G8117" s="1" t="str">
        <f t="shared" ref="G8117:M8117" si="1768">"X"</f>
        <v>X</v>
      </c>
      <c r="H8117" s="1" t="str">
        <f t="shared" si="1768"/>
        <v>X</v>
      </c>
      <c r="I8117" s="1" t="str">
        <f t="shared" si="1768"/>
        <v>X</v>
      </c>
      <c r="J8117" s="1" t="str">
        <f t="shared" si="1768"/>
        <v>X</v>
      </c>
      <c r="K8117" s="1" t="str">
        <f t="shared" si="1768"/>
        <v>X</v>
      </c>
      <c r="L8117" s="1" t="str">
        <f t="shared" si="1768"/>
        <v>X</v>
      </c>
      <c r="M8117" s="1" t="str">
        <f t="shared" si="1768"/>
        <v>X</v>
      </c>
      <c r="N8117" t="s">
        <v>27</v>
      </c>
    </row>
    <row r="8118" spans="1:14" x14ac:dyDescent="0.25">
      <c r="A8118" t="s">
        <v>43</v>
      </c>
      <c r="B8118" t="s">
        <v>15</v>
      </c>
      <c r="C8118" t="s">
        <v>35</v>
      </c>
      <c r="D8118" t="s">
        <v>29</v>
      </c>
      <c r="E8118" t="s">
        <v>23</v>
      </c>
      <c r="F8118" t="s">
        <v>17</v>
      </c>
      <c r="G8118" s="1" t="str">
        <f t="shared" ref="G8118:M8119" si="1769">"..."</f>
        <v>...</v>
      </c>
      <c r="H8118" s="1" t="str">
        <f t="shared" si="1769"/>
        <v>...</v>
      </c>
      <c r="I8118" s="1" t="str">
        <f t="shared" si="1769"/>
        <v>...</v>
      </c>
      <c r="J8118" s="1" t="str">
        <f t="shared" si="1769"/>
        <v>...</v>
      </c>
      <c r="K8118" s="1" t="str">
        <f t="shared" si="1769"/>
        <v>...</v>
      </c>
      <c r="L8118" s="1" t="str">
        <f t="shared" si="1769"/>
        <v>...</v>
      </c>
      <c r="M8118" s="1" t="str">
        <f t="shared" si="1769"/>
        <v>...</v>
      </c>
      <c r="N8118" t="s">
        <v>30</v>
      </c>
    </row>
    <row r="8119" spans="1:14" x14ac:dyDescent="0.25">
      <c r="A8119" t="s">
        <v>43</v>
      </c>
      <c r="B8119" t="s">
        <v>15</v>
      </c>
      <c r="C8119" t="s">
        <v>35</v>
      </c>
      <c r="D8119" t="s">
        <v>29</v>
      </c>
      <c r="E8119" t="s">
        <v>23</v>
      </c>
      <c r="F8119" t="s">
        <v>18</v>
      </c>
      <c r="G8119" s="1" t="str">
        <f t="shared" si="1769"/>
        <v>...</v>
      </c>
      <c r="H8119" s="1" t="str">
        <f t="shared" si="1769"/>
        <v>...</v>
      </c>
      <c r="I8119" s="1" t="str">
        <f t="shared" si="1769"/>
        <v>...</v>
      </c>
      <c r="J8119" s="1" t="str">
        <f t="shared" si="1769"/>
        <v>...</v>
      </c>
      <c r="K8119" s="1" t="str">
        <f t="shared" si="1769"/>
        <v>...</v>
      </c>
      <c r="L8119" s="1" t="str">
        <f t="shared" si="1769"/>
        <v>...</v>
      </c>
      <c r="M8119" s="1" t="str">
        <f t="shared" si="1769"/>
        <v>...</v>
      </c>
      <c r="N8119" t="s">
        <v>30</v>
      </c>
    </row>
    <row r="8120" spans="1:14" x14ac:dyDescent="0.25">
      <c r="A8120" t="s">
        <v>43</v>
      </c>
      <c r="B8120" t="s">
        <v>15</v>
      </c>
      <c r="C8120" t="s">
        <v>35</v>
      </c>
      <c r="D8120" t="s">
        <v>29</v>
      </c>
      <c r="E8120" t="s">
        <v>23</v>
      </c>
      <c r="F8120" t="s">
        <v>19</v>
      </c>
      <c r="G8120" s="1" t="str">
        <f t="shared" ref="G8120:M8122" si="1770">"X"</f>
        <v>X</v>
      </c>
      <c r="H8120" s="1" t="str">
        <f t="shared" si="1770"/>
        <v>X</v>
      </c>
      <c r="I8120" s="1" t="str">
        <f t="shared" si="1770"/>
        <v>X</v>
      </c>
      <c r="J8120" s="1" t="str">
        <f t="shared" si="1770"/>
        <v>X</v>
      </c>
      <c r="K8120" s="1" t="str">
        <f t="shared" si="1770"/>
        <v>X</v>
      </c>
      <c r="L8120" s="1" t="str">
        <f t="shared" si="1770"/>
        <v>X</v>
      </c>
      <c r="M8120" s="1" t="str">
        <f t="shared" si="1770"/>
        <v>X</v>
      </c>
      <c r="N8120" t="s">
        <v>27</v>
      </c>
    </row>
    <row r="8121" spans="1:14" x14ac:dyDescent="0.25">
      <c r="A8121" t="s">
        <v>43</v>
      </c>
      <c r="B8121" t="s">
        <v>15</v>
      </c>
      <c r="C8121" t="s">
        <v>35</v>
      </c>
      <c r="D8121" t="s">
        <v>29</v>
      </c>
      <c r="E8121" t="s">
        <v>23</v>
      </c>
      <c r="F8121" t="s">
        <v>20</v>
      </c>
      <c r="G8121" s="1" t="str">
        <f t="shared" si="1770"/>
        <v>X</v>
      </c>
      <c r="H8121" s="1" t="str">
        <f t="shared" si="1770"/>
        <v>X</v>
      </c>
      <c r="I8121" s="1" t="str">
        <f t="shared" si="1770"/>
        <v>X</v>
      </c>
      <c r="J8121" s="1" t="str">
        <f t="shared" si="1770"/>
        <v>X</v>
      </c>
      <c r="K8121" s="1" t="str">
        <f t="shared" si="1770"/>
        <v>X</v>
      </c>
      <c r="L8121" s="1" t="str">
        <f t="shared" si="1770"/>
        <v>X</v>
      </c>
      <c r="M8121" s="1" t="str">
        <f t="shared" si="1770"/>
        <v>X</v>
      </c>
      <c r="N8121" t="s">
        <v>27</v>
      </c>
    </row>
    <row r="8122" spans="1:14" x14ac:dyDescent="0.25">
      <c r="A8122" t="s">
        <v>43</v>
      </c>
      <c r="B8122" t="s">
        <v>15</v>
      </c>
      <c r="C8122" t="s">
        <v>35</v>
      </c>
      <c r="D8122" t="s">
        <v>29</v>
      </c>
      <c r="E8122" t="s">
        <v>26</v>
      </c>
      <c r="F8122" t="s">
        <v>15</v>
      </c>
      <c r="G8122" s="1" t="str">
        <f t="shared" si="1770"/>
        <v>X</v>
      </c>
      <c r="H8122" s="1" t="str">
        <f t="shared" si="1770"/>
        <v>X</v>
      </c>
      <c r="I8122" s="1" t="str">
        <f t="shared" si="1770"/>
        <v>X</v>
      </c>
      <c r="J8122" s="1" t="str">
        <f t="shared" si="1770"/>
        <v>X</v>
      </c>
      <c r="K8122" s="1" t="str">
        <f t="shared" si="1770"/>
        <v>X</v>
      </c>
      <c r="L8122" s="1" t="str">
        <f t="shared" si="1770"/>
        <v>X</v>
      </c>
      <c r="M8122" s="1" t="str">
        <f t="shared" si="1770"/>
        <v>X</v>
      </c>
      <c r="N8122" t="s">
        <v>27</v>
      </c>
    </row>
    <row r="8123" spans="1:14" x14ac:dyDescent="0.25">
      <c r="A8123" t="s">
        <v>43</v>
      </c>
      <c r="B8123" t="s">
        <v>15</v>
      </c>
      <c r="C8123" t="s">
        <v>35</v>
      </c>
      <c r="D8123" t="s">
        <v>29</v>
      </c>
      <c r="E8123" t="s">
        <v>26</v>
      </c>
      <c r="F8123" t="s">
        <v>17</v>
      </c>
      <c r="G8123" s="1" t="str">
        <f t="shared" ref="G8123:M8125" si="1771">"..."</f>
        <v>...</v>
      </c>
      <c r="H8123" s="1" t="str">
        <f t="shared" si="1771"/>
        <v>...</v>
      </c>
      <c r="I8123" s="1" t="str">
        <f t="shared" si="1771"/>
        <v>...</v>
      </c>
      <c r="J8123" s="1" t="str">
        <f t="shared" si="1771"/>
        <v>...</v>
      </c>
      <c r="K8123" s="1" t="str">
        <f t="shared" si="1771"/>
        <v>...</v>
      </c>
      <c r="L8123" s="1" t="str">
        <f t="shared" si="1771"/>
        <v>...</v>
      </c>
      <c r="M8123" s="1" t="str">
        <f t="shared" si="1771"/>
        <v>...</v>
      </c>
      <c r="N8123" t="s">
        <v>30</v>
      </c>
    </row>
    <row r="8124" spans="1:14" x14ac:dyDescent="0.25">
      <c r="A8124" t="s">
        <v>43</v>
      </c>
      <c r="B8124" t="s">
        <v>15</v>
      </c>
      <c r="C8124" t="s">
        <v>35</v>
      </c>
      <c r="D8124" t="s">
        <v>29</v>
      </c>
      <c r="E8124" t="s">
        <v>26</v>
      </c>
      <c r="F8124" t="s">
        <v>18</v>
      </c>
      <c r="G8124" s="1" t="str">
        <f t="shared" si="1771"/>
        <v>...</v>
      </c>
      <c r="H8124" s="1" t="str">
        <f t="shared" si="1771"/>
        <v>...</v>
      </c>
      <c r="I8124" s="1" t="str">
        <f t="shared" si="1771"/>
        <v>...</v>
      </c>
      <c r="J8124" s="1" t="str">
        <f t="shared" si="1771"/>
        <v>...</v>
      </c>
      <c r="K8124" s="1" t="str">
        <f t="shared" si="1771"/>
        <v>...</v>
      </c>
      <c r="L8124" s="1" t="str">
        <f t="shared" si="1771"/>
        <v>...</v>
      </c>
      <c r="M8124" s="1" t="str">
        <f t="shared" si="1771"/>
        <v>...</v>
      </c>
      <c r="N8124" t="s">
        <v>30</v>
      </c>
    </row>
    <row r="8125" spans="1:14" x14ac:dyDescent="0.25">
      <c r="A8125" t="s">
        <v>43</v>
      </c>
      <c r="B8125" t="s">
        <v>15</v>
      </c>
      <c r="C8125" t="s">
        <v>35</v>
      </c>
      <c r="D8125" t="s">
        <v>29</v>
      </c>
      <c r="E8125" t="s">
        <v>26</v>
      </c>
      <c r="F8125" t="s">
        <v>19</v>
      </c>
      <c r="G8125" s="1" t="str">
        <f t="shared" si="1771"/>
        <v>...</v>
      </c>
      <c r="H8125" s="1" t="str">
        <f t="shared" si="1771"/>
        <v>...</v>
      </c>
      <c r="I8125" s="1" t="str">
        <f t="shared" si="1771"/>
        <v>...</v>
      </c>
      <c r="J8125" s="1" t="str">
        <f t="shared" si="1771"/>
        <v>...</v>
      </c>
      <c r="K8125" s="1" t="str">
        <f t="shared" si="1771"/>
        <v>...</v>
      </c>
      <c r="L8125" s="1" t="str">
        <f t="shared" si="1771"/>
        <v>...</v>
      </c>
      <c r="M8125" s="1" t="str">
        <f t="shared" si="1771"/>
        <v>...</v>
      </c>
      <c r="N8125" t="s">
        <v>30</v>
      </c>
    </row>
    <row r="8126" spans="1:14" x14ac:dyDescent="0.25">
      <c r="A8126" t="s">
        <v>43</v>
      </c>
      <c r="B8126" t="s">
        <v>15</v>
      </c>
      <c r="C8126" t="s">
        <v>35</v>
      </c>
      <c r="D8126" t="s">
        <v>29</v>
      </c>
      <c r="E8126" t="s">
        <v>26</v>
      </c>
      <c r="F8126" t="s">
        <v>20</v>
      </c>
      <c r="G8126" s="1" t="str">
        <f t="shared" ref="G8126:M8126" si="1772">"X"</f>
        <v>X</v>
      </c>
      <c r="H8126" s="1" t="str">
        <f t="shared" si="1772"/>
        <v>X</v>
      </c>
      <c r="I8126" s="1" t="str">
        <f t="shared" si="1772"/>
        <v>X</v>
      </c>
      <c r="J8126" s="1" t="str">
        <f t="shared" si="1772"/>
        <v>X</v>
      </c>
      <c r="K8126" s="1" t="str">
        <f t="shared" si="1772"/>
        <v>X</v>
      </c>
      <c r="L8126" s="1" t="str">
        <f t="shared" si="1772"/>
        <v>X</v>
      </c>
      <c r="M8126" s="1" t="str">
        <f t="shared" si="1772"/>
        <v>X</v>
      </c>
      <c r="N8126" t="s">
        <v>27</v>
      </c>
    </row>
    <row r="8127" spans="1:14" x14ac:dyDescent="0.25">
      <c r="A8127" t="s">
        <v>43</v>
      </c>
      <c r="B8127" t="s">
        <v>15</v>
      </c>
      <c r="C8127" t="s">
        <v>35</v>
      </c>
      <c r="D8127" t="s">
        <v>31</v>
      </c>
      <c r="E8127" t="s">
        <v>15</v>
      </c>
      <c r="F8127" t="s">
        <v>15</v>
      </c>
      <c r="G8127" s="2">
        <f>VALUE(562.66)</f>
        <v>562.66</v>
      </c>
      <c r="H8127" s="3">
        <f>VALUE(483.64)</f>
        <v>483.64</v>
      </c>
      <c r="I8127" s="4">
        <f>VALUE(3279)</f>
        <v>3279</v>
      </c>
      <c r="J8127" s="5">
        <f>VALUE(3691)</f>
        <v>3691</v>
      </c>
      <c r="K8127" s="1">
        <f>VALUE(3916)</f>
        <v>3916</v>
      </c>
      <c r="L8127" s="7">
        <f>VALUE(4325)</f>
        <v>4325</v>
      </c>
      <c r="M8127" s="8">
        <f>VALUE(5367)</f>
        <v>5367</v>
      </c>
      <c r="N8127" t="s">
        <v>25</v>
      </c>
    </row>
    <row r="8128" spans="1:14" x14ac:dyDescent="0.25">
      <c r="A8128" t="s">
        <v>43</v>
      </c>
      <c r="B8128" t="s">
        <v>15</v>
      </c>
      <c r="C8128" t="s">
        <v>35</v>
      </c>
      <c r="D8128" t="s">
        <v>31</v>
      </c>
      <c r="E8128" t="s">
        <v>15</v>
      </c>
      <c r="F8128" t="s">
        <v>17</v>
      </c>
      <c r="G8128" s="1" t="str">
        <f t="shared" ref="G8128:M8128" si="1773">"..."</f>
        <v>...</v>
      </c>
      <c r="H8128" s="1" t="str">
        <f t="shared" si="1773"/>
        <v>...</v>
      </c>
      <c r="I8128" s="1" t="str">
        <f t="shared" si="1773"/>
        <v>...</v>
      </c>
      <c r="J8128" s="1" t="str">
        <f t="shared" si="1773"/>
        <v>...</v>
      </c>
      <c r="K8128" s="1" t="str">
        <f t="shared" si="1773"/>
        <v>...</v>
      </c>
      <c r="L8128" s="1" t="str">
        <f t="shared" si="1773"/>
        <v>...</v>
      </c>
      <c r="M8128" s="1" t="str">
        <f t="shared" si="1773"/>
        <v>...</v>
      </c>
      <c r="N8128" t="s">
        <v>30</v>
      </c>
    </row>
    <row r="8129" spans="1:14" x14ac:dyDescent="0.25">
      <c r="A8129" t="s">
        <v>43</v>
      </c>
      <c r="B8129" t="s">
        <v>15</v>
      </c>
      <c r="C8129" t="s">
        <v>35</v>
      </c>
      <c r="D8129" t="s">
        <v>31</v>
      </c>
      <c r="E8129" t="s">
        <v>15</v>
      </c>
      <c r="F8129" t="s">
        <v>18</v>
      </c>
      <c r="G8129" s="1" t="str">
        <f t="shared" ref="G8129:M8130" si="1774">"X"</f>
        <v>X</v>
      </c>
      <c r="H8129" s="1" t="str">
        <f t="shared" si="1774"/>
        <v>X</v>
      </c>
      <c r="I8129" s="1" t="str">
        <f t="shared" si="1774"/>
        <v>X</v>
      </c>
      <c r="J8129" s="1" t="str">
        <f t="shared" si="1774"/>
        <v>X</v>
      </c>
      <c r="K8129" s="1" t="str">
        <f t="shared" si="1774"/>
        <v>X</v>
      </c>
      <c r="L8129" s="1" t="str">
        <f t="shared" si="1774"/>
        <v>X</v>
      </c>
      <c r="M8129" s="1" t="str">
        <f t="shared" si="1774"/>
        <v>X</v>
      </c>
      <c r="N8129" t="s">
        <v>27</v>
      </c>
    </row>
    <row r="8130" spans="1:14" x14ac:dyDescent="0.25">
      <c r="A8130" t="s">
        <v>43</v>
      </c>
      <c r="B8130" t="s">
        <v>15</v>
      </c>
      <c r="C8130" t="s">
        <v>35</v>
      </c>
      <c r="D8130" t="s">
        <v>31</v>
      </c>
      <c r="E8130" t="s">
        <v>15</v>
      </c>
      <c r="F8130" t="s">
        <v>19</v>
      </c>
      <c r="G8130" s="1" t="str">
        <f t="shared" si="1774"/>
        <v>X</v>
      </c>
      <c r="H8130" s="1" t="str">
        <f t="shared" si="1774"/>
        <v>X</v>
      </c>
      <c r="I8130" s="1" t="str">
        <f t="shared" si="1774"/>
        <v>X</v>
      </c>
      <c r="J8130" s="1" t="str">
        <f t="shared" si="1774"/>
        <v>X</v>
      </c>
      <c r="K8130" s="1" t="str">
        <f t="shared" si="1774"/>
        <v>X</v>
      </c>
      <c r="L8130" s="1" t="str">
        <f t="shared" si="1774"/>
        <v>X</v>
      </c>
      <c r="M8130" s="1" t="str">
        <f t="shared" si="1774"/>
        <v>X</v>
      </c>
      <c r="N8130" t="s">
        <v>27</v>
      </c>
    </row>
    <row r="8131" spans="1:14" x14ac:dyDescent="0.25">
      <c r="A8131" t="s">
        <v>43</v>
      </c>
      <c r="B8131" t="s">
        <v>15</v>
      </c>
      <c r="C8131" t="s">
        <v>35</v>
      </c>
      <c r="D8131" t="s">
        <v>31</v>
      </c>
      <c r="E8131" t="s">
        <v>15</v>
      </c>
      <c r="F8131" t="s">
        <v>20</v>
      </c>
      <c r="G8131" s="2">
        <f>VALUE(393.2)</f>
        <v>393.2</v>
      </c>
      <c r="H8131" s="3">
        <f>VALUE(313.33)</f>
        <v>313.33</v>
      </c>
      <c r="I8131" s="4">
        <f>VALUE(3102)</f>
        <v>3102</v>
      </c>
      <c r="J8131" s="5">
        <f>VALUE(3586)</f>
        <v>3586</v>
      </c>
      <c r="K8131" s="6">
        <f>VALUE(3870)</f>
        <v>3870</v>
      </c>
      <c r="L8131" s="7">
        <f>VALUE(4554)</f>
        <v>4554</v>
      </c>
      <c r="M8131" s="1">
        <f>VALUE(5412)</f>
        <v>5412</v>
      </c>
      <c r="N8131" t="s">
        <v>25</v>
      </c>
    </row>
    <row r="8132" spans="1:14" x14ac:dyDescent="0.25">
      <c r="A8132" t="s">
        <v>43</v>
      </c>
      <c r="B8132" t="s">
        <v>15</v>
      </c>
      <c r="C8132" t="s">
        <v>35</v>
      </c>
      <c r="D8132" t="s">
        <v>31</v>
      </c>
      <c r="E8132" t="s">
        <v>21</v>
      </c>
      <c r="F8132" t="s">
        <v>15</v>
      </c>
      <c r="G8132" s="1" t="str">
        <f t="shared" ref="G8132:M8132" si="1775">"X"</f>
        <v>X</v>
      </c>
      <c r="H8132" s="1" t="str">
        <f t="shared" si="1775"/>
        <v>X</v>
      </c>
      <c r="I8132" s="1" t="str">
        <f t="shared" si="1775"/>
        <v>X</v>
      </c>
      <c r="J8132" s="1" t="str">
        <f t="shared" si="1775"/>
        <v>X</v>
      </c>
      <c r="K8132" s="1" t="str">
        <f t="shared" si="1775"/>
        <v>X</v>
      </c>
      <c r="L8132" s="1" t="str">
        <f t="shared" si="1775"/>
        <v>X</v>
      </c>
      <c r="M8132" s="1" t="str">
        <f t="shared" si="1775"/>
        <v>X</v>
      </c>
      <c r="N8132" t="s">
        <v>27</v>
      </c>
    </row>
    <row r="8133" spans="1:14" x14ac:dyDescent="0.25">
      <c r="A8133" t="s">
        <v>43</v>
      </c>
      <c r="B8133" t="s">
        <v>15</v>
      </c>
      <c r="C8133" t="s">
        <v>35</v>
      </c>
      <c r="D8133" t="s">
        <v>31</v>
      </c>
      <c r="E8133" t="s">
        <v>21</v>
      </c>
      <c r="F8133" t="s">
        <v>17</v>
      </c>
      <c r="G8133" s="1" t="str">
        <f t="shared" ref="G8133:M8133" si="1776">"..."</f>
        <v>...</v>
      </c>
      <c r="H8133" s="1" t="str">
        <f t="shared" si="1776"/>
        <v>...</v>
      </c>
      <c r="I8133" s="1" t="str">
        <f t="shared" si="1776"/>
        <v>...</v>
      </c>
      <c r="J8133" s="1" t="str">
        <f t="shared" si="1776"/>
        <v>...</v>
      </c>
      <c r="K8133" s="1" t="str">
        <f t="shared" si="1776"/>
        <v>...</v>
      </c>
      <c r="L8133" s="1" t="str">
        <f t="shared" si="1776"/>
        <v>...</v>
      </c>
      <c r="M8133" s="1" t="str">
        <f t="shared" si="1776"/>
        <v>...</v>
      </c>
      <c r="N8133" t="s">
        <v>30</v>
      </c>
    </row>
    <row r="8134" spans="1:14" x14ac:dyDescent="0.25">
      <c r="A8134" t="s">
        <v>43</v>
      </c>
      <c r="B8134" t="s">
        <v>15</v>
      </c>
      <c r="C8134" t="s">
        <v>35</v>
      </c>
      <c r="D8134" t="s">
        <v>31</v>
      </c>
      <c r="E8134" t="s">
        <v>21</v>
      </c>
      <c r="F8134" t="s">
        <v>18</v>
      </c>
      <c r="G8134" s="1" t="str">
        <f t="shared" ref="G8134:M8136" si="1777">"X"</f>
        <v>X</v>
      </c>
      <c r="H8134" s="1" t="str">
        <f t="shared" si="1777"/>
        <v>X</v>
      </c>
      <c r="I8134" s="1" t="str">
        <f t="shared" si="1777"/>
        <v>X</v>
      </c>
      <c r="J8134" s="1" t="str">
        <f t="shared" si="1777"/>
        <v>X</v>
      </c>
      <c r="K8134" s="1" t="str">
        <f t="shared" si="1777"/>
        <v>X</v>
      </c>
      <c r="L8134" s="1" t="str">
        <f t="shared" si="1777"/>
        <v>X</v>
      </c>
      <c r="M8134" s="1" t="str">
        <f t="shared" si="1777"/>
        <v>X</v>
      </c>
      <c r="N8134" t="s">
        <v>27</v>
      </c>
    </row>
    <row r="8135" spans="1:14" x14ac:dyDescent="0.25">
      <c r="A8135" t="s">
        <v>43</v>
      </c>
      <c r="B8135" t="s">
        <v>15</v>
      </c>
      <c r="C8135" t="s">
        <v>35</v>
      </c>
      <c r="D8135" t="s">
        <v>31</v>
      </c>
      <c r="E8135" t="s">
        <v>21</v>
      </c>
      <c r="F8135" t="s">
        <v>19</v>
      </c>
      <c r="G8135" s="1" t="str">
        <f t="shared" si="1777"/>
        <v>X</v>
      </c>
      <c r="H8135" s="1" t="str">
        <f t="shared" si="1777"/>
        <v>X</v>
      </c>
      <c r="I8135" s="1" t="str">
        <f t="shared" si="1777"/>
        <v>X</v>
      </c>
      <c r="J8135" s="1" t="str">
        <f t="shared" si="1777"/>
        <v>X</v>
      </c>
      <c r="K8135" s="1" t="str">
        <f t="shared" si="1777"/>
        <v>X</v>
      </c>
      <c r="L8135" s="1" t="str">
        <f t="shared" si="1777"/>
        <v>X</v>
      </c>
      <c r="M8135" s="1" t="str">
        <f t="shared" si="1777"/>
        <v>X</v>
      </c>
      <c r="N8135" t="s">
        <v>27</v>
      </c>
    </row>
    <row r="8136" spans="1:14" x14ac:dyDescent="0.25">
      <c r="A8136" t="s">
        <v>43</v>
      </c>
      <c r="B8136" t="s">
        <v>15</v>
      </c>
      <c r="C8136" t="s">
        <v>35</v>
      </c>
      <c r="D8136" t="s">
        <v>31</v>
      </c>
      <c r="E8136" t="s">
        <v>21</v>
      </c>
      <c r="F8136" t="s">
        <v>20</v>
      </c>
      <c r="G8136" s="1" t="str">
        <f t="shared" si="1777"/>
        <v>X</v>
      </c>
      <c r="H8136" s="1" t="str">
        <f t="shared" si="1777"/>
        <v>X</v>
      </c>
      <c r="I8136" s="1" t="str">
        <f t="shared" si="1777"/>
        <v>X</v>
      </c>
      <c r="J8136" s="1" t="str">
        <f t="shared" si="1777"/>
        <v>X</v>
      </c>
      <c r="K8136" s="1" t="str">
        <f t="shared" si="1777"/>
        <v>X</v>
      </c>
      <c r="L8136" s="1" t="str">
        <f t="shared" si="1777"/>
        <v>X</v>
      </c>
      <c r="M8136" s="1" t="str">
        <f t="shared" si="1777"/>
        <v>X</v>
      </c>
      <c r="N8136" t="s">
        <v>27</v>
      </c>
    </row>
    <row r="8137" spans="1:14" x14ac:dyDescent="0.25">
      <c r="A8137" t="s">
        <v>43</v>
      </c>
      <c r="B8137" t="s">
        <v>15</v>
      </c>
      <c r="C8137" t="s">
        <v>35</v>
      </c>
      <c r="D8137" t="s">
        <v>31</v>
      </c>
      <c r="E8137" t="s">
        <v>22</v>
      </c>
      <c r="F8137" t="s">
        <v>15</v>
      </c>
      <c r="G8137" s="2">
        <f>VALUE(148.13)</f>
        <v>148.13</v>
      </c>
      <c r="H8137" s="3">
        <f>VALUE(135.53)</f>
        <v>135.53</v>
      </c>
      <c r="I8137" s="1">
        <f>VALUE(3413)</f>
        <v>3413</v>
      </c>
      <c r="J8137" s="1">
        <f>VALUE(3786)</f>
        <v>3786</v>
      </c>
      <c r="K8137" s="1">
        <f>VALUE(4088)</f>
        <v>4088</v>
      </c>
      <c r="L8137" s="1">
        <f>VALUE(4535)</f>
        <v>4535</v>
      </c>
      <c r="M8137" s="1">
        <f>VALUE(5371)</f>
        <v>5371</v>
      </c>
      <c r="N8137" t="s">
        <v>25</v>
      </c>
    </row>
    <row r="8138" spans="1:14" x14ac:dyDescent="0.25">
      <c r="A8138" t="s">
        <v>43</v>
      </c>
      <c r="B8138" t="s">
        <v>15</v>
      </c>
      <c r="C8138" t="s">
        <v>35</v>
      </c>
      <c r="D8138" t="s">
        <v>31</v>
      </c>
      <c r="E8138" t="s">
        <v>22</v>
      </c>
      <c r="F8138" t="s">
        <v>17</v>
      </c>
      <c r="G8138" s="1" t="str">
        <f t="shared" ref="G8138:M8138" si="1778">"..."</f>
        <v>...</v>
      </c>
      <c r="H8138" s="1" t="str">
        <f t="shared" si="1778"/>
        <v>...</v>
      </c>
      <c r="I8138" s="1" t="str">
        <f t="shared" si="1778"/>
        <v>...</v>
      </c>
      <c r="J8138" s="1" t="str">
        <f t="shared" si="1778"/>
        <v>...</v>
      </c>
      <c r="K8138" s="1" t="str">
        <f t="shared" si="1778"/>
        <v>...</v>
      </c>
      <c r="L8138" s="1" t="str">
        <f t="shared" si="1778"/>
        <v>...</v>
      </c>
      <c r="M8138" s="1" t="str">
        <f t="shared" si="1778"/>
        <v>...</v>
      </c>
      <c r="N8138" t="s">
        <v>30</v>
      </c>
    </row>
    <row r="8139" spans="1:14" x14ac:dyDescent="0.25">
      <c r="A8139" t="s">
        <v>43</v>
      </c>
      <c r="B8139" t="s">
        <v>15</v>
      </c>
      <c r="C8139" t="s">
        <v>35</v>
      </c>
      <c r="D8139" t="s">
        <v>31</v>
      </c>
      <c r="E8139" t="s">
        <v>22</v>
      </c>
      <c r="F8139" t="s">
        <v>18</v>
      </c>
      <c r="G8139" s="1" t="str">
        <f t="shared" ref="G8139:M8142" si="1779">"X"</f>
        <v>X</v>
      </c>
      <c r="H8139" s="1" t="str">
        <f t="shared" si="1779"/>
        <v>X</v>
      </c>
      <c r="I8139" s="1" t="str">
        <f t="shared" si="1779"/>
        <v>X</v>
      </c>
      <c r="J8139" s="1" t="str">
        <f t="shared" si="1779"/>
        <v>X</v>
      </c>
      <c r="K8139" s="1" t="str">
        <f t="shared" si="1779"/>
        <v>X</v>
      </c>
      <c r="L8139" s="1" t="str">
        <f t="shared" si="1779"/>
        <v>X</v>
      </c>
      <c r="M8139" s="1" t="str">
        <f t="shared" si="1779"/>
        <v>X</v>
      </c>
      <c r="N8139" t="s">
        <v>27</v>
      </c>
    </row>
    <row r="8140" spans="1:14" x14ac:dyDescent="0.25">
      <c r="A8140" t="s">
        <v>43</v>
      </c>
      <c r="B8140" t="s">
        <v>15</v>
      </c>
      <c r="C8140" t="s">
        <v>35</v>
      </c>
      <c r="D8140" t="s">
        <v>31</v>
      </c>
      <c r="E8140" t="s">
        <v>22</v>
      </c>
      <c r="F8140" t="s">
        <v>19</v>
      </c>
      <c r="G8140" s="1" t="str">
        <f t="shared" si="1779"/>
        <v>X</v>
      </c>
      <c r="H8140" s="1" t="str">
        <f t="shared" si="1779"/>
        <v>X</v>
      </c>
      <c r="I8140" s="1" t="str">
        <f t="shared" si="1779"/>
        <v>X</v>
      </c>
      <c r="J8140" s="1" t="str">
        <f t="shared" si="1779"/>
        <v>X</v>
      </c>
      <c r="K8140" s="1" t="str">
        <f t="shared" si="1779"/>
        <v>X</v>
      </c>
      <c r="L8140" s="1" t="str">
        <f t="shared" si="1779"/>
        <v>X</v>
      </c>
      <c r="M8140" s="1" t="str">
        <f t="shared" si="1779"/>
        <v>X</v>
      </c>
      <c r="N8140" t="s">
        <v>27</v>
      </c>
    </row>
    <row r="8141" spans="1:14" x14ac:dyDescent="0.25">
      <c r="A8141" t="s">
        <v>43</v>
      </c>
      <c r="B8141" t="s">
        <v>15</v>
      </c>
      <c r="C8141" t="s">
        <v>35</v>
      </c>
      <c r="D8141" t="s">
        <v>31</v>
      </c>
      <c r="E8141" t="s">
        <v>22</v>
      </c>
      <c r="F8141" t="s">
        <v>20</v>
      </c>
      <c r="G8141" s="1" t="str">
        <f t="shared" si="1779"/>
        <v>X</v>
      </c>
      <c r="H8141" s="1" t="str">
        <f t="shared" si="1779"/>
        <v>X</v>
      </c>
      <c r="I8141" s="1" t="str">
        <f t="shared" si="1779"/>
        <v>X</v>
      </c>
      <c r="J8141" s="1" t="str">
        <f t="shared" si="1779"/>
        <v>X</v>
      </c>
      <c r="K8141" s="1" t="str">
        <f t="shared" si="1779"/>
        <v>X</v>
      </c>
      <c r="L8141" s="1" t="str">
        <f t="shared" si="1779"/>
        <v>X</v>
      </c>
      <c r="M8141" s="1" t="str">
        <f t="shared" si="1779"/>
        <v>X</v>
      </c>
      <c r="N8141" t="s">
        <v>27</v>
      </c>
    </row>
    <row r="8142" spans="1:14" x14ac:dyDescent="0.25">
      <c r="A8142" t="s">
        <v>43</v>
      </c>
      <c r="B8142" t="s">
        <v>15</v>
      </c>
      <c r="C8142" t="s">
        <v>35</v>
      </c>
      <c r="D8142" t="s">
        <v>31</v>
      </c>
      <c r="E8142" t="s">
        <v>23</v>
      </c>
      <c r="F8142" t="s">
        <v>15</v>
      </c>
      <c r="G8142" s="1" t="str">
        <f t="shared" si="1779"/>
        <v>X</v>
      </c>
      <c r="H8142" s="1" t="str">
        <f t="shared" si="1779"/>
        <v>X</v>
      </c>
      <c r="I8142" s="1" t="str">
        <f t="shared" si="1779"/>
        <v>X</v>
      </c>
      <c r="J8142" s="1" t="str">
        <f t="shared" si="1779"/>
        <v>X</v>
      </c>
      <c r="K8142" s="1" t="str">
        <f t="shared" si="1779"/>
        <v>X</v>
      </c>
      <c r="L8142" s="1" t="str">
        <f t="shared" si="1779"/>
        <v>X</v>
      </c>
      <c r="M8142" s="1" t="str">
        <f t="shared" si="1779"/>
        <v>X</v>
      </c>
      <c r="N8142" t="s">
        <v>27</v>
      </c>
    </row>
    <row r="8143" spans="1:14" x14ac:dyDescent="0.25">
      <c r="A8143" t="s">
        <v>43</v>
      </c>
      <c r="B8143" t="s">
        <v>15</v>
      </c>
      <c r="C8143" t="s">
        <v>35</v>
      </c>
      <c r="D8143" t="s">
        <v>31</v>
      </c>
      <c r="E8143" t="s">
        <v>23</v>
      </c>
      <c r="F8143" t="s">
        <v>17</v>
      </c>
      <c r="G8143" s="1" t="str">
        <f t="shared" ref="G8143:M8144" si="1780">"..."</f>
        <v>...</v>
      </c>
      <c r="H8143" s="1" t="str">
        <f t="shared" si="1780"/>
        <v>...</v>
      </c>
      <c r="I8143" s="1" t="str">
        <f t="shared" si="1780"/>
        <v>...</v>
      </c>
      <c r="J8143" s="1" t="str">
        <f t="shared" si="1780"/>
        <v>...</v>
      </c>
      <c r="K8143" s="1" t="str">
        <f t="shared" si="1780"/>
        <v>...</v>
      </c>
      <c r="L8143" s="1" t="str">
        <f t="shared" si="1780"/>
        <v>...</v>
      </c>
      <c r="M8143" s="1" t="str">
        <f t="shared" si="1780"/>
        <v>...</v>
      </c>
      <c r="N8143" t="s">
        <v>30</v>
      </c>
    </row>
    <row r="8144" spans="1:14" x14ac:dyDescent="0.25">
      <c r="A8144" t="s">
        <v>43</v>
      </c>
      <c r="B8144" t="s">
        <v>15</v>
      </c>
      <c r="C8144" t="s">
        <v>35</v>
      </c>
      <c r="D8144" t="s">
        <v>31</v>
      </c>
      <c r="E8144" t="s">
        <v>23</v>
      </c>
      <c r="F8144" t="s">
        <v>18</v>
      </c>
      <c r="G8144" s="1" t="str">
        <f t="shared" si="1780"/>
        <v>...</v>
      </c>
      <c r="H8144" s="1" t="str">
        <f t="shared" si="1780"/>
        <v>...</v>
      </c>
      <c r="I8144" s="1" t="str">
        <f t="shared" si="1780"/>
        <v>...</v>
      </c>
      <c r="J8144" s="1" t="str">
        <f t="shared" si="1780"/>
        <v>...</v>
      </c>
      <c r="K8144" s="1" t="str">
        <f t="shared" si="1780"/>
        <v>...</v>
      </c>
      <c r="L8144" s="1" t="str">
        <f t="shared" si="1780"/>
        <v>...</v>
      </c>
      <c r="M8144" s="1" t="str">
        <f t="shared" si="1780"/>
        <v>...</v>
      </c>
      <c r="N8144" t="s">
        <v>30</v>
      </c>
    </row>
    <row r="8145" spans="1:14" x14ac:dyDescent="0.25">
      <c r="A8145" t="s">
        <v>43</v>
      </c>
      <c r="B8145" t="s">
        <v>15</v>
      </c>
      <c r="C8145" t="s">
        <v>35</v>
      </c>
      <c r="D8145" t="s">
        <v>31</v>
      </c>
      <c r="E8145" t="s">
        <v>23</v>
      </c>
      <c r="F8145" t="s">
        <v>19</v>
      </c>
      <c r="G8145" s="1" t="str">
        <f t="shared" ref="G8145:M8147" si="1781">"X"</f>
        <v>X</v>
      </c>
      <c r="H8145" s="1" t="str">
        <f t="shared" si="1781"/>
        <v>X</v>
      </c>
      <c r="I8145" s="1" t="str">
        <f t="shared" si="1781"/>
        <v>X</v>
      </c>
      <c r="J8145" s="1" t="str">
        <f t="shared" si="1781"/>
        <v>X</v>
      </c>
      <c r="K8145" s="1" t="str">
        <f t="shared" si="1781"/>
        <v>X</v>
      </c>
      <c r="L8145" s="1" t="str">
        <f t="shared" si="1781"/>
        <v>X</v>
      </c>
      <c r="M8145" s="1" t="str">
        <f t="shared" si="1781"/>
        <v>X</v>
      </c>
      <c r="N8145" t="s">
        <v>27</v>
      </c>
    </row>
    <row r="8146" spans="1:14" x14ac:dyDescent="0.25">
      <c r="A8146" t="s">
        <v>43</v>
      </c>
      <c r="B8146" t="s">
        <v>15</v>
      </c>
      <c r="C8146" t="s">
        <v>35</v>
      </c>
      <c r="D8146" t="s">
        <v>31</v>
      </c>
      <c r="E8146" t="s">
        <v>23</v>
      </c>
      <c r="F8146" t="s">
        <v>20</v>
      </c>
      <c r="G8146" s="1" t="str">
        <f t="shared" si="1781"/>
        <v>X</v>
      </c>
      <c r="H8146" s="1" t="str">
        <f t="shared" si="1781"/>
        <v>X</v>
      </c>
      <c r="I8146" s="1" t="str">
        <f t="shared" si="1781"/>
        <v>X</v>
      </c>
      <c r="J8146" s="1" t="str">
        <f t="shared" si="1781"/>
        <v>X</v>
      </c>
      <c r="K8146" s="1" t="str">
        <f t="shared" si="1781"/>
        <v>X</v>
      </c>
      <c r="L8146" s="1" t="str">
        <f t="shared" si="1781"/>
        <v>X</v>
      </c>
      <c r="M8146" s="1" t="str">
        <f t="shared" si="1781"/>
        <v>X</v>
      </c>
      <c r="N8146" t="s">
        <v>27</v>
      </c>
    </row>
    <row r="8147" spans="1:14" x14ac:dyDescent="0.25">
      <c r="A8147" t="s">
        <v>43</v>
      </c>
      <c r="B8147" t="s">
        <v>15</v>
      </c>
      <c r="C8147" t="s">
        <v>35</v>
      </c>
      <c r="D8147" t="s">
        <v>31</v>
      </c>
      <c r="E8147" t="s">
        <v>26</v>
      </c>
      <c r="F8147" t="s">
        <v>15</v>
      </c>
      <c r="G8147" s="1" t="str">
        <f t="shared" si="1781"/>
        <v>X</v>
      </c>
      <c r="H8147" s="1" t="str">
        <f t="shared" si="1781"/>
        <v>X</v>
      </c>
      <c r="I8147" s="1" t="str">
        <f t="shared" si="1781"/>
        <v>X</v>
      </c>
      <c r="J8147" s="1" t="str">
        <f t="shared" si="1781"/>
        <v>X</v>
      </c>
      <c r="K8147" s="1" t="str">
        <f t="shared" si="1781"/>
        <v>X</v>
      </c>
      <c r="L8147" s="1" t="str">
        <f t="shared" si="1781"/>
        <v>X</v>
      </c>
      <c r="M8147" s="1" t="str">
        <f t="shared" si="1781"/>
        <v>X</v>
      </c>
      <c r="N8147" t="s">
        <v>27</v>
      </c>
    </row>
    <row r="8148" spans="1:14" x14ac:dyDescent="0.25">
      <c r="A8148" t="s">
        <v>43</v>
      </c>
      <c r="B8148" t="s">
        <v>15</v>
      </c>
      <c r="C8148" t="s">
        <v>35</v>
      </c>
      <c r="D8148" t="s">
        <v>31</v>
      </c>
      <c r="E8148" t="s">
        <v>26</v>
      </c>
      <c r="F8148" t="s">
        <v>17</v>
      </c>
      <c r="G8148" s="1" t="str">
        <f t="shared" ref="G8148:M8150" si="1782">"..."</f>
        <v>...</v>
      </c>
      <c r="H8148" s="1" t="str">
        <f t="shared" si="1782"/>
        <v>...</v>
      </c>
      <c r="I8148" s="1" t="str">
        <f t="shared" si="1782"/>
        <v>...</v>
      </c>
      <c r="J8148" s="1" t="str">
        <f t="shared" si="1782"/>
        <v>...</v>
      </c>
      <c r="K8148" s="1" t="str">
        <f t="shared" si="1782"/>
        <v>...</v>
      </c>
      <c r="L8148" s="1" t="str">
        <f t="shared" si="1782"/>
        <v>...</v>
      </c>
      <c r="M8148" s="1" t="str">
        <f t="shared" si="1782"/>
        <v>...</v>
      </c>
      <c r="N8148" t="s">
        <v>30</v>
      </c>
    </row>
    <row r="8149" spans="1:14" x14ac:dyDescent="0.25">
      <c r="A8149" t="s">
        <v>43</v>
      </c>
      <c r="B8149" t="s">
        <v>15</v>
      </c>
      <c r="C8149" t="s">
        <v>35</v>
      </c>
      <c r="D8149" t="s">
        <v>31</v>
      </c>
      <c r="E8149" t="s">
        <v>26</v>
      </c>
      <c r="F8149" t="s">
        <v>18</v>
      </c>
      <c r="G8149" s="1" t="str">
        <f t="shared" si="1782"/>
        <v>...</v>
      </c>
      <c r="H8149" s="1" t="str">
        <f t="shared" si="1782"/>
        <v>...</v>
      </c>
      <c r="I8149" s="1" t="str">
        <f t="shared" si="1782"/>
        <v>...</v>
      </c>
      <c r="J8149" s="1" t="str">
        <f t="shared" si="1782"/>
        <v>...</v>
      </c>
      <c r="K8149" s="1" t="str">
        <f t="shared" si="1782"/>
        <v>...</v>
      </c>
      <c r="L8149" s="1" t="str">
        <f t="shared" si="1782"/>
        <v>...</v>
      </c>
      <c r="M8149" s="1" t="str">
        <f t="shared" si="1782"/>
        <v>...</v>
      </c>
      <c r="N8149" t="s">
        <v>30</v>
      </c>
    </row>
    <row r="8150" spans="1:14" x14ac:dyDescent="0.25">
      <c r="A8150" t="s">
        <v>43</v>
      </c>
      <c r="B8150" t="s">
        <v>15</v>
      </c>
      <c r="C8150" t="s">
        <v>35</v>
      </c>
      <c r="D8150" t="s">
        <v>31</v>
      </c>
      <c r="E8150" t="s">
        <v>26</v>
      </c>
      <c r="F8150" t="s">
        <v>19</v>
      </c>
      <c r="G8150" s="1" t="str">
        <f t="shared" si="1782"/>
        <v>...</v>
      </c>
      <c r="H8150" s="1" t="str">
        <f t="shared" si="1782"/>
        <v>...</v>
      </c>
      <c r="I8150" s="1" t="str">
        <f t="shared" si="1782"/>
        <v>...</v>
      </c>
      <c r="J8150" s="1" t="str">
        <f t="shared" si="1782"/>
        <v>...</v>
      </c>
      <c r="K8150" s="1" t="str">
        <f t="shared" si="1782"/>
        <v>...</v>
      </c>
      <c r="L8150" s="1" t="str">
        <f t="shared" si="1782"/>
        <v>...</v>
      </c>
      <c r="M8150" s="1" t="str">
        <f t="shared" si="1782"/>
        <v>...</v>
      </c>
      <c r="N8150" t="s">
        <v>30</v>
      </c>
    </row>
    <row r="8151" spans="1:14" x14ac:dyDescent="0.25">
      <c r="A8151" t="s">
        <v>43</v>
      </c>
      <c r="B8151" t="s">
        <v>15</v>
      </c>
      <c r="C8151" t="s">
        <v>35</v>
      </c>
      <c r="D8151" t="s">
        <v>31</v>
      </c>
      <c r="E8151" t="s">
        <v>26</v>
      </c>
      <c r="F8151" t="s">
        <v>20</v>
      </c>
      <c r="G8151" s="1" t="str">
        <f t="shared" ref="G8151:M8151" si="1783">"X"</f>
        <v>X</v>
      </c>
      <c r="H8151" s="1" t="str">
        <f t="shared" si="1783"/>
        <v>X</v>
      </c>
      <c r="I8151" s="1" t="str">
        <f t="shared" si="1783"/>
        <v>X</v>
      </c>
      <c r="J8151" s="1" t="str">
        <f t="shared" si="1783"/>
        <v>X</v>
      </c>
      <c r="K8151" s="1" t="str">
        <f t="shared" si="1783"/>
        <v>X</v>
      </c>
      <c r="L8151" s="1" t="str">
        <f t="shared" si="1783"/>
        <v>X</v>
      </c>
      <c r="M8151" s="1" t="str">
        <f t="shared" si="1783"/>
        <v>X</v>
      </c>
      <c r="N8151" t="s">
        <v>27</v>
      </c>
    </row>
    <row r="8152" spans="1:14" x14ac:dyDescent="0.25">
      <c r="A8152" t="s">
        <v>43</v>
      </c>
      <c r="B8152" t="s">
        <v>15</v>
      </c>
      <c r="C8152" t="s">
        <v>35</v>
      </c>
      <c r="D8152" t="s">
        <v>32</v>
      </c>
      <c r="E8152" t="s">
        <v>15</v>
      </c>
      <c r="F8152" t="s">
        <v>15</v>
      </c>
      <c r="G8152" s="2">
        <f>VALUE(2342.84)</f>
        <v>2342.84</v>
      </c>
      <c r="H8152" s="3">
        <f>VALUE(2008.96)</f>
        <v>2008.96</v>
      </c>
      <c r="I8152" s="4">
        <f>VALUE(2563)</f>
        <v>2563</v>
      </c>
      <c r="J8152" s="1">
        <f>VALUE(2947)</f>
        <v>2947</v>
      </c>
      <c r="K8152" s="1">
        <f>VALUE(3393)</f>
        <v>3393</v>
      </c>
      <c r="L8152" s="1">
        <f>VALUE(3988)</f>
        <v>3988</v>
      </c>
      <c r="M8152" s="1">
        <f>VALUE(4958)</f>
        <v>4958</v>
      </c>
      <c r="N8152" t="s">
        <v>25</v>
      </c>
    </row>
    <row r="8153" spans="1:14" x14ac:dyDescent="0.25">
      <c r="A8153" t="s">
        <v>43</v>
      </c>
      <c r="B8153" t="s">
        <v>15</v>
      </c>
      <c r="C8153" t="s">
        <v>35</v>
      </c>
      <c r="D8153" t="s">
        <v>32</v>
      </c>
      <c r="E8153" t="s">
        <v>15</v>
      </c>
      <c r="F8153" t="s">
        <v>17</v>
      </c>
      <c r="G8153" s="1" t="str">
        <f t="shared" ref="G8153:M8155" si="1784">"X"</f>
        <v>X</v>
      </c>
      <c r="H8153" s="1" t="str">
        <f t="shared" si="1784"/>
        <v>X</v>
      </c>
      <c r="I8153" s="1" t="str">
        <f t="shared" si="1784"/>
        <v>X</v>
      </c>
      <c r="J8153" s="1" t="str">
        <f t="shared" si="1784"/>
        <v>X</v>
      </c>
      <c r="K8153" s="1" t="str">
        <f t="shared" si="1784"/>
        <v>X</v>
      </c>
      <c r="L8153" s="1" t="str">
        <f t="shared" si="1784"/>
        <v>X</v>
      </c>
      <c r="M8153" s="1" t="str">
        <f t="shared" si="1784"/>
        <v>X</v>
      </c>
      <c r="N8153" t="s">
        <v>27</v>
      </c>
    </row>
    <row r="8154" spans="1:14" x14ac:dyDescent="0.25">
      <c r="A8154" t="s">
        <v>43</v>
      </c>
      <c r="B8154" t="s">
        <v>15</v>
      </c>
      <c r="C8154" t="s">
        <v>35</v>
      </c>
      <c r="D8154" t="s">
        <v>32</v>
      </c>
      <c r="E8154" t="s">
        <v>15</v>
      </c>
      <c r="F8154" t="s">
        <v>18</v>
      </c>
      <c r="G8154" s="1" t="str">
        <f t="shared" si="1784"/>
        <v>X</v>
      </c>
      <c r="H8154" s="1" t="str">
        <f t="shared" si="1784"/>
        <v>X</v>
      </c>
      <c r="I8154" s="1" t="str">
        <f t="shared" si="1784"/>
        <v>X</v>
      </c>
      <c r="J8154" s="1" t="str">
        <f t="shared" si="1784"/>
        <v>X</v>
      </c>
      <c r="K8154" s="1" t="str">
        <f t="shared" si="1784"/>
        <v>X</v>
      </c>
      <c r="L8154" s="1" t="str">
        <f t="shared" si="1784"/>
        <v>X</v>
      </c>
      <c r="M8154" s="1" t="str">
        <f t="shared" si="1784"/>
        <v>X</v>
      </c>
      <c r="N8154" t="s">
        <v>27</v>
      </c>
    </row>
    <row r="8155" spans="1:14" x14ac:dyDescent="0.25">
      <c r="A8155" t="s">
        <v>43</v>
      </c>
      <c r="B8155" t="s">
        <v>15</v>
      </c>
      <c r="C8155" t="s">
        <v>35</v>
      </c>
      <c r="D8155" t="s">
        <v>32</v>
      </c>
      <c r="E8155" t="s">
        <v>15</v>
      </c>
      <c r="F8155" t="s">
        <v>19</v>
      </c>
      <c r="G8155" s="1" t="str">
        <f t="shared" si="1784"/>
        <v>X</v>
      </c>
      <c r="H8155" s="1" t="str">
        <f t="shared" si="1784"/>
        <v>X</v>
      </c>
      <c r="I8155" s="1" t="str">
        <f t="shared" si="1784"/>
        <v>X</v>
      </c>
      <c r="J8155" s="1" t="str">
        <f t="shared" si="1784"/>
        <v>X</v>
      </c>
      <c r="K8155" s="1" t="str">
        <f t="shared" si="1784"/>
        <v>X</v>
      </c>
      <c r="L8155" s="1" t="str">
        <f t="shared" si="1784"/>
        <v>X</v>
      </c>
      <c r="M8155" s="1" t="str">
        <f t="shared" si="1784"/>
        <v>X</v>
      </c>
      <c r="N8155" t="s">
        <v>27</v>
      </c>
    </row>
    <row r="8156" spans="1:14" x14ac:dyDescent="0.25">
      <c r="A8156" t="s">
        <v>43</v>
      </c>
      <c r="B8156" t="s">
        <v>15</v>
      </c>
      <c r="C8156" t="s">
        <v>35</v>
      </c>
      <c r="D8156" t="s">
        <v>32</v>
      </c>
      <c r="E8156" t="s">
        <v>15</v>
      </c>
      <c r="F8156" t="s">
        <v>20</v>
      </c>
      <c r="G8156" s="2">
        <f>VALUE(2118.87)</f>
        <v>2118.87</v>
      </c>
      <c r="H8156" s="3">
        <f>VALUE(1788.81)</f>
        <v>1788.81</v>
      </c>
      <c r="I8156" s="4">
        <f>VALUE(2563)</f>
        <v>2563</v>
      </c>
      <c r="J8156" s="1">
        <f>VALUE(2928)</f>
        <v>2928</v>
      </c>
      <c r="K8156" s="1">
        <f>VALUE(3393)</f>
        <v>3393</v>
      </c>
      <c r="L8156" s="7">
        <f>VALUE(3900)</f>
        <v>3900</v>
      </c>
      <c r="M8156" s="1">
        <f>VALUE(4940)</f>
        <v>4940</v>
      </c>
      <c r="N8156" t="s">
        <v>25</v>
      </c>
    </row>
    <row r="8157" spans="1:14" x14ac:dyDescent="0.25">
      <c r="A8157" t="s">
        <v>43</v>
      </c>
      <c r="B8157" t="s">
        <v>15</v>
      </c>
      <c r="C8157" t="s">
        <v>35</v>
      </c>
      <c r="D8157" t="s">
        <v>32</v>
      </c>
      <c r="E8157" t="s">
        <v>21</v>
      </c>
      <c r="F8157" t="s">
        <v>15</v>
      </c>
      <c r="G8157" s="1" t="str">
        <f t="shared" ref="G8157:M8161" si="1785">"X"</f>
        <v>X</v>
      </c>
      <c r="H8157" s="1" t="str">
        <f t="shared" si="1785"/>
        <v>X</v>
      </c>
      <c r="I8157" s="1" t="str">
        <f t="shared" si="1785"/>
        <v>X</v>
      </c>
      <c r="J8157" s="1" t="str">
        <f t="shared" si="1785"/>
        <v>X</v>
      </c>
      <c r="K8157" s="1" t="str">
        <f t="shared" si="1785"/>
        <v>X</v>
      </c>
      <c r="L8157" s="1" t="str">
        <f t="shared" si="1785"/>
        <v>X</v>
      </c>
      <c r="M8157" s="1" t="str">
        <f t="shared" si="1785"/>
        <v>X</v>
      </c>
      <c r="N8157" t="s">
        <v>27</v>
      </c>
    </row>
    <row r="8158" spans="1:14" x14ac:dyDescent="0.25">
      <c r="A8158" t="s">
        <v>43</v>
      </c>
      <c r="B8158" t="s">
        <v>15</v>
      </c>
      <c r="C8158" t="s">
        <v>35</v>
      </c>
      <c r="D8158" t="s">
        <v>32</v>
      </c>
      <c r="E8158" t="s">
        <v>21</v>
      </c>
      <c r="F8158" t="s">
        <v>17</v>
      </c>
      <c r="G8158" s="1" t="str">
        <f t="shared" si="1785"/>
        <v>X</v>
      </c>
      <c r="H8158" s="1" t="str">
        <f t="shared" si="1785"/>
        <v>X</v>
      </c>
      <c r="I8158" s="1" t="str">
        <f t="shared" si="1785"/>
        <v>X</v>
      </c>
      <c r="J8158" s="1" t="str">
        <f t="shared" si="1785"/>
        <v>X</v>
      </c>
      <c r="K8158" s="1" t="str">
        <f t="shared" si="1785"/>
        <v>X</v>
      </c>
      <c r="L8158" s="1" t="str">
        <f t="shared" si="1785"/>
        <v>X</v>
      </c>
      <c r="M8158" s="1" t="str">
        <f t="shared" si="1785"/>
        <v>X</v>
      </c>
      <c r="N8158" t="s">
        <v>27</v>
      </c>
    </row>
    <row r="8159" spans="1:14" x14ac:dyDescent="0.25">
      <c r="A8159" t="s">
        <v>43</v>
      </c>
      <c r="B8159" t="s">
        <v>15</v>
      </c>
      <c r="C8159" t="s">
        <v>35</v>
      </c>
      <c r="D8159" t="s">
        <v>32</v>
      </c>
      <c r="E8159" t="s">
        <v>21</v>
      </c>
      <c r="F8159" t="s">
        <v>18</v>
      </c>
      <c r="G8159" s="1" t="str">
        <f t="shared" si="1785"/>
        <v>X</v>
      </c>
      <c r="H8159" s="1" t="str">
        <f t="shared" si="1785"/>
        <v>X</v>
      </c>
      <c r="I8159" s="1" t="str">
        <f t="shared" si="1785"/>
        <v>X</v>
      </c>
      <c r="J8159" s="1" t="str">
        <f t="shared" si="1785"/>
        <v>X</v>
      </c>
      <c r="K8159" s="1" t="str">
        <f t="shared" si="1785"/>
        <v>X</v>
      </c>
      <c r="L8159" s="1" t="str">
        <f t="shared" si="1785"/>
        <v>X</v>
      </c>
      <c r="M8159" s="1" t="str">
        <f t="shared" si="1785"/>
        <v>X</v>
      </c>
      <c r="N8159" t="s">
        <v>27</v>
      </c>
    </row>
    <row r="8160" spans="1:14" x14ac:dyDescent="0.25">
      <c r="A8160" t="s">
        <v>43</v>
      </c>
      <c r="B8160" t="s">
        <v>15</v>
      </c>
      <c r="C8160" t="s">
        <v>35</v>
      </c>
      <c r="D8160" t="s">
        <v>32</v>
      </c>
      <c r="E8160" t="s">
        <v>21</v>
      </c>
      <c r="F8160" t="s">
        <v>19</v>
      </c>
      <c r="G8160" s="1" t="str">
        <f t="shared" si="1785"/>
        <v>X</v>
      </c>
      <c r="H8160" s="1" t="str">
        <f t="shared" si="1785"/>
        <v>X</v>
      </c>
      <c r="I8160" s="1" t="str">
        <f t="shared" si="1785"/>
        <v>X</v>
      </c>
      <c r="J8160" s="1" t="str">
        <f t="shared" si="1785"/>
        <v>X</v>
      </c>
      <c r="K8160" s="1" t="str">
        <f t="shared" si="1785"/>
        <v>X</v>
      </c>
      <c r="L8160" s="1" t="str">
        <f t="shared" si="1785"/>
        <v>X</v>
      </c>
      <c r="M8160" s="1" t="str">
        <f t="shared" si="1785"/>
        <v>X</v>
      </c>
      <c r="N8160" t="s">
        <v>27</v>
      </c>
    </row>
    <row r="8161" spans="1:14" x14ac:dyDescent="0.25">
      <c r="A8161" t="s">
        <v>43</v>
      </c>
      <c r="B8161" t="s">
        <v>15</v>
      </c>
      <c r="C8161" t="s">
        <v>35</v>
      </c>
      <c r="D8161" t="s">
        <v>32</v>
      </c>
      <c r="E8161" t="s">
        <v>21</v>
      </c>
      <c r="F8161" t="s">
        <v>20</v>
      </c>
      <c r="G8161" s="1" t="str">
        <f t="shared" si="1785"/>
        <v>X</v>
      </c>
      <c r="H8161" s="1" t="str">
        <f t="shared" si="1785"/>
        <v>X</v>
      </c>
      <c r="I8161" s="1" t="str">
        <f t="shared" si="1785"/>
        <v>X</v>
      </c>
      <c r="J8161" s="1" t="str">
        <f t="shared" si="1785"/>
        <v>X</v>
      </c>
      <c r="K8161" s="1" t="str">
        <f t="shared" si="1785"/>
        <v>X</v>
      </c>
      <c r="L8161" s="1" t="str">
        <f t="shared" si="1785"/>
        <v>X</v>
      </c>
      <c r="M8161" s="1" t="str">
        <f t="shared" si="1785"/>
        <v>X</v>
      </c>
      <c r="N8161" t="s">
        <v>27</v>
      </c>
    </row>
    <row r="8162" spans="1:14" x14ac:dyDescent="0.25">
      <c r="A8162" t="s">
        <v>43</v>
      </c>
      <c r="B8162" t="s">
        <v>15</v>
      </c>
      <c r="C8162" t="s">
        <v>35</v>
      </c>
      <c r="D8162" t="s">
        <v>32</v>
      </c>
      <c r="E8162" t="s">
        <v>22</v>
      </c>
      <c r="F8162" t="s">
        <v>15</v>
      </c>
      <c r="G8162" s="2">
        <f>VALUE(681.04)</f>
        <v>681.04</v>
      </c>
      <c r="H8162" s="3">
        <f>VALUE(532.39)</f>
        <v>532.39</v>
      </c>
      <c r="I8162" s="1">
        <f>VALUE(2986)</f>
        <v>2986</v>
      </c>
      <c r="J8162" s="1">
        <f>VALUE(3369)</f>
        <v>3369</v>
      </c>
      <c r="K8162" s="1">
        <f>VALUE(3631)</f>
        <v>3631</v>
      </c>
      <c r="L8162" s="1">
        <f>VALUE(4236)</f>
        <v>4236</v>
      </c>
      <c r="M8162" s="1">
        <f>VALUE(5104)</f>
        <v>5104</v>
      </c>
      <c r="N8162" t="s">
        <v>25</v>
      </c>
    </row>
    <row r="8163" spans="1:14" x14ac:dyDescent="0.25">
      <c r="A8163" t="s">
        <v>43</v>
      </c>
      <c r="B8163" t="s">
        <v>15</v>
      </c>
      <c r="C8163" t="s">
        <v>35</v>
      </c>
      <c r="D8163" t="s">
        <v>32</v>
      </c>
      <c r="E8163" t="s">
        <v>22</v>
      </c>
      <c r="F8163" t="s">
        <v>17</v>
      </c>
      <c r="G8163" s="1" t="str">
        <f t="shared" ref="G8163:M8163" si="1786">"..."</f>
        <v>...</v>
      </c>
      <c r="H8163" s="1" t="str">
        <f t="shared" si="1786"/>
        <v>...</v>
      </c>
      <c r="I8163" s="1" t="str">
        <f t="shared" si="1786"/>
        <v>...</v>
      </c>
      <c r="J8163" s="1" t="str">
        <f t="shared" si="1786"/>
        <v>...</v>
      </c>
      <c r="K8163" s="1" t="str">
        <f t="shared" si="1786"/>
        <v>...</v>
      </c>
      <c r="L8163" s="1" t="str">
        <f t="shared" si="1786"/>
        <v>...</v>
      </c>
      <c r="M8163" s="1" t="str">
        <f t="shared" si="1786"/>
        <v>...</v>
      </c>
      <c r="N8163" t="s">
        <v>30</v>
      </c>
    </row>
    <row r="8164" spans="1:14" x14ac:dyDescent="0.25">
      <c r="A8164" t="s">
        <v>43</v>
      </c>
      <c r="B8164" t="s">
        <v>15</v>
      </c>
      <c r="C8164" t="s">
        <v>35</v>
      </c>
      <c r="D8164" t="s">
        <v>32</v>
      </c>
      <c r="E8164" t="s">
        <v>22</v>
      </c>
      <c r="F8164" t="s">
        <v>18</v>
      </c>
      <c r="G8164" s="1" t="str">
        <f t="shared" ref="G8164:M8165" si="1787">"X"</f>
        <v>X</v>
      </c>
      <c r="H8164" s="1" t="str">
        <f t="shared" si="1787"/>
        <v>X</v>
      </c>
      <c r="I8164" s="1" t="str">
        <f t="shared" si="1787"/>
        <v>X</v>
      </c>
      <c r="J8164" s="1" t="str">
        <f t="shared" si="1787"/>
        <v>X</v>
      </c>
      <c r="K8164" s="1" t="str">
        <f t="shared" si="1787"/>
        <v>X</v>
      </c>
      <c r="L8164" s="1" t="str">
        <f t="shared" si="1787"/>
        <v>X</v>
      </c>
      <c r="M8164" s="1" t="str">
        <f t="shared" si="1787"/>
        <v>X</v>
      </c>
      <c r="N8164" t="s">
        <v>27</v>
      </c>
    </row>
    <row r="8165" spans="1:14" x14ac:dyDescent="0.25">
      <c r="A8165" t="s">
        <v>43</v>
      </c>
      <c r="B8165" t="s">
        <v>15</v>
      </c>
      <c r="C8165" t="s">
        <v>35</v>
      </c>
      <c r="D8165" t="s">
        <v>32</v>
      </c>
      <c r="E8165" t="s">
        <v>22</v>
      </c>
      <c r="F8165" t="s">
        <v>19</v>
      </c>
      <c r="G8165" s="1" t="str">
        <f t="shared" si="1787"/>
        <v>X</v>
      </c>
      <c r="H8165" s="1" t="str">
        <f t="shared" si="1787"/>
        <v>X</v>
      </c>
      <c r="I8165" s="1" t="str">
        <f t="shared" si="1787"/>
        <v>X</v>
      </c>
      <c r="J8165" s="1" t="str">
        <f t="shared" si="1787"/>
        <v>X</v>
      </c>
      <c r="K8165" s="1" t="str">
        <f t="shared" si="1787"/>
        <v>X</v>
      </c>
      <c r="L8165" s="1" t="str">
        <f t="shared" si="1787"/>
        <v>X</v>
      </c>
      <c r="M8165" s="1" t="str">
        <f t="shared" si="1787"/>
        <v>X</v>
      </c>
      <c r="N8165" t="s">
        <v>27</v>
      </c>
    </row>
    <row r="8166" spans="1:14" x14ac:dyDescent="0.25">
      <c r="A8166" t="s">
        <v>43</v>
      </c>
      <c r="B8166" t="s">
        <v>15</v>
      </c>
      <c r="C8166" t="s">
        <v>35</v>
      </c>
      <c r="D8166" t="s">
        <v>32</v>
      </c>
      <c r="E8166" t="s">
        <v>22</v>
      </c>
      <c r="F8166" t="s">
        <v>20</v>
      </c>
      <c r="G8166" s="2">
        <f>VALUE(642)</f>
        <v>642</v>
      </c>
      <c r="H8166" s="3">
        <f>VALUE(496.38)</f>
        <v>496.38</v>
      </c>
      <c r="I8166" s="1">
        <f>VALUE(2928)</f>
        <v>2928</v>
      </c>
      <c r="J8166" s="1">
        <f>VALUE(3358)</f>
        <v>3358</v>
      </c>
      <c r="K8166" s="1">
        <f>VALUE(3524)</f>
        <v>3524</v>
      </c>
      <c r="L8166" s="1">
        <f>VALUE(4200)</f>
        <v>4200</v>
      </c>
      <c r="M8166" s="1">
        <f>VALUE(5127)</f>
        <v>5127</v>
      </c>
      <c r="N8166" t="s">
        <v>25</v>
      </c>
    </row>
    <row r="8167" spans="1:14" x14ac:dyDescent="0.25">
      <c r="A8167" t="s">
        <v>43</v>
      </c>
      <c r="B8167" t="s">
        <v>15</v>
      </c>
      <c r="C8167" t="s">
        <v>35</v>
      </c>
      <c r="D8167" t="s">
        <v>32</v>
      </c>
      <c r="E8167" t="s">
        <v>23</v>
      </c>
      <c r="F8167" t="s">
        <v>15</v>
      </c>
      <c r="G8167" s="2">
        <f>VALUE(1359.27)</f>
        <v>1359.27</v>
      </c>
      <c r="H8167" s="3">
        <f>VALUE(1222.64)</f>
        <v>1222.6400000000001</v>
      </c>
      <c r="I8167" s="4">
        <f>VALUE(2563)</f>
        <v>2563</v>
      </c>
      <c r="J8167" s="5">
        <f>VALUE(2802)</f>
        <v>2802</v>
      </c>
      <c r="K8167" s="1">
        <f>VALUE(3198)</f>
        <v>3198</v>
      </c>
      <c r="L8167" s="1">
        <f>VALUE(3554)</f>
        <v>3554</v>
      </c>
      <c r="M8167" s="8">
        <f>VALUE(4340)</f>
        <v>4340</v>
      </c>
      <c r="N8167" t="s">
        <v>25</v>
      </c>
    </row>
    <row r="8168" spans="1:14" x14ac:dyDescent="0.25">
      <c r="A8168" t="s">
        <v>43</v>
      </c>
      <c r="B8168" t="s">
        <v>15</v>
      </c>
      <c r="C8168" t="s">
        <v>35</v>
      </c>
      <c r="D8168" t="s">
        <v>32</v>
      </c>
      <c r="E8168" t="s">
        <v>23</v>
      </c>
      <c r="F8168" t="s">
        <v>17</v>
      </c>
      <c r="G8168" s="1" t="str">
        <f t="shared" ref="G8168:M8168" si="1788">"..."</f>
        <v>...</v>
      </c>
      <c r="H8168" s="1" t="str">
        <f t="shared" si="1788"/>
        <v>...</v>
      </c>
      <c r="I8168" s="1" t="str">
        <f t="shared" si="1788"/>
        <v>...</v>
      </c>
      <c r="J8168" s="1" t="str">
        <f t="shared" si="1788"/>
        <v>...</v>
      </c>
      <c r="K8168" s="1" t="str">
        <f t="shared" si="1788"/>
        <v>...</v>
      </c>
      <c r="L8168" s="1" t="str">
        <f t="shared" si="1788"/>
        <v>...</v>
      </c>
      <c r="M8168" s="1" t="str">
        <f t="shared" si="1788"/>
        <v>...</v>
      </c>
      <c r="N8168" t="s">
        <v>30</v>
      </c>
    </row>
    <row r="8169" spans="1:14" x14ac:dyDescent="0.25">
      <c r="A8169" t="s">
        <v>43</v>
      </c>
      <c r="B8169" t="s">
        <v>15</v>
      </c>
      <c r="C8169" t="s">
        <v>35</v>
      </c>
      <c r="D8169" t="s">
        <v>32</v>
      </c>
      <c r="E8169" t="s">
        <v>23</v>
      </c>
      <c r="F8169" t="s">
        <v>18</v>
      </c>
      <c r="G8169" s="1" t="str">
        <f t="shared" ref="G8169:M8170" si="1789">"X"</f>
        <v>X</v>
      </c>
      <c r="H8169" s="1" t="str">
        <f t="shared" si="1789"/>
        <v>X</v>
      </c>
      <c r="I8169" s="1" t="str">
        <f t="shared" si="1789"/>
        <v>X</v>
      </c>
      <c r="J8169" s="1" t="str">
        <f t="shared" si="1789"/>
        <v>X</v>
      </c>
      <c r="K8169" s="1" t="str">
        <f t="shared" si="1789"/>
        <v>X</v>
      </c>
      <c r="L8169" s="1" t="str">
        <f t="shared" si="1789"/>
        <v>X</v>
      </c>
      <c r="M8169" s="1" t="str">
        <f t="shared" si="1789"/>
        <v>X</v>
      </c>
      <c r="N8169" t="s">
        <v>27</v>
      </c>
    </row>
    <row r="8170" spans="1:14" x14ac:dyDescent="0.25">
      <c r="A8170" t="s">
        <v>43</v>
      </c>
      <c r="B8170" t="s">
        <v>15</v>
      </c>
      <c r="C8170" t="s">
        <v>35</v>
      </c>
      <c r="D8170" t="s">
        <v>32</v>
      </c>
      <c r="E8170" t="s">
        <v>23</v>
      </c>
      <c r="F8170" t="s">
        <v>19</v>
      </c>
      <c r="G8170" s="1" t="str">
        <f t="shared" si="1789"/>
        <v>X</v>
      </c>
      <c r="H8170" s="1" t="str">
        <f t="shared" si="1789"/>
        <v>X</v>
      </c>
      <c r="I8170" s="1" t="str">
        <f t="shared" si="1789"/>
        <v>X</v>
      </c>
      <c r="J8170" s="1" t="str">
        <f t="shared" si="1789"/>
        <v>X</v>
      </c>
      <c r="K8170" s="1" t="str">
        <f t="shared" si="1789"/>
        <v>X</v>
      </c>
      <c r="L8170" s="1" t="str">
        <f t="shared" si="1789"/>
        <v>X</v>
      </c>
      <c r="M8170" s="1" t="str">
        <f t="shared" si="1789"/>
        <v>X</v>
      </c>
      <c r="N8170" t="s">
        <v>27</v>
      </c>
    </row>
    <row r="8171" spans="1:14" x14ac:dyDescent="0.25">
      <c r="A8171" t="s">
        <v>43</v>
      </c>
      <c r="B8171" t="s">
        <v>15</v>
      </c>
      <c r="C8171" t="s">
        <v>35</v>
      </c>
      <c r="D8171" t="s">
        <v>32</v>
      </c>
      <c r="E8171" t="s">
        <v>23</v>
      </c>
      <c r="F8171" t="s">
        <v>20</v>
      </c>
      <c r="G8171" s="2">
        <f>VALUE(1242.37)</f>
        <v>1242.3699999999999</v>
      </c>
      <c r="H8171" s="3">
        <f>VALUE(1099.95)</f>
        <v>1099.95</v>
      </c>
      <c r="I8171" s="4">
        <f>VALUE(2563)</f>
        <v>2563</v>
      </c>
      <c r="J8171" s="1">
        <f>VALUE(2745)</f>
        <v>2745</v>
      </c>
      <c r="K8171" s="1">
        <f>VALUE(3191)</f>
        <v>3191</v>
      </c>
      <c r="L8171" s="1">
        <f>VALUE(3558)</f>
        <v>3558</v>
      </c>
      <c r="M8171" s="8">
        <f>VALUE(4340)</f>
        <v>4340</v>
      </c>
      <c r="N8171" t="s">
        <v>25</v>
      </c>
    </row>
    <row r="8172" spans="1:14" x14ac:dyDescent="0.25">
      <c r="A8172" t="s">
        <v>43</v>
      </c>
      <c r="B8172" t="s">
        <v>15</v>
      </c>
      <c r="C8172" t="s">
        <v>35</v>
      </c>
      <c r="D8172" t="s">
        <v>32</v>
      </c>
      <c r="E8172" t="s">
        <v>26</v>
      </c>
      <c r="F8172" t="s">
        <v>15</v>
      </c>
      <c r="G8172" s="1" t="str">
        <f t="shared" ref="G8172:M8172" si="1790">"X"</f>
        <v>X</v>
      </c>
      <c r="H8172" s="1" t="str">
        <f t="shared" si="1790"/>
        <v>X</v>
      </c>
      <c r="I8172" s="1" t="str">
        <f t="shared" si="1790"/>
        <v>X</v>
      </c>
      <c r="J8172" s="1" t="str">
        <f t="shared" si="1790"/>
        <v>X</v>
      </c>
      <c r="K8172" s="1" t="str">
        <f t="shared" si="1790"/>
        <v>X</v>
      </c>
      <c r="L8172" s="1" t="str">
        <f t="shared" si="1790"/>
        <v>X</v>
      </c>
      <c r="M8172" s="1" t="str">
        <f t="shared" si="1790"/>
        <v>X</v>
      </c>
      <c r="N8172" t="s">
        <v>27</v>
      </c>
    </row>
    <row r="8173" spans="1:14" x14ac:dyDescent="0.25">
      <c r="A8173" t="s">
        <v>43</v>
      </c>
      <c r="B8173" t="s">
        <v>15</v>
      </c>
      <c r="C8173" t="s">
        <v>35</v>
      </c>
      <c r="D8173" t="s">
        <v>32</v>
      </c>
      <c r="E8173" t="s">
        <v>26</v>
      </c>
      <c r="F8173" t="s">
        <v>17</v>
      </c>
      <c r="G8173" s="1" t="str">
        <f t="shared" ref="G8173:M8175" si="1791">"..."</f>
        <v>...</v>
      </c>
      <c r="H8173" s="1" t="str">
        <f t="shared" si="1791"/>
        <v>...</v>
      </c>
      <c r="I8173" s="1" t="str">
        <f t="shared" si="1791"/>
        <v>...</v>
      </c>
      <c r="J8173" s="1" t="str">
        <f t="shared" si="1791"/>
        <v>...</v>
      </c>
      <c r="K8173" s="1" t="str">
        <f t="shared" si="1791"/>
        <v>...</v>
      </c>
      <c r="L8173" s="1" t="str">
        <f t="shared" si="1791"/>
        <v>...</v>
      </c>
      <c r="M8173" s="1" t="str">
        <f t="shared" si="1791"/>
        <v>...</v>
      </c>
      <c r="N8173" t="s">
        <v>30</v>
      </c>
    </row>
    <row r="8174" spans="1:14" x14ac:dyDescent="0.25">
      <c r="A8174" t="s">
        <v>43</v>
      </c>
      <c r="B8174" t="s">
        <v>15</v>
      </c>
      <c r="C8174" t="s">
        <v>35</v>
      </c>
      <c r="D8174" t="s">
        <v>32</v>
      </c>
      <c r="E8174" t="s">
        <v>26</v>
      </c>
      <c r="F8174" t="s">
        <v>18</v>
      </c>
      <c r="G8174" s="1" t="str">
        <f t="shared" si="1791"/>
        <v>...</v>
      </c>
      <c r="H8174" s="1" t="str">
        <f t="shared" si="1791"/>
        <v>...</v>
      </c>
      <c r="I8174" s="1" t="str">
        <f t="shared" si="1791"/>
        <v>...</v>
      </c>
      <c r="J8174" s="1" t="str">
        <f t="shared" si="1791"/>
        <v>...</v>
      </c>
      <c r="K8174" s="1" t="str">
        <f t="shared" si="1791"/>
        <v>...</v>
      </c>
      <c r="L8174" s="1" t="str">
        <f t="shared" si="1791"/>
        <v>...</v>
      </c>
      <c r="M8174" s="1" t="str">
        <f t="shared" si="1791"/>
        <v>...</v>
      </c>
      <c r="N8174" t="s">
        <v>30</v>
      </c>
    </row>
    <row r="8175" spans="1:14" x14ac:dyDescent="0.25">
      <c r="A8175" t="s">
        <v>43</v>
      </c>
      <c r="B8175" t="s">
        <v>15</v>
      </c>
      <c r="C8175" t="s">
        <v>35</v>
      </c>
      <c r="D8175" t="s">
        <v>32</v>
      </c>
      <c r="E8175" t="s">
        <v>26</v>
      </c>
      <c r="F8175" t="s">
        <v>19</v>
      </c>
      <c r="G8175" s="1" t="str">
        <f t="shared" si="1791"/>
        <v>...</v>
      </c>
      <c r="H8175" s="1" t="str">
        <f t="shared" si="1791"/>
        <v>...</v>
      </c>
      <c r="I8175" s="1" t="str">
        <f t="shared" si="1791"/>
        <v>...</v>
      </c>
      <c r="J8175" s="1" t="str">
        <f t="shared" si="1791"/>
        <v>...</v>
      </c>
      <c r="K8175" s="1" t="str">
        <f t="shared" si="1791"/>
        <v>...</v>
      </c>
      <c r="L8175" s="1" t="str">
        <f t="shared" si="1791"/>
        <v>...</v>
      </c>
      <c r="M8175" s="1" t="str">
        <f t="shared" si="1791"/>
        <v>...</v>
      </c>
      <c r="N8175" t="s">
        <v>30</v>
      </c>
    </row>
    <row r="8176" spans="1:14" x14ac:dyDescent="0.25">
      <c r="A8176" t="s">
        <v>43</v>
      </c>
      <c r="B8176" t="s">
        <v>15</v>
      </c>
      <c r="C8176" t="s">
        <v>35</v>
      </c>
      <c r="D8176" t="s">
        <v>32</v>
      </c>
      <c r="E8176" t="s">
        <v>26</v>
      </c>
      <c r="F8176" t="s">
        <v>20</v>
      </c>
      <c r="G8176" s="1" t="str">
        <f t="shared" ref="G8176:M8184" si="1792">"X"</f>
        <v>X</v>
      </c>
      <c r="H8176" s="1" t="str">
        <f t="shared" si="1792"/>
        <v>X</v>
      </c>
      <c r="I8176" s="1" t="str">
        <f t="shared" si="1792"/>
        <v>X</v>
      </c>
      <c r="J8176" s="1" t="str">
        <f t="shared" si="1792"/>
        <v>X</v>
      </c>
      <c r="K8176" s="1" t="str">
        <f t="shared" si="1792"/>
        <v>X</v>
      </c>
      <c r="L8176" s="1" t="str">
        <f t="shared" si="1792"/>
        <v>X</v>
      </c>
      <c r="M8176" s="1" t="str">
        <f t="shared" si="1792"/>
        <v>X</v>
      </c>
      <c r="N8176" t="s">
        <v>27</v>
      </c>
    </row>
    <row r="8177" spans="1:14" x14ac:dyDescent="0.25">
      <c r="A8177" t="s">
        <v>43</v>
      </c>
      <c r="B8177" t="s">
        <v>15</v>
      </c>
      <c r="C8177" t="s">
        <v>35</v>
      </c>
      <c r="D8177" t="s">
        <v>33</v>
      </c>
      <c r="E8177" t="s">
        <v>15</v>
      </c>
      <c r="F8177" t="s">
        <v>15</v>
      </c>
      <c r="G8177" s="1" t="str">
        <f t="shared" si="1792"/>
        <v>X</v>
      </c>
      <c r="H8177" s="1" t="str">
        <f t="shared" si="1792"/>
        <v>X</v>
      </c>
      <c r="I8177" s="1" t="str">
        <f t="shared" si="1792"/>
        <v>X</v>
      </c>
      <c r="J8177" s="1" t="str">
        <f t="shared" si="1792"/>
        <v>X</v>
      </c>
      <c r="K8177" s="1" t="str">
        <f t="shared" si="1792"/>
        <v>X</v>
      </c>
      <c r="L8177" s="1" t="str">
        <f t="shared" si="1792"/>
        <v>X</v>
      </c>
      <c r="M8177" s="1" t="str">
        <f t="shared" si="1792"/>
        <v>X</v>
      </c>
      <c r="N8177" t="s">
        <v>27</v>
      </c>
    </row>
    <row r="8178" spans="1:14" x14ac:dyDescent="0.25">
      <c r="A8178" t="s">
        <v>43</v>
      </c>
      <c r="B8178" t="s">
        <v>15</v>
      </c>
      <c r="C8178" t="s">
        <v>35</v>
      </c>
      <c r="D8178" t="s">
        <v>33</v>
      </c>
      <c r="E8178" t="s">
        <v>15</v>
      </c>
      <c r="F8178" t="s">
        <v>17</v>
      </c>
      <c r="G8178" s="1" t="str">
        <f t="shared" si="1792"/>
        <v>X</v>
      </c>
      <c r="H8178" s="1" t="str">
        <f t="shared" si="1792"/>
        <v>X</v>
      </c>
      <c r="I8178" s="1" t="str">
        <f t="shared" si="1792"/>
        <v>X</v>
      </c>
      <c r="J8178" s="1" t="str">
        <f t="shared" si="1792"/>
        <v>X</v>
      </c>
      <c r="K8178" s="1" t="str">
        <f t="shared" si="1792"/>
        <v>X</v>
      </c>
      <c r="L8178" s="1" t="str">
        <f t="shared" si="1792"/>
        <v>X</v>
      </c>
      <c r="M8178" s="1" t="str">
        <f t="shared" si="1792"/>
        <v>X</v>
      </c>
      <c r="N8178" t="s">
        <v>27</v>
      </c>
    </row>
    <row r="8179" spans="1:14" x14ac:dyDescent="0.25">
      <c r="A8179" t="s">
        <v>43</v>
      </c>
      <c r="B8179" t="s">
        <v>15</v>
      </c>
      <c r="C8179" t="s">
        <v>35</v>
      </c>
      <c r="D8179" t="s">
        <v>33</v>
      </c>
      <c r="E8179" t="s">
        <v>15</v>
      </c>
      <c r="F8179" t="s">
        <v>18</v>
      </c>
      <c r="G8179" s="1" t="str">
        <f t="shared" si="1792"/>
        <v>X</v>
      </c>
      <c r="H8179" s="1" t="str">
        <f t="shared" si="1792"/>
        <v>X</v>
      </c>
      <c r="I8179" s="1" t="str">
        <f t="shared" si="1792"/>
        <v>X</v>
      </c>
      <c r="J8179" s="1" t="str">
        <f t="shared" si="1792"/>
        <v>X</v>
      </c>
      <c r="K8179" s="1" t="str">
        <f t="shared" si="1792"/>
        <v>X</v>
      </c>
      <c r="L8179" s="1" t="str">
        <f t="shared" si="1792"/>
        <v>X</v>
      </c>
      <c r="M8179" s="1" t="str">
        <f t="shared" si="1792"/>
        <v>X</v>
      </c>
      <c r="N8179" t="s">
        <v>27</v>
      </c>
    </row>
    <row r="8180" spans="1:14" x14ac:dyDescent="0.25">
      <c r="A8180" t="s">
        <v>43</v>
      </c>
      <c r="B8180" t="s">
        <v>15</v>
      </c>
      <c r="C8180" t="s">
        <v>35</v>
      </c>
      <c r="D8180" t="s">
        <v>33</v>
      </c>
      <c r="E8180" t="s">
        <v>15</v>
      </c>
      <c r="F8180" t="s">
        <v>19</v>
      </c>
      <c r="G8180" s="1" t="str">
        <f t="shared" si="1792"/>
        <v>X</v>
      </c>
      <c r="H8180" s="1" t="str">
        <f t="shared" si="1792"/>
        <v>X</v>
      </c>
      <c r="I8180" s="1" t="str">
        <f t="shared" si="1792"/>
        <v>X</v>
      </c>
      <c r="J8180" s="1" t="str">
        <f t="shared" si="1792"/>
        <v>X</v>
      </c>
      <c r="K8180" s="1" t="str">
        <f t="shared" si="1792"/>
        <v>X</v>
      </c>
      <c r="L8180" s="1" t="str">
        <f t="shared" si="1792"/>
        <v>X</v>
      </c>
      <c r="M8180" s="1" t="str">
        <f t="shared" si="1792"/>
        <v>X</v>
      </c>
      <c r="N8180" t="s">
        <v>27</v>
      </c>
    </row>
    <row r="8181" spans="1:14" x14ac:dyDescent="0.25">
      <c r="A8181" t="s">
        <v>43</v>
      </c>
      <c r="B8181" t="s">
        <v>15</v>
      </c>
      <c r="C8181" t="s">
        <v>35</v>
      </c>
      <c r="D8181" t="s">
        <v>33</v>
      </c>
      <c r="E8181" t="s">
        <v>15</v>
      </c>
      <c r="F8181" t="s">
        <v>20</v>
      </c>
      <c r="G8181" s="1" t="str">
        <f t="shared" si="1792"/>
        <v>X</v>
      </c>
      <c r="H8181" s="1" t="str">
        <f t="shared" si="1792"/>
        <v>X</v>
      </c>
      <c r="I8181" s="1" t="str">
        <f t="shared" si="1792"/>
        <v>X</v>
      </c>
      <c r="J8181" s="1" t="str">
        <f t="shared" si="1792"/>
        <v>X</v>
      </c>
      <c r="K8181" s="1" t="str">
        <f t="shared" si="1792"/>
        <v>X</v>
      </c>
      <c r="L8181" s="1" t="str">
        <f t="shared" si="1792"/>
        <v>X</v>
      </c>
      <c r="M8181" s="1" t="str">
        <f t="shared" si="1792"/>
        <v>X</v>
      </c>
      <c r="N8181" t="s">
        <v>27</v>
      </c>
    </row>
    <row r="8182" spans="1:14" x14ac:dyDescent="0.25">
      <c r="A8182" t="s">
        <v>43</v>
      </c>
      <c r="B8182" t="s">
        <v>15</v>
      </c>
      <c r="C8182" t="s">
        <v>35</v>
      </c>
      <c r="D8182" t="s">
        <v>33</v>
      </c>
      <c r="E8182" t="s">
        <v>21</v>
      </c>
      <c r="F8182" t="s">
        <v>15</v>
      </c>
      <c r="G8182" s="1" t="str">
        <f t="shared" si="1792"/>
        <v>X</v>
      </c>
      <c r="H8182" s="1" t="str">
        <f t="shared" si="1792"/>
        <v>X</v>
      </c>
      <c r="I8182" s="1" t="str">
        <f t="shared" si="1792"/>
        <v>X</v>
      </c>
      <c r="J8182" s="1" t="str">
        <f t="shared" si="1792"/>
        <v>X</v>
      </c>
      <c r="K8182" s="1" t="str">
        <f t="shared" si="1792"/>
        <v>X</v>
      </c>
      <c r="L8182" s="1" t="str">
        <f t="shared" si="1792"/>
        <v>X</v>
      </c>
      <c r="M8182" s="1" t="str">
        <f t="shared" si="1792"/>
        <v>X</v>
      </c>
      <c r="N8182" t="s">
        <v>27</v>
      </c>
    </row>
    <row r="8183" spans="1:14" x14ac:dyDescent="0.25">
      <c r="A8183" t="s">
        <v>43</v>
      </c>
      <c r="B8183" t="s">
        <v>15</v>
      </c>
      <c r="C8183" t="s">
        <v>35</v>
      </c>
      <c r="D8183" t="s">
        <v>33</v>
      </c>
      <c r="E8183" t="s">
        <v>21</v>
      </c>
      <c r="F8183" t="s">
        <v>17</v>
      </c>
      <c r="G8183" s="1" t="str">
        <f t="shared" si="1792"/>
        <v>X</v>
      </c>
      <c r="H8183" s="1" t="str">
        <f t="shared" si="1792"/>
        <v>X</v>
      </c>
      <c r="I8183" s="1" t="str">
        <f t="shared" si="1792"/>
        <v>X</v>
      </c>
      <c r="J8183" s="1" t="str">
        <f t="shared" si="1792"/>
        <v>X</v>
      </c>
      <c r="K8183" s="1" t="str">
        <f t="shared" si="1792"/>
        <v>X</v>
      </c>
      <c r="L8183" s="1" t="str">
        <f t="shared" si="1792"/>
        <v>X</v>
      </c>
      <c r="M8183" s="1" t="str">
        <f t="shared" si="1792"/>
        <v>X</v>
      </c>
      <c r="N8183" t="s">
        <v>27</v>
      </c>
    </row>
    <row r="8184" spans="1:14" x14ac:dyDescent="0.25">
      <c r="A8184" t="s">
        <v>43</v>
      </c>
      <c r="B8184" t="s">
        <v>15</v>
      </c>
      <c r="C8184" t="s">
        <v>35</v>
      </c>
      <c r="D8184" t="s">
        <v>33</v>
      </c>
      <c r="E8184" t="s">
        <v>21</v>
      </c>
      <c r="F8184" t="s">
        <v>18</v>
      </c>
      <c r="G8184" s="1" t="str">
        <f t="shared" si="1792"/>
        <v>X</v>
      </c>
      <c r="H8184" s="1" t="str">
        <f t="shared" si="1792"/>
        <v>X</v>
      </c>
      <c r="I8184" s="1" t="str">
        <f t="shared" si="1792"/>
        <v>X</v>
      </c>
      <c r="J8184" s="1" t="str">
        <f t="shared" si="1792"/>
        <v>X</v>
      </c>
      <c r="K8184" s="1" t="str">
        <f t="shared" si="1792"/>
        <v>X</v>
      </c>
      <c r="L8184" s="1" t="str">
        <f t="shared" si="1792"/>
        <v>X</v>
      </c>
      <c r="M8184" s="1" t="str">
        <f t="shared" si="1792"/>
        <v>X</v>
      </c>
      <c r="N8184" t="s">
        <v>27</v>
      </c>
    </row>
    <row r="8185" spans="1:14" x14ac:dyDescent="0.25">
      <c r="A8185" t="s">
        <v>43</v>
      </c>
      <c r="B8185" t="s">
        <v>15</v>
      </c>
      <c r="C8185" t="s">
        <v>35</v>
      </c>
      <c r="D8185" t="s">
        <v>33</v>
      </c>
      <c r="E8185" t="s">
        <v>21</v>
      </c>
      <c r="F8185" t="s">
        <v>19</v>
      </c>
      <c r="G8185" s="1" t="str">
        <f t="shared" ref="G8185:M8185" si="1793">"..."</f>
        <v>...</v>
      </c>
      <c r="H8185" s="1" t="str">
        <f t="shared" si="1793"/>
        <v>...</v>
      </c>
      <c r="I8185" s="1" t="str">
        <f t="shared" si="1793"/>
        <v>...</v>
      </c>
      <c r="J8185" s="1" t="str">
        <f t="shared" si="1793"/>
        <v>...</v>
      </c>
      <c r="K8185" s="1" t="str">
        <f t="shared" si="1793"/>
        <v>...</v>
      </c>
      <c r="L8185" s="1" t="str">
        <f t="shared" si="1793"/>
        <v>...</v>
      </c>
      <c r="M8185" s="1" t="str">
        <f t="shared" si="1793"/>
        <v>...</v>
      </c>
      <c r="N8185" t="s">
        <v>30</v>
      </c>
    </row>
    <row r="8186" spans="1:14" x14ac:dyDescent="0.25">
      <c r="A8186" t="s">
        <v>43</v>
      </c>
      <c r="B8186" t="s">
        <v>15</v>
      </c>
      <c r="C8186" t="s">
        <v>35</v>
      </c>
      <c r="D8186" t="s">
        <v>33</v>
      </c>
      <c r="E8186" t="s">
        <v>21</v>
      </c>
      <c r="F8186" t="s">
        <v>20</v>
      </c>
      <c r="G8186" s="1" t="str">
        <f t="shared" ref="G8186:M8187" si="1794">"X"</f>
        <v>X</v>
      </c>
      <c r="H8186" s="1" t="str">
        <f t="shared" si="1794"/>
        <v>X</v>
      </c>
      <c r="I8186" s="1" t="str">
        <f t="shared" si="1794"/>
        <v>X</v>
      </c>
      <c r="J8186" s="1" t="str">
        <f t="shared" si="1794"/>
        <v>X</v>
      </c>
      <c r="K8186" s="1" t="str">
        <f t="shared" si="1794"/>
        <v>X</v>
      </c>
      <c r="L8186" s="1" t="str">
        <f t="shared" si="1794"/>
        <v>X</v>
      </c>
      <c r="M8186" s="1" t="str">
        <f t="shared" si="1794"/>
        <v>X</v>
      </c>
      <c r="N8186" t="s">
        <v>27</v>
      </c>
    </row>
    <row r="8187" spans="1:14" x14ac:dyDescent="0.25">
      <c r="A8187" t="s">
        <v>43</v>
      </c>
      <c r="B8187" t="s">
        <v>15</v>
      </c>
      <c r="C8187" t="s">
        <v>35</v>
      </c>
      <c r="D8187" t="s">
        <v>33</v>
      </c>
      <c r="E8187" t="s">
        <v>22</v>
      </c>
      <c r="F8187" t="s">
        <v>15</v>
      </c>
      <c r="G8187" s="1" t="str">
        <f t="shared" si="1794"/>
        <v>X</v>
      </c>
      <c r="H8187" s="1" t="str">
        <f t="shared" si="1794"/>
        <v>X</v>
      </c>
      <c r="I8187" s="1" t="str">
        <f t="shared" si="1794"/>
        <v>X</v>
      </c>
      <c r="J8187" s="1" t="str">
        <f t="shared" si="1794"/>
        <v>X</v>
      </c>
      <c r="K8187" s="1" t="str">
        <f t="shared" si="1794"/>
        <v>X</v>
      </c>
      <c r="L8187" s="1" t="str">
        <f t="shared" si="1794"/>
        <v>X</v>
      </c>
      <c r="M8187" s="1" t="str">
        <f t="shared" si="1794"/>
        <v>X</v>
      </c>
      <c r="N8187" t="s">
        <v>27</v>
      </c>
    </row>
    <row r="8188" spans="1:14" x14ac:dyDescent="0.25">
      <c r="A8188" t="s">
        <v>43</v>
      </c>
      <c r="B8188" t="s">
        <v>15</v>
      </c>
      <c r="C8188" t="s">
        <v>35</v>
      </c>
      <c r="D8188" t="s">
        <v>33</v>
      </c>
      <c r="E8188" t="s">
        <v>22</v>
      </c>
      <c r="F8188" t="s">
        <v>17</v>
      </c>
      <c r="G8188" s="1" t="str">
        <f t="shared" ref="G8188:M8190" si="1795">"..."</f>
        <v>...</v>
      </c>
      <c r="H8188" s="1" t="str">
        <f t="shared" si="1795"/>
        <v>...</v>
      </c>
      <c r="I8188" s="1" t="str">
        <f t="shared" si="1795"/>
        <v>...</v>
      </c>
      <c r="J8188" s="1" t="str">
        <f t="shared" si="1795"/>
        <v>...</v>
      </c>
      <c r="K8188" s="1" t="str">
        <f t="shared" si="1795"/>
        <v>...</v>
      </c>
      <c r="L8188" s="1" t="str">
        <f t="shared" si="1795"/>
        <v>...</v>
      </c>
      <c r="M8188" s="1" t="str">
        <f t="shared" si="1795"/>
        <v>...</v>
      </c>
      <c r="N8188" t="s">
        <v>30</v>
      </c>
    </row>
    <row r="8189" spans="1:14" x14ac:dyDescent="0.25">
      <c r="A8189" t="s">
        <v>43</v>
      </c>
      <c r="B8189" t="s">
        <v>15</v>
      </c>
      <c r="C8189" t="s">
        <v>35</v>
      </c>
      <c r="D8189" t="s">
        <v>33</v>
      </c>
      <c r="E8189" t="s">
        <v>22</v>
      </c>
      <c r="F8189" t="s">
        <v>18</v>
      </c>
      <c r="G8189" s="1" t="str">
        <f t="shared" si="1795"/>
        <v>...</v>
      </c>
      <c r="H8189" s="1" t="str">
        <f t="shared" si="1795"/>
        <v>...</v>
      </c>
      <c r="I8189" s="1" t="str">
        <f t="shared" si="1795"/>
        <v>...</v>
      </c>
      <c r="J8189" s="1" t="str">
        <f t="shared" si="1795"/>
        <v>...</v>
      </c>
      <c r="K8189" s="1" t="str">
        <f t="shared" si="1795"/>
        <v>...</v>
      </c>
      <c r="L8189" s="1" t="str">
        <f t="shared" si="1795"/>
        <v>...</v>
      </c>
      <c r="M8189" s="1" t="str">
        <f t="shared" si="1795"/>
        <v>...</v>
      </c>
      <c r="N8189" t="s">
        <v>30</v>
      </c>
    </row>
    <row r="8190" spans="1:14" x14ac:dyDescent="0.25">
      <c r="A8190" t="s">
        <v>43</v>
      </c>
      <c r="B8190" t="s">
        <v>15</v>
      </c>
      <c r="C8190" t="s">
        <v>35</v>
      </c>
      <c r="D8190" t="s">
        <v>33</v>
      </c>
      <c r="E8190" t="s">
        <v>22</v>
      </c>
      <c r="F8190" t="s">
        <v>19</v>
      </c>
      <c r="G8190" s="1" t="str">
        <f t="shared" si="1795"/>
        <v>...</v>
      </c>
      <c r="H8190" s="1" t="str">
        <f t="shared" si="1795"/>
        <v>...</v>
      </c>
      <c r="I8190" s="1" t="str">
        <f t="shared" si="1795"/>
        <v>...</v>
      </c>
      <c r="J8190" s="1" t="str">
        <f t="shared" si="1795"/>
        <v>...</v>
      </c>
      <c r="K8190" s="1" t="str">
        <f t="shared" si="1795"/>
        <v>...</v>
      </c>
      <c r="L8190" s="1" t="str">
        <f t="shared" si="1795"/>
        <v>...</v>
      </c>
      <c r="M8190" s="1" t="str">
        <f t="shared" si="1795"/>
        <v>...</v>
      </c>
      <c r="N8190" t="s">
        <v>30</v>
      </c>
    </row>
    <row r="8191" spans="1:14" x14ac:dyDescent="0.25">
      <c r="A8191" t="s">
        <v>43</v>
      </c>
      <c r="B8191" t="s">
        <v>15</v>
      </c>
      <c r="C8191" t="s">
        <v>35</v>
      </c>
      <c r="D8191" t="s">
        <v>33</v>
      </c>
      <c r="E8191" t="s">
        <v>22</v>
      </c>
      <c r="F8191" t="s">
        <v>20</v>
      </c>
      <c r="G8191" s="1" t="str">
        <f t="shared" ref="G8191:M8192" si="1796">"X"</f>
        <v>X</v>
      </c>
      <c r="H8191" s="1" t="str">
        <f t="shared" si="1796"/>
        <v>X</v>
      </c>
      <c r="I8191" s="1" t="str">
        <f t="shared" si="1796"/>
        <v>X</v>
      </c>
      <c r="J8191" s="1" t="str">
        <f t="shared" si="1796"/>
        <v>X</v>
      </c>
      <c r="K8191" s="1" t="str">
        <f t="shared" si="1796"/>
        <v>X</v>
      </c>
      <c r="L8191" s="1" t="str">
        <f t="shared" si="1796"/>
        <v>X</v>
      </c>
      <c r="M8191" s="1" t="str">
        <f t="shared" si="1796"/>
        <v>X</v>
      </c>
      <c r="N8191" t="s">
        <v>27</v>
      </c>
    </row>
    <row r="8192" spans="1:14" x14ac:dyDescent="0.25">
      <c r="A8192" t="s">
        <v>43</v>
      </c>
      <c r="B8192" t="s">
        <v>15</v>
      </c>
      <c r="C8192" t="s">
        <v>35</v>
      </c>
      <c r="D8192" t="s">
        <v>33</v>
      </c>
      <c r="E8192" t="s">
        <v>23</v>
      </c>
      <c r="F8192" t="s">
        <v>15</v>
      </c>
      <c r="G8192" s="1" t="str">
        <f t="shared" si="1796"/>
        <v>X</v>
      </c>
      <c r="H8192" s="1" t="str">
        <f t="shared" si="1796"/>
        <v>X</v>
      </c>
      <c r="I8192" s="1" t="str">
        <f t="shared" si="1796"/>
        <v>X</v>
      </c>
      <c r="J8192" s="1" t="str">
        <f t="shared" si="1796"/>
        <v>X</v>
      </c>
      <c r="K8192" s="1" t="str">
        <f t="shared" si="1796"/>
        <v>X</v>
      </c>
      <c r="L8192" s="1" t="str">
        <f t="shared" si="1796"/>
        <v>X</v>
      </c>
      <c r="M8192" s="1" t="str">
        <f t="shared" si="1796"/>
        <v>X</v>
      </c>
      <c r="N8192" t="s">
        <v>27</v>
      </c>
    </row>
    <row r="8193" spans="1:14" x14ac:dyDescent="0.25">
      <c r="A8193" t="s">
        <v>43</v>
      </c>
      <c r="B8193" t="s">
        <v>15</v>
      </c>
      <c r="C8193" t="s">
        <v>35</v>
      </c>
      <c r="D8193" t="s">
        <v>33</v>
      </c>
      <c r="E8193" t="s">
        <v>23</v>
      </c>
      <c r="F8193" t="s">
        <v>17</v>
      </c>
      <c r="G8193" s="1" t="str">
        <f t="shared" ref="G8193:M8194" si="1797">"..."</f>
        <v>...</v>
      </c>
      <c r="H8193" s="1" t="str">
        <f t="shared" si="1797"/>
        <v>...</v>
      </c>
      <c r="I8193" s="1" t="str">
        <f t="shared" si="1797"/>
        <v>...</v>
      </c>
      <c r="J8193" s="1" t="str">
        <f t="shared" si="1797"/>
        <v>...</v>
      </c>
      <c r="K8193" s="1" t="str">
        <f t="shared" si="1797"/>
        <v>...</v>
      </c>
      <c r="L8193" s="1" t="str">
        <f t="shared" si="1797"/>
        <v>...</v>
      </c>
      <c r="M8193" s="1" t="str">
        <f t="shared" si="1797"/>
        <v>...</v>
      </c>
      <c r="N8193" t="s">
        <v>30</v>
      </c>
    </row>
    <row r="8194" spans="1:14" x14ac:dyDescent="0.25">
      <c r="A8194" t="s">
        <v>43</v>
      </c>
      <c r="B8194" t="s">
        <v>15</v>
      </c>
      <c r="C8194" t="s">
        <v>35</v>
      </c>
      <c r="D8194" t="s">
        <v>33</v>
      </c>
      <c r="E8194" t="s">
        <v>23</v>
      </c>
      <c r="F8194" t="s">
        <v>18</v>
      </c>
      <c r="G8194" s="1" t="str">
        <f t="shared" si="1797"/>
        <v>...</v>
      </c>
      <c r="H8194" s="1" t="str">
        <f t="shared" si="1797"/>
        <v>...</v>
      </c>
      <c r="I8194" s="1" t="str">
        <f t="shared" si="1797"/>
        <v>...</v>
      </c>
      <c r="J8194" s="1" t="str">
        <f t="shared" si="1797"/>
        <v>...</v>
      </c>
      <c r="K8194" s="1" t="str">
        <f t="shared" si="1797"/>
        <v>...</v>
      </c>
      <c r="L8194" s="1" t="str">
        <f t="shared" si="1797"/>
        <v>...</v>
      </c>
      <c r="M8194" s="1" t="str">
        <f t="shared" si="1797"/>
        <v>...</v>
      </c>
      <c r="N8194" t="s">
        <v>30</v>
      </c>
    </row>
    <row r="8195" spans="1:14" x14ac:dyDescent="0.25">
      <c r="A8195" t="s">
        <v>43</v>
      </c>
      <c r="B8195" t="s">
        <v>15</v>
      </c>
      <c r="C8195" t="s">
        <v>35</v>
      </c>
      <c r="D8195" t="s">
        <v>33</v>
      </c>
      <c r="E8195" t="s">
        <v>23</v>
      </c>
      <c r="F8195" t="s">
        <v>19</v>
      </c>
      <c r="G8195" s="1" t="str">
        <f t="shared" ref="G8195:M8197" si="1798">"X"</f>
        <v>X</v>
      </c>
      <c r="H8195" s="1" t="str">
        <f t="shared" si="1798"/>
        <v>X</v>
      </c>
      <c r="I8195" s="1" t="str">
        <f t="shared" si="1798"/>
        <v>X</v>
      </c>
      <c r="J8195" s="1" t="str">
        <f t="shared" si="1798"/>
        <v>X</v>
      </c>
      <c r="K8195" s="1" t="str">
        <f t="shared" si="1798"/>
        <v>X</v>
      </c>
      <c r="L8195" s="1" t="str">
        <f t="shared" si="1798"/>
        <v>X</v>
      </c>
      <c r="M8195" s="1" t="str">
        <f t="shared" si="1798"/>
        <v>X</v>
      </c>
      <c r="N8195" t="s">
        <v>27</v>
      </c>
    </row>
    <row r="8196" spans="1:14" x14ac:dyDescent="0.25">
      <c r="A8196" t="s">
        <v>43</v>
      </c>
      <c r="B8196" t="s">
        <v>15</v>
      </c>
      <c r="C8196" t="s">
        <v>35</v>
      </c>
      <c r="D8196" t="s">
        <v>33</v>
      </c>
      <c r="E8196" t="s">
        <v>23</v>
      </c>
      <c r="F8196" t="s">
        <v>20</v>
      </c>
      <c r="G8196" s="1" t="str">
        <f t="shared" si="1798"/>
        <v>X</v>
      </c>
      <c r="H8196" s="1" t="str">
        <f t="shared" si="1798"/>
        <v>X</v>
      </c>
      <c r="I8196" s="1" t="str">
        <f t="shared" si="1798"/>
        <v>X</v>
      </c>
      <c r="J8196" s="1" t="str">
        <f t="shared" si="1798"/>
        <v>X</v>
      </c>
      <c r="K8196" s="1" t="str">
        <f t="shared" si="1798"/>
        <v>X</v>
      </c>
      <c r="L8196" s="1" t="str">
        <f t="shared" si="1798"/>
        <v>X</v>
      </c>
      <c r="M8196" s="1" t="str">
        <f t="shared" si="1798"/>
        <v>X</v>
      </c>
      <c r="N8196" t="s">
        <v>27</v>
      </c>
    </row>
    <row r="8197" spans="1:14" x14ac:dyDescent="0.25">
      <c r="A8197" t="s">
        <v>43</v>
      </c>
      <c r="B8197" t="s">
        <v>15</v>
      </c>
      <c r="C8197" t="s">
        <v>35</v>
      </c>
      <c r="D8197" t="s">
        <v>33</v>
      </c>
      <c r="E8197" t="s">
        <v>26</v>
      </c>
      <c r="F8197" t="s">
        <v>15</v>
      </c>
      <c r="G8197" s="1" t="str">
        <f t="shared" si="1798"/>
        <v>X</v>
      </c>
      <c r="H8197" s="1" t="str">
        <f t="shared" si="1798"/>
        <v>X</v>
      </c>
      <c r="I8197" s="1" t="str">
        <f t="shared" si="1798"/>
        <v>X</v>
      </c>
      <c r="J8197" s="1" t="str">
        <f t="shared" si="1798"/>
        <v>X</v>
      </c>
      <c r="K8197" s="1" t="str">
        <f t="shared" si="1798"/>
        <v>X</v>
      </c>
      <c r="L8197" s="1" t="str">
        <f t="shared" si="1798"/>
        <v>X</v>
      </c>
      <c r="M8197" s="1" t="str">
        <f t="shared" si="1798"/>
        <v>X</v>
      </c>
      <c r="N8197" t="s">
        <v>27</v>
      </c>
    </row>
    <row r="8198" spans="1:14" x14ac:dyDescent="0.25">
      <c r="A8198" t="s">
        <v>43</v>
      </c>
      <c r="B8198" t="s">
        <v>15</v>
      </c>
      <c r="C8198" t="s">
        <v>35</v>
      </c>
      <c r="D8198" t="s">
        <v>33</v>
      </c>
      <c r="E8198" t="s">
        <v>26</v>
      </c>
      <c r="F8198" t="s">
        <v>17</v>
      </c>
      <c r="G8198" s="1" t="str">
        <f t="shared" ref="G8198:M8200" si="1799">"..."</f>
        <v>...</v>
      </c>
      <c r="H8198" s="1" t="str">
        <f t="shared" si="1799"/>
        <v>...</v>
      </c>
      <c r="I8198" s="1" t="str">
        <f t="shared" si="1799"/>
        <v>...</v>
      </c>
      <c r="J8198" s="1" t="str">
        <f t="shared" si="1799"/>
        <v>...</v>
      </c>
      <c r="K8198" s="1" t="str">
        <f t="shared" si="1799"/>
        <v>...</v>
      </c>
      <c r="L8198" s="1" t="str">
        <f t="shared" si="1799"/>
        <v>...</v>
      </c>
      <c r="M8198" s="1" t="str">
        <f t="shared" si="1799"/>
        <v>...</v>
      </c>
      <c r="N8198" t="s">
        <v>30</v>
      </c>
    </row>
    <row r="8199" spans="1:14" x14ac:dyDescent="0.25">
      <c r="A8199" t="s">
        <v>43</v>
      </c>
      <c r="B8199" t="s">
        <v>15</v>
      </c>
      <c r="C8199" t="s">
        <v>35</v>
      </c>
      <c r="D8199" t="s">
        <v>33</v>
      </c>
      <c r="E8199" t="s">
        <v>26</v>
      </c>
      <c r="F8199" t="s">
        <v>18</v>
      </c>
      <c r="G8199" s="1" t="str">
        <f t="shared" si="1799"/>
        <v>...</v>
      </c>
      <c r="H8199" s="1" t="str">
        <f t="shared" si="1799"/>
        <v>...</v>
      </c>
      <c r="I8199" s="1" t="str">
        <f t="shared" si="1799"/>
        <v>...</v>
      </c>
      <c r="J8199" s="1" t="str">
        <f t="shared" si="1799"/>
        <v>...</v>
      </c>
      <c r="K8199" s="1" t="str">
        <f t="shared" si="1799"/>
        <v>...</v>
      </c>
      <c r="L8199" s="1" t="str">
        <f t="shared" si="1799"/>
        <v>...</v>
      </c>
      <c r="M8199" s="1" t="str">
        <f t="shared" si="1799"/>
        <v>...</v>
      </c>
      <c r="N8199" t="s">
        <v>30</v>
      </c>
    </row>
    <row r="8200" spans="1:14" x14ac:dyDescent="0.25">
      <c r="A8200" t="s">
        <v>43</v>
      </c>
      <c r="B8200" t="s">
        <v>15</v>
      </c>
      <c r="C8200" t="s">
        <v>35</v>
      </c>
      <c r="D8200" t="s">
        <v>33</v>
      </c>
      <c r="E8200" t="s">
        <v>26</v>
      </c>
      <c r="F8200" t="s">
        <v>19</v>
      </c>
      <c r="G8200" s="1" t="str">
        <f t="shared" si="1799"/>
        <v>...</v>
      </c>
      <c r="H8200" s="1" t="str">
        <f t="shared" si="1799"/>
        <v>...</v>
      </c>
      <c r="I8200" s="1" t="str">
        <f t="shared" si="1799"/>
        <v>...</v>
      </c>
      <c r="J8200" s="1" t="str">
        <f t="shared" si="1799"/>
        <v>...</v>
      </c>
      <c r="K8200" s="1" t="str">
        <f t="shared" si="1799"/>
        <v>...</v>
      </c>
      <c r="L8200" s="1" t="str">
        <f t="shared" si="1799"/>
        <v>...</v>
      </c>
      <c r="M8200" s="1" t="str">
        <f t="shared" si="1799"/>
        <v>...</v>
      </c>
      <c r="N8200" t="s">
        <v>30</v>
      </c>
    </row>
    <row r="8201" spans="1:14" x14ac:dyDescent="0.25">
      <c r="A8201" t="s">
        <v>43</v>
      </c>
      <c r="B8201" t="s">
        <v>15</v>
      </c>
      <c r="C8201" t="s">
        <v>35</v>
      </c>
      <c r="D8201" t="s">
        <v>33</v>
      </c>
      <c r="E8201" t="s">
        <v>26</v>
      </c>
      <c r="F8201" t="s">
        <v>20</v>
      </c>
      <c r="G8201" s="1" t="str">
        <f t="shared" ref="G8201:M8202" si="1800">"X"</f>
        <v>X</v>
      </c>
      <c r="H8201" s="1" t="str">
        <f t="shared" si="1800"/>
        <v>X</v>
      </c>
      <c r="I8201" s="1" t="str">
        <f t="shared" si="1800"/>
        <v>X</v>
      </c>
      <c r="J8201" s="1" t="str">
        <f t="shared" si="1800"/>
        <v>X</v>
      </c>
      <c r="K8201" s="1" t="str">
        <f t="shared" si="1800"/>
        <v>X</v>
      </c>
      <c r="L8201" s="1" t="str">
        <f t="shared" si="1800"/>
        <v>X</v>
      </c>
      <c r="M8201" s="1" t="str">
        <f t="shared" si="1800"/>
        <v>X</v>
      </c>
      <c r="N8201" t="s">
        <v>27</v>
      </c>
    </row>
    <row r="8202" spans="1:14" x14ac:dyDescent="0.25">
      <c r="A8202" t="s">
        <v>43</v>
      </c>
      <c r="B8202" t="s">
        <v>15</v>
      </c>
      <c r="C8202" t="s">
        <v>35</v>
      </c>
      <c r="D8202" t="s">
        <v>34</v>
      </c>
      <c r="E8202" t="s">
        <v>15</v>
      </c>
      <c r="F8202" t="s">
        <v>15</v>
      </c>
      <c r="G8202" s="1" t="str">
        <f t="shared" si="1800"/>
        <v>X</v>
      </c>
      <c r="H8202" s="1" t="str">
        <f t="shared" si="1800"/>
        <v>X</v>
      </c>
      <c r="I8202" s="1" t="str">
        <f t="shared" si="1800"/>
        <v>X</v>
      </c>
      <c r="J8202" s="1" t="str">
        <f t="shared" si="1800"/>
        <v>X</v>
      </c>
      <c r="K8202" s="1" t="str">
        <f t="shared" si="1800"/>
        <v>X</v>
      </c>
      <c r="L8202" s="1" t="str">
        <f t="shared" si="1800"/>
        <v>X</v>
      </c>
      <c r="M8202" s="1" t="str">
        <f t="shared" si="1800"/>
        <v>X</v>
      </c>
      <c r="N8202" t="s">
        <v>27</v>
      </c>
    </row>
    <row r="8203" spans="1:14" x14ac:dyDescent="0.25">
      <c r="A8203" t="s">
        <v>43</v>
      </c>
      <c r="B8203" t="s">
        <v>15</v>
      </c>
      <c r="C8203" t="s">
        <v>35</v>
      </c>
      <c r="D8203" t="s">
        <v>34</v>
      </c>
      <c r="E8203" t="s">
        <v>15</v>
      </c>
      <c r="F8203" t="s">
        <v>17</v>
      </c>
      <c r="G8203" s="1" t="str">
        <f t="shared" ref="G8203:M8205" si="1801">"..."</f>
        <v>...</v>
      </c>
      <c r="H8203" s="1" t="str">
        <f t="shared" si="1801"/>
        <v>...</v>
      </c>
      <c r="I8203" s="1" t="str">
        <f t="shared" si="1801"/>
        <v>...</v>
      </c>
      <c r="J8203" s="1" t="str">
        <f t="shared" si="1801"/>
        <v>...</v>
      </c>
      <c r="K8203" s="1" t="str">
        <f t="shared" si="1801"/>
        <v>...</v>
      </c>
      <c r="L8203" s="1" t="str">
        <f t="shared" si="1801"/>
        <v>...</v>
      </c>
      <c r="M8203" s="1" t="str">
        <f t="shared" si="1801"/>
        <v>...</v>
      </c>
      <c r="N8203" t="s">
        <v>30</v>
      </c>
    </row>
    <row r="8204" spans="1:14" x14ac:dyDescent="0.25">
      <c r="A8204" t="s">
        <v>43</v>
      </c>
      <c r="B8204" t="s">
        <v>15</v>
      </c>
      <c r="C8204" t="s">
        <v>35</v>
      </c>
      <c r="D8204" t="s">
        <v>34</v>
      </c>
      <c r="E8204" t="s">
        <v>15</v>
      </c>
      <c r="F8204" t="s">
        <v>18</v>
      </c>
      <c r="G8204" s="1" t="str">
        <f t="shared" si="1801"/>
        <v>...</v>
      </c>
      <c r="H8204" s="1" t="str">
        <f t="shared" si="1801"/>
        <v>...</v>
      </c>
      <c r="I8204" s="1" t="str">
        <f t="shared" si="1801"/>
        <v>...</v>
      </c>
      <c r="J8204" s="1" t="str">
        <f t="shared" si="1801"/>
        <v>...</v>
      </c>
      <c r="K8204" s="1" t="str">
        <f t="shared" si="1801"/>
        <v>...</v>
      </c>
      <c r="L8204" s="1" t="str">
        <f t="shared" si="1801"/>
        <v>...</v>
      </c>
      <c r="M8204" s="1" t="str">
        <f t="shared" si="1801"/>
        <v>...</v>
      </c>
      <c r="N8204" t="s">
        <v>30</v>
      </c>
    </row>
    <row r="8205" spans="1:14" x14ac:dyDescent="0.25">
      <c r="A8205" t="s">
        <v>43</v>
      </c>
      <c r="B8205" t="s">
        <v>15</v>
      </c>
      <c r="C8205" t="s">
        <v>35</v>
      </c>
      <c r="D8205" t="s">
        <v>34</v>
      </c>
      <c r="E8205" t="s">
        <v>15</v>
      </c>
      <c r="F8205" t="s">
        <v>19</v>
      </c>
      <c r="G8205" s="1" t="str">
        <f t="shared" si="1801"/>
        <v>...</v>
      </c>
      <c r="H8205" s="1" t="str">
        <f t="shared" si="1801"/>
        <v>...</v>
      </c>
      <c r="I8205" s="1" t="str">
        <f t="shared" si="1801"/>
        <v>...</v>
      </c>
      <c r="J8205" s="1" t="str">
        <f t="shared" si="1801"/>
        <v>...</v>
      </c>
      <c r="K8205" s="1" t="str">
        <f t="shared" si="1801"/>
        <v>...</v>
      </c>
      <c r="L8205" s="1" t="str">
        <f t="shared" si="1801"/>
        <v>...</v>
      </c>
      <c r="M8205" s="1" t="str">
        <f t="shared" si="1801"/>
        <v>...</v>
      </c>
      <c r="N8205" t="s">
        <v>30</v>
      </c>
    </row>
    <row r="8206" spans="1:14" x14ac:dyDescent="0.25">
      <c r="A8206" t="s">
        <v>43</v>
      </c>
      <c r="B8206" t="s">
        <v>15</v>
      </c>
      <c r="C8206" t="s">
        <v>35</v>
      </c>
      <c r="D8206" t="s">
        <v>34</v>
      </c>
      <c r="E8206" t="s">
        <v>15</v>
      </c>
      <c r="F8206" t="s">
        <v>20</v>
      </c>
      <c r="G8206" s="1" t="str">
        <f t="shared" ref="G8206:M8206" si="1802">"X"</f>
        <v>X</v>
      </c>
      <c r="H8206" s="1" t="str">
        <f t="shared" si="1802"/>
        <v>X</v>
      </c>
      <c r="I8206" s="1" t="str">
        <f t="shared" si="1802"/>
        <v>X</v>
      </c>
      <c r="J8206" s="1" t="str">
        <f t="shared" si="1802"/>
        <v>X</v>
      </c>
      <c r="K8206" s="1" t="str">
        <f t="shared" si="1802"/>
        <v>X</v>
      </c>
      <c r="L8206" s="1" t="str">
        <f t="shared" si="1802"/>
        <v>X</v>
      </c>
      <c r="M8206" s="1" t="str">
        <f t="shared" si="1802"/>
        <v>X</v>
      </c>
      <c r="N8206" t="s">
        <v>27</v>
      </c>
    </row>
    <row r="8207" spans="1:14" x14ac:dyDescent="0.25">
      <c r="A8207" t="s">
        <v>43</v>
      </c>
      <c r="B8207" t="s">
        <v>15</v>
      </c>
      <c r="C8207" t="s">
        <v>35</v>
      </c>
      <c r="D8207" t="s">
        <v>34</v>
      </c>
      <c r="E8207" t="s">
        <v>21</v>
      </c>
      <c r="F8207" t="s">
        <v>15</v>
      </c>
      <c r="G8207" s="1" t="str">
        <f t="shared" ref="G8207:M8211" si="1803">"..."</f>
        <v>...</v>
      </c>
      <c r="H8207" s="1" t="str">
        <f t="shared" si="1803"/>
        <v>...</v>
      </c>
      <c r="I8207" s="1" t="str">
        <f t="shared" si="1803"/>
        <v>...</v>
      </c>
      <c r="J8207" s="1" t="str">
        <f t="shared" si="1803"/>
        <v>...</v>
      </c>
      <c r="K8207" s="1" t="str">
        <f t="shared" si="1803"/>
        <v>...</v>
      </c>
      <c r="L8207" s="1" t="str">
        <f t="shared" si="1803"/>
        <v>...</v>
      </c>
      <c r="M8207" s="1" t="str">
        <f t="shared" si="1803"/>
        <v>...</v>
      </c>
      <c r="N8207" t="s">
        <v>30</v>
      </c>
    </row>
    <row r="8208" spans="1:14" x14ac:dyDescent="0.25">
      <c r="A8208" t="s">
        <v>43</v>
      </c>
      <c r="B8208" t="s">
        <v>15</v>
      </c>
      <c r="C8208" t="s">
        <v>35</v>
      </c>
      <c r="D8208" t="s">
        <v>34</v>
      </c>
      <c r="E8208" t="s">
        <v>21</v>
      </c>
      <c r="F8208" t="s">
        <v>17</v>
      </c>
      <c r="G8208" s="1" t="str">
        <f t="shared" si="1803"/>
        <v>...</v>
      </c>
      <c r="H8208" s="1" t="str">
        <f t="shared" si="1803"/>
        <v>...</v>
      </c>
      <c r="I8208" s="1" t="str">
        <f t="shared" si="1803"/>
        <v>...</v>
      </c>
      <c r="J8208" s="1" t="str">
        <f t="shared" si="1803"/>
        <v>...</v>
      </c>
      <c r="K8208" s="1" t="str">
        <f t="shared" si="1803"/>
        <v>...</v>
      </c>
      <c r="L8208" s="1" t="str">
        <f t="shared" si="1803"/>
        <v>...</v>
      </c>
      <c r="M8208" s="1" t="str">
        <f t="shared" si="1803"/>
        <v>...</v>
      </c>
      <c r="N8208" t="s">
        <v>30</v>
      </c>
    </row>
    <row r="8209" spans="1:14" x14ac:dyDescent="0.25">
      <c r="A8209" t="s">
        <v>43</v>
      </c>
      <c r="B8209" t="s">
        <v>15</v>
      </c>
      <c r="C8209" t="s">
        <v>35</v>
      </c>
      <c r="D8209" t="s">
        <v>34</v>
      </c>
      <c r="E8209" t="s">
        <v>21</v>
      </c>
      <c r="F8209" t="s">
        <v>18</v>
      </c>
      <c r="G8209" s="1" t="str">
        <f t="shared" si="1803"/>
        <v>...</v>
      </c>
      <c r="H8209" s="1" t="str">
        <f t="shared" si="1803"/>
        <v>...</v>
      </c>
      <c r="I8209" s="1" t="str">
        <f t="shared" si="1803"/>
        <v>...</v>
      </c>
      <c r="J8209" s="1" t="str">
        <f t="shared" si="1803"/>
        <v>...</v>
      </c>
      <c r="K8209" s="1" t="str">
        <f t="shared" si="1803"/>
        <v>...</v>
      </c>
      <c r="L8209" s="1" t="str">
        <f t="shared" si="1803"/>
        <v>...</v>
      </c>
      <c r="M8209" s="1" t="str">
        <f t="shared" si="1803"/>
        <v>...</v>
      </c>
      <c r="N8209" t="s">
        <v>30</v>
      </c>
    </row>
    <row r="8210" spans="1:14" x14ac:dyDescent="0.25">
      <c r="A8210" t="s">
        <v>43</v>
      </c>
      <c r="B8210" t="s">
        <v>15</v>
      </c>
      <c r="C8210" t="s">
        <v>35</v>
      </c>
      <c r="D8210" t="s">
        <v>34</v>
      </c>
      <c r="E8210" t="s">
        <v>21</v>
      </c>
      <c r="F8210" t="s">
        <v>19</v>
      </c>
      <c r="G8210" s="1" t="str">
        <f t="shared" si="1803"/>
        <v>...</v>
      </c>
      <c r="H8210" s="1" t="str">
        <f t="shared" si="1803"/>
        <v>...</v>
      </c>
      <c r="I8210" s="1" t="str">
        <f t="shared" si="1803"/>
        <v>...</v>
      </c>
      <c r="J8210" s="1" t="str">
        <f t="shared" si="1803"/>
        <v>...</v>
      </c>
      <c r="K8210" s="1" t="str">
        <f t="shared" si="1803"/>
        <v>...</v>
      </c>
      <c r="L8210" s="1" t="str">
        <f t="shared" si="1803"/>
        <v>...</v>
      </c>
      <c r="M8210" s="1" t="str">
        <f t="shared" si="1803"/>
        <v>...</v>
      </c>
      <c r="N8210" t="s">
        <v>30</v>
      </c>
    </row>
    <row r="8211" spans="1:14" x14ac:dyDescent="0.25">
      <c r="A8211" t="s">
        <v>43</v>
      </c>
      <c r="B8211" t="s">
        <v>15</v>
      </c>
      <c r="C8211" t="s">
        <v>35</v>
      </c>
      <c r="D8211" t="s">
        <v>34</v>
      </c>
      <c r="E8211" t="s">
        <v>21</v>
      </c>
      <c r="F8211" t="s">
        <v>20</v>
      </c>
      <c r="G8211" s="1" t="str">
        <f t="shared" si="1803"/>
        <v>...</v>
      </c>
      <c r="H8211" s="1" t="str">
        <f t="shared" si="1803"/>
        <v>...</v>
      </c>
      <c r="I8211" s="1" t="str">
        <f t="shared" si="1803"/>
        <v>...</v>
      </c>
      <c r="J8211" s="1" t="str">
        <f t="shared" si="1803"/>
        <v>...</v>
      </c>
      <c r="K8211" s="1" t="str">
        <f t="shared" si="1803"/>
        <v>...</v>
      </c>
      <c r="L8211" s="1" t="str">
        <f t="shared" si="1803"/>
        <v>...</v>
      </c>
      <c r="M8211" s="1" t="str">
        <f t="shared" si="1803"/>
        <v>...</v>
      </c>
      <c r="N8211" t="s">
        <v>30</v>
      </c>
    </row>
    <row r="8212" spans="1:14" x14ac:dyDescent="0.25">
      <c r="A8212" t="s">
        <v>43</v>
      </c>
      <c r="B8212" t="s">
        <v>15</v>
      </c>
      <c r="C8212" t="s">
        <v>35</v>
      </c>
      <c r="D8212" t="s">
        <v>34</v>
      </c>
      <c r="E8212" t="s">
        <v>22</v>
      </c>
      <c r="F8212" t="s">
        <v>15</v>
      </c>
      <c r="G8212" s="1" t="str">
        <f t="shared" ref="G8212:M8212" si="1804">"X"</f>
        <v>X</v>
      </c>
      <c r="H8212" s="1" t="str">
        <f t="shared" si="1804"/>
        <v>X</v>
      </c>
      <c r="I8212" s="1" t="str">
        <f t="shared" si="1804"/>
        <v>X</v>
      </c>
      <c r="J8212" s="1" t="str">
        <f t="shared" si="1804"/>
        <v>X</v>
      </c>
      <c r="K8212" s="1" t="str">
        <f t="shared" si="1804"/>
        <v>X</v>
      </c>
      <c r="L8212" s="1" t="str">
        <f t="shared" si="1804"/>
        <v>X</v>
      </c>
      <c r="M8212" s="1" t="str">
        <f t="shared" si="1804"/>
        <v>X</v>
      </c>
      <c r="N8212" t="s">
        <v>27</v>
      </c>
    </row>
    <row r="8213" spans="1:14" x14ac:dyDescent="0.25">
      <c r="A8213" t="s">
        <v>43</v>
      </c>
      <c r="B8213" t="s">
        <v>15</v>
      </c>
      <c r="C8213" t="s">
        <v>35</v>
      </c>
      <c r="D8213" t="s">
        <v>34</v>
      </c>
      <c r="E8213" t="s">
        <v>22</v>
      </c>
      <c r="F8213" t="s">
        <v>17</v>
      </c>
      <c r="G8213" s="1" t="str">
        <f t="shared" ref="G8213:M8215" si="1805">"..."</f>
        <v>...</v>
      </c>
      <c r="H8213" s="1" t="str">
        <f t="shared" si="1805"/>
        <v>...</v>
      </c>
      <c r="I8213" s="1" t="str">
        <f t="shared" si="1805"/>
        <v>...</v>
      </c>
      <c r="J8213" s="1" t="str">
        <f t="shared" si="1805"/>
        <v>...</v>
      </c>
      <c r="K8213" s="1" t="str">
        <f t="shared" si="1805"/>
        <v>...</v>
      </c>
      <c r="L8213" s="1" t="str">
        <f t="shared" si="1805"/>
        <v>...</v>
      </c>
      <c r="M8213" s="1" t="str">
        <f t="shared" si="1805"/>
        <v>...</v>
      </c>
      <c r="N8213" t="s">
        <v>30</v>
      </c>
    </row>
    <row r="8214" spans="1:14" x14ac:dyDescent="0.25">
      <c r="A8214" t="s">
        <v>43</v>
      </c>
      <c r="B8214" t="s">
        <v>15</v>
      </c>
      <c r="C8214" t="s">
        <v>35</v>
      </c>
      <c r="D8214" t="s">
        <v>34</v>
      </c>
      <c r="E8214" t="s">
        <v>22</v>
      </c>
      <c r="F8214" t="s">
        <v>18</v>
      </c>
      <c r="G8214" s="1" t="str">
        <f t="shared" si="1805"/>
        <v>...</v>
      </c>
      <c r="H8214" s="1" t="str">
        <f t="shared" si="1805"/>
        <v>...</v>
      </c>
      <c r="I8214" s="1" t="str">
        <f t="shared" si="1805"/>
        <v>...</v>
      </c>
      <c r="J8214" s="1" t="str">
        <f t="shared" si="1805"/>
        <v>...</v>
      </c>
      <c r="K8214" s="1" t="str">
        <f t="shared" si="1805"/>
        <v>...</v>
      </c>
      <c r="L8214" s="1" t="str">
        <f t="shared" si="1805"/>
        <v>...</v>
      </c>
      <c r="M8214" s="1" t="str">
        <f t="shared" si="1805"/>
        <v>...</v>
      </c>
      <c r="N8214" t="s">
        <v>30</v>
      </c>
    </row>
    <row r="8215" spans="1:14" x14ac:dyDescent="0.25">
      <c r="A8215" t="s">
        <v>43</v>
      </c>
      <c r="B8215" t="s">
        <v>15</v>
      </c>
      <c r="C8215" t="s">
        <v>35</v>
      </c>
      <c r="D8215" t="s">
        <v>34</v>
      </c>
      <c r="E8215" t="s">
        <v>22</v>
      </c>
      <c r="F8215" t="s">
        <v>19</v>
      </c>
      <c r="G8215" s="1" t="str">
        <f t="shared" si="1805"/>
        <v>...</v>
      </c>
      <c r="H8215" s="1" t="str">
        <f t="shared" si="1805"/>
        <v>...</v>
      </c>
      <c r="I8215" s="1" t="str">
        <f t="shared" si="1805"/>
        <v>...</v>
      </c>
      <c r="J8215" s="1" t="str">
        <f t="shared" si="1805"/>
        <v>...</v>
      </c>
      <c r="K8215" s="1" t="str">
        <f t="shared" si="1805"/>
        <v>...</v>
      </c>
      <c r="L8215" s="1" t="str">
        <f t="shared" si="1805"/>
        <v>...</v>
      </c>
      <c r="M8215" s="1" t="str">
        <f t="shared" si="1805"/>
        <v>...</v>
      </c>
      <c r="N8215" t="s">
        <v>30</v>
      </c>
    </row>
    <row r="8216" spans="1:14" x14ac:dyDescent="0.25">
      <c r="A8216" t="s">
        <v>43</v>
      </c>
      <c r="B8216" t="s">
        <v>15</v>
      </c>
      <c r="C8216" t="s">
        <v>35</v>
      </c>
      <c r="D8216" t="s">
        <v>34</v>
      </c>
      <c r="E8216" t="s">
        <v>22</v>
      </c>
      <c r="F8216" t="s">
        <v>20</v>
      </c>
      <c r="G8216" s="1" t="str">
        <f t="shared" ref="G8216:M8217" si="1806">"X"</f>
        <v>X</v>
      </c>
      <c r="H8216" s="1" t="str">
        <f t="shared" si="1806"/>
        <v>X</v>
      </c>
      <c r="I8216" s="1" t="str">
        <f t="shared" si="1806"/>
        <v>X</v>
      </c>
      <c r="J8216" s="1" t="str">
        <f t="shared" si="1806"/>
        <v>X</v>
      </c>
      <c r="K8216" s="1" t="str">
        <f t="shared" si="1806"/>
        <v>X</v>
      </c>
      <c r="L8216" s="1" t="str">
        <f t="shared" si="1806"/>
        <v>X</v>
      </c>
      <c r="M8216" s="1" t="str">
        <f t="shared" si="1806"/>
        <v>X</v>
      </c>
      <c r="N8216" t="s">
        <v>27</v>
      </c>
    </row>
    <row r="8217" spans="1:14" x14ac:dyDescent="0.25">
      <c r="A8217" t="s">
        <v>43</v>
      </c>
      <c r="B8217" t="s">
        <v>15</v>
      </c>
      <c r="C8217" t="s">
        <v>35</v>
      </c>
      <c r="D8217" t="s">
        <v>34</v>
      </c>
      <c r="E8217" t="s">
        <v>23</v>
      </c>
      <c r="F8217" t="s">
        <v>15</v>
      </c>
      <c r="G8217" s="1" t="str">
        <f t="shared" si="1806"/>
        <v>X</v>
      </c>
      <c r="H8217" s="1" t="str">
        <f t="shared" si="1806"/>
        <v>X</v>
      </c>
      <c r="I8217" s="1" t="str">
        <f t="shared" si="1806"/>
        <v>X</v>
      </c>
      <c r="J8217" s="1" t="str">
        <f t="shared" si="1806"/>
        <v>X</v>
      </c>
      <c r="K8217" s="1" t="str">
        <f t="shared" si="1806"/>
        <v>X</v>
      </c>
      <c r="L8217" s="1" t="str">
        <f t="shared" si="1806"/>
        <v>X</v>
      </c>
      <c r="M8217" s="1" t="str">
        <f t="shared" si="1806"/>
        <v>X</v>
      </c>
      <c r="N8217" t="s">
        <v>27</v>
      </c>
    </row>
    <row r="8218" spans="1:14" x14ac:dyDescent="0.25">
      <c r="A8218" t="s">
        <v>43</v>
      </c>
      <c r="B8218" t="s">
        <v>15</v>
      </c>
      <c r="C8218" t="s">
        <v>35</v>
      </c>
      <c r="D8218" t="s">
        <v>34</v>
      </c>
      <c r="E8218" t="s">
        <v>23</v>
      </c>
      <c r="F8218" t="s">
        <v>17</v>
      </c>
      <c r="G8218" s="1" t="str">
        <f t="shared" ref="G8218:M8220" si="1807">"..."</f>
        <v>...</v>
      </c>
      <c r="H8218" s="1" t="str">
        <f t="shared" si="1807"/>
        <v>...</v>
      </c>
      <c r="I8218" s="1" t="str">
        <f t="shared" si="1807"/>
        <v>...</v>
      </c>
      <c r="J8218" s="1" t="str">
        <f t="shared" si="1807"/>
        <v>...</v>
      </c>
      <c r="K8218" s="1" t="str">
        <f t="shared" si="1807"/>
        <v>...</v>
      </c>
      <c r="L8218" s="1" t="str">
        <f t="shared" si="1807"/>
        <v>...</v>
      </c>
      <c r="M8218" s="1" t="str">
        <f t="shared" si="1807"/>
        <v>...</v>
      </c>
      <c r="N8218" t="s">
        <v>30</v>
      </c>
    </row>
    <row r="8219" spans="1:14" x14ac:dyDescent="0.25">
      <c r="A8219" t="s">
        <v>43</v>
      </c>
      <c r="B8219" t="s">
        <v>15</v>
      </c>
      <c r="C8219" t="s">
        <v>35</v>
      </c>
      <c r="D8219" t="s">
        <v>34</v>
      </c>
      <c r="E8219" t="s">
        <v>23</v>
      </c>
      <c r="F8219" t="s">
        <v>18</v>
      </c>
      <c r="G8219" s="1" t="str">
        <f t="shared" si="1807"/>
        <v>...</v>
      </c>
      <c r="H8219" s="1" t="str">
        <f t="shared" si="1807"/>
        <v>...</v>
      </c>
      <c r="I8219" s="1" t="str">
        <f t="shared" si="1807"/>
        <v>...</v>
      </c>
      <c r="J8219" s="1" t="str">
        <f t="shared" si="1807"/>
        <v>...</v>
      </c>
      <c r="K8219" s="1" t="str">
        <f t="shared" si="1807"/>
        <v>...</v>
      </c>
      <c r="L8219" s="1" t="str">
        <f t="shared" si="1807"/>
        <v>...</v>
      </c>
      <c r="M8219" s="1" t="str">
        <f t="shared" si="1807"/>
        <v>...</v>
      </c>
      <c r="N8219" t="s">
        <v>30</v>
      </c>
    </row>
    <row r="8220" spans="1:14" x14ac:dyDescent="0.25">
      <c r="A8220" t="s">
        <v>43</v>
      </c>
      <c r="B8220" t="s">
        <v>15</v>
      </c>
      <c r="C8220" t="s">
        <v>35</v>
      </c>
      <c r="D8220" t="s">
        <v>34</v>
      </c>
      <c r="E8220" t="s">
        <v>23</v>
      </c>
      <c r="F8220" t="s">
        <v>19</v>
      </c>
      <c r="G8220" s="1" t="str">
        <f t="shared" si="1807"/>
        <v>...</v>
      </c>
      <c r="H8220" s="1" t="str">
        <f t="shared" si="1807"/>
        <v>...</v>
      </c>
      <c r="I8220" s="1" t="str">
        <f t="shared" si="1807"/>
        <v>...</v>
      </c>
      <c r="J8220" s="1" t="str">
        <f t="shared" si="1807"/>
        <v>...</v>
      </c>
      <c r="K8220" s="1" t="str">
        <f t="shared" si="1807"/>
        <v>...</v>
      </c>
      <c r="L8220" s="1" t="str">
        <f t="shared" si="1807"/>
        <v>...</v>
      </c>
      <c r="M8220" s="1" t="str">
        <f t="shared" si="1807"/>
        <v>...</v>
      </c>
      <c r="N8220" t="s">
        <v>30</v>
      </c>
    </row>
    <row r="8221" spans="1:14" x14ac:dyDescent="0.25">
      <c r="A8221" t="s">
        <v>43</v>
      </c>
      <c r="B8221" t="s">
        <v>15</v>
      </c>
      <c r="C8221" t="s">
        <v>35</v>
      </c>
      <c r="D8221" t="s">
        <v>34</v>
      </c>
      <c r="E8221" t="s">
        <v>23</v>
      </c>
      <c r="F8221" t="s">
        <v>20</v>
      </c>
      <c r="G8221" s="1" t="str">
        <f t="shared" ref="G8221:M8221" si="1808">"X"</f>
        <v>X</v>
      </c>
      <c r="H8221" s="1" t="str">
        <f t="shared" si="1808"/>
        <v>X</v>
      </c>
      <c r="I8221" s="1" t="str">
        <f t="shared" si="1808"/>
        <v>X</v>
      </c>
      <c r="J8221" s="1" t="str">
        <f t="shared" si="1808"/>
        <v>X</v>
      </c>
      <c r="K8221" s="1" t="str">
        <f t="shared" si="1808"/>
        <v>X</v>
      </c>
      <c r="L8221" s="1" t="str">
        <f t="shared" si="1808"/>
        <v>X</v>
      </c>
      <c r="M8221" s="1" t="str">
        <f t="shared" si="1808"/>
        <v>X</v>
      </c>
      <c r="N8221" t="s">
        <v>27</v>
      </c>
    </row>
    <row r="8222" spans="1:14" x14ac:dyDescent="0.25">
      <c r="A8222" t="s">
        <v>43</v>
      </c>
      <c r="B8222" t="s">
        <v>15</v>
      </c>
      <c r="C8222" t="s">
        <v>35</v>
      </c>
      <c r="D8222" t="s">
        <v>34</v>
      </c>
      <c r="E8222" t="s">
        <v>26</v>
      </c>
      <c r="F8222" t="s">
        <v>15</v>
      </c>
      <c r="G8222" s="1" t="str">
        <f t="shared" ref="G8222:M8226" si="1809">"..."</f>
        <v>...</v>
      </c>
      <c r="H8222" s="1" t="str">
        <f t="shared" si="1809"/>
        <v>...</v>
      </c>
      <c r="I8222" s="1" t="str">
        <f t="shared" si="1809"/>
        <v>...</v>
      </c>
      <c r="J8222" s="1" t="str">
        <f t="shared" si="1809"/>
        <v>...</v>
      </c>
      <c r="K8222" s="1" t="str">
        <f t="shared" si="1809"/>
        <v>...</v>
      </c>
      <c r="L8222" s="1" t="str">
        <f t="shared" si="1809"/>
        <v>...</v>
      </c>
      <c r="M8222" s="1" t="str">
        <f t="shared" si="1809"/>
        <v>...</v>
      </c>
      <c r="N8222" t="s">
        <v>30</v>
      </c>
    </row>
    <row r="8223" spans="1:14" x14ac:dyDescent="0.25">
      <c r="A8223" t="s">
        <v>43</v>
      </c>
      <c r="B8223" t="s">
        <v>15</v>
      </c>
      <c r="C8223" t="s">
        <v>35</v>
      </c>
      <c r="D8223" t="s">
        <v>34</v>
      </c>
      <c r="E8223" t="s">
        <v>26</v>
      </c>
      <c r="F8223" t="s">
        <v>17</v>
      </c>
      <c r="G8223" s="1" t="str">
        <f t="shared" si="1809"/>
        <v>...</v>
      </c>
      <c r="H8223" s="1" t="str">
        <f t="shared" si="1809"/>
        <v>...</v>
      </c>
      <c r="I8223" s="1" t="str">
        <f t="shared" si="1809"/>
        <v>...</v>
      </c>
      <c r="J8223" s="1" t="str">
        <f t="shared" si="1809"/>
        <v>...</v>
      </c>
      <c r="K8223" s="1" t="str">
        <f t="shared" si="1809"/>
        <v>...</v>
      </c>
      <c r="L8223" s="1" t="str">
        <f t="shared" si="1809"/>
        <v>...</v>
      </c>
      <c r="M8223" s="1" t="str">
        <f t="shared" si="1809"/>
        <v>...</v>
      </c>
      <c r="N8223" t="s">
        <v>30</v>
      </c>
    </row>
    <row r="8224" spans="1:14" x14ac:dyDescent="0.25">
      <c r="A8224" t="s">
        <v>43</v>
      </c>
      <c r="B8224" t="s">
        <v>15</v>
      </c>
      <c r="C8224" t="s">
        <v>35</v>
      </c>
      <c r="D8224" t="s">
        <v>34</v>
      </c>
      <c r="E8224" t="s">
        <v>26</v>
      </c>
      <c r="F8224" t="s">
        <v>18</v>
      </c>
      <c r="G8224" s="1" t="str">
        <f t="shared" si="1809"/>
        <v>...</v>
      </c>
      <c r="H8224" s="1" t="str">
        <f t="shared" si="1809"/>
        <v>...</v>
      </c>
      <c r="I8224" s="1" t="str">
        <f t="shared" si="1809"/>
        <v>...</v>
      </c>
      <c r="J8224" s="1" t="str">
        <f t="shared" si="1809"/>
        <v>...</v>
      </c>
      <c r="K8224" s="1" t="str">
        <f t="shared" si="1809"/>
        <v>...</v>
      </c>
      <c r="L8224" s="1" t="str">
        <f t="shared" si="1809"/>
        <v>...</v>
      </c>
      <c r="M8224" s="1" t="str">
        <f t="shared" si="1809"/>
        <v>...</v>
      </c>
      <c r="N8224" t="s">
        <v>30</v>
      </c>
    </row>
    <row r="8225" spans="1:14" x14ac:dyDescent="0.25">
      <c r="A8225" t="s">
        <v>43</v>
      </c>
      <c r="B8225" t="s">
        <v>15</v>
      </c>
      <c r="C8225" t="s">
        <v>35</v>
      </c>
      <c r="D8225" t="s">
        <v>34</v>
      </c>
      <c r="E8225" t="s">
        <v>26</v>
      </c>
      <c r="F8225" t="s">
        <v>19</v>
      </c>
      <c r="G8225" s="1" t="str">
        <f t="shared" si="1809"/>
        <v>...</v>
      </c>
      <c r="H8225" s="1" t="str">
        <f t="shared" si="1809"/>
        <v>...</v>
      </c>
      <c r="I8225" s="1" t="str">
        <f t="shared" si="1809"/>
        <v>...</v>
      </c>
      <c r="J8225" s="1" t="str">
        <f t="shared" si="1809"/>
        <v>...</v>
      </c>
      <c r="K8225" s="1" t="str">
        <f t="shared" si="1809"/>
        <v>...</v>
      </c>
      <c r="L8225" s="1" t="str">
        <f t="shared" si="1809"/>
        <v>...</v>
      </c>
      <c r="M8225" s="1" t="str">
        <f t="shared" si="1809"/>
        <v>...</v>
      </c>
      <c r="N8225" t="s">
        <v>30</v>
      </c>
    </row>
    <row r="8226" spans="1:14" x14ac:dyDescent="0.25">
      <c r="A8226" t="s">
        <v>43</v>
      </c>
      <c r="B8226" t="s">
        <v>15</v>
      </c>
      <c r="C8226" t="s">
        <v>35</v>
      </c>
      <c r="D8226" t="s">
        <v>34</v>
      </c>
      <c r="E8226" t="s">
        <v>26</v>
      </c>
      <c r="F8226" t="s">
        <v>20</v>
      </c>
      <c r="G8226" s="1" t="str">
        <f t="shared" si="1809"/>
        <v>...</v>
      </c>
      <c r="H8226" s="1" t="str">
        <f t="shared" si="1809"/>
        <v>...</v>
      </c>
      <c r="I8226" s="1" t="str">
        <f t="shared" si="1809"/>
        <v>...</v>
      </c>
      <c r="J8226" s="1" t="str">
        <f t="shared" si="1809"/>
        <v>...</v>
      </c>
      <c r="K8226" s="1" t="str">
        <f t="shared" si="1809"/>
        <v>...</v>
      </c>
      <c r="L8226" s="1" t="str">
        <f t="shared" si="1809"/>
        <v>...</v>
      </c>
      <c r="M8226" s="1" t="str">
        <f t="shared" si="1809"/>
        <v>...</v>
      </c>
      <c r="N8226" t="s">
        <v>30</v>
      </c>
    </row>
    <row r="8227" spans="1:14" x14ac:dyDescent="0.25">
      <c r="A8227" t="s">
        <v>43</v>
      </c>
      <c r="B8227" t="s">
        <v>15</v>
      </c>
      <c r="C8227" t="s">
        <v>36</v>
      </c>
      <c r="D8227" t="s">
        <v>15</v>
      </c>
      <c r="E8227" t="s">
        <v>15</v>
      </c>
      <c r="F8227" t="s">
        <v>15</v>
      </c>
      <c r="G8227" s="1">
        <f>VALUE(27194.4)</f>
        <v>27194.400000000001</v>
      </c>
      <c r="H8227" s="1">
        <f>VALUE(24754.83)</f>
        <v>24754.83</v>
      </c>
      <c r="I8227" s="1">
        <f>VALUE(3249)</f>
        <v>3249</v>
      </c>
      <c r="J8227" s="1">
        <f>VALUE(3721)</f>
        <v>3721</v>
      </c>
      <c r="K8227" s="1">
        <f>VALUE(4579)</f>
        <v>4579</v>
      </c>
      <c r="L8227" s="1">
        <f>VALUE(5475)</f>
        <v>5475</v>
      </c>
      <c r="M8227" s="1">
        <f>VALUE(6550)</f>
        <v>6550</v>
      </c>
      <c r="N8227" t="s">
        <v>16</v>
      </c>
    </row>
    <row r="8228" spans="1:14" x14ac:dyDescent="0.25">
      <c r="A8228" t="s">
        <v>43</v>
      </c>
      <c r="B8228" t="s">
        <v>15</v>
      </c>
      <c r="C8228" t="s">
        <v>36</v>
      </c>
      <c r="D8228" t="s">
        <v>15</v>
      </c>
      <c r="E8228" t="s">
        <v>15</v>
      </c>
      <c r="F8228" t="s">
        <v>17</v>
      </c>
      <c r="G8228" s="2">
        <f>VALUE(1459.72)</f>
        <v>1459.72</v>
      </c>
      <c r="H8228" s="3">
        <f>VALUE(1393.82)</f>
        <v>1393.82</v>
      </c>
      <c r="I8228" s="4">
        <f>VALUE(4055)</f>
        <v>4055</v>
      </c>
      <c r="J8228" s="5">
        <f>VALUE(4894)</f>
        <v>4894</v>
      </c>
      <c r="K8228" s="1">
        <f>VALUE(6111)</f>
        <v>6111</v>
      </c>
      <c r="L8228" s="7">
        <f>VALUE(7398)</f>
        <v>7398</v>
      </c>
      <c r="M8228" s="1">
        <f>VALUE(9128)</f>
        <v>9128</v>
      </c>
      <c r="N8228" t="s">
        <v>25</v>
      </c>
    </row>
    <row r="8229" spans="1:14" x14ac:dyDescent="0.25">
      <c r="A8229" t="s">
        <v>43</v>
      </c>
      <c r="B8229" t="s">
        <v>15</v>
      </c>
      <c r="C8229" t="s">
        <v>36</v>
      </c>
      <c r="D8229" t="s">
        <v>15</v>
      </c>
      <c r="E8229" t="s">
        <v>15</v>
      </c>
      <c r="F8229" t="s">
        <v>18</v>
      </c>
      <c r="G8229" s="2">
        <f>VALUE(2617.16)</f>
        <v>2617.16</v>
      </c>
      <c r="H8229" s="3">
        <f>VALUE(2418.56)</f>
        <v>2418.56</v>
      </c>
      <c r="I8229" s="1">
        <f>VALUE(3831)</f>
        <v>3831</v>
      </c>
      <c r="J8229" s="1">
        <f>VALUE(4333)</f>
        <v>4333</v>
      </c>
      <c r="K8229" s="1">
        <f>VALUE(5158)</f>
        <v>5158</v>
      </c>
      <c r="L8229" s="1">
        <f>VALUE(6409)</f>
        <v>6409</v>
      </c>
      <c r="M8229" s="8">
        <f>VALUE(8210)</f>
        <v>8210</v>
      </c>
      <c r="N8229" t="s">
        <v>25</v>
      </c>
    </row>
    <row r="8230" spans="1:14" x14ac:dyDescent="0.25">
      <c r="A8230" t="s">
        <v>43</v>
      </c>
      <c r="B8230" t="s">
        <v>15</v>
      </c>
      <c r="C8230" t="s">
        <v>36</v>
      </c>
      <c r="D8230" t="s">
        <v>15</v>
      </c>
      <c r="E8230" t="s">
        <v>15</v>
      </c>
      <c r="F8230" t="s">
        <v>19</v>
      </c>
      <c r="G8230" s="2">
        <f>VALUE(3865.68)</f>
        <v>3865.68</v>
      </c>
      <c r="H8230" s="3">
        <f>VALUE(3721.9)</f>
        <v>3721.9</v>
      </c>
      <c r="I8230" s="4">
        <f>VALUE(3705)</f>
        <v>3705</v>
      </c>
      <c r="J8230" s="1">
        <f>VALUE(4247)</f>
        <v>4247</v>
      </c>
      <c r="K8230" s="1">
        <f>VALUE(5000)</f>
        <v>5000</v>
      </c>
      <c r="L8230" s="1">
        <f>VALUE(5952)</f>
        <v>5952</v>
      </c>
      <c r="M8230" s="1">
        <f>VALUE(6900)</f>
        <v>6900</v>
      </c>
      <c r="N8230" t="s">
        <v>25</v>
      </c>
    </row>
    <row r="8231" spans="1:14" x14ac:dyDescent="0.25">
      <c r="A8231" t="s">
        <v>43</v>
      </c>
      <c r="B8231" t="s">
        <v>15</v>
      </c>
      <c r="C8231" t="s">
        <v>36</v>
      </c>
      <c r="D8231" t="s">
        <v>15</v>
      </c>
      <c r="E8231" t="s">
        <v>15</v>
      </c>
      <c r="F8231" t="s">
        <v>20</v>
      </c>
      <c r="G8231" s="1">
        <f>VALUE(19251.84)</f>
        <v>19251.84</v>
      </c>
      <c r="H8231" s="1">
        <f>VALUE(17220.55)</f>
        <v>17220.55</v>
      </c>
      <c r="I8231" s="1">
        <f>VALUE(3140)</f>
        <v>3140</v>
      </c>
      <c r="J8231" s="1">
        <f>VALUE(3565)</f>
        <v>3565</v>
      </c>
      <c r="K8231" s="1">
        <f>VALUE(4332)</f>
        <v>4332</v>
      </c>
      <c r="L8231" s="1">
        <f>VALUE(5188)</f>
        <v>5188</v>
      </c>
      <c r="M8231" s="1">
        <f>VALUE(5954)</f>
        <v>5954</v>
      </c>
      <c r="N8231" t="s">
        <v>16</v>
      </c>
    </row>
    <row r="8232" spans="1:14" x14ac:dyDescent="0.25">
      <c r="A8232" t="s">
        <v>43</v>
      </c>
      <c r="B8232" t="s">
        <v>15</v>
      </c>
      <c r="C8232" t="s">
        <v>36</v>
      </c>
      <c r="D8232" t="s">
        <v>15</v>
      </c>
      <c r="E8232" t="s">
        <v>21</v>
      </c>
      <c r="F8232" t="s">
        <v>15</v>
      </c>
      <c r="G8232" s="1">
        <f>VALUE(7418.81)</f>
        <v>7418.81</v>
      </c>
      <c r="H8232" s="1">
        <f>VALUE(6793.87)</f>
        <v>6793.87</v>
      </c>
      <c r="I8232" s="1">
        <f>VALUE(3717)</f>
        <v>3717</v>
      </c>
      <c r="J8232" s="1">
        <f>VALUE(4518)</f>
        <v>4518</v>
      </c>
      <c r="K8232" s="1">
        <f>VALUE(5382)</f>
        <v>5382</v>
      </c>
      <c r="L8232" s="1">
        <f>VALUE(6549)</f>
        <v>6549</v>
      </c>
      <c r="M8232" s="1">
        <f>VALUE(7790)</f>
        <v>7790</v>
      </c>
      <c r="N8232" t="s">
        <v>16</v>
      </c>
    </row>
    <row r="8233" spans="1:14" x14ac:dyDescent="0.25">
      <c r="A8233" t="s">
        <v>43</v>
      </c>
      <c r="B8233" t="s">
        <v>15</v>
      </c>
      <c r="C8233" t="s">
        <v>36</v>
      </c>
      <c r="D8233" t="s">
        <v>15</v>
      </c>
      <c r="E8233" t="s">
        <v>21</v>
      </c>
      <c r="F8233" t="s">
        <v>17</v>
      </c>
      <c r="G8233" s="2">
        <f>VALUE(854.59)</f>
        <v>854.59</v>
      </c>
      <c r="H8233" s="3">
        <f>VALUE(786.88)</f>
        <v>786.88</v>
      </c>
      <c r="I8233" s="4">
        <f>VALUE(4800)</f>
        <v>4800</v>
      </c>
      <c r="J8233" s="5">
        <f>VALUE(6007)</f>
        <v>6007</v>
      </c>
      <c r="K8233" s="1">
        <f>VALUE(6540)</f>
        <v>6540</v>
      </c>
      <c r="L8233" s="1">
        <f>VALUE(7888)</f>
        <v>7888</v>
      </c>
      <c r="M8233" s="1">
        <f>VALUE(9603)</f>
        <v>9603</v>
      </c>
      <c r="N8233" t="s">
        <v>25</v>
      </c>
    </row>
    <row r="8234" spans="1:14" x14ac:dyDescent="0.25">
      <c r="A8234" t="s">
        <v>43</v>
      </c>
      <c r="B8234" t="s">
        <v>15</v>
      </c>
      <c r="C8234" t="s">
        <v>36</v>
      </c>
      <c r="D8234" t="s">
        <v>15</v>
      </c>
      <c r="E8234" t="s">
        <v>21</v>
      </c>
      <c r="F8234" t="s">
        <v>18</v>
      </c>
      <c r="G8234" s="2">
        <f>VALUE(1196.02)</f>
        <v>1196.02</v>
      </c>
      <c r="H8234" s="3">
        <f>VALUE(1097.94)</f>
        <v>1097.94</v>
      </c>
      <c r="I8234" s="1">
        <f>VALUE(4621)</f>
        <v>4621</v>
      </c>
      <c r="J8234" s="1">
        <f>VALUE(4942)</f>
        <v>4942</v>
      </c>
      <c r="K8234" s="1">
        <f>VALUE(6055)</f>
        <v>6055</v>
      </c>
      <c r="L8234" s="7">
        <f>VALUE(7057)</f>
        <v>7057</v>
      </c>
      <c r="M8234" s="1">
        <f>VALUE(8364)</f>
        <v>8364</v>
      </c>
      <c r="N8234" t="s">
        <v>25</v>
      </c>
    </row>
    <row r="8235" spans="1:14" x14ac:dyDescent="0.25">
      <c r="A8235" t="s">
        <v>43</v>
      </c>
      <c r="B8235" t="s">
        <v>15</v>
      </c>
      <c r="C8235" t="s">
        <v>36</v>
      </c>
      <c r="D8235" t="s">
        <v>15</v>
      </c>
      <c r="E8235" t="s">
        <v>21</v>
      </c>
      <c r="F8235" t="s">
        <v>19</v>
      </c>
      <c r="G8235" s="2">
        <f>VALUE(1341.86)</f>
        <v>1341.86</v>
      </c>
      <c r="H8235" s="3">
        <f>VALUE(1282.45)</f>
        <v>1282.45</v>
      </c>
      <c r="I8235" s="4">
        <f>VALUE(4330)</f>
        <v>4330</v>
      </c>
      <c r="J8235" s="1">
        <f>VALUE(5000)</f>
        <v>5000</v>
      </c>
      <c r="K8235" s="1">
        <f>VALUE(5814)</f>
        <v>5814</v>
      </c>
      <c r="L8235" s="1">
        <f>VALUE(6713)</f>
        <v>6713</v>
      </c>
      <c r="M8235" s="1">
        <f>VALUE(7790)</f>
        <v>7790</v>
      </c>
      <c r="N8235" t="s">
        <v>25</v>
      </c>
    </row>
    <row r="8236" spans="1:14" x14ac:dyDescent="0.25">
      <c r="A8236" t="s">
        <v>43</v>
      </c>
      <c r="B8236" t="s">
        <v>15</v>
      </c>
      <c r="C8236" t="s">
        <v>36</v>
      </c>
      <c r="D8236" t="s">
        <v>15</v>
      </c>
      <c r="E8236" t="s">
        <v>21</v>
      </c>
      <c r="F8236" t="s">
        <v>20</v>
      </c>
      <c r="G8236" s="1">
        <f>VALUE(4026.34)</f>
        <v>4026.34</v>
      </c>
      <c r="H8236" s="1">
        <f>VALUE(3626.6)</f>
        <v>3626.6</v>
      </c>
      <c r="I8236" s="1">
        <f>VALUE(3397)</f>
        <v>3397</v>
      </c>
      <c r="J8236" s="1">
        <f>VALUE(4093)</f>
        <v>4093</v>
      </c>
      <c r="K8236" s="1">
        <f>VALUE(4946)</f>
        <v>4946</v>
      </c>
      <c r="L8236" s="1">
        <f>VALUE(5833)</f>
        <v>5833</v>
      </c>
      <c r="M8236" s="1">
        <f>VALUE(6837)</f>
        <v>6837</v>
      </c>
      <c r="N8236" t="s">
        <v>16</v>
      </c>
    </row>
    <row r="8237" spans="1:14" x14ac:dyDescent="0.25">
      <c r="A8237" t="s">
        <v>43</v>
      </c>
      <c r="B8237" t="s">
        <v>15</v>
      </c>
      <c r="C8237" t="s">
        <v>36</v>
      </c>
      <c r="D8237" t="s">
        <v>15</v>
      </c>
      <c r="E8237" t="s">
        <v>22</v>
      </c>
      <c r="F8237" t="s">
        <v>15</v>
      </c>
      <c r="G8237" s="1">
        <f>VALUE(12426.58)</f>
        <v>12426.58</v>
      </c>
      <c r="H8237" s="1">
        <f>VALUE(11502.91)</f>
        <v>11502.91</v>
      </c>
      <c r="I8237" s="1">
        <f>VALUE(3405)</f>
        <v>3405</v>
      </c>
      <c r="J8237" s="1">
        <f>VALUE(3967)</f>
        <v>3967</v>
      </c>
      <c r="K8237" s="1">
        <f>VALUE(4594)</f>
        <v>4594</v>
      </c>
      <c r="L8237" s="1">
        <f>VALUE(5366)</f>
        <v>5366</v>
      </c>
      <c r="M8237" s="1">
        <f>VALUE(6092)</f>
        <v>6092</v>
      </c>
      <c r="N8237" t="s">
        <v>16</v>
      </c>
    </row>
    <row r="8238" spans="1:14" x14ac:dyDescent="0.25">
      <c r="A8238" t="s">
        <v>43</v>
      </c>
      <c r="B8238" t="s">
        <v>15</v>
      </c>
      <c r="C8238" t="s">
        <v>36</v>
      </c>
      <c r="D8238" t="s">
        <v>15</v>
      </c>
      <c r="E8238" t="s">
        <v>22</v>
      </c>
      <c r="F8238" t="s">
        <v>17</v>
      </c>
      <c r="G8238" s="2">
        <f>VALUE(502.48)</f>
        <v>502.48</v>
      </c>
      <c r="H8238" s="3">
        <f>VALUE(507.95)</f>
        <v>507.95</v>
      </c>
      <c r="I8238" s="4">
        <f>VALUE(4055)</f>
        <v>4055</v>
      </c>
      <c r="J8238" s="5">
        <f>VALUE(4455)</f>
        <v>4455</v>
      </c>
      <c r="K8238" s="6">
        <f>VALUE(5365)</f>
        <v>5365</v>
      </c>
      <c r="L8238" s="1">
        <f>VALUE(6400)</f>
        <v>6400</v>
      </c>
      <c r="M8238" s="8">
        <f>VALUE(7796)</f>
        <v>7796</v>
      </c>
      <c r="N8238" t="s">
        <v>25</v>
      </c>
    </row>
    <row r="8239" spans="1:14" x14ac:dyDescent="0.25">
      <c r="A8239" t="s">
        <v>43</v>
      </c>
      <c r="B8239" t="s">
        <v>15</v>
      </c>
      <c r="C8239" t="s">
        <v>36</v>
      </c>
      <c r="D8239" t="s">
        <v>15</v>
      </c>
      <c r="E8239" t="s">
        <v>22</v>
      </c>
      <c r="F8239" t="s">
        <v>18</v>
      </c>
      <c r="G8239" s="2">
        <f>VALUE(1263.2)</f>
        <v>1263.2</v>
      </c>
      <c r="H8239" s="3">
        <f>VALUE(1179.87)</f>
        <v>1179.8699999999999</v>
      </c>
      <c r="I8239" s="4">
        <f>VALUE(3714)</f>
        <v>3714</v>
      </c>
      <c r="J8239" s="1">
        <f>VALUE(4127)</f>
        <v>4127</v>
      </c>
      <c r="K8239" s="1">
        <f>VALUE(4642)</f>
        <v>4642</v>
      </c>
      <c r="L8239" s="1">
        <f>VALUE(5527)</f>
        <v>5527</v>
      </c>
      <c r="M8239" s="8">
        <f>VALUE(6587)</f>
        <v>6587</v>
      </c>
      <c r="N8239" t="s">
        <v>25</v>
      </c>
    </row>
    <row r="8240" spans="1:14" x14ac:dyDescent="0.25">
      <c r="A8240" t="s">
        <v>43</v>
      </c>
      <c r="B8240" t="s">
        <v>15</v>
      </c>
      <c r="C8240" t="s">
        <v>36</v>
      </c>
      <c r="D8240" t="s">
        <v>15</v>
      </c>
      <c r="E8240" t="s">
        <v>22</v>
      </c>
      <c r="F8240" t="s">
        <v>19</v>
      </c>
      <c r="G8240" s="2">
        <f>VALUE(1805.16)</f>
        <v>1805.16</v>
      </c>
      <c r="H8240" s="3">
        <f>VALUE(1733.35)</f>
        <v>1733.35</v>
      </c>
      <c r="I8240" s="1">
        <f>VALUE(3852)</f>
        <v>3852</v>
      </c>
      <c r="J8240" s="1">
        <f>VALUE(4338)</f>
        <v>4338</v>
      </c>
      <c r="K8240" s="1">
        <f>VALUE(4862)</f>
        <v>4862</v>
      </c>
      <c r="L8240" s="1">
        <f>VALUE(5634)</f>
        <v>5634</v>
      </c>
      <c r="M8240" s="1">
        <f>VALUE(6367)</f>
        <v>6367</v>
      </c>
      <c r="N8240" t="s">
        <v>25</v>
      </c>
    </row>
    <row r="8241" spans="1:14" x14ac:dyDescent="0.25">
      <c r="A8241" t="s">
        <v>43</v>
      </c>
      <c r="B8241" t="s">
        <v>15</v>
      </c>
      <c r="C8241" t="s">
        <v>36</v>
      </c>
      <c r="D8241" t="s">
        <v>15</v>
      </c>
      <c r="E8241" t="s">
        <v>22</v>
      </c>
      <c r="F8241" t="s">
        <v>20</v>
      </c>
      <c r="G8241" s="1">
        <f>VALUE(8855.74)</f>
        <v>8855.74</v>
      </c>
      <c r="H8241" s="1">
        <f>VALUE(8081.74)</f>
        <v>8081.74</v>
      </c>
      <c r="I8241" s="1">
        <f>VALUE(3268)</f>
        <v>3268</v>
      </c>
      <c r="J8241" s="1">
        <f>VALUE(3772)</f>
        <v>3772</v>
      </c>
      <c r="K8241" s="1">
        <f>VALUE(4489)</f>
        <v>4489</v>
      </c>
      <c r="L8241" s="1">
        <f>VALUE(5238)</f>
        <v>5238</v>
      </c>
      <c r="M8241" s="1">
        <f>VALUE(5815)</f>
        <v>5815</v>
      </c>
      <c r="N8241" t="s">
        <v>16</v>
      </c>
    </row>
    <row r="8242" spans="1:14" x14ac:dyDescent="0.25">
      <c r="A8242" t="s">
        <v>43</v>
      </c>
      <c r="B8242" t="s">
        <v>15</v>
      </c>
      <c r="C8242" t="s">
        <v>36</v>
      </c>
      <c r="D8242" t="s">
        <v>15</v>
      </c>
      <c r="E8242" t="s">
        <v>23</v>
      </c>
      <c r="F8242" t="s">
        <v>15</v>
      </c>
      <c r="G8242" s="1">
        <f>VALUE(6919.87)</f>
        <v>6919.87</v>
      </c>
      <c r="H8242" s="1">
        <f>VALUE(6087.25)</f>
        <v>6087.25</v>
      </c>
      <c r="I8242" s="1">
        <f>VALUE(2931)</f>
        <v>2931</v>
      </c>
      <c r="J8242" s="1">
        <f>VALUE(3302)</f>
        <v>3302</v>
      </c>
      <c r="K8242" s="1">
        <f>VALUE(3705)</f>
        <v>3705</v>
      </c>
      <c r="L8242" s="1">
        <f>VALUE(4452)</f>
        <v>4452</v>
      </c>
      <c r="M8242" s="1">
        <f>VALUE(5219)</f>
        <v>5219</v>
      </c>
      <c r="N8242" t="s">
        <v>16</v>
      </c>
    </row>
    <row r="8243" spans="1:14" x14ac:dyDescent="0.25">
      <c r="A8243" t="s">
        <v>43</v>
      </c>
      <c r="B8243" t="s">
        <v>15</v>
      </c>
      <c r="C8243" t="s">
        <v>36</v>
      </c>
      <c r="D8243" t="s">
        <v>15</v>
      </c>
      <c r="E8243" t="s">
        <v>23</v>
      </c>
      <c r="F8243" t="s">
        <v>17</v>
      </c>
      <c r="G8243" s="1" t="str">
        <f t="shared" ref="G8243:M8244" si="1810">"X"</f>
        <v>X</v>
      </c>
      <c r="H8243" s="1" t="str">
        <f t="shared" si="1810"/>
        <v>X</v>
      </c>
      <c r="I8243" s="1" t="str">
        <f t="shared" si="1810"/>
        <v>X</v>
      </c>
      <c r="J8243" s="1" t="str">
        <f t="shared" si="1810"/>
        <v>X</v>
      </c>
      <c r="K8243" s="1" t="str">
        <f t="shared" si="1810"/>
        <v>X</v>
      </c>
      <c r="L8243" s="1" t="str">
        <f t="shared" si="1810"/>
        <v>X</v>
      </c>
      <c r="M8243" s="1" t="str">
        <f t="shared" si="1810"/>
        <v>X</v>
      </c>
      <c r="N8243" t="s">
        <v>27</v>
      </c>
    </row>
    <row r="8244" spans="1:14" x14ac:dyDescent="0.25">
      <c r="A8244" t="s">
        <v>43</v>
      </c>
      <c r="B8244" t="s">
        <v>15</v>
      </c>
      <c r="C8244" t="s">
        <v>36</v>
      </c>
      <c r="D8244" t="s">
        <v>15</v>
      </c>
      <c r="E8244" t="s">
        <v>23</v>
      </c>
      <c r="F8244" t="s">
        <v>18</v>
      </c>
      <c r="G8244" s="1" t="str">
        <f t="shared" si="1810"/>
        <v>X</v>
      </c>
      <c r="H8244" s="1" t="str">
        <f t="shared" si="1810"/>
        <v>X</v>
      </c>
      <c r="I8244" s="1" t="str">
        <f t="shared" si="1810"/>
        <v>X</v>
      </c>
      <c r="J8244" s="1" t="str">
        <f t="shared" si="1810"/>
        <v>X</v>
      </c>
      <c r="K8244" s="1" t="str">
        <f t="shared" si="1810"/>
        <v>X</v>
      </c>
      <c r="L8244" s="1" t="str">
        <f t="shared" si="1810"/>
        <v>X</v>
      </c>
      <c r="M8244" s="1" t="str">
        <f t="shared" si="1810"/>
        <v>X</v>
      </c>
      <c r="N8244" t="s">
        <v>27</v>
      </c>
    </row>
    <row r="8245" spans="1:14" x14ac:dyDescent="0.25">
      <c r="A8245" t="s">
        <v>43</v>
      </c>
      <c r="B8245" t="s">
        <v>15</v>
      </c>
      <c r="C8245" t="s">
        <v>36</v>
      </c>
      <c r="D8245" t="s">
        <v>15</v>
      </c>
      <c r="E8245" t="s">
        <v>23</v>
      </c>
      <c r="F8245" t="s">
        <v>19</v>
      </c>
      <c r="G8245" s="2">
        <f>VALUE(672.86)</f>
        <v>672.86</v>
      </c>
      <c r="H8245" s="3">
        <f>VALUE(658.05)</f>
        <v>658.05</v>
      </c>
      <c r="I8245" s="4">
        <f>VALUE(3199)</f>
        <v>3199</v>
      </c>
      <c r="J8245" s="5">
        <f>VALUE(3705)</f>
        <v>3705</v>
      </c>
      <c r="K8245" s="6">
        <f>VALUE(3851)</f>
        <v>3851</v>
      </c>
      <c r="L8245" s="7">
        <f>VALUE(4489)</f>
        <v>4489</v>
      </c>
      <c r="M8245" s="8">
        <f>VALUE(5219)</f>
        <v>5219</v>
      </c>
      <c r="N8245" t="s">
        <v>24</v>
      </c>
    </row>
    <row r="8246" spans="1:14" x14ac:dyDescent="0.25">
      <c r="A8246" t="s">
        <v>43</v>
      </c>
      <c r="B8246" t="s">
        <v>15</v>
      </c>
      <c r="C8246" t="s">
        <v>36</v>
      </c>
      <c r="D8246" t="s">
        <v>15</v>
      </c>
      <c r="E8246" t="s">
        <v>23</v>
      </c>
      <c r="F8246" t="s">
        <v>20</v>
      </c>
      <c r="G8246" s="1">
        <f>VALUE(6002.59)</f>
        <v>6002.59</v>
      </c>
      <c r="H8246" s="1">
        <f>VALUE(5206.18)</f>
        <v>5206.18</v>
      </c>
      <c r="I8246" s="1">
        <f>VALUE(2926)</f>
        <v>2926</v>
      </c>
      <c r="J8246" s="1">
        <f>VALUE(3262)</f>
        <v>3262</v>
      </c>
      <c r="K8246" s="1">
        <f>VALUE(3663)</f>
        <v>3663</v>
      </c>
      <c r="L8246" s="1">
        <f>VALUE(4379)</f>
        <v>4379</v>
      </c>
      <c r="M8246" s="1">
        <f>VALUE(5088)</f>
        <v>5088</v>
      </c>
      <c r="N8246" t="s">
        <v>16</v>
      </c>
    </row>
    <row r="8247" spans="1:14" x14ac:dyDescent="0.25">
      <c r="A8247" t="s">
        <v>43</v>
      </c>
      <c r="B8247" t="s">
        <v>15</v>
      </c>
      <c r="C8247" t="s">
        <v>36</v>
      </c>
      <c r="D8247" t="s">
        <v>15</v>
      </c>
      <c r="E8247" t="s">
        <v>26</v>
      </c>
      <c r="F8247" t="s">
        <v>15</v>
      </c>
      <c r="G8247" s="2">
        <f>VALUE(429.14)</f>
        <v>429.14</v>
      </c>
      <c r="H8247" s="3">
        <f>VALUE(370.8)</f>
        <v>370.8</v>
      </c>
      <c r="I8247" s="1">
        <f>VALUE(3630)</f>
        <v>3630</v>
      </c>
      <c r="J8247" s="1">
        <f>VALUE(4281)</f>
        <v>4281</v>
      </c>
      <c r="K8247" s="1">
        <f>VALUE(4837)</f>
        <v>4837</v>
      </c>
      <c r="L8247" s="1">
        <f>VALUE(5562)</f>
        <v>5562</v>
      </c>
      <c r="M8247" s="1">
        <f>VALUE(6484)</f>
        <v>6484</v>
      </c>
      <c r="N8247" t="s">
        <v>25</v>
      </c>
    </row>
    <row r="8248" spans="1:14" x14ac:dyDescent="0.25">
      <c r="A8248" t="s">
        <v>43</v>
      </c>
      <c r="B8248" t="s">
        <v>15</v>
      </c>
      <c r="C8248" t="s">
        <v>36</v>
      </c>
      <c r="D8248" t="s">
        <v>15</v>
      </c>
      <c r="E8248" t="s">
        <v>26</v>
      </c>
      <c r="F8248" t="s">
        <v>17</v>
      </c>
      <c r="G8248" s="1" t="str">
        <f t="shared" ref="G8248:M8250" si="1811">"X"</f>
        <v>X</v>
      </c>
      <c r="H8248" s="1" t="str">
        <f t="shared" si="1811"/>
        <v>X</v>
      </c>
      <c r="I8248" s="1" t="str">
        <f t="shared" si="1811"/>
        <v>X</v>
      </c>
      <c r="J8248" s="1" t="str">
        <f t="shared" si="1811"/>
        <v>X</v>
      </c>
      <c r="K8248" s="1" t="str">
        <f t="shared" si="1811"/>
        <v>X</v>
      </c>
      <c r="L8248" s="1" t="str">
        <f t="shared" si="1811"/>
        <v>X</v>
      </c>
      <c r="M8248" s="1" t="str">
        <f t="shared" si="1811"/>
        <v>X</v>
      </c>
      <c r="N8248" t="s">
        <v>27</v>
      </c>
    </row>
    <row r="8249" spans="1:14" x14ac:dyDescent="0.25">
      <c r="A8249" t="s">
        <v>43</v>
      </c>
      <c r="B8249" t="s">
        <v>15</v>
      </c>
      <c r="C8249" t="s">
        <v>36</v>
      </c>
      <c r="D8249" t="s">
        <v>15</v>
      </c>
      <c r="E8249" t="s">
        <v>26</v>
      </c>
      <c r="F8249" t="s">
        <v>18</v>
      </c>
      <c r="G8249" s="1" t="str">
        <f t="shared" si="1811"/>
        <v>X</v>
      </c>
      <c r="H8249" s="1" t="str">
        <f t="shared" si="1811"/>
        <v>X</v>
      </c>
      <c r="I8249" s="1" t="str">
        <f t="shared" si="1811"/>
        <v>X</v>
      </c>
      <c r="J8249" s="1" t="str">
        <f t="shared" si="1811"/>
        <v>X</v>
      </c>
      <c r="K8249" s="1" t="str">
        <f t="shared" si="1811"/>
        <v>X</v>
      </c>
      <c r="L8249" s="1" t="str">
        <f t="shared" si="1811"/>
        <v>X</v>
      </c>
      <c r="M8249" s="1" t="str">
        <f t="shared" si="1811"/>
        <v>X</v>
      </c>
      <c r="N8249" t="s">
        <v>27</v>
      </c>
    </row>
    <row r="8250" spans="1:14" x14ac:dyDescent="0.25">
      <c r="A8250" t="s">
        <v>43</v>
      </c>
      <c r="B8250" t="s">
        <v>15</v>
      </c>
      <c r="C8250" t="s">
        <v>36</v>
      </c>
      <c r="D8250" t="s">
        <v>15</v>
      </c>
      <c r="E8250" t="s">
        <v>26</v>
      </c>
      <c r="F8250" t="s">
        <v>19</v>
      </c>
      <c r="G8250" s="1" t="str">
        <f t="shared" si="1811"/>
        <v>X</v>
      </c>
      <c r="H8250" s="1" t="str">
        <f t="shared" si="1811"/>
        <v>X</v>
      </c>
      <c r="I8250" s="1" t="str">
        <f t="shared" si="1811"/>
        <v>X</v>
      </c>
      <c r="J8250" s="1" t="str">
        <f t="shared" si="1811"/>
        <v>X</v>
      </c>
      <c r="K8250" s="1" t="str">
        <f t="shared" si="1811"/>
        <v>X</v>
      </c>
      <c r="L8250" s="1" t="str">
        <f t="shared" si="1811"/>
        <v>X</v>
      </c>
      <c r="M8250" s="1" t="str">
        <f t="shared" si="1811"/>
        <v>X</v>
      </c>
      <c r="N8250" t="s">
        <v>27</v>
      </c>
    </row>
    <row r="8251" spans="1:14" x14ac:dyDescent="0.25">
      <c r="A8251" t="s">
        <v>43</v>
      </c>
      <c r="B8251" t="s">
        <v>15</v>
      </c>
      <c r="C8251" t="s">
        <v>36</v>
      </c>
      <c r="D8251" t="s">
        <v>15</v>
      </c>
      <c r="E8251" t="s">
        <v>26</v>
      </c>
      <c r="F8251" t="s">
        <v>20</v>
      </c>
      <c r="G8251" s="2">
        <f>VALUE(367.17)</f>
        <v>367.17</v>
      </c>
      <c r="H8251" s="3">
        <f>VALUE(306.03)</f>
        <v>306.02999999999997</v>
      </c>
      <c r="I8251" s="1">
        <f>VALUE(3581)</f>
        <v>3581</v>
      </c>
      <c r="J8251" s="1">
        <f>VALUE(4228)</f>
        <v>4228</v>
      </c>
      <c r="K8251" s="1">
        <f>VALUE(4947)</f>
        <v>4947</v>
      </c>
      <c r="L8251" s="1">
        <f>VALUE(5570)</f>
        <v>5570</v>
      </c>
      <c r="M8251" s="1">
        <f>VALUE(6315)</f>
        <v>6315</v>
      </c>
      <c r="N8251" t="s">
        <v>25</v>
      </c>
    </row>
    <row r="8252" spans="1:14" x14ac:dyDescent="0.25">
      <c r="A8252" t="s">
        <v>43</v>
      </c>
      <c r="B8252" t="s">
        <v>15</v>
      </c>
      <c r="C8252" t="s">
        <v>36</v>
      </c>
      <c r="D8252" t="s">
        <v>28</v>
      </c>
      <c r="E8252" t="s">
        <v>15</v>
      </c>
      <c r="F8252" t="s">
        <v>15</v>
      </c>
      <c r="G8252" s="1">
        <f>VALUE(9193.33)</f>
        <v>9193.33</v>
      </c>
      <c r="H8252" s="1">
        <f>VALUE(8268.84)</f>
        <v>8268.84</v>
      </c>
      <c r="I8252" s="1">
        <f>VALUE(3684)</f>
        <v>3684</v>
      </c>
      <c r="J8252" s="1">
        <f>VALUE(4384)</f>
        <v>4384</v>
      </c>
      <c r="K8252" s="1">
        <f>VALUE(5101)</f>
        <v>5101</v>
      </c>
      <c r="L8252" s="1">
        <f>VALUE(5992)</f>
        <v>5992</v>
      </c>
      <c r="M8252" s="1">
        <f>VALUE(7004)</f>
        <v>7004</v>
      </c>
      <c r="N8252" t="s">
        <v>16</v>
      </c>
    </row>
    <row r="8253" spans="1:14" x14ac:dyDescent="0.25">
      <c r="A8253" t="s">
        <v>43</v>
      </c>
      <c r="B8253" t="s">
        <v>15</v>
      </c>
      <c r="C8253" t="s">
        <v>36</v>
      </c>
      <c r="D8253" t="s">
        <v>28</v>
      </c>
      <c r="E8253" t="s">
        <v>15</v>
      </c>
      <c r="F8253" t="s">
        <v>17</v>
      </c>
      <c r="G8253" s="2">
        <f>VALUE(878.43)</f>
        <v>878.43</v>
      </c>
      <c r="H8253" s="3">
        <f>VALUE(841.37)</f>
        <v>841.37</v>
      </c>
      <c r="I8253" s="4">
        <f>VALUE(4455)</f>
        <v>4455</v>
      </c>
      <c r="J8253" s="5">
        <f>VALUE(5469)</f>
        <v>5469</v>
      </c>
      <c r="K8253" s="1">
        <f>VALUE(6190)</f>
        <v>6190</v>
      </c>
      <c r="L8253" s="7">
        <f>VALUE(7456)</f>
        <v>7456</v>
      </c>
      <c r="M8253" s="8">
        <f>VALUE(8581)</f>
        <v>8581</v>
      </c>
      <c r="N8253" t="s">
        <v>25</v>
      </c>
    </row>
    <row r="8254" spans="1:14" x14ac:dyDescent="0.25">
      <c r="A8254" t="s">
        <v>43</v>
      </c>
      <c r="B8254" t="s">
        <v>15</v>
      </c>
      <c r="C8254" t="s">
        <v>36</v>
      </c>
      <c r="D8254" t="s">
        <v>28</v>
      </c>
      <c r="E8254" t="s">
        <v>15</v>
      </c>
      <c r="F8254" t="s">
        <v>18</v>
      </c>
      <c r="G8254" s="2">
        <f>VALUE(1318.13)</f>
        <v>1318.13</v>
      </c>
      <c r="H8254" s="3">
        <f>VALUE(1228.8)</f>
        <v>1228.8</v>
      </c>
      <c r="I8254" s="4">
        <f>VALUE(4149)</f>
        <v>4149</v>
      </c>
      <c r="J8254" s="1">
        <f>VALUE(4621)</f>
        <v>4621</v>
      </c>
      <c r="K8254" s="1">
        <f>VALUE(5285)</f>
        <v>5285</v>
      </c>
      <c r="L8254" s="1">
        <f>VALUE(6702)</f>
        <v>6702</v>
      </c>
      <c r="M8254" s="8">
        <f>VALUE(8280)</f>
        <v>8280</v>
      </c>
      <c r="N8254" t="s">
        <v>25</v>
      </c>
    </row>
    <row r="8255" spans="1:14" x14ac:dyDescent="0.25">
      <c r="A8255" t="s">
        <v>43</v>
      </c>
      <c r="B8255" t="s">
        <v>15</v>
      </c>
      <c r="C8255" t="s">
        <v>36</v>
      </c>
      <c r="D8255" t="s">
        <v>28</v>
      </c>
      <c r="E8255" t="s">
        <v>15</v>
      </c>
      <c r="F8255" t="s">
        <v>19</v>
      </c>
      <c r="G8255" s="2">
        <f>VALUE(1734.51)</f>
        <v>1734.51</v>
      </c>
      <c r="H8255" s="3">
        <f>VALUE(1631.59)</f>
        <v>1631.59</v>
      </c>
      <c r="I8255" s="4">
        <f>VALUE(4127)</f>
        <v>4127</v>
      </c>
      <c r="J8255" s="1">
        <f>VALUE(4526)</f>
        <v>4526</v>
      </c>
      <c r="K8255" s="1">
        <f>VALUE(5159)</f>
        <v>5159</v>
      </c>
      <c r="L8255" s="1">
        <f>VALUE(6077)</f>
        <v>6077</v>
      </c>
      <c r="M8255" s="1">
        <f>VALUE(7187)</f>
        <v>7187</v>
      </c>
      <c r="N8255" t="s">
        <v>25</v>
      </c>
    </row>
    <row r="8256" spans="1:14" x14ac:dyDescent="0.25">
      <c r="A8256" t="s">
        <v>43</v>
      </c>
      <c r="B8256" t="s">
        <v>15</v>
      </c>
      <c r="C8256" t="s">
        <v>36</v>
      </c>
      <c r="D8256" t="s">
        <v>28</v>
      </c>
      <c r="E8256" t="s">
        <v>15</v>
      </c>
      <c r="F8256" t="s">
        <v>20</v>
      </c>
      <c r="G8256" s="1">
        <f>VALUE(5262.26)</f>
        <v>5262.26</v>
      </c>
      <c r="H8256" s="1">
        <f>VALUE(4567.08)</f>
        <v>4567.08</v>
      </c>
      <c r="I8256" s="4">
        <f>VALUE(3525)</f>
        <v>3525</v>
      </c>
      <c r="J8256" s="1">
        <f>VALUE(4179)</f>
        <v>4179</v>
      </c>
      <c r="K8256" s="1">
        <f>VALUE(4798)</f>
        <v>4798</v>
      </c>
      <c r="L8256" s="1">
        <f>VALUE(5517)</f>
        <v>5517</v>
      </c>
      <c r="M8256" s="1">
        <f>VALUE(6278)</f>
        <v>6278</v>
      </c>
      <c r="N8256" t="s">
        <v>25</v>
      </c>
    </row>
    <row r="8257" spans="1:14" x14ac:dyDescent="0.25">
      <c r="A8257" t="s">
        <v>43</v>
      </c>
      <c r="B8257" t="s">
        <v>15</v>
      </c>
      <c r="C8257" t="s">
        <v>36</v>
      </c>
      <c r="D8257" t="s">
        <v>28</v>
      </c>
      <c r="E8257" t="s">
        <v>21</v>
      </c>
      <c r="F8257" t="s">
        <v>15</v>
      </c>
      <c r="G8257" s="2">
        <f>VALUE(3076.96)</f>
        <v>3076.96</v>
      </c>
      <c r="H8257" s="3">
        <f>VALUE(2712.92)</f>
        <v>2712.92</v>
      </c>
      <c r="I8257" s="1">
        <f>VALUE(4436)</f>
        <v>4436</v>
      </c>
      <c r="J8257" s="1">
        <f>VALUE(5000)</f>
        <v>5000</v>
      </c>
      <c r="K8257" s="1">
        <f>VALUE(6007)</f>
        <v>6007</v>
      </c>
      <c r="L8257" s="1">
        <f>VALUE(6873)</f>
        <v>6873</v>
      </c>
      <c r="M8257" s="1">
        <f>VALUE(8136)</f>
        <v>8136</v>
      </c>
      <c r="N8257" t="s">
        <v>25</v>
      </c>
    </row>
    <row r="8258" spans="1:14" x14ac:dyDescent="0.25">
      <c r="A8258" t="s">
        <v>43</v>
      </c>
      <c r="B8258" t="s">
        <v>15</v>
      </c>
      <c r="C8258" t="s">
        <v>36</v>
      </c>
      <c r="D8258" t="s">
        <v>28</v>
      </c>
      <c r="E8258" t="s">
        <v>21</v>
      </c>
      <c r="F8258" t="s">
        <v>17</v>
      </c>
      <c r="G8258" s="2">
        <f>VALUE(545.84)</f>
        <v>545.84</v>
      </c>
      <c r="H8258" s="3">
        <f>VALUE(512.48)</f>
        <v>512.48</v>
      </c>
      <c r="I8258" s="4">
        <f>VALUE(5600)</f>
        <v>5600</v>
      </c>
      <c r="J8258" s="1">
        <f>VALUE(6111)</f>
        <v>6111</v>
      </c>
      <c r="K8258" s="6">
        <f>VALUE(6540)</f>
        <v>6540</v>
      </c>
      <c r="L8258" s="1">
        <f>VALUE(7722)</f>
        <v>7722</v>
      </c>
      <c r="M8258" s="1">
        <f>VALUE(9286)</f>
        <v>9286</v>
      </c>
      <c r="N8258" t="s">
        <v>25</v>
      </c>
    </row>
    <row r="8259" spans="1:14" x14ac:dyDescent="0.25">
      <c r="A8259" t="s">
        <v>43</v>
      </c>
      <c r="B8259" t="s">
        <v>15</v>
      </c>
      <c r="C8259" t="s">
        <v>36</v>
      </c>
      <c r="D8259" t="s">
        <v>28</v>
      </c>
      <c r="E8259" t="s">
        <v>21</v>
      </c>
      <c r="F8259" t="s">
        <v>18</v>
      </c>
      <c r="G8259" s="2">
        <f>VALUE(675.62)</f>
        <v>675.62</v>
      </c>
      <c r="H8259" s="3">
        <f>VALUE(590.36)</f>
        <v>590.36</v>
      </c>
      <c r="I8259" s="1">
        <f>VALUE(4621)</f>
        <v>4621</v>
      </c>
      <c r="J8259" s="1">
        <f>VALUE(4942)</f>
        <v>4942</v>
      </c>
      <c r="K8259" s="6">
        <f>VALUE(6181)</f>
        <v>6181</v>
      </c>
      <c r="L8259" s="7">
        <f>VALUE(7381)</f>
        <v>7381</v>
      </c>
      <c r="M8259" s="1">
        <f>VALUE(8364)</f>
        <v>8364</v>
      </c>
      <c r="N8259" t="s">
        <v>25</v>
      </c>
    </row>
    <row r="8260" spans="1:14" x14ac:dyDescent="0.25">
      <c r="A8260" t="s">
        <v>43</v>
      </c>
      <c r="B8260" t="s">
        <v>15</v>
      </c>
      <c r="C8260" t="s">
        <v>36</v>
      </c>
      <c r="D8260" t="s">
        <v>28</v>
      </c>
      <c r="E8260" t="s">
        <v>21</v>
      </c>
      <c r="F8260" t="s">
        <v>19</v>
      </c>
      <c r="G8260" s="2">
        <f>VALUE(670.25)</f>
        <v>670.25</v>
      </c>
      <c r="H8260" s="3">
        <f>VALUE(635.01)</f>
        <v>635.01</v>
      </c>
      <c r="I8260" s="1">
        <f>VALUE(4643)</f>
        <v>4643</v>
      </c>
      <c r="J8260" s="1">
        <f>VALUE(5190)</f>
        <v>5190</v>
      </c>
      <c r="K8260" s="1">
        <f>VALUE(5967)</f>
        <v>5967</v>
      </c>
      <c r="L8260" s="1">
        <f>VALUE(6728)</f>
        <v>6728</v>
      </c>
      <c r="M8260" s="1">
        <f>VALUE(7790)</f>
        <v>7790</v>
      </c>
      <c r="N8260" t="s">
        <v>25</v>
      </c>
    </row>
    <row r="8261" spans="1:14" x14ac:dyDescent="0.25">
      <c r="A8261" t="s">
        <v>43</v>
      </c>
      <c r="B8261" t="s">
        <v>15</v>
      </c>
      <c r="C8261" t="s">
        <v>36</v>
      </c>
      <c r="D8261" t="s">
        <v>28</v>
      </c>
      <c r="E8261" t="s">
        <v>21</v>
      </c>
      <c r="F8261" t="s">
        <v>20</v>
      </c>
      <c r="G8261" s="2">
        <f>VALUE(1185.25)</f>
        <v>1185.25</v>
      </c>
      <c r="H8261" s="3">
        <f>VALUE(975.07)</f>
        <v>975.07</v>
      </c>
      <c r="I8261" s="4">
        <f>VALUE(3921)</f>
        <v>3921</v>
      </c>
      <c r="J8261" s="1">
        <f>VALUE(4530)</f>
        <v>4530</v>
      </c>
      <c r="K8261" s="1">
        <f>VALUE(5417)</f>
        <v>5417</v>
      </c>
      <c r="L8261" s="1">
        <f>VALUE(6285)</f>
        <v>6285</v>
      </c>
      <c r="M8261" s="1">
        <f>VALUE(6979)</f>
        <v>6979</v>
      </c>
      <c r="N8261" t="s">
        <v>25</v>
      </c>
    </row>
    <row r="8262" spans="1:14" x14ac:dyDescent="0.25">
      <c r="A8262" t="s">
        <v>43</v>
      </c>
      <c r="B8262" t="s">
        <v>15</v>
      </c>
      <c r="C8262" t="s">
        <v>36</v>
      </c>
      <c r="D8262" t="s">
        <v>28</v>
      </c>
      <c r="E8262" t="s">
        <v>22</v>
      </c>
      <c r="F8262" t="s">
        <v>15</v>
      </c>
      <c r="G8262" s="1">
        <f>VALUE(5380.25)</f>
        <v>5380.25</v>
      </c>
      <c r="H8262" s="1">
        <f>VALUE(4945.1)</f>
        <v>4945.1000000000004</v>
      </c>
      <c r="I8262" s="4">
        <f>VALUE(3652)</f>
        <v>3652</v>
      </c>
      <c r="J8262" s="1">
        <f>VALUE(4246)</f>
        <v>4246</v>
      </c>
      <c r="K8262" s="1">
        <f>VALUE(4814)</f>
        <v>4814</v>
      </c>
      <c r="L8262" s="1">
        <f>VALUE(5507)</f>
        <v>5507</v>
      </c>
      <c r="M8262" s="1">
        <f>VALUE(6252)</f>
        <v>6252</v>
      </c>
      <c r="N8262" t="s">
        <v>25</v>
      </c>
    </row>
    <row r="8263" spans="1:14" x14ac:dyDescent="0.25">
      <c r="A8263" t="s">
        <v>43</v>
      </c>
      <c r="B8263" t="s">
        <v>15</v>
      </c>
      <c r="C8263" t="s">
        <v>36</v>
      </c>
      <c r="D8263" t="s">
        <v>28</v>
      </c>
      <c r="E8263" t="s">
        <v>22</v>
      </c>
      <c r="F8263" t="s">
        <v>17</v>
      </c>
      <c r="G8263" s="2">
        <f>VALUE(330)</f>
        <v>330</v>
      </c>
      <c r="H8263" s="3">
        <f>VALUE(327.18)</f>
        <v>327.18</v>
      </c>
      <c r="I8263" s="4">
        <f>VALUE(4441)</f>
        <v>4441</v>
      </c>
      <c r="J8263" s="5">
        <f>VALUE(4455)</f>
        <v>4455</v>
      </c>
      <c r="K8263" s="6">
        <f>VALUE(5417)</f>
        <v>5417</v>
      </c>
      <c r="L8263" s="7">
        <f>VALUE(6222)</f>
        <v>6222</v>
      </c>
      <c r="M8263" s="8">
        <f>VALUE(7004)</f>
        <v>7004</v>
      </c>
      <c r="N8263" t="s">
        <v>24</v>
      </c>
    </row>
    <row r="8264" spans="1:14" x14ac:dyDescent="0.25">
      <c r="A8264" t="s">
        <v>43</v>
      </c>
      <c r="B8264" t="s">
        <v>15</v>
      </c>
      <c r="C8264" t="s">
        <v>36</v>
      </c>
      <c r="D8264" t="s">
        <v>28</v>
      </c>
      <c r="E8264" t="s">
        <v>22</v>
      </c>
      <c r="F8264" t="s">
        <v>18</v>
      </c>
      <c r="G8264" s="2">
        <f>VALUE(618.84)</f>
        <v>618.84</v>
      </c>
      <c r="H8264" s="3">
        <f>VALUE(614.73)</f>
        <v>614.73</v>
      </c>
      <c r="I8264" s="4">
        <f>VALUE(3718)</f>
        <v>3718</v>
      </c>
      <c r="J8264" s="1">
        <f>VALUE(4246)</f>
        <v>4246</v>
      </c>
      <c r="K8264" s="1">
        <f>VALUE(4933)</f>
        <v>4933</v>
      </c>
      <c r="L8264" s="1">
        <f>VALUE(5834)</f>
        <v>5834</v>
      </c>
      <c r="M8264" s="1">
        <f>VALUE(6763)</f>
        <v>6763</v>
      </c>
      <c r="N8264" t="s">
        <v>25</v>
      </c>
    </row>
    <row r="8265" spans="1:14" x14ac:dyDescent="0.25">
      <c r="A8265" t="s">
        <v>43</v>
      </c>
      <c r="B8265" t="s">
        <v>15</v>
      </c>
      <c r="C8265" t="s">
        <v>36</v>
      </c>
      <c r="D8265" t="s">
        <v>28</v>
      </c>
      <c r="E8265" t="s">
        <v>22</v>
      </c>
      <c r="F8265" t="s">
        <v>19</v>
      </c>
      <c r="G8265" s="2">
        <f>VALUE(928.92)</f>
        <v>928.92</v>
      </c>
      <c r="H8265" s="3">
        <f>VALUE(861.7)</f>
        <v>861.7</v>
      </c>
      <c r="I8265" s="1">
        <f>VALUE(4032)</f>
        <v>4032</v>
      </c>
      <c r="J8265" s="1">
        <f>VALUE(4423)</f>
        <v>4423</v>
      </c>
      <c r="K8265" s="1">
        <f>VALUE(5054)</f>
        <v>5054</v>
      </c>
      <c r="L8265" s="1">
        <f>VALUE(5538)</f>
        <v>5538</v>
      </c>
      <c r="M8265" s="1">
        <f>VALUE(6341)</f>
        <v>6341</v>
      </c>
      <c r="N8265" t="s">
        <v>25</v>
      </c>
    </row>
    <row r="8266" spans="1:14" x14ac:dyDescent="0.25">
      <c r="A8266" t="s">
        <v>43</v>
      </c>
      <c r="B8266" t="s">
        <v>15</v>
      </c>
      <c r="C8266" t="s">
        <v>36</v>
      </c>
      <c r="D8266" t="s">
        <v>28</v>
      </c>
      <c r="E8266" t="s">
        <v>22</v>
      </c>
      <c r="F8266" t="s">
        <v>20</v>
      </c>
      <c r="G8266" s="2">
        <f>VALUE(3502.49)</f>
        <v>3502.49</v>
      </c>
      <c r="H8266" s="3">
        <f>VALUE(3141.49)</f>
        <v>3141.49</v>
      </c>
      <c r="I8266" s="4">
        <f>VALUE(3455)</f>
        <v>3455</v>
      </c>
      <c r="J8266" s="1">
        <f>VALUE(4189)</f>
        <v>4189</v>
      </c>
      <c r="K8266" s="1">
        <f>VALUE(4708)</f>
        <v>4708</v>
      </c>
      <c r="L8266" s="1">
        <f>VALUE(5359)</f>
        <v>5359</v>
      </c>
      <c r="M8266" s="1">
        <f>VALUE(5934)</f>
        <v>5934</v>
      </c>
      <c r="N8266" t="s">
        <v>25</v>
      </c>
    </row>
    <row r="8267" spans="1:14" x14ac:dyDescent="0.25">
      <c r="A8267" t="s">
        <v>43</v>
      </c>
      <c r="B8267" t="s">
        <v>15</v>
      </c>
      <c r="C8267" t="s">
        <v>36</v>
      </c>
      <c r="D8267" t="s">
        <v>28</v>
      </c>
      <c r="E8267" t="s">
        <v>23</v>
      </c>
      <c r="F8267" t="s">
        <v>15</v>
      </c>
      <c r="G8267" s="2">
        <f>VALUE(640.01)</f>
        <v>640.01</v>
      </c>
      <c r="H8267" s="3">
        <f>VALUE(537.47)</f>
        <v>537.47</v>
      </c>
      <c r="I8267" s="4">
        <f>VALUE(3219)</f>
        <v>3219</v>
      </c>
      <c r="J8267" s="5">
        <f>VALUE(3532)</f>
        <v>3532</v>
      </c>
      <c r="K8267" s="1">
        <f>VALUE(4246)</f>
        <v>4246</v>
      </c>
      <c r="L8267" s="7">
        <f>VALUE(4742)</f>
        <v>4742</v>
      </c>
      <c r="M8267" s="1">
        <f>VALUE(5432)</f>
        <v>5432</v>
      </c>
      <c r="N8267" t="s">
        <v>25</v>
      </c>
    </row>
    <row r="8268" spans="1:14" x14ac:dyDescent="0.25">
      <c r="A8268" t="s">
        <v>43</v>
      </c>
      <c r="B8268" t="s">
        <v>15</v>
      </c>
      <c r="C8268" t="s">
        <v>36</v>
      </c>
      <c r="D8268" t="s">
        <v>28</v>
      </c>
      <c r="E8268" t="s">
        <v>23</v>
      </c>
      <c r="F8268" t="s">
        <v>17</v>
      </c>
      <c r="G8268" s="1" t="str">
        <f t="shared" ref="G8268:M8270" si="1812">"X"</f>
        <v>X</v>
      </c>
      <c r="H8268" s="1" t="str">
        <f t="shared" si="1812"/>
        <v>X</v>
      </c>
      <c r="I8268" s="1" t="str">
        <f t="shared" si="1812"/>
        <v>X</v>
      </c>
      <c r="J8268" s="1" t="str">
        <f t="shared" si="1812"/>
        <v>X</v>
      </c>
      <c r="K8268" s="1" t="str">
        <f t="shared" si="1812"/>
        <v>X</v>
      </c>
      <c r="L8268" s="1" t="str">
        <f t="shared" si="1812"/>
        <v>X</v>
      </c>
      <c r="M8268" s="1" t="str">
        <f t="shared" si="1812"/>
        <v>X</v>
      </c>
      <c r="N8268" t="s">
        <v>27</v>
      </c>
    </row>
    <row r="8269" spans="1:14" x14ac:dyDescent="0.25">
      <c r="A8269" t="s">
        <v>43</v>
      </c>
      <c r="B8269" t="s">
        <v>15</v>
      </c>
      <c r="C8269" t="s">
        <v>36</v>
      </c>
      <c r="D8269" t="s">
        <v>28</v>
      </c>
      <c r="E8269" t="s">
        <v>23</v>
      </c>
      <c r="F8269" t="s">
        <v>18</v>
      </c>
      <c r="G8269" s="1" t="str">
        <f t="shared" si="1812"/>
        <v>X</v>
      </c>
      <c r="H8269" s="1" t="str">
        <f t="shared" si="1812"/>
        <v>X</v>
      </c>
      <c r="I8269" s="1" t="str">
        <f t="shared" si="1812"/>
        <v>X</v>
      </c>
      <c r="J8269" s="1" t="str">
        <f t="shared" si="1812"/>
        <v>X</v>
      </c>
      <c r="K8269" s="1" t="str">
        <f t="shared" si="1812"/>
        <v>X</v>
      </c>
      <c r="L8269" s="1" t="str">
        <f t="shared" si="1812"/>
        <v>X</v>
      </c>
      <c r="M8269" s="1" t="str">
        <f t="shared" si="1812"/>
        <v>X</v>
      </c>
      <c r="N8269" t="s">
        <v>27</v>
      </c>
    </row>
    <row r="8270" spans="1:14" x14ac:dyDescent="0.25">
      <c r="A8270" t="s">
        <v>43</v>
      </c>
      <c r="B8270" t="s">
        <v>15</v>
      </c>
      <c r="C8270" t="s">
        <v>36</v>
      </c>
      <c r="D8270" t="s">
        <v>28</v>
      </c>
      <c r="E8270" t="s">
        <v>23</v>
      </c>
      <c r="F8270" t="s">
        <v>19</v>
      </c>
      <c r="G8270" s="1" t="str">
        <f t="shared" si="1812"/>
        <v>X</v>
      </c>
      <c r="H8270" s="1" t="str">
        <f t="shared" si="1812"/>
        <v>X</v>
      </c>
      <c r="I8270" s="1" t="str">
        <f t="shared" si="1812"/>
        <v>X</v>
      </c>
      <c r="J8270" s="1" t="str">
        <f t="shared" si="1812"/>
        <v>X</v>
      </c>
      <c r="K8270" s="1" t="str">
        <f t="shared" si="1812"/>
        <v>X</v>
      </c>
      <c r="L8270" s="1" t="str">
        <f t="shared" si="1812"/>
        <v>X</v>
      </c>
      <c r="M8270" s="1" t="str">
        <f t="shared" si="1812"/>
        <v>X</v>
      </c>
      <c r="N8270" t="s">
        <v>27</v>
      </c>
    </row>
    <row r="8271" spans="1:14" x14ac:dyDescent="0.25">
      <c r="A8271" t="s">
        <v>43</v>
      </c>
      <c r="B8271" t="s">
        <v>15</v>
      </c>
      <c r="C8271" t="s">
        <v>36</v>
      </c>
      <c r="D8271" t="s">
        <v>28</v>
      </c>
      <c r="E8271" t="s">
        <v>23</v>
      </c>
      <c r="F8271" t="s">
        <v>20</v>
      </c>
      <c r="G8271" s="2">
        <f>VALUE(487.44)</f>
        <v>487.44</v>
      </c>
      <c r="H8271" s="3">
        <f>VALUE(386.7)</f>
        <v>386.7</v>
      </c>
      <c r="I8271" s="4">
        <f>VALUE(3042)</f>
        <v>3042</v>
      </c>
      <c r="J8271" s="1">
        <f>VALUE(3525)</f>
        <v>3525</v>
      </c>
      <c r="K8271" s="1">
        <f>VALUE(4025)</f>
        <v>4025</v>
      </c>
      <c r="L8271" s="1">
        <f>VALUE(4944)</f>
        <v>4944</v>
      </c>
      <c r="M8271" s="1">
        <f>VALUE(5543)</f>
        <v>5543</v>
      </c>
      <c r="N8271" t="s">
        <v>25</v>
      </c>
    </row>
    <row r="8272" spans="1:14" x14ac:dyDescent="0.25">
      <c r="A8272" t="s">
        <v>43</v>
      </c>
      <c r="B8272" t="s">
        <v>15</v>
      </c>
      <c r="C8272" t="s">
        <v>36</v>
      </c>
      <c r="D8272" t="s">
        <v>28</v>
      </c>
      <c r="E8272" t="s">
        <v>26</v>
      </c>
      <c r="F8272" t="s">
        <v>15</v>
      </c>
      <c r="G8272" s="1" t="str">
        <f t="shared" ref="G8272:M8272" si="1813">"X"</f>
        <v>X</v>
      </c>
      <c r="H8272" s="1" t="str">
        <f t="shared" si="1813"/>
        <v>X</v>
      </c>
      <c r="I8272" s="1" t="str">
        <f t="shared" si="1813"/>
        <v>X</v>
      </c>
      <c r="J8272" s="1" t="str">
        <f t="shared" si="1813"/>
        <v>X</v>
      </c>
      <c r="K8272" s="1" t="str">
        <f t="shared" si="1813"/>
        <v>X</v>
      </c>
      <c r="L8272" s="1" t="str">
        <f t="shared" si="1813"/>
        <v>X</v>
      </c>
      <c r="M8272" s="1" t="str">
        <f t="shared" si="1813"/>
        <v>X</v>
      </c>
      <c r="N8272" t="s">
        <v>27</v>
      </c>
    </row>
    <row r="8273" spans="1:14" x14ac:dyDescent="0.25">
      <c r="A8273" t="s">
        <v>43</v>
      </c>
      <c r="B8273" t="s">
        <v>15</v>
      </c>
      <c r="C8273" t="s">
        <v>36</v>
      </c>
      <c r="D8273" t="s">
        <v>28</v>
      </c>
      <c r="E8273" t="s">
        <v>26</v>
      </c>
      <c r="F8273" t="s">
        <v>17</v>
      </c>
      <c r="G8273" s="1" t="str">
        <f t="shared" ref="G8273:M8273" si="1814">"..."</f>
        <v>...</v>
      </c>
      <c r="H8273" s="1" t="str">
        <f t="shared" si="1814"/>
        <v>...</v>
      </c>
      <c r="I8273" s="1" t="str">
        <f t="shared" si="1814"/>
        <v>...</v>
      </c>
      <c r="J8273" s="1" t="str">
        <f t="shared" si="1814"/>
        <v>...</v>
      </c>
      <c r="K8273" s="1" t="str">
        <f t="shared" si="1814"/>
        <v>...</v>
      </c>
      <c r="L8273" s="1" t="str">
        <f t="shared" si="1814"/>
        <v>...</v>
      </c>
      <c r="M8273" s="1" t="str">
        <f t="shared" si="1814"/>
        <v>...</v>
      </c>
      <c r="N8273" t="s">
        <v>30</v>
      </c>
    </row>
    <row r="8274" spans="1:14" x14ac:dyDescent="0.25">
      <c r="A8274" t="s">
        <v>43</v>
      </c>
      <c r="B8274" t="s">
        <v>15</v>
      </c>
      <c r="C8274" t="s">
        <v>36</v>
      </c>
      <c r="D8274" t="s">
        <v>28</v>
      </c>
      <c r="E8274" t="s">
        <v>26</v>
      </c>
      <c r="F8274" t="s">
        <v>18</v>
      </c>
      <c r="G8274" s="1" t="str">
        <f t="shared" ref="G8274:M8276" si="1815">"X"</f>
        <v>X</v>
      </c>
      <c r="H8274" s="1" t="str">
        <f t="shared" si="1815"/>
        <v>X</v>
      </c>
      <c r="I8274" s="1" t="str">
        <f t="shared" si="1815"/>
        <v>X</v>
      </c>
      <c r="J8274" s="1" t="str">
        <f t="shared" si="1815"/>
        <v>X</v>
      </c>
      <c r="K8274" s="1" t="str">
        <f t="shared" si="1815"/>
        <v>X</v>
      </c>
      <c r="L8274" s="1" t="str">
        <f t="shared" si="1815"/>
        <v>X</v>
      </c>
      <c r="M8274" s="1" t="str">
        <f t="shared" si="1815"/>
        <v>X</v>
      </c>
      <c r="N8274" t="s">
        <v>27</v>
      </c>
    </row>
    <row r="8275" spans="1:14" x14ac:dyDescent="0.25">
      <c r="A8275" t="s">
        <v>43</v>
      </c>
      <c r="B8275" t="s">
        <v>15</v>
      </c>
      <c r="C8275" t="s">
        <v>36</v>
      </c>
      <c r="D8275" t="s">
        <v>28</v>
      </c>
      <c r="E8275" t="s">
        <v>26</v>
      </c>
      <c r="F8275" t="s">
        <v>19</v>
      </c>
      <c r="G8275" s="1" t="str">
        <f t="shared" si="1815"/>
        <v>X</v>
      </c>
      <c r="H8275" s="1" t="str">
        <f t="shared" si="1815"/>
        <v>X</v>
      </c>
      <c r="I8275" s="1" t="str">
        <f t="shared" si="1815"/>
        <v>X</v>
      </c>
      <c r="J8275" s="1" t="str">
        <f t="shared" si="1815"/>
        <v>X</v>
      </c>
      <c r="K8275" s="1" t="str">
        <f t="shared" si="1815"/>
        <v>X</v>
      </c>
      <c r="L8275" s="1" t="str">
        <f t="shared" si="1815"/>
        <v>X</v>
      </c>
      <c r="M8275" s="1" t="str">
        <f t="shared" si="1815"/>
        <v>X</v>
      </c>
      <c r="N8275" t="s">
        <v>27</v>
      </c>
    </row>
    <row r="8276" spans="1:14" x14ac:dyDescent="0.25">
      <c r="A8276" t="s">
        <v>43</v>
      </c>
      <c r="B8276" t="s">
        <v>15</v>
      </c>
      <c r="C8276" t="s">
        <v>36</v>
      </c>
      <c r="D8276" t="s">
        <v>28</v>
      </c>
      <c r="E8276" t="s">
        <v>26</v>
      </c>
      <c r="F8276" t="s">
        <v>20</v>
      </c>
      <c r="G8276" s="1" t="str">
        <f t="shared" si="1815"/>
        <v>X</v>
      </c>
      <c r="H8276" s="1" t="str">
        <f t="shared" si="1815"/>
        <v>X</v>
      </c>
      <c r="I8276" s="1" t="str">
        <f t="shared" si="1815"/>
        <v>X</v>
      </c>
      <c r="J8276" s="1" t="str">
        <f t="shared" si="1815"/>
        <v>X</v>
      </c>
      <c r="K8276" s="1" t="str">
        <f t="shared" si="1815"/>
        <v>X</v>
      </c>
      <c r="L8276" s="1" t="str">
        <f t="shared" si="1815"/>
        <v>X</v>
      </c>
      <c r="M8276" s="1" t="str">
        <f t="shared" si="1815"/>
        <v>X</v>
      </c>
      <c r="N8276" t="s">
        <v>27</v>
      </c>
    </row>
    <row r="8277" spans="1:14" x14ac:dyDescent="0.25">
      <c r="A8277" t="s">
        <v>43</v>
      </c>
      <c r="B8277" t="s">
        <v>15</v>
      </c>
      <c r="C8277" t="s">
        <v>36</v>
      </c>
      <c r="D8277" t="s">
        <v>29</v>
      </c>
      <c r="E8277" t="s">
        <v>15</v>
      </c>
      <c r="F8277" t="s">
        <v>15</v>
      </c>
      <c r="G8277" s="2">
        <f>VALUE(2602.37)</f>
        <v>2602.37</v>
      </c>
      <c r="H8277" s="3">
        <f>VALUE(2372.25)</f>
        <v>2372.25</v>
      </c>
      <c r="I8277" s="1">
        <f>VALUE(3600)</f>
        <v>3600</v>
      </c>
      <c r="J8277" s="1">
        <f>VALUE(4140)</f>
        <v>4140</v>
      </c>
      <c r="K8277" s="1">
        <f>VALUE(4961)</f>
        <v>4961</v>
      </c>
      <c r="L8277" s="1">
        <f>VALUE(5726)</f>
        <v>5726</v>
      </c>
      <c r="M8277" s="1">
        <f>VALUE(6640)</f>
        <v>6640</v>
      </c>
      <c r="N8277" t="s">
        <v>25</v>
      </c>
    </row>
    <row r="8278" spans="1:14" x14ac:dyDescent="0.25">
      <c r="A8278" t="s">
        <v>43</v>
      </c>
      <c r="B8278" t="s">
        <v>15</v>
      </c>
      <c r="C8278" t="s">
        <v>36</v>
      </c>
      <c r="D8278" t="s">
        <v>29</v>
      </c>
      <c r="E8278" t="s">
        <v>15</v>
      </c>
      <c r="F8278" t="s">
        <v>17</v>
      </c>
      <c r="G8278" s="1" t="str">
        <f t="shared" ref="G8278:M8278" si="1816">"X"</f>
        <v>X</v>
      </c>
      <c r="H8278" s="1" t="str">
        <f t="shared" si="1816"/>
        <v>X</v>
      </c>
      <c r="I8278" s="1" t="str">
        <f t="shared" si="1816"/>
        <v>X</v>
      </c>
      <c r="J8278" s="1" t="str">
        <f t="shared" si="1816"/>
        <v>X</v>
      </c>
      <c r="K8278" s="1" t="str">
        <f t="shared" si="1816"/>
        <v>X</v>
      </c>
      <c r="L8278" s="1" t="str">
        <f t="shared" si="1816"/>
        <v>X</v>
      </c>
      <c r="M8278" s="1" t="str">
        <f t="shared" si="1816"/>
        <v>X</v>
      </c>
      <c r="N8278" t="s">
        <v>27</v>
      </c>
    </row>
    <row r="8279" spans="1:14" x14ac:dyDescent="0.25">
      <c r="A8279" t="s">
        <v>43</v>
      </c>
      <c r="B8279" t="s">
        <v>15</v>
      </c>
      <c r="C8279" t="s">
        <v>36</v>
      </c>
      <c r="D8279" t="s">
        <v>29</v>
      </c>
      <c r="E8279" t="s">
        <v>15</v>
      </c>
      <c r="F8279" t="s">
        <v>18</v>
      </c>
      <c r="G8279" s="2">
        <f>VALUE(186.28)</f>
        <v>186.28</v>
      </c>
      <c r="H8279" s="3">
        <f>VALUE(165.04)</f>
        <v>165.04</v>
      </c>
      <c r="I8279" s="1">
        <f>VALUE(4540)</f>
        <v>4540</v>
      </c>
      <c r="J8279" s="1">
        <f>VALUE(4894)</f>
        <v>4894</v>
      </c>
      <c r="K8279" s="1">
        <f>VALUE(5848)</f>
        <v>5848</v>
      </c>
      <c r="L8279" s="1">
        <f>VALUE(8015)</f>
        <v>8015</v>
      </c>
      <c r="M8279" s="8">
        <f>VALUE(10385)</f>
        <v>10385</v>
      </c>
      <c r="N8279" t="s">
        <v>25</v>
      </c>
    </row>
    <row r="8280" spans="1:14" x14ac:dyDescent="0.25">
      <c r="A8280" t="s">
        <v>43</v>
      </c>
      <c r="B8280" t="s">
        <v>15</v>
      </c>
      <c r="C8280" t="s">
        <v>36</v>
      </c>
      <c r="D8280" t="s">
        <v>29</v>
      </c>
      <c r="E8280" t="s">
        <v>15</v>
      </c>
      <c r="F8280" t="s">
        <v>19</v>
      </c>
      <c r="G8280" s="2">
        <f>VALUE(510.97)</f>
        <v>510.97</v>
      </c>
      <c r="H8280" s="3">
        <f>VALUE(506.33)</f>
        <v>506.33</v>
      </c>
      <c r="I8280" s="1">
        <f>VALUE(3727)</f>
        <v>3727</v>
      </c>
      <c r="J8280" s="5">
        <f>VALUE(3972)</f>
        <v>3972</v>
      </c>
      <c r="K8280" s="6">
        <f>VALUE(4956)</f>
        <v>4956</v>
      </c>
      <c r="L8280" s="1">
        <f>VALUE(5783)</f>
        <v>5783</v>
      </c>
      <c r="M8280" s="1">
        <f>VALUE(6242)</f>
        <v>6242</v>
      </c>
      <c r="N8280" t="s">
        <v>25</v>
      </c>
    </row>
    <row r="8281" spans="1:14" x14ac:dyDescent="0.25">
      <c r="A8281" t="s">
        <v>43</v>
      </c>
      <c r="B8281" t="s">
        <v>15</v>
      </c>
      <c r="C8281" t="s">
        <v>36</v>
      </c>
      <c r="D8281" t="s">
        <v>29</v>
      </c>
      <c r="E8281" t="s">
        <v>15</v>
      </c>
      <c r="F8281" t="s">
        <v>20</v>
      </c>
      <c r="G8281" s="2">
        <f>VALUE(1767.51)</f>
        <v>1767.51</v>
      </c>
      <c r="H8281" s="3">
        <f>VALUE(1557.77)</f>
        <v>1557.77</v>
      </c>
      <c r="I8281" s="1">
        <f>VALUE(3417)</f>
        <v>3417</v>
      </c>
      <c r="J8281" s="1">
        <f>VALUE(4026)</f>
        <v>4026</v>
      </c>
      <c r="K8281" s="1">
        <f>VALUE(4894)</f>
        <v>4894</v>
      </c>
      <c r="L8281" s="1">
        <f>VALUE(5588)</f>
        <v>5588</v>
      </c>
      <c r="M8281" s="8">
        <f>VALUE(6587)</f>
        <v>6587</v>
      </c>
      <c r="N8281" t="s">
        <v>25</v>
      </c>
    </row>
    <row r="8282" spans="1:14" x14ac:dyDescent="0.25">
      <c r="A8282" t="s">
        <v>43</v>
      </c>
      <c r="B8282" t="s">
        <v>15</v>
      </c>
      <c r="C8282" t="s">
        <v>36</v>
      </c>
      <c r="D8282" t="s">
        <v>29</v>
      </c>
      <c r="E8282" t="s">
        <v>21</v>
      </c>
      <c r="F8282" t="s">
        <v>15</v>
      </c>
      <c r="G8282" s="2">
        <f>VALUE(466.38)</f>
        <v>466.38</v>
      </c>
      <c r="H8282" s="3">
        <f>VALUE(447.45)</f>
        <v>447.45</v>
      </c>
      <c r="I8282" s="4">
        <f>VALUE(4006)</f>
        <v>4006</v>
      </c>
      <c r="J8282" s="5">
        <f>VALUE(4800)</f>
        <v>4800</v>
      </c>
      <c r="K8282" s="6">
        <f>VALUE(6193)</f>
        <v>6193</v>
      </c>
      <c r="L8282" s="7">
        <f>VALUE(7212)</f>
        <v>7212</v>
      </c>
      <c r="M8282" s="1">
        <f>VALUE(9206)</f>
        <v>9206</v>
      </c>
      <c r="N8282" t="s">
        <v>25</v>
      </c>
    </row>
    <row r="8283" spans="1:14" x14ac:dyDescent="0.25">
      <c r="A8283" t="s">
        <v>43</v>
      </c>
      <c r="B8283" t="s">
        <v>15</v>
      </c>
      <c r="C8283" t="s">
        <v>36</v>
      </c>
      <c r="D8283" t="s">
        <v>29</v>
      </c>
      <c r="E8283" t="s">
        <v>21</v>
      </c>
      <c r="F8283" t="s">
        <v>17</v>
      </c>
      <c r="G8283" s="1" t="str">
        <f t="shared" ref="G8283:M8285" si="1817">"X"</f>
        <v>X</v>
      </c>
      <c r="H8283" s="1" t="str">
        <f t="shared" si="1817"/>
        <v>X</v>
      </c>
      <c r="I8283" s="1" t="str">
        <f t="shared" si="1817"/>
        <v>X</v>
      </c>
      <c r="J8283" s="1" t="str">
        <f t="shared" si="1817"/>
        <v>X</v>
      </c>
      <c r="K8283" s="1" t="str">
        <f t="shared" si="1817"/>
        <v>X</v>
      </c>
      <c r="L8283" s="1" t="str">
        <f t="shared" si="1817"/>
        <v>X</v>
      </c>
      <c r="M8283" s="1" t="str">
        <f t="shared" si="1817"/>
        <v>X</v>
      </c>
      <c r="N8283" t="s">
        <v>27</v>
      </c>
    </row>
    <row r="8284" spans="1:14" x14ac:dyDescent="0.25">
      <c r="A8284" t="s">
        <v>43</v>
      </c>
      <c r="B8284" t="s">
        <v>15</v>
      </c>
      <c r="C8284" t="s">
        <v>36</v>
      </c>
      <c r="D8284" t="s">
        <v>29</v>
      </c>
      <c r="E8284" t="s">
        <v>21</v>
      </c>
      <c r="F8284" t="s">
        <v>18</v>
      </c>
      <c r="G8284" s="1" t="str">
        <f t="shared" si="1817"/>
        <v>X</v>
      </c>
      <c r="H8284" s="1" t="str">
        <f t="shared" si="1817"/>
        <v>X</v>
      </c>
      <c r="I8284" s="1" t="str">
        <f t="shared" si="1817"/>
        <v>X</v>
      </c>
      <c r="J8284" s="1" t="str">
        <f t="shared" si="1817"/>
        <v>X</v>
      </c>
      <c r="K8284" s="1" t="str">
        <f t="shared" si="1817"/>
        <v>X</v>
      </c>
      <c r="L8284" s="1" t="str">
        <f t="shared" si="1817"/>
        <v>X</v>
      </c>
      <c r="M8284" s="1" t="str">
        <f t="shared" si="1817"/>
        <v>X</v>
      </c>
      <c r="N8284" t="s">
        <v>27</v>
      </c>
    </row>
    <row r="8285" spans="1:14" x14ac:dyDescent="0.25">
      <c r="A8285" t="s">
        <v>43</v>
      </c>
      <c r="B8285" t="s">
        <v>15</v>
      </c>
      <c r="C8285" t="s">
        <v>36</v>
      </c>
      <c r="D8285" t="s">
        <v>29</v>
      </c>
      <c r="E8285" t="s">
        <v>21</v>
      </c>
      <c r="F8285" t="s">
        <v>19</v>
      </c>
      <c r="G8285" s="1" t="str">
        <f t="shared" si="1817"/>
        <v>X</v>
      </c>
      <c r="H8285" s="1" t="str">
        <f t="shared" si="1817"/>
        <v>X</v>
      </c>
      <c r="I8285" s="1" t="str">
        <f t="shared" si="1817"/>
        <v>X</v>
      </c>
      <c r="J8285" s="1" t="str">
        <f t="shared" si="1817"/>
        <v>X</v>
      </c>
      <c r="K8285" s="1" t="str">
        <f t="shared" si="1817"/>
        <v>X</v>
      </c>
      <c r="L8285" s="1" t="str">
        <f t="shared" si="1817"/>
        <v>X</v>
      </c>
      <c r="M8285" s="1" t="str">
        <f t="shared" si="1817"/>
        <v>X</v>
      </c>
      <c r="N8285" t="s">
        <v>27</v>
      </c>
    </row>
    <row r="8286" spans="1:14" x14ac:dyDescent="0.25">
      <c r="A8286" t="s">
        <v>43</v>
      </c>
      <c r="B8286" t="s">
        <v>15</v>
      </c>
      <c r="C8286" t="s">
        <v>36</v>
      </c>
      <c r="D8286" t="s">
        <v>29</v>
      </c>
      <c r="E8286" t="s">
        <v>21</v>
      </c>
      <c r="F8286" t="s">
        <v>20</v>
      </c>
      <c r="G8286" s="2">
        <f>VALUE(224.06)</f>
        <v>224.06</v>
      </c>
      <c r="H8286" s="3">
        <f>VALUE(213.62)</f>
        <v>213.62</v>
      </c>
      <c r="I8286" s="1">
        <f>VALUE(4079)</f>
        <v>4079</v>
      </c>
      <c r="J8286" s="1">
        <f>VALUE(4970)</f>
        <v>4970</v>
      </c>
      <c r="K8286" s="1">
        <f>VALUE(6605)</f>
        <v>6605</v>
      </c>
      <c r="L8286" s="1">
        <f>VALUE(6640)</f>
        <v>6640</v>
      </c>
      <c r="M8286" s="1">
        <f>VALUE(8111)</f>
        <v>8111</v>
      </c>
      <c r="N8286" t="s">
        <v>25</v>
      </c>
    </row>
    <row r="8287" spans="1:14" x14ac:dyDescent="0.25">
      <c r="A8287" t="s">
        <v>43</v>
      </c>
      <c r="B8287" t="s">
        <v>15</v>
      </c>
      <c r="C8287" t="s">
        <v>36</v>
      </c>
      <c r="D8287" t="s">
        <v>29</v>
      </c>
      <c r="E8287" t="s">
        <v>22</v>
      </c>
      <c r="F8287" t="s">
        <v>15</v>
      </c>
      <c r="G8287" s="2">
        <f>VALUE(1244.27)</f>
        <v>1244.27</v>
      </c>
      <c r="H8287" s="3">
        <f>VALUE(1206.94)</f>
        <v>1206.94</v>
      </c>
      <c r="I8287" s="1">
        <f>VALUE(3972)</f>
        <v>3972</v>
      </c>
      <c r="J8287" s="1">
        <f>VALUE(4436)</f>
        <v>4436</v>
      </c>
      <c r="K8287" s="1">
        <f>VALUE(5067)</f>
        <v>5067</v>
      </c>
      <c r="L8287" s="1">
        <f>VALUE(5668)</f>
        <v>5668</v>
      </c>
      <c r="M8287" s="1">
        <f>VALUE(6193)</f>
        <v>6193</v>
      </c>
      <c r="N8287" t="s">
        <v>25</v>
      </c>
    </row>
    <row r="8288" spans="1:14" x14ac:dyDescent="0.25">
      <c r="A8288" t="s">
        <v>43</v>
      </c>
      <c r="B8288" t="s">
        <v>15</v>
      </c>
      <c r="C8288" t="s">
        <v>36</v>
      </c>
      <c r="D8288" t="s">
        <v>29</v>
      </c>
      <c r="E8288" t="s">
        <v>22</v>
      </c>
      <c r="F8288" t="s">
        <v>17</v>
      </c>
      <c r="G8288" s="1" t="str">
        <f t="shared" ref="G8288:M8290" si="1818">"X"</f>
        <v>X</v>
      </c>
      <c r="H8288" s="1" t="str">
        <f t="shared" si="1818"/>
        <v>X</v>
      </c>
      <c r="I8288" s="1" t="str">
        <f t="shared" si="1818"/>
        <v>X</v>
      </c>
      <c r="J8288" s="1" t="str">
        <f t="shared" si="1818"/>
        <v>X</v>
      </c>
      <c r="K8288" s="1" t="str">
        <f t="shared" si="1818"/>
        <v>X</v>
      </c>
      <c r="L8288" s="1" t="str">
        <f t="shared" si="1818"/>
        <v>X</v>
      </c>
      <c r="M8288" s="1" t="str">
        <f t="shared" si="1818"/>
        <v>X</v>
      </c>
      <c r="N8288" t="s">
        <v>27</v>
      </c>
    </row>
    <row r="8289" spans="1:14" x14ac:dyDescent="0.25">
      <c r="A8289" t="s">
        <v>43</v>
      </c>
      <c r="B8289" t="s">
        <v>15</v>
      </c>
      <c r="C8289" t="s">
        <v>36</v>
      </c>
      <c r="D8289" t="s">
        <v>29</v>
      </c>
      <c r="E8289" t="s">
        <v>22</v>
      </c>
      <c r="F8289" t="s">
        <v>18</v>
      </c>
      <c r="G8289" s="1" t="str">
        <f t="shared" si="1818"/>
        <v>X</v>
      </c>
      <c r="H8289" s="1" t="str">
        <f t="shared" si="1818"/>
        <v>X</v>
      </c>
      <c r="I8289" s="1" t="str">
        <f t="shared" si="1818"/>
        <v>X</v>
      </c>
      <c r="J8289" s="1" t="str">
        <f t="shared" si="1818"/>
        <v>X</v>
      </c>
      <c r="K8289" s="1" t="str">
        <f t="shared" si="1818"/>
        <v>X</v>
      </c>
      <c r="L8289" s="1" t="str">
        <f t="shared" si="1818"/>
        <v>X</v>
      </c>
      <c r="M8289" s="1" t="str">
        <f t="shared" si="1818"/>
        <v>X</v>
      </c>
      <c r="N8289" t="s">
        <v>27</v>
      </c>
    </row>
    <row r="8290" spans="1:14" x14ac:dyDescent="0.25">
      <c r="A8290" t="s">
        <v>43</v>
      </c>
      <c r="B8290" t="s">
        <v>15</v>
      </c>
      <c r="C8290" t="s">
        <v>36</v>
      </c>
      <c r="D8290" t="s">
        <v>29</v>
      </c>
      <c r="E8290" t="s">
        <v>22</v>
      </c>
      <c r="F8290" t="s">
        <v>19</v>
      </c>
      <c r="G8290" s="1" t="str">
        <f t="shared" si="1818"/>
        <v>X</v>
      </c>
      <c r="H8290" s="1" t="str">
        <f t="shared" si="1818"/>
        <v>X</v>
      </c>
      <c r="I8290" s="1" t="str">
        <f t="shared" si="1818"/>
        <v>X</v>
      </c>
      <c r="J8290" s="1" t="str">
        <f t="shared" si="1818"/>
        <v>X</v>
      </c>
      <c r="K8290" s="1" t="str">
        <f t="shared" si="1818"/>
        <v>X</v>
      </c>
      <c r="L8290" s="1" t="str">
        <f t="shared" si="1818"/>
        <v>X</v>
      </c>
      <c r="M8290" s="1" t="str">
        <f t="shared" si="1818"/>
        <v>X</v>
      </c>
      <c r="N8290" t="s">
        <v>27</v>
      </c>
    </row>
    <row r="8291" spans="1:14" x14ac:dyDescent="0.25">
      <c r="A8291" t="s">
        <v>43</v>
      </c>
      <c r="B8291" t="s">
        <v>15</v>
      </c>
      <c r="C8291" t="s">
        <v>36</v>
      </c>
      <c r="D8291" t="s">
        <v>29</v>
      </c>
      <c r="E8291" t="s">
        <v>22</v>
      </c>
      <c r="F8291" t="s">
        <v>20</v>
      </c>
      <c r="G8291" s="2">
        <f>VALUE(815.57)</f>
        <v>815.57</v>
      </c>
      <c r="H8291" s="3">
        <f>VALUE(766.45)</f>
        <v>766.45</v>
      </c>
      <c r="I8291" s="1">
        <f>VALUE(3997)</f>
        <v>3997</v>
      </c>
      <c r="J8291" s="1">
        <f>VALUE(4442)</f>
        <v>4442</v>
      </c>
      <c r="K8291" s="1">
        <f>VALUE(5067)</f>
        <v>5067</v>
      </c>
      <c r="L8291" s="1">
        <f>VALUE(5640)</f>
        <v>5640</v>
      </c>
      <c r="M8291" s="1">
        <f>VALUE(5910)</f>
        <v>5910</v>
      </c>
      <c r="N8291" t="s">
        <v>25</v>
      </c>
    </row>
    <row r="8292" spans="1:14" x14ac:dyDescent="0.25">
      <c r="A8292" t="s">
        <v>43</v>
      </c>
      <c r="B8292" t="s">
        <v>15</v>
      </c>
      <c r="C8292" t="s">
        <v>36</v>
      </c>
      <c r="D8292" t="s">
        <v>29</v>
      </c>
      <c r="E8292" t="s">
        <v>23</v>
      </c>
      <c r="F8292" t="s">
        <v>15</v>
      </c>
      <c r="G8292" s="2">
        <f>VALUE(843.39)</f>
        <v>843.39</v>
      </c>
      <c r="H8292" s="3">
        <f>VALUE(667.58)</f>
        <v>667.58</v>
      </c>
      <c r="I8292" s="4">
        <f>VALUE(3233)</f>
        <v>3233</v>
      </c>
      <c r="J8292" s="1">
        <f>VALUE(3517)</f>
        <v>3517</v>
      </c>
      <c r="K8292" s="6">
        <f>VALUE(4220)</f>
        <v>4220</v>
      </c>
      <c r="L8292" s="1">
        <f>VALUE(5088)</f>
        <v>5088</v>
      </c>
      <c r="M8292" s="1">
        <f>VALUE(5301)</f>
        <v>5301</v>
      </c>
      <c r="N8292" t="s">
        <v>25</v>
      </c>
    </row>
    <row r="8293" spans="1:14" x14ac:dyDescent="0.25">
      <c r="A8293" t="s">
        <v>43</v>
      </c>
      <c r="B8293" t="s">
        <v>15</v>
      </c>
      <c r="C8293" t="s">
        <v>36</v>
      </c>
      <c r="D8293" t="s">
        <v>29</v>
      </c>
      <c r="E8293" t="s">
        <v>23</v>
      </c>
      <c r="F8293" t="s">
        <v>17</v>
      </c>
      <c r="G8293" s="1" t="str">
        <f t="shared" ref="G8293:M8295" si="1819">"X"</f>
        <v>X</v>
      </c>
      <c r="H8293" s="1" t="str">
        <f t="shared" si="1819"/>
        <v>X</v>
      </c>
      <c r="I8293" s="1" t="str">
        <f t="shared" si="1819"/>
        <v>X</v>
      </c>
      <c r="J8293" s="1" t="str">
        <f t="shared" si="1819"/>
        <v>X</v>
      </c>
      <c r="K8293" s="1" t="str">
        <f t="shared" si="1819"/>
        <v>X</v>
      </c>
      <c r="L8293" s="1" t="str">
        <f t="shared" si="1819"/>
        <v>X</v>
      </c>
      <c r="M8293" s="1" t="str">
        <f t="shared" si="1819"/>
        <v>X</v>
      </c>
      <c r="N8293" t="s">
        <v>27</v>
      </c>
    </row>
    <row r="8294" spans="1:14" x14ac:dyDescent="0.25">
      <c r="A8294" t="s">
        <v>43</v>
      </c>
      <c r="B8294" t="s">
        <v>15</v>
      </c>
      <c r="C8294" t="s">
        <v>36</v>
      </c>
      <c r="D8294" t="s">
        <v>29</v>
      </c>
      <c r="E8294" t="s">
        <v>23</v>
      </c>
      <c r="F8294" t="s">
        <v>18</v>
      </c>
      <c r="G8294" s="1" t="str">
        <f t="shared" si="1819"/>
        <v>X</v>
      </c>
      <c r="H8294" s="1" t="str">
        <f t="shared" si="1819"/>
        <v>X</v>
      </c>
      <c r="I8294" s="1" t="str">
        <f t="shared" si="1819"/>
        <v>X</v>
      </c>
      <c r="J8294" s="1" t="str">
        <f t="shared" si="1819"/>
        <v>X</v>
      </c>
      <c r="K8294" s="1" t="str">
        <f t="shared" si="1819"/>
        <v>X</v>
      </c>
      <c r="L8294" s="1" t="str">
        <f t="shared" si="1819"/>
        <v>X</v>
      </c>
      <c r="M8294" s="1" t="str">
        <f t="shared" si="1819"/>
        <v>X</v>
      </c>
      <c r="N8294" t="s">
        <v>27</v>
      </c>
    </row>
    <row r="8295" spans="1:14" x14ac:dyDescent="0.25">
      <c r="A8295" t="s">
        <v>43</v>
      </c>
      <c r="B8295" t="s">
        <v>15</v>
      </c>
      <c r="C8295" t="s">
        <v>36</v>
      </c>
      <c r="D8295" t="s">
        <v>29</v>
      </c>
      <c r="E8295" t="s">
        <v>23</v>
      </c>
      <c r="F8295" t="s">
        <v>19</v>
      </c>
      <c r="G8295" s="1" t="str">
        <f t="shared" si="1819"/>
        <v>X</v>
      </c>
      <c r="H8295" s="1" t="str">
        <f t="shared" si="1819"/>
        <v>X</v>
      </c>
      <c r="I8295" s="1" t="str">
        <f t="shared" si="1819"/>
        <v>X</v>
      </c>
      <c r="J8295" s="1" t="str">
        <f t="shared" si="1819"/>
        <v>X</v>
      </c>
      <c r="K8295" s="1" t="str">
        <f t="shared" si="1819"/>
        <v>X</v>
      </c>
      <c r="L8295" s="1" t="str">
        <f t="shared" si="1819"/>
        <v>X</v>
      </c>
      <c r="M8295" s="1" t="str">
        <f t="shared" si="1819"/>
        <v>X</v>
      </c>
      <c r="N8295" t="s">
        <v>27</v>
      </c>
    </row>
    <row r="8296" spans="1:14" x14ac:dyDescent="0.25">
      <c r="A8296" t="s">
        <v>43</v>
      </c>
      <c r="B8296" t="s">
        <v>15</v>
      </c>
      <c r="C8296" t="s">
        <v>36</v>
      </c>
      <c r="D8296" t="s">
        <v>29</v>
      </c>
      <c r="E8296" t="s">
        <v>23</v>
      </c>
      <c r="F8296" t="s">
        <v>20</v>
      </c>
      <c r="G8296" s="2">
        <f>VALUE(708.67)</f>
        <v>708.67</v>
      </c>
      <c r="H8296" s="3">
        <f>VALUE(557.93)</f>
        <v>557.92999999999995</v>
      </c>
      <c r="I8296" s="4">
        <f>VALUE(3233)</f>
        <v>3233</v>
      </c>
      <c r="J8296" s="1">
        <f>VALUE(3467)</f>
        <v>3467</v>
      </c>
      <c r="K8296" s="6">
        <f>VALUE(4022)</f>
        <v>4022</v>
      </c>
      <c r="L8296" s="1">
        <f>VALUE(4746)</f>
        <v>4746</v>
      </c>
      <c r="M8296" s="1">
        <f>VALUE(5187)</f>
        <v>5187</v>
      </c>
      <c r="N8296" t="s">
        <v>25</v>
      </c>
    </row>
    <row r="8297" spans="1:14" x14ac:dyDescent="0.25">
      <c r="A8297" t="s">
        <v>43</v>
      </c>
      <c r="B8297" t="s">
        <v>15</v>
      </c>
      <c r="C8297" t="s">
        <v>36</v>
      </c>
      <c r="D8297" t="s">
        <v>29</v>
      </c>
      <c r="E8297" t="s">
        <v>26</v>
      </c>
      <c r="F8297" t="s">
        <v>15</v>
      </c>
      <c r="G8297" s="1" t="str">
        <f t="shared" ref="G8297:M8298" si="1820">"X"</f>
        <v>X</v>
      </c>
      <c r="H8297" s="1" t="str">
        <f t="shared" si="1820"/>
        <v>X</v>
      </c>
      <c r="I8297" s="1" t="str">
        <f t="shared" si="1820"/>
        <v>X</v>
      </c>
      <c r="J8297" s="1" t="str">
        <f t="shared" si="1820"/>
        <v>X</v>
      </c>
      <c r="K8297" s="1" t="str">
        <f t="shared" si="1820"/>
        <v>X</v>
      </c>
      <c r="L8297" s="1" t="str">
        <f t="shared" si="1820"/>
        <v>X</v>
      </c>
      <c r="M8297" s="1" t="str">
        <f t="shared" si="1820"/>
        <v>X</v>
      </c>
      <c r="N8297" t="s">
        <v>27</v>
      </c>
    </row>
    <row r="8298" spans="1:14" x14ac:dyDescent="0.25">
      <c r="A8298" t="s">
        <v>43</v>
      </c>
      <c r="B8298" t="s">
        <v>15</v>
      </c>
      <c r="C8298" t="s">
        <v>36</v>
      </c>
      <c r="D8298" t="s">
        <v>29</v>
      </c>
      <c r="E8298" t="s">
        <v>26</v>
      </c>
      <c r="F8298" t="s">
        <v>17</v>
      </c>
      <c r="G8298" s="1" t="str">
        <f t="shared" si="1820"/>
        <v>X</v>
      </c>
      <c r="H8298" s="1" t="str">
        <f t="shared" si="1820"/>
        <v>X</v>
      </c>
      <c r="I8298" s="1" t="str">
        <f t="shared" si="1820"/>
        <v>X</v>
      </c>
      <c r="J8298" s="1" t="str">
        <f t="shared" si="1820"/>
        <v>X</v>
      </c>
      <c r="K8298" s="1" t="str">
        <f t="shared" si="1820"/>
        <v>X</v>
      </c>
      <c r="L8298" s="1" t="str">
        <f t="shared" si="1820"/>
        <v>X</v>
      </c>
      <c r="M8298" s="1" t="str">
        <f t="shared" si="1820"/>
        <v>X</v>
      </c>
      <c r="N8298" t="s">
        <v>27</v>
      </c>
    </row>
    <row r="8299" spans="1:14" x14ac:dyDescent="0.25">
      <c r="A8299" t="s">
        <v>43</v>
      </c>
      <c r="B8299" t="s">
        <v>15</v>
      </c>
      <c r="C8299" t="s">
        <v>36</v>
      </c>
      <c r="D8299" t="s">
        <v>29</v>
      </c>
      <c r="E8299" t="s">
        <v>26</v>
      </c>
      <c r="F8299" t="s">
        <v>18</v>
      </c>
      <c r="G8299" s="1" t="str">
        <f t="shared" ref="G8299:M8299" si="1821">"..."</f>
        <v>...</v>
      </c>
      <c r="H8299" s="1" t="str">
        <f t="shared" si="1821"/>
        <v>...</v>
      </c>
      <c r="I8299" s="1" t="str">
        <f t="shared" si="1821"/>
        <v>...</v>
      </c>
      <c r="J8299" s="1" t="str">
        <f t="shared" si="1821"/>
        <v>...</v>
      </c>
      <c r="K8299" s="1" t="str">
        <f t="shared" si="1821"/>
        <v>...</v>
      </c>
      <c r="L8299" s="1" t="str">
        <f t="shared" si="1821"/>
        <v>...</v>
      </c>
      <c r="M8299" s="1" t="str">
        <f t="shared" si="1821"/>
        <v>...</v>
      </c>
      <c r="N8299" t="s">
        <v>30</v>
      </c>
    </row>
    <row r="8300" spans="1:14" x14ac:dyDescent="0.25">
      <c r="A8300" t="s">
        <v>43</v>
      </c>
      <c r="B8300" t="s">
        <v>15</v>
      </c>
      <c r="C8300" t="s">
        <v>36</v>
      </c>
      <c r="D8300" t="s">
        <v>29</v>
      </c>
      <c r="E8300" t="s">
        <v>26</v>
      </c>
      <c r="F8300" t="s">
        <v>19</v>
      </c>
      <c r="G8300" s="1" t="str">
        <f t="shared" ref="G8300:M8301" si="1822">"X"</f>
        <v>X</v>
      </c>
      <c r="H8300" s="1" t="str">
        <f t="shared" si="1822"/>
        <v>X</v>
      </c>
      <c r="I8300" s="1" t="str">
        <f t="shared" si="1822"/>
        <v>X</v>
      </c>
      <c r="J8300" s="1" t="str">
        <f t="shared" si="1822"/>
        <v>X</v>
      </c>
      <c r="K8300" s="1" t="str">
        <f t="shared" si="1822"/>
        <v>X</v>
      </c>
      <c r="L8300" s="1" t="str">
        <f t="shared" si="1822"/>
        <v>X</v>
      </c>
      <c r="M8300" s="1" t="str">
        <f t="shared" si="1822"/>
        <v>X</v>
      </c>
      <c r="N8300" t="s">
        <v>27</v>
      </c>
    </row>
    <row r="8301" spans="1:14" x14ac:dyDescent="0.25">
      <c r="A8301" t="s">
        <v>43</v>
      </c>
      <c r="B8301" t="s">
        <v>15</v>
      </c>
      <c r="C8301" t="s">
        <v>36</v>
      </c>
      <c r="D8301" t="s">
        <v>29</v>
      </c>
      <c r="E8301" t="s">
        <v>26</v>
      </c>
      <c r="F8301" t="s">
        <v>20</v>
      </c>
      <c r="G8301" s="1" t="str">
        <f t="shared" si="1822"/>
        <v>X</v>
      </c>
      <c r="H8301" s="1" t="str">
        <f t="shared" si="1822"/>
        <v>X</v>
      </c>
      <c r="I8301" s="1" t="str">
        <f t="shared" si="1822"/>
        <v>X</v>
      </c>
      <c r="J8301" s="1" t="str">
        <f t="shared" si="1822"/>
        <v>X</v>
      </c>
      <c r="K8301" s="1" t="str">
        <f t="shared" si="1822"/>
        <v>X</v>
      </c>
      <c r="L8301" s="1" t="str">
        <f t="shared" si="1822"/>
        <v>X</v>
      </c>
      <c r="M8301" s="1" t="str">
        <f t="shared" si="1822"/>
        <v>X</v>
      </c>
      <c r="N8301" t="s">
        <v>27</v>
      </c>
    </row>
    <row r="8302" spans="1:14" x14ac:dyDescent="0.25">
      <c r="A8302" t="s">
        <v>43</v>
      </c>
      <c r="B8302" t="s">
        <v>15</v>
      </c>
      <c r="C8302" t="s">
        <v>36</v>
      </c>
      <c r="D8302" t="s">
        <v>31</v>
      </c>
      <c r="E8302" t="s">
        <v>15</v>
      </c>
      <c r="F8302" t="s">
        <v>15</v>
      </c>
      <c r="G8302" s="2">
        <f>VALUE(3466.87)</f>
        <v>3466.87</v>
      </c>
      <c r="H8302" s="3">
        <f>VALUE(3182.33)</f>
        <v>3182.33</v>
      </c>
      <c r="I8302" s="1">
        <f>VALUE(3467)</f>
        <v>3467</v>
      </c>
      <c r="J8302" s="5">
        <f>VALUE(3755)</f>
        <v>3755</v>
      </c>
      <c r="K8302" s="1">
        <f>VALUE(4675)</f>
        <v>4675</v>
      </c>
      <c r="L8302" s="1">
        <f>VALUE(5566)</f>
        <v>5566</v>
      </c>
      <c r="M8302" s="1">
        <f>VALUE(7004)</f>
        <v>7004</v>
      </c>
      <c r="N8302" t="s">
        <v>25</v>
      </c>
    </row>
    <row r="8303" spans="1:14" x14ac:dyDescent="0.25">
      <c r="A8303" t="s">
        <v>43</v>
      </c>
      <c r="B8303" t="s">
        <v>15</v>
      </c>
      <c r="C8303" t="s">
        <v>36</v>
      </c>
      <c r="D8303" t="s">
        <v>31</v>
      </c>
      <c r="E8303" t="s">
        <v>15</v>
      </c>
      <c r="F8303" t="s">
        <v>17</v>
      </c>
      <c r="G8303" s="1" t="str">
        <f t="shared" ref="G8303:M8303" si="1823">"X"</f>
        <v>X</v>
      </c>
      <c r="H8303" s="1" t="str">
        <f t="shared" si="1823"/>
        <v>X</v>
      </c>
      <c r="I8303" s="1" t="str">
        <f t="shared" si="1823"/>
        <v>X</v>
      </c>
      <c r="J8303" s="1" t="str">
        <f t="shared" si="1823"/>
        <v>X</v>
      </c>
      <c r="K8303" s="1" t="str">
        <f t="shared" si="1823"/>
        <v>X</v>
      </c>
      <c r="L8303" s="1" t="str">
        <f t="shared" si="1823"/>
        <v>X</v>
      </c>
      <c r="M8303" s="1" t="str">
        <f t="shared" si="1823"/>
        <v>X</v>
      </c>
      <c r="N8303" t="s">
        <v>27</v>
      </c>
    </row>
    <row r="8304" spans="1:14" x14ac:dyDescent="0.25">
      <c r="A8304" t="s">
        <v>43</v>
      </c>
      <c r="B8304" t="s">
        <v>15</v>
      </c>
      <c r="C8304" t="s">
        <v>36</v>
      </c>
      <c r="D8304" t="s">
        <v>31</v>
      </c>
      <c r="E8304" t="s">
        <v>15</v>
      </c>
      <c r="F8304" t="s">
        <v>18</v>
      </c>
      <c r="G8304" s="2">
        <f>VALUE(232.91)</f>
        <v>232.91</v>
      </c>
      <c r="H8304" s="3">
        <f>VALUE(218.96)</f>
        <v>218.96</v>
      </c>
      <c r="I8304" s="1">
        <f>VALUE(4251)</f>
        <v>4251</v>
      </c>
      <c r="J8304" s="1">
        <f>VALUE(4722)</f>
        <v>4722</v>
      </c>
      <c r="K8304" s="1">
        <f>VALUE(6000)</f>
        <v>6000</v>
      </c>
      <c r="L8304" s="1">
        <f>VALUE(6571)</f>
        <v>6571</v>
      </c>
      <c r="M8304" s="8">
        <f>VALUE(8183)</f>
        <v>8183</v>
      </c>
      <c r="N8304" t="s">
        <v>25</v>
      </c>
    </row>
    <row r="8305" spans="1:14" x14ac:dyDescent="0.25">
      <c r="A8305" t="s">
        <v>43</v>
      </c>
      <c r="B8305" t="s">
        <v>15</v>
      </c>
      <c r="C8305" t="s">
        <v>36</v>
      </c>
      <c r="D8305" t="s">
        <v>31</v>
      </c>
      <c r="E8305" t="s">
        <v>15</v>
      </c>
      <c r="F8305" t="s">
        <v>19</v>
      </c>
      <c r="G8305" s="2">
        <f>VALUE(491.67)</f>
        <v>491.67</v>
      </c>
      <c r="H8305" s="3">
        <f>VALUE(503.69)</f>
        <v>503.69</v>
      </c>
      <c r="I8305" s="1">
        <f>VALUE(3705)</f>
        <v>3705</v>
      </c>
      <c r="J8305" s="1">
        <f>VALUE(3705)</f>
        <v>3705</v>
      </c>
      <c r="K8305" s="6">
        <f>VALUE(4710)</f>
        <v>4710</v>
      </c>
      <c r="L8305" s="7">
        <f>VALUE(6500)</f>
        <v>6500</v>
      </c>
      <c r="M8305" s="1">
        <f>VALUE(7432)</f>
        <v>7432</v>
      </c>
      <c r="N8305" t="s">
        <v>25</v>
      </c>
    </row>
    <row r="8306" spans="1:14" x14ac:dyDescent="0.25">
      <c r="A8306" t="s">
        <v>43</v>
      </c>
      <c r="B8306" t="s">
        <v>15</v>
      </c>
      <c r="C8306" t="s">
        <v>36</v>
      </c>
      <c r="D8306" t="s">
        <v>31</v>
      </c>
      <c r="E8306" t="s">
        <v>15</v>
      </c>
      <c r="F8306" t="s">
        <v>20</v>
      </c>
      <c r="G8306" s="2">
        <f>VALUE(2603.68)</f>
        <v>2603.6799999999998</v>
      </c>
      <c r="H8306" s="3">
        <f>VALUE(2321.37)</f>
        <v>2321.37</v>
      </c>
      <c r="I8306" s="1">
        <f>VALUE(3437)</f>
        <v>3437</v>
      </c>
      <c r="J8306" s="1">
        <f>VALUE(3800)</f>
        <v>3800</v>
      </c>
      <c r="K8306" s="1">
        <f>VALUE(4518)</f>
        <v>4518</v>
      </c>
      <c r="L8306" s="1">
        <f>VALUE(5263)</f>
        <v>5263</v>
      </c>
      <c r="M8306" s="1">
        <f>VALUE(6312)</f>
        <v>6312</v>
      </c>
      <c r="N8306" t="s">
        <v>25</v>
      </c>
    </row>
    <row r="8307" spans="1:14" x14ac:dyDescent="0.25">
      <c r="A8307" t="s">
        <v>43</v>
      </c>
      <c r="B8307" t="s">
        <v>15</v>
      </c>
      <c r="C8307" t="s">
        <v>36</v>
      </c>
      <c r="D8307" t="s">
        <v>31</v>
      </c>
      <c r="E8307" t="s">
        <v>21</v>
      </c>
      <c r="F8307" t="s">
        <v>15</v>
      </c>
      <c r="G8307" s="2">
        <f>VALUE(993.65)</f>
        <v>993.65</v>
      </c>
      <c r="H8307" s="3">
        <f>VALUE(963.16)</f>
        <v>963.16</v>
      </c>
      <c r="I8307" s="1">
        <f>VALUE(4292)</f>
        <v>4292</v>
      </c>
      <c r="J8307" s="1">
        <f>VALUE(4930)</f>
        <v>4930</v>
      </c>
      <c r="K8307" s="6">
        <f>VALUE(5701)</f>
        <v>5701</v>
      </c>
      <c r="L8307" s="1">
        <f>VALUE(7004)</f>
        <v>7004</v>
      </c>
      <c r="M8307" s="8">
        <f>VALUE(8236)</f>
        <v>8236</v>
      </c>
      <c r="N8307" t="s">
        <v>25</v>
      </c>
    </row>
    <row r="8308" spans="1:14" x14ac:dyDescent="0.25">
      <c r="A8308" t="s">
        <v>43</v>
      </c>
      <c r="B8308" t="s">
        <v>15</v>
      </c>
      <c r="C8308" t="s">
        <v>36</v>
      </c>
      <c r="D8308" t="s">
        <v>31</v>
      </c>
      <c r="E8308" t="s">
        <v>21</v>
      </c>
      <c r="F8308" t="s">
        <v>17</v>
      </c>
      <c r="G8308" s="1" t="str">
        <f t="shared" ref="G8308:M8310" si="1824">"X"</f>
        <v>X</v>
      </c>
      <c r="H8308" s="1" t="str">
        <f t="shared" si="1824"/>
        <v>X</v>
      </c>
      <c r="I8308" s="1" t="str">
        <f t="shared" si="1824"/>
        <v>X</v>
      </c>
      <c r="J8308" s="1" t="str">
        <f t="shared" si="1824"/>
        <v>X</v>
      </c>
      <c r="K8308" s="1" t="str">
        <f t="shared" si="1824"/>
        <v>X</v>
      </c>
      <c r="L8308" s="1" t="str">
        <f t="shared" si="1824"/>
        <v>X</v>
      </c>
      <c r="M8308" s="1" t="str">
        <f t="shared" si="1824"/>
        <v>X</v>
      </c>
      <c r="N8308" t="s">
        <v>27</v>
      </c>
    </row>
    <row r="8309" spans="1:14" x14ac:dyDescent="0.25">
      <c r="A8309" t="s">
        <v>43</v>
      </c>
      <c r="B8309" t="s">
        <v>15</v>
      </c>
      <c r="C8309" t="s">
        <v>36</v>
      </c>
      <c r="D8309" t="s">
        <v>31</v>
      </c>
      <c r="E8309" t="s">
        <v>21</v>
      </c>
      <c r="F8309" t="s">
        <v>18</v>
      </c>
      <c r="G8309" s="1" t="str">
        <f t="shared" si="1824"/>
        <v>X</v>
      </c>
      <c r="H8309" s="1" t="str">
        <f t="shared" si="1824"/>
        <v>X</v>
      </c>
      <c r="I8309" s="1" t="str">
        <f t="shared" si="1824"/>
        <v>X</v>
      </c>
      <c r="J8309" s="1" t="str">
        <f t="shared" si="1824"/>
        <v>X</v>
      </c>
      <c r="K8309" s="1" t="str">
        <f t="shared" si="1824"/>
        <v>X</v>
      </c>
      <c r="L8309" s="1" t="str">
        <f t="shared" si="1824"/>
        <v>X</v>
      </c>
      <c r="M8309" s="1" t="str">
        <f t="shared" si="1824"/>
        <v>X</v>
      </c>
      <c r="N8309" t="s">
        <v>27</v>
      </c>
    </row>
    <row r="8310" spans="1:14" x14ac:dyDescent="0.25">
      <c r="A8310" t="s">
        <v>43</v>
      </c>
      <c r="B8310" t="s">
        <v>15</v>
      </c>
      <c r="C8310" t="s">
        <v>36</v>
      </c>
      <c r="D8310" t="s">
        <v>31</v>
      </c>
      <c r="E8310" t="s">
        <v>21</v>
      </c>
      <c r="F8310" t="s">
        <v>19</v>
      </c>
      <c r="G8310" s="1" t="str">
        <f t="shared" si="1824"/>
        <v>X</v>
      </c>
      <c r="H8310" s="1" t="str">
        <f t="shared" si="1824"/>
        <v>X</v>
      </c>
      <c r="I8310" s="1" t="str">
        <f t="shared" si="1824"/>
        <v>X</v>
      </c>
      <c r="J8310" s="1" t="str">
        <f t="shared" si="1824"/>
        <v>X</v>
      </c>
      <c r="K8310" s="1" t="str">
        <f t="shared" si="1824"/>
        <v>X</v>
      </c>
      <c r="L8310" s="1" t="str">
        <f t="shared" si="1824"/>
        <v>X</v>
      </c>
      <c r="M8310" s="1" t="str">
        <f t="shared" si="1824"/>
        <v>X</v>
      </c>
      <c r="N8310" t="s">
        <v>27</v>
      </c>
    </row>
    <row r="8311" spans="1:14" x14ac:dyDescent="0.25">
      <c r="A8311" t="s">
        <v>43</v>
      </c>
      <c r="B8311" t="s">
        <v>15</v>
      </c>
      <c r="C8311" t="s">
        <v>36</v>
      </c>
      <c r="D8311" t="s">
        <v>31</v>
      </c>
      <c r="E8311" t="s">
        <v>21</v>
      </c>
      <c r="F8311" t="s">
        <v>20</v>
      </c>
      <c r="G8311" s="2">
        <f>VALUE(618.77)</f>
        <v>618.77</v>
      </c>
      <c r="H8311" s="3">
        <f>VALUE(595.82)</f>
        <v>595.82000000000005</v>
      </c>
      <c r="I8311" s="1">
        <f>VALUE(4099)</f>
        <v>4099</v>
      </c>
      <c r="J8311" s="1">
        <f>VALUE(4593)</f>
        <v>4593</v>
      </c>
      <c r="K8311" s="1">
        <f>VALUE(5287)</f>
        <v>5287</v>
      </c>
      <c r="L8311" s="1">
        <f>VALUE(6208)</f>
        <v>6208</v>
      </c>
      <c r="M8311" s="8">
        <f>VALUE(7270)</f>
        <v>7270</v>
      </c>
      <c r="N8311" t="s">
        <v>25</v>
      </c>
    </row>
    <row r="8312" spans="1:14" x14ac:dyDescent="0.25">
      <c r="A8312" t="s">
        <v>43</v>
      </c>
      <c r="B8312" t="s">
        <v>15</v>
      </c>
      <c r="C8312" t="s">
        <v>36</v>
      </c>
      <c r="D8312" t="s">
        <v>31</v>
      </c>
      <c r="E8312" t="s">
        <v>22</v>
      </c>
      <c r="F8312" t="s">
        <v>15</v>
      </c>
      <c r="G8312" s="2">
        <f>VALUE(1177.22)</f>
        <v>1177.22</v>
      </c>
      <c r="H8312" s="3">
        <f>VALUE(1126.38)</f>
        <v>1126.3800000000001</v>
      </c>
      <c r="I8312" s="1">
        <f>VALUE(3467)</f>
        <v>3467</v>
      </c>
      <c r="J8312" s="1">
        <f>VALUE(3886)</f>
        <v>3886</v>
      </c>
      <c r="K8312" s="1">
        <f>VALUE(4430)</f>
        <v>4430</v>
      </c>
      <c r="L8312" s="1">
        <f>VALUE(5196)</f>
        <v>5196</v>
      </c>
      <c r="M8312" s="1">
        <f>VALUE(6397)</f>
        <v>6397</v>
      </c>
      <c r="N8312" t="s">
        <v>25</v>
      </c>
    </row>
    <row r="8313" spans="1:14" x14ac:dyDescent="0.25">
      <c r="A8313" t="s">
        <v>43</v>
      </c>
      <c r="B8313" t="s">
        <v>15</v>
      </c>
      <c r="C8313" t="s">
        <v>36</v>
      </c>
      <c r="D8313" t="s">
        <v>31</v>
      </c>
      <c r="E8313" t="s">
        <v>22</v>
      </c>
      <c r="F8313" t="s">
        <v>17</v>
      </c>
      <c r="G8313" s="1" t="str">
        <f t="shared" ref="G8313:M8315" si="1825">"X"</f>
        <v>X</v>
      </c>
      <c r="H8313" s="1" t="str">
        <f t="shared" si="1825"/>
        <v>X</v>
      </c>
      <c r="I8313" s="1" t="str">
        <f t="shared" si="1825"/>
        <v>X</v>
      </c>
      <c r="J8313" s="1" t="str">
        <f t="shared" si="1825"/>
        <v>X</v>
      </c>
      <c r="K8313" s="1" t="str">
        <f t="shared" si="1825"/>
        <v>X</v>
      </c>
      <c r="L8313" s="1" t="str">
        <f t="shared" si="1825"/>
        <v>X</v>
      </c>
      <c r="M8313" s="1" t="str">
        <f t="shared" si="1825"/>
        <v>X</v>
      </c>
      <c r="N8313" t="s">
        <v>27</v>
      </c>
    </row>
    <row r="8314" spans="1:14" x14ac:dyDescent="0.25">
      <c r="A8314" t="s">
        <v>43</v>
      </c>
      <c r="B8314" t="s">
        <v>15</v>
      </c>
      <c r="C8314" t="s">
        <v>36</v>
      </c>
      <c r="D8314" t="s">
        <v>31</v>
      </c>
      <c r="E8314" t="s">
        <v>22</v>
      </c>
      <c r="F8314" t="s">
        <v>18</v>
      </c>
      <c r="G8314" s="1" t="str">
        <f t="shared" si="1825"/>
        <v>X</v>
      </c>
      <c r="H8314" s="1" t="str">
        <f t="shared" si="1825"/>
        <v>X</v>
      </c>
      <c r="I8314" s="1" t="str">
        <f t="shared" si="1825"/>
        <v>X</v>
      </c>
      <c r="J8314" s="1" t="str">
        <f t="shared" si="1825"/>
        <v>X</v>
      </c>
      <c r="K8314" s="1" t="str">
        <f t="shared" si="1825"/>
        <v>X</v>
      </c>
      <c r="L8314" s="1" t="str">
        <f t="shared" si="1825"/>
        <v>X</v>
      </c>
      <c r="M8314" s="1" t="str">
        <f t="shared" si="1825"/>
        <v>X</v>
      </c>
      <c r="N8314" t="s">
        <v>27</v>
      </c>
    </row>
    <row r="8315" spans="1:14" x14ac:dyDescent="0.25">
      <c r="A8315" t="s">
        <v>43</v>
      </c>
      <c r="B8315" t="s">
        <v>15</v>
      </c>
      <c r="C8315" t="s">
        <v>36</v>
      </c>
      <c r="D8315" t="s">
        <v>31</v>
      </c>
      <c r="E8315" t="s">
        <v>22</v>
      </c>
      <c r="F8315" t="s">
        <v>19</v>
      </c>
      <c r="G8315" s="1" t="str">
        <f t="shared" si="1825"/>
        <v>X</v>
      </c>
      <c r="H8315" s="1" t="str">
        <f t="shared" si="1825"/>
        <v>X</v>
      </c>
      <c r="I8315" s="1" t="str">
        <f t="shared" si="1825"/>
        <v>X</v>
      </c>
      <c r="J8315" s="1" t="str">
        <f t="shared" si="1825"/>
        <v>X</v>
      </c>
      <c r="K8315" s="1" t="str">
        <f t="shared" si="1825"/>
        <v>X</v>
      </c>
      <c r="L8315" s="1" t="str">
        <f t="shared" si="1825"/>
        <v>X</v>
      </c>
      <c r="M8315" s="1" t="str">
        <f t="shared" si="1825"/>
        <v>X</v>
      </c>
      <c r="N8315" t="s">
        <v>27</v>
      </c>
    </row>
    <row r="8316" spans="1:14" x14ac:dyDescent="0.25">
      <c r="A8316" t="s">
        <v>43</v>
      </c>
      <c r="B8316" t="s">
        <v>15</v>
      </c>
      <c r="C8316" t="s">
        <v>36</v>
      </c>
      <c r="D8316" t="s">
        <v>31</v>
      </c>
      <c r="E8316" t="s">
        <v>22</v>
      </c>
      <c r="F8316" t="s">
        <v>20</v>
      </c>
      <c r="G8316" s="2">
        <f>VALUE(919.38)</f>
        <v>919.38</v>
      </c>
      <c r="H8316" s="3">
        <f>VALUE(879.37)</f>
        <v>879.37</v>
      </c>
      <c r="I8316" s="4">
        <f>VALUE(3467)</f>
        <v>3467</v>
      </c>
      <c r="J8316" s="5">
        <f>VALUE(3700)</f>
        <v>3700</v>
      </c>
      <c r="K8316" s="1">
        <f>VALUE(4236)</f>
        <v>4236</v>
      </c>
      <c r="L8316" s="1">
        <f>VALUE(4986)</f>
        <v>4986</v>
      </c>
      <c r="M8316" s="8">
        <f>VALUE(5952)</f>
        <v>5952</v>
      </c>
      <c r="N8316" t="s">
        <v>25</v>
      </c>
    </row>
    <row r="8317" spans="1:14" x14ac:dyDescent="0.25">
      <c r="A8317" t="s">
        <v>43</v>
      </c>
      <c r="B8317" t="s">
        <v>15</v>
      </c>
      <c r="C8317" t="s">
        <v>36</v>
      </c>
      <c r="D8317" t="s">
        <v>31</v>
      </c>
      <c r="E8317" t="s">
        <v>23</v>
      </c>
      <c r="F8317" t="s">
        <v>15</v>
      </c>
      <c r="G8317" s="2">
        <f>VALUE(1251.16)</f>
        <v>1251.1600000000001</v>
      </c>
      <c r="H8317" s="3">
        <f>VALUE(1053.06)</f>
        <v>1053.06</v>
      </c>
      <c r="I8317" s="1">
        <f>VALUE(3265)</f>
        <v>3265</v>
      </c>
      <c r="J8317" s="5">
        <f>VALUE(3705)</f>
        <v>3705</v>
      </c>
      <c r="K8317" s="6">
        <f>VALUE(3855)</f>
        <v>3855</v>
      </c>
      <c r="L8317" s="7">
        <f>VALUE(4831)</f>
        <v>4831</v>
      </c>
      <c r="M8317" s="1">
        <f>VALUE(5300)</f>
        <v>5300</v>
      </c>
      <c r="N8317" t="s">
        <v>25</v>
      </c>
    </row>
    <row r="8318" spans="1:14" x14ac:dyDescent="0.25">
      <c r="A8318" t="s">
        <v>43</v>
      </c>
      <c r="B8318" t="s">
        <v>15</v>
      </c>
      <c r="C8318" t="s">
        <v>36</v>
      </c>
      <c r="D8318" t="s">
        <v>31</v>
      </c>
      <c r="E8318" t="s">
        <v>23</v>
      </c>
      <c r="F8318" t="s">
        <v>17</v>
      </c>
      <c r="G8318" s="1" t="str">
        <f t="shared" ref="G8318:M8320" si="1826">"X"</f>
        <v>X</v>
      </c>
      <c r="H8318" s="1" t="str">
        <f t="shared" si="1826"/>
        <v>X</v>
      </c>
      <c r="I8318" s="1" t="str">
        <f t="shared" si="1826"/>
        <v>X</v>
      </c>
      <c r="J8318" s="1" t="str">
        <f t="shared" si="1826"/>
        <v>X</v>
      </c>
      <c r="K8318" s="1" t="str">
        <f t="shared" si="1826"/>
        <v>X</v>
      </c>
      <c r="L8318" s="1" t="str">
        <f t="shared" si="1826"/>
        <v>X</v>
      </c>
      <c r="M8318" s="1" t="str">
        <f t="shared" si="1826"/>
        <v>X</v>
      </c>
      <c r="N8318" t="s">
        <v>27</v>
      </c>
    </row>
    <row r="8319" spans="1:14" x14ac:dyDescent="0.25">
      <c r="A8319" t="s">
        <v>43</v>
      </c>
      <c r="B8319" t="s">
        <v>15</v>
      </c>
      <c r="C8319" t="s">
        <v>36</v>
      </c>
      <c r="D8319" t="s">
        <v>31</v>
      </c>
      <c r="E8319" t="s">
        <v>23</v>
      </c>
      <c r="F8319" t="s">
        <v>18</v>
      </c>
      <c r="G8319" s="1" t="str">
        <f t="shared" si="1826"/>
        <v>X</v>
      </c>
      <c r="H8319" s="1" t="str">
        <f t="shared" si="1826"/>
        <v>X</v>
      </c>
      <c r="I8319" s="1" t="str">
        <f t="shared" si="1826"/>
        <v>X</v>
      </c>
      <c r="J8319" s="1" t="str">
        <f t="shared" si="1826"/>
        <v>X</v>
      </c>
      <c r="K8319" s="1" t="str">
        <f t="shared" si="1826"/>
        <v>X</v>
      </c>
      <c r="L8319" s="1" t="str">
        <f t="shared" si="1826"/>
        <v>X</v>
      </c>
      <c r="M8319" s="1" t="str">
        <f t="shared" si="1826"/>
        <v>X</v>
      </c>
      <c r="N8319" t="s">
        <v>27</v>
      </c>
    </row>
    <row r="8320" spans="1:14" x14ac:dyDescent="0.25">
      <c r="A8320" t="s">
        <v>43</v>
      </c>
      <c r="B8320" t="s">
        <v>15</v>
      </c>
      <c r="C8320" t="s">
        <v>36</v>
      </c>
      <c r="D8320" t="s">
        <v>31</v>
      </c>
      <c r="E8320" t="s">
        <v>23</v>
      </c>
      <c r="F8320" t="s">
        <v>19</v>
      </c>
      <c r="G8320" s="1" t="str">
        <f t="shared" si="1826"/>
        <v>X</v>
      </c>
      <c r="H8320" s="1" t="str">
        <f t="shared" si="1826"/>
        <v>X</v>
      </c>
      <c r="I8320" s="1" t="str">
        <f t="shared" si="1826"/>
        <v>X</v>
      </c>
      <c r="J8320" s="1" t="str">
        <f t="shared" si="1826"/>
        <v>X</v>
      </c>
      <c r="K8320" s="1" t="str">
        <f t="shared" si="1826"/>
        <v>X</v>
      </c>
      <c r="L8320" s="1" t="str">
        <f t="shared" si="1826"/>
        <v>X</v>
      </c>
      <c r="M8320" s="1" t="str">
        <f t="shared" si="1826"/>
        <v>X</v>
      </c>
      <c r="N8320" t="s">
        <v>27</v>
      </c>
    </row>
    <row r="8321" spans="1:14" x14ac:dyDescent="0.25">
      <c r="A8321" t="s">
        <v>43</v>
      </c>
      <c r="B8321" t="s">
        <v>15</v>
      </c>
      <c r="C8321" t="s">
        <v>36</v>
      </c>
      <c r="D8321" t="s">
        <v>31</v>
      </c>
      <c r="E8321" t="s">
        <v>23</v>
      </c>
      <c r="F8321" t="s">
        <v>20</v>
      </c>
      <c r="G8321" s="2">
        <f>VALUE(1026.05)</f>
        <v>1026.05</v>
      </c>
      <c r="H8321" s="3">
        <f>VALUE(811.94)</f>
        <v>811.94</v>
      </c>
      <c r="I8321" s="4">
        <f>VALUE(3119)</f>
        <v>3119</v>
      </c>
      <c r="J8321" s="1">
        <f>VALUE(3631)</f>
        <v>3631</v>
      </c>
      <c r="K8321" s="1">
        <f>VALUE(4209)</f>
        <v>4209</v>
      </c>
      <c r="L8321" s="1">
        <f>VALUE(4857)</f>
        <v>4857</v>
      </c>
      <c r="M8321" s="1">
        <f>VALUE(5456)</f>
        <v>5456</v>
      </c>
      <c r="N8321" t="s">
        <v>25</v>
      </c>
    </row>
    <row r="8322" spans="1:14" x14ac:dyDescent="0.25">
      <c r="A8322" t="s">
        <v>43</v>
      </c>
      <c r="B8322" t="s">
        <v>15</v>
      </c>
      <c r="C8322" t="s">
        <v>36</v>
      </c>
      <c r="D8322" t="s">
        <v>31</v>
      </c>
      <c r="E8322" t="s">
        <v>26</v>
      </c>
      <c r="F8322" t="s">
        <v>15</v>
      </c>
      <c r="G8322" s="1" t="str">
        <f t="shared" ref="G8322:M8322" si="1827">"X"</f>
        <v>X</v>
      </c>
      <c r="H8322" s="1" t="str">
        <f t="shared" si="1827"/>
        <v>X</v>
      </c>
      <c r="I8322" s="1" t="str">
        <f t="shared" si="1827"/>
        <v>X</v>
      </c>
      <c r="J8322" s="1" t="str">
        <f t="shared" si="1827"/>
        <v>X</v>
      </c>
      <c r="K8322" s="1" t="str">
        <f t="shared" si="1827"/>
        <v>X</v>
      </c>
      <c r="L8322" s="1" t="str">
        <f t="shared" si="1827"/>
        <v>X</v>
      </c>
      <c r="M8322" s="1" t="str">
        <f t="shared" si="1827"/>
        <v>X</v>
      </c>
      <c r="N8322" t="s">
        <v>27</v>
      </c>
    </row>
    <row r="8323" spans="1:14" x14ac:dyDescent="0.25">
      <c r="A8323" t="s">
        <v>43</v>
      </c>
      <c r="B8323" t="s">
        <v>15</v>
      </c>
      <c r="C8323" t="s">
        <v>36</v>
      </c>
      <c r="D8323" t="s">
        <v>31</v>
      </c>
      <c r="E8323" t="s">
        <v>26</v>
      </c>
      <c r="F8323" t="s">
        <v>17</v>
      </c>
      <c r="G8323" s="1" t="str">
        <f t="shared" ref="G8323:M8323" si="1828">"..."</f>
        <v>...</v>
      </c>
      <c r="H8323" s="1" t="str">
        <f t="shared" si="1828"/>
        <v>...</v>
      </c>
      <c r="I8323" s="1" t="str">
        <f t="shared" si="1828"/>
        <v>...</v>
      </c>
      <c r="J8323" s="1" t="str">
        <f t="shared" si="1828"/>
        <v>...</v>
      </c>
      <c r="K8323" s="1" t="str">
        <f t="shared" si="1828"/>
        <v>...</v>
      </c>
      <c r="L8323" s="1" t="str">
        <f t="shared" si="1828"/>
        <v>...</v>
      </c>
      <c r="M8323" s="1" t="str">
        <f t="shared" si="1828"/>
        <v>...</v>
      </c>
      <c r="N8323" t="s">
        <v>30</v>
      </c>
    </row>
    <row r="8324" spans="1:14" x14ac:dyDescent="0.25">
      <c r="A8324" t="s">
        <v>43</v>
      </c>
      <c r="B8324" t="s">
        <v>15</v>
      </c>
      <c r="C8324" t="s">
        <v>36</v>
      </c>
      <c r="D8324" t="s">
        <v>31</v>
      </c>
      <c r="E8324" t="s">
        <v>26</v>
      </c>
      <c r="F8324" t="s">
        <v>18</v>
      </c>
      <c r="G8324" s="1" t="str">
        <f t="shared" ref="G8324:M8326" si="1829">"X"</f>
        <v>X</v>
      </c>
      <c r="H8324" s="1" t="str">
        <f t="shared" si="1829"/>
        <v>X</v>
      </c>
      <c r="I8324" s="1" t="str">
        <f t="shared" si="1829"/>
        <v>X</v>
      </c>
      <c r="J8324" s="1" t="str">
        <f t="shared" si="1829"/>
        <v>X</v>
      </c>
      <c r="K8324" s="1" t="str">
        <f t="shared" si="1829"/>
        <v>X</v>
      </c>
      <c r="L8324" s="1" t="str">
        <f t="shared" si="1829"/>
        <v>X</v>
      </c>
      <c r="M8324" s="1" t="str">
        <f t="shared" si="1829"/>
        <v>X</v>
      </c>
      <c r="N8324" t="s">
        <v>27</v>
      </c>
    </row>
    <row r="8325" spans="1:14" x14ac:dyDescent="0.25">
      <c r="A8325" t="s">
        <v>43</v>
      </c>
      <c r="B8325" t="s">
        <v>15</v>
      </c>
      <c r="C8325" t="s">
        <v>36</v>
      </c>
      <c r="D8325" t="s">
        <v>31</v>
      </c>
      <c r="E8325" t="s">
        <v>26</v>
      </c>
      <c r="F8325" t="s">
        <v>19</v>
      </c>
      <c r="G8325" s="1" t="str">
        <f t="shared" si="1829"/>
        <v>X</v>
      </c>
      <c r="H8325" s="1" t="str">
        <f t="shared" si="1829"/>
        <v>X</v>
      </c>
      <c r="I8325" s="1" t="str">
        <f t="shared" si="1829"/>
        <v>X</v>
      </c>
      <c r="J8325" s="1" t="str">
        <f t="shared" si="1829"/>
        <v>X</v>
      </c>
      <c r="K8325" s="1" t="str">
        <f t="shared" si="1829"/>
        <v>X</v>
      </c>
      <c r="L8325" s="1" t="str">
        <f t="shared" si="1829"/>
        <v>X</v>
      </c>
      <c r="M8325" s="1" t="str">
        <f t="shared" si="1829"/>
        <v>X</v>
      </c>
      <c r="N8325" t="s">
        <v>27</v>
      </c>
    </row>
    <row r="8326" spans="1:14" x14ac:dyDescent="0.25">
      <c r="A8326" t="s">
        <v>43</v>
      </c>
      <c r="B8326" t="s">
        <v>15</v>
      </c>
      <c r="C8326" t="s">
        <v>36</v>
      </c>
      <c r="D8326" t="s">
        <v>31</v>
      </c>
      <c r="E8326" t="s">
        <v>26</v>
      </c>
      <c r="F8326" t="s">
        <v>20</v>
      </c>
      <c r="G8326" s="1" t="str">
        <f t="shared" si="1829"/>
        <v>X</v>
      </c>
      <c r="H8326" s="1" t="str">
        <f t="shared" si="1829"/>
        <v>X</v>
      </c>
      <c r="I8326" s="1" t="str">
        <f t="shared" si="1829"/>
        <v>X</v>
      </c>
      <c r="J8326" s="1" t="str">
        <f t="shared" si="1829"/>
        <v>X</v>
      </c>
      <c r="K8326" s="1" t="str">
        <f t="shared" si="1829"/>
        <v>X</v>
      </c>
      <c r="L8326" s="1" t="str">
        <f t="shared" si="1829"/>
        <v>X</v>
      </c>
      <c r="M8326" s="1" t="str">
        <f t="shared" si="1829"/>
        <v>X</v>
      </c>
      <c r="N8326" t="s">
        <v>27</v>
      </c>
    </row>
    <row r="8327" spans="1:14" x14ac:dyDescent="0.25">
      <c r="A8327" t="s">
        <v>43</v>
      </c>
      <c r="B8327" t="s">
        <v>15</v>
      </c>
      <c r="C8327" t="s">
        <v>36</v>
      </c>
      <c r="D8327" t="s">
        <v>32</v>
      </c>
      <c r="E8327" t="s">
        <v>15</v>
      </c>
      <c r="F8327" t="s">
        <v>15</v>
      </c>
      <c r="G8327" s="1">
        <f>VALUE(11567.03)</f>
        <v>11567.03</v>
      </c>
      <c r="H8327" s="1">
        <f>VALUE(10634.74)</f>
        <v>10634.74</v>
      </c>
      <c r="I8327" s="1">
        <f>VALUE(3002)</f>
        <v>3002</v>
      </c>
      <c r="J8327" s="1">
        <f>VALUE(3426)</f>
        <v>3426</v>
      </c>
      <c r="K8327" s="1">
        <f>VALUE(4074)</f>
        <v>4074</v>
      </c>
      <c r="L8327" s="1">
        <f>VALUE(4920)</f>
        <v>4920</v>
      </c>
      <c r="M8327" s="1">
        <f>VALUE(5832)</f>
        <v>5832</v>
      </c>
      <c r="N8327" t="s">
        <v>16</v>
      </c>
    </row>
    <row r="8328" spans="1:14" x14ac:dyDescent="0.25">
      <c r="A8328" t="s">
        <v>43</v>
      </c>
      <c r="B8328" t="s">
        <v>15</v>
      </c>
      <c r="C8328" t="s">
        <v>36</v>
      </c>
      <c r="D8328" t="s">
        <v>32</v>
      </c>
      <c r="E8328" t="s">
        <v>15</v>
      </c>
      <c r="F8328" t="s">
        <v>17</v>
      </c>
      <c r="G8328" s="2">
        <f>VALUE(302.1)</f>
        <v>302.10000000000002</v>
      </c>
      <c r="H8328" s="3">
        <f>VALUE(267.98)</f>
        <v>267.98</v>
      </c>
      <c r="I8328" s="1">
        <f>VALUE(3708)</f>
        <v>3708</v>
      </c>
      <c r="J8328" s="1">
        <f>VALUE(4130)</f>
        <v>4130</v>
      </c>
      <c r="K8328" s="1">
        <f>VALUE(5414)</f>
        <v>5414</v>
      </c>
      <c r="L8328" s="1">
        <f>VALUE(6802)</f>
        <v>6802</v>
      </c>
      <c r="M8328" s="1">
        <f>VALUE(8156)</f>
        <v>8156</v>
      </c>
      <c r="N8328" t="s">
        <v>25</v>
      </c>
    </row>
    <row r="8329" spans="1:14" x14ac:dyDescent="0.25">
      <c r="A8329" t="s">
        <v>43</v>
      </c>
      <c r="B8329" t="s">
        <v>15</v>
      </c>
      <c r="C8329" t="s">
        <v>36</v>
      </c>
      <c r="D8329" t="s">
        <v>32</v>
      </c>
      <c r="E8329" t="s">
        <v>15</v>
      </c>
      <c r="F8329" t="s">
        <v>18</v>
      </c>
      <c r="G8329" s="2">
        <f>VALUE(856.54)</f>
        <v>856.54</v>
      </c>
      <c r="H8329" s="3">
        <f>VALUE(783.58)</f>
        <v>783.58</v>
      </c>
      <c r="I8329" s="4">
        <f>VALUE(3302)</f>
        <v>3302</v>
      </c>
      <c r="J8329" s="1">
        <f>VALUE(3900)</f>
        <v>3900</v>
      </c>
      <c r="K8329" s="1">
        <f>VALUE(4540)</f>
        <v>4540</v>
      </c>
      <c r="L8329" s="7">
        <f>VALUE(5525)</f>
        <v>5525</v>
      </c>
      <c r="M8329" s="8">
        <f>VALUE(6799)</f>
        <v>6799</v>
      </c>
      <c r="N8329" t="s">
        <v>25</v>
      </c>
    </row>
    <row r="8330" spans="1:14" x14ac:dyDescent="0.25">
      <c r="A8330" t="s">
        <v>43</v>
      </c>
      <c r="B8330" t="s">
        <v>15</v>
      </c>
      <c r="C8330" t="s">
        <v>36</v>
      </c>
      <c r="D8330" t="s">
        <v>32</v>
      </c>
      <c r="E8330" t="s">
        <v>15</v>
      </c>
      <c r="F8330" t="s">
        <v>19</v>
      </c>
      <c r="G8330" s="2">
        <f>VALUE(1116.02)</f>
        <v>1116.02</v>
      </c>
      <c r="H8330" s="3">
        <f>VALUE(1071.52)</f>
        <v>1071.52</v>
      </c>
      <c r="I8330" s="4">
        <f>VALUE(3254)</f>
        <v>3254</v>
      </c>
      <c r="J8330" s="1">
        <f>VALUE(4088)</f>
        <v>4088</v>
      </c>
      <c r="K8330" s="1">
        <f>VALUE(4623)</f>
        <v>4623</v>
      </c>
      <c r="L8330" s="1">
        <f>VALUE(5525)</f>
        <v>5525</v>
      </c>
      <c r="M8330" s="1">
        <f>VALUE(6500)</f>
        <v>6500</v>
      </c>
      <c r="N8330" t="s">
        <v>25</v>
      </c>
    </row>
    <row r="8331" spans="1:14" x14ac:dyDescent="0.25">
      <c r="A8331" t="s">
        <v>43</v>
      </c>
      <c r="B8331" t="s">
        <v>15</v>
      </c>
      <c r="C8331" t="s">
        <v>36</v>
      </c>
      <c r="D8331" t="s">
        <v>32</v>
      </c>
      <c r="E8331" t="s">
        <v>15</v>
      </c>
      <c r="F8331" t="s">
        <v>20</v>
      </c>
      <c r="G8331" s="1">
        <f>VALUE(9292.37)</f>
        <v>9292.3700000000008</v>
      </c>
      <c r="H8331" s="1">
        <f>VALUE(8511.66)</f>
        <v>8511.66</v>
      </c>
      <c r="I8331" s="1">
        <f>VALUE(2957)</f>
        <v>2957</v>
      </c>
      <c r="J8331" s="1">
        <f>VALUE(3344)</f>
        <v>3344</v>
      </c>
      <c r="K8331" s="1">
        <f>VALUE(3867)</f>
        <v>3867</v>
      </c>
      <c r="L8331" s="1">
        <f>VALUE(4763)</f>
        <v>4763</v>
      </c>
      <c r="M8331" s="1">
        <f>VALUE(5510)</f>
        <v>5510</v>
      </c>
      <c r="N8331" t="s">
        <v>16</v>
      </c>
    </row>
    <row r="8332" spans="1:14" x14ac:dyDescent="0.25">
      <c r="A8332" t="s">
        <v>43</v>
      </c>
      <c r="B8332" t="s">
        <v>15</v>
      </c>
      <c r="C8332" t="s">
        <v>36</v>
      </c>
      <c r="D8332" t="s">
        <v>32</v>
      </c>
      <c r="E8332" t="s">
        <v>21</v>
      </c>
      <c r="F8332" t="s">
        <v>15</v>
      </c>
      <c r="G8332" s="1">
        <f>VALUE(2790.33)</f>
        <v>2790.33</v>
      </c>
      <c r="H8332" s="1">
        <f>VALUE(2579.22)</f>
        <v>2579.2199999999998</v>
      </c>
      <c r="I8332" s="1">
        <f>VALUE(3282)</f>
        <v>3282</v>
      </c>
      <c r="J8332" s="1">
        <f>VALUE(3870)</f>
        <v>3870</v>
      </c>
      <c r="K8332" s="1">
        <f>VALUE(4763)</f>
        <v>4763</v>
      </c>
      <c r="L8332" s="1">
        <f>VALUE(5562)</f>
        <v>5562</v>
      </c>
      <c r="M8332" s="1">
        <f>VALUE(6701)</f>
        <v>6701</v>
      </c>
      <c r="N8332" t="s">
        <v>16</v>
      </c>
    </row>
    <row r="8333" spans="1:14" x14ac:dyDescent="0.25">
      <c r="A8333" t="s">
        <v>43</v>
      </c>
      <c r="B8333" t="s">
        <v>15</v>
      </c>
      <c r="C8333" t="s">
        <v>36</v>
      </c>
      <c r="D8333" t="s">
        <v>32</v>
      </c>
      <c r="E8333" t="s">
        <v>21</v>
      </c>
      <c r="F8333" t="s">
        <v>17</v>
      </c>
      <c r="G8333" s="1" t="str">
        <f t="shared" ref="G8333:M8333" si="1830">"X"</f>
        <v>X</v>
      </c>
      <c r="H8333" s="1" t="str">
        <f t="shared" si="1830"/>
        <v>X</v>
      </c>
      <c r="I8333" s="1" t="str">
        <f t="shared" si="1830"/>
        <v>X</v>
      </c>
      <c r="J8333" s="1" t="str">
        <f t="shared" si="1830"/>
        <v>X</v>
      </c>
      <c r="K8333" s="1" t="str">
        <f t="shared" si="1830"/>
        <v>X</v>
      </c>
      <c r="L8333" s="1" t="str">
        <f t="shared" si="1830"/>
        <v>X</v>
      </c>
      <c r="M8333" s="1" t="str">
        <f t="shared" si="1830"/>
        <v>X</v>
      </c>
      <c r="N8333" t="s">
        <v>27</v>
      </c>
    </row>
    <row r="8334" spans="1:14" x14ac:dyDescent="0.25">
      <c r="A8334" t="s">
        <v>43</v>
      </c>
      <c r="B8334" t="s">
        <v>15</v>
      </c>
      <c r="C8334" t="s">
        <v>36</v>
      </c>
      <c r="D8334" t="s">
        <v>32</v>
      </c>
      <c r="E8334" t="s">
        <v>21</v>
      </c>
      <c r="F8334" t="s">
        <v>18</v>
      </c>
      <c r="G8334" s="2">
        <f>VALUE(314.72)</f>
        <v>314.72000000000003</v>
      </c>
      <c r="H8334" s="3">
        <f>VALUE(305.52)</f>
        <v>305.52</v>
      </c>
      <c r="I8334" s="4">
        <f>VALUE(4127)</f>
        <v>4127</v>
      </c>
      <c r="J8334" s="1">
        <f>VALUE(4785)</f>
        <v>4785</v>
      </c>
      <c r="K8334" s="1">
        <f>VALUE(5363)</f>
        <v>5363</v>
      </c>
      <c r="L8334" s="1">
        <f>VALUE(6454)</f>
        <v>6454</v>
      </c>
      <c r="M8334" s="1">
        <f>VALUE(7621)</f>
        <v>7621</v>
      </c>
      <c r="N8334" t="s">
        <v>25</v>
      </c>
    </row>
    <row r="8335" spans="1:14" x14ac:dyDescent="0.25">
      <c r="A8335" t="s">
        <v>43</v>
      </c>
      <c r="B8335" t="s">
        <v>15</v>
      </c>
      <c r="C8335" t="s">
        <v>36</v>
      </c>
      <c r="D8335" t="s">
        <v>32</v>
      </c>
      <c r="E8335" t="s">
        <v>21</v>
      </c>
      <c r="F8335" t="s">
        <v>19</v>
      </c>
      <c r="G8335" s="2">
        <f>VALUE(373.49)</f>
        <v>373.49</v>
      </c>
      <c r="H8335" s="3">
        <f>VALUE(359.31)</f>
        <v>359.31</v>
      </c>
      <c r="I8335" s="1">
        <f>VALUE(3817)</f>
        <v>3817</v>
      </c>
      <c r="J8335" s="1">
        <f>VALUE(4482)</f>
        <v>4482</v>
      </c>
      <c r="K8335" s="6">
        <f>VALUE(5098)</f>
        <v>5098</v>
      </c>
      <c r="L8335" s="1">
        <f>VALUE(5952)</f>
        <v>5952</v>
      </c>
      <c r="M8335" s="1">
        <f>VALUE(6833)</f>
        <v>6833</v>
      </c>
      <c r="N8335" t="s">
        <v>25</v>
      </c>
    </row>
    <row r="8336" spans="1:14" x14ac:dyDescent="0.25">
      <c r="A8336" t="s">
        <v>43</v>
      </c>
      <c r="B8336" t="s">
        <v>15</v>
      </c>
      <c r="C8336" t="s">
        <v>36</v>
      </c>
      <c r="D8336" t="s">
        <v>32</v>
      </c>
      <c r="E8336" t="s">
        <v>21</v>
      </c>
      <c r="F8336" t="s">
        <v>20</v>
      </c>
      <c r="G8336" s="2">
        <f>VALUE(1929.99)</f>
        <v>1929.99</v>
      </c>
      <c r="H8336" s="3">
        <f>VALUE(1773.32)</f>
        <v>1773.32</v>
      </c>
      <c r="I8336" s="1">
        <f>VALUE(3238)</f>
        <v>3238</v>
      </c>
      <c r="J8336" s="1">
        <f>VALUE(3703)</f>
        <v>3703</v>
      </c>
      <c r="K8336" s="1">
        <f>VALUE(4430)</f>
        <v>4430</v>
      </c>
      <c r="L8336" s="1">
        <f>VALUE(5260)</f>
        <v>5260</v>
      </c>
      <c r="M8336" s="1">
        <f>VALUE(6144)</f>
        <v>6144</v>
      </c>
      <c r="N8336" t="s">
        <v>25</v>
      </c>
    </row>
    <row r="8337" spans="1:14" x14ac:dyDescent="0.25">
      <c r="A8337" t="s">
        <v>43</v>
      </c>
      <c r="B8337" t="s">
        <v>15</v>
      </c>
      <c r="C8337" t="s">
        <v>36</v>
      </c>
      <c r="D8337" t="s">
        <v>32</v>
      </c>
      <c r="E8337" t="s">
        <v>22</v>
      </c>
      <c r="F8337" t="s">
        <v>15</v>
      </c>
      <c r="G8337" s="2">
        <f>VALUE(4479.78)</f>
        <v>4479.78</v>
      </c>
      <c r="H8337" s="3">
        <f>VALUE(4112.9)</f>
        <v>4112.8999999999996</v>
      </c>
      <c r="I8337" s="1">
        <f>VALUE(3103)</f>
        <v>3103</v>
      </c>
      <c r="J8337" s="1">
        <f>VALUE(3553)</f>
        <v>3553</v>
      </c>
      <c r="K8337" s="1">
        <f>VALUE(4228)</f>
        <v>4228</v>
      </c>
      <c r="L8337" s="1">
        <f>VALUE(4956)</f>
        <v>4956</v>
      </c>
      <c r="M8337" s="1">
        <f>VALUE(5706)</f>
        <v>5706</v>
      </c>
      <c r="N8337" t="s">
        <v>25</v>
      </c>
    </row>
    <row r="8338" spans="1:14" x14ac:dyDescent="0.25">
      <c r="A8338" t="s">
        <v>43</v>
      </c>
      <c r="B8338" t="s">
        <v>15</v>
      </c>
      <c r="C8338" t="s">
        <v>36</v>
      </c>
      <c r="D8338" t="s">
        <v>32</v>
      </c>
      <c r="E8338" t="s">
        <v>22</v>
      </c>
      <c r="F8338" t="s">
        <v>17</v>
      </c>
      <c r="G8338" s="1" t="str">
        <f t="shared" ref="G8338:M8339" si="1831">"X"</f>
        <v>X</v>
      </c>
      <c r="H8338" s="1" t="str">
        <f t="shared" si="1831"/>
        <v>X</v>
      </c>
      <c r="I8338" s="1" t="str">
        <f t="shared" si="1831"/>
        <v>X</v>
      </c>
      <c r="J8338" s="1" t="str">
        <f t="shared" si="1831"/>
        <v>X</v>
      </c>
      <c r="K8338" s="1" t="str">
        <f t="shared" si="1831"/>
        <v>X</v>
      </c>
      <c r="L8338" s="1" t="str">
        <f t="shared" si="1831"/>
        <v>X</v>
      </c>
      <c r="M8338" s="1" t="str">
        <f t="shared" si="1831"/>
        <v>X</v>
      </c>
      <c r="N8338" t="s">
        <v>27</v>
      </c>
    </row>
    <row r="8339" spans="1:14" x14ac:dyDescent="0.25">
      <c r="A8339" t="s">
        <v>43</v>
      </c>
      <c r="B8339" t="s">
        <v>15</v>
      </c>
      <c r="C8339" t="s">
        <v>36</v>
      </c>
      <c r="D8339" t="s">
        <v>32</v>
      </c>
      <c r="E8339" t="s">
        <v>22</v>
      </c>
      <c r="F8339" t="s">
        <v>18</v>
      </c>
      <c r="G8339" s="1" t="str">
        <f t="shared" si="1831"/>
        <v>X</v>
      </c>
      <c r="H8339" s="1" t="str">
        <f t="shared" si="1831"/>
        <v>X</v>
      </c>
      <c r="I8339" s="1" t="str">
        <f t="shared" si="1831"/>
        <v>X</v>
      </c>
      <c r="J8339" s="1" t="str">
        <f t="shared" si="1831"/>
        <v>X</v>
      </c>
      <c r="K8339" s="1" t="str">
        <f t="shared" si="1831"/>
        <v>X</v>
      </c>
      <c r="L8339" s="1" t="str">
        <f t="shared" si="1831"/>
        <v>X</v>
      </c>
      <c r="M8339" s="1" t="str">
        <f t="shared" si="1831"/>
        <v>X</v>
      </c>
      <c r="N8339" t="s">
        <v>27</v>
      </c>
    </row>
    <row r="8340" spans="1:14" x14ac:dyDescent="0.25">
      <c r="A8340" t="s">
        <v>43</v>
      </c>
      <c r="B8340" t="s">
        <v>15</v>
      </c>
      <c r="C8340" t="s">
        <v>36</v>
      </c>
      <c r="D8340" t="s">
        <v>32</v>
      </c>
      <c r="E8340" t="s">
        <v>22</v>
      </c>
      <c r="F8340" t="s">
        <v>19</v>
      </c>
      <c r="G8340" s="2">
        <f>VALUE(449.54)</f>
        <v>449.54</v>
      </c>
      <c r="H8340" s="3">
        <f>VALUE(444.33)</f>
        <v>444.33</v>
      </c>
      <c r="I8340" s="4">
        <f>VALUE(3629)</f>
        <v>3629</v>
      </c>
      <c r="J8340" s="1">
        <f>VALUE(4237)</f>
        <v>4237</v>
      </c>
      <c r="K8340" s="1">
        <f>VALUE(4623)</f>
        <v>4623</v>
      </c>
      <c r="L8340" s="1">
        <f>VALUE(5605)</f>
        <v>5605</v>
      </c>
      <c r="M8340" s="1">
        <f>VALUE(6762)</f>
        <v>6762</v>
      </c>
      <c r="N8340" t="s">
        <v>25</v>
      </c>
    </row>
    <row r="8341" spans="1:14" x14ac:dyDescent="0.25">
      <c r="A8341" t="s">
        <v>43</v>
      </c>
      <c r="B8341" t="s">
        <v>15</v>
      </c>
      <c r="C8341" t="s">
        <v>36</v>
      </c>
      <c r="D8341" t="s">
        <v>32</v>
      </c>
      <c r="E8341" t="s">
        <v>22</v>
      </c>
      <c r="F8341" t="s">
        <v>20</v>
      </c>
      <c r="G8341" s="2">
        <f>VALUE(3481.73)</f>
        <v>3481.73</v>
      </c>
      <c r="H8341" s="3">
        <f>VALUE(3187.2)</f>
        <v>3187.2</v>
      </c>
      <c r="I8341" s="1">
        <f>VALUE(3032)</f>
        <v>3032</v>
      </c>
      <c r="J8341" s="1">
        <f>VALUE(3467)</f>
        <v>3467</v>
      </c>
      <c r="K8341" s="1">
        <f>VALUE(4122)</f>
        <v>4122</v>
      </c>
      <c r="L8341" s="1">
        <f>VALUE(4910)</f>
        <v>4910</v>
      </c>
      <c r="M8341" s="1">
        <f>VALUE(5566)</f>
        <v>5566</v>
      </c>
      <c r="N8341" t="s">
        <v>25</v>
      </c>
    </row>
    <row r="8342" spans="1:14" x14ac:dyDescent="0.25">
      <c r="A8342" t="s">
        <v>43</v>
      </c>
      <c r="B8342" t="s">
        <v>15</v>
      </c>
      <c r="C8342" t="s">
        <v>36</v>
      </c>
      <c r="D8342" t="s">
        <v>32</v>
      </c>
      <c r="E8342" t="s">
        <v>23</v>
      </c>
      <c r="F8342" t="s">
        <v>15</v>
      </c>
      <c r="G8342" s="1">
        <f>VALUE(4062.83)</f>
        <v>4062.83</v>
      </c>
      <c r="H8342" s="1">
        <f>VALUE(3741.05)</f>
        <v>3741.05</v>
      </c>
      <c r="I8342" s="1">
        <f>VALUE(2829)</f>
        <v>2829</v>
      </c>
      <c r="J8342" s="1">
        <f>VALUE(3192)</f>
        <v>3192</v>
      </c>
      <c r="K8342" s="1">
        <f>VALUE(3559)</f>
        <v>3559</v>
      </c>
      <c r="L8342" s="1">
        <f>VALUE(4152)</f>
        <v>4152</v>
      </c>
      <c r="M8342" s="1">
        <f>VALUE(4958)</f>
        <v>4958</v>
      </c>
      <c r="N8342" t="s">
        <v>16</v>
      </c>
    </row>
    <row r="8343" spans="1:14" x14ac:dyDescent="0.25">
      <c r="A8343" t="s">
        <v>43</v>
      </c>
      <c r="B8343" t="s">
        <v>15</v>
      </c>
      <c r="C8343" t="s">
        <v>36</v>
      </c>
      <c r="D8343" t="s">
        <v>32</v>
      </c>
      <c r="E8343" t="s">
        <v>23</v>
      </c>
      <c r="F8343" t="s">
        <v>17</v>
      </c>
      <c r="G8343" s="1" t="str">
        <f t="shared" ref="G8343:M8345" si="1832">"X"</f>
        <v>X</v>
      </c>
      <c r="H8343" s="1" t="str">
        <f t="shared" si="1832"/>
        <v>X</v>
      </c>
      <c r="I8343" s="1" t="str">
        <f t="shared" si="1832"/>
        <v>X</v>
      </c>
      <c r="J8343" s="1" t="str">
        <f t="shared" si="1832"/>
        <v>X</v>
      </c>
      <c r="K8343" s="1" t="str">
        <f t="shared" si="1832"/>
        <v>X</v>
      </c>
      <c r="L8343" s="1" t="str">
        <f t="shared" si="1832"/>
        <v>X</v>
      </c>
      <c r="M8343" s="1" t="str">
        <f t="shared" si="1832"/>
        <v>X</v>
      </c>
      <c r="N8343" t="s">
        <v>27</v>
      </c>
    </row>
    <row r="8344" spans="1:14" x14ac:dyDescent="0.25">
      <c r="A8344" t="s">
        <v>43</v>
      </c>
      <c r="B8344" t="s">
        <v>15</v>
      </c>
      <c r="C8344" t="s">
        <v>36</v>
      </c>
      <c r="D8344" t="s">
        <v>32</v>
      </c>
      <c r="E8344" t="s">
        <v>23</v>
      </c>
      <c r="F8344" t="s">
        <v>18</v>
      </c>
      <c r="G8344" s="1" t="str">
        <f t="shared" si="1832"/>
        <v>X</v>
      </c>
      <c r="H8344" s="1" t="str">
        <f t="shared" si="1832"/>
        <v>X</v>
      </c>
      <c r="I8344" s="1" t="str">
        <f t="shared" si="1832"/>
        <v>X</v>
      </c>
      <c r="J8344" s="1" t="str">
        <f t="shared" si="1832"/>
        <v>X</v>
      </c>
      <c r="K8344" s="1" t="str">
        <f t="shared" si="1832"/>
        <v>X</v>
      </c>
      <c r="L8344" s="1" t="str">
        <f t="shared" si="1832"/>
        <v>X</v>
      </c>
      <c r="M8344" s="1" t="str">
        <f t="shared" si="1832"/>
        <v>X</v>
      </c>
      <c r="N8344" t="s">
        <v>27</v>
      </c>
    </row>
    <row r="8345" spans="1:14" x14ac:dyDescent="0.25">
      <c r="A8345" t="s">
        <v>43</v>
      </c>
      <c r="B8345" t="s">
        <v>15</v>
      </c>
      <c r="C8345" t="s">
        <v>36</v>
      </c>
      <c r="D8345" t="s">
        <v>32</v>
      </c>
      <c r="E8345" t="s">
        <v>23</v>
      </c>
      <c r="F8345" t="s">
        <v>19</v>
      </c>
      <c r="G8345" s="1" t="str">
        <f t="shared" si="1832"/>
        <v>X</v>
      </c>
      <c r="H8345" s="1" t="str">
        <f t="shared" si="1832"/>
        <v>X</v>
      </c>
      <c r="I8345" s="1" t="str">
        <f t="shared" si="1832"/>
        <v>X</v>
      </c>
      <c r="J8345" s="1" t="str">
        <f t="shared" si="1832"/>
        <v>X</v>
      </c>
      <c r="K8345" s="1" t="str">
        <f t="shared" si="1832"/>
        <v>X</v>
      </c>
      <c r="L8345" s="1" t="str">
        <f t="shared" si="1832"/>
        <v>X</v>
      </c>
      <c r="M8345" s="1" t="str">
        <f t="shared" si="1832"/>
        <v>X</v>
      </c>
      <c r="N8345" t="s">
        <v>27</v>
      </c>
    </row>
    <row r="8346" spans="1:14" x14ac:dyDescent="0.25">
      <c r="A8346" t="s">
        <v>43</v>
      </c>
      <c r="B8346" t="s">
        <v>15</v>
      </c>
      <c r="C8346" t="s">
        <v>36</v>
      </c>
      <c r="D8346" t="s">
        <v>32</v>
      </c>
      <c r="E8346" t="s">
        <v>23</v>
      </c>
      <c r="F8346" t="s">
        <v>20</v>
      </c>
      <c r="G8346" s="1">
        <f>VALUE(3665.02)</f>
        <v>3665.02</v>
      </c>
      <c r="H8346" s="1">
        <f>VALUE(3368.81)</f>
        <v>3368.81</v>
      </c>
      <c r="I8346" s="1">
        <f>VALUE(2837)</f>
        <v>2837</v>
      </c>
      <c r="J8346" s="1">
        <f>VALUE(3180)</f>
        <v>3180</v>
      </c>
      <c r="K8346" s="1">
        <f>VALUE(3521)</f>
        <v>3521</v>
      </c>
      <c r="L8346" s="1">
        <f>VALUE(4055)</f>
        <v>4055</v>
      </c>
      <c r="M8346" s="1">
        <f>VALUE(4862)</f>
        <v>4862</v>
      </c>
      <c r="N8346" t="s">
        <v>16</v>
      </c>
    </row>
    <row r="8347" spans="1:14" x14ac:dyDescent="0.25">
      <c r="A8347" t="s">
        <v>43</v>
      </c>
      <c r="B8347" t="s">
        <v>15</v>
      </c>
      <c r="C8347" t="s">
        <v>36</v>
      </c>
      <c r="D8347" t="s">
        <v>32</v>
      </c>
      <c r="E8347" t="s">
        <v>26</v>
      </c>
      <c r="F8347" t="s">
        <v>15</v>
      </c>
      <c r="G8347" s="2">
        <f>VALUE(234.09)</f>
        <v>234.09</v>
      </c>
      <c r="H8347" s="3">
        <f>VALUE(201.57)</f>
        <v>201.57</v>
      </c>
      <c r="I8347" s="1">
        <f>VALUE(3399)</f>
        <v>3399</v>
      </c>
      <c r="J8347" s="1">
        <f>VALUE(4215)</f>
        <v>4215</v>
      </c>
      <c r="K8347" s="1">
        <f>VALUE(4724)</f>
        <v>4724</v>
      </c>
      <c r="L8347" s="1">
        <f>VALUE(5414)</f>
        <v>5414</v>
      </c>
      <c r="M8347" s="1">
        <f>VALUE(6237)</f>
        <v>6237</v>
      </c>
      <c r="N8347" t="s">
        <v>25</v>
      </c>
    </row>
    <row r="8348" spans="1:14" x14ac:dyDescent="0.25">
      <c r="A8348" t="s">
        <v>43</v>
      </c>
      <c r="B8348" t="s">
        <v>15</v>
      </c>
      <c r="C8348" t="s">
        <v>36</v>
      </c>
      <c r="D8348" t="s">
        <v>32</v>
      </c>
      <c r="E8348" t="s">
        <v>26</v>
      </c>
      <c r="F8348" t="s">
        <v>17</v>
      </c>
      <c r="G8348" s="1" t="str">
        <f t="shared" ref="G8348:M8350" si="1833">"X"</f>
        <v>X</v>
      </c>
      <c r="H8348" s="1" t="str">
        <f t="shared" si="1833"/>
        <v>X</v>
      </c>
      <c r="I8348" s="1" t="str">
        <f t="shared" si="1833"/>
        <v>X</v>
      </c>
      <c r="J8348" s="1" t="str">
        <f t="shared" si="1833"/>
        <v>X</v>
      </c>
      <c r="K8348" s="1" t="str">
        <f t="shared" si="1833"/>
        <v>X</v>
      </c>
      <c r="L8348" s="1" t="str">
        <f t="shared" si="1833"/>
        <v>X</v>
      </c>
      <c r="M8348" s="1" t="str">
        <f t="shared" si="1833"/>
        <v>X</v>
      </c>
      <c r="N8348" t="s">
        <v>27</v>
      </c>
    </row>
    <row r="8349" spans="1:14" x14ac:dyDescent="0.25">
      <c r="A8349" t="s">
        <v>43</v>
      </c>
      <c r="B8349" t="s">
        <v>15</v>
      </c>
      <c r="C8349" t="s">
        <v>36</v>
      </c>
      <c r="D8349" t="s">
        <v>32</v>
      </c>
      <c r="E8349" t="s">
        <v>26</v>
      </c>
      <c r="F8349" t="s">
        <v>18</v>
      </c>
      <c r="G8349" s="1" t="str">
        <f t="shared" si="1833"/>
        <v>X</v>
      </c>
      <c r="H8349" s="1" t="str">
        <f t="shared" si="1833"/>
        <v>X</v>
      </c>
      <c r="I8349" s="1" t="str">
        <f t="shared" si="1833"/>
        <v>X</v>
      </c>
      <c r="J8349" s="1" t="str">
        <f t="shared" si="1833"/>
        <v>X</v>
      </c>
      <c r="K8349" s="1" t="str">
        <f t="shared" si="1833"/>
        <v>X</v>
      </c>
      <c r="L8349" s="1" t="str">
        <f t="shared" si="1833"/>
        <v>X</v>
      </c>
      <c r="M8349" s="1" t="str">
        <f t="shared" si="1833"/>
        <v>X</v>
      </c>
      <c r="N8349" t="s">
        <v>27</v>
      </c>
    </row>
    <row r="8350" spans="1:14" x14ac:dyDescent="0.25">
      <c r="A8350" t="s">
        <v>43</v>
      </c>
      <c r="B8350" t="s">
        <v>15</v>
      </c>
      <c r="C8350" t="s">
        <v>36</v>
      </c>
      <c r="D8350" t="s">
        <v>32</v>
      </c>
      <c r="E8350" t="s">
        <v>26</v>
      </c>
      <c r="F8350" t="s">
        <v>19</v>
      </c>
      <c r="G8350" s="1" t="str">
        <f t="shared" si="1833"/>
        <v>X</v>
      </c>
      <c r="H8350" s="1" t="str">
        <f t="shared" si="1833"/>
        <v>X</v>
      </c>
      <c r="I8350" s="1" t="str">
        <f t="shared" si="1833"/>
        <v>X</v>
      </c>
      <c r="J8350" s="1" t="str">
        <f t="shared" si="1833"/>
        <v>X</v>
      </c>
      <c r="K8350" s="1" t="str">
        <f t="shared" si="1833"/>
        <v>X</v>
      </c>
      <c r="L8350" s="1" t="str">
        <f t="shared" si="1833"/>
        <v>X</v>
      </c>
      <c r="M8350" s="1" t="str">
        <f t="shared" si="1833"/>
        <v>X</v>
      </c>
      <c r="N8350" t="s">
        <v>27</v>
      </c>
    </row>
    <row r="8351" spans="1:14" x14ac:dyDescent="0.25">
      <c r="A8351" t="s">
        <v>43</v>
      </c>
      <c r="B8351" t="s">
        <v>15</v>
      </c>
      <c r="C8351" t="s">
        <v>36</v>
      </c>
      <c r="D8351" t="s">
        <v>32</v>
      </c>
      <c r="E8351" t="s">
        <v>26</v>
      </c>
      <c r="F8351" t="s">
        <v>20</v>
      </c>
      <c r="G8351" s="2">
        <f>VALUE(215.63)</f>
        <v>215.63</v>
      </c>
      <c r="H8351" s="3">
        <f>VALUE(182.33)</f>
        <v>182.33</v>
      </c>
      <c r="I8351" s="1">
        <f>VALUE(3278)</f>
        <v>3278</v>
      </c>
      <c r="J8351" s="1">
        <f>VALUE(4215)</f>
        <v>4215</v>
      </c>
      <c r="K8351" s="1">
        <f>VALUE(4758)</f>
        <v>4758</v>
      </c>
      <c r="L8351" s="1">
        <f>VALUE(5433)</f>
        <v>5433</v>
      </c>
      <c r="M8351" s="1">
        <f>VALUE(6237)</f>
        <v>6237</v>
      </c>
      <c r="N8351" t="s">
        <v>25</v>
      </c>
    </row>
    <row r="8352" spans="1:14" x14ac:dyDescent="0.25">
      <c r="A8352" t="s">
        <v>43</v>
      </c>
      <c r="B8352" t="s">
        <v>15</v>
      </c>
      <c r="C8352" t="s">
        <v>36</v>
      </c>
      <c r="D8352" t="s">
        <v>33</v>
      </c>
      <c r="E8352" t="s">
        <v>15</v>
      </c>
      <c r="F8352" t="s">
        <v>15</v>
      </c>
      <c r="G8352" s="1" t="str">
        <f t="shared" ref="G8352:M8362" si="1834">"X"</f>
        <v>X</v>
      </c>
      <c r="H8352" s="1" t="str">
        <f t="shared" si="1834"/>
        <v>X</v>
      </c>
      <c r="I8352" s="1" t="str">
        <f t="shared" si="1834"/>
        <v>X</v>
      </c>
      <c r="J8352" s="1" t="str">
        <f t="shared" si="1834"/>
        <v>X</v>
      </c>
      <c r="K8352" s="1" t="str">
        <f t="shared" si="1834"/>
        <v>X</v>
      </c>
      <c r="L8352" s="1" t="str">
        <f t="shared" si="1834"/>
        <v>X</v>
      </c>
      <c r="M8352" s="1" t="str">
        <f t="shared" si="1834"/>
        <v>X</v>
      </c>
      <c r="N8352" t="s">
        <v>27</v>
      </c>
    </row>
    <row r="8353" spans="1:14" x14ac:dyDescent="0.25">
      <c r="A8353" t="s">
        <v>43</v>
      </c>
      <c r="B8353" t="s">
        <v>15</v>
      </c>
      <c r="C8353" t="s">
        <v>36</v>
      </c>
      <c r="D8353" t="s">
        <v>33</v>
      </c>
      <c r="E8353" t="s">
        <v>15</v>
      </c>
      <c r="F8353" t="s">
        <v>17</v>
      </c>
      <c r="G8353" s="1" t="str">
        <f t="shared" si="1834"/>
        <v>X</v>
      </c>
      <c r="H8353" s="1" t="str">
        <f t="shared" si="1834"/>
        <v>X</v>
      </c>
      <c r="I8353" s="1" t="str">
        <f t="shared" si="1834"/>
        <v>X</v>
      </c>
      <c r="J8353" s="1" t="str">
        <f t="shared" si="1834"/>
        <v>X</v>
      </c>
      <c r="K8353" s="1" t="str">
        <f t="shared" si="1834"/>
        <v>X</v>
      </c>
      <c r="L8353" s="1" t="str">
        <f t="shared" si="1834"/>
        <v>X</v>
      </c>
      <c r="M8353" s="1" t="str">
        <f t="shared" si="1834"/>
        <v>X</v>
      </c>
      <c r="N8353" t="s">
        <v>27</v>
      </c>
    </row>
    <row r="8354" spans="1:14" x14ac:dyDescent="0.25">
      <c r="A8354" t="s">
        <v>43</v>
      </c>
      <c r="B8354" t="s">
        <v>15</v>
      </c>
      <c r="C8354" t="s">
        <v>36</v>
      </c>
      <c r="D8354" t="s">
        <v>33</v>
      </c>
      <c r="E8354" t="s">
        <v>15</v>
      </c>
      <c r="F8354" t="s">
        <v>18</v>
      </c>
      <c r="G8354" s="1" t="str">
        <f t="shared" si="1834"/>
        <v>X</v>
      </c>
      <c r="H8354" s="1" t="str">
        <f t="shared" si="1834"/>
        <v>X</v>
      </c>
      <c r="I8354" s="1" t="str">
        <f t="shared" si="1834"/>
        <v>X</v>
      </c>
      <c r="J8354" s="1" t="str">
        <f t="shared" si="1834"/>
        <v>X</v>
      </c>
      <c r="K8354" s="1" t="str">
        <f t="shared" si="1834"/>
        <v>X</v>
      </c>
      <c r="L8354" s="1" t="str">
        <f t="shared" si="1834"/>
        <v>X</v>
      </c>
      <c r="M8354" s="1" t="str">
        <f t="shared" si="1834"/>
        <v>X</v>
      </c>
      <c r="N8354" t="s">
        <v>27</v>
      </c>
    </row>
    <row r="8355" spans="1:14" x14ac:dyDescent="0.25">
      <c r="A8355" t="s">
        <v>43</v>
      </c>
      <c r="B8355" t="s">
        <v>15</v>
      </c>
      <c r="C8355" t="s">
        <v>36</v>
      </c>
      <c r="D8355" t="s">
        <v>33</v>
      </c>
      <c r="E8355" t="s">
        <v>15</v>
      </c>
      <c r="F8355" t="s">
        <v>19</v>
      </c>
      <c r="G8355" s="1" t="str">
        <f t="shared" si="1834"/>
        <v>X</v>
      </c>
      <c r="H8355" s="1" t="str">
        <f t="shared" si="1834"/>
        <v>X</v>
      </c>
      <c r="I8355" s="1" t="str">
        <f t="shared" si="1834"/>
        <v>X</v>
      </c>
      <c r="J8355" s="1" t="str">
        <f t="shared" si="1834"/>
        <v>X</v>
      </c>
      <c r="K8355" s="1" t="str">
        <f t="shared" si="1834"/>
        <v>X</v>
      </c>
      <c r="L8355" s="1" t="str">
        <f t="shared" si="1834"/>
        <v>X</v>
      </c>
      <c r="M8355" s="1" t="str">
        <f t="shared" si="1834"/>
        <v>X</v>
      </c>
      <c r="N8355" t="s">
        <v>27</v>
      </c>
    </row>
    <row r="8356" spans="1:14" x14ac:dyDescent="0.25">
      <c r="A8356" t="s">
        <v>43</v>
      </c>
      <c r="B8356" t="s">
        <v>15</v>
      </c>
      <c r="C8356" t="s">
        <v>36</v>
      </c>
      <c r="D8356" t="s">
        <v>33</v>
      </c>
      <c r="E8356" t="s">
        <v>15</v>
      </c>
      <c r="F8356" t="s">
        <v>20</v>
      </c>
      <c r="G8356" s="1" t="str">
        <f t="shared" si="1834"/>
        <v>X</v>
      </c>
      <c r="H8356" s="1" t="str">
        <f t="shared" si="1834"/>
        <v>X</v>
      </c>
      <c r="I8356" s="1" t="str">
        <f t="shared" si="1834"/>
        <v>X</v>
      </c>
      <c r="J8356" s="1" t="str">
        <f t="shared" si="1834"/>
        <v>X</v>
      </c>
      <c r="K8356" s="1" t="str">
        <f t="shared" si="1834"/>
        <v>X</v>
      </c>
      <c r="L8356" s="1" t="str">
        <f t="shared" si="1834"/>
        <v>X</v>
      </c>
      <c r="M8356" s="1" t="str">
        <f t="shared" si="1834"/>
        <v>X</v>
      </c>
      <c r="N8356" t="s">
        <v>27</v>
      </c>
    </row>
    <row r="8357" spans="1:14" x14ac:dyDescent="0.25">
      <c r="A8357" t="s">
        <v>43</v>
      </c>
      <c r="B8357" t="s">
        <v>15</v>
      </c>
      <c r="C8357" t="s">
        <v>36</v>
      </c>
      <c r="D8357" t="s">
        <v>33</v>
      </c>
      <c r="E8357" t="s">
        <v>21</v>
      </c>
      <c r="F8357" t="s">
        <v>15</v>
      </c>
      <c r="G8357" s="1" t="str">
        <f t="shared" si="1834"/>
        <v>X</v>
      </c>
      <c r="H8357" s="1" t="str">
        <f t="shared" si="1834"/>
        <v>X</v>
      </c>
      <c r="I8357" s="1" t="str">
        <f t="shared" si="1834"/>
        <v>X</v>
      </c>
      <c r="J8357" s="1" t="str">
        <f t="shared" si="1834"/>
        <v>X</v>
      </c>
      <c r="K8357" s="1" t="str">
        <f t="shared" si="1834"/>
        <v>X</v>
      </c>
      <c r="L8357" s="1" t="str">
        <f t="shared" si="1834"/>
        <v>X</v>
      </c>
      <c r="M8357" s="1" t="str">
        <f t="shared" si="1834"/>
        <v>X</v>
      </c>
      <c r="N8357" t="s">
        <v>27</v>
      </c>
    </row>
    <row r="8358" spans="1:14" x14ac:dyDescent="0.25">
      <c r="A8358" t="s">
        <v>43</v>
      </c>
      <c r="B8358" t="s">
        <v>15</v>
      </c>
      <c r="C8358" t="s">
        <v>36</v>
      </c>
      <c r="D8358" t="s">
        <v>33</v>
      </c>
      <c r="E8358" t="s">
        <v>21</v>
      </c>
      <c r="F8358" t="s">
        <v>17</v>
      </c>
      <c r="G8358" s="1" t="str">
        <f t="shared" si="1834"/>
        <v>X</v>
      </c>
      <c r="H8358" s="1" t="str">
        <f t="shared" si="1834"/>
        <v>X</v>
      </c>
      <c r="I8358" s="1" t="str">
        <f t="shared" si="1834"/>
        <v>X</v>
      </c>
      <c r="J8358" s="1" t="str">
        <f t="shared" si="1834"/>
        <v>X</v>
      </c>
      <c r="K8358" s="1" t="str">
        <f t="shared" si="1834"/>
        <v>X</v>
      </c>
      <c r="L8358" s="1" t="str">
        <f t="shared" si="1834"/>
        <v>X</v>
      </c>
      <c r="M8358" s="1" t="str">
        <f t="shared" si="1834"/>
        <v>X</v>
      </c>
      <c r="N8358" t="s">
        <v>27</v>
      </c>
    </row>
    <row r="8359" spans="1:14" x14ac:dyDescent="0.25">
      <c r="A8359" t="s">
        <v>43</v>
      </c>
      <c r="B8359" t="s">
        <v>15</v>
      </c>
      <c r="C8359" t="s">
        <v>36</v>
      </c>
      <c r="D8359" t="s">
        <v>33</v>
      </c>
      <c r="E8359" t="s">
        <v>21</v>
      </c>
      <c r="F8359" t="s">
        <v>18</v>
      </c>
      <c r="G8359" s="1" t="str">
        <f t="shared" si="1834"/>
        <v>X</v>
      </c>
      <c r="H8359" s="1" t="str">
        <f t="shared" si="1834"/>
        <v>X</v>
      </c>
      <c r="I8359" s="1" t="str">
        <f t="shared" si="1834"/>
        <v>X</v>
      </c>
      <c r="J8359" s="1" t="str">
        <f t="shared" si="1834"/>
        <v>X</v>
      </c>
      <c r="K8359" s="1" t="str">
        <f t="shared" si="1834"/>
        <v>X</v>
      </c>
      <c r="L8359" s="1" t="str">
        <f t="shared" si="1834"/>
        <v>X</v>
      </c>
      <c r="M8359" s="1" t="str">
        <f t="shared" si="1834"/>
        <v>X</v>
      </c>
      <c r="N8359" t="s">
        <v>27</v>
      </c>
    </row>
    <row r="8360" spans="1:14" x14ac:dyDescent="0.25">
      <c r="A8360" t="s">
        <v>43</v>
      </c>
      <c r="B8360" t="s">
        <v>15</v>
      </c>
      <c r="C8360" t="s">
        <v>36</v>
      </c>
      <c r="D8360" t="s">
        <v>33</v>
      </c>
      <c r="E8360" t="s">
        <v>21</v>
      </c>
      <c r="F8360" t="s">
        <v>19</v>
      </c>
      <c r="G8360" s="1" t="str">
        <f t="shared" si="1834"/>
        <v>X</v>
      </c>
      <c r="H8360" s="1" t="str">
        <f t="shared" si="1834"/>
        <v>X</v>
      </c>
      <c r="I8360" s="1" t="str">
        <f t="shared" si="1834"/>
        <v>X</v>
      </c>
      <c r="J8360" s="1" t="str">
        <f t="shared" si="1834"/>
        <v>X</v>
      </c>
      <c r="K8360" s="1" t="str">
        <f t="shared" si="1834"/>
        <v>X</v>
      </c>
      <c r="L8360" s="1" t="str">
        <f t="shared" si="1834"/>
        <v>X</v>
      </c>
      <c r="M8360" s="1" t="str">
        <f t="shared" si="1834"/>
        <v>X</v>
      </c>
      <c r="N8360" t="s">
        <v>27</v>
      </c>
    </row>
    <row r="8361" spans="1:14" x14ac:dyDescent="0.25">
      <c r="A8361" t="s">
        <v>43</v>
      </c>
      <c r="B8361" t="s">
        <v>15</v>
      </c>
      <c r="C8361" t="s">
        <v>36</v>
      </c>
      <c r="D8361" t="s">
        <v>33</v>
      </c>
      <c r="E8361" t="s">
        <v>21</v>
      </c>
      <c r="F8361" t="s">
        <v>20</v>
      </c>
      <c r="G8361" s="1" t="str">
        <f t="shared" si="1834"/>
        <v>X</v>
      </c>
      <c r="H8361" s="1" t="str">
        <f t="shared" si="1834"/>
        <v>X</v>
      </c>
      <c r="I8361" s="1" t="str">
        <f t="shared" si="1834"/>
        <v>X</v>
      </c>
      <c r="J8361" s="1" t="str">
        <f t="shared" si="1834"/>
        <v>X</v>
      </c>
      <c r="K8361" s="1" t="str">
        <f t="shared" si="1834"/>
        <v>X</v>
      </c>
      <c r="L8361" s="1" t="str">
        <f t="shared" si="1834"/>
        <v>X</v>
      </c>
      <c r="M8361" s="1" t="str">
        <f t="shared" si="1834"/>
        <v>X</v>
      </c>
      <c r="N8361" t="s">
        <v>27</v>
      </c>
    </row>
    <row r="8362" spans="1:14" x14ac:dyDescent="0.25">
      <c r="A8362" t="s">
        <v>43</v>
      </c>
      <c r="B8362" t="s">
        <v>15</v>
      </c>
      <c r="C8362" t="s">
        <v>36</v>
      </c>
      <c r="D8362" t="s">
        <v>33</v>
      </c>
      <c r="E8362" t="s">
        <v>22</v>
      </c>
      <c r="F8362" t="s">
        <v>15</v>
      </c>
      <c r="G8362" s="1" t="str">
        <f t="shared" si="1834"/>
        <v>X</v>
      </c>
      <c r="H8362" s="1" t="str">
        <f t="shared" si="1834"/>
        <v>X</v>
      </c>
      <c r="I8362" s="1" t="str">
        <f t="shared" si="1834"/>
        <v>X</v>
      </c>
      <c r="J8362" s="1" t="str">
        <f t="shared" si="1834"/>
        <v>X</v>
      </c>
      <c r="K8362" s="1" t="str">
        <f t="shared" si="1834"/>
        <v>X</v>
      </c>
      <c r="L8362" s="1" t="str">
        <f t="shared" si="1834"/>
        <v>X</v>
      </c>
      <c r="M8362" s="1" t="str">
        <f t="shared" si="1834"/>
        <v>X</v>
      </c>
      <c r="N8362" t="s">
        <v>27</v>
      </c>
    </row>
    <row r="8363" spans="1:14" x14ac:dyDescent="0.25">
      <c r="A8363" t="s">
        <v>43</v>
      </c>
      <c r="B8363" t="s">
        <v>15</v>
      </c>
      <c r="C8363" t="s">
        <v>36</v>
      </c>
      <c r="D8363" t="s">
        <v>33</v>
      </c>
      <c r="E8363" t="s">
        <v>22</v>
      </c>
      <c r="F8363" t="s">
        <v>17</v>
      </c>
      <c r="G8363" s="1" t="str">
        <f t="shared" ref="G8363:M8365" si="1835">"..."</f>
        <v>...</v>
      </c>
      <c r="H8363" s="1" t="str">
        <f t="shared" si="1835"/>
        <v>...</v>
      </c>
      <c r="I8363" s="1" t="str">
        <f t="shared" si="1835"/>
        <v>...</v>
      </c>
      <c r="J8363" s="1" t="str">
        <f t="shared" si="1835"/>
        <v>...</v>
      </c>
      <c r="K8363" s="1" t="str">
        <f t="shared" si="1835"/>
        <v>...</v>
      </c>
      <c r="L8363" s="1" t="str">
        <f t="shared" si="1835"/>
        <v>...</v>
      </c>
      <c r="M8363" s="1" t="str">
        <f t="shared" si="1835"/>
        <v>...</v>
      </c>
      <c r="N8363" t="s">
        <v>30</v>
      </c>
    </row>
    <row r="8364" spans="1:14" x14ac:dyDescent="0.25">
      <c r="A8364" t="s">
        <v>43</v>
      </c>
      <c r="B8364" t="s">
        <v>15</v>
      </c>
      <c r="C8364" t="s">
        <v>36</v>
      </c>
      <c r="D8364" t="s">
        <v>33</v>
      </c>
      <c r="E8364" t="s">
        <v>22</v>
      </c>
      <c r="F8364" t="s">
        <v>18</v>
      </c>
      <c r="G8364" s="1" t="str">
        <f t="shared" si="1835"/>
        <v>...</v>
      </c>
      <c r="H8364" s="1" t="str">
        <f t="shared" si="1835"/>
        <v>...</v>
      </c>
      <c r="I8364" s="1" t="str">
        <f t="shared" si="1835"/>
        <v>...</v>
      </c>
      <c r="J8364" s="1" t="str">
        <f t="shared" si="1835"/>
        <v>...</v>
      </c>
      <c r="K8364" s="1" t="str">
        <f t="shared" si="1835"/>
        <v>...</v>
      </c>
      <c r="L8364" s="1" t="str">
        <f t="shared" si="1835"/>
        <v>...</v>
      </c>
      <c r="M8364" s="1" t="str">
        <f t="shared" si="1835"/>
        <v>...</v>
      </c>
      <c r="N8364" t="s">
        <v>30</v>
      </c>
    </row>
    <row r="8365" spans="1:14" x14ac:dyDescent="0.25">
      <c r="A8365" t="s">
        <v>43</v>
      </c>
      <c r="B8365" t="s">
        <v>15</v>
      </c>
      <c r="C8365" t="s">
        <v>36</v>
      </c>
      <c r="D8365" t="s">
        <v>33</v>
      </c>
      <c r="E8365" t="s">
        <v>22</v>
      </c>
      <c r="F8365" t="s">
        <v>19</v>
      </c>
      <c r="G8365" s="1" t="str">
        <f t="shared" si="1835"/>
        <v>...</v>
      </c>
      <c r="H8365" s="1" t="str">
        <f t="shared" si="1835"/>
        <v>...</v>
      </c>
      <c r="I8365" s="1" t="str">
        <f t="shared" si="1835"/>
        <v>...</v>
      </c>
      <c r="J8365" s="1" t="str">
        <f t="shared" si="1835"/>
        <v>...</v>
      </c>
      <c r="K8365" s="1" t="str">
        <f t="shared" si="1835"/>
        <v>...</v>
      </c>
      <c r="L8365" s="1" t="str">
        <f t="shared" si="1835"/>
        <v>...</v>
      </c>
      <c r="M8365" s="1" t="str">
        <f t="shared" si="1835"/>
        <v>...</v>
      </c>
      <c r="N8365" t="s">
        <v>30</v>
      </c>
    </row>
    <row r="8366" spans="1:14" x14ac:dyDescent="0.25">
      <c r="A8366" t="s">
        <v>43</v>
      </c>
      <c r="B8366" t="s">
        <v>15</v>
      </c>
      <c r="C8366" t="s">
        <v>36</v>
      </c>
      <c r="D8366" t="s">
        <v>33</v>
      </c>
      <c r="E8366" t="s">
        <v>22</v>
      </c>
      <c r="F8366" t="s">
        <v>20</v>
      </c>
      <c r="G8366" s="1" t="str">
        <f t="shared" ref="G8366:M8367" si="1836">"X"</f>
        <v>X</v>
      </c>
      <c r="H8366" s="1" t="str">
        <f t="shared" si="1836"/>
        <v>X</v>
      </c>
      <c r="I8366" s="1" t="str">
        <f t="shared" si="1836"/>
        <v>X</v>
      </c>
      <c r="J8366" s="1" t="str">
        <f t="shared" si="1836"/>
        <v>X</v>
      </c>
      <c r="K8366" s="1" t="str">
        <f t="shared" si="1836"/>
        <v>X</v>
      </c>
      <c r="L8366" s="1" t="str">
        <f t="shared" si="1836"/>
        <v>X</v>
      </c>
      <c r="M8366" s="1" t="str">
        <f t="shared" si="1836"/>
        <v>X</v>
      </c>
      <c r="N8366" t="s">
        <v>27</v>
      </c>
    </row>
    <row r="8367" spans="1:14" x14ac:dyDescent="0.25">
      <c r="A8367" t="s">
        <v>43</v>
      </c>
      <c r="B8367" t="s">
        <v>15</v>
      </c>
      <c r="C8367" t="s">
        <v>36</v>
      </c>
      <c r="D8367" t="s">
        <v>33</v>
      </c>
      <c r="E8367" t="s">
        <v>23</v>
      </c>
      <c r="F8367" t="s">
        <v>15</v>
      </c>
      <c r="G8367" s="1" t="str">
        <f t="shared" si="1836"/>
        <v>X</v>
      </c>
      <c r="H8367" s="1" t="str">
        <f t="shared" si="1836"/>
        <v>X</v>
      </c>
      <c r="I8367" s="1" t="str">
        <f t="shared" si="1836"/>
        <v>X</v>
      </c>
      <c r="J8367" s="1" t="str">
        <f t="shared" si="1836"/>
        <v>X</v>
      </c>
      <c r="K8367" s="1" t="str">
        <f t="shared" si="1836"/>
        <v>X</v>
      </c>
      <c r="L8367" s="1" t="str">
        <f t="shared" si="1836"/>
        <v>X</v>
      </c>
      <c r="M8367" s="1" t="str">
        <f t="shared" si="1836"/>
        <v>X</v>
      </c>
      <c r="N8367" t="s">
        <v>27</v>
      </c>
    </row>
    <row r="8368" spans="1:14" x14ac:dyDescent="0.25">
      <c r="A8368" t="s">
        <v>43</v>
      </c>
      <c r="B8368" t="s">
        <v>15</v>
      </c>
      <c r="C8368" t="s">
        <v>36</v>
      </c>
      <c r="D8368" t="s">
        <v>33</v>
      </c>
      <c r="E8368" t="s">
        <v>23</v>
      </c>
      <c r="F8368" t="s">
        <v>17</v>
      </c>
      <c r="G8368" s="1" t="str">
        <f t="shared" ref="G8368:M8370" si="1837">"..."</f>
        <v>...</v>
      </c>
      <c r="H8368" s="1" t="str">
        <f t="shared" si="1837"/>
        <v>...</v>
      </c>
      <c r="I8368" s="1" t="str">
        <f t="shared" si="1837"/>
        <v>...</v>
      </c>
      <c r="J8368" s="1" t="str">
        <f t="shared" si="1837"/>
        <v>...</v>
      </c>
      <c r="K8368" s="1" t="str">
        <f t="shared" si="1837"/>
        <v>...</v>
      </c>
      <c r="L8368" s="1" t="str">
        <f t="shared" si="1837"/>
        <v>...</v>
      </c>
      <c r="M8368" s="1" t="str">
        <f t="shared" si="1837"/>
        <v>...</v>
      </c>
      <c r="N8368" t="s">
        <v>30</v>
      </c>
    </row>
    <row r="8369" spans="1:14" x14ac:dyDescent="0.25">
      <c r="A8369" t="s">
        <v>43</v>
      </c>
      <c r="B8369" t="s">
        <v>15</v>
      </c>
      <c r="C8369" t="s">
        <v>36</v>
      </c>
      <c r="D8369" t="s">
        <v>33</v>
      </c>
      <c r="E8369" t="s">
        <v>23</v>
      </c>
      <c r="F8369" t="s">
        <v>18</v>
      </c>
      <c r="G8369" s="1" t="str">
        <f t="shared" si="1837"/>
        <v>...</v>
      </c>
      <c r="H8369" s="1" t="str">
        <f t="shared" si="1837"/>
        <v>...</v>
      </c>
      <c r="I8369" s="1" t="str">
        <f t="shared" si="1837"/>
        <v>...</v>
      </c>
      <c r="J8369" s="1" t="str">
        <f t="shared" si="1837"/>
        <v>...</v>
      </c>
      <c r="K8369" s="1" t="str">
        <f t="shared" si="1837"/>
        <v>...</v>
      </c>
      <c r="L8369" s="1" t="str">
        <f t="shared" si="1837"/>
        <v>...</v>
      </c>
      <c r="M8369" s="1" t="str">
        <f t="shared" si="1837"/>
        <v>...</v>
      </c>
      <c r="N8369" t="s">
        <v>30</v>
      </c>
    </row>
    <row r="8370" spans="1:14" x14ac:dyDescent="0.25">
      <c r="A8370" t="s">
        <v>43</v>
      </c>
      <c r="B8370" t="s">
        <v>15</v>
      </c>
      <c r="C8370" t="s">
        <v>36</v>
      </c>
      <c r="D8370" t="s">
        <v>33</v>
      </c>
      <c r="E8370" t="s">
        <v>23</v>
      </c>
      <c r="F8370" t="s">
        <v>19</v>
      </c>
      <c r="G8370" s="1" t="str">
        <f t="shared" si="1837"/>
        <v>...</v>
      </c>
      <c r="H8370" s="1" t="str">
        <f t="shared" si="1837"/>
        <v>...</v>
      </c>
      <c r="I8370" s="1" t="str">
        <f t="shared" si="1837"/>
        <v>...</v>
      </c>
      <c r="J8370" s="1" t="str">
        <f t="shared" si="1837"/>
        <v>...</v>
      </c>
      <c r="K8370" s="1" t="str">
        <f t="shared" si="1837"/>
        <v>...</v>
      </c>
      <c r="L8370" s="1" t="str">
        <f t="shared" si="1837"/>
        <v>...</v>
      </c>
      <c r="M8370" s="1" t="str">
        <f t="shared" si="1837"/>
        <v>...</v>
      </c>
      <c r="N8370" t="s">
        <v>30</v>
      </c>
    </row>
    <row r="8371" spans="1:14" x14ac:dyDescent="0.25">
      <c r="A8371" t="s">
        <v>43</v>
      </c>
      <c r="B8371" t="s">
        <v>15</v>
      </c>
      <c r="C8371" t="s">
        <v>36</v>
      </c>
      <c r="D8371" t="s">
        <v>33</v>
      </c>
      <c r="E8371" t="s">
        <v>23</v>
      </c>
      <c r="F8371" t="s">
        <v>20</v>
      </c>
      <c r="G8371" s="1" t="str">
        <f t="shared" ref="G8371:M8372" si="1838">"X"</f>
        <v>X</v>
      </c>
      <c r="H8371" s="1" t="str">
        <f t="shared" si="1838"/>
        <v>X</v>
      </c>
      <c r="I8371" s="1" t="str">
        <f t="shared" si="1838"/>
        <v>X</v>
      </c>
      <c r="J8371" s="1" t="str">
        <f t="shared" si="1838"/>
        <v>X</v>
      </c>
      <c r="K8371" s="1" t="str">
        <f t="shared" si="1838"/>
        <v>X</v>
      </c>
      <c r="L8371" s="1" t="str">
        <f t="shared" si="1838"/>
        <v>X</v>
      </c>
      <c r="M8371" s="1" t="str">
        <f t="shared" si="1838"/>
        <v>X</v>
      </c>
      <c r="N8371" t="s">
        <v>27</v>
      </c>
    </row>
    <row r="8372" spans="1:14" x14ac:dyDescent="0.25">
      <c r="A8372" t="s">
        <v>43</v>
      </c>
      <c r="B8372" t="s">
        <v>15</v>
      </c>
      <c r="C8372" t="s">
        <v>36</v>
      </c>
      <c r="D8372" t="s">
        <v>33</v>
      </c>
      <c r="E8372" t="s">
        <v>26</v>
      </c>
      <c r="F8372" t="s">
        <v>15</v>
      </c>
      <c r="G8372" s="1" t="str">
        <f t="shared" si="1838"/>
        <v>X</v>
      </c>
      <c r="H8372" s="1" t="str">
        <f t="shared" si="1838"/>
        <v>X</v>
      </c>
      <c r="I8372" s="1" t="str">
        <f t="shared" si="1838"/>
        <v>X</v>
      </c>
      <c r="J8372" s="1" t="str">
        <f t="shared" si="1838"/>
        <v>X</v>
      </c>
      <c r="K8372" s="1" t="str">
        <f t="shared" si="1838"/>
        <v>X</v>
      </c>
      <c r="L8372" s="1" t="str">
        <f t="shared" si="1838"/>
        <v>X</v>
      </c>
      <c r="M8372" s="1" t="str">
        <f t="shared" si="1838"/>
        <v>X</v>
      </c>
      <c r="N8372" t="s">
        <v>27</v>
      </c>
    </row>
    <row r="8373" spans="1:14" x14ac:dyDescent="0.25">
      <c r="A8373" t="s">
        <v>43</v>
      </c>
      <c r="B8373" t="s">
        <v>15</v>
      </c>
      <c r="C8373" t="s">
        <v>36</v>
      </c>
      <c r="D8373" t="s">
        <v>33</v>
      </c>
      <c r="E8373" t="s">
        <v>26</v>
      </c>
      <c r="F8373" t="s">
        <v>17</v>
      </c>
      <c r="G8373" s="1" t="str">
        <f t="shared" ref="G8373:M8375" si="1839">"..."</f>
        <v>...</v>
      </c>
      <c r="H8373" s="1" t="str">
        <f t="shared" si="1839"/>
        <v>...</v>
      </c>
      <c r="I8373" s="1" t="str">
        <f t="shared" si="1839"/>
        <v>...</v>
      </c>
      <c r="J8373" s="1" t="str">
        <f t="shared" si="1839"/>
        <v>...</v>
      </c>
      <c r="K8373" s="1" t="str">
        <f t="shared" si="1839"/>
        <v>...</v>
      </c>
      <c r="L8373" s="1" t="str">
        <f t="shared" si="1839"/>
        <v>...</v>
      </c>
      <c r="M8373" s="1" t="str">
        <f t="shared" si="1839"/>
        <v>...</v>
      </c>
      <c r="N8373" t="s">
        <v>30</v>
      </c>
    </row>
    <row r="8374" spans="1:14" x14ac:dyDescent="0.25">
      <c r="A8374" t="s">
        <v>43</v>
      </c>
      <c r="B8374" t="s">
        <v>15</v>
      </c>
      <c r="C8374" t="s">
        <v>36</v>
      </c>
      <c r="D8374" t="s">
        <v>33</v>
      </c>
      <c r="E8374" t="s">
        <v>26</v>
      </c>
      <c r="F8374" t="s">
        <v>18</v>
      </c>
      <c r="G8374" s="1" t="str">
        <f t="shared" si="1839"/>
        <v>...</v>
      </c>
      <c r="H8374" s="1" t="str">
        <f t="shared" si="1839"/>
        <v>...</v>
      </c>
      <c r="I8374" s="1" t="str">
        <f t="shared" si="1839"/>
        <v>...</v>
      </c>
      <c r="J8374" s="1" t="str">
        <f t="shared" si="1839"/>
        <v>...</v>
      </c>
      <c r="K8374" s="1" t="str">
        <f t="shared" si="1839"/>
        <v>...</v>
      </c>
      <c r="L8374" s="1" t="str">
        <f t="shared" si="1839"/>
        <v>...</v>
      </c>
      <c r="M8374" s="1" t="str">
        <f t="shared" si="1839"/>
        <v>...</v>
      </c>
      <c r="N8374" t="s">
        <v>30</v>
      </c>
    </row>
    <row r="8375" spans="1:14" x14ac:dyDescent="0.25">
      <c r="A8375" t="s">
        <v>43</v>
      </c>
      <c r="B8375" t="s">
        <v>15</v>
      </c>
      <c r="C8375" t="s">
        <v>36</v>
      </c>
      <c r="D8375" t="s">
        <v>33</v>
      </c>
      <c r="E8375" t="s">
        <v>26</v>
      </c>
      <c r="F8375" t="s">
        <v>19</v>
      </c>
      <c r="G8375" s="1" t="str">
        <f t="shared" si="1839"/>
        <v>...</v>
      </c>
      <c r="H8375" s="1" t="str">
        <f t="shared" si="1839"/>
        <v>...</v>
      </c>
      <c r="I8375" s="1" t="str">
        <f t="shared" si="1839"/>
        <v>...</v>
      </c>
      <c r="J8375" s="1" t="str">
        <f t="shared" si="1839"/>
        <v>...</v>
      </c>
      <c r="K8375" s="1" t="str">
        <f t="shared" si="1839"/>
        <v>...</v>
      </c>
      <c r="L8375" s="1" t="str">
        <f t="shared" si="1839"/>
        <v>...</v>
      </c>
      <c r="M8375" s="1" t="str">
        <f t="shared" si="1839"/>
        <v>...</v>
      </c>
      <c r="N8375" t="s">
        <v>30</v>
      </c>
    </row>
    <row r="8376" spans="1:14" x14ac:dyDescent="0.25">
      <c r="A8376" t="s">
        <v>43</v>
      </c>
      <c r="B8376" t="s">
        <v>15</v>
      </c>
      <c r="C8376" t="s">
        <v>36</v>
      </c>
      <c r="D8376" t="s">
        <v>33</v>
      </c>
      <c r="E8376" t="s">
        <v>26</v>
      </c>
      <c r="F8376" t="s">
        <v>20</v>
      </c>
      <c r="G8376" s="1" t="str">
        <f t="shared" ref="G8376:M8376" si="1840">"X"</f>
        <v>X</v>
      </c>
      <c r="H8376" s="1" t="str">
        <f t="shared" si="1840"/>
        <v>X</v>
      </c>
      <c r="I8376" s="1" t="str">
        <f t="shared" si="1840"/>
        <v>X</v>
      </c>
      <c r="J8376" s="1" t="str">
        <f t="shared" si="1840"/>
        <v>X</v>
      </c>
      <c r="K8376" s="1" t="str">
        <f t="shared" si="1840"/>
        <v>X</v>
      </c>
      <c r="L8376" s="1" t="str">
        <f t="shared" si="1840"/>
        <v>X</v>
      </c>
      <c r="M8376" s="1" t="str">
        <f t="shared" si="1840"/>
        <v>X</v>
      </c>
      <c r="N8376" t="s">
        <v>27</v>
      </c>
    </row>
    <row r="8377" spans="1:14" x14ac:dyDescent="0.25">
      <c r="A8377" t="s">
        <v>43</v>
      </c>
      <c r="B8377" t="s">
        <v>15</v>
      </c>
      <c r="C8377" t="s">
        <v>36</v>
      </c>
      <c r="D8377" t="s">
        <v>34</v>
      </c>
      <c r="E8377" t="s">
        <v>15</v>
      </c>
      <c r="F8377" t="s">
        <v>15</v>
      </c>
      <c r="G8377" s="2">
        <f>VALUE(269.68)</f>
        <v>269.68</v>
      </c>
      <c r="H8377" s="3">
        <f>VALUE(207.75)</f>
        <v>207.75</v>
      </c>
      <c r="I8377" s="4">
        <f>VALUE(2589)</f>
        <v>2589</v>
      </c>
      <c r="J8377" s="1">
        <f>VALUE(3363)</f>
        <v>3363</v>
      </c>
      <c r="K8377" s="1">
        <f>VALUE(3817)</f>
        <v>3817</v>
      </c>
      <c r="L8377" s="7">
        <f>VALUE(4874)</f>
        <v>4874</v>
      </c>
      <c r="M8377" s="1">
        <f>VALUE(5712)</f>
        <v>5712</v>
      </c>
      <c r="N8377" t="s">
        <v>25</v>
      </c>
    </row>
    <row r="8378" spans="1:14" x14ac:dyDescent="0.25">
      <c r="A8378" t="s">
        <v>43</v>
      </c>
      <c r="B8378" t="s">
        <v>15</v>
      </c>
      <c r="C8378" t="s">
        <v>36</v>
      </c>
      <c r="D8378" t="s">
        <v>34</v>
      </c>
      <c r="E8378" t="s">
        <v>15</v>
      </c>
      <c r="F8378" t="s">
        <v>17</v>
      </c>
      <c r="G8378" s="1" t="str">
        <f t="shared" ref="G8378:M8380" si="1841">"X"</f>
        <v>X</v>
      </c>
      <c r="H8378" s="1" t="str">
        <f t="shared" si="1841"/>
        <v>X</v>
      </c>
      <c r="I8378" s="1" t="str">
        <f t="shared" si="1841"/>
        <v>X</v>
      </c>
      <c r="J8378" s="1" t="str">
        <f t="shared" si="1841"/>
        <v>X</v>
      </c>
      <c r="K8378" s="1" t="str">
        <f t="shared" si="1841"/>
        <v>X</v>
      </c>
      <c r="L8378" s="1" t="str">
        <f t="shared" si="1841"/>
        <v>X</v>
      </c>
      <c r="M8378" s="1" t="str">
        <f t="shared" si="1841"/>
        <v>X</v>
      </c>
      <c r="N8378" t="s">
        <v>27</v>
      </c>
    </row>
    <row r="8379" spans="1:14" x14ac:dyDescent="0.25">
      <c r="A8379" t="s">
        <v>43</v>
      </c>
      <c r="B8379" t="s">
        <v>15</v>
      </c>
      <c r="C8379" t="s">
        <v>36</v>
      </c>
      <c r="D8379" t="s">
        <v>34</v>
      </c>
      <c r="E8379" t="s">
        <v>15</v>
      </c>
      <c r="F8379" t="s">
        <v>18</v>
      </c>
      <c r="G8379" s="1" t="str">
        <f t="shared" si="1841"/>
        <v>X</v>
      </c>
      <c r="H8379" s="1" t="str">
        <f t="shared" si="1841"/>
        <v>X</v>
      </c>
      <c r="I8379" s="1" t="str">
        <f t="shared" si="1841"/>
        <v>X</v>
      </c>
      <c r="J8379" s="1" t="str">
        <f t="shared" si="1841"/>
        <v>X</v>
      </c>
      <c r="K8379" s="1" t="str">
        <f t="shared" si="1841"/>
        <v>X</v>
      </c>
      <c r="L8379" s="1" t="str">
        <f t="shared" si="1841"/>
        <v>X</v>
      </c>
      <c r="M8379" s="1" t="str">
        <f t="shared" si="1841"/>
        <v>X</v>
      </c>
      <c r="N8379" t="s">
        <v>27</v>
      </c>
    </row>
    <row r="8380" spans="1:14" x14ac:dyDescent="0.25">
      <c r="A8380" t="s">
        <v>43</v>
      </c>
      <c r="B8380" t="s">
        <v>15</v>
      </c>
      <c r="C8380" t="s">
        <v>36</v>
      </c>
      <c r="D8380" t="s">
        <v>34</v>
      </c>
      <c r="E8380" t="s">
        <v>15</v>
      </c>
      <c r="F8380" t="s">
        <v>19</v>
      </c>
      <c r="G8380" s="1" t="str">
        <f t="shared" si="1841"/>
        <v>X</v>
      </c>
      <c r="H8380" s="1" t="str">
        <f t="shared" si="1841"/>
        <v>X</v>
      </c>
      <c r="I8380" s="1" t="str">
        <f t="shared" si="1841"/>
        <v>X</v>
      </c>
      <c r="J8380" s="1" t="str">
        <f t="shared" si="1841"/>
        <v>X</v>
      </c>
      <c r="K8380" s="1" t="str">
        <f t="shared" si="1841"/>
        <v>X</v>
      </c>
      <c r="L8380" s="1" t="str">
        <f t="shared" si="1841"/>
        <v>X</v>
      </c>
      <c r="M8380" s="1" t="str">
        <f t="shared" si="1841"/>
        <v>X</v>
      </c>
      <c r="N8380" t="s">
        <v>27</v>
      </c>
    </row>
    <row r="8381" spans="1:14" x14ac:dyDescent="0.25">
      <c r="A8381" t="s">
        <v>43</v>
      </c>
      <c r="B8381" t="s">
        <v>15</v>
      </c>
      <c r="C8381" t="s">
        <v>36</v>
      </c>
      <c r="D8381" t="s">
        <v>34</v>
      </c>
      <c r="E8381" t="s">
        <v>15</v>
      </c>
      <c r="F8381" t="s">
        <v>20</v>
      </c>
      <c r="G8381" s="2">
        <f>VALUE(252.49)</f>
        <v>252.49</v>
      </c>
      <c r="H8381" s="3">
        <f>VALUE(194.39)</f>
        <v>194.39</v>
      </c>
      <c r="I8381" s="1">
        <f>VALUE(2589)</f>
        <v>2589</v>
      </c>
      <c r="J8381" s="1">
        <f>VALUE(3363)</f>
        <v>3363</v>
      </c>
      <c r="K8381" s="1">
        <f>VALUE(3817)</f>
        <v>3817</v>
      </c>
      <c r="L8381" s="7">
        <f>VALUE(4839)</f>
        <v>4839</v>
      </c>
      <c r="M8381" s="1">
        <f>VALUE(5712)</f>
        <v>5712</v>
      </c>
      <c r="N8381" t="s">
        <v>25</v>
      </c>
    </row>
    <row r="8382" spans="1:14" x14ac:dyDescent="0.25">
      <c r="A8382" t="s">
        <v>43</v>
      </c>
      <c r="B8382" t="s">
        <v>15</v>
      </c>
      <c r="C8382" t="s">
        <v>36</v>
      </c>
      <c r="D8382" t="s">
        <v>34</v>
      </c>
      <c r="E8382" t="s">
        <v>21</v>
      </c>
      <c r="F8382" t="s">
        <v>15</v>
      </c>
      <c r="G8382" s="1" t="str">
        <f t="shared" ref="G8382:M8383" si="1842">"X"</f>
        <v>X</v>
      </c>
      <c r="H8382" s="1" t="str">
        <f t="shared" si="1842"/>
        <v>X</v>
      </c>
      <c r="I8382" s="1" t="str">
        <f t="shared" si="1842"/>
        <v>X</v>
      </c>
      <c r="J8382" s="1" t="str">
        <f t="shared" si="1842"/>
        <v>X</v>
      </c>
      <c r="K8382" s="1" t="str">
        <f t="shared" si="1842"/>
        <v>X</v>
      </c>
      <c r="L8382" s="1" t="str">
        <f t="shared" si="1842"/>
        <v>X</v>
      </c>
      <c r="M8382" s="1" t="str">
        <f t="shared" si="1842"/>
        <v>X</v>
      </c>
      <c r="N8382" t="s">
        <v>27</v>
      </c>
    </row>
    <row r="8383" spans="1:14" x14ac:dyDescent="0.25">
      <c r="A8383" t="s">
        <v>43</v>
      </c>
      <c r="B8383" t="s">
        <v>15</v>
      </c>
      <c r="C8383" t="s">
        <v>36</v>
      </c>
      <c r="D8383" t="s">
        <v>34</v>
      </c>
      <c r="E8383" t="s">
        <v>21</v>
      </c>
      <c r="F8383" t="s">
        <v>17</v>
      </c>
      <c r="G8383" s="1" t="str">
        <f t="shared" si="1842"/>
        <v>X</v>
      </c>
      <c r="H8383" s="1" t="str">
        <f t="shared" si="1842"/>
        <v>X</v>
      </c>
      <c r="I8383" s="1" t="str">
        <f t="shared" si="1842"/>
        <v>X</v>
      </c>
      <c r="J8383" s="1" t="str">
        <f t="shared" si="1842"/>
        <v>X</v>
      </c>
      <c r="K8383" s="1" t="str">
        <f t="shared" si="1842"/>
        <v>X</v>
      </c>
      <c r="L8383" s="1" t="str">
        <f t="shared" si="1842"/>
        <v>X</v>
      </c>
      <c r="M8383" s="1" t="str">
        <f t="shared" si="1842"/>
        <v>X</v>
      </c>
      <c r="N8383" t="s">
        <v>27</v>
      </c>
    </row>
    <row r="8384" spans="1:14" x14ac:dyDescent="0.25">
      <c r="A8384" t="s">
        <v>43</v>
      </c>
      <c r="B8384" t="s">
        <v>15</v>
      </c>
      <c r="C8384" t="s">
        <v>36</v>
      </c>
      <c r="D8384" t="s">
        <v>34</v>
      </c>
      <c r="E8384" t="s">
        <v>21</v>
      </c>
      <c r="F8384" t="s">
        <v>18</v>
      </c>
      <c r="G8384" s="1" t="str">
        <f t="shared" ref="G8384:M8385" si="1843">"..."</f>
        <v>...</v>
      </c>
      <c r="H8384" s="1" t="str">
        <f t="shared" si="1843"/>
        <v>...</v>
      </c>
      <c r="I8384" s="1" t="str">
        <f t="shared" si="1843"/>
        <v>...</v>
      </c>
      <c r="J8384" s="1" t="str">
        <f t="shared" si="1843"/>
        <v>...</v>
      </c>
      <c r="K8384" s="1" t="str">
        <f t="shared" si="1843"/>
        <v>...</v>
      </c>
      <c r="L8384" s="1" t="str">
        <f t="shared" si="1843"/>
        <v>...</v>
      </c>
      <c r="M8384" s="1" t="str">
        <f t="shared" si="1843"/>
        <v>...</v>
      </c>
      <c r="N8384" t="s">
        <v>30</v>
      </c>
    </row>
    <row r="8385" spans="1:14" x14ac:dyDescent="0.25">
      <c r="A8385" t="s">
        <v>43</v>
      </c>
      <c r="B8385" t="s">
        <v>15</v>
      </c>
      <c r="C8385" t="s">
        <v>36</v>
      </c>
      <c r="D8385" t="s">
        <v>34</v>
      </c>
      <c r="E8385" t="s">
        <v>21</v>
      </c>
      <c r="F8385" t="s">
        <v>19</v>
      </c>
      <c r="G8385" s="1" t="str">
        <f t="shared" si="1843"/>
        <v>...</v>
      </c>
      <c r="H8385" s="1" t="str">
        <f t="shared" si="1843"/>
        <v>...</v>
      </c>
      <c r="I8385" s="1" t="str">
        <f t="shared" si="1843"/>
        <v>...</v>
      </c>
      <c r="J8385" s="1" t="str">
        <f t="shared" si="1843"/>
        <v>...</v>
      </c>
      <c r="K8385" s="1" t="str">
        <f t="shared" si="1843"/>
        <v>...</v>
      </c>
      <c r="L8385" s="1" t="str">
        <f t="shared" si="1843"/>
        <v>...</v>
      </c>
      <c r="M8385" s="1" t="str">
        <f t="shared" si="1843"/>
        <v>...</v>
      </c>
      <c r="N8385" t="s">
        <v>30</v>
      </c>
    </row>
    <row r="8386" spans="1:14" x14ac:dyDescent="0.25">
      <c r="A8386" t="s">
        <v>43</v>
      </c>
      <c r="B8386" t="s">
        <v>15</v>
      </c>
      <c r="C8386" t="s">
        <v>36</v>
      </c>
      <c r="D8386" t="s">
        <v>34</v>
      </c>
      <c r="E8386" t="s">
        <v>21</v>
      </c>
      <c r="F8386" t="s">
        <v>20</v>
      </c>
      <c r="G8386" s="1" t="str">
        <f t="shared" ref="G8386:M8387" si="1844">"X"</f>
        <v>X</v>
      </c>
      <c r="H8386" s="1" t="str">
        <f t="shared" si="1844"/>
        <v>X</v>
      </c>
      <c r="I8386" s="1" t="str">
        <f t="shared" si="1844"/>
        <v>X</v>
      </c>
      <c r="J8386" s="1" t="str">
        <f t="shared" si="1844"/>
        <v>X</v>
      </c>
      <c r="K8386" s="1" t="str">
        <f t="shared" si="1844"/>
        <v>X</v>
      </c>
      <c r="L8386" s="1" t="str">
        <f t="shared" si="1844"/>
        <v>X</v>
      </c>
      <c r="M8386" s="1" t="str">
        <f t="shared" si="1844"/>
        <v>X</v>
      </c>
      <c r="N8386" t="s">
        <v>27</v>
      </c>
    </row>
    <row r="8387" spans="1:14" x14ac:dyDescent="0.25">
      <c r="A8387" t="s">
        <v>43</v>
      </c>
      <c r="B8387" t="s">
        <v>15</v>
      </c>
      <c r="C8387" t="s">
        <v>36</v>
      </c>
      <c r="D8387" t="s">
        <v>34</v>
      </c>
      <c r="E8387" t="s">
        <v>22</v>
      </c>
      <c r="F8387" t="s">
        <v>15</v>
      </c>
      <c r="G8387" s="1" t="str">
        <f t="shared" si="1844"/>
        <v>X</v>
      </c>
      <c r="H8387" s="1" t="str">
        <f t="shared" si="1844"/>
        <v>X</v>
      </c>
      <c r="I8387" s="1" t="str">
        <f t="shared" si="1844"/>
        <v>X</v>
      </c>
      <c r="J8387" s="1" t="str">
        <f t="shared" si="1844"/>
        <v>X</v>
      </c>
      <c r="K8387" s="1" t="str">
        <f t="shared" si="1844"/>
        <v>X</v>
      </c>
      <c r="L8387" s="1" t="str">
        <f t="shared" si="1844"/>
        <v>X</v>
      </c>
      <c r="M8387" s="1" t="str">
        <f t="shared" si="1844"/>
        <v>X</v>
      </c>
      <c r="N8387" t="s">
        <v>27</v>
      </c>
    </row>
    <row r="8388" spans="1:14" x14ac:dyDescent="0.25">
      <c r="A8388" t="s">
        <v>43</v>
      </c>
      <c r="B8388" t="s">
        <v>15</v>
      </c>
      <c r="C8388" t="s">
        <v>36</v>
      </c>
      <c r="D8388" t="s">
        <v>34</v>
      </c>
      <c r="E8388" t="s">
        <v>22</v>
      </c>
      <c r="F8388" t="s">
        <v>17</v>
      </c>
      <c r="G8388" s="1" t="str">
        <f t="shared" ref="G8388:M8389" si="1845">"..."</f>
        <v>...</v>
      </c>
      <c r="H8388" s="1" t="str">
        <f t="shared" si="1845"/>
        <v>...</v>
      </c>
      <c r="I8388" s="1" t="str">
        <f t="shared" si="1845"/>
        <v>...</v>
      </c>
      <c r="J8388" s="1" t="str">
        <f t="shared" si="1845"/>
        <v>...</v>
      </c>
      <c r="K8388" s="1" t="str">
        <f t="shared" si="1845"/>
        <v>...</v>
      </c>
      <c r="L8388" s="1" t="str">
        <f t="shared" si="1845"/>
        <v>...</v>
      </c>
      <c r="M8388" s="1" t="str">
        <f t="shared" si="1845"/>
        <v>...</v>
      </c>
      <c r="N8388" t="s">
        <v>30</v>
      </c>
    </row>
    <row r="8389" spans="1:14" x14ac:dyDescent="0.25">
      <c r="A8389" t="s">
        <v>43</v>
      </c>
      <c r="B8389" t="s">
        <v>15</v>
      </c>
      <c r="C8389" t="s">
        <v>36</v>
      </c>
      <c r="D8389" t="s">
        <v>34</v>
      </c>
      <c r="E8389" t="s">
        <v>22</v>
      </c>
      <c r="F8389" t="s">
        <v>18</v>
      </c>
      <c r="G8389" s="1" t="str">
        <f t="shared" si="1845"/>
        <v>...</v>
      </c>
      <c r="H8389" s="1" t="str">
        <f t="shared" si="1845"/>
        <v>...</v>
      </c>
      <c r="I8389" s="1" t="str">
        <f t="shared" si="1845"/>
        <v>...</v>
      </c>
      <c r="J8389" s="1" t="str">
        <f t="shared" si="1845"/>
        <v>...</v>
      </c>
      <c r="K8389" s="1" t="str">
        <f t="shared" si="1845"/>
        <v>...</v>
      </c>
      <c r="L8389" s="1" t="str">
        <f t="shared" si="1845"/>
        <v>...</v>
      </c>
      <c r="M8389" s="1" t="str">
        <f t="shared" si="1845"/>
        <v>...</v>
      </c>
      <c r="N8389" t="s">
        <v>30</v>
      </c>
    </row>
    <row r="8390" spans="1:14" x14ac:dyDescent="0.25">
      <c r="A8390" t="s">
        <v>43</v>
      </c>
      <c r="B8390" t="s">
        <v>15</v>
      </c>
      <c r="C8390" t="s">
        <v>36</v>
      </c>
      <c r="D8390" t="s">
        <v>34</v>
      </c>
      <c r="E8390" t="s">
        <v>22</v>
      </c>
      <c r="F8390" t="s">
        <v>19</v>
      </c>
      <c r="G8390" s="1" t="str">
        <f t="shared" ref="G8390:M8392" si="1846">"X"</f>
        <v>X</v>
      </c>
      <c r="H8390" s="1" t="str">
        <f t="shared" si="1846"/>
        <v>X</v>
      </c>
      <c r="I8390" s="1" t="str">
        <f t="shared" si="1846"/>
        <v>X</v>
      </c>
      <c r="J8390" s="1" t="str">
        <f t="shared" si="1846"/>
        <v>X</v>
      </c>
      <c r="K8390" s="1" t="str">
        <f t="shared" si="1846"/>
        <v>X</v>
      </c>
      <c r="L8390" s="1" t="str">
        <f t="shared" si="1846"/>
        <v>X</v>
      </c>
      <c r="M8390" s="1" t="str">
        <f t="shared" si="1846"/>
        <v>X</v>
      </c>
      <c r="N8390" t="s">
        <v>27</v>
      </c>
    </row>
    <row r="8391" spans="1:14" x14ac:dyDescent="0.25">
      <c r="A8391" t="s">
        <v>43</v>
      </c>
      <c r="B8391" t="s">
        <v>15</v>
      </c>
      <c r="C8391" t="s">
        <v>36</v>
      </c>
      <c r="D8391" t="s">
        <v>34</v>
      </c>
      <c r="E8391" t="s">
        <v>22</v>
      </c>
      <c r="F8391" t="s">
        <v>20</v>
      </c>
      <c r="G8391" s="1" t="str">
        <f t="shared" si="1846"/>
        <v>X</v>
      </c>
      <c r="H8391" s="1" t="str">
        <f t="shared" si="1846"/>
        <v>X</v>
      </c>
      <c r="I8391" s="1" t="str">
        <f t="shared" si="1846"/>
        <v>X</v>
      </c>
      <c r="J8391" s="1" t="str">
        <f t="shared" si="1846"/>
        <v>X</v>
      </c>
      <c r="K8391" s="1" t="str">
        <f t="shared" si="1846"/>
        <v>X</v>
      </c>
      <c r="L8391" s="1" t="str">
        <f t="shared" si="1846"/>
        <v>X</v>
      </c>
      <c r="M8391" s="1" t="str">
        <f t="shared" si="1846"/>
        <v>X</v>
      </c>
      <c r="N8391" t="s">
        <v>27</v>
      </c>
    </row>
    <row r="8392" spans="1:14" x14ac:dyDescent="0.25">
      <c r="A8392" t="s">
        <v>43</v>
      </c>
      <c r="B8392" t="s">
        <v>15</v>
      </c>
      <c r="C8392" t="s">
        <v>36</v>
      </c>
      <c r="D8392" t="s">
        <v>34</v>
      </c>
      <c r="E8392" t="s">
        <v>23</v>
      </c>
      <c r="F8392" t="s">
        <v>15</v>
      </c>
      <c r="G8392" s="1" t="str">
        <f t="shared" si="1846"/>
        <v>X</v>
      </c>
      <c r="H8392" s="1" t="str">
        <f t="shared" si="1846"/>
        <v>X</v>
      </c>
      <c r="I8392" s="1" t="str">
        <f t="shared" si="1846"/>
        <v>X</v>
      </c>
      <c r="J8392" s="1" t="str">
        <f t="shared" si="1846"/>
        <v>X</v>
      </c>
      <c r="K8392" s="1" t="str">
        <f t="shared" si="1846"/>
        <v>X</v>
      </c>
      <c r="L8392" s="1" t="str">
        <f t="shared" si="1846"/>
        <v>X</v>
      </c>
      <c r="M8392" s="1" t="str">
        <f t="shared" si="1846"/>
        <v>X</v>
      </c>
      <c r="N8392" t="s">
        <v>27</v>
      </c>
    </row>
    <row r="8393" spans="1:14" x14ac:dyDescent="0.25">
      <c r="A8393" t="s">
        <v>43</v>
      </c>
      <c r="B8393" t="s">
        <v>15</v>
      </c>
      <c r="C8393" t="s">
        <v>36</v>
      </c>
      <c r="D8393" t="s">
        <v>34</v>
      </c>
      <c r="E8393" t="s">
        <v>23</v>
      </c>
      <c r="F8393" t="s">
        <v>17</v>
      </c>
      <c r="G8393" s="1" t="str">
        <f t="shared" ref="G8393:M8393" si="1847">"..."</f>
        <v>...</v>
      </c>
      <c r="H8393" s="1" t="str">
        <f t="shared" si="1847"/>
        <v>...</v>
      </c>
      <c r="I8393" s="1" t="str">
        <f t="shared" si="1847"/>
        <v>...</v>
      </c>
      <c r="J8393" s="1" t="str">
        <f t="shared" si="1847"/>
        <v>...</v>
      </c>
      <c r="K8393" s="1" t="str">
        <f t="shared" si="1847"/>
        <v>...</v>
      </c>
      <c r="L8393" s="1" t="str">
        <f t="shared" si="1847"/>
        <v>...</v>
      </c>
      <c r="M8393" s="1" t="str">
        <f t="shared" si="1847"/>
        <v>...</v>
      </c>
      <c r="N8393" t="s">
        <v>30</v>
      </c>
    </row>
    <row r="8394" spans="1:14" x14ac:dyDescent="0.25">
      <c r="A8394" t="s">
        <v>43</v>
      </c>
      <c r="B8394" t="s">
        <v>15</v>
      </c>
      <c r="C8394" t="s">
        <v>36</v>
      </c>
      <c r="D8394" t="s">
        <v>34</v>
      </c>
      <c r="E8394" t="s">
        <v>23</v>
      </c>
      <c r="F8394" t="s">
        <v>18</v>
      </c>
      <c r="G8394" s="1" t="str">
        <f t="shared" ref="G8394:M8394" si="1848">"X"</f>
        <v>X</v>
      </c>
      <c r="H8394" s="1" t="str">
        <f t="shared" si="1848"/>
        <v>X</v>
      </c>
      <c r="I8394" s="1" t="str">
        <f t="shared" si="1848"/>
        <v>X</v>
      </c>
      <c r="J8394" s="1" t="str">
        <f t="shared" si="1848"/>
        <v>X</v>
      </c>
      <c r="K8394" s="1" t="str">
        <f t="shared" si="1848"/>
        <v>X</v>
      </c>
      <c r="L8394" s="1" t="str">
        <f t="shared" si="1848"/>
        <v>X</v>
      </c>
      <c r="M8394" s="1" t="str">
        <f t="shared" si="1848"/>
        <v>X</v>
      </c>
      <c r="N8394" t="s">
        <v>27</v>
      </c>
    </row>
    <row r="8395" spans="1:14" x14ac:dyDescent="0.25">
      <c r="A8395" t="s">
        <v>43</v>
      </c>
      <c r="B8395" t="s">
        <v>15</v>
      </c>
      <c r="C8395" t="s">
        <v>36</v>
      </c>
      <c r="D8395" t="s">
        <v>34</v>
      </c>
      <c r="E8395" t="s">
        <v>23</v>
      </c>
      <c r="F8395" t="s">
        <v>19</v>
      </c>
      <c r="G8395" s="1" t="str">
        <f t="shared" ref="G8395:M8395" si="1849">"..."</f>
        <v>...</v>
      </c>
      <c r="H8395" s="1" t="str">
        <f t="shared" si="1849"/>
        <v>...</v>
      </c>
      <c r="I8395" s="1" t="str">
        <f t="shared" si="1849"/>
        <v>...</v>
      </c>
      <c r="J8395" s="1" t="str">
        <f t="shared" si="1849"/>
        <v>...</v>
      </c>
      <c r="K8395" s="1" t="str">
        <f t="shared" si="1849"/>
        <v>...</v>
      </c>
      <c r="L8395" s="1" t="str">
        <f t="shared" si="1849"/>
        <v>...</v>
      </c>
      <c r="M8395" s="1" t="str">
        <f t="shared" si="1849"/>
        <v>...</v>
      </c>
      <c r="N8395" t="s">
        <v>30</v>
      </c>
    </row>
    <row r="8396" spans="1:14" x14ac:dyDescent="0.25">
      <c r="A8396" t="s">
        <v>43</v>
      </c>
      <c r="B8396" t="s">
        <v>15</v>
      </c>
      <c r="C8396" t="s">
        <v>36</v>
      </c>
      <c r="D8396" t="s">
        <v>34</v>
      </c>
      <c r="E8396" t="s">
        <v>23</v>
      </c>
      <c r="F8396" t="s">
        <v>20</v>
      </c>
      <c r="G8396" s="1" t="str">
        <f t="shared" ref="G8396:M8397" si="1850">"X"</f>
        <v>X</v>
      </c>
      <c r="H8396" s="1" t="str">
        <f t="shared" si="1850"/>
        <v>X</v>
      </c>
      <c r="I8396" s="1" t="str">
        <f t="shared" si="1850"/>
        <v>X</v>
      </c>
      <c r="J8396" s="1" t="str">
        <f t="shared" si="1850"/>
        <v>X</v>
      </c>
      <c r="K8396" s="1" t="str">
        <f t="shared" si="1850"/>
        <v>X</v>
      </c>
      <c r="L8396" s="1" t="str">
        <f t="shared" si="1850"/>
        <v>X</v>
      </c>
      <c r="M8396" s="1" t="str">
        <f t="shared" si="1850"/>
        <v>X</v>
      </c>
      <c r="N8396" t="s">
        <v>27</v>
      </c>
    </row>
    <row r="8397" spans="1:14" x14ac:dyDescent="0.25">
      <c r="A8397" t="s">
        <v>43</v>
      </c>
      <c r="B8397" t="s">
        <v>15</v>
      </c>
      <c r="C8397" t="s">
        <v>36</v>
      </c>
      <c r="D8397" t="s">
        <v>34</v>
      </c>
      <c r="E8397" t="s">
        <v>26</v>
      </c>
      <c r="F8397" t="s">
        <v>15</v>
      </c>
      <c r="G8397" s="1" t="str">
        <f t="shared" si="1850"/>
        <v>X</v>
      </c>
      <c r="H8397" s="1" t="str">
        <f t="shared" si="1850"/>
        <v>X</v>
      </c>
      <c r="I8397" s="1" t="str">
        <f t="shared" si="1850"/>
        <v>X</v>
      </c>
      <c r="J8397" s="1" t="str">
        <f t="shared" si="1850"/>
        <v>X</v>
      </c>
      <c r="K8397" s="1" t="str">
        <f t="shared" si="1850"/>
        <v>X</v>
      </c>
      <c r="L8397" s="1" t="str">
        <f t="shared" si="1850"/>
        <v>X</v>
      </c>
      <c r="M8397" s="1" t="str">
        <f t="shared" si="1850"/>
        <v>X</v>
      </c>
      <c r="N8397" t="s">
        <v>27</v>
      </c>
    </row>
    <row r="8398" spans="1:14" x14ac:dyDescent="0.25">
      <c r="A8398" t="s">
        <v>43</v>
      </c>
      <c r="B8398" t="s">
        <v>15</v>
      </c>
      <c r="C8398" t="s">
        <v>36</v>
      </c>
      <c r="D8398" t="s">
        <v>34</v>
      </c>
      <c r="E8398" t="s">
        <v>26</v>
      </c>
      <c r="F8398" t="s">
        <v>17</v>
      </c>
      <c r="G8398" s="1" t="str">
        <f t="shared" ref="G8398:M8400" si="1851">"..."</f>
        <v>...</v>
      </c>
      <c r="H8398" s="1" t="str">
        <f t="shared" si="1851"/>
        <v>...</v>
      </c>
      <c r="I8398" s="1" t="str">
        <f t="shared" si="1851"/>
        <v>...</v>
      </c>
      <c r="J8398" s="1" t="str">
        <f t="shared" si="1851"/>
        <v>...</v>
      </c>
      <c r="K8398" s="1" t="str">
        <f t="shared" si="1851"/>
        <v>...</v>
      </c>
      <c r="L8398" s="1" t="str">
        <f t="shared" si="1851"/>
        <v>...</v>
      </c>
      <c r="M8398" s="1" t="str">
        <f t="shared" si="1851"/>
        <v>...</v>
      </c>
      <c r="N8398" t="s">
        <v>30</v>
      </c>
    </row>
    <row r="8399" spans="1:14" x14ac:dyDescent="0.25">
      <c r="A8399" t="s">
        <v>43</v>
      </c>
      <c r="B8399" t="s">
        <v>15</v>
      </c>
      <c r="C8399" t="s">
        <v>36</v>
      </c>
      <c r="D8399" t="s">
        <v>34</v>
      </c>
      <c r="E8399" t="s">
        <v>26</v>
      </c>
      <c r="F8399" t="s">
        <v>18</v>
      </c>
      <c r="G8399" s="1" t="str">
        <f t="shared" si="1851"/>
        <v>...</v>
      </c>
      <c r="H8399" s="1" t="str">
        <f t="shared" si="1851"/>
        <v>...</v>
      </c>
      <c r="I8399" s="1" t="str">
        <f t="shared" si="1851"/>
        <v>...</v>
      </c>
      <c r="J8399" s="1" t="str">
        <f t="shared" si="1851"/>
        <v>...</v>
      </c>
      <c r="K8399" s="1" t="str">
        <f t="shared" si="1851"/>
        <v>...</v>
      </c>
      <c r="L8399" s="1" t="str">
        <f t="shared" si="1851"/>
        <v>...</v>
      </c>
      <c r="M8399" s="1" t="str">
        <f t="shared" si="1851"/>
        <v>...</v>
      </c>
      <c r="N8399" t="s">
        <v>30</v>
      </c>
    </row>
    <row r="8400" spans="1:14" x14ac:dyDescent="0.25">
      <c r="A8400" t="s">
        <v>43</v>
      </c>
      <c r="B8400" t="s">
        <v>15</v>
      </c>
      <c r="C8400" t="s">
        <v>36</v>
      </c>
      <c r="D8400" t="s">
        <v>34</v>
      </c>
      <c r="E8400" t="s">
        <v>26</v>
      </c>
      <c r="F8400" t="s">
        <v>19</v>
      </c>
      <c r="G8400" s="1" t="str">
        <f t="shared" si="1851"/>
        <v>...</v>
      </c>
      <c r="H8400" s="1" t="str">
        <f t="shared" si="1851"/>
        <v>...</v>
      </c>
      <c r="I8400" s="1" t="str">
        <f t="shared" si="1851"/>
        <v>...</v>
      </c>
      <c r="J8400" s="1" t="str">
        <f t="shared" si="1851"/>
        <v>...</v>
      </c>
      <c r="K8400" s="1" t="str">
        <f t="shared" si="1851"/>
        <v>...</v>
      </c>
      <c r="L8400" s="1" t="str">
        <f t="shared" si="1851"/>
        <v>...</v>
      </c>
      <c r="M8400" s="1" t="str">
        <f t="shared" si="1851"/>
        <v>...</v>
      </c>
      <c r="N8400" t="s">
        <v>30</v>
      </c>
    </row>
    <row r="8401" spans="1:14" x14ac:dyDescent="0.25">
      <c r="A8401" t="s">
        <v>43</v>
      </c>
      <c r="B8401" t="s">
        <v>15</v>
      </c>
      <c r="C8401" t="s">
        <v>36</v>
      </c>
      <c r="D8401" t="s">
        <v>34</v>
      </c>
      <c r="E8401" t="s">
        <v>26</v>
      </c>
      <c r="F8401" t="s">
        <v>20</v>
      </c>
      <c r="G8401" s="1" t="str">
        <f t="shared" ref="G8401:M8401" si="1852">"X"</f>
        <v>X</v>
      </c>
      <c r="H8401" s="1" t="str">
        <f t="shared" si="1852"/>
        <v>X</v>
      </c>
      <c r="I8401" s="1" t="str">
        <f t="shared" si="1852"/>
        <v>X</v>
      </c>
      <c r="J8401" s="1" t="str">
        <f t="shared" si="1852"/>
        <v>X</v>
      </c>
      <c r="K8401" s="1" t="str">
        <f t="shared" si="1852"/>
        <v>X</v>
      </c>
      <c r="L8401" s="1" t="str">
        <f t="shared" si="1852"/>
        <v>X</v>
      </c>
      <c r="M8401" s="1" t="str">
        <f t="shared" si="1852"/>
        <v>X</v>
      </c>
      <c r="N8401" t="s">
        <v>27</v>
      </c>
    </row>
    <row r="8402" spans="1:14" x14ac:dyDescent="0.25">
      <c r="A8402" t="s">
        <v>43</v>
      </c>
      <c r="B8402" t="s">
        <v>15</v>
      </c>
      <c r="C8402" t="s">
        <v>37</v>
      </c>
      <c r="D8402" t="s">
        <v>15</v>
      </c>
      <c r="E8402" t="s">
        <v>15</v>
      </c>
      <c r="F8402" t="s">
        <v>15</v>
      </c>
      <c r="G8402" s="1">
        <f>VALUE(57644.33)</f>
        <v>57644.33</v>
      </c>
      <c r="H8402" s="1">
        <f>VALUE(49989.85)</f>
        <v>49989.85</v>
      </c>
      <c r="I8402" s="1">
        <f>VALUE(3465)</f>
        <v>3465</v>
      </c>
      <c r="J8402" s="1">
        <f>VALUE(4150)</f>
        <v>4150</v>
      </c>
      <c r="K8402" s="1">
        <f>VALUE(5309)</f>
        <v>5309</v>
      </c>
      <c r="L8402" s="1">
        <f>VALUE(6586)</f>
        <v>6586</v>
      </c>
      <c r="M8402" s="1">
        <f>VALUE(8667)</f>
        <v>8667</v>
      </c>
      <c r="N8402" t="s">
        <v>16</v>
      </c>
    </row>
    <row r="8403" spans="1:14" x14ac:dyDescent="0.25">
      <c r="A8403" t="s">
        <v>43</v>
      </c>
      <c r="B8403" t="s">
        <v>15</v>
      </c>
      <c r="C8403" t="s">
        <v>37</v>
      </c>
      <c r="D8403" t="s">
        <v>15</v>
      </c>
      <c r="E8403" t="s">
        <v>15</v>
      </c>
      <c r="F8403" t="s">
        <v>17</v>
      </c>
      <c r="G8403" s="1">
        <f>VALUE(7427.1)</f>
        <v>7427.1</v>
      </c>
      <c r="H8403" s="1">
        <f>VALUE(6942.44)</f>
        <v>6942.44</v>
      </c>
      <c r="I8403" s="1">
        <f>VALUE(5040)</f>
        <v>5040</v>
      </c>
      <c r="J8403" s="1">
        <f>VALUE(6135)</f>
        <v>6135</v>
      </c>
      <c r="K8403" s="1">
        <f>VALUE(7875)</f>
        <v>7875</v>
      </c>
      <c r="L8403" s="1">
        <f>VALUE(10628)</f>
        <v>10628</v>
      </c>
      <c r="M8403" s="1">
        <f>VALUE(15000)</f>
        <v>15000</v>
      </c>
      <c r="N8403" t="s">
        <v>16</v>
      </c>
    </row>
    <row r="8404" spans="1:14" x14ac:dyDescent="0.25">
      <c r="A8404" t="s">
        <v>43</v>
      </c>
      <c r="B8404" t="s">
        <v>15</v>
      </c>
      <c r="C8404" t="s">
        <v>37</v>
      </c>
      <c r="D8404" t="s">
        <v>15</v>
      </c>
      <c r="E8404" t="s">
        <v>15</v>
      </c>
      <c r="F8404" t="s">
        <v>18</v>
      </c>
      <c r="G8404" s="1">
        <f>VALUE(6055.98)</f>
        <v>6055.98</v>
      </c>
      <c r="H8404" s="1">
        <f>VALUE(5575.22)</f>
        <v>5575.22</v>
      </c>
      <c r="I8404" s="4">
        <f>VALUE(4336)</f>
        <v>4336</v>
      </c>
      <c r="J8404" s="1">
        <f>VALUE(5146)</f>
        <v>5146</v>
      </c>
      <c r="K8404" s="1">
        <f>VALUE(6460)</f>
        <v>6460</v>
      </c>
      <c r="L8404" s="1">
        <f>VALUE(8125)</f>
        <v>8125</v>
      </c>
      <c r="M8404" s="1">
        <f>VALUE(10575)</f>
        <v>10575</v>
      </c>
      <c r="N8404" t="s">
        <v>25</v>
      </c>
    </row>
    <row r="8405" spans="1:14" x14ac:dyDescent="0.25">
      <c r="A8405" t="s">
        <v>43</v>
      </c>
      <c r="B8405" t="s">
        <v>15</v>
      </c>
      <c r="C8405" t="s">
        <v>37</v>
      </c>
      <c r="D8405" t="s">
        <v>15</v>
      </c>
      <c r="E8405" t="s">
        <v>15</v>
      </c>
      <c r="F8405" t="s">
        <v>19</v>
      </c>
      <c r="G8405" s="1">
        <f>VALUE(7657.06)</f>
        <v>7657.06</v>
      </c>
      <c r="H8405" s="1">
        <f>VALUE(7156.93)</f>
        <v>7156.93</v>
      </c>
      <c r="I8405" s="1">
        <f>VALUE(3801)</f>
        <v>3801</v>
      </c>
      <c r="J8405" s="1">
        <f>VALUE(4520)</f>
        <v>4520</v>
      </c>
      <c r="K8405" s="1">
        <f>VALUE(5517)</f>
        <v>5517</v>
      </c>
      <c r="L8405" s="1">
        <f>VALUE(6740)</f>
        <v>6740</v>
      </c>
      <c r="M8405" s="1">
        <f>VALUE(7937)</f>
        <v>7937</v>
      </c>
      <c r="N8405" t="s">
        <v>16</v>
      </c>
    </row>
    <row r="8406" spans="1:14" x14ac:dyDescent="0.25">
      <c r="A8406" t="s">
        <v>43</v>
      </c>
      <c r="B8406" t="s">
        <v>15</v>
      </c>
      <c r="C8406" t="s">
        <v>37</v>
      </c>
      <c r="D8406" t="s">
        <v>15</v>
      </c>
      <c r="E8406" t="s">
        <v>15</v>
      </c>
      <c r="F8406" t="s">
        <v>20</v>
      </c>
      <c r="G8406" s="1">
        <f>VALUE(36504.19)</f>
        <v>36504.19</v>
      </c>
      <c r="H8406" s="1">
        <f>VALUE(30315.26)</f>
        <v>30315.26</v>
      </c>
      <c r="I8406" s="1">
        <f>VALUE(3293)</f>
        <v>3293</v>
      </c>
      <c r="J8406" s="1">
        <f>VALUE(3783)</f>
        <v>3783</v>
      </c>
      <c r="K8406" s="1">
        <f>VALUE(4770)</f>
        <v>4770</v>
      </c>
      <c r="L8406" s="1">
        <f>VALUE(5676)</f>
        <v>5676</v>
      </c>
      <c r="M8406" s="1">
        <f>VALUE(6629)</f>
        <v>6629</v>
      </c>
      <c r="N8406" t="s">
        <v>16</v>
      </c>
    </row>
    <row r="8407" spans="1:14" x14ac:dyDescent="0.25">
      <c r="A8407" t="s">
        <v>43</v>
      </c>
      <c r="B8407" t="s">
        <v>15</v>
      </c>
      <c r="C8407" t="s">
        <v>37</v>
      </c>
      <c r="D8407" t="s">
        <v>15</v>
      </c>
      <c r="E8407" t="s">
        <v>21</v>
      </c>
      <c r="F8407" t="s">
        <v>15</v>
      </c>
      <c r="G8407" s="1">
        <f>VALUE(12004.9)</f>
        <v>12004.9</v>
      </c>
      <c r="H8407" s="1">
        <f>VALUE(10620.89)</f>
        <v>10620.89</v>
      </c>
      <c r="I8407" s="1">
        <f>VALUE(4714)</f>
        <v>4714</v>
      </c>
      <c r="J8407" s="1">
        <f>VALUE(5707)</f>
        <v>5707</v>
      </c>
      <c r="K8407" s="1">
        <f>VALUE(7377)</f>
        <v>7377</v>
      </c>
      <c r="L8407" s="1">
        <f>VALUE(9608)</f>
        <v>9608</v>
      </c>
      <c r="M8407" s="1">
        <f>VALUE(12972)</f>
        <v>12972</v>
      </c>
      <c r="N8407" t="s">
        <v>16</v>
      </c>
    </row>
    <row r="8408" spans="1:14" x14ac:dyDescent="0.25">
      <c r="A8408" t="s">
        <v>43</v>
      </c>
      <c r="B8408" t="s">
        <v>15</v>
      </c>
      <c r="C8408" t="s">
        <v>37</v>
      </c>
      <c r="D8408" t="s">
        <v>15</v>
      </c>
      <c r="E8408" t="s">
        <v>21</v>
      </c>
      <c r="F8408" t="s">
        <v>17</v>
      </c>
      <c r="G8408" s="1">
        <f>VALUE(3799.7)</f>
        <v>3799.7</v>
      </c>
      <c r="H8408" s="1">
        <f>VALUE(3590.84)</f>
        <v>3590.84</v>
      </c>
      <c r="I8408" s="1">
        <f>VALUE(5754)</f>
        <v>5754</v>
      </c>
      <c r="J8408" s="1">
        <f>VALUE(7367)</f>
        <v>7367</v>
      </c>
      <c r="K8408" s="1">
        <f>VALUE(9520)</f>
        <v>9520</v>
      </c>
      <c r="L8408" s="1">
        <f>VALUE(12667)</f>
        <v>12667</v>
      </c>
      <c r="M8408" s="1">
        <f>VALUE(17460)</f>
        <v>17460</v>
      </c>
      <c r="N8408" t="s">
        <v>16</v>
      </c>
    </row>
    <row r="8409" spans="1:14" x14ac:dyDescent="0.25">
      <c r="A8409" t="s">
        <v>43</v>
      </c>
      <c r="B8409" t="s">
        <v>15</v>
      </c>
      <c r="C8409" t="s">
        <v>37</v>
      </c>
      <c r="D8409" t="s">
        <v>15</v>
      </c>
      <c r="E8409" t="s">
        <v>21</v>
      </c>
      <c r="F8409" t="s">
        <v>18</v>
      </c>
      <c r="G8409" s="2">
        <f>VALUE(2184.03)</f>
        <v>2184.0300000000002</v>
      </c>
      <c r="H8409" s="3">
        <f>VALUE(1965.11)</f>
        <v>1965.11</v>
      </c>
      <c r="I8409" s="1">
        <f>VALUE(5113)</f>
        <v>5113</v>
      </c>
      <c r="J8409" s="1">
        <f>VALUE(6264)</f>
        <v>6264</v>
      </c>
      <c r="K8409" s="1">
        <f>VALUE(8019)</f>
        <v>8019</v>
      </c>
      <c r="L8409" s="1">
        <f>VALUE(9906)</f>
        <v>9906</v>
      </c>
      <c r="M8409" s="1">
        <f>VALUE(11777)</f>
        <v>11777</v>
      </c>
      <c r="N8409" t="s">
        <v>25</v>
      </c>
    </row>
    <row r="8410" spans="1:14" x14ac:dyDescent="0.25">
      <c r="A8410" t="s">
        <v>43</v>
      </c>
      <c r="B8410" t="s">
        <v>15</v>
      </c>
      <c r="C8410" t="s">
        <v>37</v>
      </c>
      <c r="D8410" t="s">
        <v>15</v>
      </c>
      <c r="E8410" t="s">
        <v>21</v>
      </c>
      <c r="F8410" t="s">
        <v>19</v>
      </c>
      <c r="G8410" s="2">
        <f>VALUE(1677.15)</f>
        <v>1677.15</v>
      </c>
      <c r="H8410" s="3">
        <f>VALUE(1508.24)</f>
        <v>1508.24</v>
      </c>
      <c r="I8410" s="1">
        <f>VALUE(5080)</f>
        <v>5080</v>
      </c>
      <c r="J8410" s="1">
        <f>VALUE(5746)</f>
        <v>5746</v>
      </c>
      <c r="K8410" s="1">
        <f>VALUE(7005)</f>
        <v>7005</v>
      </c>
      <c r="L8410" s="1">
        <f>VALUE(8162)</f>
        <v>8162</v>
      </c>
      <c r="M8410" s="1">
        <f>VALUE(9696)</f>
        <v>9696</v>
      </c>
      <c r="N8410" t="s">
        <v>25</v>
      </c>
    </row>
    <row r="8411" spans="1:14" x14ac:dyDescent="0.25">
      <c r="A8411" t="s">
        <v>43</v>
      </c>
      <c r="B8411" t="s">
        <v>15</v>
      </c>
      <c r="C8411" t="s">
        <v>37</v>
      </c>
      <c r="D8411" t="s">
        <v>15</v>
      </c>
      <c r="E8411" t="s">
        <v>21</v>
      </c>
      <c r="F8411" t="s">
        <v>20</v>
      </c>
      <c r="G8411" s="2">
        <f>VALUE(4344.02)</f>
        <v>4344.0200000000004</v>
      </c>
      <c r="H8411" s="3">
        <f>VALUE(3556.7)</f>
        <v>3556.7</v>
      </c>
      <c r="I8411" s="1">
        <f>VALUE(4067)</f>
        <v>4067</v>
      </c>
      <c r="J8411" s="1">
        <f>VALUE(4942)</f>
        <v>4942</v>
      </c>
      <c r="K8411" s="1">
        <f>VALUE(5872)</f>
        <v>5872</v>
      </c>
      <c r="L8411" s="1">
        <f>VALUE(7119)</f>
        <v>7119</v>
      </c>
      <c r="M8411" s="1">
        <f>VALUE(8445)</f>
        <v>8445</v>
      </c>
      <c r="N8411" t="s">
        <v>25</v>
      </c>
    </row>
    <row r="8412" spans="1:14" x14ac:dyDescent="0.25">
      <c r="A8412" t="s">
        <v>43</v>
      </c>
      <c r="B8412" t="s">
        <v>15</v>
      </c>
      <c r="C8412" t="s">
        <v>37</v>
      </c>
      <c r="D8412" t="s">
        <v>15</v>
      </c>
      <c r="E8412" t="s">
        <v>22</v>
      </c>
      <c r="F8412" t="s">
        <v>15</v>
      </c>
      <c r="G8412" s="1">
        <f>VALUE(25242.71)</f>
        <v>25242.71</v>
      </c>
      <c r="H8412" s="1">
        <f>VALUE(22050.52)</f>
        <v>22050.52</v>
      </c>
      <c r="I8412" s="1">
        <f>VALUE(3868)</f>
        <v>3868</v>
      </c>
      <c r="J8412" s="1">
        <f>VALUE(4591)</f>
        <v>4591</v>
      </c>
      <c r="K8412" s="1">
        <f>VALUE(5462)</f>
        <v>5462</v>
      </c>
      <c r="L8412" s="1">
        <f>VALUE(6506)</f>
        <v>6506</v>
      </c>
      <c r="M8412" s="1">
        <f>VALUE(7735)</f>
        <v>7735</v>
      </c>
      <c r="N8412" t="s">
        <v>16</v>
      </c>
    </row>
    <row r="8413" spans="1:14" x14ac:dyDescent="0.25">
      <c r="A8413" t="s">
        <v>43</v>
      </c>
      <c r="B8413" t="s">
        <v>15</v>
      </c>
      <c r="C8413" t="s">
        <v>37</v>
      </c>
      <c r="D8413" t="s">
        <v>15</v>
      </c>
      <c r="E8413" t="s">
        <v>22</v>
      </c>
      <c r="F8413" t="s">
        <v>17</v>
      </c>
      <c r="G8413" s="2">
        <f>VALUE(2941.21)</f>
        <v>2941.21</v>
      </c>
      <c r="H8413" s="3">
        <f>VALUE(2679.6)</f>
        <v>2679.6</v>
      </c>
      <c r="I8413" s="4">
        <f>VALUE(4762)</f>
        <v>4762</v>
      </c>
      <c r="J8413" s="5">
        <f>VALUE(6000)</f>
        <v>6000</v>
      </c>
      <c r="K8413" s="1">
        <f>VALUE(7051)</f>
        <v>7051</v>
      </c>
      <c r="L8413" s="1">
        <f>VALUE(8667)</f>
        <v>8667</v>
      </c>
      <c r="M8413" s="8">
        <f>VALUE(10757)</f>
        <v>10757</v>
      </c>
      <c r="N8413" t="s">
        <v>25</v>
      </c>
    </row>
    <row r="8414" spans="1:14" x14ac:dyDescent="0.25">
      <c r="A8414" t="s">
        <v>43</v>
      </c>
      <c r="B8414" t="s">
        <v>15</v>
      </c>
      <c r="C8414" t="s">
        <v>37</v>
      </c>
      <c r="D8414" t="s">
        <v>15</v>
      </c>
      <c r="E8414" t="s">
        <v>22</v>
      </c>
      <c r="F8414" t="s">
        <v>18</v>
      </c>
      <c r="G8414" s="2">
        <f>VALUE(3076.16)</f>
        <v>3076.16</v>
      </c>
      <c r="H8414" s="3">
        <f>VALUE(2880.23)</f>
        <v>2880.23</v>
      </c>
      <c r="I8414" s="1">
        <f>VALUE(4532)</f>
        <v>4532</v>
      </c>
      <c r="J8414" s="1">
        <f>VALUE(5076)</f>
        <v>5076</v>
      </c>
      <c r="K8414" s="1">
        <f>VALUE(6190)</f>
        <v>6190</v>
      </c>
      <c r="L8414" s="1">
        <f>VALUE(7409)</f>
        <v>7409</v>
      </c>
      <c r="M8414" s="1">
        <f>VALUE(8901)</f>
        <v>8901</v>
      </c>
      <c r="N8414" t="s">
        <v>25</v>
      </c>
    </row>
    <row r="8415" spans="1:14" x14ac:dyDescent="0.25">
      <c r="A8415" t="s">
        <v>43</v>
      </c>
      <c r="B8415" t="s">
        <v>15</v>
      </c>
      <c r="C8415" t="s">
        <v>37</v>
      </c>
      <c r="D8415" t="s">
        <v>15</v>
      </c>
      <c r="E8415" t="s">
        <v>22</v>
      </c>
      <c r="F8415" t="s">
        <v>19</v>
      </c>
      <c r="G8415" s="2">
        <f>VALUE(3868.04)</f>
        <v>3868.04</v>
      </c>
      <c r="H8415" s="3">
        <f>VALUE(3621.54)</f>
        <v>3621.54</v>
      </c>
      <c r="I8415" s="1">
        <f>VALUE(4189)</f>
        <v>4189</v>
      </c>
      <c r="J8415" s="1">
        <f>VALUE(4792)</f>
        <v>4792</v>
      </c>
      <c r="K8415" s="1">
        <f>VALUE(5690)</f>
        <v>5690</v>
      </c>
      <c r="L8415" s="1">
        <f>VALUE(6474)</f>
        <v>6474</v>
      </c>
      <c r="M8415" s="1">
        <f>VALUE(7600)</f>
        <v>7600</v>
      </c>
      <c r="N8415" t="s">
        <v>25</v>
      </c>
    </row>
    <row r="8416" spans="1:14" x14ac:dyDescent="0.25">
      <c r="A8416" t="s">
        <v>43</v>
      </c>
      <c r="B8416" t="s">
        <v>15</v>
      </c>
      <c r="C8416" t="s">
        <v>37</v>
      </c>
      <c r="D8416" t="s">
        <v>15</v>
      </c>
      <c r="E8416" t="s">
        <v>22</v>
      </c>
      <c r="F8416" t="s">
        <v>20</v>
      </c>
      <c r="G8416" s="1">
        <f>VALUE(15357.3)</f>
        <v>15357.3</v>
      </c>
      <c r="H8416" s="1">
        <f>VALUE(12869.15)</f>
        <v>12869.15</v>
      </c>
      <c r="I8416" s="1">
        <f>VALUE(3629)</f>
        <v>3629</v>
      </c>
      <c r="J8416" s="1">
        <f>VALUE(4286)</f>
        <v>4286</v>
      </c>
      <c r="K8416" s="1">
        <f>VALUE(5173)</f>
        <v>5173</v>
      </c>
      <c r="L8416" s="1">
        <f>VALUE(5984)</f>
        <v>5984</v>
      </c>
      <c r="M8416" s="1">
        <f>VALUE(6782)</f>
        <v>6782</v>
      </c>
      <c r="N8416" t="s">
        <v>16</v>
      </c>
    </row>
    <row r="8417" spans="1:14" x14ac:dyDescent="0.25">
      <c r="A8417" t="s">
        <v>43</v>
      </c>
      <c r="B8417" t="s">
        <v>15</v>
      </c>
      <c r="C8417" t="s">
        <v>37</v>
      </c>
      <c r="D8417" t="s">
        <v>15</v>
      </c>
      <c r="E8417" t="s">
        <v>23</v>
      </c>
      <c r="F8417" t="s">
        <v>15</v>
      </c>
      <c r="G8417" s="1">
        <f>VALUE(19533.84)</f>
        <v>19533.84</v>
      </c>
      <c r="H8417" s="1">
        <f>VALUE(16583.54)</f>
        <v>16583.54</v>
      </c>
      <c r="I8417" s="1">
        <f>VALUE(3111)</f>
        <v>3111</v>
      </c>
      <c r="J8417" s="1">
        <f>VALUE(3515)</f>
        <v>3515</v>
      </c>
      <c r="K8417" s="1">
        <f>VALUE(4117)</f>
        <v>4117</v>
      </c>
      <c r="L8417" s="1">
        <f>VALUE(5069)</f>
        <v>5069</v>
      </c>
      <c r="M8417" s="1">
        <f>VALUE(5909)</f>
        <v>5909</v>
      </c>
      <c r="N8417" t="s">
        <v>16</v>
      </c>
    </row>
    <row r="8418" spans="1:14" x14ac:dyDescent="0.25">
      <c r="A8418" t="s">
        <v>43</v>
      </c>
      <c r="B8418" t="s">
        <v>15</v>
      </c>
      <c r="C8418" t="s">
        <v>37</v>
      </c>
      <c r="D8418" t="s">
        <v>15</v>
      </c>
      <c r="E8418" t="s">
        <v>23</v>
      </c>
      <c r="F8418" t="s">
        <v>17</v>
      </c>
      <c r="G8418" s="2">
        <f>VALUE(614.72)</f>
        <v>614.72</v>
      </c>
      <c r="H8418" s="3">
        <f>VALUE(601.61)</f>
        <v>601.61</v>
      </c>
      <c r="I8418" s="4">
        <f>VALUE(3714)</f>
        <v>3714</v>
      </c>
      <c r="J8418" s="5">
        <f>VALUE(4091)</f>
        <v>4091</v>
      </c>
      <c r="K8418" s="6">
        <f>VALUE(5329)</f>
        <v>5329</v>
      </c>
      <c r="L8418" s="7">
        <f>VALUE(5678)</f>
        <v>5678</v>
      </c>
      <c r="M8418" s="8">
        <f>VALUE(7745)</f>
        <v>7745</v>
      </c>
      <c r="N8418" t="s">
        <v>24</v>
      </c>
    </row>
    <row r="8419" spans="1:14" x14ac:dyDescent="0.25">
      <c r="A8419" t="s">
        <v>43</v>
      </c>
      <c r="B8419" t="s">
        <v>15</v>
      </c>
      <c r="C8419" t="s">
        <v>37</v>
      </c>
      <c r="D8419" t="s">
        <v>15</v>
      </c>
      <c r="E8419" t="s">
        <v>23</v>
      </c>
      <c r="F8419" t="s">
        <v>18</v>
      </c>
      <c r="G8419" s="2">
        <f>VALUE(724.33)</f>
        <v>724.33</v>
      </c>
      <c r="H8419" s="3">
        <f>VALUE(668.68)</f>
        <v>668.68</v>
      </c>
      <c r="I8419" s="4">
        <f>VALUE(3358)</f>
        <v>3358</v>
      </c>
      <c r="J8419" s="5">
        <f>VALUE(3805)</f>
        <v>3805</v>
      </c>
      <c r="K8419" s="6">
        <f>VALUE(4775)</f>
        <v>4775</v>
      </c>
      <c r="L8419" s="7">
        <f>VALUE(5514)</f>
        <v>5514</v>
      </c>
      <c r="M8419" s="8">
        <f>VALUE(6936)</f>
        <v>6936</v>
      </c>
      <c r="N8419" t="s">
        <v>24</v>
      </c>
    </row>
    <row r="8420" spans="1:14" x14ac:dyDescent="0.25">
      <c r="A8420" t="s">
        <v>43</v>
      </c>
      <c r="B8420" t="s">
        <v>15</v>
      </c>
      <c r="C8420" t="s">
        <v>37</v>
      </c>
      <c r="D8420" t="s">
        <v>15</v>
      </c>
      <c r="E8420" t="s">
        <v>23</v>
      </c>
      <c r="F8420" t="s">
        <v>19</v>
      </c>
      <c r="G8420" s="2">
        <f>VALUE(2031.44)</f>
        <v>2031.44</v>
      </c>
      <c r="H8420" s="3">
        <f>VALUE(1967.08)</f>
        <v>1967.08</v>
      </c>
      <c r="I8420" s="1">
        <f>VALUE(3263)</f>
        <v>3263</v>
      </c>
      <c r="J8420" s="5">
        <f>VALUE(3801)</f>
        <v>3801</v>
      </c>
      <c r="K8420" s="6">
        <f>VALUE(4333)</f>
        <v>4333</v>
      </c>
      <c r="L8420" s="1">
        <f>VALUE(5310)</f>
        <v>5310</v>
      </c>
      <c r="M8420" s="1">
        <f>VALUE(6575)</f>
        <v>6575</v>
      </c>
      <c r="N8420" t="s">
        <v>25</v>
      </c>
    </row>
    <row r="8421" spans="1:14" x14ac:dyDescent="0.25">
      <c r="A8421" t="s">
        <v>43</v>
      </c>
      <c r="B8421" t="s">
        <v>15</v>
      </c>
      <c r="C8421" t="s">
        <v>37</v>
      </c>
      <c r="D8421" t="s">
        <v>15</v>
      </c>
      <c r="E8421" t="s">
        <v>23</v>
      </c>
      <c r="F8421" t="s">
        <v>20</v>
      </c>
      <c r="G8421" s="1">
        <f>VALUE(16163.35)</f>
        <v>16163.35</v>
      </c>
      <c r="H8421" s="1">
        <f>VALUE(13346.17)</f>
        <v>13346.17</v>
      </c>
      <c r="I8421" s="1">
        <f>VALUE(3008)</f>
        <v>3008</v>
      </c>
      <c r="J8421" s="1">
        <f>VALUE(3467)</f>
        <v>3467</v>
      </c>
      <c r="K8421" s="1">
        <f>VALUE(3997)</f>
        <v>3997</v>
      </c>
      <c r="L8421" s="1">
        <f>VALUE(4956)</f>
        <v>4956</v>
      </c>
      <c r="M8421" s="1">
        <f>VALUE(5718)</f>
        <v>5718</v>
      </c>
      <c r="N8421" t="s">
        <v>16</v>
      </c>
    </row>
    <row r="8422" spans="1:14" x14ac:dyDescent="0.25">
      <c r="A8422" t="s">
        <v>43</v>
      </c>
      <c r="B8422" t="s">
        <v>15</v>
      </c>
      <c r="C8422" t="s">
        <v>37</v>
      </c>
      <c r="D8422" t="s">
        <v>15</v>
      </c>
      <c r="E8422" t="s">
        <v>26</v>
      </c>
      <c r="F8422" t="s">
        <v>15</v>
      </c>
      <c r="G8422" s="2">
        <f>VALUE(862.88)</f>
        <v>862.88</v>
      </c>
      <c r="H8422" s="3">
        <f>VALUE(734.9)</f>
        <v>734.9</v>
      </c>
      <c r="I8422" s="1">
        <f>VALUE(3784)</f>
        <v>3784</v>
      </c>
      <c r="J8422" s="1">
        <f>VALUE(4698)</f>
        <v>4698</v>
      </c>
      <c r="K8422" s="1">
        <f>VALUE(5551)</f>
        <v>5551</v>
      </c>
      <c r="L8422" s="7">
        <f>VALUE(6859)</f>
        <v>6859</v>
      </c>
      <c r="M8422" s="8">
        <f>VALUE(10340)</f>
        <v>10340</v>
      </c>
      <c r="N8422" t="s">
        <v>25</v>
      </c>
    </row>
    <row r="8423" spans="1:14" x14ac:dyDescent="0.25">
      <c r="A8423" t="s">
        <v>43</v>
      </c>
      <c r="B8423" t="s">
        <v>15</v>
      </c>
      <c r="C8423" t="s">
        <v>37</v>
      </c>
      <c r="D8423" t="s">
        <v>15</v>
      </c>
      <c r="E8423" t="s">
        <v>26</v>
      </c>
      <c r="F8423" t="s">
        <v>17</v>
      </c>
      <c r="G8423" s="1" t="str">
        <f t="shared" ref="G8423:M8425" si="1853">"X"</f>
        <v>X</v>
      </c>
      <c r="H8423" s="1" t="str">
        <f t="shared" si="1853"/>
        <v>X</v>
      </c>
      <c r="I8423" s="1" t="str">
        <f t="shared" si="1853"/>
        <v>X</v>
      </c>
      <c r="J8423" s="1" t="str">
        <f t="shared" si="1853"/>
        <v>X</v>
      </c>
      <c r="K8423" s="1" t="str">
        <f t="shared" si="1853"/>
        <v>X</v>
      </c>
      <c r="L8423" s="1" t="str">
        <f t="shared" si="1853"/>
        <v>X</v>
      </c>
      <c r="M8423" s="1" t="str">
        <f t="shared" si="1853"/>
        <v>X</v>
      </c>
      <c r="N8423" t="s">
        <v>27</v>
      </c>
    </row>
    <row r="8424" spans="1:14" x14ac:dyDescent="0.25">
      <c r="A8424" t="s">
        <v>43</v>
      </c>
      <c r="B8424" t="s">
        <v>15</v>
      </c>
      <c r="C8424" t="s">
        <v>37</v>
      </c>
      <c r="D8424" t="s">
        <v>15</v>
      </c>
      <c r="E8424" t="s">
        <v>26</v>
      </c>
      <c r="F8424" t="s">
        <v>18</v>
      </c>
      <c r="G8424" s="1" t="str">
        <f t="shared" si="1853"/>
        <v>X</v>
      </c>
      <c r="H8424" s="1" t="str">
        <f t="shared" si="1853"/>
        <v>X</v>
      </c>
      <c r="I8424" s="1" t="str">
        <f t="shared" si="1853"/>
        <v>X</v>
      </c>
      <c r="J8424" s="1" t="str">
        <f t="shared" si="1853"/>
        <v>X</v>
      </c>
      <c r="K8424" s="1" t="str">
        <f t="shared" si="1853"/>
        <v>X</v>
      </c>
      <c r="L8424" s="1" t="str">
        <f t="shared" si="1853"/>
        <v>X</v>
      </c>
      <c r="M8424" s="1" t="str">
        <f t="shared" si="1853"/>
        <v>X</v>
      </c>
      <c r="N8424" t="s">
        <v>27</v>
      </c>
    </row>
    <row r="8425" spans="1:14" x14ac:dyDescent="0.25">
      <c r="A8425" t="s">
        <v>43</v>
      </c>
      <c r="B8425" t="s">
        <v>15</v>
      </c>
      <c r="C8425" t="s">
        <v>37</v>
      </c>
      <c r="D8425" t="s">
        <v>15</v>
      </c>
      <c r="E8425" t="s">
        <v>26</v>
      </c>
      <c r="F8425" t="s">
        <v>19</v>
      </c>
      <c r="G8425" s="1" t="str">
        <f t="shared" si="1853"/>
        <v>X</v>
      </c>
      <c r="H8425" s="1" t="str">
        <f t="shared" si="1853"/>
        <v>X</v>
      </c>
      <c r="I8425" s="1" t="str">
        <f t="shared" si="1853"/>
        <v>X</v>
      </c>
      <c r="J8425" s="1" t="str">
        <f t="shared" si="1853"/>
        <v>X</v>
      </c>
      <c r="K8425" s="1" t="str">
        <f t="shared" si="1853"/>
        <v>X</v>
      </c>
      <c r="L8425" s="1" t="str">
        <f t="shared" si="1853"/>
        <v>X</v>
      </c>
      <c r="M8425" s="1" t="str">
        <f t="shared" si="1853"/>
        <v>X</v>
      </c>
      <c r="N8425" t="s">
        <v>27</v>
      </c>
    </row>
    <row r="8426" spans="1:14" x14ac:dyDescent="0.25">
      <c r="A8426" t="s">
        <v>43</v>
      </c>
      <c r="B8426" t="s">
        <v>15</v>
      </c>
      <c r="C8426" t="s">
        <v>37</v>
      </c>
      <c r="D8426" t="s">
        <v>15</v>
      </c>
      <c r="E8426" t="s">
        <v>26</v>
      </c>
      <c r="F8426" t="s">
        <v>20</v>
      </c>
      <c r="G8426" s="2">
        <f>VALUE(639.52)</f>
        <v>639.52</v>
      </c>
      <c r="H8426" s="3">
        <f>VALUE(543.24)</f>
        <v>543.24</v>
      </c>
      <c r="I8426" s="1">
        <f>VALUE(3702)</f>
        <v>3702</v>
      </c>
      <c r="J8426" s="5">
        <f>VALUE(4430)</f>
        <v>4430</v>
      </c>
      <c r="K8426" s="1">
        <f>VALUE(5262)</f>
        <v>5262</v>
      </c>
      <c r="L8426" s="1">
        <f>VALUE(6059)</f>
        <v>6059</v>
      </c>
      <c r="M8426" s="1">
        <f>VALUE(6859)</f>
        <v>6859</v>
      </c>
      <c r="N8426" t="s">
        <v>25</v>
      </c>
    </row>
    <row r="8427" spans="1:14" x14ac:dyDescent="0.25">
      <c r="A8427" t="s">
        <v>43</v>
      </c>
      <c r="B8427" t="s">
        <v>15</v>
      </c>
      <c r="C8427" t="s">
        <v>37</v>
      </c>
      <c r="D8427" t="s">
        <v>28</v>
      </c>
      <c r="E8427" t="s">
        <v>15</v>
      </c>
      <c r="F8427" t="s">
        <v>15</v>
      </c>
      <c r="G8427" s="1">
        <f>VALUE(21421.95)</f>
        <v>21421.95</v>
      </c>
      <c r="H8427" s="1">
        <f>VALUE(17520.88)</f>
        <v>17520.88</v>
      </c>
      <c r="I8427" s="1">
        <f>VALUE(4089)</f>
        <v>4089</v>
      </c>
      <c r="J8427" s="1">
        <f>VALUE(4898)</f>
        <v>4898</v>
      </c>
      <c r="K8427" s="1">
        <f>VALUE(5984)</f>
        <v>5984</v>
      </c>
      <c r="L8427" s="1">
        <f>VALUE(7601)</f>
        <v>7601</v>
      </c>
      <c r="M8427" s="1">
        <f>VALUE(10077)</f>
        <v>10077</v>
      </c>
      <c r="N8427" t="s">
        <v>16</v>
      </c>
    </row>
    <row r="8428" spans="1:14" x14ac:dyDescent="0.25">
      <c r="A8428" t="s">
        <v>43</v>
      </c>
      <c r="B8428" t="s">
        <v>15</v>
      </c>
      <c r="C8428" t="s">
        <v>37</v>
      </c>
      <c r="D8428" t="s">
        <v>28</v>
      </c>
      <c r="E8428" t="s">
        <v>15</v>
      </c>
      <c r="F8428" t="s">
        <v>17</v>
      </c>
      <c r="G8428" s="2">
        <f>VALUE(4536.06)</f>
        <v>4536.0600000000004</v>
      </c>
      <c r="H8428" s="3">
        <f>VALUE(4129.63)</f>
        <v>4129.63</v>
      </c>
      <c r="I8428" s="4">
        <f>VALUE(5251)</f>
        <v>5251</v>
      </c>
      <c r="J8428" s="1">
        <f>VALUE(6079)</f>
        <v>6079</v>
      </c>
      <c r="K8428" s="1">
        <f>VALUE(7999)</f>
        <v>7999</v>
      </c>
      <c r="L8428" s="1">
        <f>VALUE(10728)</f>
        <v>10728</v>
      </c>
      <c r="M8428" s="1">
        <f>VALUE(15000)</f>
        <v>15000</v>
      </c>
      <c r="N8428" t="s">
        <v>25</v>
      </c>
    </row>
    <row r="8429" spans="1:14" x14ac:dyDescent="0.25">
      <c r="A8429" t="s">
        <v>43</v>
      </c>
      <c r="B8429" t="s">
        <v>15</v>
      </c>
      <c r="C8429" t="s">
        <v>37</v>
      </c>
      <c r="D8429" t="s">
        <v>28</v>
      </c>
      <c r="E8429" t="s">
        <v>15</v>
      </c>
      <c r="F8429" t="s">
        <v>18</v>
      </c>
      <c r="G8429" s="2">
        <f>VALUE(2936.88)</f>
        <v>2936.88</v>
      </c>
      <c r="H8429" s="3">
        <f>VALUE(2665.99)</f>
        <v>2665.99</v>
      </c>
      <c r="I8429" s="1">
        <f>VALUE(4631)</f>
        <v>4631</v>
      </c>
      <c r="J8429" s="1">
        <f>VALUE(5449)</f>
        <v>5449</v>
      </c>
      <c r="K8429" s="1">
        <f>VALUE(6753)</f>
        <v>6753</v>
      </c>
      <c r="L8429" s="1">
        <f>VALUE(8578)</f>
        <v>8578</v>
      </c>
      <c r="M8429" s="1">
        <f>VALUE(10872)</f>
        <v>10872</v>
      </c>
      <c r="N8429" t="s">
        <v>25</v>
      </c>
    </row>
    <row r="8430" spans="1:14" x14ac:dyDescent="0.25">
      <c r="A8430" t="s">
        <v>43</v>
      </c>
      <c r="B8430" t="s">
        <v>15</v>
      </c>
      <c r="C8430" t="s">
        <v>37</v>
      </c>
      <c r="D8430" t="s">
        <v>28</v>
      </c>
      <c r="E8430" t="s">
        <v>15</v>
      </c>
      <c r="F8430" t="s">
        <v>19</v>
      </c>
      <c r="G8430" s="2">
        <f>VALUE(3040.11)</f>
        <v>3040.11</v>
      </c>
      <c r="H8430" s="3">
        <f>VALUE(2707.27)</f>
        <v>2707.27</v>
      </c>
      <c r="I8430" s="4">
        <f>VALUE(3868)</f>
        <v>3868</v>
      </c>
      <c r="J8430" s="5">
        <f>VALUE(4591)</f>
        <v>4591</v>
      </c>
      <c r="K8430" s="1">
        <f>VALUE(5812)</f>
        <v>5812</v>
      </c>
      <c r="L8430" s="1">
        <f>VALUE(7067)</f>
        <v>7067</v>
      </c>
      <c r="M8430" s="1">
        <f>VALUE(8379)</f>
        <v>8379</v>
      </c>
      <c r="N8430" t="s">
        <v>25</v>
      </c>
    </row>
    <row r="8431" spans="1:14" x14ac:dyDescent="0.25">
      <c r="A8431" t="s">
        <v>43</v>
      </c>
      <c r="B8431" t="s">
        <v>15</v>
      </c>
      <c r="C8431" t="s">
        <v>37</v>
      </c>
      <c r="D8431" t="s">
        <v>28</v>
      </c>
      <c r="E8431" t="s">
        <v>15</v>
      </c>
      <c r="F8431" t="s">
        <v>20</v>
      </c>
      <c r="G8431" s="1">
        <f>VALUE(10908.9)</f>
        <v>10908.9</v>
      </c>
      <c r="H8431" s="1">
        <f>VALUE(8017.99)</f>
        <v>8017.99</v>
      </c>
      <c r="I8431" s="1">
        <f>VALUE(3768)</f>
        <v>3768</v>
      </c>
      <c r="J8431" s="1">
        <f>VALUE(4449)</f>
        <v>4449</v>
      </c>
      <c r="K8431" s="1">
        <f>VALUE(5398)</f>
        <v>5398</v>
      </c>
      <c r="L8431" s="1">
        <f>VALUE(6293)</f>
        <v>6293</v>
      </c>
      <c r="M8431" s="1">
        <f>VALUE(7349)</f>
        <v>7349</v>
      </c>
      <c r="N8431" t="s">
        <v>16</v>
      </c>
    </row>
    <row r="8432" spans="1:14" x14ac:dyDescent="0.25">
      <c r="A8432" t="s">
        <v>43</v>
      </c>
      <c r="B8432" t="s">
        <v>15</v>
      </c>
      <c r="C8432" t="s">
        <v>37</v>
      </c>
      <c r="D8432" t="s">
        <v>28</v>
      </c>
      <c r="E8432" t="s">
        <v>21</v>
      </c>
      <c r="F8432" t="s">
        <v>15</v>
      </c>
      <c r="G8432" s="1">
        <f>VALUE(5775.7)</f>
        <v>5775.7</v>
      </c>
      <c r="H8432" s="1">
        <f>VALUE(4911.45)</f>
        <v>4911.45</v>
      </c>
      <c r="I8432" s="4">
        <f>VALUE(5231)</f>
        <v>5231</v>
      </c>
      <c r="J8432" s="1">
        <f>VALUE(6281)</f>
        <v>6281</v>
      </c>
      <c r="K8432" s="1">
        <f>VALUE(8044)</f>
        <v>8044</v>
      </c>
      <c r="L8432" s="1">
        <f>VALUE(10196)</f>
        <v>10196</v>
      </c>
      <c r="M8432" s="1">
        <f>VALUE(13826)</f>
        <v>13826</v>
      </c>
      <c r="N8432" t="s">
        <v>25</v>
      </c>
    </row>
    <row r="8433" spans="1:14" x14ac:dyDescent="0.25">
      <c r="A8433" t="s">
        <v>43</v>
      </c>
      <c r="B8433" t="s">
        <v>15</v>
      </c>
      <c r="C8433" t="s">
        <v>37</v>
      </c>
      <c r="D8433" t="s">
        <v>28</v>
      </c>
      <c r="E8433" t="s">
        <v>21</v>
      </c>
      <c r="F8433" t="s">
        <v>17</v>
      </c>
      <c r="G8433" s="2">
        <f>VALUE(2211.47)</f>
        <v>2211.4699999999998</v>
      </c>
      <c r="H8433" s="3">
        <f>VALUE(2041.95)</f>
        <v>2041.95</v>
      </c>
      <c r="I8433" s="4">
        <f>VALUE(5865)</f>
        <v>5865</v>
      </c>
      <c r="J8433" s="5">
        <f>VALUE(7367)</f>
        <v>7367</v>
      </c>
      <c r="K8433" s="1">
        <f>VALUE(9750)</f>
        <v>9750</v>
      </c>
      <c r="L8433" s="1">
        <f>VALUE(12936)</f>
        <v>12936</v>
      </c>
      <c r="M8433" s="1">
        <f>VALUE(17598)</f>
        <v>17598</v>
      </c>
      <c r="N8433" t="s">
        <v>25</v>
      </c>
    </row>
    <row r="8434" spans="1:14" x14ac:dyDescent="0.25">
      <c r="A8434" t="s">
        <v>43</v>
      </c>
      <c r="B8434" t="s">
        <v>15</v>
      </c>
      <c r="C8434" t="s">
        <v>37</v>
      </c>
      <c r="D8434" t="s">
        <v>28</v>
      </c>
      <c r="E8434" t="s">
        <v>21</v>
      </c>
      <c r="F8434" t="s">
        <v>18</v>
      </c>
      <c r="G8434" s="2">
        <f>VALUE(1093.47)</f>
        <v>1093.47</v>
      </c>
      <c r="H8434" s="3">
        <f>VALUE(949.24)</f>
        <v>949.24</v>
      </c>
      <c r="I8434" s="1">
        <f>VALUE(5092)</f>
        <v>5092</v>
      </c>
      <c r="J8434" s="1">
        <f>VALUE(6753)</f>
        <v>6753</v>
      </c>
      <c r="K8434" s="1">
        <f>VALUE(8328)</f>
        <v>8328</v>
      </c>
      <c r="L8434" s="1">
        <f>VALUE(10158)</f>
        <v>10158</v>
      </c>
      <c r="M8434" s="1">
        <f>VALUE(11583)</f>
        <v>11583</v>
      </c>
      <c r="N8434" t="s">
        <v>25</v>
      </c>
    </row>
    <row r="8435" spans="1:14" x14ac:dyDescent="0.25">
      <c r="A8435" t="s">
        <v>43</v>
      </c>
      <c r="B8435" t="s">
        <v>15</v>
      </c>
      <c r="C8435" t="s">
        <v>37</v>
      </c>
      <c r="D8435" t="s">
        <v>28</v>
      </c>
      <c r="E8435" t="s">
        <v>21</v>
      </c>
      <c r="F8435" t="s">
        <v>19</v>
      </c>
      <c r="G8435" s="2">
        <f>VALUE(703.97)</f>
        <v>703.97</v>
      </c>
      <c r="H8435" s="3">
        <f>VALUE(605.93)</f>
        <v>605.92999999999995</v>
      </c>
      <c r="I8435" s="1">
        <f>VALUE(5482)</f>
        <v>5482</v>
      </c>
      <c r="J8435" s="5">
        <f>VALUE(6397)</f>
        <v>6397</v>
      </c>
      <c r="K8435" s="1">
        <f>VALUE(7339)</f>
        <v>7339</v>
      </c>
      <c r="L8435" s="1">
        <f>VALUE(8347)</f>
        <v>8347</v>
      </c>
      <c r="M8435" s="1">
        <f>VALUE(9374)</f>
        <v>9374</v>
      </c>
      <c r="N8435" t="s">
        <v>25</v>
      </c>
    </row>
    <row r="8436" spans="1:14" x14ac:dyDescent="0.25">
      <c r="A8436" t="s">
        <v>43</v>
      </c>
      <c r="B8436" t="s">
        <v>15</v>
      </c>
      <c r="C8436" t="s">
        <v>37</v>
      </c>
      <c r="D8436" t="s">
        <v>28</v>
      </c>
      <c r="E8436" t="s">
        <v>21</v>
      </c>
      <c r="F8436" t="s">
        <v>20</v>
      </c>
      <c r="G8436" s="2">
        <f>VALUE(1766.79)</f>
        <v>1766.79</v>
      </c>
      <c r="H8436" s="3">
        <f>VALUE(1314.33)</f>
        <v>1314.33</v>
      </c>
      <c r="I8436" s="4">
        <f>VALUE(4268)</f>
        <v>4268</v>
      </c>
      <c r="J8436" s="1">
        <f>VALUE(5371)</f>
        <v>5371</v>
      </c>
      <c r="K8436" s="1">
        <f>VALUE(6390)</f>
        <v>6390</v>
      </c>
      <c r="L8436" s="1">
        <f>VALUE(7690)</f>
        <v>7690</v>
      </c>
      <c r="M8436" s="1">
        <f>VALUE(8667)</f>
        <v>8667</v>
      </c>
      <c r="N8436" t="s">
        <v>25</v>
      </c>
    </row>
    <row r="8437" spans="1:14" x14ac:dyDescent="0.25">
      <c r="A8437" t="s">
        <v>43</v>
      </c>
      <c r="B8437" t="s">
        <v>15</v>
      </c>
      <c r="C8437" t="s">
        <v>37</v>
      </c>
      <c r="D8437" t="s">
        <v>28</v>
      </c>
      <c r="E8437" t="s">
        <v>22</v>
      </c>
      <c r="F8437" t="s">
        <v>15</v>
      </c>
      <c r="G8437" s="1">
        <f>VALUE(12535.82)</f>
        <v>12535.82</v>
      </c>
      <c r="H8437" s="1">
        <f>VALUE(10305.31)</f>
        <v>10305.31</v>
      </c>
      <c r="I8437" s="1">
        <f>VALUE(4147)</f>
        <v>4147</v>
      </c>
      <c r="J8437" s="1">
        <f>VALUE(4897)</f>
        <v>4897</v>
      </c>
      <c r="K8437" s="1">
        <f>VALUE(5801)</f>
        <v>5801</v>
      </c>
      <c r="L8437" s="1">
        <f>VALUE(6793)</f>
        <v>6793</v>
      </c>
      <c r="M8437" s="1">
        <f>VALUE(8298)</f>
        <v>8298</v>
      </c>
      <c r="N8437" t="s">
        <v>16</v>
      </c>
    </row>
    <row r="8438" spans="1:14" x14ac:dyDescent="0.25">
      <c r="A8438" t="s">
        <v>43</v>
      </c>
      <c r="B8438" t="s">
        <v>15</v>
      </c>
      <c r="C8438" t="s">
        <v>37</v>
      </c>
      <c r="D8438" t="s">
        <v>28</v>
      </c>
      <c r="E8438" t="s">
        <v>22</v>
      </c>
      <c r="F8438" t="s">
        <v>17</v>
      </c>
      <c r="G8438" s="2">
        <f>VALUE(2015.27)</f>
        <v>2015.27</v>
      </c>
      <c r="H8438" s="3">
        <f>VALUE(1785.77)</f>
        <v>1785.77</v>
      </c>
      <c r="I8438" s="4">
        <f>VALUE(4641)</f>
        <v>4641</v>
      </c>
      <c r="J8438" s="5">
        <f>VALUE(5777)</f>
        <v>5777</v>
      </c>
      <c r="K8438" s="6">
        <f>VALUE(6729)</f>
        <v>6729</v>
      </c>
      <c r="L8438" s="1">
        <f>VALUE(8667)</f>
        <v>8667</v>
      </c>
      <c r="M8438" s="8">
        <f>VALUE(11123)</f>
        <v>11123</v>
      </c>
      <c r="N8438" t="s">
        <v>25</v>
      </c>
    </row>
    <row r="8439" spans="1:14" x14ac:dyDescent="0.25">
      <c r="A8439" t="s">
        <v>43</v>
      </c>
      <c r="B8439" t="s">
        <v>15</v>
      </c>
      <c r="C8439" t="s">
        <v>37</v>
      </c>
      <c r="D8439" t="s">
        <v>28</v>
      </c>
      <c r="E8439" t="s">
        <v>22</v>
      </c>
      <c r="F8439" t="s">
        <v>18</v>
      </c>
      <c r="G8439" s="2">
        <f>VALUE(1742.71)</f>
        <v>1742.71</v>
      </c>
      <c r="H8439" s="3">
        <f>VALUE(1617.71)</f>
        <v>1617.71</v>
      </c>
      <c r="I8439" s="4">
        <f>VALUE(4631)</f>
        <v>4631</v>
      </c>
      <c r="J8439" s="1">
        <f>VALUE(5159)</f>
        <v>5159</v>
      </c>
      <c r="K8439" s="1">
        <f>VALUE(6190)</f>
        <v>6190</v>
      </c>
      <c r="L8439" s="1">
        <f>VALUE(7583)</f>
        <v>7583</v>
      </c>
      <c r="M8439" s="1">
        <f>VALUE(9590)</f>
        <v>9590</v>
      </c>
      <c r="N8439" t="s">
        <v>25</v>
      </c>
    </row>
    <row r="8440" spans="1:14" x14ac:dyDescent="0.25">
      <c r="A8440" t="s">
        <v>43</v>
      </c>
      <c r="B8440" t="s">
        <v>15</v>
      </c>
      <c r="C8440" t="s">
        <v>37</v>
      </c>
      <c r="D8440" t="s">
        <v>28</v>
      </c>
      <c r="E8440" t="s">
        <v>22</v>
      </c>
      <c r="F8440" t="s">
        <v>19</v>
      </c>
      <c r="G8440" s="2">
        <f>VALUE(1852.24)</f>
        <v>1852.24</v>
      </c>
      <c r="H8440" s="3">
        <f>VALUE(1665.9)</f>
        <v>1665.9</v>
      </c>
      <c r="I8440" s="4">
        <f>VALUE(4127)</f>
        <v>4127</v>
      </c>
      <c r="J8440" s="5">
        <f>VALUE(4634)</f>
        <v>4634</v>
      </c>
      <c r="K8440" s="1">
        <f>VALUE(5689)</f>
        <v>5689</v>
      </c>
      <c r="L8440" s="1">
        <f>VALUE(6520)</f>
        <v>6520</v>
      </c>
      <c r="M8440" s="1">
        <f>VALUE(7942)</f>
        <v>7942</v>
      </c>
      <c r="N8440" t="s">
        <v>25</v>
      </c>
    </row>
    <row r="8441" spans="1:14" x14ac:dyDescent="0.25">
      <c r="A8441" t="s">
        <v>43</v>
      </c>
      <c r="B8441" t="s">
        <v>15</v>
      </c>
      <c r="C8441" t="s">
        <v>37</v>
      </c>
      <c r="D8441" t="s">
        <v>28</v>
      </c>
      <c r="E8441" t="s">
        <v>22</v>
      </c>
      <c r="F8441" t="s">
        <v>20</v>
      </c>
      <c r="G8441" s="1">
        <f>VALUE(6925.6)</f>
        <v>6925.6</v>
      </c>
      <c r="H8441" s="1">
        <f>VALUE(5235.93)</f>
        <v>5235.93</v>
      </c>
      <c r="I8441" s="1">
        <f>VALUE(4027)</f>
        <v>4027</v>
      </c>
      <c r="J8441" s="1">
        <f>VALUE(4715)</f>
        <v>4715</v>
      </c>
      <c r="K8441" s="1">
        <f>VALUE(5440)</f>
        <v>5440</v>
      </c>
      <c r="L8441" s="1">
        <f>VALUE(6242)</f>
        <v>6242</v>
      </c>
      <c r="M8441" s="1">
        <f>VALUE(7072)</f>
        <v>7072</v>
      </c>
      <c r="N8441" t="s">
        <v>16</v>
      </c>
    </row>
    <row r="8442" spans="1:14" x14ac:dyDescent="0.25">
      <c r="A8442" t="s">
        <v>43</v>
      </c>
      <c r="B8442" t="s">
        <v>15</v>
      </c>
      <c r="C8442" t="s">
        <v>37</v>
      </c>
      <c r="D8442" t="s">
        <v>28</v>
      </c>
      <c r="E8442" t="s">
        <v>23</v>
      </c>
      <c r="F8442" t="s">
        <v>15</v>
      </c>
      <c r="G8442" s="2">
        <f>VALUE(2958.99)</f>
        <v>2958.99</v>
      </c>
      <c r="H8442" s="3">
        <f>VALUE(2186.6)</f>
        <v>2186.6</v>
      </c>
      <c r="I8442" s="4">
        <f>VALUE(3221)</f>
        <v>3221</v>
      </c>
      <c r="J8442" s="5">
        <f>VALUE(3801)</f>
        <v>3801</v>
      </c>
      <c r="K8442" s="6">
        <f>VALUE(4349)</f>
        <v>4349</v>
      </c>
      <c r="L8442" s="1">
        <f>VALUE(5329)</f>
        <v>5329</v>
      </c>
      <c r="M8442" s="1">
        <f>VALUE(5946)</f>
        <v>5946</v>
      </c>
      <c r="N8442" t="s">
        <v>25</v>
      </c>
    </row>
    <row r="8443" spans="1:14" x14ac:dyDescent="0.25">
      <c r="A8443" t="s">
        <v>43</v>
      </c>
      <c r="B8443" t="s">
        <v>15</v>
      </c>
      <c r="C8443" t="s">
        <v>37</v>
      </c>
      <c r="D8443" t="s">
        <v>28</v>
      </c>
      <c r="E8443" t="s">
        <v>23</v>
      </c>
      <c r="F8443" t="s">
        <v>17</v>
      </c>
      <c r="G8443" s="1" t="str">
        <f t="shared" ref="G8443:M8444" si="1854">"X"</f>
        <v>X</v>
      </c>
      <c r="H8443" s="1" t="str">
        <f t="shared" si="1854"/>
        <v>X</v>
      </c>
      <c r="I8443" s="1" t="str">
        <f t="shared" si="1854"/>
        <v>X</v>
      </c>
      <c r="J8443" s="1" t="str">
        <f t="shared" si="1854"/>
        <v>X</v>
      </c>
      <c r="K8443" s="1" t="str">
        <f t="shared" si="1854"/>
        <v>X</v>
      </c>
      <c r="L8443" s="1" t="str">
        <f t="shared" si="1854"/>
        <v>X</v>
      </c>
      <c r="M8443" s="1" t="str">
        <f t="shared" si="1854"/>
        <v>X</v>
      </c>
      <c r="N8443" t="s">
        <v>27</v>
      </c>
    </row>
    <row r="8444" spans="1:14" x14ac:dyDescent="0.25">
      <c r="A8444" t="s">
        <v>43</v>
      </c>
      <c r="B8444" t="s">
        <v>15</v>
      </c>
      <c r="C8444" t="s">
        <v>37</v>
      </c>
      <c r="D8444" t="s">
        <v>28</v>
      </c>
      <c r="E8444" t="s">
        <v>23</v>
      </c>
      <c r="F8444" t="s">
        <v>18</v>
      </c>
      <c r="G8444" s="1" t="str">
        <f t="shared" si="1854"/>
        <v>X</v>
      </c>
      <c r="H8444" s="1" t="str">
        <f t="shared" si="1854"/>
        <v>X</v>
      </c>
      <c r="I8444" s="1" t="str">
        <f t="shared" si="1854"/>
        <v>X</v>
      </c>
      <c r="J8444" s="1" t="str">
        <f t="shared" si="1854"/>
        <v>X</v>
      </c>
      <c r="K8444" s="1" t="str">
        <f t="shared" si="1854"/>
        <v>X</v>
      </c>
      <c r="L8444" s="1" t="str">
        <f t="shared" si="1854"/>
        <v>X</v>
      </c>
      <c r="M8444" s="1" t="str">
        <f t="shared" si="1854"/>
        <v>X</v>
      </c>
      <c r="N8444" t="s">
        <v>27</v>
      </c>
    </row>
    <row r="8445" spans="1:14" x14ac:dyDescent="0.25">
      <c r="A8445" t="s">
        <v>43</v>
      </c>
      <c r="B8445" t="s">
        <v>15</v>
      </c>
      <c r="C8445" t="s">
        <v>37</v>
      </c>
      <c r="D8445" t="s">
        <v>28</v>
      </c>
      <c r="E8445" t="s">
        <v>23</v>
      </c>
      <c r="F8445" t="s">
        <v>19</v>
      </c>
      <c r="G8445" s="2">
        <f>VALUE(456.91)</f>
        <v>456.91</v>
      </c>
      <c r="H8445" s="3">
        <f>VALUE(420.69)</f>
        <v>420.69</v>
      </c>
      <c r="I8445" s="4">
        <f>VALUE(3801)</f>
        <v>3801</v>
      </c>
      <c r="J8445" s="5">
        <f>VALUE(3801)</f>
        <v>3801</v>
      </c>
      <c r="K8445" s="6">
        <f>VALUE(3990)</f>
        <v>3990</v>
      </c>
      <c r="L8445" s="7">
        <f>VALUE(5128)</f>
        <v>5128</v>
      </c>
      <c r="M8445" s="8">
        <f>VALUE(6551)</f>
        <v>6551</v>
      </c>
      <c r="N8445" t="s">
        <v>24</v>
      </c>
    </row>
    <row r="8446" spans="1:14" x14ac:dyDescent="0.25">
      <c r="A8446" t="s">
        <v>43</v>
      </c>
      <c r="B8446" t="s">
        <v>15</v>
      </c>
      <c r="C8446" t="s">
        <v>37</v>
      </c>
      <c r="D8446" t="s">
        <v>28</v>
      </c>
      <c r="E8446" t="s">
        <v>23</v>
      </c>
      <c r="F8446" t="s">
        <v>20</v>
      </c>
      <c r="G8446" s="2">
        <f>VALUE(2133.43)</f>
        <v>2133.4299999999998</v>
      </c>
      <c r="H8446" s="3">
        <f>VALUE(1406.8)</f>
        <v>1406.8</v>
      </c>
      <c r="I8446" s="4">
        <f>VALUE(3095)</f>
        <v>3095</v>
      </c>
      <c r="J8446" s="1">
        <f>VALUE(3546)</f>
        <v>3546</v>
      </c>
      <c r="K8446" s="1">
        <f>VALUE(4249)</f>
        <v>4249</v>
      </c>
      <c r="L8446" s="1">
        <f>VALUE(5034)</f>
        <v>5034</v>
      </c>
      <c r="M8446" s="1">
        <f>VALUE(5853)</f>
        <v>5853</v>
      </c>
      <c r="N8446" t="s">
        <v>25</v>
      </c>
    </row>
    <row r="8447" spans="1:14" x14ac:dyDescent="0.25">
      <c r="A8447" t="s">
        <v>43</v>
      </c>
      <c r="B8447" t="s">
        <v>15</v>
      </c>
      <c r="C8447" t="s">
        <v>37</v>
      </c>
      <c r="D8447" t="s">
        <v>28</v>
      </c>
      <c r="E8447" t="s">
        <v>26</v>
      </c>
      <c r="F8447" t="s">
        <v>15</v>
      </c>
      <c r="G8447" s="2">
        <f>VALUE(151.44)</f>
        <v>151.44</v>
      </c>
      <c r="H8447" s="3">
        <f>VALUE(117.52)</f>
        <v>117.52</v>
      </c>
      <c r="I8447" s="1">
        <f>VALUE(4100)</f>
        <v>4100</v>
      </c>
      <c r="J8447" s="1">
        <f>VALUE(5470)</f>
        <v>5470</v>
      </c>
      <c r="K8447" s="1">
        <f>VALUE(6507)</f>
        <v>6507</v>
      </c>
      <c r="L8447" s="7">
        <f>VALUE(9166)</f>
        <v>9166</v>
      </c>
      <c r="M8447" s="8">
        <f>VALUE(13333)</f>
        <v>13333</v>
      </c>
      <c r="N8447" t="s">
        <v>25</v>
      </c>
    </row>
    <row r="8448" spans="1:14" x14ac:dyDescent="0.25">
      <c r="A8448" t="s">
        <v>43</v>
      </c>
      <c r="B8448" t="s">
        <v>15</v>
      </c>
      <c r="C8448" t="s">
        <v>37</v>
      </c>
      <c r="D8448" t="s">
        <v>28</v>
      </c>
      <c r="E8448" t="s">
        <v>26</v>
      </c>
      <c r="F8448" t="s">
        <v>17</v>
      </c>
      <c r="G8448" s="1" t="str">
        <f t="shared" ref="G8448:M8451" si="1855">"X"</f>
        <v>X</v>
      </c>
      <c r="H8448" s="1" t="str">
        <f t="shared" si="1855"/>
        <v>X</v>
      </c>
      <c r="I8448" s="1" t="str">
        <f t="shared" si="1855"/>
        <v>X</v>
      </c>
      <c r="J8448" s="1" t="str">
        <f t="shared" si="1855"/>
        <v>X</v>
      </c>
      <c r="K8448" s="1" t="str">
        <f t="shared" si="1855"/>
        <v>X</v>
      </c>
      <c r="L8448" s="1" t="str">
        <f t="shared" si="1855"/>
        <v>X</v>
      </c>
      <c r="M8448" s="1" t="str">
        <f t="shared" si="1855"/>
        <v>X</v>
      </c>
      <c r="N8448" t="s">
        <v>27</v>
      </c>
    </row>
    <row r="8449" spans="1:14" x14ac:dyDescent="0.25">
      <c r="A8449" t="s">
        <v>43</v>
      </c>
      <c r="B8449" t="s">
        <v>15</v>
      </c>
      <c r="C8449" t="s">
        <v>37</v>
      </c>
      <c r="D8449" t="s">
        <v>28</v>
      </c>
      <c r="E8449" t="s">
        <v>26</v>
      </c>
      <c r="F8449" t="s">
        <v>18</v>
      </c>
      <c r="G8449" s="1" t="str">
        <f t="shared" si="1855"/>
        <v>X</v>
      </c>
      <c r="H8449" s="1" t="str">
        <f t="shared" si="1855"/>
        <v>X</v>
      </c>
      <c r="I8449" s="1" t="str">
        <f t="shared" si="1855"/>
        <v>X</v>
      </c>
      <c r="J8449" s="1" t="str">
        <f t="shared" si="1855"/>
        <v>X</v>
      </c>
      <c r="K8449" s="1" t="str">
        <f t="shared" si="1855"/>
        <v>X</v>
      </c>
      <c r="L8449" s="1" t="str">
        <f t="shared" si="1855"/>
        <v>X</v>
      </c>
      <c r="M8449" s="1" t="str">
        <f t="shared" si="1855"/>
        <v>X</v>
      </c>
      <c r="N8449" t="s">
        <v>27</v>
      </c>
    </row>
    <row r="8450" spans="1:14" x14ac:dyDescent="0.25">
      <c r="A8450" t="s">
        <v>43</v>
      </c>
      <c r="B8450" t="s">
        <v>15</v>
      </c>
      <c r="C8450" t="s">
        <v>37</v>
      </c>
      <c r="D8450" t="s">
        <v>28</v>
      </c>
      <c r="E8450" t="s">
        <v>26</v>
      </c>
      <c r="F8450" t="s">
        <v>19</v>
      </c>
      <c r="G8450" s="1" t="str">
        <f t="shared" si="1855"/>
        <v>X</v>
      </c>
      <c r="H8450" s="1" t="str">
        <f t="shared" si="1855"/>
        <v>X</v>
      </c>
      <c r="I8450" s="1" t="str">
        <f t="shared" si="1855"/>
        <v>X</v>
      </c>
      <c r="J8450" s="1" t="str">
        <f t="shared" si="1855"/>
        <v>X</v>
      </c>
      <c r="K8450" s="1" t="str">
        <f t="shared" si="1855"/>
        <v>X</v>
      </c>
      <c r="L8450" s="1" t="str">
        <f t="shared" si="1855"/>
        <v>X</v>
      </c>
      <c r="M8450" s="1" t="str">
        <f t="shared" si="1855"/>
        <v>X</v>
      </c>
      <c r="N8450" t="s">
        <v>27</v>
      </c>
    </row>
    <row r="8451" spans="1:14" x14ac:dyDescent="0.25">
      <c r="A8451" t="s">
        <v>43</v>
      </c>
      <c r="B8451" t="s">
        <v>15</v>
      </c>
      <c r="C8451" t="s">
        <v>37</v>
      </c>
      <c r="D8451" t="s">
        <v>28</v>
      </c>
      <c r="E8451" t="s">
        <v>26</v>
      </c>
      <c r="F8451" t="s">
        <v>20</v>
      </c>
      <c r="G8451" s="1" t="str">
        <f t="shared" si="1855"/>
        <v>X</v>
      </c>
      <c r="H8451" s="1" t="str">
        <f t="shared" si="1855"/>
        <v>X</v>
      </c>
      <c r="I8451" s="1" t="str">
        <f t="shared" si="1855"/>
        <v>X</v>
      </c>
      <c r="J8451" s="1" t="str">
        <f t="shared" si="1855"/>
        <v>X</v>
      </c>
      <c r="K8451" s="1" t="str">
        <f t="shared" si="1855"/>
        <v>X</v>
      </c>
      <c r="L8451" s="1" t="str">
        <f t="shared" si="1855"/>
        <v>X</v>
      </c>
      <c r="M8451" s="1" t="str">
        <f t="shared" si="1855"/>
        <v>X</v>
      </c>
      <c r="N8451" t="s">
        <v>27</v>
      </c>
    </row>
    <row r="8452" spans="1:14" x14ac:dyDescent="0.25">
      <c r="A8452" t="s">
        <v>43</v>
      </c>
      <c r="B8452" t="s">
        <v>15</v>
      </c>
      <c r="C8452" t="s">
        <v>37</v>
      </c>
      <c r="D8452" t="s">
        <v>29</v>
      </c>
      <c r="E8452" t="s">
        <v>15</v>
      </c>
      <c r="F8452" t="s">
        <v>15</v>
      </c>
      <c r="G8452" s="1">
        <f>VALUE(8005.28)</f>
        <v>8005.28</v>
      </c>
      <c r="H8452" s="1">
        <f>VALUE(6896.03)</f>
        <v>6896.03</v>
      </c>
      <c r="I8452" s="1">
        <f>VALUE(3703)</f>
        <v>3703</v>
      </c>
      <c r="J8452" s="1">
        <f>VALUE(4408)</f>
        <v>4408</v>
      </c>
      <c r="K8452" s="1">
        <f>VALUE(5484)</f>
        <v>5484</v>
      </c>
      <c r="L8452" s="1">
        <f>VALUE(6799)</f>
        <v>6799</v>
      </c>
      <c r="M8452" s="1">
        <f>VALUE(9095)</f>
        <v>9095</v>
      </c>
      <c r="N8452" t="s">
        <v>16</v>
      </c>
    </row>
    <row r="8453" spans="1:14" x14ac:dyDescent="0.25">
      <c r="A8453" t="s">
        <v>43</v>
      </c>
      <c r="B8453" t="s">
        <v>15</v>
      </c>
      <c r="C8453" t="s">
        <v>37</v>
      </c>
      <c r="D8453" t="s">
        <v>29</v>
      </c>
      <c r="E8453" t="s">
        <v>15</v>
      </c>
      <c r="F8453" t="s">
        <v>17</v>
      </c>
      <c r="G8453" s="2">
        <f>VALUE(970.35)</f>
        <v>970.35</v>
      </c>
      <c r="H8453" s="3">
        <f>VALUE(931.97)</f>
        <v>931.97</v>
      </c>
      <c r="I8453" s="4">
        <f>VALUE(4462)</f>
        <v>4462</v>
      </c>
      <c r="J8453" s="5">
        <f>VALUE(6746)</f>
        <v>6746</v>
      </c>
      <c r="K8453" s="6">
        <f>VALUE(8664)</f>
        <v>8664</v>
      </c>
      <c r="L8453" s="7">
        <f>VALUE(11746)</f>
        <v>11746</v>
      </c>
      <c r="M8453" s="8">
        <f>VALUE(16305)</f>
        <v>16305</v>
      </c>
      <c r="N8453" t="s">
        <v>24</v>
      </c>
    </row>
    <row r="8454" spans="1:14" x14ac:dyDescent="0.25">
      <c r="A8454" t="s">
        <v>43</v>
      </c>
      <c r="B8454" t="s">
        <v>15</v>
      </c>
      <c r="C8454" t="s">
        <v>37</v>
      </c>
      <c r="D8454" t="s">
        <v>29</v>
      </c>
      <c r="E8454" t="s">
        <v>15</v>
      </c>
      <c r="F8454" t="s">
        <v>18</v>
      </c>
      <c r="G8454" s="2">
        <f>VALUE(808.14)</f>
        <v>808.14</v>
      </c>
      <c r="H8454" s="3">
        <f>VALUE(726.15)</f>
        <v>726.15</v>
      </c>
      <c r="I8454" s="1">
        <f>VALUE(4404)</f>
        <v>4404</v>
      </c>
      <c r="J8454" s="1">
        <f>VALUE(5372)</f>
        <v>5372</v>
      </c>
      <c r="K8454" s="1">
        <f>VALUE(6431)</f>
        <v>6431</v>
      </c>
      <c r="L8454" s="1">
        <f>VALUE(8125)</f>
        <v>8125</v>
      </c>
      <c r="M8454" s="8">
        <f>VALUE(11375)</f>
        <v>11375</v>
      </c>
      <c r="N8454" t="s">
        <v>25</v>
      </c>
    </row>
    <row r="8455" spans="1:14" x14ac:dyDescent="0.25">
      <c r="A8455" t="s">
        <v>43</v>
      </c>
      <c r="B8455" t="s">
        <v>15</v>
      </c>
      <c r="C8455" t="s">
        <v>37</v>
      </c>
      <c r="D8455" t="s">
        <v>29</v>
      </c>
      <c r="E8455" t="s">
        <v>15</v>
      </c>
      <c r="F8455" t="s">
        <v>19</v>
      </c>
      <c r="G8455" s="2">
        <f>VALUE(900.87)</f>
        <v>900.87</v>
      </c>
      <c r="H8455" s="3">
        <f>VALUE(892.01)</f>
        <v>892.01</v>
      </c>
      <c r="I8455" s="1">
        <f>VALUE(4136)</f>
        <v>4136</v>
      </c>
      <c r="J8455" s="1">
        <f>VALUE(4854)</f>
        <v>4854</v>
      </c>
      <c r="K8455" s="1">
        <f>VALUE(5826)</f>
        <v>5826</v>
      </c>
      <c r="L8455" s="1">
        <f>VALUE(7110)</f>
        <v>7110</v>
      </c>
      <c r="M8455" s="8">
        <f>VALUE(8810)</f>
        <v>8810</v>
      </c>
      <c r="N8455" t="s">
        <v>25</v>
      </c>
    </row>
    <row r="8456" spans="1:14" x14ac:dyDescent="0.25">
      <c r="A8456" t="s">
        <v>43</v>
      </c>
      <c r="B8456" t="s">
        <v>15</v>
      </c>
      <c r="C8456" t="s">
        <v>37</v>
      </c>
      <c r="D8456" t="s">
        <v>29</v>
      </c>
      <c r="E8456" t="s">
        <v>15</v>
      </c>
      <c r="F8456" t="s">
        <v>20</v>
      </c>
      <c r="G8456" s="2">
        <f>VALUE(5325.92)</f>
        <v>5325.92</v>
      </c>
      <c r="H8456" s="3">
        <f>VALUE(4345.9)</f>
        <v>4345.8999999999996</v>
      </c>
      <c r="I8456" s="1">
        <f>VALUE(3579)</f>
        <v>3579</v>
      </c>
      <c r="J8456" s="1">
        <f>VALUE(4084)</f>
        <v>4084</v>
      </c>
      <c r="K8456" s="1">
        <f>VALUE(5145)</f>
        <v>5145</v>
      </c>
      <c r="L8456" s="1">
        <f>VALUE(5993)</f>
        <v>5993</v>
      </c>
      <c r="M8456" s="1">
        <f>VALUE(6876)</f>
        <v>6876</v>
      </c>
      <c r="N8456" t="s">
        <v>25</v>
      </c>
    </row>
    <row r="8457" spans="1:14" x14ac:dyDescent="0.25">
      <c r="A8457" t="s">
        <v>43</v>
      </c>
      <c r="B8457" t="s">
        <v>15</v>
      </c>
      <c r="C8457" t="s">
        <v>37</v>
      </c>
      <c r="D8457" t="s">
        <v>29</v>
      </c>
      <c r="E8457" t="s">
        <v>21</v>
      </c>
      <c r="F8457" t="s">
        <v>15</v>
      </c>
      <c r="G8457" s="2">
        <f>VALUE(1631.54)</f>
        <v>1631.54</v>
      </c>
      <c r="H8457" s="3">
        <f>VALUE(1483.74)</f>
        <v>1483.74</v>
      </c>
      <c r="I8457" s="1">
        <f>VALUE(5308)</f>
        <v>5308</v>
      </c>
      <c r="J8457" s="1">
        <f>VALUE(6363)</f>
        <v>6363</v>
      </c>
      <c r="K8457" s="1">
        <f>VALUE(7765)</f>
        <v>7765</v>
      </c>
      <c r="L8457" s="1">
        <f>VALUE(10667)</f>
        <v>10667</v>
      </c>
      <c r="M8457" s="8">
        <f>VALUE(14167)</f>
        <v>14167</v>
      </c>
      <c r="N8457" t="s">
        <v>25</v>
      </c>
    </row>
    <row r="8458" spans="1:14" x14ac:dyDescent="0.25">
      <c r="A8458" t="s">
        <v>43</v>
      </c>
      <c r="B8458" t="s">
        <v>15</v>
      </c>
      <c r="C8458" t="s">
        <v>37</v>
      </c>
      <c r="D8458" t="s">
        <v>29</v>
      </c>
      <c r="E8458" t="s">
        <v>21</v>
      </c>
      <c r="F8458" t="s">
        <v>17</v>
      </c>
      <c r="G8458" s="2">
        <f>VALUE(514.43)</f>
        <v>514.42999999999995</v>
      </c>
      <c r="H8458" s="3">
        <f>VALUE(490.7)</f>
        <v>490.7</v>
      </c>
      <c r="I8458" s="4">
        <f>VALUE(5919)</f>
        <v>5919</v>
      </c>
      <c r="J8458" s="5">
        <f>VALUE(8108)</f>
        <v>8108</v>
      </c>
      <c r="K8458" s="6">
        <f>VALUE(10667)</f>
        <v>10667</v>
      </c>
      <c r="L8458" s="7">
        <f>VALUE(13660)</f>
        <v>13660</v>
      </c>
      <c r="M8458" s="1">
        <f>VALUE(18512)</f>
        <v>18512</v>
      </c>
      <c r="N8458" t="s">
        <v>25</v>
      </c>
    </row>
    <row r="8459" spans="1:14" x14ac:dyDescent="0.25">
      <c r="A8459" t="s">
        <v>43</v>
      </c>
      <c r="B8459" t="s">
        <v>15</v>
      </c>
      <c r="C8459" t="s">
        <v>37</v>
      </c>
      <c r="D8459" t="s">
        <v>29</v>
      </c>
      <c r="E8459" t="s">
        <v>21</v>
      </c>
      <c r="F8459" t="s">
        <v>18</v>
      </c>
      <c r="G8459" s="2">
        <f>VALUE(302.91)</f>
        <v>302.91000000000003</v>
      </c>
      <c r="H8459" s="3">
        <f>VALUE(276.42)</f>
        <v>276.42</v>
      </c>
      <c r="I8459" s="4">
        <f>VALUE(5349)</f>
        <v>5349</v>
      </c>
      <c r="J8459" s="5">
        <f>VALUE(6013)</f>
        <v>6013</v>
      </c>
      <c r="K8459" s="6">
        <f>VALUE(7936)</f>
        <v>7936</v>
      </c>
      <c r="L8459" s="7">
        <f>VALUE(10125)</f>
        <v>10125</v>
      </c>
      <c r="M8459" s="8">
        <f>VALUE(13278)</f>
        <v>13278</v>
      </c>
      <c r="N8459" t="s">
        <v>24</v>
      </c>
    </row>
    <row r="8460" spans="1:14" x14ac:dyDescent="0.25">
      <c r="A8460" t="s">
        <v>43</v>
      </c>
      <c r="B8460" t="s">
        <v>15</v>
      </c>
      <c r="C8460" t="s">
        <v>37</v>
      </c>
      <c r="D8460" t="s">
        <v>29</v>
      </c>
      <c r="E8460" t="s">
        <v>21</v>
      </c>
      <c r="F8460" t="s">
        <v>19</v>
      </c>
      <c r="G8460" s="2">
        <f>VALUE(228.13)</f>
        <v>228.13</v>
      </c>
      <c r="H8460" s="3">
        <f>VALUE(226.46)</f>
        <v>226.46</v>
      </c>
      <c r="I8460" s="1">
        <f>VALUE(4720)</f>
        <v>4720</v>
      </c>
      <c r="J8460" s="1">
        <f>VALUE(5783)</f>
        <v>5783</v>
      </c>
      <c r="K8460" s="1">
        <f>VALUE(7443)</f>
        <v>7443</v>
      </c>
      <c r="L8460" s="7">
        <f>VALUE(8890)</f>
        <v>8890</v>
      </c>
      <c r="M8460" s="8">
        <f>VALUE(10566)</f>
        <v>10566</v>
      </c>
      <c r="N8460" t="s">
        <v>25</v>
      </c>
    </row>
    <row r="8461" spans="1:14" x14ac:dyDescent="0.25">
      <c r="A8461" t="s">
        <v>43</v>
      </c>
      <c r="B8461" t="s">
        <v>15</v>
      </c>
      <c r="C8461" t="s">
        <v>37</v>
      </c>
      <c r="D8461" t="s">
        <v>29</v>
      </c>
      <c r="E8461" t="s">
        <v>21</v>
      </c>
      <c r="F8461" t="s">
        <v>20</v>
      </c>
      <c r="G8461" s="2">
        <f>VALUE(586.07)</f>
        <v>586.07000000000005</v>
      </c>
      <c r="H8461" s="3">
        <f>VALUE(490.16)</f>
        <v>490.16</v>
      </c>
      <c r="I8461" s="1">
        <f>VALUE(5145)</f>
        <v>5145</v>
      </c>
      <c r="J8461" s="1">
        <f>VALUE(5958)</f>
        <v>5958</v>
      </c>
      <c r="K8461" s="1">
        <f>VALUE(6465)</f>
        <v>6465</v>
      </c>
      <c r="L8461" s="1">
        <f>VALUE(7821)</f>
        <v>7821</v>
      </c>
      <c r="M8461" s="1">
        <f>VALUE(8784)</f>
        <v>8784</v>
      </c>
      <c r="N8461" t="s">
        <v>25</v>
      </c>
    </row>
    <row r="8462" spans="1:14" x14ac:dyDescent="0.25">
      <c r="A8462" t="s">
        <v>43</v>
      </c>
      <c r="B8462" t="s">
        <v>15</v>
      </c>
      <c r="C8462" t="s">
        <v>37</v>
      </c>
      <c r="D8462" t="s">
        <v>29</v>
      </c>
      <c r="E8462" t="s">
        <v>22</v>
      </c>
      <c r="F8462" t="s">
        <v>15</v>
      </c>
      <c r="G8462" s="2">
        <f>VALUE(3190.48)</f>
        <v>3190.48</v>
      </c>
      <c r="H8462" s="3">
        <f>VALUE(2908.68)</f>
        <v>2908.68</v>
      </c>
      <c r="I8462" s="1">
        <f>VALUE(4082)</f>
        <v>4082</v>
      </c>
      <c r="J8462" s="1">
        <f>VALUE(4929)</f>
        <v>4929</v>
      </c>
      <c r="K8462" s="1">
        <f>VALUE(5575)</f>
        <v>5575</v>
      </c>
      <c r="L8462" s="1">
        <f>VALUE(6657)</f>
        <v>6657</v>
      </c>
      <c r="M8462" s="8">
        <f>VALUE(7675)</f>
        <v>7675</v>
      </c>
      <c r="N8462" t="s">
        <v>25</v>
      </c>
    </row>
    <row r="8463" spans="1:14" x14ac:dyDescent="0.25">
      <c r="A8463" t="s">
        <v>43</v>
      </c>
      <c r="B8463" t="s">
        <v>15</v>
      </c>
      <c r="C8463" t="s">
        <v>37</v>
      </c>
      <c r="D8463" t="s">
        <v>29</v>
      </c>
      <c r="E8463" t="s">
        <v>22</v>
      </c>
      <c r="F8463" t="s">
        <v>17</v>
      </c>
      <c r="G8463" s="2">
        <f>VALUE(355.01)</f>
        <v>355.01</v>
      </c>
      <c r="H8463" s="3">
        <f>VALUE(338.52)</f>
        <v>338.52</v>
      </c>
      <c r="I8463" s="4">
        <f>VALUE(6047)</f>
        <v>6047</v>
      </c>
      <c r="J8463" s="5">
        <f>VALUE(6954)</f>
        <v>6954</v>
      </c>
      <c r="K8463" s="6">
        <f>VALUE(7675)</f>
        <v>7675</v>
      </c>
      <c r="L8463" s="7">
        <f>VALUE(9750)</f>
        <v>9750</v>
      </c>
      <c r="M8463" s="8">
        <f>VALUE(10706)</f>
        <v>10706</v>
      </c>
      <c r="N8463" t="s">
        <v>24</v>
      </c>
    </row>
    <row r="8464" spans="1:14" x14ac:dyDescent="0.25">
      <c r="A8464" t="s">
        <v>43</v>
      </c>
      <c r="B8464" t="s">
        <v>15</v>
      </c>
      <c r="C8464" t="s">
        <v>37</v>
      </c>
      <c r="D8464" t="s">
        <v>29</v>
      </c>
      <c r="E8464" t="s">
        <v>22</v>
      </c>
      <c r="F8464" t="s">
        <v>18</v>
      </c>
      <c r="G8464" s="2">
        <f>VALUE(331.56)</f>
        <v>331.56</v>
      </c>
      <c r="H8464" s="3">
        <f>VALUE(305.94)</f>
        <v>305.94</v>
      </c>
      <c r="I8464" s="1">
        <f>VALUE(4375)</f>
        <v>4375</v>
      </c>
      <c r="J8464" s="5">
        <f>VALUE(4556)</f>
        <v>4556</v>
      </c>
      <c r="K8464" s="1">
        <f>VALUE(6429)</f>
        <v>6429</v>
      </c>
      <c r="L8464" s="1">
        <f>VALUE(7409)</f>
        <v>7409</v>
      </c>
      <c r="M8464" s="1">
        <f>VALUE(8644)</f>
        <v>8644</v>
      </c>
      <c r="N8464" t="s">
        <v>25</v>
      </c>
    </row>
    <row r="8465" spans="1:14" x14ac:dyDescent="0.25">
      <c r="A8465" t="s">
        <v>43</v>
      </c>
      <c r="B8465" t="s">
        <v>15</v>
      </c>
      <c r="C8465" t="s">
        <v>37</v>
      </c>
      <c r="D8465" t="s">
        <v>29</v>
      </c>
      <c r="E8465" t="s">
        <v>22</v>
      </c>
      <c r="F8465" t="s">
        <v>19</v>
      </c>
      <c r="G8465" s="2">
        <f>VALUE(450.58)</f>
        <v>450.58</v>
      </c>
      <c r="H8465" s="3">
        <f>VALUE(441.35)</f>
        <v>441.35</v>
      </c>
      <c r="I8465" s="1">
        <f>VALUE(4540)</f>
        <v>4540</v>
      </c>
      <c r="J8465" s="1">
        <f>VALUE(5108)</f>
        <v>5108</v>
      </c>
      <c r="K8465" s="6">
        <f>VALUE(6049)</f>
        <v>6049</v>
      </c>
      <c r="L8465" s="1">
        <f>VALUE(6699)</f>
        <v>6699</v>
      </c>
      <c r="M8465" s="8">
        <f>VALUE(7620)</f>
        <v>7620</v>
      </c>
      <c r="N8465" t="s">
        <v>25</v>
      </c>
    </row>
    <row r="8466" spans="1:14" x14ac:dyDescent="0.25">
      <c r="A8466" t="s">
        <v>43</v>
      </c>
      <c r="B8466" t="s">
        <v>15</v>
      </c>
      <c r="C8466" t="s">
        <v>37</v>
      </c>
      <c r="D8466" t="s">
        <v>29</v>
      </c>
      <c r="E8466" t="s">
        <v>22</v>
      </c>
      <c r="F8466" t="s">
        <v>20</v>
      </c>
      <c r="G8466" s="2">
        <f>VALUE(2053.33)</f>
        <v>2053.33</v>
      </c>
      <c r="H8466" s="3">
        <f>VALUE(1822.87)</f>
        <v>1822.87</v>
      </c>
      <c r="I8466" s="1">
        <f>VALUE(3797)</f>
        <v>3797</v>
      </c>
      <c r="J8466" s="1">
        <f>VALUE(4666)</f>
        <v>4666</v>
      </c>
      <c r="K8466" s="1">
        <f>VALUE(5370)</f>
        <v>5370</v>
      </c>
      <c r="L8466" s="1">
        <f>VALUE(6004)</f>
        <v>6004</v>
      </c>
      <c r="M8466" s="1">
        <f>VALUE(6797)</f>
        <v>6797</v>
      </c>
      <c r="N8466" t="s">
        <v>25</v>
      </c>
    </row>
    <row r="8467" spans="1:14" x14ac:dyDescent="0.25">
      <c r="A8467" t="s">
        <v>43</v>
      </c>
      <c r="B8467" t="s">
        <v>15</v>
      </c>
      <c r="C8467" t="s">
        <v>37</v>
      </c>
      <c r="D8467" t="s">
        <v>29</v>
      </c>
      <c r="E8467" t="s">
        <v>23</v>
      </c>
      <c r="F8467" t="s">
        <v>15</v>
      </c>
      <c r="G8467" s="2">
        <f>VALUE(3102.63)</f>
        <v>3102.63</v>
      </c>
      <c r="H8467" s="3">
        <f>VALUE(2441.47)</f>
        <v>2441.4699999999998</v>
      </c>
      <c r="I8467" s="1">
        <f>VALUE(3484)</f>
        <v>3484</v>
      </c>
      <c r="J8467" s="1">
        <f>VALUE(3714)</f>
        <v>3714</v>
      </c>
      <c r="K8467" s="1">
        <f>VALUE(4436)</f>
        <v>4436</v>
      </c>
      <c r="L8467" s="1">
        <f>VALUE(5422)</f>
        <v>5422</v>
      </c>
      <c r="M8467" s="1">
        <f>VALUE(6172)</f>
        <v>6172</v>
      </c>
      <c r="N8467" t="s">
        <v>25</v>
      </c>
    </row>
    <row r="8468" spans="1:14" x14ac:dyDescent="0.25">
      <c r="A8468" t="s">
        <v>43</v>
      </c>
      <c r="B8468" t="s">
        <v>15</v>
      </c>
      <c r="C8468" t="s">
        <v>37</v>
      </c>
      <c r="D8468" t="s">
        <v>29</v>
      </c>
      <c r="E8468" t="s">
        <v>23</v>
      </c>
      <c r="F8468" t="s">
        <v>17</v>
      </c>
      <c r="G8468" s="1" t="str">
        <f t="shared" ref="G8468:M8469" si="1856">"X"</f>
        <v>X</v>
      </c>
      <c r="H8468" s="1" t="str">
        <f t="shared" si="1856"/>
        <v>X</v>
      </c>
      <c r="I8468" s="1" t="str">
        <f t="shared" si="1856"/>
        <v>X</v>
      </c>
      <c r="J8468" s="1" t="str">
        <f t="shared" si="1856"/>
        <v>X</v>
      </c>
      <c r="K8468" s="1" t="str">
        <f t="shared" si="1856"/>
        <v>X</v>
      </c>
      <c r="L8468" s="1" t="str">
        <f t="shared" si="1856"/>
        <v>X</v>
      </c>
      <c r="M8468" s="1" t="str">
        <f t="shared" si="1856"/>
        <v>X</v>
      </c>
      <c r="N8468" t="s">
        <v>27</v>
      </c>
    </row>
    <row r="8469" spans="1:14" x14ac:dyDescent="0.25">
      <c r="A8469" t="s">
        <v>43</v>
      </c>
      <c r="B8469" t="s">
        <v>15</v>
      </c>
      <c r="C8469" t="s">
        <v>37</v>
      </c>
      <c r="D8469" t="s">
        <v>29</v>
      </c>
      <c r="E8469" t="s">
        <v>23</v>
      </c>
      <c r="F8469" t="s">
        <v>18</v>
      </c>
      <c r="G8469" s="1" t="str">
        <f t="shared" si="1856"/>
        <v>X</v>
      </c>
      <c r="H8469" s="1" t="str">
        <f t="shared" si="1856"/>
        <v>X</v>
      </c>
      <c r="I8469" s="1" t="str">
        <f t="shared" si="1856"/>
        <v>X</v>
      </c>
      <c r="J8469" s="1" t="str">
        <f t="shared" si="1856"/>
        <v>X</v>
      </c>
      <c r="K8469" s="1" t="str">
        <f t="shared" si="1856"/>
        <v>X</v>
      </c>
      <c r="L8469" s="1" t="str">
        <f t="shared" si="1856"/>
        <v>X</v>
      </c>
      <c r="M8469" s="1" t="str">
        <f t="shared" si="1856"/>
        <v>X</v>
      </c>
      <c r="N8469" t="s">
        <v>27</v>
      </c>
    </row>
    <row r="8470" spans="1:14" x14ac:dyDescent="0.25">
      <c r="A8470" t="s">
        <v>43</v>
      </c>
      <c r="B8470" t="s">
        <v>15</v>
      </c>
      <c r="C8470" t="s">
        <v>37</v>
      </c>
      <c r="D8470" t="s">
        <v>29</v>
      </c>
      <c r="E8470" t="s">
        <v>23</v>
      </c>
      <c r="F8470" t="s">
        <v>19</v>
      </c>
      <c r="G8470" s="2">
        <f>VALUE(222.16)</f>
        <v>222.16</v>
      </c>
      <c r="H8470" s="3">
        <f>VALUE(224.2)</f>
        <v>224.2</v>
      </c>
      <c r="I8470" s="1">
        <f>VALUE(3238)</f>
        <v>3238</v>
      </c>
      <c r="J8470" s="5">
        <f>VALUE(4064)</f>
        <v>4064</v>
      </c>
      <c r="K8470" s="1">
        <f>VALUE(4562)</f>
        <v>4562</v>
      </c>
      <c r="L8470" s="7">
        <f>VALUE(5468)</f>
        <v>5468</v>
      </c>
      <c r="M8470" s="8">
        <f>VALUE(6886)</f>
        <v>6886</v>
      </c>
      <c r="N8470" t="s">
        <v>25</v>
      </c>
    </row>
    <row r="8471" spans="1:14" x14ac:dyDescent="0.25">
      <c r="A8471" t="s">
        <v>43</v>
      </c>
      <c r="B8471" t="s">
        <v>15</v>
      </c>
      <c r="C8471" t="s">
        <v>37</v>
      </c>
      <c r="D8471" t="s">
        <v>29</v>
      </c>
      <c r="E8471" t="s">
        <v>23</v>
      </c>
      <c r="F8471" t="s">
        <v>20</v>
      </c>
      <c r="G8471" s="2">
        <f>VALUE(2628.92)</f>
        <v>2628.92</v>
      </c>
      <c r="H8471" s="3">
        <f>VALUE(1991.93)</f>
        <v>1991.93</v>
      </c>
      <c r="I8471" s="1">
        <f>VALUE(3484)</f>
        <v>3484</v>
      </c>
      <c r="J8471" s="1">
        <f>VALUE(3714)</f>
        <v>3714</v>
      </c>
      <c r="K8471" s="1">
        <f>VALUE(4406)</f>
        <v>4406</v>
      </c>
      <c r="L8471" s="1">
        <f>VALUE(5309)</f>
        <v>5309</v>
      </c>
      <c r="M8471" s="1">
        <f>VALUE(6026)</f>
        <v>6026</v>
      </c>
      <c r="N8471" t="s">
        <v>25</v>
      </c>
    </row>
    <row r="8472" spans="1:14" x14ac:dyDescent="0.25">
      <c r="A8472" t="s">
        <v>43</v>
      </c>
      <c r="B8472" t="s">
        <v>15</v>
      </c>
      <c r="C8472" t="s">
        <v>37</v>
      </c>
      <c r="D8472" t="s">
        <v>29</v>
      </c>
      <c r="E8472" t="s">
        <v>26</v>
      </c>
      <c r="F8472" t="s">
        <v>15</v>
      </c>
      <c r="G8472" s="1" t="str">
        <f t="shared" ref="G8472:M8474" si="1857">"X"</f>
        <v>X</v>
      </c>
      <c r="H8472" s="1" t="str">
        <f t="shared" si="1857"/>
        <v>X</v>
      </c>
      <c r="I8472" s="1" t="str">
        <f t="shared" si="1857"/>
        <v>X</v>
      </c>
      <c r="J8472" s="1" t="str">
        <f t="shared" si="1857"/>
        <v>X</v>
      </c>
      <c r="K8472" s="1" t="str">
        <f t="shared" si="1857"/>
        <v>X</v>
      </c>
      <c r="L8472" s="1" t="str">
        <f t="shared" si="1857"/>
        <v>X</v>
      </c>
      <c r="M8472" s="1" t="str">
        <f t="shared" si="1857"/>
        <v>X</v>
      </c>
      <c r="N8472" t="s">
        <v>27</v>
      </c>
    </row>
    <row r="8473" spans="1:14" x14ac:dyDescent="0.25">
      <c r="A8473" t="s">
        <v>43</v>
      </c>
      <c r="B8473" t="s">
        <v>15</v>
      </c>
      <c r="C8473" t="s">
        <v>37</v>
      </c>
      <c r="D8473" t="s">
        <v>29</v>
      </c>
      <c r="E8473" t="s">
        <v>26</v>
      </c>
      <c r="F8473" t="s">
        <v>17</v>
      </c>
      <c r="G8473" s="1" t="str">
        <f t="shared" si="1857"/>
        <v>X</v>
      </c>
      <c r="H8473" s="1" t="str">
        <f t="shared" si="1857"/>
        <v>X</v>
      </c>
      <c r="I8473" s="1" t="str">
        <f t="shared" si="1857"/>
        <v>X</v>
      </c>
      <c r="J8473" s="1" t="str">
        <f t="shared" si="1857"/>
        <v>X</v>
      </c>
      <c r="K8473" s="1" t="str">
        <f t="shared" si="1857"/>
        <v>X</v>
      </c>
      <c r="L8473" s="1" t="str">
        <f t="shared" si="1857"/>
        <v>X</v>
      </c>
      <c r="M8473" s="1" t="str">
        <f t="shared" si="1857"/>
        <v>X</v>
      </c>
      <c r="N8473" t="s">
        <v>27</v>
      </c>
    </row>
    <row r="8474" spans="1:14" x14ac:dyDescent="0.25">
      <c r="A8474" t="s">
        <v>43</v>
      </c>
      <c r="B8474" t="s">
        <v>15</v>
      </c>
      <c r="C8474" t="s">
        <v>37</v>
      </c>
      <c r="D8474" t="s">
        <v>29</v>
      </c>
      <c r="E8474" t="s">
        <v>26</v>
      </c>
      <c r="F8474" t="s">
        <v>18</v>
      </c>
      <c r="G8474" s="1" t="str">
        <f t="shared" si="1857"/>
        <v>X</v>
      </c>
      <c r="H8474" s="1" t="str">
        <f t="shared" si="1857"/>
        <v>X</v>
      </c>
      <c r="I8474" s="1" t="str">
        <f t="shared" si="1857"/>
        <v>X</v>
      </c>
      <c r="J8474" s="1" t="str">
        <f t="shared" si="1857"/>
        <v>X</v>
      </c>
      <c r="K8474" s="1" t="str">
        <f t="shared" si="1857"/>
        <v>X</v>
      </c>
      <c r="L8474" s="1" t="str">
        <f t="shared" si="1857"/>
        <v>X</v>
      </c>
      <c r="M8474" s="1" t="str">
        <f t="shared" si="1857"/>
        <v>X</v>
      </c>
      <c r="N8474" t="s">
        <v>27</v>
      </c>
    </row>
    <row r="8475" spans="1:14" x14ac:dyDescent="0.25">
      <c r="A8475" t="s">
        <v>43</v>
      </c>
      <c r="B8475" t="s">
        <v>15</v>
      </c>
      <c r="C8475" t="s">
        <v>37</v>
      </c>
      <c r="D8475" t="s">
        <v>29</v>
      </c>
      <c r="E8475" t="s">
        <v>26</v>
      </c>
      <c r="F8475" t="s">
        <v>19</v>
      </c>
      <c r="G8475" s="1" t="str">
        <f t="shared" ref="G8475:M8475" si="1858">"..."</f>
        <v>...</v>
      </c>
      <c r="H8475" s="1" t="str">
        <f t="shared" si="1858"/>
        <v>...</v>
      </c>
      <c r="I8475" s="1" t="str">
        <f t="shared" si="1858"/>
        <v>...</v>
      </c>
      <c r="J8475" s="1" t="str">
        <f t="shared" si="1858"/>
        <v>...</v>
      </c>
      <c r="K8475" s="1" t="str">
        <f t="shared" si="1858"/>
        <v>...</v>
      </c>
      <c r="L8475" s="1" t="str">
        <f t="shared" si="1858"/>
        <v>...</v>
      </c>
      <c r="M8475" s="1" t="str">
        <f t="shared" si="1858"/>
        <v>...</v>
      </c>
      <c r="N8475" t="s">
        <v>30</v>
      </c>
    </row>
    <row r="8476" spans="1:14" x14ac:dyDescent="0.25">
      <c r="A8476" t="s">
        <v>43</v>
      </c>
      <c r="B8476" t="s">
        <v>15</v>
      </c>
      <c r="C8476" t="s">
        <v>37</v>
      </c>
      <c r="D8476" t="s">
        <v>29</v>
      </c>
      <c r="E8476" t="s">
        <v>26</v>
      </c>
      <c r="F8476" t="s">
        <v>20</v>
      </c>
      <c r="G8476" s="1" t="str">
        <f t="shared" ref="G8476:M8476" si="1859">"X"</f>
        <v>X</v>
      </c>
      <c r="H8476" s="1" t="str">
        <f t="shared" si="1859"/>
        <v>X</v>
      </c>
      <c r="I8476" s="1" t="str">
        <f t="shared" si="1859"/>
        <v>X</v>
      </c>
      <c r="J8476" s="1" t="str">
        <f t="shared" si="1859"/>
        <v>X</v>
      </c>
      <c r="K8476" s="1" t="str">
        <f t="shared" si="1859"/>
        <v>X</v>
      </c>
      <c r="L8476" s="1" t="str">
        <f t="shared" si="1859"/>
        <v>X</v>
      </c>
      <c r="M8476" s="1" t="str">
        <f t="shared" si="1859"/>
        <v>X</v>
      </c>
      <c r="N8476" t="s">
        <v>27</v>
      </c>
    </row>
    <row r="8477" spans="1:14" x14ac:dyDescent="0.25">
      <c r="A8477" t="s">
        <v>43</v>
      </c>
      <c r="B8477" t="s">
        <v>15</v>
      </c>
      <c r="C8477" t="s">
        <v>37</v>
      </c>
      <c r="D8477" t="s">
        <v>31</v>
      </c>
      <c r="E8477" t="s">
        <v>15</v>
      </c>
      <c r="F8477" t="s">
        <v>15</v>
      </c>
      <c r="G8477" s="2">
        <f>VALUE(4249.25)</f>
        <v>4249.25</v>
      </c>
      <c r="H8477" s="3">
        <f>VALUE(3389.96)</f>
        <v>3389.96</v>
      </c>
      <c r="I8477" s="1">
        <f>VALUE(3508)</f>
        <v>3508</v>
      </c>
      <c r="J8477" s="1">
        <f>VALUE(3933)</f>
        <v>3933</v>
      </c>
      <c r="K8477" s="1">
        <f>VALUE(5239)</f>
        <v>5239</v>
      </c>
      <c r="L8477" s="1">
        <f>VALUE(6752)</f>
        <v>6752</v>
      </c>
      <c r="M8477" s="8">
        <f>VALUE(9676)</f>
        <v>9676</v>
      </c>
      <c r="N8477" t="s">
        <v>25</v>
      </c>
    </row>
    <row r="8478" spans="1:14" x14ac:dyDescent="0.25">
      <c r="A8478" t="s">
        <v>43</v>
      </c>
      <c r="B8478" t="s">
        <v>15</v>
      </c>
      <c r="C8478" t="s">
        <v>37</v>
      </c>
      <c r="D8478" t="s">
        <v>31</v>
      </c>
      <c r="E8478" t="s">
        <v>15</v>
      </c>
      <c r="F8478" t="s">
        <v>17</v>
      </c>
      <c r="G8478" s="2">
        <f>VALUE(386.8)</f>
        <v>386.8</v>
      </c>
      <c r="H8478" s="3">
        <f>VALUE(387.7)</f>
        <v>387.7</v>
      </c>
      <c r="I8478" s="1">
        <f>VALUE(3611)</f>
        <v>3611</v>
      </c>
      <c r="J8478" s="1">
        <f>VALUE(5839)</f>
        <v>5839</v>
      </c>
      <c r="K8478" s="1">
        <f>VALUE(8259)</f>
        <v>8259</v>
      </c>
      <c r="L8478" s="7">
        <f>VALUE(13236)</f>
        <v>13236</v>
      </c>
      <c r="M8478" s="8">
        <f>VALUE(20075)</f>
        <v>20075</v>
      </c>
      <c r="N8478" t="s">
        <v>25</v>
      </c>
    </row>
    <row r="8479" spans="1:14" x14ac:dyDescent="0.25">
      <c r="A8479" t="s">
        <v>43</v>
      </c>
      <c r="B8479" t="s">
        <v>15</v>
      </c>
      <c r="C8479" t="s">
        <v>37</v>
      </c>
      <c r="D8479" t="s">
        <v>31</v>
      </c>
      <c r="E8479" t="s">
        <v>15</v>
      </c>
      <c r="F8479" t="s">
        <v>18</v>
      </c>
      <c r="G8479" s="2">
        <f>VALUE(328.66)</f>
        <v>328.66</v>
      </c>
      <c r="H8479" s="3">
        <f>VALUE(326.94)</f>
        <v>326.94</v>
      </c>
      <c r="I8479" s="1">
        <f>VALUE(4550)</f>
        <v>4550</v>
      </c>
      <c r="J8479" s="5">
        <f>VALUE(5469)</f>
        <v>5469</v>
      </c>
      <c r="K8479" s="1">
        <f>VALUE(7571)</f>
        <v>7571</v>
      </c>
      <c r="L8479" s="1">
        <f>VALUE(10693)</f>
        <v>10693</v>
      </c>
      <c r="M8479" s="8">
        <f>VALUE(12685)</f>
        <v>12685</v>
      </c>
      <c r="N8479" t="s">
        <v>25</v>
      </c>
    </row>
    <row r="8480" spans="1:14" x14ac:dyDescent="0.25">
      <c r="A8480" t="s">
        <v>43</v>
      </c>
      <c r="B8480" t="s">
        <v>15</v>
      </c>
      <c r="C8480" t="s">
        <v>37</v>
      </c>
      <c r="D8480" t="s">
        <v>31</v>
      </c>
      <c r="E8480" t="s">
        <v>15</v>
      </c>
      <c r="F8480" t="s">
        <v>19</v>
      </c>
      <c r="G8480" s="2">
        <f>VALUE(343.75)</f>
        <v>343.75</v>
      </c>
      <c r="H8480" s="3">
        <f>VALUE(325.1)</f>
        <v>325.10000000000002</v>
      </c>
      <c r="I8480" s="1">
        <f>VALUE(4225)</f>
        <v>4225</v>
      </c>
      <c r="J8480" s="1">
        <f>VALUE(4972)</f>
        <v>4972</v>
      </c>
      <c r="K8480" s="6">
        <f>VALUE(6376)</f>
        <v>6376</v>
      </c>
      <c r="L8480" s="1">
        <f>VALUE(7681)</f>
        <v>7681</v>
      </c>
      <c r="M8480" s="8">
        <f>VALUE(10791)</f>
        <v>10791</v>
      </c>
      <c r="N8480" t="s">
        <v>25</v>
      </c>
    </row>
    <row r="8481" spans="1:14" x14ac:dyDescent="0.25">
      <c r="A8481" t="s">
        <v>43</v>
      </c>
      <c r="B8481" t="s">
        <v>15</v>
      </c>
      <c r="C8481" t="s">
        <v>37</v>
      </c>
      <c r="D8481" t="s">
        <v>31</v>
      </c>
      <c r="E8481" t="s">
        <v>15</v>
      </c>
      <c r="F8481" t="s">
        <v>20</v>
      </c>
      <c r="G8481" s="2">
        <f>VALUE(3190.04)</f>
        <v>3190.04</v>
      </c>
      <c r="H8481" s="3">
        <f>VALUE(2350.22)</f>
        <v>2350.2199999999998</v>
      </c>
      <c r="I8481" s="1">
        <f>VALUE(3463)</f>
        <v>3463</v>
      </c>
      <c r="J8481" s="1">
        <f>VALUE(3738)</f>
        <v>3738</v>
      </c>
      <c r="K8481" s="1">
        <f>VALUE(4640)</f>
        <v>4640</v>
      </c>
      <c r="L8481" s="7">
        <f>VALUE(5701)</f>
        <v>5701</v>
      </c>
      <c r="M8481" s="1">
        <f>VALUE(6823)</f>
        <v>6823</v>
      </c>
      <c r="N8481" t="s">
        <v>25</v>
      </c>
    </row>
    <row r="8482" spans="1:14" x14ac:dyDescent="0.25">
      <c r="A8482" t="s">
        <v>43</v>
      </c>
      <c r="B8482" t="s">
        <v>15</v>
      </c>
      <c r="C8482" t="s">
        <v>37</v>
      </c>
      <c r="D8482" t="s">
        <v>31</v>
      </c>
      <c r="E8482" t="s">
        <v>21</v>
      </c>
      <c r="F8482" t="s">
        <v>15</v>
      </c>
      <c r="G8482" s="2">
        <f>VALUE(941.9)</f>
        <v>941.9</v>
      </c>
      <c r="H8482" s="3">
        <f>VALUE(871.51)</f>
        <v>871.51</v>
      </c>
      <c r="I8482" s="1">
        <f>VALUE(5038)</f>
        <v>5038</v>
      </c>
      <c r="J8482" s="1">
        <f>VALUE(6221)</f>
        <v>6221</v>
      </c>
      <c r="K8482" s="1">
        <f>VALUE(7571)</f>
        <v>7571</v>
      </c>
      <c r="L8482" s="1">
        <f>VALUE(10827)</f>
        <v>10827</v>
      </c>
      <c r="M8482" s="1">
        <f>VALUE(15511)</f>
        <v>15511</v>
      </c>
      <c r="N8482" t="s">
        <v>25</v>
      </c>
    </row>
    <row r="8483" spans="1:14" x14ac:dyDescent="0.25">
      <c r="A8483" t="s">
        <v>43</v>
      </c>
      <c r="B8483" t="s">
        <v>15</v>
      </c>
      <c r="C8483" t="s">
        <v>37</v>
      </c>
      <c r="D8483" t="s">
        <v>31</v>
      </c>
      <c r="E8483" t="s">
        <v>21</v>
      </c>
      <c r="F8483" t="s">
        <v>17</v>
      </c>
      <c r="G8483" s="2">
        <f>VALUE(258.16)</f>
        <v>258.16000000000003</v>
      </c>
      <c r="H8483" s="3">
        <f>VALUE(256.51)</f>
        <v>256.51</v>
      </c>
      <c r="I8483" s="1">
        <f>VALUE(5835)</f>
        <v>5835</v>
      </c>
      <c r="J8483" s="1">
        <f>VALUE(7490)</f>
        <v>7490</v>
      </c>
      <c r="K8483" s="6">
        <f>VALUE(10160)</f>
        <v>10160</v>
      </c>
      <c r="L8483" s="7">
        <f>VALUE(15041)</f>
        <v>15041</v>
      </c>
      <c r="M8483" s="8">
        <f>VALUE(20392)</f>
        <v>20392</v>
      </c>
      <c r="N8483" t="s">
        <v>25</v>
      </c>
    </row>
    <row r="8484" spans="1:14" x14ac:dyDescent="0.25">
      <c r="A8484" t="s">
        <v>43</v>
      </c>
      <c r="B8484" t="s">
        <v>15</v>
      </c>
      <c r="C8484" t="s">
        <v>37</v>
      </c>
      <c r="D8484" t="s">
        <v>31</v>
      </c>
      <c r="E8484" t="s">
        <v>21</v>
      </c>
      <c r="F8484" t="s">
        <v>18</v>
      </c>
      <c r="G8484" s="2">
        <f>VALUE(192.95)</f>
        <v>192.95</v>
      </c>
      <c r="H8484" s="3">
        <f>VALUE(191.92)</f>
        <v>191.92</v>
      </c>
      <c r="I8484" s="1">
        <f>VALUE(6221)</f>
        <v>6221</v>
      </c>
      <c r="J8484" s="1">
        <f>VALUE(7411)</f>
        <v>7411</v>
      </c>
      <c r="K8484" s="6">
        <f>VALUE(8662)</f>
        <v>8662</v>
      </c>
      <c r="L8484" s="1">
        <f>VALUE(10992)</f>
        <v>10992</v>
      </c>
      <c r="M8484" s="8">
        <f>VALUE(16361)</f>
        <v>16361</v>
      </c>
      <c r="N8484" t="s">
        <v>25</v>
      </c>
    </row>
    <row r="8485" spans="1:14" x14ac:dyDescent="0.25">
      <c r="A8485" t="s">
        <v>43</v>
      </c>
      <c r="B8485" t="s">
        <v>15</v>
      </c>
      <c r="C8485" t="s">
        <v>37</v>
      </c>
      <c r="D8485" t="s">
        <v>31</v>
      </c>
      <c r="E8485" t="s">
        <v>21</v>
      </c>
      <c r="F8485" t="s">
        <v>19</v>
      </c>
      <c r="G8485" s="1" t="str">
        <f t="shared" ref="G8485:M8485" si="1860">"X"</f>
        <v>X</v>
      </c>
      <c r="H8485" s="1" t="str">
        <f t="shared" si="1860"/>
        <v>X</v>
      </c>
      <c r="I8485" s="1" t="str">
        <f t="shared" si="1860"/>
        <v>X</v>
      </c>
      <c r="J8485" s="1" t="str">
        <f t="shared" si="1860"/>
        <v>X</v>
      </c>
      <c r="K8485" s="1" t="str">
        <f t="shared" si="1860"/>
        <v>X</v>
      </c>
      <c r="L8485" s="1" t="str">
        <f t="shared" si="1860"/>
        <v>X</v>
      </c>
      <c r="M8485" s="1" t="str">
        <f t="shared" si="1860"/>
        <v>X</v>
      </c>
      <c r="N8485" t="s">
        <v>27</v>
      </c>
    </row>
    <row r="8486" spans="1:14" x14ac:dyDescent="0.25">
      <c r="A8486" t="s">
        <v>43</v>
      </c>
      <c r="B8486" t="s">
        <v>15</v>
      </c>
      <c r="C8486" t="s">
        <v>37</v>
      </c>
      <c r="D8486" t="s">
        <v>31</v>
      </c>
      <c r="E8486" t="s">
        <v>21</v>
      </c>
      <c r="F8486" t="s">
        <v>20</v>
      </c>
      <c r="G8486" s="2">
        <f>VALUE(357.45)</f>
        <v>357.45</v>
      </c>
      <c r="H8486" s="3">
        <f>VALUE(298.11)</f>
        <v>298.11</v>
      </c>
      <c r="I8486" s="1">
        <f>VALUE(3987)</f>
        <v>3987</v>
      </c>
      <c r="J8486" s="1">
        <f>VALUE(5172)</f>
        <v>5172</v>
      </c>
      <c r="K8486" s="1">
        <f>VALUE(6226)</f>
        <v>6226</v>
      </c>
      <c r="L8486" s="1">
        <f>VALUE(7922)</f>
        <v>7922</v>
      </c>
      <c r="M8486" s="1">
        <f>VALUE(8967)</f>
        <v>8967</v>
      </c>
      <c r="N8486" t="s">
        <v>25</v>
      </c>
    </row>
    <row r="8487" spans="1:14" x14ac:dyDescent="0.25">
      <c r="A8487" t="s">
        <v>43</v>
      </c>
      <c r="B8487" t="s">
        <v>15</v>
      </c>
      <c r="C8487" t="s">
        <v>37</v>
      </c>
      <c r="D8487" t="s">
        <v>31</v>
      </c>
      <c r="E8487" t="s">
        <v>22</v>
      </c>
      <c r="F8487" t="s">
        <v>15</v>
      </c>
      <c r="G8487" s="2">
        <f>VALUE(1133.01)</f>
        <v>1133.01</v>
      </c>
      <c r="H8487" s="3">
        <f>VALUE(1055.87)</f>
        <v>1055.8699999999999</v>
      </c>
      <c r="I8487" s="1">
        <f>VALUE(3702)</f>
        <v>3702</v>
      </c>
      <c r="J8487" s="1">
        <f>VALUE(4282)</f>
        <v>4282</v>
      </c>
      <c r="K8487" s="1">
        <f>VALUE(5417)</f>
        <v>5417</v>
      </c>
      <c r="L8487" s="1">
        <f>VALUE(6523)</f>
        <v>6523</v>
      </c>
      <c r="M8487" s="1">
        <f>VALUE(7780)</f>
        <v>7780</v>
      </c>
      <c r="N8487" t="s">
        <v>25</v>
      </c>
    </row>
    <row r="8488" spans="1:14" x14ac:dyDescent="0.25">
      <c r="A8488" t="s">
        <v>43</v>
      </c>
      <c r="B8488" t="s">
        <v>15</v>
      </c>
      <c r="C8488" t="s">
        <v>37</v>
      </c>
      <c r="D8488" t="s">
        <v>31</v>
      </c>
      <c r="E8488" t="s">
        <v>22</v>
      </c>
      <c r="F8488" t="s">
        <v>17</v>
      </c>
      <c r="G8488" s="1" t="str">
        <f t="shared" ref="G8488:M8489" si="1861">"X"</f>
        <v>X</v>
      </c>
      <c r="H8488" s="1" t="str">
        <f t="shared" si="1861"/>
        <v>X</v>
      </c>
      <c r="I8488" s="1" t="str">
        <f t="shared" si="1861"/>
        <v>X</v>
      </c>
      <c r="J8488" s="1" t="str">
        <f t="shared" si="1861"/>
        <v>X</v>
      </c>
      <c r="K8488" s="1" t="str">
        <f t="shared" si="1861"/>
        <v>X</v>
      </c>
      <c r="L8488" s="1" t="str">
        <f t="shared" si="1861"/>
        <v>X</v>
      </c>
      <c r="M8488" s="1" t="str">
        <f t="shared" si="1861"/>
        <v>X</v>
      </c>
      <c r="N8488" t="s">
        <v>27</v>
      </c>
    </row>
    <row r="8489" spans="1:14" x14ac:dyDescent="0.25">
      <c r="A8489" t="s">
        <v>43</v>
      </c>
      <c r="B8489" t="s">
        <v>15</v>
      </c>
      <c r="C8489" t="s">
        <v>37</v>
      </c>
      <c r="D8489" t="s">
        <v>31</v>
      </c>
      <c r="E8489" t="s">
        <v>22</v>
      </c>
      <c r="F8489" t="s">
        <v>18</v>
      </c>
      <c r="G8489" s="1" t="str">
        <f t="shared" si="1861"/>
        <v>X</v>
      </c>
      <c r="H8489" s="1" t="str">
        <f t="shared" si="1861"/>
        <v>X</v>
      </c>
      <c r="I8489" s="1" t="str">
        <f t="shared" si="1861"/>
        <v>X</v>
      </c>
      <c r="J8489" s="1" t="str">
        <f t="shared" si="1861"/>
        <v>X</v>
      </c>
      <c r="K8489" s="1" t="str">
        <f t="shared" si="1861"/>
        <v>X</v>
      </c>
      <c r="L8489" s="1" t="str">
        <f t="shared" si="1861"/>
        <v>X</v>
      </c>
      <c r="M8489" s="1" t="str">
        <f t="shared" si="1861"/>
        <v>X</v>
      </c>
      <c r="N8489" t="s">
        <v>27</v>
      </c>
    </row>
    <row r="8490" spans="1:14" x14ac:dyDescent="0.25">
      <c r="A8490" t="s">
        <v>43</v>
      </c>
      <c r="B8490" t="s">
        <v>15</v>
      </c>
      <c r="C8490" t="s">
        <v>37</v>
      </c>
      <c r="D8490" t="s">
        <v>31</v>
      </c>
      <c r="E8490" t="s">
        <v>22</v>
      </c>
      <c r="F8490" t="s">
        <v>19</v>
      </c>
      <c r="G8490" s="2">
        <f>VALUE(162.2)</f>
        <v>162.19999999999999</v>
      </c>
      <c r="H8490" s="3">
        <f>VALUE(152.47)</f>
        <v>152.47</v>
      </c>
      <c r="I8490" s="1">
        <f>VALUE(4225)</f>
        <v>4225</v>
      </c>
      <c r="J8490" s="5">
        <f>VALUE(4850)</f>
        <v>4850</v>
      </c>
      <c r="K8490" s="1">
        <f>VALUE(5595)</f>
        <v>5595</v>
      </c>
      <c r="L8490" s="1">
        <f>VALUE(6920)</f>
        <v>6920</v>
      </c>
      <c r="M8490" s="1">
        <f>VALUE(7852)</f>
        <v>7852</v>
      </c>
      <c r="N8490" t="s">
        <v>25</v>
      </c>
    </row>
    <row r="8491" spans="1:14" x14ac:dyDescent="0.25">
      <c r="A8491" t="s">
        <v>43</v>
      </c>
      <c r="B8491" t="s">
        <v>15</v>
      </c>
      <c r="C8491" t="s">
        <v>37</v>
      </c>
      <c r="D8491" t="s">
        <v>31</v>
      </c>
      <c r="E8491" t="s">
        <v>22</v>
      </c>
      <c r="F8491" t="s">
        <v>20</v>
      </c>
      <c r="G8491" s="2">
        <f>VALUE(816.67)</f>
        <v>816.67</v>
      </c>
      <c r="H8491" s="3">
        <f>VALUE(749.52)</f>
        <v>749.52</v>
      </c>
      <c r="I8491" s="1">
        <f>VALUE(3508)</f>
        <v>3508</v>
      </c>
      <c r="J8491" s="5">
        <f>VALUE(3921)</f>
        <v>3921</v>
      </c>
      <c r="K8491" s="1">
        <f>VALUE(5133)</f>
        <v>5133</v>
      </c>
      <c r="L8491" s="1">
        <f>VALUE(6391)</f>
        <v>6391</v>
      </c>
      <c r="M8491" s="1">
        <f>VALUE(6792)</f>
        <v>6792</v>
      </c>
      <c r="N8491" t="s">
        <v>25</v>
      </c>
    </row>
    <row r="8492" spans="1:14" x14ac:dyDescent="0.25">
      <c r="A8492" t="s">
        <v>43</v>
      </c>
      <c r="B8492" t="s">
        <v>15</v>
      </c>
      <c r="C8492" t="s">
        <v>37</v>
      </c>
      <c r="D8492" t="s">
        <v>31</v>
      </c>
      <c r="E8492" t="s">
        <v>23</v>
      </c>
      <c r="F8492" t="s">
        <v>15</v>
      </c>
      <c r="G8492" s="2">
        <f>VALUE(2104.43)</f>
        <v>2104.4299999999998</v>
      </c>
      <c r="H8492" s="3">
        <f>VALUE(1419.65)</f>
        <v>1419.65</v>
      </c>
      <c r="I8492" s="1">
        <f>VALUE(3402)</f>
        <v>3402</v>
      </c>
      <c r="J8492" s="1">
        <f>VALUE(3611)</f>
        <v>3611</v>
      </c>
      <c r="K8492" s="1">
        <f>VALUE(4245)</f>
        <v>4245</v>
      </c>
      <c r="L8492" s="1">
        <f>VALUE(5137)</f>
        <v>5137</v>
      </c>
      <c r="M8492" s="1">
        <f>VALUE(5801)</f>
        <v>5801</v>
      </c>
      <c r="N8492" t="s">
        <v>25</v>
      </c>
    </row>
    <row r="8493" spans="1:14" x14ac:dyDescent="0.25">
      <c r="A8493" t="s">
        <v>43</v>
      </c>
      <c r="B8493" t="s">
        <v>15</v>
      </c>
      <c r="C8493" t="s">
        <v>37</v>
      </c>
      <c r="D8493" t="s">
        <v>31</v>
      </c>
      <c r="E8493" t="s">
        <v>23</v>
      </c>
      <c r="F8493" t="s">
        <v>17</v>
      </c>
      <c r="G8493" s="1" t="str">
        <f t="shared" ref="G8493:M8495" si="1862">"X"</f>
        <v>X</v>
      </c>
      <c r="H8493" s="1" t="str">
        <f t="shared" si="1862"/>
        <v>X</v>
      </c>
      <c r="I8493" s="1" t="str">
        <f t="shared" si="1862"/>
        <v>X</v>
      </c>
      <c r="J8493" s="1" t="str">
        <f t="shared" si="1862"/>
        <v>X</v>
      </c>
      <c r="K8493" s="1" t="str">
        <f t="shared" si="1862"/>
        <v>X</v>
      </c>
      <c r="L8493" s="1" t="str">
        <f t="shared" si="1862"/>
        <v>X</v>
      </c>
      <c r="M8493" s="1" t="str">
        <f t="shared" si="1862"/>
        <v>X</v>
      </c>
      <c r="N8493" t="s">
        <v>27</v>
      </c>
    </row>
    <row r="8494" spans="1:14" x14ac:dyDescent="0.25">
      <c r="A8494" t="s">
        <v>43</v>
      </c>
      <c r="B8494" t="s">
        <v>15</v>
      </c>
      <c r="C8494" t="s">
        <v>37</v>
      </c>
      <c r="D8494" t="s">
        <v>31</v>
      </c>
      <c r="E8494" t="s">
        <v>23</v>
      </c>
      <c r="F8494" t="s">
        <v>18</v>
      </c>
      <c r="G8494" s="1" t="str">
        <f t="shared" si="1862"/>
        <v>X</v>
      </c>
      <c r="H8494" s="1" t="str">
        <f t="shared" si="1862"/>
        <v>X</v>
      </c>
      <c r="I8494" s="1" t="str">
        <f t="shared" si="1862"/>
        <v>X</v>
      </c>
      <c r="J8494" s="1" t="str">
        <f t="shared" si="1862"/>
        <v>X</v>
      </c>
      <c r="K8494" s="1" t="str">
        <f t="shared" si="1862"/>
        <v>X</v>
      </c>
      <c r="L8494" s="1" t="str">
        <f t="shared" si="1862"/>
        <v>X</v>
      </c>
      <c r="M8494" s="1" t="str">
        <f t="shared" si="1862"/>
        <v>X</v>
      </c>
      <c r="N8494" t="s">
        <v>27</v>
      </c>
    </row>
    <row r="8495" spans="1:14" x14ac:dyDescent="0.25">
      <c r="A8495" t="s">
        <v>43</v>
      </c>
      <c r="B8495" t="s">
        <v>15</v>
      </c>
      <c r="C8495" t="s">
        <v>37</v>
      </c>
      <c r="D8495" t="s">
        <v>31</v>
      </c>
      <c r="E8495" t="s">
        <v>23</v>
      </c>
      <c r="F8495" t="s">
        <v>19</v>
      </c>
      <c r="G8495" s="1" t="str">
        <f t="shared" si="1862"/>
        <v>X</v>
      </c>
      <c r="H8495" s="1" t="str">
        <f t="shared" si="1862"/>
        <v>X</v>
      </c>
      <c r="I8495" s="1" t="str">
        <f t="shared" si="1862"/>
        <v>X</v>
      </c>
      <c r="J8495" s="1" t="str">
        <f t="shared" si="1862"/>
        <v>X</v>
      </c>
      <c r="K8495" s="1" t="str">
        <f t="shared" si="1862"/>
        <v>X</v>
      </c>
      <c r="L8495" s="1" t="str">
        <f t="shared" si="1862"/>
        <v>X</v>
      </c>
      <c r="M8495" s="1" t="str">
        <f t="shared" si="1862"/>
        <v>X</v>
      </c>
      <c r="N8495" t="s">
        <v>27</v>
      </c>
    </row>
    <row r="8496" spans="1:14" x14ac:dyDescent="0.25">
      <c r="A8496" t="s">
        <v>43</v>
      </c>
      <c r="B8496" t="s">
        <v>15</v>
      </c>
      <c r="C8496" t="s">
        <v>37</v>
      </c>
      <c r="D8496" t="s">
        <v>31</v>
      </c>
      <c r="E8496" t="s">
        <v>23</v>
      </c>
      <c r="F8496" t="s">
        <v>20</v>
      </c>
      <c r="G8496" s="2">
        <f>VALUE(1967.32)</f>
        <v>1967.32</v>
      </c>
      <c r="H8496" s="3">
        <f>VALUE(1281.57)</f>
        <v>1281.57</v>
      </c>
      <c r="I8496" s="1">
        <f>VALUE(3377)</f>
        <v>3377</v>
      </c>
      <c r="J8496" s="1">
        <f>VALUE(3676)</f>
        <v>3676</v>
      </c>
      <c r="K8496" s="1">
        <f>VALUE(4245)</f>
        <v>4245</v>
      </c>
      <c r="L8496" s="1">
        <f>VALUE(5183)</f>
        <v>5183</v>
      </c>
      <c r="M8496" s="1">
        <f>VALUE(5747)</f>
        <v>5747</v>
      </c>
      <c r="N8496" t="s">
        <v>25</v>
      </c>
    </row>
    <row r="8497" spans="1:14" x14ac:dyDescent="0.25">
      <c r="A8497" t="s">
        <v>43</v>
      </c>
      <c r="B8497" t="s">
        <v>15</v>
      </c>
      <c r="C8497" t="s">
        <v>37</v>
      </c>
      <c r="D8497" t="s">
        <v>31</v>
      </c>
      <c r="E8497" t="s">
        <v>26</v>
      </c>
      <c r="F8497" t="s">
        <v>15</v>
      </c>
      <c r="G8497" s="1" t="str">
        <f t="shared" ref="G8497:M8501" si="1863">"X"</f>
        <v>X</v>
      </c>
      <c r="H8497" s="1" t="str">
        <f t="shared" si="1863"/>
        <v>X</v>
      </c>
      <c r="I8497" s="1" t="str">
        <f t="shared" si="1863"/>
        <v>X</v>
      </c>
      <c r="J8497" s="1" t="str">
        <f t="shared" si="1863"/>
        <v>X</v>
      </c>
      <c r="K8497" s="1" t="str">
        <f t="shared" si="1863"/>
        <v>X</v>
      </c>
      <c r="L8497" s="1" t="str">
        <f t="shared" si="1863"/>
        <v>X</v>
      </c>
      <c r="M8497" s="1" t="str">
        <f t="shared" si="1863"/>
        <v>X</v>
      </c>
      <c r="N8497" t="s">
        <v>27</v>
      </c>
    </row>
    <row r="8498" spans="1:14" x14ac:dyDescent="0.25">
      <c r="A8498" t="s">
        <v>43</v>
      </c>
      <c r="B8498" t="s">
        <v>15</v>
      </c>
      <c r="C8498" t="s">
        <v>37</v>
      </c>
      <c r="D8498" t="s">
        <v>31</v>
      </c>
      <c r="E8498" t="s">
        <v>26</v>
      </c>
      <c r="F8498" t="s">
        <v>17</v>
      </c>
      <c r="G8498" s="1" t="str">
        <f t="shared" si="1863"/>
        <v>X</v>
      </c>
      <c r="H8498" s="1" t="str">
        <f t="shared" si="1863"/>
        <v>X</v>
      </c>
      <c r="I8498" s="1" t="str">
        <f t="shared" si="1863"/>
        <v>X</v>
      </c>
      <c r="J8498" s="1" t="str">
        <f t="shared" si="1863"/>
        <v>X</v>
      </c>
      <c r="K8498" s="1" t="str">
        <f t="shared" si="1863"/>
        <v>X</v>
      </c>
      <c r="L8498" s="1" t="str">
        <f t="shared" si="1863"/>
        <v>X</v>
      </c>
      <c r="M8498" s="1" t="str">
        <f t="shared" si="1863"/>
        <v>X</v>
      </c>
      <c r="N8498" t="s">
        <v>27</v>
      </c>
    </row>
    <row r="8499" spans="1:14" x14ac:dyDescent="0.25">
      <c r="A8499" t="s">
        <v>43</v>
      </c>
      <c r="B8499" t="s">
        <v>15</v>
      </c>
      <c r="C8499" t="s">
        <v>37</v>
      </c>
      <c r="D8499" t="s">
        <v>31</v>
      </c>
      <c r="E8499" t="s">
        <v>26</v>
      </c>
      <c r="F8499" t="s">
        <v>18</v>
      </c>
      <c r="G8499" s="1" t="str">
        <f t="shared" si="1863"/>
        <v>X</v>
      </c>
      <c r="H8499" s="1" t="str">
        <f t="shared" si="1863"/>
        <v>X</v>
      </c>
      <c r="I8499" s="1" t="str">
        <f t="shared" si="1863"/>
        <v>X</v>
      </c>
      <c r="J8499" s="1" t="str">
        <f t="shared" si="1863"/>
        <v>X</v>
      </c>
      <c r="K8499" s="1" t="str">
        <f t="shared" si="1863"/>
        <v>X</v>
      </c>
      <c r="L8499" s="1" t="str">
        <f t="shared" si="1863"/>
        <v>X</v>
      </c>
      <c r="M8499" s="1" t="str">
        <f t="shared" si="1863"/>
        <v>X</v>
      </c>
      <c r="N8499" t="s">
        <v>27</v>
      </c>
    </row>
    <row r="8500" spans="1:14" x14ac:dyDescent="0.25">
      <c r="A8500" t="s">
        <v>43</v>
      </c>
      <c r="B8500" t="s">
        <v>15</v>
      </c>
      <c r="C8500" t="s">
        <v>37</v>
      </c>
      <c r="D8500" t="s">
        <v>31</v>
      </c>
      <c r="E8500" t="s">
        <v>26</v>
      </c>
      <c r="F8500" t="s">
        <v>19</v>
      </c>
      <c r="G8500" s="1" t="str">
        <f t="shared" si="1863"/>
        <v>X</v>
      </c>
      <c r="H8500" s="1" t="str">
        <f t="shared" si="1863"/>
        <v>X</v>
      </c>
      <c r="I8500" s="1" t="str">
        <f t="shared" si="1863"/>
        <v>X</v>
      </c>
      <c r="J8500" s="1" t="str">
        <f t="shared" si="1863"/>
        <v>X</v>
      </c>
      <c r="K8500" s="1" t="str">
        <f t="shared" si="1863"/>
        <v>X</v>
      </c>
      <c r="L8500" s="1" t="str">
        <f t="shared" si="1863"/>
        <v>X</v>
      </c>
      <c r="M8500" s="1" t="str">
        <f t="shared" si="1863"/>
        <v>X</v>
      </c>
      <c r="N8500" t="s">
        <v>27</v>
      </c>
    </row>
    <row r="8501" spans="1:14" x14ac:dyDescent="0.25">
      <c r="A8501" t="s">
        <v>43</v>
      </c>
      <c r="B8501" t="s">
        <v>15</v>
      </c>
      <c r="C8501" t="s">
        <v>37</v>
      </c>
      <c r="D8501" t="s">
        <v>31</v>
      </c>
      <c r="E8501" t="s">
        <v>26</v>
      </c>
      <c r="F8501" t="s">
        <v>20</v>
      </c>
      <c r="G8501" s="1" t="str">
        <f t="shared" si="1863"/>
        <v>X</v>
      </c>
      <c r="H8501" s="1" t="str">
        <f t="shared" si="1863"/>
        <v>X</v>
      </c>
      <c r="I8501" s="1" t="str">
        <f t="shared" si="1863"/>
        <v>X</v>
      </c>
      <c r="J8501" s="1" t="str">
        <f t="shared" si="1863"/>
        <v>X</v>
      </c>
      <c r="K8501" s="1" t="str">
        <f t="shared" si="1863"/>
        <v>X</v>
      </c>
      <c r="L8501" s="1" t="str">
        <f t="shared" si="1863"/>
        <v>X</v>
      </c>
      <c r="M8501" s="1" t="str">
        <f t="shared" si="1863"/>
        <v>X</v>
      </c>
      <c r="N8501" t="s">
        <v>27</v>
      </c>
    </row>
    <row r="8502" spans="1:14" x14ac:dyDescent="0.25">
      <c r="A8502" t="s">
        <v>43</v>
      </c>
      <c r="B8502" t="s">
        <v>15</v>
      </c>
      <c r="C8502" t="s">
        <v>37</v>
      </c>
      <c r="D8502" t="s">
        <v>32</v>
      </c>
      <c r="E8502" t="s">
        <v>15</v>
      </c>
      <c r="F8502" t="s">
        <v>15</v>
      </c>
      <c r="G8502" s="1">
        <f>VALUE(23527.17)</f>
        <v>23527.17</v>
      </c>
      <c r="H8502" s="1">
        <f>VALUE(21862.93)</f>
        <v>21862.93</v>
      </c>
      <c r="I8502" s="1">
        <f>VALUE(3245)</f>
        <v>3245</v>
      </c>
      <c r="J8502" s="1">
        <f>VALUE(3721)</f>
        <v>3721</v>
      </c>
      <c r="K8502" s="1">
        <f>VALUE(4717)</f>
        <v>4717</v>
      </c>
      <c r="L8502" s="1">
        <f>VALUE(5741)</f>
        <v>5741</v>
      </c>
      <c r="M8502" s="1">
        <f>VALUE(7100)</f>
        <v>7100</v>
      </c>
      <c r="N8502" t="s">
        <v>16</v>
      </c>
    </row>
    <row r="8503" spans="1:14" x14ac:dyDescent="0.25">
      <c r="A8503" t="s">
        <v>43</v>
      </c>
      <c r="B8503" t="s">
        <v>15</v>
      </c>
      <c r="C8503" t="s">
        <v>37</v>
      </c>
      <c r="D8503" t="s">
        <v>32</v>
      </c>
      <c r="E8503" t="s">
        <v>15</v>
      </c>
      <c r="F8503" t="s">
        <v>17</v>
      </c>
      <c r="G8503" s="2">
        <f>VALUE(1508.69)</f>
        <v>1508.69</v>
      </c>
      <c r="H8503" s="3">
        <f>VALUE(1469.79)</f>
        <v>1469.79</v>
      </c>
      <c r="I8503" s="1">
        <f>VALUE(4928)</f>
        <v>4928</v>
      </c>
      <c r="J8503" s="1">
        <f>VALUE(6122)</f>
        <v>6122</v>
      </c>
      <c r="K8503" s="1">
        <f>VALUE(7745)</f>
        <v>7745</v>
      </c>
      <c r="L8503" s="7">
        <f>VALUE(9425)</f>
        <v>9425</v>
      </c>
      <c r="M8503" s="1">
        <f>VALUE(12431)</f>
        <v>12431</v>
      </c>
      <c r="N8503" t="s">
        <v>25</v>
      </c>
    </row>
    <row r="8504" spans="1:14" x14ac:dyDescent="0.25">
      <c r="A8504" t="s">
        <v>43</v>
      </c>
      <c r="B8504" t="s">
        <v>15</v>
      </c>
      <c r="C8504" t="s">
        <v>37</v>
      </c>
      <c r="D8504" t="s">
        <v>32</v>
      </c>
      <c r="E8504" t="s">
        <v>15</v>
      </c>
      <c r="F8504" t="s">
        <v>18</v>
      </c>
      <c r="G8504" s="2">
        <f>VALUE(1966.14)</f>
        <v>1966.14</v>
      </c>
      <c r="H8504" s="3">
        <f>VALUE(1840.99)</f>
        <v>1840.99</v>
      </c>
      <c r="I8504" s="4">
        <f>VALUE(3805)</f>
        <v>3805</v>
      </c>
      <c r="J8504" s="1">
        <f>VALUE(4758)</f>
        <v>4758</v>
      </c>
      <c r="K8504" s="6">
        <f>VALUE(5671)</f>
        <v>5671</v>
      </c>
      <c r="L8504" s="1">
        <f>VALUE(7335)</f>
        <v>7335</v>
      </c>
      <c r="M8504" s="1">
        <f>VALUE(8712)</f>
        <v>8712</v>
      </c>
      <c r="N8504" t="s">
        <v>25</v>
      </c>
    </row>
    <row r="8505" spans="1:14" x14ac:dyDescent="0.25">
      <c r="A8505" t="s">
        <v>43</v>
      </c>
      <c r="B8505" t="s">
        <v>15</v>
      </c>
      <c r="C8505" t="s">
        <v>37</v>
      </c>
      <c r="D8505" t="s">
        <v>32</v>
      </c>
      <c r="E8505" t="s">
        <v>15</v>
      </c>
      <c r="F8505" t="s">
        <v>19</v>
      </c>
      <c r="G8505" s="2">
        <f>VALUE(3349.72)</f>
        <v>3349.72</v>
      </c>
      <c r="H8505" s="3">
        <f>VALUE(3216.64)</f>
        <v>3216.64</v>
      </c>
      <c r="I8505" s="4">
        <f>VALUE(3681)</f>
        <v>3681</v>
      </c>
      <c r="J8505" s="1">
        <f>VALUE(4333)</f>
        <v>4333</v>
      </c>
      <c r="K8505" s="1">
        <f>VALUE(5335)</f>
        <v>5335</v>
      </c>
      <c r="L8505" s="1">
        <f>VALUE(6118)</f>
        <v>6118</v>
      </c>
      <c r="M8505" s="1">
        <f>VALUE(7375)</f>
        <v>7375</v>
      </c>
      <c r="N8505" t="s">
        <v>25</v>
      </c>
    </row>
    <row r="8506" spans="1:14" x14ac:dyDescent="0.25">
      <c r="A8506" t="s">
        <v>43</v>
      </c>
      <c r="B8506" t="s">
        <v>15</v>
      </c>
      <c r="C8506" t="s">
        <v>37</v>
      </c>
      <c r="D8506" t="s">
        <v>32</v>
      </c>
      <c r="E8506" t="s">
        <v>15</v>
      </c>
      <c r="F8506" t="s">
        <v>20</v>
      </c>
      <c r="G8506" s="1">
        <f>VALUE(16702.62)</f>
        <v>16702.62</v>
      </c>
      <c r="H8506" s="1">
        <f>VALUE(15335.51)</f>
        <v>15335.51</v>
      </c>
      <c r="I8506" s="1">
        <f>VALUE(3091)</f>
        <v>3091</v>
      </c>
      <c r="J8506" s="1">
        <f>VALUE(3528)</f>
        <v>3528</v>
      </c>
      <c r="K8506" s="1">
        <f>VALUE(4330)</f>
        <v>4330</v>
      </c>
      <c r="L8506" s="1">
        <f>VALUE(5306)</f>
        <v>5306</v>
      </c>
      <c r="M8506" s="1">
        <f>VALUE(6159)</f>
        <v>6159</v>
      </c>
      <c r="N8506" t="s">
        <v>16</v>
      </c>
    </row>
    <row r="8507" spans="1:14" x14ac:dyDescent="0.25">
      <c r="A8507" t="s">
        <v>43</v>
      </c>
      <c r="B8507" t="s">
        <v>15</v>
      </c>
      <c r="C8507" t="s">
        <v>37</v>
      </c>
      <c r="D8507" t="s">
        <v>32</v>
      </c>
      <c r="E8507" t="s">
        <v>21</v>
      </c>
      <c r="F8507" t="s">
        <v>15</v>
      </c>
      <c r="G8507" s="1">
        <f>VALUE(3573.99)</f>
        <v>3573.99</v>
      </c>
      <c r="H8507" s="1">
        <f>VALUE(3278.1)</f>
        <v>3278.1</v>
      </c>
      <c r="I8507" s="1">
        <f>VALUE(4196)</f>
        <v>4196</v>
      </c>
      <c r="J8507" s="1">
        <f>VALUE(5145)</f>
        <v>5145</v>
      </c>
      <c r="K8507" s="1">
        <f>VALUE(6056)</f>
        <v>6056</v>
      </c>
      <c r="L8507" s="1">
        <f>VALUE(8022)</f>
        <v>8022</v>
      </c>
      <c r="M8507" s="1">
        <f>VALUE(10461)</f>
        <v>10461</v>
      </c>
      <c r="N8507" t="s">
        <v>16</v>
      </c>
    </row>
    <row r="8508" spans="1:14" x14ac:dyDescent="0.25">
      <c r="A8508" t="s">
        <v>43</v>
      </c>
      <c r="B8508" t="s">
        <v>15</v>
      </c>
      <c r="C8508" t="s">
        <v>37</v>
      </c>
      <c r="D8508" t="s">
        <v>32</v>
      </c>
      <c r="E8508" t="s">
        <v>21</v>
      </c>
      <c r="F8508" t="s">
        <v>17</v>
      </c>
      <c r="G8508" s="2">
        <f>VALUE(797.42)</f>
        <v>797.42</v>
      </c>
      <c r="H8508" s="3">
        <f>VALUE(782.49)</f>
        <v>782.49</v>
      </c>
      <c r="I8508" s="1">
        <f>VALUE(5590)</f>
        <v>5590</v>
      </c>
      <c r="J8508" s="5">
        <f>VALUE(6704)</f>
        <v>6704</v>
      </c>
      <c r="K8508" s="1">
        <f>VALUE(8463)</f>
        <v>8463</v>
      </c>
      <c r="L8508" s="1">
        <f>VALUE(10628)</f>
        <v>10628</v>
      </c>
      <c r="M8508" s="8">
        <f>VALUE(14543)</f>
        <v>14543</v>
      </c>
      <c r="N8508" t="s">
        <v>25</v>
      </c>
    </row>
    <row r="8509" spans="1:14" x14ac:dyDescent="0.25">
      <c r="A8509" t="s">
        <v>43</v>
      </c>
      <c r="B8509" t="s">
        <v>15</v>
      </c>
      <c r="C8509" t="s">
        <v>37</v>
      </c>
      <c r="D8509" t="s">
        <v>32</v>
      </c>
      <c r="E8509" t="s">
        <v>21</v>
      </c>
      <c r="F8509" t="s">
        <v>18</v>
      </c>
      <c r="G8509" s="2">
        <f>VALUE(581.47)</f>
        <v>581.47</v>
      </c>
      <c r="H8509" s="3">
        <f>VALUE(534.14)</f>
        <v>534.14</v>
      </c>
      <c r="I8509" s="1">
        <f>VALUE(4983)</f>
        <v>4983</v>
      </c>
      <c r="J8509" s="1">
        <f>VALUE(5506)</f>
        <v>5506</v>
      </c>
      <c r="K8509" s="1">
        <f>VALUE(7024)</f>
        <v>7024</v>
      </c>
      <c r="L8509" s="1">
        <f>VALUE(8866)</f>
        <v>8866</v>
      </c>
      <c r="M8509" s="1">
        <f>VALUE(10714)</f>
        <v>10714</v>
      </c>
      <c r="N8509" t="s">
        <v>25</v>
      </c>
    </row>
    <row r="8510" spans="1:14" x14ac:dyDescent="0.25">
      <c r="A8510" t="s">
        <v>43</v>
      </c>
      <c r="B8510" t="s">
        <v>15</v>
      </c>
      <c r="C8510" t="s">
        <v>37</v>
      </c>
      <c r="D8510" t="s">
        <v>32</v>
      </c>
      <c r="E8510" t="s">
        <v>21</v>
      </c>
      <c r="F8510" t="s">
        <v>19</v>
      </c>
      <c r="G8510" s="2">
        <f>VALUE(603.92)</f>
        <v>603.91999999999996</v>
      </c>
      <c r="H8510" s="3">
        <f>VALUE(544.01)</f>
        <v>544.01</v>
      </c>
      <c r="I8510" s="1">
        <f>VALUE(4694)</f>
        <v>4694</v>
      </c>
      <c r="J8510" s="1">
        <f>VALUE(5485)</f>
        <v>5485</v>
      </c>
      <c r="K8510" s="6">
        <f>VALUE(5977)</f>
        <v>5977</v>
      </c>
      <c r="L8510" s="1">
        <f>VALUE(7500)</f>
        <v>7500</v>
      </c>
      <c r="M8510" s="1">
        <f>VALUE(8500)</f>
        <v>8500</v>
      </c>
      <c r="N8510" t="s">
        <v>25</v>
      </c>
    </row>
    <row r="8511" spans="1:14" x14ac:dyDescent="0.25">
      <c r="A8511" t="s">
        <v>43</v>
      </c>
      <c r="B8511" t="s">
        <v>15</v>
      </c>
      <c r="C8511" t="s">
        <v>37</v>
      </c>
      <c r="D8511" t="s">
        <v>32</v>
      </c>
      <c r="E8511" t="s">
        <v>21</v>
      </c>
      <c r="F8511" t="s">
        <v>20</v>
      </c>
      <c r="G8511" s="2">
        <f>VALUE(1591.18)</f>
        <v>1591.18</v>
      </c>
      <c r="H8511" s="3">
        <f>VALUE(1417.46)</f>
        <v>1417.46</v>
      </c>
      <c r="I8511" s="1">
        <f>VALUE(3628)</f>
        <v>3628</v>
      </c>
      <c r="J8511" s="1">
        <f>VALUE(4382)</f>
        <v>4382</v>
      </c>
      <c r="K8511" s="1">
        <f>VALUE(5306)</f>
        <v>5306</v>
      </c>
      <c r="L8511" s="1">
        <f>VALUE(6250)</f>
        <v>6250</v>
      </c>
      <c r="M8511" s="1">
        <f>VALUE(7293)</f>
        <v>7293</v>
      </c>
      <c r="N8511" t="s">
        <v>25</v>
      </c>
    </row>
    <row r="8512" spans="1:14" x14ac:dyDescent="0.25">
      <c r="A8512" t="s">
        <v>43</v>
      </c>
      <c r="B8512" t="s">
        <v>15</v>
      </c>
      <c r="C8512" t="s">
        <v>37</v>
      </c>
      <c r="D8512" t="s">
        <v>32</v>
      </c>
      <c r="E8512" t="s">
        <v>22</v>
      </c>
      <c r="F8512" t="s">
        <v>15</v>
      </c>
      <c r="G8512" s="1">
        <f>VALUE(8234.8)</f>
        <v>8234.7999999999993</v>
      </c>
      <c r="H8512" s="1">
        <f>VALUE(7666.9)</f>
        <v>7666.9</v>
      </c>
      <c r="I8512" s="1">
        <f>VALUE(3509)</f>
        <v>3509</v>
      </c>
      <c r="J8512" s="1">
        <f>VALUE(4236)</f>
        <v>4236</v>
      </c>
      <c r="K8512" s="1">
        <f>VALUE(5137)</f>
        <v>5137</v>
      </c>
      <c r="L8512" s="1">
        <f>VALUE(5958)</f>
        <v>5958</v>
      </c>
      <c r="M8512" s="1">
        <f>VALUE(7117)</f>
        <v>7117</v>
      </c>
      <c r="N8512" t="s">
        <v>16</v>
      </c>
    </row>
    <row r="8513" spans="1:14" x14ac:dyDescent="0.25">
      <c r="A8513" t="s">
        <v>43</v>
      </c>
      <c r="B8513" t="s">
        <v>15</v>
      </c>
      <c r="C8513" t="s">
        <v>37</v>
      </c>
      <c r="D8513" t="s">
        <v>32</v>
      </c>
      <c r="E8513" t="s">
        <v>22</v>
      </c>
      <c r="F8513" t="s">
        <v>17</v>
      </c>
      <c r="G8513" s="2">
        <f>VALUE(504.58)</f>
        <v>504.58</v>
      </c>
      <c r="H8513" s="3">
        <f>VALUE(491.12)</f>
        <v>491.12</v>
      </c>
      <c r="I8513" s="1">
        <f>VALUE(4667)</f>
        <v>4667</v>
      </c>
      <c r="J8513" s="1">
        <f>VALUE(5923)</f>
        <v>5923</v>
      </c>
      <c r="K8513" s="1">
        <f>VALUE(6697)</f>
        <v>6697</v>
      </c>
      <c r="L8513" s="1">
        <f>VALUE(8551)</f>
        <v>8551</v>
      </c>
      <c r="M8513" s="1">
        <f>VALUE(9405)</f>
        <v>9405</v>
      </c>
      <c r="N8513" t="s">
        <v>25</v>
      </c>
    </row>
    <row r="8514" spans="1:14" x14ac:dyDescent="0.25">
      <c r="A8514" t="s">
        <v>43</v>
      </c>
      <c r="B8514" t="s">
        <v>15</v>
      </c>
      <c r="C8514" t="s">
        <v>37</v>
      </c>
      <c r="D8514" t="s">
        <v>32</v>
      </c>
      <c r="E8514" t="s">
        <v>22</v>
      </c>
      <c r="F8514" t="s">
        <v>18</v>
      </c>
      <c r="G8514" s="2">
        <f>VALUE(904.19)</f>
        <v>904.19</v>
      </c>
      <c r="H8514" s="3">
        <f>VALUE(860.97)</f>
        <v>860.97</v>
      </c>
      <c r="I8514" s="1">
        <f>VALUE(4524)</f>
        <v>4524</v>
      </c>
      <c r="J8514" s="1">
        <f>VALUE(4875)</f>
        <v>4875</v>
      </c>
      <c r="K8514" s="1">
        <f>VALUE(5926)</f>
        <v>5926</v>
      </c>
      <c r="L8514" s="1">
        <f>VALUE(7058)</f>
        <v>7058</v>
      </c>
      <c r="M8514" s="1">
        <f>VALUE(7810)</f>
        <v>7810</v>
      </c>
      <c r="N8514" t="s">
        <v>25</v>
      </c>
    </row>
    <row r="8515" spans="1:14" x14ac:dyDescent="0.25">
      <c r="A8515" t="s">
        <v>43</v>
      </c>
      <c r="B8515" t="s">
        <v>15</v>
      </c>
      <c r="C8515" t="s">
        <v>37</v>
      </c>
      <c r="D8515" t="s">
        <v>32</v>
      </c>
      <c r="E8515" t="s">
        <v>22</v>
      </c>
      <c r="F8515" t="s">
        <v>19</v>
      </c>
      <c r="G8515" s="2">
        <f>VALUE(1395.11)</f>
        <v>1395.11</v>
      </c>
      <c r="H8515" s="3">
        <f>VALUE(1357.68)</f>
        <v>1357.68</v>
      </c>
      <c r="I8515" s="1">
        <f>VALUE(4173)</f>
        <v>4173</v>
      </c>
      <c r="J8515" s="1">
        <f>VALUE(4813)</f>
        <v>4813</v>
      </c>
      <c r="K8515" s="1">
        <f>VALUE(5605)</f>
        <v>5605</v>
      </c>
      <c r="L8515" s="1">
        <f>VALUE(6128)</f>
        <v>6128</v>
      </c>
      <c r="M8515" s="1">
        <f>VALUE(7421)</f>
        <v>7421</v>
      </c>
      <c r="N8515" t="s">
        <v>25</v>
      </c>
    </row>
    <row r="8516" spans="1:14" x14ac:dyDescent="0.25">
      <c r="A8516" t="s">
        <v>43</v>
      </c>
      <c r="B8516" t="s">
        <v>15</v>
      </c>
      <c r="C8516" t="s">
        <v>37</v>
      </c>
      <c r="D8516" t="s">
        <v>32</v>
      </c>
      <c r="E8516" t="s">
        <v>22</v>
      </c>
      <c r="F8516" t="s">
        <v>20</v>
      </c>
      <c r="G8516" s="1">
        <f>VALUE(5430.92)</f>
        <v>5430.92</v>
      </c>
      <c r="H8516" s="1">
        <f>VALUE(4957.13)</f>
        <v>4957.13</v>
      </c>
      <c r="I8516" s="1">
        <f>VALUE(3431)</f>
        <v>3431</v>
      </c>
      <c r="J8516" s="1">
        <f>VALUE(3968)</f>
        <v>3968</v>
      </c>
      <c r="K8516" s="1">
        <f>VALUE(4763)</f>
        <v>4763</v>
      </c>
      <c r="L8516" s="1">
        <f>VALUE(5456)</f>
        <v>5456</v>
      </c>
      <c r="M8516" s="1">
        <f>VALUE(6268)</f>
        <v>6268</v>
      </c>
      <c r="N8516" t="s">
        <v>16</v>
      </c>
    </row>
    <row r="8517" spans="1:14" x14ac:dyDescent="0.25">
      <c r="A8517" t="s">
        <v>43</v>
      </c>
      <c r="B8517" t="s">
        <v>15</v>
      </c>
      <c r="C8517" t="s">
        <v>37</v>
      </c>
      <c r="D8517" t="s">
        <v>32</v>
      </c>
      <c r="E8517" t="s">
        <v>23</v>
      </c>
      <c r="F8517" t="s">
        <v>15</v>
      </c>
      <c r="G8517" s="1">
        <f>VALUE(11162.18)</f>
        <v>11162.18</v>
      </c>
      <c r="H8517" s="1">
        <f>VALUE(10409.6)</f>
        <v>10409.6</v>
      </c>
      <c r="I8517" s="1">
        <f>VALUE(3004)</f>
        <v>3004</v>
      </c>
      <c r="J8517" s="1">
        <f>VALUE(3395)</f>
        <v>3395</v>
      </c>
      <c r="K8517" s="1">
        <f>VALUE(3994)</f>
        <v>3994</v>
      </c>
      <c r="L8517" s="1">
        <f>VALUE(4920)</f>
        <v>4920</v>
      </c>
      <c r="M8517" s="1">
        <f>VALUE(5877)</f>
        <v>5877</v>
      </c>
      <c r="N8517" t="s">
        <v>16</v>
      </c>
    </row>
    <row r="8518" spans="1:14" x14ac:dyDescent="0.25">
      <c r="A8518" t="s">
        <v>43</v>
      </c>
      <c r="B8518" t="s">
        <v>15</v>
      </c>
      <c r="C8518" t="s">
        <v>37</v>
      </c>
      <c r="D8518" t="s">
        <v>32</v>
      </c>
      <c r="E8518" t="s">
        <v>23</v>
      </c>
      <c r="F8518" t="s">
        <v>17</v>
      </c>
      <c r="G8518" s="1" t="str">
        <f t="shared" ref="G8518:M8518" si="1864">"X"</f>
        <v>X</v>
      </c>
      <c r="H8518" s="1" t="str">
        <f t="shared" si="1864"/>
        <v>X</v>
      </c>
      <c r="I8518" s="1" t="str">
        <f t="shared" si="1864"/>
        <v>X</v>
      </c>
      <c r="J8518" s="1" t="str">
        <f t="shared" si="1864"/>
        <v>X</v>
      </c>
      <c r="K8518" s="1" t="str">
        <f t="shared" si="1864"/>
        <v>X</v>
      </c>
      <c r="L8518" s="1" t="str">
        <f t="shared" si="1864"/>
        <v>X</v>
      </c>
      <c r="M8518" s="1" t="str">
        <f t="shared" si="1864"/>
        <v>X</v>
      </c>
      <c r="N8518" t="s">
        <v>27</v>
      </c>
    </row>
    <row r="8519" spans="1:14" x14ac:dyDescent="0.25">
      <c r="A8519" t="s">
        <v>43</v>
      </c>
      <c r="B8519" t="s">
        <v>15</v>
      </c>
      <c r="C8519" t="s">
        <v>37</v>
      </c>
      <c r="D8519" t="s">
        <v>32</v>
      </c>
      <c r="E8519" t="s">
        <v>23</v>
      </c>
      <c r="F8519" t="s">
        <v>18</v>
      </c>
      <c r="G8519" s="2">
        <f>VALUE(441.12)</f>
        <v>441.12</v>
      </c>
      <c r="H8519" s="3">
        <f>VALUE(417.21)</f>
        <v>417.21</v>
      </c>
      <c r="I8519" s="1">
        <f>VALUE(3358)</f>
        <v>3358</v>
      </c>
      <c r="J8519" s="1">
        <f>VALUE(3705)</f>
        <v>3705</v>
      </c>
      <c r="K8519" s="6">
        <f>VALUE(4230)</f>
        <v>4230</v>
      </c>
      <c r="L8519" s="7">
        <f>VALUE(5150)</f>
        <v>5150</v>
      </c>
      <c r="M8519" s="8">
        <f>VALUE(6936)</f>
        <v>6936</v>
      </c>
      <c r="N8519" t="s">
        <v>25</v>
      </c>
    </row>
    <row r="8520" spans="1:14" x14ac:dyDescent="0.25">
      <c r="A8520" t="s">
        <v>43</v>
      </c>
      <c r="B8520" t="s">
        <v>15</v>
      </c>
      <c r="C8520" t="s">
        <v>37</v>
      </c>
      <c r="D8520" t="s">
        <v>32</v>
      </c>
      <c r="E8520" t="s">
        <v>23</v>
      </c>
      <c r="F8520" t="s">
        <v>19</v>
      </c>
      <c r="G8520" s="2">
        <f>VALUE(1299.87)</f>
        <v>1299.8699999999999</v>
      </c>
      <c r="H8520" s="3">
        <f>VALUE(1272.38)</f>
        <v>1272.3800000000001</v>
      </c>
      <c r="I8520" s="1">
        <f>VALUE(3263)</f>
        <v>3263</v>
      </c>
      <c r="J8520" s="1">
        <f>VALUE(3836)</f>
        <v>3836</v>
      </c>
      <c r="K8520" s="1">
        <f>VALUE(4406)</f>
        <v>4406</v>
      </c>
      <c r="L8520" s="1">
        <f>VALUE(5346)</f>
        <v>5346</v>
      </c>
      <c r="M8520" s="8">
        <f>VALUE(6575)</f>
        <v>6575</v>
      </c>
      <c r="N8520" t="s">
        <v>25</v>
      </c>
    </row>
    <row r="8521" spans="1:14" x14ac:dyDescent="0.25">
      <c r="A8521" t="s">
        <v>43</v>
      </c>
      <c r="B8521" t="s">
        <v>15</v>
      </c>
      <c r="C8521" t="s">
        <v>37</v>
      </c>
      <c r="D8521" t="s">
        <v>32</v>
      </c>
      <c r="E8521" t="s">
        <v>23</v>
      </c>
      <c r="F8521" t="s">
        <v>20</v>
      </c>
      <c r="G8521" s="1">
        <f>VALUE(9234.98)</f>
        <v>9234.98</v>
      </c>
      <c r="H8521" s="1">
        <f>VALUE(8544.55)</f>
        <v>8544.5499999999993</v>
      </c>
      <c r="I8521" s="1">
        <f>VALUE(2982)</f>
        <v>2982</v>
      </c>
      <c r="J8521" s="1">
        <f>VALUE(3349)</f>
        <v>3349</v>
      </c>
      <c r="K8521" s="1">
        <f>VALUE(3900)</f>
        <v>3900</v>
      </c>
      <c r="L8521" s="1">
        <f>VALUE(4772)</f>
        <v>4772</v>
      </c>
      <c r="M8521" s="1">
        <f>VALUE(5598)</f>
        <v>5598</v>
      </c>
      <c r="N8521" t="s">
        <v>16</v>
      </c>
    </row>
    <row r="8522" spans="1:14" x14ac:dyDescent="0.25">
      <c r="A8522" t="s">
        <v>43</v>
      </c>
      <c r="B8522" t="s">
        <v>15</v>
      </c>
      <c r="C8522" t="s">
        <v>37</v>
      </c>
      <c r="D8522" t="s">
        <v>32</v>
      </c>
      <c r="E8522" t="s">
        <v>26</v>
      </c>
      <c r="F8522" t="s">
        <v>15</v>
      </c>
      <c r="G8522" s="2">
        <f>VALUE(556.2)</f>
        <v>556.20000000000005</v>
      </c>
      <c r="H8522" s="3">
        <f>VALUE(508.33)</f>
        <v>508.33</v>
      </c>
      <c r="I8522" s="1">
        <f>VALUE(3728)</f>
        <v>3728</v>
      </c>
      <c r="J8522" s="5">
        <f>VALUE(4357)</f>
        <v>4357</v>
      </c>
      <c r="K8522" s="1">
        <f>VALUE(5262)</f>
        <v>5262</v>
      </c>
      <c r="L8522" s="7">
        <f>VALUE(6395)</f>
        <v>6395</v>
      </c>
      <c r="M8522" s="8">
        <f>VALUE(7669)</f>
        <v>7669</v>
      </c>
      <c r="N8522" t="s">
        <v>25</v>
      </c>
    </row>
    <row r="8523" spans="1:14" x14ac:dyDescent="0.25">
      <c r="A8523" t="s">
        <v>43</v>
      </c>
      <c r="B8523" t="s">
        <v>15</v>
      </c>
      <c r="C8523" t="s">
        <v>37</v>
      </c>
      <c r="D8523" t="s">
        <v>32</v>
      </c>
      <c r="E8523" t="s">
        <v>26</v>
      </c>
      <c r="F8523" t="s">
        <v>17</v>
      </c>
      <c r="G8523" s="1" t="str">
        <f t="shared" ref="G8523:M8525" si="1865">"X"</f>
        <v>X</v>
      </c>
      <c r="H8523" s="1" t="str">
        <f t="shared" si="1865"/>
        <v>X</v>
      </c>
      <c r="I8523" s="1" t="str">
        <f t="shared" si="1865"/>
        <v>X</v>
      </c>
      <c r="J8523" s="1" t="str">
        <f t="shared" si="1865"/>
        <v>X</v>
      </c>
      <c r="K8523" s="1" t="str">
        <f t="shared" si="1865"/>
        <v>X</v>
      </c>
      <c r="L8523" s="1" t="str">
        <f t="shared" si="1865"/>
        <v>X</v>
      </c>
      <c r="M8523" s="1" t="str">
        <f t="shared" si="1865"/>
        <v>X</v>
      </c>
      <c r="N8523" t="s">
        <v>27</v>
      </c>
    </row>
    <row r="8524" spans="1:14" x14ac:dyDescent="0.25">
      <c r="A8524" t="s">
        <v>43</v>
      </c>
      <c r="B8524" t="s">
        <v>15</v>
      </c>
      <c r="C8524" t="s">
        <v>37</v>
      </c>
      <c r="D8524" t="s">
        <v>32</v>
      </c>
      <c r="E8524" t="s">
        <v>26</v>
      </c>
      <c r="F8524" t="s">
        <v>18</v>
      </c>
      <c r="G8524" s="1" t="str">
        <f t="shared" si="1865"/>
        <v>X</v>
      </c>
      <c r="H8524" s="1" t="str">
        <f t="shared" si="1865"/>
        <v>X</v>
      </c>
      <c r="I8524" s="1" t="str">
        <f t="shared" si="1865"/>
        <v>X</v>
      </c>
      <c r="J8524" s="1" t="str">
        <f t="shared" si="1865"/>
        <v>X</v>
      </c>
      <c r="K8524" s="1" t="str">
        <f t="shared" si="1865"/>
        <v>X</v>
      </c>
      <c r="L8524" s="1" t="str">
        <f t="shared" si="1865"/>
        <v>X</v>
      </c>
      <c r="M8524" s="1" t="str">
        <f t="shared" si="1865"/>
        <v>X</v>
      </c>
      <c r="N8524" t="s">
        <v>27</v>
      </c>
    </row>
    <row r="8525" spans="1:14" x14ac:dyDescent="0.25">
      <c r="A8525" t="s">
        <v>43</v>
      </c>
      <c r="B8525" t="s">
        <v>15</v>
      </c>
      <c r="C8525" t="s">
        <v>37</v>
      </c>
      <c r="D8525" t="s">
        <v>32</v>
      </c>
      <c r="E8525" t="s">
        <v>26</v>
      </c>
      <c r="F8525" t="s">
        <v>19</v>
      </c>
      <c r="G8525" s="1" t="str">
        <f t="shared" si="1865"/>
        <v>X</v>
      </c>
      <c r="H8525" s="1" t="str">
        <f t="shared" si="1865"/>
        <v>X</v>
      </c>
      <c r="I8525" s="1" t="str">
        <f t="shared" si="1865"/>
        <v>X</v>
      </c>
      <c r="J8525" s="1" t="str">
        <f t="shared" si="1865"/>
        <v>X</v>
      </c>
      <c r="K8525" s="1" t="str">
        <f t="shared" si="1865"/>
        <v>X</v>
      </c>
      <c r="L8525" s="1" t="str">
        <f t="shared" si="1865"/>
        <v>X</v>
      </c>
      <c r="M8525" s="1" t="str">
        <f t="shared" si="1865"/>
        <v>X</v>
      </c>
      <c r="N8525" t="s">
        <v>27</v>
      </c>
    </row>
    <row r="8526" spans="1:14" x14ac:dyDescent="0.25">
      <c r="A8526" t="s">
        <v>43</v>
      </c>
      <c r="B8526" t="s">
        <v>15</v>
      </c>
      <c r="C8526" t="s">
        <v>37</v>
      </c>
      <c r="D8526" t="s">
        <v>32</v>
      </c>
      <c r="E8526" t="s">
        <v>26</v>
      </c>
      <c r="F8526" t="s">
        <v>20</v>
      </c>
      <c r="G8526" s="2">
        <f>VALUE(445.54)</f>
        <v>445.54</v>
      </c>
      <c r="H8526" s="3">
        <f>VALUE(416.37)</f>
        <v>416.37</v>
      </c>
      <c r="I8526" s="1">
        <f>VALUE(3696)</f>
        <v>3696</v>
      </c>
      <c r="J8526" s="5">
        <f>VALUE(4268)</f>
        <v>4268</v>
      </c>
      <c r="K8526" s="1">
        <f>VALUE(5231)</f>
        <v>5231</v>
      </c>
      <c r="L8526" s="7">
        <f>VALUE(5786)</f>
        <v>5786</v>
      </c>
      <c r="M8526" s="1">
        <f>VALUE(6503)</f>
        <v>6503</v>
      </c>
      <c r="N8526" t="s">
        <v>25</v>
      </c>
    </row>
    <row r="8527" spans="1:14" x14ac:dyDescent="0.25">
      <c r="A8527" t="s">
        <v>43</v>
      </c>
      <c r="B8527" t="s">
        <v>15</v>
      </c>
      <c r="C8527" t="s">
        <v>37</v>
      </c>
      <c r="D8527" t="s">
        <v>33</v>
      </c>
      <c r="E8527" t="s">
        <v>15</v>
      </c>
      <c r="F8527" t="s">
        <v>15</v>
      </c>
      <c r="G8527" s="1" t="str">
        <f t="shared" ref="G8527:M8539" si="1866">"X"</f>
        <v>X</v>
      </c>
      <c r="H8527" s="1" t="str">
        <f t="shared" si="1866"/>
        <v>X</v>
      </c>
      <c r="I8527" s="1" t="str">
        <f t="shared" si="1866"/>
        <v>X</v>
      </c>
      <c r="J8527" s="1" t="str">
        <f t="shared" si="1866"/>
        <v>X</v>
      </c>
      <c r="K8527" s="1" t="str">
        <f t="shared" si="1866"/>
        <v>X</v>
      </c>
      <c r="L8527" s="1" t="str">
        <f t="shared" si="1866"/>
        <v>X</v>
      </c>
      <c r="M8527" s="1" t="str">
        <f t="shared" si="1866"/>
        <v>X</v>
      </c>
      <c r="N8527" t="s">
        <v>27</v>
      </c>
    </row>
    <row r="8528" spans="1:14" x14ac:dyDescent="0.25">
      <c r="A8528" t="s">
        <v>43</v>
      </c>
      <c r="B8528" t="s">
        <v>15</v>
      </c>
      <c r="C8528" t="s">
        <v>37</v>
      </c>
      <c r="D8528" t="s">
        <v>33</v>
      </c>
      <c r="E8528" t="s">
        <v>15</v>
      </c>
      <c r="F8528" t="s">
        <v>17</v>
      </c>
      <c r="G8528" s="1" t="str">
        <f t="shared" si="1866"/>
        <v>X</v>
      </c>
      <c r="H8528" s="1" t="str">
        <f t="shared" si="1866"/>
        <v>X</v>
      </c>
      <c r="I8528" s="1" t="str">
        <f t="shared" si="1866"/>
        <v>X</v>
      </c>
      <c r="J8528" s="1" t="str">
        <f t="shared" si="1866"/>
        <v>X</v>
      </c>
      <c r="K8528" s="1" t="str">
        <f t="shared" si="1866"/>
        <v>X</v>
      </c>
      <c r="L8528" s="1" t="str">
        <f t="shared" si="1866"/>
        <v>X</v>
      </c>
      <c r="M8528" s="1" t="str">
        <f t="shared" si="1866"/>
        <v>X</v>
      </c>
      <c r="N8528" t="s">
        <v>27</v>
      </c>
    </row>
    <row r="8529" spans="1:14" x14ac:dyDescent="0.25">
      <c r="A8529" t="s">
        <v>43</v>
      </c>
      <c r="B8529" t="s">
        <v>15</v>
      </c>
      <c r="C8529" t="s">
        <v>37</v>
      </c>
      <c r="D8529" t="s">
        <v>33</v>
      </c>
      <c r="E8529" t="s">
        <v>15</v>
      </c>
      <c r="F8529" t="s">
        <v>18</v>
      </c>
      <c r="G8529" s="1" t="str">
        <f t="shared" si="1866"/>
        <v>X</v>
      </c>
      <c r="H8529" s="1" t="str">
        <f t="shared" si="1866"/>
        <v>X</v>
      </c>
      <c r="I8529" s="1" t="str">
        <f t="shared" si="1866"/>
        <v>X</v>
      </c>
      <c r="J8529" s="1" t="str">
        <f t="shared" si="1866"/>
        <v>X</v>
      </c>
      <c r="K8529" s="1" t="str">
        <f t="shared" si="1866"/>
        <v>X</v>
      </c>
      <c r="L8529" s="1" t="str">
        <f t="shared" si="1866"/>
        <v>X</v>
      </c>
      <c r="M8529" s="1" t="str">
        <f t="shared" si="1866"/>
        <v>X</v>
      </c>
      <c r="N8529" t="s">
        <v>27</v>
      </c>
    </row>
    <row r="8530" spans="1:14" x14ac:dyDescent="0.25">
      <c r="A8530" t="s">
        <v>43</v>
      </c>
      <c r="B8530" t="s">
        <v>15</v>
      </c>
      <c r="C8530" t="s">
        <v>37</v>
      </c>
      <c r="D8530" t="s">
        <v>33</v>
      </c>
      <c r="E8530" t="s">
        <v>15</v>
      </c>
      <c r="F8530" t="s">
        <v>19</v>
      </c>
      <c r="G8530" s="1" t="str">
        <f t="shared" si="1866"/>
        <v>X</v>
      </c>
      <c r="H8530" s="1" t="str">
        <f t="shared" si="1866"/>
        <v>X</v>
      </c>
      <c r="I8530" s="1" t="str">
        <f t="shared" si="1866"/>
        <v>X</v>
      </c>
      <c r="J8530" s="1" t="str">
        <f t="shared" si="1866"/>
        <v>X</v>
      </c>
      <c r="K8530" s="1" t="str">
        <f t="shared" si="1866"/>
        <v>X</v>
      </c>
      <c r="L8530" s="1" t="str">
        <f t="shared" si="1866"/>
        <v>X</v>
      </c>
      <c r="M8530" s="1" t="str">
        <f t="shared" si="1866"/>
        <v>X</v>
      </c>
      <c r="N8530" t="s">
        <v>27</v>
      </c>
    </row>
    <row r="8531" spans="1:14" x14ac:dyDescent="0.25">
      <c r="A8531" t="s">
        <v>43</v>
      </c>
      <c r="B8531" t="s">
        <v>15</v>
      </c>
      <c r="C8531" t="s">
        <v>37</v>
      </c>
      <c r="D8531" t="s">
        <v>33</v>
      </c>
      <c r="E8531" t="s">
        <v>15</v>
      </c>
      <c r="F8531" t="s">
        <v>20</v>
      </c>
      <c r="G8531" s="1" t="str">
        <f t="shared" si="1866"/>
        <v>X</v>
      </c>
      <c r="H8531" s="1" t="str">
        <f t="shared" si="1866"/>
        <v>X</v>
      </c>
      <c r="I8531" s="1" t="str">
        <f t="shared" si="1866"/>
        <v>X</v>
      </c>
      <c r="J8531" s="1" t="str">
        <f t="shared" si="1866"/>
        <v>X</v>
      </c>
      <c r="K8531" s="1" t="str">
        <f t="shared" si="1866"/>
        <v>X</v>
      </c>
      <c r="L8531" s="1" t="str">
        <f t="shared" si="1866"/>
        <v>X</v>
      </c>
      <c r="M8531" s="1" t="str">
        <f t="shared" si="1866"/>
        <v>X</v>
      </c>
      <c r="N8531" t="s">
        <v>27</v>
      </c>
    </row>
    <row r="8532" spans="1:14" x14ac:dyDescent="0.25">
      <c r="A8532" t="s">
        <v>43</v>
      </c>
      <c r="B8532" t="s">
        <v>15</v>
      </c>
      <c r="C8532" t="s">
        <v>37</v>
      </c>
      <c r="D8532" t="s">
        <v>33</v>
      </c>
      <c r="E8532" t="s">
        <v>21</v>
      </c>
      <c r="F8532" t="s">
        <v>15</v>
      </c>
      <c r="G8532" s="1" t="str">
        <f t="shared" si="1866"/>
        <v>X</v>
      </c>
      <c r="H8532" s="1" t="str">
        <f t="shared" si="1866"/>
        <v>X</v>
      </c>
      <c r="I8532" s="1" t="str">
        <f t="shared" si="1866"/>
        <v>X</v>
      </c>
      <c r="J8532" s="1" t="str">
        <f t="shared" si="1866"/>
        <v>X</v>
      </c>
      <c r="K8532" s="1" t="str">
        <f t="shared" si="1866"/>
        <v>X</v>
      </c>
      <c r="L8532" s="1" t="str">
        <f t="shared" si="1866"/>
        <v>X</v>
      </c>
      <c r="M8532" s="1" t="str">
        <f t="shared" si="1866"/>
        <v>X</v>
      </c>
      <c r="N8532" t="s">
        <v>27</v>
      </c>
    </row>
    <row r="8533" spans="1:14" x14ac:dyDescent="0.25">
      <c r="A8533" t="s">
        <v>43</v>
      </c>
      <c r="B8533" t="s">
        <v>15</v>
      </c>
      <c r="C8533" t="s">
        <v>37</v>
      </c>
      <c r="D8533" t="s">
        <v>33</v>
      </c>
      <c r="E8533" t="s">
        <v>21</v>
      </c>
      <c r="F8533" t="s">
        <v>17</v>
      </c>
      <c r="G8533" s="1" t="str">
        <f t="shared" si="1866"/>
        <v>X</v>
      </c>
      <c r="H8533" s="1" t="str">
        <f t="shared" si="1866"/>
        <v>X</v>
      </c>
      <c r="I8533" s="1" t="str">
        <f t="shared" si="1866"/>
        <v>X</v>
      </c>
      <c r="J8533" s="1" t="str">
        <f t="shared" si="1866"/>
        <v>X</v>
      </c>
      <c r="K8533" s="1" t="str">
        <f t="shared" si="1866"/>
        <v>X</v>
      </c>
      <c r="L8533" s="1" t="str">
        <f t="shared" si="1866"/>
        <v>X</v>
      </c>
      <c r="M8533" s="1" t="str">
        <f t="shared" si="1866"/>
        <v>X</v>
      </c>
      <c r="N8533" t="s">
        <v>27</v>
      </c>
    </row>
    <row r="8534" spans="1:14" x14ac:dyDescent="0.25">
      <c r="A8534" t="s">
        <v>43</v>
      </c>
      <c r="B8534" t="s">
        <v>15</v>
      </c>
      <c r="C8534" t="s">
        <v>37</v>
      </c>
      <c r="D8534" t="s">
        <v>33</v>
      </c>
      <c r="E8534" t="s">
        <v>21</v>
      </c>
      <c r="F8534" t="s">
        <v>18</v>
      </c>
      <c r="G8534" s="1" t="str">
        <f t="shared" si="1866"/>
        <v>X</v>
      </c>
      <c r="H8534" s="1" t="str">
        <f t="shared" si="1866"/>
        <v>X</v>
      </c>
      <c r="I8534" s="1" t="str">
        <f t="shared" si="1866"/>
        <v>X</v>
      </c>
      <c r="J8534" s="1" t="str">
        <f t="shared" si="1866"/>
        <v>X</v>
      </c>
      <c r="K8534" s="1" t="str">
        <f t="shared" si="1866"/>
        <v>X</v>
      </c>
      <c r="L8534" s="1" t="str">
        <f t="shared" si="1866"/>
        <v>X</v>
      </c>
      <c r="M8534" s="1" t="str">
        <f t="shared" si="1866"/>
        <v>X</v>
      </c>
      <c r="N8534" t="s">
        <v>27</v>
      </c>
    </row>
    <row r="8535" spans="1:14" x14ac:dyDescent="0.25">
      <c r="A8535" t="s">
        <v>43</v>
      </c>
      <c r="B8535" t="s">
        <v>15</v>
      </c>
      <c r="C8535" t="s">
        <v>37</v>
      </c>
      <c r="D8535" t="s">
        <v>33</v>
      </c>
      <c r="E8535" t="s">
        <v>21</v>
      </c>
      <c r="F8535" t="s">
        <v>19</v>
      </c>
      <c r="G8535" s="1" t="str">
        <f t="shared" si="1866"/>
        <v>X</v>
      </c>
      <c r="H8535" s="1" t="str">
        <f t="shared" si="1866"/>
        <v>X</v>
      </c>
      <c r="I8535" s="1" t="str">
        <f t="shared" si="1866"/>
        <v>X</v>
      </c>
      <c r="J8535" s="1" t="str">
        <f t="shared" si="1866"/>
        <v>X</v>
      </c>
      <c r="K8535" s="1" t="str">
        <f t="shared" si="1866"/>
        <v>X</v>
      </c>
      <c r="L8535" s="1" t="str">
        <f t="shared" si="1866"/>
        <v>X</v>
      </c>
      <c r="M8535" s="1" t="str">
        <f t="shared" si="1866"/>
        <v>X</v>
      </c>
      <c r="N8535" t="s">
        <v>27</v>
      </c>
    </row>
    <row r="8536" spans="1:14" x14ac:dyDescent="0.25">
      <c r="A8536" t="s">
        <v>43</v>
      </c>
      <c r="B8536" t="s">
        <v>15</v>
      </c>
      <c r="C8536" t="s">
        <v>37</v>
      </c>
      <c r="D8536" t="s">
        <v>33</v>
      </c>
      <c r="E8536" t="s">
        <v>21</v>
      </c>
      <c r="F8536" t="s">
        <v>20</v>
      </c>
      <c r="G8536" s="1" t="str">
        <f t="shared" si="1866"/>
        <v>X</v>
      </c>
      <c r="H8536" s="1" t="str">
        <f t="shared" si="1866"/>
        <v>X</v>
      </c>
      <c r="I8536" s="1" t="str">
        <f t="shared" si="1866"/>
        <v>X</v>
      </c>
      <c r="J8536" s="1" t="str">
        <f t="shared" si="1866"/>
        <v>X</v>
      </c>
      <c r="K8536" s="1" t="str">
        <f t="shared" si="1866"/>
        <v>X</v>
      </c>
      <c r="L8536" s="1" t="str">
        <f t="shared" si="1866"/>
        <v>X</v>
      </c>
      <c r="M8536" s="1" t="str">
        <f t="shared" si="1866"/>
        <v>X</v>
      </c>
      <c r="N8536" t="s">
        <v>27</v>
      </c>
    </row>
    <row r="8537" spans="1:14" x14ac:dyDescent="0.25">
      <c r="A8537" t="s">
        <v>43</v>
      </c>
      <c r="B8537" t="s">
        <v>15</v>
      </c>
      <c r="C8537" t="s">
        <v>37</v>
      </c>
      <c r="D8537" t="s">
        <v>33</v>
      </c>
      <c r="E8537" t="s">
        <v>22</v>
      </c>
      <c r="F8537" t="s">
        <v>15</v>
      </c>
      <c r="G8537" s="1" t="str">
        <f t="shared" si="1866"/>
        <v>X</v>
      </c>
      <c r="H8537" s="1" t="str">
        <f t="shared" si="1866"/>
        <v>X</v>
      </c>
      <c r="I8537" s="1" t="str">
        <f t="shared" si="1866"/>
        <v>X</v>
      </c>
      <c r="J8537" s="1" t="str">
        <f t="shared" si="1866"/>
        <v>X</v>
      </c>
      <c r="K8537" s="1" t="str">
        <f t="shared" si="1866"/>
        <v>X</v>
      </c>
      <c r="L8537" s="1" t="str">
        <f t="shared" si="1866"/>
        <v>X</v>
      </c>
      <c r="M8537" s="1" t="str">
        <f t="shared" si="1866"/>
        <v>X</v>
      </c>
      <c r="N8537" t="s">
        <v>27</v>
      </c>
    </row>
    <row r="8538" spans="1:14" x14ac:dyDescent="0.25">
      <c r="A8538" t="s">
        <v>43</v>
      </c>
      <c r="B8538" t="s">
        <v>15</v>
      </c>
      <c r="C8538" t="s">
        <v>37</v>
      </c>
      <c r="D8538" t="s">
        <v>33</v>
      </c>
      <c r="E8538" t="s">
        <v>22</v>
      </c>
      <c r="F8538" t="s">
        <v>17</v>
      </c>
      <c r="G8538" s="1" t="str">
        <f t="shared" si="1866"/>
        <v>X</v>
      </c>
      <c r="H8538" s="1" t="str">
        <f t="shared" si="1866"/>
        <v>X</v>
      </c>
      <c r="I8538" s="1" t="str">
        <f t="shared" si="1866"/>
        <v>X</v>
      </c>
      <c r="J8538" s="1" t="str">
        <f t="shared" si="1866"/>
        <v>X</v>
      </c>
      <c r="K8538" s="1" t="str">
        <f t="shared" si="1866"/>
        <v>X</v>
      </c>
      <c r="L8538" s="1" t="str">
        <f t="shared" si="1866"/>
        <v>X</v>
      </c>
      <c r="M8538" s="1" t="str">
        <f t="shared" si="1866"/>
        <v>X</v>
      </c>
      <c r="N8538" t="s">
        <v>27</v>
      </c>
    </row>
    <row r="8539" spans="1:14" x14ac:dyDescent="0.25">
      <c r="A8539" t="s">
        <v>43</v>
      </c>
      <c r="B8539" t="s">
        <v>15</v>
      </c>
      <c r="C8539" t="s">
        <v>37</v>
      </c>
      <c r="D8539" t="s">
        <v>33</v>
      </c>
      <c r="E8539" t="s">
        <v>22</v>
      </c>
      <c r="F8539" t="s">
        <v>18</v>
      </c>
      <c r="G8539" s="1" t="str">
        <f t="shared" si="1866"/>
        <v>X</v>
      </c>
      <c r="H8539" s="1" t="str">
        <f t="shared" si="1866"/>
        <v>X</v>
      </c>
      <c r="I8539" s="1" t="str">
        <f t="shared" si="1866"/>
        <v>X</v>
      </c>
      <c r="J8539" s="1" t="str">
        <f t="shared" si="1866"/>
        <v>X</v>
      </c>
      <c r="K8539" s="1" t="str">
        <f t="shared" si="1866"/>
        <v>X</v>
      </c>
      <c r="L8539" s="1" t="str">
        <f t="shared" si="1866"/>
        <v>X</v>
      </c>
      <c r="M8539" s="1" t="str">
        <f t="shared" si="1866"/>
        <v>X</v>
      </c>
      <c r="N8539" t="s">
        <v>27</v>
      </c>
    </row>
    <row r="8540" spans="1:14" x14ac:dyDescent="0.25">
      <c r="A8540" t="s">
        <v>43</v>
      </c>
      <c r="B8540" t="s">
        <v>15</v>
      </c>
      <c r="C8540" t="s">
        <v>37</v>
      </c>
      <c r="D8540" t="s">
        <v>33</v>
      </c>
      <c r="E8540" t="s">
        <v>22</v>
      </c>
      <c r="F8540" t="s">
        <v>19</v>
      </c>
      <c r="G8540" s="1" t="str">
        <f t="shared" ref="G8540:M8540" si="1867">"..."</f>
        <v>...</v>
      </c>
      <c r="H8540" s="1" t="str">
        <f t="shared" si="1867"/>
        <v>...</v>
      </c>
      <c r="I8540" s="1" t="str">
        <f t="shared" si="1867"/>
        <v>...</v>
      </c>
      <c r="J8540" s="1" t="str">
        <f t="shared" si="1867"/>
        <v>...</v>
      </c>
      <c r="K8540" s="1" t="str">
        <f t="shared" si="1867"/>
        <v>...</v>
      </c>
      <c r="L8540" s="1" t="str">
        <f t="shared" si="1867"/>
        <v>...</v>
      </c>
      <c r="M8540" s="1" t="str">
        <f t="shared" si="1867"/>
        <v>...</v>
      </c>
      <c r="N8540" t="s">
        <v>30</v>
      </c>
    </row>
    <row r="8541" spans="1:14" x14ac:dyDescent="0.25">
      <c r="A8541" t="s">
        <v>43</v>
      </c>
      <c r="B8541" t="s">
        <v>15</v>
      </c>
      <c r="C8541" t="s">
        <v>37</v>
      </c>
      <c r="D8541" t="s">
        <v>33</v>
      </c>
      <c r="E8541" t="s">
        <v>22</v>
      </c>
      <c r="F8541" t="s">
        <v>20</v>
      </c>
      <c r="G8541" s="1" t="str">
        <f t="shared" ref="G8541:M8542" si="1868">"X"</f>
        <v>X</v>
      </c>
      <c r="H8541" s="1" t="str">
        <f t="shared" si="1868"/>
        <v>X</v>
      </c>
      <c r="I8541" s="1" t="str">
        <f t="shared" si="1868"/>
        <v>X</v>
      </c>
      <c r="J8541" s="1" t="str">
        <f t="shared" si="1868"/>
        <v>X</v>
      </c>
      <c r="K8541" s="1" t="str">
        <f t="shared" si="1868"/>
        <v>X</v>
      </c>
      <c r="L8541" s="1" t="str">
        <f t="shared" si="1868"/>
        <v>X</v>
      </c>
      <c r="M8541" s="1" t="str">
        <f t="shared" si="1868"/>
        <v>X</v>
      </c>
      <c r="N8541" t="s">
        <v>27</v>
      </c>
    </row>
    <row r="8542" spans="1:14" x14ac:dyDescent="0.25">
      <c r="A8542" t="s">
        <v>43</v>
      </c>
      <c r="B8542" t="s">
        <v>15</v>
      </c>
      <c r="C8542" t="s">
        <v>37</v>
      </c>
      <c r="D8542" t="s">
        <v>33</v>
      </c>
      <c r="E8542" t="s">
        <v>23</v>
      </c>
      <c r="F8542" t="s">
        <v>15</v>
      </c>
      <c r="G8542" s="1" t="str">
        <f t="shared" si="1868"/>
        <v>X</v>
      </c>
      <c r="H8542" s="1" t="str">
        <f t="shared" si="1868"/>
        <v>X</v>
      </c>
      <c r="I8542" s="1" t="str">
        <f t="shared" si="1868"/>
        <v>X</v>
      </c>
      <c r="J8542" s="1" t="str">
        <f t="shared" si="1868"/>
        <v>X</v>
      </c>
      <c r="K8542" s="1" t="str">
        <f t="shared" si="1868"/>
        <v>X</v>
      </c>
      <c r="L8542" s="1" t="str">
        <f t="shared" si="1868"/>
        <v>X</v>
      </c>
      <c r="M8542" s="1" t="str">
        <f t="shared" si="1868"/>
        <v>X</v>
      </c>
      <c r="N8542" t="s">
        <v>27</v>
      </c>
    </row>
    <row r="8543" spans="1:14" x14ac:dyDescent="0.25">
      <c r="A8543" t="s">
        <v>43</v>
      </c>
      <c r="B8543" t="s">
        <v>15</v>
      </c>
      <c r="C8543" t="s">
        <v>37</v>
      </c>
      <c r="D8543" t="s">
        <v>33</v>
      </c>
      <c r="E8543" t="s">
        <v>23</v>
      </c>
      <c r="F8543" t="s">
        <v>17</v>
      </c>
      <c r="G8543" s="1" t="str">
        <f t="shared" ref="G8543:M8545" si="1869">"..."</f>
        <v>...</v>
      </c>
      <c r="H8543" s="1" t="str">
        <f t="shared" si="1869"/>
        <v>...</v>
      </c>
      <c r="I8543" s="1" t="str">
        <f t="shared" si="1869"/>
        <v>...</v>
      </c>
      <c r="J8543" s="1" t="str">
        <f t="shared" si="1869"/>
        <v>...</v>
      </c>
      <c r="K8543" s="1" t="str">
        <f t="shared" si="1869"/>
        <v>...</v>
      </c>
      <c r="L8543" s="1" t="str">
        <f t="shared" si="1869"/>
        <v>...</v>
      </c>
      <c r="M8543" s="1" t="str">
        <f t="shared" si="1869"/>
        <v>...</v>
      </c>
      <c r="N8543" t="s">
        <v>30</v>
      </c>
    </row>
    <row r="8544" spans="1:14" x14ac:dyDescent="0.25">
      <c r="A8544" t="s">
        <v>43</v>
      </c>
      <c r="B8544" t="s">
        <v>15</v>
      </c>
      <c r="C8544" t="s">
        <v>37</v>
      </c>
      <c r="D8544" t="s">
        <v>33</v>
      </c>
      <c r="E8544" t="s">
        <v>23</v>
      </c>
      <c r="F8544" t="s">
        <v>18</v>
      </c>
      <c r="G8544" s="1" t="str">
        <f t="shared" si="1869"/>
        <v>...</v>
      </c>
      <c r="H8544" s="1" t="str">
        <f t="shared" si="1869"/>
        <v>...</v>
      </c>
      <c r="I8544" s="1" t="str">
        <f t="shared" si="1869"/>
        <v>...</v>
      </c>
      <c r="J8544" s="1" t="str">
        <f t="shared" si="1869"/>
        <v>...</v>
      </c>
      <c r="K8544" s="1" t="str">
        <f t="shared" si="1869"/>
        <v>...</v>
      </c>
      <c r="L8544" s="1" t="str">
        <f t="shared" si="1869"/>
        <v>...</v>
      </c>
      <c r="M8544" s="1" t="str">
        <f t="shared" si="1869"/>
        <v>...</v>
      </c>
      <c r="N8544" t="s">
        <v>30</v>
      </c>
    </row>
    <row r="8545" spans="1:14" x14ac:dyDescent="0.25">
      <c r="A8545" t="s">
        <v>43</v>
      </c>
      <c r="B8545" t="s">
        <v>15</v>
      </c>
      <c r="C8545" t="s">
        <v>37</v>
      </c>
      <c r="D8545" t="s">
        <v>33</v>
      </c>
      <c r="E8545" t="s">
        <v>23</v>
      </c>
      <c r="F8545" t="s">
        <v>19</v>
      </c>
      <c r="G8545" s="1" t="str">
        <f t="shared" si="1869"/>
        <v>...</v>
      </c>
      <c r="H8545" s="1" t="str">
        <f t="shared" si="1869"/>
        <v>...</v>
      </c>
      <c r="I8545" s="1" t="str">
        <f t="shared" si="1869"/>
        <v>...</v>
      </c>
      <c r="J8545" s="1" t="str">
        <f t="shared" si="1869"/>
        <v>...</v>
      </c>
      <c r="K8545" s="1" t="str">
        <f t="shared" si="1869"/>
        <v>...</v>
      </c>
      <c r="L8545" s="1" t="str">
        <f t="shared" si="1869"/>
        <v>...</v>
      </c>
      <c r="M8545" s="1" t="str">
        <f t="shared" si="1869"/>
        <v>...</v>
      </c>
      <c r="N8545" t="s">
        <v>30</v>
      </c>
    </row>
    <row r="8546" spans="1:14" x14ac:dyDescent="0.25">
      <c r="A8546" t="s">
        <v>43</v>
      </c>
      <c r="B8546" t="s">
        <v>15</v>
      </c>
      <c r="C8546" t="s">
        <v>37</v>
      </c>
      <c r="D8546" t="s">
        <v>33</v>
      </c>
      <c r="E8546" t="s">
        <v>23</v>
      </c>
      <c r="F8546" t="s">
        <v>20</v>
      </c>
      <c r="G8546" s="1" t="str">
        <f t="shared" ref="G8546:M8547" si="1870">"X"</f>
        <v>X</v>
      </c>
      <c r="H8546" s="1" t="str">
        <f t="shared" si="1870"/>
        <v>X</v>
      </c>
      <c r="I8546" s="1" t="str">
        <f t="shared" si="1870"/>
        <v>X</v>
      </c>
      <c r="J8546" s="1" t="str">
        <f t="shared" si="1870"/>
        <v>X</v>
      </c>
      <c r="K8546" s="1" t="str">
        <f t="shared" si="1870"/>
        <v>X</v>
      </c>
      <c r="L8546" s="1" t="str">
        <f t="shared" si="1870"/>
        <v>X</v>
      </c>
      <c r="M8546" s="1" t="str">
        <f t="shared" si="1870"/>
        <v>X</v>
      </c>
      <c r="N8546" t="s">
        <v>27</v>
      </c>
    </row>
    <row r="8547" spans="1:14" x14ac:dyDescent="0.25">
      <c r="A8547" t="s">
        <v>43</v>
      </c>
      <c r="B8547" t="s">
        <v>15</v>
      </c>
      <c r="C8547" t="s">
        <v>37</v>
      </c>
      <c r="D8547" t="s">
        <v>33</v>
      </c>
      <c r="E8547" t="s">
        <v>26</v>
      </c>
      <c r="F8547" t="s">
        <v>15</v>
      </c>
      <c r="G8547" s="1" t="str">
        <f t="shared" si="1870"/>
        <v>X</v>
      </c>
      <c r="H8547" s="1" t="str">
        <f t="shared" si="1870"/>
        <v>X</v>
      </c>
      <c r="I8547" s="1" t="str">
        <f t="shared" si="1870"/>
        <v>X</v>
      </c>
      <c r="J8547" s="1" t="str">
        <f t="shared" si="1870"/>
        <v>X</v>
      </c>
      <c r="K8547" s="1" t="str">
        <f t="shared" si="1870"/>
        <v>X</v>
      </c>
      <c r="L8547" s="1" t="str">
        <f t="shared" si="1870"/>
        <v>X</v>
      </c>
      <c r="M8547" s="1" t="str">
        <f t="shared" si="1870"/>
        <v>X</v>
      </c>
      <c r="N8547" t="s">
        <v>27</v>
      </c>
    </row>
    <row r="8548" spans="1:14" x14ac:dyDescent="0.25">
      <c r="A8548" t="s">
        <v>43</v>
      </c>
      <c r="B8548" t="s">
        <v>15</v>
      </c>
      <c r="C8548" t="s">
        <v>37</v>
      </c>
      <c r="D8548" t="s">
        <v>33</v>
      </c>
      <c r="E8548" t="s">
        <v>26</v>
      </c>
      <c r="F8548" t="s">
        <v>17</v>
      </c>
      <c r="G8548" s="1" t="str">
        <f t="shared" ref="G8548:M8550" si="1871">"..."</f>
        <v>...</v>
      </c>
      <c r="H8548" s="1" t="str">
        <f t="shared" si="1871"/>
        <v>...</v>
      </c>
      <c r="I8548" s="1" t="str">
        <f t="shared" si="1871"/>
        <v>...</v>
      </c>
      <c r="J8548" s="1" t="str">
        <f t="shared" si="1871"/>
        <v>...</v>
      </c>
      <c r="K8548" s="1" t="str">
        <f t="shared" si="1871"/>
        <v>...</v>
      </c>
      <c r="L8548" s="1" t="str">
        <f t="shared" si="1871"/>
        <v>...</v>
      </c>
      <c r="M8548" s="1" t="str">
        <f t="shared" si="1871"/>
        <v>...</v>
      </c>
      <c r="N8548" t="s">
        <v>30</v>
      </c>
    </row>
    <row r="8549" spans="1:14" x14ac:dyDescent="0.25">
      <c r="A8549" t="s">
        <v>43</v>
      </c>
      <c r="B8549" t="s">
        <v>15</v>
      </c>
      <c r="C8549" t="s">
        <v>37</v>
      </c>
      <c r="D8549" t="s">
        <v>33</v>
      </c>
      <c r="E8549" t="s">
        <v>26</v>
      </c>
      <c r="F8549" t="s">
        <v>18</v>
      </c>
      <c r="G8549" s="1" t="str">
        <f t="shared" si="1871"/>
        <v>...</v>
      </c>
      <c r="H8549" s="1" t="str">
        <f t="shared" si="1871"/>
        <v>...</v>
      </c>
      <c r="I8549" s="1" t="str">
        <f t="shared" si="1871"/>
        <v>...</v>
      </c>
      <c r="J8549" s="1" t="str">
        <f t="shared" si="1871"/>
        <v>...</v>
      </c>
      <c r="K8549" s="1" t="str">
        <f t="shared" si="1871"/>
        <v>...</v>
      </c>
      <c r="L8549" s="1" t="str">
        <f t="shared" si="1871"/>
        <v>...</v>
      </c>
      <c r="M8549" s="1" t="str">
        <f t="shared" si="1871"/>
        <v>...</v>
      </c>
      <c r="N8549" t="s">
        <v>30</v>
      </c>
    </row>
    <row r="8550" spans="1:14" x14ac:dyDescent="0.25">
      <c r="A8550" t="s">
        <v>43</v>
      </c>
      <c r="B8550" t="s">
        <v>15</v>
      </c>
      <c r="C8550" t="s">
        <v>37</v>
      </c>
      <c r="D8550" t="s">
        <v>33</v>
      </c>
      <c r="E8550" t="s">
        <v>26</v>
      </c>
      <c r="F8550" t="s">
        <v>19</v>
      </c>
      <c r="G8550" s="1" t="str">
        <f t="shared" si="1871"/>
        <v>...</v>
      </c>
      <c r="H8550" s="1" t="str">
        <f t="shared" si="1871"/>
        <v>...</v>
      </c>
      <c r="I8550" s="1" t="str">
        <f t="shared" si="1871"/>
        <v>...</v>
      </c>
      <c r="J8550" s="1" t="str">
        <f t="shared" si="1871"/>
        <v>...</v>
      </c>
      <c r="K8550" s="1" t="str">
        <f t="shared" si="1871"/>
        <v>...</v>
      </c>
      <c r="L8550" s="1" t="str">
        <f t="shared" si="1871"/>
        <v>...</v>
      </c>
      <c r="M8550" s="1" t="str">
        <f t="shared" si="1871"/>
        <v>...</v>
      </c>
      <c r="N8550" t="s">
        <v>30</v>
      </c>
    </row>
    <row r="8551" spans="1:14" x14ac:dyDescent="0.25">
      <c r="A8551" t="s">
        <v>43</v>
      </c>
      <c r="B8551" t="s">
        <v>15</v>
      </c>
      <c r="C8551" t="s">
        <v>37</v>
      </c>
      <c r="D8551" t="s">
        <v>33</v>
      </c>
      <c r="E8551" t="s">
        <v>26</v>
      </c>
      <c r="F8551" t="s">
        <v>20</v>
      </c>
      <c r="G8551" s="1" t="str">
        <f t="shared" ref="G8551:M8551" si="1872">"X"</f>
        <v>X</v>
      </c>
      <c r="H8551" s="1" t="str">
        <f t="shared" si="1872"/>
        <v>X</v>
      </c>
      <c r="I8551" s="1" t="str">
        <f t="shared" si="1872"/>
        <v>X</v>
      </c>
      <c r="J8551" s="1" t="str">
        <f t="shared" si="1872"/>
        <v>X</v>
      </c>
      <c r="K8551" s="1" t="str">
        <f t="shared" si="1872"/>
        <v>X</v>
      </c>
      <c r="L8551" s="1" t="str">
        <f t="shared" si="1872"/>
        <v>X</v>
      </c>
      <c r="M8551" s="1" t="str">
        <f t="shared" si="1872"/>
        <v>X</v>
      </c>
      <c r="N8551" t="s">
        <v>27</v>
      </c>
    </row>
    <row r="8552" spans="1:14" x14ac:dyDescent="0.25">
      <c r="A8552" t="s">
        <v>43</v>
      </c>
      <c r="B8552" t="s">
        <v>15</v>
      </c>
      <c r="C8552" t="s">
        <v>37</v>
      </c>
      <c r="D8552" t="s">
        <v>34</v>
      </c>
      <c r="E8552" t="s">
        <v>15</v>
      </c>
      <c r="F8552" t="s">
        <v>15</v>
      </c>
      <c r="G8552" s="2">
        <f>VALUE(312.71)</f>
        <v>312.70999999999998</v>
      </c>
      <c r="H8552" s="3">
        <f>VALUE(208.92)</f>
        <v>208.92</v>
      </c>
      <c r="I8552" s="4">
        <f>VALUE(3477)</f>
        <v>3477</v>
      </c>
      <c r="J8552" s="1">
        <f>VALUE(3848)</f>
        <v>3848</v>
      </c>
      <c r="K8552" s="1">
        <f>VALUE(4589)</f>
        <v>4589</v>
      </c>
      <c r="L8552" s="1">
        <f>VALUE(5627)</f>
        <v>5627</v>
      </c>
      <c r="M8552" s="8">
        <f>VALUE(6563)</f>
        <v>6563</v>
      </c>
      <c r="N8552" t="s">
        <v>25</v>
      </c>
    </row>
    <row r="8553" spans="1:14" x14ac:dyDescent="0.25">
      <c r="A8553" t="s">
        <v>43</v>
      </c>
      <c r="B8553" t="s">
        <v>15</v>
      </c>
      <c r="C8553" t="s">
        <v>37</v>
      </c>
      <c r="D8553" t="s">
        <v>34</v>
      </c>
      <c r="E8553" t="s">
        <v>15</v>
      </c>
      <c r="F8553" t="s">
        <v>17</v>
      </c>
      <c r="G8553" s="1" t="str">
        <f t="shared" ref="G8553:M8553" si="1873">"X"</f>
        <v>X</v>
      </c>
      <c r="H8553" s="1" t="str">
        <f t="shared" si="1873"/>
        <v>X</v>
      </c>
      <c r="I8553" s="1" t="str">
        <f t="shared" si="1873"/>
        <v>X</v>
      </c>
      <c r="J8553" s="1" t="str">
        <f t="shared" si="1873"/>
        <v>X</v>
      </c>
      <c r="K8553" s="1" t="str">
        <f t="shared" si="1873"/>
        <v>X</v>
      </c>
      <c r="L8553" s="1" t="str">
        <f t="shared" si="1873"/>
        <v>X</v>
      </c>
      <c r="M8553" s="1" t="str">
        <f t="shared" si="1873"/>
        <v>X</v>
      </c>
      <c r="N8553" t="s">
        <v>27</v>
      </c>
    </row>
    <row r="8554" spans="1:14" x14ac:dyDescent="0.25">
      <c r="A8554" t="s">
        <v>43</v>
      </c>
      <c r="B8554" t="s">
        <v>15</v>
      </c>
      <c r="C8554" t="s">
        <v>37</v>
      </c>
      <c r="D8554" t="s">
        <v>34</v>
      </c>
      <c r="E8554" t="s">
        <v>15</v>
      </c>
      <c r="F8554" t="s">
        <v>18</v>
      </c>
      <c r="G8554" s="1" t="str">
        <f t="shared" ref="G8554:M8554" si="1874">"..."</f>
        <v>...</v>
      </c>
      <c r="H8554" s="1" t="str">
        <f t="shared" si="1874"/>
        <v>...</v>
      </c>
      <c r="I8554" s="1" t="str">
        <f t="shared" si="1874"/>
        <v>...</v>
      </c>
      <c r="J8554" s="1" t="str">
        <f t="shared" si="1874"/>
        <v>...</v>
      </c>
      <c r="K8554" s="1" t="str">
        <f t="shared" si="1874"/>
        <v>...</v>
      </c>
      <c r="L8554" s="1" t="str">
        <f t="shared" si="1874"/>
        <v>...</v>
      </c>
      <c r="M8554" s="1" t="str">
        <f t="shared" si="1874"/>
        <v>...</v>
      </c>
      <c r="N8554" t="s">
        <v>30</v>
      </c>
    </row>
    <row r="8555" spans="1:14" x14ac:dyDescent="0.25">
      <c r="A8555" t="s">
        <v>43</v>
      </c>
      <c r="B8555" t="s">
        <v>15</v>
      </c>
      <c r="C8555" t="s">
        <v>37</v>
      </c>
      <c r="D8555" t="s">
        <v>34</v>
      </c>
      <c r="E8555" t="s">
        <v>15</v>
      </c>
      <c r="F8555" t="s">
        <v>19</v>
      </c>
      <c r="G8555" s="1" t="str">
        <f t="shared" ref="G8555:M8555" si="1875">"X"</f>
        <v>X</v>
      </c>
      <c r="H8555" s="1" t="str">
        <f t="shared" si="1875"/>
        <v>X</v>
      </c>
      <c r="I8555" s="1" t="str">
        <f t="shared" si="1875"/>
        <v>X</v>
      </c>
      <c r="J8555" s="1" t="str">
        <f t="shared" si="1875"/>
        <v>X</v>
      </c>
      <c r="K8555" s="1" t="str">
        <f t="shared" si="1875"/>
        <v>X</v>
      </c>
      <c r="L8555" s="1" t="str">
        <f t="shared" si="1875"/>
        <v>X</v>
      </c>
      <c r="M8555" s="1" t="str">
        <f t="shared" si="1875"/>
        <v>X</v>
      </c>
      <c r="N8555" t="s">
        <v>27</v>
      </c>
    </row>
    <row r="8556" spans="1:14" x14ac:dyDescent="0.25">
      <c r="A8556" t="s">
        <v>43</v>
      </c>
      <c r="B8556" t="s">
        <v>15</v>
      </c>
      <c r="C8556" t="s">
        <v>37</v>
      </c>
      <c r="D8556" t="s">
        <v>34</v>
      </c>
      <c r="E8556" t="s">
        <v>15</v>
      </c>
      <c r="F8556" t="s">
        <v>20</v>
      </c>
      <c r="G8556" s="2">
        <f>VALUE(283.84)</f>
        <v>283.83999999999997</v>
      </c>
      <c r="H8556" s="3">
        <f>VALUE(186.56)</f>
        <v>186.56</v>
      </c>
      <c r="I8556" s="1">
        <f>VALUE(3247)</f>
        <v>3247</v>
      </c>
      <c r="J8556" s="1">
        <f>VALUE(3800)</f>
        <v>3800</v>
      </c>
      <c r="K8556" s="1">
        <f>VALUE(4355)</f>
        <v>4355</v>
      </c>
      <c r="L8556" s="1">
        <f>VALUE(5351)</f>
        <v>5351</v>
      </c>
      <c r="M8556" s="8">
        <f>VALUE(5954)</f>
        <v>5954</v>
      </c>
      <c r="N8556" t="s">
        <v>25</v>
      </c>
    </row>
    <row r="8557" spans="1:14" x14ac:dyDescent="0.25">
      <c r="A8557" t="s">
        <v>43</v>
      </c>
      <c r="B8557" t="s">
        <v>15</v>
      </c>
      <c r="C8557" t="s">
        <v>37</v>
      </c>
      <c r="D8557" t="s">
        <v>34</v>
      </c>
      <c r="E8557" t="s">
        <v>21</v>
      </c>
      <c r="F8557" t="s">
        <v>15</v>
      </c>
      <c r="G8557" s="1" t="str">
        <f t="shared" ref="G8557:M8558" si="1876">"X"</f>
        <v>X</v>
      </c>
      <c r="H8557" s="1" t="str">
        <f t="shared" si="1876"/>
        <v>X</v>
      </c>
      <c r="I8557" s="1" t="str">
        <f t="shared" si="1876"/>
        <v>X</v>
      </c>
      <c r="J8557" s="1" t="str">
        <f t="shared" si="1876"/>
        <v>X</v>
      </c>
      <c r="K8557" s="1" t="str">
        <f t="shared" si="1876"/>
        <v>X</v>
      </c>
      <c r="L8557" s="1" t="str">
        <f t="shared" si="1876"/>
        <v>X</v>
      </c>
      <c r="M8557" s="1" t="str">
        <f t="shared" si="1876"/>
        <v>X</v>
      </c>
      <c r="N8557" t="s">
        <v>27</v>
      </c>
    </row>
    <row r="8558" spans="1:14" x14ac:dyDescent="0.25">
      <c r="A8558" t="s">
        <v>43</v>
      </c>
      <c r="B8558" t="s">
        <v>15</v>
      </c>
      <c r="C8558" t="s">
        <v>37</v>
      </c>
      <c r="D8558" t="s">
        <v>34</v>
      </c>
      <c r="E8558" t="s">
        <v>21</v>
      </c>
      <c r="F8558" t="s">
        <v>17</v>
      </c>
      <c r="G8558" s="1" t="str">
        <f t="shared" si="1876"/>
        <v>X</v>
      </c>
      <c r="H8558" s="1" t="str">
        <f t="shared" si="1876"/>
        <v>X</v>
      </c>
      <c r="I8558" s="1" t="str">
        <f t="shared" si="1876"/>
        <v>X</v>
      </c>
      <c r="J8558" s="1" t="str">
        <f t="shared" si="1876"/>
        <v>X</v>
      </c>
      <c r="K8558" s="1" t="str">
        <f t="shared" si="1876"/>
        <v>X</v>
      </c>
      <c r="L8558" s="1" t="str">
        <f t="shared" si="1876"/>
        <v>X</v>
      </c>
      <c r="M8558" s="1" t="str">
        <f t="shared" si="1876"/>
        <v>X</v>
      </c>
      <c r="N8558" t="s">
        <v>27</v>
      </c>
    </row>
    <row r="8559" spans="1:14" x14ac:dyDescent="0.25">
      <c r="A8559" t="s">
        <v>43</v>
      </c>
      <c r="B8559" t="s">
        <v>15</v>
      </c>
      <c r="C8559" t="s">
        <v>37</v>
      </c>
      <c r="D8559" t="s">
        <v>34</v>
      </c>
      <c r="E8559" t="s">
        <v>21</v>
      </c>
      <c r="F8559" t="s">
        <v>18</v>
      </c>
      <c r="G8559" s="1" t="str">
        <f t="shared" ref="G8559:M8559" si="1877">"..."</f>
        <v>...</v>
      </c>
      <c r="H8559" s="1" t="str">
        <f t="shared" si="1877"/>
        <v>...</v>
      </c>
      <c r="I8559" s="1" t="str">
        <f t="shared" si="1877"/>
        <v>...</v>
      </c>
      <c r="J8559" s="1" t="str">
        <f t="shared" si="1877"/>
        <v>...</v>
      </c>
      <c r="K8559" s="1" t="str">
        <f t="shared" si="1877"/>
        <v>...</v>
      </c>
      <c r="L8559" s="1" t="str">
        <f t="shared" si="1877"/>
        <v>...</v>
      </c>
      <c r="M8559" s="1" t="str">
        <f t="shared" si="1877"/>
        <v>...</v>
      </c>
      <c r="N8559" t="s">
        <v>30</v>
      </c>
    </row>
    <row r="8560" spans="1:14" x14ac:dyDescent="0.25">
      <c r="A8560" t="s">
        <v>43</v>
      </c>
      <c r="B8560" t="s">
        <v>15</v>
      </c>
      <c r="C8560" t="s">
        <v>37</v>
      </c>
      <c r="D8560" t="s">
        <v>34</v>
      </c>
      <c r="E8560" t="s">
        <v>21</v>
      </c>
      <c r="F8560" t="s">
        <v>19</v>
      </c>
      <c r="G8560" s="1" t="str">
        <f t="shared" ref="G8560:M8563" si="1878">"X"</f>
        <v>X</v>
      </c>
      <c r="H8560" s="1" t="str">
        <f t="shared" si="1878"/>
        <v>X</v>
      </c>
      <c r="I8560" s="1" t="str">
        <f t="shared" si="1878"/>
        <v>X</v>
      </c>
      <c r="J8560" s="1" t="str">
        <f t="shared" si="1878"/>
        <v>X</v>
      </c>
      <c r="K8560" s="1" t="str">
        <f t="shared" si="1878"/>
        <v>X</v>
      </c>
      <c r="L8560" s="1" t="str">
        <f t="shared" si="1878"/>
        <v>X</v>
      </c>
      <c r="M8560" s="1" t="str">
        <f t="shared" si="1878"/>
        <v>X</v>
      </c>
      <c r="N8560" t="s">
        <v>27</v>
      </c>
    </row>
    <row r="8561" spans="1:14" x14ac:dyDescent="0.25">
      <c r="A8561" t="s">
        <v>43</v>
      </c>
      <c r="B8561" t="s">
        <v>15</v>
      </c>
      <c r="C8561" t="s">
        <v>37</v>
      </c>
      <c r="D8561" t="s">
        <v>34</v>
      </c>
      <c r="E8561" t="s">
        <v>21</v>
      </c>
      <c r="F8561" t="s">
        <v>20</v>
      </c>
      <c r="G8561" s="1" t="str">
        <f t="shared" si="1878"/>
        <v>X</v>
      </c>
      <c r="H8561" s="1" t="str">
        <f t="shared" si="1878"/>
        <v>X</v>
      </c>
      <c r="I8561" s="1" t="str">
        <f t="shared" si="1878"/>
        <v>X</v>
      </c>
      <c r="J8561" s="1" t="str">
        <f t="shared" si="1878"/>
        <v>X</v>
      </c>
      <c r="K8561" s="1" t="str">
        <f t="shared" si="1878"/>
        <v>X</v>
      </c>
      <c r="L8561" s="1" t="str">
        <f t="shared" si="1878"/>
        <v>X</v>
      </c>
      <c r="M8561" s="1" t="str">
        <f t="shared" si="1878"/>
        <v>X</v>
      </c>
      <c r="N8561" t="s">
        <v>27</v>
      </c>
    </row>
    <row r="8562" spans="1:14" x14ac:dyDescent="0.25">
      <c r="A8562" t="s">
        <v>43</v>
      </c>
      <c r="B8562" t="s">
        <v>15</v>
      </c>
      <c r="C8562" t="s">
        <v>37</v>
      </c>
      <c r="D8562" t="s">
        <v>34</v>
      </c>
      <c r="E8562" t="s">
        <v>22</v>
      </c>
      <c r="F8562" t="s">
        <v>15</v>
      </c>
      <c r="G8562" s="1" t="str">
        <f t="shared" si="1878"/>
        <v>X</v>
      </c>
      <c r="H8562" s="1" t="str">
        <f t="shared" si="1878"/>
        <v>X</v>
      </c>
      <c r="I8562" s="1" t="str">
        <f t="shared" si="1878"/>
        <v>X</v>
      </c>
      <c r="J8562" s="1" t="str">
        <f t="shared" si="1878"/>
        <v>X</v>
      </c>
      <c r="K8562" s="1" t="str">
        <f t="shared" si="1878"/>
        <v>X</v>
      </c>
      <c r="L8562" s="1" t="str">
        <f t="shared" si="1878"/>
        <v>X</v>
      </c>
      <c r="M8562" s="1" t="str">
        <f t="shared" si="1878"/>
        <v>X</v>
      </c>
      <c r="N8562" t="s">
        <v>27</v>
      </c>
    </row>
    <row r="8563" spans="1:14" x14ac:dyDescent="0.25">
      <c r="A8563" t="s">
        <v>43</v>
      </c>
      <c r="B8563" t="s">
        <v>15</v>
      </c>
      <c r="C8563" t="s">
        <v>37</v>
      </c>
      <c r="D8563" t="s">
        <v>34</v>
      </c>
      <c r="E8563" t="s">
        <v>22</v>
      </c>
      <c r="F8563" t="s">
        <v>17</v>
      </c>
      <c r="G8563" s="1" t="str">
        <f t="shared" si="1878"/>
        <v>X</v>
      </c>
      <c r="H8563" s="1" t="str">
        <f t="shared" si="1878"/>
        <v>X</v>
      </c>
      <c r="I8563" s="1" t="str">
        <f t="shared" si="1878"/>
        <v>X</v>
      </c>
      <c r="J8563" s="1" t="str">
        <f t="shared" si="1878"/>
        <v>X</v>
      </c>
      <c r="K8563" s="1" t="str">
        <f t="shared" si="1878"/>
        <v>X</v>
      </c>
      <c r="L8563" s="1" t="str">
        <f t="shared" si="1878"/>
        <v>X</v>
      </c>
      <c r="M8563" s="1" t="str">
        <f t="shared" si="1878"/>
        <v>X</v>
      </c>
      <c r="N8563" t="s">
        <v>27</v>
      </c>
    </row>
    <row r="8564" spans="1:14" x14ac:dyDescent="0.25">
      <c r="A8564" t="s">
        <v>43</v>
      </c>
      <c r="B8564" t="s">
        <v>15</v>
      </c>
      <c r="C8564" t="s">
        <v>37</v>
      </c>
      <c r="D8564" t="s">
        <v>34</v>
      </c>
      <c r="E8564" t="s">
        <v>22</v>
      </c>
      <c r="F8564" t="s">
        <v>18</v>
      </c>
      <c r="G8564" s="1" t="str">
        <f t="shared" ref="G8564:M8564" si="1879">"..."</f>
        <v>...</v>
      </c>
      <c r="H8564" s="1" t="str">
        <f t="shared" si="1879"/>
        <v>...</v>
      </c>
      <c r="I8564" s="1" t="str">
        <f t="shared" si="1879"/>
        <v>...</v>
      </c>
      <c r="J8564" s="1" t="str">
        <f t="shared" si="1879"/>
        <v>...</v>
      </c>
      <c r="K8564" s="1" t="str">
        <f t="shared" si="1879"/>
        <v>...</v>
      </c>
      <c r="L8564" s="1" t="str">
        <f t="shared" si="1879"/>
        <v>...</v>
      </c>
      <c r="M8564" s="1" t="str">
        <f t="shared" si="1879"/>
        <v>...</v>
      </c>
      <c r="N8564" t="s">
        <v>30</v>
      </c>
    </row>
    <row r="8565" spans="1:14" x14ac:dyDescent="0.25">
      <c r="A8565" t="s">
        <v>43</v>
      </c>
      <c r="B8565" t="s">
        <v>15</v>
      </c>
      <c r="C8565" t="s">
        <v>37</v>
      </c>
      <c r="D8565" t="s">
        <v>34</v>
      </c>
      <c r="E8565" t="s">
        <v>22</v>
      </c>
      <c r="F8565" t="s">
        <v>19</v>
      </c>
      <c r="G8565" s="1" t="str">
        <f t="shared" ref="G8565:M8567" si="1880">"X"</f>
        <v>X</v>
      </c>
      <c r="H8565" s="1" t="str">
        <f t="shared" si="1880"/>
        <v>X</v>
      </c>
      <c r="I8565" s="1" t="str">
        <f t="shared" si="1880"/>
        <v>X</v>
      </c>
      <c r="J8565" s="1" t="str">
        <f t="shared" si="1880"/>
        <v>X</v>
      </c>
      <c r="K8565" s="1" t="str">
        <f t="shared" si="1880"/>
        <v>X</v>
      </c>
      <c r="L8565" s="1" t="str">
        <f t="shared" si="1880"/>
        <v>X</v>
      </c>
      <c r="M8565" s="1" t="str">
        <f t="shared" si="1880"/>
        <v>X</v>
      </c>
      <c r="N8565" t="s">
        <v>27</v>
      </c>
    </row>
    <row r="8566" spans="1:14" x14ac:dyDescent="0.25">
      <c r="A8566" t="s">
        <v>43</v>
      </c>
      <c r="B8566" t="s">
        <v>15</v>
      </c>
      <c r="C8566" t="s">
        <v>37</v>
      </c>
      <c r="D8566" t="s">
        <v>34</v>
      </c>
      <c r="E8566" t="s">
        <v>22</v>
      </c>
      <c r="F8566" t="s">
        <v>20</v>
      </c>
      <c r="G8566" s="1" t="str">
        <f t="shared" si="1880"/>
        <v>X</v>
      </c>
      <c r="H8566" s="1" t="str">
        <f t="shared" si="1880"/>
        <v>X</v>
      </c>
      <c r="I8566" s="1" t="str">
        <f t="shared" si="1880"/>
        <v>X</v>
      </c>
      <c r="J8566" s="1" t="str">
        <f t="shared" si="1880"/>
        <v>X</v>
      </c>
      <c r="K8566" s="1" t="str">
        <f t="shared" si="1880"/>
        <v>X</v>
      </c>
      <c r="L8566" s="1" t="str">
        <f t="shared" si="1880"/>
        <v>X</v>
      </c>
      <c r="M8566" s="1" t="str">
        <f t="shared" si="1880"/>
        <v>X</v>
      </c>
      <c r="N8566" t="s">
        <v>27</v>
      </c>
    </row>
    <row r="8567" spans="1:14" x14ac:dyDescent="0.25">
      <c r="A8567" t="s">
        <v>43</v>
      </c>
      <c r="B8567" t="s">
        <v>15</v>
      </c>
      <c r="C8567" t="s">
        <v>37</v>
      </c>
      <c r="D8567" t="s">
        <v>34</v>
      </c>
      <c r="E8567" t="s">
        <v>23</v>
      </c>
      <c r="F8567" t="s">
        <v>15</v>
      </c>
      <c r="G8567" s="1" t="str">
        <f t="shared" si="1880"/>
        <v>X</v>
      </c>
      <c r="H8567" s="1" t="str">
        <f t="shared" si="1880"/>
        <v>X</v>
      </c>
      <c r="I8567" s="1" t="str">
        <f t="shared" si="1880"/>
        <v>X</v>
      </c>
      <c r="J8567" s="1" t="str">
        <f t="shared" si="1880"/>
        <v>X</v>
      </c>
      <c r="K8567" s="1" t="str">
        <f t="shared" si="1880"/>
        <v>X</v>
      </c>
      <c r="L8567" s="1" t="str">
        <f t="shared" si="1880"/>
        <v>X</v>
      </c>
      <c r="M8567" s="1" t="str">
        <f t="shared" si="1880"/>
        <v>X</v>
      </c>
      <c r="N8567" t="s">
        <v>27</v>
      </c>
    </row>
    <row r="8568" spans="1:14" x14ac:dyDescent="0.25">
      <c r="A8568" t="s">
        <v>43</v>
      </c>
      <c r="B8568" t="s">
        <v>15</v>
      </c>
      <c r="C8568" t="s">
        <v>37</v>
      </c>
      <c r="D8568" t="s">
        <v>34</v>
      </c>
      <c r="E8568" t="s">
        <v>23</v>
      </c>
      <c r="F8568" t="s">
        <v>17</v>
      </c>
      <c r="G8568" s="1" t="str">
        <f t="shared" ref="G8568:M8569" si="1881">"..."</f>
        <v>...</v>
      </c>
      <c r="H8568" s="1" t="str">
        <f t="shared" si="1881"/>
        <v>...</v>
      </c>
      <c r="I8568" s="1" t="str">
        <f t="shared" si="1881"/>
        <v>...</v>
      </c>
      <c r="J8568" s="1" t="str">
        <f t="shared" si="1881"/>
        <v>...</v>
      </c>
      <c r="K8568" s="1" t="str">
        <f t="shared" si="1881"/>
        <v>...</v>
      </c>
      <c r="L8568" s="1" t="str">
        <f t="shared" si="1881"/>
        <v>...</v>
      </c>
      <c r="M8568" s="1" t="str">
        <f t="shared" si="1881"/>
        <v>...</v>
      </c>
      <c r="N8568" t="s">
        <v>30</v>
      </c>
    </row>
    <row r="8569" spans="1:14" x14ac:dyDescent="0.25">
      <c r="A8569" t="s">
        <v>43</v>
      </c>
      <c r="B8569" t="s">
        <v>15</v>
      </c>
      <c r="C8569" t="s">
        <v>37</v>
      </c>
      <c r="D8569" t="s">
        <v>34</v>
      </c>
      <c r="E8569" t="s">
        <v>23</v>
      </c>
      <c r="F8569" t="s">
        <v>18</v>
      </c>
      <c r="G8569" s="1" t="str">
        <f t="shared" si="1881"/>
        <v>...</v>
      </c>
      <c r="H8569" s="1" t="str">
        <f t="shared" si="1881"/>
        <v>...</v>
      </c>
      <c r="I8569" s="1" t="str">
        <f t="shared" si="1881"/>
        <v>...</v>
      </c>
      <c r="J8569" s="1" t="str">
        <f t="shared" si="1881"/>
        <v>...</v>
      </c>
      <c r="K8569" s="1" t="str">
        <f t="shared" si="1881"/>
        <v>...</v>
      </c>
      <c r="L8569" s="1" t="str">
        <f t="shared" si="1881"/>
        <v>...</v>
      </c>
      <c r="M8569" s="1" t="str">
        <f t="shared" si="1881"/>
        <v>...</v>
      </c>
      <c r="N8569" t="s">
        <v>30</v>
      </c>
    </row>
    <row r="8570" spans="1:14" x14ac:dyDescent="0.25">
      <c r="A8570" t="s">
        <v>43</v>
      </c>
      <c r="B8570" t="s">
        <v>15</v>
      </c>
      <c r="C8570" t="s">
        <v>37</v>
      </c>
      <c r="D8570" t="s">
        <v>34</v>
      </c>
      <c r="E8570" t="s">
        <v>23</v>
      </c>
      <c r="F8570" t="s">
        <v>19</v>
      </c>
      <c r="G8570" s="1" t="str">
        <f t="shared" ref="G8570:M8572" si="1882">"X"</f>
        <v>X</v>
      </c>
      <c r="H8570" s="1" t="str">
        <f t="shared" si="1882"/>
        <v>X</v>
      </c>
      <c r="I8570" s="1" t="str">
        <f t="shared" si="1882"/>
        <v>X</v>
      </c>
      <c r="J8570" s="1" t="str">
        <f t="shared" si="1882"/>
        <v>X</v>
      </c>
      <c r="K8570" s="1" t="str">
        <f t="shared" si="1882"/>
        <v>X</v>
      </c>
      <c r="L8570" s="1" t="str">
        <f t="shared" si="1882"/>
        <v>X</v>
      </c>
      <c r="M8570" s="1" t="str">
        <f t="shared" si="1882"/>
        <v>X</v>
      </c>
      <c r="N8570" t="s">
        <v>27</v>
      </c>
    </row>
    <row r="8571" spans="1:14" x14ac:dyDescent="0.25">
      <c r="A8571" t="s">
        <v>43</v>
      </c>
      <c r="B8571" t="s">
        <v>15</v>
      </c>
      <c r="C8571" t="s">
        <v>37</v>
      </c>
      <c r="D8571" t="s">
        <v>34</v>
      </c>
      <c r="E8571" t="s">
        <v>23</v>
      </c>
      <c r="F8571" t="s">
        <v>20</v>
      </c>
      <c r="G8571" s="1" t="str">
        <f t="shared" si="1882"/>
        <v>X</v>
      </c>
      <c r="H8571" s="1" t="str">
        <f t="shared" si="1882"/>
        <v>X</v>
      </c>
      <c r="I8571" s="1" t="str">
        <f t="shared" si="1882"/>
        <v>X</v>
      </c>
      <c r="J8571" s="1" t="str">
        <f t="shared" si="1882"/>
        <v>X</v>
      </c>
      <c r="K8571" s="1" t="str">
        <f t="shared" si="1882"/>
        <v>X</v>
      </c>
      <c r="L8571" s="1" t="str">
        <f t="shared" si="1882"/>
        <v>X</v>
      </c>
      <c r="M8571" s="1" t="str">
        <f t="shared" si="1882"/>
        <v>X</v>
      </c>
      <c r="N8571" t="s">
        <v>27</v>
      </c>
    </row>
    <row r="8572" spans="1:14" x14ac:dyDescent="0.25">
      <c r="A8572" t="s">
        <v>43</v>
      </c>
      <c r="B8572" t="s">
        <v>15</v>
      </c>
      <c r="C8572" t="s">
        <v>37</v>
      </c>
      <c r="D8572" t="s">
        <v>34</v>
      </c>
      <c r="E8572" t="s">
        <v>26</v>
      </c>
      <c r="F8572" t="s">
        <v>15</v>
      </c>
      <c r="G8572" s="1" t="str">
        <f t="shared" si="1882"/>
        <v>X</v>
      </c>
      <c r="H8572" s="1" t="str">
        <f t="shared" si="1882"/>
        <v>X</v>
      </c>
      <c r="I8572" s="1" t="str">
        <f t="shared" si="1882"/>
        <v>X</v>
      </c>
      <c r="J8572" s="1" t="str">
        <f t="shared" si="1882"/>
        <v>X</v>
      </c>
      <c r="K8572" s="1" t="str">
        <f t="shared" si="1882"/>
        <v>X</v>
      </c>
      <c r="L8572" s="1" t="str">
        <f t="shared" si="1882"/>
        <v>X</v>
      </c>
      <c r="M8572" s="1" t="str">
        <f t="shared" si="1882"/>
        <v>X</v>
      </c>
      <c r="N8572" t="s">
        <v>27</v>
      </c>
    </row>
    <row r="8573" spans="1:14" x14ac:dyDescent="0.25">
      <c r="A8573" t="s">
        <v>43</v>
      </c>
      <c r="B8573" t="s">
        <v>15</v>
      </c>
      <c r="C8573" t="s">
        <v>37</v>
      </c>
      <c r="D8573" t="s">
        <v>34</v>
      </c>
      <c r="E8573" t="s">
        <v>26</v>
      </c>
      <c r="F8573" t="s">
        <v>17</v>
      </c>
      <c r="G8573" s="1" t="str">
        <f t="shared" ref="G8573:M8575" si="1883">"..."</f>
        <v>...</v>
      </c>
      <c r="H8573" s="1" t="str">
        <f t="shared" si="1883"/>
        <v>...</v>
      </c>
      <c r="I8573" s="1" t="str">
        <f t="shared" si="1883"/>
        <v>...</v>
      </c>
      <c r="J8573" s="1" t="str">
        <f t="shared" si="1883"/>
        <v>...</v>
      </c>
      <c r="K8573" s="1" t="str">
        <f t="shared" si="1883"/>
        <v>...</v>
      </c>
      <c r="L8573" s="1" t="str">
        <f t="shared" si="1883"/>
        <v>...</v>
      </c>
      <c r="M8573" s="1" t="str">
        <f t="shared" si="1883"/>
        <v>...</v>
      </c>
      <c r="N8573" t="s">
        <v>30</v>
      </c>
    </row>
    <row r="8574" spans="1:14" x14ac:dyDescent="0.25">
      <c r="A8574" t="s">
        <v>43</v>
      </c>
      <c r="B8574" t="s">
        <v>15</v>
      </c>
      <c r="C8574" t="s">
        <v>37</v>
      </c>
      <c r="D8574" t="s">
        <v>34</v>
      </c>
      <c r="E8574" t="s">
        <v>26</v>
      </c>
      <c r="F8574" t="s">
        <v>18</v>
      </c>
      <c r="G8574" s="1" t="str">
        <f t="shared" si="1883"/>
        <v>...</v>
      </c>
      <c r="H8574" s="1" t="str">
        <f t="shared" si="1883"/>
        <v>...</v>
      </c>
      <c r="I8574" s="1" t="str">
        <f t="shared" si="1883"/>
        <v>...</v>
      </c>
      <c r="J8574" s="1" t="str">
        <f t="shared" si="1883"/>
        <v>...</v>
      </c>
      <c r="K8574" s="1" t="str">
        <f t="shared" si="1883"/>
        <v>...</v>
      </c>
      <c r="L8574" s="1" t="str">
        <f t="shared" si="1883"/>
        <v>...</v>
      </c>
      <c r="M8574" s="1" t="str">
        <f t="shared" si="1883"/>
        <v>...</v>
      </c>
      <c r="N8574" t="s">
        <v>30</v>
      </c>
    </row>
    <row r="8575" spans="1:14" x14ac:dyDescent="0.25">
      <c r="A8575" t="s">
        <v>43</v>
      </c>
      <c r="B8575" t="s">
        <v>15</v>
      </c>
      <c r="C8575" t="s">
        <v>37</v>
      </c>
      <c r="D8575" t="s">
        <v>34</v>
      </c>
      <c r="E8575" t="s">
        <v>26</v>
      </c>
      <c r="F8575" t="s">
        <v>19</v>
      </c>
      <c r="G8575" s="1" t="str">
        <f t="shared" si="1883"/>
        <v>...</v>
      </c>
      <c r="H8575" s="1" t="str">
        <f t="shared" si="1883"/>
        <v>...</v>
      </c>
      <c r="I8575" s="1" t="str">
        <f t="shared" si="1883"/>
        <v>...</v>
      </c>
      <c r="J8575" s="1" t="str">
        <f t="shared" si="1883"/>
        <v>...</v>
      </c>
      <c r="K8575" s="1" t="str">
        <f t="shared" si="1883"/>
        <v>...</v>
      </c>
      <c r="L8575" s="1" t="str">
        <f t="shared" si="1883"/>
        <v>...</v>
      </c>
      <c r="M8575" s="1" t="str">
        <f t="shared" si="1883"/>
        <v>...</v>
      </c>
      <c r="N8575" t="s">
        <v>30</v>
      </c>
    </row>
    <row r="8576" spans="1:14" x14ac:dyDescent="0.25">
      <c r="A8576" t="s">
        <v>43</v>
      </c>
      <c r="B8576" t="s">
        <v>15</v>
      </c>
      <c r="C8576" t="s">
        <v>37</v>
      </c>
      <c r="D8576" t="s">
        <v>34</v>
      </c>
      <c r="E8576" t="s">
        <v>26</v>
      </c>
      <c r="F8576" t="s">
        <v>20</v>
      </c>
      <c r="G8576" s="1" t="str">
        <f t="shared" ref="G8576:M8576" si="1884">"X"</f>
        <v>X</v>
      </c>
      <c r="H8576" s="1" t="str">
        <f t="shared" si="1884"/>
        <v>X</v>
      </c>
      <c r="I8576" s="1" t="str">
        <f t="shared" si="1884"/>
        <v>X</v>
      </c>
      <c r="J8576" s="1" t="str">
        <f t="shared" si="1884"/>
        <v>X</v>
      </c>
      <c r="K8576" s="1" t="str">
        <f t="shared" si="1884"/>
        <v>X</v>
      </c>
      <c r="L8576" s="1" t="str">
        <f t="shared" si="1884"/>
        <v>X</v>
      </c>
      <c r="M8576" s="1" t="str">
        <f t="shared" si="1884"/>
        <v>X</v>
      </c>
      <c r="N8576" t="s">
        <v>27</v>
      </c>
    </row>
    <row r="8577" spans="1:14" x14ac:dyDescent="0.25">
      <c r="A8577" t="s">
        <v>43</v>
      </c>
      <c r="B8577" t="s">
        <v>15</v>
      </c>
      <c r="C8577" t="s">
        <v>38</v>
      </c>
      <c r="D8577" t="s">
        <v>15</v>
      </c>
      <c r="E8577" t="s">
        <v>15</v>
      </c>
      <c r="F8577" t="s">
        <v>15</v>
      </c>
      <c r="G8577" s="1">
        <f>VALUE(30865.81)</f>
        <v>30865.81</v>
      </c>
      <c r="H8577" s="1">
        <f>VALUE(25737.05)</f>
        <v>25737.05</v>
      </c>
      <c r="I8577" s="1">
        <f>VALUE(3758)</f>
        <v>3758</v>
      </c>
      <c r="J8577" s="1">
        <f>VALUE(4683)</f>
        <v>4683</v>
      </c>
      <c r="K8577" s="1">
        <f>VALUE(5708)</f>
        <v>5708</v>
      </c>
      <c r="L8577" s="1">
        <f>VALUE(7233)</f>
        <v>7233</v>
      </c>
      <c r="M8577" s="1">
        <f>VALUE(10143)</f>
        <v>10143</v>
      </c>
      <c r="N8577" t="s">
        <v>16</v>
      </c>
    </row>
    <row r="8578" spans="1:14" x14ac:dyDescent="0.25">
      <c r="A8578" t="s">
        <v>43</v>
      </c>
      <c r="B8578" t="s">
        <v>15</v>
      </c>
      <c r="C8578" t="s">
        <v>38</v>
      </c>
      <c r="D8578" t="s">
        <v>15</v>
      </c>
      <c r="E8578" t="s">
        <v>15</v>
      </c>
      <c r="F8578" t="s">
        <v>17</v>
      </c>
      <c r="G8578" s="1">
        <f>VALUE(5481.52)</f>
        <v>5481.52</v>
      </c>
      <c r="H8578" s="1">
        <f>VALUE(4926.81)</f>
        <v>4926.8100000000004</v>
      </c>
      <c r="I8578" s="1">
        <f>VALUE(5714)</f>
        <v>5714</v>
      </c>
      <c r="J8578" s="1">
        <f>VALUE(6851)</f>
        <v>6851</v>
      </c>
      <c r="K8578" s="1">
        <f>VALUE(8892)</f>
        <v>8892</v>
      </c>
      <c r="L8578" s="1">
        <f>VALUE(12186)</f>
        <v>12186</v>
      </c>
      <c r="M8578" s="1">
        <f>VALUE(18253)</f>
        <v>18253</v>
      </c>
      <c r="N8578" t="s">
        <v>16</v>
      </c>
    </row>
    <row r="8579" spans="1:14" x14ac:dyDescent="0.25">
      <c r="A8579" t="s">
        <v>43</v>
      </c>
      <c r="B8579" t="s">
        <v>15</v>
      </c>
      <c r="C8579" t="s">
        <v>38</v>
      </c>
      <c r="D8579" t="s">
        <v>15</v>
      </c>
      <c r="E8579" t="s">
        <v>15</v>
      </c>
      <c r="F8579" t="s">
        <v>18</v>
      </c>
      <c r="G8579" s="2">
        <f>VALUE(2786.78)</f>
        <v>2786.78</v>
      </c>
      <c r="H8579" s="3">
        <f>VALUE(2378.01)</f>
        <v>2378.0100000000002</v>
      </c>
      <c r="I8579" s="4">
        <f>VALUE(4746)</f>
        <v>4746</v>
      </c>
      <c r="J8579" s="1">
        <f>VALUE(5492)</f>
        <v>5492</v>
      </c>
      <c r="K8579" s="1">
        <f>VALUE(6553)</f>
        <v>6553</v>
      </c>
      <c r="L8579" s="1">
        <f>VALUE(8491)</f>
        <v>8491</v>
      </c>
      <c r="M8579" s="1">
        <f>VALUE(10555)</f>
        <v>10555</v>
      </c>
      <c r="N8579" t="s">
        <v>25</v>
      </c>
    </row>
    <row r="8580" spans="1:14" x14ac:dyDescent="0.25">
      <c r="A8580" t="s">
        <v>43</v>
      </c>
      <c r="B8580" t="s">
        <v>15</v>
      </c>
      <c r="C8580" t="s">
        <v>38</v>
      </c>
      <c r="D8580" t="s">
        <v>15</v>
      </c>
      <c r="E8580" t="s">
        <v>15</v>
      </c>
      <c r="F8580" t="s">
        <v>19</v>
      </c>
      <c r="G8580" s="2">
        <f>VALUE(3341.27)</f>
        <v>3341.27</v>
      </c>
      <c r="H8580" s="3">
        <f>VALUE(3145.35)</f>
        <v>3145.35</v>
      </c>
      <c r="I8580" s="4">
        <f>VALUE(4063)</f>
        <v>4063</v>
      </c>
      <c r="J8580" s="1">
        <f>VALUE(4929)</f>
        <v>4929</v>
      </c>
      <c r="K8580" s="1">
        <f>VALUE(5958)</f>
        <v>5958</v>
      </c>
      <c r="L8580" s="1">
        <f>VALUE(7118)</f>
        <v>7118</v>
      </c>
      <c r="M8580" s="1">
        <f>VALUE(8354)</f>
        <v>8354</v>
      </c>
      <c r="N8580" t="s">
        <v>25</v>
      </c>
    </row>
    <row r="8581" spans="1:14" x14ac:dyDescent="0.25">
      <c r="A8581" t="s">
        <v>43</v>
      </c>
      <c r="B8581" t="s">
        <v>15</v>
      </c>
      <c r="C8581" t="s">
        <v>38</v>
      </c>
      <c r="D8581" t="s">
        <v>15</v>
      </c>
      <c r="E8581" t="s">
        <v>15</v>
      </c>
      <c r="F8581" t="s">
        <v>20</v>
      </c>
      <c r="G8581" s="1">
        <f>VALUE(19256.24)</f>
        <v>19256.240000000002</v>
      </c>
      <c r="H8581" s="1">
        <f>VALUE(15286.88)</f>
        <v>15286.88</v>
      </c>
      <c r="I8581" s="1">
        <f>VALUE(3527)</f>
        <v>3527</v>
      </c>
      <c r="J8581" s="1">
        <f>VALUE(4191)</f>
        <v>4191</v>
      </c>
      <c r="K8581" s="1">
        <f>VALUE(5190)</f>
        <v>5190</v>
      </c>
      <c r="L8581" s="1">
        <f>VALUE(6020)</f>
        <v>6020</v>
      </c>
      <c r="M8581" s="1">
        <f>VALUE(7021)</f>
        <v>7021</v>
      </c>
      <c r="N8581" t="s">
        <v>16</v>
      </c>
    </row>
    <row r="8582" spans="1:14" x14ac:dyDescent="0.25">
      <c r="A8582" t="s">
        <v>43</v>
      </c>
      <c r="B8582" t="s">
        <v>15</v>
      </c>
      <c r="C8582" t="s">
        <v>38</v>
      </c>
      <c r="D8582" t="s">
        <v>15</v>
      </c>
      <c r="E8582" t="s">
        <v>21</v>
      </c>
      <c r="F8582" t="s">
        <v>15</v>
      </c>
      <c r="G8582" s="1">
        <f>VALUE(5333.59)</f>
        <v>5333.59</v>
      </c>
      <c r="H8582" s="1">
        <f>VALUE(4361.53)</f>
        <v>4361.53</v>
      </c>
      <c r="I8582" s="1">
        <f>VALUE(5247)</f>
        <v>5247</v>
      </c>
      <c r="J8582" s="1">
        <f>VALUE(6650)</f>
        <v>6650</v>
      </c>
      <c r="K8582" s="1">
        <f>VALUE(8568)</f>
        <v>8568</v>
      </c>
      <c r="L8582" s="1">
        <f>VALUE(11362)</f>
        <v>11362</v>
      </c>
      <c r="M8582" s="1">
        <f>VALUE(16738)</f>
        <v>16738</v>
      </c>
      <c r="N8582" t="s">
        <v>16</v>
      </c>
    </row>
    <row r="8583" spans="1:14" x14ac:dyDescent="0.25">
      <c r="A8583" t="s">
        <v>43</v>
      </c>
      <c r="B8583" t="s">
        <v>15</v>
      </c>
      <c r="C8583" t="s">
        <v>38</v>
      </c>
      <c r="D8583" t="s">
        <v>15</v>
      </c>
      <c r="E8583" t="s">
        <v>21</v>
      </c>
      <c r="F8583" t="s">
        <v>17</v>
      </c>
      <c r="G8583" s="2">
        <f>VALUE(2506.19)</f>
        <v>2506.19</v>
      </c>
      <c r="H8583" s="3">
        <f>VALUE(2158.77)</f>
        <v>2158.77</v>
      </c>
      <c r="I8583" s="1">
        <f>VALUE(7262)</f>
        <v>7262</v>
      </c>
      <c r="J8583" s="1">
        <f>VALUE(8667)</f>
        <v>8667</v>
      </c>
      <c r="K8583" s="1">
        <f>VALUE(10985)</f>
        <v>10985</v>
      </c>
      <c r="L8583" s="1">
        <f>VALUE(14950)</f>
        <v>14950</v>
      </c>
      <c r="M8583" s="1">
        <f>VALUE(20700)</f>
        <v>20700</v>
      </c>
      <c r="N8583" t="s">
        <v>25</v>
      </c>
    </row>
    <row r="8584" spans="1:14" x14ac:dyDescent="0.25">
      <c r="A8584" t="s">
        <v>43</v>
      </c>
      <c r="B8584" t="s">
        <v>15</v>
      </c>
      <c r="C8584" t="s">
        <v>38</v>
      </c>
      <c r="D8584" t="s">
        <v>15</v>
      </c>
      <c r="E8584" t="s">
        <v>21</v>
      </c>
      <c r="F8584" t="s">
        <v>18</v>
      </c>
      <c r="G8584" s="2">
        <f>VALUE(742.49)</f>
        <v>742.49</v>
      </c>
      <c r="H8584" s="3">
        <f>VALUE(592.39)</f>
        <v>592.39</v>
      </c>
      <c r="I8584" s="1">
        <f>VALUE(5716)</f>
        <v>5716</v>
      </c>
      <c r="J8584" s="1">
        <f>VALUE(6829)</f>
        <v>6829</v>
      </c>
      <c r="K8584" s="1">
        <f>VALUE(8125)</f>
        <v>8125</v>
      </c>
      <c r="L8584" s="7">
        <f>VALUE(9955)</f>
        <v>9955</v>
      </c>
      <c r="M8584" s="1">
        <f>VALUE(11349)</f>
        <v>11349</v>
      </c>
      <c r="N8584" t="s">
        <v>25</v>
      </c>
    </row>
    <row r="8585" spans="1:14" x14ac:dyDescent="0.25">
      <c r="A8585" t="s">
        <v>43</v>
      </c>
      <c r="B8585" t="s">
        <v>15</v>
      </c>
      <c r="C8585" t="s">
        <v>38</v>
      </c>
      <c r="D8585" t="s">
        <v>15</v>
      </c>
      <c r="E8585" t="s">
        <v>21</v>
      </c>
      <c r="F8585" t="s">
        <v>19</v>
      </c>
      <c r="G8585" s="2">
        <f>VALUE(500.8)</f>
        <v>500.8</v>
      </c>
      <c r="H8585" s="3">
        <f>VALUE(459.49)</f>
        <v>459.49</v>
      </c>
      <c r="I8585" s="4">
        <f>VALUE(5449)</f>
        <v>5449</v>
      </c>
      <c r="J8585" s="1">
        <f>VALUE(6628)</f>
        <v>6628</v>
      </c>
      <c r="K8585" s="1">
        <f>VALUE(7670)</f>
        <v>7670</v>
      </c>
      <c r="L8585" s="1">
        <f>VALUE(8729)</f>
        <v>8729</v>
      </c>
      <c r="M8585" s="1">
        <f>VALUE(10588)</f>
        <v>10588</v>
      </c>
      <c r="N8585" t="s">
        <v>25</v>
      </c>
    </row>
    <row r="8586" spans="1:14" x14ac:dyDescent="0.25">
      <c r="A8586" t="s">
        <v>43</v>
      </c>
      <c r="B8586" t="s">
        <v>15</v>
      </c>
      <c r="C8586" t="s">
        <v>38</v>
      </c>
      <c r="D8586" t="s">
        <v>15</v>
      </c>
      <c r="E8586" t="s">
        <v>21</v>
      </c>
      <c r="F8586" t="s">
        <v>20</v>
      </c>
      <c r="G8586" s="2">
        <f>VALUE(1584.11)</f>
        <v>1584.11</v>
      </c>
      <c r="H8586" s="3">
        <f>VALUE(1150.88)</f>
        <v>1150.8800000000001</v>
      </c>
      <c r="I8586" s="4">
        <f>VALUE(4410)</f>
        <v>4410</v>
      </c>
      <c r="J8586" s="5">
        <f>VALUE(5247)</f>
        <v>5247</v>
      </c>
      <c r="K8586" s="6">
        <f>VALUE(5984)</f>
        <v>5984</v>
      </c>
      <c r="L8586" s="1">
        <f>VALUE(7763)</f>
        <v>7763</v>
      </c>
      <c r="M8586" s="1">
        <f>VALUE(9130)</f>
        <v>9130</v>
      </c>
      <c r="N8586" t="s">
        <v>25</v>
      </c>
    </row>
    <row r="8587" spans="1:14" x14ac:dyDescent="0.25">
      <c r="A8587" t="s">
        <v>43</v>
      </c>
      <c r="B8587" t="s">
        <v>15</v>
      </c>
      <c r="C8587" t="s">
        <v>38</v>
      </c>
      <c r="D8587" t="s">
        <v>15</v>
      </c>
      <c r="E8587" t="s">
        <v>22</v>
      </c>
      <c r="F8587" t="s">
        <v>15</v>
      </c>
      <c r="G8587" s="1">
        <f>VALUE(13732.53)</f>
        <v>13732.53</v>
      </c>
      <c r="H8587" s="1">
        <f>VALUE(11611.58)</f>
        <v>11611.58</v>
      </c>
      <c r="I8587" s="1">
        <f>VALUE(4367)</f>
        <v>4367</v>
      </c>
      <c r="J8587" s="1">
        <f>VALUE(5200)</f>
        <v>5200</v>
      </c>
      <c r="K8587" s="1">
        <f>VALUE(6030)</f>
        <v>6030</v>
      </c>
      <c r="L8587" s="1">
        <f>VALUE(7283)</f>
        <v>7283</v>
      </c>
      <c r="M8587" s="1">
        <f>VALUE(9204)</f>
        <v>9204</v>
      </c>
      <c r="N8587" t="s">
        <v>16</v>
      </c>
    </row>
    <row r="8588" spans="1:14" x14ac:dyDescent="0.25">
      <c r="A8588" t="s">
        <v>43</v>
      </c>
      <c r="B8588" t="s">
        <v>15</v>
      </c>
      <c r="C8588" t="s">
        <v>38</v>
      </c>
      <c r="D8588" t="s">
        <v>15</v>
      </c>
      <c r="E8588" t="s">
        <v>22</v>
      </c>
      <c r="F8588" t="s">
        <v>17</v>
      </c>
      <c r="G8588" s="2">
        <f>VALUE(2509.66)</f>
        <v>2509.66</v>
      </c>
      <c r="H8588" s="3">
        <f>VALUE(2311.72)</f>
        <v>2311.7199999999998</v>
      </c>
      <c r="I8588" s="1">
        <f>VALUE(5459)</f>
        <v>5459</v>
      </c>
      <c r="J8588" s="1">
        <f>VALUE(6190)</f>
        <v>6190</v>
      </c>
      <c r="K8588" s="1">
        <f>VALUE(7699)</f>
        <v>7699</v>
      </c>
      <c r="L8588" s="1">
        <f>VALUE(10300)</f>
        <v>10300</v>
      </c>
      <c r="M8588" s="8">
        <f>VALUE(15063)</f>
        <v>15063</v>
      </c>
      <c r="N8588" t="s">
        <v>25</v>
      </c>
    </row>
    <row r="8589" spans="1:14" x14ac:dyDescent="0.25">
      <c r="A8589" t="s">
        <v>43</v>
      </c>
      <c r="B8589" t="s">
        <v>15</v>
      </c>
      <c r="C8589" t="s">
        <v>38</v>
      </c>
      <c r="D8589" t="s">
        <v>15</v>
      </c>
      <c r="E8589" t="s">
        <v>22</v>
      </c>
      <c r="F8589" t="s">
        <v>18</v>
      </c>
      <c r="G8589" s="2">
        <f>VALUE(1506.01)</f>
        <v>1506.01</v>
      </c>
      <c r="H8589" s="3">
        <f>VALUE(1295.15)</f>
        <v>1295.1500000000001</v>
      </c>
      <c r="I8589" s="1">
        <f>VALUE(5069)</f>
        <v>5069</v>
      </c>
      <c r="J8589" s="1">
        <f>VALUE(5722)</f>
        <v>5722</v>
      </c>
      <c r="K8589" s="6">
        <f>VALUE(6502)</f>
        <v>6502</v>
      </c>
      <c r="L8589" s="1">
        <f>VALUE(8638)</f>
        <v>8638</v>
      </c>
      <c r="M8589" s="1">
        <f>VALUE(10318)</f>
        <v>10318</v>
      </c>
      <c r="N8589" t="s">
        <v>25</v>
      </c>
    </row>
    <row r="8590" spans="1:14" x14ac:dyDescent="0.25">
      <c r="A8590" t="s">
        <v>43</v>
      </c>
      <c r="B8590" t="s">
        <v>15</v>
      </c>
      <c r="C8590" t="s">
        <v>38</v>
      </c>
      <c r="D8590" t="s">
        <v>15</v>
      </c>
      <c r="E8590" t="s">
        <v>22</v>
      </c>
      <c r="F8590" t="s">
        <v>19</v>
      </c>
      <c r="G8590" s="2">
        <f>VALUE(1703.62)</f>
        <v>1703.62</v>
      </c>
      <c r="H8590" s="3">
        <f>VALUE(1560.24)</f>
        <v>1560.24</v>
      </c>
      <c r="I8590" s="1">
        <f>VALUE(4615)</f>
        <v>4615</v>
      </c>
      <c r="J8590" s="1">
        <f>VALUE(5200)</f>
        <v>5200</v>
      </c>
      <c r="K8590" s="1">
        <f>VALUE(6083)</f>
        <v>6083</v>
      </c>
      <c r="L8590" s="1">
        <f>VALUE(7335)</f>
        <v>7335</v>
      </c>
      <c r="M8590" s="1">
        <f>VALUE(8253)</f>
        <v>8253</v>
      </c>
      <c r="N8590" t="s">
        <v>25</v>
      </c>
    </row>
    <row r="8591" spans="1:14" x14ac:dyDescent="0.25">
      <c r="A8591" t="s">
        <v>43</v>
      </c>
      <c r="B8591" t="s">
        <v>15</v>
      </c>
      <c r="C8591" t="s">
        <v>38</v>
      </c>
      <c r="D8591" t="s">
        <v>15</v>
      </c>
      <c r="E8591" t="s">
        <v>22</v>
      </c>
      <c r="F8591" t="s">
        <v>20</v>
      </c>
      <c r="G8591" s="1">
        <f>VALUE(8013.24)</f>
        <v>8013.24</v>
      </c>
      <c r="H8591" s="1">
        <f>VALUE(6444.47)</f>
        <v>6444.47</v>
      </c>
      <c r="I8591" s="1">
        <f>VALUE(4216)</f>
        <v>4216</v>
      </c>
      <c r="J8591" s="1">
        <f>VALUE(4811)</f>
        <v>4811</v>
      </c>
      <c r="K8591" s="1">
        <f>VALUE(5630)</f>
        <v>5630</v>
      </c>
      <c r="L8591" s="1">
        <f>VALUE(6499)</f>
        <v>6499</v>
      </c>
      <c r="M8591" s="1">
        <f>VALUE(7335)</f>
        <v>7335</v>
      </c>
      <c r="N8591" t="s">
        <v>16</v>
      </c>
    </row>
    <row r="8592" spans="1:14" x14ac:dyDescent="0.25">
      <c r="A8592" t="s">
        <v>43</v>
      </c>
      <c r="B8592" t="s">
        <v>15</v>
      </c>
      <c r="C8592" t="s">
        <v>38</v>
      </c>
      <c r="D8592" t="s">
        <v>15</v>
      </c>
      <c r="E8592" t="s">
        <v>23</v>
      </c>
      <c r="F8592" t="s">
        <v>15</v>
      </c>
      <c r="G8592" s="1">
        <f>VALUE(11421.92)</f>
        <v>11421.92</v>
      </c>
      <c r="H8592" s="1">
        <f>VALUE(9464.11)</f>
        <v>9464.11</v>
      </c>
      <c r="I8592" s="1">
        <f>VALUE(3387)</f>
        <v>3387</v>
      </c>
      <c r="J8592" s="1">
        <f>VALUE(3861)</f>
        <v>3861</v>
      </c>
      <c r="K8592" s="1">
        <f>VALUE(4766)</f>
        <v>4766</v>
      </c>
      <c r="L8592" s="1">
        <f>VALUE(5622)</f>
        <v>5622</v>
      </c>
      <c r="M8592" s="1">
        <f>VALUE(6557)</f>
        <v>6557</v>
      </c>
      <c r="N8592" t="s">
        <v>16</v>
      </c>
    </row>
    <row r="8593" spans="1:14" x14ac:dyDescent="0.25">
      <c r="A8593" t="s">
        <v>43</v>
      </c>
      <c r="B8593" t="s">
        <v>15</v>
      </c>
      <c r="C8593" t="s">
        <v>38</v>
      </c>
      <c r="D8593" t="s">
        <v>15</v>
      </c>
      <c r="E8593" t="s">
        <v>23</v>
      </c>
      <c r="F8593" t="s">
        <v>17</v>
      </c>
      <c r="G8593" s="2">
        <f>VALUE(409.4)</f>
        <v>409.4</v>
      </c>
      <c r="H8593" s="3">
        <f>VALUE(400.8)</f>
        <v>400.8</v>
      </c>
      <c r="I8593" s="4">
        <f>VALUE(5397)</f>
        <v>5397</v>
      </c>
      <c r="J8593" s="5">
        <f>VALUE(5833)</f>
        <v>5833</v>
      </c>
      <c r="K8593" s="6">
        <f>VALUE(7421)</f>
        <v>7421</v>
      </c>
      <c r="L8593" s="7">
        <f>VALUE(8889)</f>
        <v>8889</v>
      </c>
      <c r="M8593" s="1">
        <f>VALUE(10458)</f>
        <v>10458</v>
      </c>
      <c r="N8593" t="s">
        <v>25</v>
      </c>
    </row>
    <row r="8594" spans="1:14" x14ac:dyDescent="0.25">
      <c r="A8594" t="s">
        <v>43</v>
      </c>
      <c r="B8594" t="s">
        <v>15</v>
      </c>
      <c r="C8594" t="s">
        <v>38</v>
      </c>
      <c r="D8594" t="s">
        <v>15</v>
      </c>
      <c r="E8594" t="s">
        <v>23</v>
      </c>
      <c r="F8594" t="s">
        <v>18</v>
      </c>
      <c r="G8594" s="2">
        <f>VALUE(499.58)</f>
        <v>499.58</v>
      </c>
      <c r="H8594" s="3">
        <f>VALUE(457.36)</f>
        <v>457.36</v>
      </c>
      <c r="I8594" s="4">
        <f>VALUE(3714)</f>
        <v>3714</v>
      </c>
      <c r="J8594" s="5">
        <f>VALUE(4746)</f>
        <v>4746</v>
      </c>
      <c r="K8594" s="6">
        <f>VALUE(5096)</f>
        <v>5096</v>
      </c>
      <c r="L8594" s="7">
        <f>VALUE(6400)</f>
        <v>6400</v>
      </c>
      <c r="M8594" s="8">
        <f>VALUE(7019)</f>
        <v>7019</v>
      </c>
      <c r="N8594" t="s">
        <v>24</v>
      </c>
    </row>
    <row r="8595" spans="1:14" x14ac:dyDescent="0.25">
      <c r="A8595" t="s">
        <v>43</v>
      </c>
      <c r="B8595" t="s">
        <v>15</v>
      </c>
      <c r="C8595" t="s">
        <v>38</v>
      </c>
      <c r="D8595" t="s">
        <v>15</v>
      </c>
      <c r="E8595" t="s">
        <v>23</v>
      </c>
      <c r="F8595" t="s">
        <v>19</v>
      </c>
      <c r="G8595" s="2">
        <f>VALUE(1130.81)</f>
        <v>1130.81</v>
      </c>
      <c r="H8595" s="3">
        <f>VALUE(1119.37)</f>
        <v>1119.3699999999999</v>
      </c>
      <c r="I8595" s="1">
        <f>VALUE(3895)</f>
        <v>3895</v>
      </c>
      <c r="J8595" s="1">
        <f>VALUE(4144)</f>
        <v>4144</v>
      </c>
      <c r="K8595" s="6">
        <f>VALUE(5205)</f>
        <v>5205</v>
      </c>
      <c r="L8595" s="7">
        <f>VALUE(6532)</f>
        <v>6532</v>
      </c>
      <c r="M8595" s="1">
        <f>VALUE(6943)</f>
        <v>6943</v>
      </c>
      <c r="N8595" t="s">
        <v>25</v>
      </c>
    </row>
    <row r="8596" spans="1:14" x14ac:dyDescent="0.25">
      <c r="A8596" t="s">
        <v>43</v>
      </c>
      <c r="B8596" t="s">
        <v>15</v>
      </c>
      <c r="C8596" t="s">
        <v>38</v>
      </c>
      <c r="D8596" t="s">
        <v>15</v>
      </c>
      <c r="E8596" t="s">
        <v>23</v>
      </c>
      <c r="F8596" t="s">
        <v>20</v>
      </c>
      <c r="G8596" s="1">
        <f>VALUE(9382.13)</f>
        <v>9382.1299999999992</v>
      </c>
      <c r="H8596" s="1">
        <f>VALUE(7486.58)</f>
        <v>7486.58</v>
      </c>
      <c r="I8596" s="1">
        <f>VALUE(3297)</f>
        <v>3297</v>
      </c>
      <c r="J8596" s="1">
        <f>VALUE(3714)</f>
        <v>3714</v>
      </c>
      <c r="K8596" s="1">
        <f>VALUE(4547)</f>
        <v>4547</v>
      </c>
      <c r="L8596" s="1">
        <f>VALUE(5402)</f>
        <v>5402</v>
      </c>
      <c r="M8596" s="1">
        <f>VALUE(6176)</f>
        <v>6176</v>
      </c>
      <c r="N8596" t="s">
        <v>16</v>
      </c>
    </row>
    <row r="8597" spans="1:14" x14ac:dyDescent="0.25">
      <c r="A8597" t="s">
        <v>43</v>
      </c>
      <c r="B8597" t="s">
        <v>15</v>
      </c>
      <c r="C8597" t="s">
        <v>38</v>
      </c>
      <c r="D8597" t="s">
        <v>15</v>
      </c>
      <c r="E8597" t="s">
        <v>26</v>
      </c>
      <c r="F8597" t="s">
        <v>15</v>
      </c>
      <c r="G8597" s="2">
        <f>VALUE(377.77)</f>
        <v>377.77</v>
      </c>
      <c r="H8597" s="3">
        <f>VALUE(299.83)</f>
        <v>299.83</v>
      </c>
      <c r="I8597" s="1">
        <f>VALUE(4044)</f>
        <v>4044</v>
      </c>
      <c r="J8597" s="1">
        <f>VALUE(4706)</f>
        <v>4706</v>
      </c>
      <c r="K8597" s="1">
        <f>VALUE(5549)</f>
        <v>5549</v>
      </c>
      <c r="L8597" s="7">
        <f>VALUE(7583)</f>
        <v>7583</v>
      </c>
      <c r="M8597" s="8">
        <f>VALUE(12805)</f>
        <v>12805</v>
      </c>
      <c r="N8597" t="s">
        <v>25</v>
      </c>
    </row>
    <row r="8598" spans="1:14" x14ac:dyDescent="0.25">
      <c r="A8598" t="s">
        <v>43</v>
      </c>
      <c r="B8598" t="s">
        <v>15</v>
      </c>
      <c r="C8598" t="s">
        <v>38</v>
      </c>
      <c r="D8598" t="s">
        <v>15</v>
      </c>
      <c r="E8598" t="s">
        <v>26</v>
      </c>
      <c r="F8598" t="s">
        <v>17</v>
      </c>
      <c r="G8598" s="1" t="str">
        <f t="shared" ref="G8598:M8600" si="1885">"X"</f>
        <v>X</v>
      </c>
      <c r="H8598" s="1" t="str">
        <f t="shared" si="1885"/>
        <v>X</v>
      </c>
      <c r="I8598" s="1" t="str">
        <f t="shared" si="1885"/>
        <v>X</v>
      </c>
      <c r="J8598" s="1" t="str">
        <f t="shared" si="1885"/>
        <v>X</v>
      </c>
      <c r="K8598" s="1" t="str">
        <f t="shared" si="1885"/>
        <v>X</v>
      </c>
      <c r="L8598" s="1" t="str">
        <f t="shared" si="1885"/>
        <v>X</v>
      </c>
      <c r="M8598" s="1" t="str">
        <f t="shared" si="1885"/>
        <v>X</v>
      </c>
      <c r="N8598" t="s">
        <v>27</v>
      </c>
    </row>
    <row r="8599" spans="1:14" x14ac:dyDescent="0.25">
      <c r="A8599" t="s">
        <v>43</v>
      </c>
      <c r="B8599" t="s">
        <v>15</v>
      </c>
      <c r="C8599" t="s">
        <v>38</v>
      </c>
      <c r="D8599" t="s">
        <v>15</v>
      </c>
      <c r="E8599" t="s">
        <v>26</v>
      </c>
      <c r="F8599" t="s">
        <v>18</v>
      </c>
      <c r="G8599" s="1" t="str">
        <f t="shared" si="1885"/>
        <v>X</v>
      </c>
      <c r="H8599" s="1" t="str">
        <f t="shared" si="1885"/>
        <v>X</v>
      </c>
      <c r="I8599" s="1" t="str">
        <f t="shared" si="1885"/>
        <v>X</v>
      </c>
      <c r="J8599" s="1" t="str">
        <f t="shared" si="1885"/>
        <v>X</v>
      </c>
      <c r="K8599" s="1" t="str">
        <f t="shared" si="1885"/>
        <v>X</v>
      </c>
      <c r="L8599" s="1" t="str">
        <f t="shared" si="1885"/>
        <v>X</v>
      </c>
      <c r="M8599" s="1" t="str">
        <f t="shared" si="1885"/>
        <v>X</v>
      </c>
      <c r="N8599" t="s">
        <v>27</v>
      </c>
    </row>
    <row r="8600" spans="1:14" x14ac:dyDescent="0.25">
      <c r="A8600" t="s">
        <v>43</v>
      </c>
      <c r="B8600" t="s">
        <v>15</v>
      </c>
      <c r="C8600" t="s">
        <v>38</v>
      </c>
      <c r="D8600" t="s">
        <v>15</v>
      </c>
      <c r="E8600" t="s">
        <v>26</v>
      </c>
      <c r="F8600" t="s">
        <v>19</v>
      </c>
      <c r="G8600" s="1" t="str">
        <f t="shared" si="1885"/>
        <v>X</v>
      </c>
      <c r="H8600" s="1" t="str">
        <f t="shared" si="1885"/>
        <v>X</v>
      </c>
      <c r="I8600" s="1" t="str">
        <f t="shared" si="1885"/>
        <v>X</v>
      </c>
      <c r="J8600" s="1" t="str">
        <f t="shared" si="1885"/>
        <v>X</v>
      </c>
      <c r="K8600" s="1" t="str">
        <f t="shared" si="1885"/>
        <v>X</v>
      </c>
      <c r="L8600" s="1" t="str">
        <f t="shared" si="1885"/>
        <v>X</v>
      </c>
      <c r="M8600" s="1" t="str">
        <f t="shared" si="1885"/>
        <v>X</v>
      </c>
      <c r="N8600" t="s">
        <v>27</v>
      </c>
    </row>
    <row r="8601" spans="1:14" x14ac:dyDescent="0.25">
      <c r="A8601" t="s">
        <v>43</v>
      </c>
      <c r="B8601" t="s">
        <v>15</v>
      </c>
      <c r="C8601" t="s">
        <v>38</v>
      </c>
      <c r="D8601" t="s">
        <v>15</v>
      </c>
      <c r="E8601" t="s">
        <v>26</v>
      </c>
      <c r="F8601" t="s">
        <v>20</v>
      </c>
      <c r="G8601" s="2">
        <f>VALUE(276.76)</f>
        <v>276.76</v>
      </c>
      <c r="H8601" s="3">
        <f>VALUE(204.95)</f>
        <v>204.95</v>
      </c>
      <c r="I8601" s="1">
        <f>VALUE(3856)</f>
        <v>3856</v>
      </c>
      <c r="J8601" s="1">
        <f>VALUE(4519)</f>
        <v>4519</v>
      </c>
      <c r="K8601" s="1">
        <f>VALUE(5157)</f>
        <v>5157</v>
      </c>
      <c r="L8601" s="7">
        <f>VALUE(6300)</f>
        <v>6300</v>
      </c>
      <c r="M8601" s="1">
        <f>VALUE(7042)</f>
        <v>7042</v>
      </c>
      <c r="N8601" t="s">
        <v>25</v>
      </c>
    </row>
    <row r="8602" spans="1:14" x14ac:dyDescent="0.25">
      <c r="A8602" t="s">
        <v>43</v>
      </c>
      <c r="B8602" t="s">
        <v>15</v>
      </c>
      <c r="C8602" t="s">
        <v>38</v>
      </c>
      <c r="D8602" t="s">
        <v>28</v>
      </c>
      <c r="E8602" t="s">
        <v>15</v>
      </c>
      <c r="F8602" t="s">
        <v>15</v>
      </c>
      <c r="G8602" s="1">
        <f>VALUE(14859.78)</f>
        <v>14859.78</v>
      </c>
      <c r="H8602" s="1">
        <f>VALUE(11699.87)</f>
        <v>11699.87</v>
      </c>
      <c r="I8602" s="1">
        <f>VALUE(4329)</f>
        <v>4329</v>
      </c>
      <c r="J8602" s="1">
        <f>VALUE(5207)</f>
        <v>5207</v>
      </c>
      <c r="K8602" s="1">
        <f>VALUE(6306)</f>
        <v>6306</v>
      </c>
      <c r="L8602" s="1">
        <f>VALUE(8448)</f>
        <v>8448</v>
      </c>
      <c r="M8602" s="1">
        <f>VALUE(11425)</f>
        <v>11425</v>
      </c>
      <c r="N8602" t="s">
        <v>16</v>
      </c>
    </row>
    <row r="8603" spans="1:14" x14ac:dyDescent="0.25">
      <c r="A8603" t="s">
        <v>43</v>
      </c>
      <c r="B8603" t="s">
        <v>15</v>
      </c>
      <c r="C8603" t="s">
        <v>38</v>
      </c>
      <c r="D8603" t="s">
        <v>28</v>
      </c>
      <c r="E8603" t="s">
        <v>15</v>
      </c>
      <c r="F8603" t="s">
        <v>17</v>
      </c>
      <c r="G8603" s="2">
        <f>VALUE(3841.49)</f>
        <v>3841.49</v>
      </c>
      <c r="H8603" s="3">
        <f>VALUE(3359.69)</f>
        <v>3359.69</v>
      </c>
      <c r="I8603" s="1">
        <f>VALUE(5778)</f>
        <v>5778</v>
      </c>
      <c r="J8603" s="1">
        <f>VALUE(7583)</f>
        <v>7583</v>
      </c>
      <c r="K8603" s="1">
        <f>VALUE(9356)</f>
        <v>9356</v>
      </c>
      <c r="L8603" s="1">
        <f>VALUE(12389)</f>
        <v>12389</v>
      </c>
      <c r="M8603" s="1">
        <f>VALUE(18518)</f>
        <v>18518</v>
      </c>
      <c r="N8603" t="s">
        <v>25</v>
      </c>
    </row>
    <row r="8604" spans="1:14" x14ac:dyDescent="0.25">
      <c r="A8604" t="s">
        <v>43</v>
      </c>
      <c r="B8604" t="s">
        <v>15</v>
      </c>
      <c r="C8604" t="s">
        <v>38</v>
      </c>
      <c r="D8604" t="s">
        <v>28</v>
      </c>
      <c r="E8604" t="s">
        <v>15</v>
      </c>
      <c r="F8604" t="s">
        <v>18</v>
      </c>
      <c r="G8604" s="2">
        <f>VALUE(1780.49)</f>
        <v>1780.49</v>
      </c>
      <c r="H8604" s="3">
        <f>VALUE(1451.71)</f>
        <v>1451.71</v>
      </c>
      <c r="I8604" s="1">
        <f>VALUE(4746)</f>
        <v>4746</v>
      </c>
      <c r="J8604" s="1">
        <f>VALUE(5722)</f>
        <v>5722</v>
      </c>
      <c r="K8604" s="1">
        <f>VALUE(6782)</f>
        <v>6782</v>
      </c>
      <c r="L8604" s="1">
        <f>VALUE(8958)</f>
        <v>8958</v>
      </c>
      <c r="M8604" s="1">
        <f>VALUE(10854)</f>
        <v>10854</v>
      </c>
      <c r="N8604" t="s">
        <v>25</v>
      </c>
    </row>
    <row r="8605" spans="1:14" x14ac:dyDescent="0.25">
      <c r="A8605" t="s">
        <v>43</v>
      </c>
      <c r="B8605" t="s">
        <v>15</v>
      </c>
      <c r="C8605" t="s">
        <v>38</v>
      </c>
      <c r="D8605" t="s">
        <v>28</v>
      </c>
      <c r="E8605" t="s">
        <v>15</v>
      </c>
      <c r="F8605" t="s">
        <v>19</v>
      </c>
      <c r="G8605" s="2">
        <f>VALUE(1503.73)</f>
        <v>1503.73</v>
      </c>
      <c r="H8605" s="3">
        <f>VALUE(1334.13)</f>
        <v>1334.13</v>
      </c>
      <c r="I8605" s="1">
        <f>VALUE(4413)</f>
        <v>4413</v>
      </c>
      <c r="J8605" s="1">
        <f>VALUE(5112)</f>
        <v>5112</v>
      </c>
      <c r="K8605" s="1">
        <f>VALUE(5972)</f>
        <v>5972</v>
      </c>
      <c r="L8605" s="1">
        <f>VALUE(7430)</f>
        <v>7430</v>
      </c>
      <c r="M8605" s="1">
        <f>VALUE(8729)</f>
        <v>8729</v>
      </c>
      <c r="N8605" t="s">
        <v>25</v>
      </c>
    </row>
    <row r="8606" spans="1:14" x14ac:dyDescent="0.25">
      <c r="A8606" t="s">
        <v>43</v>
      </c>
      <c r="B8606" t="s">
        <v>15</v>
      </c>
      <c r="C8606" t="s">
        <v>38</v>
      </c>
      <c r="D8606" t="s">
        <v>28</v>
      </c>
      <c r="E8606" t="s">
        <v>15</v>
      </c>
      <c r="F8606" t="s">
        <v>20</v>
      </c>
      <c r="G8606" s="1">
        <f>VALUE(7734.07)</f>
        <v>7734.07</v>
      </c>
      <c r="H8606" s="1">
        <f>VALUE(5554.34)</f>
        <v>5554.34</v>
      </c>
      <c r="I8606" s="1">
        <f>VALUE(3900)</f>
        <v>3900</v>
      </c>
      <c r="J8606" s="1">
        <f>VALUE(4742)</f>
        <v>4742</v>
      </c>
      <c r="K8606" s="1">
        <f>VALUE(5561)</f>
        <v>5561</v>
      </c>
      <c r="L8606" s="1">
        <f>VALUE(6405)</f>
        <v>6405</v>
      </c>
      <c r="M8606" s="1">
        <f>VALUE(7586)</f>
        <v>7586</v>
      </c>
      <c r="N8606" t="s">
        <v>16</v>
      </c>
    </row>
    <row r="8607" spans="1:14" x14ac:dyDescent="0.25">
      <c r="A8607" t="s">
        <v>43</v>
      </c>
      <c r="B8607" t="s">
        <v>15</v>
      </c>
      <c r="C8607" t="s">
        <v>38</v>
      </c>
      <c r="D8607" t="s">
        <v>28</v>
      </c>
      <c r="E8607" t="s">
        <v>21</v>
      </c>
      <c r="F8607" t="s">
        <v>15</v>
      </c>
      <c r="G8607" s="2">
        <f>VALUE(3488.91)</f>
        <v>3488.91</v>
      </c>
      <c r="H8607" s="1">
        <f>VALUE(2696.03)</f>
        <v>2696.03</v>
      </c>
      <c r="I8607" s="1">
        <f>VALUE(5437)</f>
        <v>5437</v>
      </c>
      <c r="J8607" s="1">
        <f>VALUE(7025)</f>
        <v>7025</v>
      </c>
      <c r="K8607" s="1">
        <f>VALUE(8878)</f>
        <v>8878</v>
      </c>
      <c r="L8607" s="1">
        <f>VALUE(11666)</f>
        <v>11666</v>
      </c>
      <c r="M8607" s="8">
        <f>VALUE(16800)</f>
        <v>16800</v>
      </c>
      <c r="N8607" t="s">
        <v>25</v>
      </c>
    </row>
    <row r="8608" spans="1:14" x14ac:dyDescent="0.25">
      <c r="A8608" t="s">
        <v>43</v>
      </c>
      <c r="B8608" t="s">
        <v>15</v>
      </c>
      <c r="C8608" t="s">
        <v>38</v>
      </c>
      <c r="D8608" t="s">
        <v>28</v>
      </c>
      <c r="E8608" t="s">
        <v>21</v>
      </c>
      <c r="F8608" t="s">
        <v>17</v>
      </c>
      <c r="G8608" s="2">
        <f>VALUE(1840.59)</f>
        <v>1840.59</v>
      </c>
      <c r="H8608" s="3">
        <f>VALUE(1550.5)</f>
        <v>1550.5</v>
      </c>
      <c r="I8608" s="1">
        <f>VALUE(7018)</f>
        <v>7018</v>
      </c>
      <c r="J8608" s="1">
        <f>VALUE(8626)</f>
        <v>8626</v>
      </c>
      <c r="K8608" s="1">
        <f>VALUE(10792)</f>
        <v>10792</v>
      </c>
      <c r="L8608" s="1">
        <f>VALUE(14500)</f>
        <v>14500</v>
      </c>
      <c r="M8608" s="1">
        <f>VALUE(20382)</f>
        <v>20382</v>
      </c>
      <c r="N8608" t="s">
        <v>25</v>
      </c>
    </row>
    <row r="8609" spans="1:14" x14ac:dyDescent="0.25">
      <c r="A8609" t="s">
        <v>43</v>
      </c>
      <c r="B8609" t="s">
        <v>15</v>
      </c>
      <c r="C8609" t="s">
        <v>38</v>
      </c>
      <c r="D8609" t="s">
        <v>28</v>
      </c>
      <c r="E8609" t="s">
        <v>21</v>
      </c>
      <c r="F8609" t="s">
        <v>18</v>
      </c>
      <c r="G8609" s="2">
        <f>VALUE(442.54)</f>
        <v>442.54</v>
      </c>
      <c r="H8609" s="3">
        <f>VALUE(321.21)</f>
        <v>321.20999999999998</v>
      </c>
      <c r="I8609" s="1">
        <f>VALUE(5437)</f>
        <v>5437</v>
      </c>
      <c r="J8609" s="1">
        <f>VALUE(6506)</f>
        <v>6506</v>
      </c>
      <c r="K8609" s="1">
        <f>VALUE(7795)</f>
        <v>7795</v>
      </c>
      <c r="L8609" s="1">
        <f>VALUE(10308)</f>
        <v>10308</v>
      </c>
      <c r="M8609" s="1">
        <f>VALUE(11500)</f>
        <v>11500</v>
      </c>
      <c r="N8609" t="s">
        <v>25</v>
      </c>
    </row>
    <row r="8610" spans="1:14" x14ac:dyDescent="0.25">
      <c r="A8610" t="s">
        <v>43</v>
      </c>
      <c r="B8610" t="s">
        <v>15</v>
      </c>
      <c r="C8610" t="s">
        <v>38</v>
      </c>
      <c r="D8610" t="s">
        <v>28</v>
      </c>
      <c r="E8610" t="s">
        <v>21</v>
      </c>
      <c r="F8610" t="s">
        <v>19</v>
      </c>
      <c r="G8610" s="2">
        <f>VALUE(269.81)</f>
        <v>269.81</v>
      </c>
      <c r="H8610" s="3">
        <f>VALUE(238.64)</f>
        <v>238.64</v>
      </c>
      <c r="I8610" s="4">
        <f>VALUE(5302)</f>
        <v>5302</v>
      </c>
      <c r="J8610" s="1">
        <f>VALUE(6783)</f>
        <v>6783</v>
      </c>
      <c r="K8610" s="1">
        <f>VALUE(7615)</f>
        <v>7615</v>
      </c>
      <c r="L8610" s="1">
        <f>VALUE(8729)</f>
        <v>8729</v>
      </c>
      <c r="M8610" s="1">
        <f>VALUE(10518)</f>
        <v>10518</v>
      </c>
      <c r="N8610" t="s">
        <v>25</v>
      </c>
    </row>
    <row r="8611" spans="1:14" x14ac:dyDescent="0.25">
      <c r="A8611" t="s">
        <v>43</v>
      </c>
      <c r="B8611" t="s">
        <v>15</v>
      </c>
      <c r="C8611" t="s">
        <v>38</v>
      </c>
      <c r="D8611" t="s">
        <v>28</v>
      </c>
      <c r="E8611" t="s">
        <v>21</v>
      </c>
      <c r="F8611" t="s">
        <v>20</v>
      </c>
      <c r="G8611" s="2">
        <f>VALUE(935.97)</f>
        <v>935.97</v>
      </c>
      <c r="H8611" s="3">
        <f>VALUE(585.68)</f>
        <v>585.67999999999995</v>
      </c>
      <c r="I8611" s="1">
        <f>VALUE(4410)</f>
        <v>4410</v>
      </c>
      <c r="J8611" s="5">
        <f>VALUE(5272)</f>
        <v>5272</v>
      </c>
      <c r="K8611" s="1">
        <f>VALUE(6327)</f>
        <v>6327</v>
      </c>
      <c r="L8611" s="1">
        <f>VALUE(8263)</f>
        <v>8263</v>
      </c>
      <c r="M8611" s="8">
        <f>VALUE(9481)</f>
        <v>9481</v>
      </c>
      <c r="N8611" t="s">
        <v>25</v>
      </c>
    </row>
    <row r="8612" spans="1:14" x14ac:dyDescent="0.25">
      <c r="A8612" t="s">
        <v>43</v>
      </c>
      <c r="B8612" t="s">
        <v>15</v>
      </c>
      <c r="C8612" t="s">
        <v>38</v>
      </c>
      <c r="D8612" t="s">
        <v>28</v>
      </c>
      <c r="E8612" t="s">
        <v>22</v>
      </c>
      <c r="F8612" t="s">
        <v>15</v>
      </c>
      <c r="G8612" s="1">
        <f>VALUE(8788.73)</f>
        <v>8788.73</v>
      </c>
      <c r="H8612" s="1">
        <f>VALUE(7012.98)</f>
        <v>7012.98</v>
      </c>
      <c r="I8612" s="1">
        <f>VALUE(4571)</f>
        <v>4571</v>
      </c>
      <c r="J8612" s="1">
        <f>VALUE(5353)</f>
        <v>5353</v>
      </c>
      <c r="K8612" s="1">
        <f>VALUE(6124)</f>
        <v>6124</v>
      </c>
      <c r="L8612" s="1">
        <f>VALUE(7629)</f>
        <v>7629</v>
      </c>
      <c r="M8612" s="1">
        <f>VALUE(9902)</f>
        <v>9902</v>
      </c>
      <c r="N8612" t="s">
        <v>16</v>
      </c>
    </row>
    <row r="8613" spans="1:14" x14ac:dyDescent="0.25">
      <c r="A8613" t="s">
        <v>43</v>
      </c>
      <c r="B8613" t="s">
        <v>15</v>
      </c>
      <c r="C8613" t="s">
        <v>38</v>
      </c>
      <c r="D8613" t="s">
        <v>28</v>
      </c>
      <c r="E8613" t="s">
        <v>22</v>
      </c>
      <c r="F8613" t="s">
        <v>17</v>
      </c>
      <c r="G8613" s="2">
        <f>VALUE(1761.5)</f>
        <v>1761.5</v>
      </c>
      <c r="H8613" s="3">
        <f>VALUE(1580.6)</f>
        <v>1580.6</v>
      </c>
      <c r="I8613" s="4">
        <f>VALUE(5459)</f>
        <v>5459</v>
      </c>
      <c r="J8613" s="5">
        <f>VALUE(6563)</f>
        <v>6563</v>
      </c>
      <c r="K8613" s="1">
        <f>VALUE(8099)</f>
        <v>8099</v>
      </c>
      <c r="L8613" s="7">
        <f>VALUE(10834)</f>
        <v>10834</v>
      </c>
      <c r="M8613" s="8">
        <f>VALUE(16465)</f>
        <v>16465</v>
      </c>
      <c r="N8613" t="s">
        <v>25</v>
      </c>
    </row>
    <row r="8614" spans="1:14" x14ac:dyDescent="0.25">
      <c r="A8614" t="s">
        <v>43</v>
      </c>
      <c r="B8614" t="s">
        <v>15</v>
      </c>
      <c r="C8614" t="s">
        <v>38</v>
      </c>
      <c r="D8614" t="s">
        <v>28</v>
      </c>
      <c r="E8614" t="s">
        <v>22</v>
      </c>
      <c r="F8614" t="s">
        <v>18</v>
      </c>
      <c r="G8614" s="2">
        <f>VALUE(1139.3)</f>
        <v>1139.3</v>
      </c>
      <c r="H8614" s="3">
        <f>VALUE(955.29)</f>
        <v>955.29</v>
      </c>
      <c r="I8614" s="1">
        <f>VALUE(5156)</f>
        <v>5156</v>
      </c>
      <c r="J8614" s="1">
        <f>VALUE(5904)</f>
        <v>5904</v>
      </c>
      <c r="K8614" s="6">
        <f>VALUE(6782)</f>
        <v>6782</v>
      </c>
      <c r="L8614" s="7">
        <f>VALUE(9003)</f>
        <v>9003</v>
      </c>
      <c r="M8614" s="1">
        <f>VALUE(10596)</f>
        <v>10596</v>
      </c>
      <c r="N8614" t="s">
        <v>25</v>
      </c>
    </row>
    <row r="8615" spans="1:14" x14ac:dyDescent="0.25">
      <c r="A8615" t="s">
        <v>43</v>
      </c>
      <c r="B8615" t="s">
        <v>15</v>
      </c>
      <c r="C8615" t="s">
        <v>38</v>
      </c>
      <c r="D8615" t="s">
        <v>28</v>
      </c>
      <c r="E8615" t="s">
        <v>22</v>
      </c>
      <c r="F8615" t="s">
        <v>19</v>
      </c>
      <c r="G8615" s="2">
        <f>VALUE(1032.69)</f>
        <v>1032.69</v>
      </c>
      <c r="H8615" s="3">
        <f>VALUE(911.65)</f>
        <v>911.65</v>
      </c>
      <c r="I8615" s="1">
        <f>VALUE(4576)</f>
        <v>4576</v>
      </c>
      <c r="J8615" s="1">
        <f>VALUE(5174)</f>
        <v>5174</v>
      </c>
      <c r="K8615" s="1">
        <f>VALUE(5776)</f>
        <v>5776</v>
      </c>
      <c r="L8615" s="1">
        <f>VALUE(7235)</f>
        <v>7235</v>
      </c>
      <c r="M8615" s="1">
        <f>VALUE(8443)</f>
        <v>8443</v>
      </c>
      <c r="N8615" t="s">
        <v>25</v>
      </c>
    </row>
    <row r="8616" spans="1:14" x14ac:dyDescent="0.25">
      <c r="A8616" t="s">
        <v>43</v>
      </c>
      <c r="B8616" t="s">
        <v>15</v>
      </c>
      <c r="C8616" t="s">
        <v>38</v>
      </c>
      <c r="D8616" t="s">
        <v>28</v>
      </c>
      <c r="E8616" t="s">
        <v>22</v>
      </c>
      <c r="F8616" t="s">
        <v>20</v>
      </c>
      <c r="G8616" s="2">
        <f>VALUE(4855.24)</f>
        <v>4855.24</v>
      </c>
      <c r="H8616" s="3">
        <f>VALUE(3565.44)</f>
        <v>3565.44</v>
      </c>
      <c r="I8616" s="1">
        <f>VALUE(4306)</f>
        <v>4306</v>
      </c>
      <c r="J8616" s="1">
        <f>VALUE(5040)</f>
        <v>5040</v>
      </c>
      <c r="K8616" s="1">
        <f>VALUE(5708)</f>
        <v>5708</v>
      </c>
      <c r="L8616" s="1">
        <f>VALUE(6499)</f>
        <v>6499</v>
      </c>
      <c r="M8616" s="1">
        <f>VALUE(7504)</f>
        <v>7504</v>
      </c>
      <c r="N8616" t="s">
        <v>25</v>
      </c>
    </row>
    <row r="8617" spans="1:14" x14ac:dyDescent="0.25">
      <c r="A8617" t="s">
        <v>43</v>
      </c>
      <c r="B8617" t="s">
        <v>15</v>
      </c>
      <c r="C8617" t="s">
        <v>38</v>
      </c>
      <c r="D8617" t="s">
        <v>28</v>
      </c>
      <c r="E8617" t="s">
        <v>23</v>
      </c>
      <c r="F8617" t="s">
        <v>15</v>
      </c>
      <c r="G8617" s="2">
        <f>VALUE(2442.35)</f>
        <v>2442.35</v>
      </c>
      <c r="H8617" s="3">
        <f>VALUE(1867.03)</f>
        <v>1867.03</v>
      </c>
      <c r="I8617" s="1">
        <f>VALUE(3556)</f>
        <v>3556</v>
      </c>
      <c r="J8617" s="1">
        <f>VALUE(4130)</f>
        <v>4130</v>
      </c>
      <c r="K8617" s="1">
        <f>VALUE(5015)</f>
        <v>5015</v>
      </c>
      <c r="L8617" s="1">
        <f>VALUE(5931)</f>
        <v>5931</v>
      </c>
      <c r="M8617" s="8">
        <f>VALUE(7810)</f>
        <v>7810</v>
      </c>
      <c r="N8617" t="s">
        <v>25</v>
      </c>
    </row>
    <row r="8618" spans="1:14" x14ac:dyDescent="0.25">
      <c r="A8618" t="s">
        <v>43</v>
      </c>
      <c r="B8618" t="s">
        <v>15</v>
      </c>
      <c r="C8618" t="s">
        <v>38</v>
      </c>
      <c r="D8618" t="s">
        <v>28</v>
      </c>
      <c r="E8618" t="s">
        <v>23</v>
      </c>
      <c r="F8618" t="s">
        <v>17</v>
      </c>
      <c r="G8618" s="1" t="str">
        <f t="shared" ref="G8618:M8619" si="1886">"X"</f>
        <v>X</v>
      </c>
      <c r="H8618" s="1" t="str">
        <f t="shared" si="1886"/>
        <v>X</v>
      </c>
      <c r="I8618" s="1" t="str">
        <f t="shared" si="1886"/>
        <v>X</v>
      </c>
      <c r="J8618" s="1" t="str">
        <f t="shared" si="1886"/>
        <v>X</v>
      </c>
      <c r="K8618" s="1" t="str">
        <f t="shared" si="1886"/>
        <v>X</v>
      </c>
      <c r="L8618" s="1" t="str">
        <f t="shared" si="1886"/>
        <v>X</v>
      </c>
      <c r="M8618" s="1" t="str">
        <f t="shared" si="1886"/>
        <v>X</v>
      </c>
      <c r="N8618" t="s">
        <v>27</v>
      </c>
    </row>
    <row r="8619" spans="1:14" x14ac:dyDescent="0.25">
      <c r="A8619" t="s">
        <v>43</v>
      </c>
      <c r="B8619" t="s">
        <v>15</v>
      </c>
      <c r="C8619" t="s">
        <v>38</v>
      </c>
      <c r="D8619" t="s">
        <v>28</v>
      </c>
      <c r="E8619" t="s">
        <v>23</v>
      </c>
      <c r="F8619" t="s">
        <v>18</v>
      </c>
      <c r="G8619" s="1" t="str">
        <f t="shared" si="1886"/>
        <v>X</v>
      </c>
      <c r="H8619" s="1" t="str">
        <f t="shared" si="1886"/>
        <v>X</v>
      </c>
      <c r="I8619" s="1" t="str">
        <f t="shared" si="1886"/>
        <v>X</v>
      </c>
      <c r="J8619" s="1" t="str">
        <f t="shared" si="1886"/>
        <v>X</v>
      </c>
      <c r="K8619" s="1" t="str">
        <f t="shared" si="1886"/>
        <v>X</v>
      </c>
      <c r="L8619" s="1" t="str">
        <f t="shared" si="1886"/>
        <v>X</v>
      </c>
      <c r="M8619" s="1" t="str">
        <f t="shared" si="1886"/>
        <v>X</v>
      </c>
      <c r="N8619" t="s">
        <v>27</v>
      </c>
    </row>
    <row r="8620" spans="1:14" x14ac:dyDescent="0.25">
      <c r="A8620" t="s">
        <v>43</v>
      </c>
      <c r="B8620" t="s">
        <v>15</v>
      </c>
      <c r="C8620" t="s">
        <v>38</v>
      </c>
      <c r="D8620" t="s">
        <v>28</v>
      </c>
      <c r="E8620" t="s">
        <v>23</v>
      </c>
      <c r="F8620" t="s">
        <v>19</v>
      </c>
      <c r="G8620" s="2">
        <f>VALUE(199.94)</f>
        <v>199.94</v>
      </c>
      <c r="H8620" s="3">
        <f>VALUE(182.47)</f>
        <v>182.47</v>
      </c>
      <c r="I8620" s="4">
        <f>VALUE(4130)</f>
        <v>4130</v>
      </c>
      <c r="J8620" s="1">
        <f>VALUE(4545)</f>
        <v>4545</v>
      </c>
      <c r="K8620" s="1">
        <f>VALUE(5082)</f>
        <v>5082</v>
      </c>
      <c r="L8620" s="1">
        <f>VALUE(6242)</f>
        <v>6242</v>
      </c>
      <c r="M8620" s="1">
        <f>VALUE(6414)</f>
        <v>6414</v>
      </c>
      <c r="N8620" t="s">
        <v>25</v>
      </c>
    </row>
    <row r="8621" spans="1:14" x14ac:dyDescent="0.25">
      <c r="A8621" t="s">
        <v>43</v>
      </c>
      <c r="B8621" t="s">
        <v>15</v>
      </c>
      <c r="C8621" t="s">
        <v>38</v>
      </c>
      <c r="D8621" t="s">
        <v>28</v>
      </c>
      <c r="E8621" t="s">
        <v>23</v>
      </c>
      <c r="F8621" t="s">
        <v>20</v>
      </c>
      <c r="G8621" s="2">
        <f>VALUE(1859.1)</f>
        <v>1859.1</v>
      </c>
      <c r="H8621" s="3">
        <f>VALUE(1332.94)</f>
        <v>1332.94</v>
      </c>
      <c r="I8621" s="1">
        <f>VALUE(3509)</f>
        <v>3509</v>
      </c>
      <c r="J8621" s="5">
        <f>VALUE(3814)</f>
        <v>3814</v>
      </c>
      <c r="K8621" s="1">
        <f>VALUE(4818)</f>
        <v>4818</v>
      </c>
      <c r="L8621" s="1">
        <f>VALUE(5408)</f>
        <v>5408</v>
      </c>
      <c r="M8621" s="1">
        <f>VALUE(6176)</f>
        <v>6176</v>
      </c>
      <c r="N8621" t="s">
        <v>25</v>
      </c>
    </row>
    <row r="8622" spans="1:14" x14ac:dyDescent="0.25">
      <c r="A8622" t="s">
        <v>43</v>
      </c>
      <c r="B8622" t="s">
        <v>15</v>
      </c>
      <c r="C8622" t="s">
        <v>38</v>
      </c>
      <c r="D8622" t="s">
        <v>28</v>
      </c>
      <c r="E8622" t="s">
        <v>26</v>
      </c>
      <c r="F8622" t="s">
        <v>15</v>
      </c>
      <c r="G8622" s="1" t="str">
        <f t="shared" ref="G8622:M8626" si="1887">"X"</f>
        <v>X</v>
      </c>
      <c r="H8622" s="1" t="str">
        <f t="shared" si="1887"/>
        <v>X</v>
      </c>
      <c r="I8622" s="1" t="str">
        <f t="shared" si="1887"/>
        <v>X</v>
      </c>
      <c r="J8622" s="1" t="str">
        <f t="shared" si="1887"/>
        <v>X</v>
      </c>
      <c r="K8622" s="1" t="str">
        <f t="shared" si="1887"/>
        <v>X</v>
      </c>
      <c r="L8622" s="1" t="str">
        <f t="shared" si="1887"/>
        <v>X</v>
      </c>
      <c r="M8622" s="1" t="str">
        <f t="shared" si="1887"/>
        <v>X</v>
      </c>
      <c r="N8622" t="s">
        <v>27</v>
      </c>
    </row>
    <row r="8623" spans="1:14" x14ac:dyDescent="0.25">
      <c r="A8623" t="s">
        <v>43</v>
      </c>
      <c r="B8623" t="s">
        <v>15</v>
      </c>
      <c r="C8623" t="s">
        <v>38</v>
      </c>
      <c r="D8623" t="s">
        <v>28</v>
      </c>
      <c r="E8623" t="s">
        <v>26</v>
      </c>
      <c r="F8623" t="s">
        <v>17</v>
      </c>
      <c r="G8623" s="1" t="str">
        <f t="shared" si="1887"/>
        <v>X</v>
      </c>
      <c r="H8623" s="1" t="str">
        <f t="shared" si="1887"/>
        <v>X</v>
      </c>
      <c r="I8623" s="1" t="str">
        <f t="shared" si="1887"/>
        <v>X</v>
      </c>
      <c r="J8623" s="1" t="str">
        <f t="shared" si="1887"/>
        <v>X</v>
      </c>
      <c r="K8623" s="1" t="str">
        <f t="shared" si="1887"/>
        <v>X</v>
      </c>
      <c r="L8623" s="1" t="str">
        <f t="shared" si="1887"/>
        <v>X</v>
      </c>
      <c r="M8623" s="1" t="str">
        <f t="shared" si="1887"/>
        <v>X</v>
      </c>
      <c r="N8623" t="s">
        <v>27</v>
      </c>
    </row>
    <row r="8624" spans="1:14" x14ac:dyDescent="0.25">
      <c r="A8624" t="s">
        <v>43</v>
      </c>
      <c r="B8624" t="s">
        <v>15</v>
      </c>
      <c r="C8624" t="s">
        <v>38</v>
      </c>
      <c r="D8624" t="s">
        <v>28</v>
      </c>
      <c r="E8624" t="s">
        <v>26</v>
      </c>
      <c r="F8624" t="s">
        <v>18</v>
      </c>
      <c r="G8624" s="1" t="str">
        <f t="shared" si="1887"/>
        <v>X</v>
      </c>
      <c r="H8624" s="1" t="str">
        <f t="shared" si="1887"/>
        <v>X</v>
      </c>
      <c r="I8624" s="1" t="str">
        <f t="shared" si="1887"/>
        <v>X</v>
      </c>
      <c r="J8624" s="1" t="str">
        <f t="shared" si="1887"/>
        <v>X</v>
      </c>
      <c r="K8624" s="1" t="str">
        <f t="shared" si="1887"/>
        <v>X</v>
      </c>
      <c r="L8624" s="1" t="str">
        <f t="shared" si="1887"/>
        <v>X</v>
      </c>
      <c r="M8624" s="1" t="str">
        <f t="shared" si="1887"/>
        <v>X</v>
      </c>
      <c r="N8624" t="s">
        <v>27</v>
      </c>
    </row>
    <row r="8625" spans="1:14" x14ac:dyDescent="0.25">
      <c r="A8625" t="s">
        <v>43</v>
      </c>
      <c r="B8625" t="s">
        <v>15</v>
      </c>
      <c r="C8625" t="s">
        <v>38</v>
      </c>
      <c r="D8625" t="s">
        <v>28</v>
      </c>
      <c r="E8625" t="s">
        <v>26</v>
      </c>
      <c r="F8625" t="s">
        <v>19</v>
      </c>
      <c r="G8625" s="1" t="str">
        <f t="shared" si="1887"/>
        <v>X</v>
      </c>
      <c r="H8625" s="1" t="str">
        <f t="shared" si="1887"/>
        <v>X</v>
      </c>
      <c r="I8625" s="1" t="str">
        <f t="shared" si="1887"/>
        <v>X</v>
      </c>
      <c r="J8625" s="1" t="str">
        <f t="shared" si="1887"/>
        <v>X</v>
      </c>
      <c r="K8625" s="1" t="str">
        <f t="shared" si="1887"/>
        <v>X</v>
      </c>
      <c r="L8625" s="1" t="str">
        <f t="shared" si="1887"/>
        <v>X</v>
      </c>
      <c r="M8625" s="1" t="str">
        <f t="shared" si="1887"/>
        <v>X</v>
      </c>
      <c r="N8625" t="s">
        <v>27</v>
      </c>
    </row>
    <row r="8626" spans="1:14" x14ac:dyDescent="0.25">
      <c r="A8626" t="s">
        <v>43</v>
      </c>
      <c r="B8626" t="s">
        <v>15</v>
      </c>
      <c r="C8626" t="s">
        <v>38</v>
      </c>
      <c r="D8626" t="s">
        <v>28</v>
      </c>
      <c r="E8626" t="s">
        <v>26</v>
      </c>
      <c r="F8626" t="s">
        <v>20</v>
      </c>
      <c r="G8626" s="1" t="str">
        <f t="shared" si="1887"/>
        <v>X</v>
      </c>
      <c r="H8626" s="1" t="str">
        <f t="shared" si="1887"/>
        <v>X</v>
      </c>
      <c r="I8626" s="1" t="str">
        <f t="shared" si="1887"/>
        <v>X</v>
      </c>
      <c r="J8626" s="1" t="str">
        <f t="shared" si="1887"/>
        <v>X</v>
      </c>
      <c r="K8626" s="1" t="str">
        <f t="shared" si="1887"/>
        <v>X</v>
      </c>
      <c r="L8626" s="1" t="str">
        <f t="shared" si="1887"/>
        <v>X</v>
      </c>
      <c r="M8626" s="1" t="str">
        <f t="shared" si="1887"/>
        <v>X</v>
      </c>
      <c r="N8626" t="s">
        <v>27</v>
      </c>
    </row>
    <row r="8627" spans="1:14" x14ac:dyDescent="0.25">
      <c r="A8627" t="s">
        <v>43</v>
      </c>
      <c r="B8627" t="s">
        <v>15</v>
      </c>
      <c r="C8627" t="s">
        <v>38</v>
      </c>
      <c r="D8627" t="s">
        <v>29</v>
      </c>
      <c r="E8627" t="s">
        <v>15</v>
      </c>
      <c r="F8627" t="s">
        <v>15</v>
      </c>
      <c r="G8627" s="2">
        <f>VALUE(5854.78)</f>
        <v>5854.78</v>
      </c>
      <c r="H8627" s="3">
        <f>VALUE(5071.59)</f>
        <v>5071.59</v>
      </c>
      <c r="I8627" s="1">
        <f>VALUE(3819)</f>
        <v>3819</v>
      </c>
      <c r="J8627" s="5">
        <f>VALUE(4411)</f>
        <v>4411</v>
      </c>
      <c r="K8627" s="1">
        <f>VALUE(5404)</f>
        <v>5404</v>
      </c>
      <c r="L8627" s="1">
        <f>VALUE(6403)</f>
        <v>6403</v>
      </c>
      <c r="M8627" s="1">
        <f>VALUE(8333)</f>
        <v>8333</v>
      </c>
      <c r="N8627" t="s">
        <v>25</v>
      </c>
    </row>
    <row r="8628" spans="1:14" x14ac:dyDescent="0.25">
      <c r="A8628" t="s">
        <v>43</v>
      </c>
      <c r="B8628" t="s">
        <v>15</v>
      </c>
      <c r="C8628" t="s">
        <v>38</v>
      </c>
      <c r="D8628" t="s">
        <v>29</v>
      </c>
      <c r="E8628" t="s">
        <v>15</v>
      </c>
      <c r="F8628" t="s">
        <v>17</v>
      </c>
      <c r="G8628" s="2">
        <f>VALUE(626.28)</f>
        <v>626.28</v>
      </c>
      <c r="H8628" s="3">
        <f>VALUE(612.15)</f>
        <v>612.15</v>
      </c>
      <c r="I8628" s="1">
        <f>VALUE(5317)</f>
        <v>5317</v>
      </c>
      <c r="J8628" s="1">
        <f>VALUE(6163)</f>
        <v>6163</v>
      </c>
      <c r="K8628" s="6">
        <f>VALUE(7641)</f>
        <v>7641</v>
      </c>
      <c r="L8628" s="7">
        <f>VALUE(12458)</f>
        <v>12458</v>
      </c>
      <c r="M8628" s="8">
        <f>VALUE(19795)</f>
        <v>19795</v>
      </c>
      <c r="N8628" t="s">
        <v>25</v>
      </c>
    </row>
    <row r="8629" spans="1:14" x14ac:dyDescent="0.25">
      <c r="A8629" t="s">
        <v>43</v>
      </c>
      <c r="B8629" t="s">
        <v>15</v>
      </c>
      <c r="C8629" t="s">
        <v>38</v>
      </c>
      <c r="D8629" t="s">
        <v>29</v>
      </c>
      <c r="E8629" t="s">
        <v>15</v>
      </c>
      <c r="F8629" t="s">
        <v>18</v>
      </c>
      <c r="G8629" s="2">
        <f>VALUE(487.65)</f>
        <v>487.65</v>
      </c>
      <c r="H8629" s="3">
        <f>VALUE(451.94)</f>
        <v>451.94</v>
      </c>
      <c r="I8629" s="1">
        <f>VALUE(4875)</f>
        <v>4875</v>
      </c>
      <c r="J8629" s="1">
        <f>VALUE(5222)</f>
        <v>5222</v>
      </c>
      <c r="K8629" s="6">
        <f>VALUE(6400)</f>
        <v>6400</v>
      </c>
      <c r="L8629" s="7">
        <f>VALUE(8259)</f>
        <v>8259</v>
      </c>
      <c r="M8629" s="8">
        <f>VALUE(9687)</f>
        <v>9687</v>
      </c>
      <c r="N8629" t="s">
        <v>25</v>
      </c>
    </row>
    <row r="8630" spans="1:14" x14ac:dyDescent="0.25">
      <c r="A8630" t="s">
        <v>43</v>
      </c>
      <c r="B8630" t="s">
        <v>15</v>
      </c>
      <c r="C8630" t="s">
        <v>38</v>
      </c>
      <c r="D8630" t="s">
        <v>29</v>
      </c>
      <c r="E8630" t="s">
        <v>15</v>
      </c>
      <c r="F8630" t="s">
        <v>19</v>
      </c>
      <c r="G8630" s="2">
        <f>VALUE(706.13)</f>
        <v>706.13</v>
      </c>
      <c r="H8630" s="3">
        <f>VALUE(692.56)</f>
        <v>692.56</v>
      </c>
      <c r="I8630" s="1">
        <f>VALUE(3895)</f>
        <v>3895</v>
      </c>
      <c r="J8630" s="5">
        <f>VALUE(3895)</f>
        <v>3895</v>
      </c>
      <c r="K8630" s="1">
        <f>VALUE(5674)</f>
        <v>5674</v>
      </c>
      <c r="L8630" s="7">
        <f>VALUE(6830)</f>
        <v>6830</v>
      </c>
      <c r="M8630" s="1">
        <f>VALUE(8222)</f>
        <v>8222</v>
      </c>
      <c r="N8630" t="s">
        <v>25</v>
      </c>
    </row>
    <row r="8631" spans="1:14" x14ac:dyDescent="0.25">
      <c r="A8631" t="s">
        <v>43</v>
      </c>
      <c r="B8631" t="s">
        <v>15</v>
      </c>
      <c r="C8631" t="s">
        <v>38</v>
      </c>
      <c r="D8631" t="s">
        <v>29</v>
      </c>
      <c r="E8631" t="s">
        <v>15</v>
      </c>
      <c r="F8631" t="s">
        <v>20</v>
      </c>
      <c r="G8631" s="2">
        <f>VALUE(4034.72)</f>
        <v>4034.72</v>
      </c>
      <c r="H8631" s="3">
        <f>VALUE(3314.94)</f>
        <v>3314.94</v>
      </c>
      <c r="I8631" s="1">
        <f>VALUE(3590)</f>
        <v>3590</v>
      </c>
      <c r="J8631" s="1">
        <f>VALUE(4157)</f>
        <v>4157</v>
      </c>
      <c r="K8631" s="1">
        <f>VALUE(5125)</f>
        <v>5125</v>
      </c>
      <c r="L8631" s="1">
        <f>VALUE(5781)</f>
        <v>5781</v>
      </c>
      <c r="M8631" s="1">
        <f>VALUE(6735)</f>
        <v>6735</v>
      </c>
      <c r="N8631" t="s">
        <v>25</v>
      </c>
    </row>
    <row r="8632" spans="1:14" x14ac:dyDescent="0.25">
      <c r="A8632" t="s">
        <v>43</v>
      </c>
      <c r="B8632" t="s">
        <v>15</v>
      </c>
      <c r="C8632" t="s">
        <v>38</v>
      </c>
      <c r="D8632" t="s">
        <v>29</v>
      </c>
      <c r="E8632" t="s">
        <v>21</v>
      </c>
      <c r="F8632" t="s">
        <v>15</v>
      </c>
      <c r="G8632" s="2">
        <f>VALUE(481.64)</f>
        <v>481.64</v>
      </c>
      <c r="H8632" s="3">
        <f>VALUE(447.49)</f>
        <v>447.49</v>
      </c>
      <c r="I8632" s="1">
        <f>VALUE(6413)</f>
        <v>6413</v>
      </c>
      <c r="J8632" s="1">
        <f>VALUE(7592)</f>
        <v>7592</v>
      </c>
      <c r="K8632" s="1">
        <f>VALUE(8486)</f>
        <v>8486</v>
      </c>
      <c r="L8632" s="7">
        <f>VALUE(13446)</f>
        <v>13446</v>
      </c>
      <c r="M8632" s="8">
        <f>VALUE(19473)</f>
        <v>19473</v>
      </c>
      <c r="N8632" t="s">
        <v>25</v>
      </c>
    </row>
    <row r="8633" spans="1:14" x14ac:dyDescent="0.25">
      <c r="A8633" t="s">
        <v>43</v>
      </c>
      <c r="B8633" t="s">
        <v>15</v>
      </c>
      <c r="C8633" t="s">
        <v>38</v>
      </c>
      <c r="D8633" t="s">
        <v>29</v>
      </c>
      <c r="E8633" t="s">
        <v>21</v>
      </c>
      <c r="F8633" t="s">
        <v>17</v>
      </c>
      <c r="G8633" s="2">
        <f>VALUE(199.89)</f>
        <v>199.89</v>
      </c>
      <c r="H8633" s="3">
        <f>VALUE(189.48)</f>
        <v>189.48</v>
      </c>
      <c r="I8633" s="1">
        <f>VALUE(8221)</f>
        <v>8221</v>
      </c>
      <c r="J8633" s="1">
        <f>VALUE(9700)</f>
        <v>9700</v>
      </c>
      <c r="K8633" s="1">
        <f>VALUE(13446)</f>
        <v>13446</v>
      </c>
      <c r="L8633" s="1">
        <f>VALUE(19473)</f>
        <v>19473</v>
      </c>
      <c r="M8633" s="1">
        <f>VALUE(25491)</f>
        <v>25491</v>
      </c>
      <c r="N8633" t="s">
        <v>25</v>
      </c>
    </row>
    <row r="8634" spans="1:14" x14ac:dyDescent="0.25">
      <c r="A8634" t="s">
        <v>43</v>
      </c>
      <c r="B8634" t="s">
        <v>15</v>
      </c>
      <c r="C8634" t="s">
        <v>38</v>
      </c>
      <c r="D8634" t="s">
        <v>29</v>
      </c>
      <c r="E8634" t="s">
        <v>21</v>
      </c>
      <c r="F8634" t="s">
        <v>18</v>
      </c>
      <c r="G8634" s="1" t="str">
        <f t="shared" ref="G8634:M8636" si="1888">"X"</f>
        <v>X</v>
      </c>
      <c r="H8634" s="1" t="str">
        <f t="shared" si="1888"/>
        <v>X</v>
      </c>
      <c r="I8634" s="1" t="str">
        <f t="shared" si="1888"/>
        <v>X</v>
      </c>
      <c r="J8634" s="1" t="str">
        <f t="shared" si="1888"/>
        <v>X</v>
      </c>
      <c r="K8634" s="1" t="str">
        <f t="shared" si="1888"/>
        <v>X</v>
      </c>
      <c r="L8634" s="1" t="str">
        <f t="shared" si="1888"/>
        <v>X</v>
      </c>
      <c r="M8634" s="1" t="str">
        <f t="shared" si="1888"/>
        <v>X</v>
      </c>
      <c r="N8634" t="s">
        <v>27</v>
      </c>
    </row>
    <row r="8635" spans="1:14" x14ac:dyDescent="0.25">
      <c r="A8635" t="s">
        <v>43</v>
      </c>
      <c r="B8635" t="s">
        <v>15</v>
      </c>
      <c r="C8635" t="s">
        <v>38</v>
      </c>
      <c r="D8635" t="s">
        <v>29</v>
      </c>
      <c r="E8635" t="s">
        <v>21</v>
      </c>
      <c r="F8635" t="s">
        <v>19</v>
      </c>
      <c r="G8635" s="1" t="str">
        <f t="shared" si="1888"/>
        <v>X</v>
      </c>
      <c r="H8635" s="1" t="str">
        <f t="shared" si="1888"/>
        <v>X</v>
      </c>
      <c r="I8635" s="1" t="str">
        <f t="shared" si="1888"/>
        <v>X</v>
      </c>
      <c r="J8635" s="1" t="str">
        <f t="shared" si="1888"/>
        <v>X</v>
      </c>
      <c r="K8635" s="1" t="str">
        <f t="shared" si="1888"/>
        <v>X</v>
      </c>
      <c r="L8635" s="1" t="str">
        <f t="shared" si="1888"/>
        <v>X</v>
      </c>
      <c r="M8635" s="1" t="str">
        <f t="shared" si="1888"/>
        <v>X</v>
      </c>
      <c r="N8635" t="s">
        <v>27</v>
      </c>
    </row>
    <row r="8636" spans="1:14" x14ac:dyDescent="0.25">
      <c r="A8636" t="s">
        <v>43</v>
      </c>
      <c r="B8636" t="s">
        <v>15</v>
      </c>
      <c r="C8636" t="s">
        <v>38</v>
      </c>
      <c r="D8636" t="s">
        <v>29</v>
      </c>
      <c r="E8636" t="s">
        <v>21</v>
      </c>
      <c r="F8636" t="s">
        <v>20</v>
      </c>
      <c r="G8636" s="1" t="str">
        <f t="shared" si="1888"/>
        <v>X</v>
      </c>
      <c r="H8636" s="1" t="str">
        <f t="shared" si="1888"/>
        <v>X</v>
      </c>
      <c r="I8636" s="1" t="str">
        <f t="shared" si="1888"/>
        <v>X</v>
      </c>
      <c r="J8636" s="1" t="str">
        <f t="shared" si="1888"/>
        <v>X</v>
      </c>
      <c r="K8636" s="1" t="str">
        <f t="shared" si="1888"/>
        <v>X</v>
      </c>
      <c r="L8636" s="1" t="str">
        <f t="shared" si="1888"/>
        <v>X</v>
      </c>
      <c r="M8636" s="1" t="str">
        <f t="shared" si="1888"/>
        <v>X</v>
      </c>
      <c r="N8636" t="s">
        <v>27</v>
      </c>
    </row>
    <row r="8637" spans="1:14" x14ac:dyDescent="0.25">
      <c r="A8637" t="s">
        <v>43</v>
      </c>
      <c r="B8637" t="s">
        <v>15</v>
      </c>
      <c r="C8637" t="s">
        <v>38</v>
      </c>
      <c r="D8637" t="s">
        <v>29</v>
      </c>
      <c r="E8637" t="s">
        <v>22</v>
      </c>
      <c r="F8637" t="s">
        <v>15</v>
      </c>
      <c r="G8637" s="2">
        <f>VALUE(1826.55)</f>
        <v>1826.55</v>
      </c>
      <c r="H8637" s="3">
        <f>VALUE(1723.91)</f>
        <v>1723.91</v>
      </c>
      <c r="I8637" s="1">
        <f>VALUE(4828)</f>
        <v>4828</v>
      </c>
      <c r="J8637" s="1">
        <f>VALUE(5230)</f>
        <v>5230</v>
      </c>
      <c r="K8637" s="1">
        <f>VALUE(5828)</f>
        <v>5828</v>
      </c>
      <c r="L8637" s="7">
        <f>VALUE(6750)</f>
        <v>6750</v>
      </c>
      <c r="M8637" s="1">
        <f>VALUE(8876)</f>
        <v>8876</v>
      </c>
      <c r="N8637" t="s">
        <v>25</v>
      </c>
    </row>
    <row r="8638" spans="1:14" x14ac:dyDescent="0.25">
      <c r="A8638" t="s">
        <v>43</v>
      </c>
      <c r="B8638" t="s">
        <v>15</v>
      </c>
      <c r="C8638" t="s">
        <v>38</v>
      </c>
      <c r="D8638" t="s">
        <v>29</v>
      </c>
      <c r="E8638" t="s">
        <v>22</v>
      </c>
      <c r="F8638" t="s">
        <v>17</v>
      </c>
      <c r="G8638" s="2">
        <f>VALUE(374.14)</f>
        <v>374.14</v>
      </c>
      <c r="H8638" s="3">
        <f>VALUE(368.33)</f>
        <v>368.33</v>
      </c>
      <c r="I8638" s="1">
        <f>VALUE(5230)</f>
        <v>5230</v>
      </c>
      <c r="J8638" s="1">
        <f>VALUE(5760)</f>
        <v>5760</v>
      </c>
      <c r="K8638" s="1">
        <f>VALUE(6190)</f>
        <v>6190</v>
      </c>
      <c r="L8638" s="7">
        <f>VALUE(8705)</f>
        <v>8705</v>
      </c>
      <c r="M8638" s="8">
        <f>VALUE(13917)</f>
        <v>13917</v>
      </c>
      <c r="N8638" t="s">
        <v>25</v>
      </c>
    </row>
    <row r="8639" spans="1:14" x14ac:dyDescent="0.25">
      <c r="A8639" t="s">
        <v>43</v>
      </c>
      <c r="B8639" t="s">
        <v>15</v>
      </c>
      <c r="C8639" t="s">
        <v>38</v>
      </c>
      <c r="D8639" t="s">
        <v>29</v>
      </c>
      <c r="E8639" t="s">
        <v>22</v>
      </c>
      <c r="F8639" t="s">
        <v>18</v>
      </c>
      <c r="G8639" s="1" t="str">
        <f t="shared" ref="G8639:M8639" si="1889">"X"</f>
        <v>X</v>
      </c>
      <c r="H8639" s="1" t="str">
        <f t="shared" si="1889"/>
        <v>X</v>
      </c>
      <c r="I8639" s="1" t="str">
        <f t="shared" si="1889"/>
        <v>X</v>
      </c>
      <c r="J8639" s="1" t="str">
        <f t="shared" si="1889"/>
        <v>X</v>
      </c>
      <c r="K8639" s="1" t="str">
        <f t="shared" si="1889"/>
        <v>X</v>
      </c>
      <c r="L8639" s="1" t="str">
        <f t="shared" si="1889"/>
        <v>X</v>
      </c>
      <c r="M8639" s="1" t="str">
        <f t="shared" si="1889"/>
        <v>X</v>
      </c>
      <c r="N8639" t="s">
        <v>27</v>
      </c>
    </row>
    <row r="8640" spans="1:14" x14ac:dyDescent="0.25">
      <c r="A8640" t="s">
        <v>43</v>
      </c>
      <c r="B8640" t="s">
        <v>15</v>
      </c>
      <c r="C8640" t="s">
        <v>38</v>
      </c>
      <c r="D8640" t="s">
        <v>29</v>
      </c>
      <c r="E8640" t="s">
        <v>22</v>
      </c>
      <c r="F8640" t="s">
        <v>19</v>
      </c>
      <c r="G8640" s="2">
        <f>VALUE(272.02)</f>
        <v>272.02</v>
      </c>
      <c r="H8640" s="3">
        <f>VALUE(262.51)</f>
        <v>262.51</v>
      </c>
      <c r="I8640" s="1">
        <f>VALUE(5316)</f>
        <v>5316</v>
      </c>
      <c r="J8640" s="1">
        <f>VALUE(5479)</f>
        <v>5479</v>
      </c>
      <c r="K8640" s="1">
        <f>VALUE(6136)</f>
        <v>6136</v>
      </c>
      <c r="L8640" s="1">
        <f>VALUE(7760)</f>
        <v>7760</v>
      </c>
      <c r="M8640" s="1">
        <f>VALUE(8222)</f>
        <v>8222</v>
      </c>
      <c r="N8640" t="s">
        <v>25</v>
      </c>
    </row>
    <row r="8641" spans="1:14" x14ac:dyDescent="0.25">
      <c r="A8641" t="s">
        <v>43</v>
      </c>
      <c r="B8641" t="s">
        <v>15</v>
      </c>
      <c r="C8641" t="s">
        <v>38</v>
      </c>
      <c r="D8641" t="s">
        <v>29</v>
      </c>
      <c r="E8641" t="s">
        <v>22</v>
      </c>
      <c r="F8641" t="s">
        <v>20</v>
      </c>
      <c r="G8641" s="2">
        <f>VALUE(1006.23)</f>
        <v>1006.23</v>
      </c>
      <c r="H8641" s="3">
        <f>VALUE(935.72)</f>
        <v>935.72</v>
      </c>
      <c r="I8641" s="1">
        <f>VALUE(4381)</f>
        <v>4381</v>
      </c>
      <c r="J8641" s="1">
        <f>VALUE(5066)</f>
        <v>5066</v>
      </c>
      <c r="K8641" s="1">
        <f>VALUE(5576)</f>
        <v>5576</v>
      </c>
      <c r="L8641" s="1">
        <f>VALUE(6499)</f>
        <v>6499</v>
      </c>
      <c r="M8641" s="8">
        <f>VALUE(7703)</f>
        <v>7703</v>
      </c>
      <c r="N8641" t="s">
        <v>25</v>
      </c>
    </row>
    <row r="8642" spans="1:14" x14ac:dyDescent="0.25">
      <c r="A8642" t="s">
        <v>43</v>
      </c>
      <c r="B8642" t="s">
        <v>15</v>
      </c>
      <c r="C8642" t="s">
        <v>38</v>
      </c>
      <c r="D8642" t="s">
        <v>29</v>
      </c>
      <c r="E8642" t="s">
        <v>23</v>
      </c>
      <c r="F8642" t="s">
        <v>15</v>
      </c>
      <c r="G8642" s="2">
        <f>VALUE(3479.6)</f>
        <v>3479.6</v>
      </c>
      <c r="H8642" s="3">
        <f>VALUE(2867.1)</f>
        <v>2867.1</v>
      </c>
      <c r="I8642" s="4">
        <f>VALUE(3515)</f>
        <v>3515</v>
      </c>
      <c r="J8642" s="1">
        <f>VALUE(3984)</f>
        <v>3984</v>
      </c>
      <c r="K8642" s="6">
        <f>VALUE(4858)</f>
        <v>4858</v>
      </c>
      <c r="L8642" s="1">
        <f>VALUE(5580)</f>
        <v>5580</v>
      </c>
      <c r="M8642" s="1">
        <f>VALUE(6400)</f>
        <v>6400</v>
      </c>
      <c r="N8642" t="s">
        <v>25</v>
      </c>
    </row>
    <row r="8643" spans="1:14" x14ac:dyDescent="0.25">
      <c r="A8643" t="s">
        <v>43</v>
      </c>
      <c r="B8643" t="s">
        <v>15</v>
      </c>
      <c r="C8643" t="s">
        <v>38</v>
      </c>
      <c r="D8643" t="s">
        <v>29</v>
      </c>
      <c r="E8643" t="s">
        <v>23</v>
      </c>
      <c r="F8643" t="s">
        <v>17</v>
      </c>
      <c r="G8643" s="1" t="str">
        <f t="shared" ref="G8643:M8644" si="1890">"X"</f>
        <v>X</v>
      </c>
      <c r="H8643" s="1" t="str">
        <f t="shared" si="1890"/>
        <v>X</v>
      </c>
      <c r="I8643" s="1" t="str">
        <f t="shared" si="1890"/>
        <v>X</v>
      </c>
      <c r="J8643" s="1" t="str">
        <f t="shared" si="1890"/>
        <v>X</v>
      </c>
      <c r="K8643" s="1" t="str">
        <f t="shared" si="1890"/>
        <v>X</v>
      </c>
      <c r="L8643" s="1" t="str">
        <f t="shared" si="1890"/>
        <v>X</v>
      </c>
      <c r="M8643" s="1" t="str">
        <f t="shared" si="1890"/>
        <v>X</v>
      </c>
      <c r="N8643" t="s">
        <v>27</v>
      </c>
    </row>
    <row r="8644" spans="1:14" x14ac:dyDescent="0.25">
      <c r="A8644" t="s">
        <v>43</v>
      </c>
      <c r="B8644" t="s">
        <v>15</v>
      </c>
      <c r="C8644" t="s">
        <v>38</v>
      </c>
      <c r="D8644" t="s">
        <v>29</v>
      </c>
      <c r="E8644" t="s">
        <v>23</v>
      </c>
      <c r="F8644" t="s">
        <v>18</v>
      </c>
      <c r="G8644" s="1" t="str">
        <f t="shared" si="1890"/>
        <v>X</v>
      </c>
      <c r="H8644" s="1" t="str">
        <f t="shared" si="1890"/>
        <v>X</v>
      </c>
      <c r="I8644" s="1" t="str">
        <f t="shared" si="1890"/>
        <v>X</v>
      </c>
      <c r="J8644" s="1" t="str">
        <f t="shared" si="1890"/>
        <v>X</v>
      </c>
      <c r="K8644" s="1" t="str">
        <f t="shared" si="1890"/>
        <v>X</v>
      </c>
      <c r="L8644" s="1" t="str">
        <f t="shared" si="1890"/>
        <v>X</v>
      </c>
      <c r="M8644" s="1" t="str">
        <f t="shared" si="1890"/>
        <v>X</v>
      </c>
      <c r="N8644" t="s">
        <v>27</v>
      </c>
    </row>
    <row r="8645" spans="1:14" x14ac:dyDescent="0.25">
      <c r="A8645" t="s">
        <v>43</v>
      </c>
      <c r="B8645" t="s">
        <v>15</v>
      </c>
      <c r="C8645" t="s">
        <v>38</v>
      </c>
      <c r="D8645" t="s">
        <v>29</v>
      </c>
      <c r="E8645" t="s">
        <v>23</v>
      </c>
      <c r="F8645" t="s">
        <v>19</v>
      </c>
      <c r="G8645" s="2">
        <f>VALUE(364.2)</f>
        <v>364.2</v>
      </c>
      <c r="H8645" s="3">
        <f>VALUE(359)</f>
        <v>359</v>
      </c>
      <c r="I8645" s="1">
        <f>VALUE(3895)</f>
        <v>3895</v>
      </c>
      <c r="J8645" s="1">
        <f>VALUE(3895)</f>
        <v>3895</v>
      </c>
      <c r="K8645" s="6">
        <f>VALUE(3895)</f>
        <v>3895</v>
      </c>
      <c r="L8645" s="7">
        <f>VALUE(5812)</f>
        <v>5812</v>
      </c>
      <c r="M8645" s="1">
        <f>VALUE(6830)</f>
        <v>6830</v>
      </c>
      <c r="N8645" t="s">
        <v>25</v>
      </c>
    </row>
    <row r="8646" spans="1:14" x14ac:dyDescent="0.25">
      <c r="A8646" t="s">
        <v>43</v>
      </c>
      <c r="B8646" t="s">
        <v>15</v>
      </c>
      <c r="C8646" t="s">
        <v>38</v>
      </c>
      <c r="D8646" t="s">
        <v>29</v>
      </c>
      <c r="E8646" t="s">
        <v>23</v>
      </c>
      <c r="F8646" t="s">
        <v>20</v>
      </c>
      <c r="G8646" s="2">
        <f>VALUE(2870.1)</f>
        <v>2870.1</v>
      </c>
      <c r="H8646" s="3">
        <f>VALUE(2272.34)</f>
        <v>2272.34</v>
      </c>
      <c r="I8646" s="4">
        <f>VALUE(3513)</f>
        <v>3513</v>
      </c>
      <c r="J8646" s="1">
        <f>VALUE(3984)</f>
        <v>3984</v>
      </c>
      <c r="K8646" s="6">
        <f>VALUE(4809)</f>
        <v>4809</v>
      </c>
      <c r="L8646" s="1">
        <f>VALUE(5455)</f>
        <v>5455</v>
      </c>
      <c r="M8646" s="1">
        <f>VALUE(6323)</f>
        <v>6323</v>
      </c>
      <c r="N8646" t="s">
        <v>25</v>
      </c>
    </row>
    <row r="8647" spans="1:14" x14ac:dyDescent="0.25">
      <c r="A8647" t="s">
        <v>43</v>
      </c>
      <c r="B8647" t="s">
        <v>15</v>
      </c>
      <c r="C8647" t="s">
        <v>38</v>
      </c>
      <c r="D8647" t="s">
        <v>29</v>
      </c>
      <c r="E8647" t="s">
        <v>26</v>
      </c>
      <c r="F8647" t="s">
        <v>15</v>
      </c>
      <c r="G8647" s="1" t="str">
        <f t="shared" ref="G8647:M8649" si="1891">"X"</f>
        <v>X</v>
      </c>
      <c r="H8647" s="1" t="str">
        <f t="shared" si="1891"/>
        <v>X</v>
      </c>
      <c r="I8647" s="1" t="str">
        <f t="shared" si="1891"/>
        <v>X</v>
      </c>
      <c r="J8647" s="1" t="str">
        <f t="shared" si="1891"/>
        <v>X</v>
      </c>
      <c r="K8647" s="1" t="str">
        <f t="shared" si="1891"/>
        <v>X</v>
      </c>
      <c r="L8647" s="1" t="str">
        <f t="shared" si="1891"/>
        <v>X</v>
      </c>
      <c r="M8647" s="1" t="str">
        <f t="shared" si="1891"/>
        <v>X</v>
      </c>
      <c r="N8647" t="s">
        <v>27</v>
      </c>
    </row>
    <row r="8648" spans="1:14" x14ac:dyDescent="0.25">
      <c r="A8648" t="s">
        <v>43</v>
      </c>
      <c r="B8648" t="s">
        <v>15</v>
      </c>
      <c r="C8648" t="s">
        <v>38</v>
      </c>
      <c r="D8648" t="s">
        <v>29</v>
      </c>
      <c r="E8648" t="s">
        <v>26</v>
      </c>
      <c r="F8648" t="s">
        <v>17</v>
      </c>
      <c r="G8648" s="1" t="str">
        <f t="shared" si="1891"/>
        <v>X</v>
      </c>
      <c r="H8648" s="1" t="str">
        <f t="shared" si="1891"/>
        <v>X</v>
      </c>
      <c r="I8648" s="1" t="str">
        <f t="shared" si="1891"/>
        <v>X</v>
      </c>
      <c r="J8648" s="1" t="str">
        <f t="shared" si="1891"/>
        <v>X</v>
      </c>
      <c r="K8648" s="1" t="str">
        <f t="shared" si="1891"/>
        <v>X</v>
      </c>
      <c r="L8648" s="1" t="str">
        <f t="shared" si="1891"/>
        <v>X</v>
      </c>
      <c r="M8648" s="1" t="str">
        <f t="shared" si="1891"/>
        <v>X</v>
      </c>
      <c r="N8648" t="s">
        <v>27</v>
      </c>
    </row>
    <row r="8649" spans="1:14" x14ac:dyDescent="0.25">
      <c r="A8649" t="s">
        <v>43</v>
      </c>
      <c r="B8649" t="s">
        <v>15</v>
      </c>
      <c r="C8649" t="s">
        <v>38</v>
      </c>
      <c r="D8649" t="s">
        <v>29</v>
      </c>
      <c r="E8649" t="s">
        <v>26</v>
      </c>
      <c r="F8649" t="s">
        <v>18</v>
      </c>
      <c r="G8649" s="1" t="str">
        <f t="shared" si="1891"/>
        <v>X</v>
      </c>
      <c r="H8649" s="1" t="str">
        <f t="shared" si="1891"/>
        <v>X</v>
      </c>
      <c r="I8649" s="1" t="str">
        <f t="shared" si="1891"/>
        <v>X</v>
      </c>
      <c r="J8649" s="1" t="str">
        <f t="shared" si="1891"/>
        <v>X</v>
      </c>
      <c r="K8649" s="1" t="str">
        <f t="shared" si="1891"/>
        <v>X</v>
      </c>
      <c r="L8649" s="1" t="str">
        <f t="shared" si="1891"/>
        <v>X</v>
      </c>
      <c r="M8649" s="1" t="str">
        <f t="shared" si="1891"/>
        <v>X</v>
      </c>
      <c r="N8649" t="s">
        <v>27</v>
      </c>
    </row>
    <row r="8650" spans="1:14" x14ac:dyDescent="0.25">
      <c r="A8650" t="s">
        <v>43</v>
      </c>
      <c r="B8650" t="s">
        <v>15</v>
      </c>
      <c r="C8650" t="s">
        <v>38</v>
      </c>
      <c r="D8650" t="s">
        <v>29</v>
      </c>
      <c r="E8650" t="s">
        <v>26</v>
      </c>
      <c r="F8650" t="s">
        <v>19</v>
      </c>
      <c r="G8650" s="1" t="str">
        <f t="shared" ref="G8650:M8650" si="1892">"..."</f>
        <v>...</v>
      </c>
      <c r="H8650" s="1" t="str">
        <f t="shared" si="1892"/>
        <v>...</v>
      </c>
      <c r="I8650" s="1" t="str">
        <f t="shared" si="1892"/>
        <v>...</v>
      </c>
      <c r="J8650" s="1" t="str">
        <f t="shared" si="1892"/>
        <v>...</v>
      </c>
      <c r="K8650" s="1" t="str">
        <f t="shared" si="1892"/>
        <v>...</v>
      </c>
      <c r="L8650" s="1" t="str">
        <f t="shared" si="1892"/>
        <v>...</v>
      </c>
      <c r="M8650" s="1" t="str">
        <f t="shared" si="1892"/>
        <v>...</v>
      </c>
      <c r="N8650" t="s">
        <v>30</v>
      </c>
    </row>
    <row r="8651" spans="1:14" x14ac:dyDescent="0.25">
      <c r="A8651" t="s">
        <v>43</v>
      </c>
      <c r="B8651" t="s">
        <v>15</v>
      </c>
      <c r="C8651" t="s">
        <v>38</v>
      </c>
      <c r="D8651" t="s">
        <v>29</v>
      </c>
      <c r="E8651" t="s">
        <v>26</v>
      </c>
      <c r="F8651" t="s">
        <v>20</v>
      </c>
      <c r="G8651" s="1" t="str">
        <f t="shared" ref="G8651:M8651" si="1893">"X"</f>
        <v>X</v>
      </c>
      <c r="H8651" s="1" t="str">
        <f t="shared" si="1893"/>
        <v>X</v>
      </c>
      <c r="I8651" s="1" t="str">
        <f t="shared" si="1893"/>
        <v>X</v>
      </c>
      <c r="J8651" s="1" t="str">
        <f t="shared" si="1893"/>
        <v>X</v>
      </c>
      <c r="K8651" s="1" t="str">
        <f t="shared" si="1893"/>
        <v>X</v>
      </c>
      <c r="L8651" s="1" t="str">
        <f t="shared" si="1893"/>
        <v>X</v>
      </c>
      <c r="M8651" s="1" t="str">
        <f t="shared" si="1893"/>
        <v>X</v>
      </c>
      <c r="N8651" t="s">
        <v>27</v>
      </c>
    </row>
    <row r="8652" spans="1:14" x14ac:dyDescent="0.25">
      <c r="A8652" t="s">
        <v>43</v>
      </c>
      <c r="B8652" t="s">
        <v>15</v>
      </c>
      <c r="C8652" t="s">
        <v>38</v>
      </c>
      <c r="D8652" t="s">
        <v>31</v>
      </c>
      <c r="E8652" t="s">
        <v>15</v>
      </c>
      <c r="F8652" t="s">
        <v>15</v>
      </c>
      <c r="G8652" s="2">
        <f>VALUE(1268.36)</f>
        <v>1268.3599999999999</v>
      </c>
      <c r="H8652" s="3">
        <f>VALUE(1078.64)</f>
        <v>1078.6400000000001</v>
      </c>
      <c r="I8652" s="4">
        <f>VALUE(3644)</f>
        <v>3644</v>
      </c>
      <c r="J8652" s="5">
        <f>VALUE(4044)</f>
        <v>4044</v>
      </c>
      <c r="K8652" s="6">
        <f>VALUE(4936)</f>
        <v>4936</v>
      </c>
      <c r="L8652" s="7">
        <f>VALUE(6914)</f>
        <v>6914</v>
      </c>
      <c r="M8652" s="8">
        <f>VALUE(9863)</f>
        <v>9863</v>
      </c>
      <c r="N8652" t="s">
        <v>24</v>
      </c>
    </row>
    <row r="8653" spans="1:14" x14ac:dyDescent="0.25">
      <c r="A8653" t="s">
        <v>43</v>
      </c>
      <c r="B8653" t="s">
        <v>15</v>
      </c>
      <c r="C8653" t="s">
        <v>38</v>
      </c>
      <c r="D8653" t="s">
        <v>31</v>
      </c>
      <c r="E8653" t="s">
        <v>15</v>
      </c>
      <c r="F8653" t="s">
        <v>17</v>
      </c>
      <c r="G8653" s="1" t="str">
        <f t="shared" ref="G8653:M8655" si="1894">"X"</f>
        <v>X</v>
      </c>
      <c r="H8653" s="1" t="str">
        <f t="shared" si="1894"/>
        <v>X</v>
      </c>
      <c r="I8653" s="1" t="str">
        <f t="shared" si="1894"/>
        <v>X</v>
      </c>
      <c r="J8653" s="1" t="str">
        <f t="shared" si="1894"/>
        <v>X</v>
      </c>
      <c r="K8653" s="1" t="str">
        <f t="shared" si="1894"/>
        <v>X</v>
      </c>
      <c r="L8653" s="1" t="str">
        <f t="shared" si="1894"/>
        <v>X</v>
      </c>
      <c r="M8653" s="1" t="str">
        <f t="shared" si="1894"/>
        <v>X</v>
      </c>
      <c r="N8653" t="s">
        <v>27</v>
      </c>
    </row>
    <row r="8654" spans="1:14" x14ac:dyDescent="0.25">
      <c r="A8654" t="s">
        <v>43</v>
      </c>
      <c r="B8654" t="s">
        <v>15</v>
      </c>
      <c r="C8654" t="s">
        <v>38</v>
      </c>
      <c r="D8654" t="s">
        <v>31</v>
      </c>
      <c r="E8654" t="s">
        <v>15</v>
      </c>
      <c r="F8654" t="s">
        <v>18</v>
      </c>
      <c r="G8654" s="1" t="str">
        <f t="shared" si="1894"/>
        <v>X</v>
      </c>
      <c r="H8654" s="1" t="str">
        <f t="shared" si="1894"/>
        <v>X</v>
      </c>
      <c r="I8654" s="1" t="str">
        <f t="shared" si="1894"/>
        <v>X</v>
      </c>
      <c r="J8654" s="1" t="str">
        <f t="shared" si="1894"/>
        <v>X</v>
      </c>
      <c r="K8654" s="1" t="str">
        <f t="shared" si="1894"/>
        <v>X</v>
      </c>
      <c r="L8654" s="1" t="str">
        <f t="shared" si="1894"/>
        <v>X</v>
      </c>
      <c r="M8654" s="1" t="str">
        <f t="shared" si="1894"/>
        <v>X</v>
      </c>
      <c r="N8654" t="s">
        <v>27</v>
      </c>
    </row>
    <row r="8655" spans="1:14" x14ac:dyDescent="0.25">
      <c r="A8655" t="s">
        <v>43</v>
      </c>
      <c r="B8655" t="s">
        <v>15</v>
      </c>
      <c r="C8655" t="s">
        <v>38</v>
      </c>
      <c r="D8655" t="s">
        <v>31</v>
      </c>
      <c r="E8655" t="s">
        <v>15</v>
      </c>
      <c r="F8655" t="s">
        <v>19</v>
      </c>
      <c r="G8655" s="1" t="str">
        <f t="shared" si="1894"/>
        <v>X</v>
      </c>
      <c r="H8655" s="1" t="str">
        <f t="shared" si="1894"/>
        <v>X</v>
      </c>
      <c r="I8655" s="1" t="str">
        <f t="shared" si="1894"/>
        <v>X</v>
      </c>
      <c r="J8655" s="1" t="str">
        <f t="shared" si="1894"/>
        <v>X</v>
      </c>
      <c r="K8655" s="1" t="str">
        <f t="shared" si="1894"/>
        <v>X</v>
      </c>
      <c r="L8655" s="1" t="str">
        <f t="shared" si="1894"/>
        <v>X</v>
      </c>
      <c r="M8655" s="1" t="str">
        <f t="shared" si="1894"/>
        <v>X</v>
      </c>
      <c r="N8655" t="s">
        <v>27</v>
      </c>
    </row>
    <row r="8656" spans="1:14" x14ac:dyDescent="0.25">
      <c r="A8656" t="s">
        <v>43</v>
      </c>
      <c r="B8656" t="s">
        <v>15</v>
      </c>
      <c r="C8656" t="s">
        <v>38</v>
      </c>
      <c r="D8656" t="s">
        <v>31</v>
      </c>
      <c r="E8656" t="s">
        <v>15</v>
      </c>
      <c r="F8656" t="s">
        <v>20</v>
      </c>
      <c r="G8656" s="2">
        <f>VALUE(896.33)</f>
        <v>896.33</v>
      </c>
      <c r="H8656" s="3">
        <f>VALUE(707.11)</f>
        <v>707.11</v>
      </c>
      <c r="I8656" s="4">
        <f>VALUE(3518)</f>
        <v>3518</v>
      </c>
      <c r="J8656" s="5">
        <f>VALUE(3644)</f>
        <v>3644</v>
      </c>
      <c r="K8656" s="6">
        <f>VALUE(4388)</f>
        <v>4388</v>
      </c>
      <c r="L8656" s="7">
        <f>VALUE(5038)</f>
        <v>5038</v>
      </c>
      <c r="M8656" s="8">
        <f>VALUE(6448)</f>
        <v>6448</v>
      </c>
      <c r="N8656" t="s">
        <v>24</v>
      </c>
    </row>
    <row r="8657" spans="1:14" x14ac:dyDescent="0.25">
      <c r="A8657" t="s">
        <v>43</v>
      </c>
      <c r="B8657" t="s">
        <v>15</v>
      </c>
      <c r="C8657" t="s">
        <v>38</v>
      </c>
      <c r="D8657" t="s">
        <v>31</v>
      </c>
      <c r="E8657" t="s">
        <v>21</v>
      </c>
      <c r="F8657" t="s">
        <v>15</v>
      </c>
      <c r="G8657" s="2">
        <f>VALUE(206.09)</f>
        <v>206.09</v>
      </c>
      <c r="H8657" s="3">
        <f>VALUE(191.17)</f>
        <v>191.17</v>
      </c>
      <c r="I8657" s="4">
        <f>VALUE(5702)</f>
        <v>5702</v>
      </c>
      <c r="J8657" s="5">
        <f>VALUE(8257)</f>
        <v>8257</v>
      </c>
      <c r="K8657" s="6">
        <f>VALUE(9863)</f>
        <v>9863</v>
      </c>
      <c r="L8657" s="7">
        <f>VALUE(14474)</f>
        <v>14474</v>
      </c>
      <c r="M8657" s="1">
        <f>VALUE(20700)</f>
        <v>20700</v>
      </c>
      <c r="N8657" t="s">
        <v>25</v>
      </c>
    </row>
    <row r="8658" spans="1:14" x14ac:dyDescent="0.25">
      <c r="A8658" t="s">
        <v>43</v>
      </c>
      <c r="B8658" t="s">
        <v>15</v>
      </c>
      <c r="C8658" t="s">
        <v>38</v>
      </c>
      <c r="D8658" t="s">
        <v>31</v>
      </c>
      <c r="E8658" t="s">
        <v>21</v>
      </c>
      <c r="F8658" t="s">
        <v>17</v>
      </c>
      <c r="G8658" s="1" t="str">
        <f t="shared" ref="G8658:M8661" si="1895">"X"</f>
        <v>X</v>
      </c>
      <c r="H8658" s="1" t="str">
        <f t="shared" si="1895"/>
        <v>X</v>
      </c>
      <c r="I8658" s="1" t="str">
        <f t="shared" si="1895"/>
        <v>X</v>
      </c>
      <c r="J8658" s="1" t="str">
        <f t="shared" si="1895"/>
        <v>X</v>
      </c>
      <c r="K8658" s="1" t="str">
        <f t="shared" si="1895"/>
        <v>X</v>
      </c>
      <c r="L8658" s="1" t="str">
        <f t="shared" si="1895"/>
        <v>X</v>
      </c>
      <c r="M8658" s="1" t="str">
        <f t="shared" si="1895"/>
        <v>X</v>
      </c>
      <c r="N8658" t="s">
        <v>27</v>
      </c>
    </row>
    <row r="8659" spans="1:14" x14ac:dyDescent="0.25">
      <c r="A8659" t="s">
        <v>43</v>
      </c>
      <c r="B8659" t="s">
        <v>15</v>
      </c>
      <c r="C8659" t="s">
        <v>38</v>
      </c>
      <c r="D8659" t="s">
        <v>31</v>
      </c>
      <c r="E8659" t="s">
        <v>21</v>
      </c>
      <c r="F8659" t="s">
        <v>18</v>
      </c>
      <c r="G8659" s="1" t="str">
        <f t="shared" si="1895"/>
        <v>X</v>
      </c>
      <c r="H8659" s="1" t="str">
        <f t="shared" si="1895"/>
        <v>X</v>
      </c>
      <c r="I8659" s="1" t="str">
        <f t="shared" si="1895"/>
        <v>X</v>
      </c>
      <c r="J8659" s="1" t="str">
        <f t="shared" si="1895"/>
        <v>X</v>
      </c>
      <c r="K8659" s="1" t="str">
        <f t="shared" si="1895"/>
        <v>X</v>
      </c>
      <c r="L8659" s="1" t="str">
        <f t="shared" si="1895"/>
        <v>X</v>
      </c>
      <c r="M8659" s="1" t="str">
        <f t="shared" si="1895"/>
        <v>X</v>
      </c>
      <c r="N8659" t="s">
        <v>27</v>
      </c>
    </row>
    <row r="8660" spans="1:14" x14ac:dyDescent="0.25">
      <c r="A8660" t="s">
        <v>43</v>
      </c>
      <c r="B8660" t="s">
        <v>15</v>
      </c>
      <c r="C8660" t="s">
        <v>38</v>
      </c>
      <c r="D8660" t="s">
        <v>31</v>
      </c>
      <c r="E8660" t="s">
        <v>21</v>
      </c>
      <c r="F8660" t="s">
        <v>19</v>
      </c>
      <c r="G8660" s="1" t="str">
        <f t="shared" si="1895"/>
        <v>X</v>
      </c>
      <c r="H8660" s="1" t="str">
        <f t="shared" si="1895"/>
        <v>X</v>
      </c>
      <c r="I8660" s="1" t="str">
        <f t="shared" si="1895"/>
        <v>X</v>
      </c>
      <c r="J8660" s="1" t="str">
        <f t="shared" si="1895"/>
        <v>X</v>
      </c>
      <c r="K8660" s="1" t="str">
        <f t="shared" si="1895"/>
        <v>X</v>
      </c>
      <c r="L8660" s="1" t="str">
        <f t="shared" si="1895"/>
        <v>X</v>
      </c>
      <c r="M8660" s="1" t="str">
        <f t="shared" si="1895"/>
        <v>X</v>
      </c>
      <c r="N8660" t="s">
        <v>27</v>
      </c>
    </row>
    <row r="8661" spans="1:14" x14ac:dyDescent="0.25">
      <c r="A8661" t="s">
        <v>43</v>
      </c>
      <c r="B8661" t="s">
        <v>15</v>
      </c>
      <c r="C8661" t="s">
        <v>38</v>
      </c>
      <c r="D8661" t="s">
        <v>31</v>
      </c>
      <c r="E8661" t="s">
        <v>21</v>
      </c>
      <c r="F8661" t="s">
        <v>20</v>
      </c>
      <c r="G8661" s="1" t="str">
        <f t="shared" si="1895"/>
        <v>X</v>
      </c>
      <c r="H8661" s="1" t="str">
        <f t="shared" si="1895"/>
        <v>X</v>
      </c>
      <c r="I8661" s="1" t="str">
        <f t="shared" si="1895"/>
        <v>X</v>
      </c>
      <c r="J8661" s="1" t="str">
        <f t="shared" si="1895"/>
        <v>X</v>
      </c>
      <c r="K8661" s="1" t="str">
        <f t="shared" si="1895"/>
        <v>X</v>
      </c>
      <c r="L8661" s="1" t="str">
        <f t="shared" si="1895"/>
        <v>X</v>
      </c>
      <c r="M8661" s="1" t="str">
        <f t="shared" si="1895"/>
        <v>X</v>
      </c>
      <c r="N8661" t="s">
        <v>27</v>
      </c>
    </row>
    <row r="8662" spans="1:14" x14ac:dyDescent="0.25">
      <c r="A8662" t="s">
        <v>43</v>
      </c>
      <c r="B8662" t="s">
        <v>15</v>
      </c>
      <c r="C8662" t="s">
        <v>38</v>
      </c>
      <c r="D8662" t="s">
        <v>31</v>
      </c>
      <c r="E8662" t="s">
        <v>22</v>
      </c>
      <c r="F8662" t="s">
        <v>15</v>
      </c>
      <c r="G8662" s="2">
        <f>VALUE(560.6)</f>
        <v>560.6</v>
      </c>
      <c r="H8662" s="3">
        <f>VALUE(479.93)</f>
        <v>479.93</v>
      </c>
      <c r="I8662" s="1">
        <f>VALUE(4360)</f>
        <v>4360</v>
      </c>
      <c r="J8662" s="1">
        <f>VALUE(4481)</f>
        <v>4481</v>
      </c>
      <c r="K8662" s="6">
        <f>VALUE(4995)</f>
        <v>4995</v>
      </c>
      <c r="L8662" s="7">
        <f>VALUE(6266)</f>
        <v>6266</v>
      </c>
      <c r="M8662" s="8">
        <f>VALUE(8000)</f>
        <v>8000</v>
      </c>
      <c r="N8662" t="s">
        <v>25</v>
      </c>
    </row>
    <row r="8663" spans="1:14" x14ac:dyDescent="0.25">
      <c r="A8663" t="s">
        <v>43</v>
      </c>
      <c r="B8663" t="s">
        <v>15</v>
      </c>
      <c r="C8663" t="s">
        <v>38</v>
      </c>
      <c r="D8663" t="s">
        <v>31</v>
      </c>
      <c r="E8663" t="s">
        <v>22</v>
      </c>
      <c r="F8663" t="s">
        <v>17</v>
      </c>
      <c r="G8663" s="1" t="str">
        <f t="shared" ref="G8663:M8666" si="1896">"X"</f>
        <v>X</v>
      </c>
      <c r="H8663" s="1" t="str">
        <f t="shared" si="1896"/>
        <v>X</v>
      </c>
      <c r="I8663" s="1" t="str">
        <f t="shared" si="1896"/>
        <v>X</v>
      </c>
      <c r="J8663" s="1" t="str">
        <f t="shared" si="1896"/>
        <v>X</v>
      </c>
      <c r="K8663" s="1" t="str">
        <f t="shared" si="1896"/>
        <v>X</v>
      </c>
      <c r="L8663" s="1" t="str">
        <f t="shared" si="1896"/>
        <v>X</v>
      </c>
      <c r="M8663" s="1" t="str">
        <f t="shared" si="1896"/>
        <v>X</v>
      </c>
      <c r="N8663" t="s">
        <v>27</v>
      </c>
    </row>
    <row r="8664" spans="1:14" x14ac:dyDescent="0.25">
      <c r="A8664" t="s">
        <v>43</v>
      </c>
      <c r="B8664" t="s">
        <v>15</v>
      </c>
      <c r="C8664" t="s">
        <v>38</v>
      </c>
      <c r="D8664" t="s">
        <v>31</v>
      </c>
      <c r="E8664" t="s">
        <v>22</v>
      </c>
      <c r="F8664" t="s">
        <v>18</v>
      </c>
      <c r="G8664" s="1" t="str">
        <f t="shared" si="1896"/>
        <v>X</v>
      </c>
      <c r="H8664" s="1" t="str">
        <f t="shared" si="1896"/>
        <v>X</v>
      </c>
      <c r="I8664" s="1" t="str">
        <f t="shared" si="1896"/>
        <v>X</v>
      </c>
      <c r="J8664" s="1" t="str">
        <f t="shared" si="1896"/>
        <v>X</v>
      </c>
      <c r="K8664" s="1" t="str">
        <f t="shared" si="1896"/>
        <v>X</v>
      </c>
      <c r="L8664" s="1" t="str">
        <f t="shared" si="1896"/>
        <v>X</v>
      </c>
      <c r="M8664" s="1" t="str">
        <f t="shared" si="1896"/>
        <v>X</v>
      </c>
      <c r="N8664" t="s">
        <v>27</v>
      </c>
    </row>
    <row r="8665" spans="1:14" x14ac:dyDescent="0.25">
      <c r="A8665" t="s">
        <v>43</v>
      </c>
      <c r="B8665" t="s">
        <v>15</v>
      </c>
      <c r="C8665" t="s">
        <v>38</v>
      </c>
      <c r="D8665" t="s">
        <v>31</v>
      </c>
      <c r="E8665" t="s">
        <v>22</v>
      </c>
      <c r="F8665" t="s">
        <v>19</v>
      </c>
      <c r="G8665" s="1" t="str">
        <f t="shared" si="1896"/>
        <v>X</v>
      </c>
      <c r="H8665" s="1" t="str">
        <f t="shared" si="1896"/>
        <v>X</v>
      </c>
      <c r="I8665" s="1" t="str">
        <f t="shared" si="1896"/>
        <v>X</v>
      </c>
      <c r="J8665" s="1" t="str">
        <f t="shared" si="1896"/>
        <v>X</v>
      </c>
      <c r="K8665" s="1" t="str">
        <f t="shared" si="1896"/>
        <v>X</v>
      </c>
      <c r="L8665" s="1" t="str">
        <f t="shared" si="1896"/>
        <v>X</v>
      </c>
      <c r="M8665" s="1" t="str">
        <f t="shared" si="1896"/>
        <v>X</v>
      </c>
      <c r="N8665" t="s">
        <v>27</v>
      </c>
    </row>
    <row r="8666" spans="1:14" x14ac:dyDescent="0.25">
      <c r="A8666" t="s">
        <v>43</v>
      </c>
      <c r="B8666" t="s">
        <v>15</v>
      </c>
      <c r="C8666" t="s">
        <v>38</v>
      </c>
      <c r="D8666" t="s">
        <v>31</v>
      </c>
      <c r="E8666" t="s">
        <v>22</v>
      </c>
      <c r="F8666" t="s">
        <v>20</v>
      </c>
      <c r="G8666" s="1" t="str">
        <f t="shared" si="1896"/>
        <v>X</v>
      </c>
      <c r="H8666" s="1" t="str">
        <f t="shared" si="1896"/>
        <v>X</v>
      </c>
      <c r="I8666" s="1" t="str">
        <f t="shared" si="1896"/>
        <v>X</v>
      </c>
      <c r="J8666" s="1" t="str">
        <f t="shared" si="1896"/>
        <v>X</v>
      </c>
      <c r="K8666" s="1" t="str">
        <f t="shared" si="1896"/>
        <v>X</v>
      </c>
      <c r="L8666" s="1" t="str">
        <f t="shared" si="1896"/>
        <v>X</v>
      </c>
      <c r="M8666" s="1" t="str">
        <f t="shared" si="1896"/>
        <v>X</v>
      </c>
      <c r="N8666" t="s">
        <v>27</v>
      </c>
    </row>
    <row r="8667" spans="1:14" x14ac:dyDescent="0.25">
      <c r="A8667" t="s">
        <v>43</v>
      </c>
      <c r="B8667" t="s">
        <v>15</v>
      </c>
      <c r="C8667" t="s">
        <v>38</v>
      </c>
      <c r="D8667" t="s">
        <v>31</v>
      </c>
      <c r="E8667" t="s">
        <v>23</v>
      </c>
      <c r="F8667" t="s">
        <v>15</v>
      </c>
      <c r="G8667" s="2">
        <f>VALUE(498)</f>
        <v>498</v>
      </c>
      <c r="H8667" s="3">
        <f>VALUE(403.87)</f>
        <v>403.87</v>
      </c>
      <c r="I8667" s="4">
        <f>VALUE(3516)</f>
        <v>3516</v>
      </c>
      <c r="J8667" s="1">
        <f>VALUE(3644)</f>
        <v>3644</v>
      </c>
      <c r="K8667" s="6">
        <f>VALUE(3644)</f>
        <v>3644</v>
      </c>
      <c r="L8667" s="7">
        <f>VALUE(5218)</f>
        <v>5218</v>
      </c>
      <c r="M8667" s="8">
        <f>VALUE(6087)</f>
        <v>6087</v>
      </c>
      <c r="N8667" t="s">
        <v>25</v>
      </c>
    </row>
    <row r="8668" spans="1:14" x14ac:dyDescent="0.25">
      <c r="A8668" t="s">
        <v>43</v>
      </c>
      <c r="B8668" t="s">
        <v>15</v>
      </c>
      <c r="C8668" t="s">
        <v>38</v>
      </c>
      <c r="D8668" t="s">
        <v>31</v>
      </c>
      <c r="E8668" t="s">
        <v>23</v>
      </c>
      <c r="F8668" t="s">
        <v>17</v>
      </c>
      <c r="G8668" s="1" t="str">
        <f t="shared" ref="G8668:M8670" si="1897">"X"</f>
        <v>X</v>
      </c>
      <c r="H8668" s="1" t="str">
        <f t="shared" si="1897"/>
        <v>X</v>
      </c>
      <c r="I8668" s="1" t="str">
        <f t="shared" si="1897"/>
        <v>X</v>
      </c>
      <c r="J8668" s="1" t="str">
        <f t="shared" si="1897"/>
        <v>X</v>
      </c>
      <c r="K8668" s="1" t="str">
        <f t="shared" si="1897"/>
        <v>X</v>
      </c>
      <c r="L8668" s="1" t="str">
        <f t="shared" si="1897"/>
        <v>X</v>
      </c>
      <c r="M8668" s="1" t="str">
        <f t="shared" si="1897"/>
        <v>X</v>
      </c>
      <c r="N8668" t="s">
        <v>27</v>
      </c>
    </row>
    <row r="8669" spans="1:14" x14ac:dyDescent="0.25">
      <c r="A8669" t="s">
        <v>43</v>
      </c>
      <c r="B8669" t="s">
        <v>15</v>
      </c>
      <c r="C8669" t="s">
        <v>38</v>
      </c>
      <c r="D8669" t="s">
        <v>31</v>
      </c>
      <c r="E8669" t="s">
        <v>23</v>
      </c>
      <c r="F8669" t="s">
        <v>18</v>
      </c>
      <c r="G8669" s="1" t="str">
        <f t="shared" si="1897"/>
        <v>X</v>
      </c>
      <c r="H8669" s="1" t="str">
        <f t="shared" si="1897"/>
        <v>X</v>
      </c>
      <c r="I8669" s="1" t="str">
        <f t="shared" si="1897"/>
        <v>X</v>
      </c>
      <c r="J8669" s="1" t="str">
        <f t="shared" si="1897"/>
        <v>X</v>
      </c>
      <c r="K8669" s="1" t="str">
        <f t="shared" si="1897"/>
        <v>X</v>
      </c>
      <c r="L8669" s="1" t="str">
        <f t="shared" si="1897"/>
        <v>X</v>
      </c>
      <c r="M8669" s="1" t="str">
        <f t="shared" si="1897"/>
        <v>X</v>
      </c>
      <c r="N8669" t="s">
        <v>27</v>
      </c>
    </row>
    <row r="8670" spans="1:14" x14ac:dyDescent="0.25">
      <c r="A8670" t="s">
        <v>43</v>
      </c>
      <c r="B8670" t="s">
        <v>15</v>
      </c>
      <c r="C8670" t="s">
        <v>38</v>
      </c>
      <c r="D8670" t="s">
        <v>31</v>
      </c>
      <c r="E8670" t="s">
        <v>23</v>
      </c>
      <c r="F8670" t="s">
        <v>19</v>
      </c>
      <c r="G8670" s="1" t="str">
        <f t="shared" si="1897"/>
        <v>X</v>
      </c>
      <c r="H8670" s="1" t="str">
        <f t="shared" si="1897"/>
        <v>X</v>
      </c>
      <c r="I8670" s="1" t="str">
        <f t="shared" si="1897"/>
        <v>X</v>
      </c>
      <c r="J8670" s="1" t="str">
        <f t="shared" si="1897"/>
        <v>X</v>
      </c>
      <c r="K8670" s="1" t="str">
        <f t="shared" si="1897"/>
        <v>X</v>
      </c>
      <c r="L8670" s="1" t="str">
        <f t="shared" si="1897"/>
        <v>X</v>
      </c>
      <c r="M8670" s="1" t="str">
        <f t="shared" si="1897"/>
        <v>X</v>
      </c>
      <c r="N8670" t="s">
        <v>27</v>
      </c>
    </row>
    <row r="8671" spans="1:14" x14ac:dyDescent="0.25">
      <c r="A8671" t="s">
        <v>43</v>
      </c>
      <c r="B8671" t="s">
        <v>15</v>
      </c>
      <c r="C8671" t="s">
        <v>38</v>
      </c>
      <c r="D8671" t="s">
        <v>31</v>
      </c>
      <c r="E8671" t="s">
        <v>23</v>
      </c>
      <c r="F8671" t="s">
        <v>20</v>
      </c>
      <c r="G8671" s="2">
        <f>VALUE(438.77)</f>
        <v>438.77</v>
      </c>
      <c r="H8671" s="3">
        <f>VALUE(342.56)</f>
        <v>342.56</v>
      </c>
      <c r="I8671" s="4">
        <f>VALUE(3516)</f>
        <v>3516</v>
      </c>
      <c r="J8671" s="1">
        <f>VALUE(3644)</f>
        <v>3644</v>
      </c>
      <c r="K8671" s="1">
        <f>VALUE(3644)</f>
        <v>3644</v>
      </c>
      <c r="L8671" s="7">
        <f>VALUE(4540)</f>
        <v>4540</v>
      </c>
      <c r="M8671" s="8">
        <f>VALUE(5780)</f>
        <v>5780</v>
      </c>
      <c r="N8671" t="s">
        <v>25</v>
      </c>
    </row>
    <row r="8672" spans="1:14" x14ac:dyDescent="0.25">
      <c r="A8672" t="s">
        <v>43</v>
      </c>
      <c r="B8672" t="s">
        <v>15</v>
      </c>
      <c r="C8672" t="s">
        <v>38</v>
      </c>
      <c r="D8672" t="s">
        <v>31</v>
      </c>
      <c r="E8672" t="s">
        <v>26</v>
      </c>
      <c r="F8672" t="s">
        <v>15</v>
      </c>
      <c r="G8672" s="1" t="str">
        <f t="shared" ref="G8672:M8674" si="1898">"X"</f>
        <v>X</v>
      </c>
      <c r="H8672" s="1" t="str">
        <f t="shared" si="1898"/>
        <v>X</v>
      </c>
      <c r="I8672" s="1" t="str">
        <f t="shared" si="1898"/>
        <v>X</v>
      </c>
      <c r="J8672" s="1" t="str">
        <f t="shared" si="1898"/>
        <v>X</v>
      </c>
      <c r="K8672" s="1" t="str">
        <f t="shared" si="1898"/>
        <v>X</v>
      </c>
      <c r="L8672" s="1" t="str">
        <f t="shared" si="1898"/>
        <v>X</v>
      </c>
      <c r="M8672" s="1" t="str">
        <f t="shared" si="1898"/>
        <v>X</v>
      </c>
      <c r="N8672" t="s">
        <v>27</v>
      </c>
    </row>
    <row r="8673" spans="1:14" x14ac:dyDescent="0.25">
      <c r="A8673" t="s">
        <v>43</v>
      </c>
      <c r="B8673" t="s">
        <v>15</v>
      </c>
      <c r="C8673" t="s">
        <v>38</v>
      </c>
      <c r="D8673" t="s">
        <v>31</v>
      </c>
      <c r="E8673" t="s">
        <v>26</v>
      </c>
      <c r="F8673" t="s">
        <v>17</v>
      </c>
      <c r="G8673" s="1" t="str">
        <f t="shared" si="1898"/>
        <v>X</v>
      </c>
      <c r="H8673" s="1" t="str">
        <f t="shared" si="1898"/>
        <v>X</v>
      </c>
      <c r="I8673" s="1" t="str">
        <f t="shared" si="1898"/>
        <v>X</v>
      </c>
      <c r="J8673" s="1" t="str">
        <f t="shared" si="1898"/>
        <v>X</v>
      </c>
      <c r="K8673" s="1" t="str">
        <f t="shared" si="1898"/>
        <v>X</v>
      </c>
      <c r="L8673" s="1" t="str">
        <f t="shared" si="1898"/>
        <v>X</v>
      </c>
      <c r="M8673" s="1" t="str">
        <f t="shared" si="1898"/>
        <v>X</v>
      </c>
      <c r="N8673" t="s">
        <v>27</v>
      </c>
    </row>
    <row r="8674" spans="1:14" x14ac:dyDescent="0.25">
      <c r="A8674" t="s">
        <v>43</v>
      </c>
      <c r="B8674" t="s">
        <v>15</v>
      </c>
      <c r="C8674" t="s">
        <v>38</v>
      </c>
      <c r="D8674" t="s">
        <v>31</v>
      </c>
      <c r="E8674" t="s">
        <v>26</v>
      </c>
      <c r="F8674" t="s">
        <v>18</v>
      </c>
      <c r="G8674" s="1" t="str">
        <f t="shared" si="1898"/>
        <v>X</v>
      </c>
      <c r="H8674" s="1" t="str">
        <f t="shared" si="1898"/>
        <v>X</v>
      </c>
      <c r="I8674" s="1" t="str">
        <f t="shared" si="1898"/>
        <v>X</v>
      </c>
      <c r="J8674" s="1" t="str">
        <f t="shared" si="1898"/>
        <v>X</v>
      </c>
      <c r="K8674" s="1" t="str">
        <f t="shared" si="1898"/>
        <v>X</v>
      </c>
      <c r="L8674" s="1" t="str">
        <f t="shared" si="1898"/>
        <v>X</v>
      </c>
      <c r="M8674" s="1" t="str">
        <f t="shared" si="1898"/>
        <v>X</v>
      </c>
      <c r="N8674" t="s">
        <v>27</v>
      </c>
    </row>
    <row r="8675" spans="1:14" x14ac:dyDescent="0.25">
      <c r="A8675" t="s">
        <v>43</v>
      </c>
      <c r="B8675" t="s">
        <v>15</v>
      </c>
      <c r="C8675" t="s">
        <v>38</v>
      </c>
      <c r="D8675" t="s">
        <v>31</v>
      </c>
      <c r="E8675" t="s">
        <v>26</v>
      </c>
      <c r="F8675" t="s">
        <v>19</v>
      </c>
      <c r="G8675" s="1" t="str">
        <f t="shared" ref="G8675:M8675" si="1899">"..."</f>
        <v>...</v>
      </c>
      <c r="H8675" s="1" t="str">
        <f t="shared" si="1899"/>
        <v>...</v>
      </c>
      <c r="I8675" s="1" t="str">
        <f t="shared" si="1899"/>
        <v>...</v>
      </c>
      <c r="J8675" s="1" t="str">
        <f t="shared" si="1899"/>
        <v>...</v>
      </c>
      <c r="K8675" s="1" t="str">
        <f t="shared" si="1899"/>
        <v>...</v>
      </c>
      <c r="L8675" s="1" t="str">
        <f t="shared" si="1899"/>
        <v>...</v>
      </c>
      <c r="M8675" s="1" t="str">
        <f t="shared" si="1899"/>
        <v>...</v>
      </c>
      <c r="N8675" t="s">
        <v>30</v>
      </c>
    </row>
    <row r="8676" spans="1:14" x14ac:dyDescent="0.25">
      <c r="A8676" t="s">
        <v>43</v>
      </c>
      <c r="B8676" t="s">
        <v>15</v>
      </c>
      <c r="C8676" t="s">
        <v>38</v>
      </c>
      <c r="D8676" t="s">
        <v>31</v>
      </c>
      <c r="E8676" t="s">
        <v>26</v>
      </c>
      <c r="F8676" t="s">
        <v>20</v>
      </c>
      <c r="G8676" s="1" t="str">
        <f t="shared" ref="G8676:M8676" si="1900">"X"</f>
        <v>X</v>
      </c>
      <c r="H8676" s="1" t="str">
        <f t="shared" si="1900"/>
        <v>X</v>
      </c>
      <c r="I8676" s="1" t="str">
        <f t="shared" si="1900"/>
        <v>X</v>
      </c>
      <c r="J8676" s="1" t="str">
        <f t="shared" si="1900"/>
        <v>X</v>
      </c>
      <c r="K8676" s="1" t="str">
        <f t="shared" si="1900"/>
        <v>X</v>
      </c>
      <c r="L8676" s="1" t="str">
        <f t="shared" si="1900"/>
        <v>X</v>
      </c>
      <c r="M8676" s="1" t="str">
        <f t="shared" si="1900"/>
        <v>X</v>
      </c>
      <c r="N8676" t="s">
        <v>27</v>
      </c>
    </row>
    <row r="8677" spans="1:14" x14ac:dyDescent="0.25">
      <c r="A8677" t="s">
        <v>43</v>
      </c>
      <c r="B8677" t="s">
        <v>15</v>
      </c>
      <c r="C8677" t="s">
        <v>38</v>
      </c>
      <c r="D8677" t="s">
        <v>32</v>
      </c>
      <c r="E8677" t="s">
        <v>15</v>
      </c>
      <c r="F8677" t="s">
        <v>15</v>
      </c>
      <c r="G8677" s="1">
        <f>VALUE(8720.55)</f>
        <v>8720.5499999999993</v>
      </c>
      <c r="H8677" s="1">
        <f>VALUE(7768.85)</f>
        <v>7768.85</v>
      </c>
      <c r="I8677" s="1">
        <f>VALUE(3431)</f>
        <v>3431</v>
      </c>
      <c r="J8677" s="1">
        <f>VALUE(4160)</f>
        <v>4160</v>
      </c>
      <c r="K8677" s="1">
        <f>VALUE(5247)</f>
        <v>5247</v>
      </c>
      <c r="L8677" s="1">
        <f>VALUE(6466)</f>
        <v>6466</v>
      </c>
      <c r="M8677" s="1">
        <f>VALUE(7583)</f>
        <v>7583</v>
      </c>
      <c r="N8677" t="s">
        <v>16</v>
      </c>
    </row>
    <row r="8678" spans="1:14" x14ac:dyDescent="0.25">
      <c r="A8678" t="s">
        <v>43</v>
      </c>
      <c r="B8678" t="s">
        <v>15</v>
      </c>
      <c r="C8678" t="s">
        <v>38</v>
      </c>
      <c r="D8678" t="s">
        <v>32</v>
      </c>
      <c r="E8678" t="s">
        <v>15</v>
      </c>
      <c r="F8678" t="s">
        <v>17</v>
      </c>
      <c r="G8678" s="2">
        <f>VALUE(732.68)</f>
        <v>732.68</v>
      </c>
      <c r="H8678" s="3">
        <f>VALUE(680.97)</f>
        <v>680.97</v>
      </c>
      <c r="I8678" s="1">
        <f>VALUE(5789)</f>
        <v>5789</v>
      </c>
      <c r="J8678" s="1">
        <f>VALUE(6649)</f>
        <v>6649</v>
      </c>
      <c r="K8678" s="1">
        <f>VALUE(8289)</f>
        <v>8289</v>
      </c>
      <c r="L8678" s="1">
        <f>VALUE(11362)</f>
        <v>11362</v>
      </c>
      <c r="M8678" s="8">
        <f>VALUE(14974)</f>
        <v>14974</v>
      </c>
      <c r="N8678" t="s">
        <v>25</v>
      </c>
    </row>
    <row r="8679" spans="1:14" x14ac:dyDescent="0.25">
      <c r="A8679" t="s">
        <v>43</v>
      </c>
      <c r="B8679" t="s">
        <v>15</v>
      </c>
      <c r="C8679" t="s">
        <v>38</v>
      </c>
      <c r="D8679" t="s">
        <v>32</v>
      </c>
      <c r="E8679" t="s">
        <v>15</v>
      </c>
      <c r="F8679" t="s">
        <v>18</v>
      </c>
      <c r="G8679" s="2">
        <f>VALUE(413.2)</f>
        <v>413.2</v>
      </c>
      <c r="H8679" s="3">
        <f>VALUE(390.29)</f>
        <v>390.29</v>
      </c>
      <c r="I8679" s="4">
        <f>VALUE(4436)</f>
        <v>4436</v>
      </c>
      <c r="J8679" s="1">
        <f>VALUE(5132)</f>
        <v>5132</v>
      </c>
      <c r="K8679" s="1">
        <f>VALUE(6354)</f>
        <v>6354</v>
      </c>
      <c r="L8679" s="1">
        <f>VALUE(7800)</f>
        <v>7800</v>
      </c>
      <c r="M8679" s="1">
        <f>VALUE(10322)</f>
        <v>10322</v>
      </c>
      <c r="N8679" t="s">
        <v>25</v>
      </c>
    </row>
    <row r="8680" spans="1:14" x14ac:dyDescent="0.25">
      <c r="A8680" t="s">
        <v>43</v>
      </c>
      <c r="B8680" t="s">
        <v>15</v>
      </c>
      <c r="C8680" t="s">
        <v>38</v>
      </c>
      <c r="D8680" t="s">
        <v>32</v>
      </c>
      <c r="E8680" t="s">
        <v>15</v>
      </c>
      <c r="F8680" t="s">
        <v>19</v>
      </c>
      <c r="G8680" s="2">
        <f>VALUE(1061.83)</f>
        <v>1061.83</v>
      </c>
      <c r="H8680" s="3">
        <f>VALUE(1050.53)</f>
        <v>1050.53</v>
      </c>
      <c r="I8680" s="1">
        <f>VALUE(4307)</f>
        <v>4307</v>
      </c>
      <c r="J8680" s="1">
        <f>VALUE(5098)</f>
        <v>5098</v>
      </c>
      <c r="K8680" s="6">
        <f>VALUE(6047)</f>
        <v>6047</v>
      </c>
      <c r="L8680" s="1">
        <f>VALUE(6943)</f>
        <v>6943</v>
      </c>
      <c r="M8680" s="1">
        <f>VALUE(7724)</f>
        <v>7724</v>
      </c>
      <c r="N8680" t="s">
        <v>25</v>
      </c>
    </row>
    <row r="8681" spans="1:14" x14ac:dyDescent="0.25">
      <c r="A8681" t="s">
        <v>43</v>
      </c>
      <c r="B8681" t="s">
        <v>15</v>
      </c>
      <c r="C8681" t="s">
        <v>38</v>
      </c>
      <c r="D8681" t="s">
        <v>32</v>
      </c>
      <c r="E8681" t="s">
        <v>15</v>
      </c>
      <c r="F8681" t="s">
        <v>20</v>
      </c>
      <c r="G8681" s="2">
        <f>VALUE(6512.84)</f>
        <v>6512.84</v>
      </c>
      <c r="H8681" s="1">
        <f>VALUE(5647.06)</f>
        <v>5647.06</v>
      </c>
      <c r="I8681" s="1">
        <f>VALUE(3280)</f>
        <v>3280</v>
      </c>
      <c r="J8681" s="1">
        <f>VALUE(3869)</f>
        <v>3869</v>
      </c>
      <c r="K8681" s="1">
        <f>VALUE(4926)</f>
        <v>4926</v>
      </c>
      <c r="L8681" s="1">
        <f>VALUE(5690)</f>
        <v>5690</v>
      </c>
      <c r="M8681" s="1">
        <f>VALUE(6883)</f>
        <v>6883</v>
      </c>
      <c r="N8681" t="s">
        <v>25</v>
      </c>
    </row>
    <row r="8682" spans="1:14" x14ac:dyDescent="0.25">
      <c r="A8682" t="s">
        <v>43</v>
      </c>
      <c r="B8682" t="s">
        <v>15</v>
      </c>
      <c r="C8682" t="s">
        <v>38</v>
      </c>
      <c r="D8682" t="s">
        <v>32</v>
      </c>
      <c r="E8682" t="s">
        <v>21</v>
      </c>
      <c r="F8682" t="s">
        <v>15</v>
      </c>
      <c r="G8682" s="2">
        <f>VALUE(1081.12)</f>
        <v>1081.1199999999999</v>
      </c>
      <c r="H8682" s="3">
        <f>VALUE(982.9)</f>
        <v>982.9</v>
      </c>
      <c r="I8682" s="1">
        <f>VALUE(5247)</f>
        <v>5247</v>
      </c>
      <c r="J8682" s="1">
        <f>VALUE(5389)</f>
        <v>5389</v>
      </c>
      <c r="K8682" s="1">
        <f>VALUE(7083)</f>
        <v>7083</v>
      </c>
      <c r="L8682" s="7">
        <f>VALUE(10057)</f>
        <v>10057</v>
      </c>
      <c r="M8682" s="8">
        <f>VALUE(12939)</f>
        <v>12939</v>
      </c>
      <c r="N8682" t="s">
        <v>25</v>
      </c>
    </row>
    <row r="8683" spans="1:14" x14ac:dyDescent="0.25">
      <c r="A8683" t="s">
        <v>43</v>
      </c>
      <c r="B8683" t="s">
        <v>15</v>
      </c>
      <c r="C8683" t="s">
        <v>38</v>
      </c>
      <c r="D8683" t="s">
        <v>32</v>
      </c>
      <c r="E8683" t="s">
        <v>21</v>
      </c>
      <c r="F8683" t="s">
        <v>17</v>
      </c>
      <c r="G8683" s="2">
        <f>VALUE(330.74)</f>
        <v>330.74</v>
      </c>
      <c r="H8683" s="3">
        <f>VALUE(298.27)</f>
        <v>298.27</v>
      </c>
      <c r="I8683" s="1">
        <f>VALUE(7325)</f>
        <v>7325</v>
      </c>
      <c r="J8683" s="5">
        <f>VALUE(8711)</f>
        <v>8711</v>
      </c>
      <c r="K8683" s="1">
        <f>VALUE(11179)</f>
        <v>11179</v>
      </c>
      <c r="L8683" s="7">
        <f>VALUE(13778)</f>
        <v>13778</v>
      </c>
      <c r="M8683" s="8">
        <f>VALUE(16995)</f>
        <v>16995</v>
      </c>
      <c r="N8683" t="s">
        <v>25</v>
      </c>
    </row>
    <row r="8684" spans="1:14" x14ac:dyDescent="0.25">
      <c r="A8684" t="s">
        <v>43</v>
      </c>
      <c r="B8684" t="s">
        <v>15</v>
      </c>
      <c r="C8684" t="s">
        <v>38</v>
      </c>
      <c r="D8684" t="s">
        <v>32</v>
      </c>
      <c r="E8684" t="s">
        <v>21</v>
      </c>
      <c r="F8684" t="s">
        <v>18</v>
      </c>
      <c r="G8684" s="1" t="str">
        <f t="shared" ref="G8684:M8685" si="1901">"X"</f>
        <v>X</v>
      </c>
      <c r="H8684" s="1" t="str">
        <f t="shared" si="1901"/>
        <v>X</v>
      </c>
      <c r="I8684" s="1" t="str">
        <f t="shared" si="1901"/>
        <v>X</v>
      </c>
      <c r="J8684" s="1" t="str">
        <f t="shared" si="1901"/>
        <v>X</v>
      </c>
      <c r="K8684" s="1" t="str">
        <f t="shared" si="1901"/>
        <v>X</v>
      </c>
      <c r="L8684" s="1" t="str">
        <f t="shared" si="1901"/>
        <v>X</v>
      </c>
      <c r="M8684" s="1" t="str">
        <f t="shared" si="1901"/>
        <v>X</v>
      </c>
      <c r="N8684" t="s">
        <v>27</v>
      </c>
    </row>
    <row r="8685" spans="1:14" x14ac:dyDescent="0.25">
      <c r="A8685" t="s">
        <v>43</v>
      </c>
      <c r="B8685" t="s">
        <v>15</v>
      </c>
      <c r="C8685" t="s">
        <v>38</v>
      </c>
      <c r="D8685" t="s">
        <v>32</v>
      </c>
      <c r="E8685" t="s">
        <v>21</v>
      </c>
      <c r="F8685" t="s">
        <v>19</v>
      </c>
      <c r="G8685" s="1" t="str">
        <f t="shared" si="1901"/>
        <v>X</v>
      </c>
      <c r="H8685" s="1" t="str">
        <f t="shared" si="1901"/>
        <v>X</v>
      </c>
      <c r="I8685" s="1" t="str">
        <f t="shared" si="1901"/>
        <v>X</v>
      </c>
      <c r="J8685" s="1" t="str">
        <f t="shared" si="1901"/>
        <v>X</v>
      </c>
      <c r="K8685" s="1" t="str">
        <f t="shared" si="1901"/>
        <v>X</v>
      </c>
      <c r="L8685" s="1" t="str">
        <f t="shared" si="1901"/>
        <v>X</v>
      </c>
      <c r="M8685" s="1" t="str">
        <f t="shared" si="1901"/>
        <v>X</v>
      </c>
      <c r="N8685" t="s">
        <v>27</v>
      </c>
    </row>
    <row r="8686" spans="1:14" x14ac:dyDescent="0.25">
      <c r="A8686" t="s">
        <v>43</v>
      </c>
      <c r="B8686" t="s">
        <v>15</v>
      </c>
      <c r="C8686" t="s">
        <v>38</v>
      </c>
      <c r="D8686" t="s">
        <v>32</v>
      </c>
      <c r="E8686" t="s">
        <v>21</v>
      </c>
      <c r="F8686" t="s">
        <v>20</v>
      </c>
      <c r="G8686" s="2">
        <f>VALUE(503.85)</f>
        <v>503.85</v>
      </c>
      <c r="H8686" s="3">
        <f>VALUE(451.36)</f>
        <v>451.36</v>
      </c>
      <c r="I8686" s="1">
        <f>VALUE(4753)</f>
        <v>4753</v>
      </c>
      <c r="J8686" s="1">
        <f>VALUE(5247)</f>
        <v>5247</v>
      </c>
      <c r="K8686" s="1">
        <f>VALUE(5389)</f>
        <v>5389</v>
      </c>
      <c r="L8686" s="1">
        <f>VALUE(6850)</f>
        <v>6850</v>
      </c>
      <c r="M8686" s="1">
        <f>VALUE(8139)</f>
        <v>8139</v>
      </c>
      <c r="N8686" t="s">
        <v>25</v>
      </c>
    </row>
    <row r="8687" spans="1:14" x14ac:dyDescent="0.25">
      <c r="A8687" t="s">
        <v>43</v>
      </c>
      <c r="B8687" t="s">
        <v>15</v>
      </c>
      <c r="C8687" t="s">
        <v>38</v>
      </c>
      <c r="D8687" t="s">
        <v>32</v>
      </c>
      <c r="E8687" t="s">
        <v>22</v>
      </c>
      <c r="F8687" t="s">
        <v>15</v>
      </c>
      <c r="G8687" s="2">
        <f>VALUE(2538.76)</f>
        <v>2538.7600000000002</v>
      </c>
      <c r="H8687" s="3">
        <f>VALUE(2380.19)</f>
        <v>2380.19</v>
      </c>
      <c r="I8687" s="1">
        <f>VALUE(4058)</f>
        <v>4058</v>
      </c>
      <c r="J8687" s="1">
        <f>VALUE(4756)</f>
        <v>4756</v>
      </c>
      <c r="K8687" s="1">
        <f>VALUE(5802)</f>
        <v>5802</v>
      </c>
      <c r="L8687" s="1">
        <f>VALUE(7016)</f>
        <v>7016</v>
      </c>
      <c r="M8687" s="1">
        <f>VALUE(7745)</f>
        <v>7745</v>
      </c>
      <c r="N8687" t="s">
        <v>25</v>
      </c>
    </row>
    <row r="8688" spans="1:14" x14ac:dyDescent="0.25">
      <c r="A8688" t="s">
        <v>43</v>
      </c>
      <c r="B8688" t="s">
        <v>15</v>
      </c>
      <c r="C8688" t="s">
        <v>38</v>
      </c>
      <c r="D8688" t="s">
        <v>32</v>
      </c>
      <c r="E8688" t="s">
        <v>22</v>
      </c>
      <c r="F8688" t="s">
        <v>17</v>
      </c>
      <c r="G8688" s="2">
        <f>VALUE(268.63)</f>
        <v>268.63</v>
      </c>
      <c r="H8688" s="3">
        <f>VALUE(252.02)</f>
        <v>252.02</v>
      </c>
      <c r="I8688" s="1">
        <f>VALUE(5579)</f>
        <v>5579</v>
      </c>
      <c r="J8688" s="1">
        <f>VALUE(6649)</f>
        <v>6649</v>
      </c>
      <c r="K8688" s="1">
        <f>VALUE(7206)</f>
        <v>7206</v>
      </c>
      <c r="L8688" s="7">
        <f>VALUE(8915)</f>
        <v>8915</v>
      </c>
      <c r="M8688" s="8">
        <f>VALUE(12350)</f>
        <v>12350</v>
      </c>
      <c r="N8688" t="s">
        <v>25</v>
      </c>
    </row>
    <row r="8689" spans="1:14" x14ac:dyDescent="0.25">
      <c r="A8689" t="s">
        <v>43</v>
      </c>
      <c r="B8689" t="s">
        <v>15</v>
      </c>
      <c r="C8689" t="s">
        <v>38</v>
      </c>
      <c r="D8689" t="s">
        <v>32</v>
      </c>
      <c r="E8689" t="s">
        <v>22</v>
      </c>
      <c r="F8689" t="s">
        <v>18</v>
      </c>
      <c r="G8689" s="1" t="str">
        <f t="shared" ref="G8689:M8689" si="1902">"X"</f>
        <v>X</v>
      </c>
      <c r="H8689" s="1" t="str">
        <f t="shared" si="1902"/>
        <v>X</v>
      </c>
      <c r="I8689" s="1" t="str">
        <f t="shared" si="1902"/>
        <v>X</v>
      </c>
      <c r="J8689" s="1" t="str">
        <f t="shared" si="1902"/>
        <v>X</v>
      </c>
      <c r="K8689" s="1" t="str">
        <f t="shared" si="1902"/>
        <v>X</v>
      </c>
      <c r="L8689" s="1" t="str">
        <f t="shared" si="1902"/>
        <v>X</v>
      </c>
      <c r="M8689" s="1" t="str">
        <f t="shared" si="1902"/>
        <v>X</v>
      </c>
      <c r="N8689" t="s">
        <v>27</v>
      </c>
    </row>
    <row r="8690" spans="1:14" x14ac:dyDescent="0.25">
      <c r="A8690" t="s">
        <v>43</v>
      </c>
      <c r="B8690" t="s">
        <v>15</v>
      </c>
      <c r="C8690" t="s">
        <v>38</v>
      </c>
      <c r="D8690" t="s">
        <v>32</v>
      </c>
      <c r="E8690" t="s">
        <v>22</v>
      </c>
      <c r="F8690" t="s">
        <v>19</v>
      </c>
      <c r="G8690" s="2">
        <f>VALUE(383.83)</f>
        <v>383.83</v>
      </c>
      <c r="H8690" s="3">
        <f>VALUE(371.04)</f>
        <v>371.04</v>
      </c>
      <c r="I8690" s="1">
        <f>VALUE(4484)</f>
        <v>4484</v>
      </c>
      <c r="J8690" s="1">
        <f>VALUE(5289)</f>
        <v>5289</v>
      </c>
      <c r="K8690" s="1">
        <f>VALUE(6397)</f>
        <v>6397</v>
      </c>
      <c r="L8690" s="1">
        <f>VALUE(7573)</f>
        <v>7573</v>
      </c>
      <c r="M8690" s="1">
        <f>VALUE(7745)</f>
        <v>7745</v>
      </c>
      <c r="N8690" t="s">
        <v>25</v>
      </c>
    </row>
    <row r="8691" spans="1:14" x14ac:dyDescent="0.25">
      <c r="A8691" t="s">
        <v>43</v>
      </c>
      <c r="B8691" t="s">
        <v>15</v>
      </c>
      <c r="C8691" t="s">
        <v>38</v>
      </c>
      <c r="D8691" t="s">
        <v>32</v>
      </c>
      <c r="E8691" t="s">
        <v>22</v>
      </c>
      <c r="F8691" t="s">
        <v>20</v>
      </c>
      <c r="G8691" s="2">
        <f>VALUE(1723.07)</f>
        <v>1723.07</v>
      </c>
      <c r="H8691" s="3">
        <f>VALUE(1600.3)</f>
        <v>1600.3</v>
      </c>
      <c r="I8691" s="1">
        <f>VALUE(3873)</f>
        <v>3873</v>
      </c>
      <c r="J8691" s="1">
        <f>VALUE(4600)</f>
        <v>4600</v>
      </c>
      <c r="K8691" s="1">
        <f>VALUE(5422)</f>
        <v>5422</v>
      </c>
      <c r="L8691" s="7">
        <f>VALUE(6771)</f>
        <v>6771</v>
      </c>
      <c r="M8691" s="1">
        <f>VALUE(7218)</f>
        <v>7218</v>
      </c>
      <c r="N8691" t="s">
        <v>25</v>
      </c>
    </row>
    <row r="8692" spans="1:14" x14ac:dyDescent="0.25">
      <c r="A8692" t="s">
        <v>43</v>
      </c>
      <c r="B8692" t="s">
        <v>15</v>
      </c>
      <c r="C8692" t="s">
        <v>38</v>
      </c>
      <c r="D8692" t="s">
        <v>32</v>
      </c>
      <c r="E8692" t="s">
        <v>23</v>
      </c>
      <c r="F8692" t="s">
        <v>15</v>
      </c>
      <c r="G8692" s="2">
        <f>VALUE(4936.85)</f>
        <v>4936.8500000000004</v>
      </c>
      <c r="H8692" s="3">
        <f>VALUE(4270.02)</f>
        <v>4270.0200000000004</v>
      </c>
      <c r="I8692" s="1">
        <f>VALUE(3121)</f>
        <v>3121</v>
      </c>
      <c r="J8692" s="1">
        <f>VALUE(3743)</f>
        <v>3743</v>
      </c>
      <c r="K8692" s="1">
        <f>VALUE(4671)</f>
        <v>4671</v>
      </c>
      <c r="L8692" s="1">
        <f>VALUE(5558)</f>
        <v>5558</v>
      </c>
      <c r="M8692" s="1">
        <f>VALUE(6503)</f>
        <v>6503</v>
      </c>
      <c r="N8692" t="s">
        <v>25</v>
      </c>
    </row>
    <row r="8693" spans="1:14" x14ac:dyDescent="0.25">
      <c r="A8693" t="s">
        <v>43</v>
      </c>
      <c r="B8693" t="s">
        <v>15</v>
      </c>
      <c r="C8693" t="s">
        <v>38</v>
      </c>
      <c r="D8693" t="s">
        <v>32</v>
      </c>
      <c r="E8693" t="s">
        <v>23</v>
      </c>
      <c r="F8693" t="s">
        <v>17</v>
      </c>
      <c r="G8693" s="1" t="str">
        <f t="shared" ref="G8693:M8694" si="1903">"X"</f>
        <v>X</v>
      </c>
      <c r="H8693" s="1" t="str">
        <f t="shared" si="1903"/>
        <v>X</v>
      </c>
      <c r="I8693" s="1" t="str">
        <f t="shared" si="1903"/>
        <v>X</v>
      </c>
      <c r="J8693" s="1" t="str">
        <f t="shared" si="1903"/>
        <v>X</v>
      </c>
      <c r="K8693" s="1" t="str">
        <f t="shared" si="1903"/>
        <v>X</v>
      </c>
      <c r="L8693" s="1" t="str">
        <f t="shared" si="1903"/>
        <v>X</v>
      </c>
      <c r="M8693" s="1" t="str">
        <f t="shared" si="1903"/>
        <v>X</v>
      </c>
      <c r="N8693" t="s">
        <v>27</v>
      </c>
    </row>
    <row r="8694" spans="1:14" x14ac:dyDescent="0.25">
      <c r="A8694" t="s">
        <v>43</v>
      </c>
      <c r="B8694" t="s">
        <v>15</v>
      </c>
      <c r="C8694" t="s">
        <v>38</v>
      </c>
      <c r="D8694" t="s">
        <v>32</v>
      </c>
      <c r="E8694" t="s">
        <v>23</v>
      </c>
      <c r="F8694" t="s">
        <v>18</v>
      </c>
      <c r="G8694" s="1" t="str">
        <f t="shared" si="1903"/>
        <v>X</v>
      </c>
      <c r="H8694" s="1" t="str">
        <f t="shared" si="1903"/>
        <v>X</v>
      </c>
      <c r="I8694" s="1" t="str">
        <f t="shared" si="1903"/>
        <v>X</v>
      </c>
      <c r="J8694" s="1" t="str">
        <f t="shared" si="1903"/>
        <v>X</v>
      </c>
      <c r="K8694" s="1" t="str">
        <f t="shared" si="1903"/>
        <v>X</v>
      </c>
      <c r="L8694" s="1" t="str">
        <f t="shared" si="1903"/>
        <v>X</v>
      </c>
      <c r="M8694" s="1" t="str">
        <f t="shared" si="1903"/>
        <v>X</v>
      </c>
      <c r="N8694" t="s">
        <v>27</v>
      </c>
    </row>
    <row r="8695" spans="1:14" x14ac:dyDescent="0.25">
      <c r="A8695" t="s">
        <v>43</v>
      </c>
      <c r="B8695" t="s">
        <v>15</v>
      </c>
      <c r="C8695" t="s">
        <v>38</v>
      </c>
      <c r="D8695" t="s">
        <v>32</v>
      </c>
      <c r="E8695" t="s">
        <v>23</v>
      </c>
      <c r="F8695" t="s">
        <v>19</v>
      </c>
      <c r="G8695" s="2">
        <f>VALUE(549.14)</f>
        <v>549.14</v>
      </c>
      <c r="H8695" s="3">
        <f>VALUE(560.3)</f>
        <v>560.29999999999995</v>
      </c>
      <c r="I8695" s="1">
        <f>VALUE(4146)</f>
        <v>4146</v>
      </c>
      <c r="J8695" s="5">
        <f>VALUE(4860)</f>
        <v>4860</v>
      </c>
      <c r="K8695" s="6">
        <f>VALUE(5494)</f>
        <v>5494</v>
      </c>
      <c r="L8695" s="1">
        <f>VALUE(6866)</f>
        <v>6866</v>
      </c>
      <c r="M8695" s="1">
        <f>VALUE(6943)</f>
        <v>6943</v>
      </c>
      <c r="N8695" t="s">
        <v>25</v>
      </c>
    </row>
    <row r="8696" spans="1:14" x14ac:dyDescent="0.25">
      <c r="A8696" t="s">
        <v>43</v>
      </c>
      <c r="B8696" t="s">
        <v>15</v>
      </c>
      <c r="C8696" t="s">
        <v>38</v>
      </c>
      <c r="D8696" t="s">
        <v>32</v>
      </c>
      <c r="E8696" t="s">
        <v>23</v>
      </c>
      <c r="F8696" t="s">
        <v>20</v>
      </c>
      <c r="G8696" s="2">
        <f>VALUE(4154.8)</f>
        <v>4154.8</v>
      </c>
      <c r="H8696" s="3">
        <f>VALUE(3488.57)</f>
        <v>3488.57</v>
      </c>
      <c r="I8696" s="1">
        <f>VALUE(3048)</f>
        <v>3048</v>
      </c>
      <c r="J8696" s="1">
        <f>VALUE(3611)</f>
        <v>3611</v>
      </c>
      <c r="K8696" s="1">
        <f>VALUE(4385)</f>
        <v>4385</v>
      </c>
      <c r="L8696" s="1">
        <f>VALUE(5309)</f>
        <v>5309</v>
      </c>
      <c r="M8696" s="1">
        <f>VALUE(6069)</f>
        <v>6069</v>
      </c>
      <c r="N8696" t="s">
        <v>25</v>
      </c>
    </row>
    <row r="8697" spans="1:14" x14ac:dyDescent="0.25">
      <c r="A8697" t="s">
        <v>43</v>
      </c>
      <c r="B8697" t="s">
        <v>15</v>
      </c>
      <c r="C8697" t="s">
        <v>38</v>
      </c>
      <c r="D8697" t="s">
        <v>32</v>
      </c>
      <c r="E8697" t="s">
        <v>26</v>
      </c>
      <c r="F8697" t="s">
        <v>15</v>
      </c>
      <c r="G8697" s="1" t="str">
        <f t="shared" ref="G8697:M8706" si="1904">"X"</f>
        <v>X</v>
      </c>
      <c r="H8697" s="1" t="str">
        <f t="shared" si="1904"/>
        <v>X</v>
      </c>
      <c r="I8697" s="1" t="str">
        <f t="shared" si="1904"/>
        <v>X</v>
      </c>
      <c r="J8697" s="1" t="str">
        <f t="shared" si="1904"/>
        <v>X</v>
      </c>
      <c r="K8697" s="1" t="str">
        <f t="shared" si="1904"/>
        <v>X</v>
      </c>
      <c r="L8697" s="1" t="str">
        <f t="shared" si="1904"/>
        <v>X</v>
      </c>
      <c r="M8697" s="1" t="str">
        <f t="shared" si="1904"/>
        <v>X</v>
      </c>
      <c r="N8697" t="s">
        <v>27</v>
      </c>
    </row>
    <row r="8698" spans="1:14" x14ac:dyDescent="0.25">
      <c r="A8698" t="s">
        <v>43</v>
      </c>
      <c r="B8698" t="s">
        <v>15</v>
      </c>
      <c r="C8698" t="s">
        <v>38</v>
      </c>
      <c r="D8698" t="s">
        <v>32</v>
      </c>
      <c r="E8698" t="s">
        <v>26</v>
      </c>
      <c r="F8698" t="s">
        <v>17</v>
      </c>
      <c r="G8698" s="1" t="str">
        <f t="shared" si="1904"/>
        <v>X</v>
      </c>
      <c r="H8698" s="1" t="str">
        <f t="shared" si="1904"/>
        <v>X</v>
      </c>
      <c r="I8698" s="1" t="str">
        <f t="shared" si="1904"/>
        <v>X</v>
      </c>
      <c r="J8698" s="1" t="str">
        <f t="shared" si="1904"/>
        <v>X</v>
      </c>
      <c r="K8698" s="1" t="str">
        <f t="shared" si="1904"/>
        <v>X</v>
      </c>
      <c r="L8698" s="1" t="str">
        <f t="shared" si="1904"/>
        <v>X</v>
      </c>
      <c r="M8698" s="1" t="str">
        <f t="shared" si="1904"/>
        <v>X</v>
      </c>
      <c r="N8698" t="s">
        <v>27</v>
      </c>
    </row>
    <row r="8699" spans="1:14" x14ac:dyDescent="0.25">
      <c r="A8699" t="s">
        <v>43</v>
      </c>
      <c r="B8699" t="s">
        <v>15</v>
      </c>
      <c r="C8699" t="s">
        <v>38</v>
      </c>
      <c r="D8699" t="s">
        <v>32</v>
      </c>
      <c r="E8699" t="s">
        <v>26</v>
      </c>
      <c r="F8699" t="s">
        <v>18</v>
      </c>
      <c r="G8699" s="1" t="str">
        <f t="shared" si="1904"/>
        <v>X</v>
      </c>
      <c r="H8699" s="1" t="str">
        <f t="shared" si="1904"/>
        <v>X</v>
      </c>
      <c r="I8699" s="1" t="str">
        <f t="shared" si="1904"/>
        <v>X</v>
      </c>
      <c r="J8699" s="1" t="str">
        <f t="shared" si="1904"/>
        <v>X</v>
      </c>
      <c r="K8699" s="1" t="str">
        <f t="shared" si="1904"/>
        <v>X</v>
      </c>
      <c r="L8699" s="1" t="str">
        <f t="shared" si="1904"/>
        <v>X</v>
      </c>
      <c r="M8699" s="1" t="str">
        <f t="shared" si="1904"/>
        <v>X</v>
      </c>
      <c r="N8699" t="s">
        <v>27</v>
      </c>
    </row>
    <row r="8700" spans="1:14" x14ac:dyDescent="0.25">
      <c r="A8700" t="s">
        <v>43</v>
      </c>
      <c r="B8700" t="s">
        <v>15</v>
      </c>
      <c r="C8700" t="s">
        <v>38</v>
      </c>
      <c r="D8700" t="s">
        <v>32</v>
      </c>
      <c r="E8700" t="s">
        <v>26</v>
      </c>
      <c r="F8700" t="s">
        <v>19</v>
      </c>
      <c r="G8700" s="1" t="str">
        <f t="shared" si="1904"/>
        <v>X</v>
      </c>
      <c r="H8700" s="1" t="str">
        <f t="shared" si="1904"/>
        <v>X</v>
      </c>
      <c r="I8700" s="1" t="str">
        <f t="shared" si="1904"/>
        <v>X</v>
      </c>
      <c r="J8700" s="1" t="str">
        <f t="shared" si="1904"/>
        <v>X</v>
      </c>
      <c r="K8700" s="1" t="str">
        <f t="shared" si="1904"/>
        <v>X</v>
      </c>
      <c r="L8700" s="1" t="str">
        <f t="shared" si="1904"/>
        <v>X</v>
      </c>
      <c r="M8700" s="1" t="str">
        <f t="shared" si="1904"/>
        <v>X</v>
      </c>
      <c r="N8700" t="s">
        <v>27</v>
      </c>
    </row>
    <row r="8701" spans="1:14" x14ac:dyDescent="0.25">
      <c r="A8701" t="s">
        <v>43</v>
      </c>
      <c r="B8701" t="s">
        <v>15</v>
      </c>
      <c r="C8701" t="s">
        <v>38</v>
      </c>
      <c r="D8701" t="s">
        <v>32</v>
      </c>
      <c r="E8701" t="s">
        <v>26</v>
      </c>
      <c r="F8701" t="s">
        <v>20</v>
      </c>
      <c r="G8701" s="1" t="str">
        <f t="shared" si="1904"/>
        <v>X</v>
      </c>
      <c r="H8701" s="1" t="str">
        <f t="shared" si="1904"/>
        <v>X</v>
      </c>
      <c r="I8701" s="1" t="str">
        <f t="shared" si="1904"/>
        <v>X</v>
      </c>
      <c r="J8701" s="1" t="str">
        <f t="shared" si="1904"/>
        <v>X</v>
      </c>
      <c r="K8701" s="1" t="str">
        <f t="shared" si="1904"/>
        <v>X</v>
      </c>
      <c r="L8701" s="1" t="str">
        <f t="shared" si="1904"/>
        <v>X</v>
      </c>
      <c r="M8701" s="1" t="str">
        <f t="shared" si="1904"/>
        <v>X</v>
      </c>
      <c r="N8701" t="s">
        <v>27</v>
      </c>
    </row>
    <row r="8702" spans="1:14" x14ac:dyDescent="0.25">
      <c r="A8702" t="s">
        <v>43</v>
      </c>
      <c r="B8702" t="s">
        <v>15</v>
      </c>
      <c r="C8702" t="s">
        <v>38</v>
      </c>
      <c r="D8702" t="s">
        <v>33</v>
      </c>
      <c r="E8702" t="s">
        <v>15</v>
      </c>
      <c r="F8702" t="s">
        <v>15</v>
      </c>
      <c r="G8702" s="1" t="str">
        <f t="shared" si="1904"/>
        <v>X</v>
      </c>
      <c r="H8702" s="1" t="str">
        <f t="shared" si="1904"/>
        <v>X</v>
      </c>
      <c r="I8702" s="1" t="str">
        <f t="shared" si="1904"/>
        <v>X</v>
      </c>
      <c r="J8702" s="1" t="str">
        <f t="shared" si="1904"/>
        <v>X</v>
      </c>
      <c r="K8702" s="1" t="str">
        <f t="shared" si="1904"/>
        <v>X</v>
      </c>
      <c r="L8702" s="1" t="str">
        <f t="shared" si="1904"/>
        <v>X</v>
      </c>
      <c r="M8702" s="1" t="str">
        <f t="shared" si="1904"/>
        <v>X</v>
      </c>
      <c r="N8702" t="s">
        <v>27</v>
      </c>
    </row>
    <row r="8703" spans="1:14" x14ac:dyDescent="0.25">
      <c r="A8703" t="s">
        <v>43</v>
      </c>
      <c r="B8703" t="s">
        <v>15</v>
      </c>
      <c r="C8703" t="s">
        <v>38</v>
      </c>
      <c r="D8703" t="s">
        <v>33</v>
      </c>
      <c r="E8703" t="s">
        <v>15</v>
      </c>
      <c r="F8703" t="s">
        <v>17</v>
      </c>
      <c r="G8703" s="1" t="str">
        <f t="shared" si="1904"/>
        <v>X</v>
      </c>
      <c r="H8703" s="1" t="str">
        <f t="shared" si="1904"/>
        <v>X</v>
      </c>
      <c r="I8703" s="1" t="str">
        <f t="shared" si="1904"/>
        <v>X</v>
      </c>
      <c r="J8703" s="1" t="str">
        <f t="shared" si="1904"/>
        <v>X</v>
      </c>
      <c r="K8703" s="1" t="str">
        <f t="shared" si="1904"/>
        <v>X</v>
      </c>
      <c r="L8703" s="1" t="str">
        <f t="shared" si="1904"/>
        <v>X</v>
      </c>
      <c r="M8703" s="1" t="str">
        <f t="shared" si="1904"/>
        <v>X</v>
      </c>
      <c r="N8703" t="s">
        <v>27</v>
      </c>
    </row>
    <row r="8704" spans="1:14" x14ac:dyDescent="0.25">
      <c r="A8704" t="s">
        <v>43</v>
      </c>
      <c r="B8704" t="s">
        <v>15</v>
      </c>
      <c r="C8704" t="s">
        <v>38</v>
      </c>
      <c r="D8704" t="s">
        <v>33</v>
      </c>
      <c r="E8704" t="s">
        <v>15</v>
      </c>
      <c r="F8704" t="s">
        <v>18</v>
      </c>
      <c r="G8704" s="1" t="str">
        <f t="shared" si="1904"/>
        <v>X</v>
      </c>
      <c r="H8704" s="1" t="str">
        <f t="shared" si="1904"/>
        <v>X</v>
      </c>
      <c r="I8704" s="1" t="str">
        <f t="shared" si="1904"/>
        <v>X</v>
      </c>
      <c r="J8704" s="1" t="str">
        <f t="shared" si="1904"/>
        <v>X</v>
      </c>
      <c r="K8704" s="1" t="str">
        <f t="shared" si="1904"/>
        <v>X</v>
      </c>
      <c r="L8704" s="1" t="str">
        <f t="shared" si="1904"/>
        <v>X</v>
      </c>
      <c r="M8704" s="1" t="str">
        <f t="shared" si="1904"/>
        <v>X</v>
      </c>
      <c r="N8704" t="s">
        <v>27</v>
      </c>
    </row>
    <row r="8705" spans="1:14" x14ac:dyDescent="0.25">
      <c r="A8705" t="s">
        <v>43</v>
      </c>
      <c r="B8705" t="s">
        <v>15</v>
      </c>
      <c r="C8705" t="s">
        <v>38</v>
      </c>
      <c r="D8705" t="s">
        <v>33</v>
      </c>
      <c r="E8705" t="s">
        <v>15</v>
      </c>
      <c r="F8705" t="s">
        <v>19</v>
      </c>
      <c r="G8705" s="1" t="str">
        <f t="shared" si="1904"/>
        <v>X</v>
      </c>
      <c r="H8705" s="1" t="str">
        <f t="shared" si="1904"/>
        <v>X</v>
      </c>
      <c r="I8705" s="1" t="str">
        <f t="shared" si="1904"/>
        <v>X</v>
      </c>
      <c r="J8705" s="1" t="str">
        <f t="shared" si="1904"/>
        <v>X</v>
      </c>
      <c r="K8705" s="1" t="str">
        <f t="shared" si="1904"/>
        <v>X</v>
      </c>
      <c r="L8705" s="1" t="str">
        <f t="shared" si="1904"/>
        <v>X</v>
      </c>
      <c r="M8705" s="1" t="str">
        <f t="shared" si="1904"/>
        <v>X</v>
      </c>
      <c r="N8705" t="s">
        <v>27</v>
      </c>
    </row>
    <row r="8706" spans="1:14" x14ac:dyDescent="0.25">
      <c r="A8706" t="s">
        <v>43</v>
      </c>
      <c r="B8706" t="s">
        <v>15</v>
      </c>
      <c r="C8706" t="s">
        <v>38</v>
      </c>
      <c r="D8706" t="s">
        <v>33</v>
      </c>
      <c r="E8706" t="s">
        <v>15</v>
      </c>
      <c r="F8706" t="s">
        <v>20</v>
      </c>
      <c r="G8706" s="1" t="str">
        <f t="shared" si="1904"/>
        <v>X</v>
      </c>
      <c r="H8706" s="1" t="str">
        <f t="shared" si="1904"/>
        <v>X</v>
      </c>
      <c r="I8706" s="1" t="str">
        <f t="shared" si="1904"/>
        <v>X</v>
      </c>
      <c r="J8706" s="1" t="str">
        <f t="shared" si="1904"/>
        <v>X</v>
      </c>
      <c r="K8706" s="1" t="str">
        <f t="shared" si="1904"/>
        <v>X</v>
      </c>
      <c r="L8706" s="1" t="str">
        <f t="shared" si="1904"/>
        <v>X</v>
      </c>
      <c r="M8706" s="1" t="str">
        <f t="shared" si="1904"/>
        <v>X</v>
      </c>
      <c r="N8706" t="s">
        <v>27</v>
      </c>
    </row>
    <row r="8707" spans="1:14" x14ac:dyDescent="0.25">
      <c r="A8707" t="s">
        <v>43</v>
      </c>
      <c r="B8707" t="s">
        <v>15</v>
      </c>
      <c r="C8707" t="s">
        <v>38</v>
      </c>
      <c r="D8707" t="s">
        <v>33</v>
      </c>
      <c r="E8707" t="s">
        <v>21</v>
      </c>
      <c r="F8707" t="s">
        <v>15</v>
      </c>
      <c r="G8707" s="1" t="str">
        <f t="shared" ref="G8707:M8712" si="1905">"X"</f>
        <v>X</v>
      </c>
      <c r="H8707" s="1" t="str">
        <f t="shared" si="1905"/>
        <v>X</v>
      </c>
      <c r="I8707" s="1" t="str">
        <f t="shared" si="1905"/>
        <v>X</v>
      </c>
      <c r="J8707" s="1" t="str">
        <f t="shared" si="1905"/>
        <v>X</v>
      </c>
      <c r="K8707" s="1" t="str">
        <f t="shared" si="1905"/>
        <v>X</v>
      </c>
      <c r="L8707" s="1" t="str">
        <f t="shared" si="1905"/>
        <v>X</v>
      </c>
      <c r="M8707" s="1" t="str">
        <f t="shared" si="1905"/>
        <v>X</v>
      </c>
      <c r="N8707" t="s">
        <v>27</v>
      </c>
    </row>
    <row r="8708" spans="1:14" x14ac:dyDescent="0.25">
      <c r="A8708" t="s">
        <v>43</v>
      </c>
      <c r="B8708" t="s">
        <v>15</v>
      </c>
      <c r="C8708" t="s">
        <v>38</v>
      </c>
      <c r="D8708" t="s">
        <v>33</v>
      </c>
      <c r="E8708" t="s">
        <v>21</v>
      </c>
      <c r="F8708" t="s">
        <v>17</v>
      </c>
      <c r="G8708" s="1" t="str">
        <f t="shared" si="1905"/>
        <v>X</v>
      </c>
      <c r="H8708" s="1" t="str">
        <f t="shared" si="1905"/>
        <v>X</v>
      </c>
      <c r="I8708" s="1" t="str">
        <f t="shared" si="1905"/>
        <v>X</v>
      </c>
      <c r="J8708" s="1" t="str">
        <f t="shared" si="1905"/>
        <v>X</v>
      </c>
      <c r="K8708" s="1" t="str">
        <f t="shared" si="1905"/>
        <v>X</v>
      </c>
      <c r="L8708" s="1" t="str">
        <f t="shared" si="1905"/>
        <v>X</v>
      </c>
      <c r="M8708" s="1" t="str">
        <f t="shared" si="1905"/>
        <v>X</v>
      </c>
      <c r="N8708" t="s">
        <v>27</v>
      </c>
    </row>
    <row r="8709" spans="1:14" x14ac:dyDescent="0.25">
      <c r="A8709" t="s">
        <v>43</v>
      </c>
      <c r="B8709" t="s">
        <v>15</v>
      </c>
      <c r="C8709" t="s">
        <v>38</v>
      </c>
      <c r="D8709" t="s">
        <v>33</v>
      </c>
      <c r="E8709" t="s">
        <v>21</v>
      </c>
      <c r="F8709" t="s">
        <v>18</v>
      </c>
      <c r="G8709" s="1" t="str">
        <f t="shared" si="1905"/>
        <v>X</v>
      </c>
      <c r="H8709" s="1" t="str">
        <f t="shared" si="1905"/>
        <v>X</v>
      </c>
      <c r="I8709" s="1" t="str">
        <f t="shared" si="1905"/>
        <v>X</v>
      </c>
      <c r="J8709" s="1" t="str">
        <f t="shared" si="1905"/>
        <v>X</v>
      </c>
      <c r="K8709" s="1" t="str">
        <f t="shared" si="1905"/>
        <v>X</v>
      </c>
      <c r="L8709" s="1" t="str">
        <f t="shared" si="1905"/>
        <v>X</v>
      </c>
      <c r="M8709" s="1" t="str">
        <f t="shared" si="1905"/>
        <v>X</v>
      </c>
      <c r="N8709" t="s">
        <v>27</v>
      </c>
    </row>
    <row r="8710" spans="1:14" x14ac:dyDescent="0.25">
      <c r="A8710" t="s">
        <v>43</v>
      </c>
      <c r="B8710" t="s">
        <v>15</v>
      </c>
      <c r="C8710" t="s">
        <v>38</v>
      </c>
      <c r="D8710" t="s">
        <v>33</v>
      </c>
      <c r="E8710" t="s">
        <v>21</v>
      </c>
      <c r="F8710" t="s">
        <v>19</v>
      </c>
      <c r="G8710" s="1" t="str">
        <f t="shared" si="1905"/>
        <v>X</v>
      </c>
      <c r="H8710" s="1" t="str">
        <f t="shared" si="1905"/>
        <v>X</v>
      </c>
      <c r="I8710" s="1" t="str">
        <f t="shared" si="1905"/>
        <v>X</v>
      </c>
      <c r="J8710" s="1" t="str">
        <f t="shared" si="1905"/>
        <v>X</v>
      </c>
      <c r="K8710" s="1" t="str">
        <f t="shared" si="1905"/>
        <v>X</v>
      </c>
      <c r="L8710" s="1" t="str">
        <f t="shared" si="1905"/>
        <v>X</v>
      </c>
      <c r="M8710" s="1" t="str">
        <f t="shared" si="1905"/>
        <v>X</v>
      </c>
      <c r="N8710" t="s">
        <v>27</v>
      </c>
    </row>
    <row r="8711" spans="1:14" x14ac:dyDescent="0.25">
      <c r="A8711" t="s">
        <v>43</v>
      </c>
      <c r="B8711" t="s">
        <v>15</v>
      </c>
      <c r="C8711" t="s">
        <v>38</v>
      </c>
      <c r="D8711" t="s">
        <v>33</v>
      </c>
      <c r="E8711" t="s">
        <v>21</v>
      </c>
      <c r="F8711" t="s">
        <v>20</v>
      </c>
      <c r="G8711" s="1" t="str">
        <f t="shared" si="1905"/>
        <v>X</v>
      </c>
      <c r="H8711" s="1" t="str">
        <f t="shared" si="1905"/>
        <v>X</v>
      </c>
      <c r="I8711" s="1" t="str">
        <f t="shared" si="1905"/>
        <v>X</v>
      </c>
      <c r="J8711" s="1" t="str">
        <f t="shared" si="1905"/>
        <v>X</v>
      </c>
      <c r="K8711" s="1" t="str">
        <f t="shared" si="1905"/>
        <v>X</v>
      </c>
      <c r="L8711" s="1" t="str">
        <f t="shared" si="1905"/>
        <v>X</v>
      </c>
      <c r="M8711" s="1" t="str">
        <f t="shared" si="1905"/>
        <v>X</v>
      </c>
      <c r="N8711" t="s">
        <v>27</v>
      </c>
    </row>
    <row r="8712" spans="1:14" x14ac:dyDescent="0.25">
      <c r="A8712" t="s">
        <v>43</v>
      </c>
      <c r="B8712" t="s">
        <v>15</v>
      </c>
      <c r="C8712" t="s">
        <v>38</v>
      </c>
      <c r="D8712" t="s">
        <v>33</v>
      </c>
      <c r="E8712" t="s">
        <v>22</v>
      </c>
      <c r="F8712" t="s">
        <v>15</v>
      </c>
      <c r="G8712" s="1" t="str">
        <f t="shared" si="1905"/>
        <v>X</v>
      </c>
      <c r="H8712" s="1" t="str">
        <f t="shared" si="1905"/>
        <v>X</v>
      </c>
      <c r="I8712" s="1" t="str">
        <f t="shared" si="1905"/>
        <v>X</v>
      </c>
      <c r="J8712" s="1" t="str">
        <f t="shared" si="1905"/>
        <v>X</v>
      </c>
      <c r="K8712" s="1" t="str">
        <f t="shared" si="1905"/>
        <v>X</v>
      </c>
      <c r="L8712" s="1" t="str">
        <f t="shared" si="1905"/>
        <v>X</v>
      </c>
      <c r="M8712" s="1" t="str">
        <f t="shared" si="1905"/>
        <v>X</v>
      </c>
      <c r="N8712" t="s">
        <v>27</v>
      </c>
    </row>
    <row r="8713" spans="1:14" x14ac:dyDescent="0.25">
      <c r="A8713" t="s">
        <v>43</v>
      </c>
      <c r="B8713" t="s">
        <v>15</v>
      </c>
      <c r="C8713" t="s">
        <v>38</v>
      </c>
      <c r="D8713" t="s">
        <v>33</v>
      </c>
      <c r="E8713" t="s">
        <v>22</v>
      </c>
      <c r="F8713" t="s">
        <v>17</v>
      </c>
      <c r="G8713" s="1" t="str">
        <f t="shared" ref="G8713:M8715" si="1906">"..."</f>
        <v>...</v>
      </c>
      <c r="H8713" s="1" t="str">
        <f t="shared" si="1906"/>
        <v>...</v>
      </c>
      <c r="I8713" s="1" t="str">
        <f t="shared" si="1906"/>
        <v>...</v>
      </c>
      <c r="J8713" s="1" t="str">
        <f t="shared" si="1906"/>
        <v>...</v>
      </c>
      <c r="K8713" s="1" t="str">
        <f t="shared" si="1906"/>
        <v>...</v>
      </c>
      <c r="L8713" s="1" t="str">
        <f t="shared" si="1906"/>
        <v>...</v>
      </c>
      <c r="M8713" s="1" t="str">
        <f t="shared" si="1906"/>
        <v>...</v>
      </c>
      <c r="N8713" t="s">
        <v>30</v>
      </c>
    </row>
    <row r="8714" spans="1:14" x14ac:dyDescent="0.25">
      <c r="A8714" t="s">
        <v>43</v>
      </c>
      <c r="B8714" t="s">
        <v>15</v>
      </c>
      <c r="C8714" t="s">
        <v>38</v>
      </c>
      <c r="D8714" t="s">
        <v>33</v>
      </c>
      <c r="E8714" t="s">
        <v>22</v>
      </c>
      <c r="F8714" t="s">
        <v>18</v>
      </c>
      <c r="G8714" s="1" t="str">
        <f t="shared" si="1906"/>
        <v>...</v>
      </c>
      <c r="H8714" s="1" t="str">
        <f t="shared" si="1906"/>
        <v>...</v>
      </c>
      <c r="I8714" s="1" t="str">
        <f t="shared" si="1906"/>
        <v>...</v>
      </c>
      <c r="J8714" s="1" t="str">
        <f t="shared" si="1906"/>
        <v>...</v>
      </c>
      <c r="K8714" s="1" t="str">
        <f t="shared" si="1906"/>
        <v>...</v>
      </c>
      <c r="L8714" s="1" t="str">
        <f t="shared" si="1906"/>
        <v>...</v>
      </c>
      <c r="M8714" s="1" t="str">
        <f t="shared" si="1906"/>
        <v>...</v>
      </c>
      <c r="N8714" t="s">
        <v>30</v>
      </c>
    </row>
    <row r="8715" spans="1:14" x14ac:dyDescent="0.25">
      <c r="A8715" t="s">
        <v>43</v>
      </c>
      <c r="B8715" t="s">
        <v>15</v>
      </c>
      <c r="C8715" t="s">
        <v>38</v>
      </c>
      <c r="D8715" t="s">
        <v>33</v>
      </c>
      <c r="E8715" t="s">
        <v>22</v>
      </c>
      <c r="F8715" t="s">
        <v>19</v>
      </c>
      <c r="G8715" s="1" t="str">
        <f t="shared" si="1906"/>
        <v>...</v>
      </c>
      <c r="H8715" s="1" t="str">
        <f t="shared" si="1906"/>
        <v>...</v>
      </c>
      <c r="I8715" s="1" t="str">
        <f t="shared" si="1906"/>
        <v>...</v>
      </c>
      <c r="J8715" s="1" t="str">
        <f t="shared" si="1906"/>
        <v>...</v>
      </c>
      <c r="K8715" s="1" t="str">
        <f t="shared" si="1906"/>
        <v>...</v>
      </c>
      <c r="L8715" s="1" t="str">
        <f t="shared" si="1906"/>
        <v>...</v>
      </c>
      <c r="M8715" s="1" t="str">
        <f t="shared" si="1906"/>
        <v>...</v>
      </c>
      <c r="N8715" t="s">
        <v>30</v>
      </c>
    </row>
    <row r="8716" spans="1:14" x14ac:dyDescent="0.25">
      <c r="A8716" t="s">
        <v>43</v>
      </c>
      <c r="B8716" t="s">
        <v>15</v>
      </c>
      <c r="C8716" t="s">
        <v>38</v>
      </c>
      <c r="D8716" t="s">
        <v>33</v>
      </c>
      <c r="E8716" t="s">
        <v>22</v>
      </c>
      <c r="F8716" t="s">
        <v>20</v>
      </c>
      <c r="G8716" s="1" t="str">
        <f t="shared" ref="G8716:M8717" si="1907">"X"</f>
        <v>X</v>
      </c>
      <c r="H8716" s="1" t="str">
        <f t="shared" si="1907"/>
        <v>X</v>
      </c>
      <c r="I8716" s="1" t="str">
        <f t="shared" si="1907"/>
        <v>X</v>
      </c>
      <c r="J8716" s="1" t="str">
        <f t="shared" si="1907"/>
        <v>X</v>
      </c>
      <c r="K8716" s="1" t="str">
        <f t="shared" si="1907"/>
        <v>X</v>
      </c>
      <c r="L8716" s="1" t="str">
        <f t="shared" si="1907"/>
        <v>X</v>
      </c>
      <c r="M8716" s="1" t="str">
        <f t="shared" si="1907"/>
        <v>X</v>
      </c>
      <c r="N8716" t="s">
        <v>27</v>
      </c>
    </row>
    <row r="8717" spans="1:14" x14ac:dyDescent="0.25">
      <c r="A8717" t="s">
        <v>43</v>
      </c>
      <c r="B8717" t="s">
        <v>15</v>
      </c>
      <c r="C8717" t="s">
        <v>38</v>
      </c>
      <c r="D8717" t="s">
        <v>33</v>
      </c>
      <c r="E8717" t="s">
        <v>23</v>
      </c>
      <c r="F8717" t="s">
        <v>15</v>
      </c>
      <c r="G8717" s="1" t="str">
        <f t="shared" si="1907"/>
        <v>X</v>
      </c>
      <c r="H8717" s="1" t="str">
        <f t="shared" si="1907"/>
        <v>X</v>
      </c>
      <c r="I8717" s="1" t="str">
        <f t="shared" si="1907"/>
        <v>X</v>
      </c>
      <c r="J8717" s="1" t="str">
        <f t="shared" si="1907"/>
        <v>X</v>
      </c>
      <c r="K8717" s="1" t="str">
        <f t="shared" si="1907"/>
        <v>X</v>
      </c>
      <c r="L8717" s="1" t="str">
        <f t="shared" si="1907"/>
        <v>X</v>
      </c>
      <c r="M8717" s="1" t="str">
        <f t="shared" si="1907"/>
        <v>X</v>
      </c>
      <c r="N8717" t="s">
        <v>27</v>
      </c>
    </row>
    <row r="8718" spans="1:14" x14ac:dyDescent="0.25">
      <c r="A8718" t="s">
        <v>43</v>
      </c>
      <c r="B8718" t="s">
        <v>15</v>
      </c>
      <c r="C8718" t="s">
        <v>38</v>
      </c>
      <c r="D8718" t="s">
        <v>33</v>
      </c>
      <c r="E8718" t="s">
        <v>23</v>
      </c>
      <c r="F8718" t="s">
        <v>17</v>
      </c>
      <c r="G8718" s="1" t="str">
        <f t="shared" ref="G8718:M8720" si="1908">"..."</f>
        <v>...</v>
      </c>
      <c r="H8718" s="1" t="str">
        <f t="shared" si="1908"/>
        <v>...</v>
      </c>
      <c r="I8718" s="1" t="str">
        <f t="shared" si="1908"/>
        <v>...</v>
      </c>
      <c r="J8718" s="1" t="str">
        <f t="shared" si="1908"/>
        <v>...</v>
      </c>
      <c r="K8718" s="1" t="str">
        <f t="shared" si="1908"/>
        <v>...</v>
      </c>
      <c r="L8718" s="1" t="str">
        <f t="shared" si="1908"/>
        <v>...</v>
      </c>
      <c r="M8718" s="1" t="str">
        <f t="shared" si="1908"/>
        <v>...</v>
      </c>
      <c r="N8718" t="s">
        <v>30</v>
      </c>
    </row>
    <row r="8719" spans="1:14" x14ac:dyDescent="0.25">
      <c r="A8719" t="s">
        <v>43</v>
      </c>
      <c r="B8719" t="s">
        <v>15</v>
      </c>
      <c r="C8719" t="s">
        <v>38</v>
      </c>
      <c r="D8719" t="s">
        <v>33</v>
      </c>
      <c r="E8719" t="s">
        <v>23</v>
      </c>
      <c r="F8719" t="s">
        <v>18</v>
      </c>
      <c r="G8719" s="1" t="str">
        <f t="shared" si="1908"/>
        <v>...</v>
      </c>
      <c r="H8719" s="1" t="str">
        <f t="shared" si="1908"/>
        <v>...</v>
      </c>
      <c r="I8719" s="1" t="str">
        <f t="shared" si="1908"/>
        <v>...</v>
      </c>
      <c r="J8719" s="1" t="str">
        <f t="shared" si="1908"/>
        <v>...</v>
      </c>
      <c r="K8719" s="1" t="str">
        <f t="shared" si="1908"/>
        <v>...</v>
      </c>
      <c r="L8719" s="1" t="str">
        <f t="shared" si="1908"/>
        <v>...</v>
      </c>
      <c r="M8719" s="1" t="str">
        <f t="shared" si="1908"/>
        <v>...</v>
      </c>
      <c r="N8719" t="s">
        <v>30</v>
      </c>
    </row>
    <row r="8720" spans="1:14" x14ac:dyDescent="0.25">
      <c r="A8720" t="s">
        <v>43</v>
      </c>
      <c r="B8720" t="s">
        <v>15</v>
      </c>
      <c r="C8720" t="s">
        <v>38</v>
      </c>
      <c r="D8720" t="s">
        <v>33</v>
      </c>
      <c r="E8720" t="s">
        <v>23</v>
      </c>
      <c r="F8720" t="s">
        <v>19</v>
      </c>
      <c r="G8720" s="1" t="str">
        <f t="shared" si="1908"/>
        <v>...</v>
      </c>
      <c r="H8720" s="1" t="str">
        <f t="shared" si="1908"/>
        <v>...</v>
      </c>
      <c r="I8720" s="1" t="str">
        <f t="shared" si="1908"/>
        <v>...</v>
      </c>
      <c r="J8720" s="1" t="str">
        <f t="shared" si="1908"/>
        <v>...</v>
      </c>
      <c r="K8720" s="1" t="str">
        <f t="shared" si="1908"/>
        <v>...</v>
      </c>
      <c r="L8720" s="1" t="str">
        <f t="shared" si="1908"/>
        <v>...</v>
      </c>
      <c r="M8720" s="1" t="str">
        <f t="shared" si="1908"/>
        <v>...</v>
      </c>
      <c r="N8720" t="s">
        <v>30</v>
      </c>
    </row>
    <row r="8721" spans="1:14" x14ac:dyDescent="0.25">
      <c r="A8721" t="s">
        <v>43</v>
      </c>
      <c r="B8721" t="s">
        <v>15</v>
      </c>
      <c r="C8721" t="s">
        <v>38</v>
      </c>
      <c r="D8721" t="s">
        <v>33</v>
      </c>
      <c r="E8721" t="s">
        <v>23</v>
      </c>
      <c r="F8721" t="s">
        <v>20</v>
      </c>
      <c r="G8721" s="1" t="str">
        <f t="shared" ref="G8721:M8723" si="1909">"X"</f>
        <v>X</v>
      </c>
      <c r="H8721" s="1" t="str">
        <f t="shared" si="1909"/>
        <v>X</v>
      </c>
      <c r="I8721" s="1" t="str">
        <f t="shared" si="1909"/>
        <v>X</v>
      </c>
      <c r="J8721" s="1" t="str">
        <f t="shared" si="1909"/>
        <v>X</v>
      </c>
      <c r="K8721" s="1" t="str">
        <f t="shared" si="1909"/>
        <v>X</v>
      </c>
      <c r="L8721" s="1" t="str">
        <f t="shared" si="1909"/>
        <v>X</v>
      </c>
      <c r="M8721" s="1" t="str">
        <f t="shared" si="1909"/>
        <v>X</v>
      </c>
      <c r="N8721" t="s">
        <v>27</v>
      </c>
    </row>
    <row r="8722" spans="1:14" x14ac:dyDescent="0.25">
      <c r="A8722" t="s">
        <v>43</v>
      </c>
      <c r="B8722" t="s">
        <v>15</v>
      </c>
      <c r="C8722" t="s">
        <v>38</v>
      </c>
      <c r="D8722" t="s">
        <v>33</v>
      </c>
      <c r="E8722" t="s">
        <v>26</v>
      </c>
      <c r="F8722" t="s">
        <v>15</v>
      </c>
      <c r="G8722" s="1" t="str">
        <f t="shared" si="1909"/>
        <v>X</v>
      </c>
      <c r="H8722" s="1" t="str">
        <f t="shared" si="1909"/>
        <v>X</v>
      </c>
      <c r="I8722" s="1" t="str">
        <f t="shared" si="1909"/>
        <v>X</v>
      </c>
      <c r="J8722" s="1" t="str">
        <f t="shared" si="1909"/>
        <v>X</v>
      </c>
      <c r="K8722" s="1" t="str">
        <f t="shared" si="1909"/>
        <v>X</v>
      </c>
      <c r="L8722" s="1" t="str">
        <f t="shared" si="1909"/>
        <v>X</v>
      </c>
      <c r="M8722" s="1" t="str">
        <f t="shared" si="1909"/>
        <v>X</v>
      </c>
      <c r="N8722" t="s">
        <v>27</v>
      </c>
    </row>
    <row r="8723" spans="1:14" x14ac:dyDescent="0.25">
      <c r="A8723" t="s">
        <v>43</v>
      </c>
      <c r="B8723" t="s">
        <v>15</v>
      </c>
      <c r="C8723" t="s">
        <v>38</v>
      </c>
      <c r="D8723" t="s">
        <v>33</v>
      </c>
      <c r="E8723" t="s">
        <v>26</v>
      </c>
      <c r="F8723" t="s">
        <v>17</v>
      </c>
      <c r="G8723" s="1" t="str">
        <f t="shared" si="1909"/>
        <v>X</v>
      </c>
      <c r="H8723" s="1" t="str">
        <f t="shared" si="1909"/>
        <v>X</v>
      </c>
      <c r="I8723" s="1" t="str">
        <f t="shared" si="1909"/>
        <v>X</v>
      </c>
      <c r="J8723" s="1" t="str">
        <f t="shared" si="1909"/>
        <v>X</v>
      </c>
      <c r="K8723" s="1" t="str">
        <f t="shared" si="1909"/>
        <v>X</v>
      </c>
      <c r="L8723" s="1" t="str">
        <f t="shared" si="1909"/>
        <v>X</v>
      </c>
      <c r="M8723" s="1" t="str">
        <f t="shared" si="1909"/>
        <v>X</v>
      </c>
      <c r="N8723" t="s">
        <v>27</v>
      </c>
    </row>
    <row r="8724" spans="1:14" x14ac:dyDescent="0.25">
      <c r="A8724" t="s">
        <v>43</v>
      </c>
      <c r="B8724" t="s">
        <v>15</v>
      </c>
      <c r="C8724" t="s">
        <v>38</v>
      </c>
      <c r="D8724" t="s">
        <v>33</v>
      </c>
      <c r="E8724" t="s">
        <v>26</v>
      </c>
      <c r="F8724" t="s">
        <v>18</v>
      </c>
      <c r="G8724" s="1" t="str">
        <f t="shared" ref="G8724:M8724" si="1910">"..."</f>
        <v>...</v>
      </c>
      <c r="H8724" s="1" t="str">
        <f t="shared" si="1910"/>
        <v>...</v>
      </c>
      <c r="I8724" s="1" t="str">
        <f t="shared" si="1910"/>
        <v>...</v>
      </c>
      <c r="J8724" s="1" t="str">
        <f t="shared" si="1910"/>
        <v>...</v>
      </c>
      <c r="K8724" s="1" t="str">
        <f t="shared" si="1910"/>
        <v>...</v>
      </c>
      <c r="L8724" s="1" t="str">
        <f t="shared" si="1910"/>
        <v>...</v>
      </c>
      <c r="M8724" s="1" t="str">
        <f t="shared" si="1910"/>
        <v>...</v>
      </c>
      <c r="N8724" t="s">
        <v>30</v>
      </c>
    </row>
    <row r="8725" spans="1:14" x14ac:dyDescent="0.25">
      <c r="A8725" t="s">
        <v>43</v>
      </c>
      <c r="B8725" t="s">
        <v>15</v>
      </c>
      <c r="C8725" t="s">
        <v>38</v>
      </c>
      <c r="D8725" t="s">
        <v>33</v>
      </c>
      <c r="E8725" t="s">
        <v>26</v>
      </c>
      <c r="F8725" t="s">
        <v>19</v>
      </c>
      <c r="G8725" s="1" t="str">
        <f t="shared" ref="G8725:M8725" si="1911">"X"</f>
        <v>X</v>
      </c>
      <c r="H8725" s="1" t="str">
        <f t="shared" si="1911"/>
        <v>X</v>
      </c>
      <c r="I8725" s="1" t="str">
        <f t="shared" si="1911"/>
        <v>X</v>
      </c>
      <c r="J8725" s="1" t="str">
        <f t="shared" si="1911"/>
        <v>X</v>
      </c>
      <c r="K8725" s="1" t="str">
        <f t="shared" si="1911"/>
        <v>X</v>
      </c>
      <c r="L8725" s="1" t="str">
        <f t="shared" si="1911"/>
        <v>X</v>
      </c>
      <c r="M8725" s="1" t="str">
        <f t="shared" si="1911"/>
        <v>X</v>
      </c>
      <c r="N8725" t="s">
        <v>27</v>
      </c>
    </row>
    <row r="8726" spans="1:14" x14ac:dyDescent="0.25">
      <c r="A8726" t="s">
        <v>43</v>
      </c>
      <c r="B8726" t="s">
        <v>15</v>
      </c>
      <c r="C8726" t="s">
        <v>38</v>
      </c>
      <c r="D8726" t="s">
        <v>33</v>
      </c>
      <c r="E8726" t="s">
        <v>26</v>
      </c>
      <c r="F8726" t="s">
        <v>20</v>
      </c>
      <c r="G8726" s="1" t="str">
        <f t="shared" ref="G8726:M8726" si="1912">"..."</f>
        <v>...</v>
      </c>
      <c r="H8726" s="1" t="str">
        <f t="shared" si="1912"/>
        <v>...</v>
      </c>
      <c r="I8726" s="1" t="str">
        <f t="shared" si="1912"/>
        <v>...</v>
      </c>
      <c r="J8726" s="1" t="str">
        <f t="shared" si="1912"/>
        <v>...</v>
      </c>
      <c r="K8726" s="1" t="str">
        <f t="shared" si="1912"/>
        <v>...</v>
      </c>
      <c r="L8726" s="1" t="str">
        <f t="shared" si="1912"/>
        <v>...</v>
      </c>
      <c r="M8726" s="1" t="str">
        <f t="shared" si="1912"/>
        <v>...</v>
      </c>
      <c r="N8726" t="s">
        <v>30</v>
      </c>
    </row>
    <row r="8727" spans="1:14" x14ac:dyDescent="0.25">
      <c r="A8727" t="s">
        <v>43</v>
      </c>
      <c r="B8727" t="s">
        <v>15</v>
      </c>
      <c r="C8727" t="s">
        <v>38</v>
      </c>
      <c r="D8727" t="s">
        <v>34</v>
      </c>
      <c r="E8727" t="s">
        <v>15</v>
      </c>
      <c r="F8727" t="s">
        <v>15</v>
      </c>
      <c r="G8727" s="1" t="str">
        <f t="shared" ref="G8727:M8734" si="1913">"X"</f>
        <v>X</v>
      </c>
      <c r="H8727" s="1" t="str">
        <f t="shared" si="1913"/>
        <v>X</v>
      </c>
      <c r="I8727" s="1" t="str">
        <f t="shared" si="1913"/>
        <v>X</v>
      </c>
      <c r="J8727" s="1" t="str">
        <f t="shared" si="1913"/>
        <v>X</v>
      </c>
      <c r="K8727" s="1" t="str">
        <f t="shared" si="1913"/>
        <v>X</v>
      </c>
      <c r="L8727" s="1" t="str">
        <f t="shared" si="1913"/>
        <v>X</v>
      </c>
      <c r="M8727" s="1" t="str">
        <f t="shared" si="1913"/>
        <v>X</v>
      </c>
      <c r="N8727" t="s">
        <v>27</v>
      </c>
    </row>
    <row r="8728" spans="1:14" x14ac:dyDescent="0.25">
      <c r="A8728" t="s">
        <v>43</v>
      </c>
      <c r="B8728" t="s">
        <v>15</v>
      </c>
      <c r="C8728" t="s">
        <v>38</v>
      </c>
      <c r="D8728" t="s">
        <v>34</v>
      </c>
      <c r="E8728" t="s">
        <v>15</v>
      </c>
      <c r="F8728" t="s">
        <v>17</v>
      </c>
      <c r="G8728" s="1" t="str">
        <f t="shared" si="1913"/>
        <v>X</v>
      </c>
      <c r="H8728" s="1" t="str">
        <f t="shared" si="1913"/>
        <v>X</v>
      </c>
      <c r="I8728" s="1" t="str">
        <f t="shared" si="1913"/>
        <v>X</v>
      </c>
      <c r="J8728" s="1" t="str">
        <f t="shared" si="1913"/>
        <v>X</v>
      </c>
      <c r="K8728" s="1" t="str">
        <f t="shared" si="1913"/>
        <v>X</v>
      </c>
      <c r="L8728" s="1" t="str">
        <f t="shared" si="1913"/>
        <v>X</v>
      </c>
      <c r="M8728" s="1" t="str">
        <f t="shared" si="1913"/>
        <v>X</v>
      </c>
      <c r="N8728" t="s">
        <v>27</v>
      </c>
    </row>
    <row r="8729" spans="1:14" x14ac:dyDescent="0.25">
      <c r="A8729" t="s">
        <v>43</v>
      </c>
      <c r="B8729" t="s">
        <v>15</v>
      </c>
      <c r="C8729" t="s">
        <v>38</v>
      </c>
      <c r="D8729" t="s">
        <v>34</v>
      </c>
      <c r="E8729" t="s">
        <v>15</v>
      </c>
      <c r="F8729" t="s">
        <v>18</v>
      </c>
      <c r="G8729" s="1" t="str">
        <f t="shared" si="1913"/>
        <v>X</v>
      </c>
      <c r="H8729" s="1" t="str">
        <f t="shared" si="1913"/>
        <v>X</v>
      </c>
      <c r="I8729" s="1" t="str">
        <f t="shared" si="1913"/>
        <v>X</v>
      </c>
      <c r="J8729" s="1" t="str">
        <f t="shared" si="1913"/>
        <v>X</v>
      </c>
      <c r="K8729" s="1" t="str">
        <f t="shared" si="1913"/>
        <v>X</v>
      </c>
      <c r="L8729" s="1" t="str">
        <f t="shared" si="1913"/>
        <v>X</v>
      </c>
      <c r="M8729" s="1" t="str">
        <f t="shared" si="1913"/>
        <v>X</v>
      </c>
      <c r="N8729" t="s">
        <v>27</v>
      </c>
    </row>
    <row r="8730" spans="1:14" x14ac:dyDescent="0.25">
      <c r="A8730" t="s">
        <v>43</v>
      </c>
      <c r="B8730" t="s">
        <v>15</v>
      </c>
      <c r="C8730" t="s">
        <v>38</v>
      </c>
      <c r="D8730" t="s">
        <v>34</v>
      </c>
      <c r="E8730" t="s">
        <v>15</v>
      </c>
      <c r="F8730" t="s">
        <v>19</v>
      </c>
      <c r="G8730" s="1" t="str">
        <f t="shared" si="1913"/>
        <v>X</v>
      </c>
      <c r="H8730" s="1" t="str">
        <f t="shared" si="1913"/>
        <v>X</v>
      </c>
      <c r="I8730" s="1" t="str">
        <f t="shared" si="1913"/>
        <v>X</v>
      </c>
      <c r="J8730" s="1" t="str">
        <f t="shared" si="1913"/>
        <v>X</v>
      </c>
      <c r="K8730" s="1" t="str">
        <f t="shared" si="1913"/>
        <v>X</v>
      </c>
      <c r="L8730" s="1" t="str">
        <f t="shared" si="1913"/>
        <v>X</v>
      </c>
      <c r="M8730" s="1" t="str">
        <f t="shared" si="1913"/>
        <v>X</v>
      </c>
      <c r="N8730" t="s">
        <v>27</v>
      </c>
    </row>
    <row r="8731" spans="1:14" x14ac:dyDescent="0.25">
      <c r="A8731" t="s">
        <v>43</v>
      </c>
      <c r="B8731" t="s">
        <v>15</v>
      </c>
      <c r="C8731" t="s">
        <v>38</v>
      </c>
      <c r="D8731" t="s">
        <v>34</v>
      </c>
      <c r="E8731" t="s">
        <v>15</v>
      </c>
      <c r="F8731" t="s">
        <v>20</v>
      </c>
      <c r="G8731" s="1" t="str">
        <f t="shared" si="1913"/>
        <v>X</v>
      </c>
      <c r="H8731" s="1" t="str">
        <f t="shared" si="1913"/>
        <v>X</v>
      </c>
      <c r="I8731" s="1" t="str">
        <f t="shared" si="1913"/>
        <v>X</v>
      </c>
      <c r="J8731" s="1" t="str">
        <f t="shared" si="1913"/>
        <v>X</v>
      </c>
      <c r="K8731" s="1" t="str">
        <f t="shared" si="1913"/>
        <v>X</v>
      </c>
      <c r="L8731" s="1" t="str">
        <f t="shared" si="1913"/>
        <v>X</v>
      </c>
      <c r="M8731" s="1" t="str">
        <f t="shared" si="1913"/>
        <v>X</v>
      </c>
      <c r="N8731" t="s">
        <v>27</v>
      </c>
    </row>
    <row r="8732" spans="1:14" x14ac:dyDescent="0.25">
      <c r="A8732" t="s">
        <v>43</v>
      </c>
      <c r="B8732" t="s">
        <v>15</v>
      </c>
      <c r="C8732" t="s">
        <v>38</v>
      </c>
      <c r="D8732" t="s">
        <v>34</v>
      </c>
      <c r="E8732" t="s">
        <v>21</v>
      </c>
      <c r="F8732" t="s">
        <v>15</v>
      </c>
      <c r="G8732" s="1" t="str">
        <f t="shared" si="1913"/>
        <v>X</v>
      </c>
      <c r="H8732" s="1" t="str">
        <f t="shared" si="1913"/>
        <v>X</v>
      </c>
      <c r="I8732" s="1" t="str">
        <f t="shared" si="1913"/>
        <v>X</v>
      </c>
      <c r="J8732" s="1" t="str">
        <f t="shared" si="1913"/>
        <v>X</v>
      </c>
      <c r="K8732" s="1" t="str">
        <f t="shared" si="1913"/>
        <v>X</v>
      </c>
      <c r="L8732" s="1" t="str">
        <f t="shared" si="1913"/>
        <v>X</v>
      </c>
      <c r="M8732" s="1" t="str">
        <f t="shared" si="1913"/>
        <v>X</v>
      </c>
      <c r="N8732" t="s">
        <v>27</v>
      </c>
    </row>
    <row r="8733" spans="1:14" x14ac:dyDescent="0.25">
      <c r="A8733" t="s">
        <v>43</v>
      </c>
      <c r="B8733" t="s">
        <v>15</v>
      </c>
      <c r="C8733" t="s">
        <v>38</v>
      </c>
      <c r="D8733" t="s">
        <v>34</v>
      </c>
      <c r="E8733" t="s">
        <v>21</v>
      </c>
      <c r="F8733" t="s">
        <v>17</v>
      </c>
      <c r="G8733" s="1" t="str">
        <f t="shared" si="1913"/>
        <v>X</v>
      </c>
      <c r="H8733" s="1" t="str">
        <f t="shared" si="1913"/>
        <v>X</v>
      </c>
      <c r="I8733" s="1" t="str">
        <f t="shared" si="1913"/>
        <v>X</v>
      </c>
      <c r="J8733" s="1" t="str">
        <f t="shared" si="1913"/>
        <v>X</v>
      </c>
      <c r="K8733" s="1" t="str">
        <f t="shared" si="1913"/>
        <v>X</v>
      </c>
      <c r="L8733" s="1" t="str">
        <f t="shared" si="1913"/>
        <v>X</v>
      </c>
      <c r="M8733" s="1" t="str">
        <f t="shared" si="1913"/>
        <v>X</v>
      </c>
      <c r="N8733" t="s">
        <v>27</v>
      </c>
    </row>
    <row r="8734" spans="1:14" x14ac:dyDescent="0.25">
      <c r="A8734" t="s">
        <v>43</v>
      </c>
      <c r="B8734" t="s">
        <v>15</v>
      </c>
      <c r="C8734" t="s">
        <v>38</v>
      </c>
      <c r="D8734" t="s">
        <v>34</v>
      </c>
      <c r="E8734" t="s">
        <v>21</v>
      </c>
      <c r="F8734" t="s">
        <v>18</v>
      </c>
      <c r="G8734" s="1" t="str">
        <f t="shared" si="1913"/>
        <v>X</v>
      </c>
      <c r="H8734" s="1" t="str">
        <f t="shared" si="1913"/>
        <v>X</v>
      </c>
      <c r="I8734" s="1" t="str">
        <f t="shared" si="1913"/>
        <v>X</v>
      </c>
      <c r="J8734" s="1" t="str">
        <f t="shared" si="1913"/>
        <v>X</v>
      </c>
      <c r="K8734" s="1" t="str">
        <f t="shared" si="1913"/>
        <v>X</v>
      </c>
      <c r="L8734" s="1" t="str">
        <f t="shared" si="1913"/>
        <v>X</v>
      </c>
      <c r="M8734" s="1" t="str">
        <f t="shared" si="1913"/>
        <v>X</v>
      </c>
      <c r="N8734" t="s">
        <v>27</v>
      </c>
    </row>
    <row r="8735" spans="1:14" x14ac:dyDescent="0.25">
      <c r="A8735" t="s">
        <v>43</v>
      </c>
      <c r="B8735" t="s">
        <v>15</v>
      </c>
      <c r="C8735" t="s">
        <v>38</v>
      </c>
      <c r="D8735" t="s">
        <v>34</v>
      </c>
      <c r="E8735" t="s">
        <v>21</v>
      </c>
      <c r="F8735" t="s">
        <v>19</v>
      </c>
      <c r="G8735" s="1" t="str">
        <f t="shared" ref="G8735:M8736" si="1914">"..."</f>
        <v>...</v>
      </c>
      <c r="H8735" s="1" t="str">
        <f t="shared" si="1914"/>
        <v>...</v>
      </c>
      <c r="I8735" s="1" t="str">
        <f t="shared" si="1914"/>
        <v>...</v>
      </c>
      <c r="J8735" s="1" t="str">
        <f t="shared" si="1914"/>
        <v>...</v>
      </c>
      <c r="K8735" s="1" t="str">
        <f t="shared" si="1914"/>
        <v>...</v>
      </c>
      <c r="L8735" s="1" t="str">
        <f t="shared" si="1914"/>
        <v>...</v>
      </c>
      <c r="M8735" s="1" t="str">
        <f t="shared" si="1914"/>
        <v>...</v>
      </c>
      <c r="N8735" t="s">
        <v>30</v>
      </c>
    </row>
    <row r="8736" spans="1:14" x14ac:dyDescent="0.25">
      <c r="A8736" t="s">
        <v>43</v>
      </c>
      <c r="B8736" t="s">
        <v>15</v>
      </c>
      <c r="C8736" t="s">
        <v>38</v>
      </c>
      <c r="D8736" t="s">
        <v>34</v>
      </c>
      <c r="E8736" t="s">
        <v>21</v>
      </c>
      <c r="F8736" t="s">
        <v>20</v>
      </c>
      <c r="G8736" s="1" t="str">
        <f t="shared" si="1914"/>
        <v>...</v>
      </c>
      <c r="H8736" s="1" t="str">
        <f t="shared" si="1914"/>
        <v>...</v>
      </c>
      <c r="I8736" s="1" t="str">
        <f t="shared" si="1914"/>
        <v>...</v>
      </c>
      <c r="J8736" s="1" t="str">
        <f t="shared" si="1914"/>
        <v>...</v>
      </c>
      <c r="K8736" s="1" t="str">
        <f t="shared" si="1914"/>
        <v>...</v>
      </c>
      <c r="L8736" s="1" t="str">
        <f t="shared" si="1914"/>
        <v>...</v>
      </c>
      <c r="M8736" s="1" t="str">
        <f t="shared" si="1914"/>
        <v>...</v>
      </c>
      <c r="N8736" t="s">
        <v>30</v>
      </c>
    </row>
    <row r="8737" spans="1:14" x14ac:dyDescent="0.25">
      <c r="A8737" t="s">
        <v>43</v>
      </c>
      <c r="B8737" t="s">
        <v>15</v>
      </c>
      <c r="C8737" t="s">
        <v>38</v>
      </c>
      <c r="D8737" t="s">
        <v>34</v>
      </c>
      <c r="E8737" t="s">
        <v>22</v>
      </c>
      <c r="F8737" t="s">
        <v>15</v>
      </c>
      <c r="G8737" s="1" t="str">
        <f t="shared" ref="G8737:M8737" si="1915">"X"</f>
        <v>X</v>
      </c>
      <c r="H8737" s="1" t="str">
        <f t="shared" si="1915"/>
        <v>X</v>
      </c>
      <c r="I8737" s="1" t="str">
        <f t="shared" si="1915"/>
        <v>X</v>
      </c>
      <c r="J8737" s="1" t="str">
        <f t="shared" si="1915"/>
        <v>X</v>
      </c>
      <c r="K8737" s="1" t="str">
        <f t="shared" si="1915"/>
        <v>X</v>
      </c>
      <c r="L8737" s="1" t="str">
        <f t="shared" si="1915"/>
        <v>X</v>
      </c>
      <c r="M8737" s="1" t="str">
        <f t="shared" si="1915"/>
        <v>X</v>
      </c>
      <c r="N8737" t="s">
        <v>27</v>
      </c>
    </row>
    <row r="8738" spans="1:14" x14ac:dyDescent="0.25">
      <c r="A8738" t="s">
        <v>43</v>
      </c>
      <c r="B8738" t="s">
        <v>15</v>
      </c>
      <c r="C8738" t="s">
        <v>38</v>
      </c>
      <c r="D8738" t="s">
        <v>34</v>
      </c>
      <c r="E8738" t="s">
        <v>22</v>
      </c>
      <c r="F8738" t="s">
        <v>17</v>
      </c>
      <c r="G8738" s="1" t="str">
        <f t="shared" ref="G8738:M8738" si="1916">"..."</f>
        <v>...</v>
      </c>
      <c r="H8738" s="1" t="str">
        <f t="shared" si="1916"/>
        <v>...</v>
      </c>
      <c r="I8738" s="1" t="str">
        <f t="shared" si="1916"/>
        <v>...</v>
      </c>
      <c r="J8738" s="1" t="str">
        <f t="shared" si="1916"/>
        <v>...</v>
      </c>
      <c r="K8738" s="1" t="str">
        <f t="shared" si="1916"/>
        <v>...</v>
      </c>
      <c r="L8738" s="1" t="str">
        <f t="shared" si="1916"/>
        <v>...</v>
      </c>
      <c r="M8738" s="1" t="str">
        <f t="shared" si="1916"/>
        <v>...</v>
      </c>
      <c r="N8738" t="s">
        <v>30</v>
      </c>
    </row>
    <row r="8739" spans="1:14" x14ac:dyDescent="0.25">
      <c r="A8739" t="s">
        <v>43</v>
      </c>
      <c r="B8739" t="s">
        <v>15</v>
      </c>
      <c r="C8739" t="s">
        <v>38</v>
      </c>
      <c r="D8739" t="s">
        <v>34</v>
      </c>
      <c r="E8739" t="s">
        <v>22</v>
      </c>
      <c r="F8739" t="s">
        <v>18</v>
      </c>
      <c r="G8739" s="1" t="str">
        <f t="shared" ref="G8739:M8739" si="1917">"X"</f>
        <v>X</v>
      </c>
      <c r="H8739" s="1" t="str">
        <f t="shared" si="1917"/>
        <v>X</v>
      </c>
      <c r="I8739" s="1" t="str">
        <f t="shared" si="1917"/>
        <v>X</v>
      </c>
      <c r="J8739" s="1" t="str">
        <f t="shared" si="1917"/>
        <v>X</v>
      </c>
      <c r="K8739" s="1" t="str">
        <f t="shared" si="1917"/>
        <v>X</v>
      </c>
      <c r="L8739" s="1" t="str">
        <f t="shared" si="1917"/>
        <v>X</v>
      </c>
      <c r="M8739" s="1" t="str">
        <f t="shared" si="1917"/>
        <v>X</v>
      </c>
      <c r="N8739" t="s">
        <v>27</v>
      </c>
    </row>
    <row r="8740" spans="1:14" x14ac:dyDescent="0.25">
      <c r="A8740" t="s">
        <v>43</v>
      </c>
      <c r="B8740" t="s">
        <v>15</v>
      </c>
      <c r="C8740" t="s">
        <v>38</v>
      </c>
      <c r="D8740" t="s">
        <v>34</v>
      </c>
      <c r="E8740" t="s">
        <v>22</v>
      </c>
      <c r="F8740" t="s">
        <v>19</v>
      </c>
      <c r="G8740" s="1" t="str">
        <f t="shared" ref="G8740:M8740" si="1918">"..."</f>
        <v>...</v>
      </c>
      <c r="H8740" s="1" t="str">
        <f t="shared" si="1918"/>
        <v>...</v>
      </c>
      <c r="I8740" s="1" t="str">
        <f t="shared" si="1918"/>
        <v>...</v>
      </c>
      <c r="J8740" s="1" t="str">
        <f t="shared" si="1918"/>
        <v>...</v>
      </c>
      <c r="K8740" s="1" t="str">
        <f t="shared" si="1918"/>
        <v>...</v>
      </c>
      <c r="L8740" s="1" t="str">
        <f t="shared" si="1918"/>
        <v>...</v>
      </c>
      <c r="M8740" s="1" t="str">
        <f t="shared" si="1918"/>
        <v>...</v>
      </c>
      <c r="N8740" t="s">
        <v>30</v>
      </c>
    </row>
    <row r="8741" spans="1:14" x14ac:dyDescent="0.25">
      <c r="A8741" t="s">
        <v>43</v>
      </c>
      <c r="B8741" t="s">
        <v>15</v>
      </c>
      <c r="C8741" t="s">
        <v>38</v>
      </c>
      <c r="D8741" t="s">
        <v>34</v>
      </c>
      <c r="E8741" t="s">
        <v>22</v>
      </c>
      <c r="F8741" t="s">
        <v>20</v>
      </c>
      <c r="G8741" s="1" t="str">
        <f t="shared" ref="G8741:M8742" si="1919">"X"</f>
        <v>X</v>
      </c>
      <c r="H8741" s="1" t="str">
        <f t="shared" si="1919"/>
        <v>X</v>
      </c>
      <c r="I8741" s="1" t="str">
        <f t="shared" si="1919"/>
        <v>X</v>
      </c>
      <c r="J8741" s="1" t="str">
        <f t="shared" si="1919"/>
        <v>X</v>
      </c>
      <c r="K8741" s="1" t="str">
        <f t="shared" si="1919"/>
        <v>X</v>
      </c>
      <c r="L8741" s="1" t="str">
        <f t="shared" si="1919"/>
        <v>X</v>
      </c>
      <c r="M8741" s="1" t="str">
        <f t="shared" si="1919"/>
        <v>X</v>
      </c>
      <c r="N8741" t="s">
        <v>27</v>
      </c>
    </row>
    <row r="8742" spans="1:14" x14ac:dyDescent="0.25">
      <c r="A8742" t="s">
        <v>43</v>
      </c>
      <c r="B8742" t="s">
        <v>15</v>
      </c>
      <c r="C8742" t="s">
        <v>38</v>
      </c>
      <c r="D8742" t="s">
        <v>34</v>
      </c>
      <c r="E8742" t="s">
        <v>23</v>
      </c>
      <c r="F8742" t="s">
        <v>15</v>
      </c>
      <c r="G8742" s="1" t="str">
        <f t="shared" si="1919"/>
        <v>X</v>
      </c>
      <c r="H8742" s="1" t="str">
        <f t="shared" si="1919"/>
        <v>X</v>
      </c>
      <c r="I8742" s="1" t="str">
        <f t="shared" si="1919"/>
        <v>X</v>
      </c>
      <c r="J8742" s="1" t="str">
        <f t="shared" si="1919"/>
        <v>X</v>
      </c>
      <c r="K8742" s="1" t="str">
        <f t="shared" si="1919"/>
        <v>X</v>
      </c>
      <c r="L8742" s="1" t="str">
        <f t="shared" si="1919"/>
        <v>X</v>
      </c>
      <c r="M8742" s="1" t="str">
        <f t="shared" si="1919"/>
        <v>X</v>
      </c>
      <c r="N8742" t="s">
        <v>27</v>
      </c>
    </row>
    <row r="8743" spans="1:14" x14ac:dyDescent="0.25">
      <c r="A8743" t="s">
        <v>43</v>
      </c>
      <c r="B8743" t="s">
        <v>15</v>
      </c>
      <c r="C8743" t="s">
        <v>38</v>
      </c>
      <c r="D8743" t="s">
        <v>34</v>
      </c>
      <c r="E8743" t="s">
        <v>23</v>
      </c>
      <c r="F8743" t="s">
        <v>17</v>
      </c>
      <c r="G8743" s="1" t="str">
        <f t="shared" ref="G8743:M8743" si="1920">"..."</f>
        <v>...</v>
      </c>
      <c r="H8743" s="1" t="str">
        <f t="shared" si="1920"/>
        <v>...</v>
      </c>
      <c r="I8743" s="1" t="str">
        <f t="shared" si="1920"/>
        <v>...</v>
      </c>
      <c r="J8743" s="1" t="str">
        <f t="shared" si="1920"/>
        <v>...</v>
      </c>
      <c r="K8743" s="1" t="str">
        <f t="shared" si="1920"/>
        <v>...</v>
      </c>
      <c r="L8743" s="1" t="str">
        <f t="shared" si="1920"/>
        <v>...</v>
      </c>
      <c r="M8743" s="1" t="str">
        <f t="shared" si="1920"/>
        <v>...</v>
      </c>
      <c r="N8743" t="s">
        <v>30</v>
      </c>
    </row>
    <row r="8744" spans="1:14" x14ac:dyDescent="0.25">
      <c r="A8744" t="s">
        <v>43</v>
      </c>
      <c r="B8744" t="s">
        <v>15</v>
      </c>
      <c r="C8744" t="s">
        <v>38</v>
      </c>
      <c r="D8744" t="s">
        <v>34</v>
      </c>
      <c r="E8744" t="s">
        <v>23</v>
      </c>
      <c r="F8744" t="s">
        <v>18</v>
      </c>
      <c r="G8744" s="1" t="str">
        <f t="shared" ref="G8744:M8746" si="1921">"X"</f>
        <v>X</v>
      </c>
      <c r="H8744" s="1" t="str">
        <f t="shared" si="1921"/>
        <v>X</v>
      </c>
      <c r="I8744" s="1" t="str">
        <f t="shared" si="1921"/>
        <v>X</v>
      </c>
      <c r="J8744" s="1" t="str">
        <f t="shared" si="1921"/>
        <v>X</v>
      </c>
      <c r="K8744" s="1" t="str">
        <f t="shared" si="1921"/>
        <v>X</v>
      </c>
      <c r="L8744" s="1" t="str">
        <f t="shared" si="1921"/>
        <v>X</v>
      </c>
      <c r="M8744" s="1" t="str">
        <f t="shared" si="1921"/>
        <v>X</v>
      </c>
      <c r="N8744" t="s">
        <v>27</v>
      </c>
    </row>
    <row r="8745" spans="1:14" x14ac:dyDescent="0.25">
      <c r="A8745" t="s">
        <v>43</v>
      </c>
      <c r="B8745" t="s">
        <v>15</v>
      </c>
      <c r="C8745" t="s">
        <v>38</v>
      </c>
      <c r="D8745" t="s">
        <v>34</v>
      </c>
      <c r="E8745" t="s">
        <v>23</v>
      </c>
      <c r="F8745" t="s">
        <v>19</v>
      </c>
      <c r="G8745" s="1" t="str">
        <f t="shared" si="1921"/>
        <v>X</v>
      </c>
      <c r="H8745" s="1" t="str">
        <f t="shared" si="1921"/>
        <v>X</v>
      </c>
      <c r="I8745" s="1" t="str">
        <f t="shared" si="1921"/>
        <v>X</v>
      </c>
      <c r="J8745" s="1" t="str">
        <f t="shared" si="1921"/>
        <v>X</v>
      </c>
      <c r="K8745" s="1" t="str">
        <f t="shared" si="1921"/>
        <v>X</v>
      </c>
      <c r="L8745" s="1" t="str">
        <f t="shared" si="1921"/>
        <v>X</v>
      </c>
      <c r="M8745" s="1" t="str">
        <f t="shared" si="1921"/>
        <v>X</v>
      </c>
      <c r="N8745" t="s">
        <v>27</v>
      </c>
    </row>
    <row r="8746" spans="1:14" x14ac:dyDescent="0.25">
      <c r="A8746" t="s">
        <v>43</v>
      </c>
      <c r="B8746" t="s">
        <v>15</v>
      </c>
      <c r="C8746" t="s">
        <v>38</v>
      </c>
      <c r="D8746" t="s">
        <v>34</v>
      </c>
      <c r="E8746" t="s">
        <v>23</v>
      </c>
      <c r="F8746" t="s">
        <v>20</v>
      </c>
      <c r="G8746" s="1" t="str">
        <f t="shared" si="1921"/>
        <v>X</v>
      </c>
      <c r="H8746" s="1" t="str">
        <f t="shared" si="1921"/>
        <v>X</v>
      </c>
      <c r="I8746" s="1" t="str">
        <f t="shared" si="1921"/>
        <v>X</v>
      </c>
      <c r="J8746" s="1" t="str">
        <f t="shared" si="1921"/>
        <v>X</v>
      </c>
      <c r="K8746" s="1" t="str">
        <f t="shared" si="1921"/>
        <v>X</v>
      </c>
      <c r="L8746" s="1" t="str">
        <f t="shared" si="1921"/>
        <v>X</v>
      </c>
      <c r="M8746" s="1" t="str">
        <f t="shared" si="1921"/>
        <v>X</v>
      </c>
      <c r="N8746" t="s">
        <v>27</v>
      </c>
    </row>
    <row r="8747" spans="1:14" x14ac:dyDescent="0.25">
      <c r="A8747" t="s">
        <v>43</v>
      </c>
      <c r="B8747" t="s">
        <v>15</v>
      </c>
      <c r="C8747" t="s">
        <v>38</v>
      </c>
      <c r="D8747" t="s">
        <v>34</v>
      </c>
      <c r="E8747" t="s">
        <v>26</v>
      </c>
      <c r="F8747" t="s">
        <v>15</v>
      </c>
      <c r="G8747" s="1" t="str">
        <f t="shared" ref="G8747:M8751" si="1922">"..."</f>
        <v>...</v>
      </c>
      <c r="H8747" s="1" t="str">
        <f t="shared" si="1922"/>
        <v>...</v>
      </c>
      <c r="I8747" s="1" t="str">
        <f t="shared" si="1922"/>
        <v>...</v>
      </c>
      <c r="J8747" s="1" t="str">
        <f t="shared" si="1922"/>
        <v>...</v>
      </c>
      <c r="K8747" s="1" t="str">
        <f t="shared" si="1922"/>
        <v>...</v>
      </c>
      <c r="L8747" s="1" t="str">
        <f t="shared" si="1922"/>
        <v>...</v>
      </c>
      <c r="M8747" s="1" t="str">
        <f t="shared" si="1922"/>
        <v>...</v>
      </c>
      <c r="N8747" t="s">
        <v>30</v>
      </c>
    </row>
    <row r="8748" spans="1:14" x14ac:dyDescent="0.25">
      <c r="A8748" t="s">
        <v>43</v>
      </c>
      <c r="B8748" t="s">
        <v>15</v>
      </c>
      <c r="C8748" t="s">
        <v>38</v>
      </c>
      <c r="D8748" t="s">
        <v>34</v>
      </c>
      <c r="E8748" t="s">
        <v>26</v>
      </c>
      <c r="F8748" t="s">
        <v>17</v>
      </c>
      <c r="G8748" s="1" t="str">
        <f t="shared" si="1922"/>
        <v>...</v>
      </c>
      <c r="H8748" s="1" t="str">
        <f t="shared" si="1922"/>
        <v>...</v>
      </c>
      <c r="I8748" s="1" t="str">
        <f t="shared" si="1922"/>
        <v>...</v>
      </c>
      <c r="J8748" s="1" t="str">
        <f t="shared" si="1922"/>
        <v>...</v>
      </c>
      <c r="K8748" s="1" t="str">
        <f t="shared" si="1922"/>
        <v>...</v>
      </c>
      <c r="L8748" s="1" t="str">
        <f t="shared" si="1922"/>
        <v>...</v>
      </c>
      <c r="M8748" s="1" t="str">
        <f t="shared" si="1922"/>
        <v>...</v>
      </c>
      <c r="N8748" t="s">
        <v>30</v>
      </c>
    </row>
    <row r="8749" spans="1:14" x14ac:dyDescent="0.25">
      <c r="A8749" t="s">
        <v>43</v>
      </c>
      <c r="B8749" t="s">
        <v>15</v>
      </c>
      <c r="C8749" t="s">
        <v>38</v>
      </c>
      <c r="D8749" t="s">
        <v>34</v>
      </c>
      <c r="E8749" t="s">
        <v>26</v>
      </c>
      <c r="F8749" t="s">
        <v>18</v>
      </c>
      <c r="G8749" s="1" t="str">
        <f t="shared" si="1922"/>
        <v>...</v>
      </c>
      <c r="H8749" s="1" t="str">
        <f t="shared" si="1922"/>
        <v>...</v>
      </c>
      <c r="I8749" s="1" t="str">
        <f t="shared" si="1922"/>
        <v>...</v>
      </c>
      <c r="J8749" s="1" t="str">
        <f t="shared" si="1922"/>
        <v>...</v>
      </c>
      <c r="K8749" s="1" t="str">
        <f t="shared" si="1922"/>
        <v>...</v>
      </c>
      <c r="L8749" s="1" t="str">
        <f t="shared" si="1922"/>
        <v>...</v>
      </c>
      <c r="M8749" s="1" t="str">
        <f t="shared" si="1922"/>
        <v>...</v>
      </c>
      <c r="N8749" t="s">
        <v>30</v>
      </c>
    </row>
    <row r="8750" spans="1:14" x14ac:dyDescent="0.25">
      <c r="A8750" t="s">
        <v>43</v>
      </c>
      <c r="B8750" t="s">
        <v>15</v>
      </c>
      <c r="C8750" t="s">
        <v>38</v>
      </c>
      <c r="D8750" t="s">
        <v>34</v>
      </c>
      <c r="E8750" t="s">
        <v>26</v>
      </c>
      <c r="F8750" t="s">
        <v>19</v>
      </c>
      <c r="G8750" s="1" t="str">
        <f t="shared" si="1922"/>
        <v>...</v>
      </c>
      <c r="H8750" s="1" t="str">
        <f t="shared" si="1922"/>
        <v>...</v>
      </c>
      <c r="I8750" s="1" t="str">
        <f t="shared" si="1922"/>
        <v>...</v>
      </c>
      <c r="J8750" s="1" t="str">
        <f t="shared" si="1922"/>
        <v>...</v>
      </c>
      <c r="K8750" s="1" t="str">
        <f t="shared" si="1922"/>
        <v>...</v>
      </c>
      <c r="L8750" s="1" t="str">
        <f t="shared" si="1922"/>
        <v>...</v>
      </c>
      <c r="M8750" s="1" t="str">
        <f t="shared" si="1922"/>
        <v>...</v>
      </c>
      <c r="N8750" t="s">
        <v>30</v>
      </c>
    </row>
    <row r="8751" spans="1:14" x14ac:dyDescent="0.25">
      <c r="A8751" t="s">
        <v>43</v>
      </c>
      <c r="B8751" t="s">
        <v>15</v>
      </c>
      <c r="C8751" t="s">
        <v>38</v>
      </c>
      <c r="D8751" t="s">
        <v>34</v>
      </c>
      <c r="E8751" t="s">
        <v>26</v>
      </c>
      <c r="F8751" t="s">
        <v>20</v>
      </c>
      <c r="G8751" s="1" t="str">
        <f t="shared" si="1922"/>
        <v>...</v>
      </c>
      <c r="H8751" s="1" t="str">
        <f t="shared" si="1922"/>
        <v>...</v>
      </c>
      <c r="I8751" s="1" t="str">
        <f t="shared" si="1922"/>
        <v>...</v>
      </c>
      <c r="J8751" s="1" t="str">
        <f t="shared" si="1922"/>
        <v>...</v>
      </c>
      <c r="K8751" s="1" t="str">
        <f t="shared" si="1922"/>
        <v>...</v>
      </c>
      <c r="L8751" s="1" t="str">
        <f t="shared" si="1922"/>
        <v>...</v>
      </c>
      <c r="M8751" s="1" t="str">
        <f t="shared" si="1922"/>
        <v>...</v>
      </c>
      <c r="N8751" t="s">
        <v>30</v>
      </c>
    </row>
    <row r="8752" spans="1:14" x14ac:dyDescent="0.25">
      <c r="A8752" t="s">
        <v>43</v>
      </c>
      <c r="B8752" t="s">
        <v>39</v>
      </c>
      <c r="C8752" t="s">
        <v>15</v>
      </c>
      <c r="D8752" t="s">
        <v>15</v>
      </c>
      <c r="E8752" t="s">
        <v>15</v>
      </c>
      <c r="F8752" t="s">
        <v>15</v>
      </c>
      <c r="G8752" s="1">
        <f>VALUE(68398.32)</f>
        <v>68398.320000000007</v>
      </c>
      <c r="H8752" s="1">
        <f>VALUE(66320.2)</f>
        <v>66320.2</v>
      </c>
      <c r="I8752" s="1">
        <f>VALUE(3636)</f>
        <v>3636</v>
      </c>
      <c r="J8752" s="1">
        <f>VALUE(4352)</f>
        <v>4352</v>
      </c>
      <c r="K8752" s="1">
        <f>VALUE(5397)</f>
        <v>5397</v>
      </c>
      <c r="L8752" s="1">
        <f>VALUE(6651)</f>
        <v>6651</v>
      </c>
      <c r="M8752" s="1">
        <f>VALUE(9106)</f>
        <v>9106</v>
      </c>
      <c r="N8752" t="s">
        <v>16</v>
      </c>
    </row>
    <row r="8753" spans="1:14" x14ac:dyDescent="0.25">
      <c r="A8753" t="s">
        <v>43</v>
      </c>
      <c r="B8753" t="s">
        <v>39</v>
      </c>
      <c r="C8753" t="s">
        <v>15</v>
      </c>
      <c r="D8753" t="s">
        <v>15</v>
      </c>
      <c r="E8753" t="s">
        <v>15</v>
      </c>
      <c r="F8753" t="s">
        <v>17</v>
      </c>
      <c r="G8753" s="1">
        <f>VALUE(10128.44)</f>
        <v>10128.44</v>
      </c>
      <c r="H8753" s="1">
        <f>VALUE(9815.38)</f>
        <v>9815.3799999999992</v>
      </c>
      <c r="I8753" s="1">
        <f>VALUE(5397)</f>
        <v>5397</v>
      </c>
      <c r="J8753" s="1">
        <f>VALUE(6448)</f>
        <v>6448</v>
      </c>
      <c r="K8753" s="1">
        <f>VALUE(8600)</f>
        <v>8600</v>
      </c>
      <c r="L8753" s="1">
        <f>VALUE(11546)</f>
        <v>11546</v>
      </c>
      <c r="M8753" s="1">
        <f>VALUE(17062)</f>
        <v>17062</v>
      </c>
      <c r="N8753" t="s">
        <v>16</v>
      </c>
    </row>
    <row r="8754" spans="1:14" x14ac:dyDescent="0.25">
      <c r="A8754" t="s">
        <v>43</v>
      </c>
      <c r="B8754" t="s">
        <v>39</v>
      </c>
      <c r="C8754" t="s">
        <v>15</v>
      </c>
      <c r="D8754" t="s">
        <v>15</v>
      </c>
      <c r="E8754" t="s">
        <v>15</v>
      </c>
      <c r="F8754" t="s">
        <v>18</v>
      </c>
      <c r="G8754" s="1">
        <f>VALUE(6599.64)</f>
        <v>6599.64</v>
      </c>
      <c r="H8754" s="1">
        <f>VALUE(6482.35)</f>
        <v>6482.35</v>
      </c>
      <c r="I8754" s="1">
        <f>VALUE(4581)</f>
        <v>4581</v>
      </c>
      <c r="J8754" s="1">
        <f>VALUE(5170)</f>
        <v>5170</v>
      </c>
      <c r="K8754" s="1">
        <f>VALUE(6500)</f>
        <v>6500</v>
      </c>
      <c r="L8754" s="1">
        <f>VALUE(8359)</f>
        <v>8359</v>
      </c>
      <c r="M8754" s="1">
        <f>VALUE(10873)</f>
        <v>10873</v>
      </c>
      <c r="N8754" t="s">
        <v>16</v>
      </c>
    </row>
    <row r="8755" spans="1:14" x14ac:dyDescent="0.25">
      <c r="A8755" t="s">
        <v>43</v>
      </c>
      <c r="B8755" t="s">
        <v>39</v>
      </c>
      <c r="C8755" t="s">
        <v>15</v>
      </c>
      <c r="D8755" t="s">
        <v>15</v>
      </c>
      <c r="E8755" t="s">
        <v>15</v>
      </c>
      <c r="F8755" t="s">
        <v>19</v>
      </c>
      <c r="G8755" s="1">
        <f>VALUE(9825.55)</f>
        <v>9825.5499999999993</v>
      </c>
      <c r="H8755" s="1">
        <f>VALUE(9827.82)</f>
        <v>9827.82</v>
      </c>
      <c r="I8755" s="1">
        <f>VALUE(3801)</f>
        <v>3801</v>
      </c>
      <c r="J8755" s="1">
        <f>VALUE(4489)</f>
        <v>4489</v>
      </c>
      <c r="K8755" s="1">
        <f>VALUE(5600)</f>
        <v>5600</v>
      </c>
      <c r="L8755" s="1">
        <f>VALUE(6765)</f>
        <v>6765</v>
      </c>
      <c r="M8755" s="1">
        <f>VALUE(7937)</f>
        <v>7937</v>
      </c>
      <c r="N8755" t="s">
        <v>16</v>
      </c>
    </row>
    <row r="8756" spans="1:14" x14ac:dyDescent="0.25">
      <c r="A8756" t="s">
        <v>43</v>
      </c>
      <c r="B8756" t="s">
        <v>39</v>
      </c>
      <c r="C8756" t="s">
        <v>15</v>
      </c>
      <c r="D8756" t="s">
        <v>15</v>
      </c>
      <c r="E8756" t="s">
        <v>15</v>
      </c>
      <c r="F8756" t="s">
        <v>20</v>
      </c>
      <c r="G8756" s="1">
        <f>VALUE(41844.69)</f>
        <v>41844.69</v>
      </c>
      <c r="H8756" s="1">
        <f>VALUE(40194.65)</f>
        <v>40194.65</v>
      </c>
      <c r="I8756" s="1">
        <f>VALUE(3456)</f>
        <v>3456</v>
      </c>
      <c r="J8756" s="1">
        <f>VALUE(4055)</f>
        <v>4055</v>
      </c>
      <c r="K8756" s="1">
        <f>VALUE(4948)</f>
        <v>4948</v>
      </c>
      <c r="L8756" s="1">
        <f>VALUE(5729)</f>
        <v>5729</v>
      </c>
      <c r="M8756" s="1">
        <f>VALUE(6625)</f>
        <v>6625</v>
      </c>
      <c r="N8756" t="s">
        <v>16</v>
      </c>
    </row>
    <row r="8757" spans="1:14" x14ac:dyDescent="0.25">
      <c r="A8757" t="s">
        <v>43</v>
      </c>
      <c r="B8757" t="s">
        <v>39</v>
      </c>
      <c r="C8757" t="s">
        <v>15</v>
      </c>
      <c r="D8757" t="s">
        <v>15</v>
      </c>
      <c r="E8757" t="s">
        <v>21</v>
      </c>
      <c r="F8757" t="s">
        <v>15</v>
      </c>
      <c r="G8757" s="1">
        <f>VALUE(14318.86)</f>
        <v>14318.86</v>
      </c>
      <c r="H8757" s="1">
        <f>VALUE(13594.74)</f>
        <v>13594.74</v>
      </c>
      <c r="I8757" s="1">
        <f>VALUE(4550)</f>
        <v>4550</v>
      </c>
      <c r="J8757" s="1">
        <f>VALUE(5674)</f>
        <v>5674</v>
      </c>
      <c r="K8757" s="1">
        <f>VALUE(7490)</f>
        <v>7490</v>
      </c>
      <c r="L8757" s="1">
        <f>VALUE(10167)</f>
        <v>10167</v>
      </c>
      <c r="M8757" s="1">
        <f>VALUE(14235)</f>
        <v>14235</v>
      </c>
      <c r="N8757" t="s">
        <v>16</v>
      </c>
    </row>
    <row r="8758" spans="1:14" x14ac:dyDescent="0.25">
      <c r="A8758" t="s">
        <v>43</v>
      </c>
      <c r="B8758" t="s">
        <v>39</v>
      </c>
      <c r="C8758" t="s">
        <v>15</v>
      </c>
      <c r="D8758" t="s">
        <v>15</v>
      </c>
      <c r="E8758" t="s">
        <v>21</v>
      </c>
      <c r="F8758" t="s">
        <v>17</v>
      </c>
      <c r="G8758" s="1">
        <f>VALUE(5219.32)</f>
        <v>5219.32</v>
      </c>
      <c r="H8758" s="1">
        <f>VALUE(4986.4)</f>
        <v>4986.3999999999996</v>
      </c>
      <c r="I8758" s="1">
        <f>VALUE(6067)</f>
        <v>6067</v>
      </c>
      <c r="J8758" s="1">
        <f>VALUE(7905)</f>
        <v>7905</v>
      </c>
      <c r="K8758" s="1">
        <f>VALUE(10217)</f>
        <v>10217</v>
      </c>
      <c r="L8758" s="1">
        <f>VALUE(13890)</f>
        <v>13890</v>
      </c>
      <c r="M8758" s="1">
        <f>VALUE(19492)</f>
        <v>19492</v>
      </c>
      <c r="N8758" t="s">
        <v>16</v>
      </c>
    </row>
    <row r="8759" spans="1:14" x14ac:dyDescent="0.25">
      <c r="A8759" t="s">
        <v>43</v>
      </c>
      <c r="B8759" t="s">
        <v>39</v>
      </c>
      <c r="C8759" t="s">
        <v>15</v>
      </c>
      <c r="D8759" t="s">
        <v>15</v>
      </c>
      <c r="E8759" t="s">
        <v>21</v>
      </c>
      <c r="F8759" t="s">
        <v>18</v>
      </c>
      <c r="G8759" s="2">
        <f>VALUE(2111.95)</f>
        <v>2111.9499999999998</v>
      </c>
      <c r="H8759" s="3">
        <f>VALUE(2083.71)</f>
        <v>2083.71</v>
      </c>
      <c r="I8759" s="1">
        <f>VALUE(5139)</f>
        <v>5139</v>
      </c>
      <c r="J8759" s="1">
        <f>VALUE(6603)</f>
        <v>6603</v>
      </c>
      <c r="K8759" s="1">
        <f>VALUE(8259)</f>
        <v>8259</v>
      </c>
      <c r="L8759" s="1">
        <f>VALUE(10297)</f>
        <v>10297</v>
      </c>
      <c r="M8759" s="1">
        <f>VALUE(11978)</f>
        <v>11978</v>
      </c>
      <c r="N8759" t="s">
        <v>25</v>
      </c>
    </row>
    <row r="8760" spans="1:14" x14ac:dyDescent="0.25">
      <c r="A8760" t="s">
        <v>43</v>
      </c>
      <c r="B8760" t="s">
        <v>39</v>
      </c>
      <c r="C8760" t="s">
        <v>15</v>
      </c>
      <c r="D8760" t="s">
        <v>15</v>
      </c>
      <c r="E8760" t="s">
        <v>21</v>
      </c>
      <c r="F8760" t="s">
        <v>19</v>
      </c>
      <c r="G8760" s="2">
        <f>VALUE(2055.24)</f>
        <v>2055.2399999999998</v>
      </c>
      <c r="H8760" s="3">
        <f>VALUE(2010.64)</f>
        <v>2010.64</v>
      </c>
      <c r="I8760" s="1">
        <f>VALUE(4875)</f>
        <v>4875</v>
      </c>
      <c r="J8760" s="1">
        <f>VALUE(5839)</f>
        <v>5839</v>
      </c>
      <c r="K8760" s="1">
        <f>VALUE(7005)</f>
        <v>7005</v>
      </c>
      <c r="L8760" s="1">
        <f>VALUE(8136)</f>
        <v>8136</v>
      </c>
      <c r="M8760" s="8">
        <f>VALUE(9749)</f>
        <v>9749</v>
      </c>
      <c r="N8760" t="s">
        <v>25</v>
      </c>
    </row>
    <row r="8761" spans="1:14" x14ac:dyDescent="0.25">
      <c r="A8761" t="s">
        <v>43</v>
      </c>
      <c r="B8761" t="s">
        <v>39</v>
      </c>
      <c r="C8761" t="s">
        <v>15</v>
      </c>
      <c r="D8761" t="s">
        <v>15</v>
      </c>
      <c r="E8761" t="s">
        <v>21</v>
      </c>
      <c r="F8761" t="s">
        <v>20</v>
      </c>
      <c r="G8761" s="1">
        <f>VALUE(4932.35)</f>
        <v>4932.3500000000004</v>
      </c>
      <c r="H8761" s="3">
        <f>VALUE(4513.99)</f>
        <v>4513.99</v>
      </c>
      <c r="I8761" s="1">
        <f>VALUE(3817)</f>
        <v>3817</v>
      </c>
      <c r="J8761" s="1">
        <f>VALUE(4675)</f>
        <v>4675</v>
      </c>
      <c r="K8761" s="1">
        <f>VALUE(5609)</f>
        <v>5609</v>
      </c>
      <c r="L8761" s="1">
        <f>VALUE(6837)</f>
        <v>6837</v>
      </c>
      <c r="M8761" s="1">
        <f>VALUE(8376)</f>
        <v>8376</v>
      </c>
      <c r="N8761" t="s">
        <v>25</v>
      </c>
    </row>
    <row r="8762" spans="1:14" x14ac:dyDescent="0.25">
      <c r="A8762" t="s">
        <v>43</v>
      </c>
      <c r="B8762" t="s">
        <v>39</v>
      </c>
      <c r="C8762" t="s">
        <v>15</v>
      </c>
      <c r="D8762" t="s">
        <v>15</v>
      </c>
      <c r="E8762" t="s">
        <v>22</v>
      </c>
      <c r="F8762" t="s">
        <v>15</v>
      </c>
      <c r="G8762" s="1">
        <f>VALUE(30554.59)</f>
        <v>30554.59</v>
      </c>
      <c r="H8762" s="1">
        <f>VALUE(29632.97)</f>
        <v>29632.97</v>
      </c>
      <c r="I8762" s="1">
        <f>VALUE(3893)</f>
        <v>3893</v>
      </c>
      <c r="J8762" s="1">
        <f>VALUE(4615)</f>
        <v>4615</v>
      </c>
      <c r="K8762" s="1">
        <f>VALUE(5481)</f>
        <v>5481</v>
      </c>
      <c r="L8762" s="1">
        <f>VALUE(6545)</f>
        <v>6545</v>
      </c>
      <c r="M8762" s="1">
        <f>VALUE(8100)</f>
        <v>8100</v>
      </c>
      <c r="N8762" t="s">
        <v>16</v>
      </c>
    </row>
    <row r="8763" spans="1:14" x14ac:dyDescent="0.25">
      <c r="A8763" t="s">
        <v>43</v>
      </c>
      <c r="B8763" t="s">
        <v>39</v>
      </c>
      <c r="C8763" t="s">
        <v>15</v>
      </c>
      <c r="D8763" t="s">
        <v>15</v>
      </c>
      <c r="E8763" t="s">
        <v>22</v>
      </c>
      <c r="F8763" t="s">
        <v>17</v>
      </c>
      <c r="G8763" s="2">
        <f>VALUE(4087.84)</f>
        <v>4087.84</v>
      </c>
      <c r="H8763" s="3">
        <f>VALUE(3998.91)</f>
        <v>3998.91</v>
      </c>
      <c r="I8763" s="4">
        <f>VALUE(5159)</f>
        <v>5159</v>
      </c>
      <c r="J8763" s="1">
        <f>VALUE(6000)</f>
        <v>6000</v>
      </c>
      <c r="K8763" s="1">
        <f>VALUE(7235)</f>
        <v>7235</v>
      </c>
      <c r="L8763" s="1">
        <f>VALUE(9405)</f>
        <v>9405</v>
      </c>
      <c r="M8763" s="8">
        <f>VALUE(13334)</f>
        <v>13334</v>
      </c>
      <c r="N8763" t="s">
        <v>25</v>
      </c>
    </row>
    <row r="8764" spans="1:14" x14ac:dyDescent="0.25">
      <c r="A8764" t="s">
        <v>43</v>
      </c>
      <c r="B8764" t="s">
        <v>39</v>
      </c>
      <c r="C8764" t="s">
        <v>15</v>
      </c>
      <c r="D8764" t="s">
        <v>15</v>
      </c>
      <c r="E8764" t="s">
        <v>22</v>
      </c>
      <c r="F8764" t="s">
        <v>18</v>
      </c>
      <c r="G8764" s="2">
        <f>VALUE(3531.44)</f>
        <v>3531.44</v>
      </c>
      <c r="H8764" s="3">
        <f>VALUE(3452.81)</f>
        <v>3452.81</v>
      </c>
      <c r="I8764" s="1">
        <f>VALUE(4562)</f>
        <v>4562</v>
      </c>
      <c r="J8764" s="1">
        <f>VALUE(5103)</f>
        <v>5103</v>
      </c>
      <c r="K8764" s="1">
        <f>VALUE(6190)</f>
        <v>6190</v>
      </c>
      <c r="L8764" s="1">
        <f>VALUE(7603)</f>
        <v>7603</v>
      </c>
      <c r="M8764" s="1">
        <f>VALUE(9682)</f>
        <v>9682</v>
      </c>
      <c r="N8764" t="s">
        <v>25</v>
      </c>
    </row>
    <row r="8765" spans="1:14" x14ac:dyDescent="0.25">
      <c r="A8765" t="s">
        <v>43</v>
      </c>
      <c r="B8765" t="s">
        <v>39</v>
      </c>
      <c r="C8765" t="s">
        <v>15</v>
      </c>
      <c r="D8765" t="s">
        <v>15</v>
      </c>
      <c r="E8765" t="s">
        <v>22</v>
      </c>
      <c r="F8765" t="s">
        <v>19</v>
      </c>
      <c r="G8765" s="1">
        <f>VALUE(4421.42)</f>
        <v>4421.42</v>
      </c>
      <c r="H8765" s="1">
        <f>VALUE(4421.54)</f>
        <v>4421.54</v>
      </c>
      <c r="I8765" s="1">
        <f>VALUE(4309)</f>
        <v>4309</v>
      </c>
      <c r="J8765" s="1">
        <f>VALUE(5071)</f>
        <v>5071</v>
      </c>
      <c r="K8765" s="1">
        <f>VALUE(5760)</f>
        <v>5760</v>
      </c>
      <c r="L8765" s="1">
        <f>VALUE(6564)</f>
        <v>6564</v>
      </c>
      <c r="M8765" s="1">
        <f>VALUE(7712)</f>
        <v>7712</v>
      </c>
      <c r="N8765" t="s">
        <v>16</v>
      </c>
    </row>
    <row r="8766" spans="1:14" x14ac:dyDescent="0.25">
      <c r="A8766" t="s">
        <v>43</v>
      </c>
      <c r="B8766" t="s">
        <v>39</v>
      </c>
      <c r="C8766" t="s">
        <v>15</v>
      </c>
      <c r="D8766" t="s">
        <v>15</v>
      </c>
      <c r="E8766" t="s">
        <v>22</v>
      </c>
      <c r="F8766" t="s">
        <v>20</v>
      </c>
      <c r="G8766" s="1">
        <f>VALUE(18513.89)</f>
        <v>18513.89</v>
      </c>
      <c r="H8766" s="1">
        <f>VALUE(17759.71)</f>
        <v>17759.71</v>
      </c>
      <c r="I8766" s="1">
        <f>VALUE(3581)</f>
        <v>3581</v>
      </c>
      <c r="J8766" s="1">
        <f>VALUE(4331)</f>
        <v>4331</v>
      </c>
      <c r="K8766" s="1">
        <f>VALUE(5144)</f>
        <v>5144</v>
      </c>
      <c r="L8766" s="1">
        <f>VALUE(5914)</f>
        <v>5914</v>
      </c>
      <c r="M8766" s="1">
        <f>VALUE(6799)</f>
        <v>6799</v>
      </c>
      <c r="N8766" t="s">
        <v>16</v>
      </c>
    </row>
    <row r="8767" spans="1:14" x14ac:dyDescent="0.25">
      <c r="A8767" t="s">
        <v>43</v>
      </c>
      <c r="B8767" t="s">
        <v>39</v>
      </c>
      <c r="C8767" t="s">
        <v>15</v>
      </c>
      <c r="D8767" t="s">
        <v>15</v>
      </c>
      <c r="E8767" t="s">
        <v>23</v>
      </c>
      <c r="F8767" t="s">
        <v>15</v>
      </c>
      <c r="G8767" s="1">
        <f>VALUE(22613.02)</f>
        <v>22613.02</v>
      </c>
      <c r="H8767" s="1">
        <f>VALUE(22222.45)</f>
        <v>22222.45</v>
      </c>
      <c r="I8767" s="1">
        <f>VALUE(3383)</f>
        <v>3383</v>
      </c>
      <c r="J8767" s="1">
        <f>VALUE(3792)</f>
        <v>3792</v>
      </c>
      <c r="K8767" s="1">
        <f>VALUE(4604)</f>
        <v>4604</v>
      </c>
      <c r="L8767" s="1">
        <f>VALUE(5437)</f>
        <v>5437</v>
      </c>
      <c r="M8767" s="1">
        <f>VALUE(6390)</f>
        <v>6390</v>
      </c>
      <c r="N8767" t="s">
        <v>16</v>
      </c>
    </row>
    <row r="8768" spans="1:14" x14ac:dyDescent="0.25">
      <c r="A8768" t="s">
        <v>43</v>
      </c>
      <c r="B8768" t="s">
        <v>39</v>
      </c>
      <c r="C8768" t="s">
        <v>15</v>
      </c>
      <c r="D8768" t="s">
        <v>15</v>
      </c>
      <c r="E8768" t="s">
        <v>23</v>
      </c>
      <c r="F8768" t="s">
        <v>17</v>
      </c>
      <c r="G8768" s="2">
        <f>VALUE(724.13)</f>
        <v>724.13</v>
      </c>
      <c r="H8768" s="3">
        <f>VALUE(731.21)</f>
        <v>731.21</v>
      </c>
      <c r="I8768" s="4">
        <f>VALUE(4091)</f>
        <v>4091</v>
      </c>
      <c r="J8768" s="5">
        <f>VALUE(5397)</f>
        <v>5397</v>
      </c>
      <c r="K8768" s="1">
        <f>VALUE(5960)</f>
        <v>5960</v>
      </c>
      <c r="L8768" s="1">
        <f>VALUE(7745)</f>
        <v>7745</v>
      </c>
      <c r="M8768" s="1">
        <f>VALUE(10458)</f>
        <v>10458</v>
      </c>
      <c r="N8768" t="s">
        <v>25</v>
      </c>
    </row>
    <row r="8769" spans="1:14" x14ac:dyDescent="0.25">
      <c r="A8769" t="s">
        <v>43</v>
      </c>
      <c r="B8769" t="s">
        <v>39</v>
      </c>
      <c r="C8769" t="s">
        <v>15</v>
      </c>
      <c r="D8769" t="s">
        <v>15</v>
      </c>
      <c r="E8769" t="s">
        <v>23</v>
      </c>
      <c r="F8769" t="s">
        <v>18</v>
      </c>
      <c r="G8769" s="2">
        <f>VALUE(899.87)</f>
        <v>899.87</v>
      </c>
      <c r="H8769" s="3">
        <f>VALUE(899.76)</f>
        <v>899.76</v>
      </c>
      <c r="I8769" s="4">
        <f>VALUE(3805)</f>
        <v>3805</v>
      </c>
      <c r="J8769" s="5">
        <f>VALUE(4725)</f>
        <v>4725</v>
      </c>
      <c r="K8769" s="1">
        <f>VALUE(5214)</f>
        <v>5214</v>
      </c>
      <c r="L8769" s="1">
        <f>VALUE(6039)</f>
        <v>6039</v>
      </c>
      <c r="M8769" s="8">
        <f>VALUE(7111)</f>
        <v>7111</v>
      </c>
      <c r="N8769" t="s">
        <v>25</v>
      </c>
    </row>
    <row r="8770" spans="1:14" x14ac:dyDescent="0.25">
      <c r="A8770" t="s">
        <v>43</v>
      </c>
      <c r="B8770" t="s">
        <v>39</v>
      </c>
      <c r="C8770" t="s">
        <v>15</v>
      </c>
      <c r="D8770" t="s">
        <v>15</v>
      </c>
      <c r="E8770" t="s">
        <v>23</v>
      </c>
      <c r="F8770" t="s">
        <v>19</v>
      </c>
      <c r="G8770" s="2">
        <f>VALUE(3272.9)</f>
        <v>3272.9</v>
      </c>
      <c r="H8770" s="3">
        <f>VALUE(3327.58)</f>
        <v>3327.58</v>
      </c>
      <c r="I8770" s="4">
        <f>VALUE(3691)</f>
        <v>3691</v>
      </c>
      <c r="J8770" s="1">
        <f>VALUE(3801)</f>
        <v>3801</v>
      </c>
      <c r="K8770" s="6">
        <f>VALUE(4489)</f>
        <v>4489</v>
      </c>
      <c r="L8770" s="7">
        <f>VALUE(5494)</f>
        <v>5494</v>
      </c>
      <c r="M8770" s="1">
        <f>VALUE(6866)</f>
        <v>6866</v>
      </c>
      <c r="N8770" t="s">
        <v>25</v>
      </c>
    </row>
    <row r="8771" spans="1:14" x14ac:dyDescent="0.25">
      <c r="A8771" t="s">
        <v>43</v>
      </c>
      <c r="B8771" t="s">
        <v>39</v>
      </c>
      <c r="C8771" t="s">
        <v>15</v>
      </c>
      <c r="D8771" t="s">
        <v>15</v>
      </c>
      <c r="E8771" t="s">
        <v>23</v>
      </c>
      <c r="F8771" t="s">
        <v>20</v>
      </c>
      <c r="G8771" s="1">
        <f>VALUE(17716.12)</f>
        <v>17716.12</v>
      </c>
      <c r="H8771" s="1">
        <f>VALUE(17263.9)</f>
        <v>17263.900000000001</v>
      </c>
      <c r="I8771" s="1">
        <f>VALUE(3325)</f>
        <v>3325</v>
      </c>
      <c r="J8771" s="1">
        <f>VALUE(3714)</f>
        <v>3714</v>
      </c>
      <c r="K8771" s="1">
        <f>VALUE(4530)</f>
        <v>4530</v>
      </c>
      <c r="L8771" s="1">
        <f>VALUE(5380)</f>
        <v>5380</v>
      </c>
      <c r="M8771" s="1">
        <f>VALUE(6113)</f>
        <v>6113</v>
      </c>
      <c r="N8771" t="s">
        <v>16</v>
      </c>
    </row>
    <row r="8772" spans="1:14" x14ac:dyDescent="0.25">
      <c r="A8772" t="s">
        <v>43</v>
      </c>
      <c r="B8772" t="s">
        <v>39</v>
      </c>
      <c r="C8772" t="s">
        <v>15</v>
      </c>
      <c r="D8772" t="s">
        <v>15</v>
      </c>
      <c r="E8772" t="s">
        <v>26</v>
      </c>
      <c r="F8772" t="s">
        <v>15</v>
      </c>
      <c r="G8772" s="2">
        <f>VALUE(911.85)</f>
        <v>911.85</v>
      </c>
      <c r="H8772" s="3">
        <f>VALUE(870.04)</f>
        <v>870.04</v>
      </c>
      <c r="I8772" s="1">
        <f>VALUE(3972)</f>
        <v>3972</v>
      </c>
      <c r="J8772" s="1">
        <f>VALUE(4523)</f>
        <v>4523</v>
      </c>
      <c r="K8772" s="1">
        <f>VALUE(5354)</f>
        <v>5354</v>
      </c>
      <c r="L8772" s="1">
        <f>VALUE(6503)</f>
        <v>6503</v>
      </c>
      <c r="M8772" s="8">
        <f>VALUE(9698)</f>
        <v>9698</v>
      </c>
      <c r="N8772" t="s">
        <v>25</v>
      </c>
    </row>
    <row r="8773" spans="1:14" x14ac:dyDescent="0.25">
      <c r="A8773" t="s">
        <v>43</v>
      </c>
      <c r="B8773" t="s">
        <v>39</v>
      </c>
      <c r="C8773" t="s">
        <v>15</v>
      </c>
      <c r="D8773" t="s">
        <v>15</v>
      </c>
      <c r="E8773" t="s">
        <v>26</v>
      </c>
      <c r="F8773" t="s">
        <v>17</v>
      </c>
      <c r="G8773" s="1" t="str">
        <f t="shared" ref="G8773:M8775" si="1923">"X"</f>
        <v>X</v>
      </c>
      <c r="H8773" s="1" t="str">
        <f t="shared" si="1923"/>
        <v>X</v>
      </c>
      <c r="I8773" s="1" t="str">
        <f t="shared" si="1923"/>
        <v>X</v>
      </c>
      <c r="J8773" s="1" t="str">
        <f t="shared" si="1923"/>
        <v>X</v>
      </c>
      <c r="K8773" s="1" t="str">
        <f t="shared" si="1923"/>
        <v>X</v>
      </c>
      <c r="L8773" s="1" t="str">
        <f t="shared" si="1923"/>
        <v>X</v>
      </c>
      <c r="M8773" s="1" t="str">
        <f t="shared" si="1923"/>
        <v>X</v>
      </c>
      <c r="N8773" t="s">
        <v>27</v>
      </c>
    </row>
    <row r="8774" spans="1:14" x14ac:dyDescent="0.25">
      <c r="A8774" t="s">
        <v>43</v>
      </c>
      <c r="B8774" t="s">
        <v>39</v>
      </c>
      <c r="C8774" t="s">
        <v>15</v>
      </c>
      <c r="D8774" t="s">
        <v>15</v>
      </c>
      <c r="E8774" t="s">
        <v>26</v>
      </c>
      <c r="F8774" t="s">
        <v>18</v>
      </c>
      <c r="G8774" s="1" t="str">
        <f t="shared" si="1923"/>
        <v>X</v>
      </c>
      <c r="H8774" s="1" t="str">
        <f t="shared" si="1923"/>
        <v>X</v>
      </c>
      <c r="I8774" s="1" t="str">
        <f t="shared" si="1923"/>
        <v>X</v>
      </c>
      <c r="J8774" s="1" t="str">
        <f t="shared" si="1923"/>
        <v>X</v>
      </c>
      <c r="K8774" s="1" t="str">
        <f t="shared" si="1923"/>
        <v>X</v>
      </c>
      <c r="L8774" s="1" t="str">
        <f t="shared" si="1923"/>
        <v>X</v>
      </c>
      <c r="M8774" s="1" t="str">
        <f t="shared" si="1923"/>
        <v>X</v>
      </c>
      <c r="N8774" t="s">
        <v>27</v>
      </c>
    </row>
    <row r="8775" spans="1:14" x14ac:dyDescent="0.25">
      <c r="A8775" t="s">
        <v>43</v>
      </c>
      <c r="B8775" t="s">
        <v>39</v>
      </c>
      <c r="C8775" t="s">
        <v>15</v>
      </c>
      <c r="D8775" t="s">
        <v>15</v>
      </c>
      <c r="E8775" t="s">
        <v>26</v>
      </c>
      <c r="F8775" t="s">
        <v>19</v>
      </c>
      <c r="G8775" s="1" t="str">
        <f t="shared" si="1923"/>
        <v>X</v>
      </c>
      <c r="H8775" s="1" t="str">
        <f t="shared" si="1923"/>
        <v>X</v>
      </c>
      <c r="I8775" s="1" t="str">
        <f t="shared" si="1923"/>
        <v>X</v>
      </c>
      <c r="J8775" s="1" t="str">
        <f t="shared" si="1923"/>
        <v>X</v>
      </c>
      <c r="K8775" s="1" t="str">
        <f t="shared" si="1923"/>
        <v>X</v>
      </c>
      <c r="L8775" s="1" t="str">
        <f t="shared" si="1923"/>
        <v>X</v>
      </c>
      <c r="M8775" s="1" t="str">
        <f t="shared" si="1923"/>
        <v>X</v>
      </c>
      <c r="N8775" t="s">
        <v>27</v>
      </c>
    </row>
    <row r="8776" spans="1:14" x14ac:dyDescent="0.25">
      <c r="A8776" t="s">
        <v>43</v>
      </c>
      <c r="B8776" t="s">
        <v>39</v>
      </c>
      <c r="C8776" t="s">
        <v>15</v>
      </c>
      <c r="D8776" t="s">
        <v>15</v>
      </c>
      <c r="E8776" t="s">
        <v>26</v>
      </c>
      <c r="F8776" t="s">
        <v>20</v>
      </c>
      <c r="G8776" s="2">
        <f>VALUE(682.33)</f>
        <v>682.33</v>
      </c>
      <c r="H8776" s="3">
        <f>VALUE(657.05)</f>
        <v>657.05</v>
      </c>
      <c r="I8776" s="1">
        <f>VALUE(3856)</f>
        <v>3856</v>
      </c>
      <c r="J8776" s="1">
        <f>VALUE(4458)</f>
        <v>4458</v>
      </c>
      <c r="K8776" s="1">
        <f>VALUE(5215)</f>
        <v>5215</v>
      </c>
      <c r="L8776" s="1">
        <f>VALUE(5932)</f>
        <v>5932</v>
      </c>
      <c r="M8776" s="1">
        <f>VALUE(6560)</f>
        <v>6560</v>
      </c>
      <c r="N8776" t="s">
        <v>25</v>
      </c>
    </row>
    <row r="8777" spans="1:14" x14ac:dyDescent="0.25">
      <c r="A8777" t="s">
        <v>43</v>
      </c>
      <c r="B8777" t="s">
        <v>39</v>
      </c>
      <c r="C8777" t="s">
        <v>15</v>
      </c>
      <c r="D8777" t="s">
        <v>28</v>
      </c>
      <c r="E8777" t="s">
        <v>15</v>
      </c>
      <c r="F8777" t="s">
        <v>15</v>
      </c>
      <c r="G8777" s="1">
        <f>VALUE(23501.7)</f>
        <v>23501.7</v>
      </c>
      <c r="H8777" s="1">
        <f>VALUE(22396.25)</f>
        <v>22396.25</v>
      </c>
      <c r="I8777" s="1">
        <f>VALUE(4190)</f>
        <v>4190</v>
      </c>
      <c r="J8777" s="1">
        <f>VALUE(5067)</f>
        <v>5067</v>
      </c>
      <c r="K8777" s="1">
        <f>VALUE(6087)</f>
        <v>6087</v>
      </c>
      <c r="L8777" s="1">
        <f>VALUE(8121)</f>
        <v>8121</v>
      </c>
      <c r="M8777" s="1">
        <f>VALUE(11088)</f>
        <v>11088</v>
      </c>
      <c r="N8777" t="s">
        <v>16</v>
      </c>
    </row>
    <row r="8778" spans="1:14" x14ac:dyDescent="0.25">
      <c r="A8778" t="s">
        <v>43</v>
      </c>
      <c r="B8778" t="s">
        <v>39</v>
      </c>
      <c r="C8778" t="s">
        <v>15</v>
      </c>
      <c r="D8778" t="s">
        <v>28</v>
      </c>
      <c r="E8778" t="s">
        <v>15</v>
      </c>
      <c r="F8778" t="s">
        <v>17</v>
      </c>
      <c r="G8778" s="1">
        <f>VALUE(6280.42)</f>
        <v>6280.42</v>
      </c>
      <c r="H8778" s="1">
        <f>VALUE(6013.46)</f>
        <v>6013.46</v>
      </c>
      <c r="I8778" s="1">
        <f>VALUE(5549)</f>
        <v>5549</v>
      </c>
      <c r="J8778" s="1">
        <f>VALUE(6608)</f>
        <v>6608</v>
      </c>
      <c r="K8778" s="1">
        <f>VALUE(8966)</f>
        <v>8966</v>
      </c>
      <c r="L8778" s="1">
        <f>VALUE(11911)</f>
        <v>11911</v>
      </c>
      <c r="M8778" s="1">
        <f>VALUE(17598)</f>
        <v>17598</v>
      </c>
      <c r="N8778" t="s">
        <v>16</v>
      </c>
    </row>
    <row r="8779" spans="1:14" x14ac:dyDescent="0.25">
      <c r="A8779" t="s">
        <v>43</v>
      </c>
      <c r="B8779" t="s">
        <v>39</v>
      </c>
      <c r="C8779" t="s">
        <v>15</v>
      </c>
      <c r="D8779" t="s">
        <v>28</v>
      </c>
      <c r="E8779" t="s">
        <v>15</v>
      </c>
      <c r="F8779" t="s">
        <v>18</v>
      </c>
      <c r="G8779" s="2">
        <f>VALUE(3154.25)</f>
        <v>3154.25</v>
      </c>
      <c r="H8779" s="3">
        <f>VALUE(3135.19)</f>
        <v>3135.19</v>
      </c>
      <c r="I8779" s="1">
        <f>VALUE(4860)</f>
        <v>4860</v>
      </c>
      <c r="J8779" s="1">
        <f>VALUE(5506)</f>
        <v>5506</v>
      </c>
      <c r="K8779" s="1">
        <f>VALUE(6982)</f>
        <v>6982</v>
      </c>
      <c r="L8779" s="1">
        <f>VALUE(9026)</f>
        <v>9026</v>
      </c>
      <c r="M8779" s="1">
        <f>VALUE(11009)</f>
        <v>11009</v>
      </c>
      <c r="N8779" t="s">
        <v>25</v>
      </c>
    </row>
    <row r="8780" spans="1:14" x14ac:dyDescent="0.25">
      <c r="A8780" t="s">
        <v>43</v>
      </c>
      <c r="B8780" t="s">
        <v>39</v>
      </c>
      <c r="C8780" t="s">
        <v>15</v>
      </c>
      <c r="D8780" t="s">
        <v>28</v>
      </c>
      <c r="E8780" t="s">
        <v>15</v>
      </c>
      <c r="F8780" t="s">
        <v>19</v>
      </c>
      <c r="G8780" s="2">
        <f>VALUE(3376.44)</f>
        <v>3376.44</v>
      </c>
      <c r="H8780" s="3">
        <f>VALUE(3308.76)</f>
        <v>3308.76</v>
      </c>
      <c r="I8780" s="4">
        <f>VALUE(3801)</f>
        <v>3801</v>
      </c>
      <c r="J8780" s="5">
        <f>VALUE(4851)</f>
        <v>4851</v>
      </c>
      <c r="K8780" s="1">
        <f>VALUE(5845)</f>
        <v>5845</v>
      </c>
      <c r="L8780" s="1">
        <f>VALUE(7105)</f>
        <v>7105</v>
      </c>
      <c r="M8780" s="1">
        <f>VALUE(8456)</f>
        <v>8456</v>
      </c>
      <c r="N8780" t="s">
        <v>25</v>
      </c>
    </row>
    <row r="8781" spans="1:14" x14ac:dyDescent="0.25">
      <c r="A8781" t="s">
        <v>43</v>
      </c>
      <c r="B8781" t="s">
        <v>39</v>
      </c>
      <c r="C8781" t="s">
        <v>15</v>
      </c>
      <c r="D8781" t="s">
        <v>28</v>
      </c>
      <c r="E8781" t="s">
        <v>15</v>
      </c>
      <c r="F8781" t="s">
        <v>20</v>
      </c>
      <c r="G8781" s="1">
        <f>VALUE(10690.59)</f>
        <v>10690.59</v>
      </c>
      <c r="H8781" s="1">
        <f>VALUE(9938.84)</f>
        <v>9938.84</v>
      </c>
      <c r="I8781" s="1">
        <f>VALUE(3775)</f>
        <v>3775</v>
      </c>
      <c r="J8781" s="1">
        <f>VALUE(4543)</f>
        <v>4543</v>
      </c>
      <c r="K8781" s="1">
        <f>VALUE(5407)</f>
        <v>5407</v>
      </c>
      <c r="L8781" s="1">
        <f>VALUE(6228)</f>
        <v>6228</v>
      </c>
      <c r="M8781" s="1">
        <f>VALUE(7234)</f>
        <v>7234</v>
      </c>
      <c r="N8781" t="s">
        <v>16</v>
      </c>
    </row>
    <row r="8782" spans="1:14" x14ac:dyDescent="0.25">
      <c r="A8782" t="s">
        <v>43</v>
      </c>
      <c r="B8782" t="s">
        <v>39</v>
      </c>
      <c r="C8782" t="s">
        <v>15</v>
      </c>
      <c r="D8782" t="s">
        <v>28</v>
      </c>
      <c r="E8782" t="s">
        <v>21</v>
      </c>
      <c r="F8782" t="s">
        <v>15</v>
      </c>
      <c r="G8782" s="1">
        <f>VALUE(6963.49)</f>
        <v>6963.49</v>
      </c>
      <c r="H8782" s="1">
        <f>VALUE(6505.75)</f>
        <v>6505.75</v>
      </c>
      <c r="I8782" s="1">
        <f>VALUE(5298)</f>
        <v>5298</v>
      </c>
      <c r="J8782" s="1">
        <f>VALUE(6362)</f>
        <v>6362</v>
      </c>
      <c r="K8782" s="1">
        <f>VALUE(8325)</f>
        <v>8325</v>
      </c>
      <c r="L8782" s="1">
        <f>VALUE(10917)</f>
        <v>10917</v>
      </c>
      <c r="M8782" s="1">
        <f>VALUE(15470)</f>
        <v>15470</v>
      </c>
      <c r="N8782" t="s">
        <v>16</v>
      </c>
    </row>
    <row r="8783" spans="1:14" x14ac:dyDescent="0.25">
      <c r="A8783" t="s">
        <v>43</v>
      </c>
      <c r="B8783" t="s">
        <v>39</v>
      </c>
      <c r="C8783" t="s">
        <v>15</v>
      </c>
      <c r="D8783" t="s">
        <v>28</v>
      </c>
      <c r="E8783" t="s">
        <v>21</v>
      </c>
      <c r="F8783" t="s">
        <v>17</v>
      </c>
      <c r="G8783" s="1">
        <f>VALUE(3297.07)</f>
        <v>3297.07</v>
      </c>
      <c r="H8783" s="1">
        <f>VALUE(3111.18)</f>
        <v>3111.18</v>
      </c>
      <c r="I8783" s="1">
        <f>VALUE(6189)</f>
        <v>6189</v>
      </c>
      <c r="J8783" s="5">
        <f>VALUE(8083)</f>
        <v>8083</v>
      </c>
      <c r="K8783" s="1">
        <f>VALUE(10317)</f>
        <v>10317</v>
      </c>
      <c r="L8783" s="1">
        <f>VALUE(13970)</f>
        <v>13970</v>
      </c>
      <c r="M8783" s="1">
        <f>VALUE(19580)</f>
        <v>19580</v>
      </c>
      <c r="N8783" t="s">
        <v>25</v>
      </c>
    </row>
    <row r="8784" spans="1:14" x14ac:dyDescent="0.25">
      <c r="A8784" t="s">
        <v>43</v>
      </c>
      <c r="B8784" t="s">
        <v>39</v>
      </c>
      <c r="C8784" t="s">
        <v>15</v>
      </c>
      <c r="D8784" t="s">
        <v>28</v>
      </c>
      <c r="E8784" t="s">
        <v>21</v>
      </c>
      <c r="F8784" t="s">
        <v>18</v>
      </c>
      <c r="G8784" s="2">
        <f>VALUE(1035.76)</f>
        <v>1035.76</v>
      </c>
      <c r="H8784" s="3">
        <f>VALUE(1015.67)</f>
        <v>1015.67</v>
      </c>
      <c r="I8784" s="4">
        <f>VALUE(5271)</f>
        <v>5271</v>
      </c>
      <c r="J8784" s="1">
        <f>VALUE(7135)</f>
        <v>7135</v>
      </c>
      <c r="K8784" s="1">
        <f>VALUE(8364)</f>
        <v>8364</v>
      </c>
      <c r="L8784" s="1">
        <f>VALUE(10442)</f>
        <v>10442</v>
      </c>
      <c r="M8784" s="1">
        <f>VALUE(11746)</f>
        <v>11746</v>
      </c>
      <c r="N8784" t="s">
        <v>25</v>
      </c>
    </row>
    <row r="8785" spans="1:14" x14ac:dyDescent="0.25">
      <c r="A8785" t="s">
        <v>43</v>
      </c>
      <c r="B8785" t="s">
        <v>39</v>
      </c>
      <c r="C8785" t="s">
        <v>15</v>
      </c>
      <c r="D8785" t="s">
        <v>28</v>
      </c>
      <c r="E8785" t="s">
        <v>21</v>
      </c>
      <c r="F8785" t="s">
        <v>19</v>
      </c>
      <c r="G8785" s="2">
        <f>VALUE(867.3)</f>
        <v>867.3</v>
      </c>
      <c r="H8785" s="3">
        <f>VALUE(856.56)</f>
        <v>856.56</v>
      </c>
      <c r="I8785" s="1">
        <f>VALUE(5327)</f>
        <v>5327</v>
      </c>
      <c r="J8785" s="1">
        <f>VALUE(5904)</f>
        <v>5904</v>
      </c>
      <c r="K8785" s="1">
        <f>VALUE(7208)</f>
        <v>7208</v>
      </c>
      <c r="L8785" s="1">
        <f>VALUE(8254)</f>
        <v>8254</v>
      </c>
      <c r="M8785" s="8">
        <f>VALUE(9639)</f>
        <v>9639</v>
      </c>
      <c r="N8785" t="s">
        <v>25</v>
      </c>
    </row>
    <row r="8786" spans="1:14" x14ac:dyDescent="0.25">
      <c r="A8786" t="s">
        <v>43</v>
      </c>
      <c r="B8786" t="s">
        <v>39</v>
      </c>
      <c r="C8786" t="s">
        <v>15</v>
      </c>
      <c r="D8786" t="s">
        <v>28</v>
      </c>
      <c r="E8786" t="s">
        <v>21</v>
      </c>
      <c r="F8786" t="s">
        <v>20</v>
      </c>
      <c r="G8786" s="2">
        <f>VALUE(1763.36)</f>
        <v>1763.36</v>
      </c>
      <c r="H8786" s="3">
        <f>VALUE(1522.34)</f>
        <v>1522.34</v>
      </c>
      <c r="I8786" s="1">
        <f>VALUE(4385)</f>
        <v>4385</v>
      </c>
      <c r="J8786" s="1">
        <f>VALUE(5298)</f>
        <v>5298</v>
      </c>
      <c r="K8786" s="1">
        <f>VALUE(6246)</f>
        <v>6246</v>
      </c>
      <c r="L8786" s="1">
        <f>VALUE(7478)</f>
        <v>7478</v>
      </c>
      <c r="M8786" s="1">
        <f>VALUE(9108)</f>
        <v>9108</v>
      </c>
      <c r="N8786" t="s">
        <v>25</v>
      </c>
    </row>
    <row r="8787" spans="1:14" x14ac:dyDescent="0.25">
      <c r="A8787" t="s">
        <v>43</v>
      </c>
      <c r="B8787" t="s">
        <v>39</v>
      </c>
      <c r="C8787" t="s">
        <v>15</v>
      </c>
      <c r="D8787" t="s">
        <v>28</v>
      </c>
      <c r="E8787" t="s">
        <v>22</v>
      </c>
      <c r="F8787" t="s">
        <v>15</v>
      </c>
      <c r="G8787" s="1">
        <f>VALUE(13337.25)</f>
        <v>13337.25</v>
      </c>
      <c r="H8787" s="1">
        <f>VALUE(12925.98)</f>
        <v>12925.98</v>
      </c>
      <c r="I8787" s="1">
        <f>VALUE(4281)</f>
        <v>4281</v>
      </c>
      <c r="J8787" s="1">
        <f>VALUE(4915)</f>
        <v>4915</v>
      </c>
      <c r="K8787" s="1">
        <f>VALUE(5829)</f>
        <v>5829</v>
      </c>
      <c r="L8787" s="1">
        <f>VALUE(7082)</f>
        <v>7082</v>
      </c>
      <c r="M8787" s="1">
        <f>VALUE(9141)</f>
        <v>9141</v>
      </c>
      <c r="N8787" t="s">
        <v>16</v>
      </c>
    </row>
    <row r="8788" spans="1:14" x14ac:dyDescent="0.25">
      <c r="A8788" t="s">
        <v>43</v>
      </c>
      <c r="B8788" t="s">
        <v>39</v>
      </c>
      <c r="C8788" t="s">
        <v>15</v>
      </c>
      <c r="D8788" t="s">
        <v>28</v>
      </c>
      <c r="E8788" t="s">
        <v>22</v>
      </c>
      <c r="F8788" t="s">
        <v>17</v>
      </c>
      <c r="G8788" s="2">
        <f>VALUE(2671.61)</f>
        <v>2671.61</v>
      </c>
      <c r="H8788" s="3">
        <f>VALUE(2588.31)</f>
        <v>2588.31</v>
      </c>
      <c r="I8788" s="4">
        <f>VALUE(5238)</f>
        <v>5238</v>
      </c>
      <c r="J8788" s="1">
        <f>VALUE(6091)</f>
        <v>6091</v>
      </c>
      <c r="K8788" s="1">
        <f>VALUE(7611)</f>
        <v>7611</v>
      </c>
      <c r="L8788" s="7">
        <f>VALUE(9579)</f>
        <v>9579</v>
      </c>
      <c r="M8788" s="8">
        <f>VALUE(14825)</f>
        <v>14825</v>
      </c>
      <c r="N8788" t="s">
        <v>25</v>
      </c>
    </row>
    <row r="8789" spans="1:14" x14ac:dyDescent="0.25">
      <c r="A8789" t="s">
        <v>43</v>
      </c>
      <c r="B8789" t="s">
        <v>39</v>
      </c>
      <c r="C8789" t="s">
        <v>15</v>
      </c>
      <c r="D8789" t="s">
        <v>28</v>
      </c>
      <c r="E8789" t="s">
        <v>22</v>
      </c>
      <c r="F8789" t="s">
        <v>18</v>
      </c>
      <c r="G8789" s="2">
        <f>VALUE(1964.19)</f>
        <v>1964.19</v>
      </c>
      <c r="H8789" s="3">
        <f>VALUE(1961.33)</f>
        <v>1961.33</v>
      </c>
      <c r="I8789" s="1">
        <f>VALUE(4679)</f>
        <v>4679</v>
      </c>
      <c r="J8789" s="5">
        <f>VALUE(5446)</f>
        <v>5446</v>
      </c>
      <c r="K8789" s="1">
        <f>VALUE(6278)</f>
        <v>6278</v>
      </c>
      <c r="L8789" s="7">
        <f>VALUE(8167)</f>
        <v>8167</v>
      </c>
      <c r="M8789" s="1">
        <f>VALUE(10221)</f>
        <v>10221</v>
      </c>
      <c r="N8789" t="s">
        <v>25</v>
      </c>
    </row>
    <row r="8790" spans="1:14" x14ac:dyDescent="0.25">
      <c r="A8790" t="s">
        <v>43</v>
      </c>
      <c r="B8790" t="s">
        <v>39</v>
      </c>
      <c r="C8790" t="s">
        <v>15</v>
      </c>
      <c r="D8790" t="s">
        <v>28</v>
      </c>
      <c r="E8790" t="s">
        <v>22</v>
      </c>
      <c r="F8790" t="s">
        <v>19</v>
      </c>
      <c r="G8790" s="2">
        <f>VALUE(1857.11)</f>
        <v>1857.11</v>
      </c>
      <c r="H8790" s="3">
        <f>VALUE(1823.35)</f>
        <v>1823.35</v>
      </c>
      <c r="I8790" s="1">
        <f>VALUE(4379)</f>
        <v>4379</v>
      </c>
      <c r="J8790" s="1">
        <f>VALUE(5112)</f>
        <v>5112</v>
      </c>
      <c r="K8790" s="1">
        <f>VALUE(5815)</f>
        <v>5815</v>
      </c>
      <c r="L8790" s="1">
        <f>VALUE(6712)</f>
        <v>6712</v>
      </c>
      <c r="M8790" s="1">
        <f>VALUE(8000)</f>
        <v>8000</v>
      </c>
      <c r="N8790" t="s">
        <v>25</v>
      </c>
    </row>
    <row r="8791" spans="1:14" x14ac:dyDescent="0.25">
      <c r="A8791" t="s">
        <v>43</v>
      </c>
      <c r="B8791" t="s">
        <v>39</v>
      </c>
      <c r="C8791" t="s">
        <v>15</v>
      </c>
      <c r="D8791" t="s">
        <v>28</v>
      </c>
      <c r="E8791" t="s">
        <v>22</v>
      </c>
      <c r="F8791" t="s">
        <v>20</v>
      </c>
      <c r="G8791" s="1">
        <f>VALUE(6844.34)</f>
        <v>6844.34</v>
      </c>
      <c r="H8791" s="1">
        <f>VALUE(6552.99)</f>
        <v>6552.99</v>
      </c>
      <c r="I8791" s="1">
        <f>VALUE(3943)</f>
        <v>3943</v>
      </c>
      <c r="J8791" s="1">
        <f>VALUE(4606)</f>
        <v>4606</v>
      </c>
      <c r="K8791" s="1">
        <f>VALUE(5385)</f>
        <v>5385</v>
      </c>
      <c r="L8791" s="1">
        <f>VALUE(6171)</f>
        <v>6171</v>
      </c>
      <c r="M8791" s="1">
        <f>VALUE(7042)</f>
        <v>7042</v>
      </c>
      <c r="N8791" t="s">
        <v>16</v>
      </c>
    </row>
    <row r="8792" spans="1:14" x14ac:dyDescent="0.25">
      <c r="A8792" t="s">
        <v>43</v>
      </c>
      <c r="B8792" t="s">
        <v>39</v>
      </c>
      <c r="C8792" t="s">
        <v>15</v>
      </c>
      <c r="D8792" t="s">
        <v>28</v>
      </c>
      <c r="E8792" t="s">
        <v>23</v>
      </c>
      <c r="F8792" t="s">
        <v>15</v>
      </c>
      <c r="G8792" s="2">
        <f>VALUE(3025.37)</f>
        <v>3025.37</v>
      </c>
      <c r="H8792" s="3">
        <f>VALUE(2787.45)</f>
        <v>2787.45</v>
      </c>
      <c r="I8792" s="1">
        <f>VALUE(3556)</f>
        <v>3556</v>
      </c>
      <c r="J8792" s="1">
        <f>VALUE(3981)</f>
        <v>3981</v>
      </c>
      <c r="K8792" s="1">
        <f>VALUE(4861)</f>
        <v>4861</v>
      </c>
      <c r="L8792" s="1">
        <f>VALUE(5600)</f>
        <v>5600</v>
      </c>
      <c r="M8792" s="8">
        <f>VALUE(6583)</f>
        <v>6583</v>
      </c>
      <c r="N8792" t="s">
        <v>25</v>
      </c>
    </row>
    <row r="8793" spans="1:14" x14ac:dyDescent="0.25">
      <c r="A8793" t="s">
        <v>43</v>
      </c>
      <c r="B8793" t="s">
        <v>39</v>
      </c>
      <c r="C8793" t="s">
        <v>15</v>
      </c>
      <c r="D8793" t="s">
        <v>28</v>
      </c>
      <c r="E8793" t="s">
        <v>23</v>
      </c>
      <c r="F8793" t="s">
        <v>17</v>
      </c>
      <c r="G8793" s="1" t="str">
        <f t="shared" ref="G8793:M8794" si="1924">"X"</f>
        <v>X</v>
      </c>
      <c r="H8793" s="1" t="str">
        <f t="shared" si="1924"/>
        <v>X</v>
      </c>
      <c r="I8793" s="1" t="str">
        <f t="shared" si="1924"/>
        <v>X</v>
      </c>
      <c r="J8793" s="1" t="str">
        <f t="shared" si="1924"/>
        <v>X</v>
      </c>
      <c r="K8793" s="1" t="str">
        <f t="shared" si="1924"/>
        <v>X</v>
      </c>
      <c r="L8793" s="1" t="str">
        <f t="shared" si="1924"/>
        <v>X</v>
      </c>
      <c r="M8793" s="1" t="str">
        <f t="shared" si="1924"/>
        <v>X</v>
      </c>
      <c r="N8793" t="s">
        <v>27</v>
      </c>
    </row>
    <row r="8794" spans="1:14" x14ac:dyDescent="0.25">
      <c r="A8794" t="s">
        <v>43</v>
      </c>
      <c r="B8794" t="s">
        <v>39</v>
      </c>
      <c r="C8794" t="s">
        <v>15</v>
      </c>
      <c r="D8794" t="s">
        <v>28</v>
      </c>
      <c r="E8794" t="s">
        <v>23</v>
      </c>
      <c r="F8794" t="s">
        <v>18</v>
      </c>
      <c r="G8794" s="1" t="str">
        <f t="shared" si="1924"/>
        <v>X</v>
      </c>
      <c r="H8794" s="1" t="str">
        <f t="shared" si="1924"/>
        <v>X</v>
      </c>
      <c r="I8794" s="1" t="str">
        <f t="shared" si="1924"/>
        <v>X</v>
      </c>
      <c r="J8794" s="1" t="str">
        <f t="shared" si="1924"/>
        <v>X</v>
      </c>
      <c r="K8794" s="1" t="str">
        <f t="shared" si="1924"/>
        <v>X</v>
      </c>
      <c r="L8794" s="1" t="str">
        <f t="shared" si="1924"/>
        <v>X</v>
      </c>
      <c r="M8794" s="1" t="str">
        <f t="shared" si="1924"/>
        <v>X</v>
      </c>
      <c r="N8794" t="s">
        <v>27</v>
      </c>
    </row>
    <row r="8795" spans="1:14" x14ac:dyDescent="0.25">
      <c r="A8795" t="s">
        <v>43</v>
      </c>
      <c r="B8795" t="s">
        <v>39</v>
      </c>
      <c r="C8795" t="s">
        <v>15</v>
      </c>
      <c r="D8795" t="s">
        <v>28</v>
      </c>
      <c r="E8795" t="s">
        <v>23</v>
      </c>
      <c r="F8795" t="s">
        <v>19</v>
      </c>
      <c r="G8795" s="2">
        <f>VALUE(641.08)</f>
        <v>641.08000000000004</v>
      </c>
      <c r="H8795" s="3">
        <f>VALUE(618.19)</f>
        <v>618.19000000000005</v>
      </c>
      <c r="I8795" s="4">
        <f>VALUE(3714)</f>
        <v>3714</v>
      </c>
      <c r="J8795" s="5">
        <f>VALUE(3801)</f>
        <v>3801</v>
      </c>
      <c r="K8795" s="6">
        <f>VALUE(4128)</f>
        <v>4128</v>
      </c>
      <c r="L8795" s="7">
        <f>VALUE(5048)</f>
        <v>5048</v>
      </c>
      <c r="M8795" s="1">
        <f>VALUE(6409)</f>
        <v>6409</v>
      </c>
      <c r="N8795" t="s">
        <v>25</v>
      </c>
    </row>
    <row r="8796" spans="1:14" x14ac:dyDescent="0.25">
      <c r="A8796" t="s">
        <v>43</v>
      </c>
      <c r="B8796" t="s">
        <v>39</v>
      </c>
      <c r="C8796" t="s">
        <v>15</v>
      </c>
      <c r="D8796" t="s">
        <v>28</v>
      </c>
      <c r="E8796" t="s">
        <v>23</v>
      </c>
      <c r="F8796" t="s">
        <v>20</v>
      </c>
      <c r="G8796" s="2">
        <f>VALUE(1980.37)</f>
        <v>1980.37</v>
      </c>
      <c r="H8796" s="3">
        <f>VALUE(1759.85)</f>
        <v>1759.85</v>
      </c>
      <c r="I8796" s="4">
        <f>VALUE(3503)</f>
        <v>3503</v>
      </c>
      <c r="J8796" s="5">
        <f>VALUE(4048)</f>
        <v>4048</v>
      </c>
      <c r="K8796" s="1">
        <f>VALUE(4939)</f>
        <v>4939</v>
      </c>
      <c r="L8796" s="1">
        <f>VALUE(5463)</f>
        <v>5463</v>
      </c>
      <c r="M8796" s="1">
        <f>VALUE(6121)</f>
        <v>6121</v>
      </c>
      <c r="N8796" t="s">
        <v>25</v>
      </c>
    </row>
    <row r="8797" spans="1:14" x14ac:dyDescent="0.25">
      <c r="A8797" t="s">
        <v>43</v>
      </c>
      <c r="B8797" t="s">
        <v>39</v>
      </c>
      <c r="C8797" t="s">
        <v>15</v>
      </c>
      <c r="D8797" t="s">
        <v>28</v>
      </c>
      <c r="E8797" t="s">
        <v>26</v>
      </c>
      <c r="F8797" t="s">
        <v>15</v>
      </c>
      <c r="G8797" s="2">
        <f>VALUE(175.59)</f>
        <v>175.59</v>
      </c>
      <c r="H8797" s="3">
        <f>VALUE(177.07)</f>
        <v>177.07</v>
      </c>
      <c r="I8797" s="4">
        <f>VALUE(4293)</f>
        <v>4293</v>
      </c>
      <c r="J8797" s="5">
        <f>VALUE(5470)</f>
        <v>5470</v>
      </c>
      <c r="K8797" s="6">
        <f>VALUE(6358)</f>
        <v>6358</v>
      </c>
      <c r="L8797" s="7">
        <f>VALUE(8449)</f>
        <v>8449</v>
      </c>
      <c r="M8797" s="8">
        <f>VALUE(15000)</f>
        <v>15000</v>
      </c>
      <c r="N8797" t="s">
        <v>24</v>
      </c>
    </row>
    <row r="8798" spans="1:14" x14ac:dyDescent="0.25">
      <c r="A8798" t="s">
        <v>43</v>
      </c>
      <c r="B8798" t="s">
        <v>39</v>
      </c>
      <c r="C8798" t="s">
        <v>15</v>
      </c>
      <c r="D8798" t="s">
        <v>28</v>
      </c>
      <c r="E8798" t="s">
        <v>26</v>
      </c>
      <c r="F8798" t="s">
        <v>17</v>
      </c>
      <c r="G8798" s="1" t="str">
        <f t="shared" ref="G8798:M8801" si="1925">"X"</f>
        <v>X</v>
      </c>
      <c r="H8798" s="1" t="str">
        <f t="shared" si="1925"/>
        <v>X</v>
      </c>
      <c r="I8798" s="1" t="str">
        <f t="shared" si="1925"/>
        <v>X</v>
      </c>
      <c r="J8798" s="1" t="str">
        <f t="shared" si="1925"/>
        <v>X</v>
      </c>
      <c r="K8798" s="1" t="str">
        <f t="shared" si="1925"/>
        <v>X</v>
      </c>
      <c r="L8798" s="1" t="str">
        <f t="shared" si="1925"/>
        <v>X</v>
      </c>
      <c r="M8798" s="1" t="str">
        <f t="shared" si="1925"/>
        <v>X</v>
      </c>
      <c r="N8798" t="s">
        <v>27</v>
      </c>
    </row>
    <row r="8799" spans="1:14" x14ac:dyDescent="0.25">
      <c r="A8799" t="s">
        <v>43</v>
      </c>
      <c r="B8799" t="s">
        <v>39</v>
      </c>
      <c r="C8799" t="s">
        <v>15</v>
      </c>
      <c r="D8799" t="s">
        <v>28</v>
      </c>
      <c r="E8799" t="s">
        <v>26</v>
      </c>
      <c r="F8799" t="s">
        <v>18</v>
      </c>
      <c r="G8799" s="1" t="str">
        <f t="shared" si="1925"/>
        <v>X</v>
      </c>
      <c r="H8799" s="1" t="str">
        <f t="shared" si="1925"/>
        <v>X</v>
      </c>
      <c r="I8799" s="1" t="str">
        <f t="shared" si="1925"/>
        <v>X</v>
      </c>
      <c r="J8799" s="1" t="str">
        <f t="shared" si="1925"/>
        <v>X</v>
      </c>
      <c r="K8799" s="1" t="str">
        <f t="shared" si="1925"/>
        <v>X</v>
      </c>
      <c r="L8799" s="1" t="str">
        <f t="shared" si="1925"/>
        <v>X</v>
      </c>
      <c r="M8799" s="1" t="str">
        <f t="shared" si="1925"/>
        <v>X</v>
      </c>
      <c r="N8799" t="s">
        <v>27</v>
      </c>
    </row>
    <row r="8800" spans="1:14" x14ac:dyDescent="0.25">
      <c r="A8800" t="s">
        <v>43</v>
      </c>
      <c r="B8800" t="s">
        <v>39</v>
      </c>
      <c r="C8800" t="s">
        <v>15</v>
      </c>
      <c r="D8800" t="s">
        <v>28</v>
      </c>
      <c r="E8800" t="s">
        <v>26</v>
      </c>
      <c r="F8800" t="s">
        <v>19</v>
      </c>
      <c r="G8800" s="1" t="str">
        <f t="shared" si="1925"/>
        <v>X</v>
      </c>
      <c r="H8800" s="1" t="str">
        <f t="shared" si="1925"/>
        <v>X</v>
      </c>
      <c r="I8800" s="1" t="str">
        <f t="shared" si="1925"/>
        <v>X</v>
      </c>
      <c r="J8800" s="1" t="str">
        <f t="shared" si="1925"/>
        <v>X</v>
      </c>
      <c r="K8800" s="1" t="str">
        <f t="shared" si="1925"/>
        <v>X</v>
      </c>
      <c r="L8800" s="1" t="str">
        <f t="shared" si="1925"/>
        <v>X</v>
      </c>
      <c r="M8800" s="1" t="str">
        <f t="shared" si="1925"/>
        <v>X</v>
      </c>
      <c r="N8800" t="s">
        <v>27</v>
      </c>
    </row>
    <row r="8801" spans="1:14" x14ac:dyDescent="0.25">
      <c r="A8801" t="s">
        <v>43</v>
      </c>
      <c r="B8801" t="s">
        <v>39</v>
      </c>
      <c r="C8801" t="s">
        <v>15</v>
      </c>
      <c r="D8801" t="s">
        <v>28</v>
      </c>
      <c r="E8801" t="s">
        <v>26</v>
      </c>
      <c r="F8801" t="s">
        <v>20</v>
      </c>
      <c r="G8801" s="1" t="str">
        <f t="shared" si="1925"/>
        <v>X</v>
      </c>
      <c r="H8801" s="1" t="str">
        <f t="shared" si="1925"/>
        <v>X</v>
      </c>
      <c r="I8801" s="1" t="str">
        <f t="shared" si="1925"/>
        <v>X</v>
      </c>
      <c r="J8801" s="1" t="str">
        <f t="shared" si="1925"/>
        <v>X</v>
      </c>
      <c r="K8801" s="1" t="str">
        <f t="shared" si="1925"/>
        <v>X</v>
      </c>
      <c r="L8801" s="1" t="str">
        <f t="shared" si="1925"/>
        <v>X</v>
      </c>
      <c r="M8801" s="1" t="str">
        <f t="shared" si="1925"/>
        <v>X</v>
      </c>
      <c r="N8801" t="s">
        <v>27</v>
      </c>
    </row>
    <row r="8802" spans="1:14" x14ac:dyDescent="0.25">
      <c r="A8802" t="s">
        <v>43</v>
      </c>
      <c r="B8802" t="s">
        <v>39</v>
      </c>
      <c r="C8802" t="s">
        <v>15</v>
      </c>
      <c r="D8802" t="s">
        <v>29</v>
      </c>
      <c r="E8802" t="s">
        <v>15</v>
      </c>
      <c r="F8802" t="s">
        <v>15</v>
      </c>
      <c r="G8802" s="1">
        <f>VALUE(10365.8)</f>
        <v>10365.799999999999</v>
      </c>
      <c r="H8802" s="1">
        <f>VALUE(10307.75)</f>
        <v>10307.75</v>
      </c>
      <c r="I8802" s="1">
        <f>VALUE(3895)</f>
        <v>3895</v>
      </c>
      <c r="J8802" s="1">
        <f>VALUE(4723)</f>
        <v>4723</v>
      </c>
      <c r="K8802" s="1">
        <f>VALUE(5492)</f>
        <v>5492</v>
      </c>
      <c r="L8802" s="1">
        <f>VALUE(6557)</f>
        <v>6557</v>
      </c>
      <c r="M8802" s="1">
        <f>VALUE(8746)</f>
        <v>8746</v>
      </c>
      <c r="N8802" t="s">
        <v>16</v>
      </c>
    </row>
    <row r="8803" spans="1:14" x14ac:dyDescent="0.25">
      <c r="A8803" t="s">
        <v>43</v>
      </c>
      <c r="B8803" t="s">
        <v>39</v>
      </c>
      <c r="C8803" t="s">
        <v>15</v>
      </c>
      <c r="D8803" t="s">
        <v>29</v>
      </c>
      <c r="E8803" t="s">
        <v>15</v>
      </c>
      <c r="F8803" t="s">
        <v>17</v>
      </c>
      <c r="G8803" s="2">
        <f>VALUE(1314.89)</f>
        <v>1314.89</v>
      </c>
      <c r="H8803" s="3">
        <f>VALUE(1319.75)</f>
        <v>1319.75</v>
      </c>
      <c r="I8803" s="4">
        <f>VALUE(5184)</f>
        <v>5184</v>
      </c>
      <c r="J8803" s="5">
        <f>VALUE(6190)</f>
        <v>6190</v>
      </c>
      <c r="K8803" s="6">
        <f>VALUE(8558)</f>
        <v>8558</v>
      </c>
      <c r="L8803" s="7">
        <f>VALUE(12050)</f>
        <v>12050</v>
      </c>
      <c r="M8803" s="8">
        <f>VALUE(18020)</f>
        <v>18020</v>
      </c>
      <c r="N8803" t="s">
        <v>24</v>
      </c>
    </row>
    <row r="8804" spans="1:14" x14ac:dyDescent="0.25">
      <c r="A8804" t="s">
        <v>43</v>
      </c>
      <c r="B8804" t="s">
        <v>39</v>
      </c>
      <c r="C8804" t="s">
        <v>15</v>
      </c>
      <c r="D8804" t="s">
        <v>29</v>
      </c>
      <c r="E8804" t="s">
        <v>15</v>
      </c>
      <c r="F8804" t="s">
        <v>18</v>
      </c>
      <c r="G8804" s="2">
        <f>VALUE(944.5)</f>
        <v>944.5</v>
      </c>
      <c r="H8804" s="3">
        <f>VALUE(934.09)</f>
        <v>934.09</v>
      </c>
      <c r="I8804" s="1">
        <f>VALUE(4875)</f>
        <v>4875</v>
      </c>
      <c r="J8804" s="1">
        <f>VALUE(5484)</f>
        <v>5484</v>
      </c>
      <c r="K8804" s="1">
        <f>VALUE(6502)</f>
        <v>6502</v>
      </c>
      <c r="L8804" s="1">
        <f>VALUE(8259)</f>
        <v>8259</v>
      </c>
      <c r="M8804" s="8">
        <f>VALUE(11585)</f>
        <v>11585</v>
      </c>
      <c r="N8804" t="s">
        <v>25</v>
      </c>
    </row>
    <row r="8805" spans="1:14" x14ac:dyDescent="0.25">
      <c r="A8805" t="s">
        <v>43</v>
      </c>
      <c r="B8805" t="s">
        <v>39</v>
      </c>
      <c r="C8805" t="s">
        <v>15</v>
      </c>
      <c r="D8805" t="s">
        <v>29</v>
      </c>
      <c r="E8805" t="s">
        <v>15</v>
      </c>
      <c r="F8805" t="s">
        <v>19</v>
      </c>
      <c r="G8805" s="2">
        <f>VALUE(1478.64)</f>
        <v>1478.64</v>
      </c>
      <c r="H8805" s="3">
        <f>VALUE(1511.81)</f>
        <v>1511.81</v>
      </c>
      <c r="I8805" s="4">
        <f>VALUE(3895)</f>
        <v>3895</v>
      </c>
      <c r="J8805" s="5">
        <f>VALUE(4604)</f>
        <v>4604</v>
      </c>
      <c r="K8805" s="6">
        <f>VALUE(5746)</f>
        <v>5746</v>
      </c>
      <c r="L8805" s="7">
        <f>VALUE(6751)</f>
        <v>6751</v>
      </c>
      <c r="M8805" s="1">
        <f>VALUE(8222)</f>
        <v>8222</v>
      </c>
      <c r="N8805" t="s">
        <v>25</v>
      </c>
    </row>
    <row r="8806" spans="1:14" x14ac:dyDescent="0.25">
      <c r="A8806" t="s">
        <v>43</v>
      </c>
      <c r="B8806" t="s">
        <v>39</v>
      </c>
      <c r="C8806" t="s">
        <v>15</v>
      </c>
      <c r="D8806" t="s">
        <v>29</v>
      </c>
      <c r="E8806" t="s">
        <v>15</v>
      </c>
      <c r="F8806" t="s">
        <v>20</v>
      </c>
      <c r="G8806" s="1">
        <f>VALUE(6627.77)</f>
        <v>6627.77</v>
      </c>
      <c r="H8806" s="3">
        <f>VALUE(6542.1)</f>
        <v>6542.1</v>
      </c>
      <c r="I8806" s="1">
        <f>VALUE(3700)</f>
        <v>3700</v>
      </c>
      <c r="J8806" s="1">
        <f>VALUE(4452)</f>
        <v>4452</v>
      </c>
      <c r="K8806" s="1">
        <f>VALUE(5285)</f>
        <v>5285</v>
      </c>
      <c r="L8806" s="1">
        <f>VALUE(5982)</f>
        <v>5982</v>
      </c>
      <c r="M8806" s="1">
        <f>VALUE(6727)</f>
        <v>6727</v>
      </c>
      <c r="N8806" t="s">
        <v>25</v>
      </c>
    </row>
    <row r="8807" spans="1:14" x14ac:dyDescent="0.25">
      <c r="A8807" t="s">
        <v>43</v>
      </c>
      <c r="B8807" t="s">
        <v>39</v>
      </c>
      <c r="C8807" t="s">
        <v>15</v>
      </c>
      <c r="D8807" t="s">
        <v>29</v>
      </c>
      <c r="E8807" t="s">
        <v>21</v>
      </c>
      <c r="F8807" t="s">
        <v>15</v>
      </c>
      <c r="G8807" s="2">
        <f>VALUE(1608.44)</f>
        <v>1608.44</v>
      </c>
      <c r="H8807" s="3">
        <f>VALUE(1549.87)</f>
        <v>1549.87</v>
      </c>
      <c r="I8807" s="4">
        <f>VALUE(5360)</f>
        <v>5360</v>
      </c>
      <c r="J8807" s="1">
        <f>VALUE(6465)</f>
        <v>6465</v>
      </c>
      <c r="K8807" s="1">
        <f>VALUE(8259)</f>
        <v>8259</v>
      </c>
      <c r="L8807" s="1">
        <f>VALUE(11777)</f>
        <v>11777</v>
      </c>
      <c r="M8807" s="1">
        <f>VALUE(16702)</f>
        <v>16702</v>
      </c>
      <c r="N8807" t="s">
        <v>25</v>
      </c>
    </row>
    <row r="8808" spans="1:14" x14ac:dyDescent="0.25">
      <c r="A8808" t="s">
        <v>43</v>
      </c>
      <c r="B8808" t="s">
        <v>39</v>
      </c>
      <c r="C8808" t="s">
        <v>15</v>
      </c>
      <c r="D8808" t="s">
        <v>29</v>
      </c>
      <c r="E8808" t="s">
        <v>21</v>
      </c>
      <c r="F8808" t="s">
        <v>17</v>
      </c>
      <c r="G8808" s="2">
        <f>VALUE(574.13)</f>
        <v>574.13</v>
      </c>
      <c r="H8808" s="3">
        <f>VALUE(568.3)</f>
        <v>568.29999999999995</v>
      </c>
      <c r="I8808" s="4">
        <f>VALUE(7153)</f>
        <v>7153</v>
      </c>
      <c r="J8808" s="5">
        <f>VALUE(8871)</f>
        <v>8871</v>
      </c>
      <c r="K8808" s="6">
        <f>VALUE(11738)</f>
        <v>11738</v>
      </c>
      <c r="L8808" s="7">
        <f>VALUE(16102)</f>
        <v>16102</v>
      </c>
      <c r="M8808" s="8">
        <f>VALUE(20833)</f>
        <v>20833</v>
      </c>
      <c r="N8808" t="s">
        <v>24</v>
      </c>
    </row>
    <row r="8809" spans="1:14" x14ac:dyDescent="0.25">
      <c r="A8809" t="s">
        <v>43</v>
      </c>
      <c r="B8809" t="s">
        <v>39</v>
      </c>
      <c r="C8809" t="s">
        <v>15</v>
      </c>
      <c r="D8809" t="s">
        <v>29</v>
      </c>
      <c r="E8809" t="s">
        <v>21</v>
      </c>
      <c r="F8809" t="s">
        <v>18</v>
      </c>
      <c r="G8809" s="2">
        <f>VALUE(296.9)</f>
        <v>296.89999999999998</v>
      </c>
      <c r="H8809" s="3">
        <f>VALUE(289.39)</f>
        <v>289.39</v>
      </c>
      <c r="I8809" s="1">
        <f>VALUE(6508)</f>
        <v>6508</v>
      </c>
      <c r="J8809" s="5">
        <f>VALUE(7542)</f>
        <v>7542</v>
      </c>
      <c r="K8809" s="1">
        <f>VALUE(8259)</f>
        <v>8259</v>
      </c>
      <c r="L8809" s="7">
        <f>VALUE(11367)</f>
        <v>11367</v>
      </c>
      <c r="M8809" s="8">
        <f>VALUE(14119)</f>
        <v>14119</v>
      </c>
      <c r="N8809" t="s">
        <v>25</v>
      </c>
    </row>
    <row r="8810" spans="1:14" x14ac:dyDescent="0.25">
      <c r="A8810" t="s">
        <v>43</v>
      </c>
      <c r="B8810" t="s">
        <v>39</v>
      </c>
      <c r="C8810" t="s">
        <v>15</v>
      </c>
      <c r="D8810" t="s">
        <v>29</v>
      </c>
      <c r="E8810" t="s">
        <v>21</v>
      </c>
      <c r="F8810" t="s">
        <v>19</v>
      </c>
      <c r="G8810" s="2">
        <f>VALUE(273.39)</f>
        <v>273.39</v>
      </c>
      <c r="H8810" s="3">
        <f>VALUE(276.26)</f>
        <v>276.26</v>
      </c>
      <c r="I8810" s="4">
        <f>VALUE(4287)</f>
        <v>4287</v>
      </c>
      <c r="J8810" s="5">
        <f>VALUE(5746)</f>
        <v>5746</v>
      </c>
      <c r="K8810" s="1">
        <f>VALUE(6826)</f>
        <v>6826</v>
      </c>
      <c r="L8810" s="7">
        <f>VALUE(8519)</f>
        <v>8519</v>
      </c>
      <c r="M8810" s="8">
        <f>VALUE(10217)</f>
        <v>10217</v>
      </c>
      <c r="N8810" t="s">
        <v>25</v>
      </c>
    </row>
    <row r="8811" spans="1:14" x14ac:dyDescent="0.25">
      <c r="A8811" t="s">
        <v>43</v>
      </c>
      <c r="B8811" t="s">
        <v>39</v>
      </c>
      <c r="C8811" t="s">
        <v>15</v>
      </c>
      <c r="D8811" t="s">
        <v>29</v>
      </c>
      <c r="E8811" t="s">
        <v>21</v>
      </c>
      <c r="F8811" t="s">
        <v>20</v>
      </c>
      <c r="G8811" s="2">
        <f>VALUE(464.02)</f>
        <v>464.02</v>
      </c>
      <c r="H8811" s="3">
        <f>VALUE(415.92)</f>
        <v>415.92</v>
      </c>
      <c r="I8811" s="1">
        <f>VALUE(4980)</f>
        <v>4980</v>
      </c>
      <c r="J8811" s="5">
        <f>VALUE(5617)</f>
        <v>5617</v>
      </c>
      <c r="K8811" s="1">
        <f>VALUE(6465)</f>
        <v>6465</v>
      </c>
      <c r="L8811" s="7">
        <f>VALUE(8176)</f>
        <v>8176</v>
      </c>
      <c r="M8811" s="8">
        <f>VALUE(9232)</f>
        <v>9232</v>
      </c>
      <c r="N8811" t="s">
        <v>25</v>
      </c>
    </row>
    <row r="8812" spans="1:14" x14ac:dyDescent="0.25">
      <c r="A8812" t="s">
        <v>43</v>
      </c>
      <c r="B8812" t="s">
        <v>39</v>
      </c>
      <c r="C8812" t="s">
        <v>15</v>
      </c>
      <c r="D8812" t="s">
        <v>29</v>
      </c>
      <c r="E8812" t="s">
        <v>22</v>
      </c>
      <c r="F8812" t="s">
        <v>15</v>
      </c>
      <c r="G8812" s="2">
        <f>VALUE(4423.49)</f>
        <v>4423.49</v>
      </c>
      <c r="H8812" s="3">
        <f>VALUE(4440)</f>
        <v>4440</v>
      </c>
      <c r="I8812" s="1">
        <f>VALUE(4238)</f>
        <v>4238</v>
      </c>
      <c r="J8812" s="1">
        <f>VALUE(4953)</f>
        <v>4953</v>
      </c>
      <c r="K8812" s="1">
        <f>VALUE(5647)</f>
        <v>5647</v>
      </c>
      <c r="L8812" s="1">
        <f>VALUE(6544)</f>
        <v>6544</v>
      </c>
      <c r="M8812" s="1">
        <f>VALUE(8015)</f>
        <v>8015</v>
      </c>
      <c r="N8812" t="s">
        <v>25</v>
      </c>
    </row>
    <row r="8813" spans="1:14" x14ac:dyDescent="0.25">
      <c r="A8813" t="s">
        <v>43</v>
      </c>
      <c r="B8813" t="s">
        <v>39</v>
      </c>
      <c r="C8813" t="s">
        <v>15</v>
      </c>
      <c r="D8813" t="s">
        <v>29</v>
      </c>
      <c r="E8813" t="s">
        <v>22</v>
      </c>
      <c r="F8813" t="s">
        <v>17</v>
      </c>
      <c r="G8813" s="2">
        <f>VALUE(644.82)</f>
        <v>644.82000000000005</v>
      </c>
      <c r="H8813" s="3">
        <f>VALUE(651.22)</f>
        <v>651.22</v>
      </c>
      <c r="I8813" s="4">
        <f>VALUE(5150)</f>
        <v>5150</v>
      </c>
      <c r="J8813" s="5">
        <f>VALUE(5760)</f>
        <v>5760</v>
      </c>
      <c r="K8813" s="6">
        <f>VALUE(6190)</f>
        <v>6190</v>
      </c>
      <c r="L8813" s="7">
        <f>VALUE(8705)</f>
        <v>8705</v>
      </c>
      <c r="M8813" s="8">
        <f>VALUE(10877)</f>
        <v>10877</v>
      </c>
      <c r="N8813" t="s">
        <v>24</v>
      </c>
    </row>
    <row r="8814" spans="1:14" x14ac:dyDescent="0.25">
      <c r="A8814" t="s">
        <v>43</v>
      </c>
      <c r="B8814" t="s">
        <v>39</v>
      </c>
      <c r="C8814" t="s">
        <v>15</v>
      </c>
      <c r="D8814" t="s">
        <v>29</v>
      </c>
      <c r="E8814" t="s">
        <v>22</v>
      </c>
      <c r="F8814" t="s">
        <v>18</v>
      </c>
      <c r="G8814" s="2">
        <f>VALUE(349.93)</f>
        <v>349.93</v>
      </c>
      <c r="H8814" s="3">
        <f>VALUE(360.95)</f>
        <v>360.95</v>
      </c>
      <c r="I8814" s="4">
        <f>VALUE(4894)</f>
        <v>4894</v>
      </c>
      <c r="J8814" s="5">
        <f>VALUE(5233)</f>
        <v>5233</v>
      </c>
      <c r="K8814" s="1">
        <f>VALUE(6502)</f>
        <v>6502</v>
      </c>
      <c r="L8814" s="1">
        <f>VALUE(7409)</f>
        <v>7409</v>
      </c>
      <c r="M8814" s="1">
        <f>VALUE(9207)</f>
        <v>9207</v>
      </c>
      <c r="N8814" t="s">
        <v>25</v>
      </c>
    </row>
    <row r="8815" spans="1:14" x14ac:dyDescent="0.25">
      <c r="A8815" t="s">
        <v>43</v>
      </c>
      <c r="B8815" t="s">
        <v>39</v>
      </c>
      <c r="C8815" t="s">
        <v>15</v>
      </c>
      <c r="D8815" t="s">
        <v>29</v>
      </c>
      <c r="E8815" t="s">
        <v>22</v>
      </c>
      <c r="F8815" t="s">
        <v>19</v>
      </c>
      <c r="G8815" s="2">
        <f>VALUE(709.08)</f>
        <v>709.08</v>
      </c>
      <c r="H8815" s="3">
        <f>VALUE(718.49)</f>
        <v>718.49</v>
      </c>
      <c r="I8815" s="1">
        <f>VALUE(4440)</f>
        <v>4440</v>
      </c>
      <c r="J8815" s="1">
        <f>VALUE(5074)</f>
        <v>5074</v>
      </c>
      <c r="K8815" s="1">
        <f>VALUE(5807)</f>
        <v>5807</v>
      </c>
      <c r="L8815" s="1">
        <f>VALUE(6557)</f>
        <v>6557</v>
      </c>
      <c r="M8815" s="1">
        <f>VALUE(8168)</f>
        <v>8168</v>
      </c>
      <c r="N8815" t="s">
        <v>25</v>
      </c>
    </row>
    <row r="8816" spans="1:14" x14ac:dyDescent="0.25">
      <c r="A8816" t="s">
        <v>43</v>
      </c>
      <c r="B8816" t="s">
        <v>39</v>
      </c>
      <c r="C8816" t="s">
        <v>15</v>
      </c>
      <c r="D8816" t="s">
        <v>29</v>
      </c>
      <c r="E8816" t="s">
        <v>22</v>
      </c>
      <c r="F8816" t="s">
        <v>20</v>
      </c>
      <c r="G8816" s="2">
        <f>VALUE(2719.66)</f>
        <v>2719.66</v>
      </c>
      <c r="H8816" s="3">
        <f>VALUE(2709.34)</f>
        <v>2709.34</v>
      </c>
      <c r="I8816" s="4">
        <f>VALUE(4026)</f>
        <v>4026</v>
      </c>
      <c r="J8816" s="1">
        <f>VALUE(4875)</f>
        <v>4875</v>
      </c>
      <c r="K8816" s="1">
        <f>VALUE(5417)</f>
        <v>5417</v>
      </c>
      <c r="L8816" s="1">
        <f>VALUE(6004)</f>
        <v>6004</v>
      </c>
      <c r="M8816" s="1">
        <f>VALUE(6750)</f>
        <v>6750</v>
      </c>
      <c r="N8816" t="s">
        <v>25</v>
      </c>
    </row>
    <row r="8817" spans="1:14" x14ac:dyDescent="0.25">
      <c r="A8817" t="s">
        <v>43</v>
      </c>
      <c r="B8817" t="s">
        <v>39</v>
      </c>
      <c r="C8817" t="s">
        <v>15</v>
      </c>
      <c r="D8817" t="s">
        <v>29</v>
      </c>
      <c r="E8817" t="s">
        <v>23</v>
      </c>
      <c r="F8817" t="s">
        <v>15</v>
      </c>
      <c r="G8817" s="2">
        <f>VALUE(4243.15)</f>
        <v>4243.1499999999996</v>
      </c>
      <c r="H8817" s="3">
        <f>VALUE(4227.13)</f>
        <v>4227.13</v>
      </c>
      <c r="I8817" s="1">
        <f>VALUE(3670)</f>
        <v>3670</v>
      </c>
      <c r="J8817" s="1">
        <f>VALUE(4150)</f>
        <v>4150</v>
      </c>
      <c r="K8817" s="1">
        <f>VALUE(5049)</f>
        <v>5049</v>
      </c>
      <c r="L8817" s="1">
        <f>VALUE(5621)</f>
        <v>5621</v>
      </c>
      <c r="M8817" s="1">
        <f>VALUE(6495)</f>
        <v>6495</v>
      </c>
      <c r="N8817" t="s">
        <v>25</v>
      </c>
    </row>
    <row r="8818" spans="1:14" x14ac:dyDescent="0.25">
      <c r="A8818" t="s">
        <v>43</v>
      </c>
      <c r="B8818" t="s">
        <v>39</v>
      </c>
      <c r="C8818" t="s">
        <v>15</v>
      </c>
      <c r="D8818" t="s">
        <v>29</v>
      </c>
      <c r="E8818" t="s">
        <v>23</v>
      </c>
      <c r="F8818" t="s">
        <v>17</v>
      </c>
      <c r="G8818" s="1" t="str">
        <f t="shared" ref="G8818:M8819" si="1926">"X"</f>
        <v>X</v>
      </c>
      <c r="H8818" s="1" t="str">
        <f t="shared" si="1926"/>
        <v>X</v>
      </c>
      <c r="I8818" s="1" t="str">
        <f t="shared" si="1926"/>
        <v>X</v>
      </c>
      <c r="J8818" s="1" t="str">
        <f t="shared" si="1926"/>
        <v>X</v>
      </c>
      <c r="K8818" s="1" t="str">
        <f t="shared" si="1926"/>
        <v>X</v>
      </c>
      <c r="L8818" s="1" t="str">
        <f t="shared" si="1926"/>
        <v>X</v>
      </c>
      <c r="M8818" s="1" t="str">
        <f t="shared" si="1926"/>
        <v>X</v>
      </c>
      <c r="N8818" t="s">
        <v>27</v>
      </c>
    </row>
    <row r="8819" spans="1:14" x14ac:dyDescent="0.25">
      <c r="A8819" t="s">
        <v>43</v>
      </c>
      <c r="B8819" t="s">
        <v>39</v>
      </c>
      <c r="C8819" t="s">
        <v>15</v>
      </c>
      <c r="D8819" t="s">
        <v>29</v>
      </c>
      <c r="E8819" t="s">
        <v>23</v>
      </c>
      <c r="F8819" t="s">
        <v>18</v>
      </c>
      <c r="G8819" s="1" t="str">
        <f t="shared" si="1926"/>
        <v>X</v>
      </c>
      <c r="H8819" s="1" t="str">
        <f t="shared" si="1926"/>
        <v>X</v>
      </c>
      <c r="I8819" s="1" t="str">
        <f t="shared" si="1926"/>
        <v>X</v>
      </c>
      <c r="J8819" s="1" t="str">
        <f t="shared" si="1926"/>
        <v>X</v>
      </c>
      <c r="K8819" s="1" t="str">
        <f t="shared" si="1926"/>
        <v>X</v>
      </c>
      <c r="L8819" s="1" t="str">
        <f t="shared" si="1926"/>
        <v>X</v>
      </c>
      <c r="M8819" s="1" t="str">
        <f t="shared" si="1926"/>
        <v>X</v>
      </c>
      <c r="N8819" t="s">
        <v>27</v>
      </c>
    </row>
    <row r="8820" spans="1:14" x14ac:dyDescent="0.25">
      <c r="A8820" t="s">
        <v>43</v>
      </c>
      <c r="B8820" t="s">
        <v>39</v>
      </c>
      <c r="C8820" t="s">
        <v>15</v>
      </c>
      <c r="D8820" t="s">
        <v>29</v>
      </c>
      <c r="E8820" t="s">
        <v>23</v>
      </c>
      <c r="F8820" t="s">
        <v>19</v>
      </c>
      <c r="G8820" s="2">
        <f>VALUE(478.84)</f>
        <v>478.84</v>
      </c>
      <c r="H8820" s="3">
        <f>VALUE(498.86)</f>
        <v>498.86</v>
      </c>
      <c r="I8820" s="1">
        <f>VALUE(3895)</f>
        <v>3895</v>
      </c>
      <c r="J8820" s="1">
        <f>VALUE(3895)</f>
        <v>3895</v>
      </c>
      <c r="K8820" s="1">
        <f>VALUE(4854)</f>
        <v>4854</v>
      </c>
      <c r="L8820" s="7">
        <f>VALUE(5913)</f>
        <v>5913</v>
      </c>
      <c r="M8820" s="8">
        <f>VALUE(6886)</f>
        <v>6886</v>
      </c>
      <c r="N8820" t="s">
        <v>25</v>
      </c>
    </row>
    <row r="8821" spans="1:14" x14ac:dyDescent="0.25">
      <c r="A8821" t="s">
        <v>43</v>
      </c>
      <c r="B8821" t="s">
        <v>39</v>
      </c>
      <c r="C8821" t="s">
        <v>15</v>
      </c>
      <c r="D8821" t="s">
        <v>29</v>
      </c>
      <c r="E8821" t="s">
        <v>23</v>
      </c>
      <c r="F8821" t="s">
        <v>20</v>
      </c>
      <c r="G8821" s="2">
        <f>VALUE(3389.94)</f>
        <v>3389.94</v>
      </c>
      <c r="H8821" s="3">
        <f>VALUE(3363.63)</f>
        <v>3363.63</v>
      </c>
      <c r="I8821" s="1">
        <f>VALUE(3590)</f>
        <v>3590</v>
      </c>
      <c r="J8821" s="5">
        <f>VALUE(4149)</f>
        <v>4149</v>
      </c>
      <c r="K8821" s="1">
        <f>VALUE(5026)</f>
        <v>5026</v>
      </c>
      <c r="L8821" s="1">
        <f>VALUE(5581)</f>
        <v>5581</v>
      </c>
      <c r="M8821" s="1">
        <f>VALUE(6390)</f>
        <v>6390</v>
      </c>
      <c r="N8821" t="s">
        <v>25</v>
      </c>
    </row>
    <row r="8822" spans="1:14" x14ac:dyDescent="0.25">
      <c r="A8822" t="s">
        <v>43</v>
      </c>
      <c r="B8822" t="s">
        <v>39</v>
      </c>
      <c r="C8822" t="s">
        <v>15</v>
      </c>
      <c r="D8822" t="s">
        <v>29</v>
      </c>
      <c r="E8822" t="s">
        <v>26</v>
      </c>
      <c r="F8822" t="s">
        <v>15</v>
      </c>
      <c r="G8822" s="1" t="str">
        <f t="shared" ref="G8822:M8826" si="1927">"X"</f>
        <v>X</v>
      </c>
      <c r="H8822" s="1" t="str">
        <f t="shared" si="1927"/>
        <v>X</v>
      </c>
      <c r="I8822" s="1" t="str">
        <f t="shared" si="1927"/>
        <v>X</v>
      </c>
      <c r="J8822" s="1" t="str">
        <f t="shared" si="1927"/>
        <v>X</v>
      </c>
      <c r="K8822" s="1" t="str">
        <f t="shared" si="1927"/>
        <v>X</v>
      </c>
      <c r="L8822" s="1" t="str">
        <f t="shared" si="1927"/>
        <v>X</v>
      </c>
      <c r="M8822" s="1" t="str">
        <f t="shared" si="1927"/>
        <v>X</v>
      </c>
      <c r="N8822" t="s">
        <v>27</v>
      </c>
    </row>
    <row r="8823" spans="1:14" x14ac:dyDescent="0.25">
      <c r="A8823" t="s">
        <v>43</v>
      </c>
      <c r="B8823" t="s">
        <v>39</v>
      </c>
      <c r="C8823" t="s">
        <v>15</v>
      </c>
      <c r="D8823" t="s">
        <v>29</v>
      </c>
      <c r="E8823" t="s">
        <v>26</v>
      </c>
      <c r="F8823" t="s">
        <v>17</v>
      </c>
      <c r="G8823" s="1" t="str">
        <f t="shared" si="1927"/>
        <v>X</v>
      </c>
      <c r="H8823" s="1" t="str">
        <f t="shared" si="1927"/>
        <v>X</v>
      </c>
      <c r="I8823" s="1" t="str">
        <f t="shared" si="1927"/>
        <v>X</v>
      </c>
      <c r="J8823" s="1" t="str">
        <f t="shared" si="1927"/>
        <v>X</v>
      </c>
      <c r="K8823" s="1" t="str">
        <f t="shared" si="1927"/>
        <v>X</v>
      </c>
      <c r="L8823" s="1" t="str">
        <f t="shared" si="1927"/>
        <v>X</v>
      </c>
      <c r="M8823" s="1" t="str">
        <f t="shared" si="1927"/>
        <v>X</v>
      </c>
      <c r="N8823" t="s">
        <v>27</v>
      </c>
    </row>
    <row r="8824" spans="1:14" x14ac:dyDescent="0.25">
      <c r="A8824" t="s">
        <v>43</v>
      </c>
      <c r="B8824" t="s">
        <v>39</v>
      </c>
      <c r="C8824" t="s">
        <v>15</v>
      </c>
      <c r="D8824" t="s">
        <v>29</v>
      </c>
      <c r="E8824" t="s">
        <v>26</v>
      </c>
      <c r="F8824" t="s">
        <v>18</v>
      </c>
      <c r="G8824" s="1" t="str">
        <f t="shared" si="1927"/>
        <v>X</v>
      </c>
      <c r="H8824" s="1" t="str">
        <f t="shared" si="1927"/>
        <v>X</v>
      </c>
      <c r="I8824" s="1" t="str">
        <f t="shared" si="1927"/>
        <v>X</v>
      </c>
      <c r="J8824" s="1" t="str">
        <f t="shared" si="1927"/>
        <v>X</v>
      </c>
      <c r="K8824" s="1" t="str">
        <f t="shared" si="1927"/>
        <v>X</v>
      </c>
      <c r="L8824" s="1" t="str">
        <f t="shared" si="1927"/>
        <v>X</v>
      </c>
      <c r="M8824" s="1" t="str">
        <f t="shared" si="1927"/>
        <v>X</v>
      </c>
      <c r="N8824" t="s">
        <v>27</v>
      </c>
    </row>
    <row r="8825" spans="1:14" x14ac:dyDescent="0.25">
      <c r="A8825" t="s">
        <v>43</v>
      </c>
      <c r="B8825" t="s">
        <v>39</v>
      </c>
      <c r="C8825" t="s">
        <v>15</v>
      </c>
      <c r="D8825" t="s">
        <v>29</v>
      </c>
      <c r="E8825" t="s">
        <v>26</v>
      </c>
      <c r="F8825" t="s">
        <v>19</v>
      </c>
      <c r="G8825" s="1" t="str">
        <f t="shared" si="1927"/>
        <v>X</v>
      </c>
      <c r="H8825" s="1" t="str">
        <f t="shared" si="1927"/>
        <v>X</v>
      </c>
      <c r="I8825" s="1" t="str">
        <f t="shared" si="1927"/>
        <v>X</v>
      </c>
      <c r="J8825" s="1" t="str">
        <f t="shared" si="1927"/>
        <v>X</v>
      </c>
      <c r="K8825" s="1" t="str">
        <f t="shared" si="1927"/>
        <v>X</v>
      </c>
      <c r="L8825" s="1" t="str">
        <f t="shared" si="1927"/>
        <v>X</v>
      </c>
      <c r="M8825" s="1" t="str">
        <f t="shared" si="1927"/>
        <v>X</v>
      </c>
      <c r="N8825" t="s">
        <v>27</v>
      </c>
    </row>
    <row r="8826" spans="1:14" x14ac:dyDescent="0.25">
      <c r="A8826" t="s">
        <v>43</v>
      </c>
      <c r="B8826" t="s">
        <v>39</v>
      </c>
      <c r="C8826" t="s">
        <v>15</v>
      </c>
      <c r="D8826" t="s">
        <v>29</v>
      </c>
      <c r="E8826" t="s">
        <v>26</v>
      </c>
      <c r="F8826" t="s">
        <v>20</v>
      </c>
      <c r="G8826" s="1" t="str">
        <f t="shared" si="1927"/>
        <v>X</v>
      </c>
      <c r="H8826" s="1" t="str">
        <f t="shared" si="1927"/>
        <v>X</v>
      </c>
      <c r="I8826" s="1" t="str">
        <f t="shared" si="1927"/>
        <v>X</v>
      </c>
      <c r="J8826" s="1" t="str">
        <f t="shared" si="1927"/>
        <v>X</v>
      </c>
      <c r="K8826" s="1" t="str">
        <f t="shared" si="1927"/>
        <v>X</v>
      </c>
      <c r="L8826" s="1" t="str">
        <f t="shared" si="1927"/>
        <v>X</v>
      </c>
      <c r="M8826" s="1" t="str">
        <f t="shared" si="1927"/>
        <v>X</v>
      </c>
      <c r="N8826" t="s">
        <v>27</v>
      </c>
    </row>
    <row r="8827" spans="1:14" x14ac:dyDescent="0.25">
      <c r="A8827" t="s">
        <v>43</v>
      </c>
      <c r="B8827" t="s">
        <v>39</v>
      </c>
      <c r="C8827" t="s">
        <v>15</v>
      </c>
      <c r="D8827" t="s">
        <v>31</v>
      </c>
      <c r="E8827" t="s">
        <v>15</v>
      </c>
      <c r="F8827" t="s">
        <v>15</v>
      </c>
      <c r="G8827" s="2">
        <f>VALUE(5492.48)</f>
        <v>5492.48</v>
      </c>
      <c r="H8827" s="3">
        <f>VALUE(5338.09)</f>
        <v>5338.09</v>
      </c>
      <c r="I8827" s="1">
        <f>VALUE(3644)</f>
        <v>3644</v>
      </c>
      <c r="J8827" s="1">
        <f>VALUE(4095)</f>
        <v>4095</v>
      </c>
      <c r="K8827" s="1">
        <f>VALUE(4919)</f>
        <v>4919</v>
      </c>
      <c r="L8827" s="1">
        <f>VALUE(6523)</f>
        <v>6523</v>
      </c>
      <c r="M8827" s="8">
        <f>VALUE(8646)</f>
        <v>8646</v>
      </c>
      <c r="N8827" t="s">
        <v>25</v>
      </c>
    </row>
    <row r="8828" spans="1:14" x14ac:dyDescent="0.25">
      <c r="A8828" t="s">
        <v>43</v>
      </c>
      <c r="B8828" t="s">
        <v>39</v>
      </c>
      <c r="C8828" t="s">
        <v>15</v>
      </c>
      <c r="D8828" t="s">
        <v>31</v>
      </c>
      <c r="E8828" t="s">
        <v>15</v>
      </c>
      <c r="F8828" t="s">
        <v>17</v>
      </c>
      <c r="G8828" s="2">
        <f>VALUE(536.09)</f>
        <v>536.09</v>
      </c>
      <c r="H8828" s="3">
        <f>VALUE(541.02)</f>
        <v>541.02</v>
      </c>
      <c r="I8828" s="4">
        <f>VALUE(3611)</f>
        <v>3611</v>
      </c>
      <c r="J8828" s="5">
        <f>VALUE(5980)</f>
        <v>5980</v>
      </c>
      <c r="K8828" s="6">
        <f>VALUE(8597)</f>
        <v>8597</v>
      </c>
      <c r="L8828" s="7">
        <f>VALUE(12778)</f>
        <v>12778</v>
      </c>
      <c r="M8828" s="8">
        <f>VALUE(19962)</f>
        <v>19962</v>
      </c>
      <c r="N8828" t="s">
        <v>24</v>
      </c>
    </row>
    <row r="8829" spans="1:14" x14ac:dyDescent="0.25">
      <c r="A8829" t="s">
        <v>43</v>
      </c>
      <c r="B8829" t="s">
        <v>39</v>
      </c>
      <c r="C8829" t="s">
        <v>15</v>
      </c>
      <c r="D8829" t="s">
        <v>31</v>
      </c>
      <c r="E8829" t="s">
        <v>15</v>
      </c>
      <c r="F8829" t="s">
        <v>18</v>
      </c>
      <c r="G8829" s="2">
        <f>VALUE(415.79)</f>
        <v>415.79</v>
      </c>
      <c r="H8829" s="3">
        <f>VALUE(404)</f>
        <v>404</v>
      </c>
      <c r="I8829" s="1">
        <f>VALUE(4251)</f>
        <v>4251</v>
      </c>
      <c r="J8829" s="1">
        <f>VALUE(4762)</f>
        <v>4762</v>
      </c>
      <c r="K8829" s="1">
        <f>VALUE(6977)</f>
        <v>6977</v>
      </c>
      <c r="L8829" s="7">
        <f>VALUE(9714)</f>
        <v>9714</v>
      </c>
      <c r="M8829" s="8">
        <f>VALUE(12670)</f>
        <v>12670</v>
      </c>
      <c r="N8829" t="s">
        <v>25</v>
      </c>
    </row>
    <row r="8830" spans="1:14" x14ac:dyDescent="0.25">
      <c r="A8830" t="s">
        <v>43</v>
      </c>
      <c r="B8830" t="s">
        <v>39</v>
      </c>
      <c r="C8830" t="s">
        <v>15</v>
      </c>
      <c r="D8830" t="s">
        <v>31</v>
      </c>
      <c r="E8830" t="s">
        <v>15</v>
      </c>
      <c r="F8830" t="s">
        <v>19</v>
      </c>
      <c r="G8830" s="2">
        <f>VALUE(786.43)</f>
        <v>786.43</v>
      </c>
      <c r="H8830" s="3">
        <f>VALUE(806.23)</f>
        <v>806.23</v>
      </c>
      <c r="I8830" s="4">
        <f>VALUE(3691)</f>
        <v>3691</v>
      </c>
      <c r="J8830" s="5">
        <f>VALUE(3705)</f>
        <v>3705</v>
      </c>
      <c r="K8830" s="6">
        <f>VALUE(4850)</f>
        <v>4850</v>
      </c>
      <c r="L8830" s="7">
        <f>VALUE(7258)</f>
        <v>7258</v>
      </c>
      <c r="M8830" s="8">
        <f>VALUE(8333)</f>
        <v>8333</v>
      </c>
      <c r="N8830" t="s">
        <v>24</v>
      </c>
    </row>
    <row r="8831" spans="1:14" x14ac:dyDescent="0.25">
      <c r="A8831" t="s">
        <v>43</v>
      </c>
      <c r="B8831" t="s">
        <v>39</v>
      </c>
      <c r="C8831" t="s">
        <v>15</v>
      </c>
      <c r="D8831" t="s">
        <v>31</v>
      </c>
      <c r="E8831" t="s">
        <v>15</v>
      </c>
      <c r="F8831" t="s">
        <v>20</v>
      </c>
      <c r="G8831" s="2">
        <f>VALUE(3754.17)</f>
        <v>3754.17</v>
      </c>
      <c r="H8831" s="3">
        <f>VALUE(3586.84)</f>
        <v>3586.84</v>
      </c>
      <c r="I8831" s="1">
        <f>VALUE(3631)</f>
        <v>3631</v>
      </c>
      <c r="J8831" s="1">
        <f>VALUE(4017)</f>
        <v>4017</v>
      </c>
      <c r="K8831" s="1">
        <f>VALUE(4762)</f>
        <v>4762</v>
      </c>
      <c r="L8831" s="1">
        <f>VALUE(5580)</f>
        <v>5580</v>
      </c>
      <c r="M8831" s="1">
        <f>VALUE(6817)</f>
        <v>6817</v>
      </c>
      <c r="N8831" t="s">
        <v>25</v>
      </c>
    </row>
    <row r="8832" spans="1:14" x14ac:dyDescent="0.25">
      <c r="A8832" t="s">
        <v>43</v>
      </c>
      <c r="B8832" t="s">
        <v>39</v>
      </c>
      <c r="C8832" t="s">
        <v>15</v>
      </c>
      <c r="D8832" t="s">
        <v>31</v>
      </c>
      <c r="E8832" t="s">
        <v>21</v>
      </c>
      <c r="F8832" t="s">
        <v>15</v>
      </c>
      <c r="G8832" s="2">
        <f>VALUE(1248.29)</f>
        <v>1248.29</v>
      </c>
      <c r="H8832" s="3">
        <f>VALUE(1230.67)</f>
        <v>1230.67</v>
      </c>
      <c r="I8832" s="1">
        <f>VALUE(4824)</f>
        <v>4824</v>
      </c>
      <c r="J8832" s="5">
        <f>VALUE(5839)</f>
        <v>5839</v>
      </c>
      <c r="K8832" s="1">
        <f>VALUE(7411)</f>
        <v>7411</v>
      </c>
      <c r="L8832" s="7">
        <f>VALUE(10292)</f>
        <v>10292</v>
      </c>
      <c r="M8832" s="1">
        <f>VALUE(15561)</f>
        <v>15561</v>
      </c>
      <c r="N8832" t="s">
        <v>25</v>
      </c>
    </row>
    <row r="8833" spans="1:14" x14ac:dyDescent="0.25">
      <c r="A8833" t="s">
        <v>43</v>
      </c>
      <c r="B8833" t="s">
        <v>39</v>
      </c>
      <c r="C8833" t="s">
        <v>15</v>
      </c>
      <c r="D8833" t="s">
        <v>31</v>
      </c>
      <c r="E8833" t="s">
        <v>21</v>
      </c>
      <c r="F8833" t="s">
        <v>17</v>
      </c>
      <c r="G8833" s="2">
        <f>VALUE(328.83)</f>
        <v>328.83</v>
      </c>
      <c r="H8833" s="3">
        <f>VALUE(327.64)</f>
        <v>327.64</v>
      </c>
      <c r="I8833" s="1">
        <f>VALUE(6332)</f>
        <v>6332</v>
      </c>
      <c r="J8833" s="1">
        <f>VALUE(7571)</f>
        <v>7571</v>
      </c>
      <c r="K8833" s="1">
        <f>VALUE(10161)</f>
        <v>10161</v>
      </c>
      <c r="L8833" s="7">
        <f>VALUE(15782)</f>
        <v>15782</v>
      </c>
      <c r="M8833" s="8">
        <f>VALUE(20700)</f>
        <v>20700</v>
      </c>
      <c r="N8833" t="s">
        <v>25</v>
      </c>
    </row>
    <row r="8834" spans="1:14" x14ac:dyDescent="0.25">
      <c r="A8834" t="s">
        <v>43</v>
      </c>
      <c r="B8834" t="s">
        <v>39</v>
      </c>
      <c r="C8834" t="s">
        <v>15</v>
      </c>
      <c r="D8834" t="s">
        <v>31</v>
      </c>
      <c r="E8834" t="s">
        <v>21</v>
      </c>
      <c r="F8834" t="s">
        <v>18</v>
      </c>
      <c r="G8834" s="2">
        <f>VALUE(202.94)</f>
        <v>202.94</v>
      </c>
      <c r="H8834" s="3">
        <f>VALUE(203.37)</f>
        <v>203.37</v>
      </c>
      <c r="I8834" s="4">
        <f>VALUE(5575)</f>
        <v>5575</v>
      </c>
      <c r="J8834" s="1">
        <f>VALUE(6965)</f>
        <v>6965</v>
      </c>
      <c r="K8834" s="6">
        <f>VALUE(8433)</f>
        <v>8433</v>
      </c>
      <c r="L8834" s="1">
        <f>VALUE(10994)</f>
        <v>10994</v>
      </c>
      <c r="M8834" s="8">
        <f>VALUE(16361)</f>
        <v>16361</v>
      </c>
      <c r="N8834" t="s">
        <v>25</v>
      </c>
    </row>
    <row r="8835" spans="1:14" x14ac:dyDescent="0.25">
      <c r="A8835" t="s">
        <v>43</v>
      </c>
      <c r="B8835" t="s">
        <v>39</v>
      </c>
      <c r="C8835" t="s">
        <v>15</v>
      </c>
      <c r="D8835" t="s">
        <v>31</v>
      </c>
      <c r="E8835" t="s">
        <v>21</v>
      </c>
      <c r="F8835" t="s">
        <v>19</v>
      </c>
      <c r="G8835" s="2">
        <f>VALUE(235.19)</f>
        <v>235.19</v>
      </c>
      <c r="H8835" s="3">
        <f>VALUE(238.6)</f>
        <v>238.6</v>
      </c>
      <c r="I8835" s="4">
        <f>VALUE(5800)</f>
        <v>5800</v>
      </c>
      <c r="J8835" s="5">
        <f>VALUE(7005)</f>
        <v>7005</v>
      </c>
      <c r="K8835" s="6">
        <f>VALUE(7258)</f>
        <v>7258</v>
      </c>
      <c r="L8835" s="7">
        <f>VALUE(8533)</f>
        <v>8533</v>
      </c>
      <c r="M8835" s="8">
        <f>VALUE(15294)</f>
        <v>15294</v>
      </c>
      <c r="N8835" t="s">
        <v>24</v>
      </c>
    </row>
    <row r="8836" spans="1:14" x14ac:dyDescent="0.25">
      <c r="A8836" t="s">
        <v>43</v>
      </c>
      <c r="B8836" t="s">
        <v>39</v>
      </c>
      <c r="C8836" t="s">
        <v>15</v>
      </c>
      <c r="D8836" t="s">
        <v>31</v>
      </c>
      <c r="E8836" t="s">
        <v>21</v>
      </c>
      <c r="F8836" t="s">
        <v>20</v>
      </c>
      <c r="G8836" s="2">
        <f>VALUE(481.33)</f>
        <v>481.33</v>
      </c>
      <c r="H8836" s="3">
        <f>VALUE(461.06)</f>
        <v>461.06</v>
      </c>
      <c r="I8836" s="1">
        <f>VALUE(4127)</f>
        <v>4127</v>
      </c>
      <c r="J8836" s="1">
        <f>VALUE(5169)</f>
        <v>5169</v>
      </c>
      <c r="K8836" s="6">
        <f>VALUE(5749)</f>
        <v>5749</v>
      </c>
      <c r="L8836" s="1">
        <f>VALUE(7286)</f>
        <v>7286</v>
      </c>
      <c r="M8836" s="8">
        <f>VALUE(8833)</f>
        <v>8833</v>
      </c>
      <c r="N8836" t="s">
        <v>25</v>
      </c>
    </row>
    <row r="8837" spans="1:14" x14ac:dyDescent="0.25">
      <c r="A8837" t="s">
        <v>43</v>
      </c>
      <c r="B8837" t="s">
        <v>39</v>
      </c>
      <c r="C8837" t="s">
        <v>15</v>
      </c>
      <c r="D8837" t="s">
        <v>31</v>
      </c>
      <c r="E8837" t="s">
        <v>22</v>
      </c>
      <c r="F8837" t="s">
        <v>15</v>
      </c>
      <c r="G8837" s="2">
        <f>VALUE(1925.06)</f>
        <v>1925.06</v>
      </c>
      <c r="H8837" s="3">
        <f>VALUE(1808.42)</f>
        <v>1808.42</v>
      </c>
      <c r="I8837" s="1">
        <f>VALUE(3800)</f>
        <v>3800</v>
      </c>
      <c r="J8837" s="1">
        <f>VALUE(4333)</f>
        <v>4333</v>
      </c>
      <c r="K8837" s="1">
        <f>VALUE(4892)</f>
        <v>4892</v>
      </c>
      <c r="L8837" s="7">
        <f>VALUE(6361)</f>
        <v>6361</v>
      </c>
      <c r="M8837" s="1">
        <f>VALUE(7502)</f>
        <v>7502</v>
      </c>
      <c r="N8837" t="s">
        <v>25</v>
      </c>
    </row>
    <row r="8838" spans="1:14" x14ac:dyDescent="0.25">
      <c r="A8838" t="s">
        <v>43</v>
      </c>
      <c r="B8838" t="s">
        <v>39</v>
      </c>
      <c r="C8838" t="s">
        <v>15</v>
      </c>
      <c r="D8838" t="s">
        <v>31</v>
      </c>
      <c r="E8838" t="s">
        <v>22</v>
      </c>
      <c r="F8838" t="s">
        <v>17</v>
      </c>
      <c r="G8838" s="1" t="str">
        <f t="shared" ref="G8838:M8839" si="1928">"X"</f>
        <v>X</v>
      </c>
      <c r="H8838" s="1" t="str">
        <f t="shared" si="1928"/>
        <v>X</v>
      </c>
      <c r="I8838" s="1" t="str">
        <f t="shared" si="1928"/>
        <v>X</v>
      </c>
      <c r="J8838" s="1" t="str">
        <f t="shared" si="1928"/>
        <v>X</v>
      </c>
      <c r="K8838" s="1" t="str">
        <f t="shared" si="1928"/>
        <v>X</v>
      </c>
      <c r="L8838" s="1" t="str">
        <f t="shared" si="1928"/>
        <v>X</v>
      </c>
      <c r="M8838" s="1" t="str">
        <f t="shared" si="1928"/>
        <v>X</v>
      </c>
      <c r="N8838" t="s">
        <v>27</v>
      </c>
    </row>
    <row r="8839" spans="1:14" x14ac:dyDescent="0.25">
      <c r="A8839" t="s">
        <v>43</v>
      </c>
      <c r="B8839" t="s">
        <v>39</v>
      </c>
      <c r="C8839" t="s">
        <v>15</v>
      </c>
      <c r="D8839" t="s">
        <v>31</v>
      </c>
      <c r="E8839" t="s">
        <v>22</v>
      </c>
      <c r="F8839" t="s">
        <v>18</v>
      </c>
      <c r="G8839" s="1" t="str">
        <f t="shared" si="1928"/>
        <v>X</v>
      </c>
      <c r="H8839" s="1" t="str">
        <f t="shared" si="1928"/>
        <v>X</v>
      </c>
      <c r="I8839" s="1" t="str">
        <f t="shared" si="1928"/>
        <v>X</v>
      </c>
      <c r="J8839" s="1" t="str">
        <f t="shared" si="1928"/>
        <v>X</v>
      </c>
      <c r="K8839" s="1" t="str">
        <f t="shared" si="1928"/>
        <v>X</v>
      </c>
      <c r="L8839" s="1" t="str">
        <f t="shared" si="1928"/>
        <v>X</v>
      </c>
      <c r="M8839" s="1" t="str">
        <f t="shared" si="1928"/>
        <v>X</v>
      </c>
      <c r="N8839" t="s">
        <v>27</v>
      </c>
    </row>
    <row r="8840" spans="1:14" x14ac:dyDescent="0.25">
      <c r="A8840" t="s">
        <v>43</v>
      </c>
      <c r="B8840" t="s">
        <v>39</v>
      </c>
      <c r="C8840" t="s">
        <v>15</v>
      </c>
      <c r="D8840" t="s">
        <v>31</v>
      </c>
      <c r="E8840" t="s">
        <v>22</v>
      </c>
      <c r="F8840" t="s">
        <v>19</v>
      </c>
      <c r="G8840" s="2">
        <f>VALUE(199.43)</f>
        <v>199.43</v>
      </c>
      <c r="H8840" s="3">
        <f>VALUE(198.2)</f>
        <v>198.2</v>
      </c>
      <c r="I8840" s="4">
        <f>VALUE(4000)</f>
        <v>4000</v>
      </c>
      <c r="J8840" s="1">
        <f>VALUE(4675)</f>
        <v>4675</v>
      </c>
      <c r="K8840" s="1">
        <f>VALUE(5492)</f>
        <v>5492</v>
      </c>
      <c r="L8840" s="1">
        <f>VALUE(7025)</f>
        <v>7025</v>
      </c>
      <c r="M8840" s="8">
        <f>VALUE(7937)</f>
        <v>7937</v>
      </c>
      <c r="N8840" t="s">
        <v>25</v>
      </c>
    </row>
    <row r="8841" spans="1:14" x14ac:dyDescent="0.25">
      <c r="A8841" t="s">
        <v>43</v>
      </c>
      <c r="B8841" t="s">
        <v>39</v>
      </c>
      <c r="C8841" t="s">
        <v>15</v>
      </c>
      <c r="D8841" t="s">
        <v>31</v>
      </c>
      <c r="E8841" t="s">
        <v>22</v>
      </c>
      <c r="F8841" t="s">
        <v>20</v>
      </c>
      <c r="G8841" s="2">
        <f>VALUE(1436.01)</f>
        <v>1436.01</v>
      </c>
      <c r="H8841" s="3">
        <f>VALUE(1332.36)</f>
        <v>1332.36</v>
      </c>
      <c r="I8841" s="1">
        <f>VALUE(3702)</f>
        <v>3702</v>
      </c>
      <c r="J8841" s="1">
        <f>VALUE(4282)</f>
        <v>4282</v>
      </c>
      <c r="K8841" s="1">
        <f>VALUE(4762)</f>
        <v>4762</v>
      </c>
      <c r="L8841" s="7">
        <f>VALUE(5825)</f>
        <v>5825</v>
      </c>
      <c r="M8841" s="1">
        <f>VALUE(6743)</f>
        <v>6743</v>
      </c>
      <c r="N8841" t="s">
        <v>25</v>
      </c>
    </row>
    <row r="8842" spans="1:14" x14ac:dyDescent="0.25">
      <c r="A8842" t="s">
        <v>43</v>
      </c>
      <c r="B8842" t="s">
        <v>39</v>
      </c>
      <c r="C8842" t="s">
        <v>15</v>
      </c>
      <c r="D8842" t="s">
        <v>31</v>
      </c>
      <c r="E8842" t="s">
        <v>23</v>
      </c>
      <c r="F8842" t="s">
        <v>15</v>
      </c>
      <c r="G8842" s="2">
        <f>VALUE(2276.19)</f>
        <v>2276.19</v>
      </c>
      <c r="H8842" s="3">
        <f>VALUE(2258.31)</f>
        <v>2258.31</v>
      </c>
      <c r="I8842" s="1">
        <f>VALUE(3600)</f>
        <v>3600</v>
      </c>
      <c r="J8842" s="1">
        <f>VALUE(3705)</f>
        <v>3705</v>
      </c>
      <c r="K8842" s="6">
        <f>VALUE(4325)</f>
        <v>4325</v>
      </c>
      <c r="L8842" s="1">
        <f>VALUE(5034)</f>
        <v>5034</v>
      </c>
      <c r="M8842" s="8">
        <f>VALUE(5761)</f>
        <v>5761</v>
      </c>
      <c r="N8842" t="s">
        <v>25</v>
      </c>
    </row>
    <row r="8843" spans="1:14" x14ac:dyDescent="0.25">
      <c r="A8843" t="s">
        <v>43</v>
      </c>
      <c r="B8843" t="s">
        <v>39</v>
      </c>
      <c r="C8843" t="s">
        <v>15</v>
      </c>
      <c r="D8843" t="s">
        <v>31</v>
      </c>
      <c r="E8843" t="s">
        <v>23</v>
      </c>
      <c r="F8843" t="s">
        <v>17</v>
      </c>
      <c r="G8843" s="1" t="str">
        <f t="shared" ref="G8843:M8845" si="1929">"X"</f>
        <v>X</v>
      </c>
      <c r="H8843" s="1" t="str">
        <f t="shared" si="1929"/>
        <v>X</v>
      </c>
      <c r="I8843" s="1" t="str">
        <f t="shared" si="1929"/>
        <v>X</v>
      </c>
      <c r="J8843" s="1" t="str">
        <f t="shared" si="1929"/>
        <v>X</v>
      </c>
      <c r="K8843" s="1" t="str">
        <f t="shared" si="1929"/>
        <v>X</v>
      </c>
      <c r="L8843" s="1" t="str">
        <f t="shared" si="1929"/>
        <v>X</v>
      </c>
      <c r="M8843" s="1" t="str">
        <f t="shared" si="1929"/>
        <v>X</v>
      </c>
      <c r="N8843" t="s">
        <v>27</v>
      </c>
    </row>
    <row r="8844" spans="1:14" x14ac:dyDescent="0.25">
      <c r="A8844" t="s">
        <v>43</v>
      </c>
      <c r="B8844" t="s">
        <v>39</v>
      </c>
      <c r="C8844" t="s">
        <v>15</v>
      </c>
      <c r="D8844" t="s">
        <v>31</v>
      </c>
      <c r="E8844" t="s">
        <v>23</v>
      </c>
      <c r="F8844" t="s">
        <v>18</v>
      </c>
      <c r="G8844" s="1" t="str">
        <f t="shared" si="1929"/>
        <v>X</v>
      </c>
      <c r="H8844" s="1" t="str">
        <f t="shared" si="1929"/>
        <v>X</v>
      </c>
      <c r="I8844" s="1" t="str">
        <f t="shared" si="1929"/>
        <v>X</v>
      </c>
      <c r="J8844" s="1" t="str">
        <f t="shared" si="1929"/>
        <v>X</v>
      </c>
      <c r="K8844" s="1" t="str">
        <f t="shared" si="1929"/>
        <v>X</v>
      </c>
      <c r="L8844" s="1" t="str">
        <f t="shared" si="1929"/>
        <v>X</v>
      </c>
      <c r="M8844" s="1" t="str">
        <f t="shared" si="1929"/>
        <v>X</v>
      </c>
      <c r="N8844" t="s">
        <v>27</v>
      </c>
    </row>
    <row r="8845" spans="1:14" x14ac:dyDescent="0.25">
      <c r="A8845" t="s">
        <v>43</v>
      </c>
      <c r="B8845" t="s">
        <v>39</v>
      </c>
      <c r="C8845" t="s">
        <v>15</v>
      </c>
      <c r="D8845" t="s">
        <v>31</v>
      </c>
      <c r="E8845" t="s">
        <v>23</v>
      </c>
      <c r="F8845" t="s">
        <v>19</v>
      </c>
      <c r="G8845" s="1" t="str">
        <f t="shared" si="1929"/>
        <v>X</v>
      </c>
      <c r="H8845" s="1" t="str">
        <f t="shared" si="1929"/>
        <v>X</v>
      </c>
      <c r="I8845" s="1" t="str">
        <f t="shared" si="1929"/>
        <v>X</v>
      </c>
      <c r="J8845" s="1" t="str">
        <f t="shared" si="1929"/>
        <v>X</v>
      </c>
      <c r="K8845" s="1" t="str">
        <f t="shared" si="1929"/>
        <v>X</v>
      </c>
      <c r="L8845" s="1" t="str">
        <f t="shared" si="1929"/>
        <v>X</v>
      </c>
      <c r="M8845" s="1" t="str">
        <f t="shared" si="1929"/>
        <v>X</v>
      </c>
      <c r="N8845" t="s">
        <v>27</v>
      </c>
    </row>
    <row r="8846" spans="1:14" x14ac:dyDescent="0.25">
      <c r="A8846" t="s">
        <v>43</v>
      </c>
      <c r="B8846" t="s">
        <v>39</v>
      </c>
      <c r="C8846" t="s">
        <v>15</v>
      </c>
      <c r="D8846" t="s">
        <v>31</v>
      </c>
      <c r="E8846" t="s">
        <v>23</v>
      </c>
      <c r="F8846" t="s">
        <v>20</v>
      </c>
      <c r="G8846" s="2">
        <f>VALUE(1805.85)</f>
        <v>1805.85</v>
      </c>
      <c r="H8846" s="3">
        <f>VALUE(1765.03)</f>
        <v>1765.03</v>
      </c>
      <c r="I8846" s="1">
        <f>VALUE(3523)</f>
        <v>3523</v>
      </c>
      <c r="J8846" s="1">
        <f>VALUE(3758)</f>
        <v>3758</v>
      </c>
      <c r="K8846" s="6">
        <f>VALUE(4501)</f>
        <v>4501</v>
      </c>
      <c r="L8846" s="1">
        <f>VALUE(5183)</f>
        <v>5183</v>
      </c>
      <c r="M8846" s="8">
        <f>VALUE(5806)</f>
        <v>5806</v>
      </c>
      <c r="N8846" t="s">
        <v>25</v>
      </c>
    </row>
    <row r="8847" spans="1:14" x14ac:dyDescent="0.25">
      <c r="A8847" t="s">
        <v>43</v>
      </c>
      <c r="B8847" t="s">
        <v>39</v>
      </c>
      <c r="C8847" t="s">
        <v>15</v>
      </c>
      <c r="D8847" t="s">
        <v>31</v>
      </c>
      <c r="E8847" t="s">
        <v>26</v>
      </c>
      <c r="F8847" t="s">
        <v>15</v>
      </c>
      <c r="G8847" s="1" t="str">
        <f t="shared" ref="G8847:M8849" si="1930">"X"</f>
        <v>X</v>
      </c>
      <c r="H8847" s="1" t="str">
        <f t="shared" si="1930"/>
        <v>X</v>
      </c>
      <c r="I8847" s="1" t="str">
        <f t="shared" si="1930"/>
        <v>X</v>
      </c>
      <c r="J8847" s="1" t="str">
        <f t="shared" si="1930"/>
        <v>X</v>
      </c>
      <c r="K8847" s="1" t="str">
        <f t="shared" si="1930"/>
        <v>X</v>
      </c>
      <c r="L8847" s="1" t="str">
        <f t="shared" si="1930"/>
        <v>X</v>
      </c>
      <c r="M8847" s="1" t="str">
        <f t="shared" si="1930"/>
        <v>X</v>
      </c>
      <c r="N8847" t="s">
        <v>27</v>
      </c>
    </row>
    <row r="8848" spans="1:14" x14ac:dyDescent="0.25">
      <c r="A8848" t="s">
        <v>43</v>
      </c>
      <c r="B8848" t="s">
        <v>39</v>
      </c>
      <c r="C8848" t="s">
        <v>15</v>
      </c>
      <c r="D8848" t="s">
        <v>31</v>
      </c>
      <c r="E8848" t="s">
        <v>26</v>
      </c>
      <c r="F8848" t="s">
        <v>17</v>
      </c>
      <c r="G8848" s="1" t="str">
        <f t="shared" si="1930"/>
        <v>X</v>
      </c>
      <c r="H8848" s="1" t="str">
        <f t="shared" si="1930"/>
        <v>X</v>
      </c>
      <c r="I8848" s="1" t="str">
        <f t="shared" si="1930"/>
        <v>X</v>
      </c>
      <c r="J8848" s="1" t="str">
        <f t="shared" si="1930"/>
        <v>X</v>
      </c>
      <c r="K8848" s="1" t="str">
        <f t="shared" si="1930"/>
        <v>X</v>
      </c>
      <c r="L8848" s="1" t="str">
        <f t="shared" si="1930"/>
        <v>X</v>
      </c>
      <c r="M8848" s="1" t="str">
        <f t="shared" si="1930"/>
        <v>X</v>
      </c>
      <c r="N8848" t="s">
        <v>27</v>
      </c>
    </row>
    <row r="8849" spans="1:14" x14ac:dyDescent="0.25">
      <c r="A8849" t="s">
        <v>43</v>
      </c>
      <c r="B8849" t="s">
        <v>39</v>
      </c>
      <c r="C8849" t="s">
        <v>15</v>
      </c>
      <c r="D8849" t="s">
        <v>31</v>
      </c>
      <c r="E8849" t="s">
        <v>26</v>
      </c>
      <c r="F8849" t="s">
        <v>18</v>
      </c>
      <c r="G8849" s="1" t="str">
        <f t="shared" si="1930"/>
        <v>X</v>
      </c>
      <c r="H8849" s="1" t="str">
        <f t="shared" si="1930"/>
        <v>X</v>
      </c>
      <c r="I8849" s="1" t="str">
        <f t="shared" si="1930"/>
        <v>X</v>
      </c>
      <c r="J8849" s="1" t="str">
        <f t="shared" si="1930"/>
        <v>X</v>
      </c>
      <c r="K8849" s="1" t="str">
        <f t="shared" si="1930"/>
        <v>X</v>
      </c>
      <c r="L8849" s="1" t="str">
        <f t="shared" si="1930"/>
        <v>X</v>
      </c>
      <c r="M8849" s="1" t="str">
        <f t="shared" si="1930"/>
        <v>X</v>
      </c>
      <c r="N8849" t="s">
        <v>27</v>
      </c>
    </row>
    <row r="8850" spans="1:14" x14ac:dyDescent="0.25">
      <c r="A8850" t="s">
        <v>43</v>
      </c>
      <c r="B8850" t="s">
        <v>39</v>
      </c>
      <c r="C8850" t="s">
        <v>15</v>
      </c>
      <c r="D8850" t="s">
        <v>31</v>
      </c>
      <c r="E8850" t="s">
        <v>26</v>
      </c>
      <c r="F8850" t="s">
        <v>19</v>
      </c>
      <c r="G8850" s="1" t="str">
        <f t="shared" ref="G8850:M8850" si="1931">"..."</f>
        <v>...</v>
      </c>
      <c r="H8850" s="1" t="str">
        <f t="shared" si="1931"/>
        <v>...</v>
      </c>
      <c r="I8850" s="1" t="str">
        <f t="shared" si="1931"/>
        <v>...</v>
      </c>
      <c r="J8850" s="1" t="str">
        <f t="shared" si="1931"/>
        <v>...</v>
      </c>
      <c r="K8850" s="1" t="str">
        <f t="shared" si="1931"/>
        <v>...</v>
      </c>
      <c r="L8850" s="1" t="str">
        <f t="shared" si="1931"/>
        <v>...</v>
      </c>
      <c r="M8850" s="1" t="str">
        <f t="shared" si="1931"/>
        <v>...</v>
      </c>
      <c r="N8850" t="s">
        <v>30</v>
      </c>
    </row>
    <row r="8851" spans="1:14" x14ac:dyDescent="0.25">
      <c r="A8851" t="s">
        <v>43</v>
      </c>
      <c r="B8851" t="s">
        <v>39</v>
      </c>
      <c r="C8851" t="s">
        <v>15</v>
      </c>
      <c r="D8851" t="s">
        <v>31</v>
      </c>
      <c r="E8851" t="s">
        <v>26</v>
      </c>
      <c r="F8851" t="s">
        <v>20</v>
      </c>
      <c r="G8851" s="1" t="str">
        <f t="shared" ref="G8851:M8851" si="1932">"X"</f>
        <v>X</v>
      </c>
      <c r="H8851" s="1" t="str">
        <f t="shared" si="1932"/>
        <v>X</v>
      </c>
      <c r="I8851" s="1" t="str">
        <f t="shared" si="1932"/>
        <v>X</v>
      </c>
      <c r="J8851" s="1" t="str">
        <f t="shared" si="1932"/>
        <v>X</v>
      </c>
      <c r="K8851" s="1" t="str">
        <f t="shared" si="1932"/>
        <v>X</v>
      </c>
      <c r="L8851" s="1" t="str">
        <f t="shared" si="1932"/>
        <v>X</v>
      </c>
      <c r="M8851" s="1" t="str">
        <f t="shared" si="1932"/>
        <v>X</v>
      </c>
      <c r="N8851" t="s">
        <v>27</v>
      </c>
    </row>
    <row r="8852" spans="1:14" x14ac:dyDescent="0.25">
      <c r="A8852" t="s">
        <v>43</v>
      </c>
      <c r="B8852" t="s">
        <v>39</v>
      </c>
      <c r="C8852" t="s">
        <v>15</v>
      </c>
      <c r="D8852" t="s">
        <v>32</v>
      </c>
      <c r="E8852" t="s">
        <v>15</v>
      </c>
      <c r="F8852" t="s">
        <v>15</v>
      </c>
      <c r="G8852" s="1">
        <f>VALUE(28357.85)</f>
        <v>28357.85</v>
      </c>
      <c r="H8852" s="1">
        <f>VALUE(27729.74)</f>
        <v>27729.74</v>
      </c>
      <c r="I8852" s="1">
        <f>VALUE(3424)</f>
        <v>3424</v>
      </c>
      <c r="J8852" s="1">
        <f>VALUE(3995)</f>
        <v>3995</v>
      </c>
      <c r="K8852" s="1">
        <f>VALUE(4923)</f>
        <v>4923</v>
      </c>
      <c r="L8852" s="1">
        <f>VALUE(5883)</f>
        <v>5883</v>
      </c>
      <c r="M8852" s="1">
        <f>VALUE(7108)</f>
        <v>7108</v>
      </c>
      <c r="N8852" t="s">
        <v>16</v>
      </c>
    </row>
    <row r="8853" spans="1:14" x14ac:dyDescent="0.25">
      <c r="A8853" t="s">
        <v>43</v>
      </c>
      <c r="B8853" t="s">
        <v>39</v>
      </c>
      <c r="C8853" t="s">
        <v>15</v>
      </c>
      <c r="D8853" t="s">
        <v>32</v>
      </c>
      <c r="E8853" t="s">
        <v>15</v>
      </c>
      <c r="F8853" t="s">
        <v>17</v>
      </c>
      <c r="G8853" s="2">
        <f>VALUE(1951.11)</f>
        <v>1951.11</v>
      </c>
      <c r="H8853" s="3">
        <f>VALUE(1905.26)</f>
        <v>1905.26</v>
      </c>
      <c r="I8853" s="4">
        <f>VALUE(5128)</f>
        <v>5128</v>
      </c>
      <c r="J8853" s="1">
        <f>VALUE(6124)</f>
        <v>6124</v>
      </c>
      <c r="K8853" s="1">
        <f>VALUE(7745)</f>
        <v>7745</v>
      </c>
      <c r="L8853" s="1">
        <f>VALUE(10140)</f>
        <v>10140</v>
      </c>
      <c r="M8853" s="8">
        <f>VALUE(13274)</f>
        <v>13274</v>
      </c>
      <c r="N8853" t="s">
        <v>25</v>
      </c>
    </row>
    <row r="8854" spans="1:14" x14ac:dyDescent="0.25">
      <c r="A8854" t="s">
        <v>43</v>
      </c>
      <c r="B8854" t="s">
        <v>39</v>
      </c>
      <c r="C8854" t="s">
        <v>15</v>
      </c>
      <c r="D8854" t="s">
        <v>32</v>
      </c>
      <c r="E8854" t="s">
        <v>15</v>
      </c>
      <c r="F8854" t="s">
        <v>18</v>
      </c>
      <c r="G8854" s="2">
        <f>VALUE(2044.34)</f>
        <v>2044.34</v>
      </c>
      <c r="H8854" s="3">
        <f>VALUE(1966.59)</f>
        <v>1966.59</v>
      </c>
      <c r="I8854" s="4">
        <f>VALUE(3893)</f>
        <v>3893</v>
      </c>
      <c r="J8854" s="1">
        <f>VALUE(4827)</f>
        <v>4827</v>
      </c>
      <c r="K8854" s="6">
        <f>VALUE(5661)</f>
        <v>5661</v>
      </c>
      <c r="L8854" s="1">
        <f>VALUE(7278)</f>
        <v>7278</v>
      </c>
      <c r="M8854" s="8">
        <f>VALUE(9094)</f>
        <v>9094</v>
      </c>
      <c r="N8854" t="s">
        <v>25</v>
      </c>
    </row>
    <row r="8855" spans="1:14" x14ac:dyDescent="0.25">
      <c r="A8855" t="s">
        <v>43</v>
      </c>
      <c r="B8855" t="s">
        <v>39</v>
      </c>
      <c r="C8855" t="s">
        <v>15</v>
      </c>
      <c r="D8855" t="s">
        <v>32</v>
      </c>
      <c r="E8855" t="s">
        <v>15</v>
      </c>
      <c r="F8855" t="s">
        <v>19</v>
      </c>
      <c r="G8855" s="2">
        <f>VALUE(4148.27)</f>
        <v>4148.2700000000004</v>
      </c>
      <c r="H8855" s="3">
        <f>VALUE(4173.51)</f>
        <v>4173.51</v>
      </c>
      <c r="I8855" s="1">
        <f>VALUE(3822)</f>
        <v>3822</v>
      </c>
      <c r="J8855" s="1">
        <f>VALUE(4461)</f>
        <v>4461</v>
      </c>
      <c r="K8855" s="1">
        <f>VALUE(5478)</f>
        <v>5478</v>
      </c>
      <c r="L8855" s="1">
        <f>VALUE(6417)</f>
        <v>6417</v>
      </c>
      <c r="M8855" s="1">
        <f>VALUE(7421)</f>
        <v>7421</v>
      </c>
      <c r="N8855" t="s">
        <v>25</v>
      </c>
    </row>
    <row r="8856" spans="1:14" x14ac:dyDescent="0.25">
      <c r="A8856" t="s">
        <v>43</v>
      </c>
      <c r="B8856" t="s">
        <v>39</v>
      </c>
      <c r="C8856" t="s">
        <v>15</v>
      </c>
      <c r="D8856" t="s">
        <v>32</v>
      </c>
      <c r="E8856" t="s">
        <v>15</v>
      </c>
      <c r="F8856" t="s">
        <v>20</v>
      </c>
      <c r="G8856" s="1">
        <f>VALUE(20214.13)</f>
        <v>20214.13</v>
      </c>
      <c r="H8856" s="1">
        <f>VALUE(19684.38)</f>
        <v>19684.38</v>
      </c>
      <c r="I8856" s="1">
        <f>VALUE(3325)</f>
        <v>3325</v>
      </c>
      <c r="J8856" s="1">
        <f>VALUE(3792)</f>
        <v>3792</v>
      </c>
      <c r="K8856" s="1">
        <f>VALUE(4596)</f>
        <v>4596</v>
      </c>
      <c r="L8856" s="1">
        <f>VALUE(5436)</f>
        <v>5436</v>
      </c>
      <c r="M8856" s="1">
        <f>VALUE(6328)</f>
        <v>6328</v>
      </c>
      <c r="N8856" t="s">
        <v>16</v>
      </c>
    </row>
    <row r="8857" spans="1:14" x14ac:dyDescent="0.25">
      <c r="A8857" t="s">
        <v>43</v>
      </c>
      <c r="B8857" t="s">
        <v>39</v>
      </c>
      <c r="C8857" t="s">
        <v>15</v>
      </c>
      <c r="D8857" t="s">
        <v>32</v>
      </c>
      <c r="E8857" t="s">
        <v>21</v>
      </c>
      <c r="F8857" t="s">
        <v>15</v>
      </c>
      <c r="G8857" s="1">
        <f>VALUE(4339.89)</f>
        <v>4339.8900000000003</v>
      </c>
      <c r="H8857" s="1">
        <f>VALUE(4165.21)</f>
        <v>4165.21</v>
      </c>
      <c r="I8857" s="1">
        <f>VALUE(3870)</f>
        <v>3870</v>
      </c>
      <c r="J8857" s="1">
        <f>VALUE(4840)</f>
        <v>4840</v>
      </c>
      <c r="K8857" s="1">
        <f>VALUE(5895)</f>
        <v>5895</v>
      </c>
      <c r="L8857" s="1">
        <f>VALUE(7852)</f>
        <v>7852</v>
      </c>
      <c r="M8857" s="1">
        <f>VALUE(10628)</f>
        <v>10628</v>
      </c>
      <c r="N8857" t="s">
        <v>16</v>
      </c>
    </row>
    <row r="8858" spans="1:14" x14ac:dyDescent="0.25">
      <c r="A8858" t="s">
        <v>43</v>
      </c>
      <c r="B8858" t="s">
        <v>39</v>
      </c>
      <c r="C8858" t="s">
        <v>15</v>
      </c>
      <c r="D8858" t="s">
        <v>32</v>
      </c>
      <c r="E8858" t="s">
        <v>21</v>
      </c>
      <c r="F8858" t="s">
        <v>17</v>
      </c>
      <c r="G8858" s="2">
        <f>VALUE(977.56)</f>
        <v>977.56</v>
      </c>
      <c r="H8858" s="3">
        <f>VALUE(946.17)</f>
        <v>946.17</v>
      </c>
      <c r="I8858" s="4">
        <f>VALUE(5451)</f>
        <v>5451</v>
      </c>
      <c r="J8858" s="5">
        <f>VALUE(7258)</f>
        <v>7258</v>
      </c>
      <c r="K8858" s="6">
        <f>VALUE(8850)</f>
        <v>8850</v>
      </c>
      <c r="L8858" s="7">
        <f>VALUE(11362)</f>
        <v>11362</v>
      </c>
      <c r="M8858" s="8">
        <f>VALUE(16209)</f>
        <v>16209</v>
      </c>
      <c r="N8858" t="s">
        <v>24</v>
      </c>
    </row>
    <row r="8859" spans="1:14" x14ac:dyDescent="0.25">
      <c r="A8859" t="s">
        <v>43</v>
      </c>
      <c r="B8859" t="s">
        <v>39</v>
      </c>
      <c r="C8859" t="s">
        <v>15</v>
      </c>
      <c r="D8859" t="s">
        <v>32</v>
      </c>
      <c r="E8859" t="s">
        <v>21</v>
      </c>
      <c r="F8859" t="s">
        <v>18</v>
      </c>
      <c r="G8859" s="2">
        <f>VALUE(548.47)</f>
        <v>548.47</v>
      </c>
      <c r="H8859" s="3">
        <f>VALUE(546.27)</f>
        <v>546.27</v>
      </c>
      <c r="I8859" s="4">
        <f>VALUE(4801)</f>
        <v>4801</v>
      </c>
      <c r="J8859" s="1">
        <f>VALUE(5399)</f>
        <v>5399</v>
      </c>
      <c r="K8859" s="1">
        <f>VALUE(6829)</f>
        <v>6829</v>
      </c>
      <c r="L8859" s="1">
        <f>VALUE(8902)</f>
        <v>8902</v>
      </c>
      <c r="M8859" s="1">
        <f>VALUE(10910)</f>
        <v>10910</v>
      </c>
      <c r="N8859" t="s">
        <v>25</v>
      </c>
    </row>
    <row r="8860" spans="1:14" x14ac:dyDescent="0.25">
      <c r="A8860" t="s">
        <v>43</v>
      </c>
      <c r="B8860" t="s">
        <v>39</v>
      </c>
      <c r="C8860" t="s">
        <v>15</v>
      </c>
      <c r="D8860" t="s">
        <v>32</v>
      </c>
      <c r="E8860" t="s">
        <v>21</v>
      </c>
      <c r="F8860" t="s">
        <v>19</v>
      </c>
      <c r="G8860" s="2">
        <f>VALUE(668.4)</f>
        <v>668.4</v>
      </c>
      <c r="H8860" s="3">
        <f>VALUE(631.34)</f>
        <v>631.34</v>
      </c>
      <c r="I8860" s="1">
        <f>VALUE(4482)</f>
        <v>4482</v>
      </c>
      <c r="J8860" s="1">
        <f>VALUE(5417)</f>
        <v>5417</v>
      </c>
      <c r="K8860" s="1">
        <f>VALUE(5977)</f>
        <v>5977</v>
      </c>
      <c r="L8860" s="1">
        <f>VALUE(7500)</f>
        <v>7500</v>
      </c>
      <c r="M8860" s="1">
        <f>VALUE(8597)</f>
        <v>8597</v>
      </c>
      <c r="N8860" t="s">
        <v>25</v>
      </c>
    </row>
    <row r="8861" spans="1:14" x14ac:dyDescent="0.25">
      <c r="A8861" t="s">
        <v>43</v>
      </c>
      <c r="B8861" t="s">
        <v>39</v>
      </c>
      <c r="C8861" t="s">
        <v>15</v>
      </c>
      <c r="D8861" t="s">
        <v>32</v>
      </c>
      <c r="E8861" t="s">
        <v>21</v>
      </c>
      <c r="F8861" t="s">
        <v>20</v>
      </c>
      <c r="G8861" s="2">
        <f>VALUE(2145.46)</f>
        <v>2145.46</v>
      </c>
      <c r="H8861" s="3">
        <f>VALUE(2041.43)</f>
        <v>2041.43</v>
      </c>
      <c r="I8861" s="1">
        <f>VALUE(3410)</f>
        <v>3410</v>
      </c>
      <c r="J8861" s="1">
        <f>VALUE(4230)</f>
        <v>4230</v>
      </c>
      <c r="K8861" s="1">
        <f>VALUE(5205)</f>
        <v>5205</v>
      </c>
      <c r="L8861" s="1">
        <f>VALUE(5913)</f>
        <v>5913</v>
      </c>
      <c r="M8861" s="1">
        <f>VALUE(7041)</f>
        <v>7041</v>
      </c>
      <c r="N8861" t="s">
        <v>25</v>
      </c>
    </row>
    <row r="8862" spans="1:14" x14ac:dyDescent="0.25">
      <c r="A8862" t="s">
        <v>43</v>
      </c>
      <c r="B8862" t="s">
        <v>39</v>
      </c>
      <c r="C8862" t="s">
        <v>15</v>
      </c>
      <c r="D8862" t="s">
        <v>32</v>
      </c>
      <c r="E8862" t="s">
        <v>22</v>
      </c>
      <c r="F8862" t="s">
        <v>15</v>
      </c>
      <c r="G8862" s="1">
        <f>VALUE(10670.9)</f>
        <v>10670.9</v>
      </c>
      <c r="H8862" s="1">
        <f>VALUE(10283.56)</f>
        <v>10283.56</v>
      </c>
      <c r="I8862" s="1">
        <f>VALUE(3520)</f>
        <v>3520</v>
      </c>
      <c r="J8862" s="1">
        <f>VALUE(4255)</f>
        <v>4255</v>
      </c>
      <c r="K8862" s="1">
        <f>VALUE(5160)</f>
        <v>5160</v>
      </c>
      <c r="L8862" s="1">
        <f>VALUE(6023)</f>
        <v>6023</v>
      </c>
      <c r="M8862" s="1">
        <f>VALUE(7218)</f>
        <v>7218</v>
      </c>
      <c r="N8862" t="s">
        <v>16</v>
      </c>
    </row>
    <row r="8863" spans="1:14" x14ac:dyDescent="0.25">
      <c r="A8863" t="s">
        <v>43</v>
      </c>
      <c r="B8863" t="s">
        <v>39</v>
      </c>
      <c r="C8863" t="s">
        <v>15</v>
      </c>
      <c r="D8863" t="s">
        <v>32</v>
      </c>
      <c r="E8863" t="s">
        <v>22</v>
      </c>
      <c r="F8863" t="s">
        <v>17</v>
      </c>
      <c r="G8863" s="2">
        <f>VALUE(655.97)</f>
        <v>655.97</v>
      </c>
      <c r="H8863" s="3">
        <f>VALUE(643.73)</f>
        <v>643.73</v>
      </c>
      <c r="I8863" s="4">
        <f>VALUE(4928)</f>
        <v>4928</v>
      </c>
      <c r="J8863" s="1">
        <f>VALUE(5953)</f>
        <v>5953</v>
      </c>
      <c r="K8863" s="1">
        <f>VALUE(7082)</f>
        <v>7082</v>
      </c>
      <c r="L8863" s="1">
        <f>VALUE(8683)</f>
        <v>8683</v>
      </c>
      <c r="M8863" s="8">
        <f>VALUE(10378)</f>
        <v>10378</v>
      </c>
      <c r="N8863" t="s">
        <v>25</v>
      </c>
    </row>
    <row r="8864" spans="1:14" x14ac:dyDescent="0.25">
      <c r="A8864" t="s">
        <v>43</v>
      </c>
      <c r="B8864" t="s">
        <v>39</v>
      </c>
      <c r="C8864" t="s">
        <v>15</v>
      </c>
      <c r="D8864" t="s">
        <v>32</v>
      </c>
      <c r="E8864" t="s">
        <v>22</v>
      </c>
      <c r="F8864" t="s">
        <v>18</v>
      </c>
      <c r="G8864" s="2">
        <f>VALUE(1035.94)</f>
        <v>1035.94</v>
      </c>
      <c r="H8864" s="3">
        <f>VALUE(962.21)</f>
        <v>962.21</v>
      </c>
      <c r="I8864" s="4">
        <f>VALUE(3942)</f>
        <v>3942</v>
      </c>
      <c r="J8864" s="1">
        <f>VALUE(4827)</f>
        <v>4827</v>
      </c>
      <c r="K8864" s="6">
        <f>VALUE(5633)</f>
        <v>5633</v>
      </c>
      <c r="L8864" s="7">
        <f>VALUE(7058)</f>
        <v>7058</v>
      </c>
      <c r="M8864" s="8">
        <f>VALUE(8023)</f>
        <v>8023</v>
      </c>
      <c r="N8864" t="s">
        <v>25</v>
      </c>
    </row>
    <row r="8865" spans="1:14" x14ac:dyDescent="0.25">
      <c r="A8865" t="s">
        <v>43</v>
      </c>
      <c r="B8865" t="s">
        <v>39</v>
      </c>
      <c r="C8865" t="s">
        <v>15</v>
      </c>
      <c r="D8865" t="s">
        <v>32</v>
      </c>
      <c r="E8865" t="s">
        <v>22</v>
      </c>
      <c r="F8865" t="s">
        <v>19</v>
      </c>
      <c r="G8865" s="2">
        <f>VALUE(1647.89)</f>
        <v>1647.89</v>
      </c>
      <c r="H8865" s="3">
        <f>VALUE(1677.36)</f>
        <v>1677.36</v>
      </c>
      <c r="I8865" s="1">
        <f>VALUE(4282)</f>
        <v>4282</v>
      </c>
      <c r="J8865" s="1">
        <f>VALUE(4905)</f>
        <v>4905</v>
      </c>
      <c r="K8865" s="1">
        <f>VALUE(5720)</f>
        <v>5720</v>
      </c>
      <c r="L8865" s="1">
        <f>VALUE(6397)</f>
        <v>6397</v>
      </c>
      <c r="M8865" s="1">
        <f>VALUE(7527)</f>
        <v>7527</v>
      </c>
      <c r="N8865" t="s">
        <v>25</v>
      </c>
    </row>
    <row r="8866" spans="1:14" x14ac:dyDescent="0.25">
      <c r="A8866" t="s">
        <v>43</v>
      </c>
      <c r="B8866" t="s">
        <v>39</v>
      </c>
      <c r="C8866" t="s">
        <v>15</v>
      </c>
      <c r="D8866" t="s">
        <v>32</v>
      </c>
      <c r="E8866" t="s">
        <v>22</v>
      </c>
      <c r="F8866" t="s">
        <v>20</v>
      </c>
      <c r="G8866" s="1">
        <f>VALUE(7331.1)</f>
        <v>7331.1</v>
      </c>
      <c r="H8866" s="1">
        <f>VALUE(7000.26)</f>
        <v>7000.26</v>
      </c>
      <c r="I8866" s="1">
        <f>VALUE(3455)</f>
        <v>3455</v>
      </c>
      <c r="J8866" s="1">
        <f>VALUE(4042)</f>
        <v>4042</v>
      </c>
      <c r="K8866" s="1">
        <f>VALUE(4826)</f>
        <v>4826</v>
      </c>
      <c r="L8866" s="1">
        <f>VALUE(5477)</f>
        <v>5477</v>
      </c>
      <c r="M8866" s="1">
        <f>VALUE(6536)</f>
        <v>6536</v>
      </c>
      <c r="N8866" t="s">
        <v>16</v>
      </c>
    </row>
    <row r="8867" spans="1:14" x14ac:dyDescent="0.25">
      <c r="A8867" t="s">
        <v>43</v>
      </c>
      <c r="B8867" t="s">
        <v>39</v>
      </c>
      <c r="C8867" t="s">
        <v>15</v>
      </c>
      <c r="D8867" t="s">
        <v>32</v>
      </c>
      <c r="E8867" t="s">
        <v>23</v>
      </c>
      <c r="F8867" t="s">
        <v>15</v>
      </c>
      <c r="G8867" s="1">
        <f>VALUE(12752.36)</f>
        <v>12752.36</v>
      </c>
      <c r="H8867" s="1">
        <f>VALUE(12727.44)</f>
        <v>12727.44</v>
      </c>
      <c r="I8867" s="1">
        <f>VALUE(3263)</f>
        <v>3263</v>
      </c>
      <c r="J8867" s="1">
        <f>VALUE(3696)</f>
        <v>3696</v>
      </c>
      <c r="K8867" s="1">
        <f>VALUE(4446)</f>
        <v>4446</v>
      </c>
      <c r="L8867" s="1">
        <f>VALUE(5357)</f>
        <v>5357</v>
      </c>
      <c r="M8867" s="1">
        <f>VALUE(6333)</f>
        <v>6333</v>
      </c>
      <c r="N8867" t="s">
        <v>16</v>
      </c>
    </row>
    <row r="8868" spans="1:14" x14ac:dyDescent="0.25">
      <c r="A8868" t="s">
        <v>43</v>
      </c>
      <c r="B8868" t="s">
        <v>39</v>
      </c>
      <c r="C8868" t="s">
        <v>15</v>
      </c>
      <c r="D8868" t="s">
        <v>32</v>
      </c>
      <c r="E8868" t="s">
        <v>23</v>
      </c>
      <c r="F8868" t="s">
        <v>17</v>
      </c>
      <c r="G8868" s="1" t="str">
        <f t="shared" ref="G8868:M8868" si="1933">"X"</f>
        <v>X</v>
      </c>
      <c r="H8868" s="1" t="str">
        <f t="shared" si="1933"/>
        <v>X</v>
      </c>
      <c r="I8868" s="1" t="str">
        <f t="shared" si="1933"/>
        <v>X</v>
      </c>
      <c r="J8868" s="1" t="str">
        <f t="shared" si="1933"/>
        <v>X</v>
      </c>
      <c r="K8868" s="1" t="str">
        <f t="shared" si="1933"/>
        <v>X</v>
      </c>
      <c r="L8868" s="1" t="str">
        <f t="shared" si="1933"/>
        <v>X</v>
      </c>
      <c r="M8868" s="1" t="str">
        <f t="shared" si="1933"/>
        <v>X</v>
      </c>
      <c r="N8868" t="s">
        <v>27</v>
      </c>
    </row>
    <row r="8869" spans="1:14" x14ac:dyDescent="0.25">
      <c r="A8869" t="s">
        <v>43</v>
      </c>
      <c r="B8869" t="s">
        <v>39</v>
      </c>
      <c r="C8869" t="s">
        <v>15</v>
      </c>
      <c r="D8869" t="s">
        <v>32</v>
      </c>
      <c r="E8869" t="s">
        <v>23</v>
      </c>
      <c r="F8869" t="s">
        <v>18</v>
      </c>
      <c r="G8869" s="2">
        <f>VALUE(424.81)</f>
        <v>424.81</v>
      </c>
      <c r="H8869" s="3">
        <f>VALUE(433.6)</f>
        <v>433.6</v>
      </c>
      <c r="I8869" s="1">
        <f>VALUE(3805)</f>
        <v>3805</v>
      </c>
      <c r="J8869" s="5">
        <f>VALUE(3805)</f>
        <v>3805</v>
      </c>
      <c r="K8869" s="1">
        <f>VALUE(4962)</f>
        <v>4962</v>
      </c>
      <c r="L8869" s="7">
        <f>VALUE(5707)</f>
        <v>5707</v>
      </c>
      <c r="M8869" s="1">
        <f>VALUE(7335)</f>
        <v>7335</v>
      </c>
      <c r="N8869" t="s">
        <v>25</v>
      </c>
    </row>
    <row r="8870" spans="1:14" x14ac:dyDescent="0.25">
      <c r="A8870" t="s">
        <v>43</v>
      </c>
      <c r="B8870" t="s">
        <v>39</v>
      </c>
      <c r="C8870" t="s">
        <v>15</v>
      </c>
      <c r="D8870" t="s">
        <v>32</v>
      </c>
      <c r="E8870" t="s">
        <v>23</v>
      </c>
      <c r="F8870" t="s">
        <v>19</v>
      </c>
      <c r="G8870" s="2">
        <f>VALUE(1786.4)</f>
        <v>1786.4</v>
      </c>
      <c r="H8870" s="3">
        <f>VALUE(1827.74)</f>
        <v>1827.74</v>
      </c>
      <c r="I8870" s="1">
        <f>VALUE(3467)</f>
        <v>3467</v>
      </c>
      <c r="J8870" s="1">
        <f>VALUE(4152)</f>
        <v>4152</v>
      </c>
      <c r="K8870" s="6">
        <f>VALUE(4800)</f>
        <v>4800</v>
      </c>
      <c r="L8870" s="7">
        <f>VALUE(5850)</f>
        <v>5850</v>
      </c>
      <c r="M8870" s="1">
        <f>VALUE(6881)</f>
        <v>6881</v>
      </c>
      <c r="N8870" t="s">
        <v>25</v>
      </c>
    </row>
    <row r="8871" spans="1:14" x14ac:dyDescent="0.25">
      <c r="A8871" t="s">
        <v>43</v>
      </c>
      <c r="B8871" t="s">
        <v>39</v>
      </c>
      <c r="C8871" t="s">
        <v>15</v>
      </c>
      <c r="D8871" t="s">
        <v>32</v>
      </c>
      <c r="E8871" t="s">
        <v>23</v>
      </c>
      <c r="F8871" t="s">
        <v>20</v>
      </c>
      <c r="G8871" s="1">
        <f>VALUE(10247.29)</f>
        <v>10247.290000000001</v>
      </c>
      <c r="H8871" s="1">
        <f>VALUE(10175.4)</f>
        <v>10175.4</v>
      </c>
      <c r="I8871" s="1">
        <f>VALUE(3191)</f>
        <v>3191</v>
      </c>
      <c r="J8871" s="1">
        <f>VALUE(3610)</f>
        <v>3610</v>
      </c>
      <c r="K8871" s="1">
        <f>VALUE(4337)</f>
        <v>4337</v>
      </c>
      <c r="L8871" s="1">
        <f>VALUE(5238)</f>
        <v>5238</v>
      </c>
      <c r="M8871" s="1">
        <f>VALUE(6023)</f>
        <v>6023</v>
      </c>
      <c r="N8871" t="s">
        <v>16</v>
      </c>
    </row>
    <row r="8872" spans="1:14" x14ac:dyDescent="0.25">
      <c r="A8872" t="s">
        <v>43</v>
      </c>
      <c r="B8872" t="s">
        <v>39</v>
      </c>
      <c r="C8872" t="s">
        <v>15</v>
      </c>
      <c r="D8872" t="s">
        <v>32</v>
      </c>
      <c r="E8872" t="s">
        <v>26</v>
      </c>
      <c r="F8872" t="s">
        <v>15</v>
      </c>
      <c r="G8872" s="2">
        <f>VALUE(594.7)</f>
        <v>594.70000000000005</v>
      </c>
      <c r="H8872" s="3">
        <f>VALUE(553.53)</f>
        <v>553.53</v>
      </c>
      <c r="I8872" s="1">
        <f>VALUE(3885)</f>
        <v>3885</v>
      </c>
      <c r="J8872" s="1">
        <f>VALUE(4325)</f>
        <v>4325</v>
      </c>
      <c r="K8872" s="1">
        <f>VALUE(5190)</f>
        <v>5190</v>
      </c>
      <c r="L8872" s="1">
        <f>VALUE(6011)</f>
        <v>6011</v>
      </c>
      <c r="M8872" s="8">
        <f>VALUE(7630)</f>
        <v>7630</v>
      </c>
      <c r="N8872" t="s">
        <v>25</v>
      </c>
    </row>
    <row r="8873" spans="1:14" x14ac:dyDescent="0.25">
      <c r="A8873" t="s">
        <v>43</v>
      </c>
      <c r="B8873" t="s">
        <v>39</v>
      </c>
      <c r="C8873" t="s">
        <v>15</v>
      </c>
      <c r="D8873" t="s">
        <v>32</v>
      </c>
      <c r="E8873" t="s">
        <v>26</v>
      </c>
      <c r="F8873" t="s">
        <v>17</v>
      </c>
      <c r="G8873" s="1" t="str">
        <f t="shared" ref="G8873:M8875" si="1934">"X"</f>
        <v>X</v>
      </c>
      <c r="H8873" s="1" t="str">
        <f t="shared" si="1934"/>
        <v>X</v>
      </c>
      <c r="I8873" s="1" t="str">
        <f t="shared" si="1934"/>
        <v>X</v>
      </c>
      <c r="J8873" s="1" t="str">
        <f t="shared" si="1934"/>
        <v>X</v>
      </c>
      <c r="K8873" s="1" t="str">
        <f t="shared" si="1934"/>
        <v>X</v>
      </c>
      <c r="L8873" s="1" t="str">
        <f t="shared" si="1934"/>
        <v>X</v>
      </c>
      <c r="M8873" s="1" t="str">
        <f t="shared" si="1934"/>
        <v>X</v>
      </c>
      <c r="N8873" t="s">
        <v>27</v>
      </c>
    </row>
    <row r="8874" spans="1:14" x14ac:dyDescent="0.25">
      <c r="A8874" t="s">
        <v>43</v>
      </c>
      <c r="B8874" t="s">
        <v>39</v>
      </c>
      <c r="C8874" t="s">
        <v>15</v>
      </c>
      <c r="D8874" t="s">
        <v>32</v>
      </c>
      <c r="E8874" t="s">
        <v>26</v>
      </c>
      <c r="F8874" t="s">
        <v>18</v>
      </c>
      <c r="G8874" s="1" t="str">
        <f t="shared" si="1934"/>
        <v>X</v>
      </c>
      <c r="H8874" s="1" t="str">
        <f t="shared" si="1934"/>
        <v>X</v>
      </c>
      <c r="I8874" s="1" t="str">
        <f t="shared" si="1934"/>
        <v>X</v>
      </c>
      <c r="J8874" s="1" t="str">
        <f t="shared" si="1934"/>
        <v>X</v>
      </c>
      <c r="K8874" s="1" t="str">
        <f t="shared" si="1934"/>
        <v>X</v>
      </c>
      <c r="L8874" s="1" t="str">
        <f t="shared" si="1934"/>
        <v>X</v>
      </c>
      <c r="M8874" s="1" t="str">
        <f t="shared" si="1934"/>
        <v>X</v>
      </c>
      <c r="N8874" t="s">
        <v>27</v>
      </c>
    </row>
    <row r="8875" spans="1:14" x14ac:dyDescent="0.25">
      <c r="A8875" t="s">
        <v>43</v>
      </c>
      <c r="B8875" t="s">
        <v>39</v>
      </c>
      <c r="C8875" t="s">
        <v>15</v>
      </c>
      <c r="D8875" t="s">
        <v>32</v>
      </c>
      <c r="E8875" t="s">
        <v>26</v>
      </c>
      <c r="F8875" t="s">
        <v>19</v>
      </c>
      <c r="G8875" s="1" t="str">
        <f t="shared" si="1934"/>
        <v>X</v>
      </c>
      <c r="H8875" s="1" t="str">
        <f t="shared" si="1934"/>
        <v>X</v>
      </c>
      <c r="I8875" s="1" t="str">
        <f t="shared" si="1934"/>
        <v>X</v>
      </c>
      <c r="J8875" s="1" t="str">
        <f t="shared" si="1934"/>
        <v>X</v>
      </c>
      <c r="K8875" s="1" t="str">
        <f t="shared" si="1934"/>
        <v>X</v>
      </c>
      <c r="L8875" s="1" t="str">
        <f t="shared" si="1934"/>
        <v>X</v>
      </c>
      <c r="M8875" s="1" t="str">
        <f t="shared" si="1934"/>
        <v>X</v>
      </c>
      <c r="N8875" t="s">
        <v>27</v>
      </c>
    </row>
    <row r="8876" spans="1:14" x14ac:dyDescent="0.25">
      <c r="A8876" t="s">
        <v>43</v>
      </c>
      <c r="B8876" t="s">
        <v>39</v>
      </c>
      <c r="C8876" t="s">
        <v>15</v>
      </c>
      <c r="D8876" t="s">
        <v>32</v>
      </c>
      <c r="E8876" t="s">
        <v>26</v>
      </c>
      <c r="F8876" t="s">
        <v>20</v>
      </c>
      <c r="G8876" s="2">
        <f>VALUE(490.28)</f>
        <v>490.28</v>
      </c>
      <c r="H8876" s="3">
        <f>VALUE(467.29)</f>
        <v>467.29</v>
      </c>
      <c r="I8876" s="1">
        <f>VALUE(3856)</f>
        <v>3856</v>
      </c>
      <c r="J8876" s="1">
        <f>VALUE(4266)</f>
        <v>4266</v>
      </c>
      <c r="K8876" s="1">
        <f>VALUE(5188)</f>
        <v>5188</v>
      </c>
      <c r="L8876" s="7">
        <f>VALUE(5679)</f>
        <v>5679</v>
      </c>
      <c r="M8876" s="1">
        <f>VALUE(6503)</f>
        <v>6503</v>
      </c>
      <c r="N8876" t="s">
        <v>25</v>
      </c>
    </row>
    <row r="8877" spans="1:14" x14ac:dyDescent="0.25">
      <c r="A8877" t="s">
        <v>43</v>
      </c>
      <c r="B8877" t="s">
        <v>39</v>
      </c>
      <c r="C8877" t="s">
        <v>15</v>
      </c>
      <c r="D8877" t="s">
        <v>33</v>
      </c>
      <c r="E8877" t="s">
        <v>15</v>
      </c>
      <c r="F8877" t="s">
        <v>15</v>
      </c>
      <c r="G8877" s="2">
        <f>VALUE(195.48)</f>
        <v>195.48</v>
      </c>
      <c r="H8877" s="3">
        <f>VALUE(182.62)</f>
        <v>182.62</v>
      </c>
      <c r="I8877" s="1">
        <f>VALUE(3379)</f>
        <v>3379</v>
      </c>
      <c r="J8877" s="1">
        <f>VALUE(3921)</f>
        <v>3921</v>
      </c>
      <c r="K8877" s="1">
        <f>VALUE(4952)</f>
        <v>4952</v>
      </c>
      <c r="L8877" s="7">
        <f>VALUE(7337)</f>
        <v>7337</v>
      </c>
      <c r="M8877" s="1">
        <f>VALUE(10976)</f>
        <v>10976</v>
      </c>
      <c r="N8877" t="s">
        <v>25</v>
      </c>
    </row>
    <row r="8878" spans="1:14" x14ac:dyDescent="0.25">
      <c r="A8878" t="s">
        <v>43</v>
      </c>
      <c r="B8878" t="s">
        <v>39</v>
      </c>
      <c r="C8878" t="s">
        <v>15</v>
      </c>
      <c r="D8878" t="s">
        <v>33</v>
      </c>
      <c r="E8878" t="s">
        <v>15</v>
      </c>
      <c r="F8878" t="s">
        <v>17</v>
      </c>
      <c r="G8878" s="1" t="str">
        <f t="shared" ref="G8878:M8887" si="1935">"X"</f>
        <v>X</v>
      </c>
      <c r="H8878" s="1" t="str">
        <f t="shared" si="1935"/>
        <v>X</v>
      </c>
      <c r="I8878" s="1" t="str">
        <f t="shared" si="1935"/>
        <v>X</v>
      </c>
      <c r="J8878" s="1" t="str">
        <f t="shared" si="1935"/>
        <v>X</v>
      </c>
      <c r="K8878" s="1" t="str">
        <f t="shared" si="1935"/>
        <v>X</v>
      </c>
      <c r="L8878" s="1" t="str">
        <f t="shared" si="1935"/>
        <v>X</v>
      </c>
      <c r="M8878" s="1" t="str">
        <f t="shared" si="1935"/>
        <v>X</v>
      </c>
      <c r="N8878" t="s">
        <v>27</v>
      </c>
    </row>
    <row r="8879" spans="1:14" x14ac:dyDescent="0.25">
      <c r="A8879" t="s">
        <v>43</v>
      </c>
      <c r="B8879" t="s">
        <v>39</v>
      </c>
      <c r="C8879" t="s">
        <v>15</v>
      </c>
      <c r="D8879" t="s">
        <v>33</v>
      </c>
      <c r="E8879" t="s">
        <v>15</v>
      </c>
      <c r="F8879" t="s">
        <v>18</v>
      </c>
      <c r="G8879" s="1" t="str">
        <f t="shared" si="1935"/>
        <v>X</v>
      </c>
      <c r="H8879" s="1" t="str">
        <f t="shared" si="1935"/>
        <v>X</v>
      </c>
      <c r="I8879" s="1" t="str">
        <f t="shared" si="1935"/>
        <v>X</v>
      </c>
      <c r="J8879" s="1" t="str">
        <f t="shared" si="1935"/>
        <v>X</v>
      </c>
      <c r="K8879" s="1" t="str">
        <f t="shared" si="1935"/>
        <v>X</v>
      </c>
      <c r="L8879" s="1" t="str">
        <f t="shared" si="1935"/>
        <v>X</v>
      </c>
      <c r="M8879" s="1" t="str">
        <f t="shared" si="1935"/>
        <v>X</v>
      </c>
      <c r="N8879" t="s">
        <v>27</v>
      </c>
    </row>
    <row r="8880" spans="1:14" x14ac:dyDescent="0.25">
      <c r="A8880" t="s">
        <v>43</v>
      </c>
      <c r="B8880" t="s">
        <v>39</v>
      </c>
      <c r="C8880" t="s">
        <v>15</v>
      </c>
      <c r="D8880" t="s">
        <v>33</v>
      </c>
      <c r="E8880" t="s">
        <v>15</v>
      </c>
      <c r="F8880" t="s">
        <v>19</v>
      </c>
      <c r="G8880" s="1" t="str">
        <f t="shared" si="1935"/>
        <v>X</v>
      </c>
      <c r="H8880" s="1" t="str">
        <f t="shared" si="1935"/>
        <v>X</v>
      </c>
      <c r="I8880" s="1" t="str">
        <f t="shared" si="1935"/>
        <v>X</v>
      </c>
      <c r="J8880" s="1" t="str">
        <f t="shared" si="1935"/>
        <v>X</v>
      </c>
      <c r="K8880" s="1" t="str">
        <f t="shared" si="1935"/>
        <v>X</v>
      </c>
      <c r="L8880" s="1" t="str">
        <f t="shared" si="1935"/>
        <v>X</v>
      </c>
      <c r="M8880" s="1" t="str">
        <f t="shared" si="1935"/>
        <v>X</v>
      </c>
      <c r="N8880" t="s">
        <v>27</v>
      </c>
    </row>
    <row r="8881" spans="1:14" x14ac:dyDescent="0.25">
      <c r="A8881" t="s">
        <v>43</v>
      </c>
      <c r="B8881" t="s">
        <v>39</v>
      </c>
      <c r="C8881" t="s">
        <v>15</v>
      </c>
      <c r="D8881" t="s">
        <v>33</v>
      </c>
      <c r="E8881" t="s">
        <v>15</v>
      </c>
      <c r="F8881" t="s">
        <v>20</v>
      </c>
      <c r="G8881" s="1" t="str">
        <f t="shared" si="1935"/>
        <v>X</v>
      </c>
      <c r="H8881" s="1" t="str">
        <f t="shared" si="1935"/>
        <v>X</v>
      </c>
      <c r="I8881" s="1" t="str">
        <f t="shared" si="1935"/>
        <v>X</v>
      </c>
      <c r="J8881" s="1" t="str">
        <f t="shared" si="1935"/>
        <v>X</v>
      </c>
      <c r="K8881" s="1" t="str">
        <f t="shared" si="1935"/>
        <v>X</v>
      </c>
      <c r="L8881" s="1" t="str">
        <f t="shared" si="1935"/>
        <v>X</v>
      </c>
      <c r="M8881" s="1" t="str">
        <f t="shared" si="1935"/>
        <v>X</v>
      </c>
      <c r="N8881" t="s">
        <v>27</v>
      </c>
    </row>
    <row r="8882" spans="1:14" x14ac:dyDescent="0.25">
      <c r="A8882" t="s">
        <v>43</v>
      </c>
      <c r="B8882" t="s">
        <v>39</v>
      </c>
      <c r="C8882" t="s">
        <v>15</v>
      </c>
      <c r="D8882" t="s">
        <v>33</v>
      </c>
      <c r="E8882" t="s">
        <v>21</v>
      </c>
      <c r="F8882" t="s">
        <v>15</v>
      </c>
      <c r="G8882" s="1" t="str">
        <f t="shared" si="1935"/>
        <v>X</v>
      </c>
      <c r="H8882" s="1" t="str">
        <f t="shared" si="1935"/>
        <v>X</v>
      </c>
      <c r="I8882" s="1" t="str">
        <f t="shared" si="1935"/>
        <v>X</v>
      </c>
      <c r="J8882" s="1" t="str">
        <f t="shared" si="1935"/>
        <v>X</v>
      </c>
      <c r="K8882" s="1" t="str">
        <f t="shared" si="1935"/>
        <v>X</v>
      </c>
      <c r="L8882" s="1" t="str">
        <f t="shared" si="1935"/>
        <v>X</v>
      </c>
      <c r="M8882" s="1" t="str">
        <f t="shared" si="1935"/>
        <v>X</v>
      </c>
      <c r="N8882" t="s">
        <v>27</v>
      </c>
    </row>
    <row r="8883" spans="1:14" x14ac:dyDescent="0.25">
      <c r="A8883" t="s">
        <v>43</v>
      </c>
      <c r="B8883" t="s">
        <v>39</v>
      </c>
      <c r="C8883" t="s">
        <v>15</v>
      </c>
      <c r="D8883" t="s">
        <v>33</v>
      </c>
      <c r="E8883" t="s">
        <v>21</v>
      </c>
      <c r="F8883" t="s">
        <v>17</v>
      </c>
      <c r="G8883" s="1" t="str">
        <f t="shared" si="1935"/>
        <v>X</v>
      </c>
      <c r="H8883" s="1" t="str">
        <f t="shared" si="1935"/>
        <v>X</v>
      </c>
      <c r="I8883" s="1" t="str">
        <f t="shared" si="1935"/>
        <v>X</v>
      </c>
      <c r="J8883" s="1" t="str">
        <f t="shared" si="1935"/>
        <v>X</v>
      </c>
      <c r="K8883" s="1" t="str">
        <f t="shared" si="1935"/>
        <v>X</v>
      </c>
      <c r="L8883" s="1" t="str">
        <f t="shared" si="1935"/>
        <v>X</v>
      </c>
      <c r="M8883" s="1" t="str">
        <f t="shared" si="1935"/>
        <v>X</v>
      </c>
      <c r="N8883" t="s">
        <v>27</v>
      </c>
    </row>
    <row r="8884" spans="1:14" x14ac:dyDescent="0.25">
      <c r="A8884" t="s">
        <v>43</v>
      </c>
      <c r="B8884" t="s">
        <v>39</v>
      </c>
      <c r="C8884" t="s">
        <v>15</v>
      </c>
      <c r="D8884" t="s">
        <v>33</v>
      </c>
      <c r="E8884" t="s">
        <v>21</v>
      </c>
      <c r="F8884" t="s">
        <v>18</v>
      </c>
      <c r="G8884" s="1" t="str">
        <f t="shared" si="1935"/>
        <v>X</v>
      </c>
      <c r="H8884" s="1" t="str">
        <f t="shared" si="1935"/>
        <v>X</v>
      </c>
      <c r="I8884" s="1" t="str">
        <f t="shared" si="1935"/>
        <v>X</v>
      </c>
      <c r="J8884" s="1" t="str">
        <f t="shared" si="1935"/>
        <v>X</v>
      </c>
      <c r="K8884" s="1" t="str">
        <f t="shared" si="1935"/>
        <v>X</v>
      </c>
      <c r="L8884" s="1" t="str">
        <f t="shared" si="1935"/>
        <v>X</v>
      </c>
      <c r="M8884" s="1" t="str">
        <f t="shared" si="1935"/>
        <v>X</v>
      </c>
      <c r="N8884" t="s">
        <v>27</v>
      </c>
    </row>
    <row r="8885" spans="1:14" x14ac:dyDescent="0.25">
      <c r="A8885" t="s">
        <v>43</v>
      </c>
      <c r="B8885" t="s">
        <v>39</v>
      </c>
      <c r="C8885" t="s">
        <v>15</v>
      </c>
      <c r="D8885" t="s">
        <v>33</v>
      </c>
      <c r="E8885" t="s">
        <v>21</v>
      </c>
      <c r="F8885" t="s">
        <v>19</v>
      </c>
      <c r="G8885" s="1" t="str">
        <f t="shared" si="1935"/>
        <v>X</v>
      </c>
      <c r="H8885" s="1" t="str">
        <f t="shared" si="1935"/>
        <v>X</v>
      </c>
      <c r="I8885" s="1" t="str">
        <f t="shared" si="1935"/>
        <v>X</v>
      </c>
      <c r="J8885" s="1" t="str">
        <f t="shared" si="1935"/>
        <v>X</v>
      </c>
      <c r="K8885" s="1" t="str">
        <f t="shared" si="1935"/>
        <v>X</v>
      </c>
      <c r="L8885" s="1" t="str">
        <f t="shared" si="1935"/>
        <v>X</v>
      </c>
      <c r="M8885" s="1" t="str">
        <f t="shared" si="1935"/>
        <v>X</v>
      </c>
      <c r="N8885" t="s">
        <v>27</v>
      </c>
    </row>
    <row r="8886" spans="1:14" x14ac:dyDescent="0.25">
      <c r="A8886" t="s">
        <v>43</v>
      </c>
      <c r="B8886" t="s">
        <v>39</v>
      </c>
      <c r="C8886" t="s">
        <v>15</v>
      </c>
      <c r="D8886" t="s">
        <v>33</v>
      </c>
      <c r="E8886" t="s">
        <v>21</v>
      </c>
      <c r="F8886" t="s">
        <v>20</v>
      </c>
      <c r="G8886" s="1" t="str">
        <f t="shared" si="1935"/>
        <v>X</v>
      </c>
      <c r="H8886" s="1" t="str">
        <f t="shared" si="1935"/>
        <v>X</v>
      </c>
      <c r="I8886" s="1" t="str">
        <f t="shared" si="1935"/>
        <v>X</v>
      </c>
      <c r="J8886" s="1" t="str">
        <f t="shared" si="1935"/>
        <v>X</v>
      </c>
      <c r="K8886" s="1" t="str">
        <f t="shared" si="1935"/>
        <v>X</v>
      </c>
      <c r="L8886" s="1" t="str">
        <f t="shared" si="1935"/>
        <v>X</v>
      </c>
      <c r="M8886" s="1" t="str">
        <f t="shared" si="1935"/>
        <v>X</v>
      </c>
      <c r="N8886" t="s">
        <v>27</v>
      </c>
    </row>
    <row r="8887" spans="1:14" x14ac:dyDescent="0.25">
      <c r="A8887" t="s">
        <v>43</v>
      </c>
      <c r="B8887" t="s">
        <v>39</v>
      </c>
      <c r="C8887" t="s">
        <v>15</v>
      </c>
      <c r="D8887" t="s">
        <v>33</v>
      </c>
      <c r="E8887" t="s">
        <v>22</v>
      </c>
      <c r="F8887" t="s">
        <v>15</v>
      </c>
      <c r="G8887" s="1" t="str">
        <f t="shared" si="1935"/>
        <v>X</v>
      </c>
      <c r="H8887" s="1" t="str">
        <f t="shared" si="1935"/>
        <v>X</v>
      </c>
      <c r="I8887" s="1" t="str">
        <f t="shared" si="1935"/>
        <v>X</v>
      </c>
      <c r="J8887" s="1" t="str">
        <f t="shared" si="1935"/>
        <v>X</v>
      </c>
      <c r="K8887" s="1" t="str">
        <f t="shared" si="1935"/>
        <v>X</v>
      </c>
      <c r="L8887" s="1" t="str">
        <f t="shared" si="1935"/>
        <v>X</v>
      </c>
      <c r="M8887" s="1" t="str">
        <f t="shared" si="1935"/>
        <v>X</v>
      </c>
      <c r="N8887" t="s">
        <v>27</v>
      </c>
    </row>
    <row r="8888" spans="1:14" x14ac:dyDescent="0.25">
      <c r="A8888" t="s">
        <v>43</v>
      </c>
      <c r="B8888" t="s">
        <v>39</v>
      </c>
      <c r="C8888" t="s">
        <v>15</v>
      </c>
      <c r="D8888" t="s">
        <v>33</v>
      </c>
      <c r="E8888" t="s">
        <v>22</v>
      </c>
      <c r="F8888" t="s">
        <v>17</v>
      </c>
      <c r="G8888" s="1" t="str">
        <f t="shared" ref="G8888:M8888" si="1936">"..."</f>
        <v>...</v>
      </c>
      <c r="H8888" s="1" t="str">
        <f t="shared" si="1936"/>
        <v>...</v>
      </c>
      <c r="I8888" s="1" t="str">
        <f t="shared" si="1936"/>
        <v>...</v>
      </c>
      <c r="J8888" s="1" t="str">
        <f t="shared" si="1936"/>
        <v>...</v>
      </c>
      <c r="K8888" s="1" t="str">
        <f t="shared" si="1936"/>
        <v>...</v>
      </c>
      <c r="L8888" s="1" t="str">
        <f t="shared" si="1936"/>
        <v>...</v>
      </c>
      <c r="M8888" s="1" t="str">
        <f t="shared" si="1936"/>
        <v>...</v>
      </c>
      <c r="N8888" t="s">
        <v>30</v>
      </c>
    </row>
    <row r="8889" spans="1:14" x14ac:dyDescent="0.25">
      <c r="A8889" t="s">
        <v>43</v>
      </c>
      <c r="B8889" t="s">
        <v>39</v>
      </c>
      <c r="C8889" t="s">
        <v>15</v>
      </c>
      <c r="D8889" t="s">
        <v>33</v>
      </c>
      <c r="E8889" t="s">
        <v>22</v>
      </c>
      <c r="F8889" t="s">
        <v>18</v>
      </c>
      <c r="G8889" s="1" t="str">
        <f t="shared" ref="G8889:M8889" si="1937">"X"</f>
        <v>X</v>
      </c>
      <c r="H8889" s="1" t="str">
        <f t="shared" si="1937"/>
        <v>X</v>
      </c>
      <c r="I8889" s="1" t="str">
        <f t="shared" si="1937"/>
        <v>X</v>
      </c>
      <c r="J8889" s="1" t="str">
        <f t="shared" si="1937"/>
        <v>X</v>
      </c>
      <c r="K8889" s="1" t="str">
        <f t="shared" si="1937"/>
        <v>X</v>
      </c>
      <c r="L8889" s="1" t="str">
        <f t="shared" si="1937"/>
        <v>X</v>
      </c>
      <c r="M8889" s="1" t="str">
        <f t="shared" si="1937"/>
        <v>X</v>
      </c>
      <c r="N8889" t="s">
        <v>27</v>
      </c>
    </row>
    <row r="8890" spans="1:14" x14ac:dyDescent="0.25">
      <c r="A8890" t="s">
        <v>43</v>
      </c>
      <c r="B8890" t="s">
        <v>39</v>
      </c>
      <c r="C8890" t="s">
        <v>15</v>
      </c>
      <c r="D8890" t="s">
        <v>33</v>
      </c>
      <c r="E8890" t="s">
        <v>22</v>
      </c>
      <c r="F8890" t="s">
        <v>19</v>
      </c>
      <c r="G8890" s="1" t="str">
        <f t="shared" ref="G8890:M8890" si="1938">"..."</f>
        <v>...</v>
      </c>
      <c r="H8890" s="1" t="str">
        <f t="shared" si="1938"/>
        <v>...</v>
      </c>
      <c r="I8890" s="1" t="str">
        <f t="shared" si="1938"/>
        <v>...</v>
      </c>
      <c r="J8890" s="1" t="str">
        <f t="shared" si="1938"/>
        <v>...</v>
      </c>
      <c r="K8890" s="1" t="str">
        <f t="shared" si="1938"/>
        <v>...</v>
      </c>
      <c r="L8890" s="1" t="str">
        <f t="shared" si="1938"/>
        <v>...</v>
      </c>
      <c r="M8890" s="1" t="str">
        <f t="shared" si="1938"/>
        <v>...</v>
      </c>
      <c r="N8890" t="s">
        <v>30</v>
      </c>
    </row>
    <row r="8891" spans="1:14" x14ac:dyDescent="0.25">
      <c r="A8891" t="s">
        <v>43</v>
      </c>
      <c r="B8891" t="s">
        <v>39</v>
      </c>
      <c r="C8891" t="s">
        <v>15</v>
      </c>
      <c r="D8891" t="s">
        <v>33</v>
      </c>
      <c r="E8891" t="s">
        <v>22</v>
      </c>
      <c r="F8891" t="s">
        <v>20</v>
      </c>
      <c r="G8891" s="1" t="str">
        <f t="shared" ref="G8891:M8892" si="1939">"X"</f>
        <v>X</v>
      </c>
      <c r="H8891" s="1" t="str">
        <f t="shared" si="1939"/>
        <v>X</v>
      </c>
      <c r="I8891" s="1" t="str">
        <f t="shared" si="1939"/>
        <v>X</v>
      </c>
      <c r="J8891" s="1" t="str">
        <f t="shared" si="1939"/>
        <v>X</v>
      </c>
      <c r="K8891" s="1" t="str">
        <f t="shared" si="1939"/>
        <v>X</v>
      </c>
      <c r="L8891" s="1" t="str">
        <f t="shared" si="1939"/>
        <v>X</v>
      </c>
      <c r="M8891" s="1" t="str">
        <f t="shared" si="1939"/>
        <v>X</v>
      </c>
      <c r="N8891" t="s">
        <v>27</v>
      </c>
    </row>
    <row r="8892" spans="1:14" x14ac:dyDescent="0.25">
      <c r="A8892" t="s">
        <v>43</v>
      </c>
      <c r="B8892" t="s">
        <v>39</v>
      </c>
      <c r="C8892" t="s">
        <v>15</v>
      </c>
      <c r="D8892" t="s">
        <v>33</v>
      </c>
      <c r="E8892" t="s">
        <v>23</v>
      </c>
      <c r="F8892" t="s">
        <v>15</v>
      </c>
      <c r="G8892" s="1" t="str">
        <f t="shared" si="1939"/>
        <v>X</v>
      </c>
      <c r="H8892" s="1" t="str">
        <f t="shared" si="1939"/>
        <v>X</v>
      </c>
      <c r="I8892" s="1" t="str">
        <f t="shared" si="1939"/>
        <v>X</v>
      </c>
      <c r="J8892" s="1" t="str">
        <f t="shared" si="1939"/>
        <v>X</v>
      </c>
      <c r="K8892" s="1" t="str">
        <f t="shared" si="1939"/>
        <v>X</v>
      </c>
      <c r="L8892" s="1" t="str">
        <f t="shared" si="1939"/>
        <v>X</v>
      </c>
      <c r="M8892" s="1" t="str">
        <f t="shared" si="1939"/>
        <v>X</v>
      </c>
      <c r="N8892" t="s">
        <v>27</v>
      </c>
    </row>
    <row r="8893" spans="1:14" x14ac:dyDescent="0.25">
      <c r="A8893" t="s">
        <v>43</v>
      </c>
      <c r="B8893" t="s">
        <v>39</v>
      </c>
      <c r="C8893" t="s">
        <v>15</v>
      </c>
      <c r="D8893" t="s">
        <v>33</v>
      </c>
      <c r="E8893" t="s">
        <v>23</v>
      </c>
      <c r="F8893" t="s">
        <v>17</v>
      </c>
      <c r="G8893" s="1" t="str">
        <f t="shared" ref="G8893:M8894" si="1940">"..."</f>
        <v>...</v>
      </c>
      <c r="H8893" s="1" t="str">
        <f t="shared" si="1940"/>
        <v>...</v>
      </c>
      <c r="I8893" s="1" t="str">
        <f t="shared" si="1940"/>
        <v>...</v>
      </c>
      <c r="J8893" s="1" t="str">
        <f t="shared" si="1940"/>
        <v>...</v>
      </c>
      <c r="K8893" s="1" t="str">
        <f t="shared" si="1940"/>
        <v>...</v>
      </c>
      <c r="L8893" s="1" t="str">
        <f t="shared" si="1940"/>
        <v>...</v>
      </c>
      <c r="M8893" s="1" t="str">
        <f t="shared" si="1940"/>
        <v>...</v>
      </c>
      <c r="N8893" t="s">
        <v>30</v>
      </c>
    </row>
    <row r="8894" spans="1:14" x14ac:dyDescent="0.25">
      <c r="A8894" t="s">
        <v>43</v>
      </c>
      <c r="B8894" t="s">
        <v>39</v>
      </c>
      <c r="C8894" t="s">
        <v>15</v>
      </c>
      <c r="D8894" t="s">
        <v>33</v>
      </c>
      <c r="E8894" t="s">
        <v>23</v>
      </c>
      <c r="F8894" t="s">
        <v>18</v>
      </c>
      <c r="G8894" s="1" t="str">
        <f t="shared" si="1940"/>
        <v>...</v>
      </c>
      <c r="H8894" s="1" t="str">
        <f t="shared" si="1940"/>
        <v>...</v>
      </c>
      <c r="I8894" s="1" t="str">
        <f t="shared" si="1940"/>
        <v>...</v>
      </c>
      <c r="J8894" s="1" t="str">
        <f t="shared" si="1940"/>
        <v>...</v>
      </c>
      <c r="K8894" s="1" t="str">
        <f t="shared" si="1940"/>
        <v>...</v>
      </c>
      <c r="L8894" s="1" t="str">
        <f t="shared" si="1940"/>
        <v>...</v>
      </c>
      <c r="M8894" s="1" t="str">
        <f t="shared" si="1940"/>
        <v>...</v>
      </c>
      <c r="N8894" t="s">
        <v>30</v>
      </c>
    </row>
    <row r="8895" spans="1:14" x14ac:dyDescent="0.25">
      <c r="A8895" t="s">
        <v>43</v>
      </c>
      <c r="B8895" t="s">
        <v>39</v>
      </c>
      <c r="C8895" t="s">
        <v>15</v>
      </c>
      <c r="D8895" t="s">
        <v>33</v>
      </c>
      <c r="E8895" t="s">
        <v>23</v>
      </c>
      <c r="F8895" t="s">
        <v>19</v>
      </c>
      <c r="G8895" s="1" t="str">
        <f t="shared" ref="G8895:M8898" si="1941">"X"</f>
        <v>X</v>
      </c>
      <c r="H8895" s="1" t="str">
        <f t="shared" si="1941"/>
        <v>X</v>
      </c>
      <c r="I8895" s="1" t="str">
        <f t="shared" si="1941"/>
        <v>X</v>
      </c>
      <c r="J8895" s="1" t="str">
        <f t="shared" si="1941"/>
        <v>X</v>
      </c>
      <c r="K8895" s="1" t="str">
        <f t="shared" si="1941"/>
        <v>X</v>
      </c>
      <c r="L8895" s="1" t="str">
        <f t="shared" si="1941"/>
        <v>X</v>
      </c>
      <c r="M8895" s="1" t="str">
        <f t="shared" si="1941"/>
        <v>X</v>
      </c>
      <c r="N8895" t="s">
        <v>27</v>
      </c>
    </row>
    <row r="8896" spans="1:14" x14ac:dyDescent="0.25">
      <c r="A8896" t="s">
        <v>43</v>
      </c>
      <c r="B8896" t="s">
        <v>39</v>
      </c>
      <c r="C8896" t="s">
        <v>15</v>
      </c>
      <c r="D8896" t="s">
        <v>33</v>
      </c>
      <c r="E8896" t="s">
        <v>23</v>
      </c>
      <c r="F8896" t="s">
        <v>20</v>
      </c>
      <c r="G8896" s="1" t="str">
        <f t="shared" si="1941"/>
        <v>X</v>
      </c>
      <c r="H8896" s="1" t="str">
        <f t="shared" si="1941"/>
        <v>X</v>
      </c>
      <c r="I8896" s="1" t="str">
        <f t="shared" si="1941"/>
        <v>X</v>
      </c>
      <c r="J8896" s="1" t="str">
        <f t="shared" si="1941"/>
        <v>X</v>
      </c>
      <c r="K8896" s="1" t="str">
        <f t="shared" si="1941"/>
        <v>X</v>
      </c>
      <c r="L8896" s="1" t="str">
        <f t="shared" si="1941"/>
        <v>X</v>
      </c>
      <c r="M8896" s="1" t="str">
        <f t="shared" si="1941"/>
        <v>X</v>
      </c>
      <c r="N8896" t="s">
        <v>27</v>
      </c>
    </row>
    <row r="8897" spans="1:14" x14ac:dyDescent="0.25">
      <c r="A8897" t="s">
        <v>43</v>
      </c>
      <c r="B8897" t="s">
        <v>39</v>
      </c>
      <c r="C8897" t="s">
        <v>15</v>
      </c>
      <c r="D8897" t="s">
        <v>33</v>
      </c>
      <c r="E8897" t="s">
        <v>26</v>
      </c>
      <c r="F8897" t="s">
        <v>15</v>
      </c>
      <c r="G8897" s="1" t="str">
        <f t="shared" si="1941"/>
        <v>X</v>
      </c>
      <c r="H8897" s="1" t="str">
        <f t="shared" si="1941"/>
        <v>X</v>
      </c>
      <c r="I8897" s="1" t="str">
        <f t="shared" si="1941"/>
        <v>X</v>
      </c>
      <c r="J8897" s="1" t="str">
        <f t="shared" si="1941"/>
        <v>X</v>
      </c>
      <c r="K8897" s="1" t="str">
        <f t="shared" si="1941"/>
        <v>X</v>
      </c>
      <c r="L8897" s="1" t="str">
        <f t="shared" si="1941"/>
        <v>X</v>
      </c>
      <c r="M8897" s="1" t="str">
        <f t="shared" si="1941"/>
        <v>X</v>
      </c>
      <c r="N8897" t="s">
        <v>27</v>
      </c>
    </row>
    <row r="8898" spans="1:14" x14ac:dyDescent="0.25">
      <c r="A8898" t="s">
        <v>43</v>
      </c>
      <c r="B8898" t="s">
        <v>39</v>
      </c>
      <c r="C8898" t="s">
        <v>15</v>
      </c>
      <c r="D8898" t="s">
        <v>33</v>
      </c>
      <c r="E8898" t="s">
        <v>26</v>
      </c>
      <c r="F8898" t="s">
        <v>17</v>
      </c>
      <c r="G8898" s="1" t="str">
        <f t="shared" si="1941"/>
        <v>X</v>
      </c>
      <c r="H8898" s="1" t="str">
        <f t="shared" si="1941"/>
        <v>X</v>
      </c>
      <c r="I8898" s="1" t="str">
        <f t="shared" si="1941"/>
        <v>X</v>
      </c>
      <c r="J8898" s="1" t="str">
        <f t="shared" si="1941"/>
        <v>X</v>
      </c>
      <c r="K8898" s="1" t="str">
        <f t="shared" si="1941"/>
        <v>X</v>
      </c>
      <c r="L8898" s="1" t="str">
        <f t="shared" si="1941"/>
        <v>X</v>
      </c>
      <c r="M8898" s="1" t="str">
        <f t="shared" si="1941"/>
        <v>X</v>
      </c>
      <c r="N8898" t="s">
        <v>27</v>
      </c>
    </row>
    <row r="8899" spans="1:14" x14ac:dyDescent="0.25">
      <c r="A8899" t="s">
        <v>43</v>
      </c>
      <c r="B8899" t="s">
        <v>39</v>
      </c>
      <c r="C8899" t="s">
        <v>15</v>
      </c>
      <c r="D8899" t="s">
        <v>33</v>
      </c>
      <c r="E8899" t="s">
        <v>26</v>
      </c>
      <c r="F8899" t="s">
        <v>18</v>
      </c>
      <c r="G8899" s="1" t="str">
        <f t="shared" ref="G8899:M8899" si="1942">"..."</f>
        <v>...</v>
      </c>
      <c r="H8899" s="1" t="str">
        <f t="shared" si="1942"/>
        <v>...</v>
      </c>
      <c r="I8899" s="1" t="str">
        <f t="shared" si="1942"/>
        <v>...</v>
      </c>
      <c r="J8899" s="1" t="str">
        <f t="shared" si="1942"/>
        <v>...</v>
      </c>
      <c r="K8899" s="1" t="str">
        <f t="shared" si="1942"/>
        <v>...</v>
      </c>
      <c r="L8899" s="1" t="str">
        <f t="shared" si="1942"/>
        <v>...</v>
      </c>
      <c r="M8899" s="1" t="str">
        <f t="shared" si="1942"/>
        <v>...</v>
      </c>
      <c r="N8899" t="s">
        <v>30</v>
      </c>
    </row>
    <row r="8900" spans="1:14" x14ac:dyDescent="0.25">
      <c r="A8900" t="s">
        <v>43</v>
      </c>
      <c r="B8900" t="s">
        <v>39</v>
      </c>
      <c r="C8900" t="s">
        <v>15</v>
      </c>
      <c r="D8900" t="s">
        <v>33</v>
      </c>
      <c r="E8900" t="s">
        <v>26</v>
      </c>
      <c r="F8900" t="s">
        <v>19</v>
      </c>
      <c r="G8900" s="1" t="str">
        <f t="shared" ref="G8900:M8901" si="1943">"X"</f>
        <v>X</v>
      </c>
      <c r="H8900" s="1" t="str">
        <f t="shared" si="1943"/>
        <v>X</v>
      </c>
      <c r="I8900" s="1" t="str">
        <f t="shared" si="1943"/>
        <v>X</v>
      </c>
      <c r="J8900" s="1" t="str">
        <f t="shared" si="1943"/>
        <v>X</v>
      </c>
      <c r="K8900" s="1" t="str">
        <f t="shared" si="1943"/>
        <v>X</v>
      </c>
      <c r="L8900" s="1" t="str">
        <f t="shared" si="1943"/>
        <v>X</v>
      </c>
      <c r="M8900" s="1" t="str">
        <f t="shared" si="1943"/>
        <v>X</v>
      </c>
      <c r="N8900" t="s">
        <v>27</v>
      </c>
    </row>
    <row r="8901" spans="1:14" x14ac:dyDescent="0.25">
      <c r="A8901" t="s">
        <v>43</v>
      </c>
      <c r="B8901" t="s">
        <v>39</v>
      </c>
      <c r="C8901" t="s">
        <v>15</v>
      </c>
      <c r="D8901" t="s">
        <v>33</v>
      </c>
      <c r="E8901" t="s">
        <v>26</v>
      </c>
      <c r="F8901" t="s">
        <v>20</v>
      </c>
      <c r="G8901" s="1" t="str">
        <f t="shared" si="1943"/>
        <v>X</v>
      </c>
      <c r="H8901" s="1" t="str">
        <f t="shared" si="1943"/>
        <v>X</v>
      </c>
      <c r="I8901" s="1" t="str">
        <f t="shared" si="1943"/>
        <v>X</v>
      </c>
      <c r="J8901" s="1" t="str">
        <f t="shared" si="1943"/>
        <v>X</v>
      </c>
      <c r="K8901" s="1" t="str">
        <f t="shared" si="1943"/>
        <v>X</v>
      </c>
      <c r="L8901" s="1" t="str">
        <f t="shared" si="1943"/>
        <v>X</v>
      </c>
      <c r="M8901" s="1" t="str">
        <f t="shared" si="1943"/>
        <v>X</v>
      </c>
      <c r="N8901" t="s">
        <v>27</v>
      </c>
    </row>
    <row r="8902" spans="1:14" x14ac:dyDescent="0.25">
      <c r="A8902" t="s">
        <v>43</v>
      </c>
      <c r="B8902" t="s">
        <v>39</v>
      </c>
      <c r="C8902" t="s">
        <v>15</v>
      </c>
      <c r="D8902" t="s">
        <v>34</v>
      </c>
      <c r="E8902" t="s">
        <v>15</v>
      </c>
      <c r="F8902" t="s">
        <v>15</v>
      </c>
      <c r="G8902" s="2">
        <f>VALUE(485.01)</f>
        <v>485.01</v>
      </c>
      <c r="H8902" s="3">
        <f>VALUE(365.75)</f>
        <v>365.75</v>
      </c>
      <c r="I8902" s="4">
        <f>VALUE(2836)</f>
        <v>2836</v>
      </c>
      <c r="J8902" s="1">
        <f>VALUE(3537)</f>
        <v>3537</v>
      </c>
      <c r="K8902" s="1">
        <f>VALUE(4252)</f>
        <v>4252</v>
      </c>
      <c r="L8902" s="7">
        <f>VALUE(5608)</f>
        <v>5608</v>
      </c>
      <c r="M8902" s="1">
        <f>VALUE(6384)</f>
        <v>6384</v>
      </c>
      <c r="N8902" t="s">
        <v>25</v>
      </c>
    </row>
    <row r="8903" spans="1:14" x14ac:dyDescent="0.25">
      <c r="A8903" t="s">
        <v>43</v>
      </c>
      <c r="B8903" t="s">
        <v>39</v>
      </c>
      <c r="C8903" t="s">
        <v>15</v>
      </c>
      <c r="D8903" t="s">
        <v>34</v>
      </c>
      <c r="E8903" t="s">
        <v>15</v>
      </c>
      <c r="F8903" t="s">
        <v>17</v>
      </c>
      <c r="G8903" s="1" t="str">
        <f t="shared" ref="G8903:M8905" si="1944">"X"</f>
        <v>X</v>
      </c>
      <c r="H8903" s="1" t="str">
        <f t="shared" si="1944"/>
        <v>X</v>
      </c>
      <c r="I8903" s="1" t="str">
        <f t="shared" si="1944"/>
        <v>X</v>
      </c>
      <c r="J8903" s="1" t="str">
        <f t="shared" si="1944"/>
        <v>X</v>
      </c>
      <c r="K8903" s="1" t="str">
        <f t="shared" si="1944"/>
        <v>X</v>
      </c>
      <c r="L8903" s="1" t="str">
        <f t="shared" si="1944"/>
        <v>X</v>
      </c>
      <c r="M8903" s="1" t="str">
        <f t="shared" si="1944"/>
        <v>X</v>
      </c>
      <c r="N8903" t="s">
        <v>27</v>
      </c>
    </row>
    <row r="8904" spans="1:14" x14ac:dyDescent="0.25">
      <c r="A8904" t="s">
        <v>43</v>
      </c>
      <c r="B8904" t="s">
        <v>39</v>
      </c>
      <c r="C8904" t="s">
        <v>15</v>
      </c>
      <c r="D8904" t="s">
        <v>34</v>
      </c>
      <c r="E8904" t="s">
        <v>15</v>
      </c>
      <c r="F8904" t="s">
        <v>18</v>
      </c>
      <c r="G8904" s="1" t="str">
        <f t="shared" si="1944"/>
        <v>X</v>
      </c>
      <c r="H8904" s="1" t="str">
        <f t="shared" si="1944"/>
        <v>X</v>
      </c>
      <c r="I8904" s="1" t="str">
        <f t="shared" si="1944"/>
        <v>X</v>
      </c>
      <c r="J8904" s="1" t="str">
        <f t="shared" si="1944"/>
        <v>X</v>
      </c>
      <c r="K8904" s="1" t="str">
        <f t="shared" si="1944"/>
        <v>X</v>
      </c>
      <c r="L8904" s="1" t="str">
        <f t="shared" si="1944"/>
        <v>X</v>
      </c>
      <c r="M8904" s="1" t="str">
        <f t="shared" si="1944"/>
        <v>X</v>
      </c>
      <c r="N8904" t="s">
        <v>27</v>
      </c>
    </row>
    <row r="8905" spans="1:14" x14ac:dyDescent="0.25">
      <c r="A8905" t="s">
        <v>43</v>
      </c>
      <c r="B8905" t="s">
        <v>39</v>
      </c>
      <c r="C8905" t="s">
        <v>15</v>
      </c>
      <c r="D8905" t="s">
        <v>34</v>
      </c>
      <c r="E8905" t="s">
        <v>15</v>
      </c>
      <c r="F8905" t="s">
        <v>19</v>
      </c>
      <c r="G8905" s="1" t="str">
        <f t="shared" si="1944"/>
        <v>X</v>
      </c>
      <c r="H8905" s="1" t="str">
        <f t="shared" si="1944"/>
        <v>X</v>
      </c>
      <c r="I8905" s="1" t="str">
        <f t="shared" si="1944"/>
        <v>X</v>
      </c>
      <c r="J8905" s="1" t="str">
        <f t="shared" si="1944"/>
        <v>X</v>
      </c>
      <c r="K8905" s="1" t="str">
        <f t="shared" si="1944"/>
        <v>X</v>
      </c>
      <c r="L8905" s="1" t="str">
        <f t="shared" si="1944"/>
        <v>X</v>
      </c>
      <c r="M8905" s="1" t="str">
        <f t="shared" si="1944"/>
        <v>X</v>
      </c>
      <c r="N8905" t="s">
        <v>27</v>
      </c>
    </row>
    <row r="8906" spans="1:14" x14ac:dyDescent="0.25">
      <c r="A8906" t="s">
        <v>43</v>
      </c>
      <c r="B8906" t="s">
        <v>39</v>
      </c>
      <c r="C8906" t="s">
        <v>15</v>
      </c>
      <c r="D8906" t="s">
        <v>34</v>
      </c>
      <c r="E8906" t="s">
        <v>15</v>
      </c>
      <c r="F8906" t="s">
        <v>20</v>
      </c>
      <c r="G8906" s="2">
        <f>VALUE(430.43)</f>
        <v>430.43</v>
      </c>
      <c r="H8906" s="3">
        <f>VALUE(325.21)</f>
        <v>325.20999999999998</v>
      </c>
      <c r="I8906" s="4">
        <f>VALUE(2606)</f>
        <v>2606</v>
      </c>
      <c r="J8906" s="1">
        <f>VALUE(3515)</f>
        <v>3515</v>
      </c>
      <c r="K8906" s="6">
        <f>VALUE(4252)</f>
        <v>4252</v>
      </c>
      <c r="L8906" s="7">
        <f>VALUE(5125)</f>
        <v>5125</v>
      </c>
      <c r="M8906" s="1">
        <f>VALUE(6077)</f>
        <v>6077</v>
      </c>
      <c r="N8906" t="s">
        <v>25</v>
      </c>
    </row>
    <row r="8907" spans="1:14" x14ac:dyDescent="0.25">
      <c r="A8907" t="s">
        <v>43</v>
      </c>
      <c r="B8907" t="s">
        <v>39</v>
      </c>
      <c r="C8907" t="s">
        <v>15</v>
      </c>
      <c r="D8907" t="s">
        <v>34</v>
      </c>
      <c r="E8907" t="s">
        <v>21</v>
      </c>
      <c r="F8907" t="s">
        <v>15</v>
      </c>
      <c r="G8907" s="1" t="str">
        <f t="shared" ref="G8907:M8917" si="1945">"X"</f>
        <v>X</v>
      </c>
      <c r="H8907" s="1" t="str">
        <f t="shared" si="1945"/>
        <v>X</v>
      </c>
      <c r="I8907" s="1" t="str">
        <f t="shared" si="1945"/>
        <v>X</v>
      </c>
      <c r="J8907" s="1" t="str">
        <f t="shared" si="1945"/>
        <v>X</v>
      </c>
      <c r="K8907" s="1" t="str">
        <f t="shared" si="1945"/>
        <v>X</v>
      </c>
      <c r="L8907" s="1" t="str">
        <f t="shared" si="1945"/>
        <v>X</v>
      </c>
      <c r="M8907" s="1" t="str">
        <f t="shared" si="1945"/>
        <v>X</v>
      </c>
      <c r="N8907" t="s">
        <v>27</v>
      </c>
    </row>
    <row r="8908" spans="1:14" x14ac:dyDescent="0.25">
      <c r="A8908" t="s">
        <v>43</v>
      </c>
      <c r="B8908" t="s">
        <v>39</v>
      </c>
      <c r="C8908" t="s">
        <v>15</v>
      </c>
      <c r="D8908" t="s">
        <v>34</v>
      </c>
      <c r="E8908" t="s">
        <v>21</v>
      </c>
      <c r="F8908" t="s">
        <v>17</v>
      </c>
      <c r="G8908" s="1" t="str">
        <f t="shared" si="1945"/>
        <v>X</v>
      </c>
      <c r="H8908" s="1" t="str">
        <f t="shared" si="1945"/>
        <v>X</v>
      </c>
      <c r="I8908" s="1" t="str">
        <f t="shared" si="1945"/>
        <v>X</v>
      </c>
      <c r="J8908" s="1" t="str">
        <f t="shared" si="1945"/>
        <v>X</v>
      </c>
      <c r="K8908" s="1" t="str">
        <f t="shared" si="1945"/>
        <v>X</v>
      </c>
      <c r="L8908" s="1" t="str">
        <f t="shared" si="1945"/>
        <v>X</v>
      </c>
      <c r="M8908" s="1" t="str">
        <f t="shared" si="1945"/>
        <v>X</v>
      </c>
      <c r="N8908" t="s">
        <v>27</v>
      </c>
    </row>
    <row r="8909" spans="1:14" x14ac:dyDescent="0.25">
      <c r="A8909" t="s">
        <v>43</v>
      </c>
      <c r="B8909" t="s">
        <v>39</v>
      </c>
      <c r="C8909" t="s">
        <v>15</v>
      </c>
      <c r="D8909" t="s">
        <v>34</v>
      </c>
      <c r="E8909" t="s">
        <v>21</v>
      </c>
      <c r="F8909" t="s">
        <v>18</v>
      </c>
      <c r="G8909" s="1" t="str">
        <f t="shared" si="1945"/>
        <v>X</v>
      </c>
      <c r="H8909" s="1" t="str">
        <f t="shared" si="1945"/>
        <v>X</v>
      </c>
      <c r="I8909" s="1" t="str">
        <f t="shared" si="1945"/>
        <v>X</v>
      </c>
      <c r="J8909" s="1" t="str">
        <f t="shared" si="1945"/>
        <v>X</v>
      </c>
      <c r="K8909" s="1" t="str">
        <f t="shared" si="1945"/>
        <v>X</v>
      </c>
      <c r="L8909" s="1" t="str">
        <f t="shared" si="1945"/>
        <v>X</v>
      </c>
      <c r="M8909" s="1" t="str">
        <f t="shared" si="1945"/>
        <v>X</v>
      </c>
      <c r="N8909" t="s">
        <v>27</v>
      </c>
    </row>
    <row r="8910" spans="1:14" x14ac:dyDescent="0.25">
      <c r="A8910" t="s">
        <v>43</v>
      </c>
      <c r="B8910" t="s">
        <v>39</v>
      </c>
      <c r="C8910" t="s">
        <v>15</v>
      </c>
      <c r="D8910" t="s">
        <v>34</v>
      </c>
      <c r="E8910" t="s">
        <v>21</v>
      </c>
      <c r="F8910" t="s">
        <v>19</v>
      </c>
      <c r="G8910" s="1" t="str">
        <f t="shared" si="1945"/>
        <v>X</v>
      </c>
      <c r="H8910" s="1" t="str">
        <f t="shared" si="1945"/>
        <v>X</v>
      </c>
      <c r="I8910" s="1" t="str">
        <f t="shared" si="1945"/>
        <v>X</v>
      </c>
      <c r="J8910" s="1" t="str">
        <f t="shared" si="1945"/>
        <v>X</v>
      </c>
      <c r="K8910" s="1" t="str">
        <f t="shared" si="1945"/>
        <v>X</v>
      </c>
      <c r="L8910" s="1" t="str">
        <f t="shared" si="1945"/>
        <v>X</v>
      </c>
      <c r="M8910" s="1" t="str">
        <f t="shared" si="1945"/>
        <v>X</v>
      </c>
      <c r="N8910" t="s">
        <v>27</v>
      </c>
    </row>
    <row r="8911" spans="1:14" x14ac:dyDescent="0.25">
      <c r="A8911" t="s">
        <v>43</v>
      </c>
      <c r="B8911" t="s">
        <v>39</v>
      </c>
      <c r="C8911" t="s">
        <v>15</v>
      </c>
      <c r="D8911" t="s">
        <v>34</v>
      </c>
      <c r="E8911" t="s">
        <v>21</v>
      </c>
      <c r="F8911" t="s">
        <v>20</v>
      </c>
      <c r="G8911" s="1" t="str">
        <f t="shared" si="1945"/>
        <v>X</v>
      </c>
      <c r="H8911" s="1" t="str">
        <f t="shared" si="1945"/>
        <v>X</v>
      </c>
      <c r="I8911" s="1" t="str">
        <f t="shared" si="1945"/>
        <v>X</v>
      </c>
      <c r="J8911" s="1" t="str">
        <f t="shared" si="1945"/>
        <v>X</v>
      </c>
      <c r="K8911" s="1" t="str">
        <f t="shared" si="1945"/>
        <v>X</v>
      </c>
      <c r="L8911" s="1" t="str">
        <f t="shared" si="1945"/>
        <v>X</v>
      </c>
      <c r="M8911" s="1" t="str">
        <f t="shared" si="1945"/>
        <v>X</v>
      </c>
      <c r="N8911" t="s">
        <v>27</v>
      </c>
    </row>
    <row r="8912" spans="1:14" x14ac:dyDescent="0.25">
      <c r="A8912" t="s">
        <v>43</v>
      </c>
      <c r="B8912" t="s">
        <v>39</v>
      </c>
      <c r="C8912" t="s">
        <v>15</v>
      </c>
      <c r="D8912" t="s">
        <v>34</v>
      </c>
      <c r="E8912" t="s">
        <v>22</v>
      </c>
      <c r="F8912" t="s">
        <v>15</v>
      </c>
      <c r="G8912" s="1" t="str">
        <f t="shared" si="1945"/>
        <v>X</v>
      </c>
      <c r="H8912" s="1" t="str">
        <f t="shared" si="1945"/>
        <v>X</v>
      </c>
      <c r="I8912" s="1" t="str">
        <f t="shared" si="1945"/>
        <v>X</v>
      </c>
      <c r="J8912" s="1" t="str">
        <f t="shared" si="1945"/>
        <v>X</v>
      </c>
      <c r="K8912" s="1" t="str">
        <f t="shared" si="1945"/>
        <v>X</v>
      </c>
      <c r="L8912" s="1" t="str">
        <f t="shared" si="1945"/>
        <v>X</v>
      </c>
      <c r="M8912" s="1" t="str">
        <f t="shared" si="1945"/>
        <v>X</v>
      </c>
      <c r="N8912" t="s">
        <v>27</v>
      </c>
    </row>
    <row r="8913" spans="1:14" x14ac:dyDescent="0.25">
      <c r="A8913" t="s">
        <v>43</v>
      </c>
      <c r="B8913" t="s">
        <v>39</v>
      </c>
      <c r="C8913" t="s">
        <v>15</v>
      </c>
      <c r="D8913" t="s">
        <v>34</v>
      </c>
      <c r="E8913" t="s">
        <v>22</v>
      </c>
      <c r="F8913" t="s">
        <v>17</v>
      </c>
      <c r="G8913" s="1" t="str">
        <f t="shared" si="1945"/>
        <v>X</v>
      </c>
      <c r="H8913" s="1" t="str">
        <f t="shared" si="1945"/>
        <v>X</v>
      </c>
      <c r="I8913" s="1" t="str">
        <f t="shared" si="1945"/>
        <v>X</v>
      </c>
      <c r="J8913" s="1" t="str">
        <f t="shared" si="1945"/>
        <v>X</v>
      </c>
      <c r="K8913" s="1" t="str">
        <f t="shared" si="1945"/>
        <v>X</v>
      </c>
      <c r="L8913" s="1" t="str">
        <f t="shared" si="1945"/>
        <v>X</v>
      </c>
      <c r="M8913" s="1" t="str">
        <f t="shared" si="1945"/>
        <v>X</v>
      </c>
      <c r="N8913" t="s">
        <v>27</v>
      </c>
    </row>
    <row r="8914" spans="1:14" x14ac:dyDescent="0.25">
      <c r="A8914" t="s">
        <v>43</v>
      </c>
      <c r="B8914" t="s">
        <v>39</v>
      </c>
      <c r="C8914" t="s">
        <v>15</v>
      </c>
      <c r="D8914" t="s">
        <v>34</v>
      </c>
      <c r="E8914" t="s">
        <v>22</v>
      </c>
      <c r="F8914" t="s">
        <v>18</v>
      </c>
      <c r="G8914" s="1" t="str">
        <f t="shared" si="1945"/>
        <v>X</v>
      </c>
      <c r="H8914" s="1" t="str">
        <f t="shared" si="1945"/>
        <v>X</v>
      </c>
      <c r="I8914" s="1" t="str">
        <f t="shared" si="1945"/>
        <v>X</v>
      </c>
      <c r="J8914" s="1" t="str">
        <f t="shared" si="1945"/>
        <v>X</v>
      </c>
      <c r="K8914" s="1" t="str">
        <f t="shared" si="1945"/>
        <v>X</v>
      </c>
      <c r="L8914" s="1" t="str">
        <f t="shared" si="1945"/>
        <v>X</v>
      </c>
      <c r="M8914" s="1" t="str">
        <f t="shared" si="1945"/>
        <v>X</v>
      </c>
      <c r="N8914" t="s">
        <v>27</v>
      </c>
    </row>
    <row r="8915" spans="1:14" x14ac:dyDescent="0.25">
      <c r="A8915" t="s">
        <v>43</v>
      </c>
      <c r="B8915" t="s">
        <v>39</v>
      </c>
      <c r="C8915" t="s">
        <v>15</v>
      </c>
      <c r="D8915" t="s">
        <v>34</v>
      </c>
      <c r="E8915" t="s">
        <v>22</v>
      </c>
      <c r="F8915" t="s">
        <v>19</v>
      </c>
      <c r="G8915" s="1" t="str">
        <f t="shared" si="1945"/>
        <v>X</v>
      </c>
      <c r="H8915" s="1" t="str">
        <f t="shared" si="1945"/>
        <v>X</v>
      </c>
      <c r="I8915" s="1" t="str">
        <f t="shared" si="1945"/>
        <v>X</v>
      </c>
      <c r="J8915" s="1" t="str">
        <f t="shared" si="1945"/>
        <v>X</v>
      </c>
      <c r="K8915" s="1" t="str">
        <f t="shared" si="1945"/>
        <v>X</v>
      </c>
      <c r="L8915" s="1" t="str">
        <f t="shared" si="1945"/>
        <v>X</v>
      </c>
      <c r="M8915" s="1" t="str">
        <f t="shared" si="1945"/>
        <v>X</v>
      </c>
      <c r="N8915" t="s">
        <v>27</v>
      </c>
    </row>
    <row r="8916" spans="1:14" x14ac:dyDescent="0.25">
      <c r="A8916" t="s">
        <v>43</v>
      </c>
      <c r="B8916" t="s">
        <v>39</v>
      </c>
      <c r="C8916" t="s">
        <v>15</v>
      </c>
      <c r="D8916" t="s">
        <v>34</v>
      </c>
      <c r="E8916" t="s">
        <v>22</v>
      </c>
      <c r="F8916" t="s">
        <v>20</v>
      </c>
      <c r="G8916" s="1" t="str">
        <f t="shared" si="1945"/>
        <v>X</v>
      </c>
      <c r="H8916" s="1" t="str">
        <f t="shared" si="1945"/>
        <v>X</v>
      </c>
      <c r="I8916" s="1" t="str">
        <f t="shared" si="1945"/>
        <v>X</v>
      </c>
      <c r="J8916" s="1" t="str">
        <f t="shared" si="1945"/>
        <v>X</v>
      </c>
      <c r="K8916" s="1" t="str">
        <f t="shared" si="1945"/>
        <v>X</v>
      </c>
      <c r="L8916" s="1" t="str">
        <f t="shared" si="1945"/>
        <v>X</v>
      </c>
      <c r="M8916" s="1" t="str">
        <f t="shared" si="1945"/>
        <v>X</v>
      </c>
      <c r="N8916" t="s">
        <v>27</v>
      </c>
    </row>
    <row r="8917" spans="1:14" x14ac:dyDescent="0.25">
      <c r="A8917" t="s">
        <v>43</v>
      </c>
      <c r="B8917" t="s">
        <v>39</v>
      </c>
      <c r="C8917" t="s">
        <v>15</v>
      </c>
      <c r="D8917" t="s">
        <v>34</v>
      </c>
      <c r="E8917" t="s">
        <v>23</v>
      </c>
      <c r="F8917" t="s">
        <v>15</v>
      </c>
      <c r="G8917" s="1" t="str">
        <f t="shared" si="1945"/>
        <v>X</v>
      </c>
      <c r="H8917" s="1" t="str">
        <f t="shared" si="1945"/>
        <v>X</v>
      </c>
      <c r="I8917" s="1" t="str">
        <f t="shared" si="1945"/>
        <v>X</v>
      </c>
      <c r="J8917" s="1" t="str">
        <f t="shared" si="1945"/>
        <v>X</v>
      </c>
      <c r="K8917" s="1" t="str">
        <f t="shared" si="1945"/>
        <v>X</v>
      </c>
      <c r="L8917" s="1" t="str">
        <f t="shared" si="1945"/>
        <v>X</v>
      </c>
      <c r="M8917" s="1" t="str">
        <f t="shared" si="1945"/>
        <v>X</v>
      </c>
      <c r="N8917" t="s">
        <v>27</v>
      </c>
    </row>
    <row r="8918" spans="1:14" x14ac:dyDescent="0.25">
      <c r="A8918" t="s">
        <v>43</v>
      </c>
      <c r="B8918" t="s">
        <v>39</v>
      </c>
      <c r="C8918" t="s">
        <v>15</v>
      </c>
      <c r="D8918" t="s">
        <v>34</v>
      </c>
      <c r="E8918" t="s">
        <v>23</v>
      </c>
      <c r="F8918" t="s">
        <v>17</v>
      </c>
      <c r="G8918" s="1" t="str">
        <f t="shared" ref="G8918:M8918" si="1946">"..."</f>
        <v>...</v>
      </c>
      <c r="H8918" s="1" t="str">
        <f t="shared" si="1946"/>
        <v>...</v>
      </c>
      <c r="I8918" s="1" t="str">
        <f t="shared" si="1946"/>
        <v>...</v>
      </c>
      <c r="J8918" s="1" t="str">
        <f t="shared" si="1946"/>
        <v>...</v>
      </c>
      <c r="K8918" s="1" t="str">
        <f t="shared" si="1946"/>
        <v>...</v>
      </c>
      <c r="L8918" s="1" t="str">
        <f t="shared" si="1946"/>
        <v>...</v>
      </c>
      <c r="M8918" s="1" t="str">
        <f t="shared" si="1946"/>
        <v>...</v>
      </c>
      <c r="N8918" t="s">
        <v>30</v>
      </c>
    </row>
    <row r="8919" spans="1:14" x14ac:dyDescent="0.25">
      <c r="A8919" t="s">
        <v>43</v>
      </c>
      <c r="B8919" t="s">
        <v>39</v>
      </c>
      <c r="C8919" t="s">
        <v>15</v>
      </c>
      <c r="D8919" t="s">
        <v>34</v>
      </c>
      <c r="E8919" t="s">
        <v>23</v>
      </c>
      <c r="F8919" t="s">
        <v>18</v>
      </c>
      <c r="G8919" s="1" t="str">
        <f t="shared" ref="G8919:M8922" si="1947">"X"</f>
        <v>X</v>
      </c>
      <c r="H8919" s="1" t="str">
        <f t="shared" si="1947"/>
        <v>X</v>
      </c>
      <c r="I8919" s="1" t="str">
        <f t="shared" si="1947"/>
        <v>X</v>
      </c>
      <c r="J8919" s="1" t="str">
        <f t="shared" si="1947"/>
        <v>X</v>
      </c>
      <c r="K8919" s="1" t="str">
        <f t="shared" si="1947"/>
        <v>X</v>
      </c>
      <c r="L8919" s="1" t="str">
        <f t="shared" si="1947"/>
        <v>X</v>
      </c>
      <c r="M8919" s="1" t="str">
        <f t="shared" si="1947"/>
        <v>X</v>
      </c>
      <c r="N8919" t="s">
        <v>27</v>
      </c>
    </row>
    <row r="8920" spans="1:14" x14ac:dyDescent="0.25">
      <c r="A8920" t="s">
        <v>43</v>
      </c>
      <c r="B8920" t="s">
        <v>39</v>
      </c>
      <c r="C8920" t="s">
        <v>15</v>
      </c>
      <c r="D8920" t="s">
        <v>34</v>
      </c>
      <c r="E8920" t="s">
        <v>23</v>
      </c>
      <c r="F8920" t="s">
        <v>19</v>
      </c>
      <c r="G8920" s="1" t="str">
        <f t="shared" si="1947"/>
        <v>X</v>
      </c>
      <c r="H8920" s="1" t="str">
        <f t="shared" si="1947"/>
        <v>X</v>
      </c>
      <c r="I8920" s="1" t="str">
        <f t="shared" si="1947"/>
        <v>X</v>
      </c>
      <c r="J8920" s="1" t="str">
        <f t="shared" si="1947"/>
        <v>X</v>
      </c>
      <c r="K8920" s="1" t="str">
        <f t="shared" si="1947"/>
        <v>X</v>
      </c>
      <c r="L8920" s="1" t="str">
        <f t="shared" si="1947"/>
        <v>X</v>
      </c>
      <c r="M8920" s="1" t="str">
        <f t="shared" si="1947"/>
        <v>X</v>
      </c>
      <c r="N8920" t="s">
        <v>27</v>
      </c>
    </row>
    <row r="8921" spans="1:14" x14ac:dyDescent="0.25">
      <c r="A8921" t="s">
        <v>43</v>
      </c>
      <c r="B8921" t="s">
        <v>39</v>
      </c>
      <c r="C8921" t="s">
        <v>15</v>
      </c>
      <c r="D8921" t="s">
        <v>34</v>
      </c>
      <c r="E8921" t="s">
        <v>23</v>
      </c>
      <c r="F8921" t="s">
        <v>20</v>
      </c>
      <c r="G8921" s="1" t="str">
        <f t="shared" si="1947"/>
        <v>X</v>
      </c>
      <c r="H8921" s="1" t="str">
        <f t="shared" si="1947"/>
        <v>X</v>
      </c>
      <c r="I8921" s="1" t="str">
        <f t="shared" si="1947"/>
        <v>X</v>
      </c>
      <c r="J8921" s="1" t="str">
        <f t="shared" si="1947"/>
        <v>X</v>
      </c>
      <c r="K8921" s="1" t="str">
        <f t="shared" si="1947"/>
        <v>X</v>
      </c>
      <c r="L8921" s="1" t="str">
        <f t="shared" si="1947"/>
        <v>X</v>
      </c>
      <c r="M8921" s="1" t="str">
        <f t="shared" si="1947"/>
        <v>X</v>
      </c>
      <c r="N8921" t="s">
        <v>27</v>
      </c>
    </row>
    <row r="8922" spans="1:14" x14ac:dyDescent="0.25">
      <c r="A8922" t="s">
        <v>43</v>
      </c>
      <c r="B8922" t="s">
        <v>39</v>
      </c>
      <c r="C8922" t="s">
        <v>15</v>
      </c>
      <c r="D8922" t="s">
        <v>34</v>
      </c>
      <c r="E8922" t="s">
        <v>26</v>
      </c>
      <c r="F8922" t="s">
        <v>15</v>
      </c>
      <c r="G8922" s="1" t="str">
        <f t="shared" si="1947"/>
        <v>X</v>
      </c>
      <c r="H8922" s="1" t="str">
        <f t="shared" si="1947"/>
        <v>X</v>
      </c>
      <c r="I8922" s="1" t="str">
        <f t="shared" si="1947"/>
        <v>X</v>
      </c>
      <c r="J8922" s="1" t="str">
        <f t="shared" si="1947"/>
        <v>X</v>
      </c>
      <c r="K8922" s="1" t="str">
        <f t="shared" si="1947"/>
        <v>X</v>
      </c>
      <c r="L8922" s="1" t="str">
        <f t="shared" si="1947"/>
        <v>X</v>
      </c>
      <c r="M8922" s="1" t="str">
        <f t="shared" si="1947"/>
        <v>X</v>
      </c>
      <c r="N8922" t="s">
        <v>27</v>
      </c>
    </row>
    <row r="8923" spans="1:14" x14ac:dyDescent="0.25">
      <c r="A8923" t="s">
        <v>43</v>
      </c>
      <c r="B8923" t="s">
        <v>39</v>
      </c>
      <c r="C8923" t="s">
        <v>15</v>
      </c>
      <c r="D8923" t="s">
        <v>34</v>
      </c>
      <c r="E8923" t="s">
        <v>26</v>
      </c>
      <c r="F8923" t="s">
        <v>17</v>
      </c>
      <c r="G8923" s="1" t="str">
        <f t="shared" ref="G8923:M8925" si="1948">"..."</f>
        <v>...</v>
      </c>
      <c r="H8923" s="1" t="str">
        <f t="shared" si="1948"/>
        <v>...</v>
      </c>
      <c r="I8923" s="1" t="str">
        <f t="shared" si="1948"/>
        <v>...</v>
      </c>
      <c r="J8923" s="1" t="str">
        <f t="shared" si="1948"/>
        <v>...</v>
      </c>
      <c r="K8923" s="1" t="str">
        <f t="shared" si="1948"/>
        <v>...</v>
      </c>
      <c r="L8923" s="1" t="str">
        <f t="shared" si="1948"/>
        <v>...</v>
      </c>
      <c r="M8923" s="1" t="str">
        <f t="shared" si="1948"/>
        <v>...</v>
      </c>
      <c r="N8923" t="s">
        <v>30</v>
      </c>
    </row>
    <row r="8924" spans="1:14" x14ac:dyDescent="0.25">
      <c r="A8924" t="s">
        <v>43</v>
      </c>
      <c r="B8924" t="s">
        <v>39</v>
      </c>
      <c r="C8924" t="s">
        <v>15</v>
      </c>
      <c r="D8924" t="s">
        <v>34</v>
      </c>
      <c r="E8924" t="s">
        <v>26</v>
      </c>
      <c r="F8924" t="s">
        <v>18</v>
      </c>
      <c r="G8924" s="1" t="str">
        <f t="shared" si="1948"/>
        <v>...</v>
      </c>
      <c r="H8924" s="1" t="str">
        <f t="shared" si="1948"/>
        <v>...</v>
      </c>
      <c r="I8924" s="1" t="str">
        <f t="shared" si="1948"/>
        <v>...</v>
      </c>
      <c r="J8924" s="1" t="str">
        <f t="shared" si="1948"/>
        <v>...</v>
      </c>
      <c r="K8924" s="1" t="str">
        <f t="shared" si="1948"/>
        <v>...</v>
      </c>
      <c r="L8924" s="1" t="str">
        <f t="shared" si="1948"/>
        <v>...</v>
      </c>
      <c r="M8924" s="1" t="str">
        <f t="shared" si="1948"/>
        <v>...</v>
      </c>
      <c r="N8924" t="s">
        <v>30</v>
      </c>
    </row>
    <row r="8925" spans="1:14" x14ac:dyDescent="0.25">
      <c r="A8925" t="s">
        <v>43</v>
      </c>
      <c r="B8925" t="s">
        <v>39</v>
      </c>
      <c r="C8925" t="s">
        <v>15</v>
      </c>
      <c r="D8925" t="s">
        <v>34</v>
      </c>
      <c r="E8925" t="s">
        <v>26</v>
      </c>
      <c r="F8925" t="s">
        <v>19</v>
      </c>
      <c r="G8925" s="1" t="str">
        <f t="shared" si="1948"/>
        <v>...</v>
      </c>
      <c r="H8925" s="1" t="str">
        <f t="shared" si="1948"/>
        <v>...</v>
      </c>
      <c r="I8925" s="1" t="str">
        <f t="shared" si="1948"/>
        <v>...</v>
      </c>
      <c r="J8925" s="1" t="str">
        <f t="shared" si="1948"/>
        <v>...</v>
      </c>
      <c r="K8925" s="1" t="str">
        <f t="shared" si="1948"/>
        <v>...</v>
      </c>
      <c r="L8925" s="1" t="str">
        <f t="shared" si="1948"/>
        <v>...</v>
      </c>
      <c r="M8925" s="1" t="str">
        <f t="shared" si="1948"/>
        <v>...</v>
      </c>
      <c r="N8925" t="s">
        <v>30</v>
      </c>
    </row>
    <row r="8926" spans="1:14" x14ac:dyDescent="0.25">
      <c r="A8926" t="s">
        <v>43</v>
      </c>
      <c r="B8926" t="s">
        <v>39</v>
      </c>
      <c r="C8926" t="s">
        <v>15</v>
      </c>
      <c r="D8926" t="s">
        <v>34</v>
      </c>
      <c r="E8926" t="s">
        <v>26</v>
      </c>
      <c r="F8926" t="s">
        <v>20</v>
      </c>
      <c r="G8926" s="1" t="str">
        <f t="shared" ref="G8926:M8926" si="1949">"X"</f>
        <v>X</v>
      </c>
      <c r="H8926" s="1" t="str">
        <f t="shared" si="1949"/>
        <v>X</v>
      </c>
      <c r="I8926" s="1" t="str">
        <f t="shared" si="1949"/>
        <v>X</v>
      </c>
      <c r="J8926" s="1" t="str">
        <f t="shared" si="1949"/>
        <v>X</v>
      </c>
      <c r="K8926" s="1" t="str">
        <f t="shared" si="1949"/>
        <v>X</v>
      </c>
      <c r="L8926" s="1" t="str">
        <f t="shared" si="1949"/>
        <v>X</v>
      </c>
      <c r="M8926" s="1" t="str">
        <f t="shared" si="1949"/>
        <v>X</v>
      </c>
      <c r="N8926" t="s">
        <v>27</v>
      </c>
    </row>
    <row r="8927" spans="1:14" x14ac:dyDescent="0.25">
      <c r="A8927" t="s">
        <v>43</v>
      </c>
      <c r="B8927" t="s">
        <v>39</v>
      </c>
      <c r="C8927" t="s">
        <v>35</v>
      </c>
      <c r="D8927" t="s">
        <v>15</v>
      </c>
      <c r="E8927" t="s">
        <v>15</v>
      </c>
      <c r="F8927" t="s">
        <v>15</v>
      </c>
      <c r="G8927" s="2">
        <f>VALUE(3381.71)</f>
        <v>3381.71</v>
      </c>
      <c r="H8927" s="3">
        <f>VALUE(3087.74)</f>
        <v>3087.74</v>
      </c>
      <c r="I8927" s="4">
        <f>VALUE(2655)</f>
        <v>2655</v>
      </c>
      <c r="J8927" s="1">
        <f>VALUE(3388)</f>
        <v>3388</v>
      </c>
      <c r="K8927" s="1">
        <f>VALUE(3955)</f>
        <v>3955</v>
      </c>
      <c r="L8927" s="1">
        <f>VALUE(4574)</f>
        <v>4574</v>
      </c>
      <c r="M8927" s="1">
        <f>VALUE(5030)</f>
        <v>5030</v>
      </c>
      <c r="N8927" t="s">
        <v>25</v>
      </c>
    </row>
    <row r="8928" spans="1:14" x14ac:dyDescent="0.25">
      <c r="A8928" t="s">
        <v>43</v>
      </c>
      <c r="B8928" t="s">
        <v>39</v>
      </c>
      <c r="C8928" t="s">
        <v>35</v>
      </c>
      <c r="D8928" t="s">
        <v>15</v>
      </c>
      <c r="E8928" t="s">
        <v>15</v>
      </c>
      <c r="F8928" t="s">
        <v>17</v>
      </c>
      <c r="G8928" s="1" t="str">
        <f t="shared" ref="G8928:M8929" si="1950">"X"</f>
        <v>X</v>
      </c>
      <c r="H8928" s="1" t="str">
        <f t="shared" si="1950"/>
        <v>X</v>
      </c>
      <c r="I8928" s="1" t="str">
        <f t="shared" si="1950"/>
        <v>X</v>
      </c>
      <c r="J8928" s="1" t="str">
        <f t="shared" si="1950"/>
        <v>X</v>
      </c>
      <c r="K8928" s="1" t="str">
        <f t="shared" si="1950"/>
        <v>X</v>
      </c>
      <c r="L8928" s="1" t="str">
        <f t="shared" si="1950"/>
        <v>X</v>
      </c>
      <c r="M8928" s="1" t="str">
        <f t="shared" si="1950"/>
        <v>X</v>
      </c>
      <c r="N8928" t="s">
        <v>27</v>
      </c>
    </row>
    <row r="8929" spans="1:14" x14ac:dyDescent="0.25">
      <c r="A8929" t="s">
        <v>43</v>
      </c>
      <c r="B8929" t="s">
        <v>39</v>
      </c>
      <c r="C8929" t="s">
        <v>35</v>
      </c>
      <c r="D8929" t="s">
        <v>15</v>
      </c>
      <c r="E8929" t="s">
        <v>15</v>
      </c>
      <c r="F8929" t="s">
        <v>18</v>
      </c>
      <c r="G8929" s="1" t="str">
        <f t="shared" si="1950"/>
        <v>X</v>
      </c>
      <c r="H8929" s="1" t="str">
        <f t="shared" si="1950"/>
        <v>X</v>
      </c>
      <c r="I8929" s="1" t="str">
        <f t="shared" si="1950"/>
        <v>X</v>
      </c>
      <c r="J8929" s="1" t="str">
        <f t="shared" si="1950"/>
        <v>X</v>
      </c>
      <c r="K8929" s="1" t="str">
        <f t="shared" si="1950"/>
        <v>X</v>
      </c>
      <c r="L8929" s="1" t="str">
        <f t="shared" si="1950"/>
        <v>X</v>
      </c>
      <c r="M8929" s="1" t="str">
        <f t="shared" si="1950"/>
        <v>X</v>
      </c>
      <c r="N8929" t="s">
        <v>27</v>
      </c>
    </row>
    <row r="8930" spans="1:14" x14ac:dyDescent="0.25">
      <c r="A8930" t="s">
        <v>43</v>
      </c>
      <c r="B8930" t="s">
        <v>39</v>
      </c>
      <c r="C8930" t="s">
        <v>35</v>
      </c>
      <c r="D8930" t="s">
        <v>15</v>
      </c>
      <c r="E8930" t="s">
        <v>15</v>
      </c>
      <c r="F8930" t="s">
        <v>19</v>
      </c>
      <c r="G8930" s="2">
        <f>VALUE(467.89)</f>
        <v>467.89</v>
      </c>
      <c r="H8930" s="3">
        <f>VALUE(447.9)</f>
        <v>447.9</v>
      </c>
      <c r="I8930" s="1">
        <f>VALUE(3663)</f>
        <v>3663</v>
      </c>
      <c r="J8930" s="1">
        <f>VALUE(3691)</f>
        <v>3691</v>
      </c>
      <c r="K8930" s="6">
        <f>VALUE(4124)</f>
        <v>4124</v>
      </c>
      <c r="L8930" s="7">
        <f>VALUE(4490)</f>
        <v>4490</v>
      </c>
      <c r="M8930" s="1">
        <f>VALUE(5432)</f>
        <v>5432</v>
      </c>
      <c r="N8930" t="s">
        <v>25</v>
      </c>
    </row>
    <row r="8931" spans="1:14" x14ac:dyDescent="0.25">
      <c r="A8931" t="s">
        <v>43</v>
      </c>
      <c r="B8931" t="s">
        <v>39</v>
      </c>
      <c r="C8931" t="s">
        <v>35</v>
      </c>
      <c r="D8931" t="s">
        <v>15</v>
      </c>
      <c r="E8931" t="s">
        <v>15</v>
      </c>
      <c r="F8931" t="s">
        <v>20</v>
      </c>
      <c r="G8931" s="2">
        <f>VALUE(2735.78)</f>
        <v>2735.78</v>
      </c>
      <c r="H8931" s="3">
        <f>VALUE(2457.18)</f>
        <v>2457.1799999999998</v>
      </c>
      <c r="I8931" s="4">
        <f>VALUE(2641)</f>
        <v>2641</v>
      </c>
      <c r="J8931" s="5">
        <f>VALUE(3200)</f>
        <v>3200</v>
      </c>
      <c r="K8931" s="1">
        <f>VALUE(3906)</f>
        <v>3906</v>
      </c>
      <c r="L8931" s="1">
        <f>VALUE(4624)</f>
        <v>4624</v>
      </c>
      <c r="M8931" s="1">
        <f>VALUE(5016)</f>
        <v>5016</v>
      </c>
      <c r="N8931" t="s">
        <v>25</v>
      </c>
    </row>
    <row r="8932" spans="1:14" x14ac:dyDescent="0.25">
      <c r="A8932" t="s">
        <v>43</v>
      </c>
      <c r="B8932" t="s">
        <v>39</v>
      </c>
      <c r="C8932" t="s">
        <v>35</v>
      </c>
      <c r="D8932" t="s">
        <v>15</v>
      </c>
      <c r="E8932" t="s">
        <v>21</v>
      </c>
      <c r="F8932" t="s">
        <v>15</v>
      </c>
      <c r="G8932" s="2">
        <f>VALUE(262.85)</f>
        <v>262.85000000000002</v>
      </c>
      <c r="H8932" s="3">
        <f>VALUE(240.28)</f>
        <v>240.28</v>
      </c>
      <c r="I8932" s="4">
        <f>VALUE(3393)</f>
        <v>3393</v>
      </c>
      <c r="J8932" s="5">
        <f>VALUE(3988)</f>
        <v>3988</v>
      </c>
      <c r="K8932" s="1">
        <f>VALUE(4333)</f>
        <v>4333</v>
      </c>
      <c r="L8932" s="7">
        <f>VALUE(4980)</f>
        <v>4980</v>
      </c>
      <c r="M8932" s="1">
        <f>VALUE(5637)</f>
        <v>5637</v>
      </c>
      <c r="N8932" t="s">
        <v>25</v>
      </c>
    </row>
    <row r="8933" spans="1:14" x14ac:dyDescent="0.25">
      <c r="A8933" t="s">
        <v>43</v>
      </c>
      <c r="B8933" t="s">
        <v>39</v>
      </c>
      <c r="C8933" t="s">
        <v>35</v>
      </c>
      <c r="D8933" t="s">
        <v>15</v>
      </c>
      <c r="E8933" t="s">
        <v>21</v>
      </c>
      <c r="F8933" t="s">
        <v>17</v>
      </c>
      <c r="G8933" s="1" t="str">
        <f t="shared" ref="G8933:M8936" si="1951">"X"</f>
        <v>X</v>
      </c>
      <c r="H8933" s="1" t="str">
        <f t="shared" si="1951"/>
        <v>X</v>
      </c>
      <c r="I8933" s="1" t="str">
        <f t="shared" si="1951"/>
        <v>X</v>
      </c>
      <c r="J8933" s="1" t="str">
        <f t="shared" si="1951"/>
        <v>X</v>
      </c>
      <c r="K8933" s="1" t="str">
        <f t="shared" si="1951"/>
        <v>X</v>
      </c>
      <c r="L8933" s="1" t="str">
        <f t="shared" si="1951"/>
        <v>X</v>
      </c>
      <c r="M8933" s="1" t="str">
        <f t="shared" si="1951"/>
        <v>X</v>
      </c>
      <c r="N8933" t="s">
        <v>27</v>
      </c>
    </row>
    <row r="8934" spans="1:14" x14ac:dyDescent="0.25">
      <c r="A8934" t="s">
        <v>43</v>
      </c>
      <c r="B8934" t="s">
        <v>39</v>
      </c>
      <c r="C8934" t="s">
        <v>35</v>
      </c>
      <c r="D8934" t="s">
        <v>15</v>
      </c>
      <c r="E8934" t="s">
        <v>21</v>
      </c>
      <c r="F8934" t="s">
        <v>18</v>
      </c>
      <c r="G8934" s="1" t="str">
        <f t="shared" si="1951"/>
        <v>X</v>
      </c>
      <c r="H8934" s="1" t="str">
        <f t="shared" si="1951"/>
        <v>X</v>
      </c>
      <c r="I8934" s="1" t="str">
        <f t="shared" si="1951"/>
        <v>X</v>
      </c>
      <c r="J8934" s="1" t="str">
        <f t="shared" si="1951"/>
        <v>X</v>
      </c>
      <c r="K8934" s="1" t="str">
        <f t="shared" si="1951"/>
        <v>X</v>
      </c>
      <c r="L8934" s="1" t="str">
        <f t="shared" si="1951"/>
        <v>X</v>
      </c>
      <c r="M8934" s="1" t="str">
        <f t="shared" si="1951"/>
        <v>X</v>
      </c>
      <c r="N8934" t="s">
        <v>27</v>
      </c>
    </row>
    <row r="8935" spans="1:14" x14ac:dyDescent="0.25">
      <c r="A8935" t="s">
        <v>43</v>
      </c>
      <c r="B8935" t="s">
        <v>39</v>
      </c>
      <c r="C8935" t="s">
        <v>35</v>
      </c>
      <c r="D8935" t="s">
        <v>15</v>
      </c>
      <c r="E8935" t="s">
        <v>21</v>
      </c>
      <c r="F8935" t="s">
        <v>19</v>
      </c>
      <c r="G8935" s="1" t="str">
        <f t="shared" si="1951"/>
        <v>X</v>
      </c>
      <c r="H8935" s="1" t="str">
        <f t="shared" si="1951"/>
        <v>X</v>
      </c>
      <c r="I8935" s="1" t="str">
        <f t="shared" si="1951"/>
        <v>X</v>
      </c>
      <c r="J8935" s="1" t="str">
        <f t="shared" si="1951"/>
        <v>X</v>
      </c>
      <c r="K8935" s="1" t="str">
        <f t="shared" si="1951"/>
        <v>X</v>
      </c>
      <c r="L8935" s="1" t="str">
        <f t="shared" si="1951"/>
        <v>X</v>
      </c>
      <c r="M8935" s="1" t="str">
        <f t="shared" si="1951"/>
        <v>X</v>
      </c>
      <c r="N8935" t="s">
        <v>27</v>
      </c>
    </row>
    <row r="8936" spans="1:14" x14ac:dyDescent="0.25">
      <c r="A8936" t="s">
        <v>43</v>
      </c>
      <c r="B8936" t="s">
        <v>39</v>
      </c>
      <c r="C8936" t="s">
        <v>35</v>
      </c>
      <c r="D8936" t="s">
        <v>15</v>
      </c>
      <c r="E8936" t="s">
        <v>21</v>
      </c>
      <c r="F8936" t="s">
        <v>20</v>
      </c>
      <c r="G8936" s="1" t="str">
        <f t="shared" si="1951"/>
        <v>X</v>
      </c>
      <c r="H8936" s="1" t="str">
        <f t="shared" si="1951"/>
        <v>X</v>
      </c>
      <c r="I8936" s="1" t="str">
        <f t="shared" si="1951"/>
        <v>X</v>
      </c>
      <c r="J8936" s="1" t="str">
        <f t="shared" si="1951"/>
        <v>X</v>
      </c>
      <c r="K8936" s="1" t="str">
        <f t="shared" si="1951"/>
        <v>X</v>
      </c>
      <c r="L8936" s="1" t="str">
        <f t="shared" si="1951"/>
        <v>X</v>
      </c>
      <c r="M8936" s="1" t="str">
        <f t="shared" si="1951"/>
        <v>X</v>
      </c>
      <c r="N8936" t="s">
        <v>27</v>
      </c>
    </row>
    <row r="8937" spans="1:14" x14ac:dyDescent="0.25">
      <c r="A8937" t="s">
        <v>43</v>
      </c>
      <c r="B8937" t="s">
        <v>39</v>
      </c>
      <c r="C8937" t="s">
        <v>35</v>
      </c>
      <c r="D8937" t="s">
        <v>15</v>
      </c>
      <c r="E8937" t="s">
        <v>22</v>
      </c>
      <c r="F8937" t="s">
        <v>15</v>
      </c>
      <c r="G8937" s="2">
        <f>VALUE(2007.38)</f>
        <v>2007.38</v>
      </c>
      <c r="H8937" s="3">
        <f>VALUE(1862.29)</f>
        <v>1862.29</v>
      </c>
      <c r="I8937" s="4">
        <f>VALUE(2857)</f>
        <v>2857</v>
      </c>
      <c r="J8937" s="1">
        <f>VALUE(3456)</f>
        <v>3456</v>
      </c>
      <c r="K8937" s="1">
        <f>VALUE(4120)</f>
        <v>4120</v>
      </c>
      <c r="L8937" s="1">
        <f>VALUE(4679)</f>
        <v>4679</v>
      </c>
      <c r="M8937" s="1">
        <f>VALUE(5001)</f>
        <v>5001</v>
      </c>
      <c r="N8937" t="s">
        <v>25</v>
      </c>
    </row>
    <row r="8938" spans="1:14" x14ac:dyDescent="0.25">
      <c r="A8938" t="s">
        <v>43</v>
      </c>
      <c r="B8938" t="s">
        <v>39</v>
      </c>
      <c r="C8938" t="s">
        <v>35</v>
      </c>
      <c r="D8938" t="s">
        <v>15</v>
      </c>
      <c r="E8938" t="s">
        <v>22</v>
      </c>
      <c r="F8938" t="s">
        <v>17</v>
      </c>
      <c r="G8938" s="1" t="str">
        <f t="shared" ref="G8938:M8939" si="1952">"X"</f>
        <v>X</v>
      </c>
      <c r="H8938" s="1" t="str">
        <f t="shared" si="1952"/>
        <v>X</v>
      </c>
      <c r="I8938" s="1" t="str">
        <f t="shared" si="1952"/>
        <v>X</v>
      </c>
      <c r="J8938" s="1" t="str">
        <f t="shared" si="1952"/>
        <v>X</v>
      </c>
      <c r="K8938" s="1" t="str">
        <f t="shared" si="1952"/>
        <v>X</v>
      </c>
      <c r="L8938" s="1" t="str">
        <f t="shared" si="1952"/>
        <v>X</v>
      </c>
      <c r="M8938" s="1" t="str">
        <f t="shared" si="1952"/>
        <v>X</v>
      </c>
      <c r="N8938" t="s">
        <v>27</v>
      </c>
    </row>
    <row r="8939" spans="1:14" x14ac:dyDescent="0.25">
      <c r="A8939" t="s">
        <v>43</v>
      </c>
      <c r="B8939" t="s">
        <v>39</v>
      </c>
      <c r="C8939" t="s">
        <v>35</v>
      </c>
      <c r="D8939" t="s">
        <v>15</v>
      </c>
      <c r="E8939" t="s">
        <v>22</v>
      </c>
      <c r="F8939" t="s">
        <v>18</v>
      </c>
      <c r="G8939" s="1" t="str">
        <f t="shared" si="1952"/>
        <v>X</v>
      </c>
      <c r="H8939" s="1" t="str">
        <f t="shared" si="1952"/>
        <v>X</v>
      </c>
      <c r="I8939" s="1" t="str">
        <f t="shared" si="1952"/>
        <v>X</v>
      </c>
      <c r="J8939" s="1" t="str">
        <f t="shared" si="1952"/>
        <v>X</v>
      </c>
      <c r="K8939" s="1" t="str">
        <f t="shared" si="1952"/>
        <v>X</v>
      </c>
      <c r="L8939" s="1" t="str">
        <f t="shared" si="1952"/>
        <v>X</v>
      </c>
      <c r="M8939" s="1" t="str">
        <f t="shared" si="1952"/>
        <v>X</v>
      </c>
      <c r="N8939" t="s">
        <v>27</v>
      </c>
    </row>
    <row r="8940" spans="1:14" x14ac:dyDescent="0.25">
      <c r="A8940" t="s">
        <v>43</v>
      </c>
      <c r="B8940" t="s">
        <v>39</v>
      </c>
      <c r="C8940" t="s">
        <v>35</v>
      </c>
      <c r="D8940" t="s">
        <v>15</v>
      </c>
      <c r="E8940" t="s">
        <v>22</v>
      </c>
      <c r="F8940" t="s">
        <v>19</v>
      </c>
      <c r="G8940" s="2">
        <f>VALUE(223.12)</f>
        <v>223.12</v>
      </c>
      <c r="H8940" s="3">
        <f>VALUE(197.76)</f>
        <v>197.76</v>
      </c>
      <c r="I8940" s="1">
        <f>VALUE(3446)</f>
        <v>3446</v>
      </c>
      <c r="J8940" s="1">
        <f>VALUE(4062)</f>
        <v>4062</v>
      </c>
      <c r="K8940" s="1">
        <f>VALUE(4410)</f>
        <v>4410</v>
      </c>
      <c r="L8940" s="1">
        <f>VALUE(5071)</f>
        <v>5071</v>
      </c>
      <c r="M8940" s="1">
        <f>VALUE(5807)</f>
        <v>5807</v>
      </c>
      <c r="N8940" t="s">
        <v>25</v>
      </c>
    </row>
    <row r="8941" spans="1:14" x14ac:dyDescent="0.25">
      <c r="A8941" t="s">
        <v>43</v>
      </c>
      <c r="B8941" t="s">
        <v>39</v>
      </c>
      <c r="C8941" t="s">
        <v>35</v>
      </c>
      <c r="D8941" t="s">
        <v>15</v>
      </c>
      <c r="E8941" t="s">
        <v>22</v>
      </c>
      <c r="F8941" t="s">
        <v>20</v>
      </c>
      <c r="G8941" s="2">
        <f>VALUE(1650.32)</f>
        <v>1650.32</v>
      </c>
      <c r="H8941" s="3">
        <f>VALUE(1524.68)</f>
        <v>1524.68</v>
      </c>
      <c r="I8941" s="4">
        <f>VALUE(2857)</f>
        <v>2857</v>
      </c>
      <c r="J8941" s="1">
        <f>VALUE(3433)</f>
        <v>3433</v>
      </c>
      <c r="K8941" s="1">
        <f>VALUE(4024)</f>
        <v>4024</v>
      </c>
      <c r="L8941" s="1">
        <f>VALUE(4667)</f>
        <v>4667</v>
      </c>
      <c r="M8941" s="1">
        <f>VALUE(4850)</f>
        <v>4850</v>
      </c>
      <c r="N8941" t="s">
        <v>25</v>
      </c>
    </row>
    <row r="8942" spans="1:14" x14ac:dyDescent="0.25">
      <c r="A8942" t="s">
        <v>43</v>
      </c>
      <c r="B8942" t="s">
        <v>39</v>
      </c>
      <c r="C8942" t="s">
        <v>35</v>
      </c>
      <c r="D8942" t="s">
        <v>15</v>
      </c>
      <c r="E8942" t="s">
        <v>23</v>
      </c>
      <c r="F8942" t="s">
        <v>15</v>
      </c>
      <c r="G8942" s="2">
        <f>VALUE(1083.4)</f>
        <v>1083.4000000000001</v>
      </c>
      <c r="H8942" s="3">
        <f>VALUE(958)</f>
        <v>958</v>
      </c>
      <c r="I8942" s="4">
        <f>VALUE(2563)</f>
        <v>2563</v>
      </c>
      <c r="J8942" s="5">
        <f>VALUE(2888)</f>
        <v>2888</v>
      </c>
      <c r="K8942" s="6">
        <f>VALUE(3691)</f>
        <v>3691</v>
      </c>
      <c r="L8942" s="7">
        <f>VALUE(4325)</f>
        <v>4325</v>
      </c>
      <c r="M8942" s="8">
        <f>VALUE(5022)</f>
        <v>5022</v>
      </c>
      <c r="N8942" t="s">
        <v>24</v>
      </c>
    </row>
    <row r="8943" spans="1:14" x14ac:dyDescent="0.25">
      <c r="A8943" t="s">
        <v>43</v>
      </c>
      <c r="B8943" t="s">
        <v>39</v>
      </c>
      <c r="C8943" t="s">
        <v>35</v>
      </c>
      <c r="D8943" t="s">
        <v>15</v>
      </c>
      <c r="E8943" t="s">
        <v>23</v>
      </c>
      <c r="F8943" t="s">
        <v>17</v>
      </c>
      <c r="G8943" s="1" t="str">
        <f t="shared" ref="G8943:M8943" si="1953">"..."</f>
        <v>...</v>
      </c>
      <c r="H8943" s="1" t="str">
        <f t="shared" si="1953"/>
        <v>...</v>
      </c>
      <c r="I8943" s="1" t="str">
        <f t="shared" si="1953"/>
        <v>...</v>
      </c>
      <c r="J8943" s="1" t="str">
        <f t="shared" si="1953"/>
        <v>...</v>
      </c>
      <c r="K8943" s="1" t="str">
        <f t="shared" si="1953"/>
        <v>...</v>
      </c>
      <c r="L8943" s="1" t="str">
        <f t="shared" si="1953"/>
        <v>...</v>
      </c>
      <c r="M8943" s="1" t="str">
        <f t="shared" si="1953"/>
        <v>...</v>
      </c>
      <c r="N8943" t="s">
        <v>30</v>
      </c>
    </row>
    <row r="8944" spans="1:14" x14ac:dyDescent="0.25">
      <c r="A8944" t="s">
        <v>43</v>
      </c>
      <c r="B8944" t="s">
        <v>39</v>
      </c>
      <c r="C8944" t="s">
        <v>35</v>
      </c>
      <c r="D8944" t="s">
        <v>15</v>
      </c>
      <c r="E8944" t="s">
        <v>23</v>
      </c>
      <c r="F8944" t="s">
        <v>18</v>
      </c>
      <c r="G8944" s="1" t="str">
        <f t="shared" ref="G8944:M8945" si="1954">"X"</f>
        <v>X</v>
      </c>
      <c r="H8944" s="1" t="str">
        <f t="shared" si="1954"/>
        <v>X</v>
      </c>
      <c r="I8944" s="1" t="str">
        <f t="shared" si="1954"/>
        <v>X</v>
      </c>
      <c r="J8944" s="1" t="str">
        <f t="shared" si="1954"/>
        <v>X</v>
      </c>
      <c r="K8944" s="1" t="str">
        <f t="shared" si="1954"/>
        <v>X</v>
      </c>
      <c r="L8944" s="1" t="str">
        <f t="shared" si="1954"/>
        <v>X</v>
      </c>
      <c r="M8944" s="1" t="str">
        <f t="shared" si="1954"/>
        <v>X</v>
      </c>
      <c r="N8944" t="s">
        <v>27</v>
      </c>
    </row>
    <row r="8945" spans="1:14" x14ac:dyDescent="0.25">
      <c r="A8945" t="s">
        <v>43</v>
      </c>
      <c r="B8945" t="s">
        <v>39</v>
      </c>
      <c r="C8945" t="s">
        <v>35</v>
      </c>
      <c r="D8945" t="s">
        <v>15</v>
      </c>
      <c r="E8945" t="s">
        <v>23</v>
      </c>
      <c r="F8945" t="s">
        <v>19</v>
      </c>
      <c r="G8945" s="1" t="str">
        <f t="shared" si="1954"/>
        <v>X</v>
      </c>
      <c r="H8945" s="1" t="str">
        <f t="shared" si="1954"/>
        <v>X</v>
      </c>
      <c r="I8945" s="1" t="str">
        <f t="shared" si="1954"/>
        <v>X</v>
      </c>
      <c r="J8945" s="1" t="str">
        <f t="shared" si="1954"/>
        <v>X</v>
      </c>
      <c r="K8945" s="1" t="str">
        <f t="shared" si="1954"/>
        <v>X</v>
      </c>
      <c r="L8945" s="1" t="str">
        <f t="shared" si="1954"/>
        <v>X</v>
      </c>
      <c r="M8945" s="1" t="str">
        <f t="shared" si="1954"/>
        <v>X</v>
      </c>
      <c r="N8945" t="s">
        <v>27</v>
      </c>
    </row>
    <row r="8946" spans="1:14" x14ac:dyDescent="0.25">
      <c r="A8946" t="s">
        <v>43</v>
      </c>
      <c r="B8946" t="s">
        <v>39</v>
      </c>
      <c r="C8946" t="s">
        <v>35</v>
      </c>
      <c r="D8946" t="s">
        <v>15</v>
      </c>
      <c r="E8946" t="s">
        <v>23</v>
      </c>
      <c r="F8946" t="s">
        <v>20</v>
      </c>
      <c r="G8946" s="2">
        <f>VALUE(844.17)</f>
        <v>844.17</v>
      </c>
      <c r="H8946" s="3">
        <f>VALUE(713.23)</f>
        <v>713.23</v>
      </c>
      <c r="I8946" s="4">
        <f>VALUE(2563)</f>
        <v>2563</v>
      </c>
      <c r="J8946" s="5">
        <f>VALUE(2563)</f>
        <v>2563</v>
      </c>
      <c r="K8946" s="6">
        <f>VALUE(3435)</f>
        <v>3435</v>
      </c>
      <c r="L8946" s="7">
        <f>VALUE(4155)</f>
        <v>4155</v>
      </c>
      <c r="M8946" s="8">
        <f>VALUE(5034)</f>
        <v>5034</v>
      </c>
      <c r="N8946" t="s">
        <v>24</v>
      </c>
    </row>
    <row r="8947" spans="1:14" x14ac:dyDescent="0.25">
      <c r="A8947" t="s">
        <v>43</v>
      </c>
      <c r="B8947" t="s">
        <v>39</v>
      </c>
      <c r="C8947" t="s">
        <v>35</v>
      </c>
      <c r="D8947" t="s">
        <v>15</v>
      </c>
      <c r="E8947" t="s">
        <v>26</v>
      </c>
      <c r="F8947" t="s">
        <v>15</v>
      </c>
      <c r="G8947" s="1" t="str">
        <f t="shared" ref="G8947:M8947" si="1955">"X"</f>
        <v>X</v>
      </c>
      <c r="H8947" s="1" t="str">
        <f t="shared" si="1955"/>
        <v>X</v>
      </c>
      <c r="I8947" s="1" t="str">
        <f t="shared" si="1955"/>
        <v>X</v>
      </c>
      <c r="J8947" s="1" t="str">
        <f t="shared" si="1955"/>
        <v>X</v>
      </c>
      <c r="K8947" s="1" t="str">
        <f t="shared" si="1955"/>
        <v>X</v>
      </c>
      <c r="L8947" s="1" t="str">
        <f t="shared" si="1955"/>
        <v>X</v>
      </c>
      <c r="M8947" s="1" t="str">
        <f t="shared" si="1955"/>
        <v>X</v>
      </c>
      <c r="N8947" t="s">
        <v>27</v>
      </c>
    </row>
    <row r="8948" spans="1:14" x14ac:dyDescent="0.25">
      <c r="A8948" t="s">
        <v>43</v>
      </c>
      <c r="B8948" t="s">
        <v>39</v>
      </c>
      <c r="C8948" t="s">
        <v>35</v>
      </c>
      <c r="D8948" t="s">
        <v>15</v>
      </c>
      <c r="E8948" t="s">
        <v>26</v>
      </c>
      <c r="F8948" t="s">
        <v>17</v>
      </c>
      <c r="G8948" s="1" t="str">
        <f t="shared" ref="G8948:M8950" si="1956">"..."</f>
        <v>...</v>
      </c>
      <c r="H8948" s="1" t="str">
        <f t="shared" si="1956"/>
        <v>...</v>
      </c>
      <c r="I8948" s="1" t="str">
        <f t="shared" si="1956"/>
        <v>...</v>
      </c>
      <c r="J8948" s="1" t="str">
        <f t="shared" si="1956"/>
        <v>...</v>
      </c>
      <c r="K8948" s="1" t="str">
        <f t="shared" si="1956"/>
        <v>...</v>
      </c>
      <c r="L8948" s="1" t="str">
        <f t="shared" si="1956"/>
        <v>...</v>
      </c>
      <c r="M8948" s="1" t="str">
        <f t="shared" si="1956"/>
        <v>...</v>
      </c>
      <c r="N8948" t="s">
        <v>30</v>
      </c>
    </row>
    <row r="8949" spans="1:14" x14ac:dyDescent="0.25">
      <c r="A8949" t="s">
        <v>43</v>
      </c>
      <c r="B8949" t="s">
        <v>39</v>
      </c>
      <c r="C8949" t="s">
        <v>35</v>
      </c>
      <c r="D8949" t="s">
        <v>15</v>
      </c>
      <c r="E8949" t="s">
        <v>26</v>
      </c>
      <c r="F8949" t="s">
        <v>18</v>
      </c>
      <c r="G8949" s="1" t="str">
        <f t="shared" si="1956"/>
        <v>...</v>
      </c>
      <c r="H8949" s="1" t="str">
        <f t="shared" si="1956"/>
        <v>...</v>
      </c>
      <c r="I8949" s="1" t="str">
        <f t="shared" si="1956"/>
        <v>...</v>
      </c>
      <c r="J8949" s="1" t="str">
        <f t="shared" si="1956"/>
        <v>...</v>
      </c>
      <c r="K8949" s="1" t="str">
        <f t="shared" si="1956"/>
        <v>...</v>
      </c>
      <c r="L8949" s="1" t="str">
        <f t="shared" si="1956"/>
        <v>...</v>
      </c>
      <c r="M8949" s="1" t="str">
        <f t="shared" si="1956"/>
        <v>...</v>
      </c>
      <c r="N8949" t="s">
        <v>30</v>
      </c>
    </row>
    <row r="8950" spans="1:14" x14ac:dyDescent="0.25">
      <c r="A8950" t="s">
        <v>43</v>
      </c>
      <c r="B8950" t="s">
        <v>39</v>
      </c>
      <c r="C8950" t="s">
        <v>35</v>
      </c>
      <c r="D8950" t="s">
        <v>15</v>
      </c>
      <c r="E8950" t="s">
        <v>26</v>
      </c>
      <c r="F8950" t="s">
        <v>19</v>
      </c>
      <c r="G8950" s="1" t="str">
        <f t="shared" si="1956"/>
        <v>...</v>
      </c>
      <c r="H8950" s="1" t="str">
        <f t="shared" si="1956"/>
        <v>...</v>
      </c>
      <c r="I8950" s="1" t="str">
        <f t="shared" si="1956"/>
        <v>...</v>
      </c>
      <c r="J8950" s="1" t="str">
        <f t="shared" si="1956"/>
        <v>...</v>
      </c>
      <c r="K8950" s="1" t="str">
        <f t="shared" si="1956"/>
        <v>...</v>
      </c>
      <c r="L8950" s="1" t="str">
        <f t="shared" si="1956"/>
        <v>...</v>
      </c>
      <c r="M8950" s="1" t="str">
        <f t="shared" si="1956"/>
        <v>...</v>
      </c>
      <c r="N8950" t="s">
        <v>30</v>
      </c>
    </row>
    <row r="8951" spans="1:14" x14ac:dyDescent="0.25">
      <c r="A8951" t="s">
        <v>43</v>
      </c>
      <c r="B8951" t="s">
        <v>39</v>
      </c>
      <c r="C8951" t="s">
        <v>35</v>
      </c>
      <c r="D8951" t="s">
        <v>15</v>
      </c>
      <c r="E8951" t="s">
        <v>26</v>
      </c>
      <c r="F8951" t="s">
        <v>20</v>
      </c>
      <c r="G8951" s="1" t="str">
        <f t="shared" ref="G8951:M8951" si="1957">"X"</f>
        <v>X</v>
      </c>
      <c r="H8951" s="1" t="str">
        <f t="shared" si="1957"/>
        <v>X</v>
      </c>
      <c r="I8951" s="1" t="str">
        <f t="shared" si="1957"/>
        <v>X</v>
      </c>
      <c r="J8951" s="1" t="str">
        <f t="shared" si="1957"/>
        <v>X</v>
      </c>
      <c r="K8951" s="1" t="str">
        <f t="shared" si="1957"/>
        <v>X</v>
      </c>
      <c r="L8951" s="1" t="str">
        <f t="shared" si="1957"/>
        <v>X</v>
      </c>
      <c r="M8951" s="1" t="str">
        <f t="shared" si="1957"/>
        <v>X</v>
      </c>
      <c r="N8951" t="s">
        <v>27</v>
      </c>
    </row>
    <row r="8952" spans="1:14" x14ac:dyDescent="0.25">
      <c r="A8952" t="s">
        <v>43</v>
      </c>
      <c r="B8952" t="s">
        <v>39</v>
      </c>
      <c r="C8952" t="s">
        <v>35</v>
      </c>
      <c r="D8952" t="s">
        <v>28</v>
      </c>
      <c r="E8952" t="s">
        <v>15</v>
      </c>
      <c r="F8952" t="s">
        <v>15</v>
      </c>
      <c r="G8952" s="2">
        <f>VALUE(1469.88)</f>
        <v>1469.88</v>
      </c>
      <c r="H8952" s="3">
        <f>VALUE(1379.21)</f>
        <v>1379.21</v>
      </c>
      <c r="I8952" s="4">
        <f>VALUE(3110)</f>
        <v>3110</v>
      </c>
      <c r="J8952" s="1">
        <f>VALUE(3581)</f>
        <v>3581</v>
      </c>
      <c r="K8952" s="1">
        <f>VALUE(4120)</f>
        <v>4120</v>
      </c>
      <c r="L8952" s="1">
        <f>VALUE(4737)</f>
        <v>4737</v>
      </c>
      <c r="M8952" s="1">
        <f>VALUE(4876)</f>
        <v>4876</v>
      </c>
      <c r="N8952" t="s">
        <v>25</v>
      </c>
    </row>
    <row r="8953" spans="1:14" x14ac:dyDescent="0.25">
      <c r="A8953" t="s">
        <v>43</v>
      </c>
      <c r="B8953" t="s">
        <v>39</v>
      </c>
      <c r="C8953" t="s">
        <v>35</v>
      </c>
      <c r="D8953" t="s">
        <v>28</v>
      </c>
      <c r="E8953" t="s">
        <v>15</v>
      </c>
      <c r="F8953" t="s">
        <v>17</v>
      </c>
      <c r="G8953" s="1" t="str">
        <f t="shared" ref="G8953:M8955" si="1958">"X"</f>
        <v>X</v>
      </c>
      <c r="H8953" s="1" t="str">
        <f t="shared" si="1958"/>
        <v>X</v>
      </c>
      <c r="I8953" s="1" t="str">
        <f t="shared" si="1958"/>
        <v>X</v>
      </c>
      <c r="J8953" s="1" t="str">
        <f t="shared" si="1958"/>
        <v>X</v>
      </c>
      <c r="K8953" s="1" t="str">
        <f t="shared" si="1958"/>
        <v>X</v>
      </c>
      <c r="L8953" s="1" t="str">
        <f t="shared" si="1958"/>
        <v>X</v>
      </c>
      <c r="M8953" s="1" t="str">
        <f t="shared" si="1958"/>
        <v>X</v>
      </c>
      <c r="N8953" t="s">
        <v>27</v>
      </c>
    </row>
    <row r="8954" spans="1:14" x14ac:dyDescent="0.25">
      <c r="A8954" t="s">
        <v>43</v>
      </c>
      <c r="B8954" t="s">
        <v>39</v>
      </c>
      <c r="C8954" t="s">
        <v>35</v>
      </c>
      <c r="D8954" t="s">
        <v>28</v>
      </c>
      <c r="E8954" t="s">
        <v>15</v>
      </c>
      <c r="F8954" t="s">
        <v>18</v>
      </c>
      <c r="G8954" s="1" t="str">
        <f t="shared" si="1958"/>
        <v>X</v>
      </c>
      <c r="H8954" s="1" t="str">
        <f t="shared" si="1958"/>
        <v>X</v>
      </c>
      <c r="I8954" s="1" t="str">
        <f t="shared" si="1958"/>
        <v>X</v>
      </c>
      <c r="J8954" s="1" t="str">
        <f t="shared" si="1958"/>
        <v>X</v>
      </c>
      <c r="K8954" s="1" t="str">
        <f t="shared" si="1958"/>
        <v>X</v>
      </c>
      <c r="L8954" s="1" t="str">
        <f t="shared" si="1958"/>
        <v>X</v>
      </c>
      <c r="M8954" s="1" t="str">
        <f t="shared" si="1958"/>
        <v>X</v>
      </c>
      <c r="N8954" t="s">
        <v>27</v>
      </c>
    </row>
    <row r="8955" spans="1:14" x14ac:dyDescent="0.25">
      <c r="A8955" t="s">
        <v>43</v>
      </c>
      <c r="B8955" t="s">
        <v>39</v>
      </c>
      <c r="C8955" t="s">
        <v>35</v>
      </c>
      <c r="D8955" t="s">
        <v>28</v>
      </c>
      <c r="E8955" t="s">
        <v>15</v>
      </c>
      <c r="F8955" t="s">
        <v>19</v>
      </c>
      <c r="G8955" s="1" t="str">
        <f t="shared" si="1958"/>
        <v>X</v>
      </c>
      <c r="H8955" s="1" t="str">
        <f t="shared" si="1958"/>
        <v>X</v>
      </c>
      <c r="I8955" s="1" t="str">
        <f t="shared" si="1958"/>
        <v>X</v>
      </c>
      <c r="J8955" s="1" t="str">
        <f t="shared" si="1958"/>
        <v>X</v>
      </c>
      <c r="K8955" s="1" t="str">
        <f t="shared" si="1958"/>
        <v>X</v>
      </c>
      <c r="L8955" s="1" t="str">
        <f t="shared" si="1958"/>
        <v>X</v>
      </c>
      <c r="M8955" s="1" t="str">
        <f t="shared" si="1958"/>
        <v>X</v>
      </c>
      <c r="N8955" t="s">
        <v>27</v>
      </c>
    </row>
    <row r="8956" spans="1:14" x14ac:dyDescent="0.25">
      <c r="A8956" t="s">
        <v>43</v>
      </c>
      <c r="B8956" t="s">
        <v>39</v>
      </c>
      <c r="C8956" t="s">
        <v>35</v>
      </c>
      <c r="D8956" t="s">
        <v>28</v>
      </c>
      <c r="E8956" t="s">
        <v>15</v>
      </c>
      <c r="F8956" t="s">
        <v>20</v>
      </c>
      <c r="G8956" s="2">
        <f>VALUE(1183.42)</f>
        <v>1183.42</v>
      </c>
      <c r="H8956" s="3">
        <f>VALUE(1108.89)</f>
        <v>1108.8900000000001</v>
      </c>
      <c r="I8956" s="4">
        <f>VALUE(2830)</f>
        <v>2830</v>
      </c>
      <c r="J8956" s="5">
        <f>VALUE(3581)</f>
        <v>3581</v>
      </c>
      <c r="K8956" s="1">
        <f>VALUE(4120)</f>
        <v>4120</v>
      </c>
      <c r="L8956" s="1">
        <f>VALUE(4745)</f>
        <v>4745</v>
      </c>
      <c r="M8956" s="1">
        <f>VALUE(4850)</f>
        <v>4850</v>
      </c>
      <c r="N8956" t="s">
        <v>25</v>
      </c>
    </row>
    <row r="8957" spans="1:14" x14ac:dyDescent="0.25">
      <c r="A8957" t="s">
        <v>43</v>
      </c>
      <c r="B8957" t="s">
        <v>39</v>
      </c>
      <c r="C8957" t="s">
        <v>35</v>
      </c>
      <c r="D8957" t="s">
        <v>28</v>
      </c>
      <c r="E8957" t="s">
        <v>21</v>
      </c>
      <c r="F8957" t="s">
        <v>15</v>
      </c>
      <c r="G8957" s="1" t="str">
        <f t="shared" ref="G8957:M8961" si="1959">"X"</f>
        <v>X</v>
      </c>
      <c r="H8957" s="1" t="str">
        <f t="shared" si="1959"/>
        <v>X</v>
      </c>
      <c r="I8957" s="1" t="str">
        <f t="shared" si="1959"/>
        <v>X</v>
      </c>
      <c r="J8957" s="1" t="str">
        <f t="shared" si="1959"/>
        <v>X</v>
      </c>
      <c r="K8957" s="1" t="str">
        <f t="shared" si="1959"/>
        <v>X</v>
      </c>
      <c r="L8957" s="1" t="str">
        <f t="shared" si="1959"/>
        <v>X</v>
      </c>
      <c r="M8957" s="1" t="str">
        <f t="shared" si="1959"/>
        <v>X</v>
      </c>
      <c r="N8957" t="s">
        <v>27</v>
      </c>
    </row>
    <row r="8958" spans="1:14" x14ac:dyDescent="0.25">
      <c r="A8958" t="s">
        <v>43</v>
      </c>
      <c r="B8958" t="s">
        <v>39</v>
      </c>
      <c r="C8958" t="s">
        <v>35</v>
      </c>
      <c r="D8958" t="s">
        <v>28</v>
      </c>
      <c r="E8958" t="s">
        <v>21</v>
      </c>
      <c r="F8958" t="s">
        <v>17</v>
      </c>
      <c r="G8958" s="1" t="str">
        <f t="shared" si="1959"/>
        <v>X</v>
      </c>
      <c r="H8958" s="1" t="str">
        <f t="shared" si="1959"/>
        <v>X</v>
      </c>
      <c r="I8958" s="1" t="str">
        <f t="shared" si="1959"/>
        <v>X</v>
      </c>
      <c r="J8958" s="1" t="str">
        <f t="shared" si="1959"/>
        <v>X</v>
      </c>
      <c r="K8958" s="1" t="str">
        <f t="shared" si="1959"/>
        <v>X</v>
      </c>
      <c r="L8958" s="1" t="str">
        <f t="shared" si="1959"/>
        <v>X</v>
      </c>
      <c r="M8958" s="1" t="str">
        <f t="shared" si="1959"/>
        <v>X</v>
      </c>
      <c r="N8958" t="s">
        <v>27</v>
      </c>
    </row>
    <row r="8959" spans="1:14" x14ac:dyDescent="0.25">
      <c r="A8959" t="s">
        <v>43</v>
      </c>
      <c r="B8959" t="s">
        <v>39</v>
      </c>
      <c r="C8959" t="s">
        <v>35</v>
      </c>
      <c r="D8959" t="s">
        <v>28</v>
      </c>
      <c r="E8959" t="s">
        <v>21</v>
      </c>
      <c r="F8959" t="s">
        <v>18</v>
      </c>
      <c r="G8959" s="1" t="str">
        <f t="shared" si="1959"/>
        <v>X</v>
      </c>
      <c r="H8959" s="1" t="str">
        <f t="shared" si="1959"/>
        <v>X</v>
      </c>
      <c r="I8959" s="1" t="str">
        <f t="shared" si="1959"/>
        <v>X</v>
      </c>
      <c r="J8959" s="1" t="str">
        <f t="shared" si="1959"/>
        <v>X</v>
      </c>
      <c r="K8959" s="1" t="str">
        <f t="shared" si="1959"/>
        <v>X</v>
      </c>
      <c r="L8959" s="1" t="str">
        <f t="shared" si="1959"/>
        <v>X</v>
      </c>
      <c r="M8959" s="1" t="str">
        <f t="shared" si="1959"/>
        <v>X</v>
      </c>
      <c r="N8959" t="s">
        <v>27</v>
      </c>
    </row>
    <row r="8960" spans="1:14" x14ac:dyDescent="0.25">
      <c r="A8960" t="s">
        <v>43</v>
      </c>
      <c r="B8960" t="s">
        <v>39</v>
      </c>
      <c r="C8960" t="s">
        <v>35</v>
      </c>
      <c r="D8960" t="s">
        <v>28</v>
      </c>
      <c r="E8960" t="s">
        <v>21</v>
      </c>
      <c r="F8960" t="s">
        <v>19</v>
      </c>
      <c r="G8960" s="1" t="str">
        <f t="shared" si="1959"/>
        <v>X</v>
      </c>
      <c r="H8960" s="1" t="str">
        <f t="shared" si="1959"/>
        <v>X</v>
      </c>
      <c r="I8960" s="1" t="str">
        <f t="shared" si="1959"/>
        <v>X</v>
      </c>
      <c r="J8960" s="1" t="str">
        <f t="shared" si="1959"/>
        <v>X</v>
      </c>
      <c r="K8960" s="1" t="str">
        <f t="shared" si="1959"/>
        <v>X</v>
      </c>
      <c r="L8960" s="1" t="str">
        <f t="shared" si="1959"/>
        <v>X</v>
      </c>
      <c r="M8960" s="1" t="str">
        <f t="shared" si="1959"/>
        <v>X</v>
      </c>
      <c r="N8960" t="s">
        <v>27</v>
      </c>
    </row>
    <row r="8961" spans="1:14" x14ac:dyDescent="0.25">
      <c r="A8961" t="s">
        <v>43</v>
      </c>
      <c r="B8961" t="s">
        <v>39</v>
      </c>
      <c r="C8961" t="s">
        <v>35</v>
      </c>
      <c r="D8961" t="s">
        <v>28</v>
      </c>
      <c r="E8961" t="s">
        <v>21</v>
      </c>
      <c r="F8961" t="s">
        <v>20</v>
      </c>
      <c r="G8961" s="1" t="str">
        <f t="shared" si="1959"/>
        <v>X</v>
      </c>
      <c r="H8961" s="1" t="str">
        <f t="shared" si="1959"/>
        <v>X</v>
      </c>
      <c r="I8961" s="1" t="str">
        <f t="shared" si="1959"/>
        <v>X</v>
      </c>
      <c r="J8961" s="1" t="str">
        <f t="shared" si="1959"/>
        <v>X</v>
      </c>
      <c r="K8961" s="1" t="str">
        <f t="shared" si="1959"/>
        <v>X</v>
      </c>
      <c r="L8961" s="1" t="str">
        <f t="shared" si="1959"/>
        <v>X</v>
      </c>
      <c r="M8961" s="1" t="str">
        <f t="shared" si="1959"/>
        <v>X</v>
      </c>
      <c r="N8961" t="s">
        <v>27</v>
      </c>
    </row>
    <row r="8962" spans="1:14" x14ac:dyDescent="0.25">
      <c r="A8962" t="s">
        <v>43</v>
      </c>
      <c r="B8962" t="s">
        <v>39</v>
      </c>
      <c r="C8962" t="s">
        <v>35</v>
      </c>
      <c r="D8962" t="s">
        <v>28</v>
      </c>
      <c r="E8962" t="s">
        <v>22</v>
      </c>
      <c r="F8962" t="s">
        <v>15</v>
      </c>
      <c r="G8962" s="2">
        <f>VALUE(1179.7)</f>
        <v>1179.7</v>
      </c>
      <c r="H8962" s="3">
        <f>VALUE(1137.03)</f>
        <v>1137.03</v>
      </c>
      <c r="I8962" s="4">
        <f>VALUE(3110)</f>
        <v>3110</v>
      </c>
      <c r="J8962" s="5">
        <f>VALUE(3581)</f>
        <v>3581</v>
      </c>
      <c r="K8962" s="1">
        <f>VALUE(4146)</f>
        <v>4146</v>
      </c>
      <c r="L8962" s="1">
        <f>VALUE(4745)</f>
        <v>4745</v>
      </c>
      <c r="M8962" s="1">
        <f>VALUE(4850)</f>
        <v>4850</v>
      </c>
      <c r="N8962" t="s">
        <v>25</v>
      </c>
    </row>
    <row r="8963" spans="1:14" x14ac:dyDescent="0.25">
      <c r="A8963" t="s">
        <v>43</v>
      </c>
      <c r="B8963" t="s">
        <v>39</v>
      </c>
      <c r="C8963" t="s">
        <v>35</v>
      </c>
      <c r="D8963" t="s">
        <v>28</v>
      </c>
      <c r="E8963" t="s">
        <v>22</v>
      </c>
      <c r="F8963" t="s">
        <v>17</v>
      </c>
      <c r="G8963" s="1" t="str">
        <f t="shared" ref="G8963:M8963" si="1960">"..."</f>
        <v>...</v>
      </c>
      <c r="H8963" s="1" t="str">
        <f t="shared" si="1960"/>
        <v>...</v>
      </c>
      <c r="I8963" s="1" t="str">
        <f t="shared" si="1960"/>
        <v>...</v>
      </c>
      <c r="J8963" s="1" t="str">
        <f t="shared" si="1960"/>
        <v>...</v>
      </c>
      <c r="K8963" s="1" t="str">
        <f t="shared" si="1960"/>
        <v>...</v>
      </c>
      <c r="L8963" s="1" t="str">
        <f t="shared" si="1960"/>
        <v>...</v>
      </c>
      <c r="M8963" s="1" t="str">
        <f t="shared" si="1960"/>
        <v>...</v>
      </c>
      <c r="N8963" t="s">
        <v>30</v>
      </c>
    </row>
    <row r="8964" spans="1:14" x14ac:dyDescent="0.25">
      <c r="A8964" t="s">
        <v>43</v>
      </c>
      <c r="B8964" t="s">
        <v>39</v>
      </c>
      <c r="C8964" t="s">
        <v>35</v>
      </c>
      <c r="D8964" t="s">
        <v>28</v>
      </c>
      <c r="E8964" t="s">
        <v>22</v>
      </c>
      <c r="F8964" t="s">
        <v>18</v>
      </c>
      <c r="G8964" s="1" t="str">
        <f t="shared" ref="G8964:M8965" si="1961">"X"</f>
        <v>X</v>
      </c>
      <c r="H8964" s="1" t="str">
        <f t="shared" si="1961"/>
        <v>X</v>
      </c>
      <c r="I8964" s="1" t="str">
        <f t="shared" si="1961"/>
        <v>X</v>
      </c>
      <c r="J8964" s="1" t="str">
        <f t="shared" si="1961"/>
        <v>X</v>
      </c>
      <c r="K8964" s="1" t="str">
        <f t="shared" si="1961"/>
        <v>X</v>
      </c>
      <c r="L8964" s="1" t="str">
        <f t="shared" si="1961"/>
        <v>X</v>
      </c>
      <c r="M8964" s="1" t="str">
        <f t="shared" si="1961"/>
        <v>X</v>
      </c>
      <c r="N8964" t="s">
        <v>27</v>
      </c>
    </row>
    <row r="8965" spans="1:14" x14ac:dyDescent="0.25">
      <c r="A8965" t="s">
        <v>43</v>
      </c>
      <c r="B8965" t="s">
        <v>39</v>
      </c>
      <c r="C8965" t="s">
        <v>35</v>
      </c>
      <c r="D8965" t="s">
        <v>28</v>
      </c>
      <c r="E8965" t="s">
        <v>22</v>
      </c>
      <c r="F8965" t="s">
        <v>19</v>
      </c>
      <c r="G8965" s="1" t="str">
        <f t="shared" si="1961"/>
        <v>X</v>
      </c>
      <c r="H8965" s="1" t="str">
        <f t="shared" si="1961"/>
        <v>X</v>
      </c>
      <c r="I8965" s="1" t="str">
        <f t="shared" si="1961"/>
        <v>X</v>
      </c>
      <c r="J8965" s="1" t="str">
        <f t="shared" si="1961"/>
        <v>X</v>
      </c>
      <c r="K8965" s="1" t="str">
        <f t="shared" si="1961"/>
        <v>X</v>
      </c>
      <c r="L8965" s="1" t="str">
        <f t="shared" si="1961"/>
        <v>X</v>
      </c>
      <c r="M8965" s="1" t="str">
        <f t="shared" si="1961"/>
        <v>X</v>
      </c>
      <c r="N8965" t="s">
        <v>27</v>
      </c>
    </row>
    <row r="8966" spans="1:14" x14ac:dyDescent="0.25">
      <c r="A8966" t="s">
        <v>43</v>
      </c>
      <c r="B8966" t="s">
        <v>39</v>
      </c>
      <c r="C8966" t="s">
        <v>35</v>
      </c>
      <c r="D8966" t="s">
        <v>28</v>
      </c>
      <c r="E8966" t="s">
        <v>22</v>
      </c>
      <c r="F8966" t="s">
        <v>20</v>
      </c>
      <c r="G8966" s="2">
        <f>VALUE(984.91)</f>
        <v>984.91</v>
      </c>
      <c r="H8966" s="3">
        <f>VALUE(960.44)</f>
        <v>960.44</v>
      </c>
      <c r="I8966" s="4">
        <f>VALUE(2655)</f>
        <v>2655</v>
      </c>
      <c r="J8966" s="5">
        <f>VALUE(3581)</f>
        <v>3581</v>
      </c>
      <c r="K8966" s="1">
        <f>VALUE(4120)</f>
        <v>4120</v>
      </c>
      <c r="L8966" s="1">
        <f>VALUE(4745)</f>
        <v>4745</v>
      </c>
      <c r="M8966" s="1">
        <f>VALUE(4850)</f>
        <v>4850</v>
      </c>
      <c r="N8966" t="s">
        <v>25</v>
      </c>
    </row>
    <row r="8967" spans="1:14" x14ac:dyDescent="0.25">
      <c r="A8967" t="s">
        <v>43</v>
      </c>
      <c r="B8967" t="s">
        <v>39</v>
      </c>
      <c r="C8967" t="s">
        <v>35</v>
      </c>
      <c r="D8967" t="s">
        <v>28</v>
      </c>
      <c r="E8967" t="s">
        <v>23</v>
      </c>
      <c r="F8967" t="s">
        <v>15</v>
      </c>
      <c r="G8967" s="1" t="str">
        <f t="shared" ref="G8967:M8967" si="1962">"X"</f>
        <v>X</v>
      </c>
      <c r="H8967" s="1" t="str">
        <f t="shared" si="1962"/>
        <v>X</v>
      </c>
      <c r="I8967" s="1" t="str">
        <f t="shared" si="1962"/>
        <v>X</v>
      </c>
      <c r="J8967" s="1" t="str">
        <f t="shared" si="1962"/>
        <v>X</v>
      </c>
      <c r="K8967" s="1" t="str">
        <f t="shared" si="1962"/>
        <v>X</v>
      </c>
      <c r="L8967" s="1" t="str">
        <f t="shared" si="1962"/>
        <v>X</v>
      </c>
      <c r="M8967" s="1" t="str">
        <f t="shared" si="1962"/>
        <v>X</v>
      </c>
      <c r="N8967" t="s">
        <v>27</v>
      </c>
    </row>
    <row r="8968" spans="1:14" x14ac:dyDescent="0.25">
      <c r="A8968" t="s">
        <v>43</v>
      </c>
      <c r="B8968" t="s">
        <v>39</v>
      </c>
      <c r="C8968" t="s">
        <v>35</v>
      </c>
      <c r="D8968" t="s">
        <v>28</v>
      </c>
      <c r="E8968" t="s">
        <v>23</v>
      </c>
      <c r="F8968" t="s">
        <v>17</v>
      </c>
      <c r="G8968" s="1" t="str">
        <f t="shared" ref="G8968:M8969" si="1963">"..."</f>
        <v>...</v>
      </c>
      <c r="H8968" s="1" t="str">
        <f t="shared" si="1963"/>
        <v>...</v>
      </c>
      <c r="I8968" s="1" t="str">
        <f t="shared" si="1963"/>
        <v>...</v>
      </c>
      <c r="J8968" s="1" t="str">
        <f t="shared" si="1963"/>
        <v>...</v>
      </c>
      <c r="K8968" s="1" t="str">
        <f t="shared" si="1963"/>
        <v>...</v>
      </c>
      <c r="L8968" s="1" t="str">
        <f t="shared" si="1963"/>
        <v>...</v>
      </c>
      <c r="M8968" s="1" t="str">
        <f t="shared" si="1963"/>
        <v>...</v>
      </c>
      <c r="N8968" t="s">
        <v>30</v>
      </c>
    </row>
    <row r="8969" spans="1:14" x14ac:dyDescent="0.25">
      <c r="A8969" t="s">
        <v>43</v>
      </c>
      <c r="B8969" t="s">
        <v>39</v>
      </c>
      <c r="C8969" t="s">
        <v>35</v>
      </c>
      <c r="D8969" t="s">
        <v>28</v>
      </c>
      <c r="E8969" t="s">
        <v>23</v>
      </c>
      <c r="F8969" t="s">
        <v>18</v>
      </c>
      <c r="G8969" s="1" t="str">
        <f t="shared" si="1963"/>
        <v>...</v>
      </c>
      <c r="H8969" s="1" t="str">
        <f t="shared" si="1963"/>
        <v>...</v>
      </c>
      <c r="I8969" s="1" t="str">
        <f t="shared" si="1963"/>
        <v>...</v>
      </c>
      <c r="J8969" s="1" t="str">
        <f t="shared" si="1963"/>
        <v>...</v>
      </c>
      <c r="K8969" s="1" t="str">
        <f t="shared" si="1963"/>
        <v>...</v>
      </c>
      <c r="L8969" s="1" t="str">
        <f t="shared" si="1963"/>
        <v>...</v>
      </c>
      <c r="M8969" s="1" t="str">
        <f t="shared" si="1963"/>
        <v>...</v>
      </c>
      <c r="N8969" t="s">
        <v>30</v>
      </c>
    </row>
    <row r="8970" spans="1:14" x14ac:dyDescent="0.25">
      <c r="A8970" t="s">
        <v>43</v>
      </c>
      <c r="B8970" t="s">
        <v>39</v>
      </c>
      <c r="C8970" t="s">
        <v>35</v>
      </c>
      <c r="D8970" t="s">
        <v>28</v>
      </c>
      <c r="E8970" t="s">
        <v>23</v>
      </c>
      <c r="F8970" t="s">
        <v>19</v>
      </c>
      <c r="G8970" s="1" t="str">
        <f t="shared" ref="G8970:M8972" si="1964">"X"</f>
        <v>X</v>
      </c>
      <c r="H8970" s="1" t="str">
        <f t="shared" si="1964"/>
        <v>X</v>
      </c>
      <c r="I8970" s="1" t="str">
        <f t="shared" si="1964"/>
        <v>X</v>
      </c>
      <c r="J8970" s="1" t="str">
        <f t="shared" si="1964"/>
        <v>X</v>
      </c>
      <c r="K8970" s="1" t="str">
        <f t="shared" si="1964"/>
        <v>X</v>
      </c>
      <c r="L8970" s="1" t="str">
        <f t="shared" si="1964"/>
        <v>X</v>
      </c>
      <c r="M8970" s="1" t="str">
        <f t="shared" si="1964"/>
        <v>X</v>
      </c>
      <c r="N8970" t="s">
        <v>27</v>
      </c>
    </row>
    <row r="8971" spans="1:14" x14ac:dyDescent="0.25">
      <c r="A8971" t="s">
        <v>43</v>
      </c>
      <c r="B8971" t="s">
        <v>39</v>
      </c>
      <c r="C8971" t="s">
        <v>35</v>
      </c>
      <c r="D8971" t="s">
        <v>28</v>
      </c>
      <c r="E8971" t="s">
        <v>23</v>
      </c>
      <c r="F8971" t="s">
        <v>20</v>
      </c>
      <c r="G8971" s="1" t="str">
        <f t="shared" si="1964"/>
        <v>X</v>
      </c>
      <c r="H8971" s="1" t="str">
        <f t="shared" si="1964"/>
        <v>X</v>
      </c>
      <c r="I8971" s="1" t="str">
        <f t="shared" si="1964"/>
        <v>X</v>
      </c>
      <c r="J8971" s="1" t="str">
        <f t="shared" si="1964"/>
        <v>X</v>
      </c>
      <c r="K8971" s="1" t="str">
        <f t="shared" si="1964"/>
        <v>X</v>
      </c>
      <c r="L8971" s="1" t="str">
        <f t="shared" si="1964"/>
        <v>X</v>
      </c>
      <c r="M8971" s="1" t="str">
        <f t="shared" si="1964"/>
        <v>X</v>
      </c>
      <c r="N8971" t="s">
        <v>27</v>
      </c>
    </row>
    <row r="8972" spans="1:14" x14ac:dyDescent="0.25">
      <c r="A8972" t="s">
        <v>43</v>
      </c>
      <c r="B8972" t="s">
        <v>39</v>
      </c>
      <c r="C8972" t="s">
        <v>35</v>
      </c>
      <c r="D8972" t="s">
        <v>28</v>
      </c>
      <c r="E8972" t="s">
        <v>26</v>
      </c>
      <c r="F8972" t="s">
        <v>15</v>
      </c>
      <c r="G8972" s="1" t="str">
        <f t="shared" si="1964"/>
        <v>X</v>
      </c>
      <c r="H8972" s="1" t="str">
        <f t="shared" si="1964"/>
        <v>X</v>
      </c>
      <c r="I8972" s="1" t="str">
        <f t="shared" si="1964"/>
        <v>X</v>
      </c>
      <c r="J8972" s="1" t="str">
        <f t="shared" si="1964"/>
        <v>X</v>
      </c>
      <c r="K8972" s="1" t="str">
        <f t="shared" si="1964"/>
        <v>X</v>
      </c>
      <c r="L8972" s="1" t="str">
        <f t="shared" si="1964"/>
        <v>X</v>
      </c>
      <c r="M8972" s="1" t="str">
        <f t="shared" si="1964"/>
        <v>X</v>
      </c>
      <c r="N8972" t="s">
        <v>27</v>
      </c>
    </row>
    <row r="8973" spans="1:14" x14ac:dyDescent="0.25">
      <c r="A8973" t="s">
        <v>43</v>
      </c>
      <c r="B8973" t="s">
        <v>39</v>
      </c>
      <c r="C8973" t="s">
        <v>35</v>
      </c>
      <c r="D8973" t="s">
        <v>28</v>
      </c>
      <c r="E8973" t="s">
        <v>26</v>
      </c>
      <c r="F8973" t="s">
        <v>17</v>
      </c>
      <c r="G8973" s="1" t="str">
        <f t="shared" ref="G8973:M8975" si="1965">"..."</f>
        <v>...</v>
      </c>
      <c r="H8973" s="1" t="str">
        <f t="shared" si="1965"/>
        <v>...</v>
      </c>
      <c r="I8973" s="1" t="str">
        <f t="shared" si="1965"/>
        <v>...</v>
      </c>
      <c r="J8973" s="1" t="str">
        <f t="shared" si="1965"/>
        <v>...</v>
      </c>
      <c r="K8973" s="1" t="str">
        <f t="shared" si="1965"/>
        <v>...</v>
      </c>
      <c r="L8973" s="1" t="str">
        <f t="shared" si="1965"/>
        <v>...</v>
      </c>
      <c r="M8973" s="1" t="str">
        <f t="shared" si="1965"/>
        <v>...</v>
      </c>
      <c r="N8973" t="s">
        <v>30</v>
      </c>
    </row>
    <row r="8974" spans="1:14" x14ac:dyDescent="0.25">
      <c r="A8974" t="s">
        <v>43</v>
      </c>
      <c r="B8974" t="s">
        <v>39</v>
      </c>
      <c r="C8974" t="s">
        <v>35</v>
      </c>
      <c r="D8974" t="s">
        <v>28</v>
      </c>
      <c r="E8974" t="s">
        <v>26</v>
      </c>
      <c r="F8974" t="s">
        <v>18</v>
      </c>
      <c r="G8974" s="1" t="str">
        <f t="shared" si="1965"/>
        <v>...</v>
      </c>
      <c r="H8974" s="1" t="str">
        <f t="shared" si="1965"/>
        <v>...</v>
      </c>
      <c r="I8974" s="1" t="str">
        <f t="shared" si="1965"/>
        <v>...</v>
      </c>
      <c r="J8974" s="1" t="str">
        <f t="shared" si="1965"/>
        <v>...</v>
      </c>
      <c r="K8974" s="1" t="str">
        <f t="shared" si="1965"/>
        <v>...</v>
      </c>
      <c r="L8974" s="1" t="str">
        <f t="shared" si="1965"/>
        <v>...</v>
      </c>
      <c r="M8974" s="1" t="str">
        <f t="shared" si="1965"/>
        <v>...</v>
      </c>
      <c r="N8974" t="s">
        <v>30</v>
      </c>
    </row>
    <row r="8975" spans="1:14" x14ac:dyDescent="0.25">
      <c r="A8975" t="s">
        <v>43</v>
      </c>
      <c r="B8975" t="s">
        <v>39</v>
      </c>
      <c r="C8975" t="s">
        <v>35</v>
      </c>
      <c r="D8975" t="s">
        <v>28</v>
      </c>
      <c r="E8975" t="s">
        <v>26</v>
      </c>
      <c r="F8975" t="s">
        <v>19</v>
      </c>
      <c r="G8975" s="1" t="str">
        <f t="shared" si="1965"/>
        <v>...</v>
      </c>
      <c r="H8975" s="1" t="str">
        <f t="shared" si="1965"/>
        <v>...</v>
      </c>
      <c r="I8975" s="1" t="str">
        <f t="shared" si="1965"/>
        <v>...</v>
      </c>
      <c r="J8975" s="1" t="str">
        <f t="shared" si="1965"/>
        <v>...</v>
      </c>
      <c r="K8975" s="1" t="str">
        <f t="shared" si="1965"/>
        <v>...</v>
      </c>
      <c r="L8975" s="1" t="str">
        <f t="shared" si="1965"/>
        <v>...</v>
      </c>
      <c r="M8975" s="1" t="str">
        <f t="shared" si="1965"/>
        <v>...</v>
      </c>
      <c r="N8975" t="s">
        <v>30</v>
      </c>
    </row>
    <row r="8976" spans="1:14" x14ac:dyDescent="0.25">
      <c r="A8976" t="s">
        <v>43</v>
      </c>
      <c r="B8976" t="s">
        <v>39</v>
      </c>
      <c r="C8976" t="s">
        <v>35</v>
      </c>
      <c r="D8976" t="s">
        <v>28</v>
      </c>
      <c r="E8976" t="s">
        <v>26</v>
      </c>
      <c r="F8976" t="s">
        <v>20</v>
      </c>
      <c r="G8976" s="1" t="str">
        <f t="shared" ref="G8976:M8976" si="1966">"X"</f>
        <v>X</v>
      </c>
      <c r="H8976" s="1" t="str">
        <f t="shared" si="1966"/>
        <v>X</v>
      </c>
      <c r="I8976" s="1" t="str">
        <f t="shared" si="1966"/>
        <v>X</v>
      </c>
      <c r="J8976" s="1" t="str">
        <f t="shared" si="1966"/>
        <v>X</v>
      </c>
      <c r="K8976" s="1" t="str">
        <f t="shared" si="1966"/>
        <v>X</v>
      </c>
      <c r="L8976" s="1" t="str">
        <f t="shared" si="1966"/>
        <v>X</v>
      </c>
      <c r="M8976" s="1" t="str">
        <f t="shared" si="1966"/>
        <v>X</v>
      </c>
      <c r="N8976" t="s">
        <v>27</v>
      </c>
    </row>
    <row r="8977" spans="1:14" x14ac:dyDescent="0.25">
      <c r="A8977" t="s">
        <v>43</v>
      </c>
      <c r="B8977" t="s">
        <v>39</v>
      </c>
      <c r="C8977" t="s">
        <v>35</v>
      </c>
      <c r="D8977" t="s">
        <v>29</v>
      </c>
      <c r="E8977" t="s">
        <v>15</v>
      </c>
      <c r="F8977" t="s">
        <v>15</v>
      </c>
      <c r="G8977" s="2">
        <f>VALUE(298.25)</f>
        <v>298.25</v>
      </c>
      <c r="H8977" s="3">
        <f>VALUE(295.83)</f>
        <v>295.83</v>
      </c>
      <c r="I8977" s="4">
        <f>VALUE(2857)</f>
        <v>2857</v>
      </c>
      <c r="J8977" s="5">
        <f>VALUE(2857)</f>
        <v>2857</v>
      </c>
      <c r="K8977" s="6">
        <f>VALUE(4242)</f>
        <v>4242</v>
      </c>
      <c r="L8977" s="7">
        <f>VALUE(4627)</f>
        <v>4627</v>
      </c>
      <c r="M8977" s="8">
        <f>VALUE(5807)</f>
        <v>5807</v>
      </c>
      <c r="N8977" t="s">
        <v>24</v>
      </c>
    </row>
    <row r="8978" spans="1:14" x14ac:dyDescent="0.25">
      <c r="A8978" t="s">
        <v>43</v>
      </c>
      <c r="B8978" t="s">
        <v>39</v>
      </c>
      <c r="C8978" t="s">
        <v>35</v>
      </c>
      <c r="D8978" t="s">
        <v>29</v>
      </c>
      <c r="E8978" t="s">
        <v>15</v>
      </c>
      <c r="F8978" t="s">
        <v>17</v>
      </c>
      <c r="G8978" s="1" t="str">
        <f t="shared" ref="G8978:M8982" si="1967">"X"</f>
        <v>X</v>
      </c>
      <c r="H8978" s="1" t="str">
        <f t="shared" si="1967"/>
        <v>X</v>
      </c>
      <c r="I8978" s="1" t="str">
        <f t="shared" si="1967"/>
        <v>X</v>
      </c>
      <c r="J8978" s="1" t="str">
        <f t="shared" si="1967"/>
        <v>X</v>
      </c>
      <c r="K8978" s="1" t="str">
        <f t="shared" si="1967"/>
        <v>X</v>
      </c>
      <c r="L8978" s="1" t="str">
        <f t="shared" si="1967"/>
        <v>X</v>
      </c>
      <c r="M8978" s="1" t="str">
        <f t="shared" si="1967"/>
        <v>X</v>
      </c>
      <c r="N8978" t="s">
        <v>27</v>
      </c>
    </row>
    <row r="8979" spans="1:14" x14ac:dyDescent="0.25">
      <c r="A8979" t="s">
        <v>43</v>
      </c>
      <c r="B8979" t="s">
        <v>39</v>
      </c>
      <c r="C8979" t="s">
        <v>35</v>
      </c>
      <c r="D8979" t="s">
        <v>29</v>
      </c>
      <c r="E8979" t="s">
        <v>15</v>
      </c>
      <c r="F8979" t="s">
        <v>18</v>
      </c>
      <c r="G8979" s="1" t="str">
        <f t="shared" si="1967"/>
        <v>X</v>
      </c>
      <c r="H8979" s="1" t="str">
        <f t="shared" si="1967"/>
        <v>X</v>
      </c>
      <c r="I8979" s="1" t="str">
        <f t="shared" si="1967"/>
        <v>X</v>
      </c>
      <c r="J8979" s="1" t="str">
        <f t="shared" si="1967"/>
        <v>X</v>
      </c>
      <c r="K8979" s="1" t="str">
        <f t="shared" si="1967"/>
        <v>X</v>
      </c>
      <c r="L8979" s="1" t="str">
        <f t="shared" si="1967"/>
        <v>X</v>
      </c>
      <c r="M8979" s="1" t="str">
        <f t="shared" si="1967"/>
        <v>X</v>
      </c>
      <c r="N8979" t="s">
        <v>27</v>
      </c>
    </row>
    <row r="8980" spans="1:14" x14ac:dyDescent="0.25">
      <c r="A8980" t="s">
        <v>43</v>
      </c>
      <c r="B8980" t="s">
        <v>39</v>
      </c>
      <c r="C8980" t="s">
        <v>35</v>
      </c>
      <c r="D8980" t="s">
        <v>29</v>
      </c>
      <c r="E8980" t="s">
        <v>15</v>
      </c>
      <c r="F8980" t="s">
        <v>19</v>
      </c>
      <c r="G8980" s="1" t="str">
        <f t="shared" si="1967"/>
        <v>X</v>
      </c>
      <c r="H8980" s="1" t="str">
        <f t="shared" si="1967"/>
        <v>X</v>
      </c>
      <c r="I8980" s="1" t="str">
        <f t="shared" si="1967"/>
        <v>X</v>
      </c>
      <c r="J8980" s="1" t="str">
        <f t="shared" si="1967"/>
        <v>X</v>
      </c>
      <c r="K8980" s="1" t="str">
        <f t="shared" si="1967"/>
        <v>X</v>
      </c>
      <c r="L8980" s="1" t="str">
        <f t="shared" si="1967"/>
        <v>X</v>
      </c>
      <c r="M8980" s="1" t="str">
        <f t="shared" si="1967"/>
        <v>X</v>
      </c>
      <c r="N8980" t="s">
        <v>27</v>
      </c>
    </row>
    <row r="8981" spans="1:14" x14ac:dyDescent="0.25">
      <c r="A8981" t="s">
        <v>43</v>
      </c>
      <c r="B8981" t="s">
        <v>39</v>
      </c>
      <c r="C8981" t="s">
        <v>35</v>
      </c>
      <c r="D8981" t="s">
        <v>29</v>
      </c>
      <c r="E8981" t="s">
        <v>15</v>
      </c>
      <c r="F8981" t="s">
        <v>20</v>
      </c>
      <c r="G8981" s="1" t="str">
        <f t="shared" si="1967"/>
        <v>X</v>
      </c>
      <c r="H8981" s="1" t="str">
        <f t="shared" si="1967"/>
        <v>X</v>
      </c>
      <c r="I8981" s="1" t="str">
        <f t="shared" si="1967"/>
        <v>X</v>
      </c>
      <c r="J8981" s="1" t="str">
        <f t="shared" si="1967"/>
        <v>X</v>
      </c>
      <c r="K8981" s="1" t="str">
        <f t="shared" si="1967"/>
        <v>X</v>
      </c>
      <c r="L8981" s="1" t="str">
        <f t="shared" si="1967"/>
        <v>X</v>
      </c>
      <c r="M8981" s="1" t="str">
        <f t="shared" si="1967"/>
        <v>X</v>
      </c>
      <c r="N8981" t="s">
        <v>27</v>
      </c>
    </row>
    <row r="8982" spans="1:14" x14ac:dyDescent="0.25">
      <c r="A8982" t="s">
        <v>43</v>
      </c>
      <c r="B8982" t="s">
        <v>39</v>
      </c>
      <c r="C8982" t="s">
        <v>35</v>
      </c>
      <c r="D8982" t="s">
        <v>29</v>
      </c>
      <c r="E8982" t="s">
        <v>21</v>
      </c>
      <c r="F8982" t="s">
        <v>15</v>
      </c>
      <c r="G8982" s="1" t="str">
        <f t="shared" si="1967"/>
        <v>X</v>
      </c>
      <c r="H8982" s="1" t="str">
        <f t="shared" si="1967"/>
        <v>X</v>
      </c>
      <c r="I8982" s="1" t="str">
        <f t="shared" si="1967"/>
        <v>X</v>
      </c>
      <c r="J8982" s="1" t="str">
        <f t="shared" si="1967"/>
        <v>X</v>
      </c>
      <c r="K8982" s="1" t="str">
        <f t="shared" si="1967"/>
        <v>X</v>
      </c>
      <c r="L8982" s="1" t="str">
        <f t="shared" si="1967"/>
        <v>X</v>
      </c>
      <c r="M8982" s="1" t="str">
        <f t="shared" si="1967"/>
        <v>X</v>
      </c>
      <c r="N8982" t="s">
        <v>27</v>
      </c>
    </row>
    <row r="8983" spans="1:14" x14ac:dyDescent="0.25">
      <c r="A8983" t="s">
        <v>43</v>
      </c>
      <c r="B8983" t="s">
        <v>39</v>
      </c>
      <c r="C8983" t="s">
        <v>35</v>
      </c>
      <c r="D8983" t="s">
        <v>29</v>
      </c>
      <c r="E8983" t="s">
        <v>21</v>
      </c>
      <c r="F8983" t="s">
        <v>17</v>
      </c>
      <c r="G8983" s="1" t="str">
        <f t="shared" ref="G8983:M8985" si="1968">"..."</f>
        <v>...</v>
      </c>
      <c r="H8983" s="1" t="str">
        <f t="shared" si="1968"/>
        <v>...</v>
      </c>
      <c r="I8983" s="1" t="str">
        <f t="shared" si="1968"/>
        <v>...</v>
      </c>
      <c r="J8983" s="1" t="str">
        <f t="shared" si="1968"/>
        <v>...</v>
      </c>
      <c r="K8983" s="1" t="str">
        <f t="shared" si="1968"/>
        <v>...</v>
      </c>
      <c r="L8983" s="1" t="str">
        <f t="shared" si="1968"/>
        <v>...</v>
      </c>
      <c r="M8983" s="1" t="str">
        <f t="shared" si="1968"/>
        <v>...</v>
      </c>
      <c r="N8983" t="s">
        <v>30</v>
      </c>
    </row>
    <row r="8984" spans="1:14" x14ac:dyDescent="0.25">
      <c r="A8984" t="s">
        <v>43</v>
      </c>
      <c r="B8984" t="s">
        <v>39</v>
      </c>
      <c r="C8984" t="s">
        <v>35</v>
      </c>
      <c r="D8984" t="s">
        <v>29</v>
      </c>
      <c r="E8984" t="s">
        <v>21</v>
      </c>
      <c r="F8984" t="s">
        <v>18</v>
      </c>
      <c r="G8984" s="1" t="str">
        <f t="shared" si="1968"/>
        <v>...</v>
      </c>
      <c r="H8984" s="1" t="str">
        <f t="shared" si="1968"/>
        <v>...</v>
      </c>
      <c r="I8984" s="1" t="str">
        <f t="shared" si="1968"/>
        <v>...</v>
      </c>
      <c r="J8984" s="1" t="str">
        <f t="shared" si="1968"/>
        <v>...</v>
      </c>
      <c r="K8984" s="1" t="str">
        <f t="shared" si="1968"/>
        <v>...</v>
      </c>
      <c r="L8984" s="1" t="str">
        <f t="shared" si="1968"/>
        <v>...</v>
      </c>
      <c r="M8984" s="1" t="str">
        <f t="shared" si="1968"/>
        <v>...</v>
      </c>
      <c r="N8984" t="s">
        <v>30</v>
      </c>
    </row>
    <row r="8985" spans="1:14" x14ac:dyDescent="0.25">
      <c r="A8985" t="s">
        <v>43</v>
      </c>
      <c r="B8985" t="s">
        <v>39</v>
      </c>
      <c r="C8985" t="s">
        <v>35</v>
      </c>
      <c r="D8985" t="s">
        <v>29</v>
      </c>
      <c r="E8985" t="s">
        <v>21</v>
      </c>
      <c r="F8985" t="s">
        <v>19</v>
      </c>
      <c r="G8985" s="1" t="str">
        <f t="shared" si="1968"/>
        <v>...</v>
      </c>
      <c r="H8985" s="1" t="str">
        <f t="shared" si="1968"/>
        <v>...</v>
      </c>
      <c r="I8985" s="1" t="str">
        <f t="shared" si="1968"/>
        <v>...</v>
      </c>
      <c r="J8985" s="1" t="str">
        <f t="shared" si="1968"/>
        <v>...</v>
      </c>
      <c r="K8985" s="1" t="str">
        <f t="shared" si="1968"/>
        <v>...</v>
      </c>
      <c r="L8985" s="1" t="str">
        <f t="shared" si="1968"/>
        <v>...</v>
      </c>
      <c r="M8985" s="1" t="str">
        <f t="shared" si="1968"/>
        <v>...</v>
      </c>
      <c r="N8985" t="s">
        <v>30</v>
      </c>
    </row>
    <row r="8986" spans="1:14" x14ac:dyDescent="0.25">
      <c r="A8986" t="s">
        <v>43</v>
      </c>
      <c r="B8986" t="s">
        <v>39</v>
      </c>
      <c r="C8986" t="s">
        <v>35</v>
      </c>
      <c r="D8986" t="s">
        <v>29</v>
      </c>
      <c r="E8986" t="s">
        <v>21</v>
      </c>
      <c r="F8986" t="s">
        <v>20</v>
      </c>
      <c r="G8986" s="1" t="str">
        <f t="shared" ref="G8986:M8992" si="1969">"X"</f>
        <v>X</v>
      </c>
      <c r="H8986" s="1" t="str">
        <f t="shared" si="1969"/>
        <v>X</v>
      </c>
      <c r="I8986" s="1" t="str">
        <f t="shared" si="1969"/>
        <v>X</v>
      </c>
      <c r="J8986" s="1" t="str">
        <f t="shared" si="1969"/>
        <v>X</v>
      </c>
      <c r="K8986" s="1" t="str">
        <f t="shared" si="1969"/>
        <v>X</v>
      </c>
      <c r="L8986" s="1" t="str">
        <f t="shared" si="1969"/>
        <v>X</v>
      </c>
      <c r="M8986" s="1" t="str">
        <f t="shared" si="1969"/>
        <v>X</v>
      </c>
      <c r="N8986" t="s">
        <v>27</v>
      </c>
    </row>
    <row r="8987" spans="1:14" x14ac:dyDescent="0.25">
      <c r="A8987" t="s">
        <v>43</v>
      </c>
      <c r="B8987" t="s">
        <v>39</v>
      </c>
      <c r="C8987" t="s">
        <v>35</v>
      </c>
      <c r="D8987" t="s">
        <v>29</v>
      </c>
      <c r="E8987" t="s">
        <v>22</v>
      </c>
      <c r="F8987" t="s">
        <v>15</v>
      </c>
      <c r="G8987" s="1" t="str">
        <f t="shared" si="1969"/>
        <v>X</v>
      </c>
      <c r="H8987" s="1" t="str">
        <f t="shared" si="1969"/>
        <v>X</v>
      </c>
      <c r="I8987" s="1" t="str">
        <f t="shared" si="1969"/>
        <v>X</v>
      </c>
      <c r="J8987" s="1" t="str">
        <f t="shared" si="1969"/>
        <v>X</v>
      </c>
      <c r="K8987" s="1" t="str">
        <f t="shared" si="1969"/>
        <v>X</v>
      </c>
      <c r="L8987" s="1" t="str">
        <f t="shared" si="1969"/>
        <v>X</v>
      </c>
      <c r="M8987" s="1" t="str">
        <f t="shared" si="1969"/>
        <v>X</v>
      </c>
      <c r="N8987" t="s">
        <v>27</v>
      </c>
    </row>
    <row r="8988" spans="1:14" x14ac:dyDescent="0.25">
      <c r="A8988" t="s">
        <v>43</v>
      </c>
      <c r="B8988" t="s">
        <v>39</v>
      </c>
      <c r="C8988" t="s">
        <v>35</v>
      </c>
      <c r="D8988" t="s">
        <v>29</v>
      </c>
      <c r="E8988" t="s">
        <v>22</v>
      </c>
      <c r="F8988" t="s">
        <v>17</v>
      </c>
      <c r="G8988" s="1" t="str">
        <f t="shared" si="1969"/>
        <v>X</v>
      </c>
      <c r="H8988" s="1" t="str">
        <f t="shared" si="1969"/>
        <v>X</v>
      </c>
      <c r="I8988" s="1" t="str">
        <f t="shared" si="1969"/>
        <v>X</v>
      </c>
      <c r="J8988" s="1" t="str">
        <f t="shared" si="1969"/>
        <v>X</v>
      </c>
      <c r="K8988" s="1" t="str">
        <f t="shared" si="1969"/>
        <v>X</v>
      </c>
      <c r="L8988" s="1" t="str">
        <f t="shared" si="1969"/>
        <v>X</v>
      </c>
      <c r="M8988" s="1" t="str">
        <f t="shared" si="1969"/>
        <v>X</v>
      </c>
      <c r="N8988" t="s">
        <v>27</v>
      </c>
    </row>
    <row r="8989" spans="1:14" x14ac:dyDescent="0.25">
      <c r="A8989" t="s">
        <v>43</v>
      </c>
      <c r="B8989" t="s">
        <v>39</v>
      </c>
      <c r="C8989" t="s">
        <v>35</v>
      </c>
      <c r="D8989" t="s">
        <v>29</v>
      </c>
      <c r="E8989" t="s">
        <v>22</v>
      </c>
      <c r="F8989" t="s">
        <v>18</v>
      </c>
      <c r="G8989" s="1" t="str">
        <f t="shared" si="1969"/>
        <v>X</v>
      </c>
      <c r="H8989" s="1" t="str">
        <f t="shared" si="1969"/>
        <v>X</v>
      </c>
      <c r="I8989" s="1" t="str">
        <f t="shared" si="1969"/>
        <v>X</v>
      </c>
      <c r="J8989" s="1" t="str">
        <f t="shared" si="1969"/>
        <v>X</v>
      </c>
      <c r="K8989" s="1" t="str">
        <f t="shared" si="1969"/>
        <v>X</v>
      </c>
      <c r="L8989" s="1" t="str">
        <f t="shared" si="1969"/>
        <v>X</v>
      </c>
      <c r="M8989" s="1" t="str">
        <f t="shared" si="1969"/>
        <v>X</v>
      </c>
      <c r="N8989" t="s">
        <v>27</v>
      </c>
    </row>
    <row r="8990" spans="1:14" x14ac:dyDescent="0.25">
      <c r="A8990" t="s">
        <v>43</v>
      </c>
      <c r="B8990" t="s">
        <v>39</v>
      </c>
      <c r="C8990" t="s">
        <v>35</v>
      </c>
      <c r="D8990" t="s">
        <v>29</v>
      </c>
      <c r="E8990" t="s">
        <v>22</v>
      </c>
      <c r="F8990" t="s">
        <v>19</v>
      </c>
      <c r="G8990" s="1" t="str">
        <f t="shared" si="1969"/>
        <v>X</v>
      </c>
      <c r="H8990" s="1" t="str">
        <f t="shared" si="1969"/>
        <v>X</v>
      </c>
      <c r="I8990" s="1" t="str">
        <f t="shared" si="1969"/>
        <v>X</v>
      </c>
      <c r="J8990" s="1" t="str">
        <f t="shared" si="1969"/>
        <v>X</v>
      </c>
      <c r="K8990" s="1" t="str">
        <f t="shared" si="1969"/>
        <v>X</v>
      </c>
      <c r="L8990" s="1" t="str">
        <f t="shared" si="1969"/>
        <v>X</v>
      </c>
      <c r="M8990" s="1" t="str">
        <f t="shared" si="1969"/>
        <v>X</v>
      </c>
      <c r="N8990" t="s">
        <v>27</v>
      </c>
    </row>
    <row r="8991" spans="1:14" x14ac:dyDescent="0.25">
      <c r="A8991" t="s">
        <v>43</v>
      </c>
      <c r="B8991" t="s">
        <v>39</v>
      </c>
      <c r="C8991" t="s">
        <v>35</v>
      </c>
      <c r="D8991" t="s">
        <v>29</v>
      </c>
      <c r="E8991" t="s">
        <v>22</v>
      </c>
      <c r="F8991" t="s">
        <v>20</v>
      </c>
      <c r="G8991" s="1" t="str">
        <f t="shared" si="1969"/>
        <v>X</v>
      </c>
      <c r="H8991" s="1" t="str">
        <f t="shared" si="1969"/>
        <v>X</v>
      </c>
      <c r="I8991" s="1" t="str">
        <f t="shared" si="1969"/>
        <v>X</v>
      </c>
      <c r="J8991" s="1" t="str">
        <f t="shared" si="1969"/>
        <v>X</v>
      </c>
      <c r="K8991" s="1" t="str">
        <f t="shared" si="1969"/>
        <v>X</v>
      </c>
      <c r="L8991" s="1" t="str">
        <f t="shared" si="1969"/>
        <v>X</v>
      </c>
      <c r="M8991" s="1" t="str">
        <f t="shared" si="1969"/>
        <v>X</v>
      </c>
      <c r="N8991" t="s">
        <v>27</v>
      </c>
    </row>
    <row r="8992" spans="1:14" x14ac:dyDescent="0.25">
      <c r="A8992" t="s">
        <v>43</v>
      </c>
      <c r="B8992" t="s">
        <v>39</v>
      </c>
      <c r="C8992" t="s">
        <v>35</v>
      </c>
      <c r="D8992" t="s">
        <v>29</v>
      </c>
      <c r="E8992" t="s">
        <v>23</v>
      </c>
      <c r="F8992" t="s">
        <v>15</v>
      </c>
      <c r="G8992" s="1" t="str">
        <f t="shared" si="1969"/>
        <v>X</v>
      </c>
      <c r="H8992" s="1" t="str">
        <f t="shared" si="1969"/>
        <v>X</v>
      </c>
      <c r="I8992" s="1" t="str">
        <f t="shared" si="1969"/>
        <v>X</v>
      </c>
      <c r="J8992" s="1" t="str">
        <f t="shared" si="1969"/>
        <v>X</v>
      </c>
      <c r="K8992" s="1" t="str">
        <f t="shared" si="1969"/>
        <v>X</v>
      </c>
      <c r="L8992" s="1" t="str">
        <f t="shared" si="1969"/>
        <v>X</v>
      </c>
      <c r="M8992" s="1" t="str">
        <f t="shared" si="1969"/>
        <v>X</v>
      </c>
      <c r="N8992" t="s">
        <v>27</v>
      </c>
    </row>
    <row r="8993" spans="1:14" x14ac:dyDescent="0.25">
      <c r="A8993" t="s">
        <v>43</v>
      </c>
      <c r="B8993" t="s">
        <v>39</v>
      </c>
      <c r="C8993" t="s">
        <v>35</v>
      </c>
      <c r="D8993" t="s">
        <v>29</v>
      </c>
      <c r="E8993" t="s">
        <v>23</v>
      </c>
      <c r="F8993" t="s">
        <v>17</v>
      </c>
      <c r="G8993" s="1" t="str">
        <f t="shared" ref="G8993:M8994" si="1970">"..."</f>
        <v>...</v>
      </c>
      <c r="H8993" s="1" t="str">
        <f t="shared" si="1970"/>
        <v>...</v>
      </c>
      <c r="I8993" s="1" t="str">
        <f t="shared" si="1970"/>
        <v>...</v>
      </c>
      <c r="J8993" s="1" t="str">
        <f t="shared" si="1970"/>
        <v>...</v>
      </c>
      <c r="K8993" s="1" t="str">
        <f t="shared" si="1970"/>
        <v>...</v>
      </c>
      <c r="L8993" s="1" t="str">
        <f t="shared" si="1970"/>
        <v>...</v>
      </c>
      <c r="M8993" s="1" t="str">
        <f t="shared" si="1970"/>
        <v>...</v>
      </c>
      <c r="N8993" t="s">
        <v>30</v>
      </c>
    </row>
    <row r="8994" spans="1:14" x14ac:dyDescent="0.25">
      <c r="A8994" t="s">
        <v>43</v>
      </c>
      <c r="B8994" t="s">
        <v>39</v>
      </c>
      <c r="C8994" t="s">
        <v>35</v>
      </c>
      <c r="D8994" t="s">
        <v>29</v>
      </c>
      <c r="E8994" t="s">
        <v>23</v>
      </c>
      <c r="F8994" t="s">
        <v>18</v>
      </c>
      <c r="G8994" s="1" t="str">
        <f t="shared" si="1970"/>
        <v>...</v>
      </c>
      <c r="H8994" s="1" t="str">
        <f t="shared" si="1970"/>
        <v>...</v>
      </c>
      <c r="I8994" s="1" t="str">
        <f t="shared" si="1970"/>
        <v>...</v>
      </c>
      <c r="J8994" s="1" t="str">
        <f t="shared" si="1970"/>
        <v>...</v>
      </c>
      <c r="K8994" s="1" t="str">
        <f t="shared" si="1970"/>
        <v>...</v>
      </c>
      <c r="L8994" s="1" t="str">
        <f t="shared" si="1970"/>
        <v>...</v>
      </c>
      <c r="M8994" s="1" t="str">
        <f t="shared" si="1970"/>
        <v>...</v>
      </c>
      <c r="N8994" t="s">
        <v>30</v>
      </c>
    </row>
    <row r="8995" spans="1:14" x14ac:dyDescent="0.25">
      <c r="A8995" t="s">
        <v>43</v>
      </c>
      <c r="B8995" t="s">
        <v>39</v>
      </c>
      <c r="C8995" t="s">
        <v>35</v>
      </c>
      <c r="D8995" t="s">
        <v>29</v>
      </c>
      <c r="E8995" t="s">
        <v>23</v>
      </c>
      <c r="F8995" t="s">
        <v>19</v>
      </c>
      <c r="G8995" s="1" t="str">
        <f t="shared" ref="G8995:M8997" si="1971">"X"</f>
        <v>X</v>
      </c>
      <c r="H8995" s="1" t="str">
        <f t="shared" si="1971"/>
        <v>X</v>
      </c>
      <c r="I8995" s="1" t="str">
        <f t="shared" si="1971"/>
        <v>X</v>
      </c>
      <c r="J8995" s="1" t="str">
        <f t="shared" si="1971"/>
        <v>X</v>
      </c>
      <c r="K8995" s="1" t="str">
        <f t="shared" si="1971"/>
        <v>X</v>
      </c>
      <c r="L8995" s="1" t="str">
        <f t="shared" si="1971"/>
        <v>X</v>
      </c>
      <c r="M8995" s="1" t="str">
        <f t="shared" si="1971"/>
        <v>X</v>
      </c>
      <c r="N8995" t="s">
        <v>27</v>
      </c>
    </row>
    <row r="8996" spans="1:14" x14ac:dyDescent="0.25">
      <c r="A8996" t="s">
        <v>43</v>
      </c>
      <c r="B8996" t="s">
        <v>39</v>
      </c>
      <c r="C8996" t="s">
        <v>35</v>
      </c>
      <c r="D8996" t="s">
        <v>29</v>
      </c>
      <c r="E8996" t="s">
        <v>23</v>
      </c>
      <c r="F8996" t="s">
        <v>20</v>
      </c>
      <c r="G8996" s="1" t="str">
        <f t="shared" si="1971"/>
        <v>X</v>
      </c>
      <c r="H8996" s="1" t="str">
        <f t="shared" si="1971"/>
        <v>X</v>
      </c>
      <c r="I8996" s="1" t="str">
        <f t="shared" si="1971"/>
        <v>X</v>
      </c>
      <c r="J8996" s="1" t="str">
        <f t="shared" si="1971"/>
        <v>X</v>
      </c>
      <c r="K8996" s="1" t="str">
        <f t="shared" si="1971"/>
        <v>X</v>
      </c>
      <c r="L8996" s="1" t="str">
        <f t="shared" si="1971"/>
        <v>X</v>
      </c>
      <c r="M8996" s="1" t="str">
        <f t="shared" si="1971"/>
        <v>X</v>
      </c>
      <c r="N8996" t="s">
        <v>27</v>
      </c>
    </row>
    <row r="8997" spans="1:14" x14ac:dyDescent="0.25">
      <c r="A8997" t="s">
        <v>43</v>
      </c>
      <c r="B8997" t="s">
        <v>39</v>
      </c>
      <c r="C8997" t="s">
        <v>35</v>
      </c>
      <c r="D8997" t="s">
        <v>29</v>
      </c>
      <c r="E8997" t="s">
        <v>26</v>
      </c>
      <c r="F8997" t="s">
        <v>15</v>
      </c>
      <c r="G8997" s="1" t="str">
        <f t="shared" si="1971"/>
        <v>X</v>
      </c>
      <c r="H8997" s="1" t="str">
        <f t="shared" si="1971"/>
        <v>X</v>
      </c>
      <c r="I8997" s="1" t="str">
        <f t="shared" si="1971"/>
        <v>X</v>
      </c>
      <c r="J8997" s="1" t="str">
        <f t="shared" si="1971"/>
        <v>X</v>
      </c>
      <c r="K8997" s="1" t="str">
        <f t="shared" si="1971"/>
        <v>X</v>
      </c>
      <c r="L8997" s="1" t="str">
        <f t="shared" si="1971"/>
        <v>X</v>
      </c>
      <c r="M8997" s="1" t="str">
        <f t="shared" si="1971"/>
        <v>X</v>
      </c>
      <c r="N8997" t="s">
        <v>27</v>
      </c>
    </row>
    <row r="8998" spans="1:14" x14ac:dyDescent="0.25">
      <c r="A8998" t="s">
        <v>43</v>
      </c>
      <c r="B8998" t="s">
        <v>39</v>
      </c>
      <c r="C8998" t="s">
        <v>35</v>
      </c>
      <c r="D8998" t="s">
        <v>29</v>
      </c>
      <c r="E8998" t="s">
        <v>26</v>
      </c>
      <c r="F8998" t="s">
        <v>17</v>
      </c>
      <c r="G8998" s="1" t="str">
        <f t="shared" ref="G8998:M9000" si="1972">"..."</f>
        <v>...</v>
      </c>
      <c r="H8998" s="1" t="str">
        <f t="shared" si="1972"/>
        <v>...</v>
      </c>
      <c r="I8998" s="1" t="str">
        <f t="shared" si="1972"/>
        <v>...</v>
      </c>
      <c r="J8998" s="1" t="str">
        <f t="shared" si="1972"/>
        <v>...</v>
      </c>
      <c r="K8998" s="1" t="str">
        <f t="shared" si="1972"/>
        <v>...</v>
      </c>
      <c r="L8998" s="1" t="str">
        <f t="shared" si="1972"/>
        <v>...</v>
      </c>
      <c r="M8998" s="1" t="str">
        <f t="shared" si="1972"/>
        <v>...</v>
      </c>
      <c r="N8998" t="s">
        <v>30</v>
      </c>
    </row>
    <row r="8999" spans="1:14" x14ac:dyDescent="0.25">
      <c r="A8999" t="s">
        <v>43</v>
      </c>
      <c r="B8999" t="s">
        <v>39</v>
      </c>
      <c r="C8999" t="s">
        <v>35</v>
      </c>
      <c r="D8999" t="s">
        <v>29</v>
      </c>
      <c r="E8999" t="s">
        <v>26</v>
      </c>
      <c r="F8999" t="s">
        <v>18</v>
      </c>
      <c r="G8999" s="1" t="str">
        <f t="shared" si="1972"/>
        <v>...</v>
      </c>
      <c r="H8999" s="1" t="str">
        <f t="shared" si="1972"/>
        <v>...</v>
      </c>
      <c r="I8999" s="1" t="str">
        <f t="shared" si="1972"/>
        <v>...</v>
      </c>
      <c r="J8999" s="1" t="str">
        <f t="shared" si="1972"/>
        <v>...</v>
      </c>
      <c r="K8999" s="1" t="str">
        <f t="shared" si="1972"/>
        <v>...</v>
      </c>
      <c r="L8999" s="1" t="str">
        <f t="shared" si="1972"/>
        <v>...</v>
      </c>
      <c r="M8999" s="1" t="str">
        <f t="shared" si="1972"/>
        <v>...</v>
      </c>
      <c r="N8999" t="s">
        <v>30</v>
      </c>
    </row>
    <row r="9000" spans="1:14" x14ac:dyDescent="0.25">
      <c r="A9000" t="s">
        <v>43</v>
      </c>
      <c r="B9000" t="s">
        <v>39</v>
      </c>
      <c r="C9000" t="s">
        <v>35</v>
      </c>
      <c r="D9000" t="s">
        <v>29</v>
      </c>
      <c r="E9000" t="s">
        <v>26</v>
      </c>
      <c r="F9000" t="s">
        <v>19</v>
      </c>
      <c r="G9000" s="1" t="str">
        <f t="shared" si="1972"/>
        <v>...</v>
      </c>
      <c r="H9000" s="1" t="str">
        <f t="shared" si="1972"/>
        <v>...</v>
      </c>
      <c r="I9000" s="1" t="str">
        <f t="shared" si="1972"/>
        <v>...</v>
      </c>
      <c r="J9000" s="1" t="str">
        <f t="shared" si="1972"/>
        <v>...</v>
      </c>
      <c r="K9000" s="1" t="str">
        <f t="shared" si="1972"/>
        <v>...</v>
      </c>
      <c r="L9000" s="1" t="str">
        <f t="shared" si="1972"/>
        <v>...</v>
      </c>
      <c r="M9000" s="1" t="str">
        <f t="shared" si="1972"/>
        <v>...</v>
      </c>
      <c r="N9000" t="s">
        <v>30</v>
      </c>
    </row>
    <row r="9001" spans="1:14" x14ac:dyDescent="0.25">
      <c r="A9001" t="s">
        <v>43</v>
      </c>
      <c r="B9001" t="s">
        <v>39</v>
      </c>
      <c r="C9001" t="s">
        <v>35</v>
      </c>
      <c r="D9001" t="s">
        <v>29</v>
      </c>
      <c r="E9001" t="s">
        <v>26</v>
      </c>
      <c r="F9001" t="s">
        <v>20</v>
      </c>
      <c r="G9001" s="1" t="str">
        <f t="shared" ref="G9001:M9001" si="1973">"X"</f>
        <v>X</v>
      </c>
      <c r="H9001" s="1" t="str">
        <f t="shared" si="1973"/>
        <v>X</v>
      </c>
      <c r="I9001" s="1" t="str">
        <f t="shared" si="1973"/>
        <v>X</v>
      </c>
      <c r="J9001" s="1" t="str">
        <f t="shared" si="1973"/>
        <v>X</v>
      </c>
      <c r="K9001" s="1" t="str">
        <f t="shared" si="1973"/>
        <v>X</v>
      </c>
      <c r="L9001" s="1" t="str">
        <f t="shared" si="1973"/>
        <v>X</v>
      </c>
      <c r="M9001" s="1" t="str">
        <f t="shared" si="1973"/>
        <v>X</v>
      </c>
      <c r="N9001" t="s">
        <v>27</v>
      </c>
    </row>
    <row r="9002" spans="1:14" x14ac:dyDescent="0.25">
      <c r="A9002" t="s">
        <v>43</v>
      </c>
      <c r="B9002" t="s">
        <v>39</v>
      </c>
      <c r="C9002" t="s">
        <v>35</v>
      </c>
      <c r="D9002" t="s">
        <v>31</v>
      </c>
      <c r="E9002" t="s">
        <v>15</v>
      </c>
      <c r="F9002" t="s">
        <v>15</v>
      </c>
      <c r="G9002" s="2">
        <f>VALUE(377.33)</f>
        <v>377.33</v>
      </c>
      <c r="H9002" s="3">
        <f>VALUE(359.4)</f>
        <v>359.4</v>
      </c>
      <c r="I9002" s="1">
        <f>VALUE(3586)</f>
        <v>3586</v>
      </c>
      <c r="J9002" s="1">
        <f>VALUE(3691)</f>
        <v>3691</v>
      </c>
      <c r="K9002" s="6">
        <f>VALUE(3916)</f>
        <v>3916</v>
      </c>
      <c r="L9002" s="7">
        <f>VALUE(4325)</f>
        <v>4325</v>
      </c>
      <c r="M9002" s="8">
        <f>VALUE(5367)</f>
        <v>5367</v>
      </c>
      <c r="N9002" t="s">
        <v>25</v>
      </c>
    </row>
    <row r="9003" spans="1:14" x14ac:dyDescent="0.25">
      <c r="A9003" t="s">
        <v>43</v>
      </c>
      <c r="B9003" t="s">
        <v>39</v>
      </c>
      <c r="C9003" t="s">
        <v>35</v>
      </c>
      <c r="D9003" t="s">
        <v>31</v>
      </c>
      <c r="E9003" t="s">
        <v>15</v>
      </c>
      <c r="F9003" t="s">
        <v>17</v>
      </c>
      <c r="G9003" s="1" t="str">
        <f t="shared" ref="G9003:M9003" si="1974">"..."</f>
        <v>...</v>
      </c>
      <c r="H9003" s="1" t="str">
        <f t="shared" si="1974"/>
        <v>...</v>
      </c>
      <c r="I9003" s="1" t="str">
        <f t="shared" si="1974"/>
        <v>...</v>
      </c>
      <c r="J9003" s="1" t="str">
        <f t="shared" si="1974"/>
        <v>...</v>
      </c>
      <c r="K9003" s="1" t="str">
        <f t="shared" si="1974"/>
        <v>...</v>
      </c>
      <c r="L9003" s="1" t="str">
        <f t="shared" si="1974"/>
        <v>...</v>
      </c>
      <c r="M9003" s="1" t="str">
        <f t="shared" si="1974"/>
        <v>...</v>
      </c>
      <c r="N9003" t="s">
        <v>30</v>
      </c>
    </row>
    <row r="9004" spans="1:14" x14ac:dyDescent="0.25">
      <c r="A9004" t="s">
        <v>43</v>
      </c>
      <c r="B9004" t="s">
        <v>39</v>
      </c>
      <c r="C9004" t="s">
        <v>35</v>
      </c>
      <c r="D9004" t="s">
        <v>31</v>
      </c>
      <c r="E9004" t="s">
        <v>15</v>
      </c>
      <c r="F9004" t="s">
        <v>18</v>
      </c>
      <c r="G9004" s="1" t="str">
        <f t="shared" ref="G9004:M9007" si="1975">"X"</f>
        <v>X</v>
      </c>
      <c r="H9004" s="1" t="str">
        <f t="shared" si="1975"/>
        <v>X</v>
      </c>
      <c r="I9004" s="1" t="str">
        <f t="shared" si="1975"/>
        <v>X</v>
      </c>
      <c r="J9004" s="1" t="str">
        <f t="shared" si="1975"/>
        <v>X</v>
      </c>
      <c r="K9004" s="1" t="str">
        <f t="shared" si="1975"/>
        <v>X</v>
      </c>
      <c r="L9004" s="1" t="str">
        <f t="shared" si="1975"/>
        <v>X</v>
      </c>
      <c r="M9004" s="1" t="str">
        <f t="shared" si="1975"/>
        <v>X</v>
      </c>
      <c r="N9004" t="s">
        <v>27</v>
      </c>
    </row>
    <row r="9005" spans="1:14" x14ac:dyDescent="0.25">
      <c r="A9005" t="s">
        <v>43</v>
      </c>
      <c r="B9005" t="s">
        <v>39</v>
      </c>
      <c r="C9005" t="s">
        <v>35</v>
      </c>
      <c r="D9005" t="s">
        <v>31</v>
      </c>
      <c r="E9005" t="s">
        <v>15</v>
      </c>
      <c r="F9005" t="s">
        <v>19</v>
      </c>
      <c r="G9005" s="1" t="str">
        <f t="shared" si="1975"/>
        <v>X</v>
      </c>
      <c r="H9005" s="1" t="str">
        <f t="shared" si="1975"/>
        <v>X</v>
      </c>
      <c r="I9005" s="1" t="str">
        <f t="shared" si="1975"/>
        <v>X</v>
      </c>
      <c r="J9005" s="1" t="str">
        <f t="shared" si="1975"/>
        <v>X</v>
      </c>
      <c r="K9005" s="1" t="str">
        <f t="shared" si="1975"/>
        <v>X</v>
      </c>
      <c r="L9005" s="1" t="str">
        <f t="shared" si="1975"/>
        <v>X</v>
      </c>
      <c r="M9005" s="1" t="str">
        <f t="shared" si="1975"/>
        <v>X</v>
      </c>
      <c r="N9005" t="s">
        <v>27</v>
      </c>
    </row>
    <row r="9006" spans="1:14" x14ac:dyDescent="0.25">
      <c r="A9006" t="s">
        <v>43</v>
      </c>
      <c r="B9006" t="s">
        <v>39</v>
      </c>
      <c r="C9006" t="s">
        <v>35</v>
      </c>
      <c r="D9006" t="s">
        <v>31</v>
      </c>
      <c r="E9006" t="s">
        <v>15</v>
      </c>
      <c r="F9006" t="s">
        <v>20</v>
      </c>
      <c r="G9006" s="1" t="str">
        <f t="shared" si="1975"/>
        <v>X</v>
      </c>
      <c r="H9006" s="1" t="str">
        <f t="shared" si="1975"/>
        <v>X</v>
      </c>
      <c r="I9006" s="1" t="str">
        <f t="shared" si="1975"/>
        <v>X</v>
      </c>
      <c r="J9006" s="1" t="str">
        <f t="shared" si="1975"/>
        <v>X</v>
      </c>
      <c r="K9006" s="1" t="str">
        <f t="shared" si="1975"/>
        <v>X</v>
      </c>
      <c r="L9006" s="1" t="str">
        <f t="shared" si="1975"/>
        <v>X</v>
      </c>
      <c r="M9006" s="1" t="str">
        <f t="shared" si="1975"/>
        <v>X</v>
      </c>
      <c r="N9006" t="s">
        <v>27</v>
      </c>
    </row>
    <row r="9007" spans="1:14" x14ac:dyDescent="0.25">
      <c r="A9007" t="s">
        <v>43</v>
      </c>
      <c r="B9007" t="s">
        <v>39</v>
      </c>
      <c r="C9007" t="s">
        <v>35</v>
      </c>
      <c r="D9007" t="s">
        <v>31</v>
      </c>
      <c r="E9007" t="s">
        <v>21</v>
      </c>
      <c r="F9007" t="s">
        <v>15</v>
      </c>
      <c r="G9007" s="1" t="str">
        <f t="shared" si="1975"/>
        <v>X</v>
      </c>
      <c r="H9007" s="1" t="str">
        <f t="shared" si="1975"/>
        <v>X</v>
      </c>
      <c r="I9007" s="1" t="str">
        <f t="shared" si="1975"/>
        <v>X</v>
      </c>
      <c r="J9007" s="1" t="str">
        <f t="shared" si="1975"/>
        <v>X</v>
      </c>
      <c r="K9007" s="1" t="str">
        <f t="shared" si="1975"/>
        <v>X</v>
      </c>
      <c r="L9007" s="1" t="str">
        <f t="shared" si="1975"/>
        <v>X</v>
      </c>
      <c r="M9007" s="1" t="str">
        <f t="shared" si="1975"/>
        <v>X</v>
      </c>
      <c r="N9007" t="s">
        <v>27</v>
      </c>
    </row>
    <row r="9008" spans="1:14" x14ac:dyDescent="0.25">
      <c r="A9008" t="s">
        <v>43</v>
      </c>
      <c r="B9008" t="s">
        <v>39</v>
      </c>
      <c r="C9008" t="s">
        <v>35</v>
      </c>
      <c r="D9008" t="s">
        <v>31</v>
      </c>
      <c r="E9008" t="s">
        <v>21</v>
      </c>
      <c r="F9008" t="s">
        <v>17</v>
      </c>
      <c r="G9008" s="1" t="str">
        <f t="shared" ref="G9008:M9009" si="1976">"..."</f>
        <v>...</v>
      </c>
      <c r="H9008" s="1" t="str">
        <f t="shared" si="1976"/>
        <v>...</v>
      </c>
      <c r="I9008" s="1" t="str">
        <f t="shared" si="1976"/>
        <v>...</v>
      </c>
      <c r="J9008" s="1" t="str">
        <f t="shared" si="1976"/>
        <v>...</v>
      </c>
      <c r="K9008" s="1" t="str">
        <f t="shared" si="1976"/>
        <v>...</v>
      </c>
      <c r="L9008" s="1" t="str">
        <f t="shared" si="1976"/>
        <v>...</v>
      </c>
      <c r="M9008" s="1" t="str">
        <f t="shared" si="1976"/>
        <v>...</v>
      </c>
      <c r="N9008" t="s">
        <v>30</v>
      </c>
    </row>
    <row r="9009" spans="1:14" x14ac:dyDescent="0.25">
      <c r="A9009" t="s">
        <v>43</v>
      </c>
      <c r="B9009" t="s">
        <v>39</v>
      </c>
      <c r="C9009" t="s">
        <v>35</v>
      </c>
      <c r="D9009" t="s">
        <v>31</v>
      </c>
      <c r="E9009" t="s">
        <v>21</v>
      </c>
      <c r="F9009" t="s">
        <v>18</v>
      </c>
      <c r="G9009" s="1" t="str">
        <f t="shared" si="1976"/>
        <v>...</v>
      </c>
      <c r="H9009" s="1" t="str">
        <f t="shared" si="1976"/>
        <v>...</v>
      </c>
      <c r="I9009" s="1" t="str">
        <f t="shared" si="1976"/>
        <v>...</v>
      </c>
      <c r="J9009" s="1" t="str">
        <f t="shared" si="1976"/>
        <v>...</v>
      </c>
      <c r="K9009" s="1" t="str">
        <f t="shared" si="1976"/>
        <v>...</v>
      </c>
      <c r="L9009" s="1" t="str">
        <f t="shared" si="1976"/>
        <v>...</v>
      </c>
      <c r="M9009" s="1" t="str">
        <f t="shared" si="1976"/>
        <v>...</v>
      </c>
      <c r="N9009" t="s">
        <v>30</v>
      </c>
    </row>
    <row r="9010" spans="1:14" x14ac:dyDescent="0.25">
      <c r="A9010" t="s">
        <v>43</v>
      </c>
      <c r="B9010" t="s">
        <v>39</v>
      </c>
      <c r="C9010" t="s">
        <v>35</v>
      </c>
      <c r="D9010" t="s">
        <v>31</v>
      </c>
      <c r="E9010" t="s">
        <v>21</v>
      </c>
      <c r="F9010" t="s">
        <v>19</v>
      </c>
      <c r="G9010" s="1" t="str">
        <f t="shared" ref="G9010:M9012" si="1977">"X"</f>
        <v>X</v>
      </c>
      <c r="H9010" s="1" t="str">
        <f t="shared" si="1977"/>
        <v>X</v>
      </c>
      <c r="I9010" s="1" t="str">
        <f t="shared" si="1977"/>
        <v>X</v>
      </c>
      <c r="J9010" s="1" t="str">
        <f t="shared" si="1977"/>
        <v>X</v>
      </c>
      <c r="K9010" s="1" t="str">
        <f t="shared" si="1977"/>
        <v>X</v>
      </c>
      <c r="L9010" s="1" t="str">
        <f t="shared" si="1977"/>
        <v>X</v>
      </c>
      <c r="M9010" s="1" t="str">
        <f t="shared" si="1977"/>
        <v>X</v>
      </c>
      <c r="N9010" t="s">
        <v>27</v>
      </c>
    </row>
    <row r="9011" spans="1:14" x14ac:dyDescent="0.25">
      <c r="A9011" t="s">
        <v>43</v>
      </c>
      <c r="B9011" t="s">
        <v>39</v>
      </c>
      <c r="C9011" t="s">
        <v>35</v>
      </c>
      <c r="D9011" t="s">
        <v>31</v>
      </c>
      <c r="E9011" t="s">
        <v>21</v>
      </c>
      <c r="F9011" t="s">
        <v>20</v>
      </c>
      <c r="G9011" s="1" t="str">
        <f t="shared" si="1977"/>
        <v>X</v>
      </c>
      <c r="H9011" s="1" t="str">
        <f t="shared" si="1977"/>
        <v>X</v>
      </c>
      <c r="I9011" s="1" t="str">
        <f t="shared" si="1977"/>
        <v>X</v>
      </c>
      <c r="J9011" s="1" t="str">
        <f t="shared" si="1977"/>
        <v>X</v>
      </c>
      <c r="K9011" s="1" t="str">
        <f t="shared" si="1977"/>
        <v>X</v>
      </c>
      <c r="L9011" s="1" t="str">
        <f t="shared" si="1977"/>
        <v>X</v>
      </c>
      <c r="M9011" s="1" t="str">
        <f t="shared" si="1977"/>
        <v>X</v>
      </c>
      <c r="N9011" t="s">
        <v>27</v>
      </c>
    </row>
    <row r="9012" spans="1:14" x14ac:dyDescent="0.25">
      <c r="A9012" t="s">
        <v>43</v>
      </c>
      <c r="B9012" t="s">
        <v>39</v>
      </c>
      <c r="C9012" t="s">
        <v>35</v>
      </c>
      <c r="D9012" t="s">
        <v>31</v>
      </c>
      <c r="E9012" t="s">
        <v>22</v>
      </c>
      <c r="F9012" t="s">
        <v>15</v>
      </c>
      <c r="G9012" s="1" t="str">
        <f t="shared" si="1977"/>
        <v>X</v>
      </c>
      <c r="H9012" s="1" t="str">
        <f t="shared" si="1977"/>
        <v>X</v>
      </c>
      <c r="I9012" s="1" t="str">
        <f t="shared" si="1977"/>
        <v>X</v>
      </c>
      <c r="J9012" s="1" t="str">
        <f t="shared" si="1977"/>
        <v>X</v>
      </c>
      <c r="K9012" s="1" t="str">
        <f t="shared" si="1977"/>
        <v>X</v>
      </c>
      <c r="L9012" s="1" t="str">
        <f t="shared" si="1977"/>
        <v>X</v>
      </c>
      <c r="M9012" s="1" t="str">
        <f t="shared" si="1977"/>
        <v>X</v>
      </c>
      <c r="N9012" t="s">
        <v>27</v>
      </c>
    </row>
    <row r="9013" spans="1:14" x14ac:dyDescent="0.25">
      <c r="A9013" t="s">
        <v>43</v>
      </c>
      <c r="B9013" t="s">
        <v>39</v>
      </c>
      <c r="C9013" t="s">
        <v>35</v>
      </c>
      <c r="D9013" t="s">
        <v>31</v>
      </c>
      <c r="E9013" t="s">
        <v>22</v>
      </c>
      <c r="F9013" t="s">
        <v>17</v>
      </c>
      <c r="G9013" s="1" t="str">
        <f t="shared" ref="G9013:M9013" si="1978">"..."</f>
        <v>...</v>
      </c>
      <c r="H9013" s="1" t="str">
        <f t="shared" si="1978"/>
        <v>...</v>
      </c>
      <c r="I9013" s="1" t="str">
        <f t="shared" si="1978"/>
        <v>...</v>
      </c>
      <c r="J9013" s="1" t="str">
        <f t="shared" si="1978"/>
        <v>...</v>
      </c>
      <c r="K9013" s="1" t="str">
        <f t="shared" si="1978"/>
        <v>...</v>
      </c>
      <c r="L9013" s="1" t="str">
        <f t="shared" si="1978"/>
        <v>...</v>
      </c>
      <c r="M9013" s="1" t="str">
        <f t="shared" si="1978"/>
        <v>...</v>
      </c>
      <c r="N9013" t="s">
        <v>30</v>
      </c>
    </row>
    <row r="9014" spans="1:14" x14ac:dyDescent="0.25">
      <c r="A9014" t="s">
        <v>43</v>
      </c>
      <c r="B9014" t="s">
        <v>39</v>
      </c>
      <c r="C9014" t="s">
        <v>35</v>
      </c>
      <c r="D9014" t="s">
        <v>31</v>
      </c>
      <c r="E9014" t="s">
        <v>22</v>
      </c>
      <c r="F9014" t="s">
        <v>18</v>
      </c>
      <c r="G9014" s="1" t="str">
        <f t="shared" ref="G9014:M9017" si="1979">"X"</f>
        <v>X</v>
      </c>
      <c r="H9014" s="1" t="str">
        <f t="shared" si="1979"/>
        <v>X</v>
      </c>
      <c r="I9014" s="1" t="str">
        <f t="shared" si="1979"/>
        <v>X</v>
      </c>
      <c r="J9014" s="1" t="str">
        <f t="shared" si="1979"/>
        <v>X</v>
      </c>
      <c r="K9014" s="1" t="str">
        <f t="shared" si="1979"/>
        <v>X</v>
      </c>
      <c r="L9014" s="1" t="str">
        <f t="shared" si="1979"/>
        <v>X</v>
      </c>
      <c r="M9014" s="1" t="str">
        <f t="shared" si="1979"/>
        <v>X</v>
      </c>
      <c r="N9014" t="s">
        <v>27</v>
      </c>
    </row>
    <row r="9015" spans="1:14" x14ac:dyDescent="0.25">
      <c r="A9015" t="s">
        <v>43</v>
      </c>
      <c r="B9015" t="s">
        <v>39</v>
      </c>
      <c r="C9015" t="s">
        <v>35</v>
      </c>
      <c r="D9015" t="s">
        <v>31</v>
      </c>
      <c r="E9015" t="s">
        <v>22</v>
      </c>
      <c r="F9015" t="s">
        <v>19</v>
      </c>
      <c r="G9015" s="1" t="str">
        <f t="shared" si="1979"/>
        <v>X</v>
      </c>
      <c r="H9015" s="1" t="str">
        <f t="shared" si="1979"/>
        <v>X</v>
      </c>
      <c r="I9015" s="1" t="str">
        <f t="shared" si="1979"/>
        <v>X</v>
      </c>
      <c r="J9015" s="1" t="str">
        <f t="shared" si="1979"/>
        <v>X</v>
      </c>
      <c r="K9015" s="1" t="str">
        <f t="shared" si="1979"/>
        <v>X</v>
      </c>
      <c r="L9015" s="1" t="str">
        <f t="shared" si="1979"/>
        <v>X</v>
      </c>
      <c r="M9015" s="1" t="str">
        <f t="shared" si="1979"/>
        <v>X</v>
      </c>
      <c r="N9015" t="s">
        <v>27</v>
      </c>
    </row>
    <row r="9016" spans="1:14" x14ac:dyDescent="0.25">
      <c r="A9016" t="s">
        <v>43</v>
      </c>
      <c r="B9016" t="s">
        <v>39</v>
      </c>
      <c r="C9016" t="s">
        <v>35</v>
      </c>
      <c r="D9016" t="s">
        <v>31</v>
      </c>
      <c r="E9016" t="s">
        <v>22</v>
      </c>
      <c r="F9016" t="s">
        <v>20</v>
      </c>
      <c r="G9016" s="1" t="str">
        <f t="shared" si="1979"/>
        <v>X</v>
      </c>
      <c r="H9016" s="1" t="str">
        <f t="shared" si="1979"/>
        <v>X</v>
      </c>
      <c r="I9016" s="1" t="str">
        <f t="shared" si="1979"/>
        <v>X</v>
      </c>
      <c r="J9016" s="1" t="str">
        <f t="shared" si="1979"/>
        <v>X</v>
      </c>
      <c r="K9016" s="1" t="str">
        <f t="shared" si="1979"/>
        <v>X</v>
      </c>
      <c r="L9016" s="1" t="str">
        <f t="shared" si="1979"/>
        <v>X</v>
      </c>
      <c r="M9016" s="1" t="str">
        <f t="shared" si="1979"/>
        <v>X</v>
      </c>
      <c r="N9016" t="s">
        <v>27</v>
      </c>
    </row>
    <row r="9017" spans="1:14" x14ac:dyDescent="0.25">
      <c r="A9017" t="s">
        <v>43</v>
      </c>
      <c r="B9017" t="s">
        <v>39</v>
      </c>
      <c r="C9017" t="s">
        <v>35</v>
      </c>
      <c r="D9017" t="s">
        <v>31</v>
      </c>
      <c r="E9017" t="s">
        <v>23</v>
      </c>
      <c r="F9017" t="s">
        <v>15</v>
      </c>
      <c r="G9017" s="1" t="str">
        <f t="shared" si="1979"/>
        <v>X</v>
      </c>
      <c r="H9017" s="1" t="str">
        <f t="shared" si="1979"/>
        <v>X</v>
      </c>
      <c r="I9017" s="1" t="str">
        <f t="shared" si="1979"/>
        <v>X</v>
      </c>
      <c r="J9017" s="1" t="str">
        <f t="shared" si="1979"/>
        <v>X</v>
      </c>
      <c r="K9017" s="1" t="str">
        <f t="shared" si="1979"/>
        <v>X</v>
      </c>
      <c r="L9017" s="1" t="str">
        <f t="shared" si="1979"/>
        <v>X</v>
      </c>
      <c r="M9017" s="1" t="str">
        <f t="shared" si="1979"/>
        <v>X</v>
      </c>
      <c r="N9017" t="s">
        <v>27</v>
      </c>
    </row>
    <row r="9018" spans="1:14" x14ac:dyDescent="0.25">
      <c r="A9018" t="s">
        <v>43</v>
      </c>
      <c r="B9018" t="s">
        <v>39</v>
      </c>
      <c r="C9018" t="s">
        <v>35</v>
      </c>
      <c r="D9018" t="s">
        <v>31</v>
      </c>
      <c r="E9018" t="s">
        <v>23</v>
      </c>
      <c r="F9018" t="s">
        <v>17</v>
      </c>
      <c r="G9018" s="1" t="str">
        <f t="shared" ref="G9018:M9019" si="1980">"..."</f>
        <v>...</v>
      </c>
      <c r="H9018" s="1" t="str">
        <f t="shared" si="1980"/>
        <v>...</v>
      </c>
      <c r="I9018" s="1" t="str">
        <f t="shared" si="1980"/>
        <v>...</v>
      </c>
      <c r="J9018" s="1" t="str">
        <f t="shared" si="1980"/>
        <v>...</v>
      </c>
      <c r="K9018" s="1" t="str">
        <f t="shared" si="1980"/>
        <v>...</v>
      </c>
      <c r="L9018" s="1" t="str">
        <f t="shared" si="1980"/>
        <v>...</v>
      </c>
      <c r="M9018" s="1" t="str">
        <f t="shared" si="1980"/>
        <v>...</v>
      </c>
      <c r="N9018" t="s">
        <v>30</v>
      </c>
    </row>
    <row r="9019" spans="1:14" x14ac:dyDescent="0.25">
      <c r="A9019" t="s">
        <v>43</v>
      </c>
      <c r="B9019" t="s">
        <v>39</v>
      </c>
      <c r="C9019" t="s">
        <v>35</v>
      </c>
      <c r="D9019" t="s">
        <v>31</v>
      </c>
      <c r="E9019" t="s">
        <v>23</v>
      </c>
      <c r="F9019" t="s">
        <v>18</v>
      </c>
      <c r="G9019" s="1" t="str">
        <f t="shared" si="1980"/>
        <v>...</v>
      </c>
      <c r="H9019" s="1" t="str">
        <f t="shared" si="1980"/>
        <v>...</v>
      </c>
      <c r="I9019" s="1" t="str">
        <f t="shared" si="1980"/>
        <v>...</v>
      </c>
      <c r="J9019" s="1" t="str">
        <f t="shared" si="1980"/>
        <v>...</v>
      </c>
      <c r="K9019" s="1" t="str">
        <f t="shared" si="1980"/>
        <v>...</v>
      </c>
      <c r="L9019" s="1" t="str">
        <f t="shared" si="1980"/>
        <v>...</v>
      </c>
      <c r="M9019" s="1" t="str">
        <f t="shared" si="1980"/>
        <v>...</v>
      </c>
      <c r="N9019" t="s">
        <v>30</v>
      </c>
    </row>
    <row r="9020" spans="1:14" x14ac:dyDescent="0.25">
      <c r="A9020" t="s">
        <v>43</v>
      </c>
      <c r="B9020" t="s">
        <v>39</v>
      </c>
      <c r="C9020" t="s">
        <v>35</v>
      </c>
      <c r="D9020" t="s">
        <v>31</v>
      </c>
      <c r="E9020" t="s">
        <v>23</v>
      </c>
      <c r="F9020" t="s">
        <v>19</v>
      </c>
      <c r="G9020" s="1" t="str">
        <f t="shared" ref="G9020:M9022" si="1981">"X"</f>
        <v>X</v>
      </c>
      <c r="H9020" s="1" t="str">
        <f t="shared" si="1981"/>
        <v>X</v>
      </c>
      <c r="I9020" s="1" t="str">
        <f t="shared" si="1981"/>
        <v>X</v>
      </c>
      <c r="J9020" s="1" t="str">
        <f t="shared" si="1981"/>
        <v>X</v>
      </c>
      <c r="K9020" s="1" t="str">
        <f t="shared" si="1981"/>
        <v>X</v>
      </c>
      <c r="L9020" s="1" t="str">
        <f t="shared" si="1981"/>
        <v>X</v>
      </c>
      <c r="M9020" s="1" t="str">
        <f t="shared" si="1981"/>
        <v>X</v>
      </c>
      <c r="N9020" t="s">
        <v>27</v>
      </c>
    </row>
    <row r="9021" spans="1:14" x14ac:dyDescent="0.25">
      <c r="A9021" t="s">
        <v>43</v>
      </c>
      <c r="B9021" t="s">
        <v>39</v>
      </c>
      <c r="C9021" t="s">
        <v>35</v>
      </c>
      <c r="D9021" t="s">
        <v>31</v>
      </c>
      <c r="E9021" t="s">
        <v>23</v>
      </c>
      <c r="F9021" t="s">
        <v>20</v>
      </c>
      <c r="G9021" s="1" t="str">
        <f t="shared" si="1981"/>
        <v>X</v>
      </c>
      <c r="H9021" s="1" t="str">
        <f t="shared" si="1981"/>
        <v>X</v>
      </c>
      <c r="I9021" s="1" t="str">
        <f t="shared" si="1981"/>
        <v>X</v>
      </c>
      <c r="J9021" s="1" t="str">
        <f t="shared" si="1981"/>
        <v>X</v>
      </c>
      <c r="K9021" s="1" t="str">
        <f t="shared" si="1981"/>
        <v>X</v>
      </c>
      <c r="L9021" s="1" t="str">
        <f t="shared" si="1981"/>
        <v>X</v>
      </c>
      <c r="M9021" s="1" t="str">
        <f t="shared" si="1981"/>
        <v>X</v>
      </c>
      <c r="N9021" t="s">
        <v>27</v>
      </c>
    </row>
    <row r="9022" spans="1:14" x14ac:dyDescent="0.25">
      <c r="A9022" t="s">
        <v>43</v>
      </c>
      <c r="B9022" t="s">
        <v>39</v>
      </c>
      <c r="C9022" t="s">
        <v>35</v>
      </c>
      <c r="D9022" t="s">
        <v>31</v>
      </c>
      <c r="E9022" t="s">
        <v>26</v>
      </c>
      <c r="F9022" t="s">
        <v>15</v>
      </c>
      <c r="G9022" s="1" t="str">
        <f t="shared" si="1981"/>
        <v>X</v>
      </c>
      <c r="H9022" s="1" t="str">
        <f t="shared" si="1981"/>
        <v>X</v>
      </c>
      <c r="I9022" s="1" t="str">
        <f t="shared" si="1981"/>
        <v>X</v>
      </c>
      <c r="J9022" s="1" t="str">
        <f t="shared" si="1981"/>
        <v>X</v>
      </c>
      <c r="K9022" s="1" t="str">
        <f t="shared" si="1981"/>
        <v>X</v>
      </c>
      <c r="L9022" s="1" t="str">
        <f t="shared" si="1981"/>
        <v>X</v>
      </c>
      <c r="M9022" s="1" t="str">
        <f t="shared" si="1981"/>
        <v>X</v>
      </c>
      <c r="N9022" t="s">
        <v>27</v>
      </c>
    </row>
    <row r="9023" spans="1:14" x14ac:dyDescent="0.25">
      <c r="A9023" t="s">
        <v>43</v>
      </c>
      <c r="B9023" t="s">
        <v>39</v>
      </c>
      <c r="C9023" t="s">
        <v>35</v>
      </c>
      <c r="D9023" t="s">
        <v>31</v>
      </c>
      <c r="E9023" t="s">
        <v>26</v>
      </c>
      <c r="F9023" t="s">
        <v>17</v>
      </c>
      <c r="G9023" s="1" t="str">
        <f t="shared" ref="G9023:M9025" si="1982">"..."</f>
        <v>...</v>
      </c>
      <c r="H9023" s="1" t="str">
        <f t="shared" si="1982"/>
        <v>...</v>
      </c>
      <c r="I9023" s="1" t="str">
        <f t="shared" si="1982"/>
        <v>...</v>
      </c>
      <c r="J9023" s="1" t="str">
        <f t="shared" si="1982"/>
        <v>...</v>
      </c>
      <c r="K9023" s="1" t="str">
        <f t="shared" si="1982"/>
        <v>...</v>
      </c>
      <c r="L9023" s="1" t="str">
        <f t="shared" si="1982"/>
        <v>...</v>
      </c>
      <c r="M9023" s="1" t="str">
        <f t="shared" si="1982"/>
        <v>...</v>
      </c>
      <c r="N9023" t="s">
        <v>30</v>
      </c>
    </row>
    <row r="9024" spans="1:14" x14ac:dyDescent="0.25">
      <c r="A9024" t="s">
        <v>43</v>
      </c>
      <c r="B9024" t="s">
        <v>39</v>
      </c>
      <c r="C9024" t="s">
        <v>35</v>
      </c>
      <c r="D9024" t="s">
        <v>31</v>
      </c>
      <c r="E9024" t="s">
        <v>26</v>
      </c>
      <c r="F9024" t="s">
        <v>18</v>
      </c>
      <c r="G9024" s="1" t="str">
        <f t="shared" si="1982"/>
        <v>...</v>
      </c>
      <c r="H9024" s="1" t="str">
        <f t="shared" si="1982"/>
        <v>...</v>
      </c>
      <c r="I9024" s="1" t="str">
        <f t="shared" si="1982"/>
        <v>...</v>
      </c>
      <c r="J9024" s="1" t="str">
        <f t="shared" si="1982"/>
        <v>...</v>
      </c>
      <c r="K9024" s="1" t="str">
        <f t="shared" si="1982"/>
        <v>...</v>
      </c>
      <c r="L9024" s="1" t="str">
        <f t="shared" si="1982"/>
        <v>...</v>
      </c>
      <c r="M9024" s="1" t="str">
        <f t="shared" si="1982"/>
        <v>...</v>
      </c>
      <c r="N9024" t="s">
        <v>30</v>
      </c>
    </row>
    <row r="9025" spans="1:14" x14ac:dyDescent="0.25">
      <c r="A9025" t="s">
        <v>43</v>
      </c>
      <c r="B9025" t="s">
        <v>39</v>
      </c>
      <c r="C9025" t="s">
        <v>35</v>
      </c>
      <c r="D9025" t="s">
        <v>31</v>
      </c>
      <c r="E9025" t="s">
        <v>26</v>
      </c>
      <c r="F9025" t="s">
        <v>19</v>
      </c>
      <c r="G9025" s="1" t="str">
        <f t="shared" si="1982"/>
        <v>...</v>
      </c>
      <c r="H9025" s="1" t="str">
        <f t="shared" si="1982"/>
        <v>...</v>
      </c>
      <c r="I9025" s="1" t="str">
        <f t="shared" si="1982"/>
        <v>...</v>
      </c>
      <c r="J9025" s="1" t="str">
        <f t="shared" si="1982"/>
        <v>...</v>
      </c>
      <c r="K9025" s="1" t="str">
        <f t="shared" si="1982"/>
        <v>...</v>
      </c>
      <c r="L9025" s="1" t="str">
        <f t="shared" si="1982"/>
        <v>...</v>
      </c>
      <c r="M9025" s="1" t="str">
        <f t="shared" si="1982"/>
        <v>...</v>
      </c>
      <c r="N9025" t="s">
        <v>30</v>
      </c>
    </row>
    <row r="9026" spans="1:14" x14ac:dyDescent="0.25">
      <c r="A9026" t="s">
        <v>43</v>
      </c>
      <c r="B9026" t="s">
        <v>39</v>
      </c>
      <c r="C9026" t="s">
        <v>35</v>
      </c>
      <c r="D9026" t="s">
        <v>31</v>
      </c>
      <c r="E9026" t="s">
        <v>26</v>
      </c>
      <c r="F9026" t="s">
        <v>20</v>
      </c>
      <c r="G9026" s="1" t="str">
        <f t="shared" ref="G9026:M9026" si="1983">"X"</f>
        <v>X</v>
      </c>
      <c r="H9026" s="1" t="str">
        <f t="shared" si="1983"/>
        <v>X</v>
      </c>
      <c r="I9026" s="1" t="str">
        <f t="shared" si="1983"/>
        <v>X</v>
      </c>
      <c r="J9026" s="1" t="str">
        <f t="shared" si="1983"/>
        <v>X</v>
      </c>
      <c r="K9026" s="1" t="str">
        <f t="shared" si="1983"/>
        <v>X</v>
      </c>
      <c r="L9026" s="1" t="str">
        <f t="shared" si="1983"/>
        <v>X</v>
      </c>
      <c r="M9026" s="1" t="str">
        <f t="shared" si="1983"/>
        <v>X</v>
      </c>
      <c r="N9026" t="s">
        <v>27</v>
      </c>
    </row>
    <row r="9027" spans="1:14" x14ac:dyDescent="0.25">
      <c r="A9027" t="s">
        <v>43</v>
      </c>
      <c r="B9027" t="s">
        <v>39</v>
      </c>
      <c r="C9027" t="s">
        <v>35</v>
      </c>
      <c r="D9027" t="s">
        <v>32</v>
      </c>
      <c r="E9027" t="s">
        <v>15</v>
      </c>
      <c r="F9027" t="s">
        <v>15</v>
      </c>
      <c r="G9027" s="2">
        <f>VALUE(1134.15)</f>
        <v>1134.1500000000001</v>
      </c>
      <c r="H9027" s="3">
        <f>VALUE(970.15)</f>
        <v>970.15</v>
      </c>
      <c r="I9027" s="4">
        <f>VALUE(2563)</f>
        <v>2563</v>
      </c>
      <c r="J9027" s="5">
        <f>VALUE(2889)</f>
        <v>2889</v>
      </c>
      <c r="K9027" s="6">
        <f>VALUE(3477)</f>
        <v>3477</v>
      </c>
      <c r="L9027" s="1">
        <f>VALUE(4385)</f>
        <v>4385</v>
      </c>
      <c r="M9027" s="1">
        <f>VALUE(5172)</f>
        <v>5172</v>
      </c>
      <c r="N9027" t="s">
        <v>25</v>
      </c>
    </row>
    <row r="9028" spans="1:14" x14ac:dyDescent="0.25">
      <c r="A9028" t="s">
        <v>43</v>
      </c>
      <c r="B9028" t="s">
        <v>39</v>
      </c>
      <c r="C9028" t="s">
        <v>35</v>
      </c>
      <c r="D9028" t="s">
        <v>32</v>
      </c>
      <c r="E9028" t="s">
        <v>15</v>
      </c>
      <c r="F9028" t="s">
        <v>17</v>
      </c>
      <c r="G9028" s="1" t="str">
        <f t="shared" ref="G9028:M9030" si="1984">"X"</f>
        <v>X</v>
      </c>
      <c r="H9028" s="1" t="str">
        <f t="shared" si="1984"/>
        <v>X</v>
      </c>
      <c r="I9028" s="1" t="str">
        <f t="shared" si="1984"/>
        <v>X</v>
      </c>
      <c r="J9028" s="1" t="str">
        <f t="shared" si="1984"/>
        <v>X</v>
      </c>
      <c r="K9028" s="1" t="str">
        <f t="shared" si="1984"/>
        <v>X</v>
      </c>
      <c r="L9028" s="1" t="str">
        <f t="shared" si="1984"/>
        <v>X</v>
      </c>
      <c r="M9028" s="1" t="str">
        <f t="shared" si="1984"/>
        <v>X</v>
      </c>
      <c r="N9028" t="s">
        <v>27</v>
      </c>
    </row>
    <row r="9029" spans="1:14" x14ac:dyDescent="0.25">
      <c r="A9029" t="s">
        <v>43</v>
      </c>
      <c r="B9029" t="s">
        <v>39</v>
      </c>
      <c r="C9029" t="s">
        <v>35</v>
      </c>
      <c r="D9029" t="s">
        <v>32</v>
      </c>
      <c r="E9029" t="s">
        <v>15</v>
      </c>
      <c r="F9029" t="s">
        <v>18</v>
      </c>
      <c r="G9029" s="1" t="str">
        <f t="shared" si="1984"/>
        <v>X</v>
      </c>
      <c r="H9029" s="1" t="str">
        <f t="shared" si="1984"/>
        <v>X</v>
      </c>
      <c r="I9029" s="1" t="str">
        <f t="shared" si="1984"/>
        <v>X</v>
      </c>
      <c r="J9029" s="1" t="str">
        <f t="shared" si="1984"/>
        <v>X</v>
      </c>
      <c r="K9029" s="1" t="str">
        <f t="shared" si="1984"/>
        <v>X</v>
      </c>
      <c r="L9029" s="1" t="str">
        <f t="shared" si="1984"/>
        <v>X</v>
      </c>
      <c r="M9029" s="1" t="str">
        <f t="shared" si="1984"/>
        <v>X</v>
      </c>
      <c r="N9029" t="s">
        <v>27</v>
      </c>
    </row>
    <row r="9030" spans="1:14" x14ac:dyDescent="0.25">
      <c r="A9030" t="s">
        <v>43</v>
      </c>
      <c r="B9030" t="s">
        <v>39</v>
      </c>
      <c r="C9030" t="s">
        <v>35</v>
      </c>
      <c r="D9030" t="s">
        <v>32</v>
      </c>
      <c r="E9030" t="s">
        <v>15</v>
      </c>
      <c r="F9030" t="s">
        <v>19</v>
      </c>
      <c r="G9030" s="1" t="str">
        <f t="shared" si="1984"/>
        <v>X</v>
      </c>
      <c r="H9030" s="1" t="str">
        <f t="shared" si="1984"/>
        <v>X</v>
      </c>
      <c r="I9030" s="1" t="str">
        <f t="shared" si="1984"/>
        <v>X</v>
      </c>
      <c r="J9030" s="1" t="str">
        <f t="shared" si="1984"/>
        <v>X</v>
      </c>
      <c r="K9030" s="1" t="str">
        <f t="shared" si="1984"/>
        <v>X</v>
      </c>
      <c r="L9030" s="1" t="str">
        <f t="shared" si="1984"/>
        <v>X</v>
      </c>
      <c r="M9030" s="1" t="str">
        <f t="shared" si="1984"/>
        <v>X</v>
      </c>
      <c r="N9030" t="s">
        <v>27</v>
      </c>
    </row>
    <row r="9031" spans="1:14" x14ac:dyDescent="0.25">
      <c r="A9031" t="s">
        <v>43</v>
      </c>
      <c r="B9031" t="s">
        <v>39</v>
      </c>
      <c r="C9031" t="s">
        <v>35</v>
      </c>
      <c r="D9031" t="s">
        <v>32</v>
      </c>
      <c r="E9031" t="s">
        <v>15</v>
      </c>
      <c r="F9031" t="s">
        <v>20</v>
      </c>
      <c r="G9031" s="2">
        <f>VALUE(1052.63)</f>
        <v>1052.6300000000001</v>
      </c>
      <c r="H9031" s="3">
        <f>VALUE(890.03)</f>
        <v>890.03</v>
      </c>
      <c r="I9031" s="4">
        <f>VALUE(2563)</f>
        <v>2563</v>
      </c>
      <c r="J9031" s="5">
        <f>VALUE(2847)</f>
        <v>2847</v>
      </c>
      <c r="K9031" s="6">
        <f>VALUE(3456)</f>
        <v>3456</v>
      </c>
      <c r="L9031" s="7">
        <f>VALUE(4340)</f>
        <v>4340</v>
      </c>
      <c r="M9031" s="8">
        <f>VALUE(5127)</f>
        <v>5127</v>
      </c>
      <c r="N9031" t="s">
        <v>24</v>
      </c>
    </row>
    <row r="9032" spans="1:14" x14ac:dyDescent="0.25">
      <c r="A9032" t="s">
        <v>43</v>
      </c>
      <c r="B9032" t="s">
        <v>39</v>
      </c>
      <c r="C9032" t="s">
        <v>35</v>
      </c>
      <c r="D9032" t="s">
        <v>32</v>
      </c>
      <c r="E9032" t="s">
        <v>21</v>
      </c>
      <c r="F9032" t="s">
        <v>15</v>
      </c>
      <c r="G9032" s="1" t="str">
        <f t="shared" ref="G9032:M9036" si="1985">"X"</f>
        <v>X</v>
      </c>
      <c r="H9032" s="1" t="str">
        <f t="shared" si="1985"/>
        <v>X</v>
      </c>
      <c r="I9032" s="1" t="str">
        <f t="shared" si="1985"/>
        <v>X</v>
      </c>
      <c r="J9032" s="1" t="str">
        <f t="shared" si="1985"/>
        <v>X</v>
      </c>
      <c r="K9032" s="1" t="str">
        <f t="shared" si="1985"/>
        <v>X</v>
      </c>
      <c r="L9032" s="1" t="str">
        <f t="shared" si="1985"/>
        <v>X</v>
      </c>
      <c r="M9032" s="1" t="str">
        <f t="shared" si="1985"/>
        <v>X</v>
      </c>
      <c r="N9032" t="s">
        <v>27</v>
      </c>
    </row>
    <row r="9033" spans="1:14" x14ac:dyDescent="0.25">
      <c r="A9033" t="s">
        <v>43</v>
      </c>
      <c r="B9033" t="s">
        <v>39</v>
      </c>
      <c r="C9033" t="s">
        <v>35</v>
      </c>
      <c r="D9033" t="s">
        <v>32</v>
      </c>
      <c r="E9033" t="s">
        <v>21</v>
      </c>
      <c r="F9033" t="s">
        <v>17</v>
      </c>
      <c r="G9033" s="1" t="str">
        <f t="shared" si="1985"/>
        <v>X</v>
      </c>
      <c r="H9033" s="1" t="str">
        <f t="shared" si="1985"/>
        <v>X</v>
      </c>
      <c r="I9033" s="1" t="str">
        <f t="shared" si="1985"/>
        <v>X</v>
      </c>
      <c r="J9033" s="1" t="str">
        <f t="shared" si="1985"/>
        <v>X</v>
      </c>
      <c r="K9033" s="1" t="str">
        <f t="shared" si="1985"/>
        <v>X</v>
      </c>
      <c r="L9033" s="1" t="str">
        <f t="shared" si="1985"/>
        <v>X</v>
      </c>
      <c r="M9033" s="1" t="str">
        <f t="shared" si="1985"/>
        <v>X</v>
      </c>
      <c r="N9033" t="s">
        <v>27</v>
      </c>
    </row>
    <row r="9034" spans="1:14" x14ac:dyDescent="0.25">
      <c r="A9034" t="s">
        <v>43</v>
      </c>
      <c r="B9034" t="s">
        <v>39</v>
      </c>
      <c r="C9034" t="s">
        <v>35</v>
      </c>
      <c r="D9034" t="s">
        <v>32</v>
      </c>
      <c r="E9034" t="s">
        <v>21</v>
      </c>
      <c r="F9034" t="s">
        <v>18</v>
      </c>
      <c r="G9034" s="1" t="str">
        <f t="shared" si="1985"/>
        <v>X</v>
      </c>
      <c r="H9034" s="1" t="str">
        <f t="shared" si="1985"/>
        <v>X</v>
      </c>
      <c r="I9034" s="1" t="str">
        <f t="shared" si="1985"/>
        <v>X</v>
      </c>
      <c r="J9034" s="1" t="str">
        <f t="shared" si="1985"/>
        <v>X</v>
      </c>
      <c r="K9034" s="1" t="str">
        <f t="shared" si="1985"/>
        <v>X</v>
      </c>
      <c r="L9034" s="1" t="str">
        <f t="shared" si="1985"/>
        <v>X</v>
      </c>
      <c r="M9034" s="1" t="str">
        <f t="shared" si="1985"/>
        <v>X</v>
      </c>
      <c r="N9034" t="s">
        <v>27</v>
      </c>
    </row>
    <row r="9035" spans="1:14" x14ac:dyDescent="0.25">
      <c r="A9035" t="s">
        <v>43</v>
      </c>
      <c r="B9035" t="s">
        <v>39</v>
      </c>
      <c r="C9035" t="s">
        <v>35</v>
      </c>
      <c r="D9035" t="s">
        <v>32</v>
      </c>
      <c r="E9035" t="s">
        <v>21</v>
      </c>
      <c r="F9035" t="s">
        <v>19</v>
      </c>
      <c r="G9035" s="1" t="str">
        <f t="shared" si="1985"/>
        <v>X</v>
      </c>
      <c r="H9035" s="1" t="str">
        <f t="shared" si="1985"/>
        <v>X</v>
      </c>
      <c r="I9035" s="1" t="str">
        <f t="shared" si="1985"/>
        <v>X</v>
      </c>
      <c r="J9035" s="1" t="str">
        <f t="shared" si="1985"/>
        <v>X</v>
      </c>
      <c r="K9035" s="1" t="str">
        <f t="shared" si="1985"/>
        <v>X</v>
      </c>
      <c r="L9035" s="1" t="str">
        <f t="shared" si="1985"/>
        <v>X</v>
      </c>
      <c r="M9035" s="1" t="str">
        <f t="shared" si="1985"/>
        <v>X</v>
      </c>
      <c r="N9035" t="s">
        <v>27</v>
      </c>
    </row>
    <row r="9036" spans="1:14" x14ac:dyDescent="0.25">
      <c r="A9036" t="s">
        <v>43</v>
      </c>
      <c r="B9036" t="s">
        <v>39</v>
      </c>
      <c r="C9036" t="s">
        <v>35</v>
      </c>
      <c r="D9036" t="s">
        <v>32</v>
      </c>
      <c r="E9036" t="s">
        <v>21</v>
      </c>
      <c r="F9036" t="s">
        <v>20</v>
      </c>
      <c r="G9036" s="1" t="str">
        <f t="shared" si="1985"/>
        <v>X</v>
      </c>
      <c r="H9036" s="1" t="str">
        <f t="shared" si="1985"/>
        <v>X</v>
      </c>
      <c r="I9036" s="1" t="str">
        <f t="shared" si="1985"/>
        <v>X</v>
      </c>
      <c r="J9036" s="1" t="str">
        <f t="shared" si="1985"/>
        <v>X</v>
      </c>
      <c r="K9036" s="1" t="str">
        <f t="shared" si="1985"/>
        <v>X</v>
      </c>
      <c r="L9036" s="1" t="str">
        <f t="shared" si="1985"/>
        <v>X</v>
      </c>
      <c r="M9036" s="1" t="str">
        <f t="shared" si="1985"/>
        <v>X</v>
      </c>
      <c r="N9036" t="s">
        <v>27</v>
      </c>
    </row>
    <row r="9037" spans="1:14" x14ac:dyDescent="0.25">
      <c r="A9037" t="s">
        <v>43</v>
      </c>
      <c r="B9037" t="s">
        <v>39</v>
      </c>
      <c r="C9037" t="s">
        <v>35</v>
      </c>
      <c r="D9037" t="s">
        <v>32</v>
      </c>
      <c r="E9037" t="s">
        <v>22</v>
      </c>
      <c r="F9037" t="s">
        <v>15</v>
      </c>
      <c r="G9037" s="2">
        <f>VALUE(440.69)</f>
        <v>440.69</v>
      </c>
      <c r="H9037" s="3">
        <f>VALUE(343.41)</f>
        <v>343.41</v>
      </c>
      <c r="I9037" s="1">
        <f>VALUE(3120)</f>
        <v>3120</v>
      </c>
      <c r="J9037" s="1">
        <f>VALUE(3431)</f>
        <v>3431</v>
      </c>
      <c r="K9037" s="1">
        <f>VALUE(3824)</f>
        <v>3824</v>
      </c>
      <c r="L9037" s="1">
        <f>VALUE(4604)</f>
        <v>4604</v>
      </c>
      <c r="M9037" s="1">
        <f>VALUE(5442)</f>
        <v>5442</v>
      </c>
      <c r="N9037" t="s">
        <v>25</v>
      </c>
    </row>
    <row r="9038" spans="1:14" x14ac:dyDescent="0.25">
      <c r="A9038" t="s">
        <v>43</v>
      </c>
      <c r="B9038" t="s">
        <v>39</v>
      </c>
      <c r="C9038" t="s">
        <v>35</v>
      </c>
      <c r="D9038" t="s">
        <v>32</v>
      </c>
      <c r="E9038" t="s">
        <v>22</v>
      </c>
      <c r="F9038" t="s">
        <v>17</v>
      </c>
      <c r="G9038" s="1" t="str">
        <f t="shared" ref="G9038:M9038" si="1986">"..."</f>
        <v>...</v>
      </c>
      <c r="H9038" s="1" t="str">
        <f t="shared" si="1986"/>
        <v>...</v>
      </c>
      <c r="I9038" s="1" t="str">
        <f t="shared" si="1986"/>
        <v>...</v>
      </c>
      <c r="J9038" s="1" t="str">
        <f t="shared" si="1986"/>
        <v>...</v>
      </c>
      <c r="K9038" s="1" t="str">
        <f t="shared" si="1986"/>
        <v>...</v>
      </c>
      <c r="L9038" s="1" t="str">
        <f t="shared" si="1986"/>
        <v>...</v>
      </c>
      <c r="M9038" s="1" t="str">
        <f t="shared" si="1986"/>
        <v>...</v>
      </c>
      <c r="N9038" t="s">
        <v>30</v>
      </c>
    </row>
    <row r="9039" spans="1:14" x14ac:dyDescent="0.25">
      <c r="A9039" t="s">
        <v>43</v>
      </c>
      <c r="B9039" t="s">
        <v>39</v>
      </c>
      <c r="C9039" t="s">
        <v>35</v>
      </c>
      <c r="D9039" t="s">
        <v>32</v>
      </c>
      <c r="E9039" t="s">
        <v>22</v>
      </c>
      <c r="F9039" t="s">
        <v>18</v>
      </c>
      <c r="G9039" s="1" t="str">
        <f t="shared" ref="G9039:M9040" si="1987">"X"</f>
        <v>X</v>
      </c>
      <c r="H9039" s="1" t="str">
        <f t="shared" si="1987"/>
        <v>X</v>
      </c>
      <c r="I9039" s="1" t="str">
        <f t="shared" si="1987"/>
        <v>X</v>
      </c>
      <c r="J9039" s="1" t="str">
        <f t="shared" si="1987"/>
        <v>X</v>
      </c>
      <c r="K9039" s="1" t="str">
        <f t="shared" si="1987"/>
        <v>X</v>
      </c>
      <c r="L9039" s="1" t="str">
        <f t="shared" si="1987"/>
        <v>X</v>
      </c>
      <c r="M9039" s="1" t="str">
        <f t="shared" si="1987"/>
        <v>X</v>
      </c>
      <c r="N9039" t="s">
        <v>27</v>
      </c>
    </row>
    <row r="9040" spans="1:14" x14ac:dyDescent="0.25">
      <c r="A9040" t="s">
        <v>43</v>
      </c>
      <c r="B9040" t="s">
        <v>39</v>
      </c>
      <c r="C9040" t="s">
        <v>35</v>
      </c>
      <c r="D9040" t="s">
        <v>32</v>
      </c>
      <c r="E9040" t="s">
        <v>22</v>
      </c>
      <c r="F9040" t="s">
        <v>19</v>
      </c>
      <c r="G9040" s="1" t="str">
        <f t="shared" si="1987"/>
        <v>X</v>
      </c>
      <c r="H9040" s="1" t="str">
        <f t="shared" si="1987"/>
        <v>X</v>
      </c>
      <c r="I9040" s="1" t="str">
        <f t="shared" si="1987"/>
        <v>X</v>
      </c>
      <c r="J9040" s="1" t="str">
        <f t="shared" si="1987"/>
        <v>X</v>
      </c>
      <c r="K9040" s="1" t="str">
        <f t="shared" si="1987"/>
        <v>X</v>
      </c>
      <c r="L9040" s="1" t="str">
        <f t="shared" si="1987"/>
        <v>X</v>
      </c>
      <c r="M9040" s="1" t="str">
        <f t="shared" si="1987"/>
        <v>X</v>
      </c>
      <c r="N9040" t="s">
        <v>27</v>
      </c>
    </row>
    <row r="9041" spans="1:14" x14ac:dyDescent="0.25">
      <c r="A9041" t="s">
        <v>43</v>
      </c>
      <c r="B9041" t="s">
        <v>39</v>
      </c>
      <c r="C9041" t="s">
        <v>35</v>
      </c>
      <c r="D9041" t="s">
        <v>32</v>
      </c>
      <c r="E9041" t="s">
        <v>22</v>
      </c>
      <c r="F9041" t="s">
        <v>20</v>
      </c>
      <c r="G9041" s="2">
        <f>VALUE(409)</f>
        <v>409</v>
      </c>
      <c r="H9041" s="3">
        <f>VALUE(314.87)</f>
        <v>314.87</v>
      </c>
      <c r="I9041" s="4">
        <f>VALUE(3120)</f>
        <v>3120</v>
      </c>
      <c r="J9041" s="1">
        <f>VALUE(3424)</f>
        <v>3424</v>
      </c>
      <c r="K9041" s="1">
        <f>VALUE(3800)</f>
        <v>3800</v>
      </c>
      <c r="L9041" s="1">
        <f>VALUE(4517)</f>
        <v>4517</v>
      </c>
      <c r="M9041" s="1">
        <f>VALUE(5442)</f>
        <v>5442</v>
      </c>
      <c r="N9041" t="s">
        <v>25</v>
      </c>
    </row>
    <row r="9042" spans="1:14" x14ac:dyDescent="0.25">
      <c r="A9042" t="s">
        <v>43</v>
      </c>
      <c r="B9042" t="s">
        <v>39</v>
      </c>
      <c r="C9042" t="s">
        <v>35</v>
      </c>
      <c r="D9042" t="s">
        <v>32</v>
      </c>
      <c r="E9042" t="s">
        <v>23</v>
      </c>
      <c r="F9042" t="s">
        <v>15</v>
      </c>
      <c r="G9042" s="2">
        <f>VALUE(538.37)</f>
        <v>538.37</v>
      </c>
      <c r="H9042" s="3">
        <f>VALUE(483.64)</f>
        <v>483.64</v>
      </c>
      <c r="I9042" s="4">
        <f>VALUE(2563)</f>
        <v>2563</v>
      </c>
      <c r="J9042" s="5">
        <f>VALUE(2563)</f>
        <v>2563</v>
      </c>
      <c r="K9042" s="6">
        <f>VALUE(3198)</f>
        <v>3198</v>
      </c>
      <c r="L9042" s="7">
        <f>VALUE(4173)</f>
        <v>4173</v>
      </c>
      <c r="M9042" s="1">
        <f>VALUE(5034)</f>
        <v>5034</v>
      </c>
      <c r="N9042" t="s">
        <v>25</v>
      </c>
    </row>
    <row r="9043" spans="1:14" x14ac:dyDescent="0.25">
      <c r="A9043" t="s">
        <v>43</v>
      </c>
      <c r="B9043" t="s">
        <v>39</v>
      </c>
      <c r="C9043" t="s">
        <v>35</v>
      </c>
      <c r="D9043" t="s">
        <v>32</v>
      </c>
      <c r="E9043" t="s">
        <v>23</v>
      </c>
      <c r="F9043" t="s">
        <v>17</v>
      </c>
      <c r="G9043" s="1" t="str">
        <f t="shared" ref="G9043:M9043" si="1988">"..."</f>
        <v>...</v>
      </c>
      <c r="H9043" s="1" t="str">
        <f t="shared" si="1988"/>
        <v>...</v>
      </c>
      <c r="I9043" s="1" t="str">
        <f t="shared" si="1988"/>
        <v>...</v>
      </c>
      <c r="J9043" s="1" t="str">
        <f t="shared" si="1988"/>
        <v>...</v>
      </c>
      <c r="K9043" s="1" t="str">
        <f t="shared" si="1988"/>
        <v>...</v>
      </c>
      <c r="L9043" s="1" t="str">
        <f t="shared" si="1988"/>
        <v>...</v>
      </c>
      <c r="M9043" s="1" t="str">
        <f t="shared" si="1988"/>
        <v>...</v>
      </c>
      <c r="N9043" t="s">
        <v>30</v>
      </c>
    </row>
    <row r="9044" spans="1:14" x14ac:dyDescent="0.25">
      <c r="A9044" t="s">
        <v>43</v>
      </c>
      <c r="B9044" t="s">
        <v>39</v>
      </c>
      <c r="C9044" t="s">
        <v>35</v>
      </c>
      <c r="D9044" t="s">
        <v>32</v>
      </c>
      <c r="E9044" t="s">
        <v>23</v>
      </c>
      <c r="F9044" t="s">
        <v>18</v>
      </c>
      <c r="G9044" s="1" t="str">
        <f t="shared" ref="G9044:M9045" si="1989">"X"</f>
        <v>X</v>
      </c>
      <c r="H9044" s="1" t="str">
        <f t="shared" si="1989"/>
        <v>X</v>
      </c>
      <c r="I9044" s="1" t="str">
        <f t="shared" si="1989"/>
        <v>X</v>
      </c>
      <c r="J9044" s="1" t="str">
        <f t="shared" si="1989"/>
        <v>X</v>
      </c>
      <c r="K9044" s="1" t="str">
        <f t="shared" si="1989"/>
        <v>X</v>
      </c>
      <c r="L9044" s="1" t="str">
        <f t="shared" si="1989"/>
        <v>X</v>
      </c>
      <c r="M9044" s="1" t="str">
        <f t="shared" si="1989"/>
        <v>X</v>
      </c>
      <c r="N9044" t="s">
        <v>27</v>
      </c>
    </row>
    <row r="9045" spans="1:14" x14ac:dyDescent="0.25">
      <c r="A9045" t="s">
        <v>43</v>
      </c>
      <c r="B9045" t="s">
        <v>39</v>
      </c>
      <c r="C9045" t="s">
        <v>35</v>
      </c>
      <c r="D9045" t="s">
        <v>32</v>
      </c>
      <c r="E9045" t="s">
        <v>23</v>
      </c>
      <c r="F9045" t="s">
        <v>19</v>
      </c>
      <c r="G9045" s="1" t="str">
        <f t="shared" si="1989"/>
        <v>X</v>
      </c>
      <c r="H9045" s="1" t="str">
        <f t="shared" si="1989"/>
        <v>X</v>
      </c>
      <c r="I9045" s="1" t="str">
        <f t="shared" si="1989"/>
        <v>X</v>
      </c>
      <c r="J9045" s="1" t="str">
        <f t="shared" si="1989"/>
        <v>X</v>
      </c>
      <c r="K9045" s="1" t="str">
        <f t="shared" si="1989"/>
        <v>X</v>
      </c>
      <c r="L9045" s="1" t="str">
        <f t="shared" si="1989"/>
        <v>X</v>
      </c>
      <c r="M9045" s="1" t="str">
        <f t="shared" si="1989"/>
        <v>X</v>
      </c>
      <c r="N9045" t="s">
        <v>27</v>
      </c>
    </row>
    <row r="9046" spans="1:14" x14ac:dyDescent="0.25">
      <c r="A9046" t="s">
        <v>43</v>
      </c>
      <c r="B9046" t="s">
        <v>39</v>
      </c>
      <c r="C9046" t="s">
        <v>35</v>
      </c>
      <c r="D9046" t="s">
        <v>32</v>
      </c>
      <c r="E9046" t="s">
        <v>23</v>
      </c>
      <c r="F9046" t="s">
        <v>20</v>
      </c>
      <c r="G9046" s="2">
        <f>VALUE(515.87)</f>
        <v>515.87</v>
      </c>
      <c r="H9046" s="3">
        <f>VALUE(459.16)</f>
        <v>459.16</v>
      </c>
      <c r="I9046" s="4">
        <f>VALUE(2563)</f>
        <v>2563</v>
      </c>
      <c r="J9046" s="5">
        <f>VALUE(2563)</f>
        <v>2563</v>
      </c>
      <c r="K9046" s="6">
        <f>VALUE(3160)</f>
        <v>3160</v>
      </c>
      <c r="L9046" s="7">
        <f>VALUE(4090)</f>
        <v>4090</v>
      </c>
      <c r="M9046" s="8">
        <f>VALUE(4940)</f>
        <v>4940</v>
      </c>
      <c r="N9046" t="s">
        <v>24</v>
      </c>
    </row>
    <row r="9047" spans="1:14" x14ac:dyDescent="0.25">
      <c r="A9047" t="s">
        <v>43</v>
      </c>
      <c r="B9047" t="s">
        <v>39</v>
      </c>
      <c r="C9047" t="s">
        <v>35</v>
      </c>
      <c r="D9047" t="s">
        <v>32</v>
      </c>
      <c r="E9047" t="s">
        <v>26</v>
      </c>
      <c r="F9047" t="s">
        <v>15</v>
      </c>
      <c r="G9047" s="1" t="str">
        <f t="shared" ref="G9047:M9047" si="1990">"X"</f>
        <v>X</v>
      </c>
      <c r="H9047" s="1" t="str">
        <f t="shared" si="1990"/>
        <v>X</v>
      </c>
      <c r="I9047" s="1" t="str">
        <f t="shared" si="1990"/>
        <v>X</v>
      </c>
      <c r="J9047" s="1" t="str">
        <f t="shared" si="1990"/>
        <v>X</v>
      </c>
      <c r="K9047" s="1" t="str">
        <f t="shared" si="1990"/>
        <v>X</v>
      </c>
      <c r="L9047" s="1" t="str">
        <f t="shared" si="1990"/>
        <v>X</v>
      </c>
      <c r="M9047" s="1" t="str">
        <f t="shared" si="1990"/>
        <v>X</v>
      </c>
      <c r="N9047" t="s">
        <v>27</v>
      </c>
    </row>
    <row r="9048" spans="1:14" x14ac:dyDescent="0.25">
      <c r="A9048" t="s">
        <v>43</v>
      </c>
      <c r="B9048" t="s">
        <v>39</v>
      </c>
      <c r="C9048" t="s">
        <v>35</v>
      </c>
      <c r="D9048" t="s">
        <v>32</v>
      </c>
      <c r="E9048" t="s">
        <v>26</v>
      </c>
      <c r="F9048" t="s">
        <v>17</v>
      </c>
      <c r="G9048" s="1" t="str">
        <f t="shared" ref="G9048:M9050" si="1991">"..."</f>
        <v>...</v>
      </c>
      <c r="H9048" s="1" t="str">
        <f t="shared" si="1991"/>
        <v>...</v>
      </c>
      <c r="I9048" s="1" t="str">
        <f t="shared" si="1991"/>
        <v>...</v>
      </c>
      <c r="J9048" s="1" t="str">
        <f t="shared" si="1991"/>
        <v>...</v>
      </c>
      <c r="K9048" s="1" t="str">
        <f t="shared" si="1991"/>
        <v>...</v>
      </c>
      <c r="L9048" s="1" t="str">
        <f t="shared" si="1991"/>
        <v>...</v>
      </c>
      <c r="M9048" s="1" t="str">
        <f t="shared" si="1991"/>
        <v>...</v>
      </c>
      <c r="N9048" t="s">
        <v>30</v>
      </c>
    </row>
    <row r="9049" spans="1:14" x14ac:dyDescent="0.25">
      <c r="A9049" t="s">
        <v>43</v>
      </c>
      <c r="B9049" t="s">
        <v>39</v>
      </c>
      <c r="C9049" t="s">
        <v>35</v>
      </c>
      <c r="D9049" t="s">
        <v>32</v>
      </c>
      <c r="E9049" t="s">
        <v>26</v>
      </c>
      <c r="F9049" t="s">
        <v>18</v>
      </c>
      <c r="G9049" s="1" t="str">
        <f t="shared" si="1991"/>
        <v>...</v>
      </c>
      <c r="H9049" s="1" t="str">
        <f t="shared" si="1991"/>
        <v>...</v>
      </c>
      <c r="I9049" s="1" t="str">
        <f t="shared" si="1991"/>
        <v>...</v>
      </c>
      <c r="J9049" s="1" t="str">
        <f t="shared" si="1991"/>
        <v>...</v>
      </c>
      <c r="K9049" s="1" t="str">
        <f t="shared" si="1991"/>
        <v>...</v>
      </c>
      <c r="L9049" s="1" t="str">
        <f t="shared" si="1991"/>
        <v>...</v>
      </c>
      <c r="M9049" s="1" t="str">
        <f t="shared" si="1991"/>
        <v>...</v>
      </c>
      <c r="N9049" t="s">
        <v>30</v>
      </c>
    </row>
    <row r="9050" spans="1:14" x14ac:dyDescent="0.25">
      <c r="A9050" t="s">
        <v>43</v>
      </c>
      <c r="B9050" t="s">
        <v>39</v>
      </c>
      <c r="C9050" t="s">
        <v>35</v>
      </c>
      <c r="D9050" t="s">
        <v>32</v>
      </c>
      <c r="E9050" t="s">
        <v>26</v>
      </c>
      <c r="F9050" t="s">
        <v>19</v>
      </c>
      <c r="G9050" s="1" t="str">
        <f t="shared" si="1991"/>
        <v>...</v>
      </c>
      <c r="H9050" s="1" t="str">
        <f t="shared" si="1991"/>
        <v>...</v>
      </c>
      <c r="I9050" s="1" t="str">
        <f t="shared" si="1991"/>
        <v>...</v>
      </c>
      <c r="J9050" s="1" t="str">
        <f t="shared" si="1991"/>
        <v>...</v>
      </c>
      <c r="K9050" s="1" t="str">
        <f t="shared" si="1991"/>
        <v>...</v>
      </c>
      <c r="L9050" s="1" t="str">
        <f t="shared" si="1991"/>
        <v>...</v>
      </c>
      <c r="M9050" s="1" t="str">
        <f t="shared" si="1991"/>
        <v>...</v>
      </c>
      <c r="N9050" t="s">
        <v>30</v>
      </c>
    </row>
    <row r="9051" spans="1:14" x14ac:dyDescent="0.25">
      <c r="A9051" t="s">
        <v>43</v>
      </c>
      <c r="B9051" t="s">
        <v>39</v>
      </c>
      <c r="C9051" t="s">
        <v>35</v>
      </c>
      <c r="D9051" t="s">
        <v>32</v>
      </c>
      <c r="E9051" t="s">
        <v>26</v>
      </c>
      <c r="F9051" t="s">
        <v>20</v>
      </c>
      <c r="G9051" s="1" t="str">
        <f t="shared" ref="G9051:M9059" si="1992">"X"</f>
        <v>X</v>
      </c>
      <c r="H9051" s="1" t="str">
        <f t="shared" si="1992"/>
        <v>X</v>
      </c>
      <c r="I9051" s="1" t="str">
        <f t="shared" si="1992"/>
        <v>X</v>
      </c>
      <c r="J9051" s="1" t="str">
        <f t="shared" si="1992"/>
        <v>X</v>
      </c>
      <c r="K9051" s="1" t="str">
        <f t="shared" si="1992"/>
        <v>X</v>
      </c>
      <c r="L9051" s="1" t="str">
        <f t="shared" si="1992"/>
        <v>X</v>
      </c>
      <c r="M9051" s="1" t="str">
        <f t="shared" si="1992"/>
        <v>X</v>
      </c>
      <c r="N9051" t="s">
        <v>27</v>
      </c>
    </row>
    <row r="9052" spans="1:14" x14ac:dyDescent="0.25">
      <c r="A9052" t="s">
        <v>43</v>
      </c>
      <c r="B9052" t="s">
        <v>39</v>
      </c>
      <c r="C9052" t="s">
        <v>35</v>
      </c>
      <c r="D9052" t="s">
        <v>33</v>
      </c>
      <c r="E9052" t="s">
        <v>15</v>
      </c>
      <c r="F9052" t="s">
        <v>15</v>
      </c>
      <c r="G9052" s="1" t="str">
        <f t="shared" si="1992"/>
        <v>X</v>
      </c>
      <c r="H9052" s="1" t="str">
        <f t="shared" si="1992"/>
        <v>X</v>
      </c>
      <c r="I9052" s="1" t="str">
        <f t="shared" si="1992"/>
        <v>X</v>
      </c>
      <c r="J9052" s="1" t="str">
        <f t="shared" si="1992"/>
        <v>X</v>
      </c>
      <c r="K9052" s="1" t="str">
        <f t="shared" si="1992"/>
        <v>X</v>
      </c>
      <c r="L9052" s="1" t="str">
        <f t="shared" si="1992"/>
        <v>X</v>
      </c>
      <c r="M9052" s="1" t="str">
        <f t="shared" si="1992"/>
        <v>X</v>
      </c>
      <c r="N9052" t="s">
        <v>27</v>
      </c>
    </row>
    <row r="9053" spans="1:14" x14ac:dyDescent="0.25">
      <c r="A9053" t="s">
        <v>43</v>
      </c>
      <c r="B9053" t="s">
        <v>39</v>
      </c>
      <c r="C9053" t="s">
        <v>35</v>
      </c>
      <c r="D9053" t="s">
        <v>33</v>
      </c>
      <c r="E9053" t="s">
        <v>15</v>
      </c>
      <c r="F9053" t="s">
        <v>17</v>
      </c>
      <c r="G9053" s="1" t="str">
        <f t="shared" si="1992"/>
        <v>X</v>
      </c>
      <c r="H9053" s="1" t="str">
        <f t="shared" si="1992"/>
        <v>X</v>
      </c>
      <c r="I9053" s="1" t="str">
        <f t="shared" si="1992"/>
        <v>X</v>
      </c>
      <c r="J9053" s="1" t="str">
        <f t="shared" si="1992"/>
        <v>X</v>
      </c>
      <c r="K9053" s="1" t="str">
        <f t="shared" si="1992"/>
        <v>X</v>
      </c>
      <c r="L9053" s="1" t="str">
        <f t="shared" si="1992"/>
        <v>X</v>
      </c>
      <c r="M9053" s="1" t="str">
        <f t="shared" si="1992"/>
        <v>X</v>
      </c>
      <c r="N9053" t="s">
        <v>27</v>
      </c>
    </row>
    <row r="9054" spans="1:14" x14ac:dyDescent="0.25">
      <c r="A9054" t="s">
        <v>43</v>
      </c>
      <c r="B9054" t="s">
        <v>39</v>
      </c>
      <c r="C9054" t="s">
        <v>35</v>
      </c>
      <c r="D9054" t="s">
        <v>33</v>
      </c>
      <c r="E9054" t="s">
        <v>15</v>
      </c>
      <c r="F9054" t="s">
        <v>18</v>
      </c>
      <c r="G9054" s="1" t="str">
        <f t="shared" si="1992"/>
        <v>X</v>
      </c>
      <c r="H9054" s="1" t="str">
        <f t="shared" si="1992"/>
        <v>X</v>
      </c>
      <c r="I9054" s="1" t="str">
        <f t="shared" si="1992"/>
        <v>X</v>
      </c>
      <c r="J9054" s="1" t="str">
        <f t="shared" si="1992"/>
        <v>X</v>
      </c>
      <c r="K9054" s="1" t="str">
        <f t="shared" si="1992"/>
        <v>X</v>
      </c>
      <c r="L9054" s="1" t="str">
        <f t="shared" si="1992"/>
        <v>X</v>
      </c>
      <c r="M9054" s="1" t="str">
        <f t="shared" si="1992"/>
        <v>X</v>
      </c>
      <c r="N9054" t="s">
        <v>27</v>
      </c>
    </row>
    <row r="9055" spans="1:14" x14ac:dyDescent="0.25">
      <c r="A9055" t="s">
        <v>43</v>
      </c>
      <c r="B9055" t="s">
        <v>39</v>
      </c>
      <c r="C9055" t="s">
        <v>35</v>
      </c>
      <c r="D9055" t="s">
        <v>33</v>
      </c>
      <c r="E9055" t="s">
        <v>15</v>
      </c>
      <c r="F9055" t="s">
        <v>19</v>
      </c>
      <c r="G9055" s="1" t="str">
        <f t="shared" si="1992"/>
        <v>X</v>
      </c>
      <c r="H9055" s="1" t="str">
        <f t="shared" si="1992"/>
        <v>X</v>
      </c>
      <c r="I9055" s="1" t="str">
        <f t="shared" si="1992"/>
        <v>X</v>
      </c>
      <c r="J9055" s="1" t="str">
        <f t="shared" si="1992"/>
        <v>X</v>
      </c>
      <c r="K9055" s="1" t="str">
        <f t="shared" si="1992"/>
        <v>X</v>
      </c>
      <c r="L9055" s="1" t="str">
        <f t="shared" si="1992"/>
        <v>X</v>
      </c>
      <c r="M9055" s="1" t="str">
        <f t="shared" si="1992"/>
        <v>X</v>
      </c>
      <c r="N9055" t="s">
        <v>27</v>
      </c>
    </row>
    <row r="9056" spans="1:14" x14ac:dyDescent="0.25">
      <c r="A9056" t="s">
        <v>43</v>
      </c>
      <c r="B9056" t="s">
        <v>39</v>
      </c>
      <c r="C9056" t="s">
        <v>35</v>
      </c>
      <c r="D9056" t="s">
        <v>33</v>
      </c>
      <c r="E9056" t="s">
        <v>15</v>
      </c>
      <c r="F9056" t="s">
        <v>20</v>
      </c>
      <c r="G9056" s="1" t="str">
        <f t="shared" si="1992"/>
        <v>X</v>
      </c>
      <c r="H9056" s="1" t="str">
        <f t="shared" si="1992"/>
        <v>X</v>
      </c>
      <c r="I9056" s="1" t="str">
        <f t="shared" si="1992"/>
        <v>X</v>
      </c>
      <c r="J9056" s="1" t="str">
        <f t="shared" si="1992"/>
        <v>X</v>
      </c>
      <c r="K9056" s="1" t="str">
        <f t="shared" si="1992"/>
        <v>X</v>
      </c>
      <c r="L9056" s="1" t="str">
        <f t="shared" si="1992"/>
        <v>X</v>
      </c>
      <c r="M9056" s="1" t="str">
        <f t="shared" si="1992"/>
        <v>X</v>
      </c>
      <c r="N9056" t="s">
        <v>27</v>
      </c>
    </row>
    <row r="9057" spans="1:14" x14ac:dyDescent="0.25">
      <c r="A9057" t="s">
        <v>43</v>
      </c>
      <c r="B9057" t="s">
        <v>39</v>
      </c>
      <c r="C9057" t="s">
        <v>35</v>
      </c>
      <c r="D9057" t="s">
        <v>33</v>
      </c>
      <c r="E9057" t="s">
        <v>21</v>
      </c>
      <c r="F9057" t="s">
        <v>15</v>
      </c>
      <c r="G9057" s="1" t="str">
        <f t="shared" si="1992"/>
        <v>X</v>
      </c>
      <c r="H9057" s="1" t="str">
        <f t="shared" si="1992"/>
        <v>X</v>
      </c>
      <c r="I9057" s="1" t="str">
        <f t="shared" si="1992"/>
        <v>X</v>
      </c>
      <c r="J9057" s="1" t="str">
        <f t="shared" si="1992"/>
        <v>X</v>
      </c>
      <c r="K9057" s="1" t="str">
        <f t="shared" si="1992"/>
        <v>X</v>
      </c>
      <c r="L9057" s="1" t="str">
        <f t="shared" si="1992"/>
        <v>X</v>
      </c>
      <c r="M9057" s="1" t="str">
        <f t="shared" si="1992"/>
        <v>X</v>
      </c>
      <c r="N9057" t="s">
        <v>27</v>
      </c>
    </row>
    <row r="9058" spans="1:14" x14ac:dyDescent="0.25">
      <c r="A9058" t="s">
        <v>43</v>
      </c>
      <c r="B9058" t="s">
        <v>39</v>
      </c>
      <c r="C9058" t="s">
        <v>35</v>
      </c>
      <c r="D9058" t="s">
        <v>33</v>
      </c>
      <c r="E9058" t="s">
        <v>21</v>
      </c>
      <c r="F9058" t="s">
        <v>17</v>
      </c>
      <c r="G9058" s="1" t="str">
        <f t="shared" si="1992"/>
        <v>X</v>
      </c>
      <c r="H9058" s="1" t="str">
        <f t="shared" si="1992"/>
        <v>X</v>
      </c>
      <c r="I9058" s="1" t="str">
        <f t="shared" si="1992"/>
        <v>X</v>
      </c>
      <c r="J9058" s="1" t="str">
        <f t="shared" si="1992"/>
        <v>X</v>
      </c>
      <c r="K9058" s="1" t="str">
        <f t="shared" si="1992"/>
        <v>X</v>
      </c>
      <c r="L9058" s="1" t="str">
        <f t="shared" si="1992"/>
        <v>X</v>
      </c>
      <c r="M9058" s="1" t="str">
        <f t="shared" si="1992"/>
        <v>X</v>
      </c>
      <c r="N9058" t="s">
        <v>27</v>
      </c>
    </row>
    <row r="9059" spans="1:14" x14ac:dyDescent="0.25">
      <c r="A9059" t="s">
        <v>43</v>
      </c>
      <c r="B9059" t="s">
        <v>39</v>
      </c>
      <c r="C9059" t="s">
        <v>35</v>
      </c>
      <c r="D9059" t="s">
        <v>33</v>
      </c>
      <c r="E9059" t="s">
        <v>21</v>
      </c>
      <c r="F9059" t="s">
        <v>18</v>
      </c>
      <c r="G9059" s="1" t="str">
        <f t="shared" si="1992"/>
        <v>X</v>
      </c>
      <c r="H9059" s="1" t="str">
        <f t="shared" si="1992"/>
        <v>X</v>
      </c>
      <c r="I9059" s="1" t="str">
        <f t="shared" si="1992"/>
        <v>X</v>
      </c>
      <c r="J9059" s="1" t="str">
        <f t="shared" si="1992"/>
        <v>X</v>
      </c>
      <c r="K9059" s="1" t="str">
        <f t="shared" si="1992"/>
        <v>X</v>
      </c>
      <c r="L9059" s="1" t="str">
        <f t="shared" si="1992"/>
        <v>X</v>
      </c>
      <c r="M9059" s="1" t="str">
        <f t="shared" si="1992"/>
        <v>X</v>
      </c>
      <c r="N9059" t="s">
        <v>27</v>
      </c>
    </row>
    <row r="9060" spans="1:14" x14ac:dyDescent="0.25">
      <c r="A9060" t="s">
        <v>43</v>
      </c>
      <c r="B9060" t="s">
        <v>39</v>
      </c>
      <c r="C9060" t="s">
        <v>35</v>
      </c>
      <c r="D9060" t="s">
        <v>33</v>
      </c>
      <c r="E9060" t="s">
        <v>21</v>
      </c>
      <c r="F9060" t="s">
        <v>19</v>
      </c>
      <c r="G9060" s="1" t="str">
        <f t="shared" ref="G9060:M9060" si="1993">"..."</f>
        <v>...</v>
      </c>
      <c r="H9060" s="1" t="str">
        <f t="shared" si="1993"/>
        <v>...</v>
      </c>
      <c r="I9060" s="1" t="str">
        <f t="shared" si="1993"/>
        <v>...</v>
      </c>
      <c r="J9060" s="1" t="str">
        <f t="shared" si="1993"/>
        <v>...</v>
      </c>
      <c r="K9060" s="1" t="str">
        <f t="shared" si="1993"/>
        <v>...</v>
      </c>
      <c r="L9060" s="1" t="str">
        <f t="shared" si="1993"/>
        <v>...</v>
      </c>
      <c r="M9060" s="1" t="str">
        <f t="shared" si="1993"/>
        <v>...</v>
      </c>
      <c r="N9060" t="s">
        <v>30</v>
      </c>
    </row>
    <row r="9061" spans="1:14" x14ac:dyDescent="0.25">
      <c r="A9061" t="s">
        <v>43</v>
      </c>
      <c r="B9061" t="s">
        <v>39</v>
      </c>
      <c r="C9061" t="s">
        <v>35</v>
      </c>
      <c r="D9061" t="s">
        <v>33</v>
      </c>
      <c r="E9061" t="s">
        <v>21</v>
      </c>
      <c r="F9061" t="s">
        <v>20</v>
      </c>
      <c r="G9061" s="1" t="str">
        <f t="shared" ref="G9061:M9062" si="1994">"X"</f>
        <v>X</v>
      </c>
      <c r="H9061" s="1" t="str">
        <f t="shared" si="1994"/>
        <v>X</v>
      </c>
      <c r="I9061" s="1" t="str">
        <f t="shared" si="1994"/>
        <v>X</v>
      </c>
      <c r="J9061" s="1" t="str">
        <f t="shared" si="1994"/>
        <v>X</v>
      </c>
      <c r="K9061" s="1" t="str">
        <f t="shared" si="1994"/>
        <v>X</v>
      </c>
      <c r="L9061" s="1" t="str">
        <f t="shared" si="1994"/>
        <v>X</v>
      </c>
      <c r="M9061" s="1" t="str">
        <f t="shared" si="1994"/>
        <v>X</v>
      </c>
      <c r="N9061" t="s">
        <v>27</v>
      </c>
    </row>
    <row r="9062" spans="1:14" x14ac:dyDescent="0.25">
      <c r="A9062" t="s">
        <v>43</v>
      </c>
      <c r="B9062" t="s">
        <v>39</v>
      </c>
      <c r="C9062" t="s">
        <v>35</v>
      </c>
      <c r="D9062" t="s">
        <v>33</v>
      </c>
      <c r="E9062" t="s">
        <v>22</v>
      </c>
      <c r="F9062" t="s">
        <v>15</v>
      </c>
      <c r="G9062" s="1" t="str">
        <f t="shared" si="1994"/>
        <v>X</v>
      </c>
      <c r="H9062" s="1" t="str">
        <f t="shared" si="1994"/>
        <v>X</v>
      </c>
      <c r="I9062" s="1" t="str">
        <f t="shared" si="1994"/>
        <v>X</v>
      </c>
      <c r="J9062" s="1" t="str">
        <f t="shared" si="1994"/>
        <v>X</v>
      </c>
      <c r="K9062" s="1" t="str">
        <f t="shared" si="1994"/>
        <v>X</v>
      </c>
      <c r="L9062" s="1" t="str">
        <f t="shared" si="1994"/>
        <v>X</v>
      </c>
      <c r="M9062" s="1" t="str">
        <f t="shared" si="1994"/>
        <v>X</v>
      </c>
      <c r="N9062" t="s">
        <v>27</v>
      </c>
    </row>
    <row r="9063" spans="1:14" x14ac:dyDescent="0.25">
      <c r="A9063" t="s">
        <v>43</v>
      </c>
      <c r="B9063" t="s">
        <v>39</v>
      </c>
      <c r="C9063" t="s">
        <v>35</v>
      </c>
      <c r="D9063" t="s">
        <v>33</v>
      </c>
      <c r="E9063" t="s">
        <v>22</v>
      </c>
      <c r="F9063" t="s">
        <v>17</v>
      </c>
      <c r="G9063" s="1" t="str">
        <f t="shared" ref="G9063:M9065" si="1995">"..."</f>
        <v>...</v>
      </c>
      <c r="H9063" s="1" t="str">
        <f t="shared" si="1995"/>
        <v>...</v>
      </c>
      <c r="I9063" s="1" t="str">
        <f t="shared" si="1995"/>
        <v>...</v>
      </c>
      <c r="J9063" s="1" t="str">
        <f t="shared" si="1995"/>
        <v>...</v>
      </c>
      <c r="K9063" s="1" t="str">
        <f t="shared" si="1995"/>
        <v>...</v>
      </c>
      <c r="L9063" s="1" t="str">
        <f t="shared" si="1995"/>
        <v>...</v>
      </c>
      <c r="M9063" s="1" t="str">
        <f t="shared" si="1995"/>
        <v>...</v>
      </c>
      <c r="N9063" t="s">
        <v>30</v>
      </c>
    </row>
    <row r="9064" spans="1:14" x14ac:dyDescent="0.25">
      <c r="A9064" t="s">
        <v>43</v>
      </c>
      <c r="B9064" t="s">
        <v>39</v>
      </c>
      <c r="C9064" t="s">
        <v>35</v>
      </c>
      <c r="D9064" t="s">
        <v>33</v>
      </c>
      <c r="E9064" t="s">
        <v>22</v>
      </c>
      <c r="F9064" t="s">
        <v>18</v>
      </c>
      <c r="G9064" s="1" t="str">
        <f t="shared" si="1995"/>
        <v>...</v>
      </c>
      <c r="H9064" s="1" t="str">
        <f t="shared" si="1995"/>
        <v>...</v>
      </c>
      <c r="I9064" s="1" t="str">
        <f t="shared" si="1995"/>
        <v>...</v>
      </c>
      <c r="J9064" s="1" t="str">
        <f t="shared" si="1995"/>
        <v>...</v>
      </c>
      <c r="K9064" s="1" t="str">
        <f t="shared" si="1995"/>
        <v>...</v>
      </c>
      <c r="L9064" s="1" t="str">
        <f t="shared" si="1995"/>
        <v>...</v>
      </c>
      <c r="M9064" s="1" t="str">
        <f t="shared" si="1995"/>
        <v>...</v>
      </c>
      <c r="N9064" t="s">
        <v>30</v>
      </c>
    </row>
    <row r="9065" spans="1:14" x14ac:dyDescent="0.25">
      <c r="A9065" t="s">
        <v>43</v>
      </c>
      <c r="B9065" t="s">
        <v>39</v>
      </c>
      <c r="C9065" t="s">
        <v>35</v>
      </c>
      <c r="D9065" t="s">
        <v>33</v>
      </c>
      <c r="E9065" t="s">
        <v>22</v>
      </c>
      <c r="F9065" t="s">
        <v>19</v>
      </c>
      <c r="G9065" s="1" t="str">
        <f t="shared" si="1995"/>
        <v>...</v>
      </c>
      <c r="H9065" s="1" t="str">
        <f t="shared" si="1995"/>
        <v>...</v>
      </c>
      <c r="I9065" s="1" t="str">
        <f t="shared" si="1995"/>
        <v>...</v>
      </c>
      <c r="J9065" s="1" t="str">
        <f t="shared" si="1995"/>
        <v>...</v>
      </c>
      <c r="K9065" s="1" t="str">
        <f t="shared" si="1995"/>
        <v>...</v>
      </c>
      <c r="L9065" s="1" t="str">
        <f t="shared" si="1995"/>
        <v>...</v>
      </c>
      <c r="M9065" s="1" t="str">
        <f t="shared" si="1995"/>
        <v>...</v>
      </c>
      <c r="N9065" t="s">
        <v>30</v>
      </c>
    </row>
    <row r="9066" spans="1:14" x14ac:dyDescent="0.25">
      <c r="A9066" t="s">
        <v>43</v>
      </c>
      <c r="B9066" t="s">
        <v>39</v>
      </c>
      <c r="C9066" t="s">
        <v>35</v>
      </c>
      <c r="D9066" t="s">
        <v>33</v>
      </c>
      <c r="E9066" t="s">
        <v>22</v>
      </c>
      <c r="F9066" t="s">
        <v>20</v>
      </c>
      <c r="G9066" s="1" t="str">
        <f t="shared" ref="G9066:M9067" si="1996">"X"</f>
        <v>X</v>
      </c>
      <c r="H9066" s="1" t="str">
        <f t="shared" si="1996"/>
        <v>X</v>
      </c>
      <c r="I9066" s="1" t="str">
        <f t="shared" si="1996"/>
        <v>X</v>
      </c>
      <c r="J9066" s="1" t="str">
        <f t="shared" si="1996"/>
        <v>X</v>
      </c>
      <c r="K9066" s="1" t="str">
        <f t="shared" si="1996"/>
        <v>X</v>
      </c>
      <c r="L9066" s="1" t="str">
        <f t="shared" si="1996"/>
        <v>X</v>
      </c>
      <c r="M9066" s="1" t="str">
        <f t="shared" si="1996"/>
        <v>X</v>
      </c>
      <c r="N9066" t="s">
        <v>27</v>
      </c>
    </row>
    <row r="9067" spans="1:14" x14ac:dyDescent="0.25">
      <c r="A9067" t="s">
        <v>43</v>
      </c>
      <c r="B9067" t="s">
        <v>39</v>
      </c>
      <c r="C9067" t="s">
        <v>35</v>
      </c>
      <c r="D9067" t="s">
        <v>33</v>
      </c>
      <c r="E9067" t="s">
        <v>23</v>
      </c>
      <c r="F9067" t="s">
        <v>15</v>
      </c>
      <c r="G9067" s="1" t="str">
        <f t="shared" si="1996"/>
        <v>X</v>
      </c>
      <c r="H9067" s="1" t="str">
        <f t="shared" si="1996"/>
        <v>X</v>
      </c>
      <c r="I9067" s="1" t="str">
        <f t="shared" si="1996"/>
        <v>X</v>
      </c>
      <c r="J9067" s="1" t="str">
        <f t="shared" si="1996"/>
        <v>X</v>
      </c>
      <c r="K9067" s="1" t="str">
        <f t="shared" si="1996"/>
        <v>X</v>
      </c>
      <c r="L9067" s="1" t="str">
        <f t="shared" si="1996"/>
        <v>X</v>
      </c>
      <c r="M9067" s="1" t="str">
        <f t="shared" si="1996"/>
        <v>X</v>
      </c>
      <c r="N9067" t="s">
        <v>27</v>
      </c>
    </row>
    <row r="9068" spans="1:14" x14ac:dyDescent="0.25">
      <c r="A9068" t="s">
        <v>43</v>
      </c>
      <c r="B9068" t="s">
        <v>39</v>
      </c>
      <c r="C9068" t="s">
        <v>35</v>
      </c>
      <c r="D9068" t="s">
        <v>33</v>
      </c>
      <c r="E9068" t="s">
        <v>23</v>
      </c>
      <c r="F9068" t="s">
        <v>17</v>
      </c>
      <c r="G9068" s="1" t="str">
        <f t="shared" ref="G9068:M9069" si="1997">"..."</f>
        <v>...</v>
      </c>
      <c r="H9068" s="1" t="str">
        <f t="shared" si="1997"/>
        <v>...</v>
      </c>
      <c r="I9068" s="1" t="str">
        <f t="shared" si="1997"/>
        <v>...</v>
      </c>
      <c r="J9068" s="1" t="str">
        <f t="shared" si="1997"/>
        <v>...</v>
      </c>
      <c r="K9068" s="1" t="str">
        <f t="shared" si="1997"/>
        <v>...</v>
      </c>
      <c r="L9068" s="1" t="str">
        <f t="shared" si="1997"/>
        <v>...</v>
      </c>
      <c r="M9068" s="1" t="str">
        <f t="shared" si="1997"/>
        <v>...</v>
      </c>
      <c r="N9068" t="s">
        <v>30</v>
      </c>
    </row>
    <row r="9069" spans="1:14" x14ac:dyDescent="0.25">
      <c r="A9069" t="s">
        <v>43</v>
      </c>
      <c r="B9069" t="s">
        <v>39</v>
      </c>
      <c r="C9069" t="s">
        <v>35</v>
      </c>
      <c r="D9069" t="s">
        <v>33</v>
      </c>
      <c r="E9069" t="s">
        <v>23</v>
      </c>
      <c r="F9069" t="s">
        <v>18</v>
      </c>
      <c r="G9069" s="1" t="str">
        <f t="shared" si="1997"/>
        <v>...</v>
      </c>
      <c r="H9069" s="1" t="str">
        <f t="shared" si="1997"/>
        <v>...</v>
      </c>
      <c r="I9069" s="1" t="str">
        <f t="shared" si="1997"/>
        <v>...</v>
      </c>
      <c r="J9069" s="1" t="str">
        <f t="shared" si="1997"/>
        <v>...</v>
      </c>
      <c r="K9069" s="1" t="str">
        <f t="shared" si="1997"/>
        <v>...</v>
      </c>
      <c r="L9069" s="1" t="str">
        <f t="shared" si="1997"/>
        <v>...</v>
      </c>
      <c r="M9069" s="1" t="str">
        <f t="shared" si="1997"/>
        <v>...</v>
      </c>
      <c r="N9069" t="s">
        <v>30</v>
      </c>
    </row>
    <row r="9070" spans="1:14" x14ac:dyDescent="0.25">
      <c r="A9070" t="s">
        <v>43</v>
      </c>
      <c r="B9070" t="s">
        <v>39</v>
      </c>
      <c r="C9070" t="s">
        <v>35</v>
      </c>
      <c r="D9070" t="s">
        <v>33</v>
      </c>
      <c r="E9070" t="s">
        <v>23</v>
      </c>
      <c r="F9070" t="s">
        <v>19</v>
      </c>
      <c r="G9070" s="1" t="str">
        <f t="shared" ref="G9070:M9072" si="1998">"X"</f>
        <v>X</v>
      </c>
      <c r="H9070" s="1" t="str">
        <f t="shared" si="1998"/>
        <v>X</v>
      </c>
      <c r="I9070" s="1" t="str">
        <f t="shared" si="1998"/>
        <v>X</v>
      </c>
      <c r="J9070" s="1" t="str">
        <f t="shared" si="1998"/>
        <v>X</v>
      </c>
      <c r="K9070" s="1" t="str">
        <f t="shared" si="1998"/>
        <v>X</v>
      </c>
      <c r="L9070" s="1" t="str">
        <f t="shared" si="1998"/>
        <v>X</v>
      </c>
      <c r="M9070" s="1" t="str">
        <f t="shared" si="1998"/>
        <v>X</v>
      </c>
      <c r="N9070" t="s">
        <v>27</v>
      </c>
    </row>
    <row r="9071" spans="1:14" x14ac:dyDescent="0.25">
      <c r="A9071" t="s">
        <v>43</v>
      </c>
      <c r="B9071" t="s">
        <v>39</v>
      </c>
      <c r="C9071" t="s">
        <v>35</v>
      </c>
      <c r="D9071" t="s">
        <v>33</v>
      </c>
      <c r="E9071" t="s">
        <v>23</v>
      </c>
      <c r="F9071" t="s">
        <v>20</v>
      </c>
      <c r="G9071" s="1" t="str">
        <f t="shared" si="1998"/>
        <v>X</v>
      </c>
      <c r="H9071" s="1" t="str">
        <f t="shared" si="1998"/>
        <v>X</v>
      </c>
      <c r="I9071" s="1" t="str">
        <f t="shared" si="1998"/>
        <v>X</v>
      </c>
      <c r="J9071" s="1" t="str">
        <f t="shared" si="1998"/>
        <v>X</v>
      </c>
      <c r="K9071" s="1" t="str">
        <f t="shared" si="1998"/>
        <v>X</v>
      </c>
      <c r="L9071" s="1" t="str">
        <f t="shared" si="1998"/>
        <v>X</v>
      </c>
      <c r="M9071" s="1" t="str">
        <f t="shared" si="1998"/>
        <v>X</v>
      </c>
      <c r="N9071" t="s">
        <v>27</v>
      </c>
    </row>
    <row r="9072" spans="1:14" x14ac:dyDescent="0.25">
      <c r="A9072" t="s">
        <v>43</v>
      </c>
      <c r="B9072" t="s">
        <v>39</v>
      </c>
      <c r="C9072" t="s">
        <v>35</v>
      </c>
      <c r="D9072" t="s">
        <v>33</v>
      </c>
      <c r="E9072" t="s">
        <v>26</v>
      </c>
      <c r="F9072" t="s">
        <v>15</v>
      </c>
      <c r="G9072" s="1" t="str">
        <f t="shared" si="1998"/>
        <v>X</v>
      </c>
      <c r="H9072" s="1" t="str">
        <f t="shared" si="1998"/>
        <v>X</v>
      </c>
      <c r="I9072" s="1" t="str">
        <f t="shared" si="1998"/>
        <v>X</v>
      </c>
      <c r="J9072" s="1" t="str">
        <f t="shared" si="1998"/>
        <v>X</v>
      </c>
      <c r="K9072" s="1" t="str">
        <f t="shared" si="1998"/>
        <v>X</v>
      </c>
      <c r="L9072" s="1" t="str">
        <f t="shared" si="1998"/>
        <v>X</v>
      </c>
      <c r="M9072" s="1" t="str">
        <f t="shared" si="1998"/>
        <v>X</v>
      </c>
      <c r="N9072" t="s">
        <v>27</v>
      </c>
    </row>
    <row r="9073" spans="1:14" x14ac:dyDescent="0.25">
      <c r="A9073" t="s">
        <v>43</v>
      </c>
      <c r="B9073" t="s">
        <v>39</v>
      </c>
      <c r="C9073" t="s">
        <v>35</v>
      </c>
      <c r="D9073" t="s">
        <v>33</v>
      </c>
      <c r="E9073" t="s">
        <v>26</v>
      </c>
      <c r="F9073" t="s">
        <v>17</v>
      </c>
      <c r="G9073" s="1" t="str">
        <f t="shared" ref="G9073:M9075" si="1999">"..."</f>
        <v>...</v>
      </c>
      <c r="H9073" s="1" t="str">
        <f t="shared" si="1999"/>
        <v>...</v>
      </c>
      <c r="I9073" s="1" t="str">
        <f t="shared" si="1999"/>
        <v>...</v>
      </c>
      <c r="J9073" s="1" t="str">
        <f t="shared" si="1999"/>
        <v>...</v>
      </c>
      <c r="K9073" s="1" t="str">
        <f t="shared" si="1999"/>
        <v>...</v>
      </c>
      <c r="L9073" s="1" t="str">
        <f t="shared" si="1999"/>
        <v>...</v>
      </c>
      <c r="M9073" s="1" t="str">
        <f t="shared" si="1999"/>
        <v>...</v>
      </c>
      <c r="N9073" t="s">
        <v>30</v>
      </c>
    </row>
    <row r="9074" spans="1:14" x14ac:dyDescent="0.25">
      <c r="A9074" t="s">
        <v>43</v>
      </c>
      <c r="B9074" t="s">
        <v>39</v>
      </c>
      <c r="C9074" t="s">
        <v>35</v>
      </c>
      <c r="D9074" t="s">
        <v>33</v>
      </c>
      <c r="E9074" t="s">
        <v>26</v>
      </c>
      <c r="F9074" t="s">
        <v>18</v>
      </c>
      <c r="G9074" s="1" t="str">
        <f t="shared" si="1999"/>
        <v>...</v>
      </c>
      <c r="H9074" s="1" t="str">
        <f t="shared" si="1999"/>
        <v>...</v>
      </c>
      <c r="I9074" s="1" t="str">
        <f t="shared" si="1999"/>
        <v>...</v>
      </c>
      <c r="J9074" s="1" t="str">
        <f t="shared" si="1999"/>
        <v>...</v>
      </c>
      <c r="K9074" s="1" t="str">
        <f t="shared" si="1999"/>
        <v>...</v>
      </c>
      <c r="L9074" s="1" t="str">
        <f t="shared" si="1999"/>
        <v>...</v>
      </c>
      <c r="M9074" s="1" t="str">
        <f t="shared" si="1999"/>
        <v>...</v>
      </c>
      <c r="N9074" t="s">
        <v>30</v>
      </c>
    </row>
    <row r="9075" spans="1:14" x14ac:dyDescent="0.25">
      <c r="A9075" t="s">
        <v>43</v>
      </c>
      <c r="B9075" t="s">
        <v>39</v>
      </c>
      <c r="C9075" t="s">
        <v>35</v>
      </c>
      <c r="D9075" t="s">
        <v>33</v>
      </c>
      <c r="E9075" t="s">
        <v>26</v>
      </c>
      <c r="F9075" t="s">
        <v>19</v>
      </c>
      <c r="G9075" s="1" t="str">
        <f t="shared" si="1999"/>
        <v>...</v>
      </c>
      <c r="H9075" s="1" t="str">
        <f t="shared" si="1999"/>
        <v>...</v>
      </c>
      <c r="I9075" s="1" t="str">
        <f t="shared" si="1999"/>
        <v>...</v>
      </c>
      <c r="J9075" s="1" t="str">
        <f t="shared" si="1999"/>
        <v>...</v>
      </c>
      <c r="K9075" s="1" t="str">
        <f t="shared" si="1999"/>
        <v>...</v>
      </c>
      <c r="L9075" s="1" t="str">
        <f t="shared" si="1999"/>
        <v>...</v>
      </c>
      <c r="M9075" s="1" t="str">
        <f t="shared" si="1999"/>
        <v>...</v>
      </c>
      <c r="N9075" t="s">
        <v>30</v>
      </c>
    </row>
    <row r="9076" spans="1:14" x14ac:dyDescent="0.25">
      <c r="A9076" t="s">
        <v>43</v>
      </c>
      <c r="B9076" t="s">
        <v>39</v>
      </c>
      <c r="C9076" t="s">
        <v>35</v>
      </c>
      <c r="D9076" t="s">
        <v>33</v>
      </c>
      <c r="E9076" t="s">
        <v>26</v>
      </c>
      <c r="F9076" t="s">
        <v>20</v>
      </c>
      <c r="G9076" s="1" t="str">
        <f t="shared" ref="G9076:M9077" si="2000">"X"</f>
        <v>X</v>
      </c>
      <c r="H9076" s="1" t="str">
        <f t="shared" si="2000"/>
        <v>X</v>
      </c>
      <c r="I9076" s="1" t="str">
        <f t="shared" si="2000"/>
        <v>X</v>
      </c>
      <c r="J9076" s="1" t="str">
        <f t="shared" si="2000"/>
        <v>X</v>
      </c>
      <c r="K9076" s="1" t="str">
        <f t="shared" si="2000"/>
        <v>X</v>
      </c>
      <c r="L9076" s="1" t="str">
        <f t="shared" si="2000"/>
        <v>X</v>
      </c>
      <c r="M9076" s="1" t="str">
        <f t="shared" si="2000"/>
        <v>X</v>
      </c>
      <c r="N9076" t="s">
        <v>27</v>
      </c>
    </row>
    <row r="9077" spans="1:14" x14ac:dyDescent="0.25">
      <c r="A9077" t="s">
        <v>43</v>
      </c>
      <c r="B9077" t="s">
        <v>39</v>
      </c>
      <c r="C9077" t="s">
        <v>35</v>
      </c>
      <c r="D9077" t="s">
        <v>34</v>
      </c>
      <c r="E9077" t="s">
        <v>15</v>
      </c>
      <c r="F9077" t="s">
        <v>15</v>
      </c>
      <c r="G9077" s="1" t="str">
        <f t="shared" si="2000"/>
        <v>X</v>
      </c>
      <c r="H9077" s="1" t="str">
        <f t="shared" si="2000"/>
        <v>X</v>
      </c>
      <c r="I9077" s="1" t="str">
        <f t="shared" si="2000"/>
        <v>X</v>
      </c>
      <c r="J9077" s="1" t="str">
        <f t="shared" si="2000"/>
        <v>X</v>
      </c>
      <c r="K9077" s="1" t="str">
        <f t="shared" si="2000"/>
        <v>X</v>
      </c>
      <c r="L9077" s="1" t="str">
        <f t="shared" si="2000"/>
        <v>X</v>
      </c>
      <c r="M9077" s="1" t="str">
        <f t="shared" si="2000"/>
        <v>X</v>
      </c>
      <c r="N9077" t="s">
        <v>27</v>
      </c>
    </row>
    <row r="9078" spans="1:14" x14ac:dyDescent="0.25">
      <c r="A9078" t="s">
        <v>43</v>
      </c>
      <c r="B9078" t="s">
        <v>39</v>
      </c>
      <c r="C9078" t="s">
        <v>35</v>
      </c>
      <c r="D9078" t="s">
        <v>34</v>
      </c>
      <c r="E9078" t="s">
        <v>15</v>
      </c>
      <c r="F9078" t="s">
        <v>17</v>
      </c>
      <c r="G9078" s="1" t="str">
        <f t="shared" ref="G9078:M9080" si="2001">"..."</f>
        <v>...</v>
      </c>
      <c r="H9078" s="1" t="str">
        <f t="shared" si="2001"/>
        <v>...</v>
      </c>
      <c r="I9078" s="1" t="str">
        <f t="shared" si="2001"/>
        <v>...</v>
      </c>
      <c r="J9078" s="1" t="str">
        <f t="shared" si="2001"/>
        <v>...</v>
      </c>
      <c r="K9078" s="1" t="str">
        <f t="shared" si="2001"/>
        <v>...</v>
      </c>
      <c r="L9078" s="1" t="str">
        <f t="shared" si="2001"/>
        <v>...</v>
      </c>
      <c r="M9078" s="1" t="str">
        <f t="shared" si="2001"/>
        <v>...</v>
      </c>
      <c r="N9078" t="s">
        <v>30</v>
      </c>
    </row>
    <row r="9079" spans="1:14" x14ac:dyDescent="0.25">
      <c r="A9079" t="s">
        <v>43</v>
      </c>
      <c r="B9079" t="s">
        <v>39</v>
      </c>
      <c r="C9079" t="s">
        <v>35</v>
      </c>
      <c r="D9079" t="s">
        <v>34</v>
      </c>
      <c r="E9079" t="s">
        <v>15</v>
      </c>
      <c r="F9079" t="s">
        <v>18</v>
      </c>
      <c r="G9079" s="1" t="str">
        <f t="shared" si="2001"/>
        <v>...</v>
      </c>
      <c r="H9079" s="1" t="str">
        <f t="shared" si="2001"/>
        <v>...</v>
      </c>
      <c r="I9079" s="1" t="str">
        <f t="shared" si="2001"/>
        <v>...</v>
      </c>
      <c r="J9079" s="1" t="str">
        <f t="shared" si="2001"/>
        <v>...</v>
      </c>
      <c r="K9079" s="1" t="str">
        <f t="shared" si="2001"/>
        <v>...</v>
      </c>
      <c r="L9079" s="1" t="str">
        <f t="shared" si="2001"/>
        <v>...</v>
      </c>
      <c r="M9079" s="1" t="str">
        <f t="shared" si="2001"/>
        <v>...</v>
      </c>
      <c r="N9079" t="s">
        <v>30</v>
      </c>
    </row>
    <row r="9080" spans="1:14" x14ac:dyDescent="0.25">
      <c r="A9080" t="s">
        <v>43</v>
      </c>
      <c r="B9080" t="s">
        <v>39</v>
      </c>
      <c r="C9080" t="s">
        <v>35</v>
      </c>
      <c r="D9080" t="s">
        <v>34</v>
      </c>
      <c r="E9080" t="s">
        <v>15</v>
      </c>
      <c r="F9080" t="s">
        <v>19</v>
      </c>
      <c r="G9080" s="1" t="str">
        <f t="shared" si="2001"/>
        <v>...</v>
      </c>
      <c r="H9080" s="1" t="str">
        <f t="shared" si="2001"/>
        <v>...</v>
      </c>
      <c r="I9080" s="1" t="str">
        <f t="shared" si="2001"/>
        <v>...</v>
      </c>
      <c r="J9080" s="1" t="str">
        <f t="shared" si="2001"/>
        <v>...</v>
      </c>
      <c r="K9080" s="1" t="str">
        <f t="shared" si="2001"/>
        <v>...</v>
      </c>
      <c r="L9080" s="1" t="str">
        <f t="shared" si="2001"/>
        <v>...</v>
      </c>
      <c r="M9080" s="1" t="str">
        <f t="shared" si="2001"/>
        <v>...</v>
      </c>
      <c r="N9080" t="s">
        <v>30</v>
      </c>
    </row>
    <row r="9081" spans="1:14" x14ac:dyDescent="0.25">
      <c r="A9081" t="s">
        <v>43</v>
      </c>
      <c r="B9081" t="s">
        <v>39</v>
      </c>
      <c r="C9081" t="s">
        <v>35</v>
      </c>
      <c r="D9081" t="s">
        <v>34</v>
      </c>
      <c r="E9081" t="s">
        <v>15</v>
      </c>
      <c r="F9081" t="s">
        <v>20</v>
      </c>
      <c r="G9081" s="1" t="str">
        <f t="shared" ref="G9081:M9081" si="2002">"X"</f>
        <v>X</v>
      </c>
      <c r="H9081" s="1" t="str">
        <f t="shared" si="2002"/>
        <v>X</v>
      </c>
      <c r="I9081" s="1" t="str">
        <f t="shared" si="2002"/>
        <v>X</v>
      </c>
      <c r="J9081" s="1" t="str">
        <f t="shared" si="2002"/>
        <v>X</v>
      </c>
      <c r="K9081" s="1" t="str">
        <f t="shared" si="2002"/>
        <v>X</v>
      </c>
      <c r="L9081" s="1" t="str">
        <f t="shared" si="2002"/>
        <v>X</v>
      </c>
      <c r="M9081" s="1" t="str">
        <f t="shared" si="2002"/>
        <v>X</v>
      </c>
      <c r="N9081" t="s">
        <v>27</v>
      </c>
    </row>
    <row r="9082" spans="1:14" x14ac:dyDescent="0.25">
      <c r="A9082" t="s">
        <v>43</v>
      </c>
      <c r="B9082" t="s">
        <v>39</v>
      </c>
      <c r="C9082" t="s">
        <v>35</v>
      </c>
      <c r="D9082" t="s">
        <v>34</v>
      </c>
      <c r="E9082" t="s">
        <v>21</v>
      </c>
      <c r="F9082" t="s">
        <v>15</v>
      </c>
      <c r="G9082" s="1" t="str">
        <f t="shared" ref="G9082:M9086" si="2003">"..."</f>
        <v>...</v>
      </c>
      <c r="H9082" s="1" t="str">
        <f t="shared" si="2003"/>
        <v>...</v>
      </c>
      <c r="I9082" s="1" t="str">
        <f t="shared" si="2003"/>
        <v>...</v>
      </c>
      <c r="J9082" s="1" t="str">
        <f t="shared" si="2003"/>
        <v>...</v>
      </c>
      <c r="K9082" s="1" t="str">
        <f t="shared" si="2003"/>
        <v>...</v>
      </c>
      <c r="L9082" s="1" t="str">
        <f t="shared" si="2003"/>
        <v>...</v>
      </c>
      <c r="M9082" s="1" t="str">
        <f t="shared" si="2003"/>
        <v>...</v>
      </c>
      <c r="N9082" t="s">
        <v>30</v>
      </c>
    </row>
    <row r="9083" spans="1:14" x14ac:dyDescent="0.25">
      <c r="A9083" t="s">
        <v>43</v>
      </c>
      <c r="B9083" t="s">
        <v>39</v>
      </c>
      <c r="C9083" t="s">
        <v>35</v>
      </c>
      <c r="D9083" t="s">
        <v>34</v>
      </c>
      <c r="E9083" t="s">
        <v>21</v>
      </c>
      <c r="F9083" t="s">
        <v>17</v>
      </c>
      <c r="G9083" s="1" t="str">
        <f t="shared" si="2003"/>
        <v>...</v>
      </c>
      <c r="H9083" s="1" t="str">
        <f t="shared" si="2003"/>
        <v>...</v>
      </c>
      <c r="I9083" s="1" t="str">
        <f t="shared" si="2003"/>
        <v>...</v>
      </c>
      <c r="J9083" s="1" t="str">
        <f t="shared" si="2003"/>
        <v>...</v>
      </c>
      <c r="K9083" s="1" t="str">
        <f t="shared" si="2003"/>
        <v>...</v>
      </c>
      <c r="L9083" s="1" t="str">
        <f t="shared" si="2003"/>
        <v>...</v>
      </c>
      <c r="M9083" s="1" t="str">
        <f t="shared" si="2003"/>
        <v>...</v>
      </c>
      <c r="N9083" t="s">
        <v>30</v>
      </c>
    </row>
    <row r="9084" spans="1:14" x14ac:dyDescent="0.25">
      <c r="A9084" t="s">
        <v>43</v>
      </c>
      <c r="B9084" t="s">
        <v>39</v>
      </c>
      <c r="C9084" t="s">
        <v>35</v>
      </c>
      <c r="D9084" t="s">
        <v>34</v>
      </c>
      <c r="E9084" t="s">
        <v>21</v>
      </c>
      <c r="F9084" t="s">
        <v>18</v>
      </c>
      <c r="G9084" s="1" t="str">
        <f t="shared" si="2003"/>
        <v>...</v>
      </c>
      <c r="H9084" s="1" t="str">
        <f t="shared" si="2003"/>
        <v>...</v>
      </c>
      <c r="I9084" s="1" t="str">
        <f t="shared" si="2003"/>
        <v>...</v>
      </c>
      <c r="J9084" s="1" t="str">
        <f t="shared" si="2003"/>
        <v>...</v>
      </c>
      <c r="K9084" s="1" t="str">
        <f t="shared" si="2003"/>
        <v>...</v>
      </c>
      <c r="L9084" s="1" t="str">
        <f t="shared" si="2003"/>
        <v>...</v>
      </c>
      <c r="M9084" s="1" t="str">
        <f t="shared" si="2003"/>
        <v>...</v>
      </c>
      <c r="N9084" t="s">
        <v>30</v>
      </c>
    </row>
    <row r="9085" spans="1:14" x14ac:dyDescent="0.25">
      <c r="A9085" t="s">
        <v>43</v>
      </c>
      <c r="B9085" t="s">
        <v>39</v>
      </c>
      <c r="C9085" t="s">
        <v>35</v>
      </c>
      <c r="D9085" t="s">
        <v>34</v>
      </c>
      <c r="E9085" t="s">
        <v>21</v>
      </c>
      <c r="F9085" t="s">
        <v>19</v>
      </c>
      <c r="G9085" s="1" t="str">
        <f t="shared" si="2003"/>
        <v>...</v>
      </c>
      <c r="H9085" s="1" t="str">
        <f t="shared" si="2003"/>
        <v>...</v>
      </c>
      <c r="I9085" s="1" t="str">
        <f t="shared" si="2003"/>
        <v>...</v>
      </c>
      <c r="J9085" s="1" t="str">
        <f t="shared" si="2003"/>
        <v>...</v>
      </c>
      <c r="K9085" s="1" t="str">
        <f t="shared" si="2003"/>
        <v>...</v>
      </c>
      <c r="L9085" s="1" t="str">
        <f t="shared" si="2003"/>
        <v>...</v>
      </c>
      <c r="M9085" s="1" t="str">
        <f t="shared" si="2003"/>
        <v>...</v>
      </c>
      <c r="N9085" t="s">
        <v>30</v>
      </c>
    </row>
    <row r="9086" spans="1:14" x14ac:dyDescent="0.25">
      <c r="A9086" t="s">
        <v>43</v>
      </c>
      <c r="B9086" t="s">
        <v>39</v>
      </c>
      <c r="C9086" t="s">
        <v>35</v>
      </c>
      <c r="D9086" t="s">
        <v>34</v>
      </c>
      <c r="E9086" t="s">
        <v>21</v>
      </c>
      <c r="F9086" t="s">
        <v>20</v>
      </c>
      <c r="G9086" s="1" t="str">
        <f t="shared" si="2003"/>
        <v>...</v>
      </c>
      <c r="H9086" s="1" t="str">
        <f t="shared" si="2003"/>
        <v>...</v>
      </c>
      <c r="I9086" s="1" t="str">
        <f t="shared" si="2003"/>
        <v>...</v>
      </c>
      <c r="J9086" s="1" t="str">
        <f t="shared" si="2003"/>
        <v>...</v>
      </c>
      <c r="K9086" s="1" t="str">
        <f t="shared" si="2003"/>
        <v>...</v>
      </c>
      <c r="L9086" s="1" t="str">
        <f t="shared" si="2003"/>
        <v>...</v>
      </c>
      <c r="M9086" s="1" t="str">
        <f t="shared" si="2003"/>
        <v>...</v>
      </c>
      <c r="N9086" t="s">
        <v>30</v>
      </c>
    </row>
    <row r="9087" spans="1:14" x14ac:dyDescent="0.25">
      <c r="A9087" t="s">
        <v>43</v>
      </c>
      <c r="B9087" t="s">
        <v>39</v>
      </c>
      <c r="C9087" t="s">
        <v>35</v>
      </c>
      <c r="D9087" t="s">
        <v>34</v>
      </c>
      <c r="E9087" t="s">
        <v>22</v>
      </c>
      <c r="F9087" t="s">
        <v>15</v>
      </c>
      <c r="G9087" s="1" t="str">
        <f t="shared" ref="G9087:M9087" si="2004">"X"</f>
        <v>X</v>
      </c>
      <c r="H9087" s="1" t="str">
        <f t="shared" si="2004"/>
        <v>X</v>
      </c>
      <c r="I9087" s="1" t="str">
        <f t="shared" si="2004"/>
        <v>X</v>
      </c>
      <c r="J9087" s="1" t="str">
        <f t="shared" si="2004"/>
        <v>X</v>
      </c>
      <c r="K9087" s="1" t="str">
        <f t="shared" si="2004"/>
        <v>X</v>
      </c>
      <c r="L9087" s="1" t="str">
        <f t="shared" si="2004"/>
        <v>X</v>
      </c>
      <c r="M9087" s="1" t="str">
        <f t="shared" si="2004"/>
        <v>X</v>
      </c>
      <c r="N9087" t="s">
        <v>27</v>
      </c>
    </row>
    <row r="9088" spans="1:14" x14ac:dyDescent="0.25">
      <c r="A9088" t="s">
        <v>43</v>
      </c>
      <c r="B9088" t="s">
        <v>39</v>
      </c>
      <c r="C9088" t="s">
        <v>35</v>
      </c>
      <c r="D9088" t="s">
        <v>34</v>
      </c>
      <c r="E9088" t="s">
        <v>22</v>
      </c>
      <c r="F9088" t="s">
        <v>17</v>
      </c>
      <c r="G9088" s="1" t="str">
        <f t="shared" ref="G9088:M9090" si="2005">"..."</f>
        <v>...</v>
      </c>
      <c r="H9088" s="1" t="str">
        <f t="shared" si="2005"/>
        <v>...</v>
      </c>
      <c r="I9088" s="1" t="str">
        <f t="shared" si="2005"/>
        <v>...</v>
      </c>
      <c r="J9088" s="1" t="str">
        <f t="shared" si="2005"/>
        <v>...</v>
      </c>
      <c r="K9088" s="1" t="str">
        <f t="shared" si="2005"/>
        <v>...</v>
      </c>
      <c r="L9088" s="1" t="str">
        <f t="shared" si="2005"/>
        <v>...</v>
      </c>
      <c r="M9088" s="1" t="str">
        <f t="shared" si="2005"/>
        <v>...</v>
      </c>
      <c r="N9088" t="s">
        <v>30</v>
      </c>
    </row>
    <row r="9089" spans="1:14" x14ac:dyDescent="0.25">
      <c r="A9089" t="s">
        <v>43</v>
      </c>
      <c r="B9089" t="s">
        <v>39</v>
      </c>
      <c r="C9089" t="s">
        <v>35</v>
      </c>
      <c r="D9089" t="s">
        <v>34</v>
      </c>
      <c r="E9089" t="s">
        <v>22</v>
      </c>
      <c r="F9089" t="s">
        <v>18</v>
      </c>
      <c r="G9089" s="1" t="str">
        <f t="shared" si="2005"/>
        <v>...</v>
      </c>
      <c r="H9089" s="1" t="str">
        <f t="shared" si="2005"/>
        <v>...</v>
      </c>
      <c r="I9089" s="1" t="str">
        <f t="shared" si="2005"/>
        <v>...</v>
      </c>
      <c r="J9089" s="1" t="str">
        <f t="shared" si="2005"/>
        <v>...</v>
      </c>
      <c r="K9089" s="1" t="str">
        <f t="shared" si="2005"/>
        <v>...</v>
      </c>
      <c r="L9089" s="1" t="str">
        <f t="shared" si="2005"/>
        <v>...</v>
      </c>
      <c r="M9089" s="1" t="str">
        <f t="shared" si="2005"/>
        <v>...</v>
      </c>
      <c r="N9089" t="s">
        <v>30</v>
      </c>
    </row>
    <row r="9090" spans="1:14" x14ac:dyDescent="0.25">
      <c r="A9090" t="s">
        <v>43</v>
      </c>
      <c r="B9090" t="s">
        <v>39</v>
      </c>
      <c r="C9090" t="s">
        <v>35</v>
      </c>
      <c r="D9090" t="s">
        <v>34</v>
      </c>
      <c r="E9090" t="s">
        <v>22</v>
      </c>
      <c r="F9090" t="s">
        <v>19</v>
      </c>
      <c r="G9090" s="1" t="str">
        <f t="shared" si="2005"/>
        <v>...</v>
      </c>
      <c r="H9090" s="1" t="str">
        <f t="shared" si="2005"/>
        <v>...</v>
      </c>
      <c r="I9090" s="1" t="str">
        <f t="shared" si="2005"/>
        <v>...</v>
      </c>
      <c r="J9090" s="1" t="str">
        <f t="shared" si="2005"/>
        <v>...</v>
      </c>
      <c r="K9090" s="1" t="str">
        <f t="shared" si="2005"/>
        <v>...</v>
      </c>
      <c r="L9090" s="1" t="str">
        <f t="shared" si="2005"/>
        <v>...</v>
      </c>
      <c r="M9090" s="1" t="str">
        <f t="shared" si="2005"/>
        <v>...</v>
      </c>
      <c r="N9090" t="s">
        <v>30</v>
      </c>
    </row>
    <row r="9091" spans="1:14" x14ac:dyDescent="0.25">
      <c r="A9091" t="s">
        <v>43</v>
      </c>
      <c r="B9091" t="s">
        <v>39</v>
      </c>
      <c r="C9091" t="s">
        <v>35</v>
      </c>
      <c r="D9091" t="s">
        <v>34</v>
      </c>
      <c r="E9091" t="s">
        <v>22</v>
      </c>
      <c r="F9091" t="s">
        <v>20</v>
      </c>
      <c r="G9091" s="1" t="str">
        <f t="shared" ref="G9091:M9092" si="2006">"X"</f>
        <v>X</v>
      </c>
      <c r="H9091" s="1" t="str">
        <f t="shared" si="2006"/>
        <v>X</v>
      </c>
      <c r="I9091" s="1" t="str">
        <f t="shared" si="2006"/>
        <v>X</v>
      </c>
      <c r="J9091" s="1" t="str">
        <f t="shared" si="2006"/>
        <v>X</v>
      </c>
      <c r="K9091" s="1" t="str">
        <f t="shared" si="2006"/>
        <v>X</v>
      </c>
      <c r="L9091" s="1" t="str">
        <f t="shared" si="2006"/>
        <v>X</v>
      </c>
      <c r="M9091" s="1" t="str">
        <f t="shared" si="2006"/>
        <v>X</v>
      </c>
      <c r="N9091" t="s">
        <v>27</v>
      </c>
    </row>
    <row r="9092" spans="1:14" x14ac:dyDescent="0.25">
      <c r="A9092" t="s">
        <v>43</v>
      </c>
      <c r="B9092" t="s">
        <v>39</v>
      </c>
      <c r="C9092" t="s">
        <v>35</v>
      </c>
      <c r="D9092" t="s">
        <v>34</v>
      </c>
      <c r="E9092" t="s">
        <v>23</v>
      </c>
      <c r="F9092" t="s">
        <v>15</v>
      </c>
      <c r="G9092" s="1" t="str">
        <f t="shared" si="2006"/>
        <v>X</v>
      </c>
      <c r="H9092" s="1" t="str">
        <f t="shared" si="2006"/>
        <v>X</v>
      </c>
      <c r="I9092" s="1" t="str">
        <f t="shared" si="2006"/>
        <v>X</v>
      </c>
      <c r="J9092" s="1" t="str">
        <f t="shared" si="2006"/>
        <v>X</v>
      </c>
      <c r="K9092" s="1" t="str">
        <f t="shared" si="2006"/>
        <v>X</v>
      </c>
      <c r="L9092" s="1" t="str">
        <f t="shared" si="2006"/>
        <v>X</v>
      </c>
      <c r="M9092" s="1" t="str">
        <f t="shared" si="2006"/>
        <v>X</v>
      </c>
      <c r="N9092" t="s">
        <v>27</v>
      </c>
    </row>
    <row r="9093" spans="1:14" x14ac:dyDescent="0.25">
      <c r="A9093" t="s">
        <v>43</v>
      </c>
      <c r="B9093" t="s">
        <v>39</v>
      </c>
      <c r="C9093" t="s">
        <v>35</v>
      </c>
      <c r="D9093" t="s">
        <v>34</v>
      </c>
      <c r="E9093" t="s">
        <v>23</v>
      </c>
      <c r="F9093" t="s">
        <v>17</v>
      </c>
      <c r="G9093" s="1" t="str">
        <f t="shared" ref="G9093:M9095" si="2007">"..."</f>
        <v>...</v>
      </c>
      <c r="H9093" s="1" t="str">
        <f t="shared" si="2007"/>
        <v>...</v>
      </c>
      <c r="I9093" s="1" t="str">
        <f t="shared" si="2007"/>
        <v>...</v>
      </c>
      <c r="J9093" s="1" t="str">
        <f t="shared" si="2007"/>
        <v>...</v>
      </c>
      <c r="K9093" s="1" t="str">
        <f t="shared" si="2007"/>
        <v>...</v>
      </c>
      <c r="L9093" s="1" t="str">
        <f t="shared" si="2007"/>
        <v>...</v>
      </c>
      <c r="M9093" s="1" t="str">
        <f t="shared" si="2007"/>
        <v>...</v>
      </c>
      <c r="N9093" t="s">
        <v>30</v>
      </c>
    </row>
    <row r="9094" spans="1:14" x14ac:dyDescent="0.25">
      <c r="A9094" t="s">
        <v>43</v>
      </c>
      <c r="B9094" t="s">
        <v>39</v>
      </c>
      <c r="C9094" t="s">
        <v>35</v>
      </c>
      <c r="D9094" t="s">
        <v>34</v>
      </c>
      <c r="E9094" t="s">
        <v>23</v>
      </c>
      <c r="F9094" t="s">
        <v>18</v>
      </c>
      <c r="G9094" s="1" t="str">
        <f t="shared" si="2007"/>
        <v>...</v>
      </c>
      <c r="H9094" s="1" t="str">
        <f t="shared" si="2007"/>
        <v>...</v>
      </c>
      <c r="I9094" s="1" t="str">
        <f t="shared" si="2007"/>
        <v>...</v>
      </c>
      <c r="J9094" s="1" t="str">
        <f t="shared" si="2007"/>
        <v>...</v>
      </c>
      <c r="K9094" s="1" t="str">
        <f t="shared" si="2007"/>
        <v>...</v>
      </c>
      <c r="L9094" s="1" t="str">
        <f t="shared" si="2007"/>
        <v>...</v>
      </c>
      <c r="M9094" s="1" t="str">
        <f t="shared" si="2007"/>
        <v>...</v>
      </c>
      <c r="N9094" t="s">
        <v>30</v>
      </c>
    </row>
    <row r="9095" spans="1:14" x14ac:dyDescent="0.25">
      <c r="A9095" t="s">
        <v>43</v>
      </c>
      <c r="B9095" t="s">
        <v>39</v>
      </c>
      <c r="C9095" t="s">
        <v>35</v>
      </c>
      <c r="D9095" t="s">
        <v>34</v>
      </c>
      <c r="E9095" t="s">
        <v>23</v>
      </c>
      <c r="F9095" t="s">
        <v>19</v>
      </c>
      <c r="G9095" s="1" t="str">
        <f t="shared" si="2007"/>
        <v>...</v>
      </c>
      <c r="H9095" s="1" t="str">
        <f t="shared" si="2007"/>
        <v>...</v>
      </c>
      <c r="I9095" s="1" t="str">
        <f t="shared" si="2007"/>
        <v>...</v>
      </c>
      <c r="J9095" s="1" t="str">
        <f t="shared" si="2007"/>
        <v>...</v>
      </c>
      <c r="K9095" s="1" t="str">
        <f t="shared" si="2007"/>
        <v>...</v>
      </c>
      <c r="L9095" s="1" t="str">
        <f t="shared" si="2007"/>
        <v>...</v>
      </c>
      <c r="M9095" s="1" t="str">
        <f t="shared" si="2007"/>
        <v>...</v>
      </c>
      <c r="N9095" t="s">
        <v>30</v>
      </c>
    </row>
    <row r="9096" spans="1:14" x14ac:dyDescent="0.25">
      <c r="A9096" t="s">
        <v>43</v>
      </c>
      <c r="B9096" t="s">
        <v>39</v>
      </c>
      <c r="C9096" t="s">
        <v>35</v>
      </c>
      <c r="D9096" t="s">
        <v>34</v>
      </c>
      <c r="E9096" t="s">
        <v>23</v>
      </c>
      <c r="F9096" t="s">
        <v>20</v>
      </c>
      <c r="G9096" s="1" t="str">
        <f t="shared" ref="G9096:M9096" si="2008">"X"</f>
        <v>X</v>
      </c>
      <c r="H9096" s="1" t="str">
        <f t="shared" si="2008"/>
        <v>X</v>
      </c>
      <c r="I9096" s="1" t="str">
        <f t="shared" si="2008"/>
        <v>X</v>
      </c>
      <c r="J9096" s="1" t="str">
        <f t="shared" si="2008"/>
        <v>X</v>
      </c>
      <c r="K9096" s="1" t="str">
        <f t="shared" si="2008"/>
        <v>X</v>
      </c>
      <c r="L9096" s="1" t="str">
        <f t="shared" si="2008"/>
        <v>X</v>
      </c>
      <c r="M9096" s="1" t="str">
        <f t="shared" si="2008"/>
        <v>X</v>
      </c>
      <c r="N9096" t="s">
        <v>27</v>
      </c>
    </row>
    <row r="9097" spans="1:14" x14ac:dyDescent="0.25">
      <c r="A9097" t="s">
        <v>43</v>
      </c>
      <c r="B9097" t="s">
        <v>39</v>
      </c>
      <c r="C9097" t="s">
        <v>35</v>
      </c>
      <c r="D9097" t="s">
        <v>34</v>
      </c>
      <c r="E9097" t="s">
        <v>26</v>
      </c>
      <c r="F9097" t="s">
        <v>15</v>
      </c>
      <c r="G9097" s="1" t="str">
        <f t="shared" ref="G9097:M9101" si="2009">"..."</f>
        <v>...</v>
      </c>
      <c r="H9097" s="1" t="str">
        <f t="shared" si="2009"/>
        <v>...</v>
      </c>
      <c r="I9097" s="1" t="str">
        <f t="shared" si="2009"/>
        <v>...</v>
      </c>
      <c r="J9097" s="1" t="str">
        <f t="shared" si="2009"/>
        <v>...</v>
      </c>
      <c r="K9097" s="1" t="str">
        <f t="shared" si="2009"/>
        <v>...</v>
      </c>
      <c r="L9097" s="1" t="str">
        <f t="shared" si="2009"/>
        <v>...</v>
      </c>
      <c r="M9097" s="1" t="str">
        <f t="shared" si="2009"/>
        <v>...</v>
      </c>
      <c r="N9097" t="s">
        <v>30</v>
      </c>
    </row>
    <row r="9098" spans="1:14" x14ac:dyDescent="0.25">
      <c r="A9098" t="s">
        <v>43</v>
      </c>
      <c r="B9098" t="s">
        <v>39</v>
      </c>
      <c r="C9098" t="s">
        <v>35</v>
      </c>
      <c r="D9098" t="s">
        <v>34</v>
      </c>
      <c r="E9098" t="s">
        <v>26</v>
      </c>
      <c r="F9098" t="s">
        <v>17</v>
      </c>
      <c r="G9098" s="1" t="str">
        <f t="shared" si="2009"/>
        <v>...</v>
      </c>
      <c r="H9098" s="1" t="str">
        <f t="shared" si="2009"/>
        <v>...</v>
      </c>
      <c r="I9098" s="1" t="str">
        <f t="shared" si="2009"/>
        <v>...</v>
      </c>
      <c r="J9098" s="1" t="str">
        <f t="shared" si="2009"/>
        <v>...</v>
      </c>
      <c r="K9098" s="1" t="str">
        <f t="shared" si="2009"/>
        <v>...</v>
      </c>
      <c r="L9098" s="1" t="str">
        <f t="shared" si="2009"/>
        <v>...</v>
      </c>
      <c r="M9098" s="1" t="str">
        <f t="shared" si="2009"/>
        <v>...</v>
      </c>
      <c r="N9098" t="s">
        <v>30</v>
      </c>
    </row>
    <row r="9099" spans="1:14" x14ac:dyDescent="0.25">
      <c r="A9099" t="s">
        <v>43</v>
      </c>
      <c r="B9099" t="s">
        <v>39</v>
      </c>
      <c r="C9099" t="s">
        <v>35</v>
      </c>
      <c r="D9099" t="s">
        <v>34</v>
      </c>
      <c r="E9099" t="s">
        <v>26</v>
      </c>
      <c r="F9099" t="s">
        <v>18</v>
      </c>
      <c r="G9099" s="1" t="str">
        <f t="shared" si="2009"/>
        <v>...</v>
      </c>
      <c r="H9099" s="1" t="str">
        <f t="shared" si="2009"/>
        <v>...</v>
      </c>
      <c r="I9099" s="1" t="str">
        <f t="shared" si="2009"/>
        <v>...</v>
      </c>
      <c r="J9099" s="1" t="str">
        <f t="shared" si="2009"/>
        <v>...</v>
      </c>
      <c r="K9099" s="1" t="str">
        <f t="shared" si="2009"/>
        <v>...</v>
      </c>
      <c r="L9099" s="1" t="str">
        <f t="shared" si="2009"/>
        <v>...</v>
      </c>
      <c r="M9099" s="1" t="str">
        <f t="shared" si="2009"/>
        <v>...</v>
      </c>
      <c r="N9099" t="s">
        <v>30</v>
      </c>
    </row>
    <row r="9100" spans="1:14" x14ac:dyDescent="0.25">
      <c r="A9100" t="s">
        <v>43</v>
      </c>
      <c r="B9100" t="s">
        <v>39</v>
      </c>
      <c r="C9100" t="s">
        <v>35</v>
      </c>
      <c r="D9100" t="s">
        <v>34</v>
      </c>
      <c r="E9100" t="s">
        <v>26</v>
      </c>
      <c r="F9100" t="s">
        <v>19</v>
      </c>
      <c r="G9100" s="1" t="str">
        <f t="shared" si="2009"/>
        <v>...</v>
      </c>
      <c r="H9100" s="1" t="str">
        <f t="shared" si="2009"/>
        <v>...</v>
      </c>
      <c r="I9100" s="1" t="str">
        <f t="shared" si="2009"/>
        <v>...</v>
      </c>
      <c r="J9100" s="1" t="str">
        <f t="shared" si="2009"/>
        <v>...</v>
      </c>
      <c r="K9100" s="1" t="str">
        <f t="shared" si="2009"/>
        <v>...</v>
      </c>
      <c r="L9100" s="1" t="str">
        <f t="shared" si="2009"/>
        <v>...</v>
      </c>
      <c r="M9100" s="1" t="str">
        <f t="shared" si="2009"/>
        <v>...</v>
      </c>
      <c r="N9100" t="s">
        <v>30</v>
      </c>
    </row>
    <row r="9101" spans="1:14" x14ac:dyDescent="0.25">
      <c r="A9101" t="s">
        <v>43</v>
      </c>
      <c r="B9101" t="s">
        <v>39</v>
      </c>
      <c r="C9101" t="s">
        <v>35</v>
      </c>
      <c r="D9101" t="s">
        <v>34</v>
      </c>
      <c r="E9101" t="s">
        <v>26</v>
      </c>
      <c r="F9101" t="s">
        <v>20</v>
      </c>
      <c r="G9101" s="1" t="str">
        <f t="shared" si="2009"/>
        <v>...</v>
      </c>
      <c r="H9101" s="1" t="str">
        <f t="shared" si="2009"/>
        <v>...</v>
      </c>
      <c r="I9101" s="1" t="str">
        <f t="shared" si="2009"/>
        <v>...</v>
      </c>
      <c r="J9101" s="1" t="str">
        <f t="shared" si="2009"/>
        <v>...</v>
      </c>
      <c r="K9101" s="1" t="str">
        <f t="shared" si="2009"/>
        <v>...</v>
      </c>
      <c r="L9101" s="1" t="str">
        <f t="shared" si="2009"/>
        <v>...</v>
      </c>
      <c r="M9101" s="1" t="str">
        <f t="shared" si="2009"/>
        <v>...</v>
      </c>
      <c r="N9101" t="s">
        <v>30</v>
      </c>
    </row>
    <row r="9102" spans="1:14" x14ac:dyDescent="0.25">
      <c r="A9102" t="s">
        <v>43</v>
      </c>
      <c r="B9102" t="s">
        <v>39</v>
      </c>
      <c r="C9102" t="s">
        <v>36</v>
      </c>
      <c r="D9102" t="s">
        <v>15</v>
      </c>
      <c r="E9102" t="s">
        <v>15</v>
      </c>
      <c r="F9102" t="s">
        <v>15</v>
      </c>
      <c r="G9102" s="1">
        <f>VALUE(14416.26)</f>
        <v>14416.26</v>
      </c>
      <c r="H9102" s="1">
        <f>VALUE(13850.48)</f>
        <v>13850.48</v>
      </c>
      <c r="I9102" s="1">
        <f>VALUE(3426)</f>
        <v>3426</v>
      </c>
      <c r="J9102" s="1">
        <f>VALUE(3978)</f>
        <v>3978</v>
      </c>
      <c r="K9102" s="1">
        <f>VALUE(4783)</f>
        <v>4783</v>
      </c>
      <c r="L9102" s="1">
        <f>VALUE(5620)</f>
        <v>5620</v>
      </c>
      <c r="M9102" s="1">
        <f>VALUE(6762)</f>
        <v>6762</v>
      </c>
      <c r="N9102" t="s">
        <v>16</v>
      </c>
    </row>
    <row r="9103" spans="1:14" x14ac:dyDescent="0.25">
      <c r="A9103" t="s">
        <v>43</v>
      </c>
      <c r="B9103" t="s">
        <v>39</v>
      </c>
      <c r="C9103" t="s">
        <v>36</v>
      </c>
      <c r="D9103" t="s">
        <v>15</v>
      </c>
      <c r="E9103" t="s">
        <v>15</v>
      </c>
      <c r="F9103" t="s">
        <v>17</v>
      </c>
      <c r="G9103" s="2">
        <f>VALUE(887.3)</f>
        <v>887.3</v>
      </c>
      <c r="H9103" s="3">
        <f>VALUE(895.31)</f>
        <v>895.31</v>
      </c>
      <c r="I9103" s="4">
        <f>VALUE(4441)</f>
        <v>4441</v>
      </c>
      <c r="J9103" s="5">
        <f>VALUE(5175)</f>
        <v>5175</v>
      </c>
      <c r="K9103" s="1">
        <f>VALUE(6067)</f>
        <v>6067</v>
      </c>
      <c r="L9103" s="7">
        <f>VALUE(7722)</f>
        <v>7722</v>
      </c>
      <c r="M9103" s="1">
        <f>VALUE(9500)</f>
        <v>9500</v>
      </c>
      <c r="N9103" t="s">
        <v>25</v>
      </c>
    </row>
    <row r="9104" spans="1:14" x14ac:dyDescent="0.25">
      <c r="A9104" t="s">
        <v>43</v>
      </c>
      <c r="B9104" t="s">
        <v>39</v>
      </c>
      <c r="C9104" t="s">
        <v>36</v>
      </c>
      <c r="D9104" t="s">
        <v>15</v>
      </c>
      <c r="E9104" t="s">
        <v>15</v>
      </c>
      <c r="F9104" t="s">
        <v>18</v>
      </c>
      <c r="G9104" s="2">
        <f>VALUE(1297.56)</f>
        <v>1297.56</v>
      </c>
      <c r="H9104" s="3">
        <f>VALUE(1206.12)</f>
        <v>1206.1199999999999</v>
      </c>
      <c r="I9104" s="1">
        <f>VALUE(3901)</f>
        <v>3901</v>
      </c>
      <c r="J9104" s="1">
        <f>VALUE(4642)</f>
        <v>4642</v>
      </c>
      <c r="K9104" s="1">
        <f>VALUE(5393)</f>
        <v>5393</v>
      </c>
      <c r="L9104" s="7">
        <f>VALUE(6898)</f>
        <v>6898</v>
      </c>
      <c r="M9104" s="8">
        <f>VALUE(8810)</f>
        <v>8810</v>
      </c>
      <c r="N9104" t="s">
        <v>25</v>
      </c>
    </row>
    <row r="9105" spans="1:14" x14ac:dyDescent="0.25">
      <c r="A9105" t="s">
        <v>43</v>
      </c>
      <c r="B9105" t="s">
        <v>39</v>
      </c>
      <c r="C9105" t="s">
        <v>36</v>
      </c>
      <c r="D9105" t="s">
        <v>15</v>
      </c>
      <c r="E9105" t="s">
        <v>15</v>
      </c>
      <c r="F9105" t="s">
        <v>19</v>
      </c>
      <c r="G9105" s="2">
        <f>VALUE(2301.49)</f>
        <v>2301.4899999999998</v>
      </c>
      <c r="H9105" s="3">
        <f>VALUE(2315.67)</f>
        <v>2315.67</v>
      </c>
      <c r="I9105" s="4">
        <f>VALUE(3705)</f>
        <v>3705</v>
      </c>
      <c r="J9105" s="5">
        <f>VALUE(4230)</f>
        <v>4230</v>
      </c>
      <c r="K9105" s="1">
        <f>VALUE(5096)</f>
        <v>5096</v>
      </c>
      <c r="L9105" s="1">
        <f>VALUE(6092)</f>
        <v>6092</v>
      </c>
      <c r="M9105" s="1">
        <f>VALUE(7258)</f>
        <v>7258</v>
      </c>
      <c r="N9105" t="s">
        <v>25</v>
      </c>
    </row>
    <row r="9106" spans="1:14" x14ac:dyDescent="0.25">
      <c r="A9106" t="s">
        <v>43</v>
      </c>
      <c r="B9106" t="s">
        <v>39</v>
      </c>
      <c r="C9106" t="s">
        <v>36</v>
      </c>
      <c r="D9106" t="s">
        <v>15</v>
      </c>
      <c r="E9106" t="s">
        <v>15</v>
      </c>
      <c r="F9106" t="s">
        <v>20</v>
      </c>
      <c r="G9106" s="1">
        <f>VALUE(9929.91)</f>
        <v>9929.91</v>
      </c>
      <c r="H9106" s="1">
        <f>VALUE(9433.38)</f>
        <v>9433.3799999999992</v>
      </c>
      <c r="I9106" s="1">
        <f>VALUE(3320)</f>
        <v>3320</v>
      </c>
      <c r="J9106" s="1">
        <f>VALUE(3786)</f>
        <v>3786</v>
      </c>
      <c r="K9106" s="1">
        <f>VALUE(4550)</f>
        <v>4550</v>
      </c>
      <c r="L9106" s="1">
        <f>VALUE(5325)</f>
        <v>5325</v>
      </c>
      <c r="M9106" s="1">
        <f>VALUE(6052)</f>
        <v>6052</v>
      </c>
      <c r="N9106" t="s">
        <v>16</v>
      </c>
    </row>
    <row r="9107" spans="1:14" x14ac:dyDescent="0.25">
      <c r="A9107" t="s">
        <v>43</v>
      </c>
      <c r="B9107" t="s">
        <v>39</v>
      </c>
      <c r="C9107" t="s">
        <v>36</v>
      </c>
      <c r="D9107" t="s">
        <v>15</v>
      </c>
      <c r="E9107" t="s">
        <v>21</v>
      </c>
      <c r="F9107" t="s">
        <v>15</v>
      </c>
      <c r="G9107" s="2">
        <f>VALUE(3530.03)</f>
        <v>3530.03</v>
      </c>
      <c r="H9107" s="1">
        <f>VALUE(3349.35)</f>
        <v>3349.35</v>
      </c>
      <c r="I9107" s="1">
        <f>VALUE(3817)</f>
        <v>3817</v>
      </c>
      <c r="J9107" s="1">
        <f>VALUE(4761)</f>
        <v>4761</v>
      </c>
      <c r="K9107" s="1">
        <f>VALUE(5705)</f>
        <v>5705</v>
      </c>
      <c r="L9107" s="1">
        <f>VALUE(7004)</f>
        <v>7004</v>
      </c>
      <c r="M9107" s="1">
        <f>VALUE(8364)</f>
        <v>8364</v>
      </c>
      <c r="N9107" t="s">
        <v>25</v>
      </c>
    </row>
    <row r="9108" spans="1:14" x14ac:dyDescent="0.25">
      <c r="A9108" t="s">
        <v>43</v>
      </c>
      <c r="B9108" t="s">
        <v>39</v>
      </c>
      <c r="C9108" t="s">
        <v>36</v>
      </c>
      <c r="D9108" t="s">
        <v>15</v>
      </c>
      <c r="E9108" t="s">
        <v>21</v>
      </c>
      <c r="F9108" t="s">
        <v>17</v>
      </c>
      <c r="G9108" s="2">
        <f>VALUE(461.38)</f>
        <v>461.38</v>
      </c>
      <c r="H9108" s="3">
        <f>VALUE(457.71)</f>
        <v>457.71</v>
      </c>
      <c r="I9108" s="4">
        <f>VALUE(5175)</f>
        <v>5175</v>
      </c>
      <c r="J9108" s="5">
        <f>VALUE(6067)</f>
        <v>6067</v>
      </c>
      <c r="K9108" s="6">
        <f>VALUE(6806)</f>
        <v>6806</v>
      </c>
      <c r="L9108" s="1">
        <f>VALUE(8581)</f>
        <v>8581</v>
      </c>
      <c r="M9108" s="1">
        <f>VALUE(10200)</f>
        <v>10200</v>
      </c>
      <c r="N9108" t="s">
        <v>25</v>
      </c>
    </row>
    <row r="9109" spans="1:14" x14ac:dyDescent="0.25">
      <c r="A9109" t="s">
        <v>43</v>
      </c>
      <c r="B9109" t="s">
        <v>39</v>
      </c>
      <c r="C9109" t="s">
        <v>36</v>
      </c>
      <c r="D9109" t="s">
        <v>15</v>
      </c>
      <c r="E9109" t="s">
        <v>21</v>
      </c>
      <c r="F9109" t="s">
        <v>18</v>
      </c>
      <c r="G9109" s="2">
        <f>VALUE(524.2)</f>
        <v>524.20000000000005</v>
      </c>
      <c r="H9109" s="3">
        <f>VALUE(516.62)</f>
        <v>516.62</v>
      </c>
      <c r="I9109" s="4">
        <f>VALUE(4763)</f>
        <v>4763</v>
      </c>
      <c r="J9109" s="5">
        <f>VALUE(5116)</f>
        <v>5116</v>
      </c>
      <c r="K9109" s="6">
        <f>VALUE(6510)</f>
        <v>6510</v>
      </c>
      <c r="L9109" s="7">
        <f>VALUE(8280)</f>
        <v>8280</v>
      </c>
      <c r="M9109" s="8">
        <f>VALUE(9406)</f>
        <v>9406</v>
      </c>
      <c r="N9109" t="s">
        <v>24</v>
      </c>
    </row>
    <row r="9110" spans="1:14" x14ac:dyDescent="0.25">
      <c r="A9110" t="s">
        <v>43</v>
      </c>
      <c r="B9110" t="s">
        <v>39</v>
      </c>
      <c r="C9110" t="s">
        <v>36</v>
      </c>
      <c r="D9110" t="s">
        <v>15</v>
      </c>
      <c r="E9110" t="s">
        <v>21</v>
      </c>
      <c r="F9110" t="s">
        <v>19</v>
      </c>
      <c r="G9110" s="2">
        <f>VALUE(721.27)</f>
        <v>721.27</v>
      </c>
      <c r="H9110" s="3">
        <f>VALUE(705.43)</f>
        <v>705.43</v>
      </c>
      <c r="I9110" s="4">
        <f>VALUE(4330)</f>
        <v>4330</v>
      </c>
      <c r="J9110" s="1">
        <f>VALUE(5232)</f>
        <v>5232</v>
      </c>
      <c r="K9110" s="1">
        <f>VALUE(6043)</f>
        <v>6043</v>
      </c>
      <c r="L9110" s="1">
        <f>VALUE(7258)</f>
        <v>7258</v>
      </c>
      <c r="M9110" s="1">
        <f>VALUE(7840)</f>
        <v>7840</v>
      </c>
      <c r="N9110" t="s">
        <v>25</v>
      </c>
    </row>
    <row r="9111" spans="1:14" x14ac:dyDescent="0.25">
      <c r="A9111" t="s">
        <v>43</v>
      </c>
      <c r="B9111" t="s">
        <v>39</v>
      </c>
      <c r="C9111" t="s">
        <v>36</v>
      </c>
      <c r="D9111" t="s">
        <v>15</v>
      </c>
      <c r="E9111" t="s">
        <v>21</v>
      </c>
      <c r="F9111" t="s">
        <v>20</v>
      </c>
      <c r="G9111" s="2">
        <f>VALUE(1823.18)</f>
        <v>1823.18</v>
      </c>
      <c r="H9111" s="3">
        <f>VALUE(1669.59)</f>
        <v>1669.59</v>
      </c>
      <c r="I9111" s="1">
        <f>VALUE(3624)</f>
        <v>3624</v>
      </c>
      <c r="J9111" s="1">
        <f>VALUE(4230)</f>
        <v>4230</v>
      </c>
      <c r="K9111" s="1">
        <f>VALUE(5159)</f>
        <v>5159</v>
      </c>
      <c r="L9111" s="1">
        <f>VALUE(5941)</f>
        <v>5941</v>
      </c>
      <c r="M9111" s="1">
        <f>VALUE(7007)</f>
        <v>7007</v>
      </c>
      <c r="N9111" t="s">
        <v>25</v>
      </c>
    </row>
    <row r="9112" spans="1:14" x14ac:dyDescent="0.25">
      <c r="A9112" t="s">
        <v>43</v>
      </c>
      <c r="B9112" t="s">
        <v>39</v>
      </c>
      <c r="C9112" t="s">
        <v>36</v>
      </c>
      <c r="D9112" t="s">
        <v>15</v>
      </c>
      <c r="E9112" t="s">
        <v>22</v>
      </c>
      <c r="F9112" t="s">
        <v>15</v>
      </c>
      <c r="G9112" s="1">
        <f>VALUE(6939.65)</f>
        <v>6939.65</v>
      </c>
      <c r="H9112" s="1">
        <f>VALUE(6732.84)</f>
        <v>6732.84</v>
      </c>
      <c r="I9112" s="1">
        <f>VALUE(3467)</f>
        <v>3467</v>
      </c>
      <c r="J9112" s="1">
        <f>VALUE(4110)</f>
        <v>4110</v>
      </c>
      <c r="K9112" s="1">
        <f>VALUE(4762)</f>
        <v>4762</v>
      </c>
      <c r="L9112" s="1">
        <f>VALUE(5515)</f>
        <v>5515</v>
      </c>
      <c r="M9112" s="1">
        <f>VALUE(6283)</f>
        <v>6283</v>
      </c>
      <c r="N9112" t="s">
        <v>16</v>
      </c>
    </row>
    <row r="9113" spans="1:14" x14ac:dyDescent="0.25">
      <c r="A9113" t="s">
        <v>43</v>
      </c>
      <c r="B9113" t="s">
        <v>39</v>
      </c>
      <c r="C9113" t="s">
        <v>36</v>
      </c>
      <c r="D9113" t="s">
        <v>15</v>
      </c>
      <c r="E9113" t="s">
        <v>22</v>
      </c>
      <c r="F9113" t="s">
        <v>17</v>
      </c>
      <c r="G9113" s="2">
        <f>VALUE(378.77)</f>
        <v>378.77</v>
      </c>
      <c r="H9113" s="3">
        <f>VALUE(390.98)</f>
        <v>390.98</v>
      </c>
      <c r="I9113" s="4">
        <f>VALUE(4055)</f>
        <v>4055</v>
      </c>
      <c r="J9113" s="5">
        <f>VALUE(4455)</f>
        <v>4455</v>
      </c>
      <c r="K9113" s="6">
        <f>VALUE(5184)</f>
        <v>5184</v>
      </c>
      <c r="L9113" s="7">
        <f>VALUE(6374)</f>
        <v>6374</v>
      </c>
      <c r="M9113" s="8">
        <f>VALUE(7059)</f>
        <v>7059</v>
      </c>
      <c r="N9113" t="s">
        <v>24</v>
      </c>
    </row>
    <row r="9114" spans="1:14" x14ac:dyDescent="0.25">
      <c r="A9114" t="s">
        <v>43</v>
      </c>
      <c r="B9114" t="s">
        <v>39</v>
      </c>
      <c r="C9114" t="s">
        <v>36</v>
      </c>
      <c r="D9114" t="s">
        <v>15</v>
      </c>
      <c r="E9114" t="s">
        <v>22</v>
      </c>
      <c r="F9114" t="s">
        <v>18</v>
      </c>
      <c r="G9114" s="2">
        <f>VALUE(646.48)</f>
        <v>646.48</v>
      </c>
      <c r="H9114" s="3">
        <f>VALUE(579.13)</f>
        <v>579.13</v>
      </c>
      <c r="I9114" s="4">
        <f>VALUE(3893)</f>
        <v>3893</v>
      </c>
      <c r="J9114" s="1">
        <f>VALUE(4299)</f>
        <v>4299</v>
      </c>
      <c r="K9114" s="1">
        <f>VALUE(4894)</f>
        <v>4894</v>
      </c>
      <c r="L9114" s="7">
        <f>VALUE(5985)</f>
        <v>5985</v>
      </c>
      <c r="M9114" s="8">
        <f>VALUE(7788)</f>
        <v>7788</v>
      </c>
      <c r="N9114" t="s">
        <v>25</v>
      </c>
    </row>
    <row r="9115" spans="1:14" x14ac:dyDescent="0.25">
      <c r="A9115" t="s">
        <v>43</v>
      </c>
      <c r="B9115" t="s">
        <v>39</v>
      </c>
      <c r="C9115" t="s">
        <v>36</v>
      </c>
      <c r="D9115" t="s">
        <v>15</v>
      </c>
      <c r="E9115" t="s">
        <v>22</v>
      </c>
      <c r="F9115" t="s">
        <v>19</v>
      </c>
      <c r="G9115" s="2">
        <f>VALUE(1033.45)</f>
        <v>1033.45</v>
      </c>
      <c r="H9115" s="3">
        <f>VALUE(1033.29)</f>
        <v>1033.29</v>
      </c>
      <c r="I9115" s="1">
        <f>VALUE(3852)</f>
        <v>3852</v>
      </c>
      <c r="J9115" s="1">
        <f>VALUE(4457)</f>
        <v>4457</v>
      </c>
      <c r="K9115" s="1">
        <f>VALUE(5092)</f>
        <v>5092</v>
      </c>
      <c r="L9115" s="1">
        <f>VALUE(5939)</f>
        <v>5939</v>
      </c>
      <c r="M9115" s="1">
        <f>VALUE(6508)</f>
        <v>6508</v>
      </c>
      <c r="N9115" t="s">
        <v>25</v>
      </c>
    </row>
    <row r="9116" spans="1:14" x14ac:dyDescent="0.25">
      <c r="A9116" t="s">
        <v>43</v>
      </c>
      <c r="B9116" t="s">
        <v>39</v>
      </c>
      <c r="C9116" t="s">
        <v>36</v>
      </c>
      <c r="D9116" t="s">
        <v>15</v>
      </c>
      <c r="E9116" t="s">
        <v>22</v>
      </c>
      <c r="F9116" t="s">
        <v>20</v>
      </c>
      <c r="G9116" s="1">
        <f>VALUE(4880.95)</f>
        <v>4880.95</v>
      </c>
      <c r="H9116" s="3">
        <f>VALUE(4729.44)</f>
        <v>4729.4399999999996</v>
      </c>
      <c r="I9116" s="1">
        <f>VALUE(3436)</f>
        <v>3436</v>
      </c>
      <c r="J9116" s="1">
        <f>VALUE(4047)</f>
        <v>4047</v>
      </c>
      <c r="K9116" s="1">
        <f>VALUE(4631)</f>
        <v>4631</v>
      </c>
      <c r="L9116" s="1">
        <f>VALUE(5359)</f>
        <v>5359</v>
      </c>
      <c r="M9116" s="1">
        <f>VALUE(5892)</f>
        <v>5892</v>
      </c>
      <c r="N9116" t="s">
        <v>25</v>
      </c>
    </row>
    <row r="9117" spans="1:14" x14ac:dyDescent="0.25">
      <c r="A9117" t="s">
        <v>43</v>
      </c>
      <c r="B9117" t="s">
        <v>39</v>
      </c>
      <c r="C9117" t="s">
        <v>36</v>
      </c>
      <c r="D9117" t="s">
        <v>15</v>
      </c>
      <c r="E9117" t="s">
        <v>23</v>
      </c>
      <c r="F9117" t="s">
        <v>15</v>
      </c>
      <c r="G9117" s="2">
        <f>VALUE(3782.54)</f>
        <v>3782.54</v>
      </c>
      <c r="H9117" s="3">
        <f>VALUE(3606.45)</f>
        <v>3606.45</v>
      </c>
      <c r="I9117" s="1">
        <f>VALUE(3180)</f>
        <v>3180</v>
      </c>
      <c r="J9117" s="1">
        <f>VALUE(3575)</f>
        <v>3575</v>
      </c>
      <c r="K9117" s="1">
        <f>VALUE(4096)</f>
        <v>4096</v>
      </c>
      <c r="L9117" s="1">
        <f>VALUE(4862)</f>
        <v>4862</v>
      </c>
      <c r="M9117" s="1">
        <f>VALUE(5456)</f>
        <v>5456</v>
      </c>
      <c r="N9117" t="s">
        <v>25</v>
      </c>
    </row>
    <row r="9118" spans="1:14" x14ac:dyDescent="0.25">
      <c r="A9118" t="s">
        <v>43</v>
      </c>
      <c r="B9118" t="s">
        <v>39</v>
      </c>
      <c r="C9118" t="s">
        <v>36</v>
      </c>
      <c r="D9118" t="s">
        <v>15</v>
      </c>
      <c r="E9118" t="s">
        <v>23</v>
      </c>
      <c r="F9118" t="s">
        <v>17</v>
      </c>
      <c r="G9118" s="1" t="str">
        <f t="shared" ref="G9118:M9120" si="2010">"X"</f>
        <v>X</v>
      </c>
      <c r="H9118" s="1" t="str">
        <f t="shared" si="2010"/>
        <v>X</v>
      </c>
      <c r="I9118" s="1" t="str">
        <f t="shared" si="2010"/>
        <v>X</v>
      </c>
      <c r="J9118" s="1" t="str">
        <f t="shared" si="2010"/>
        <v>X</v>
      </c>
      <c r="K9118" s="1" t="str">
        <f t="shared" si="2010"/>
        <v>X</v>
      </c>
      <c r="L9118" s="1" t="str">
        <f t="shared" si="2010"/>
        <v>X</v>
      </c>
      <c r="M9118" s="1" t="str">
        <f t="shared" si="2010"/>
        <v>X</v>
      </c>
      <c r="N9118" t="s">
        <v>27</v>
      </c>
    </row>
    <row r="9119" spans="1:14" x14ac:dyDescent="0.25">
      <c r="A9119" t="s">
        <v>43</v>
      </c>
      <c r="B9119" t="s">
        <v>39</v>
      </c>
      <c r="C9119" t="s">
        <v>36</v>
      </c>
      <c r="D9119" t="s">
        <v>15</v>
      </c>
      <c r="E9119" t="s">
        <v>23</v>
      </c>
      <c r="F9119" t="s">
        <v>18</v>
      </c>
      <c r="G9119" s="1" t="str">
        <f t="shared" si="2010"/>
        <v>X</v>
      </c>
      <c r="H9119" s="1" t="str">
        <f t="shared" si="2010"/>
        <v>X</v>
      </c>
      <c r="I9119" s="1" t="str">
        <f t="shared" si="2010"/>
        <v>X</v>
      </c>
      <c r="J9119" s="1" t="str">
        <f t="shared" si="2010"/>
        <v>X</v>
      </c>
      <c r="K9119" s="1" t="str">
        <f t="shared" si="2010"/>
        <v>X</v>
      </c>
      <c r="L9119" s="1" t="str">
        <f t="shared" si="2010"/>
        <v>X</v>
      </c>
      <c r="M9119" s="1" t="str">
        <f t="shared" si="2010"/>
        <v>X</v>
      </c>
      <c r="N9119" t="s">
        <v>27</v>
      </c>
    </row>
    <row r="9120" spans="1:14" x14ac:dyDescent="0.25">
      <c r="A9120" t="s">
        <v>43</v>
      </c>
      <c r="B9120" t="s">
        <v>39</v>
      </c>
      <c r="C9120" t="s">
        <v>36</v>
      </c>
      <c r="D9120" t="s">
        <v>15</v>
      </c>
      <c r="E9120" t="s">
        <v>23</v>
      </c>
      <c r="F9120" t="s">
        <v>19</v>
      </c>
      <c r="G9120" s="1" t="str">
        <f t="shared" si="2010"/>
        <v>X</v>
      </c>
      <c r="H9120" s="1" t="str">
        <f t="shared" si="2010"/>
        <v>X</v>
      </c>
      <c r="I9120" s="1" t="str">
        <f t="shared" si="2010"/>
        <v>X</v>
      </c>
      <c r="J9120" s="1" t="str">
        <f t="shared" si="2010"/>
        <v>X</v>
      </c>
      <c r="K9120" s="1" t="str">
        <f t="shared" si="2010"/>
        <v>X</v>
      </c>
      <c r="L9120" s="1" t="str">
        <f t="shared" si="2010"/>
        <v>X</v>
      </c>
      <c r="M9120" s="1" t="str">
        <f t="shared" si="2010"/>
        <v>X</v>
      </c>
      <c r="N9120" t="s">
        <v>27</v>
      </c>
    </row>
    <row r="9121" spans="1:14" x14ac:dyDescent="0.25">
      <c r="A9121" t="s">
        <v>43</v>
      </c>
      <c r="B9121" t="s">
        <v>39</v>
      </c>
      <c r="C9121" t="s">
        <v>36</v>
      </c>
      <c r="D9121" t="s">
        <v>15</v>
      </c>
      <c r="E9121" t="s">
        <v>23</v>
      </c>
      <c r="F9121" t="s">
        <v>20</v>
      </c>
      <c r="G9121" s="2">
        <f>VALUE(3099.05)</f>
        <v>3099.05</v>
      </c>
      <c r="H9121" s="3">
        <f>VALUE(2911.08)</f>
        <v>2911.08</v>
      </c>
      <c r="I9121" s="1">
        <f>VALUE(3167)</f>
        <v>3167</v>
      </c>
      <c r="J9121" s="1">
        <f>VALUE(3491)</f>
        <v>3491</v>
      </c>
      <c r="K9121" s="1">
        <f>VALUE(4055)</f>
        <v>4055</v>
      </c>
      <c r="L9121" s="1">
        <f>VALUE(4857)</f>
        <v>4857</v>
      </c>
      <c r="M9121" s="1">
        <f>VALUE(5456)</f>
        <v>5456</v>
      </c>
      <c r="N9121" t="s">
        <v>25</v>
      </c>
    </row>
    <row r="9122" spans="1:14" x14ac:dyDescent="0.25">
      <c r="A9122" t="s">
        <v>43</v>
      </c>
      <c r="B9122" t="s">
        <v>39</v>
      </c>
      <c r="C9122" t="s">
        <v>36</v>
      </c>
      <c r="D9122" t="s">
        <v>15</v>
      </c>
      <c r="E9122" t="s">
        <v>26</v>
      </c>
      <c r="F9122" t="s">
        <v>15</v>
      </c>
      <c r="G9122" s="2">
        <f>VALUE(164.04)</f>
        <v>164.04</v>
      </c>
      <c r="H9122" s="3">
        <f>VALUE(161.84)</f>
        <v>161.84</v>
      </c>
      <c r="I9122" s="1">
        <f>VALUE(3875)</f>
        <v>3875</v>
      </c>
      <c r="J9122" s="1">
        <f>VALUE(4333)</f>
        <v>4333</v>
      </c>
      <c r="K9122" s="1">
        <f>VALUE(4790)</f>
        <v>4790</v>
      </c>
      <c r="L9122" s="1">
        <f>VALUE(5746)</f>
        <v>5746</v>
      </c>
      <c r="M9122" s="8">
        <f>VALUE(6880)</f>
        <v>6880</v>
      </c>
      <c r="N9122" t="s">
        <v>25</v>
      </c>
    </row>
    <row r="9123" spans="1:14" x14ac:dyDescent="0.25">
      <c r="A9123" t="s">
        <v>43</v>
      </c>
      <c r="B9123" t="s">
        <v>39</v>
      </c>
      <c r="C9123" t="s">
        <v>36</v>
      </c>
      <c r="D9123" t="s">
        <v>15</v>
      </c>
      <c r="E9123" t="s">
        <v>26</v>
      </c>
      <c r="F9123" t="s">
        <v>17</v>
      </c>
      <c r="G9123" s="1" t="str">
        <f t="shared" ref="G9123:M9125" si="2011">"X"</f>
        <v>X</v>
      </c>
      <c r="H9123" s="1" t="str">
        <f t="shared" si="2011"/>
        <v>X</v>
      </c>
      <c r="I9123" s="1" t="str">
        <f t="shared" si="2011"/>
        <v>X</v>
      </c>
      <c r="J9123" s="1" t="str">
        <f t="shared" si="2011"/>
        <v>X</v>
      </c>
      <c r="K9123" s="1" t="str">
        <f t="shared" si="2011"/>
        <v>X</v>
      </c>
      <c r="L9123" s="1" t="str">
        <f t="shared" si="2011"/>
        <v>X</v>
      </c>
      <c r="M9123" s="1" t="str">
        <f t="shared" si="2011"/>
        <v>X</v>
      </c>
      <c r="N9123" t="s">
        <v>27</v>
      </c>
    </row>
    <row r="9124" spans="1:14" x14ac:dyDescent="0.25">
      <c r="A9124" t="s">
        <v>43</v>
      </c>
      <c r="B9124" t="s">
        <v>39</v>
      </c>
      <c r="C9124" t="s">
        <v>36</v>
      </c>
      <c r="D9124" t="s">
        <v>15</v>
      </c>
      <c r="E9124" t="s">
        <v>26</v>
      </c>
      <c r="F9124" t="s">
        <v>18</v>
      </c>
      <c r="G9124" s="1" t="str">
        <f t="shared" si="2011"/>
        <v>X</v>
      </c>
      <c r="H9124" s="1" t="str">
        <f t="shared" si="2011"/>
        <v>X</v>
      </c>
      <c r="I9124" s="1" t="str">
        <f t="shared" si="2011"/>
        <v>X</v>
      </c>
      <c r="J9124" s="1" t="str">
        <f t="shared" si="2011"/>
        <v>X</v>
      </c>
      <c r="K9124" s="1" t="str">
        <f t="shared" si="2011"/>
        <v>X</v>
      </c>
      <c r="L9124" s="1" t="str">
        <f t="shared" si="2011"/>
        <v>X</v>
      </c>
      <c r="M9124" s="1" t="str">
        <f t="shared" si="2011"/>
        <v>X</v>
      </c>
      <c r="N9124" t="s">
        <v>27</v>
      </c>
    </row>
    <row r="9125" spans="1:14" x14ac:dyDescent="0.25">
      <c r="A9125" t="s">
        <v>43</v>
      </c>
      <c r="B9125" t="s">
        <v>39</v>
      </c>
      <c r="C9125" t="s">
        <v>36</v>
      </c>
      <c r="D9125" t="s">
        <v>15</v>
      </c>
      <c r="E9125" t="s">
        <v>26</v>
      </c>
      <c r="F9125" t="s">
        <v>19</v>
      </c>
      <c r="G9125" s="1" t="str">
        <f t="shared" si="2011"/>
        <v>X</v>
      </c>
      <c r="H9125" s="1" t="str">
        <f t="shared" si="2011"/>
        <v>X</v>
      </c>
      <c r="I9125" s="1" t="str">
        <f t="shared" si="2011"/>
        <v>X</v>
      </c>
      <c r="J9125" s="1" t="str">
        <f t="shared" si="2011"/>
        <v>X</v>
      </c>
      <c r="K9125" s="1" t="str">
        <f t="shared" si="2011"/>
        <v>X</v>
      </c>
      <c r="L9125" s="1" t="str">
        <f t="shared" si="2011"/>
        <v>X</v>
      </c>
      <c r="M9125" s="1" t="str">
        <f t="shared" si="2011"/>
        <v>X</v>
      </c>
      <c r="N9125" t="s">
        <v>27</v>
      </c>
    </row>
    <row r="9126" spans="1:14" x14ac:dyDescent="0.25">
      <c r="A9126" t="s">
        <v>43</v>
      </c>
      <c r="B9126" t="s">
        <v>39</v>
      </c>
      <c r="C9126" t="s">
        <v>36</v>
      </c>
      <c r="D9126" t="s">
        <v>15</v>
      </c>
      <c r="E9126" t="s">
        <v>26</v>
      </c>
      <c r="F9126" t="s">
        <v>20</v>
      </c>
      <c r="G9126" s="2">
        <f>VALUE(126.73)</f>
        <v>126.73</v>
      </c>
      <c r="H9126" s="3">
        <f>VALUE(123.27)</f>
        <v>123.27</v>
      </c>
      <c r="I9126" s="1">
        <f>VALUE(3630)</f>
        <v>3630</v>
      </c>
      <c r="J9126" s="1">
        <f>VALUE(4178)</f>
        <v>4178</v>
      </c>
      <c r="K9126" s="1">
        <f>VALUE(4998)</f>
        <v>4998</v>
      </c>
      <c r="L9126" s="1">
        <f>VALUE(5746)</f>
        <v>5746</v>
      </c>
      <c r="M9126" s="1">
        <f>VALUE(6787)</f>
        <v>6787</v>
      </c>
      <c r="N9126" t="s">
        <v>25</v>
      </c>
    </row>
    <row r="9127" spans="1:14" x14ac:dyDescent="0.25">
      <c r="A9127" t="s">
        <v>43</v>
      </c>
      <c r="B9127" t="s">
        <v>39</v>
      </c>
      <c r="C9127" t="s">
        <v>36</v>
      </c>
      <c r="D9127" t="s">
        <v>28</v>
      </c>
      <c r="E9127" t="s">
        <v>15</v>
      </c>
      <c r="F9127" t="s">
        <v>15</v>
      </c>
      <c r="G9127" s="2">
        <f>VALUE(4358.96)</f>
        <v>4358.96</v>
      </c>
      <c r="H9127" s="3">
        <f>VALUE(4163.76)</f>
        <v>4163.76</v>
      </c>
      <c r="I9127" s="4">
        <f>VALUE(4024)</f>
        <v>4024</v>
      </c>
      <c r="J9127" s="1">
        <f>VALUE(4520)</f>
        <v>4520</v>
      </c>
      <c r="K9127" s="1">
        <f>VALUE(5212)</f>
        <v>5212</v>
      </c>
      <c r="L9127" s="1">
        <f>VALUE(6222)</f>
        <v>6222</v>
      </c>
      <c r="M9127" s="1">
        <f>VALUE(7580)</f>
        <v>7580</v>
      </c>
      <c r="N9127" t="s">
        <v>25</v>
      </c>
    </row>
    <row r="9128" spans="1:14" x14ac:dyDescent="0.25">
      <c r="A9128" t="s">
        <v>43</v>
      </c>
      <c r="B9128" t="s">
        <v>39</v>
      </c>
      <c r="C9128" t="s">
        <v>36</v>
      </c>
      <c r="D9128" t="s">
        <v>28</v>
      </c>
      <c r="E9128" t="s">
        <v>15</v>
      </c>
      <c r="F9128" t="s">
        <v>17</v>
      </c>
      <c r="G9128" s="2">
        <f>VALUE(548.94)</f>
        <v>548.94000000000005</v>
      </c>
      <c r="H9128" s="3">
        <f>VALUE(551.67)</f>
        <v>551.66999999999996</v>
      </c>
      <c r="I9128" s="4">
        <f>VALUE(4455)</f>
        <v>4455</v>
      </c>
      <c r="J9128" s="5">
        <f>VALUE(5159)</f>
        <v>5159</v>
      </c>
      <c r="K9128" s="1">
        <f>VALUE(6122)</f>
        <v>6122</v>
      </c>
      <c r="L9128" s="7">
        <f>VALUE(7540)</f>
        <v>7540</v>
      </c>
      <c r="M9128" s="1">
        <f>VALUE(8899)</f>
        <v>8899</v>
      </c>
      <c r="N9128" t="s">
        <v>25</v>
      </c>
    </row>
    <row r="9129" spans="1:14" x14ac:dyDescent="0.25">
      <c r="A9129" t="s">
        <v>43</v>
      </c>
      <c r="B9129" t="s">
        <v>39</v>
      </c>
      <c r="C9129" t="s">
        <v>36</v>
      </c>
      <c r="D9129" t="s">
        <v>28</v>
      </c>
      <c r="E9129" t="s">
        <v>15</v>
      </c>
      <c r="F9129" t="s">
        <v>18</v>
      </c>
      <c r="G9129" s="2">
        <f>VALUE(540.55)</f>
        <v>540.54999999999995</v>
      </c>
      <c r="H9129" s="3">
        <f>VALUE(538.96)</f>
        <v>538.96</v>
      </c>
      <c r="I9129" s="1">
        <f>VALUE(4675)</f>
        <v>4675</v>
      </c>
      <c r="J9129" s="1">
        <f>VALUE(4956)</f>
        <v>4956</v>
      </c>
      <c r="K9129" s="6">
        <f>VALUE(5837)</f>
        <v>5837</v>
      </c>
      <c r="L9129" s="7">
        <f>VALUE(7531)</f>
        <v>7531</v>
      </c>
      <c r="M9129" s="8">
        <f>VALUE(8413)</f>
        <v>8413</v>
      </c>
      <c r="N9129" t="s">
        <v>25</v>
      </c>
    </row>
    <row r="9130" spans="1:14" x14ac:dyDescent="0.25">
      <c r="A9130" t="s">
        <v>43</v>
      </c>
      <c r="B9130" t="s">
        <v>39</v>
      </c>
      <c r="C9130" t="s">
        <v>36</v>
      </c>
      <c r="D9130" t="s">
        <v>28</v>
      </c>
      <c r="E9130" t="s">
        <v>15</v>
      </c>
      <c r="F9130" t="s">
        <v>19</v>
      </c>
      <c r="G9130" s="2">
        <f>VALUE(944.05)</f>
        <v>944.05</v>
      </c>
      <c r="H9130" s="3">
        <f>VALUE(935.86)</f>
        <v>935.86</v>
      </c>
      <c r="I9130" s="1">
        <f>VALUE(4345)</f>
        <v>4345</v>
      </c>
      <c r="J9130" s="1">
        <f>VALUE(4562)</f>
        <v>4562</v>
      </c>
      <c r="K9130" s="1">
        <f>VALUE(5417)</f>
        <v>5417</v>
      </c>
      <c r="L9130" s="1">
        <f>VALUE(6345)</f>
        <v>6345</v>
      </c>
      <c r="M9130" s="1">
        <f>VALUE(7771)</f>
        <v>7771</v>
      </c>
      <c r="N9130" t="s">
        <v>25</v>
      </c>
    </row>
    <row r="9131" spans="1:14" x14ac:dyDescent="0.25">
      <c r="A9131" t="s">
        <v>43</v>
      </c>
      <c r="B9131" t="s">
        <v>39</v>
      </c>
      <c r="C9131" t="s">
        <v>36</v>
      </c>
      <c r="D9131" t="s">
        <v>28</v>
      </c>
      <c r="E9131" t="s">
        <v>15</v>
      </c>
      <c r="F9131" t="s">
        <v>20</v>
      </c>
      <c r="G9131" s="2">
        <f>VALUE(2325.42)</f>
        <v>2325.42</v>
      </c>
      <c r="H9131" s="3">
        <f>VALUE(2137.27)</f>
        <v>2137.27</v>
      </c>
      <c r="I9131" s="4">
        <f>VALUE(3652)</f>
        <v>3652</v>
      </c>
      <c r="J9131" s="1">
        <f>VALUE(4313)</f>
        <v>4313</v>
      </c>
      <c r="K9131" s="1">
        <f>VALUE(5034)</f>
        <v>5034</v>
      </c>
      <c r="L9131" s="1">
        <f>VALUE(5603)</f>
        <v>5603</v>
      </c>
      <c r="M9131" s="1">
        <f>VALUE(6393)</f>
        <v>6393</v>
      </c>
      <c r="N9131" t="s">
        <v>25</v>
      </c>
    </row>
    <row r="9132" spans="1:14" x14ac:dyDescent="0.25">
      <c r="A9132" t="s">
        <v>43</v>
      </c>
      <c r="B9132" t="s">
        <v>39</v>
      </c>
      <c r="C9132" t="s">
        <v>36</v>
      </c>
      <c r="D9132" t="s">
        <v>28</v>
      </c>
      <c r="E9132" t="s">
        <v>21</v>
      </c>
      <c r="F9132" t="s">
        <v>15</v>
      </c>
      <c r="G9132" s="2">
        <f>VALUE(1465.21)</f>
        <v>1465.21</v>
      </c>
      <c r="H9132" s="3">
        <f>VALUE(1340.19)</f>
        <v>1340.19</v>
      </c>
      <c r="I9132" s="1">
        <f>VALUE(4643)</f>
        <v>4643</v>
      </c>
      <c r="J9132" s="1">
        <f>VALUE(5285)</f>
        <v>5285</v>
      </c>
      <c r="K9132" s="1">
        <f>VALUE(6241)</f>
        <v>6241</v>
      </c>
      <c r="L9132" s="1">
        <f>VALUE(7580)</f>
        <v>7580</v>
      </c>
      <c r="M9132" s="1">
        <f>VALUE(8467)</f>
        <v>8467</v>
      </c>
      <c r="N9132" t="s">
        <v>25</v>
      </c>
    </row>
    <row r="9133" spans="1:14" x14ac:dyDescent="0.25">
      <c r="A9133" t="s">
        <v>43</v>
      </c>
      <c r="B9133" t="s">
        <v>39</v>
      </c>
      <c r="C9133" t="s">
        <v>36</v>
      </c>
      <c r="D9133" t="s">
        <v>28</v>
      </c>
      <c r="E9133" t="s">
        <v>21</v>
      </c>
      <c r="F9133" t="s">
        <v>17</v>
      </c>
      <c r="G9133" s="2">
        <f>VALUE(290.94)</f>
        <v>290.94</v>
      </c>
      <c r="H9133" s="3">
        <f>VALUE(289.87)</f>
        <v>289.87</v>
      </c>
      <c r="I9133" s="4">
        <f>VALUE(6007)</f>
        <v>6007</v>
      </c>
      <c r="J9133" s="5">
        <f>VALUE(6067)</f>
        <v>6067</v>
      </c>
      <c r="K9133" s="6">
        <f>VALUE(6787)</f>
        <v>6787</v>
      </c>
      <c r="L9133" s="1">
        <f>VALUE(8235)</f>
        <v>8235</v>
      </c>
      <c r="M9133" s="1">
        <f>VALUE(9455)</f>
        <v>9455</v>
      </c>
      <c r="N9133" t="s">
        <v>25</v>
      </c>
    </row>
    <row r="9134" spans="1:14" x14ac:dyDescent="0.25">
      <c r="A9134" t="s">
        <v>43</v>
      </c>
      <c r="B9134" t="s">
        <v>39</v>
      </c>
      <c r="C9134" t="s">
        <v>36</v>
      </c>
      <c r="D9134" t="s">
        <v>28</v>
      </c>
      <c r="E9134" t="s">
        <v>21</v>
      </c>
      <c r="F9134" t="s">
        <v>18</v>
      </c>
      <c r="G9134" s="2">
        <f>VALUE(264.89)</f>
        <v>264.89</v>
      </c>
      <c r="H9134" s="3">
        <f>VALUE(256.48)</f>
        <v>256.48</v>
      </c>
      <c r="I9134" s="4">
        <f>VALUE(4942)</f>
        <v>4942</v>
      </c>
      <c r="J9134" s="5">
        <f>VALUE(5159)</f>
        <v>5159</v>
      </c>
      <c r="K9134" s="6">
        <f>VALUE(6985)</f>
        <v>6985</v>
      </c>
      <c r="L9134" s="1">
        <f>VALUE(8364)</f>
        <v>8364</v>
      </c>
      <c r="M9134" s="8">
        <f>VALUE(9070)</f>
        <v>9070</v>
      </c>
      <c r="N9134" t="s">
        <v>25</v>
      </c>
    </row>
    <row r="9135" spans="1:14" x14ac:dyDescent="0.25">
      <c r="A9135" t="s">
        <v>43</v>
      </c>
      <c r="B9135" t="s">
        <v>39</v>
      </c>
      <c r="C9135" t="s">
        <v>36</v>
      </c>
      <c r="D9135" t="s">
        <v>28</v>
      </c>
      <c r="E9135" t="s">
        <v>21</v>
      </c>
      <c r="F9135" t="s">
        <v>19</v>
      </c>
      <c r="G9135" s="2">
        <f>VALUE(366.19)</f>
        <v>366.19</v>
      </c>
      <c r="H9135" s="3">
        <f>VALUE(360.5)</f>
        <v>360.5</v>
      </c>
      <c r="I9135" s="1">
        <f>VALUE(4857)</f>
        <v>4857</v>
      </c>
      <c r="J9135" s="1">
        <f>VALUE(5735)</f>
        <v>5735</v>
      </c>
      <c r="K9135" s="1">
        <f>VALUE(6249)</f>
        <v>6249</v>
      </c>
      <c r="L9135" s="1">
        <f>VALUE(7477)</f>
        <v>7477</v>
      </c>
      <c r="M9135" s="1">
        <f>VALUE(7840)</f>
        <v>7840</v>
      </c>
      <c r="N9135" t="s">
        <v>25</v>
      </c>
    </row>
    <row r="9136" spans="1:14" x14ac:dyDescent="0.25">
      <c r="A9136" t="s">
        <v>43</v>
      </c>
      <c r="B9136" t="s">
        <v>39</v>
      </c>
      <c r="C9136" t="s">
        <v>36</v>
      </c>
      <c r="D9136" t="s">
        <v>28</v>
      </c>
      <c r="E9136" t="s">
        <v>21</v>
      </c>
      <c r="F9136" t="s">
        <v>20</v>
      </c>
      <c r="G9136" s="2">
        <f>VALUE(543.19)</f>
        <v>543.19000000000005</v>
      </c>
      <c r="H9136" s="3">
        <f>VALUE(433.34)</f>
        <v>433.34</v>
      </c>
      <c r="I9136" s="1">
        <f>VALUE(4204)</f>
        <v>4204</v>
      </c>
      <c r="J9136" s="1">
        <f>VALUE(4762)</f>
        <v>4762</v>
      </c>
      <c r="K9136" s="1">
        <f>VALUE(5448)</f>
        <v>5448</v>
      </c>
      <c r="L9136" s="1">
        <f>VALUE(6409)</f>
        <v>6409</v>
      </c>
      <c r="M9136" s="1">
        <f>VALUE(7302)</f>
        <v>7302</v>
      </c>
      <c r="N9136" t="s">
        <v>25</v>
      </c>
    </row>
    <row r="9137" spans="1:14" x14ac:dyDescent="0.25">
      <c r="A9137" t="s">
        <v>43</v>
      </c>
      <c r="B9137" t="s">
        <v>39</v>
      </c>
      <c r="C9137" t="s">
        <v>36</v>
      </c>
      <c r="D9137" t="s">
        <v>28</v>
      </c>
      <c r="E9137" t="s">
        <v>22</v>
      </c>
      <c r="F9137" t="s">
        <v>15</v>
      </c>
      <c r="G9137" s="2">
        <f>VALUE(2527.44)</f>
        <v>2527.44</v>
      </c>
      <c r="H9137" s="3">
        <f>VALUE(2494.92)</f>
        <v>2494.92</v>
      </c>
      <c r="I9137" s="4">
        <f>VALUE(3652)</f>
        <v>3652</v>
      </c>
      <c r="J9137" s="1">
        <f>VALUE(4455)</f>
        <v>4455</v>
      </c>
      <c r="K9137" s="1">
        <f>VALUE(5103)</f>
        <v>5103</v>
      </c>
      <c r="L9137" s="1">
        <f>VALUE(5748)</f>
        <v>5748</v>
      </c>
      <c r="M9137" s="1">
        <f>VALUE(6419)</f>
        <v>6419</v>
      </c>
      <c r="N9137" t="s">
        <v>25</v>
      </c>
    </row>
    <row r="9138" spans="1:14" x14ac:dyDescent="0.25">
      <c r="A9138" t="s">
        <v>43</v>
      </c>
      <c r="B9138" t="s">
        <v>39</v>
      </c>
      <c r="C9138" t="s">
        <v>36</v>
      </c>
      <c r="D9138" t="s">
        <v>28</v>
      </c>
      <c r="E9138" t="s">
        <v>22</v>
      </c>
      <c r="F9138" t="s">
        <v>17</v>
      </c>
      <c r="G9138" s="1" t="str">
        <f t="shared" ref="G9138:M9138" si="2012">"X"</f>
        <v>X</v>
      </c>
      <c r="H9138" s="1" t="str">
        <f t="shared" si="2012"/>
        <v>X</v>
      </c>
      <c r="I9138" s="1" t="str">
        <f t="shared" si="2012"/>
        <v>X</v>
      </c>
      <c r="J9138" s="1" t="str">
        <f t="shared" si="2012"/>
        <v>X</v>
      </c>
      <c r="K9138" s="1" t="str">
        <f t="shared" si="2012"/>
        <v>X</v>
      </c>
      <c r="L9138" s="1" t="str">
        <f t="shared" si="2012"/>
        <v>X</v>
      </c>
      <c r="M9138" s="1" t="str">
        <f t="shared" si="2012"/>
        <v>X</v>
      </c>
      <c r="N9138" t="s">
        <v>27</v>
      </c>
    </row>
    <row r="9139" spans="1:14" x14ac:dyDescent="0.25">
      <c r="A9139" t="s">
        <v>43</v>
      </c>
      <c r="B9139" t="s">
        <v>39</v>
      </c>
      <c r="C9139" t="s">
        <v>36</v>
      </c>
      <c r="D9139" t="s">
        <v>28</v>
      </c>
      <c r="E9139" t="s">
        <v>22</v>
      </c>
      <c r="F9139" t="s">
        <v>18</v>
      </c>
      <c r="G9139" s="2">
        <f>VALUE(264.84)</f>
        <v>264.83999999999997</v>
      </c>
      <c r="H9139" s="3">
        <f>VALUE(272.26)</f>
        <v>272.26</v>
      </c>
      <c r="I9139" s="1">
        <f>VALUE(4639)</f>
        <v>4639</v>
      </c>
      <c r="J9139" s="1">
        <f>VALUE(4933)</f>
        <v>4933</v>
      </c>
      <c r="K9139" s="6">
        <f>VALUE(5446)</f>
        <v>5446</v>
      </c>
      <c r="L9139" s="1">
        <f>VALUE(6283)</f>
        <v>6283</v>
      </c>
      <c r="M9139" s="1">
        <f>VALUE(7788)</f>
        <v>7788</v>
      </c>
      <c r="N9139" t="s">
        <v>25</v>
      </c>
    </row>
    <row r="9140" spans="1:14" x14ac:dyDescent="0.25">
      <c r="A9140" t="s">
        <v>43</v>
      </c>
      <c r="B9140" t="s">
        <v>39</v>
      </c>
      <c r="C9140" t="s">
        <v>36</v>
      </c>
      <c r="D9140" t="s">
        <v>28</v>
      </c>
      <c r="E9140" t="s">
        <v>22</v>
      </c>
      <c r="F9140" t="s">
        <v>19</v>
      </c>
      <c r="G9140" s="2">
        <f>VALUE(475.47)</f>
        <v>475.47</v>
      </c>
      <c r="H9140" s="3">
        <f>VALUE(467.69)</f>
        <v>467.69</v>
      </c>
      <c r="I9140" s="4">
        <f>VALUE(4061)</f>
        <v>4061</v>
      </c>
      <c r="J9140" s="1">
        <f>VALUE(4652)</f>
        <v>4652</v>
      </c>
      <c r="K9140" s="1">
        <f>VALUE(5103)</f>
        <v>5103</v>
      </c>
      <c r="L9140" s="1">
        <f>VALUE(5739)</f>
        <v>5739</v>
      </c>
      <c r="M9140" s="1">
        <f>VALUE(6345)</f>
        <v>6345</v>
      </c>
      <c r="N9140" t="s">
        <v>25</v>
      </c>
    </row>
    <row r="9141" spans="1:14" x14ac:dyDescent="0.25">
      <c r="A9141" t="s">
        <v>43</v>
      </c>
      <c r="B9141" t="s">
        <v>39</v>
      </c>
      <c r="C9141" t="s">
        <v>36</v>
      </c>
      <c r="D9141" t="s">
        <v>28</v>
      </c>
      <c r="E9141" t="s">
        <v>22</v>
      </c>
      <c r="F9141" t="s">
        <v>20</v>
      </c>
      <c r="G9141" s="2">
        <f>VALUE(1531.72)</f>
        <v>1531.72</v>
      </c>
      <c r="H9141" s="3">
        <f>VALUE(1494.88)</f>
        <v>1494.88</v>
      </c>
      <c r="I9141" s="1">
        <f>VALUE(3652)</f>
        <v>3652</v>
      </c>
      <c r="J9141" s="1">
        <f>VALUE(4251)</f>
        <v>4251</v>
      </c>
      <c r="K9141" s="1">
        <f>VALUE(4873)</f>
        <v>4873</v>
      </c>
      <c r="L9141" s="1">
        <f>VALUE(5461)</f>
        <v>5461</v>
      </c>
      <c r="M9141" s="1">
        <f>VALUE(6029)</f>
        <v>6029</v>
      </c>
      <c r="N9141" t="s">
        <v>25</v>
      </c>
    </row>
    <row r="9142" spans="1:14" x14ac:dyDescent="0.25">
      <c r="A9142" t="s">
        <v>43</v>
      </c>
      <c r="B9142" t="s">
        <v>39</v>
      </c>
      <c r="C9142" t="s">
        <v>36</v>
      </c>
      <c r="D9142" t="s">
        <v>28</v>
      </c>
      <c r="E9142" t="s">
        <v>23</v>
      </c>
      <c r="F9142" t="s">
        <v>15</v>
      </c>
      <c r="G9142" s="2">
        <f>VALUE(344.89)</f>
        <v>344.89</v>
      </c>
      <c r="H9142" s="3">
        <f>VALUE(308.29)</f>
        <v>308.29000000000002</v>
      </c>
      <c r="I9142" s="4">
        <f>VALUE(3515)</f>
        <v>3515</v>
      </c>
      <c r="J9142" s="1">
        <f>VALUE(4018)</f>
        <v>4018</v>
      </c>
      <c r="K9142" s="1">
        <f>VALUE(4489)</f>
        <v>4489</v>
      </c>
      <c r="L9142" s="1">
        <f>VALUE(4980)</f>
        <v>4980</v>
      </c>
      <c r="M9142" s="1">
        <f>VALUE(5621)</f>
        <v>5621</v>
      </c>
      <c r="N9142" t="s">
        <v>25</v>
      </c>
    </row>
    <row r="9143" spans="1:14" x14ac:dyDescent="0.25">
      <c r="A9143" t="s">
        <v>43</v>
      </c>
      <c r="B9143" t="s">
        <v>39</v>
      </c>
      <c r="C9143" t="s">
        <v>36</v>
      </c>
      <c r="D9143" t="s">
        <v>28</v>
      </c>
      <c r="E9143" t="s">
        <v>23</v>
      </c>
      <c r="F9143" t="s">
        <v>17</v>
      </c>
      <c r="G9143" s="1" t="str">
        <f t="shared" ref="G9143:M9145" si="2013">"X"</f>
        <v>X</v>
      </c>
      <c r="H9143" s="1" t="str">
        <f t="shared" si="2013"/>
        <v>X</v>
      </c>
      <c r="I9143" s="1" t="str">
        <f t="shared" si="2013"/>
        <v>X</v>
      </c>
      <c r="J9143" s="1" t="str">
        <f t="shared" si="2013"/>
        <v>X</v>
      </c>
      <c r="K9143" s="1" t="str">
        <f t="shared" si="2013"/>
        <v>X</v>
      </c>
      <c r="L9143" s="1" t="str">
        <f t="shared" si="2013"/>
        <v>X</v>
      </c>
      <c r="M9143" s="1" t="str">
        <f t="shared" si="2013"/>
        <v>X</v>
      </c>
      <c r="N9143" t="s">
        <v>27</v>
      </c>
    </row>
    <row r="9144" spans="1:14" x14ac:dyDescent="0.25">
      <c r="A9144" t="s">
        <v>43</v>
      </c>
      <c r="B9144" t="s">
        <v>39</v>
      </c>
      <c r="C9144" t="s">
        <v>36</v>
      </c>
      <c r="D9144" t="s">
        <v>28</v>
      </c>
      <c r="E9144" t="s">
        <v>23</v>
      </c>
      <c r="F9144" t="s">
        <v>18</v>
      </c>
      <c r="G9144" s="1" t="str">
        <f t="shared" si="2013"/>
        <v>X</v>
      </c>
      <c r="H9144" s="1" t="str">
        <f t="shared" si="2013"/>
        <v>X</v>
      </c>
      <c r="I9144" s="1" t="str">
        <f t="shared" si="2013"/>
        <v>X</v>
      </c>
      <c r="J9144" s="1" t="str">
        <f t="shared" si="2013"/>
        <v>X</v>
      </c>
      <c r="K9144" s="1" t="str">
        <f t="shared" si="2013"/>
        <v>X</v>
      </c>
      <c r="L9144" s="1" t="str">
        <f t="shared" si="2013"/>
        <v>X</v>
      </c>
      <c r="M9144" s="1" t="str">
        <f t="shared" si="2013"/>
        <v>X</v>
      </c>
      <c r="N9144" t="s">
        <v>27</v>
      </c>
    </row>
    <row r="9145" spans="1:14" x14ac:dyDescent="0.25">
      <c r="A9145" t="s">
        <v>43</v>
      </c>
      <c r="B9145" t="s">
        <v>39</v>
      </c>
      <c r="C9145" t="s">
        <v>36</v>
      </c>
      <c r="D9145" t="s">
        <v>28</v>
      </c>
      <c r="E9145" t="s">
        <v>23</v>
      </c>
      <c r="F9145" t="s">
        <v>19</v>
      </c>
      <c r="G9145" s="1" t="str">
        <f t="shared" si="2013"/>
        <v>X</v>
      </c>
      <c r="H9145" s="1" t="str">
        <f t="shared" si="2013"/>
        <v>X</v>
      </c>
      <c r="I9145" s="1" t="str">
        <f t="shared" si="2013"/>
        <v>X</v>
      </c>
      <c r="J9145" s="1" t="str">
        <f t="shared" si="2013"/>
        <v>X</v>
      </c>
      <c r="K9145" s="1" t="str">
        <f t="shared" si="2013"/>
        <v>X</v>
      </c>
      <c r="L9145" s="1" t="str">
        <f t="shared" si="2013"/>
        <v>X</v>
      </c>
      <c r="M9145" s="1" t="str">
        <f t="shared" si="2013"/>
        <v>X</v>
      </c>
      <c r="N9145" t="s">
        <v>27</v>
      </c>
    </row>
    <row r="9146" spans="1:14" x14ac:dyDescent="0.25">
      <c r="A9146" t="s">
        <v>43</v>
      </c>
      <c r="B9146" t="s">
        <v>39</v>
      </c>
      <c r="C9146" t="s">
        <v>36</v>
      </c>
      <c r="D9146" t="s">
        <v>28</v>
      </c>
      <c r="E9146" t="s">
        <v>23</v>
      </c>
      <c r="F9146" t="s">
        <v>20</v>
      </c>
      <c r="G9146" s="2">
        <f>VALUE(232.05)</f>
        <v>232.05</v>
      </c>
      <c r="H9146" s="3">
        <f>VALUE(191.65)</f>
        <v>191.65</v>
      </c>
      <c r="I9146" s="4">
        <f>VALUE(2937)</f>
        <v>2937</v>
      </c>
      <c r="J9146" s="5">
        <f>VALUE(3532)</f>
        <v>3532</v>
      </c>
      <c r="K9146" s="1">
        <f>VALUE(4455)</f>
        <v>4455</v>
      </c>
      <c r="L9146" s="1">
        <f>VALUE(5342)</f>
        <v>5342</v>
      </c>
      <c r="M9146" s="1">
        <f>VALUE(5658)</f>
        <v>5658</v>
      </c>
      <c r="N9146" t="s">
        <v>25</v>
      </c>
    </row>
    <row r="9147" spans="1:14" x14ac:dyDescent="0.25">
      <c r="A9147" t="s">
        <v>43</v>
      </c>
      <c r="B9147" t="s">
        <v>39</v>
      </c>
      <c r="C9147" t="s">
        <v>36</v>
      </c>
      <c r="D9147" t="s">
        <v>28</v>
      </c>
      <c r="E9147" t="s">
        <v>26</v>
      </c>
      <c r="F9147" t="s">
        <v>15</v>
      </c>
      <c r="G9147" s="1" t="str">
        <f t="shared" ref="G9147:M9147" si="2014">"X"</f>
        <v>X</v>
      </c>
      <c r="H9147" s="1" t="str">
        <f t="shared" si="2014"/>
        <v>X</v>
      </c>
      <c r="I9147" s="1" t="str">
        <f t="shared" si="2014"/>
        <v>X</v>
      </c>
      <c r="J9147" s="1" t="str">
        <f t="shared" si="2014"/>
        <v>X</v>
      </c>
      <c r="K9147" s="1" t="str">
        <f t="shared" si="2014"/>
        <v>X</v>
      </c>
      <c r="L9147" s="1" t="str">
        <f t="shared" si="2014"/>
        <v>X</v>
      </c>
      <c r="M9147" s="1" t="str">
        <f t="shared" si="2014"/>
        <v>X</v>
      </c>
      <c r="N9147" t="s">
        <v>27</v>
      </c>
    </row>
    <row r="9148" spans="1:14" x14ac:dyDescent="0.25">
      <c r="A9148" t="s">
        <v>43</v>
      </c>
      <c r="B9148" t="s">
        <v>39</v>
      </c>
      <c r="C9148" t="s">
        <v>36</v>
      </c>
      <c r="D9148" t="s">
        <v>28</v>
      </c>
      <c r="E9148" t="s">
        <v>26</v>
      </c>
      <c r="F9148" t="s">
        <v>17</v>
      </c>
      <c r="G9148" s="1" t="str">
        <f t="shared" ref="G9148:M9149" si="2015">"..."</f>
        <v>...</v>
      </c>
      <c r="H9148" s="1" t="str">
        <f t="shared" si="2015"/>
        <v>...</v>
      </c>
      <c r="I9148" s="1" t="str">
        <f t="shared" si="2015"/>
        <v>...</v>
      </c>
      <c r="J9148" s="1" t="str">
        <f t="shared" si="2015"/>
        <v>...</v>
      </c>
      <c r="K9148" s="1" t="str">
        <f t="shared" si="2015"/>
        <v>...</v>
      </c>
      <c r="L9148" s="1" t="str">
        <f t="shared" si="2015"/>
        <v>...</v>
      </c>
      <c r="M9148" s="1" t="str">
        <f t="shared" si="2015"/>
        <v>...</v>
      </c>
      <c r="N9148" t="s">
        <v>30</v>
      </c>
    </row>
    <row r="9149" spans="1:14" x14ac:dyDescent="0.25">
      <c r="A9149" t="s">
        <v>43</v>
      </c>
      <c r="B9149" t="s">
        <v>39</v>
      </c>
      <c r="C9149" t="s">
        <v>36</v>
      </c>
      <c r="D9149" t="s">
        <v>28</v>
      </c>
      <c r="E9149" t="s">
        <v>26</v>
      </c>
      <c r="F9149" t="s">
        <v>18</v>
      </c>
      <c r="G9149" s="1" t="str">
        <f t="shared" si="2015"/>
        <v>...</v>
      </c>
      <c r="H9149" s="1" t="str">
        <f t="shared" si="2015"/>
        <v>...</v>
      </c>
      <c r="I9149" s="1" t="str">
        <f t="shared" si="2015"/>
        <v>...</v>
      </c>
      <c r="J9149" s="1" t="str">
        <f t="shared" si="2015"/>
        <v>...</v>
      </c>
      <c r="K9149" s="1" t="str">
        <f t="shared" si="2015"/>
        <v>...</v>
      </c>
      <c r="L9149" s="1" t="str">
        <f t="shared" si="2015"/>
        <v>...</v>
      </c>
      <c r="M9149" s="1" t="str">
        <f t="shared" si="2015"/>
        <v>...</v>
      </c>
      <c r="N9149" t="s">
        <v>30</v>
      </c>
    </row>
    <row r="9150" spans="1:14" x14ac:dyDescent="0.25">
      <c r="A9150" t="s">
        <v>43</v>
      </c>
      <c r="B9150" t="s">
        <v>39</v>
      </c>
      <c r="C9150" t="s">
        <v>36</v>
      </c>
      <c r="D9150" t="s">
        <v>28</v>
      </c>
      <c r="E9150" t="s">
        <v>26</v>
      </c>
      <c r="F9150" t="s">
        <v>19</v>
      </c>
      <c r="G9150" s="1" t="str">
        <f t="shared" ref="G9150:M9151" si="2016">"X"</f>
        <v>X</v>
      </c>
      <c r="H9150" s="1" t="str">
        <f t="shared" si="2016"/>
        <v>X</v>
      </c>
      <c r="I9150" s="1" t="str">
        <f t="shared" si="2016"/>
        <v>X</v>
      </c>
      <c r="J9150" s="1" t="str">
        <f t="shared" si="2016"/>
        <v>X</v>
      </c>
      <c r="K9150" s="1" t="str">
        <f t="shared" si="2016"/>
        <v>X</v>
      </c>
      <c r="L9150" s="1" t="str">
        <f t="shared" si="2016"/>
        <v>X</v>
      </c>
      <c r="M9150" s="1" t="str">
        <f t="shared" si="2016"/>
        <v>X</v>
      </c>
      <c r="N9150" t="s">
        <v>27</v>
      </c>
    </row>
    <row r="9151" spans="1:14" x14ac:dyDescent="0.25">
      <c r="A9151" t="s">
        <v>43</v>
      </c>
      <c r="B9151" t="s">
        <v>39</v>
      </c>
      <c r="C9151" t="s">
        <v>36</v>
      </c>
      <c r="D9151" t="s">
        <v>28</v>
      </c>
      <c r="E9151" t="s">
        <v>26</v>
      </c>
      <c r="F9151" t="s">
        <v>20</v>
      </c>
      <c r="G9151" s="1" t="str">
        <f t="shared" si="2016"/>
        <v>X</v>
      </c>
      <c r="H9151" s="1" t="str">
        <f t="shared" si="2016"/>
        <v>X</v>
      </c>
      <c r="I9151" s="1" t="str">
        <f t="shared" si="2016"/>
        <v>X</v>
      </c>
      <c r="J9151" s="1" t="str">
        <f t="shared" si="2016"/>
        <v>X</v>
      </c>
      <c r="K9151" s="1" t="str">
        <f t="shared" si="2016"/>
        <v>X</v>
      </c>
      <c r="L9151" s="1" t="str">
        <f t="shared" si="2016"/>
        <v>X</v>
      </c>
      <c r="M9151" s="1" t="str">
        <f t="shared" si="2016"/>
        <v>X</v>
      </c>
      <c r="N9151" t="s">
        <v>27</v>
      </c>
    </row>
    <row r="9152" spans="1:14" x14ac:dyDescent="0.25">
      <c r="A9152" t="s">
        <v>43</v>
      </c>
      <c r="B9152" t="s">
        <v>39</v>
      </c>
      <c r="C9152" t="s">
        <v>36</v>
      </c>
      <c r="D9152" t="s">
        <v>29</v>
      </c>
      <c r="E9152" t="s">
        <v>15</v>
      </c>
      <c r="F9152" t="s">
        <v>15</v>
      </c>
      <c r="G9152" s="2">
        <f>VALUE(1531.58)</f>
        <v>1531.58</v>
      </c>
      <c r="H9152" s="3">
        <f>VALUE(1495.67)</f>
        <v>1495.67</v>
      </c>
      <c r="I9152" s="4">
        <f>VALUE(3752)</f>
        <v>3752</v>
      </c>
      <c r="J9152" s="1">
        <f>VALUE(4452)</f>
        <v>4452</v>
      </c>
      <c r="K9152" s="1">
        <f>VALUE(5088)</f>
        <v>5088</v>
      </c>
      <c r="L9152" s="1">
        <f>VALUE(5785)</f>
        <v>5785</v>
      </c>
      <c r="M9152" s="8">
        <f>VALUE(6594)</f>
        <v>6594</v>
      </c>
      <c r="N9152" t="s">
        <v>25</v>
      </c>
    </row>
    <row r="9153" spans="1:14" x14ac:dyDescent="0.25">
      <c r="A9153" t="s">
        <v>43</v>
      </c>
      <c r="B9153" t="s">
        <v>39</v>
      </c>
      <c r="C9153" t="s">
        <v>36</v>
      </c>
      <c r="D9153" t="s">
        <v>29</v>
      </c>
      <c r="E9153" t="s">
        <v>15</v>
      </c>
      <c r="F9153" t="s">
        <v>17</v>
      </c>
      <c r="G9153" s="1" t="str">
        <f t="shared" ref="G9153:M9154" si="2017">"X"</f>
        <v>X</v>
      </c>
      <c r="H9153" s="1" t="str">
        <f t="shared" si="2017"/>
        <v>X</v>
      </c>
      <c r="I9153" s="1" t="str">
        <f t="shared" si="2017"/>
        <v>X</v>
      </c>
      <c r="J9153" s="1" t="str">
        <f t="shared" si="2017"/>
        <v>X</v>
      </c>
      <c r="K9153" s="1" t="str">
        <f t="shared" si="2017"/>
        <v>X</v>
      </c>
      <c r="L9153" s="1" t="str">
        <f t="shared" si="2017"/>
        <v>X</v>
      </c>
      <c r="M9153" s="1" t="str">
        <f t="shared" si="2017"/>
        <v>X</v>
      </c>
      <c r="N9153" t="s">
        <v>27</v>
      </c>
    </row>
    <row r="9154" spans="1:14" x14ac:dyDescent="0.25">
      <c r="A9154" t="s">
        <v>43</v>
      </c>
      <c r="B9154" t="s">
        <v>39</v>
      </c>
      <c r="C9154" t="s">
        <v>36</v>
      </c>
      <c r="D9154" t="s">
        <v>29</v>
      </c>
      <c r="E9154" t="s">
        <v>15</v>
      </c>
      <c r="F9154" t="s">
        <v>18</v>
      </c>
      <c r="G9154" s="1" t="str">
        <f t="shared" si="2017"/>
        <v>X</v>
      </c>
      <c r="H9154" s="1" t="str">
        <f t="shared" si="2017"/>
        <v>X</v>
      </c>
      <c r="I9154" s="1" t="str">
        <f t="shared" si="2017"/>
        <v>X</v>
      </c>
      <c r="J9154" s="1" t="str">
        <f t="shared" si="2017"/>
        <v>X</v>
      </c>
      <c r="K9154" s="1" t="str">
        <f t="shared" si="2017"/>
        <v>X</v>
      </c>
      <c r="L9154" s="1" t="str">
        <f t="shared" si="2017"/>
        <v>X</v>
      </c>
      <c r="M9154" s="1" t="str">
        <f t="shared" si="2017"/>
        <v>X</v>
      </c>
      <c r="N9154" t="s">
        <v>27</v>
      </c>
    </row>
    <row r="9155" spans="1:14" x14ac:dyDescent="0.25">
      <c r="A9155" t="s">
        <v>43</v>
      </c>
      <c r="B9155" t="s">
        <v>39</v>
      </c>
      <c r="C9155" t="s">
        <v>36</v>
      </c>
      <c r="D9155" t="s">
        <v>29</v>
      </c>
      <c r="E9155" t="s">
        <v>15</v>
      </c>
      <c r="F9155" t="s">
        <v>19</v>
      </c>
      <c r="G9155" s="2">
        <f>VALUE(348.77)</f>
        <v>348.77</v>
      </c>
      <c r="H9155" s="3">
        <f>VALUE(352.4)</f>
        <v>352.4</v>
      </c>
      <c r="I9155" s="1">
        <f>VALUE(3852)</f>
        <v>3852</v>
      </c>
      <c r="J9155" s="5">
        <f>VALUE(4333)</f>
        <v>4333</v>
      </c>
      <c r="K9155" s="6">
        <f>VALUE(5219)</f>
        <v>5219</v>
      </c>
      <c r="L9155" s="7">
        <f>VALUE(6043)</f>
        <v>6043</v>
      </c>
      <c r="M9155" s="1">
        <f>VALUE(6193)</f>
        <v>6193</v>
      </c>
      <c r="N9155" t="s">
        <v>25</v>
      </c>
    </row>
    <row r="9156" spans="1:14" x14ac:dyDescent="0.25">
      <c r="A9156" t="s">
        <v>43</v>
      </c>
      <c r="B9156" t="s">
        <v>39</v>
      </c>
      <c r="C9156" t="s">
        <v>36</v>
      </c>
      <c r="D9156" t="s">
        <v>29</v>
      </c>
      <c r="E9156" t="s">
        <v>15</v>
      </c>
      <c r="F9156" t="s">
        <v>20</v>
      </c>
      <c r="G9156" s="2">
        <f>VALUE(960.19)</f>
        <v>960.19</v>
      </c>
      <c r="H9156" s="3">
        <f>VALUE(937.63)</f>
        <v>937.63</v>
      </c>
      <c r="I9156" s="4">
        <f>VALUE(3670)</f>
        <v>3670</v>
      </c>
      <c r="J9156" s="1">
        <f>VALUE(4354)</f>
        <v>4354</v>
      </c>
      <c r="K9156" s="1">
        <f>VALUE(5067)</f>
        <v>5067</v>
      </c>
      <c r="L9156" s="1">
        <f>VALUE(5612)</f>
        <v>5612</v>
      </c>
      <c r="M9156" s="1">
        <f>VALUE(6150)</f>
        <v>6150</v>
      </c>
      <c r="N9156" t="s">
        <v>25</v>
      </c>
    </row>
    <row r="9157" spans="1:14" x14ac:dyDescent="0.25">
      <c r="A9157" t="s">
        <v>43</v>
      </c>
      <c r="B9157" t="s">
        <v>39</v>
      </c>
      <c r="C9157" t="s">
        <v>36</v>
      </c>
      <c r="D9157" t="s">
        <v>29</v>
      </c>
      <c r="E9157" t="s">
        <v>21</v>
      </c>
      <c r="F9157" t="s">
        <v>15</v>
      </c>
      <c r="G9157" s="2">
        <f>VALUE(206.48)</f>
        <v>206.48</v>
      </c>
      <c r="H9157" s="3">
        <f>VALUE(203.78)</f>
        <v>203.78</v>
      </c>
      <c r="I9157" s="4">
        <f>VALUE(3727)</f>
        <v>3727</v>
      </c>
      <c r="J9157" s="5">
        <f>VALUE(5095)</f>
        <v>5095</v>
      </c>
      <c r="K9157" s="1">
        <f>VALUE(6500)</f>
        <v>6500</v>
      </c>
      <c r="L9157" s="1">
        <f>VALUE(8617)</f>
        <v>8617</v>
      </c>
      <c r="M9157" s="8">
        <f>VALUE(10200)</f>
        <v>10200</v>
      </c>
      <c r="N9157" t="s">
        <v>25</v>
      </c>
    </row>
    <row r="9158" spans="1:14" x14ac:dyDescent="0.25">
      <c r="A9158" t="s">
        <v>43</v>
      </c>
      <c r="B9158" t="s">
        <v>39</v>
      </c>
      <c r="C9158" t="s">
        <v>36</v>
      </c>
      <c r="D9158" t="s">
        <v>29</v>
      </c>
      <c r="E9158" t="s">
        <v>21</v>
      </c>
      <c r="F9158" t="s">
        <v>17</v>
      </c>
      <c r="G9158" s="1" t="str">
        <f t="shared" ref="G9158:M9161" si="2018">"X"</f>
        <v>X</v>
      </c>
      <c r="H9158" s="1" t="str">
        <f t="shared" si="2018"/>
        <v>X</v>
      </c>
      <c r="I9158" s="1" t="str">
        <f t="shared" si="2018"/>
        <v>X</v>
      </c>
      <c r="J9158" s="1" t="str">
        <f t="shared" si="2018"/>
        <v>X</v>
      </c>
      <c r="K9158" s="1" t="str">
        <f t="shared" si="2018"/>
        <v>X</v>
      </c>
      <c r="L9158" s="1" t="str">
        <f t="shared" si="2018"/>
        <v>X</v>
      </c>
      <c r="M9158" s="1" t="str">
        <f t="shared" si="2018"/>
        <v>X</v>
      </c>
      <c r="N9158" t="s">
        <v>27</v>
      </c>
    </row>
    <row r="9159" spans="1:14" x14ac:dyDescent="0.25">
      <c r="A9159" t="s">
        <v>43</v>
      </c>
      <c r="B9159" t="s">
        <v>39</v>
      </c>
      <c r="C9159" t="s">
        <v>36</v>
      </c>
      <c r="D9159" t="s">
        <v>29</v>
      </c>
      <c r="E9159" t="s">
        <v>21</v>
      </c>
      <c r="F9159" t="s">
        <v>18</v>
      </c>
      <c r="G9159" s="1" t="str">
        <f t="shared" si="2018"/>
        <v>X</v>
      </c>
      <c r="H9159" s="1" t="str">
        <f t="shared" si="2018"/>
        <v>X</v>
      </c>
      <c r="I9159" s="1" t="str">
        <f t="shared" si="2018"/>
        <v>X</v>
      </c>
      <c r="J9159" s="1" t="str">
        <f t="shared" si="2018"/>
        <v>X</v>
      </c>
      <c r="K9159" s="1" t="str">
        <f t="shared" si="2018"/>
        <v>X</v>
      </c>
      <c r="L9159" s="1" t="str">
        <f t="shared" si="2018"/>
        <v>X</v>
      </c>
      <c r="M9159" s="1" t="str">
        <f t="shared" si="2018"/>
        <v>X</v>
      </c>
      <c r="N9159" t="s">
        <v>27</v>
      </c>
    </row>
    <row r="9160" spans="1:14" x14ac:dyDescent="0.25">
      <c r="A9160" t="s">
        <v>43</v>
      </c>
      <c r="B9160" t="s">
        <v>39</v>
      </c>
      <c r="C9160" t="s">
        <v>36</v>
      </c>
      <c r="D9160" t="s">
        <v>29</v>
      </c>
      <c r="E9160" t="s">
        <v>21</v>
      </c>
      <c r="F9160" t="s">
        <v>19</v>
      </c>
      <c r="G9160" s="1" t="str">
        <f t="shared" si="2018"/>
        <v>X</v>
      </c>
      <c r="H9160" s="1" t="str">
        <f t="shared" si="2018"/>
        <v>X</v>
      </c>
      <c r="I9160" s="1" t="str">
        <f t="shared" si="2018"/>
        <v>X</v>
      </c>
      <c r="J9160" s="1" t="str">
        <f t="shared" si="2018"/>
        <v>X</v>
      </c>
      <c r="K9160" s="1" t="str">
        <f t="shared" si="2018"/>
        <v>X</v>
      </c>
      <c r="L9160" s="1" t="str">
        <f t="shared" si="2018"/>
        <v>X</v>
      </c>
      <c r="M9160" s="1" t="str">
        <f t="shared" si="2018"/>
        <v>X</v>
      </c>
      <c r="N9160" t="s">
        <v>27</v>
      </c>
    </row>
    <row r="9161" spans="1:14" x14ac:dyDescent="0.25">
      <c r="A9161" t="s">
        <v>43</v>
      </c>
      <c r="B9161" t="s">
        <v>39</v>
      </c>
      <c r="C9161" t="s">
        <v>36</v>
      </c>
      <c r="D9161" t="s">
        <v>29</v>
      </c>
      <c r="E9161" t="s">
        <v>21</v>
      </c>
      <c r="F9161" t="s">
        <v>20</v>
      </c>
      <c r="G9161" s="1" t="str">
        <f t="shared" si="2018"/>
        <v>X</v>
      </c>
      <c r="H9161" s="1" t="str">
        <f t="shared" si="2018"/>
        <v>X</v>
      </c>
      <c r="I9161" s="1" t="str">
        <f t="shared" si="2018"/>
        <v>X</v>
      </c>
      <c r="J9161" s="1" t="str">
        <f t="shared" si="2018"/>
        <v>X</v>
      </c>
      <c r="K9161" s="1" t="str">
        <f t="shared" si="2018"/>
        <v>X</v>
      </c>
      <c r="L9161" s="1" t="str">
        <f t="shared" si="2018"/>
        <v>X</v>
      </c>
      <c r="M9161" s="1" t="str">
        <f t="shared" si="2018"/>
        <v>X</v>
      </c>
      <c r="N9161" t="s">
        <v>27</v>
      </c>
    </row>
    <row r="9162" spans="1:14" x14ac:dyDescent="0.25">
      <c r="A9162" t="s">
        <v>43</v>
      </c>
      <c r="B9162" t="s">
        <v>39</v>
      </c>
      <c r="C9162" t="s">
        <v>36</v>
      </c>
      <c r="D9162" t="s">
        <v>29</v>
      </c>
      <c r="E9162" t="s">
        <v>22</v>
      </c>
      <c r="F9162" t="s">
        <v>15</v>
      </c>
      <c r="G9162" s="2">
        <f>VALUE(836.51)</f>
        <v>836.51</v>
      </c>
      <c r="H9162" s="3">
        <f>VALUE(848.6)</f>
        <v>848.6</v>
      </c>
      <c r="I9162" s="1">
        <f>VALUE(4120)</f>
        <v>4120</v>
      </c>
      <c r="J9162" s="1">
        <f>VALUE(4604)</f>
        <v>4604</v>
      </c>
      <c r="K9162" s="1">
        <f>VALUE(5176)</f>
        <v>5176</v>
      </c>
      <c r="L9162" s="1">
        <f>VALUE(5785)</f>
        <v>5785</v>
      </c>
      <c r="M9162" s="1">
        <f>VALUE(6148)</f>
        <v>6148</v>
      </c>
      <c r="N9162" t="s">
        <v>25</v>
      </c>
    </row>
    <row r="9163" spans="1:14" x14ac:dyDescent="0.25">
      <c r="A9163" t="s">
        <v>43</v>
      </c>
      <c r="B9163" t="s">
        <v>39</v>
      </c>
      <c r="C9163" t="s">
        <v>36</v>
      </c>
      <c r="D9163" t="s">
        <v>29</v>
      </c>
      <c r="E9163" t="s">
        <v>22</v>
      </c>
      <c r="F9163" t="s">
        <v>17</v>
      </c>
      <c r="G9163" s="1" t="str">
        <f t="shared" ref="G9163:M9165" si="2019">"X"</f>
        <v>X</v>
      </c>
      <c r="H9163" s="1" t="str">
        <f t="shared" si="2019"/>
        <v>X</v>
      </c>
      <c r="I9163" s="1" t="str">
        <f t="shared" si="2019"/>
        <v>X</v>
      </c>
      <c r="J9163" s="1" t="str">
        <f t="shared" si="2019"/>
        <v>X</v>
      </c>
      <c r="K9163" s="1" t="str">
        <f t="shared" si="2019"/>
        <v>X</v>
      </c>
      <c r="L9163" s="1" t="str">
        <f t="shared" si="2019"/>
        <v>X</v>
      </c>
      <c r="M9163" s="1" t="str">
        <f t="shared" si="2019"/>
        <v>X</v>
      </c>
      <c r="N9163" t="s">
        <v>27</v>
      </c>
    </row>
    <row r="9164" spans="1:14" x14ac:dyDescent="0.25">
      <c r="A9164" t="s">
        <v>43</v>
      </c>
      <c r="B9164" t="s">
        <v>39</v>
      </c>
      <c r="C9164" t="s">
        <v>36</v>
      </c>
      <c r="D9164" t="s">
        <v>29</v>
      </c>
      <c r="E9164" t="s">
        <v>22</v>
      </c>
      <c r="F9164" t="s">
        <v>18</v>
      </c>
      <c r="G9164" s="1" t="str">
        <f t="shared" si="2019"/>
        <v>X</v>
      </c>
      <c r="H9164" s="1" t="str">
        <f t="shared" si="2019"/>
        <v>X</v>
      </c>
      <c r="I9164" s="1" t="str">
        <f t="shared" si="2019"/>
        <v>X</v>
      </c>
      <c r="J9164" s="1" t="str">
        <f t="shared" si="2019"/>
        <v>X</v>
      </c>
      <c r="K9164" s="1" t="str">
        <f t="shared" si="2019"/>
        <v>X</v>
      </c>
      <c r="L9164" s="1" t="str">
        <f t="shared" si="2019"/>
        <v>X</v>
      </c>
      <c r="M9164" s="1" t="str">
        <f t="shared" si="2019"/>
        <v>X</v>
      </c>
      <c r="N9164" t="s">
        <v>27</v>
      </c>
    </row>
    <row r="9165" spans="1:14" x14ac:dyDescent="0.25">
      <c r="A9165" t="s">
        <v>43</v>
      </c>
      <c r="B9165" t="s">
        <v>39</v>
      </c>
      <c r="C9165" t="s">
        <v>36</v>
      </c>
      <c r="D9165" t="s">
        <v>29</v>
      </c>
      <c r="E9165" t="s">
        <v>22</v>
      </c>
      <c r="F9165" t="s">
        <v>19</v>
      </c>
      <c r="G9165" s="1" t="str">
        <f t="shared" si="2019"/>
        <v>X</v>
      </c>
      <c r="H9165" s="1" t="str">
        <f t="shared" si="2019"/>
        <v>X</v>
      </c>
      <c r="I9165" s="1" t="str">
        <f t="shared" si="2019"/>
        <v>X</v>
      </c>
      <c r="J9165" s="1" t="str">
        <f t="shared" si="2019"/>
        <v>X</v>
      </c>
      <c r="K9165" s="1" t="str">
        <f t="shared" si="2019"/>
        <v>X</v>
      </c>
      <c r="L9165" s="1" t="str">
        <f t="shared" si="2019"/>
        <v>X</v>
      </c>
      <c r="M9165" s="1" t="str">
        <f t="shared" si="2019"/>
        <v>X</v>
      </c>
      <c r="N9165" t="s">
        <v>27</v>
      </c>
    </row>
    <row r="9166" spans="1:14" x14ac:dyDescent="0.25">
      <c r="A9166" t="s">
        <v>43</v>
      </c>
      <c r="B9166" t="s">
        <v>39</v>
      </c>
      <c r="C9166" t="s">
        <v>36</v>
      </c>
      <c r="D9166" t="s">
        <v>29</v>
      </c>
      <c r="E9166" t="s">
        <v>22</v>
      </c>
      <c r="F9166" t="s">
        <v>20</v>
      </c>
      <c r="G9166" s="2">
        <f>VALUE(529.9)</f>
        <v>529.9</v>
      </c>
      <c r="H9166" s="3">
        <f>VALUE(533.6)</f>
        <v>533.6</v>
      </c>
      <c r="I9166" s="1">
        <f>VALUE(4160)</f>
        <v>4160</v>
      </c>
      <c r="J9166" s="1">
        <f>VALUE(4775)</f>
        <v>4775</v>
      </c>
      <c r="K9166" s="1">
        <f>VALUE(5165)</f>
        <v>5165</v>
      </c>
      <c r="L9166" s="1">
        <f>VALUE(5669)</f>
        <v>5669</v>
      </c>
      <c r="M9166" s="1">
        <f>VALUE(6150)</f>
        <v>6150</v>
      </c>
      <c r="N9166" t="s">
        <v>25</v>
      </c>
    </row>
    <row r="9167" spans="1:14" x14ac:dyDescent="0.25">
      <c r="A9167" t="s">
        <v>43</v>
      </c>
      <c r="B9167" t="s">
        <v>39</v>
      </c>
      <c r="C9167" t="s">
        <v>36</v>
      </c>
      <c r="D9167" t="s">
        <v>29</v>
      </c>
      <c r="E9167" t="s">
        <v>23</v>
      </c>
      <c r="F9167" t="s">
        <v>15</v>
      </c>
      <c r="G9167" s="2">
        <f>VALUE(457.08)</f>
        <v>457.08</v>
      </c>
      <c r="H9167" s="3">
        <f>VALUE(410.6)</f>
        <v>410.6</v>
      </c>
      <c r="I9167" s="4">
        <f>VALUE(3233)</f>
        <v>3233</v>
      </c>
      <c r="J9167" s="5">
        <f>VALUE(3877)</f>
        <v>3877</v>
      </c>
      <c r="K9167" s="6">
        <f>VALUE(4585)</f>
        <v>4585</v>
      </c>
      <c r="L9167" s="1">
        <f>VALUE(5187)</f>
        <v>5187</v>
      </c>
      <c r="M9167" s="1">
        <f>VALUE(5688)</f>
        <v>5688</v>
      </c>
      <c r="N9167" t="s">
        <v>25</v>
      </c>
    </row>
    <row r="9168" spans="1:14" x14ac:dyDescent="0.25">
      <c r="A9168" t="s">
        <v>43</v>
      </c>
      <c r="B9168" t="s">
        <v>39</v>
      </c>
      <c r="C9168" t="s">
        <v>36</v>
      </c>
      <c r="D9168" t="s">
        <v>29</v>
      </c>
      <c r="E9168" t="s">
        <v>23</v>
      </c>
      <c r="F9168" t="s">
        <v>17</v>
      </c>
      <c r="G9168" s="1" t="str">
        <f t="shared" ref="G9168:M9170" si="2020">"X"</f>
        <v>X</v>
      </c>
      <c r="H9168" s="1" t="str">
        <f t="shared" si="2020"/>
        <v>X</v>
      </c>
      <c r="I9168" s="1" t="str">
        <f t="shared" si="2020"/>
        <v>X</v>
      </c>
      <c r="J9168" s="1" t="str">
        <f t="shared" si="2020"/>
        <v>X</v>
      </c>
      <c r="K9168" s="1" t="str">
        <f t="shared" si="2020"/>
        <v>X</v>
      </c>
      <c r="L9168" s="1" t="str">
        <f t="shared" si="2020"/>
        <v>X</v>
      </c>
      <c r="M9168" s="1" t="str">
        <f t="shared" si="2020"/>
        <v>X</v>
      </c>
      <c r="N9168" t="s">
        <v>27</v>
      </c>
    </row>
    <row r="9169" spans="1:14" x14ac:dyDescent="0.25">
      <c r="A9169" t="s">
        <v>43</v>
      </c>
      <c r="B9169" t="s">
        <v>39</v>
      </c>
      <c r="C9169" t="s">
        <v>36</v>
      </c>
      <c r="D9169" t="s">
        <v>29</v>
      </c>
      <c r="E9169" t="s">
        <v>23</v>
      </c>
      <c r="F9169" t="s">
        <v>18</v>
      </c>
      <c r="G9169" s="1" t="str">
        <f t="shared" si="2020"/>
        <v>X</v>
      </c>
      <c r="H9169" s="1" t="str">
        <f t="shared" si="2020"/>
        <v>X</v>
      </c>
      <c r="I9169" s="1" t="str">
        <f t="shared" si="2020"/>
        <v>X</v>
      </c>
      <c r="J9169" s="1" t="str">
        <f t="shared" si="2020"/>
        <v>X</v>
      </c>
      <c r="K9169" s="1" t="str">
        <f t="shared" si="2020"/>
        <v>X</v>
      </c>
      <c r="L9169" s="1" t="str">
        <f t="shared" si="2020"/>
        <v>X</v>
      </c>
      <c r="M9169" s="1" t="str">
        <f t="shared" si="2020"/>
        <v>X</v>
      </c>
      <c r="N9169" t="s">
        <v>27</v>
      </c>
    </row>
    <row r="9170" spans="1:14" x14ac:dyDescent="0.25">
      <c r="A9170" t="s">
        <v>43</v>
      </c>
      <c r="B9170" t="s">
        <v>39</v>
      </c>
      <c r="C9170" t="s">
        <v>36</v>
      </c>
      <c r="D9170" t="s">
        <v>29</v>
      </c>
      <c r="E9170" t="s">
        <v>23</v>
      </c>
      <c r="F9170" t="s">
        <v>19</v>
      </c>
      <c r="G9170" s="1" t="str">
        <f t="shared" si="2020"/>
        <v>X</v>
      </c>
      <c r="H9170" s="1" t="str">
        <f t="shared" si="2020"/>
        <v>X</v>
      </c>
      <c r="I9170" s="1" t="str">
        <f t="shared" si="2020"/>
        <v>X</v>
      </c>
      <c r="J9170" s="1" t="str">
        <f t="shared" si="2020"/>
        <v>X</v>
      </c>
      <c r="K9170" s="1" t="str">
        <f t="shared" si="2020"/>
        <v>X</v>
      </c>
      <c r="L9170" s="1" t="str">
        <f t="shared" si="2020"/>
        <v>X</v>
      </c>
      <c r="M9170" s="1" t="str">
        <f t="shared" si="2020"/>
        <v>X</v>
      </c>
      <c r="N9170" t="s">
        <v>27</v>
      </c>
    </row>
    <row r="9171" spans="1:14" x14ac:dyDescent="0.25">
      <c r="A9171" t="s">
        <v>43</v>
      </c>
      <c r="B9171" t="s">
        <v>39</v>
      </c>
      <c r="C9171" t="s">
        <v>36</v>
      </c>
      <c r="D9171" t="s">
        <v>29</v>
      </c>
      <c r="E9171" t="s">
        <v>23</v>
      </c>
      <c r="F9171" t="s">
        <v>20</v>
      </c>
      <c r="G9171" s="2">
        <f>VALUE(362.79)</f>
        <v>362.79</v>
      </c>
      <c r="H9171" s="3">
        <f>VALUE(335.13)</f>
        <v>335.13</v>
      </c>
      <c r="I9171" s="4">
        <f>VALUE(3233)</f>
        <v>3233</v>
      </c>
      <c r="J9171" s="5">
        <f>VALUE(3670)</f>
        <v>3670</v>
      </c>
      <c r="K9171" s="6">
        <f>VALUE(4452)</f>
        <v>4452</v>
      </c>
      <c r="L9171" s="1">
        <f>VALUE(5088)</f>
        <v>5088</v>
      </c>
      <c r="M9171" s="1">
        <f>VALUE(5477)</f>
        <v>5477</v>
      </c>
      <c r="N9171" t="s">
        <v>25</v>
      </c>
    </row>
    <row r="9172" spans="1:14" x14ac:dyDescent="0.25">
      <c r="A9172" t="s">
        <v>43</v>
      </c>
      <c r="B9172" t="s">
        <v>39</v>
      </c>
      <c r="C9172" t="s">
        <v>36</v>
      </c>
      <c r="D9172" t="s">
        <v>29</v>
      </c>
      <c r="E9172" t="s">
        <v>26</v>
      </c>
      <c r="F9172" t="s">
        <v>15</v>
      </c>
      <c r="G9172" s="1" t="str">
        <f t="shared" ref="G9172:M9173" si="2021">"X"</f>
        <v>X</v>
      </c>
      <c r="H9172" s="1" t="str">
        <f t="shared" si="2021"/>
        <v>X</v>
      </c>
      <c r="I9172" s="1" t="str">
        <f t="shared" si="2021"/>
        <v>X</v>
      </c>
      <c r="J9172" s="1" t="str">
        <f t="shared" si="2021"/>
        <v>X</v>
      </c>
      <c r="K9172" s="1" t="str">
        <f t="shared" si="2021"/>
        <v>X</v>
      </c>
      <c r="L9172" s="1" t="str">
        <f t="shared" si="2021"/>
        <v>X</v>
      </c>
      <c r="M9172" s="1" t="str">
        <f t="shared" si="2021"/>
        <v>X</v>
      </c>
      <c r="N9172" t="s">
        <v>27</v>
      </c>
    </row>
    <row r="9173" spans="1:14" x14ac:dyDescent="0.25">
      <c r="A9173" t="s">
        <v>43</v>
      </c>
      <c r="B9173" t="s">
        <v>39</v>
      </c>
      <c r="C9173" t="s">
        <v>36</v>
      </c>
      <c r="D9173" t="s">
        <v>29</v>
      </c>
      <c r="E9173" t="s">
        <v>26</v>
      </c>
      <c r="F9173" t="s">
        <v>17</v>
      </c>
      <c r="G9173" s="1" t="str">
        <f t="shared" si="2021"/>
        <v>X</v>
      </c>
      <c r="H9173" s="1" t="str">
        <f t="shared" si="2021"/>
        <v>X</v>
      </c>
      <c r="I9173" s="1" t="str">
        <f t="shared" si="2021"/>
        <v>X</v>
      </c>
      <c r="J9173" s="1" t="str">
        <f t="shared" si="2021"/>
        <v>X</v>
      </c>
      <c r="K9173" s="1" t="str">
        <f t="shared" si="2021"/>
        <v>X</v>
      </c>
      <c r="L9173" s="1" t="str">
        <f t="shared" si="2021"/>
        <v>X</v>
      </c>
      <c r="M9173" s="1" t="str">
        <f t="shared" si="2021"/>
        <v>X</v>
      </c>
      <c r="N9173" t="s">
        <v>27</v>
      </c>
    </row>
    <row r="9174" spans="1:14" x14ac:dyDescent="0.25">
      <c r="A9174" t="s">
        <v>43</v>
      </c>
      <c r="B9174" t="s">
        <v>39</v>
      </c>
      <c r="C9174" t="s">
        <v>36</v>
      </c>
      <c r="D9174" t="s">
        <v>29</v>
      </c>
      <c r="E9174" t="s">
        <v>26</v>
      </c>
      <c r="F9174" t="s">
        <v>18</v>
      </c>
      <c r="G9174" s="1" t="str">
        <f t="shared" ref="G9174:M9174" si="2022">"..."</f>
        <v>...</v>
      </c>
      <c r="H9174" s="1" t="str">
        <f t="shared" si="2022"/>
        <v>...</v>
      </c>
      <c r="I9174" s="1" t="str">
        <f t="shared" si="2022"/>
        <v>...</v>
      </c>
      <c r="J9174" s="1" t="str">
        <f t="shared" si="2022"/>
        <v>...</v>
      </c>
      <c r="K9174" s="1" t="str">
        <f t="shared" si="2022"/>
        <v>...</v>
      </c>
      <c r="L9174" s="1" t="str">
        <f t="shared" si="2022"/>
        <v>...</v>
      </c>
      <c r="M9174" s="1" t="str">
        <f t="shared" si="2022"/>
        <v>...</v>
      </c>
      <c r="N9174" t="s">
        <v>30</v>
      </c>
    </row>
    <row r="9175" spans="1:14" x14ac:dyDescent="0.25">
      <c r="A9175" t="s">
        <v>43</v>
      </c>
      <c r="B9175" t="s">
        <v>39</v>
      </c>
      <c r="C9175" t="s">
        <v>36</v>
      </c>
      <c r="D9175" t="s">
        <v>29</v>
      </c>
      <c r="E9175" t="s">
        <v>26</v>
      </c>
      <c r="F9175" t="s">
        <v>19</v>
      </c>
      <c r="G9175" s="1" t="str">
        <f t="shared" ref="G9175:M9176" si="2023">"X"</f>
        <v>X</v>
      </c>
      <c r="H9175" s="1" t="str">
        <f t="shared" si="2023"/>
        <v>X</v>
      </c>
      <c r="I9175" s="1" t="str">
        <f t="shared" si="2023"/>
        <v>X</v>
      </c>
      <c r="J9175" s="1" t="str">
        <f t="shared" si="2023"/>
        <v>X</v>
      </c>
      <c r="K9175" s="1" t="str">
        <f t="shared" si="2023"/>
        <v>X</v>
      </c>
      <c r="L9175" s="1" t="str">
        <f t="shared" si="2023"/>
        <v>X</v>
      </c>
      <c r="M9175" s="1" t="str">
        <f t="shared" si="2023"/>
        <v>X</v>
      </c>
      <c r="N9175" t="s">
        <v>27</v>
      </c>
    </row>
    <row r="9176" spans="1:14" x14ac:dyDescent="0.25">
      <c r="A9176" t="s">
        <v>43</v>
      </c>
      <c r="B9176" t="s">
        <v>39</v>
      </c>
      <c r="C9176" t="s">
        <v>36</v>
      </c>
      <c r="D9176" t="s">
        <v>29</v>
      </c>
      <c r="E9176" t="s">
        <v>26</v>
      </c>
      <c r="F9176" t="s">
        <v>20</v>
      </c>
      <c r="G9176" s="1" t="str">
        <f t="shared" si="2023"/>
        <v>X</v>
      </c>
      <c r="H9176" s="1" t="str">
        <f t="shared" si="2023"/>
        <v>X</v>
      </c>
      <c r="I9176" s="1" t="str">
        <f t="shared" si="2023"/>
        <v>X</v>
      </c>
      <c r="J9176" s="1" t="str">
        <f t="shared" si="2023"/>
        <v>X</v>
      </c>
      <c r="K9176" s="1" t="str">
        <f t="shared" si="2023"/>
        <v>X</v>
      </c>
      <c r="L9176" s="1" t="str">
        <f t="shared" si="2023"/>
        <v>X</v>
      </c>
      <c r="M9176" s="1" t="str">
        <f t="shared" si="2023"/>
        <v>X</v>
      </c>
      <c r="N9176" t="s">
        <v>27</v>
      </c>
    </row>
    <row r="9177" spans="1:14" x14ac:dyDescent="0.25">
      <c r="A9177" t="s">
        <v>43</v>
      </c>
      <c r="B9177" t="s">
        <v>39</v>
      </c>
      <c r="C9177" t="s">
        <v>36</v>
      </c>
      <c r="D9177" t="s">
        <v>31</v>
      </c>
      <c r="E9177" t="s">
        <v>15</v>
      </c>
      <c r="F9177" t="s">
        <v>15</v>
      </c>
      <c r="G9177" s="2">
        <f>VALUE(1974.25)</f>
        <v>1974.25</v>
      </c>
      <c r="H9177" s="3">
        <f>VALUE(1941.98)</f>
        <v>1941.98</v>
      </c>
      <c r="I9177" s="4">
        <f>VALUE(3705)</f>
        <v>3705</v>
      </c>
      <c r="J9177" s="1">
        <f>VALUE(4000)</f>
        <v>4000</v>
      </c>
      <c r="K9177" s="6">
        <f>VALUE(4823)</f>
        <v>4823</v>
      </c>
      <c r="L9177" s="7">
        <f>VALUE(5739)</f>
        <v>5739</v>
      </c>
      <c r="M9177" s="1">
        <f>VALUE(7258)</f>
        <v>7258</v>
      </c>
      <c r="N9177" t="s">
        <v>25</v>
      </c>
    </row>
    <row r="9178" spans="1:14" x14ac:dyDescent="0.25">
      <c r="A9178" t="s">
        <v>43</v>
      </c>
      <c r="B9178" t="s">
        <v>39</v>
      </c>
      <c r="C9178" t="s">
        <v>36</v>
      </c>
      <c r="D9178" t="s">
        <v>31</v>
      </c>
      <c r="E9178" t="s">
        <v>15</v>
      </c>
      <c r="F9178" t="s">
        <v>17</v>
      </c>
      <c r="G9178" s="1" t="str">
        <f t="shared" ref="G9178:M9180" si="2024">"X"</f>
        <v>X</v>
      </c>
      <c r="H9178" s="1" t="str">
        <f t="shared" si="2024"/>
        <v>X</v>
      </c>
      <c r="I9178" s="1" t="str">
        <f t="shared" si="2024"/>
        <v>X</v>
      </c>
      <c r="J9178" s="1" t="str">
        <f t="shared" si="2024"/>
        <v>X</v>
      </c>
      <c r="K9178" s="1" t="str">
        <f t="shared" si="2024"/>
        <v>X</v>
      </c>
      <c r="L9178" s="1" t="str">
        <f t="shared" si="2024"/>
        <v>X</v>
      </c>
      <c r="M9178" s="1" t="str">
        <f t="shared" si="2024"/>
        <v>X</v>
      </c>
      <c r="N9178" t="s">
        <v>27</v>
      </c>
    </row>
    <row r="9179" spans="1:14" x14ac:dyDescent="0.25">
      <c r="A9179" t="s">
        <v>43</v>
      </c>
      <c r="B9179" t="s">
        <v>39</v>
      </c>
      <c r="C9179" t="s">
        <v>36</v>
      </c>
      <c r="D9179" t="s">
        <v>31</v>
      </c>
      <c r="E9179" t="s">
        <v>15</v>
      </c>
      <c r="F9179" t="s">
        <v>18</v>
      </c>
      <c r="G9179" s="1" t="str">
        <f t="shared" si="2024"/>
        <v>X</v>
      </c>
      <c r="H9179" s="1" t="str">
        <f t="shared" si="2024"/>
        <v>X</v>
      </c>
      <c r="I9179" s="1" t="str">
        <f t="shared" si="2024"/>
        <v>X</v>
      </c>
      <c r="J9179" s="1" t="str">
        <f t="shared" si="2024"/>
        <v>X</v>
      </c>
      <c r="K9179" s="1" t="str">
        <f t="shared" si="2024"/>
        <v>X</v>
      </c>
      <c r="L9179" s="1" t="str">
        <f t="shared" si="2024"/>
        <v>X</v>
      </c>
      <c r="M9179" s="1" t="str">
        <f t="shared" si="2024"/>
        <v>X</v>
      </c>
      <c r="N9179" t="s">
        <v>27</v>
      </c>
    </row>
    <row r="9180" spans="1:14" x14ac:dyDescent="0.25">
      <c r="A9180" t="s">
        <v>43</v>
      </c>
      <c r="B9180" t="s">
        <v>39</v>
      </c>
      <c r="C9180" t="s">
        <v>36</v>
      </c>
      <c r="D9180" t="s">
        <v>31</v>
      </c>
      <c r="E9180" t="s">
        <v>15</v>
      </c>
      <c r="F9180" t="s">
        <v>19</v>
      </c>
      <c r="G9180" s="1" t="str">
        <f t="shared" si="2024"/>
        <v>X</v>
      </c>
      <c r="H9180" s="1" t="str">
        <f t="shared" si="2024"/>
        <v>X</v>
      </c>
      <c r="I9180" s="1" t="str">
        <f t="shared" si="2024"/>
        <v>X</v>
      </c>
      <c r="J9180" s="1" t="str">
        <f t="shared" si="2024"/>
        <v>X</v>
      </c>
      <c r="K9180" s="1" t="str">
        <f t="shared" si="2024"/>
        <v>X</v>
      </c>
      <c r="L9180" s="1" t="str">
        <f t="shared" si="2024"/>
        <v>X</v>
      </c>
      <c r="M9180" s="1" t="str">
        <f t="shared" si="2024"/>
        <v>X</v>
      </c>
      <c r="N9180" t="s">
        <v>27</v>
      </c>
    </row>
    <row r="9181" spans="1:14" x14ac:dyDescent="0.25">
      <c r="A9181" t="s">
        <v>43</v>
      </c>
      <c r="B9181" t="s">
        <v>39</v>
      </c>
      <c r="C9181" t="s">
        <v>36</v>
      </c>
      <c r="D9181" t="s">
        <v>31</v>
      </c>
      <c r="E9181" t="s">
        <v>15</v>
      </c>
      <c r="F9181" t="s">
        <v>20</v>
      </c>
      <c r="G9181" s="2">
        <f>VALUE(1401.4)</f>
        <v>1401.4</v>
      </c>
      <c r="H9181" s="3">
        <f>VALUE(1363.47)</f>
        <v>1363.47</v>
      </c>
      <c r="I9181" s="1">
        <f>VALUE(3631)</f>
        <v>3631</v>
      </c>
      <c r="J9181" s="1">
        <f>VALUE(4095)</f>
        <v>4095</v>
      </c>
      <c r="K9181" s="1">
        <f>VALUE(4831)</f>
        <v>4831</v>
      </c>
      <c r="L9181" s="1">
        <f>VALUE(5414)</f>
        <v>5414</v>
      </c>
      <c r="M9181" s="1">
        <f>VALUE(6667)</f>
        <v>6667</v>
      </c>
      <c r="N9181" t="s">
        <v>25</v>
      </c>
    </row>
    <row r="9182" spans="1:14" x14ac:dyDescent="0.25">
      <c r="A9182" t="s">
        <v>43</v>
      </c>
      <c r="B9182" t="s">
        <v>39</v>
      </c>
      <c r="C9182" t="s">
        <v>36</v>
      </c>
      <c r="D9182" t="s">
        <v>31</v>
      </c>
      <c r="E9182" t="s">
        <v>21</v>
      </c>
      <c r="F9182" t="s">
        <v>15</v>
      </c>
      <c r="G9182" s="2">
        <f>VALUE(507.63)</f>
        <v>507.63</v>
      </c>
      <c r="H9182" s="3">
        <f>VALUE(507.25)</f>
        <v>507.25</v>
      </c>
      <c r="I9182" s="4">
        <f>VALUE(4503)</f>
        <v>4503</v>
      </c>
      <c r="J9182" s="1">
        <f>VALUE(5258)</f>
        <v>5258</v>
      </c>
      <c r="K9182" s="6">
        <f>VALUE(6258)</f>
        <v>6258</v>
      </c>
      <c r="L9182" s="7">
        <f>VALUE(7258)</f>
        <v>7258</v>
      </c>
      <c r="M9182" s="8">
        <f>VALUE(9572)</f>
        <v>9572</v>
      </c>
      <c r="N9182" t="s">
        <v>25</v>
      </c>
    </row>
    <row r="9183" spans="1:14" x14ac:dyDescent="0.25">
      <c r="A9183" t="s">
        <v>43</v>
      </c>
      <c r="B9183" t="s">
        <v>39</v>
      </c>
      <c r="C9183" t="s">
        <v>36</v>
      </c>
      <c r="D9183" t="s">
        <v>31</v>
      </c>
      <c r="E9183" t="s">
        <v>21</v>
      </c>
      <c r="F9183" t="s">
        <v>17</v>
      </c>
      <c r="G9183" s="1" t="str">
        <f t="shared" ref="G9183:M9185" si="2025">"X"</f>
        <v>X</v>
      </c>
      <c r="H9183" s="1" t="str">
        <f t="shared" si="2025"/>
        <v>X</v>
      </c>
      <c r="I9183" s="1" t="str">
        <f t="shared" si="2025"/>
        <v>X</v>
      </c>
      <c r="J9183" s="1" t="str">
        <f t="shared" si="2025"/>
        <v>X</v>
      </c>
      <c r="K9183" s="1" t="str">
        <f t="shared" si="2025"/>
        <v>X</v>
      </c>
      <c r="L9183" s="1" t="str">
        <f t="shared" si="2025"/>
        <v>X</v>
      </c>
      <c r="M9183" s="1" t="str">
        <f t="shared" si="2025"/>
        <v>X</v>
      </c>
      <c r="N9183" t="s">
        <v>27</v>
      </c>
    </row>
    <row r="9184" spans="1:14" x14ac:dyDescent="0.25">
      <c r="A9184" t="s">
        <v>43</v>
      </c>
      <c r="B9184" t="s">
        <v>39</v>
      </c>
      <c r="C9184" t="s">
        <v>36</v>
      </c>
      <c r="D9184" t="s">
        <v>31</v>
      </c>
      <c r="E9184" t="s">
        <v>21</v>
      </c>
      <c r="F9184" t="s">
        <v>18</v>
      </c>
      <c r="G9184" s="1" t="str">
        <f t="shared" si="2025"/>
        <v>X</v>
      </c>
      <c r="H9184" s="1" t="str">
        <f t="shared" si="2025"/>
        <v>X</v>
      </c>
      <c r="I9184" s="1" t="str">
        <f t="shared" si="2025"/>
        <v>X</v>
      </c>
      <c r="J9184" s="1" t="str">
        <f t="shared" si="2025"/>
        <v>X</v>
      </c>
      <c r="K9184" s="1" t="str">
        <f t="shared" si="2025"/>
        <v>X</v>
      </c>
      <c r="L9184" s="1" t="str">
        <f t="shared" si="2025"/>
        <v>X</v>
      </c>
      <c r="M9184" s="1" t="str">
        <f t="shared" si="2025"/>
        <v>X</v>
      </c>
      <c r="N9184" t="s">
        <v>27</v>
      </c>
    </row>
    <row r="9185" spans="1:14" x14ac:dyDescent="0.25">
      <c r="A9185" t="s">
        <v>43</v>
      </c>
      <c r="B9185" t="s">
        <v>39</v>
      </c>
      <c r="C9185" t="s">
        <v>36</v>
      </c>
      <c r="D9185" t="s">
        <v>31</v>
      </c>
      <c r="E9185" t="s">
        <v>21</v>
      </c>
      <c r="F9185" t="s">
        <v>19</v>
      </c>
      <c r="G9185" s="1" t="str">
        <f t="shared" si="2025"/>
        <v>X</v>
      </c>
      <c r="H9185" s="1" t="str">
        <f t="shared" si="2025"/>
        <v>X</v>
      </c>
      <c r="I9185" s="1" t="str">
        <f t="shared" si="2025"/>
        <v>X</v>
      </c>
      <c r="J9185" s="1" t="str">
        <f t="shared" si="2025"/>
        <v>X</v>
      </c>
      <c r="K9185" s="1" t="str">
        <f t="shared" si="2025"/>
        <v>X</v>
      </c>
      <c r="L9185" s="1" t="str">
        <f t="shared" si="2025"/>
        <v>X</v>
      </c>
      <c r="M9185" s="1" t="str">
        <f t="shared" si="2025"/>
        <v>X</v>
      </c>
      <c r="N9185" t="s">
        <v>27</v>
      </c>
    </row>
    <row r="9186" spans="1:14" x14ac:dyDescent="0.25">
      <c r="A9186" t="s">
        <v>43</v>
      </c>
      <c r="B9186" t="s">
        <v>39</v>
      </c>
      <c r="C9186" t="s">
        <v>36</v>
      </c>
      <c r="D9186" t="s">
        <v>31</v>
      </c>
      <c r="E9186" t="s">
        <v>21</v>
      </c>
      <c r="F9186" t="s">
        <v>20</v>
      </c>
      <c r="G9186" s="2">
        <f>VALUE(286.34)</f>
        <v>286.33999999999997</v>
      </c>
      <c r="H9186" s="3">
        <f>VALUE(286.09)</f>
        <v>286.08999999999997</v>
      </c>
      <c r="I9186" s="1">
        <f>VALUE(4237)</f>
        <v>4237</v>
      </c>
      <c r="J9186" s="5">
        <f>VALUE(5169)</f>
        <v>5169</v>
      </c>
      <c r="K9186" s="6">
        <f>VALUE(5414)</f>
        <v>5414</v>
      </c>
      <c r="L9186" s="7">
        <f>VALUE(6667)</f>
        <v>6667</v>
      </c>
      <c r="M9186" s="8">
        <f>VALUE(8031)</f>
        <v>8031</v>
      </c>
      <c r="N9186" t="s">
        <v>25</v>
      </c>
    </row>
    <row r="9187" spans="1:14" x14ac:dyDescent="0.25">
      <c r="A9187" t="s">
        <v>43</v>
      </c>
      <c r="B9187" t="s">
        <v>39</v>
      </c>
      <c r="C9187" t="s">
        <v>36</v>
      </c>
      <c r="D9187" t="s">
        <v>31</v>
      </c>
      <c r="E9187" t="s">
        <v>22</v>
      </c>
      <c r="F9187" t="s">
        <v>15</v>
      </c>
      <c r="G9187" s="2">
        <f>VALUE(652.94)</f>
        <v>652.94000000000005</v>
      </c>
      <c r="H9187" s="3">
        <f>VALUE(632.41)</f>
        <v>632.41</v>
      </c>
      <c r="I9187" s="1">
        <f>VALUE(3792)</f>
        <v>3792</v>
      </c>
      <c r="J9187" s="1">
        <f>VALUE(4108)</f>
        <v>4108</v>
      </c>
      <c r="K9187" s="1">
        <f>VALUE(4651)</f>
        <v>4651</v>
      </c>
      <c r="L9187" s="7">
        <f>VALUE(5196)</f>
        <v>5196</v>
      </c>
      <c r="M9187" s="1">
        <f>VALUE(6806)</f>
        <v>6806</v>
      </c>
      <c r="N9187" t="s">
        <v>25</v>
      </c>
    </row>
    <row r="9188" spans="1:14" x14ac:dyDescent="0.25">
      <c r="A9188" t="s">
        <v>43</v>
      </c>
      <c r="B9188" t="s">
        <v>39</v>
      </c>
      <c r="C9188" t="s">
        <v>36</v>
      </c>
      <c r="D9188" t="s">
        <v>31</v>
      </c>
      <c r="E9188" t="s">
        <v>22</v>
      </c>
      <c r="F9188" t="s">
        <v>17</v>
      </c>
      <c r="G9188" s="1" t="str">
        <f t="shared" ref="G9188:M9190" si="2026">"X"</f>
        <v>X</v>
      </c>
      <c r="H9188" s="1" t="str">
        <f t="shared" si="2026"/>
        <v>X</v>
      </c>
      <c r="I9188" s="1" t="str">
        <f t="shared" si="2026"/>
        <v>X</v>
      </c>
      <c r="J9188" s="1" t="str">
        <f t="shared" si="2026"/>
        <v>X</v>
      </c>
      <c r="K9188" s="1" t="str">
        <f t="shared" si="2026"/>
        <v>X</v>
      </c>
      <c r="L9188" s="1" t="str">
        <f t="shared" si="2026"/>
        <v>X</v>
      </c>
      <c r="M9188" s="1" t="str">
        <f t="shared" si="2026"/>
        <v>X</v>
      </c>
      <c r="N9188" t="s">
        <v>27</v>
      </c>
    </row>
    <row r="9189" spans="1:14" x14ac:dyDescent="0.25">
      <c r="A9189" t="s">
        <v>43</v>
      </c>
      <c r="B9189" t="s">
        <v>39</v>
      </c>
      <c r="C9189" t="s">
        <v>36</v>
      </c>
      <c r="D9189" t="s">
        <v>31</v>
      </c>
      <c r="E9189" t="s">
        <v>22</v>
      </c>
      <c r="F9189" t="s">
        <v>18</v>
      </c>
      <c r="G9189" s="1" t="str">
        <f t="shared" si="2026"/>
        <v>X</v>
      </c>
      <c r="H9189" s="1" t="str">
        <f t="shared" si="2026"/>
        <v>X</v>
      </c>
      <c r="I9189" s="1" t="str">
        <f t="shared" si="2026"/>
        <v>X</v>
      </c>
      <c r="J9189" s="1" t="str">
        <f t="shared" si="2026"/>
        <v>X</v>
      </c>
      <c r="K9189" s="1" t="str">
        <f t="shared" si="2026"/>
        <v>X</v>
      </c>
      <c r="L9189" s="1" t="str">
        <f t="shared" si="2026"/>
        <v>X</v>
      </c>
      <c r="M9189" s="1" t="str">
        <f t="shared" si="2026"/>
        <v>X</v>
      </c>
      <c r="N9189" t="s">
        <v>27</v>
      </c>
    </row>
    <row r="9190" spans="1:14" x14ac:dyDescent="0.25">
      <c r="A9190" t="s">
        <v>43</v>
      </c>
      <c r="B9190" t="s">
        <v>39</v>
      </c>
      <c r="C9190" t="s">
        <v>36</v>
      </c>
      <c r="D9190" t="s">
        <v>31</v>
      </c>
      <c r="E9190" t="s">
        <v>22</v>
      </c>
      <c r="F9190" t="s">
        <v>19</v>
      </c>
      <c r="G9190" s="1" t="str">
        <f t="shared" si="2026"/>
        <v>X</v>
      </c>
      <c r="H9190" s="1" t="str">
        <f t="shared" si="2026"/>
        <v>X</v>
      </c>
      <c r="I9190" s="1" t="str">
        <f t="shared" si="2026"/>
        <v>X</v>
      </c>
      <c r="J9190" s="1" t="str">
        <f t="shared" si="2026"/>
        <v>X</v>
      </c>
      <c r="K9190" s="1" t="str">
        <f t="shared" si="2026"/>
        <v>X</v>
      </c>
      <c r="L9190" s="1" t="str">
        <f t="shared" si="2026"/>
        <v>X</v>
      </c>
      <c r="M9190" s="1" t="str">
        <f t="shared" si="2026"/>
        <v>X</v>
      </c>
      <c r="N9190" t="s">
        <v>27</v>
      </c>
    </row>
    <row r="9191" spans="1:14" x14ac:dyDescent="0.25">
      <c r="A9191" t="s">
        <v>43</v>
      </c>
      <c r="B9191" t="s">
        <v>39</v>
      </c>
      <c r="C9191" t="s">
        <v>36</v>
      </c>
      <c r="D9191" t="s">
        <v>31</v>
      </c>
      <c r="E9191" t="s">
        <v>22</v>
      </c>
      <c r="F9191" t="s">
        <v>20</v>
      </c>
      <c r="G9191" s="2">
        <f>VALUE(480.03)</f>
        <v>480.03</v>
      </c>
      <c r="H9191" s="3">
        <f>VALUE(469.92)</f>
        <v>469.92</v>
      </c>
      <c r="I9191" s="4">
        <f>VALUE(3737)</f>
        <v>3737</v>
      </c>
      <c r="J9191" s="1">
        <f>VALUE(4095)</f>
        <v>4095</v>
      </c>
      <c r="K9191" s="1">
        <f>VALUE(4612)</f>
        <v>4612</v>
      </c>
      <c r="L9191" s="7">
        <f>VALUE(5196)</f>
        <v>5196</v>
      </c>
      <c r="M9191" s="8">
        <f>VALUE(6540)</f>
        <v>6540</v>
      </c>
      <c r="N9191" t="s">
        <v>25</v>
      </c>
    </row>
    <row r="9192" spans="1:14" x14ac:dyDescent="0.25">
      <c r="A9192" t="s">
        <v>43</v>
      </c>
      <c r="B9192" t="s">
        <v>39</v>
      </c>
      <c r="C9192" t="s">
        <v>36</v>
      </c>
      <c r="D9192" t="s">
        <v>31</v>
      </c>
      <c r="E9192" t="s">
        <v>23</v>
      </c>
      <c r="F9192" t="s">
        <v>15</v>
      </c>
      <c r="G9192" s="2">
        <f>VALUE(795.4)</f>
        <v>795.4</v>
      </c>
      <c r="H9192" s="3">
        <f>VALUE(785.29)</f>
        <v>785.29</v>
      </c>
      <c r="I9192" s="4">
        <f>VALUE(3631)</f>
        <v>3631</v>
      </c>
      <c r="J9192" s="5">
        <f>VALUE(3705)</f>
        <v>3705</v>
      </c>
      <c r="K9192" s="6">
        <f>VALUE(4182)</f>
        <v>4182</v>
      </c>
      <c r="L9192" s="7">
        <f>VALUE(4857)</f>
        <v>4857</v>
      </c>
      <c r="M9192" s="1">
        <f>VALUE(5456)</f>
        <v>5456</v>
      </c>
      <c r="N9192" t="s">
        <v>25</v>
      </c>
    </row>
    <row r="9193" spans="1:14" x14ac:dyDescent="0.25">
      <c r="A9193" t="s">
        <v>43</v>
      </c>
      <c r="B9193" t="s">
        <v>39</v>
      </c>
      <c r="C9193" t="s">
        <v>36</v>
      </c>
      <c r="D9193" t="s">
        <v>31</v>
      </c>
      <c r="E9193" t="s">
        <v>23</v>
      </c>
      <c r="F9193" t="s">
        <v>17</v>
      </c>
      <c r="G9193" s="1" t="str">
        <f t="shared" ref="G9193:M9194" si="2027">"..."</f>
        <v>...</v>
      </c>
      <c r="H9193" s="1" t="str">
        <f t="shared" si="2027"/>
        <v>...</v>
      </c>
      <c r="I9193" s="1" t="str">
        <f t="shared" si="2027"/>
        <v>...</v>
      </c>
      <c r="J9193" s="1" t="str">
        <f t="shared" si="2027"/>
        <v>...</v>
      </c>
      <c r="K9193" s="1" t="str">
        <f t="shared" si="2027"/>
        <v>...</v>
      </c>
      <c r="L9193" s="1" t="str">
        <f t="shared" si="2027"/>
        <v>...</v>
      </c>
      <c r="M9193" s="1" t="str">
        <f t="shared" si="2027"/>
        <v>...</v>
      </c>
      <c r="N9193" t="s">
        <v>30</v>
      </c>
    </row>
    <row r="9194" spans="1:14" x14ac:dyDescent="0.25">
      <c r="A9194" t="s">
        <v>43</v>
      </c>
      <c r="B9194" t="s">
        <v>39</v>
      </c>
      <c r="C9194" t="s">
        <v>36</v>
      </c>
      <c r="D9194" t="s">
        <v>31</v>
      </c>
      <c r="E9194" t="s">
        <v>23</v>
      </c>
      <c r="F9194" t="s">
        <v>18</v>
      </c>
      <c r="G9194" s="1" t="str">
        <f t="shared" si="2027"/>
        <v>...</v>
      </c>
      <c r="H9194" s="1" t="str">
        <f t="shared" si="2027"/>
        <v>...</v>
      </c>
      <c r="I9194" s="1" t="str">
        <f t="shared" si="2027"/>
        <v>...</v>
      </c>
      <c r="J9194" s="1" t="str">
        <f t="shared" si="2027"/>
        <v>...</v>
      </c>
      <c r="K9194" s="1" t="str">
        <f t="shared" si="2027"/>
        <v>...</v>
      </c>
      <c r="L9194" s="1" t="str">
        <f t="shared" si="2027"/>
        <v>...</v>
      </c>
      <c r="M9194" s="1" t="str">
        <f t="shared" si="2027"/>
        <v>...</v>
      </c>
      <c r="N9194" t="s">
        <v>30</v>
      </c>
    </row>
    <row r="9195" spans="1:14" x14ac:dyDescent="0.25">
      <c r="A9195" t="s">
        <v>43</v>
      </c>
      <c r="B9195" t="s">
        <v>39</v>
      </c>
      <c r="C9195" t="s">
        <v>36</v>
      </c>
      <c r="D9195" t="s">
        <v>31</v>
      </c>
      <c r="E9195" t="s">
        <v>23</v>
      </c>
      <c r="F9195" t="s">
        <v>19</v>
      </c>
      <c r="G9195" s="1" t="str">
        <f t="shared" ref="G9195:M9195" si="2028">"X"</f>
        <v>X</v>
      </c>
      <c r="H9195" s="1" t="str">
        <f t="shared" si="2028"/>
        <v>X</v>
      </c>
      <c r="I9195" s="1" t="str">
        <f t="shared" si="2028"/>
        <v>X</v>
      </c>
      <c r="J9195" s="1" t="str">
        <f t="shared" si="2028"/>
        <v>X</v>
      </c>
      <c r="K9195" s="1" t="str">
        <f t="shared" si="2028"/>
        <v>X</v>
      </c>
      <c r="L9195" s="1" t="str">
        <f t="shared" si="2028"/>
        <v>X</v>
      </c>
      <c r="M9195" s="1" t="str">
        <f t="shared" si="2028"/>
        <v>X</v>
      </c>
      <c r="N9195" t="s">
        <v>27</v>
      </c>
    </row>
    <row r="9196" spans="1:14" x14ac:dyDescent="0.25">
      <c r="A9196" t="s">
        <v>43</v>
      </c>
      <c r="B9196" t="s">
        <v>39</v>
      </c>
      <c r="C9196" t="s">
        <v>36</v>
      </c>
      <c r="D9196" t="s">
        <v>31</v>
      </c>
      <c r="E9196" t="s">
        <v>23</v>
      </c>
      <c r="F9196" t="s">
        <v>20</v>
      </c>
      <c r="G9196" s="2">
        <f>VALUE(618.12)</f>
        <v>618.12</v>
      </c>
      <c r="H9196" s="3">
        <f>VALUE(591.8)</f>
        <v>591.79999999999995</v>
      </c>
      <c r="I9196" s="1">
        <f>VALUE(3515)</f>
        <v>3515</v>
      </c>
      <c r="J9196" s="1">
        <f>VALUE(3859)</f>
        <v>3859</v>
      </c>
      <c r="K9196" s="6">
        <f>VALUE(4553)</f>
        <v>4553</v>
      </c>
      <c r="L9196" s="1">
        <f>VALUE(4944)</f>
        <v>4944</v>
      </c>
      <c r="M9196" s="8">
        <f>VALUE(5456)</f>
        <v>5456</v>
      </c>
      <c r="N9196" t="s">
        <v>25</v>
      </c>
    </row>
    <row r="9197" spans="1:14" x14ac:dyDescent="0.25">
      <c r="A9197" t="s">
        <v>43</v>
      </c>
      <c r="B9197" t="s">
        <v>39</v>
      </c>
      <c r="C9197" t="s">
        <v>36</v>
      </c>
      <c r="D9197" t="s">
        <v>31</v>
      </c>
      <c r="E9197" t="s">
        <v>26</v>
      </c>
      <c r="F9197" t="s">
        <v>15</v>
      </c>
      <c r="G9197" s="1" t="str">
        <f t="shared" ref="G9197:M9197" si="2029">"X"</f>
        <v>X</v>
      </c>
      <c r="H9197" s="1" t="str">
        <f t="shared" si="2029"/>
        <v>X</v>
      </c>
      <c r="I9197" s="1" t="str">
        <f t="shared" si="2029"/>
        <v>X</v>
      </c>
      <c r="J9197" s="1" t="str">
        <f t="shared" si="2029"/>
        <v>X</v>
      </c>
      <c r="K9197" s="1" t="str">
        <f t="shared" si="2029"/>
        <v>X</v>
      </c>
      <c r="L9197" s="1" t="str">
        <f t="shared" si="2029"/>
        <v>X</v>
      </c>
      <c r="M9197" s="1" t="str">
        <f t="shared" si="2029"/>
        <v>X</v>
      </c>
      <c r="N9197" t="s">
        <v>27</v>
      </c>
    </row>
    <row r="9198" spans="1:14" x14ac:dyDescent="0.25">
      <c r="A9198" t="s">
        <v>43</v>
      </c>
      <c r="B9198" t="s">
        <v>39</v>
      </c>
      <c r="C9198" t="s">
        <v>36</v>
      </c>
      <c r="D9198" t="s">
        <v>31</v>
      </c>
      <c r="E9198" t="s">
        <v>26</v>
      </c>
      <c r="F9198" t="s">
        <v>17</v>
      </c>
      <c r="G9198" s="1" t="str">
        <f t="shared" ref="G9198:M9198" si="2030">"..."</f>
        <v>...</v>
      </c>
      <c r="H9198" s="1" t="str">
        <f t="shared" si="2030"/>
        <v>...</v>
      </c>
      <c r="I9198" s="1" t="str">
        <f t="shared" si="2030"/>
        <v>...</v>
      </c>
      <c r="J9198" s="1" t="str">
        <f t="shared" si="2030"/>
        <v>...</v>
      </c>
      <c r="K9198" s="1" t="str">
        <f t="shared" si="2030"/>
        <v>...</v>
      </c>
      <c r="L9198" s="1" t="str">
        <f t="shared" si="2030"/>
        <v>...</v>
      </c>
      <c r="M9198" s="1" t="str">
        <f t="shared" si="2030"/>
        <v>...</v>
      </c>
      <c r="N9198" t="s">
        <v>30</v>
      </c>
    </row>
    <row r="9199" spans="1:14" x14ac:dyDescent="0.25">
      <c r="A9199" t="s">
        <v>43</v>
      </c>
      <c r="B9199" t="s">
        <v>39</v>
      </c>
      <c r="C9199" t="s">
        <v>36</v>
      </c>
      <c r="D9199" t="s">
        <v>31</v>
      </c>
      <c r="E9199" t="s">
        <v>26</v>
      </c>
      <c r="F9199" t="s">
        <v>18</v>
      </c>
      <c r="G9199" s="1" t="str">
        <f t="shared" ref="G9199:M9199" si="2031">"X"</f>
        <v>X</v>
      </c>
      <c r="H9199" s="1" t="str">
        <f t="shared" si="2031"/>
        <v>X</v>
      </c>
      <c r="I9199" s="1" t="str">
        <f t="shared" si="2031"/>
        <v>X</v>
      </c>
      <c r="J9199" s="1" t="str">
        <f t="shared" si="2031"/>
        <v>X</v>
      </c>
      <c r="K9199" s="1" t="str">
        <f t="shared" si="2031"/>
        <v>X</v>
      </c>
      <c r="L9199" s="1" t="str">
        <f t="shared" si="2031"/>
        <v>X</v>
      </c>
      <c r="M9199" s="1" t="str">
        <f t="shared" si="2031"/>
        <v>X</v>
      </c>
      <c r="N9199" t="s">
        <v>27</v>
      </c>
    </row>
    <row r="9200" spans="1:14" x14ac:dyDescent="0.25">
      <c r="A9200" t="s">
        <v>43</v>
      </c>
      <c r="B9200" t="s">
        <v>39</v>
      </c>
      <c r="C9200" t="s">
        <v>36</v>
      </c>
      <c r="D9200" t="s">
        <v>31</v>
      </c>
      <c r="E9200" t="s">
        <v>26</v>
      </c>
      <c r="F9200" t="s">
        <v>19</v>
      </c>
      <c r="G9200" s="1" t="str">
        <f t="shared" ref="G9200:M9200" si="2032">"..."</f>
        <v>...</v>
      </c>
      <c r="H9200" s="1" t="str">
        <f t="shared" si="2032"/>
        <v>...</v>
      </c>
      <c r="I9200" s="1" t="str">
        <f t="shared" si="2032"/>
        <v>...</v>
      </c>
      <c r="J9200" s="1" t="str">
        <f t="shared" si="2032"/>
        <v>...</v>
      </c>
      <c r="K9200" s="1" t="str">
        <f t="shared" si="2032"/>
        <v>...</v>
      </c>
      <c r="L9200" s="1" t="str">
        <f t="shared" si="2032"/>
        <v>...</v>
      </c>
      <c r="M9200" s="1" t="str">
        <f t="shared" si="2032"/>
        <v>...</v>
      </c>
      <c r="N9200" t="s">
        <v>30</v>
      </c>
    </row>
    <row r="9201" spans="1:14" x14ac:dyDescent="0.25">
      <c r="A9201" t="s">
        <v>43</v>
      </c>
      <c r="B9201" t="s">
        <v>39</v>
      </c>
      <c r="C9201" t="s">
        <v>36</v>
      </c>
      <c r="D9201" t="s">
        <v>31</v>
      </c>
      <c r="E9201" t="s">
        <v>26</v>
      </c>
      <c r="F9201" t="s">
        <v>20</v>
      </c>
      <c r="G9201" s="1" t="str">
        <f t="shared" ref="G9201:M9201" si="2033">"X"</f>
        <v>X</v>
      </c>
      <c r="H9201" s="1" t="str">
        <f t="shared" si="2033"/>
        <v>X</v>
      </c>
      <c r="I9201" s="1" t="str">
        <f t="shared" si="2033"/>
        <v>X</v>
      </c>
      <c r="J9201" s="1" t="str">
        <f t="shared" si="2033"/>
        <v>X</v>
      </c>
      <c r="K9201" s="1" t="str">
        <f t="shared" si="2033"/>
        <v>X</v>
      </c>
      <c r="L9201" s="1" t="str">
        <f t="shared" si="2033"/>
        <v>X</v>
      </c>
      <c r="M9201" s="1" t="str">
        <f t="shared" si="2033"/>
        <v>X</v>
      </c>
      <c r="N9201" t="s">
        <v>27</v>
      </c>
    </row>
    <row r="9202" spans="1:14" x14ac:dyDescent="0.25">
      <c r="A9202" t="s">
        <v>43</v>
      </c>
      <c r="B9202" t="s">
        <v>39</v>
      </c>
      <c r="C9202" t="s">
        <v>36</v>
      </c>
      <c r="D9202" t="s">
        <v>32</v>
      </c>
      <c r="E9202" t="s">
        <v>15</v>
      </c>
      <c r="F9202" t="s">
        <v>15</v>
      </c>
      <c r="G9202" s="1">
        <f>VALUE(6367.35)</f>
        <v>6367.35</v>
      </c>
      <c r="H9202" s="1">
        <f>VALUE(6079.85)</f>
        <v>6079.85</v>
      </c>
      <c r="I9202" s="1">
        <f>VALUE(3180)</f>
        <v>3180</v>
      </c>
      <c r="J9202" s="1">
        <f>VALUE(3611)</f>
        <v>3611</v>
      </c>
      <c r="K9202" s="1">
        <f>VALUE(4300)</f>
        <v>4300</v>
      </c>
      <c r="L9202" s="1">
        <f>VALUE(5216)</f>
        <v>5216</v>
      </c>
      <c r="M9202" s="1">
        <f>VALUE(6020)</f>
        <v>6020</v>
      </c>
      <c r="N9202" t="s">
        <v>16</v>
      </c>
    </row>
    <row r="9203" spans="1:14" x14ac:dyDescent="0.25">
      <c r="A9203" t="s">
        <v>43</v>
      </c>
      <c r="B9203" t="s">
        <v>39</v>
      </c>
      <c r="C9203" t="s">
        <v>36</v>
      </c>
      <c r="D9203" t="s">
        <v>32</v>
      </c>
      <c r="E9203" t="s">
        <v>15</v>
      </c>
      <c r="F9203" t="s">
        <v>17</v>
      </c>
      <c r="G9203" s="1" t="str">
        <f t="shared" ref="G9203:M9203" si="2034">"X"</f>
        <v>X</v>
      </c>
      <c r="H9203" s="1" t="str">
        <f t="shared" si="2034"/>
        <v>X</v>
      </c>
      <c r="I9203" s="1" t="str">
        <f t="shared" si="2034"/>
        <v>X</v>
      </c>
      <c r="J9203" s="1" t="str">
        <f t="shared" si="2034"/>
        <v>X</v>
      </c>
      <c r="K9203" s="1" t="str">
        <f t="shared" si="2034"/>
        <v>X</v>
      </c>
      <c r="L9203" s="1" t="str">
        <f t="shared" si="2034"/>
        <v>X</v>
      </c>
      <c r="M9203" s="1" t="str">
        <f t="shared" si="2034"/>
        <v>X</v>
      </c>
      <c r="N9203" t="s">
        <v>27</v>
      </c>
    </row>
    <row r="9204" spans="1:14" x14ac:dyDescent="0.25">
      <c r="A9204" t="s">
        <v>43</v>
      </c>
      <c r="B9204" t="s">
        <v>39</v>
      </c>
      <c r="C9204" t="s">
        <v>36</v>
      </c>
      <c r="D9204" t="s">
        <v>32</v>
      </c>
      <c r="E9204" t="s">
        <v>15</v>
      </c>
      <c r="F9204" t="s">
        <v>18</v>
      </c>
      <c r="G9204" s="2">
        <f>VALUE(458.46)</f>
        <v>458.46</v>
      </c>
      <c r="H9204" s="3">
        <f>VALUE(400.96)</f>
        <v>400.96</v>
      </c>
      <c r="I9204" s="4">
        <f>VALUE(3274)</f>
        <v>3274</v>
      </c>
      <c r="J9204" s="1">
        <f>VALUE(3942)</f>
        <v>3942</v>
      </c>
      <c r="K9204" s="6">
        <f>VALUE(4801)</f>
        <v>4801</v>
      </c>
      <c r="L9204" s="7">
        <f>VALUE(5972)</f>
        <v>5972</v>
      </c>
      <c r="M9204" s="8">
        <f>VALUE(7937)</f>
        <v>7937</v>
      </c>
      <c r="N9204" t="s">
        <v>25</v>
      </c>
    </row>
    <row r="9205" spans="1:14" x14ac:dyDescent="0.25">
      <c r="A9205" t="s">
        <v>43</v>
      </c>
      <c r="B9205" t="s">
        <v>39</v>
      </c>
      <c r="C9205" t="s">
        <v>36</v>
      </c>
      <c r="D9205" t="s">
        <v>32</v>
      </c>
      <c r="E9205" t="s">
        <v>15</v>
      </c>
      <c r="F9205" t="s">
        <v>19</v>
      </c>
      <c r="G9205" s="2">
        <f>VALUE(655.13)</f>
        <v>655.13</v>
      </c>
      <c r="H9205" s="3">
        <f>VALUE(654.46)</f>
        <v>654.46</v>
      </c>
      <c r="I9205" s="4">
        <f>VALUE(3214)</f>
        <v>3214</v>
      </c>
      <c r="J9205" s="1">
        <f>VALUE(4107)</f>
        <v>4107</v>
      </c>
      <c r="K9205" s="1">
        <f>VALUE(4623)</f>
        <v>4623</v>
      </c>
      <c r="L9205" s="1">
        <f>VALUE(5845)</f>
        <v>5845</v>
      </c>
      <c r="M9205" s="1">
        <f>VALUE(6762)</f>
        <v>6762</v>
      </c>
      <c r="N9205" t="s">
        <v>25</v>
      </c>
    </row>
    <row r="9206" spans="1:14" x14ac:dyDescent="0.25">
      <c r="A9206" t="s">
        <v>43</v>
      </c>
      <c r="B9206" t="s">
        <v>39</v>
      </c>
      <c r="C9206" t="s">
        <v>36</v>
      </c>
      <c r="D9206" t="s">
        <v>32</v>
      </c>
      <c r="E9206" t="s">
        <v>15</v>
      </c>
      <c r="F9206" t="s">
        <v>20</v>
      </c>
      <c r="G9206" s="1">
        <f>VALUE(5078.6)</f>
        <v>5078.6000000000004</v>
      </c>
      <c r="H9206" s="1">
        <f>VALUE(4846.67)</f>
        <v>4846.67</v>
      </c>
      <c r="I9206" s="1">
        <f>VALUE(3147)</f>
        <v>3147</v>
      </c>
      <c r="J9206" s="1">
        <f>VALUE(3523)</f>
        <v>3523</v>
      </c>
      <c r="K9206" s="1">
        <f>VALUE(4223)</f>
        <v>4223</v>
      </c>
      <c r="L9206" s="1">
        <f>VALUE(4982)</f>
        <v>4982</v>
      </c>
      <c r="M9206" s="1">
        <f>VALUE(5611)</f>
        <v>5611</v>
      </c>
      <c r="N9206" t="s">
        <v>16</v>
      </c>
    </row>
    <row r="9207" spans="1:14" x14ac:dyDescent="0.25">
      <c r="A9207" t="s">
        <v>43</v>
      </c>
      <c r="B9207" t="s">
        <v>39</v>
      </c>
      <c r="C9207" t="s">
        <v>36</v>
      </c>
      <c r="D9207" t="s">
        <v>32</v>
      </c>
      <c r="E9207" t="s">
        <v>21</v>
      </c>
      <c r="F9207" t="s">
        <v>15</v>
      </c>
      <c r="G9207" s="2">
        <f>VALUE(1287.54)</f>
        <v>1287.54</v>
      </c>
      <c r="H9207" s="3">
        <f>VALUE(1234.11)</f>
        <v>1234.1099999999999</v>
      </c>
      <c r="I9207" s="1">
        <f>VALUE(3429)</f>
        <v>3429</v>
      </c>
      <c r="J9207" s="1">
        <f>VALUE(4088)</f>
        <v>4088</v>
      </c>
      <c r="K9207" s="1">
        <f>VALUE(4894)</f>
        <v>4894</v>
      </c>
      <c r="L9207" s="1">
        <f>VALUE(5875)</f>
        <v>5875</v>
      </c>
      <c r="M9207" s="1">
        <f>VALUE(6833)</f>
        <v>6833</v>
      </c>
      <c r="N9207" t="s">
        <v>25</v>
      </c>
    </row>
    <row r="9208" spans="1:14" x14ac:dyDescent="0.25">
      <c r="A9208" t="s">
        <v>43</v>
      </c>
      <c r="B9208" t="s">
        <v>39</v>
      </c>
      <c r="C9208" t="s">
        <v>36</v>
      </c>
      <c r="D9208" t="s">
        <v>32</v>
      </c>
      <c r="E9208" t="s">
        <v>21</v>
      </c>
      <c r="F9208" t="s">
        <v>17</v>
      </c>
      <c r="G9208" s="1" t="str">
        <f t="shared" ref="G9208:M9210" si="2035">"X"</f>
        <v>X</v>
      </c>
      <c r="H9208" s="1" t="str">
        <f t="shared" si="2035"/>
        <v>X</v>
      </c>
      <c r="I9208" s="1" t="str">
        <f t="shared" si="2035"/>
        <v>X</v>
      </c>
      <c r="J9208" s="1" t="str">
        <f t="shared" si="2035"/>
        <v>X</v>
      </c>
      <c r="K9208" s="1" t="str">
        <f t="shared" si="2035"/>
        <v>X</v>
      </c>
      <c r="L9208" s="1" t="str">
        <f t="shared" si="2035"/>
        <v>X</v>
      </c>
      <c r="M9208" s="1" t="str">
        <f t="shared" si="2035"/>
        <v>X</v>
      </c>
      <c r="N9208" t="s">
        <v>27</v>
      </c>
    </row>
    <row r="9209" spans="1:14" x14ac:dyDescent="0.25">
      <c r="A9209" t="s">
        <v>43</v>
      </c>
      <c r="B9209" t="s">
        <v>39</v>
      </c>
      <c r="C9209" t="s">
        <v>36</v>
      </c>
      <c r="D9209" t="s">
        <v>32</v>
      </c>
      <c r="E9209" t="s">
        <v>21</v>
      </c>
      <c r="F9209" t="s">
        <v>18</v>
      </c>
      <c r="G9209" s="1" t="str">
        <f t="shared" si="2035"/>
        <v>X</v>
      </c>
      <c r="H9209" s="1" t="str">
        <f t="shared" si="2035"/>
        <v>X</v>
      </c>
      <c r="I9209" s="1" t="str">
        <f t="shared" si="2035"/>
        <v>X</v>
      </c>
      <c r="J9209" s="1" t="str">
        <f t="shared" si="2035"/>
        <v>X</v>
      </c>
      <c r="K9209" s="1" t="str">
        <f t="shared" si="2035"/>
        <v>X</v>
      </c>
      <c r="L9209" s="1" t="str">
        <f t="shared" si="2035"/>
        <v>X</v>
      </c>
      <c r="M9209" s="1" t="str">
        <f t="shared" si="2035"/>
        <v>X</v>
      </c>
      <c r="N9209" t="s">
        <v>27</v>
      </c>
    </row>
    <row r="9210" spans="1:14" x14ac:dyDescent="0.25">
      <c r="A9210" t="s">
        <v>43</v>
      </c>
      <c r="B9210" t="s">
        <v>39</v>
      </c>
      <c r="C9210" t="s">
        <v>36</v>
      </c>
      <c r="D9210" t="s">
        <v>32</v>
      </c>
      <c r="E9210" t="s">
        <v>21</v>
      </c>
      <c r="F9210" t="s">
        <v>19</v>
      </c>
      <c r="G9210" s="1" t="str">
        <f t="shared" si="2035"/>
        <v>X</v>
      </c>
      <c r="H9210" s="1" t="str">
        <f t="shared" si="2035"/>
        <v>X</v>
      </c>
      <c r="I9210" s="1" t="str">
        <f t="shared" si="2035"/>
        <v>X</v>
      </c>
      <c r="J9210" s="1" t="str">
        <f t="shared" si="2035"/>
        <v>X</v>
      </c>
      <c r="K9210" s="1" t="str">
        <f t="shared" si="2035"/>
        <v>X</v>
      </c>
      <c r="L9210" s="1" t="str">
        <f t="shared" si="2035"/>
        <v>X</v>
      </c>
      <c r="M9210" s="1" t="str">
        <f t="shared" si="2035"/>
        <v>X</v>
      </c>
      <c r="N9210" t="s">
        <v>27</v>
      </c>
    </row>
    <row r="9211" spans="1:14" x14ac:dyDescent="0.25">
      <c r="A9211" t="s">
        <v>43</v>
      </c>
      <c r="B9211" t="s">
        <v>39</v>
      </c>
      <c r="C9211" t="s">
        <v>36</v>
      </c>
      <c r="D9211" t="s">
        <v>32</v>
      </c>
      <c r="E9211" t="s">
        <v>21</v>
      </c>
      <c r="F9211" t="s">
        <v>20</v>
      </c>
      <c r="G9211" s="2">
        <f>VALUE(884.86)</f>
        <v>884.86</v>
      </c>
      <c r="H9211" s="3">
        <f>VALUE(840.27)</f>
        <v>840.27</v>
      </c>
      <c r="I9211" s="1">
        <f>VALUE(3323)</f>
        <v>3323</v>
      </c>
      <c r="J9211" s="1">
        <f>VALUE(3831)</f>
        <v>3831</v>
      </c>
      <c r="K9211" s="1">
        <f>VALUE(4607)</f>
        <v>4607</v>
      </c>
      <c r="L9211" s="1">
        <f>VALUE(5394)</f>
        <v>5394</v>
      </c>
      <c r="M9211" s="1">
        <f>VALUE(6245)</f>
        <v>6245</v>
      </c>
      <c r="N9211" t="s">
        <v>25</v>
      </c>
    </row>
    <row r="9212" spans="1:14" x14ac:dyDescent="0.25">
      <c r="A9212" t="s">
        <v>43</v>
      </c>
      <c r="B9212" t="s">
        <v>39</v>
      </c>
      <c r="C9212" t="s">
        <v>36</v>
      </c>
      <c r="D9212" t="s">
        <v>32</v>
      </c>
      <c r="E9212" t="s">
        <v>22</v>
      </c>
      <c r="F9212" t="s">
        <v>15</v>
      </c>
      <c r="G9212" s="2">
        <f>VALUE(2862.26)</f>
        <v>2862.26</v>
      </c>
      <c r="H9212" s="3">
        <f>VALUE(2702.5)</f>
        <v>2702.5</v>
      </c>
      <c r="I9212" s="4">
        <f>VALUE(3233)</f>
        <v>3233</v>
      </c>
      <c r="J9212" s="1">
        <f>VALUE(3721)</f>
        <v>3721</v>
      </c>
      <c r="K9212" s="1">
        <f>VALUE(4332)</f>
        <v>4332</v>
      </c>
      <c r="L9212" s="1">
        <f>VALUE(5281)</f>
        <v>5281</v>
      </c>
      <c r="M9212" s="1">
        <f>VALUE(5894)</f>
        <v>5894</v>
      </c>
      <c r="N9212" t="s">
        <v>25</v>
      </c>
    </row>
    <row r="9213" spans="1:14" x14ac:dyDescent="0.25">
      <c r="A9213" t="s">
        <v>43</v>
      </c>
      <c r="B9213" t="s">
        <v>39</v>
      </c>
      <c r="C9213" t="s">
        <v>36</v>
      </c>
      <c r="D9213" t="s">
        <v>32</v>
      </c>
      <c r="E9213" t="s">
        <v>22</v>
      </c>
      <c r="F9213" t="s">
        <v>17</v>
      </c>
      <c r="G9213" s="1" t="str">
        <f t="shared" ref="G9213:M9214" si="2036">"X"</f>
        <v>X</v>
      </c>
      <c r="H9213" s="1" t="str">
        <f t="shared" si="2036"/>
        <v>X</v>
      </c>
      <c r="I9213" s="1" t="str">
        <f t="shared" si="2036"/>
        <v>X</v>
      </c>
      <c r="J9213" s="1" t="str">
        <f t="shared" si="2036"/>
        <v>X</v>
      </c>
      <c r="K9213" s="1" t="str">
        <f t="shared" si="2036"/>
        <v>X</v>
      </c>
      <c r="L9213" s="1" t="str">
        <f t="shared" si="2036"/>
        <v>X</v>
      </c>
      <c r="M9213" s="1" t="str">
        <f t="shared" si="2036"/>
        <v>X</v>
      </c>
      <c r="N9213" t="s">
        <v>27</v>
      </c>
    </row>
    <row r="9214" spans="1:14" x14ac:dyDescent="0.25">
      <c r="A9214" t="s">
        <v>43</v>
      </c>
      <c r="B9214" t="s">
        <v>39</v>
      </c>
      <c r="C9214" t="s">
        <v>36</v>
      </c>
      <c r="D9214" t="s">
        <v>32</v>
      </c>
      <c r="E9214" t="s">
        <v>22</v>
      </c>
      <c r="F9214" t="s">
        <v>18</v>
      </c>
      <c r="G9214" s="1" t="str">
        <f t="shared" si="2036"/>
        <v>X</v>
      </c>
      <c r="H9214" s="1" t="str">
        <f t="shared" si="2036"/>
        <v>X</v>
      </c>
      <c r="I9214" s="1" t="str">
        <f t="shared" si="2036"/>
        <v>X</v>
      </c>
      <c r="J9214" s="1" t="str">
        <f t="shared" si="2036"/>
        <v>X</v>
      </c>
      <c r="K9214" s="1" t="str">
        <f t="shared" si="2036"/>
        <v>X</v>
      </c>
      <c r="L9214" s="1" t="str">
        <f t="shared" si="2036"/>
        <v>X</v>
      </c>
      <c r="M9214" s="1" t="str">
        <f t="shared" si="2036"/>
        <v>X</v>
      </c>
      <c r="N9214" t="s">
        <v>27</v>
      </c>
    </row>
    <row r="9215" spans="1:14" x14ac:dyDescent="0.25">
      <c r="A9215" t="s">
        <v>43</v>
      </c>
      <c r="B9215" t="s">
        <v>39</v>
      </c>
      <c r="C9215" t="s">
        <v>36</v>
      </c>
      <c r="D9215" t="s">
        <v>32</v>
      </c>
      <c r="E9215" t="s">
        <v>22</v>
      </c>
      <c r="F9215" t="s">
        <v>19</v>
      </c>
      <c r="G9215" s="2">
        <f>VALUE(286.05)</f>
        <v>286.05</v>
      </c>
      <c r="H9215" s="3">
        <f>VALUE(290.15)</f>
        <v>290.14999999999998</v>
      </c>
      <c r="I9215" s="4">
        <f>VALUE(3719)</f>
        <v>3719</v>
      </c>
      <c r="J9215" s="1">
        <f>VALUE(4252)</f>
        <v>4252</v>
      </c>
      <c r="K9215" s="1">
        <f>VALUE(4793)</f>
        <v>4793</v>
      </c>
      <c r="L9215" s="1">
        <f>VALUE(6079)</f>
        <v>6079</v>
      </c>
      <c r="M9215" s="1">
        <f>VALUE(6762)</f>
        <v>6762</v>
      </c>
      <c r="N9215" t="s">
        <v>25</v>
      </c>
    </row>
    <row r="9216" spans="1:14" x14ac:dyDescent="0.25">
      <c r="A9216" t="s">
        <v>43</v>
      </c>
      <c r="B9216" t="s">
        <v>39</v>
      </c>
      <c r="C9216" t="s">
        <v>36</v>
      </c>
      <c r="D9216" t="s">
        <v>32</v>
      </c>
      <c r="E9216" t="s">
        <v>22</v>
      </c>
      <c r="F9216" t="s">
        <v>20</v>
      </c>
      <c r="G9216" s="2">
        <f>VALUE(2278.8)</f>
        <v>2278.8000000000002</v>
      </c>
      <c r="H9216" s="3">
        <f>VALUE(2176.63)</f>
        <v>2176.63</v>
      </c>
      <c r="I9216" s="1">
        <f>VALUE(3206)</f>
        <v>3206</v>
      </c>
      <c r="J9216" s="1">
        <f>VALUE(3575)</f>
        <v>3575</v>
      </c>
      <c r="K9216" s="1">
        <f>VALUE(4311)</f>
        <v>4311</v>
      </c>
      <c r="L9216" s="1">
        <f>VALUE(5155)</f>
        <v>5155</v>
      </c>
      <c r="M9216" s="1">
        <f>VALUE(5611)</f>
        <v>5611</v>
      </c>
      <c r="N9216" t="s">
        <v>25</v>
      </c>
    </row>
    <row r="9217" spans="1:14" x14ac:dyDescent="0.25">
      <c r="A9217" t="s">
        <v>43</v>
      </c>
      <c r="B9217" t="s">
        <v>39</v>
      </c>
      <c r="C9217" t="s">
        <v>36</v>
      </c>
      <c r="D9217" t="s">
        <v>32</v>
      </c>
      <c r="E9217" t="s">
        <v>23</v>
      </c>
      <c r="F9217" t="s">
        <v>15</v>
      </c>
      <c r="G9217" s="2">
        <f>VALUE(2127.75)</f>
        <v>2127.75</v>
      </c>
      <c r="H9217" s="3">
        <f>VALUE(2054.61)</f>
        <v>2054.61</v>
      </c>
      <c r="I9217" s="1">
        <f>VALUE(2987)</f>
        <v>2987</v>
      </c>
      <c r="J9217" s="1">
        <f>VALUE(3407)</f>
        <v>3407</v>
      </c>
      <c r="K9217" s="1">
        <f>VALUE(3841)</f>
        <v>3841</v>
      </c>
      <c r="L9217" s="1">
        <f>VALUE(4713)</f>
        <v>4713</v>
      </c>
      <c r="M9217" s="1">
        <f>VALUE(5414)</f>
        <v>5414</v>
      </c>
      <c r="N9217" t="s">
        <v>25</v>
      </c>
    </row>
    <row r="9218" spans="1:14" x14ac:dyDescent="0.25">
      <c r="A9218" t="s">
        <v>43</v>
      </c>
      <c r="B9218" t="s">
        <v>39</v>
      </c>
      <c r="C9218" t="s">
        <v>36</v>
      </c>
      <c r="D9218" t="s">
        <v>32</v>
      </c>
      <c r="E9218" t="s">
        <v>23</v>
      </c>
      <c r="F9218" t="s">
        <v>17</v>
      </c>
      <c r="G9218" s="1" t="str">
        <f t="shared" ref="G9218:M9220" si="2037">"X"</f>
        <v>X</v>
      </c>
      <c r="H9218" s="1" t="str">
        <f t="shared" si="2037"/>
        <v>X</v>
      </c>
      <c r="I9218" s="1" t="str">
        <f t="shared" si="2037"/>
        <v>X</v>
      </c>
      <c r="J9218" s="1" t="str">
        <f t="shared" si="2037"/>
        <v>X</v>
      </c>
      <c r="K9218" s="1" t="str">
        <f t="shared" si="2037"/>
        <v>X</v>
      </c>
      <c r="L9218" s="1" t="str">
        <f t="shared" si="2037"/>
        <v>X</v>
      </c>
      <c r="M9218" s="1" t="str">
        <f t="shared" si="2037"/>
        <v>X</v>
      </c>
      <c r="N9218" t="s">
        <v>27</v>
      </c>
    </row>
    <row r="9219" spans="1:14" x14ac:dyDescent="0.25">
      <c r="A9219" t="s">
        <v>43</v>
      </c>
      <c r="B9219" t="s">
        <v>39</v>
      </c>
      <c r="C9219" t="s">
        <v>36</v>
      </c>
      <c r="D9219" t="s">
        <v>32</v>
      </c>
      <c r="E9219" t="s">
        <v>23</v>
      </c>
      <c r="F9219" t="s">
        <v>18</v>
      </c>
      <c r="G9219" s="1" t="str">
        <f t="shared" si="2037"/>
        <v>X</v>
      </c>
      <c r="H9219" s="1" t="str">
        <f t="shared" si="2037"/>
        <v>X</v>
      </c>
      <c r="I9219" s="1" t="str">
        <f t="shared" si="2037"/>
        <v>X</v>
      </c>
      <c r="J9219" s="1" t="str">
        <f t="shared" si="2037"/>
        <v>X</v>
      </c>
      <c r="K9219" s="1" t="str">
        <f t="shared" si="2037"/>
        <v>X</v>
      </c>
      <c r="L9219" s="1" t="str">
        <f t="shared" si="2037"/>
        <v>X</v>
      </c>
      <c r="M9219" s="1" t="str">
        <f t="shared" si="2037"/>
        <v>X</v>
      </c>
      <c r="N9219" t="s">
        <v>27</v>
      </c>
    </row>
    <row r="9220" spans="1:14" x14ac:dyDescent="0.25">
      <c r="A9220" t="s">
        <v>43</v>
      </c>
      <c r="B9220" t="s">
        <v>39</v>
      </c>
      <c r="C9220" t="s">
        <v>36</v>
      </c>
      <c r="D9220" t="s">
        <v>32</v>
      </c>
      <c r="E9220" t="s">
        <v>23</v>
      </c>
      <c r="F9220" t="s">
        <v>19</v>
      </c>
      <c r="G9220" s="1" t="str">
        <f t="shared" si="2037"/>
        <v>X</v>
      </c>
      <c r="H9220" s="1" t="str">
        <f t="shared" si="2037"/>
        <v>X</v>
      </c>
      <c r="I9220" s="1" t="str">
        <f t="shared" si="2037"/>
        <v>X</v>
      </c>
      <c r="J9220" s="1" t="str">
        <f t="shared" si="2037"/>
        <v>X</v>
      </c>
      <c r="K9220" s="1" t="str">
        <f t="shared" si="2037"/>
        <v>X</v>
      </c>
      <c r="L9220" s="1" t="str">
        <f t="shared" si="2037"/>
        <v>X</v>
      </c>
      <c r="M9220" s="1" t="str">
        <f t="shared" si="2037"/>
        <v>X</v>
      </c>
      <c r="N9220" t="s">
        <v>27</v>
      </c>
    </row>
    <row r="9221" spans="1:14" x14ac:dyDescent="0.25">
      <c r="A9221" t="s">
        <v>43</v>
      </c>
      <c r="B9221" t="s">
        <v>39</v>
      </c>
      <c r="C9221" t="s">
        <v>36</v>
      </c>
      <c r="D9221" t="s">
        <v>32</v>
      </c>
      <c r="E9221" t="s">
        <v>23</v>
      </c>
      <c r="F9221" t="s">
        <v>20</v>
      </c>
      <c r="G9221" s="2">
        <f>VALUE(1835.74)</f>
        <v>1835.74</v>
      </c>
      <c r="H9221" s="3">
        <f>VALUE(1752.13)</f>
        <v>1752.13</v>
      </c>
      <c r="I9221" s="1">
        <f>VALUE(3014)</f>
        <v>3014</v>
      </c>
      <c r="J9221" s="1">
        <f>VALUE(3381)</f>
        <v>3381</v>
      </c>
      <c r="K9221" s="1">
        <f>VALUE(3792)</f>
        <v>3792</v>
      </c>
      <c r="L9221" s="1">
        <f>VALUE(4584)</f>
        <v>4584</v>
      </c>
      <c r="M9221" s="1">
        <f>VALUE(5349)</f>
        <v>5349</v>
      </c>
      <c r="N9221" t="s">
        <v>25</v>
      </c>
    </row>
    <row r="9222" spans="1:14" x14ac:dyDescent="0.25">
      <c r="A9222" t="s">
        <v>43</v>
      </c>
      <c r="B9222" t="s">
        <v>39</v>
      </c>
      <c r="C9222" t="s">
        <v>36</v>
      </c>
      <c r="D9222" t="s">
        <v>32</v>
      </c>
      <c r="E9222" t="s">
        <v>26</v>
      </c>
      <c r="F9222" t="s">
        <v>15</v>
      </c>
      <c r="G9222" s="1" t="str">
        <f t="shared" ref="G9222:M9231" si="2038">"X"</f>
        <v>X</v>
      </c>
      <c r="H9222" s="1" t="str">
        <f t="shared" si="2038"/>
        <v>X</v>
      </c>
      <c r="I9222" s="1" t="str">
        <f t="shared" si="2038"/>
        <v>X</v>
      </c>
      <c r="J9222" s="1" t="str">
        <f t="shared" si="2038"/>
        <v>X</v>
      </c>
      <c r="K9222" s="1" t="str">
        <f t="shared" si="2038"/>
        <v>X</v>
      </c>
      <c r="L9222" s="1" t="str">
        <f t="shared" si="2038"/>
        <v>X</v>
      </c>
      <c r="M9222" s="1" t="str">
        <f t="shared" si="2038"/>
        <v>X</v>
      </c>
      <c r="N9222" t="s">
        <v>27</v>
      </c>
    </row>
    <row r="9223" spans="1:14" x14ac:dyDescent="0.25">
      <c r="A9223" t="s">
        <v>43</v>
      </c>
      <c r="B9223" t="s">
        <v>39</v>
      </c>
      <c r="C9223" t="s">
        <v>36</v>
      </c>
      <c r="D9223" t="s">
        <v>32</v>
      </c>
      <c r="E9223" t="s">
        <v>26</v>
      </c>
      <c r="F9223" t="s">
        <v>17</v>
      </c>
      <c r="G9223" s="1" t="str">
        <f t="shared" si="2038"/>
        <v>X</v>
      </c>
      <c r="H9223" s="1" t="str">
        <f t="shared" si="2038"/>
        <v>X</v>
      </c>
      <c r="I9223" s="1" t="str">
        <f t="shared" si="2038"/>
        <v>X</v>
      </c>
      <c r="J9223" s="1" t="str">
        <f t="shared" si="2038"/>
        <v>X</v>
      </c>
      <c r="K9223" s="1" t="str">
        <f t="shared" si="2038"/>
        <v>X</v>
      </c>
      <c r="L9223" s="1" t="str">
        <f t="shared" si="2038"/>
        <v>X</v>
      </c>
      <c r="M9223" s="1" t="str">
        <f t="shared" si="2038"/>
        <v>X</v>
      </c>
      <c r="N9223" t="s">
        <v>27</v>
      </c>
    </row>
    <row r="9224" spans="1:14" x14ac:dyDescent="0.25">
      <c r="A9224" t="s">
        <v>43</v>
      </c>
      <c r="B9224" t="s">
        <v>39</v>
      </c>
      <c r="C9224" t="s">
        <v>36</v>
      </c>
      <c r="D9224" t="s">
        <v>32</v>
      </c>
      <c r="E9224" t="s">
        <v>26</v>
      </c>
      <c r="F9224" t="s">
        <v>18</v>
      </c>
      <c r="G9224" s="1" t="str">
        <f t="shared" si="2038"/>
        <v>X</v>
      </c>
      <c r="H9224" s="1" t="str">
        <f t="shared" si="2038"/>
        <v>X</v>
      </c>
      <c r="I9224" s="1" t="str">
        <f t="shared" si="2038"/>
        <v>X</v>
      </c>
      <c r="J9224" s="1" t="str">
        <f t="shared" si="2038"/>
        <v>X</v>
      </c>
      <c r="K9224" s="1" t="str">
        <f t="shared" si="2038"/>
        <v>X</v>
      </c>
      <c r="L9224" s="1" t="str">
        <f t="shared" si="2038"/>
        <v>X</v>
      </c>
      <c r="M9224" s="1" t="str">
        <f t="shared" si="2038"/>
        <v>X</v>
      </c>
      <c r="N9224" t="s">
        <v>27</v>
      </c>
    </row>
    <row r="9225" spans="1:14" x14ac:dyDescent="0.25">
      <c r="A9225" t="s">
        <v>43</v>
      </c>
      <c r="B9225" t="s">
        <v>39</v>
      </c>
      <c r="C9225" t="s">
        <v>36</v>
      </c>
      <c r="D9225" t="s">
        <v>32</v>
      </c>
      <c r="E9225" t="s">
        <v>26</v>
      </c>
      <c r="F9225" t="s">
        <v>19</v>
      </c>
      <c r="G9225" s="1" t="str">
        <f t="shared" si="2038"/>
        <v>X</v>
      </c>
      <c r="H9225" s="1" t="str">
        <f t="shared" si="2038"/>
        <v>X</v>
      </c>
      <c r="I9225" s="1" t="str">
        <f t="shared" si="2038"/>
        <v>X</v>
      </c>
      <c r="J9225" s="1" t="str">
        <f t="shared" si="2038"/>
        <v>X</v>
      </c>
      <c r="K9225" s="1" t="str">
        <f t="shared" si="2038"/>
        <v>X</v>
      </c>
      <c r="L9225" s="1" t="str">
        <f t="shared" si="2038"/>
        <v>X</v>
      </c>
      <c r="M9225" s="1" t="str">
        <f t="shared" si="2038"/>
        <v>X</v>
      </c>
      <c r="N9225" t="s">
        <v>27</v>
      </c>
    </row>
    <row r="9226" spans="1:14" x14ac:dyDescent="0.25">
      <c r="A9226" t="s">
        <v>43</v>
      </c>
      <c r="B9226" t="s">
        <v>39</v>
      </c>
      <c r="C9226" t="s">
        <v>36</v>
      </c>
      <c r="D9226" t="s">
        <v>32</v>
      </c>
      <c r="E9226" t="s">
        <v>26</v>
      </c>
      <c r="F9226" t="s">
        <v>20</v>
      </c>
      <c r="G9226" s="1" t="str">
        <f t="shared" si="2038"/>
        <v>X</v>
      </c>
      <c r="H9226" s="1" t="str">
        <f t="shared" si="2038"/>
        <v>X</v>
      </c>
      <c r="I9226" s="1" t="str">
        <f t="shared" si="2038"/>
        <v>X</v>
      </c>
      <c r="J9226" s="1" t="str">
        <f t="shared" si="2038"/>
        <v>X</v>
      </c>
      <c r="K9226" s="1" t="str">
        <f t="shared" si="2038"/>
        <v>X</v>
      </c>
      <c r="L9226" s="1" t="str">
        <f t="shared" si="2038"/>
        <v>X</v>
      </c>
      <c r="M9226" s="1" t="str">
        <f t="shared" si="2038"/>
        <v>X</v>
      </c>
      <c r="N9226" t="s">
        <v>27</v>
      </c>
    </row>
    <row r="9227" spans="1:14" x14ac:dyDescent="0.25">
      <c r="A9227" t="s">
        <v>43</v>
      </c>
      <c r="B9227" t="s">
        <v>39</v>
      </c>
      <c r="C9227" t="s">
        <v>36</v>
      </c>
      <c r="D9227" t="s">
        <v>33</v>
      </c>
      <c r="E9227" t="s">
        <v>15</v>
      </c>
      <c r="F9227" t="s">
        <v>15</v>
      </c>
      <c r="G9227" s="1" t="str">
        <f t="shared" si="2038"/>
        <v>X</v>
      </c>
      <c r="H9227" s="1" t="str">
        <f t="shared" si="2038"/>
        <v>X</v>
      </c>
      <c r="I9227" s="1" t="str">
        <f t="shared" si="2038"/>
        <v>X</v>
      </c>
      <c r="J9227" s="1" t="str">
        <f t="shared" si="2038"/>
        <v>X</v>
      </c>
      <c r="K9227" s="1" t="str">
        <f t="shared" si="2038"/>
        <v>X</v>
      </c>
      <c r="L9227" s="1" t="str">
        <f t="shared" si="2038"/>
        <v>X</v>
      </c>
      <c r="M9227" s="1" t="str">
        <f t="shared" si="2038"/>
        <v>X</v>
      </c>
      <c r="N9227" t="s">
        <v>27</v>
      </c>
    </row>
    <row r="9228" spans="1:14" x14ac:dyDescent="0.25">
      <c r="A9228" t="s">
        <v>43</v>
      </c>
      <c r="B9228" t="s">
        <v>39</v>
      </c>
      <c r="C9228" t="s">
        <v>36</v>
      </c>
      <c r="D9228" t="s">
        <v>33</v>
      </c>
      <c r="E9228" t="s">
        <v>15</v>
      </c>
      <c r="F9228" t="s">
        <v>17</v>
      </c>
      <c r="G9228" s="1" t="str">
        <f t="shared" si="2038"/>
        <v>X</v>
      </c>
      <c r="H9228" s="1" t="str">
        <f t="shared" si="2038"/>
        <v>X</v>
      </c>
      <c r="I9228" s="1" t="str">
        <f t="shared" si="2038"/>
        <v>X</v>
      </c>
      <c r="J9228" s="1" t="str">
        <f t="shared" si="2038"/>
        <v>X</v>
      </c>
      <c r="K9228" s="1" t="str">
        <f t="shared" si="2038"/>
        <v>X</v>
      </c>
      <c r="L9228" s="1" t="str">
        <f t="shared" si="2038"/>
        <v>X</v>
      </c>
      <c r="M9228" s="1" t="str">
        <f t="shared" si="2038"/>
        <v>X</v>
      </c>
      <c r="N9228" t="s">
        <v>27</v>
      </c>
    </row>
    <row r="9229" spans="1:14" x14ac:dyDescent="0.25">
      <c r="A9229" t="s">
        <v>43</v>
      </c>
      <c r="B9229" t="s">
        <v>39</v>
      </c>
      <c r="C9229" t="s">
        <v>36</v>
      </c>
      <c r="D9229" t="s">
        <v>33</v>
      </c>
      <c r="E9229" t="s">
        <v>15</v>
      </c>
      <c r="F9229" t="s">
        <v>18</v>
      </c>
      <c r="G9229" s="1" t="str">
        <f t="shared" si="2038"/>
        <v>X</v>
      </c>
      <c r="H9229" s="1" t="str">
        <f t="shared" si="2038"/>
        <v>X</v>
      </c>
      <c r="I9229" s="1" t="str">
        <f t="shared" si="2038"/>
        <v>X</v>
      </c>
      <c r="J9229" s="1" t="str">
        <f t="shared" si="2038"/>
        <v>X</v>
      </c>
      <c r="K9229" s="1" t="str">
        <f t="shared" si="2038"/>
        <v>X</v>
      </c>
      <c r="L9229" s="1" t="str">
        <f t="shared" si="2038"/>
        <v>X</v>
      </c>
      <c r="M9229" s="1" t="str">
        <f t="shared" si="2038"/>
        <v>X</v>
      </c>
      <c r="N9229" t="s">
        <v>27</v>
      </c>
    </row>
    <row r="9230" spans="1:14" x14ac:dyDescent="0.25">
      <c r="A9230" t="s">
        <v>43</v>
      </c>
      <c r="B9230" t="s">
        <v>39</v>
      </c>
      <c r="C9230" t="s">
        <v>36</v>
      </c>
      <c r="D9230" t="s">
        <v>33</v>
      </c>
      <c r="E9230" t="s">
        <v>15</v>
      </c>
      <c r="F9230" t="s">
        <v>19</v>
      </c>
      <c r="G9230" s="1" t="str">
        <f t="shared" si="2038"/>
        <v>X</v>
      </c>
      <c r="H9230" s="1" t="str">
        <f t="shared" si="2038"/>
        <v>X</v>
      </c>
      <c r="I9230" s="1" t="str">
        <f t="shared" si="2038"/>
        <v>X</v>
      </c>
      <c r="J9230" s="1" t="str">
        <f t="shared" si="2038"/>
        <v>X</v>
      </c>
      <c r="K9230" s="1" t="str">
        <f t="shared" si="2038"/>
        <v>X</v>
      </c>
      <c r="L9230" s="1" t="str">
        <f t="shared" si="2038"/>
        <v>X</v>
      </c>
      <c r="M9230" s="1" t="str">
        <f t="shared" si="2038"/>
        <v>X</v>
      </c>
      <c r="N9230" t="s">
        <v>27</v>
      </c>
    </row>
    <row r="9231" spans="1:14" x14ac:dyDescent="0.25">
      <c r="A9231" t="s">
        <v>43</v>
      </c>
      <c r="B9231" t="s">
        <v>39</v>
      </c>
      <c r="C9231" t="s">
        <v>36</v>
      </c>
      <c r="D9231" t="s">
        <v>33</v>
      </c>
      <c r="E9231" t="s">
        <v>15</v>
      </c>
      <c r="F9231" t="s">
        <v>20</v>
      </c>
      <c r="G9231" s="1" t="str">
        <f t="shared" si="2038"/>
        <v>X</v>
      </c>
      <c r="H9231" s="1" t="str">
        <f t="shared" si="2038"/>
        <v>X</v>
      </c>
      <c r="I9231" s="1" t="str">
        <f t="shared" si="2038"/>
        <v>X</v>
      </c>
      <c r="J9231" s="1" t="str">
        <f t="shared" si="2038"/>
        <v>X</v>
      </c>
      <c r="K9231" s="1" t="str">
        <f t="shared" si="2038"/>
        <v>X</v>
      </c>
      <c r="L9231" s="1" t="str">
        <f t="shared" si="2038"/>
        <v>X</v>
      </c>
      <c r="M9231" s="1" t="str">
        <f t="shared" si="2038"/>
        <v>X</v>
      </c>
      <c r="N9231" t="s">
        <v>27</v>
      </c>
    </row>
    <row r="9232" spans="1:14" x14ac:dyDescent="0.25">
      <c r="A9232" t="s">
        <v>43</v>
      </c>
      <c r="B9232" t="s">
        <v>39</v>
      </c>
      <c r="C9232" t="s">
        <v>36</v>
      </c>
      <c r="D9232" t="s">
        <v>33</v>
      </c>
      <c r="E9232" t="s">
        <v>21</v>
      </c>
      <c r="F9232" t="s">
        <v>15</v>
      </c>
      <c r="G9232" s="1" t="str">
        <f t="shared" ref="G9232:M9237" si="2039">"X"</f>
        <v>X</v>
      </c>
      <c r="H9232" s="1" t="str">
        <f t="shared" si="2039"/>
        <v>X</v>
      </c>
      <c r="I9232" s="1" t="str">
        <f t="shared" si="2039"/>
        <v>X</v>
      </c>
      <c r="J9232" s="1" t="str">
        <f t="shared" si="2039"/>
        <v>X</v>
      </c>
      <c r="K9232" s="1" t="str">
        <f t="shared" si="2039"/>
        <v>X</v>
      </c>
      <c r="L9232" s="1" t="str">
        <f t="shared" si="2039"/>
        <v>X</v>
      </c>
      <c r="M9232" s="1" t="str">
        <f t="shared" si="2039"/>
        <v>X</v>
      </c>
      <c r="N9232" t="s">
        <v>27</v>
      </c>
    </row>
    <row r="9233" spans="1:14" x14ac:dyDescent="0.25">
      <c r="A9233" t="s">
        <v>43</v>
      </c>
      <c r="B9233" t="s">
        <v>39</v>
      </c>
      <c r="C9233" t="s">
        <v>36</v>
      </c>
      <c r="D9233" t="s">
        <v>33</v>
      </c>
      <c r="E9233" t="s">
        <v>21</v>
      </c>
      <c r="F9233" t="s">
        <v>17</v>
      </c>
      <c r="G9233" s="1" t="str">
        <f t="shared" si="2039"/>
        <v>X</v>
      </c>
      <c r="H9233" s="1" t="str">
        <f t="shared" si="2039"/>
        <v>X</v>
      </c>
      <c r="I9233" s="1" t="str">
        <f t="shared" si="2039"/>
        <v>X</v>
      </c>
      <c r="J9233" s="1" t="str">
        <f t="shared" si="2039"/>
        <v>X</v>
      </c>
      <c r="K9233" s="1" t="str">
        <f t="shared" si="2039"/>
        <v>X</v>
      </c>
      <c r="L9233" s="1" t="str">
        <f t="shared" si="2039"/>
        <v>X</v>
      </c>
      <c r="M9233" s="1" t="str">
        <f t="shared" si="2039"/>
        <v>X</v>
      </c>
      <c r="N9233" t="s">
        <v>27</v>
      </c>
    </row>
    <row r="9234" spans="1:14" x14ac:dyDescent="0.25">
      <c r="A9234" t="s">
        <v>43</v>
      </c>
      <c r="B9234" t="s">
        <v>39</v>
      </c>
      <c r="C9234" t="s">
        <v>36</v>
      </c>
      <c r="D9234" t="s">
        <v>33</v>
      </c>
      <c r="E9234" t="s">
        <v>21</v>
      </c>
      <c r="F9234" t="s">
        <v>18</v>
      </c>
      <c r="G9234" s="1" t="str">
        <f t="shared" si="2039"/>
        <v>X</v>
      </c>
      <c r="H9234" s="1" t="str">
        <f t="shared" si="2039"/>
        <v>X</v>
      </c>
      <c r="I9234" s="1" t="str">
        <f t="shared" si="2039"/>
        <v>X</v>
      </c>
      <c r="J9234" s="1" t="str">
        <f t="shared" si="2039"/>
        <v>X</v>
      </c>
      <c r="K9234" s="1" t="str">
        <f t="shared" si="2039"/>
        <v>X</v>
      </c>
      <c r="L9234" s="1" t="str">
        <f t="shared" si="2039"/>
        <v>X</v>
      </c>
      <c r="M9234" s="1" t="str">
        <f t="shared" si="2039"/>
        <v>X</v>
      </c>
      <c r="N9234" t="s">
        <v>27</v>
      </c>
    </row>
    <row r="9235" spans="1:14" x14ac:dyDescent="0.25">
      <c r="A9235" t="s">
        <v>43</v>
      </c>
      <c r="B9235" t="s">
        <v>39</v>
      </c>
      <c r="C9235" t="s">
        <v>36</v>
      </c>
      <c r="D9235" t="s">
        <v>33</v>
      </c>
      <c r="E9235" t="s">
        <v>21</v>
      </c>
      <c r="F9235" t="s">
        <v>19</v>
      </c>
      <c r="G9235" s="1" t="str">
        <f t="shared" si="2039"/>
        <v>X</v>
      </c>
      <c r="H9235" s="1" t="str">
        <f t="shared" si="2039"/>
        <v>X</v>
      </c>
      <c r="I9235" s="1" t="str">
        <f t="shared" si="2039"/>
        <v>X</v>
      </c>
      <c r="J9235" s="1" t="str">
        <f t="shared" si="2039"/>
        <v>X</v>
      </c>
      <c r="K9235" s="1" t="str">
        <f t="shared" si="2039"/>
        <v>X</v>
      </c>
      <c r="L9235" s="1" t="str">
        <f t="shared" si="2039"/>
        <v>X</v>
      </c>
      <c r="M9235" s="1" t="str">
        <f t="shared" si="2039"/>
        <v>X</v>
      </c>
      <c r="N9235" t="s">
        <v>27</v>
      </c>
    </row>
    <row r="9236" spans="1:14" x14ac:dyDescent="0.25">
      <c r="A9236" t="s">
        <v>43</v>
      </c>
      <c r="B9236" t="s">
        <v>39</v>
      </c>
      <c r="C9236" t="s">
        <v>36</v>
      </c>
      <c r="D9236" t="s">
        <v>33</v>
      </c>
      <c r="E9236" t="s">
        <v>21</v>
      </c>
      <c r="F9236" t="s">
        <v>20</v>
      </c>
      <c r="G9236" s="1" t="str">
        <f t="shared" si="2039"/>
        <v>X</v>
      </c>
      <c r="H9236" s="1" t="str">
        <f t="shared" si="2039"/>
        <v>X</v>
      </c>
      <c r="I9236" s="1" t="str">
        <f t="shared" si="2039"/>
        <v>X</v>
      </c>
      <c r="J9236" s="1" t="str">
        <f t="shared" si="2039"/>
        <v>X</v>
      </c>
      <c r="K9236" s="1" t="str">
        <f t="shared" si="2039"/>
        <v>X</v>
      </c>
      <c r="L9236" s="1" t="str">
        <f t="shared" si="2039"/>
        <v>X</v>
      </c>
      <c r="M9236" s="1" t="str">
        <f t="shared" si="2039"/>
        <v>X</v>
      </c>
      <c r="N9236" t="s">
        <v>27</v>
      </c>
    </row>
    <row r="9237" spans="1:14" x14ac:dyDescent="0.25">
      <c r="A9237" t="s">
        <v>43</v>
      </c>
      <c r="B9237" t="s">
        <v>39</v>
      </c>
      <c r="C9237" t="s">
        <v>36</v>
      </c>
      <c r="D9237" t="s">
        <v>33</v>
      </c>
      <c r="E9237" t="s">
        <v>22</v>
      </c>
      <c r="F9237" t="s">
        <v>15</v>
      </c>
      <c r="G9237" s="1" t="str">
        <f t="shared" si="2039"/>
        <v>X</v>
      </c>
      <c r="H9237" s="1" t="str">
        <f t="shared" si="2039"/>
        <v>X</v>
      </c>
      <c r="I9237" s="1" t="str">
        <f t="shared" si="2039"/>
        <v>X</v>
      </c>
      <c r="J9237" s="1" t="str">
        <f t="shared" si="2039"/>
        <v>X</v>
      </c>
      <c r="K9237" s="1" t="str">
        <f t="shared" si="2039"/>
        <v>X</v>
      </c>
      <c r="L9237" s="1" t="str">
        <f t="shared" si="2039"/>
        <v>X</v>
      </c>
      <c r="M9237" s="1" t="str">
        <f t="shared" si="2039"/>
        <v>X</v>
      </c>
      <c r="N9237" t="s">
        <v>27</v>
      </c>
    </row>
    <row r="9238" spans="1:14" x14ac:dyDescent="0.25">
      <c r="A9238" t="s">
        <v>43</v>
      </c>
      <c r="B9238" t="s">
        <v>39</v>
      </c>
      <c r="C9238" t="s">
        <v>36</v>
      </c>
      <c r="D9238" t="s">
        <v>33</v>
      </c>
      <c r="E9238" t="s">
        <v>22</v>
      </c>
      <c r="F9238" t="s">
        <v>17</v>
      </c>
      <c r="G9238" s="1" t="str">
        <f t="shared" ref="G9238:M9240" si="2040">"..."</f>
        <v>...</v>
      </c>
      <c r="H9238" s="1" t="str">
        <f t="shared" si="2040"/>
        <v>...</v>
      </c>
      <c r="I9238" s="1" t="str">
        <f t="shared" si="2040"/>
        <v>...</v>
      </c>
      <c r="J9238" s="1" t="str">
        <f t="shared" si="2040"/>
        <v>...</v>
      </c>
      <c r="K9238" s="1" t="str">
        <f t="shared" si="2040"/>
        <v>...</v>
      </c>
      <c r="L9238" s="1" t="str">
        <f t="shared" si="2040"/>
        <v>...</v>
      </c>
      <c r="M9238" s="1" t="str">
        <f t="shared" si="2040"/>
        <v>...</v>
      </c>
      <c r="N9238" t="s">
        <v>30</v>
      </c>
    </row>
    <row r="9239" spans="1:14" x14ac:dyDescent="0.25">
      <c r="A9239" t="s">
        <v>43</v>
      </c>
      <c r="B9239" t="s">
        <v>39</v>
      </c>
      <c r="C9239" t="s">
        <v>36</v>
      </c>
      <c r="D9239" t="s">
        <v>33</v>
      </c>
      <c r="E9239" t="s">
        <v>22</v>
      </c>
      <c r="F9239" t="s">
        <v>18</v>
      </c>
      <c r="G9239" s="1" t="str">
        <f t="shared" si="2040"/>
        <v>...</v>
      </c>
      <c r="H9239" s="1" t="str">
        <f t="shared" si="2040"/>
        <v>...</v>
      </c>
      <c r="I9239" s="1" t="str">
        <f t="shared" si="2040"/>
        <v>...</v>
      </c>
      <c r="J9239" s="1" t="str">
        <f t="shared" si="2040"/>
        <v>...</v>
      </c>
      <c r="K9239" s="1" t="str">
        <f t="shared" si="2040"/>
        <v>...</v>
      </c>
      <c r="L9239" s="1" t="str">
        <f t="shared" si="2040"/>
        <v>...</v>
      </c>
      <c r="M9239" s="1" t="str">
        <f t="shared" si="2040"/>
        <v>...</v>
      </c>
      <c r="N9239" t="s">
        <v>30</v>
      </c>
    </row>
    <row r="9240" spans="1:14" x14ac:dyDescent="0.25">
      <c r="A9240" t="s">
        <v>43</v>
      </c>
      <c r="B9240" t="s">
        <v>39</v>
      </c>
      <c r="C9240" t="s">
        <v>36</v>
      </c>
      <c r="D9240" t="s">
        <v>33</v>
      </c>
      <c r="E9240" t="s">
        <v>22</v>
      </c>
      <c r="F9240" t="s">
        <v>19</v>
      </c>
      <c r="G9240" s="1" t="str">
        <f t="shared" si="2040"/>
        <v>...</v>
      </c>
      <c r="H9240" s="1" t="str">
        <f t="shared" si="2040"/>
        <v>...</v>
      </c>
      <c r="I9240" s="1" t="str">
        <f t="shared" si="2040"/>
        <v>...</v>
      </c>
      <c r="J9240" s="1" t="str">
        <f t="shared" si="2040"/>
        <v>...</v>
      </c>
      <c r="K9240" s="1" t="str">
        <f t="shared" si="2040"/>
        <v>...</v>
      </c>
      <c r="L9240" s="1" t="str">
        <f t="shared" si="2040"/>
        <v>...</v>
      </c>
      <c r="M9240" s="1" t="str">
        <f t="shared" si="2040"/>
        <v>...</v>
      </c>
      <c r="N9240" t="s">
        <v>30</v>
      </c>
    </row>
    <row r="9241" spans="1:14" x14ac:dyDescent="0.25">
      <c r="A9241" t="s">
        <v>43</v>
      </c>
      <c r="B9241" t="s">
        <v>39</v>
      </c>
      <c r="C9241" t="s">
        <v>36</v>
      </c>
      <c r="D9241" t="s">
        <v>33</v>
      </c>
      <c r="E9241" t="s">
        <v>22</v>
      </c>
      <c r="F9241" t="s">
        <v>20</v>
      </c>
      <c r="G9241" s="1" t="str">
        <f t="shared" ref="G9241:M9242" si="2041">"X"</f>
        <v>X</v>
      </c>
      <c r="H9241" s="1" t="str">
        <f t="shared" si="2041"/>
        <v>X</v>
      </c>
      <c r="I9241" s="1" t="str">
        <f t="shared" si="2041"/>
        <v>X</v>
      </c>
      <c r="J9241" s="1" t="str">
        <f t="shared" si="2041"/>
        <v>X</v>
      </c>
      <c r="K9241" s="1" t="str">
        <f t="shared" si="2041"/>
        <v>X</v>
      </c>
      <c r="L9241" s="1" t="str">
        <f t="shared" si="2041"/>
        <v>X</v>
      </c>
      <c r="M9241" s="1" t="str">
        <f t="shared" si="2041"/>
        <v>X</v>
      </c>
      <c r="N9241" t="s">
        <v>27</v>
      </c>
    </row>
    <row r="9242" spans="1:14" x14ac:dyDescent="0.25">
      <c r="A9242" t="s">
        <v>43</v>
      </c>
      <c r="B9242" t="s">
        <v>39</v>
      </c>
      <c r="C9242" t="s">
        <v>36</v>
      </c>
      <c r="D9242" t="s">
        <v>33</v>
      </c>
      <c r="E9242" t="s">
        <v>23</v>
      </c>
      <c r="F9242" t="s">
        <v>15</v>
      </c>
      <c r="G9242" s="1" t="str">
        <f t="shared" si="2041"/>
        <v>X</v>
      </c>
      <c r="H9242" s="1" t="str">
        <f t="shared" si="2041"/>
        <v>X</v>
      </c>
      <c r="I9242" s="1" t="str">
        <f t="shared" si="2041"/>
        <v>X</v>
      </c>
      <c r="J9242" s="1" t="str">
        <f t="shared" si="2041"/>
        <v>X</v>
      </c>
      <c r="K9242" s="1" t="str">
        <f t="shared" si="2041"/>
        <v>X</v>
      </c>
      <c r="L9242" s="1" t="str">
        <f t="shared" si="2041"/>
        <v>X</v>
      </c>
      <c r="M9242" s="1" t="str">
        <f t="shared" si="2041"/>
        <v>X</v>
      </c>
      <c r="N9242" t="s">
        <v>27</v>
      </c>
    </row>
    <row r="9243" spans="1:14" x14ac:dyDescent="0.25">
      <c r="A9243" t="s">
        <v>43</v>
      </c>
      <c r="B9243" t="s">
        <v>39</v>
      </c>
      <c r="C9243" t="s">
        <v>36</v>
      </c>
      <c r="D9243" t="s">
        <v>33</v>
      </c>
      <c r="E9243" t="s">
        <v>23</v>
      </c>
      <c r="F9243" t="s">
        <v>17</v>
      </c>
      <c r="G9243" s="1" t="str">
        <f t="shared" ref="G9243:M9245" si="2042">"..."</f>
        <v>...</v>
      </c>
      <c r="H9243" s="1" t="str">
        <f t="shared" si="2042"/>
        <v>...</v>
      </c>
      <c r="I9243" s="1" t="str">
        <f t="shared" si="2042"/>
        <v>...</v>
      </c>
      <c r="J9243" s="1" t="str">
        <f t="shared" si="2042"/>
        <v>...</v>
      </c>
      <c r="K9243" s="1" t="str">
        <f t="shared" si="2042"/>
        <v>...</v>
      </c>
      <c r="L9243" s="1" t="str">
        <f t="shared" si="2042"/>
        <v>...</v>
      </c>
      <c r="M9243" s="1" t="str">
        <f t="shared" si="2042"/>
        <v>...</v>
      </c>
      <c r="N9243" t="s">
        <v>30</v>
      </c>
    </row>
    <row r="9244" spans="1:14" x14ac:dyDescent="0.25">
      <c r="A9244" t="s">
        <v>43</v>
      </c>
      <c r="B9244" t="s">
        <v>39</v>
      </c>
      <c r="C9244" t="s">
        <v>36</v>
      </c>
      <c r="D9244" t="s">
        <v>33</v>
      </c>
      <c r="E9244" t="s">
        <v>23</v>
      </c>
      <c r="F9244" t="s">
        <v>18</v>
      </c>
      <c r="G9244" s="1" t="str">
        <f t="shared" si="2042"/>
        <v>...</v>
      </c>
      <c r="H9244" s="1" t="str">
        <f t="shared" si="2042"/>
        <v>...</v>
      </c>
      <c r="I9244" s="1" t="str">
        <f t="shared" si="2042"/>
        <v>...</v>
      </c>
      <c r="J9244" s="1" t="str">
        <f t="shared" si="2042"/>
        <v>...</v>
      </c>
      <c r="K9244" s="1" t="str">
        <f t="shared" si="2042"/>
        <v>...</v>
      </c>
      <c r="L9244" s="1" t="str">
        <f t="shared" si="2042"/>
        <v>...</v>
      </c>
      <c r="M9244" s="1" t="str">
        <f t="shared" si="2042"/>
        <v>...</v>
      </c>
      <c r="N9244" t="s">
        <v>30</v>
      </c>
    </row>
    <row r="9245" spans="1:14" x14ac:dyDescent="0.25">
      <c r="A9245" t="s">
        <v>43</v>
      </c>
      <c r="B9245" t="s">
        <v>39</v>
      </c>
      <c r="C9245" t="s">
        <v>36</v>
      </c>
      <c r="D9245" t="s">
        <v>33</v>
      </c>
      <c r="E9245" t="s">
        <v>23</v>
      </c>
      <c r="F9245" t="s">
        <v>19</v>
      </c>
      <c r="G9245" s="1" t="str">
        <f t="shared" si="2042"/>
        <v>...</v>
      </c>
      <c r="H9245" s="1" t="str">
        <f t="shared" si="2042"/>
        <v>...</v>
      </c>
      <c r="I9245" s="1" t="str">
        <f t="shared" si="2042"/>
        <v>...</v>
      </c>
      <c r="J9245" s="1" t="str">
        <f t="shared" si="2042"/>
        <v>...</v>
      </c>
      <c r="K9245" s="1" t="str">
        <f t="shared" si="2042"/>
        <v>...</v>
      </c>
      <c r="L9245" s="1" t="str">
        <f t="shared" si="2042"/>
        <v>...</v>
      </c>
      <c r="M9245" s="1" t="str">
        <f t="shared" si="2042"/>
        <v>...</v>
      </c>
      <c r="N9245" t="s">
        <v>30</v>
      </c>
    </row>
    <row r="9246" spans="1:14" x14ac:dyDescent="0.25">
      <c r="A9246" t="s">
        <v>43</v>
      </c>
      <c r="B9246" t="s">
        <v>39</v>
      </c>
      <c r="C9246" t="s">
        <v>36</v>
      </c>
      <c r="D9246" t="s">
        <v>33</v>
      </c>
      <c r="E9246" t="s">
        <v>23</v>
      </c>
      <c r="F9246" t="s">
        <v>20</v>
      </c>
      <c r="G9246" s="1" t="str">
        <f t="shared" ref="G9246:M9246" si="2043">"X"</f>
        <v>X</v>
      </c>
      <c r="H9246" s="1" t="str">
        <f t="shared" si="2043"/>
        <v>X</v>
      </c>
      <c r="I9246" s="1" t="str">
        <f t="shared" si="2043"/>
        <v>X</v>
      </c>
      <c r="J9246" s="1" t="str">
        <f t="shared" si="2043"/>
        <v>X</v>
      </c>
      <c r="K9246" s="1" t="str">
        <f t="shared" si="2043"/>
        <v>X</v>
      </c>
      <c r="L9246" s="1" t="str">
        <f t="shared" si="2043"/>
        <v>X</v>
      </c>
      <c r="M9246" s="1" t="str">
        <f t="shared" si="2043"/>
        <v>X</v>
      </c>
      <c r="N9246" t="s">
        <v>27</v>
      </c>
    </row>
    <row r="9247" spans="1:14" x14ac:dyDescent="0.25">
      <c r="A9247" t="s">
        <v>43</v>
      </c>
      <c r="B9247" t="s">
        <v>39</v>
      </c>
      <c r="C9247" t="s">
        <v>36</v>
      </c>
      <c r="D9247" t="s">
        <v>33</v>
      </c>
      <c r="E9247" t="s">
        <v>26</v>
      </c>
      <c r="F9247" t="s">
        <v>15</v>
      </c>
      <c r="G9247" s="1" t="str">
        <f t="shared" ref="G9247:M9251" si="2044">"..."</f>
        <v>...</v>
      </c>
      <c r="H9247" s="1" t="str">
        <f t="shared" si="2044"/>
        <v>...</v>
      </c>
      <c r="I9247" s="1" t="str">
        <f t="shared" si="2044"/>
        <v>...</v>
      </c>
      <c r="J9247" s="1" t="str">
        <f t="shared" si="2044"/>
        <v>...</v>
      </c>
      <c r="K9247" s="1" t="str">
        <f t="shared" si="2044"/>
        <v>...</v>
      </c>
      <c r="L9247" s="1" t="str">
        <f t="shared" si="2044"/>
        <v>...</v>
      </c>
      <c r="M9247" s="1" t="str">
        <f t="shared" si="2044"/>
        <v>...</v>
      </c>
      <c r="N9247" t="s">
        <v>30</v>
      </c>
    </row>
    <row r="9248" spans="1:14" x14ac:dyDescent="0.25">
      <c r="A9248" t="s">
        <v>43</v>
      </c>
      <c r="B9248" t="s">
        <v>39</v>
      </c>
      <c r="C9248" t="s">
        <v>36</v>
      </c>
      <c r="D9248" t="s">
        <v>33</v>
      </c>
      <c r="E9248" t="s">
        <v>26</v>
      </c>
      <c r="F9248" t="s">
        <v>17</v>
      </c>
      <c r="G9248" s="1" t="str">
        <f t="shared" si="2044"/>
        <v>...</v>
      </c>
      <c r="H9248" s="1" t="str">
        <f t="shared" si="2044"/>
        <v>...</v>
      </c>
      <c r="I9248" s="1" t="str">
        <f t="shared" si="2044"/>
        <v>...</v>
      </c>
      <c r="J9248" s="1" t="str">
        <f t="shared" si="2044"/>
        <v>...</v>
      </c>
      <c r="K9248" s="1" t="str">
        <f t="shared" si="2044"/>
        <v>...</v>
      </c>
      <c r="L9248" s="1" t="str">
        <f t="shared" si="2044"/>
        <v>...</v>
      </c>
      <c r="M9248" s="1" t="str">
        <f t="shared" si="2044"/>
        <v>...</v>
      </c>
      <c r="N9248" t="s">
        <v>30</v>
      </c>
    </row>
    <row r="9249" spans="1:14" x14ac:dyDescent="0.25">
      <c r="A9249" t="s">
        <v>43</v>
      </c>
      <c r="B9249" t="s">
        <v>39</v>
      </c>
      <c r="C9249" t="s">
        <v>36</v>
      </c>
      <c r="D9249" t="s">
        <v>33</v>
      </c>
      <c r="E9249" t="s">
        <v>26</v>
      </c>
      <c r="F9249" t="s">
        <v>18</v>
      </c>
      <c r="G9249" s="1" t="str">
        <f t="shared" si="2044"/>
        <v>...</v>
      </c>
      <c r="H9249" s="1" t="str">
        <f t="shared" si="2044"/>
        <v>...</v>
      </c>
      <c r="I9249" s="1" t="str">
        <f t="shared" si="2044"/>
        <v>...</v>
      </c>
      <c r="J9249" s="1" t="str">
        <f t="shared" si="2044"/>
        <v>...</v>
      </c>
      <c r="K9249" s="1" t="str">
        <f t="shared" si="2044"/>
        <v>...</v>
      </c>
      <c r="L9249" s="1" t="str">
        <f t="shared" si="2044"/>
        <v>...</v>
      </c>
      <c r="M9249" s="1" t="str">
        <f t="shared" si="2044"/>
        <v>...</v>
      </c>
      <c r="N9249" t="s">
        <v>30</v>
      </c>
    </row>
    <row r="9250" spans="1:14" x14ac:dyDescent="0.25">
      <c r="A9250" t="s">
        <v>43</v>
      </c>
      <c r="B9250" t="s">
        <v>39</v>
      </c>
      <c r="C9250" t="s">
        <v>36</v>
      </c>
      <c r="D9250" t="s">
        <v>33</v>
      </c>
      <c r="E9250" t="s">
        <v>26</v>
      </c>
      <c r="F9250" t="s">
        <v>19</v>
      </c>
      <c r="G9250" s="1" t="str">
        <f t="shared" si="2044"/>
        <v>...</v>
      </c>
      <c r="H9250" s="1" t="str">
        <f t="shared" si="2044"/>
        <v>...</v>
      </c>
      <c r="I9250" s="1" t="str">
        <f t="shared" si="2044"/>
        <v>...</v>
      </c>
      <c r="J9250" s="1" t="str">
        <f t="shared" si="2044"/>
        <v>...</v>
      </c>
      <c r="K9250" s="1" t="str">
        <f t="shared" si="2044"/>
        <v>...</v>
      </c>
      <c r="L9250" s="1" t="str">
        <f t="shared" si="2044"/>
        <v>...</v>
      </c>
      <c r="M9250" s="1" t="str">
        <f t="shared" si="2044"/>
        <v>...</v>
      </c>
      <c r="N9250" t="s">
        <v>30</v>
      </c>
    </row>
    <row r="9251" spans="1:14" x14ac:dyDescent="0.25">
      <c r="A9251" t="s">
        <v>43</v>
      </c>
      <c r="B9251" t="s">
        <v>39</v>
      </c>
      <c r="C9251" t="s">
        <v>36</v>
      </c>
      <c r="D9251" t="s">
        <v>33</v>
      </c>
      <c r="E9251" t="s">
        <v>26</v>
      </c>
      <c r="F9251" t="s">
        <v>20</v>
      </c>
      <c r="G9251" s="1" t="str">
        <f t="shared" si="2044"/>
        <v>...</v>
      </c>
      <c r="H9251" s="1" t="str">
        <f t="shared" si="2044"/>
        <v>...</v>
      </c>
      <c r="I9251" s="1" t="str">
        <f t="shared" si="2044"/>
        <v>...</v>
      </c>
      <c r="J9251" s="1" t="str">
        <f t="shared" si="2044"/>
        <v>...</v>
      </c>
      <c r="K9251" s="1" t="str">
        <f t="shared" si="2044"/>
        <v>...</v>
      </c>
      <c r="L9251" s="1" t="str">
        <f t="shared" si="2044"/>
        <v>...</v>
      </c>
      <c r="M9251" s="1" t="str">
        <f t="shared" si="2044"/>
        <v>...</v>
      </c>
      <c r="N9251" t="s">
        <v>30</v>
      </c>
    </row>
    <row r="9252" spans="1:14" x14ac:dyDescent="0.25">
      <c r="A9252" t="s">
        <v>43</v>
      </c>
      <c r="B9252" t="s">
        <v>39</v>
      </c>
      <c r="C9252" t="s">
        <v>36</v>
      </c>
      <c r="D9252" t="s">
        <v>34</v>
      </c>
      <c r="E9252" t="s">
        <v>15</v>
      </c>
      <c r="F9252" t="s">
        <v>15</v>
      </c>
      <c r="G9252" s="1" t="str">
        <f t="shared" ref="G9252:M9254" si="2045">"X"</f>
        <v>X</v>
      </c>
      <c r="H9252" s="1" t="str">
        <f t="shared" si="2045"/>
        <v>X</v>
      </c>
      <c r="I9252" s="1" t="str">
        <f t="shared" si="2045"/>
        <v>X</v>
      </c>
      <c r="J9252" s="1" t="str">
        <f t="shared" si="2045"/>
        <v>X</v>
      </c>
      <c r="K9252" s="1" t="str">
        <f t="shared" si="2045"/>
        <v>X</v>
      </c>
      <c r="L9252" s="1" t="str">
        <f t="shared" si="2045"/>
        <v>X</v>
      </c>
      <c r="M9252" s="1" t="str">
        <f t="shared" si="2045"/>
        <v>X</v>
      </c>
      <c r="N9252" t="s">
        <v>27</v>
      </c>
    </row>
    <row r="9253" spans="1:14" x14ac:dyDescent="0.25">
      <c r="A9253" t="s">
        <v>43</v>
      </c>
      <c r="B9253" t="s">
        <v>39</v>
      </c>
      <c r="C9253" t="s">
        <v>36</v>
      </c>
      <c r="D9253" t="s">
        <v>34</v>
      </c>
      <c r="E9253" t="s">
        <v>15</v>
      </c>
      <c r="F9253" t="s">
        <v>17</v>
      </c>
      <c r="G9253" s="1" t="str">
        <f t="shared" si="2045"/>
        <v>X</v>
      </c>
      <c r="H9253" s="1" t="str">
        <f t="shared" si="2045"/>
        <v>X</v>
      </c>
      <c r="I9253" s="1" t="str">
        <f t="shared" si="2045"/>
        <v>X</v>
      </c>
      <c r="J9253" s="1" t="str">
        <f t="shared" si="2045"/>
        <v>X</v>
      </c>
      <c r="K9253" s="1" t="str">
        <f t="shared" si="2045"/>
        <v>X</v>
      </c>
      <c r="L9253" s="1" t="str">
        <f t="shared" si="2045"/>
        <v>X</v>
      </c>
      <c r="M9253" s="1" t="str">
        <f t="shared" si="2045"/>
        <v>X</v>
      </c>
      <c r="N9253" t="s">
        <v>27</v>
      </c>
    </row>
    <row r="9254" spans="1:14" x14ac:dyDescent="0.25">
      <c r="A9254" t="s">
        <v>43</v>
      </c>
      <c r="B9254" t="s">
        <v>39</v>
      </c>
      <c r="C9254" t="s">
        <v>36</v>
      </c>
      <c r="D9254" t="s">
        <v>34</v>
      </c>
      <c r="E9254" t="s">
        <v>15</v>
      </c>
      <c r="F9254" t="s">
        <v>18</v>
      </c>
      <c r="G9254" s="1" t="str">
        <f t="shared" si="2045"/>
        <v>X</v>
      </c>
      <c r="H9254" s="1" t="str">
        <f t="shared" si="2045"/>
        <v>X</v>
      </c>
      <c r="I9254" s="1" t="str">
        <f t="shared" si="2045"/>
        <v>X</v>
      </c>
      <c r="J9254" s="1" t="str">
        <f t="shared" si="2045"/>
        <v>X</v>
      </c>
      <c r="K9254" s="1" t="str">
        <f t="shared" si="2045"/>
        <v>X</v>
      </c>
      <c r="L9254" s="1" t="str">
        <f t="shared" si="2045"/>
        <v>X</v>
      </c>
      <c r="M9254" s="1" t="str">
        <f t="shared" si="2045"/>
        <v>X</v>
      </c>
      <c r="N9254" t="s">
        <v>27</v>
      </c>
    </row>
    <row r="9255" spans="1:14" x14ac:dyDescent="0.25">
      <c r="A9255" t="s">
        <v>43</v>
      </c>
      <c r="B9255" t="s">
        <v>39</v>
      </c>
      <c r="C9255" t="s">
        <v>36</v>
      </c>
      <c r="D9255" t="s">
        <v>34</v>
      </c>
      <c r="E9255" t="s">
        <v>15</v>
      </c>
      <c r="F9255" t="s">
        <v>19</v>
      </c>
      <c r="G9255" s="1" t="str">
        <f t="shared" ref="G9255:M9255" si="2046">"..."</f>
        <v>...</v>
      </c>
      <c r="H9255" s="1" t="str">
        <f t="shared" si="2046"/>
        <v>...</v>
      </c>
      <c r="I9255" s="1" t="str">
        <f t="shared" si="2046"/>
        <v>...</v>
      </c>
      <c r="J9255" s="1" t="str">
        <f t="shared" si="2046"/>
        <v>...</v>
      </c>
      <c r="K9255" s="1" t="str">
        <f t="shared" si="2046"/>
        <v>...</v>
      </c>
      <c r="L9255" s="1" t="str">
        <f t="shared" si="2046"/>
        <v>...</v>
      </c>
      <c r="M9255" s="1" t="str">
        <f t="shared" si="2046"/>
        <v>...</v>
      </c>
      <c r="N9255" t="s">
        <v>30</v>
      </c>
    </row>
    <row r="9256" spans="1:14" x14ac:dyDescent="0.25">
      <c r="A9256" t="s">
        <v>43</v>
      </c>
      <c r="B9256" t="s">
        <v>39</v>
      </c>
      <c r="C9256" t="s">
        <v>36</v>
      </c>
      <c r="D9256" t="s">
        <v>34</v>
      </c>
      <c r="E9256" t="s">
        <v>15</v>
      </c>
      <c r="F9256" t="s">
        <v>20</v>
      </c>
      <c r="G9256" s="1" t="str">
        <f t="shared" ref="G9256:M9258" si="2047">"X"</f>
        <v>X</v>
      </c>
      <c r="H9256" s="1" t="str">
        <f t="shared" si="2047"/>
        <v>X</v>
      </c>
      <c r="I9256" s="1" t="str">
        <f t="shared" si="2047"/>
        <v>X</v>
      </c>
      <c r="J9256" s="1" t="str">
        <f t="shared" si="2047"/>
        <v>X</v>
      </c>
      <c r="K9256" s="1" t="str">
        <f t="shared" si="2047"/>
        <v>X</v>
      </c>
      <c r="L9256" s="1" t="str">
        <f t="shared" si="2047"/>
        <v>X</v>
      </c>
      <c r="M9256" s="1" t="str">
        <f t="shared" si="2047"/>
        <v>X</v>
      </c>
      <c r="N9256" t="s">
        <v>27</v>
      </c>
    </row>
    <row r="9257" spans="1:14" x14ac:dyDescent="0.25">
      <c r="A9257" t="s">
        <v>43</v>
      </c>
      <c r="B9257" t="s">
        <v>39</v>
      </c>
      <c r="C9257" t="s">
        <v>36</v>
      </c>
      <c r="D9257" t="s">
        <v>34</v>
      </c>
      <c r="E9257" t="s">
        <v>21</v>
      </c>
      <c r="F9257" t="s">
        <v>15</v>
      </c>
      <c r="G9257" s="1" t="str">
        <f t="shared" si="2047"/>
        <v>X</v>
      </c>
      <c r="H9257" s="1" t="str">
        <f t="shared" si="2047"/>
        <v>X</v>
      </c>
      <c r="I9257" s="1" t="str">
        <f t="shared" si="2047"/>
        <v>X</v>
      </c>
      <c r="J9257" s="1" t="str">
        <f t="shared" si="2047"/>
        <v>X</v>
      </c>
      <c r="K9257" s="1" t="str">
        <f t="shared" si="2047"/>
        <v>X</v>
      </c>
      <c r="L9257" s="1" t="str">
        <f t="shared" si="2047"/>
        <v>X</v>
      </c>
      <c r="M9257" s="1" t="str">
        <f t="shared" si="2047"/>
        <v>X</v>
      </c>
      <c r="N9257" t="s">
        <v>27</v>
      </c>
    </row>
    <row r="9258" spans="1:14" x14ac:dyDescent="0.25">
      <c r="A9258" t="s">
        <v>43</v>
      </c>
      <c r="B9258" t="s">
        <v>39</v>
      </c>
      <c r="C9258" t="s">
        <v>36</v>
      </c>
      <c r="D9258" t="s">
        <v>34</v>
      </c>
      <c r="E9258" t="s">
        <v>21</v>
      </c>
      <c r="F9258" t="s">
        <v>17</v>
      </c>
      <c r="G9258" s="1" t="str">
        <f t="shared" si="2047"/>
        <v>X</v>
      </c>
      <c r="H9258" s="1" t="str">
        <f t="shared" si="2047"/>
        <v>X</v>
      </c>
      <c r="I9258" s="1" t="str">
        <f t="shared" si="2047"/>
        <v>X</v>
      </c>
      <c r="J9258" s="1" t="str">
        <f t="shared" si="2047"/>
        <v>X</v>
      </c>
      <c r="K9258" s="1" t="str">
        <f t="shared" si="2047"/>
        <v>X</v>
      </c>
      <c r="L9258" s="1" t="str">
        <f t="shared" si="2047"/>
        <v>X</v>
      </c>
      <c r="M9258" s="1" t="str">
        <f t="shared" si="2047"/>
        <v>X</v>
      </c>
      <c r="N9258" t="s">
        <v>27</v>
      </c>
    </row>
    <row r="9259" spans="1:14" x14ac:dyDescent="0.25">
      <c r="A9259" t="s">
        <v>43</v>
      </c>
      <c r="B9259" t="s">
        <v>39</v>
      </c>
      <c r="C9259" t="s">
        <v>36</v>
      </c>
      <c r="D9259" t="s">
        <v>34</v>
      </c>
      <c r="E9259" t="s">
        <v>21</v>
      </c>
      <c r="F9259" t="s">
        <v>18</v>
      </c>
      <c r="G9259" s="1" t="str">
        <f t="shared" ref="G9259:M9260" si="2048">"..."</f>
        <v>...</v>
      </c>
      <c r="H9259" s="1" t="str">
        <f t="shared" si="2048"/>
        <v>...</v>
      </c>
      <c r="I9259" s="1" t="str">
        <f t="shared" si="2048"/>
        <v>...</v>
      </c>
      <c r="J9259" s="1" t="str">
        <f t="shared" si="2048"/>
        <v>...</v>
      </c>
      <c r="K9259" s="1" t="str">
        <f t="shared" si="2048"/>
        <v>...</v>
      </c>
      <c r="L9259" s="1" t="str">
        <f t="shared" si="2048"/>
        <v>...</v>
      </c>
      <c r="M9259" s="1" t="str">
        <f t="shared" si="2048"/>
        <v>...</v>
      </c>
      <c r="N9259" t="s">
        <v>30</v>
      </c>
    </row>
    <row r="9260" spans="1:14" x14ac:dyDescent="0.25">
      <c r="A9260" t="s">
        <v>43</v>
      </c>
      <c r="B9260" t="s">
        <v>39</v>
      </c>
      <c r="C9260" t="s">
        <v>36</v>
      </c>
      <c r="D9260" t="s">
        <v>34</v>
      </c>
      <c r="E9260" t="s">
        <v>21</v>
      </c>
      <c r="F9260" t="s">
        <v>19</v>
      </c>
      <c r="G9260" s="1" t="str">
        <f t="shared" si="2048"/>
        <v>...</v>
      </c>
      <c r="H9260" s="1" t="str">
        <f t="shared" si="2048"/>
        <v>...</v>
      </c>
      <c r="I9260" s="1" t="str">
        <f t="shared" si="2048"/>
        <v>...</v>
      </c>
      <c r="J9260" s="1" t="str">
        <f t="shared" si="2048"/>
        <v>...</v>
      </c>
      <c r="K9260" s="1" t="str">
        <f t="shared" si="2048"/>
        <v>...</v>
      </c>
      <c r="L9260" s="1" t="str">
        <f t="shared" si="2048"/>
        <v>...</v>
      </c>
      <c r="M9260" s="1" t="str">
        <f t="shared" si="2048"/>
        <v>...</v>
      </c>
      <c r="N9260" t="s">
        <v>30</v>
      </c>
    </row>
    <row r="9261" spans="1:14" x14ac:dyDescent="0.25">
      <c r="A9261" t="s">
        <v>43</v>
      </c>
      <c r="B9261" t="s">
        <v>39</v>
      </c>
      <c r="C9261" t="s">
        <v>36</v>
      </c>
      <c r="D9261" t="s">
        <v>34</v>
      </c>
      <c r="E9261" t="s">
        <v>21</v>
      </c>
      <c r="F9261" t="s">
        <v>20</v>
      </c>
      <c r="G9261" s="1" t="str">
        <f t="shared" ref="G9261:M9262" si="2049">"X"</f>
        <v>X</v>
      </c>
      <c r="H9261" s="1" t="str">
        <f t="shared" si="2049"/>
        <v>X</v>
      </c>
      <c r="I9261" s="1" t="str">
        <f t="shared" si="2049"/>
        <v>X</v>
      </c>
      <c r="J9261" s="1" t="str">
        <f t="shared" si="2049"/>
        <v>X</v>
      </c>
      <c r="K9261" s="1" t="str">
        <f t="shared" si="2049"/>
        <v>X</v>
      </c>
      <c r="L9261" s="1" t="str">
        <f t="shared" si="2049"/>
        <v>X</v>
      </c>
      <c r="M9261" s="1" t="str">
        <f t="shared" si="2049"/>
        <v>X</v>
      </c>
      <c r="N9261" t="s">
        <v>27</v>
      </c>
    </row>
    <row r="9262" spans="1:14" x14ac:dyDescent="0.25">
      <c r="A9262" t="s">
        <v>43</v>
      </c>
      <c r="B9262" t="s">
        <v>39</v>
      </c>
      <c r="C9262" t="s">
        <v>36</v>
      </c>
      <c r="D9262" t="s">
        <v>34</v>
      </c>
      <c r="E9262" t="s">
        <v>22</v>
      </c>
      <c r="F9262" t="s">
        <v>15</v>
      </c>
      <c r="G9262" s="1" t="str">
        <f t="shared" si="2049"/>
        <v>X</v>
      </c>
      <c r="H9262" s="1" t="str">
        <f t="shared" si="2049"/>
        <v>X</v>
      </c>
      <c r="I9262" s="1" t="str">
        <f t="shared" si="2049"/>
        <v>X</v>
      </c>
      <c r="J9262" s="1" t="str">
        <f t="shared" si="2049"/>
        <v>X</v>
      </c>
      <c r="K9262" s="1" t="str">
        <f t="shared" si="2049"/>
        <v>X</v>
      </c>
      <c r="L9262" s="1" t="str">
        <f t="shared" si="2049"/>
        <v>X</v>
      </c>
      <c r="M9262" s="1" t="str">
        <f t="shared" si="2049"/>
        <v>X</v>
      </c>
      <c r="N9262" t="s">
        <v>27</v>
      </c>
    </row>
    <row r="9263" spans="1:14" x14ac:dyDescent="0.25">
      <c r="A9263" t="s">
        <v>43</v>
      </c>
      <c r="B9263" t="s">
        <v>39</v>
      </c>
      <c r="C9263" t="s">
        <v>36</v>
      </c>
      <c r="D9263" t="s">
        <v>34</v>
      </c>
      <c r="E9263" t="s">
        <v>22</v>
      </c>
      <c r="F9263" t="s">
        <v>17</v>
      </c>
      <c r="G9263" s="1" t="str">
        <f t="shared" ref="G9263:M9265" si="2050">"..."</f>
        <v>...</v>
      </c>
      <c r="H9263" s="1" t="str">
        <f t="shared" si="2050"/>
        <v>...</v>
      </c>
      <c r="I9263" s="1" t="str">
        <f t="shared" si="2050"/>
        <v>...</v>
      </c>
      <c r="J9263" s="1" t="str">
        <f t="shared" si="2050"/>
        <v>...</v>
      </c>
      <c r="K9263" s="1" t="str">
        <f t="shared" si="2050"/>
        <v>...</v>
      </c>
      <c r="L9263" s="1" t="str">
        <f t="shared" si="2050"/>
        <v>...</v>
      </c>
      <c r="M9263" s="1" t="str">
        <f t="shared" si="2050"/>
        <v>...</v>
      </c>
      <c r="N9263" t="s">
        <v>30</v>
      </c>
    </row>
    <row r="9264" spans="1:14" x14ac:dyDescent="0.25">
      <c r="A9264" t="s">
        <v>43</v>
      </c>
      <c r="B9264" t="s">
        <v>39</v>
      </c>
      <c r="C9264" t="s">
        <v>36</v>
      </c>
      <c r="D9264" t="s">
        <v>34</v>
      </c>
      <c r="E9264" t="s">
        <v>22</v>
      </c>
      <c r="F9264" t="s">
        <v>18</v>
      </c>
      <c r="G9264" s="1" t="str">
        <f t="shared" si="2050"/>
        <v>...</v>
      </c>
      <c r="H9264" s="1" t="str">
        <f t="shared" si="2050"/>
        <v>...</v>
      </c>
      <c r="I9264" s="1" t="str">
        <f t="shared" si="2050"/>
        <v>...</v>
      </c>
      <c r="J9264" s="1" t="str">
        <f t="shared" si="2050"/>
        <v>...</v>
      </c>
      <c r="K9264" s="1" t="str">
        <f t="shared" si="2050"/>
        <v>...</v>
      </c>
      <c r="L9264" s="1" t="str">
        <f t="shared" si="2050"/>
        <v>...</v>
      </c>
      <c r="M9264" s="1" t="str">
        <f t="shared" si="2050"/>
        <v>...</v>
      </c>
      <c r="N9264" t="s">
        <v>30</v>
      </c>
    </row>
    <row r="9265" spans="1:14" x14ac:dyDescent="0.25">
      <c r="A9265" t="s">
        <v>43</v>
      </c>
      <c r="B9265" t="s">
        <v>39</v>
      </c>
      <c r="C9265" t="s">
        <v>36</v>
      </c>
      <c r="D9265" t="s">
        <v>34</v>
      </c>
      <c r="E9265" t="s">
        <v>22</v>
      </c>
      <c r="F9265" t="s">
        <v>19</v>
      </c>
      <c r="G9265" s="1" t="str">
        <f t="shared" si="2050"/>
        <v>...</v>
      </c>
      <c r="H9265" s="1" t="str">
        <f t="shared" si="2050"/>
        <v>...</v>
      </c>
      <c r="I9265" s="1" t="str">
        <f t="shared" si="2050"/>
        <v>...</v>
      </c>
      <c r="J9265" s="1" t="str">
        <f t="shared" si="2050"/>
        <v>...</v>
      </c>
      <c r="K9265" s="1" t="str">
        <f t="shared" si="2050"/>
        <v>...</v>
      </c>
      <c r="L9265" s="1" t="str">
        <f t="shared" si="2050"/>
        <v>...</v>
      </c>
      <c r="M9265" s="1" t="str">
        <f t="shared" si="2050"/>
        <v>...</v>
      </c>
      <c r="N9265" t="s">
        <v>30</v>
      </c>
    </row>
    <row r="9266" spans="1:14" x14ac:dyDescent="0.25">
      <c r="A9266" t="s">
        <v>43</v>
      </c>
      <c r="B9266" t="s">
        <v>39</v>
      </c>
      <c r="C9266" t="s">
        <v>36</v>
      </c>
      <c r="D9266" t="s">
        <v>34</v>
      </c>
      <c r="E9266" t="s">
        <v>22</v>
      </c>
      <c r="F9266" t="s">
        <v>20</v>
      </c>
      <c r="G9266" s="1" t="str">
        <f t="shared" ref="G9266:M9267" si="2051">"X"</f>
        <v>X</v>
      </c>
      <c r="H9266" s="1" t="str">
        <f t="shared" si="2051"/>
        <v>X</v>
      </c>
      <c r="I9266" s="1" t="str">
        <f t="shared" si="2051"/>
        <v>X</v>
      </c>
      <c r="J9266" s="1" t="str">
        <f t="shared" si="2051"/>
        <v>X</v>
      </c>
      <c r="K9266" s="1" t="str">
        <f t="shared" si="2051"/>
        <v>X</v>
      </c>
      <c r="L9266" s="1" t="str">
        <f t="shared" si="2051"/>
        <v>X</v>
      </c>
      <c r="M9266" s="1" t="str">
        <f t="shared" si="2051"/>
        <v>X</v>
      </c>
      <c r="N9266" t="s">
        <v>27</v>
      </c>
    </row>
    <row r="9267" spans="1:14" x14ac:dyDescent="0.25">
      <c r="A9267" t="s">
        <v>43</v>
      </c>
      <c r="B9267" t="s">
        <v>39</v>
      </c>
      <c r="C9267" t="s">
        <v>36</v>
      </c>
      <c r="D9267" t="s">
        <v>34</v>
      </c>
      <c r="E9267" t="s">
        <v>23</v>
      </c>
      <c r="F9267" t="s">
        <v>15</v>
      </c>
      <c r="G9267" s="1" t="str">
        <f t="shared" si="2051"/>
        <v>X</v>
      </c>
      <c r="H9267" s="1" t="str">
        <f t="shared" si="2051"/>
        <v>X</v>
      </c>
      <c r="I9267" s="1" t="str">
        <f t="shared" si="2051"/>
        <v>X</v>
      </c>
      <c r="J9267" s="1" t="str">
        <f t="shared" si="2051"/>
        <v>X</v>
      </c>
      <c r="K9267" s="1" t="str">
        <f t="shared" si="2051"/>
        <v>X</v>
      </c>
      <c r="L9267" s="1" t="str">
        <f t="shared" si="2051"/>
        <v>X</v>
      </c>
      <c r="M9267" s="1" t="str">
        <f t="shared" si="2051"/>
        <v>X</v>
      </c>
      <c r="N9267" t="s">
        <v>27</v>
      </c>
    </row>
    <row r="9268" spans="1:14" x14ac:dyDescent="0.25">
      <c r="A9268" t="s">
        <v>43</v>
      </c>
      <c r="B9268" t="s">
        <v>39</v>
      </c>
      <c r="C9268" t="s">
        <v>36</v>
      </c>
      <c r="D9268" t="s">
        <v>34</v>
      </c>
      <c r="E9268" t="s">
        <v>23</v>
      </c>
      <c r="F9268" t="s">
        <v>17</v>
      </c>
      <c r="G9268" s="1" t="str">
        <f t="shared" ref="G9268:M9268" si="2052">"..."</f>
        <v>...</v>
      </c>
      <c r="H9268" s="1" t="str">
        <f t="shared" si="2052"/>
        <v>...</v>
      </c>
      <c r="I9268" s="1" t="str">
        <f t="shared" si="2052"/>
        <v>...</v>
      </c>
      <c r="J9268" s="1" t="str">
        <f t="shared" si="2052"/>
        <v>...</v>
      </c>
      <c r="K9268" s="1" t="str">
        <f t="shared" si="2052"/>
        <v>...</v>
      </c>
      <c r="L9268" s="1" t="str">
        <f t="shared" si="2052"/>
        <v>...</v>
      </c>
      <c r="M9268" s="1" t="str">
        <f t="shared" si="2052"/>
        <v>...</v>
      </c>
      <c r="N9268" t="s">
        <v>30</v>
      </c>
    </row>
    <row r="9269" spans="1:14" x14ac:dyDescent="0.25">
      <c r="A9269" t="s">
        <v>43</v>
      </c>
      <c r="B9269" t="s">
        <v>39</v>
      </c>
      <c r="C9269" t="s">
        <v>36</v>
      </c>
      <c r="D9269" t="s">
        <v>34</v>
      </c>
      <c r="E9269" t="s">
        <v>23</v>
      </c>
      <c r="F9269" t="s">
        <v>18</v>
      </c>
      <c r="G9269" s="1" t="str">
        <f t="shared" ref="G9269:M9269" si="2053">"X"</f>
        <v>X</v>
      </c>
      <c r="H9269" s="1" t="str">
        <f t="shared" si="2053"/>
        <v>X</v>
      </c>
      <c r="I9269" s="1" t="str">
        <f t="shared" si="2053"/>
        <v>X</v>
      </c>
      <c r="J9269" s="1" t="str">
        <f t="shared" si="2053"/>
        <v>X</v>
      </c>
      <c r="K9269" s="1" t="str">
        <f t="shared" si="2053"/>
        <v>X</v>
      </c>
      <c r="L9269" s="1" t="str">
        <f t="shared" si="2053"/>
        <v>X</v>
      </c>
      <c r="M9269" s="1" t="str">
        <f t="shared" si="2053"/>
        <v>X</v>
      </c>
      <c r="N9269" t="s">
        <v>27</v>
      </c>
    </row>
    <row r="9270" spans="1:14" x14ac:dyDescent="0.25">
      <c r="A9270" t="s">
        <v>43</v>
      </c>
      <c r="B9270" t="s">
        <v>39</v>
      </c>
      <c r="C9270" t="s">
        <v>36</v>
      </c>
      <c r="D9270" t="s">
        <v>34</v>
      </c>
      <c r="E9270" t="s">
        <v>23</v>
      </c>
      <c r="F9270" t="s">
        <v>19</v>
      </c>
      <c r="G9270" s="1" t="str">
        <f t="shared" ref="G9270:M9270" si="2054">"..."</f>
        <v>...</v>
      </c>
      <c r="H9270" s="1" t="str">
        <f t="shared" si="2054"/>
        <v>...</v>
      </c>
      <c r="I9270" s="1" t="str">
        <f t="shared" si="2054"/>
        <v>...</v>
      </c>
      <c r="J9270" s="1" t="str">
        <f t="shared" si="2054"/>
        <v>...</v>
      </c>
      <c r="K9270" s="1" t="str">
        <f t="shared" si="2054"/>
        <v>...</v>
      </c>
      <c r="L9270" s="1" t="str">
        <f t="shared" si="2054"/>
        <v>...</v>
      </c>
      <c r="M9270" s="1" t="str">
        <f t="shared" si="2054"/>
        <v>...</v>
      </c>
      <c r="N9270" t="s">
        <v>30</v>
      </c>
    </row>
    <row r="9271" spans="1:14" x14ac:dyDescent="0.25">
      <c r="A9271" t="s">
        <v>43</v>
      </c>
      <c r="B9271" t="s">
        <v>39</v>
      </c>
      <c r="C9271" t="s">
        <v>36</v>
      </c>
      <c r="D9271" t="s">
        <v>34</v>
      </c>
      <c r="E9271" t="s">
        <v>23</v>
      </c>
      <c r="F9271" t="s">
        <v>20</v>
      </c>
      <c r="G9271" s="1" t="str">
        <f t="shared" ref="G9271:M9272" si="2055">"X"</f>
        <v>X</v>
      </c>
      <c r="H9271" s="1" t="str">
        <f t="shared" si="2055"/>
        <v>X</v>
      </c>
      <c r="I9271" s="1" t="str">
        <f t="shared" si="2055"/>
        <v>X</v>
      </c>
      <c r="J9271" s="1" t="str">
        <f t="shared" si="2055"/>
        <v>X</v>
      </c>
      <c r="K9271" s="1" t="str">
        <f t="shared" si="2055"/>
        <v>X</v>
      </c>
      <c r="L9271" s="1" t="str">
        <f t="shared" si="2055"/>
        <v>X</v>
      </c>
      <c r="M9271" s="1" t="str">
        <f t="shared" si="2055"/>
        <v>X</v>
      </c>
      <c r="N9271" t="s">
        <v>27</v>
      </c>
    </row>
    <row r="9272" spans="1:14" x14ac:dyDescent="0.25">
      <c r="A9272" t="s">
        <v>43</v>
      </c>
      <c r="B9272" t="s">
        <v>39</v>
      </c>
      <c r="C9272" t="s">
        <v>36</v>
      </c>
      <c r="D9272" t="s">
        <v>34</v>
      </c>
      <c r="E9272" t="s">
        <v>26</v>
      </c>
      <c r="F9272" t="s">
        <v>15</v>
      </c>
      <c r="G9272" s="1" t="str">
        <f t="shared" si="2055"/>
        <v>X</v>
      </c>
      <c r="H9272" s="1" t="str">
        <f t="shared" si="2055"/>
        <v>X</v>
      </c>
      <c r="I9272" s="1" t="str">
        <f t="shared" si="2055"/>
        <v>X</v>
      </c>
      <c r="J9272" s="1" t="str">
        <f t="shared" si="2055"/>
        <v>X</v>
      </c>
      <c r="K9272" s="1" t="str">
        <f t="shared" si="2055"/>
        <v>X</v>
      </c>
      <c r="L9272" s="1" t="str">
        <f t="shared" si="2055"/>
        <v>X</v>
      </c>
      <c r="M9272" s="1" t="str">
        <f t="shared" si="2055"/>
        <v>X</v>
      </c>
      <c r="N9272" t="s">
        <v>27</v>
      </c>
    </row>
    <row r="9273" spans="1:14" x14ac:dyDescent="0.25">
      <c r="A9273" t="s">
        <v>43</v>
      </c>
      <c r="B9273" t="s">
        <v>39</v>
      </c>
      <c r="C9273" t="s">
        <v>36</v>
      </c>
      <c r="D9273" t="s">
        <v>34</v>
      </c>
      <c r="E9273" t="s">
        <v>26</v>
      </c>
      <c r="F9273" t="s">
        <v>17</v>
      </c>
      <c r="G9273" s="1" t="str">
        <f t="shared" ref="G9273:M9275" si="2056">"..."</f>
        <v>...</v>
      </c>
      <c r="H9273" s="1" t="str">
        <f t="shared" si="2056"/>
        <v>...</v>
      </c>
      <c r="I9273" s="1" t="str">
        <f t="shared" si="2056"/>
        <v>...</v>
      </c>
      <c r="J9273" s="1" t="str">
        <f t="shared" si="2056"/>
        <v>...</v>
      </c>
      <c r="K9273" s="1" t="str">
        <f t="shared" si="2056"/>
        <v>...</v>
      </c>
      <c r="L9273" s="1" t="str">
        <f t="shared" si="2056"/>
        <v>...</v>
      </c>
      <c r="M9273" s="1" t="str">
        <f t="shared" si="2056"/>
        <v>...</v>
      </c>
      <c r="N9273" t="s">
        <v>30</v>
      </c>
    </row>
    <row r="9274" spans="1:14" x14ac:dyDescent="0.25">
      <c r="A9274" t="s">
        <v>43</v>
      </c>
      <c r="B9274" t="s">
        <v>39</v>
      </c>
      <c r="C9274" t="s">
        <v>36</v>
      </c>
      <c r="D9274" t="s">
        <v>34</v>
      </c>
      <c r="E9274" t="s">
        <v>26</v>
      </c>
      <c r="F9274" t="s">
        <v>18</v>
      </c>
      <c r="G9274" s="1" t="str">
        <f t="shared" si="2056"/>
        <v>...</v>
      </c>
      <c r="H9274" s="1" t="str">
        <f t="shared" si="2056"/>
        <v>...</v>
      </c>
      <c r="I9274" s="1" t="str">
        <f t="shared" si="2056"/>
        <v>...</v>
      </c>
      <c r="J9274" s="1" t="str">
        <f t="shared" si="2056"/>
        <v>...</v>
      </c>
      <c r="K9274" s="1" t="str">
        <f t="shared" si="2056"/>
        <v>...</v>
      </c>
      <c r="L9274" s="1" t="str">
        <f t="shared" si="2056"/>
        <v>...</v>
      </c>
      <c r="M9274" s="1" t="str">
        <f t="shared" si="2056"/>
        <v>...</v>
      </c>
      <c r="N9274" t="s">
        <v>30</v>
      </c>
    </row>
    <row r="9275" spans="1:14" x14ac:dyDescent="0.25">
      <c r="A9275" t="s">
        <v>43</v>
      </c>
      <c r="B9275" t="s">
        <v>39</v>
      </c>
      <c r="C9275" t="s">
        <v>36</v>
      </c>
      <c r="D9275" t="s">
        <v>34</v>
      </c>
      <c r="E9275" t="s">
        <v>26</v>
      </c>
      <c r="F9275" t="s">
        <v>19</v>
      </c>
      <c r="G9275" s="1" t="str">
        <f t="shared" si="2056"/>
        <v>...</v>
      </c>
      <c r="H9275" s="1" t="str">
        <f t="shared" si="2056"/>
        <v>...</v>
      </c>
      <c r="I9275" s="1" t="str">
        <f t="shared" si="2056"/>
        <v>...</v>
      </c>
      <c r="J9275" s="1" t="str">
        <f t="shared" si="2056"/>
        <v>...</v>
      </c>
      <c r="K9275" s="1" t="str">
        <f t="shared" si="2056"/>
        <v>...</v>
      </c>
      <c r="L9275" s="1" t="str">
        <f t="shared" si="2056"/>
        <v>...</v>
      </c>
      <c r="M9275" s="1" t="str">
        <f t="shared" si="2056"/>
        <v>...</v>
      </c>
      <c r="N9275" t="s">
        <v>30</v>
      </c>
    </row>
    <row r="9276" spans="1:14" x14ac:dyDescent="0.25">
      <c r="A9276" t="s">
        <v>43</v>
      </c>
      <c r="B9276" t="s">
        <v>39</v>
      </c>
      <c r="C9276" t="s">
        <v>36</v>
      </c>
      <c r="D9276" t="s">
        <v>34</v>
      </c>
      <c r="E9276" t="s">
        <v>26</v>
      </c>
      <c r="F9276" t="s">
        <v>20</v>
      </c>
      <c r="G9276" s="1" t="str">
        <f t="shared" ref="G9276:M9276" si="2057">"X"</f>
        <v>X</v>
      </c>
      <c r="H9276" s="1" t="str">
        <f t="shared" si="2057"/>
        <v>X</v>
      </c>
      <c r="I9276" s="1" t="str">
        <f t="shared" si="2057"/>
        <v>X</v>
      </c>
      <c r="J9276" s="1" t="str">
        <f t="shared" si="2057"/>
        <v>X</v>
      </c>
      <c r="K9276" s="1" t="str">
        <f t="shared" si="2057"/>
        <v>X</v>
      </c>
      <c r="L9276" s="1" t="str">
        <f t="shared" si="2057"/>
        <v>X</v>
      </c>
      <c r="M9276" s="1" t="str">
        <f t="shared" si="2057"/>
        <v>X</v>
      </c>
      <c r="N9276" t="s">
        <v>27</v>
      </c>
    </row>
    <row r="9277" spans="1:14" x14ac:dyDescent="0.25">
      <c r="A9277" t="s">
        <v>43</v>
      </c>
      <c r="B9277" t="s">
        <v>39</v>
      </c>
      <c r="C9277" t="s">
        <v>37</v>
      </c>
      <c r="D9277" t="s">
        <v>15</v>
      </c>
      <c r="E9277" t="s">
        <v>15</v>
      </c>
      <c r="F9277" t="s">
        <v>15</v>
      </c>
      <c r="G9277" s="1">
        <f>VALUE(32191.35)</f>
        <v>32191.35</v>
      </c>
      <c r="H9277" s="1">
        <f>VALUE(31777)</f>
        <v>31777</v>
      </c>
      <c r="I9277" s="1">
        <f>VALUE(3789)</f>
        <v>3789</v>
      </c>
      <c r="J9277" s="1">
        <f>VALUE(4550)</f>
        <v>4550</v>
      </c>
      <c r="K9277" s="1">
        <f>VALUE(5525)</f>
        <v>5525</v>
      </c>
      <c r="L9277" s="1">
        <f>VALUE(6864)</f>
        <v>6864</v>
      </c>
      <c r="M9277" s="1">
        <f>VALUE(9371)</f>
        <v>9371</v>
      </c>
      <c r="N9277" t="s">
        <v>16</v>
      </c>
    </row>
    <row r="9278" spans="1:14" x14ac:dyDescent="0.25">
      <c r="A9278" t="s">
        <v>43</v>
      </c>
      <c r="B9278" t="s">
        <v>39</v>
      </c>
      <c r="C9278" t="s">
        <v>37</v>
      </c>
      <c r="D9278" t="s">
        <v>15</v>
      </c>
      <c r="E9278" t="s">
        <v>15</v>
      </c>
      <c r="F9278" t="s">
        <v>17</v>
      </c>
      <c r="G9278" s="1">
        <f>VALUE(5078.07)</f>
        <v>5078.07</v>
      </c>
      <c r="H9278" s="1">
        <f>VALUE(5062.96)</f>
        <v>5062.96</v>
      </c>
      <c r="I9278" s="1">
        <f>VALUE(5437)</f>
        <v>5437</v>
      </c>
      <c r="J9278" s="1">
        <f>VALUE(6499)</f>
        <v>6499</v>
      </c>
      <c r="K9278" s="1">
        <f>VALUE(8458)</f>
        <v>8458</v>
      </c>
      <c r="L9278" s="1">
        <f>VALUE(11123)</f>
        <v>11123</v>
      </c>
      <c r="M9278" s="1">
        <f>VALUE(16260)</f>
        <v>16260</v>
      </c>
      <c r="N9278" t="s">
        <v>16</v>
      </c>
    </row>
    <row r="9279" spans="1:14" x14ac:dyDescent="0.25">
      <c r="A9279" t="s">
        <v>43</v>
      </c>
      <c r="B9279" t="s">
        <v>39</v>
      </c>
      <c r="C9279" t="s">
        <v>37</v>
      </c>
      <c r="D9279" t="s">
        <v>15</v>
      </c>
      <c r="E9279" t="s">
        <v>15</v>
      </c>
      <c r="F9279" t="s">
        <v>18</v>
      </c>
      <c r="G9279" s="2">
        <f>VALUE(3631.17)</f>
        <v>3631.17</v>
      </c>
      <c r="H9279" s="3">
        <f>VALUE(3621.11)</f>
        <v>3621.11</v>
      </c>
      <c r="I9279" s="1">
        <f>VALUE(4743)</f>
        <v>4743</v>
      </c>
      <c r="J9279" s="1">
        <f>VALUE(5372)</f>
        <v>5372</v>
      </c>
      <c r="K9279" s="1">
        <f>VALUE(6814)</f>
        <v>6814</v>
      </c>
      <c r="L9279" s="1">
        <f>VALUE(8379)</f>
        <v>8379</v>
      </c>
      <c r="M9279" s="1">
        <f>VALUE(10992)</f>
        <v>10992</v>
      </c>
      <c r="N9279" t="s">
        <v>25</v>
      </c>
    </row>
    <row r="9280" spans="1:14" x14ac:dyDescent="0.25">
      <c r="A9280" t="s">
        <v>43</v>
      </c>
      <c r="B9280" t="s">
        <v>39</v>
      </c>
      <c r="C9280" t="s">
        <v>37</v>
      </c>
      <c r="D9280" t="s">
        <v>15</v>
      </c>
      <c r="E9280" t="s">
        <v>15</v>
      </c>
      <c r="F9280" t="s">
        <v>19</v>
      </c>
      <c r="G9280" s="2">
        <f>VALUE(4902.59)</f>
        <v>4902.59</v>
      </c>
      <c r="H9280" s="3">
        <f>VALUE(4916.37)</f>
        <v>4916.37</v>
      </c>
      <c r="I9280" s="4">
        <f>VALUE(3875)</f>
        <v>3875</v>
      </c>
      <c r="J9280" s="1">
        <f>VALUE(4800)</f>
        <v>4800</v>
      </c>
      <c r="K9280" s="1">
        <f>VALUE(5742)</f>
        <v>5742</v>
      </c>
      <c r="L9280" s="1">
        <f>VALUE(6798)</f>
        <v>6798</v>
      </c>
      <c r="M9280" s="1">
        <f>VALUE(8062)</f>
        <v>8062</v>
      </c>
      <c r="N9280" t="s">
        <v>25</v>
      </c>
    </row>
    <row r="9281" spans="1:14" x14ac:dyDescent="0.25">
      <c r="A9281" t="s">
        <v>43</v>
      </c>
      <c r="B9281" t="s">
        <v>39</v>
      </c>
      <c r="C9281" t="s">
        <v>37</v>
      </c>
      <c r="D9281" t="s">
        <v>15</v>
      </c>
      <c r="E9281" t="s">
        <v>15</v>
      </c>
      <c r="F9281" t="s">
        <v>20</v>
      </c>
      <c r="G9281" s="1">
        <f>VALUE(18579.52)</f>
        <v>18579.52</v>
      </c>
      <c r="H9281" s="1">
        <f>VALUE(18176.56)</f>
        <v>18176.560000000001</v>
      </c>
      <c r="I9281" s="1">
        <f>VALUE(3528)</f>
        <v>3528</v>
      </c>
      <c r="J9281" s="1">
        <f>VALUE(4154)</f>
        <v>4154</v>
      </c>
      <c r="K9281" s="1">
        <f>VALUE(5098)</f>
        <v>5098</v>
      </c>
      <c r="L9281" s="1">
        <f>VALUE(5914)</f>
        <v>5914</v>
      </c>
      <c r="M9281" s="1">
        <f>VALUE(6679)</f>
        <v>6679</v>
      </c>
      <c r="N9281" t="s">
        <v>16</v>
      </c>
    </row>
    <row r="9282" spans="1:14" x14ac:dyDescent="0.25">
      <c r="A9282" t="s">
        <v>43</v>
      </c>
      <c r="B9282" t="s">
        <v>39</v>
      </c>
      <c r="C9282" t="s">
        <v>37</v>
      </c>
      <c r="D9282" t="s">
        <v>15</v>
      </c>
      <c r="E9282" t="s">
        <v>21</v>
      </c>
      <c r="F9282" t="s">
        <v>15</v>
      </c>
      <c r="G9282" s="1">
        <f>VALUE(7002.95)</f>
        <v>7002.95</v>
      </c>
      <c r="H9282" s="1">
        <f>VALUE(6848.48)</f>
        <v>6848.48</v>
      </c>
      <c r="I9282" s="1">
        <f>VALUE(5196)</f>
        <v>5196</v>
      </c>
      <c r="J9282" s="1">
        <f>VALUE(6067)</f>
        <v>6067</v>
      </c>
      <c r="K9282" s="1">
        <f>VALUE(8048)</f>
        <v>8048</v>
      </c>
      <c r="L9282" s="1">
        <f>VALUE(10633)</f>
        <v>10633</v>
      </c>
      <c r="M9282" s="1">
        <f>VALUE(14361)</f>
        <v>14361</v>
      </c>
      <c r="N9282" t="s">
        <v>16</v>
      </c>
    </row>
    <row r="9283" spans="1:14" x14ac:dyDescent="0.25">
      <c r="A9283" t="s">
        <v>43</v>
      </c>
      <c r="B9283" t="s">
        <v>39</v>
      </c>
      <c r="C9283" t="s">
        <v>37</v>
      </c>
      <c r="D9283" t="s">
        <v>15</v>
      </c>
      <c r="E9283" t="s">
        <v>21</v>
      </c>
      <c r="F9283" t="s">
        <v>17</v>
      </c>
      <c r="G9283" s="1">
        <f>VALUE(2734.39)</f>
        <v>2734.39</v>
      </c>
      <c r="H9283" s="1">
        <f>VALUE(2721.54)</f>
        <v>2721.54</v>
      </c>
      <c r="I9283" s="4">
        <f>VALUE(5943)</f>
        <v>5943</v>
      </c>
      <c r="J9283" s="1">
        <f>VALUE(7934)</f>
        <v>7934</v>
      </c>
      <c r="K9283" s="1">
        <f>VALUE(10077)</f>
        <v>10077</v>
      </c>
      <c r="L9283" s="1">
        <f>VALUE(13409)</f>
        <v>13409</v>
      </c>
      <c r="M9283" s="1">
        <f>VALUE(18409)</f>
        <v>18409</v>
      </c>
      <c r="N9283" t="s">
        <v>25</v>
      </c>
    </row>
    <row r="9284" spans="1:14" x14ac:dyDescent="0.25">
      <c r="A9284" t="s">
        <v>43</v>
      </c>
      <c r="B9284" t="s">
        <v>39</v>
      </c>
      <c r="C9284" t="s">
        <v>37</v>
      </c>
      <c r="D9284" t="s">
        <v>15</v>
      </c>
      <c r="E9284" t="s">
        <v>21</v>
      </c>
      <c r="F9284" t="s">
        <v>18</v>
      </c>
      <c r="G9284" s="2">
        <f>VALUE(1185.5)</f>
        <v>1185.5</v>
      </c>
      <c r="H9284" s="3">
        <f>VALUE(1176.29)</f>
        <v>1176.29</v>
      </c>
      <c r="I9284" s="1">
        <f>VALUE(5372)</f>
        <v>5372</v>
      </c>
      <c r="J9284" s="1">
        <f>VALUE(7135)</f>
        <v>7135</v>
      </c>
      <c r="K9284" s="1">
        <f>VALUE(8634)</f>
        <v>8634</v>
      </c>
      <c r="L9284" s="1">
        <f>VALUE(10905)</f>
        <v>10905</v>
      </c>
      <c r="M9284" s="1">
        <f>VALUE(12839)</f>
        <v>12839</v>
      </c>
      <c r="N9284" t="s">
        <v>25</v>
      </c>
    </row>
    <row r="9285" spans="1:14" x14ac:dyDescent="0.25">
      <c r="A9285" t="s">
        <v>43</v>
      </c>
      <c r="B9285" t="s">
        <v>39</v>
      </c>
      <c r="C9285" t="s">
        <v>37</v>
      </c>
      <c r="D9285" t="s">
        <v>15</v>
      </c>
      <c r="E9285" t="s">
        <v>21</v>
      </c>
      <c r="F9285" t="s">
        <v>19</v>
      </c>
      <c r="G9285" s="2">
        <f>VALUE(1011.06)</f>
        <v>1011.06</v>
      </c>
      <c r="H9285" s="3">
        <f>VALUE(998.03)</f>
        <v>998.03</v>
      </c>
      <c r="I9285" s="1">
        <f>VALUE(5331)</f>
        <v>5331</v>
      </c>
      <c r="J9285" s="1">
        <f>VALUE(5953)</f>
        <v>5953</v>
      </c>
      <c r="K9285" s="1">
        <f>VALUE(7337)</f>
        <v>7337</v>
      </c>
      <c r="L9285" s="7">
        <f>VALUE(8522)</f>
        <v>8522</v>
      </c>
      <c r="M9285" s="8">
        <f>VALUE(10000)</f>
        <v>10000</v>
      </c>
      <c r="N9285" t="s">
        <v>25</v>
      </c>
    </row>
    <row r="9286" spans="1:14" x14ac:dyDescent="0.25">
      <c r="A9286" t="s">
        <v>43</v>
      </c>
      <c r="B9286" t="s">
        <v>39</v>
      </c>
      <c r="C9286" t="s">
        <v>37</v>
      </c>
      <c r="D9286" t="s">
        <v>15</v>
      </c>
      <c r="E9286" t="s">
        <v>21</v>
      </c>
      <c r="F9286" t="s">
        <v>20</v>
      </c>
      <c r="G9286" s="2">
        <f>VALUE(2072)</f>
        <v>2072</v>
      </c>
      <c r="H9286" s="3">
        <f>VALUE(1952.62)</f>
        <v>1952.62</v>
      </c>
      <c r="I9286" s="1">
        <f>VALUE(4126)</f>
        <v>4126</v>
      </c>
      <c r="J9286" s="1">
        <f>VALUE(5298)</f>
        <v>5298</v>
      </c>
      <c r="K9286" s="1">
        <f>VALUE(6265)</f>
        <v>6265</v>
      </c>
      <c r="L9286" s="1">
        <f>VALUE(7258)</f>
        <v>7258</v>
      </c>
      <c r="M9286" s="1">
        <f>VALUE(8666)</f>
        <v>8666</v>
      </c>
      <c r="N9286" t="s">
        <v>25</v>
      </c>
    </row>
    <row r="9287" spans="1:14" x14ac:dyDescent="0.25">
      <c r="A9287" t="s">
        <v>43</v>
      </c>
      <c r="B9287" t="s">
        <v>39</v>
      </c>
      <c r="C9287" t="s">
        <v>37</v>
      </c>
      <c r="D9287" t="s">
        <v>15</v>
      </c>
      <c r="E9287" t="s">
        <v>22</v>
      </c>
      <c r="F9287" t="s">
        <v>15</v>
      </c>
      <c r="G9287" s="1">
        <f>VALUE(13819.95)</f>
        <v>13819.95</v>
      </c>
      <c r="H9287" s="1">
        <f>VALUE(13644.04)</f>
        <v>13644.04</v>
      </c>
      <c r="I9287" s="1">
        <f>VALUE(4283)</f>
        <v>4283</v>
      </c>
      <c r="J9287" s="1">
        <f>VALUE(4953)</f>
        <v>4953</v>
      </c>
      <c r="K9287" s="1">
        <f>VALUE(5698)</f>
        <v>5698</v>
      </c>
      <c r="L9287" s="1">
        <f>VALUE(6681)</f>
        <v>6681</v>
      </c>
      <c r="M9287" s="1">
        <f>VALUE(8001)</f>
        <v>8001</v>
      </c>
      <c r="N9287" t="s">
        <v>16</v>
      </c>
    </row>
    <row r="9288" spans="1:14" x14ac:dyDescent="0.25">
      <c r="A9288" t="s">
        <v>43</v>
      </c>
      <c r="B9288" t="s">
        <v>39</v>
      </c>
      <c r="C9288" t="s">
        <v>37</v>
      </c>
      <c r="D9288" t="s">
        <v>15</v>
      </c>
      <c r="E9288" t="s">
        <v>22</v>
      </c>
      <c r="F9288" t="s">
        <v>17</v>
      </c>
      <c r="G9288" s="2">
        <f>VALUE(1928.52)</f>
        <v>1928.52</v>
      </c>
      <c r="H9288" s="3">
        <f>VALUE(1923.57)</f>
        <v>1923.57</v>
      </c>
      <c r="I9288" s="1">
        <f>VALUE(5282)</f>
        <v>5282</v>
      </c>
      <c r="J9288" s="1">
        <f>VALUE(6129)</f>
        <v>6129</v>
      </c>
      <c r="K9288" s="1">
        <f>VALUE(7103)</f>
        <v>7103</v>
      </c>
      <c r="L9288" s="1">
        <f>VALUE(9049)</f>
        <v>9049</v>
      </c>
      <c r="M9288" s="8">
        <f>VALUE(11430)</f>
        <v>11430</v>
      </c>
      <c r="N9288" t="s">
        <v>25</v>
      </c>
    </row>
    <row r="9289" spans="1:14" x14ac:dyDescent="0.25">
      <c r="A9289" t="s">
        <v>43</v>
      </c>
      <c r="B9289" t="s">
        <v>39</v>
      </c>
      <c r="C9289" t="s">
        <v>37</v>
      </c>
      <c r="D9289" t="s">
        <v>15</v>
      </c>
      <c r="E9289" t="s">
        <v>22</v>
      </c>
      <c r="F9289" t="s">
        <v>18</v>
      </c>
      <c r="G9289" s="2">
        <f>VALUE(1963.55)</f>
        <v>1963.55</v>
      </c>
      <c r="H9289" s="3">
        <f>VALUE(1955.63)</f>
        <v>1955.63</v>
      </c>
      <c r="I9289" s="1">
        <f>VALUE(4743)</f>
        <v>4743</v>
      </c>
      <c r="J9289" s="1">
        <f>VALUE(5205)</f>
        <v>5205</v>
      </c>
      <c r="K9289" s="1">
        <f>VALUE(6375)</f>
        <v>6375</v>
      </c>
      <c r="L9289" s="1">
        <f>VALUE(7513)</f>
        <v>7513</v>
      </c>
      <c r="M9289" s="1">
        <f>VALUE(9009)</f>
        <v>9009</v>
      </c>
      <c r="N9289" t="s">
        <v>25</v>
      </c>
    </row>
    <row r="9290" spans="1:14" x14ac:dyDescent="0.25">
      <c r="A9290" t="s">
        <v>43</v>
      </c>
      <c r="B9290" t="s">
        <v>39</v>
      </c>
      <c r="C9290" t="s">
        <v>37</v>
      </c>
      <c r="D9290" t="s">
        <v>15</v>
      </c>
      <c r="E9290" t="s">
        <v>22</v>
      </c>
      <c r="F9290" t="s">
        <v>19</v>
      </c>
      <c r="G9290" s="2">
        <f>VALUE(2241.03)</f>
        <v>2241.0300000000002</v>
      </c>
      <c r="H9290" s="3">
        <f>VALUE(2284.05)</f>
        <v>2284.0500000000002</v>
      </c>
      <c r="I9290" s="1">
        <f>VALUE(4657)</f>
        <v>4657</v>
      </c>
      <c r="J9290" s="1">
        <f>VALUE(5283)</f>
        <v>5283</v>
      </c>
      <c r="K9290" s="1">
        <f>VALUE(5896)</f>
        <v>5896</v>
      </c>
      <c r="L9290" s="1">
        <f>VALUE(6588)</f>
        <v>6588</v>
      </c>
      <c r="M9290" s="1">
        <f>VALUE(7703)</f>
        <v>7703</v>
      </c>
      <c r="N9290" t="s">
        <v>25</v>
      </c>
    </row>
    <row r="9291" spans="1:14" x14ac:dyDescent="0.25">
      <c r="A9291" t="s">
        <v>43</v>
      </c>
      <c r="B9291" t="s">
        <v>39</v>
      </c>
      <c r="C9291" t="s">
        <v>37</v>
      </c>
      <c r="D9291" t="s">
        <v>15</v>
      </c>
      <c r="E9291" t="s">
        <v>22</v>
      </c>
      <c r="F9291" t="s">
        <v>20</v>
      </c>
      <c r="G9291" s="1">
        <f>VALUE(7686.85)</f>
        <v>7686.85</v>
      </c>
      <c r="H9291" s="1">
        <f>VALUE(7480.79)</f>
        <v>7480.79</v>
      </c>
      <c r="I9291" s="1">
        <f>VALUE(3921)</f>
        <v>3921</v>
      </c>
      <c r="J9291" s="1">
        <f>VALUE(4639)</f>
        <v>4639</v>
      </c>
      <c r="K9291" s="1">
        <f>VALUE(5384)</f>
        <v>5384</v>
      </c>
      <c r="L9291" s="1">
        <f>VALUE(6062)</f>
        <v>6062</v>
      </c>
      <c r="M9291" s="1">
        <f>VALUE(6817)</f>
        <v>6817</v>
      </c>
      <c r="N9291" t="s">
        <v>16</v>
      </c>
    </row>
    <row r="9292" spans="1:14" x14ac:dyDescent="0.25">
      <c r="A9292" t="s">
        <v>43</v>
      </c>
      <c r="B9292" t="s">
        <v>39</v>
      </c>
      <c r="C9292" t="s">
        <v>37</v>
      </c>
      <c r="D9292" t="s">
        <v>15</v>
      </c>
      <c r="E9292" t="s">
        <v>23</v>
      </c>
      <c r="F9292" t="s">
        <v>15</v>
      </c>
      <c r="G9292" s="1">
        <f>VALUE(10868.9)</f>
        <v>10868.9</v>
      </c>
      <c r="H9292" s="1">
        <f>VALUE(10812.44)</f>
        <v>10812.44</v>
      </c>
      <c r="I9292" s="1">
        <f>VALUE(3431)</f>
        <v>3431</v>
      </c>
      <c r="J9292" s="1">
        <f>VALUE(3805)</f>
        <v>3805</v>
      </c>
      <c r="K9292" s="1">
        <f>VALUE(4581)</f>
        <v>4581</v>
      </c>
      <c r="L9292" s="1">
        <f>VALUE(5437)</f>
        <v>5437</v>
      </c>
      <c r="M9292" s="1">
        <f>VALUE(6364)</f>
        <v>6364</v>
      </c>
      <c r="N9292" t="s">
        <v>16</v>
      </c>
    </row>
    <row r="9293" spans="1:14" x14ac:dyDescent="0.25">
      <c r="A9293" t="s">
        <v>43</v>
      </c>
      <c r="B9293" t="s">
        <v>39</v>
      </c>
      <c r="C9293" t="s">
        <v>37</v>
      </c>
      <c r="D9293" t="s">
        <v>15</v>
      </c>
      <c r="E9293" t="s">
        <v>23</v>
      </c>
      <c r="F9293" t="s">
        <v>17</v>
      </c>
      <c r="G9293" s="1" t="str">
        <f t="shared" ref="G9293:M9293" si="2058">"X"</f>
        <v>X</v>
      </c>
      <c r="H9293" s="1" t="str">
        <f t="shared" si="2058"/>
        <v>X</v>
      </c>
      <c r="I9293" s="1" t="str">
        <f t="shared" si="2058"/>
        <v>X</v>
      </c>
      <c r="J9293" s="1" t="str">
        <f t="shared" si="2058"/>
        <v>X</v>
      </c>
      <c r="K9293" s="1" t="str">
        <f t="shared" si="2058"/>
        <v>X</v>
      </c>
      <c r="L9293" s="1" t="str">
        <f t="shared" si="2058"/>
        <v>X</v>
      </c>
      <c r="M9293" s="1" t="str">
        <f t="shared" si="2058"/>
        <v>X</v>
      </c>
      <c r="N9293" t="s">
        <v>27</v>
      </c>
    </row>
    <row r="9294" spans="1:14" x14ac:dyDescent="0.25">
      <c r="A9294" t="s">
        <v>43</v>
      </c>
      <c r="B9294" t="s">
        <v>39</v>
      </c>
      <c r="C9294" t="s">
        <v>37</v>
      </c>
      <c r="D9294" t="s">
        <v>15</v>
      </c>
      <c r="E9294" t="s">
        <v>23</v>
      </c>
      <c r="F9294" t="s">
        <v>18</v>
      </c>
      <c r="G9294" s="2">
        <f>VALUE(444.54)</f>
        <v>444.54</v>
      </c>
      <c r="H9294" s="3">
        <f>VALUE(459.07)</f>
        <v>459.07</v>
      </c>
      <c r="I9294" s="1">
        <f>VALUE(3805)</f>
        <v>3805</v>
      </c>
      <c r="J9294" s="5">
        <f>VALUE(4374)</f>
        <v>4374</v>
      </c>
      <c r="K9294" s="1">
        <f>VALUE(5283)</f>
        <v>5283</v>
      </c>
      <c r="L9294" s="7">
        <f>VALUE(5710)</f>
        <v>5710</v>
      </c>
      <c r="M9294" s="1">
        <f>VALUE(7335)</f>
        <v>7335</v>
      </c>
      <c r="N9294" t="s">
        <v>25</v>
      </c>
    </row>
    <row r="9295" spans="1:14" x14ac:dyDescent="0.25">
      <c r="A9295" t="s">
        <v>43</v>
      </c>
      <c r="B9295" t="s">
        <v>39</v>
      </c>
      <c r="C9295" t="s">
        <v>37</v>
      </c>
      <c r="D9295" t="s">
        <v>15</v>
      </c>
      <c r="E9295" t="s">
        <v>23</v>
      </c>
      <c r="F9295" t="s">
        <v>19</v>
      </c>
      <c r="G9295" s="2">
        <f>VALUE(1608.7)</f>
        <v>1608.7</v>
      </c>
      <c r="H9295" s="3">
        <f>VALUE(1601.89)</f>
        <v>1601.89</v>
      </c>
      <c r="I9295" s="1">
        <f>VALUE(3467)</f>
        <v>3467</v>
      </c>
      <c r="J9295" s="5">
        <f>VALUE(3801)</f>
        <v>3801</v>
      </c>
      <c r="K9295" s="1">
        <f>VALUE(4544)</f>
        <v>4544</v>
      </c>
      <c r="L9295" s="7">
        <f>VALUE(5474)</f>
        <v>5474</v>
      </c>
      <c r="M9295" s="1">
        <f>VALUE(6641)</f>
        <v>6641</v>
      </c>
      <c r="N9295" t="s">
        <v>25</v>
      </c>
    </row>
    <row r="9296" spans="1:14" x14ac:dyDescent="0.25">
      <c r="A9296" t="s">
        <v>43</v>
      </c>
      <c r="B9296" t="s">
        <v>39</v>
      </c>
      <c r="C9296" t="s">
        <v>37</v>
      </c>
      <c r="D9296" t="s">
        <v>15</v>
      </c>
      <c r="E9296" t="s">
        <v>23</v>
      </c>
      <c r="F9296" t="s">
        <v>20</v>
      </c>
      <c r="G9296" s="1">
        <f>VALUE(8443.29)</f>
        <v>8443.2900000000009</v>
      </c>
      <c r="H9296" s="1">
        <f>VALUE(8377.19)</f>
        <v>8377.19</v>
      </c>
      <c r="I9296" s="1">
        <f>VALUE(3397)</f>
        <v>3397</v>
      </c>
      <c r="J9296" s="1">
        <f>VALUE(3792)</f>
        <v>3792</v>
      </c>
      <c r="K9296" s="1">
        <f>VALUE(4518)</f>
        <v>4518</v>
      </c>
      <c r="L9296" s="1">
        <f>VALUE(5371)</f>
        <v>5371</v>
      </c>
      <c r="M9296" s="1">
        <f>VALUE(6161)</f>
        <v>6161</v>
      </c>
      <c r="N9296" t="s">
        <v>16</v>
      </c>
    </row>
    <row r="9297" spans="1:14" x14ac:dyDescent="0.25">
      <c r="A9297" t="s">
        <v>43</v>
      </c>
      <c r="B9297" t="s">
        <v>39</v>
      </c>
      <c r="C9297" t="s">
        <v>37</v>
      </c>
      <c r="D9297" t="s">
        <v>15</v>
      </c>
      <c r="E9297" t="s">
        <v>26</v>
      </c>
      <c r="F9297" t="s">
        <v>15</v>
      </c>
      <c r="G9297" s="2">
        <f>VALUE(499.55)</f>
        <v>499.55</v>
      </c>
      <c r="H9297" s="3">
        <f>VALUE(472.04)</f>
        <v>472.04</v>
      </c>
      <c r="I9297" s="1">
        <f>VALUE(4078)</f>
        <v>4078</v>
      </c>
      <c r="J9297" s="1">
        <f>VALUE(4715)</f>
        <v>4715</v>
      </c>
      <c r="K9297" s="1">
        <f>VALUE(5504)</f>
        <v>5504</v>
      </c>
      <c r="L9297" s="7">
        <f>VALUE(6503)</f>
        <v>6503</v>
      </c>
      <c r="M9297" s="8">
        <f>VALUE(9634)</f>
        <v>9634</v>
      </c>
      <c r="N9297" t="s">
        <v>25</v>
      </c>
    </row>
    <row r="9298" spans="1:14" x14ac:dyDescent="0.25">
      <c r="A9298" t="s">
        <v>43</v>
      </c>
      <c r="B9298" t="s">
        <v>39</v>
      </c>
      <c r="C9298" t="s">
        <v>37</v>
      </c>
      <c r="D9298" t="s">
        <v>15</v>
      </c>
      <c r="E9298" t="s">
        <v>26</v>
      </c>
      <c r="F9298" t="s">
        <v>17</v>
      </c>
      <c r="G9298" s="1" t="str">
        <f t="shared" ref="G9298:M9300" si="2059">"X"</f>
        <v>X</v>
      </c>
      <c r="H9298" s="1" t="str">
        <f t="shared" si="2059"/>
        <v>X</v>
      </c>
      <c r="I9298" s="1" t="str">
        <f t="shared" si="2059"/>
        <v>X</v>
      </c>
      <c r="J9298" s="1" t="str">
        <f t="shared" si="2059"/>
        <v>X</v>
      </c>
      <c r="K9298" s="1" t="str">
        <f t="shared" si="2059"/>
        <v>X</v>
      </c>
      <c r="L9298" s="1" t="str">
        <f t="shared" si="2059"/>
        <v>X</v>
      </c>
      <c r="M9298" s="1" t="str">
        <f t="shared" si="2059"/>
        <v>X</v>
      </c>
      <c r="N9298" t="s">
        <v>27</v>
      </c>
    </row>
    <row r="9299" spans="1:14" x14ac:dyDescent="0.25">
      <c r="A9299" t="s">
        <v>43</v>
      </c>
      <c r="B9299" t="s">
        <v>39</v>
      </c>
      <c r="C9299" t="s">
        <v>37</v>
      </c>
      <c r="D9299" t="s">
        <v>15</v>
      </c>
      <c r="E9299" t="s">
        <v>26</v>
      </c>
      <c r="F9299" t="s">
        <v>18</v>
      </c>
      <c r="G9299" s="1" t="str">
        <f t="shared" si="2059"/>
        <v>X</v>
      </c>
      <c r="H9299" s="1" t="str">
        <f t="shared" si="2059"/>
        <v>X</v>
      </c>
      <c r="I9299" s="1" t="str">
        <f t="shared" si="2059"/>
        <v>X</v>
      </c>
      <c r="J9299" s="1" t="str">
        <f t="shared" si="2059"/>
        <v>X</v>
      </c>
      <c r="K9299" s="1" t="str">
        <f t="shared" si="2059"/>
        <v>X</v>
      </c>
      <c r="L9299" s="1" t="str">
        <f t="shared" si="2059"/>
        <v>X</v>
      </c>
      <c r="M9299" s="1" t="str">
        <f t="shared" si="2059"/>
        <v>X</v>
      </c>
      <c r="N9299" t="s">
        <v>27</v>
      </c>
    </row>
    <row r="9300" spans="1:14" x14ac:dyDescent="0.25">
      <c r="A9300" t="s">
        <v>43</v>
      </c>
      <c r="B9300" t="s">
        <v>39</v>
      </c>
      <c r="C9300" t="s">
        <v>37</v>
      </c>
      <c r="D9300" t="s">
        <v>15</v>
      </c>
      <c r="E9300" t="s">
        <v>26</v>
      </c>
      <c r="F9300" t="s">
        <v>19</v>
      </c>
      <c r="G9300" s="1" t="str">
        <f t="shared" si="2059"/>
        <v>X</v>
      </c>
      <c r="H9300" s="1" t="str">
        <f t="shared" si="2059"/>
        <v>X</v>
      </c>
      <c r="I9300" s="1" t="str">
        <f t="shared" si="2059"/>
        <v>X</v>
      </c>
      <c r="J9300" s="1" t="str">
        <f t="shared" si="2059"/>
        <v>X</v>
      </c>
      <c r="K9300" s="1" t="str">
        <f t="shared" si="2059"/>
        <v>X</v>
      </c>
      <c r="L9300" s="1" t="str">
        <f t="shared" si="2059"/>
        <v>X</v>
      </c>
      <c r="M9300" s="1" t="str">
        <f t="shared" si="2059"/>
        <v>X</v>
      </c>
      <c r="N9300" t="s">
        <v>27</v>
      </c>
    </row>
    <row r="9301" spans="1:14" x14ac:dyDescent="0.25">
      <c r="A9301" t="s">
        <v>43</v>
      </c>
      <c r="B9301" t="s">
        <v>39</v>
      </c>
      <c r="C9301" t="s">
        <v>37</v>
      </c>
      <c r="D9301" t="s">
        <v>15</v>
      </c>
      <c r="E9301" t="s">
        <v>26</v>
      </c>
      <c r="F9301" t="s">
        <v>20</v>
      </c>
      <c r="G9301" s="2">
        <f>VALUE(377.38)</f>
        <v>377.38</v>
      </c>
      <c r="H9301" s="3">
        <f>VALUE(365.96)</f>
        <v>365.96</v>
      </c>
      <c r="I9301" s="1">
        <f>VALUE(3972)</f>
        <v>3972</v>
      </c>
      <c r="J9301" s="5">
        <f>VALUE(4684)</f>
        <v>4684</v>
      </c>
      <c r="K9301" s="1">
        <f>VALUE(5262)</f>
        <v>5262</v>
      </c>
      <c r="L9301" s="7">
        <f>VALUE(5850)</f>
        <v>5850</v>
      </c>
      <c r="M9301" s="1">
        <f>VALUE(6503)</f>
        <v>6503</v>
      </c>
      <c r="N9301" t="s">
        <v>25</v>
      </c>
    </row>
    <row r="9302" spans="1:14" x14ac:dyDescent="0.25">
      <c r="A9302" t="s">
        <v>43</v>
      </c>
      <c r="B9302" t="s">
        <v>39</v>
      </c>
      <c r="C9302" t="s">
        <v>37</v>
      </c>
      <c r="D9302" t="s">
        <v>28</v>
      </c>
      <c r="E9302" t="s">
        <v>15</v>
      </c>
      <c r="F9302" t="s">
        <v>15</v>
      </c>
      <c r="G9302" s="1">
        <f>VALUE(10219.37)</f>
        <v>10219.370000000001</v>
      </c>
      <c r="H9302" s="1">
        <f>VALUE(9970.33)</f>
        <v>9970.33</v>
      </c>
      <c r="I9302" s="1">
        <f>VALUE(4562)</f>
        <v>4562</v>
      </c>
      <c r="J9302" s="1">
        <f>VALUE(5417)</f>
        <v>5417</v>
      </c>
      <c r="K9302" s="1">
        <f>VALUE(6424)</f>
        <v>6424</v>
      </c>
      <c r="L9302" s="1">
        <f>VALUE(8342)</f>
        <v>8342</v>
      </c>
      <c r="M9302" s="1">
        <f>VALUE(11389)</f>
        <v>11389</v>
      </c>
      <c r="N9302" t="s">
        <v>16</v>
      </c>
    </row>
    <row r="9303" spans="1:14" x14ac:dyDescent="0.25">
      <c r="A9303" t="s">
        <v>43</v>
      </c>
      <c r="B9303" t="s">
        <v>39</v>
      </c>
      <c r="C9303" t="s">
        <v>37</v>
      </c>
      <c r="D9303" t="s">
        <v>28</v>
      </c>
      <c r="E9303" t="s">
        <v>15</v>
      </c>
      <c r="F9303" t="s">
        <v>17</v>
      </c>
      <c r="G9303" s="2">
        <f>VALUE(2980.76)</f>
        <v>2980.76</v>
      </c>
      <c r="H9303" s="3">
        <f>VALUE(2972.19)</f>
        <v>2972.19</v>
      </c>
      <c r="I9303" s="1">
        <f>VALUE(5437)</f>
        <v>5437</v>
      </c>
      <c r="J9303" s="1">
        <f>VALUE(6499)</f>
        <v>6499</v>
      </c>
      <c r="K9303" s="1">
        <f>VALUE(8750)</f>
        <v>8750</v>
      </c>
      <c r="L9303" s="1">
        <f>VALUE(11541)</f>
        <v>11541</v>
      </c>
      <c r="M9303" s="1">
        <f>VALUE(16730)</f>
        <v>16730</v>
      </c>
      <c r="N9303" t="s">
        <v>25</v>
      </c>
    </row>
    <row r="9304" spans="1:14" x14ac:dyDescent="0.25">
      <c r="A9304" t="s">
        <v>43</v>
      </c>
      <c r="B9304" t="s">
        <v>39</v>
      </c>
      <c r="C9304" t="s">
        <v>37</v>
      </c>
      <c r="D9304" t="s">
        <v>28</v>
      </c>
      <c r="E9304" t="s">
        <v>15</v>
      </c>
      <c r="F9304" t="s">
        <v>18</v>
      </c>
      <c r="G9304" s="2">
        <f>VALUE(1708.4)</f>
        <v>1708.4</v>
      </c>
      <c r="H9304" s="3">
        <f>VALUE(1698.55)</f>
        <v>1698.55</v>
      </c>
      <c r="I9304" s="4">
        <f>VALUE(4875)</f>
        <v>4875</v>
      </c>
      <c r="J9304" s="5">
        <f>VALUE(5506)</f>
        <v>5506</v>
      </c>
      <c r="K9304" s="1">
        <f>VALUE(7119)</f>
        <v>7119</v>
      </c>
      <c r="L9304" s="1">
        <f>VALUE(9032)</f>
        <v>9032</v>
      </c>
      <c r="M9304" s="1">
        <f>VALUE(11256)</f>
        <v>11256</v>
      </c>
      <c r="N9304" t="s">
        <v>25</v>
      </c>
    </row>
    <row r="9305" spans="1:14" x14ac:dyDescent="0.25">
      <c r="A9305" t="s">
        <v>43</v>
      </c>
      <c r="B9305" t="s">
        <v>39</v>
      </c>
      <c r="C9305" t="s">
        <v>37</v>
      </c>
      <c r="D9305" t="s">
        <v>28</v>
      </c>
      <c r="E9305" t="s">
        <v>15</v>
      </c>
      <c r="F9305" t="s">
        <v>19</v>
      </c>
      <c r="G9305" s="2">
        <f>VALUE(1481.96)</f>
        <v>1481.96</v>
      </c>
      <c r="H9305" s="3">
        <f>VALUE(1470.39)</f>
        <v>1470.39</v>
      </c>
      <c r="I9305" s="4">
        <f>VALUE(3801)</f>
        <v>3801</v>
      </c>
      <c r="J9305" s="5">
        <f>VALUE(5130)</f>
        <v>5130</v>
      </c>
      <c r="K9305" s="1">
        <f>VALUE(6083)</f>
        <v>6083</v>
      </c>
      <c r="L9305" s="7">
        <f>VALUE(7284)</f>
        <v>7284</v>
      </c>
      <c r="M9305" s="1">
        <f>VALUE(8997)</f>
        <v>8997</v>
      </c>
      <c r="N9305" t="s">
        <v>25</v>
      </c>
    </row>
    <row r="9306" spans="1:14" x14ac:dyDescent="0.25">
      <c r="A9306" t="s">
        <v>43</v>
      </c>
      <c r="B9306" t="s">
        <v>39</v>
      </c>
      <c r="C9306" t="s">
        <v>37</v>
      </c>
      <c r="D9306" t="s">
        <v>28</v>
      </c>
      <c r="E9306" t="s">
        <v>15</v>
      </c>
      <c r="F9306" t="s">
        <v>20</v>
      </c>
      <c r="G9306" s="2">
        <f>VALUE(4048.25)</f>
        <v>4048.25</v>
      </c>
      <c r="H9306" s="3">
        <f>VALUE(3829.2)</f>
        <v>3829.2</v>
      </c>
      <c r="I9306" s="1">
        <f>VALUE(4238)</f>
        <v>4238</v>
      </c>
      <c r="J9306" s="1">
        <f>VALUE(4922)</f>
        <v>4922</v>
      </c>
      <c r="K9306" s="1">
        <f>VALUE(5730)</f>
        <v>5730</v>
      </c>
      <c r="L9306" s="1">
        <f>VALUE(6571)</f>
        <v>6571</v>
      </c>
      <c r="M9306" s="1">
        <f>VALUE(7608)</f>
        <v>7608</v>
      </c>
      <c r="N9306" t="s">
        <v>25</v>
      </c>
    </row>
    <row r="9307" spans="1:14" x14ac:dyDescent="0.25">
      <c r="A9307" t="s">
        <v>43</v>
      </c>
      <c r="B9307" t="s">
        <v>39</v>
      </c>
      <c r="C9307" t="s">
        <v>37</v>
      </c>
      <c r="D9307" t="s">
        <v>28</v>
      </c>
      <c r="E9307" t="s">
        <v>21</v>
      </c>
      <c r="F9307" t="s">
        <v>15</v>
      </c>
      <c r="G9307" s="2">
        <f>VALUE(3273.19)</f>
        <v>3273.19</v>
      </c>
      <c r="H9307" s="3">
        <f>VALUE(3216.99)</f>
        <v>3216.99</v>
      </c>
      <c r="I9307" s="4">
        <f>VALUE(5674)</f>
        <v>5674</v>
      </c>
      <c r="J9307" s="1">
        <f>VALUE(6749)</f>
        <v>6749</v>
      </c>
      <c r="K9307" s="1">
        <f>VALUE(8747)</f>
        <v>8747</v>
      </c>
      <c r="L9307" s="1">
        <f>VALUE(11050)</f>
        <v>11050</v>
      </c>
      <c r="M9307" s="1">
        <f>VALUE(15381)</f>
        <v>15381</v>
      </c>
      <c r="N9307" t="s">
        <v>25</v>
      </c>
    </row>
    <row r="9308" spans="1:14" x14ac:dyDescent="0.25">
      <c r="A9308" t="s">
        <v>43</v>
      </c>
      <c r="B9308" t="s">
        <v>39</v>
      </c>
      <c r="C9308" t="s">
        <v>37</v>
      </c>
      <c r="D9308" t="s">
        <v>28</v>
      </c>
      <c r="E9308" t="s">
        <v>21</v>
      </c>
      <c r="F9308" t="s">
        <v>17</v>
      </c>
      <c r="G9308" s="2">
        <f>VALUE(1567.14)</f>
        <v>1567.14</v>
      </c>
      <c r="H9308" s="3">
        <f>VALUE(1557.51)</f>
        <v>1557.51</v>
      </c>
      <c r="I9308" s="4">
        <f>VALUE(6000)</f>
        <v>6000</v>
      </c>
      <c r="J9308" s="5">
        <f>VALUE(8130)</f>
        <v>8130</v>
      </c>
      <c r="K9308" s="1">
        <f>VALUE(10226)</f>
        <v>10226</v>
      </c>
      <c r="L9308" s="1">
        <f>VALUE(13890)</f>
        <v>13890</v>
      </c>
      <c r="M9308" s="1">
        <f>VALUE(18793)</f>
        <v>18793</v>
      </c>
      <c r="N9308" t="s">
        <v>25</v>
      </c>
    </row>
    <row r="9309" spans="1:14" x14ac:dyDescent="0.25">
      <c r="A9309" t="s">
        <v>43</v>
      </c>
      <c r="B9309" t="s">
        <v>39</v>
      </c>
      <c r="C9309" t="s">
        <v>37</v>
      </c>
      <c r="D9309" t="s">
        <v>28</v>
      </c>
      <c r="E9309" t="s">
        <v>21</v>
      </c>
      <c r="F9309" t="s">
        <v>18</v>
      </c>
      <c r="G9309" s="2">
        <f>VALUE(598.92)</f>
        <v>598.91999999999996</v>
      </c>
      <c r="H9309" s="3">
        <f>VALUE(592.59)</f>
        <v>592.59</v>
      </c>
      <c r="I9309" s="1">
        <f>VALUE(6271)</f>
        <v>6271</v>
      </c>
      <c r="J9309" s="1">
        <f>VALUE(7710)</f>
        <v>7710</v>
      </c>
      <c r="K9309" s="1">
        <f>VALUE(8871)</f>
        <v>8871</v>
      </c>
      <c r="L9309" s="1">
        <f>VALUE(10767)</f>
        <v>10767</v>
      </c>
      <c r="M9309" s="1">
        <f>VALUE(12063)</f>
        <v>12063</v>
      </c>
      <c r="N9309" t="s">
        <v>25</v>
      </c>
    </row>
    <row r="9310" spans="1:14" x14ac:dyDescent="0.25">
      <c r="A9310" t="s">
        <v>43</v>
      </c>
      <c r="B9310" t="s">
        <v>39</v>
      </c>
      <c r="C9310" t="s">
        <v>37</v>
      </c>
      <c r="D9310" t="s">
        <v>28</v>
      </c>
      <c r="E9310" t="s">
        <v>21</v>
      </c>
      <c r="F9310" t="s">
        <v>19</v>
      </c>
      <c r="G9310" s="2">
        <f>VALUE(349.44)</f>
        <v>349.44</v>
      </c>
      <c r="H9310" s="3">
        <f>VALUE(352.98)</f>
        <v>352.98</v>
      </c>
      <c r="I9310" s="1">
        <f>VALUE(5727)</f>
        <v>5727</v>
      </c>
      <c r="J9310" s="5">
        <f>VALUE(6741)</f>
        <v>6741</v>
      </c>
      <c r="K9310" s="1">
        <f>VALUE(7854)</f>
        <v>7854</v>
      </c>
      <c r="L9310" s="1">
        <f>VALUE(9142)</f>
        <v>9142</v>
      </c>
      <c r="M9310" s="8">
        <f>VALUE(9708)</f>
        <v>9708</v>
      </c>
      <c r="N9310" t="s">
        <v>25</v>
      </c>
    </row>
    <row r="9311" spans="1:14" x14ac:dyDescent="0.25">
      <c r="A9311" t="s">
        <v>43</v>
      </c>
      <c r="B9311" t="s">
        <v>39</v>
      </c>
      <c r="C9311" t="s">
        <v>37</v>
      </c>
      <c r="D9311" t="s">
        <v>28</v>
      </c>
      <c r="E9311" t="s">
        <v>21</v>
      </c>
      <c r="F9311" t="s">
        <v>20</v>
      </c>
      <c r="G9311" s="2">
        <f>VALUE(757.69)</f>
        <v>757.69</v>
      </c>
      <c r="H9311" s="3">
        <f>VALUE(713.91)</f>
        <v>713.91</v>
      </c>
      <c r="I9311" s="4">
        <f>VALUE(5214)</f>
        <v>5214</v>
      </c>
      <c r="J9311" s="1">
        <f>VALUE(5674)</f>
        <v>5674</v>
      </c>
      <c r="K9311" s="1">
        <f>VALUE(6603)</f>
        <v>6603</v>
      </c>
      <c r="L9311" s="1">
        <f>VALUE(8053)</f>
        <v>8053</v>
      </c>
      <c r="M9311" s="1">
        <f>VALUE(9323)</f>
        <v>9323</v>
      </c>
      <c r="N9311" t="s">
        <v>25</v>
      </c>
    </row>
    <row r="9312" spans="1:14" x14ac:dyDescent="0.25">
      <c r="A9312" t="s">
        <v>43</v>
      </c>
      <c r="B9312" t="s">
        <v>39</v>
      </c>
      <c r="C9312" t="s">
        <v>37</v>
      </c>
      <c r="D9312" t="s">
        <v>28</v>
      </c>
      <c r="E9312" t="s">
        <v>22</v>
      </c>
      <c r="F9312" t="s">
        <v>15</v>
      </c>
      <c r="G9312" s="1">
        <f>VALUE(5503.96)</f>
        <v>5503.96</v>
      </c>
      <c r="H9312" s="1">
        <f>VALUE(5432.82)</f>
        <v>5432.82</v>
      </c>
      <c r="I9312" s="1">
        <f>VALUE(4860)</f>
        <v>4860</v>
      </c>
      <c r="J9312" s="1">
        <f>VALUE(5365)</f>
        <v>5365</v>
      </c>
      <c r="K9312" s="1">
        <f>VALUE(6118)</f>
        <v>6118</v>
      </c>
      <c r="L9312" s="1">
        <f>VALUE(7157)</f>
        <v>7157</v>
      </c>
      <c r="M9312" s="1">
        <f>VALUE(9075)</f>
        <v>9075</v>
      </c>
      <c r="N9312" t="s">
        <v>16</v>
      </c>
    </row>
    <row r="9313" spans="1:14" x14ac:dyDescent="0.25">
      <c r="A9313" t="s">
        <v>43</v>
      </c>
      <c r="B9313" t="s">
        <v>39</v>
      </c>
      <c r="C9313" t="s">
        <v>37</v>
      </c>
      <c r="D9313" t="s">
        <v>28</v>
      </c>
      <c r="E9313" t="s">
        <v>22</v>
      </c>
      <c r="F9313" t="s">
        <v>17</v>
      </c>
      <c r="G9313" s="2">
        <f>VALUE(1258.83)</f>
        <v>1258.83</v>
      </c>
      <c r="H9313" s="3">
        <f>VALUE(1255.33)</f>
        <v>1255.33</v>
      </c>
      <c r="I9313" s="4">
        <f>VALUE(5251)</f>
        <v>5251</v>
      </c>
      <c r="J9313" s="1">
        <f>VALUE(6079)</f>
        <v>6079</v>
      </c>
      <c r="K9313" s="1">
        <f>VALUE(7051)</f>
        <v>7051</v>
      </c>
      <c r="L9313" s="7">
        <f>VALUE(9049)</f>
        <v>9049</v>
      </c>
      <c r="M9313" s="8">
        <f>VALUE(12133)</f>
        <v>12133</v>
      </c>
      <c r="N9313" t="s">
        <v>25</v>
      </c>
    </row>
    <row r="9314" spans="1:14" x14ac:dyDescent="0.25">
      <c r="A9314" t="s">
        <v>43</v>
      </c>
      <c r="B9314" t="s">
        <v>39</v>
      </c>
      <c r="C9314" t="s">
        <v>37</v>
      </c>
      <c r="D9314" t="s">
        <v>28</v>
      </c>
      <c r="E9314" t="s">
        <v>22</v>
      </c>
      <c r="F9314" t="s">
        <v>18</v>
      </c>
      <c r="G9314" s="2">
        <f>VALUE(1057.85)</f>
        <v>1057.8499999999999</v>
      </c>
      <c r="H9314" s="3">
        <f>VALUE(1051.78)</f>
        <v>1051.78</v>
      </c>
      <c r="I9314" s="4">
        <f>VALUE(4709)</f>
        <v>4709</v>
      </c>
      <c r="J9314" s="5">
        <f>VALUE(5433)</f>
        <v>5433</v>
      </c>
      <c r="K9314" s="6">
        <f>VALUE(6290)</f>
        <v>6290</v>
      </c>
      <c r="L9314" s="1">
        <f>VALUE(7666)</f>
        <v>7666</v>
      </c>
      <c r="M9314" s="1">
        <f>VALUE(9663)</f>
        <v>9663</v>
      </c>
      <c r="N9314" t="s">
        <v>25</v>
      </c>
    </row>
    <row r="9315" spans="1:14" x14ac:dyDescent="0.25">
      <c r="A9315" t="s">
        <v>43</v>
      </c>
      <c r="B9315" t="s">
        <v>39</v>
      </c>
      <c r="C9315" t="s">
        <v>37</v>
      </c>
      <c r="D9315" t="s">
        <v>28</v>
      </c>
      <c r="E9315" t="s">
        <v>22</v>
      </c>
      <c r="F9315" t="s">
        <v>19</v>
      </c>
      <c r="G9315" s="2">
        <f>VALUE(760.31)</f>
        <v>760.31</v>
      </c>
      <c r="H9315" s="3">
        <f>VALUE(775.1)</f>
        <v>775.1</v>
      </c>
      <c r="I9315" s="4">
        <f>VALUE(5112)</f>
        <v>5112</v>
      </c>
      <c r="J9315" s="1">
        <f>VALUE(5586)</f>
        <v>5586</v>
      </c>
      <c r="K9315" s="1">
        <f>VALUE(6103)</f>
        <v>6103</v>
      </c>
      <c r="L9315" s="1">
        <f>VALUE(6985)</f>
        <v>6985</v>
      </c>
      <c r="M9315" s="1">
        <f>VALUE(8310)</f>
        <v>8310</v>
      </c>
      <c r="N9315" t="s">
        <v>25</v>
      </c>
    </row>
    <row r="9316" spans="1:14" x14ac:dyDescent="0.25">
      <c r="A9316" t="s">
        <v>43</v>
      </c>
      <c r="B9316" t="s">
        <v>39</v>
      </c>
      <c r="C9316" t="s">
        <v>37</v>
      </c>
      <c r="D9316" t="s">
        <v>28</v>
      </c>
      <c r="E9316" t="s">
        <v>22</v>
      </c>
      <c r="F9316" t="s">
        <v>20</v>
      </c>
      <c r="G9316" s="2">
        <f>VALUE(2426.97)</f>
        <v>2426.9699999999998</v>
      </c>
      <c r="H9316" s="3">
        <f>VALUE(2350.61)</f>
        <v>2350.61</v>
      </c>
      <c r="I9316" s="1">
        <f>VALUE(4741)</f>
        <v>4741</v>
      </c>
      <c r="J9316" s="1">
        <f>VALUE(5174)</f>
        <v>5174</v>
      </c>
      <c r="K9316" s="1">
        <f>VALUE(5845)</f>
        <v>5845</v>
      </c>
      <c r="L9316" s="1">
        <f>VALUE(6451)</f>
        <v>6451</v>
      </c>
      <c r="M9316" s="1">
        <f>VALUE(7273)</f>
        <v>7273</v>
      </c>
      <c r="N9316" t="s">
        <v>25</v>
      </c>
    </row>
    <row r="9317" spans="1:14" x14ac:dyDescent="0.25">
      <c r="A9317" t="s">
        <v>43</v>
      </c>
      <c r="B9317" t="s">
        <v>39</v>
      </c>
      <c r="C9317" t="s">
        <v>37</v>
      </c>
      <c r="D9317" t="s">
        <v>28</v>
      </c>
      <c r="E9317" t="s">
        <v>23</v>
      </c>
      <c r="F9317" t="s">
        <v>15</v>
      </c>
      <c r="G9317" s="2">
        <f>VALUE(1378.32)</f>
        <v>1378.32</v>
      </c>
      <c r="H9317" s="3">
        <f>VALUE(1256.74)</f>
        <v>1256.74</v>
      </c>
      <c r="I9317" s="4">
        <f>VALUE(3492)</f>
        <v>3492</v>
      </c>
      <c r="J9317" s="5">
        <f>VALUE(3801)</f>
        <v>3801</v>
      </c>
      <c r="K9317" s="6">
        <f>VALUE(4622)</f>
        <v>4622</v>
      </c>
      <c r="L9317" s="1">
        <f>VALUE(5463)</f>
        <v>5463</v>
      </c>
      <c r="M9317" s="1">
        <f>VALUE(6409)</f>
        <v>6409</v>
      </c>
      <c r="N9317" t="s">
        <v>25</v>
      </c>
    </row>
    <row r="9318" spans="1:14" x14ac:dyDescent="0.25">
      <c r="A9318" t="s">
        <v>43</v>
      </c>
      <c r="B9318" t="s">
        <v>39</v>
      </c>
      <c r="C9318" t="s">
        <v>37</v>
      </c>
      <c r="D9318" t="s">
        <v>28</v>
      </c>
      <c r="E9318" t="s">
        <v>23</v>
      </c>
      <c r="F9318" t="s">
        <v>17</v>
      </c>
      <c r="G9318" s="1" t="str">
        <f t="shared" ref="G9318:M9320" si="2060">"X"</f>
        <v>X</v>
      </c>
      <c r="H9318" s="1" t="str">
        <f t="shared" si="2060"/>
        <v>X</v>
      </c>
      <c r="I9318" s="1" t="str">
        <f t="shared" si="2060"/>
        <v>X</v>
      </c>
      <c r="J9318" s="1" t="str">
        <f t="shared" si="2060"/>
        <v>X</v>
      </c>
      <c r="K9318" s="1" t="str">
        <f t="shared" si="2060"/>
        <v>X</v>
      </c>
      <c r="L9318" s="1" t="str">
        <f t="shared" si="2060"/>
        <v>X</v>
      </c>
      <c r="M9318" s="1" t="str">
        <f t="shared" si="2060"/>
        <v>X</v>
      </c>
      <c r="N9318" t="s">
        <v>27</v>
      </c>
    </row>
    <row r="9319" spans="1:14" x14ac:dyDescent="0.25">
      <c r="A9319" t="s">
        <v>43</v>
      </c>
      <c r="B9319" t="s">
        <v>39</v>
      </c>
      <c r="C9319" t="s">
        <v>37</v>
      </c>
      <c r="D9319" t="s">
        <v>28</v>
      </c>
      <c r="E9319" t="s">
        <v>23</v>
      </c>
      <c r="F9319" t="s">
        <v>18</v>
      </c>
      <c r="G9319" s="1" t="str">
        <f t="shared" si="2060"/>
        <v>X</v>
      </c>
      <c r="H9319" s="1" t="str">
        <f t="shared" si="2060"/>
        <v>X</v>
      </c>
      <c r="I9319" s="1" t="str">
        <f t="shared" si="2060"/>
        <v>X</v>
      </c>
      <c r="J9319" s="1" t="str">
        <f t="shared" si="2060"/>
        <v>X</v>
      </c>
      <c r="K9319" s="1" t="str">
        <f t="shared" si="2060"/>
        <v>X</v>
      </c>
      <c r="L9319" s="1" t="str">
        <f t="shared" si="2060"/>
        <v>X</v>
      </c>
      <c r="M9319" s="1" t="str">
        <f t="shared" si="2060"/>
        <v>X</v>
      </c>
      <c r="N9319" t="s">
        <v>27</v>
      </c>
    </row>
    <row r="9320" spans="1:14" x14ac:dyDescent="0.25">
      <c r="A9320" t="s">
        <v>43</v>
      </c>
      <c r="B9320" t="s">
        <v>39</v>
      </c>
      <c r="C9320" t="s">
        <v>37</v>
      </c>
      <c r="D9320" t="s">
        <v>28</v>
      </c>
      <c r="E9320" t="s">
        <v>23</v>
      </c>
      <c r="F9320" t="s">
        <v>19</v>
      </c>
      <c r="G9320" s="1" t="str">
        <f t="shared" si="2060"/>
        <v>X</v>
      </c>
      <c r="H9320" s="1" t="str">
        <f t="shared" si="2060"/>
        <v>X</v>
      </c>
      <c r="I9320" s="1" t="str">
        <f t="shared" si="2060"/>
        <v>X</v>
      </c>
      <c r="J9320" s="1" t="str">
        <f t="shared" si="2060"/>
        <v>X</v>
      </c>
      <c r="K9320" s="1" t="str">
        <f t="shared" si="2060"/>
        <v>X</v>
      </c>
      <c r="L9320" s="1" t="str">
        <f t="shared" si="2060"/>
        <v>X</v>
      </c>
      <c r="M9320" s="1" t="str">
        <f t="shared" si="2060"/>
        <v>X</v>
      </c>
      <c r="N9320" t="s">
        <v>27</v>
      </c>
    </row>
    <row r="9321" spans="1:14" x14ac:dyDescent="0.25">
      <c r="A9321" t="s">
        <v>43</v>
      </c>
      <c r="B9321" t="s">
        <v>39</v>
      </c>
      <c r="C9321" t="s">
        <v>37</v>
      </c>
      <c r="D9321" t="s">
        <v>28</v>
      </c>
      <c r="E9321" t="s">
        <v>23</v>
      </c>
      <c r="F9321" t="s">
        <v>20</v>
      </c>
      <c r="G9321" s="2">
        <f>VALUE(834.65)</f>
        <v>834.65</v>
      </c>
      <c r="H9321" s="3">
        <f>VALUE(735.36)</f>
        <v>735.36</v>
      </c>
      <c r="I9321" s="4">
        <f>VALUE(3221)</f>
        <v>3221</v>
      </c>
      <c r="J9321" s="5">
        <f>VALUE(4040)</f>
        <v>4040</v>
      </c>
      <c r="K9321" s="1">
        <f>VALUE(4658)</f>
        <v>4658</v>
      </c>
      <c r="L9321" s="1">
        <f>VALUE(5424)</f>
        <v>5424</v>
      </c>
      <c r="M9321" s="1">
        <f>VALUE(6059)</f>
        <v>6059</v>
      </c>
      <c r="N9321" t="s">
        <v>25</v>
      </c>
    </row>
    <row r="9322" spans="1:14" x14ac:dyDescent="0.25">
      <c r="A9322" t="s">
        <v>43</v>
      </c>
      <c r="B9322" t="s">
        <v>39</v>
      </c>
      <c r="C9322" t="s">
        <v>37</v>
      </c>
      <c r="D9322" t="s">
        <v>28</v>
      </c>
      <c r="E9322" t="s">
        <v>26</v>
      </c>
      <c r="F9322" t="s">
        <v>15</v>
      </c>
      <c r="G9322" s="1" t="str">
        <f t="shared" ref="G9322:M9326" si="2061">"X"</f>
        <v>X</v>
      </c>
      <c r="H9322" s="1" t="str">
        <f t="shared" si="2061"/>
        <v>X</v>
      </c>
      <c r="I9322" s="1" t="str">
        <f t="shared" si="2061"/>
        <v>X</v>
      </c>
      <c r="J9322" s="1" t="str">
        <f t="shared" si="2061"/>
        <v>X</v>
      </c>
      <c r="K9322" s="1" t="str">
        <f t="shared" si="2061"/>
        <v>X</v>
      </c>
      <c r="L9322" s="1" t="str">
        <f t="shared" si="2061"/>
        <v>X</v>
      </c>
      <c r="M9322" s="1" t="str">
        <f t="shared" si="2061"/>
        <v>X</v>
      </c>
      <c r="N9322" t="s">
        <v>27</v>
      </c>
    </row>
    <row r="9323" spans="1:14" x14ac:dyDescent="0.25">
      <c r="A9323" t="s">
        <v>43</v>
      </c>
      <c r="B9323" t="s">
        <v>39</v>
      </c>
      <c r="C9323" t="s">
        <v>37</v>
      </c>
      <c r="D9323" t="s">
        <v>28</v>
      </c>
      <c r="E9323" t="s">
        <v>26</v>
      </c>
      <c r="F9323" t="s">
        <v>17</v>
      </c>
      <c r="G9323" s="1" t="str">
        <f t="shared" si="2061"/>
        <v>X</v>
      </c>
      <c r="H9323" s="1" t="str">
        <f t="shared" si="2061"/>
        <v>X</v>
      </c>
      <c r="I9323" s="1" t="str">
        <f t="shared" si="2061"/>
        <v>X</v>
      </c>
      <c r="J9323" s="1" t="str">
        <f t="shared" si="2061"/>
        <v>X</v>
      </c>
      <c r="K9323" s="1" t="str">
        <f t="shared" si="2061"/>
        <v>X</v>
      </c>
      <c r="L9323" s="1" t="str">
        <f t="shared" si="2061"/>
        <v>X</v>
      </c>
      <c r="M9323" s="1" t="str">
        <f t="shared" si="2061"/>
        <v>X</v>
      </c>
      <c r="N9323" t="s">
        <v>27</v>
      </c>
    </row>
    <row r="9324" spans="1:14" x14ac:dyDescent="0.25">
      <c r="A9324" t="s">
        <v>43</v>
      </c>
      <c r="B9324" t="s">
        <v>39</v>
      </c>
      <c r="C9324" t="s">
        <v>37</v>
      </c>
      <c r="D9324" t="s">
        <v>28</v>
      </c>
      <c r="E9324" t="s">
        <v>26</v>
      </c>
      <c r="F9324" t="s">
        <v>18</v>
      </c>
      <c r="G9324" s="1" t="str">
        <f t="shared" si="2061"/>
        <v>X</v>
      </c>
      <c r="H9324" s="1" t="str">
        <f t="shared" si="2061"/>
        <v>X</v>
      </c>
      <c r="I9324" s="1" t="str">
        <f t="shared" si="2061"/>
        <v>X</v>
      </c>
      <c r="J9324" s="1" t="str">
        <f t="shared" si="2061"/>
        <v>X</v>
      </c>
      <c r="K9324" s="1" t="str">
        <f t="shared" si="2061"/>
        <v>X</v>
      </c>
      <c r="L9324" s="1" t="str">
        <f t="shared" si="2061"/>
        <v>X</v>
      </c>
      <c r="M9324" s="1" t="str">
        <f t="shared" si="2061"/>
        <v>X</v>
      </c>
      <c r="N9324" t="s">
        <v>27</v>
      </c>
    </row>
    <row r="9325" spans="1:14" x14ac:dyDescent="0.25">
      <c r="A9325" t="s">
        <v>43</v>
      </c>
      <c r="B9325" t="s">
        <v>39</v>
      </c>
      <c r="C9325" t="s">
        <v>37</v>
      </c>
      <c r="D9325" t="s">
        <v>28</v>
      </c>
      <c r="E9325" t="s">
        <v>26</v>
      </c>
      <c r="F9325" t="s">
        <v>19</v>
      </c>
      <c r="G9325" s="1" t="str">
        <f t="shared" si="2061"/>
        <v>X</v>
      </c>
      <c r="H9325" s="1" t="str">
        <f t="shared" si="2061"/>
        <v>X</v>
      </c>
      <c r="I9325" s="1" t="str">
        <f t="shared" si="2061"/>
        <v>X</v>
      </c>
      <c r="J9325" s="1" t="str">
        <f t="shared" si="2061"/>
        <v>X</v>
      </c>
      <c r="K9325" s="1" t="str">
        <f t="shared" si="2061"/>
        <v>X</v>
      </c>
      <c r="L9325" s="1" t="str">
        <f t="shared" si="2061"/>
        <v>X</v>
      </c>
      <c r="M9325" s="1" t="str">
        <f t="shared" si="2061"/>
        <v>X</v>
      </c>
      <c r="N9325" t="s">
        <v>27</v>
      </c>
    </row>
    <row r="9326" spans="1:14" x14ac:dyDescent="0.25">
      <c r="A9326" t="s">
        <v>43</v>
      </c>
      <c r="B9326" t="s">
        <v>39</v>
      </c>
      <c r="C9326" t="s">
        <v>37</v>
      </c>
      <c r="D9326" t="s">
        <v>28</v>
      </c>
      <c r="E9326" t="s">
        <v>26</v>
      </c>
      <c r="F9326" t="s">
        <v>20</v>
      </c>
      <c r="G9326" s="1" t="str">
        <f t="shared" si="2061"/>
        <v>X</v>
      </c>
      <c r="H9326" s="1" t="str">
        <f t="shared" si="2061"/>
        <v>X</v>
      </c>
      <c r="I9326" s="1" t="str">
        <f t="shared" si="2061"/>
        <v>X</v>
      </c>
      <c r="J9326" s="1" t="str">
        <f t="shared" si="2061"/>
        <v>X</v>
      </c>
      <c r="K9326" s="1" t="str">
        <f t="shared" si="2061"/>
        <v>X</v>
      </c>
      <c r="L9326" s="1" t="str">
        <f t="shared" si="2061"/>
        <v>X</v>
      </c>
      <c r="M9326" s="1" t="str">
        <f t="shared" si="2061"/>
        <v>X</v>
      </c>
      <c r="N9326" t="s">
        <v>27</v>
      </c>
    </row>
    <row r="9327" spans="1:14" x14ac:dyDescent="0.25">
      <c r="A9327" t="s">
        <v>43</v>
      </c>
      <c r="B9327" t="s">
        <v>39</v>
      </c>
      <c r="C9327" t="s">
        <v>37</v>
      </c>
      <c r="D9327" t="s">
        <v>29</v>
      </c>
      <c r="E9327" t="s">
        <v>15</v>
      </c>
      <c r="F9327" t="s">
        <v>15</v>
      </c>
      <c r="G9327" s="2">
        <f>VALUE(4622.21)</f>
        <v>4622.21</v>
      </c>
      <c r="H9327" s="3">
        <f>VALUE(4615.09)</f>
        <v>4615.09</v>
      </c>
      <c r="I9327" s="4">
        <f>VALUE(3990)</f>
        <v>3990</v>
      </c>
      <c r="J9327" s="1">
        <f>VALUE(4952)</f>
        <v>4952</v>
      </c>
      <c r="K9327" s="1">
        <f>VALUE(5727)</f>
        <v>5727</v>
      </c>
      <c r="L9327" s="1">
        <f>VALUE(6954)</f>
        <v>6954</v>
      </c>
      <c r="M9327" s="8">
        <f>VALUE(9925)</f>
        <v>9925</v>
      </c>
      <c r="N9327" t="s">
        <v>25</v>
      </c>
    </row>
    <row r="9328" spans="1:14" x14ac:dyDescent="0.25">
      <c r="A9328" t="s">
        <v>43</v>
      </c>
      <c r="B9328" t="s">
        <v>39</v>
      </c>
      <c r="C9328" t="s">
        <v>37</v>
      </c>
      <c r="D9328" t="s">
        <v>29</v>
      </c>
      <c r="E9328" t="s">
        <v>15</v>
      </c>
      <c r="F9328" t="s">
        <v>17</v>
      </c>
      <c r="G9328" s="2">
        <f>VALUE(615.47)</f>
        <v>615.47</v>
      </c>
      <c r="H9328" s="3">
        <f>VALUE(621.77)</f>
        <v>621.77</v>
      </c>
      <c r="I9328" s="4">
        <f>VALUE(5919)</f>
        <v>5919</v>
      </c>
      <c r="J9328" s="5">
        <f>VALUE(7119)</f>
        <v>7119</v>
      </c>
      <c r="K9328" s="6">
        <f>VALUE(9925)</f>
        <v>9925</v>
      </c>
      <c r="L9328" s="7">
        <f>VALUE(12895)</f>
        <v>12895</v>
      </c>
      <c r="M9328" s="1">
        <f>VALUE(17876)</f>
        <v>17876</v>
      </c>
      <c r="N9328" t="s">
        <v>25</v>
      </c>
    </row>
    <row r="9329" spans="1:14" x14ac:dyDescent="0.25">
      <c r="A9329" t="s">
        <v>43</v>
      </c>
      <c r="B9329" t="s">
        <v>39</v>
      </c>
      <c r="C9329" t="s">
        <v>37</v>
      </c>
      <c r="D9329" t="s">
        <v>29</v>
      </c>
      <c r="E9329" t="s">
        <v>15</v>
      </c>
      <c r="F9329" t="s">
        <v>18</v>
      </c>
      <c r="G9329" s="2">
        <f>VALUE(426.36)</f>
        <v>426.36</v>
      </c>
      <c r="H9329" s="3">
        <f>VALUE(435.1)</f>
        <v>435.1</v>
      </c>
      <c r="I9329" s="1">
        <f>VALUE(5467)</f>
        <v>5467</v>
      </c>
      <c r="J9329" s="1">
        <f>VALUE(5721)</f>
        <v>5721</v>
      </c>
      <c r="K9329" s="1">
        <f>VALUE(6920)</f>
        <v>6920</v>
      </c>
      <c r="L9329" s="1">
        <f>VALUE(8929)</f>
        <v>8929</v>
      </c>
      <c r="M9329" s="1">
        <f>VALUE(12213)</f>
        <v>12213</v>
      </c>
      <c r="N9329" t="s">
        <v>25</v>
      </c>
    </row>
    <row r="9330" spans="1:14" x14ac:dyDescent="0.25">
      <c r="A9330" t="s">
        <v>43</v>
      </c>
      <c r="B9330" t="s">
        <v>39</v>
      </c>
      <c r="C9330" t="s">
        <v>37</v>
      </c>
      <c r="D9330" t="s">
        <v>29</v>
      </c>
      <c r="E9330" t="s">
        <v>15</v>
      </c>
      <c r="F9330" t="s">
        <v>19</v>
      </c>
      <c r="G9330" s="2">
        <f>VALUE(602.15)</f>
        <v>602.15</v>
      </c>
      <c r="H9330" s="3">
        <f>VALUE(621.87)</f>
        <v>621.87</v>
      </c>
      <c r="I9330" s="1">
        <f>VALUE(4720)</f>
        <v>4720</v>
      </c>
      <c r="J9330" s="1">
        <f>VALUE(5229)</f>
        <v>5229</v>
      </c>
      <c r="K9330" s="1">
        <f>VALUE(6049)</f>
        <v>6049</v>
      </c>
      <c r="L9330" s="1">
        <f>VALUE(7190)</f>
        <v>7190</v>
      </c>
      <c r="M9330" s="8">
        <f>VALUE(9380)</f>
        <v>9380</v>
      </c>
      <c r="N9330" t="s">
        <v>25</v>
      </c>
    </row>
    <row r="9331" spans="1:14" x14ac:dyDescent="0.25">
      <c r="A9331" t="s">
        <v>43</v>
      </c>
      <c r="B9331" t="s">
        <v>39</v>
      </c>
      <c r="C9331" t="s">
        <v>37</v>
      </c>
      <c r="D9331" t="s">
        <v>29</v>
      </c>
      <c r="E9331" t="s">
        <v>15</v>
      </c>
      <c r="F9331" t="s">
        <v>20</v>
      </c>
      <c r="G9331" s="2">
        <f>VALUE(2978.23)</f>
        <v>2978.23</v>
      </c>
      <c r="H9331" s="3">
        <f>VALUE(2936.35)</f>
        <v>2936.35</v>
      </c>
      <c r="I9331" s="4">
        <f>VALUE(3714)</f>
        <v>3714</v>
      </c>
      <c r="J9331" s="1">
        <f>VALUE(4532)</f>
        <v>4532</v>
      </c>
      <c r="K9331" s="1">
        <f>VALUE(5365)</f>
        <v>5365</v>
      </c>
      <c r="L9331" s="1">
        <f>VALUE(6131)</f>
        <v>6131</v>
      </c>
      <c r="M9331" s="1">
        <f>VALUE(6833)</f>
        <v>6833</v>
      </c>
      <c r="N9331" t="s">
        <v>25</v>
      </c>
    </row>
    <row r="9332" spans="1:14" x14ac:dyDescent="0.25">
      <c r="A9332" t="s">
        <v>43</v>
      </c>
      <c r="B9332" t="s">
        <v>39</v>
      </c>
      <c r="C9332" t="s">
        <v>37</v>
      </c>
      <c r="D9332" t="s">
        <v>29</v>
      </c>
      <c r="E9332" t="s">
        <v>21</v>
      </c>
      <c r="F9332" t="s">
        <v>15</v>
      </c>
      <c r="G9332" s="2">
        <f>VALUE(1008.46)</f>
        <v>1008.46</v>
      </c>
      <c r="H9332" s="3">
        <f>VALUE(975.28)</f>
        <v>975.28</v>
      </c>
      <c r="I9332" s="1">
        <f>VALUE(5746)</f>
        <v>5746</v>
      </c>
      <c r="J9332" s="1">
        <f>VALUE(6465)</f>
        <v>6465</v>
      </c>
      <c r="K9332" s="1">
        <f>VALUE(8445)</f>
        <v>8445</v>
      </c>
      <c r="L9332" s="1">
        <f>VALUE(11730)</f>
        <v>11730</v>
      </c>
      <c r="M9332" s="8">
        <f>VALUE(16079)</f>
        <v>16079</v>
      </c>
      <c r="N9332" t="s">
        <v>25</v>
      </c>
    </row>
    <row r="9333" spans="1:14" x14ac:dyDescent="0.25">
      <c r="A9333" t="s">
        <v>43</v>
      </c>
      <c r="B9333" t="s">
        <v>39</v>
      </c>
      <c r="C9333" t="s">
        <v>37</v>
      </c>
      <c r="D9333" t="s">
        <v>29</v>
      </c>
      <c r="E9333" t="s">
        <v>21</v>
      </c>
      <c r="F9333" t="s">
        <v>17</v>
      </c>
      <c r="G9333" s="2">
        <f>VALUE(378.1)</f>
        <v>378.1</v>
      </c>
      <c r="H9333" s="3">
        <f>VALUE(376.37)</f>
        <v>376.37</v>
      </c>
      <c r="I9333" s="4">
        <f>VALUE(6127)</f>
        <v>6127</v>
      </c>
      <c r="J9333" s="5">
        <f>VALUE(8871)</f>
        <v>8871</v>
      </c>
      <c r="K9333" s="6">
        <f>VALUE(11000)</f>
        <v>11000</v>
      </c>
      <c r="L9333" s="7">
        <f>VALUE(14277)</f>
        <v>14277</v>
      </c>
      <c r="M9333" s="1">
        <f>VALUE(18917)</f>
        <v>18917</v>
      </c>
      <c r="N9333" t="s">
        <v>25</v>
      </c>
    </row>
    <row r="9334" spans="1:14" x14ac:dyDescent="0.25">
      <c r="A9334" t="s">
        <v>43</v>
      </c>
      <c r="B9334" t="s">
        <v>39</v>
      </c>
      <c r="C9334" t="s">
        <v>37</v>
      </c>
      <c r="D9334" t="s">
        <v>29</v>
      </c>
      <c r="E9334" t="s">
        <v>21</v>
      </c>
      <c r="F9334" t="s">
        <v>18</v>
      </c>
      <c r="G9334" s="2">
        <f>VALUE(136.07)</f>
        <v>136.07</v>
      </c>
      <c r="H9334" s="3">
        <f>VALUE(138.67)</f>
        <v>138.66999999999999</v>
      </c>
      <c r="I9334" s="4">
        <f>VALUE(6667)</f>
        <v>6667</v>
      </c>
      <c r="J9334" s="1">
        <f>VALUE(7851)</f>
        <v>7851</v>
      </c>
      <c r="K9334" s="1">
        <f>VALUE(9533)</f>
        <v>9533</v>
      </c>
      <c r="L9334" s="1">
        <f>VALUE(12313)</f>
        <v>12313</v>
      </c>
      <c r="M9334" s="1">
        <f>VALUE(16702)</f>
        <v>16702</v>
      </c>
      <c r="N9334" t="s">
        <v>25</v>
      </c>
    </row>
    <row r="9335" spans="1:14" x14ac:dyDescent="0.25">
      <c r="A9335" t="s">
        <v>43</v>
      </c>
      <c r="B9335" t="s">
        <v>39</v>
      </c>
      <c r="C9335" t="s">
        <v>37</v>
      </c>
      <c r="D9335" t="s">
        <v>29</v>
      </c>
      <c r="E9335" t="s">
        <v>21</v>
      </c>
      <c r="F9335" t="s">
        <v>19</v>
      </c>
      <c r="G9335" s="1" t="str">
        <f t="shared" ref="G9335:M9335" si="2062">"X"</f>
        <v>X</v>
      </c>
      <c r="H9335" s="1" t="str">
        <f t="shared" si="2062"/>
        <v>X</v>
      </c>
      <c r="I9335" s="1" t="str">
        <f t="shared" si="2062"/>
        <v>X</v>
      </c>
      <c r="J9335" s="1" t="str">
        <f t="shared" si="2062"/>
        <v>X</v>
      </c>
      <c r="K9335" s="1" t="str">
        <f t="shared" si="2062"/>
        <v>X</v>
      </c>
      <c r="L9335" s="1" t="str">
        <f t="shared" si="2062"/>
        <v>X</v>
      </c>
      <c r="M9335" s="1" t="str">
        <f t="shared" si="2062"/>
        <v>X</v>
      </c>
      <c r="N9335" t="s">
        <v>27</v>
      </c>
    </row>
    <row r="9336" spans="1:14" x14ac:dyDescent="0.25">
      <c r="A9336" t="s">
        <v>43</v>
      </c>
      <c r="B9336" t="s">
        <v>39</v>
      </c>
      <c r="C9336" t="s">
        <v>37</v>
      </c>
      <c r="D9336" t="s">
        <v>29</v>
      </c>
      <c r="E9336" t="s">
        <v>21</v>
      </c>
      <c r="F9336" t="s">
        <v>20</v>
      </c>
      <c r="G9336" s="2">
        <f>VALUE(330.25)</f>
        <v>330.25</v>
      </c>
      <c r="H9336" s="3">
        <f>VALUE(292.08)</f>
        <v>292.08</v>
      </c>
      <c r="I9336" s="4">
        <f>VALUE(5410)</f>
        <v>5410</v>
      </c>
      <c r="J9336" s="1">
        <f>VALUE(6465)</f>
        <v>6465</v>
      </c>
      <c r="K9336" s="1">
        <f>VALUE(6465)</f>
        <v>6465</v>
      </c>
      <c r="L9336" s="7">
        <f>VALUE(8203)</f>
        <v>8203</v>
      </c>
      <c r="M9336" s="8">
        <f>VALUE(9285)</f>
        <v>9285</v>
      </c>
      <c r="N9336" t="s">
        <v>25</v>
      </c>
    </row>
    <row r="9337" spans="1:14" x14ac:dyDescent="0.25">
      <c r="A9337" t="s">
        <v>43</v>
      </c>
      <c r="B9337" t="s">
        <v>39</v>
      </c>
      <c r="C9337" t="s">
        <v>37</v>
      </c>
      <c r="D9337" t="s">
        <v>29</v>
      </c>
      <c r="E9337" t="s">
        <v>22</v>
      </c>
      <c r="F9337" t="s">
        <v>15</v>
      </c>
      <c r="G9337" s="2">
        <f>VALUE(2003.02)</f>
        <v>2003.02</v>
      </c>
      <c r="H9337" s="3">
        <f>VALUE(2006.6)</f>
        <v>2006.6</v>
      </c>
      <c r="I9337" s="1">
        <f>VALUE(4411)</f>
        <v>4411</v>
      </c>
      <c r="J9337" s="1">
        <f>VALUE(5098)</f>
        <v>5098</v>
      </c>
      <c r="K9337" s="1">
        <f>VALUE(5958)</f>
        <v>5958</v>
      </c>
      <c r="L9337" s="1">
        <f>VALUE(6721)</f>
        <v>6721</v>
      </c>
      <c r="M9337" s="8">
        <f>VALUE(7808)</f>
        <v>7808</v>
      </c>
      <c r="N9337" t="s">
        <v>25</v>
      </c>
    </row>
    <row r="9338" spans="1:14" x14ac:dyDescent="0.25">
      <c r="A9338" t="s">
        <v>43</v>
      </c>
      <c r="B9338" t="s">
        <v>39</v>
      </c>
      <c r="C9338" t="s">
        <v>37</v>
      </c>
      <c r="D9338" t="s">
        <v>29</v>
      </c>
      <c r="E9338" t="s">
        <v>22</v>
      </c>
      <c r="F9338" t="s">
        <v>17</v>
      </c>
      <c r="G9338" s="1" t="str">
        <f t="shared" ref="G9338:M9339" si="2063">"X"</f>
        <v>X</v>
      </c>
      <c r="H9338" s="1" t="str">
        <f t="shared" si="2063"/>
        <v>X</v>
      </c>
      <c r="I9338" s="1" t="str">
        <f t="shared" si="2063"/>
        <v>X</v>
      </c>
      <c r="J9338" s="1" t="str">
        <f t="shared" si="2063"/>
        <v>X</v>
      </c>
      <c r="K9338" s="1" t="str">
        <f t="shared" si="2063"/>
        <v>X</v>
      </c>
      <c r="L9338" s="1" t="str">
        <f t="shared" si="2063"/>
        <v>X</v>
      </c>
      <c r="M9338" s="1" t="str">
        <f t="shared" si="2063"/>
        <v>X</v>
      </c>
      <c r="N9338" t="s">
        <v>27</v>
      </c>
    </row>
    <row r="9339" spans="1:14" x14ac:dyDescent="0.25">
      <c r="A9339" t="s">
        <v>43</v>
      </c>
      <c r="B9339" t="s">
        <v>39</v>
      </c>
      <c r="C9339" t="s">
        <v>37</v>
      </c>
      <c r="D9339" t="s">
        <v>29</v>
      </c>
      <c r="E9339" t="s">
        <v>22</v>
      </c>
      <c r="F9339" t="s">
        <v>18</v>
      </c>
      <c r="G9339" s="1" t="str">
        <f t="shared" si="2063"/>
        <v>X</v>
      </c>
      <c r="H9339" s="1" t="str">
        <f t="shared" si="2063"/>
        <v>X</v>
      </c>
      <c r="I9339" s="1" t="str">
        <f t="shared" si="2063"/>
        <v>X</v>
      </c>
      <c r="J9339" s="1" t="str">
        <f t="shared" si="2063"/>
        <v>X</v>
      </c>
      <c r="K9339" s="1" t="str">
        <f t="shared" si="2063"/>
        <v>X</v>
      </c>
      <c r="L9339" s="1" t="str">
        <f t="shared" si="2063"/>
        <v>X</v>
      </c>
      <c r="M9339" s="1" t="str">
        <f t="shared" si="2063"/>
        <v>X</v>
      </c>
      <c r="N9339" t="s">
        <v>27</v>
      </c>
    </row>
    <row r="9340" spans="1:14" x14ac:dyDescent="0.25">
      <c r="A9340" t="s">
        <v>43</v>
      </c>
      <c r="B9340" t="s">
        <v>39</v>
      </c>
      <c r="C9340" t="s">
        <v>37</v>
      </c>
      <c r="D9340" t="s">
        <v>29</v>
      </c>
      <c r="E9340" t="s">
        <v>22</v>
      </c>
      <c r="F9340" t="s">
        <v>19</v>
      </c>
      <c r="G9340" s="2">
        <f>VALUE(314.05)</f>
        <v>314.05</v>
      </c>
      <c r="H9340" s="3">
        <f>VALUE(323.2)</f>
        <v>323.2</v>
      </c>
      <c r="I9340" s="1">
        <f>VALUE(4869)</f>
        <v>4869</v>
      </c>
      <c r="J9340" s="5">
        <f>VALUE(5356)</f>
        <v>5356</v>
      </c>
      <c r="K9340" s="6">
        <f>VALUE(6049)</f>
        <v>6049</v>
      </c>
      <c r="L9340" s="1">
        <f>VALUE(6729)</f>
        <v>6729</v>
      </c>
      <c r="M9340" s="8">
        <f>VALUE(7460)</f>
        <v>7460</v>
      </c>
      <c r="N9340" t="s">
        <v>25</v>
      </c>
    </row>
    <row r="9341" spans="1:14" x14ac:dyDescent="0.25">
      <c r="A9341" t="s">
        <v>43</v>
      </c>
      <c r="B9341" t="s">
        <v>39</v>
      </c>
      <c r="C9341" t="s">
        <v>37</v>
      </c>
      <c r="D9341" t="s">
        <v>29</v>
      </c>
      <c r="E9341" t="s">
        <v>22</v>
      </c>
      <c r="F9341" t="s">
        <v>20</v>
      </c>
      <c r="G9341" s="2">
        <f>VALUE(1304.8)</f>
        <v>1304.8</v>
      </c>
      <c r="H9341" s="3">
        <f>VALUE(1290.88)</f>
        <v>1290.8800000000001</v>
      </c>
      <c r="I9341" s="1">
        <f>VALUE(4095)</f>
        <v>4095</v>
      </c>
      <c r="J9341" s="1">
        <f>VALUE(4952)</f>
        <v>4952</v>
      </c>
      <c r="K9341" s="1">
        <f>VALUE(5440)</f>
        <v>5440</v>
      </c>
      <c r="L9341" s="1">
        <f>VALUE(6075)</f>
        <v>6075</v>
      </c>
      <c r="M9341" s="1">
        <f>VALUE(6808)</f>
        <v>6808</v>
      </c>
      <c r="N9341" t="s">
        <v>25</v>
      </c>
    </row>
    <row r="9342" spans="1:14" x14ac:dyDescent="0.25">
      <c r="A9342" t="s">
        <v>43</v>
      </c>
      <c r="B9342" t="s">
        <v>39</v>
      </c>
      <c r="C9342" t="s">
        <v>37</v>
      </c>
      <c r="D9342" t="s">
        <v>29</v>
      </c>
      <c r="E9342" t="s">
        <v>23</v>
      </c>
      <c r="F9342" t="s">
        <v>15</v>
      </c>
      <c r="G9342" s="2">
        <f>VALUE(1577.23)</f>
        <v>1577.23</v>
      </c>
      <c r="H9342" s="3">
        <f>VALUE(1599.59)</f>
        <v>1599.59</v>
      </c>
      <c r="I9342" s="1">
        <f>VALUE(3698)</f>
        <v>3698</v>
      </c>
      <c r="J9342" s="5">
        <f>VALUE(4172)</f>
        <v>4172</v>
      </c>
      <c r="K9342" s="1">
        <f>VALUE(4992)</f>
        <v>4992</v>
      </c>
      <c r="L9342" s="1">
        <f>VALUE(5595)</f>
        <v>5595</v>
      </c>
      <c r="M9342" s="1">
        <f>VALUE(6564)</f>
        <v>6564</v>
      </c>
      <c r="N9342" t="s">
        <v>25</v>
      </c>
    </row>
    <row r="9343" spans="1:14" x14ac:dyDescent="0.25">
      <c r="A9343" t="s">
        <v>43</v>
      </c>
      <c r="B9343" t="s">
        <v>39</v>
      </c>
      <c r="C9343" t="s">
        <v>37</v>
      </c>
      <c r="D9343" t="s">
        <v>29</v>
      </c>
      <c r="E9343" t="s">
        <v>23</v>
      </c>
      <c r="F9343" t="s">
        <v>17</v>
      </c>
      <c r="G9343" s="1" t="str">
        <f t="shared" ref="G9343:M9345" si="2064">"X"</f>
        <v>X</v>
      </c>
      <c r="H9343" s="1" t="str">
        <f t="shared" si="2064"/>
        <v>X</v>
      </c>
      <c r="I9343" s="1" t="str">
        <f t="shared" si="2064"/>
        <v>X</v>
      </c>
      <c r="J9343" s="1" t="str">
        <f t="shared" si="2064"/>
        <v>X</v>
      </c>
      <c r="K9343" s="1" t="str">
        <f t="shared" si="2064"/>
        <v>X</v>
      </c>
      <c r="L9343" s="1" t="str">
        <f t="shared" si="2064"/>
        <v>X</v>
      </c>
      <c r="M9343" s="1" t="str">
        <f t="shared" si="2064"/>
        <v>X</v>
      </c>
      <c r="N9343" t="s">
        <v>27</v>
      </c>
    </row>
    <row r="9344" spans="1:14" x14ac:dyDescent="0.25">
      <c r="A9344" t="s">
        <v>43</v>
      </c>
      <c r="B9344" t="s">
        <v>39</v>
      </c>
      <c r="C9344" t="s">
        <v>37</v>
      </c>
      <c r="D9344" t="s">
        <v>29</v>
      </c>
      <c r="E9344" t="s">
        <v>23</v>
      </c>
      <c r="F9344" t="s">
        <v>18</v>
      </c>
      <c r="G9344" s="1" t="str">
        <f t="shared" si="2064"/>
        <v>X</v>
      </c>
      <c r="H9344" s="1" t="str">
        <f t="shared" si="2064"/>
        <v>X</v>
      </c>
      <c r="I9344" s="1" t="str">
        <f t="shared" si="2064"/>
        <v>X</v>
      </c>
      <c r="J9344" s="1" t="str">
        <f t="shared" si="2064"/>
        <v>X</v>
      </c>
      <c r="K9344" s="1" t="str">
        <f t="shared" si="2064"/>
        <v>X</v>
      </c>
      <c r="L9344" s="1" t="str">
        <f t="shared" si="2064"/>
        <v>X</v>
      </c>
      <c r="M9344" s="1" t="str">
        <f t="shared" si="2064"/>
        <v>X</v>
      </c>
      <c r="N9344" t="s">
        <v>27</v>
      </c>
    </row>
    <row r="9345" spans="1:14" x14ac:dyDescent="0.25">
      <c r="A9345" t="s">
        <v>43</v>
      </c>
      <c r="B9345" t="s">
        <v>39</v>
      </c>
      <c r="C9345" t="s">
        <v>37</v>
      </c>
      <c r="D9345" t="s">
        <v>29</v>
      </c>
      <c r="E9345" t="s">
        <v>23</v>
      </c>
      <c r="F9345" t="s">
        <v>19</v>
      </c>
      <c r="G9345" s="1" t="str">
        <f t="shared" si="2064"/>
        <v>X</v>
      </c>
      <c r="H9345" s="1" t="str">
        <f t="shared" si="2064"/>
        <v>X</v>
      </c>
      <c r="I9345" s="1" t="str">
        <f t="shared" si="2064"/>
        <v>X</v>
      </c>
      <c r="J9345" s="1" t="str">
        <f t="shared" si="2064"/>
        <v>X</v>
      </c>
      <c r="K9345" s="1" t="str">
        <f t="shared" si="2064"/>
        <v>X</v>
      </c>
      <c r="L9345" s="1" t="str">
        <f t="shared" si="2064"/>
        <v>X</v>
      </c>
      <c r="M9345" s="1" t="str">
        <f t="shared" si="2064"/>
        <v>X</v>
      </c>
      <c r="N9345" t="s">
        <v>27</v>
      </c>
    </row>
    <row r="9346" spans="1:14" x14ac:dyDescent="0.25">
      <c r="A9346" t="s">
        <v>43</v>
      </c>
      <c r="B9346" t="s">
        <v>39</v>
      </c>
      <c r="C9346" t="s">
        <v>37</v>
      </c>
      <c r="D9346" t="s">
        <v>29</v>
      </c>
      <c r="E9346" t="s">
        <v>23</v>
      </c>
      <c r="F9346" t="s">
        <v>20</v>
      </c>
      <c r="G9346" s="2">
        <f>VALUE(1320.66)</f>
        <v>1320.66</v>
      </c>
      <c r="H9346" s="3">
        <f>VALUE(1330.85)</f>
        <v>1330.85</v>
      </c>
      <c r="I9346" s="1">
        <f>VALUE(3590)</f>
        <v>3590</v>
      </c>
      <c r="J9346" s="5">
        <f>VALUE(3994)</f>
        <v>3994</v>
      </c>
      <c r="K9346" s="1">
        <f>VALUE(4976)</f>
        <v>4976</v>
      </c>
      <c r="L9346" s="1">
        <f>VALUE(5563)</f>
        <v>5563</v>
      </c>
      <c r="M9346" s="1">
        <f>VALUE(6451)</f>
        <v>6451</v>
      </c>
      <c r="N9346" t="s">
        <v>25</v>
      </c>
    </row>
    <row r="9347" spans="1:14" x14ac:dyDescent="0.25">
      <c r="A9347" t="s">
        <v>43</v>
      </c>
      <c r="B9347" t="s">
        <v>39</v>
      </c>
      <c r="C9347" t="s">
        <v>37</v>
      </c>
      <c r="D9347" t="s">
        <v>29</v>
      </c>
      <c r="E9347" t="s">
        <v>26</v>
      </c>
      <c r="F9347" t="s">
        <v>15</v>
      </c>
      <c r="G9347" s="1" t="str">
        <f t="shared" ref="G9347:M9349" si="2065">"X"</f>
        <v>X</v>
      </c>
      <c r="H9347" s="1" t="str">
        <f t="shared" si="2065"/>
        <v>X</v>
      </c>
      <c r="I9347" s="1" t="str">
        <f t="shared" si="2065"/>
        <v>X</v>
      </c>
      <c r="J9347" s="1" t="str">
        <f t="shared" si="2065"/>
        <v>X</v>
      </c>
      <c r="K9347" s="1" t="str">
        <f t="shared" si="2065"/>
        <v>X</v>
      </c>
      <c r="L9347" s="1" t="str">
        <f t="shared" si="2065"/>
        <v>X</v>
      </c>
      <c r="M9347" s="1" t="str">
        <f t="shared" si="2065"/>
        <v>X</v>
      </c>
      <c r="N9347" t="s">
        <v>27</v>
      </c>
    </row>
    <row r="9348" spans="1:14" x14ac:dyDescent="0.25">
      <c r="A9348" t="s">
        <v>43</v>
      </c>
      <c r="B9348" t="s">
        <v>39</v>
      </c>
      <c r="C9348" t="s">
        <v>37</v>
      </c>
      <c r="D9348" t="s">
        <v>29</v>
      </c>
      <c r="E9348" t="s">
        <v>26</v>
      </c>
      <c r="F9348" t="s">
        <v>17</v>
      </c>
      <c r="G9348" s="1" t="str">
        <f t="shared" si="2065"/>
        <v>X</v>
      </c>
      <c r="H9348" s="1" t="str">
        <f t="shared" si="2065"/>
        <v>X</v>
      </c>
      <c r="I9348" s="1" t="str">
        <f t="shared" si="2065"/>
        <v>X</v>
      </c>
      <c r="J9348" s="1" t="str">
        <f t="shared" si="2065"/>
        <v>X</v>
      </c>
      <c r="K9348" s="1" t="str">
        <f t="shared" si="2065"/>
        <v>X</v>
      </c>
      <c r="L9348" s="1" t="str">
        <f t="shared" si="2065"/>
        <v>X</v>
      </c>
      <c r="M9348" s="1" t="str">
        <f t="shared" si="2065"/>
        <v>X</v>
      </c>
      <c r="N9348" t="s">
        <v>27</v>
      </c>
    </row>
    <row r="9349" spans="1:14" x14ac:dyDescent="0.25">
      <c r="A9349" t="s">
        <v>43</v>
      </c>
      <c r="B9349" t="s">
        <v>39</v>
      </c>
      <c r="C9349" t="s">
        <v>37</v>
      </c>
      <c r="D9349" t="s">
        <v>29</v>
      </c>
      <c r="E9349" t="s">
        <v>26</v>
      </c>
      <c r="F9349" t="s">
        <v>18</v>
      </c>
      <c r="G9349" s="1" t="str">
        <f t="shared" si="2065"/>
        <v>X</v>
      </c>
      <c r="H9349" s="1" t="str">
        <f t="shared" si="2065"/>
        <v>X</v>
      </c>
      <c r="I9349" s="1" t="str">
        <f t="shared" si="2065"/>
        <v>X</v>
      </c>
      <c r="J9349" s="1" t="str">
        <f t="shared" si="2065"/>
        <v>X</v>
      </c>
      <c r="K9349" s="1" t="str">
        <f t="shared" si="2065"/>
        <v>X</v>
      </c>
      <c r="L9349" s="1" t="str">
        <f t="shared" si="2065"/>
        <v>X</v>
      </c>
      <c r="M9349" s="1" t="str">
        <f t="shared" si="2065"/>
        <v>X</v>
      </c>
      <c r="N9349" t="s">
        <v>27</v>
      </c>
    </row>
    <row r="9350" spans="1:14" x14ac:dyDescent="0.25">
      <c r="A9350" t="s">
        <v>43</v>
      </c>
      <c r="B9350" t="s">
        <v>39</v>
      </c>
      <c r="C9350" t="s">
        <v>37</v>
      </c>
      <c r="D9350" t="s">
        <v>29</v>
      </c>
      <c r="E9350" t="s">
        <v>26</v>
      </c>
      <c r="F9350" t="s">
        <v>19</v>
      </c>
      <c r="G9350" s="1" t="str">
        <f t="shared" ref="G9350:M9350" si="2066">"..."</f>
        <v>...</v>
      </c>
      <c r="H9350" s="1" t="str">
        <f t="shared" si="2066"/>
        <v>...</v>
      </c>
      <c r="I9350" s="1" t="str">
        <f t="shared" si="2066"/>
        <v>...</v>
      </c>
      <c r="J9350" s="1" t="str">
        <f t="shared" si="2066"/>
        <v>...</v>
      </c>
      <c r="K9350" s="1" t="str">
        <f t="shared" si="2066"/>
        <v>...</v>
      </c>
      <c r="L9350" s="1" t="str">
        <f t="shared" si="2066"/>
        <v>...</v>
      </c>
      <c r="M9350" s="1" t="str">
        <f t="shared" si="2066"/>
        <v>...</v>
      </c>
      <c r="N9350" t="s">
        <v>30</v>
      </c>
    </row>
    <row r="9351" spans="1:14" x14ac:dyDescent="0.25">
      <c r="A9351" t="s">
        <v>43</v>
      </c>
      <c r="B9351" t="s">
        <v>39</v>
      </c>
      <c r="C9351" t="s">
        <v>37</v>
      </c>
      <c r="D9351" t="s">
        <v>29</v>
      </c>
      <c r="E9351" t="s">
        <v>26</v>
      </c>
      <c r="F9351" t="s">
        <v>20</v>
      </c>
      <c r="G9351" s="1" t="str">
        <f t="shared" ref="G9351:M9351" si="2067">"X"</f>
        <v>X</v>
      </c>
      <c r="H9351" s="1" t="str">
        <f t="shared" si="2067"/>
        <v>X</v>
      </c>
      <c r="I9351" s="1" t="str">
        <f t="shared" si="2067"/>
        <v>X</v>
      </c>
      <c r="J9351" s="1" t="str">
        <f t="shared" si="2067"/>
        <v>X</v>
      </c>
      <c r="K9351" s="1" t="str">
        <f t="shared" si="2067"/>
        <v>X</v>
      </c>
      <c r="L9351" s="1" t="str">
        <f t="shared" si="2067"/>
        <v>X</v>
      </c>
      <c r="M9351" s="1" t="str">
        <f t="shared" si="2067"/>
        <v>X</v>
      </c>
      <c r="N9351" t="s">
        <v>27</v>
      </c>
    </row>
    <row r="9352" spans="1:14" x14ac:dyDescent="0.25">
      <c r="A9352" t="s">
        <v>43</v>
      </c>
      <c r="B9352" t="s">
        <v>39</v>
      </c>
      <c r="C9352" t="s">
        <v>37</v>
      </c>
      <c r="D9352" t="s">
        <v>31</v>
      </c>
      <c r="E9352" t="s">
        <v>15</v>
      </c>
      <c r="F9352" t="s">
        <v>15</v>
      </c>
      <c r="G9352" s="2">
        <f>VALUE(2232.65)</f>
        <v>2232.65</v>
      </c>
      <c r="H9352" s="3">
        <f>VALUE(2219.06)</f>
        <v>2219.06</v>
      </c>
      <c r="I9352" s="1">
        <f>VALUE(3758)</f>
        <v>3758</v>
      </c>
      <c r="J9352" s="1">
        <f>VALUE(4479)</f>
        <v>4479</v>
      </c>
      <c r="K9352" s="1">
        <f>VALUE(5549)</f>
        <v>5549</v>
      </c>
      <c r="L9352" s="1">
        <f>VALUE(7341)</f>
        <v>7341</v>
      </c>
      <c r="M9352" s="8">
        <f>VALUE(10696)</f>
        <v>10696</v>
      </c>
      <c r="N9352" t="s">
        <v>25</v>
      </c>
    </row>
    <row r="9353" spans="1:14" x14ac:dyDescent="0.25">
      <c r="A9353" t="s">
        <v>43</v>
      </c>
      <c r="B9353" t="s">
        <v>39</v>
      </c>
      <c r="C9353" t="s">
        <v>37</v>
      </c>
      <c r="D9353" t="s">
        <v>31</v>
      </c>
      <c r="E9353" t="s">
        <v>15</v>
      </c>
      <c r="F9353" t="s">
        <v>17</v>
      </c>
      <c r="G9353" s="2">
        <f>VALUE(299.25)</f>
        <v>299.25</v>
      </c>
      <c r="H9353" s="3">
        <f>VALUE(303.58)</f>
        <v>303.58</v>
      </c>
      <c r="I9353" s="1">
        <f>VALUE(3611)</f>
        <v>3611</v>
      </c>
      <c r="J9353" s="1">
        <f>VALUE(6127)</f>
        <v>6127</v>
      </c>
      <c r="K9353" s="6">
        <f>VALUE(8381)</f>
        <v>8381</v>
      </c>
      <c r="L9353" s="7">
        <f>VALUE(13963)</f>
        <v>13963</v>
      </c>
      <c r="M9353" s="8">
        <f>VALUE(20206)</f>
        <v>20206</v>
      </c>
      <c r="N9353" t="s">
        <v>25</v>
      </c>
    </row>
    <row r="9354" spans="1:14" x14ac:dyDescent="0.25">
      <c r="A9354" t="s">
        <v>43</v>
      </c>
      <c r="B9354" t="s">
        <v>39</v>
      </c>
      <c r="C9354" t="s">
        <v>37</v>
      </c>
      <c r="D9354" t="s">
        <v>31</v>
      </c>
      <c r="E9354" t="s">
        <v>15</v>
      </c>
      <c r="F9354" t="s">
        <v>18</v>
      </c>
      <c r="G9354" s="2">
        <f>VALUE(213.42)</f>
        <v>213.42</v>
      </c>
      <c r="H9354" s="3">
        <f>VALUE(215.96)</f>
        <v>215.96</v>
      </c>
      <c r="I9354" s="4">
        <f>VALUE(4374)</f>
        <v>4374</v>
      </c>
      <c r="J9354" s="5">
        <f>VALUE(6089)</f>
        <v>6089</v>
      </c>
      <c r="K9354" s="1">
        <f>VALUE(7937)</f>
        <v>7937</v>
      </c>
      <c r="L9354" s="1">
        <f>VALUE(10992)</f>
        <v>10992</v>
      </c>
      <c r="M9354" s="8">
        <f>VALUE(14046)</f>
        <v>14046</v>
      </c>
      <c r="N9354" t="s">
        <v>25</v>
      </c>
    </row>
    <row r="9355" spans="1:14" x14ac:dyDescent="0.25">
      <c r="A9355" t="s">
        <v>43</v>
      </c>
      <c r="B9355" t="s">
        <v>39</v>
      </c>
      <c r="C9355" t="s">
        <v>37</v>
      </c>
      <c r="D9355" t="s">
        <v>31</v>
      </c>
      <c r="E9355" t="s">
        <v>15</v>
      </c>
      <c r="F9355" t="s">
        <v>19</v>
      </c>
      <c r="G9355" s="2">
        <f>VALUE(244.43)</f>
        <v>244.43</v>
      </c>
      <c r="H9355" s="3">
        <f>VALUE(244.26)</f>
        <v>244.26</v>
      </c>
      <c r="I9355" s="4">
        <f>VALUE(4289)</f>
        <v>4289</v>
      </c>
      <c r="J9355" s="5">
        <f>VALUE(5043)</f>
        <v>5043</v>
      </c>
      <c r="K9355" s="6">
        <f>VALUE(6962)</f>
        <v>6962</v>
      </c>
      <c r="L9355" s="7">
        <f>VALUE(7937)</f>
        <v>7937</v>
      </c>
      <c r="M9355" s="8">
        <f>VALUE(12407)</f>
        <v>12407</v>
      </c>
      <c r="N9355" t="s">
        <v>24</v>
      </c>
    </row>
    <row r="9356" spans="1:14" x14ac:dyDescent="0.25">
      <c r="A9356" t="s">
        <v>43</v>
      </c>
      <c r="B9356" t="s">
        <v>39</v>
      </c>
      <c r="C9356" t="s">
        <v>37</v>
      </c>
      <c r="D9356" t="s">
        <v>31</v>
      </c>
      <c r="E9356" t="s">
        <v>15</v>
      </c>
      <c r="F9356" t="s">
        <v>20</v>
      </c>
      <c r="G9356" s="2">
        <f>VALUE(1475.55)</f>
        <v>1475.55</v>
      </c>
      <c r="H9356" s="3">
        <f>VALUE(1455.26)</f>
        <v>1455.26</v>
      </c>
      <c r="I9356" s="1">
        <f>VALUE(3702)</f>
        <v>3702</v>
      </c>
      <c r="J9356" s="1">
        <f>VALUE(4255)</f>
        <v>4255</v>
      </c>
      <c r="K9356" s="1">
        <f>VALUE(5077)</f>
        <v>5077</v>
      </c>
      <c r="L9356" s="1">
        <f>VALUE(6052)</f>
        <v>6052</v>
      </c>
      <c r="M9356" s="1">
        <f>VALUE(7341)</f>
        <v>7341</v>
      </c>
      <c r="N9356" t="s">
        <v>25</v>
      </c>
    </row>
    <row r="9357" spans="1:14" x14ac:dyDescent="0.25">
      <c r="A9357" t="s">
        <v>43</v>
      </c>
      <c r="B9357" t="s">
        <v>39</v>
      </c>
      <c r="C9357" t="s">
        <v>37</v>
      </c>
      <c r="D9357" t="s">
        <v>31</v>
      </c>
      <c r="E9357" t="s">
        <v>21</v>
      </c>
      <c r="F9357" t="s">
        <v>15</v>
      </c>
      <c r="G9357" s="2">
        <f>VALUE(581.24)</f>
        <v>581.24</v>
      </c>
      <c r="H9357" s="3">
        <f>VALUE(570.8)</f>
        <v>570.79999999999995</v>
      </c>
      <c r="I9357" s="1">
        <f>VALUE(5463)</f>
        <v>5463</v>
      </c>
      <c r="J9357" s="1">
        <f>VALUE(7005)</f>
        <v>7005</v>
      </c>
      <c r="K9357" s="1">
        <f>VALUE(8259)</f>
        <v>8259</v>
      </c>
      <c r="L9357" s="7">
        <f>VALUE(12533)</f>
        <v>12533</v>
      </c>
      <c r="M9357" s="8">
        <f>VALUE(16866)</f>
        <v>16866</v>
      </c>
      <c r="N9357" t="s">
        <v>25</v>
      </c>
    </row>
    <row r="9358" spans="1:14" x14ac:dyDescent="0.25">
      <c r="A9358" t="s">
        <v>43</v>
      </c>
      <c r="B9358" t="s">
        <v>39</v>
      </c>
      <c r="C9358" t="s">
        <v>37</v>
      </c>
      <c r="D9358" t="s">
        <v>31</v>
      </c>
      <c r="E9358" t="s">
        <v>21</v>
      </c>
      <c r="F9358" t="s">
        <v>17</v>
      </c>
      <c r="G9358" s="2">
        <f>VALUE(194.38)</f>
        <v>194.38</v>
      </c>
      <c r="H9358" s="3">
        <f>VALUE(195.53)</f>
        <v>195.53</v>
      </c>
      <c r="I9358" s="4">
        <f>VALUE(6697)</f>
        <v>6697</v>
      </c>
      <c r="J9358" s="1">
        <f>VALUE(7490)</f>
        <v>7490</v>
      </c>
      <c r="K9358" s="6">
        <f>VALUE(10317)</f>
        <v>10317</v>
      </c>
      <c r="L9358" s="7">
        <f>VALUE(15782)</f>
        <v>15782</v>
      </c>
      <c r="M9358" s="8">
        <f>VALUE(21193)</f>
        <v>21193</v>
      </c>
      <c r="N9358" t="s">
        <v>25</v>
      </c>
    </row>
    <row r="9359" spans="1:14" x14ac:dyDescent="0.25">
      <c r="A9359" t="s">
        <v>43</v>
      </c>
      <c r="B9359" t="s">
        <v>39</v>
      </c>
      <c r="C9359" t="s">
        <v>37</v>
      </c>
      <c r="D9359" t="s">
        <v>31</v>
      </c>
      <c r="E9359" t="s">
        <v>21</v>
      </c>
      <c r="F9359" t="s">
        <v>18</v>
      </c>
      <c r="G9359" s="1" t="str">
        <f t="shared" ref="G9359:M9360" si="2068">"X"</f>
        <v>X</v>
      </c>
      <c r="H9359" s="1" t="str">
        <f t="shared" si="2068"/>
        <v>X</v>
      </c>
      <c r="I9359" s="1" t="str">
        <f t="shared" si="2068"/>
        <v>X</v>
      </c>
      <c r="J9359" s="1" t="str">
        <f t="shared" si="2068"/>
        <v>X</v>
      </c>
      <c r="K9359" s="1" t="str">
        <f t="shared" si="2068"/>
        <v>X</v>
      </c>
      <c r="L9359" s="1" t="str">
        <f t="shared" si="2068"/>
        <v>X</v>
      </c>
      <c r="M9359" s="1" t="str">
        <f t="shared" si="2068"/>
        <v>X</v>
      </c>
      <c r="N9359" t="s">
        <v>27</v>
      </c>
    </row>
    <row r="9360" spans="1:14" x14ac:dyDescent="0.25">
      <c r="A9360" t="s">
        <v>43</v>
      </c>
      <c r="B9360" t="s">
        <v>39</v>
      </c>
      <c r="C9360" t="s">
        <v>37</v>
      </c>
      <c r="D9360" t="s">
        <v>31</v>
      </c>
      <c r="E9360" t="s">
        <v>21</v>
      </c>
      <c r="F9360" t="s">
        <v>19</v>
      </c>
      <c r="G9360" s="1" t="str">
        <f t="shared" si="2068"/>
        <v>X</v>
      </c>
      <c r="H9360" s="1" t="str">
        <f t="shared" si="2068"/>
        <v>X</v>
      </c>
      <c r="I9360" s="1" t="str">
        <f t="shared" si="2068"/>
        <v>X</v>
      </c>
      <c r="J9360" s="1" t="str">
        <f t="shared" si="2068"/>
        <v>X</v>
      </c>
      <c r="K9360" s="1" t="str">
        <f t="shared" si="2068"/>
        <v>X</v>
      </c>
      <c r="L9360" s="1" t="str">
        <f t="shared" si="2068"/>
        <v>X</v>
      </c>
      <c r="M9360" s="1" t="str">
        <f t="shared" si="2068"/>
        <v>X</v>
      </c>
      <c r="N9360" t="s">
        <v>27</v>
      </c>
    </row>
    <row r="9361" spans="1:14" x14ac:dyDescent="0.25">
      <c r="A9361" t="s">
        <v>43</v>
      </c>
      <c r="B9361" t="s">
        <v>39</v>
      </c>
      <c r="C9361" t="s">
        <v>37</v>
      </c>
      <c r="D9361" t="s">
        <v>31</v>
      </c>
      <c r="E9361" t="s">
        <v>21</v>
      </c>
      <c r="F9361" t="s">
        <v>20</v>
      </c>
      <c r="G9361" s="2">
        <f>VALUE(161.27)</f>
        <v>161.27000000000001</v>
      </c>
      <c r="H9361" s="3">
        <f>VALUE(149.28)</f>
        <v>149.28</v>
      </c>
      <c r="I9361" s="1">
        <f>VALUE(3995)</f>
        <v>3995</v>
      </c>
      <c r="J9361" s="5">
        <f>VALUE(5463)</f>
        <v>5463</v>
      </c>
      <c r="K9361" s="1">
        <f>VALUE(6657)</f>
        <v>6657</v>
      </c>
      <c r="L9361" s="1">
        <f>VALUE(8027)</f>
        <v>8027</v>
      </c>
      <c r="M9361" s="8">
        <f>VALUE(10949)</f>
        <v>10949</v>
      </c>
      <c r="N9361" t="s">
        <v>25</v>
      </c>
    </row>
    <row r="9362" spans="1:14" x14ac:dyDescent="0.25">
      <c r="A9362" t="s">
        <v>43</v>
      </c>
      <c r="B9362" t="s">
        <v>39</v>
      </c>
      <c r="C9362" t="s">
        <v>37</v>
      </c>
      <c r="D9362" t="s">
        <v>31</v>
      </c>
      <c r="E9362" t="s">
        <v>22</v>
      </c>
      <c r="F9362" t="s">
        <v>15</v>
      </c>
      <c r="G9362" s="2">
        <f>VALUE(747.2)</f>
        <v>747.2</v>
      </c>
      <c r="H9362" s="3">
        <f>VALUE(736.4)</f>
        <v>736.4</v>
      </c>
      <c r="I9362" s="4">
        <f>VALUE(3765)</f>
        <v>3765</v>
      </c>
      <c r="J9362" s="5">
        <f>VALUE(4850)</f>
        <v>4850</v>
      </c>
      <c r="K9362" s="1">
        <f>VALUE(5555)</f>
        <v>5555</v>
      </c>
      <c r="L9362" s="1">
        <f>VALUE(6523)</f>
        <v>6523</v>
      </c>
      <c r="M9362" s="1">
        <f>VALUE(7950)</f>
        <v>7950</v>
      </c>
      <c r="N9362" t="s">
        <v>25</v>
      </c>
    </row>
    <row r="9363" spans="1:14" x14ac:dyDescent="0.25">
      <c r="A9363" t="s">
        <v>43</v>
      </c>
      <c r="B9363" t="s">
        <v>39</v>
      </c>
      <c r="C9363" t="s">
        <v>37</v>
      </c>
      <c r="D9363" t="s">
        <v>31</v>
      </c>
      <c r="E9363" t="s">
        <v>22</v>
      </c>
      <c r="F9363" t="s">
        <v>17</v>
      </c>
      <c r="G9363" s="1" t="str">
        <f t="shared" ref="G9363:M9365" si="2069">"X"</f>
        <v>X</v>
      </c>
      <c r="H9363" s="1" t="str">
        <f t="shared" si="2069"/>
        <v>X</v>
      </c>
      <c r="I9363" s="1" t="str">
        <f t="shared" si="2069"/>
        <v>X</v>
      </c>
      <c r="J9363" s="1" t="str">
        <f t="shared" si="2069"/>
        <v>X</v>
      </c>
      <c r="K9363" s="1" t="str">
        <f t="shared" si="2069"/>
        <v>X</v>
      </c>
      <c r="L9363" s="1" t="str">
        <f t="shared" si="2069"/>
        <v>X</v>
      </c>
      <c r="M9363" s="1" t="str">
        <f t="shared" si="2069"/>
        <v>X</v>
      </c>
      <c r="N9363" t="s">
        <v>27</v>
      </c>
    </row>
    <row r="9364" spans="1:14" x14ac:dyDescent="0.25">
      <c r="A9364" t="s">
        <v>43</v>
      </c>
      <c r="B9364" t="s">
        <v>39</v>
      </c>
      <c r="C9364" t="s">
        <v>37</v>
      </c>
      <c r="D9364" t="s">
        <v>31</v>
      </c>
      <c r="E9364" t="s">
        <v>22</v>
      </c>
      <c r="F9364" t="s">
        <v>18</v>
      </c>
      <c r="G9364" s="1" t="str">
        <f t="shared" si="2069"/>
        <v>X</v>
      </c>
      <c r="H9364" s="1" t="str">
        <f t="shared" si="2069"/>
        <v>X</v>
      </c>
      <c r="I9364" s="1" t="str">
        <f t="shared" si="2069"/>
        <v>X</v>
      </c>
      <c r="J9364" s="1" t="str">
        <f t="shared" si="2069"/>
        <v>X</v>
      </c>
      <c r="K9364" s="1" t="str">
        <f t="shared" si="2069"/>
        <v>X</v>
      </c>
      <c r="L9364" s="1" t="str">
        <f t="shared" si="2069"/>
        <v>X</v>
      </c>
      <c r="M9364" s="1" t="str">
        <f t="shared" si="2069"/>
        <v>X</v>
      </c>
      <c r="N9364" t="s">
        <v>27</v>
      </c>
    </row>
    <row r="9365" spans="1:14" x14ac:dyDescent="0.25">
      <c r="A9365" t="s">
        <v>43</v>
      </c>
      <c r="B9365" t="s">
        <v>39</v>
      </c>
      <c r="C9365" t="s">
        <v>37</v>
      </c>
      <c r="D9365" t="s">
        <v>31</v>
      </c>
      <c r="E9365" t="s">
        <v>22</v>
      </c>
      <c r="F9365" t="s">
        <v>19</v>
      </c>
      <c r="G9365" s="1" t="str">
        <f t="shared" si="2069"/>
        <v>X</v>
      </c>
      <c r="H9365" s="1" t="str">
        <f t="shared" si="2069"/>
        <v>X</v>
      </c>
      <c r="I9365" s="1" t="str">
        <f t="shared" si="2069"/>
        <v>X</v>
      </c>
      <c r="J9365" s="1" t="str">
        <f t="shared" si="2069"/>
        <v>X</v>
      </c>
      <c r="K9365" s="1" t="str">
        <f t="shared" si="2069"/>
        <v>X</v>
      </c>
      <c r="L9365" s="1" t="str">
        <f t="shared" si="2069"/>
        <v>X</v>
      </c>
      <c r="M9365" s="1" t="str">
        <f t="shared" si="2069"/>
        <v>X</v>
      </c>
      <c r="N9365" t="s">
        <v>27</v>
      </c>
    </row>
    <row r="9366" spans="1:14" x14ac:dyDescent="0.25">
      <c r="A9366" t="s">
        <v>43</v>
      </c>
      <c r="B9366" t="s">
        <v>39</v>
      </c>
      <c r="C9366" t="s">
        <v>37</v>
      </c>
      <c r="D9366" t="s">
        <v>31</v>
      </c>
      <c r="E9366" t="s">
        <v>22</v>
      </c>
      <c r="F9366" t="s">
        <v>20</v>
      </c>
      <c r="G9366" s="2">
        <f>VALUE(523.79)</f>
        <v>523.79</v>
      </c>
      <c r="H9366" s="3">
        <f>VALUE(513.15)</f>
        <v>513.15</v>
      </c>
      <c r="I9366" s="4">
        <f>VALUE(3702)</f>
        <v>3702</v>
      </c>
      <c r="J9366" s="5">
        <f>VALUE(4455)</f>
        <v>4455</v>
      </c>
      <c r="K9366" s="1">
        <f>VALUE(5443)</f>
        <v>5443</v>
      </c>
      <c r="L9366" s="1">
        <f>VALUE(6523)</f>
        <v>6523</v>
      </c>
      <c r="M9366" s="1">
        <f>VALUE(6967)</f>
        <v>6967</v>
      </c>
      <c r="N9366" t="s">
        <v>25</v>
      </c>
    </row>
    <row r="9367" spans="1:14" x14ac:dyDescent="0.25">
      <c r="A9367" t="s">
        <v>43</v>
      </c>
      <c r="B9367" t="s">
        <v>39</v>
      </c>
      <c r="C9367" t="s">
        <v>37</v>
      </c>
      <c r="D9367" t="s">
        <v>31</v>
      </c>
      <c r="E9367" t="s">
        <v>23</v>
      </c>
      <c r="F9367" t="s">
        <v>15</v>
      </c>
      <c r="G9367" s="2">
        <f>VALUE(885.06)</f>
        <v>885.06</v>
      </c>
      <c r="H9367" s="3">
        <f>VALUE(893.71)</f>
        <v>893.71</v>
      </c>
      <c r="I9367" s="4">
        <f>VALUE(3611)</f>
        <v>3611</v>
      </c>
      <c r="J9367" s="1">
        <f>VALUE(3933)</f>
        <v>3933</v>
      </c>
      <c r="K9367" s="1">
        <f>VALUE(4640)</f>
        <v>4640</v>
      </c>
      <c r="L9367" s="1">
        <f>VALUE(5497)</f>
        <v>5497</v>
      </c>
      <c r="M9367" s="8">
        <f>VALUE(6192)</f>
        <v>6192</v>
      </c>
      <c r="N9367" t="s">
        <v>25</v>
      </c>
    </row>
    <row r="9368" spans="1:14" x14ac:dyDescent="0.25">
      <c r="A9368" t="s">
        <v>43</v>
      </c>
      <c r="B9368" t="s">
        <v>39</v>
      </c>
      <c r="C9368" t="s">
        <v>37</v>
      </c>
      <c r="D9368" t="s">
        <v>31</v>
      </c>
      <c r="E9368" t="s">
        <v>23</v>
      </c>
      <c r="F9368" t="s">
        <v>17</v>
      </c>
      <c r="G9368" s="1" t="str">
        <f t="shared" ref="G9368:M9370" si="2070">"X"</f>
        <v>X</v>
      </c>
      <c r="H9368" s="1" t="str">
        <f t="shared" si="2070"/>
        <v>X</v>
      </c>
      <c r="I9368" s="1" t="str">
        <f t="shared" si="2070"/>
        <v>X</v>
      </c>
      <c r="J9368" s="1" t="str">
        <f t="shared" si="2070"/>
        <v>X</v>
      </c>
      <c r="K9368" s="1" t="str">
        <f t="shared" si="2070"/>
        <v>X</v>
      </c>
      <c r="L9368" s="1" t="str">
        <f t="shared" si="2070"/>
        <v>X</v>
      </c>
      <c r="M9368" s="1" t="str">
        <f t="shared" si="2070"/>
        <v>X</v>
      </c>
      <c r="N9368" t="s">
        <v>27</v>
      </c>
    </row>
    <row r="9369" spans="1:14" x14ac:dyDescent="0.25">
      <c r="A9369" t="s">
        <v>43</v>
      </c>
      <c r="B9369" t="s">
        <v>39</v>
      </c>
      <c r="C9369" t="s">
        <v>37</v>
      </c>
      <c r="D9369" t="s">
        <v>31</v>
      </c>
      <c r="E9369" t="s">
        <v>23</v>
      </c>
      <c r="F9369" t="s">
        <v>18</v>
      </c>
      <c r="G9369" s="1" t="str">
        <f t="shared" si="2070"/>
        <v>X</v>
      </c>
      <c r="H9369" s="1" t="str">
        <f t="shared" si="2070"/>
        <v>X</v>
      </c>
      <c r="I9369" s="1" t="str">
        <f t="shared" si="2070"/>
        <v>X</v>
      </c>
      <c r="J9369" s="1" t="str">
        <f t="shared" si="2070"/>
        <v>X</v>
      </c>
      <c r="K9369" s="1" t="str">
        <f t="shared" si="2070"/>
        <v>X</v>
      </c>
      <c r="L9369" s="1" t="str">
        <f t="shared" si="2070"/>
        <v>X</v>
      </c>
      <c r="M9369" s="1" t="str">
        <f t="shared" si="2070"/>
        <v>X</v>
      </c>
      <c r="N9369" t="s">
        <v>27</v>
      </c>
    </row>
    <row r="9370" spans="1:14" x14ac:dyDescent="0.25">
      <c r="A9370" t="s">
        <v>43</v>
      </c>
      <c r="B9370" t="s">
        <v>39</v>
      </c>
      <c r="C9370" t="s">
        <v>37</v>
      </c>
      <c r="D9370" t="s">
        <v>31</v>
      </c>
      <c r="E9370" t="s">
        <v>23</v>
      </c>
      <c r="F9370" t="s">
        <v>19</v>
      </c>
      <c r="G9370" s="1" t="str">
        <f t="shared" si="2070"/>
        <v>X</v>
      </c>
      <c r="H9370" s="1" t="str">
        <f t="shared" si="2070"/>
        <v>X</v>
      </c>
      <c r="I9370" s="1" t="str">
        <f t="shared" si="2070"/>
        <v>X</v>
      </c>
      <c r="J9370" s="1" t="str">
        <f t="shared" si="2070"/>
        <v>X</v>
      </c>
      <c r="K9370" s="1" t="str">
        <f t="shared" si="2070"/>
        <v>X</v>
      </c>
      <c r="L9370" s="1" t="str">
        <f t="shared" si="2070"/>
        <v>X</v>
      </c>
      <c r="M9370" s="1" t="str">
        <f t="shared" si="2070"/>
        <v>X</v>
      </c>
      <c r="N9370" t="s">
        <v>27</v>
      </c>
    </row>
    <row r="9371" spans="1:14" x14ac:dyDescent="0.25">
      <c r="A9371" t="s">
        <v>43</v>
      </c>
      <c r="B9371" t="s">
        <v>39</v>
      </c>
      <c r="C9371" t="s">
        <v>37</v>
      </c>
      <c r="D9371" t="s">
        <v>31</v>
      </c>
      <c r="E9371" t="s">
        <v>23</v>
      </c>
      <c r="F9371" t="s">
        <v>20</v>
      </c>
      <c r="G9371" s="2">
        <f>VALUE(779.19)</f>
        <v>779.19</v>
      </c>
      <c r="H9371" s="3">
        <f>VALUE(782.87)</f>
        <v>782.87</v>
      </c>
      <c r="I9371" s="1">
        <f>VALUE(3550)</f>
        <v>3550</v>
      </c>
      <c r="J9371" s="1">
        <f>VALUE(3992)</f>
        <v>3992</v>
      </c>
      <c r="K9371" s="1">
        <f>VALUE(4640)</f>
        <v>4640</v>
      </c>
      <c r="L9371" s="1">
        <f>VALUE(5546)</f>
        <v>5546</v>
      </c>
      <c r="M9371" s="8">
        <f>VALUE(6067)</f>
        <v>6067</v>
      </c>
      <c r="N9371" t="s">
        <v>25</v>
      </c>
    </row>
    <row r="9372" spans="1:14" x14ac:dyDescent="0.25">
      <c r="A9372" t="s">
        <v>43</v>
      </c>
      <c r="B9372" t="s">
        <v>39</v>
      </c>
      <c r="C9372" t="s">
        <v>37</v>
      </c>
      <c r="D9372" t="s">
        <v>31</v>
      </c>
      <c r="E9372" t="s">
        <v>26</v>
      </c>
      <c r="F9372" t="s">
        <v>15</v>
      </c>
      <c r="G9372" s="1" t="str">
        <f t="shared" ref="G9372:M9373" si="2071">"X"</f>
        <v>X</v>
      </c>
      <c r="H9372" s="1" t="str">
        <f t="shared" si="2071"/>
        <v>X</v>
      </c>
      <c r="I9372" s="1" t="str">
        <f t="shared" si="2071"/>
        <v>X</v>
      </c>
      <c r="J9372" s="1" t="str">
        <f t="shared" si="2071"/>
        <v>X</v>
      </c>
      <c r="K9372" s="1" t="str">
        <f t="shared" si="2071"/>
        <v>X</v>
      </c>
      <c r="L9372" s="1" t="str">
        <f t="shared" si="2071"/>
        <v>X</v>
      </c>
      <c r="M9372" s="1" t="str">
        <f t="shared" si="2071"/>
        <v>X</v>
      </c>
      <c r="N9372" t="s">
        <v>27</v>
      </c>
    </row>
    <row r="9373" spans="1:14" x14ac:dyDescent="0.25">
      <c r="A9373" t="s">
        <v>43</v>
      </c>
      <c r="B9373" t="s">
        <v>39</v>
      </c>
      <c r="C9373" t="s">
        <v>37</v>
      </c>
      <c r="D9373" t="s">
        <v>31</v>
      </c>
      <c r="E9373" t="s">
        <v>26</v>
      </c>
      <c r="F9373" t="s">
        <v>17</v>
      </c>
      <c r="G9373" s="1" t="str">
        <f t="shared" si="2071"/>
        <v>X</v>
      </c>
      <c r="H9373" s="1" t="str">
        <f t="shared" si="2071"/>
        <v>X</v>
      </c>
      <c r="I9373" s="1" t="str">
        <f t="shared" si="2071"/>
        <v>X</v>
      </c>
      <c r="J9373" s="1" t="str">
        <f t="shared" si="2071"/>
        <v>X</v>
      </c>
      <c r="K9373" s="1" t="str">
        <f t="shared" si="2071"/>
        <v>X</v>
      </c>
      <c r="L9373" s="1" t="str">
        <f t="shared" si="2071"/>
        <v>X</v>
      </c>
      <c r="M9373" s="1" t="str">
        <f t="shared" si="2071"/>
        <v>X</v>
      </c>
      <c r="N9373" t="s">
        <v>27</v>
      </c>
    </row>
    <row r="9374" spans="1:14" x14ac:dyDescent="0.25">
      <c r="A9374" t="s">
        <v>43</v>
      </c>
      <c r="B9374" t="s">
        <v>39</v>
      </c>
      <c r="C9374" t="s">
        <v>37</v>
      </c>
      <c r="D9374" t="s">
        <v>31</v>
      </c>
      <c r="E9374" t="s">
        <v>26</v>
      </c>
      <c r="F9374" t="s">
        <v>18</v>
      </c>
      <c r="G9374" s="1" t="str">
        <f t="shared" ref="G9374:M9375" si="2072">"..."</f>
        <v>...</v>
      </c>
      <c r="H9374" s="1" t="str">
        <f t="shared" si="2072"/>
        <v>...</v>
      </c>
      <c r="I9374" s="1" t="str">
        <f t="shared" si="2072"/>
        <v>...</v>
      </c>
      <c r="J9374" s="1" t="str">
        <f t="shared" si="2072"/>
        <v>...</v>
      </c>
      <c r="K9374" s="1" t="str">
        <f t="shared" si="2072"/>
        <v>...</v>
      </c>
      <c r="L9374" s="1" t="str">
        <f t="shared" si="2072"/>
        <v>...</v>
      </c>
      <c r="M9374" s="1" t="str">
        <f t="shared" si="2072"/>
        <v>...</v>
      </c>
      <c r="N9374" t="s">
        <v>30</v>
      </c>
    </row>
    <row r="9375" spans="1:14" x14ac:dyDescent="0.25">
      <c r="A9375" t="s">
        <v>43</v>
      </c>
      <c r="B9375" t="s">
        <v>39</v>
      </c>
      <c r="C9375" t="s">
        <v>37</v>
      </c>
      <c r="D9375" t="s">
        <v>31</v>
      </c>
      <c r="E9375" t="s">
        <v>26</v>
      </c>
      <c r="F9375" t="s">
        <v>19</v>
      </c>
      <c r="G9375" s="1" t="str">
        <f t="shared" si="2072"/>
        <v>...</v>
      </c>
      <c r="H9375" s="1" t="str">
        <f t="shared" si="2072"/>
        <v>...</v>
      </c>
      <c r="I9375" s="1" t="str">
        <f t="shared" si="2072"/>
        <v>...</v>
      </c>
      <c r="J9375" s="1" t="str">
        <f t="shared" si="2072"/>
        <v>...</v>
      </c>
      <c r="K9375" s="1" t="str">
        <f t="shared" si="2072"/>
        <v>...</v>
      </c>
      <c r="L9375" s="1" t="str">
        <f t="shared" si="2072"/>
        <v>...</v>
      </c>
      <c r="M9375" s="1" t="str">
        <f t="shared" si="2072"/>
        <v>...</v>
      </c>
      <c r="N9375" t="s">
        <v>30</v>
      </c>
    </row>
    <row r="9376" spans="1:14" x14ac:dyDescent="0.25">
      <c r="A9376" t="s">
        <v>43</v>
      </c>
      <c r="B9376" t="s">
        <v>39</v>
      </c>
      <c r="C9376" t="s">
        <v>37</v>
      </c>
      <c r="D9376" t="s">
        <v>31</v>
      </c>
      <c r="E9376" t="s">
        <v>26</v>
      </c>
      <c r="F9376" t="s">
        <v>20</v>
      </c>
      <c r="G9376" s="1" t="str">
        <f t="shared" ref="G9376:M9376" si="2073">"X"</f>
        <v>X</v>
      </c>
      <c r="H9376" s="1" t="str">
        <f t="shared" si="2073"/>
        <v>X</v>
      </c>
      <c r="I9376" s="1" t="str">
        <f t="shared" si="2073"/>
        <v>X</v>
      </c>
      <c r="J9376" s="1" t="str">
        <f t="shared" si="2073"/>
        <v>X</v>
      </c>
      <c r="K9376" s="1" t="str">
        <f t="shared" si="2073"/>
        <v>X</v>
      </c>
      <c r="L9376" s="1" t="str">
        <f t="shared" si="2073"/>
        <v>X</v>
      </c>
      <c r="M9376" s="1" t="str">
        <f t="shared" si="2073"/>
        <v>X</v>
      </c>
      <c r="N9376" t="s">
        <v>27</v>
      </c>
    </row>
    <row r="9377" spans="1:14" x14ac:dyDescent="0.25">
      <c r="A9377" t="s">
        <v>43</v>
      </c>
      <c r="B9377" t="s">
        <v>39</v>
      </c>
      <c r="C9377" t="s">
        <v>37</v>
      </c>
      <c r="D9377" t="s">
        <v>32</v>
      </c>
      <c r="E9377" t="s">
        <v>15</v>
      </c>
      <c r="F9377" t="s">
        <v>15</v>
      </c>
      <c r="G9377" s="1">
        <f>VALUE(14809.62)</f>
        <v>14809.62</v>
      </c>
      <c r="H9377" s="1">
        <f>VALUE(14742.04)</f>
        <v>14742.04</v>
      </c>
      <c r="I9377" s="1">
        <f>VALUE(3506)</f>
        <v>3506</v>
      </c>
      <c r="J9377" s="1">
        <f>VALUE(4115)</f>
        <v>4115</v>
      </c>
      <c r="K9377" s="1">
        <f>VALUE(5058)</f>
        <v>5058</v>
      </c>
      <c r="L9377" s="1">
        <f>VALUE(5977)</f>
        <v>5977</v>
      </c>
      <c r="M9377" s="1">
        <f>VALUE(7325)</f>
        <v>7325</v>
      </c>
      <c r="N9377" t="s">
        <v>16</v>
      </c>
    </row>
    <row r="9378" spans="1:14" x14ac:dyDescent="0.25">
      <c r="A9378" t="s">
        <v>43</v>
      </c>
      <c r="B9378" t="s">
        <v>39</v>
      </c>
      <c r="C9378" t="s">
        <v>37</v>
      </c>
      <c r="D9378" t="s">
        <v>32</v>
      </c>
      <c r="E9378" t="s">
        <v>15</v>
      </c>
      <c r="F9378" t="s">
        <v>17</v>
      </c>
      <c r="G9378" s="2">
        <f>VALUE(1163.03)</f>
        <v>1163.03</v>
      </c>
      <c r="H9378" s="3">
        <f>VALUE(1146.5)</f>
        <v>1146.5</v>
      </c>
      <c r="I9378" s="1">
        <f>VALUE(5363)</f>
        <v>5363</v>
      </c>
      <c r="J9378" s="1">
        <f>VALUE(6165)</f>
        <v>6165</v>
      </c>
      <c r="K9378" s="1">
        <f>VALUE(7745)</f>
        <v>7745</v>
      </c>
      <c r="L9378" s="1">
        <f>VALUE(9405)</f>
        <v>9405</v>
      </c>
      <c r="M9378" s="1">
        <f>VALUE(12946)</f>
        <v>12946</v>
      </c>
      <c r="N9378" t="s">
        <v>25</v>
      </c>
    </row>
    <row r="9379" spans="1:14" x14ac:dyDescent="0.25">
      <c r="A9379" t="s">
        <v>43</v>
      </c>
      <c r="B9379" t="s">
        <v>39</v>
      </c>
      <c r="C9379" t="s">
        <v>37</v>
      </c>
      <c r="D9379" t="s">
        <v>32</v>
      </c>
      <c r="E9379" t="s">
        <v>15</v>
      </c>
      <c r="F9379" t="s">
        <v>18</v>
      </c>
      <c r="G9379" s="2">
        <f>VALUE(1268.27)</f>
        <v>1268.27</v>
      </c>
      <c r="H9379" s="3">
        <f>VALUE(1256.43)</f>
        <v>1256.43</v>
      </c>
      <c r="I9379" s="1">
        <f>VALUE(4202)</f>
        <v>4202</v>
      </c>
      <c r="J9379" s="1">
        <f>VALUE(4940)</f>
        <v>4940</v>
      </c>
      <c r="K9379" s="1">
        <f>VALUE(5932)</f>
        <v>5932</v>
      </c>
      <c r="L9379" s="1">
        <f>VALUE(7335)</f>
        <v>7335</v>
      </c>
      <c r="M9379" s="1">
        <f>VALUE(8873)</f>
        <v>8873</v>
      </c>
      <c r="N9379" t="s">
        <v>25</v>
      </c>
    </row>
    <row r="9380" spans="1:14" x14ac:dyDescent="0.25">
      <c r="A9380" t="s">
        <v>43</v>
      </c>
      <c r="B9380" t="s">
        <v>39</v>
      </c>
      <c r="C9380" t="s">
        <v>37</v>
      </c>
      <c r="D9380" t="s">
        <v>32</v>
      </c>
      <c r="E9380" t="s">
        <v>15</v>
      </c>
      <c r="F9380" t="s">
        <v>19</v>
      </c>
      <c r="G9380" s="2">
        <f>VALUE(2553.71)</f>
        <v>2553.71</v>
      </c>
      <c r="H9380" s="3">
        <f>VALUE(2566.26)</f>
        <v>2566.2600000000002</v>
      </c>
      <c r="I9380" s="4">
        <f>VALUE(3791)</f>
        <v>3791</v>
      </c>
      <c r="J9380" s="1">
        <f>VALUE(4386)</f>
        <v>4386</v>
      </c>
      <c r="K9380" s="1">
        <f>VALUE(5474)</f>
        <v>5474</v>
      </c>
      <c r="L9380" s="1">
        <f>VALUE(6139)</f>
        <v>6139</v>
      </c>
      <c r="M9380" s="1">
        <f>VALUE(7406)</f>
        <v>7406</v>
      </c>
      <c r="N9380" t="s">
        <v>25</v>
      </c>
    </row>
    <row r="9381" spans="1:14" x14ac:dyDescent="0.25">
      <c r="A9381" t="s">
        <v>43</v>
      </c>
      <c r="B9381" t="s">
        <v>39</v>
      </c>
      <c r="C9381" t="s">
        <v>37</v>
      </c>
      <c r="D9381" t="s">
        <v>32</v>
      </c>
      <c r="E9381" t="s">
        <v>15</v>
      </c>
      <c r="F9381" t="s">
        <v>20</v>
      </c>
      <c r="G9381" s="1">
        <f>VALUE(9824.61)</f>
        <v>9824.61</v>
      </c>
      <c r="H9381" s="1">
        <f>VALUE(9772.85)</f>
        <v>9772.85</v>
      </c>
      <c r="I9381" s="1">
        <f>VALUE(3431)</f>
        <v>3431</v>
      </c>
      <c r="J9381" s="1">
        <f>VALUE(3925)</f>
        <v>3925</v>
      </c>
      <c r="K9381" s="1">
        <f>VALUE(4713)</f>
        <v>4713</v>
      </c>
      <c r="L9381" s="1">
        <f>VALUE(5455)</f>
        <v>5455</v>
      </c>
      <c r="M9381" s="1">
        <f>VALUE(6331)</f>
        <v>6331</v>
      </c>
      <c r="N9381" t="s">
        <v>16</v>
      </c>
    </row>
    <row r="9382" spans="1:14" x14ac:dyDescent="0.25">
      <c r="A9382" t="s">
        <v>43</v>
      </c>
      <c r="B9382" t="s">
        <v>39</v>
      </c>
      <c r="C9382" t="s">
        <v>37</v>
      </c>
      <c r="D9382" t="s">
        <v>32</v>
      </c>
      <c r="E9382" t="s">
        <v>21</v>
      </c>
      <c r="F9382" t="s">
        <v>15</v>
      </c>
      <c r="G9382" s="1">
        <f>VALUE(2082.07)</f>
        <v>2082.0700000000002</v>
      </c>
      <c r="H9382" s="1">
        <f>VALUE(2030.2)</f>
        <v>2030.2</v>
      </c>
      <c r="I9382" s="1">
        <f>VALUE(4372)</f>
        <v>4372</v>
      </c>
      <c r="J9382" s="1">
        <f>VALUE(5331)</f>
        <v>5331</v>
      </c>
      <c r="K9382" s="1">
        <f>VALUE(6331)</f>
        <v>6331</v>
      </c>
      <c r="L9382" s="1">
        <f>VALUE(8369)</f>
        <v>8369</v>
      </c>
      <c r="M9382" s="1">
        <f>VALUE(11019)</f>
        <v>11019</v>
      </c>
      <c r="N9382" t="s">
        <v>16</v>
      </c>
    </row>
    <row r="9383" spans="1:14" x14ac:dyDescent="0.25">
      <c r="A9383" t="s">
        <v>43</v>
      </c>
      <c r="B9383" t="s">
        <v>39</v>
      </c>
      <c r="C9383" t="s">
        <v>37</v>
      </c>
      <c r="D9383" t="s">
        <v>32</v>
      </c>
      <c r="E9383" t="s">
        <v>21</v>
      </c>
      <c r="F9383" t="s">
        <v>17</v>
      </c>
      <c r="G9383" s="2">
        <f>VALUE(578.04)</f>
        <v>578.04</v>
      </c>
      <c r="H9383" s="3">
        <f>VALUE(574.62)</f>
        <v>574.62</v>
      </c>
      <c r="I9383" s="1">
        <f>VALUE(5700)</f>
        <v>5700</v>
      </c>
      <c r="J9383" s="1">
        <f>VALUE(7314)</f>
        <v>7314</v>
      </c>
      <c r="K9383" s="1">
        <f>VALUE(8601)</f>
        <v>8601</v>
      </c>
      <c r="L9383" s="7">
        <f>VALUE(11019)</f>
        <v>11019</v>
      </c>
      <c r="M9383" s="8">
        <f>VALUE(15176)</f>
        <v>15176</v>
      </c>
      <c r="N9383" t="s">
        <v>25</v>
      </c>
    </row>
    <row r="9384" spans="1:14" x14ac:dyDescent="0.25">
      <c r="A9384" t="s">
        <v>43</v>
      </c>
      <c r="B9384" t="s">
        <v>39</v>
      </c>
      <c r="C9384" t="s">
        <v>37</v>
      </c>
      <c r="D9384" t="s">
        <v>32</v>
      </c>
      <c r="E9384" t="s">
        <v>21</v>
      </c>
      <c r="F9384" t="s">
        <v>18</v>
      </c>
      <c r="G9384" s="2">
        <f>VALUE(304.22)</f>
        <v>304.22000000000003</v>
      </c>
      <c r="H9384" s="3">
        <f>VALUE(299.16)</f>
        <v>299.16000000000003</v>
      </c>
      <c r="I9384" s="4">
        <f>VALUE(5139)</f>
        <v>5139</v>
      </c>
      <c r="J9384" s="1">
        <f>VALUE(5464)</f>
        <v>5464</v>
      </c>
      <c r="K9384" s="6">
        <f>VALUE(7538)</f>
        <v>7538</v>
      </c>
      <c r="L9384" s="1">
        <f>VALUE(9240)</f>
        <v>9240</v>
      </c>
      <c r="M9384" s="1">
        <f>VALUE(11391)</f>
        <v>11391</v>
      </c>
      <c r="N9384" t="s">
        <v>25</v>
      </c>
    </row>
    <row r="9385" spans="1:14" x14ac:dyDescent="0.25">
      <c r="A9385" t="s">
        <v>43</v>
      </c>
      <c r="B9385" t="s">
        <v>39</v>
      </c>
      <c r="C9385" t="s">
        <v>37</v>
      </c>
      <c r="D9385" t="s">
        <v>32</v>
      </c>
      <c r="E9385" t="s">
        <v>21</v>
      </c>
      <c r="F9385" t="s">
        <v>19</v>
      </c>
      <c r="G9385" s="2">
        <f>VALUE(399.53)</f>
        <v>399.53</v>
      </c>
      <c r="H9385" s="3">
        <f>VALUE(378.83)</f>
        <v>378.83</v>
      </c>
      <c r="I9385" s="4">
        <f>VALUE(5058)</f>
        <v>5058</v>
      </c>
      <c r="J9385" s="1">
        <f>VALUE(5636)</f>
        <v>5636</v>
      </c>
      <c r="K9385" s="6">
        <f>VALUE(5989)</f>
        <v>5989</v>
      </c>
      <c r="L9385" s="1">
        <f>VALUE(7500)</f>
        <v>7500</v>
      </c>
      <c r="M9385" s="1">
        <f>VALUE(8637)</f>
        <v>8637</v>
      </c>
      <c r="N9385" t="s">
        <v>25</v>
      </c>
    </row>
    <row r="9386" spans="1:14" x14ac:dyDescent="0.25">
      <c r="A9386" t="s">
        <v>43</v>
      </c>
      <c r="B9386" t="s">
        <v>39</v>
      </c>
      <c r="C9386" t="s">
        <v>37</v>
      </c>
      <c r="D9386" t="s">
        <v>32</v>
      </c>
      <c r="E9386" t="s">
        <v>21</v>
      </c>
      <c r="F9386" t="s">
        <v>20</v>
      </c>
      <c r="G9386" s="2">
        <f>VALUE(800.28)</f>
        <v>800.28</v>
      </c>
      <c r="H9386" s="3">
        <f>VALUE(777.59)</f>
        <v>777.59</v>
      </c>
      <c r="I9386" s="1">
        <f>VALUE(3600)</f>
        <v>3600</v>
      </c>
      <c r="J9386" s="1">
        <f>VALUE(4517)</f>
        <v>4517</v>
      </c>
      <c r="K9386" s="1">
        <f>VALUE(5412)</f>
        <v>5412</v>
      </c>
      <c r="L9386" s="1">
        <f>VALUE(6331)</f>
        <v>6331</v>
      </c>
      <c r="M9386" s="1">
        <f>VALUE(7415)</f>
        <v>7415</v>
      </c>
      <c r="N9386" t="s">
        <v>25</v>
      </c>
    </row>
    <row r="9387" spans="1:14" x14ac:dyDescent="0.25">
      <c r="A9387" t="s">
        <v>43</v>
      </c>
      <c r="B9387" t="s">
        <v>39</v>
      </c>
      <c r="C9387" t="s">
        <v>37</v>
      </c>
      <c r="D9387" t="s">
        <v>32</v>
      </c>
      <c r="E9387" t="s">
        <v>22</v>
      </c>
      <c r="F9387" t="s">
        <v>15</v>
      </c>
      <c r="G9387" s="1">
        <f>VALUE(5469.3)</f>
        <v>5469.3</v>
      </c>
      <c r="H9387" s="1">
        <f>VALUE(5385.76)</f>
        <v>5385.76</v>
      </c>
      <c r="I9387" s="1">
        <f>VALUE(3858)</f>
        <v>3858</v>
      </c>
      <c r="J9387" s="1">
        <f>VALUE(4524)</f>
        <v>4524</v>
      </c>
      <c r="K9387" s="1">
        <f>VALUE(5363)</f>
        <v>5363</v>
      </c>
      <c r="L9387" s="1">
        <f>VALUE(6118)</f>
        <v>6118</v>
      </c>
      <c r="M9387" s="1">
        <f>VALUE(7278)</f>
        <v>7278</v>
      </c>
      <c r="N9387" t="s">
        <v>16</v>
      </c>
    </row>
    <row r="9388" spans="1:14" x14ac:dyDescent="0.25">
      <c r="A9388" t="s">
        <v>43</v>
      </c>
      <c r="B9388" t="s">
        <v>39</v>
      </c>
      <c r="C9388" t="s">
        <v>37</v>
      </c>
      <c r="D9388" t="s">
        <v>32</v>
      </c>
      <c r="E9388" t="s">
        <v>22</v>
      </c>
      <c r="F9388" t="s">
        <v>17</v>
      </c>
      <c r="G9388" s="2">
        <f>VALUE(422.92)</f>
        <v>422.92</v>
      </c>
      <c r="H9388" s="3">
        <f>VALUE(416.32)</f>
        <v>416.32</v>
      </c>
      <c r="I9388" s="1">
        <f>VALUE(5092)</f>
        <v>5092</v>
      </c>
      <c r="J9388" s="1">
        <f>VALUE(6067)</f>
        <v>6067</v>
      </c>
      <c r="K9388" s="1">
        <f>VALUE(6902)</f>
        <v>6902</v>
      </c>
      <c r="L9388" s="1">
        <f>VALUE(8667)</f>
        <v>8667</v>
      </c>
      <c r="M9388" s="1">
        <f>VALUE(9405)</f>
        <v>9405</v>
      </c>
      <c r="N9388" t="s">
        <v>25</v>
      </c>
    </row>
    <row r="9389" spans="1:14" x14ac:dyDescent="0.25">
      <c r="A9389" t="s">
        <v>43</v>
      </c>
      <c r="B9389" t="s">
        <v>39</v>
      </c>
      <c r="C9389" t="s">
        <v>37</v>
      </c>
      <c r="D9389" t="s">
        <v>32</v>
      </c>
      <c r="E9389" t="s">
        <v>22</v>
      </c>
      <c r="F9389" t="s">
        <v>18</v>
      </c>
      <c r="G9389" s="2">
        <f>VALUE(661.82)</f>
        <v>661.82</v>
      </c>
      <c r="H9389" s="3">
        <f>VALUE(655.43)</f>
        <v>655.43</v>
      </c>
      <c r="I9389" s="1">
        <f>VALUE(4743)</f>
        <v>4743</v>
      </c>
      <c r="J9389" s="1">
        <f>VALUE(5109)</f>
        <v>5109</v>
      </c>
      <c r="K9389" s="6">
        <f>VALUE(6270)</f>
        <v>6270</v>
      </c>
      <c r="L9389" s="1">
        <f>VALUE(7174)</f>
        <v>7174</v>
      </c>
      <c r="M9389" s="1">
        <f>VALUE(7810)</f>
        <v>7810</v>
      </c>
      <c r="N9389" t="s">
        <v>25</v>
      </c>
    </row>
    <row r="9390" spans="1:14" x14ac:dyDescent="0.25">
      <c r="A9390" t="s">
        <v>43</v>
      </c>
      <c r="B9390" t="s">
        <v>39</v>
      </c>
      <c r="C9390" t="s">
        <v>37</v>
      </c>
      <c r="D9390" t="s">
        <v>32</v>
      </c>
      <c r="E9390" t="s">
        <v>22</v>
      </c>
      <c r="F9390" t="s">
        <v>19</v>
      </c>
      <c r="G9390" s="2">
        <f>VALUE(1037.51)</f>
        <v>1037.51</v>
      </c>
      <c r="H9390" s="3">
        <f>VALUE(1063.09)</f>
        <v>1063.0899999999999</v>
      </c>
      <c r="I9390" s="1">
        <f>VALUE(4461)</f>
        <v>4461</v>
      </c>
      <c r="J9390" s="1">
        <f>VALUE(5106)</f>
        <v>5106</v>
      </c>
      <c r="K9390" s="1">
        <f>VALUE(5720)</f>
        <v>5720</v>
      </c>
      <c r="L9390" s="1">
        <f>VALUE(6139)</f>
        <v>6139</v>
      </c>
      <c r="M9390" s="1">
        <f>VALUE(7421)</f>
        <v>7421</v>
      </c>
      <c r="N9390" t="s">
        <v>25</v>
      </c>
    </row>
    <row r="9391" spans="1:14" x14ac:dyDescent="0.25">
      <c r="A9391" t="s">
        <v>43</v>
      </c>
      <c r="B9391" t="s">
        <v>39</v>
      </c>
      <c r="C9391" t="s">
        <v>37</v>
      </c>
      <c r="D9391" t="s">
        <v>32</v>
      </c>
      <c r="E9391" t="s">
        <v>22</v>
      </c>
      <c r="F9391" t="s">
        <v>20</v>
      </c>
      <c r="G9391" s="2">
        <f>VALUE(3347.05)</f>
        <v>3347.05</v>
      </c>
      <c r="H9391" s="3">
        <f>VALUE(3250.92)</f>
        <v>3250.92</v>
      </c>
      <c r="I9391" s="1">
        <f>VALUE(3639)</f>
        <v>3639</v>
      </c>
      <c r="J9391" s="1">
        <f>VALUE(4246)</f>
        <v>4246</v>
      </c>
      <c r="K9391" s="1">
        <f>VALUE(5069)</f>
        <v>5069</v>
      </c>
      <c r="L9391" s="1">
        <f>VALUE(5469)</f>
        <v>5469</v>
      </c>
      <c r="M9391" s="1">
        <f>VALUE(6328)</f>
        <v>6328</v>
      </c>
      <c r="N9391" t="s">
        <v>25</v>
      </c>
    </row>
    <row r="9392" spans="1:14" x14ac:dyDescent="0.25">
      <c r="A9392" t="s">
        <v>43</v>
      </c>
      <c r="B9392" t="s">
        <v>39</v>
      </c>
      <c r="C9392" t="s">
        <v>37</v>
      </c>
      <c r="D9392" t="s">
        <v>32</v>
      </c>
      <c r="E9392" t="s">
        <v>23</v>
      </c>
      <c r="F9392" t="s">
        <v>15</v>
      </c>
      <c r="G9392" s="1">
        <f>VALUE(6875.25)</f>
        <v>6875.25</v>
      </c>
      <c r="H9392" s="1">
        <f>VALUE(6969.59)</f>
        <v>6969.59</v>
      </c>
      <c r="I9392" s="1">
        <f>VALUE(3353)</f>
        <v>3353</v>
      </c>
      <c r="J9392" s="1">
        <f>VALUE(3791)</f>
        <v>3791</v>
      </c>
      <c r="K9392" s="1">
        <f>VALUE(4452)</f>
        <v>4452</v>
      </c>
      <c r="L9392" s="1">
        <f>VALUE(5352)</f>
        <v>5352</v>
      </c>
      <c r="M9392" s="1">
        <f>VALUE(6278)</f>
        <v>6278</v>
      </c>
      <c r="N9392" t="s">
        <v>16</v>
      </c>
    </row>
    <row r="9393" spans="1:14" x14ac:dyDescent="0.25">
      <c r="A9393" t="s">
        <v>43</v>
      </c>
      <c r="B9393" t="s">
        <v>39</v>
      </c>
      <c r="C9393" t="s">
        <v>37</v>
      </c>
      <c r="D9393" t="s">
        <v>32</v>
      </c>
      <c r="E9393" t="s">
        <v>23</v>
      </c>
      <c r="F9393" t="s">
        <v>17</v>
      </c>
      <c r="G9393" s="1" t="str">
        <f t="shared" ref="G9393:M9394" si="2074">"X"</f>
        <v>X</v>
      </c>
      <c r="H9393" s="1" t="str">
        <f t="shared" si="2074"/>
        <v>X</v>
      </c>
      <c r="I9393" s="1" t="str">
        <f t="shared" si="2074"/>
        <v>X</v>
      </c>
      <c r="J9393" s="1" t="str">
        <f t="shared" si="2074"/>
        <v>X</v>
      </c>
      <c r="K9393" s="1" t="str">
        <f t="shared" si="2074"/>
        <v>X</v>
      </c>
      <c r="L9393" s="1" t="str">
        <f t="shared" si="2074"/>
        <v>X</v>
      </c>
      <c r="M9393" s="1" t="str">
        <f t="shared" si="2074"/>
        <v>X</v>
      </c>
      <c r="N9393" t="s">
        <v>27</v>
      </c>
    </row>
    <row r="9394" spans="1:14" x14ac:dyDescent="0.25">
      <c r="A9394" t="s">
        <v>43</v>
      </c>
      <c r="B9394" t="s">
        <v>39</v>
      </c>
      <c r="C9394" t="s">
        <v>37</v>
      </c>
      <c r="D9394" t="s">
        <v>32</v>
      </c>
      <c r="E9394" t="s">
        <v>23</v>
      </c>
      <c r="F9394" t="s">
        <v>18</v>
      </c>
      <c r="G9394" s="1" t="str">
        <f t="shared" si="2074"/>
        <v>X</v>
      </c>
      <c r="H9394" s="1" t="str">
        <f t="shared" si="2074"/>
        <v>X</v>
      </c>
      <c r="I9394" s="1" t="str">
        <f t="shared" si="2074"/>
        <v>X</v>
      </c>
      <c r="J9394" s="1" t="str">
        <f t="shared" si="2074"/>
        <v>X</v>
      </c>
      <c r="K9394" s="1" t="str">
        <f t="shared" si="2074"/>
        <v>X</v>
      </c>
      <c r="L9394" s="1" t="str">
        <f t="shared" si="2074"/>
        <v>X</v>
      </c>
      <c r="M9394" s="1" t="str">
        <f t="shared" si="2074"/>
        <v>X</v>
      </c>
      <c r="N9394" t="s">
        <v>27</v>
      </c>
    </row>
    <row r="9395" spans="1:14" x14ac:dyDescent="0.25">
      <c r="A9395" t="s">
        <v>43</v>
      </c>
      <c r="B9395" t="s">
        <v>39</v>
      </c>
      <c r="C9395" t="s">
        <v>37</v>
      </c>
      <c r="D9395" t="s">
        <v>32</v>
      </c>
      <c r="E9395" t="s">
        <v>23</v>
      </c>
      <c r="F9395" t="s">
        <v>19</v>
      </c>
      <c r="G9395" s="2">
        <f>VALUE(1081.57)</f>
        <v>1081.57</v>
      </c>
      <c r="H9395" s="3">
        <f>VALUE(1098.27)</f>
        <v>1098.27</v>
      </c>
      <c r="I9395" s="1">
        <f>VALUE(3263)</f>
        <v>3263</v>
      </c>
      <c r="J9395" s="5">
        <f>VALUE(3938)</f>
        <v>3938</v>
      </c>
      <c r="K9395" s="1">
        <f>VALUE(4731)</f>
        <v>4731</v>
      </c>
      <c r="L9395" s="7">
        <f>VALUE(5474)</f>
        <v>5474</v>
      </c>
      <c r="M9395" s="1">
        <f>VALUE(6641)</f>
        <v>6641</v>
      </c>
      <c r="N9395" t="s">
        <v>25</v>
      </c>
    </row>
    <row r="9396" spans="1:14" x14ac:dyDescent="0.25">
      <c r="A9396" t="s">
        <v>43</v>
      </c>
      <c r="B9396" t="s">
        <v>39</v>
      </c>
      <c r="C9396" t="s">
        <v>37</v>
      </c>
      <c r="D9396" t="s">
        <v>32</v>
      </c>
      <c r="E9396" t="s">
        <v>23</v>
      </c>
      <c r="F9396" t="s">
        <v>20</v>
      </c>
      <c r="G9396" s="1">
        <f>VALUE(5362.66)</f>
        <v>5362.66</v>
      </c>
      <c r="H9396" s="1">
        <f>VALUE(5440.2)</f>
        <v>5440.2</v>
      </c>
      <c r="I9396" s="1">
        <f>VALUE(3329)</f>
        <v>3329</v>
      </c>
      <c r="J9396" s="1">
        <f>VALUE(3669)</f>
        <v>3669</v>
      </c>
      <c r="K9396" s="1">
        <f>VALUE(4393)</f>
        <v>4393</v>
      </c>
      <c r="L9396" s="1">
        <f>VALUE(5294)</f>
        <v>5294</v>
      </c>
      <c r="M9396" s="1">
        <f>VALUE(6089)</f>
        <v>6089</v>
      </c>
      <c r="N9396" t="s">
        <v>16</v>
      </c>
    </row>
    <row r="9397" spans="1:14" x14ac:dyDescent="0.25">
      <c r="A9397" t="s">
        <v>43</v>
      </c>
      <c r="B9397" t="s">
        <v>39</v>
      </c>
      <c r="C9397" t="s">
        <v>37</v>
      </c>
      <c r="D9397" t="s">
        <v>32</v>
      </c>
      <c r="E9397" t="s">
        <v>26</v>
      </c>
      <c r="F9397" t="s">
        <v>15</v>
      </c>
      <c r="G9397" s="2">
        <f>VALUE(383)</f>
        <v>383</v>
      </c>
      <c r="H9397" s="3">
        <f>VALUE(356.49)</f>
        <v>356.49</v>
      </c>
      <c r="I9397" s="1">
        <f>VALUE(3957)</f>
        <v>3957</v>
      </c>
      <c r="J9397" s="5">
        <f>VALUE(4357)</f>
        <v>4357</v>
      </c>
      <c r="K9397" s="1">
        <f>VALUE(5262)</f>
        <v>5262</v>
      </c>
      <c r="L9397" s="7">
        <f>VALUE(6077)</f>
        <v>6077</v>
      </c>
      <c r="M9397" s="1">
        <f>VALUE(7142)</f>
        <v>7142</v>
      </c>
      <c r="N9397" t="s">
        <v>25</v>
      </c>
    </row>
    <row r="9398" spans="1:14" x14ac:dyDescent="0.25">
      <c r="A9398" t="s">
        <v>43</v>
      </c>
      <c r="B9398" t="s">
        <v>39</v>
      </c>
      <c r="C9398" t="s">
        <v>37</v>
      </c>
      <c r="D9398" t="s">
        <v>32</v>
      </c>
      <c r="E9398" t="s">
        <v>26</v>
      </c>
      <c r="F9398" t="s">
        <v>17</v>
      </c>
      <c r="G9398" s="1" t="str">
        <f t="shared" ref="G9398:M9400" si="2075">"X"</f>
        <v>X</v>
      </c>
      <c r="H9398" s="1" t="str">
        <f t="shared" si="2075"/>
        <v>X</v>
      </c>
      <c r="I9398" s="1" t="str">
        <f t="shared" si="2075"/>
        <v>X</v>
      </c>
      <c r="J9398" s="1" t="str">
        <f t="shared" si="2075"/>
        <v>X</v>
      </c>
      <c r="K9398" s="1" t="str">
        <f t="shared" si="2075"/>
        <v>X</v>
      </c>
      <c r="L9398" s="1" t="str">
        <f t="shared" si="2075"/>
        <v>X</v>
      </c>
      <c r="M9398" s="1" t="str">
        <f t="shared" si="2075"/>
        <v>X</v>
      </c>
      <c r="N9398" t="s">
        <v>27</v>
      </c>
    </row>
    <row r="9399" spans="1:14" x14ac:dyDescent="0.25">
      <c r="A9399" t="s">
        <v>43</v>
      </c>
      <c r="B9399" t="s">
        <v>39</v>
      </c>
      <c r="C9399" t="s">
        <v>37</v>
      </c>
      <c r="D9399" t="s">
        <v>32</v>
      </c>
      <c r="E9399" t="s">
        <v>26</v>
      </c>
      <c r="F9399" t="s">
        <v>18</v>
      </c>
      <c r="G9399" s="1" t="str">
        <f t="shared" si="2075"/>
        <v>X</v>
      </c>
      <c r="H9399" s="1" t="str">
        <f t="shared" si="2075"/>
        <v>X</v>
      </c>
      <c r="I9399" s="1" t="str">
        <f t="shared" si="2075"/>
        <v>X</v>
      </c>
      <c r="J9399" s="1" t="str">
        <f t="shared" si="2075"/>
        <v>X</v>
      </c>
      <c r="K9399" s="1" t="str">
        <f t="shared" si="2075"/>
        <v>X</v>
      </c>
      <c r="L9399" s="1" t="str">
        <f t="shared" si="2075"/>
        <v>X</v>
      </c>
      <c r="M9399" s="1" t="str">
        <f t="shared" si="2075"/>
        <v>X</v>
      </c>
      <c r="N9399" t="s">
        <v>27</v>
      </c>
    </row>
    <row r="9400" spans="1:14" x14ac:dyDescent="0.25">
      <c r="A9400" t="s">
        <v>43</v>
      </c>
      <c r="B9400" t="s">
        <v>39</v>
      </c>
      <c r="C9400" t="s">
        <v>37</v>
      </c>
      <c r="D9400" t="s">
        <v>32</v>
      </c>
      <c r="E9400" t="s">
        <v>26</v>
      </c>
      <c r="F9400" t="s">
        <v>19</v>
      </c>
      <c r="G9400" s="1" t="str">
        <f t="shared" si="2075"/>
        <v>X</v>
      </c>
      <c r="H9400" s="1" t="str">
        <f t="shared" si="2075"/>
        <v>X</v>
      </c>
      <c r="I9400" s="1" t="str">
        <f t="shared" si="2075"/>
        <v>X</v>
      </c>
      <c r="J9400" s="1" t="str">
        <f t="shared" si="2075"/>
        <v>X</v>
      </c>
      <c r="K9400" s="1" t="str">
        <f t="shared" si="2075"/>
        <v>X</v>
      </c>
      <c r="L9400" s="1" t="str">
        <f t="shared" si="2075"/>
        <v>X</v>
      </c>
      <c r="M9400" s="1" t="str">
        <f t="shared" si="2075"/>
        <v>X</v>
      </c>
      <c r="N9400" t="s">
        <v>27</v>
      </c>
    </row>
    <row r="9401" spans="1:14" x14ac:dyDescent="0.25">
      <c r="A9401" t="s">
        <v>43</v>
      </c>
      <c r="B9401" t="s">
        <v>39</v>
      </c>
      <c r="C9401" t="s">
        <v>37</v>
      </c>
      <c r="D9401" t="s">
        <v>32</v>
      </c>
      <c r="E9401" t="s">
        <v>26</v>
      </c>
      <c r="F9401" t="s">
        <v>20</v>
      </c>
      <c r="G9401" s="2">
        <f>VALUE(314.62)</f>
        <v>314.62</v>
      </c>
      <c r="H9401" s="3">
        <f>VALUE(304.14)</f>
        <v>304.14</v>
      </c>
      <c r="I9401" s="1">
        <f>VALUE(3957)</f>
        <v>3957</v>
      </c>
      <c r="J9401" s="5">
        <f>VALUE(4549)</f>
        <v>4549</v>
      </c>
      <c r="K9401" s="1">
        <f>VALUE(5231)</f>
        <v>5231</v>
      </c>
      <c r="L9401" s="7">
        <f>VALUE(5786)</f>
        <v>5786</v>
      </c>
      <c r="M9401" s="1">
        <f>VALUE(6503)</f>
        <v>6503</v>
      </c>
      <c r="N9401" t="s">
        <v>25</v>
      </c>
    </row>
    <row r="9402" spans="1:14" x14ac:dyDescent="0.25">
      <c r="A9402" t="s">
        <v>43</v>
      </c>
      <c r="B9402" t="s">
        <v>39</v>
      </c>
      <c r="C9402" t="s">
        <v>37</v>
      </c>
      <c r="D9402" t="s">
        <v>33</v>
      </c>
      <c r="E9402" t="s">
        <v>15</v>
      </c>
      <c r="F9402" t="s">
        <v>15</v>
      </c>
      <c r="G9402" s="1" t="str">
        <f t="shared" ref="G9402:M9412" si="2076">"X"</f>
        <v>X</v>
      </c>
      <c r="H9402" s="1" t="str">
        <f t="shared" si="2076"/>
        <v>X</v>
      </c>
      <c r="I9402" s="1" t="str">
        <f t="shared" si="2076"/>
        <v>X</v>
      </c>
      <c r="J9402" s="1" t="str">
        <f t="shared" si="2076"/>
        <v>X</v>
      </c>
      <c r="K9402" s="1" t="str">
        <f t="shared" si="2076"/>
        <v>X</v>
      </c>
      <c r="L9402" s="1" t="str">
        <f t="shared" si="2076"/>
        <v>X</v>
      </c>
      <c r="M9402" s="1" t="str">
        <f t="shared" si="2076"/>
        <v>X</v>
      </c>
      <c r="N9402" t="s">
        <v>27</v>
      </c>
    </row>
    <row r="9403" spans="1:14" x14ac:dyDescent="0.25">
      <c r="A9403" t="s">
        <v>43</v>
      </c>
      <c r="B9403" t="s">
        <v>39</v>
      </c>
      <c r="C9403" t="s">
        <v>37</v>
      </c>
      <c r="D9403" t="s">
        <v>33</v>
      </c>
      <c r="E9403" t="s">
        <v>15</v>
      </c>
      <c r="F9403" t="s">
        <v>17</v>
      </c>
      <c r="G9403" s="1" t="str">
        <f t="shared" si="2076"/>
        <v>X</v>
      </c>
      <c r="H9403" s="1" t="str">
        <f t="shared" si="2076"/>
        <v>X</v>
      </c>
      <c r="I9403" s="1" t="str">
        <f t="shared" si="2076"/>
        <v>X</v>
      </c>
      <c r="J9403" s="1" t="str">
        <f t="shared" si="2076"/>
        <v>X</v>
      </c>
      <c r="K9403" s="1" t="str">
        <f t="shared" si="2076"/>
        <v>X</v>
      </c>
      <c r="L9403" s="1" t="str">
        <f t="shared" si="2076"/>
        <v>X</v>
      </c>
      <c r="M9403" s="1" t="str">
        <f t="shared" si="2076"/>
        <v>X</v>
      </c>
      <c r="N9403" t="s">
        <v>27</v>
      </c>
    </row>
    <row r="9404" spans="1:14" x14ac:dyDescent="0.25">
      <c r="A9404" t="s">
        <v>43</v>
      </c>
      <c r="B9404" t="s">
        <v>39</v>
      </c>
      <c r="C9404" t="s">
        <v>37</v>
      </c>
      <c r="D9404" t="s">
        <v>33</v>
      </c>
      <c r="E9404" t="s">
        <v>15</v>
      </c>
      <c r="F9404" t="s">
        <v>18</v>
      </c>
      <c r="G9404" s="1" t="str">
        <f t="shared" si="2076"/>
        <v>X</v>
      </c>
      <c r="H9404" s="1" t="str">
        <f t="shared" si="2076"/>
        <v>X</v>
      </c>
      <c r="I9404" s="1" t="str">
        <f t="shared" si="2076"/>
        <v>X</v>
      </c>
      <c r="J9404" s="1" t="str">
        <f t="shared" si="2076"/>
        <v>X</v>
      </c>
      <c r="K9404" s="1" t="str">
        <f t="shared" si="2076"/>
        <v>X</v>
      </c>
      <c r="L9404" s="1" t="str">
        <f t="shared" si="2076"/>
        <v>X</v>
      </c>
      <c r="M9404" s="1" t="str">
        <f t="shared" si="2076"/>
        <v>X</v>
      </c>
      <c r="N9404" t="s">
        <v>27</v>
      </c>
    </row>
    <row r="9405" spans="1:14" x14ac:dyDescent="0.25">
      <c r="A9405" t="s">
        <v>43</v>
      </c>
      <c r="B9405" t="s">
        <v>39</v>
      </c>
      <c r="C9405" t="s">
        <v>37</v>
      </c>
      <c r="D9405" t="s">
        <v>33</v>
      </c>
      <c r="E9405" t="s">
        <v>15</v>
      </c>
      <c r="F9405" t="s">
        <v>19</v>
      </c>
      <c r="G9405" s="1" t="str">
        <f t="shared" si="2076"/>
        <v>X</v>
      </c>
      <c r="H9405" s="1" t="str">
        <f t="shared" si="2076"/>
        <v>X</v>
      </c>
      <c r="I9405" s="1" t="str">
        <f t="shared" si="2076"/>
        <v>X</v>
      </c>
      <c r="J9405" s="1" t="str">
        <f t="shared" si="2076"/>
        <v>X</v>
      </c>
      <c r="K9405" s="1" t="str">
        <f t="shared" si="2076"/>
        <v>X</v>
      </c>
      <c r="L9405" s="1" t="str">
        <f t="shared" si="2076"/>
        <v>X</v>
      </c>
      <c r="M9405" s="1" t="str">
        <f t="shared" si="2076"/>
        <v>X</v>
      </c>
      <c r="N9405" t="s">
        <v>27</v>
      </c>
    </row>
    <row r="9406" spans="1:14" x14ac:dyDescent="0.25">
      <c r="A9406" t="s">
        <v>43</v>
      </c>
      <c r="B9406" t="s">
        <v>39</v>
      </c>
      <c r="C9406" t="s">
        <v>37</v>
      </c>
      <c r="D9406" t="s">
        <v>33</v>
      </c>
      <c r="E9406" t="s">
        <v>15</v>
      </c>
      <c r="F9406" t="s">
        <v>20</v>
      </c>
      <c r="G9406" s="1" t="str">
        <f t="shared" si="2076"/>
        <v>X</v>
      </c>
      <c r="H9406" s="1" t="str">
        <f t="shared" si="2076"/>
        <v>X</v>
      </c>
      <c r="I9406" s="1" t="str">
        <f t="shared" si="2076"/>
        <v>X</v>
      </c>
      <c r="J9406" s="1" t="str">
        <f t="shared" si="2076"/>
        <v>X</v>
      </c>
      <c r="K9406" s="1" t="str">
        <f t="shared" si="2076"/>
        <v>X</v>
      </c>
      <c r="L9406" s="1" t="str">
        <f t="shared" si="2076"/>
        <v>X</v>
      </c>
      <c r="M9406" s="1" t="str">
        <f t="shared" si="2076"/>
        <v>X</v>
      </c>
      <c r="N9406" t="s">
        <v>27</v>
      </c>
    </row>
    <row r="9407" spans="1:14" x14ac:dyDescent="0.25">
      <c r="A9407" t="s">
        <v>43</v>
      </c>
      <c r="B9407" t="s">
        <v>39</v>
      </c>
      <c r="C9407" t="s">
        <v>37</v>
      </c>
      <c r="D9407" t="s">
        <v>33</v>
      </c>
      <c r="E9407" t="s">
        <v>21</v>
      </c>
      <c r="F9407" t="s">
        <v>15</v>
      </c>
      <c r="G9407" s="1" t="str">
        <f t="shared" si="2076"/>
        <v>X</v>
      </c>
      <c r="H9407" s="1" t="str">
        <f t="shared" si="2076"/>
        <v>X</v>
      </c>
      <c r="I9407" s="1" t="str">
        <f t="shared" si="2076"/>
        <v>X</v>
      </c>
      <c r="J9407" s="1" t="str">
        <f t="shared" si="2076"/>
        <v>X</v>
      </c>
      <c r="K9407" s="1" t="str">
        <f t="shared" si="2076"/>
        <v>X</v>
      </c>
      <c r="L9407" s="1" t="str">
        <f t="shared" si="2076"/>
        <v>X</v>
      </c>
      <c r="M9407" s="1" t="str">
        <f t="shared" si="2076"/>
        <v>X</v>
      </c>
      <c r="N9407" t="s">
        <v>27</v>
      </c>
    </row>
    <row r="9408" spans="1:14" x14ac:dyDescent="0.25">
      <c r="A9408" t="s">
        <v>43</v>
      </c>
      <c r="B9408" t="s">
        <v>39</v>
      </c>
      <c r="C9408" t="s">
        <v>37</v>
      </c>
      <c r="D9408" t="s">
        <v>33</v>
      </c>
      <c r="E9408" t="s">
        <v>21</v>
      </c>
      <c r="F9408" t="s">
        <v>17</v>
      </c>
      <c r="G9408" s="1" t="str">
        <f t="shared" si="2076"/>
        <v>X</v>
      </c>
      <c r="H9408" s="1" t="str">
        <f t="shared" si="2076"/>
        <v>X</v>
      </c>
      <c r="I9408" s="1" t="str">
        <f t="shared" si="2076"/>
        <v>X</v>
      </c>
      <c r="J9408" s="1" t="str">
        <f t="shared" si="2076"/>
        <v>X</v>
      </c>
      <c r="K9408" s="1" t="str">
        <f t="shared" si="2076"/>
        <v>X</v>
      </c>
      <c r="L9408" s="1" t="str">
        <f t="shared" si="2076"/>
        <v>X</v>
      </c>
      <c r="M9408" s="1" t="str">
        <f t="shared" si="2076"/>
        <v>X</v>
      </c>
      <c r="N9408" t="s">
        <v>27</v>
      </c>
    </row>
    <row r="9409" spans="1:14" x14ac:dyDescent="0.25">
      <c r="A9409" t="s">
        <v>43</v>
      </c>
      <c r="B9409" t="s">
        <v>39</v>
      </c>
      <c r="C9409" t="s">
        <v>37</v>
      </c>
      <c r="D9409" t="s">
        <v>33</v>
      </c>
      <c r="E9409" t="s">
        <v>21</v>
      </c>
      <c r="F9409" t="s">
        <v>18</v>
      </c>
      <c r="G9409" s="1" t="str">
        <f t="shared" si="2076"/>
        <v>X</v>
      </c>
      <c r="H9409" s="1" t="str">
        <f t="shared" si="2076"/>
        <v>X</v>
      </c>
      <c r="I9409" s="1" t="str">
        <f t="shared" si="2076"/>
        <v>X</v>
      </c>
      <c r="J9409" s="1" t="str">
        <f t="shared" si="2076"/>
        <v>X</v>
      </c>
      <c r="K9409" s="1" t="str">
        <f t="shared" si="2076"/>
        <v>X</v>
      </c>
      <c r="L9409" s="1" t="str">
        <f t="shared" si="2076"/>
        <v>X</v>
      </c>
      <c r="M9409" s="1" t="str">
        <f t="shared" si="2076"/>
        <v>X</v>
      </c>
      <c r="N9409" t="s">
        <v>27</v>
      </c>
    </row>
    <row r="9410" spans="1:14" x14ac:dyDescent="0.25">
      <c r="A9410" t="s">
        <v>43</v>
      </c>
      <c r="B9410" t="s">
        <v>39</v>
      </c>
      <c r="C9410" t="s">
        <v>37</v>
      </c>
      <c r="D9410" t="s">
        <v>33</v>
      </c>
      <c r="E9410" t="s">
        <v>21</v>
      </c>
      <c r="F9410" t="s">
        <v>19</v>
      </c>
      <c r="G9410" s="1" t="str">
        <f t="shared" si="2076"/>
        <v>X</v>
      </c>
      <c r="H9410" s="1" t="str">
        <f t="shared" si="2076"/>
        <v>X</v>
      </c>
      <c r="I9410" s="1" t="str">
        <f t="shared" si="2076"/>
        <v>X</v>
      </c>
      <c r="J9410" s="1" t="str">
        <f t="shared" si="2076"/>
        <v>X</v>
      </c>
      <c r="K9410" s="1" t="str">
        <f t="shared" si="2076"/>
        <v>X</v>
      </c>
      <c r="L9410" s="1" t="str">
        <f t="shared" si="2076"/>
        <v>X</v>
      </c>
      <c r="M9410" s="1" t="str">
        <f t="shared" si="2076"/>
        <v>X</v>
      </c>
      <c r="N9410" t="s">
        <v>27</v>
      </c>
    </row>
    <row r="9411" spans="1:14" x14ac:dyDescent="0.25">
      <c r="A9411" t="s">
        <v>43</v>
      </c>
      <c r="B9411" t="s">
        <v>39</v>
      </c>
      <c r="C9411" t="s">
        <v>37</v>
      </c>
      <c r="D9411" t="s">
        <v>33</v>
      </c>
      <c r="E9411" t="s">
        <v>21</v>
      </c>
      <c r="F9411" t="s">
        <v>20</v>
      </c>
      <c r="G9411" s="1" t="str">
        <f t="shared" si="2076"/>
        <v>X</v>
      </c>
      <c r="H9411" s="1" t="str">
        <f t="shared" si="2076"/>
        <v>X</v>
      </c>
      <c r="I9411" s="1" t="str">
        <f t="shared" si="2076"/>
        <v>X</v>
      </c>
      <c r="J9411" s="1" t="str">
        <f t="shared" si="2076"/>
        <v>X</v>
      </c>
      <c r="K9411" s="1" t="str">
        <f t="shared" si="2076"/>
        <v>X</v>
      </c>
      <c r="L9411" s="1" t="str">
        <f t="shared" si="2076"/>
        <v>X</v>
      </c>
      <c r="M9411" s="1" t="str">
        <f t="shared" si="2076"/>
        <v>X</v>
      </c>
      <c r="N9411" t="s">
        <v>27</v>
      </c>
    </row>
    <row r="9412" spans="1:14" x14ac:dyDescent="0.25">
      <c r="A9412" t="s">
        <v>43</v>
      </c>
      <c r="B9412" t="s">
        <v>39</v>
      </c>
      <c r="C9412" t="s">
        <v>37</v>
      </c>
      <c r="D9412" t="s">
        <v>33</v>
      </c>
      <c r="E9412" t="s">
        <v>22</v>
      </c>
      <c r="F9412" t="s">
        <v>15</v>
      </c>
      <c r="G9412" s="1" t="str">
        <f t="shared" si="2076"/>
        <v>X</v>
      </c>
      <c r="H9412" s="1" t="str">
        <f t="shared" si="2076"/>
        <v>X</v>
      </c>
      <c r="I9412" s="1" t="str">
        <f t="shared" si="2076"/>
        <v>X</v>
      </c>
      <c r="J9412" s="1" t="str">
        <f t="shared" si="2076"/>
        <v>X</v>
      </c>
      <c r="K9412" s="1" t="str">
        <f t="shared" si="2076"/>
        <v>X</v>
      </c>
      <c r="L9412" s="1" t="str">
        <f t="shared" si="2076"/>
        <v>X</v>
      </c>
      <c r="M9412" s="1" t="str">
        <f t="shared" si="2076"/>
        <v>X</v>
      </c>
      <c r="N9412" t="s">
        <v>27</v>
      </c>
    </row>
    <row r="9413" spans="1:14" x14ac:dyDescent="0.25">
      <c r="A9413" t="s">
        <v>43</v>
      </c>
      <c r="B9413" t="s">
        <v>39</v>
      </c>
      <c r="C9413" t="s">
        <v>37</v>
      </c>
      <c r="D9413" t="s">
        <v>33</v>
      </c>
      <c r="E9413" t="s">
        <v>22</v>
      </c>
      <c r="F9413" t="s">
        <v>17</v>
      </c>
      <c r="G9413" s="1" t="str">
        <f t="shared" ref="G9413:M9413" si="2077">"..."</f>
        <v>...</v>
      </c>
      <c r="H9413" s="1" t="str">
        <f t="shared" si="2077"/>
        <v>...</v>
      </c>
      <c r="I9413" s="1" t="str">
        <f t="shared" si="2077"/>
        <v>...</v>
      </c>
      <c r="J9413" s="1" t="str">
        <f t="shared" si="2077"/>
        <v>...</v>
      </c>
      <c r="K9413" s="1" t="str">
        <f t="shared" si="2077"/>
        <v>...</v>
      </c>
      <c r="L9413" s="1" t="str">
        <f t="shared" si="2077"/>
        <v>...</v>
      </c>
      <c r="M9413" s="1" t="str">
        <f t="shared" si="2077"/>
        <v>...</v>
      </c>
      <c r="N9413" t="s">
        <v>30</v>
      </c>
    </row>
    <row r="9414" spans="1:14" x14ac:dyDescent="0.25">
      <c r="A9414" t="s">
        <v>43</v>
      </c>
      <c r="B9414" t="s">
        <v>39</v>
      </c>
      <c r="C9414" t="s">
        <v>37</v>
      </c>
      <c r="D9414" t="s">
        <v>33</v>
      </c>
      <c r="E9414" t="s">
        <v>22</v>
      </c>
      <c r="F9414" t="s">
        <v>18</v>
      </c>
      <c r="G9414" s="1" t="str">
        <f t="shared" ref="G9414:M9414" si="2078">"X"</f>
        <v>X</v>
      </c>
      <c r="H9414" s="1" t="str">
        <f t="shared" si="2078"/>
        <v>X</v>
      </c>
      <c r="I9414" s="1" t="str">
        <f t="shared" si="2078"/>
        <v>X</v>
      </c>
      <c r="J9414" s="1" t="str">
        <f t="shared" si="2078"/>
        <v>X</v>
      </c>
      <c r="K9414" s="1" t="str">
        <f t="shared" si="2078"/>
        <v>X</v>
      </c>
      <c r="L9414" s="1" t="str">
        <f t="shared" si="2078"/>
        <v>X</v>
      </c>
      <c r="M9414" s="1" t="str">
        <f t="shared" si="2078"/>
        <v>X</v>
      </c>
      <c r="N9414" t="s">
        <v>27</v>
      </c>
    </row>
    <row r="9415" spans="1:14" x14ac:dyDescent="0.25">
      <c r="A9415" t="s">
        <v>43</v>
      </c>
      <c r="B9415" t="s">
        <v>39</v>
      </c>
      <c r="C9415" t="s">
        <v>37</v>
      </c>
      <c r="D9415" t="s">
        <v>33</v>
      </c>
      <c r="E9415" t="s">
        <v>22</v>
      </c>
      <c r="F9415" t="s">
        <v>19</v>
      </c>
      <c r="G9415" s="1" t="str">
        <f t="shared" ref="G9415:M9415" si="2079">"..."</f>
        <v>...</v>
      </c>
      <c r="H9415" s="1" t="str">
        <f t="shared" si="2079"/>
        <v>...</v>
      </c>
      <c r="I9415" s="1" t="str">
        <f t="shared" si="2079"/>
        <v>...</v>
      </c>
      <c r="J9415" s="1" t="str">
        <f t="shared" si="2079"/>
        <v>...</v>
      </c>
      <c r="K9415" s="1" t="str">
        <f t="shared" si="2079"/>
        <v>...</v>
      </c>
      <c r="L9415" s="1" t="str">
        <f t="shared" si="2079"/>
        <v>...</v>
      </c>
      <c r="M9415" s="1" t="str">
        <f t="shared" si="2079"/>
        <v>...</v>
      </c>
      <c r="N9415" t="s">
        <v>30</v>
      </c>
    </row>
    <row r="9416" spans="1:14" x14ac:dyDescent="0.25">
      <c r="A9416" t="s">
        <v>43</v>
      </c>
      <c r="B9416" t="s">
        <v>39</v>
      </c>
      <c r="C9416" t="s">
        <v>37</v>
      </c>
      <c r="D9416" t="s">
        <v>33</v>
      </c>
      <c r="E9416" t="s">
        <v>22</v>
      </c>
      <c r="F9416" t="s">
        <v>20</v>
      </c>
      <c r="G9416" s="1" t="str">
        <f t="shared" ref="G9416:M9417" si="2080">"X"</f>
        <v>X</v>
      </c>
      <c r="H9416" s="1" t="str">
        <f t="shared" si="2080"/>
        <v>X</v>
      </c>
      <c r="I9416" s="1" t="str">
        <f t="shared" si="2080"/>
        <v>X</v>
      </c>
      <c r="J9416" s="1" t="str">
        <f t="shared" si="2080"/>
        <v>X</v>
      </c>
      <c r="K9416" s="1" t="str">
        <f t="shared" si="2080"/>
        <v>X</v>
      </c>
      <c r="L9416" s="1" t="str">
        <f t="shared" si="2080"/>
        <v>X</v>
      </c>
      <c r="M9416" s="1" t="str">
        <f t="shared" si="2080"/>
        <v>X</v>
      </c>
      <c r="N9416" t="s">
        <v>27</v>
      </c>
    </row>
    <row r="9417" spans="1:14" x14ac:dyDescent="0.25">
      <c r="A9417" t="s">
        <v>43</v>
      </c>
      <c r="B9417" t="s">
        <v>39</v>
      </c>
      <c r="C9417" t="s">
        <v>37</v>
      </c>
      <c r="D9417" t="s">
        <v>33</v>
      </c>
      <c r="E9417" t="s">
        <v>23</v>
      </c>
      <c r="F9417" t="s">
        <v>15</v>
      </c>
      <c r="G9417" s="1" t="str">
        <f t="shared" si="2080"/>
        <v>X</v>
      </c>
      <c r="H9417" s="1" t="str">
        <f t="shared" si="2080"/>
        <v>X</v>
      </c>
      <c r="I9417" s="1" t="str">
        <f t="shared" si="2080"/>
        <v>X</v>
      </c>
      <c r="J9417" s="1" t="str">
        <f t="shared" si="2080"/>
        <v>X</v>
      </c>
      <c r="K9417" s="1" t="str">
        <f t="shared" si="2080"/>
        <v>X</v>
      </c>
      <c r="L9417" s="1" t="str">
        <f t="shared" si="2080"/>
        <v>X</v>
      </c>
      <c r="M9417" s="1" t="str">
        <f t="shared" si="2080"/>
        <v>X</v>
      </c>
      <c r="N9417" t="s">
        <v>27</v>
      </c>
    </row>
    <row r="9418" spans="1:14" x14ac:dyDescent="0.25">
      <c r="A9418" t="s">
        <v>43</v>
      </c>
      <c r="B9418" t="s">
        <v>39</v>
      </c>
      <c r="C9418" t="s">
        <v>37</v>
      </c>
      <c r="D9418" t="s">
        <v>33</v>
      </c>
      <c r="E9418" t="s">
        <v>23</v>
      </c>
      <c r="F9418" t="s">
        <v>17</v>
      </c>
      <c r="G9418" s="1" t="str">
        <f t="shared" ref="G9418:M9420" si="2081">"..."</f>
        <v>...</v>
      </c>
      <c r="H9418" s="1" t="str">
        <f t="shared" si="2081"/>
        <v>...</v>
      </c>
      <c r="I9418" s="1" t="str">
        <f t="shared" si="2081"/>
        <v>...</v>
      </c>
      <c r="J9418" s="1" t="str">
        <f t="shared" si="2081"/>
        <v>...</v>
      </c>
      <c r="K9418" s="1" t="str">
        <f t="shared" si="2081"/>
        <v>...</v>
      </c>
      <c r="L9418" s="1" t="str">
        <f t="shared" si="2081"/>
        <v>...</v>
      </c>
      <c r="M9418" s="1" t="str">
        <f t="shared" si="2081"/>
        <v>...</v>
      </c>
      <c r="N9418" t="s">
        <v>30</v>
      </c>
    </row>
    <row r="9419" spans="1:14" x14ac:dyDescent="0.25">
      <c r="A9419" t="s">
        <v>43</v>
      </c>
      <c r="B9419" t="s">
        <v>39</v>
      </c>
      <c r="C9419" t="s">
        <v>37</v>
      </c>
      <c r="D9419" t="s">
        <v>33</v>
      </c>
      <c r="E9419" t="s">
        <v>23</v>
      </c>
      <c r="F9419" t="s">
        <v>18</v>
      </c>
      <c r="G9419" s="1" t="str">
        <f t="shared" si="2081"/>
        <v>...</v>
      </c>
      <c r="H9419" s="1" t="str">
        <f t="shared" si="2081"/>
        <v>...</v>
      </c>
      <c r="I9419" s="1" t="str">
        <f t="shared" si="2081"/>
        <v>...</v>
      </c>
      <c r="J9419" s="1" t="str">
        <f t="shared" si="2081"/>
        <v>...</v>
      </c>
      <c r="K9419" s="1" t="str">
        <f t="shared" si="2081"/>
        <v>...</v>
      </c>
      <c r="L9419" s="1" t="str">
        <f t="shared" si="2081"/>
        <v>...</v>
      </c>
      <c r="M9419" s="1" t="str">
        <f t="shared" si="2081"/>
        <v>...</v>
      </c>
      <c r="N9419" t="s">
        <v>30</v>
      </c>
    </row>
    <row r="9420" spans="1:14" x14ac:dyDescent="0.25">
      <c r="A9420" t="s">
        <v>43</v>
      </c>
      <c r="B9420" t="s">
        <v>39</v>
      </c>
      <c r="C9420" t="s">
        <v>37</v>
      </c>
      <c r="D9420" t="s">
        <v>33</v>
      </c>
      <c r="E9420" t="s">
        <v>23</v>
      </c>
      <c r="F9420" t="s">
        <v>19</v>
      </c>
      <c r="G9420" s="1" t="str">
        <f t="shared" si="2081"/>
        <v>...</v>
      </c>
      <c r="H9420" s="1" t="str">
        <f t="shared" si="2081"/>
        <v>...</v>
      </c>
      <c r="I9420" s="1" t="str">
        <f t="shared" si="2081"/>
        <v>...</v>
      </c>
      <c r="J9420" s="1" t="str">
        <f t="shared" si="2081"/>
        <v>...</v>
      </c>
      <c r="K9420" s="1" t="str">
        <f t="shared" si="2081"/>
        <v>...</v>
      </c>
      <c r="L9420" s="1" t="str">
        <f t="shared" si="2081"/>
        <v>...</v>
      </c>
      <c r="M9420" s="1" t="str">
        <f t="shared" si="2081"/>
        <v>...</v>
      </c>
      <c r="N9420" t="s">
        <v>30</v>
      </c>
    </row>
    <row r="9421" spans="1:14" x14ac:dyDescent="0.25">
      <c r="A9421" t="s">
        <v>43</v>
      </c>
      <c r="B9421" t="s">
        <v>39</v>
      </c>
      <c r="C9421" t="s">
        <v>37</v>
      </c>
      <c r="D9421" t="s">
        <v>33</v>
      </c>
      <c r="E9421" t="s">
        <v>23</v>
      </c>
      <c r="F9421" t="s">
        <v>20</v>
      </c>
      <c r="G9421" s="1" t="str">
        <f t="shared" ref="G9421:M9421" si="2082">"X"</f>
        <v>X</v>
      </c>
      <c r="H9421" s="1" t="str">
        <f t="shared" si="2082"/>
        <v>X</v>
      </c>
      <c r="I9421" s="1" t="str">
        <f t="shared" si="2082"/>
        <v>X</v>
      </c>
      <c r="J9421" s="1" t="str">
        <f t="shared" si="2082"/>
        <v>X</v>
      </c>
      <c r="K9421" s="1" t="str">
        <f t="shared" si="2082"/>
        <v>X</v>
      </c>
      <c r="L9421" s="1" t="str">
        <f t="shared" si="2082"/>
        <v>X</v>
      </c>
      <c r="M9421" s="1" t="str">
        <f t="shared" si="2082"/>
        <v>X</v>
      </c>
      <c r="N9421" t="s">
        <v>27</v>
      </c>
    </row>
    <row r="9422" spans="1:14" x14ac:dyDescent="0.25">
      <c r="A9422" t="s">
        <v>43</v>
      </c>
      <c r="B9422" t="s">
        <v>39</v>
      </c>
      <c r="C9422" t="s">
        <v>37</v>
      </c>
      <c r="D9422" t="s">
        <v>33</v>
      </c>
      <c r="E9422" t="s">
        <v>26</v>
      </c>
      <c r="F9422" t="s">
        <v>15</v>
      </c>
      <c r="G9422" s="1" t="str">
        <f t="shared" ref="G9422:M9426" si="2083">"..."</f>
        <v>...</v>
      </c>
      <c r="H9422" s="1" t="str">
        <f t="shared" si="2083"/>
        <v>...</v>
      </c>
      <c r="I9422" s="1" t="str">
        <f t="shared" si="2083"/>
        <v>...</v>
      </c>
      <c r="J9422" s="1" t="str">
        <f t="shared" si="2083"/>
        <v>...</v>
      </c>
      <c r="K9422" s="1" t="str">
        <f t="shared" si="2083"/>
        <v>...</v>
      </c>
      <c r="L9422" s="1" t="str">
        <f t="shared" si="2083"/>
        <v>...</v>
      </c>
      <c r="M9422" s="1" t="str">
        <f t="shared" si="2083"/>
        <v>...</v>
      </c>
      <c r="N9422" t="s">
        <v>30</v>
      </c>
    </row>
    <row r="9423" spans="1:14" x14ac:dyDescent="0.25">
      <c r="A9423" t="s">
        <v>43</v>
      </c>
      <c r="B9423" t="s">
        <v>39</v>
      </c>
      <c r="C9423" t="s">
        <v>37</v>
      </c>
      <c r="D9423" t="s">
        <v>33</v>
      </c>
      <c r="E9423" t="s">
        <v>26</v>
      </c>
      <c r="F9423" t="s">
        <v>17</v>
      </c>
      <c r="G9423" s="1" t="str">
        <f t="shared" si="2083"/>
        <v>...</v>
      </c>
      <c r="H9423" s="1" t="str">
        <f t="shared" si="2083"/>
        <v>...</v>
      </c>
      <c r="I9423" s="1" t="str">
        <f t="shared" si="2083"/>
        <v>...</v>
      </c>
      <c r="J9423" s="1" t="str">
        <f t="shared" si="2083"/>
        <v>...</v>
      </c>
      <c r="K9423" s="1" t="str">
        <f t="shared" si="2083"/>
        <v>...</v>
      </c>
      <c r="L9423" s="1" t="str">
        <f t="shared" si="2083"/>
        <v>...</v>
      </c>
      <c r="M9423" s="1" t="str">
        <f t="shared" si="2083"/>
        <v>...</v>
      </c>
      <c r="N9423" t="s">
        <v>30</v>
      </c>
    </row>
    <row r="9424" spans="1:14" x14ac:dyDescent="0.25">
      <c r="A9424" t="s">
        <v>43</v>
      </c>
      <c r="B9424" t="s">
        <v>39</v>
      </c>
      <c r="C9424" t="s">
        <v>37</v>
      </c>
      <c r="D9424" t="s">
        <v>33</v>
      </c>
      <c r="E9424" t="s">
        <v>26</v>
      </c>
      <c r="F9424" t="s">
        <v>18</v>
      </c>
      <c r="G9424" s="1" t="str">
        <f t="shared" si="2083"/>
        <v>...</v>
      </c>
      <c r="H9424" s="1" t="str">
        <f t="shared" si="2083"/>
        <v>...</v>
      </c>
      <c r="I9424" s="1" t="str">
        <f t="shared" si="2083"/>
        <v>...</v>
      </c>
      <c r="J9424" s="1" t="str">
        <f t="shared" si="2083"/>
        <v>...</v>
      </c>
      <c r="K9424" s="1" t="str">
        <f t="shared" si="2083"/>
        <v>...</v>
      </c>
      <c r="L9424" s="1" t="str">
        <f t="shared" si="2083"/>
        <v>...</v>
      </c>
      <c r="M9424" s="1" t="str">
        <f t="shared" si="2083"/>
        <v>...</v>
      </c>
      <c r="N9424" t="s">
        <v>30</v>
      </c>
    </row>
    <row r="9425" spans="1:14" x14ac:dyDescent="0.25">
      <c r="A9425" t="s">
        <v>43</v>
      </c>
      <c r="B9425" t="s">
        <v>39</v>
      </c>
      <c r="C9425" t="s">
        <v>37</v>
      </c>
      <c r="D9425" t="s">
        <v>33</v>
      </c>
      <c r="E9425" t="s">
        <v>26</v>
      </c>
      <c r="F9425" t="s">
        <v>19</v>
      </c>
      <c r="G9425" s="1" t="str">
        <f t="shared" si="2083"/>
        <v>...</v>
      </c>
      <c r="H9425" s="1" t="str">
        <f t="shared" si="2083"/>
        <v>...</v>
      </c>
      <c r="I9425" s="1" t="str">
        <f t="shared" si="2083"/>
        <v>...</v>
      </c>
      <c r="J9425" s="1" t="str">
        <f t="shared" si="2083"/>
        <v>...</v>
      </c>
      <c r="K9425" s="1" t="str">
        <f t="shared" si="2083"/>
        <v>...</v>
      </c>
      <c r="L9425" s="1" t="str">
        <f t="shared" si="2083"/>
        <v>...</v>
      </c>
      <c r="M9425" s="1" t="str">
        <f t="shared" si="2083"/>
        <v>...</v>
      </c>
      <c r="N9425" t="s">
        <v>30</v>
      </c>
    </row>
    <row r="9426" spans="1:14" x14ac:dyDescent="0.25">
      <c r="A9426" t="s">
        <v>43</v>
      </c>
      <c r="B9426" t="s">
        <v>39</v>
      </c>
      <c r="C9426" t="s">
        <v>37</v>
      </c>
      <c r="D9426" t="s">
        <v>33</v>
      </c>
      <c r="E9426" t="s">
        <v>26</v>
      </c>
      <c r="F9426" t="s">
        <v>20</v>
      </c>
      <c r="G9426" s="1" t="str">
        <f t="shared" si="2083"/>
        <v>...</v>
      </c>
      <c r="H9426" s="1" t="str">
        <f t="shared" si="2083"/>
        <v>...</v>
      </c>
      <c r="I9426" s="1" t="str">
        <f t="shared" si="2083"/>
        <v>...</v>
      </c>
      <c r="J9426" s="1" t="str">
        <f t="shared" si="2083"/>
        <v>...</v>
      </c>
      <c r="K9426" s="1" t="str">
        <f t="shared" si="2083"/>
        <v>...</v>
      </c>
      <c r="L9426" s="1" t="str">
        <f t="shared" si="2083"/>
        <v>...</v>
      </c>
      <c r="M9426" s="1" t="str">
        <f t="shared" si="2083"/>
        <v>...</v>
      </c>
      <c r="N9426" t="s">
        <v>30</v>
      </c>
    </row>
    <row r="9427" spans="1:14" x14ac:dyDescent="0.25">
      <c r="A9427" t="s">
        <v>43</v>
      </c>
      <c r="B9427" t="s">
        <v>39</v>
      </c>
      <c r="C9427" t="s">
        <v>37</v>
      </c>
      <c r="D9427" t="s">
        <v>34</v>
      </c>
      <c r="E9427" t="s">
        <v>15</v>
      </c>
      <c r="F9427" t="s">
        <v>15</v>
      </c>
      <c r="G9427" s="2">
        <f>VALUE(219.01)</f>
        <v>219.01</v>
      </c>
      <c r="H9427" s="3">
        <f>VALUE(146.28)</f>
        <v>146.28</v>
      </c>
      <c r="I9427" s="1">
        <f>VALUE(3537)</f>
        <v>3537</v>
      </c>
      <c r="J9427" s="1">
        <f>VALUE(4162)</f>
        <v>4162</v>
      </c>
      <c r="K9427" s="1">
        <f>VALUE(4751)</f>
        <v>4751</v>
      </c>
      <c r="L9427" s="1">
        <f>VALUE(5954)</f>
        <v>5954</v>
      </c>
      <c r="M9427" s="1">
        <f>VALUE(7020)</f>
        <v>7020</v>
      </c>
      <c r="N9427" t="s">
        <v>25</v>
      </c>
    </row>
    <row r="9428" spans="1:14" x14ac:dyDescent="0.25">
      <c r="A9428" t="s">
        <v>43</v>
      </c>
      <c r="B9428" t="s">
        <v>39</v>
      </c>
      <c r="C9428" t="s">
        <v>37</v>
      </c>
      <c r="D9428" t="s">
        <v>34</v>
      </c>
      <c r="E9428" t="s">
        <v>15</v>
      </c>
      <c r="F9428" t="s">
        <v>17</v>
      </c>
      <c r="G9428" s="1" t="str">
        <f t="shared" ref="G9428:M9428" si="2084">"X"</f>
        <v>X</v>
      </c>
      <c r="H9428" s="1" t="str">
        <f t="shared" si="2084"/>
        <v>X</v>
      </c>
      <c r="I9428" s="1" t="str">
        <f t="shared" si="2084"/>
        <v>X</v>
      </c>
      <c r="J9428" s="1" t="str">
        <f t="shared" si="2084"/>
        <v>X</v>
      </c>
      <c r="K9428" s="1" t="str">
        <f t="shared" si="2084"/>
        <v>X</v>
      </c>
      <c r="L9428" s="1" t="str">
        <f t="shared" si="2084"/>
        <v>X</v>
      </c>
      <c r="M9428" s="1" t="str">
        <f t="shared" si="2084"/>
        <v>X</v>
      </c>
      <c r="N9428" t="s">
        <v>27</v>
      </c>
    </row>
    <row r="9429" spans="1:14" x14ac:dyDescent="0.25">
      <c r="A9429" t="s">
        <v>43</v>
      </c>
      <c r="B9429" t="s">
        <v>39</v>
      </c>
      <c r="C9429" t="s">
        <v>37</v>
      </c>
      <c r="D9429" t="s">
        <v>34</v>
      </c>
      <c r="E9429" t="s">
        <v>15</v>
      </c>
      <c r="F9429" t="s">
        <v>18</v>
      </c>
      <c r="G9429" s="1" t="str">
        <f t="shared" ref="G9429:M9429" si="2085">"..."</f>
        <v>...</v>
      </c>
      <c r="H9429" s="1" t="str">
        <f t="shared" si="2085"/>
        <v>...</v>
      </c>
      <c r="I9429" s="1" t="str">
        <f t="shared" si="2085"/>
        <v>...</v>
      </c>
      <c r="J9429" s="1" t="str">
        <f t="shared" si="2085"/>
        <v>...</v>
      </c>
      <c r="K9429" s="1" t="str">
        <f t="shared" si="2085"/>
        <v>...</v>
      </c>
      <c r="L9429" s="1" t="str">
        <f t="shared" si="2085"/>
        <v>...</v>
      </c>
      <c r="M9429" s="1" t="str">
        <f t="shared" si="2085"/>
        <v>...</v>
      </c>
      <c r="N9429" t="s">
        <v>30</v>
      </c>
    </row>
    <row r="9430" spans="1:14" x14ac:dyDescent="0.25">
      <c r="A9430" t="s">
        <v>43</v>
      </c>
      <c r="B9430" t="s">
        <v>39</v>
      </c>
      <c r="C9430" t="s">
        <v>37</v>
      </c>
      <c r="D9430" t="s">
        <v>34</v>
      </c>
      <c r="E9430" t="s">
        <v>15</v>
      </c>
      <c r="F9430" t="s">
        <v>19</v>
      </c>
      <c r="G9430" s="1" t="str">
        <f t="shared" ref="G9430:M9433" si="2086">"X"</f>
        <v>X</v>
      </c>
      <c r="H9430" s="1" t="str">
        <f t="shared" si="2086"/>
        <v>X</v>
      </c>
      <c r="I9430" s="1" t="str">
        <f t="shared" si="2086"/>
        <v>X</v>
      </c>
      <c r="J9430" s="1" t="str">
        <f t="shared" si="2086"/>
        <v>X</v>
      </c>
      <c r="K9430" s="1" t="str">
        <f t="shared" si="2086"/>
        <v>X</v>
      </c>
      <c r="L9430" s="1" t="str">
        <f t="shared" si="2086"/>
        <v>X</v>
      </c>
      <c r="M9430" s="1" t="str">
        <f t="shared" si="2086"/>
        <v>X</v>
      </c>
      <c r="N9430" t="s">
        <v>27</v>
      </c>
    </row>
    <row r="9431" spans="1:14" x14ac:dyDescent="0.25">
      <c r="A9431" t="s">
        <v>43</v>
      </c>
      <c r="B9431" t="s">
        <v>39</v>
      </c>
      <c r="C9431" t="s">
        <v>37</v>
      </c>
      <c r="D9431" t="s">
        <v>34</v>
      </c>
      <c r="E9431" t="s">
        <v>15</v>
      </c>
      <c r="F9431" t="s">
        <v>20</v>
      </c>
      <c r="G9431" s="1" t="str">
        <f t="shared" si="2086"/>
        <v>X</v>
      </c>
      <c r="H9431" s="1" t="str">
        <f t="shared" si="2086"/>
        <v>X</v>
      </c>
      <c r="I9431" s="1" t="str">
        <f t="shared" si="2086"/>
        <v>X</v>
      </c>
      <c r="J9431" s="1" t="str">
        <f t="shared" si="2086"/>
        <v>X</v>
      </c>
      <c r="K9431" s="1" t="str">
        <f t="shared" si="2086"/>
        <v>X</v>
      </c>
      <c r="L9431" s="1" t="str">
        <f t="shared" si="2086"/>
        <v>X</v>
      </c>
      <c r="M9431" s="1" t="str">
        <f t="shared" si="2086"/>
        <v>X</v>
      </c>
      <c r="N9431" t="s">
        <v>27</v>
      </c>
    </row>
    <row r="9432" spans="1:14" x14ac:dyDescent="0.25">
      <c r="A9432" t="s">
        <v>43</v>
      </c>
      <c r="B9432" t="s">
        <v>39</v>
      </c>
      <c r="C9432" t="s">
        <v>37</v>
      </c>
      <c r="D9432" t="s">
        <v>34</v>
      </c>
      <c r="E9432" t="s">
        <v>21</v>
      </c>
      <c r="F9432" t="s">
        <v>15</v>
      </c>
      <c r="G9432" s="1" t="str">
        <f t="shared" si="2086"/>
        <v>X</v>
      </c>
      <c r="H9432" s="1" t="str">
        <f t="shared" si="2086"/>
        <v>X</v>
      </c>
      <c r="I9432" s="1" t="str">
        <f t="shared" si="2086"/>
        <v>X</v>
      </c>
      <c r="J9432" s="1" t="str">
        <f t="shared" si="2086"/>
        <v>X</v>
      </c>
      <c r="K9432" s="1" t="str">
        <f t="shared" si="2086"/>
        <v>X</v>
      </c>
      <c r="L9432" s="1" t="str">
        <f t="shared" si="2086"/>
        <v>X</v>
      </c>
      <c r="M9432" s="1" t="str">
        <f t="shared" si="2086"/>
        <v>X</v>
      </c>
      <c r="N9432" t="s">
        <v>27</v>
      </c>
    </row>
    <row r="9433" spans="1:14" x14ac:dyDescent="0.25">
      <c r="A9433" t="s">
        <v>43</v>
      </c>
      <c r="B9433" t="s">
        <v>39</v>
      </c>
      <c r="C9433" t="s">
        <v>37</v>
      </c>
      <c r="D9433" t="s">
        <v>34</v>
      </c>
      <c r="E9433" t="s">
        <v>21</v>
      </c>
      <c r="F9433" t="s">
        <v>17</v>
      </c>
      <c r="G9433" s="1" t="str">
        <f t="shared" si="2086"/>
        <v>X</v>
      </c>
      <c r="H9433" s="1" t="str">
        <f t="shared" si="2086"/>
        <v>X</v>
      </c>
      <c r="I9433" s="1" t="str">
        <f t="shared" si="2086"/>
        <v>X</v>
      </c>
      <c r="J9433" s="1" t="str">
        <f t="shared" si="2086"/>
        <v>X</v>
      </c>
      <c r="K9433" s="1" t="str">
        <f t="shared" si="2086"/>
        <v>X</v>
      </c>
      <c r="L9433" s="1" t="str">
        <f t="shared" si="2086"/>
        <v>X</v>
      </c>
      <c r="M9433" s="1" t="str">
        <f t="shared" si="2086"/>
        <v>X</v>
      </c>
      <c r="N9433" t="s">
        <v>27</v>
      </c>
    </row>
    <row r="9434" spans="1:14" x14ac:dyDescent="0.25">
      <c r="A9434" t="s">
        <v>43</v>
      </c>
      <c r="B9434" t="s">
        <v>39</v>
      </c>
      <c r="C9434" t="s">
        <v>37</v>
      </c>
      <c r="D9434" t="s">
        <v>34</v>
      </c>
      <c r="E9434" t="s">
        <v>21</v>
      </c>
      <c r="F9434" t="s">
        <v>18</v>
      </c>
      <c r="G9434" s="1" t="str">
        <f t="shared" ref="G9434:M9434" si="2087">"..."</f>
        <v>...</v>
      </c>
      <c r="H9434" s="1" t="str">
        <f t="shared" si="2087"/>
        <v>...</v>
      </c>
      <c r="I9434" s="1" t="str">
        <f t="shared" si="2087"/>
        <v>...</v>
      </c>
      <c r="J9434" s="1" t="str">
        <f t="shared" si="2087"/>
        <v>...</v>
      </c>
      <c r="K9434" s="1" t="str">
        <f t="shared" si="2087"/>
        <v>...</v>
      </c>
      <c r="L9434" s="1" t="str">
        <f t="shared" si="2087"/>
        <v>...</v>
      </c>
      <c r="M9434" s="1" t="str">
        <f t="shared" si="2087"/>
        <v>...</v>
      </c>
      <c r="N9434" t="s">
        <v>30</v>
      </c>
    </row>
    <row r="9435" spans="1:14" x14ac:dyDescent="0.25">
      <c r="A9435" t="s">
        <v>43</v>
      </c>
      <c r="B9435" t="s">
        <v>39</v>
      </c>
      <c r="C9435" t="s">
        <v>37</v>
      </c>
      <c r="D9435" t="s">
        <v>34</v>
      </c>
      <c r="E9435" t="s">
        <v>21</v>
      </c>
      <c r="F9435" t="s">
        <v>19</v>
      </c>
      <c r="G9435" s="1" t="str">
        <f t="shared" ref="G9435:M9438" si="2088">"X"</f>
        <v>X</v>
      </c>
      <c r="H9435" s="1" t="str">
        <f t="shared" si="2088"/>
        <v>X</v>
      </c>
      <c r="I9435" s="1" t="str">
        <f t="shared" si="2088"/>
        <v>X</v>
      </c>
      <c r="J9435" s="1" t="str">
        <f t="shared" si="2088"/>
        <v>X</v>
      </c>
      <c r="K9435" s="1" t="str">
        <f t="shared" si="2088"/>
        <v>X</v>
      </c>
      <c r="L9435" s="1" t="str">
        <f t="shared" si="2088"/>
        <v>X</v>
      </c>
      <c r="M9435" s="1" t="str">
        <f t="shared" si="2088"/>
        <v>X</v>
      </c>
      <c r="N9435" t="s">
        <v>27</v>
      </c>
    </row>
    <row r="9436" spans="1:14" x14ac:dyDescent="0.25">
      <c r="A9436" t="s">
        <v>43</v>
      </c>
      <c r="B9436" t="s">
        <v>39</v>
      </c>
      <c r="C9436" t="s">
        <v>37</v>
      </c>
      <c r="D9436" t="s">
        <v>34</v>
      </c>
      <c r="E9436" t="s">
        <v>21</v>
      </c>
      <c r="F9436" t="s">
        <v>20</v>
      </c>
      <c r="G9436" s="1" t="str">
        <f t="shared" si="2088"/>
        <v>X</v>
      </c>
      <c r="H9436" s="1" t="str">
        <f t="shared" si="2088"/>
        <v>X</v>
      </c>
      <c r="I9436" s="1" t="str">
        <f t="shared" si="2088"/>
        <v>X</v>
      </c>
      <c r="J9436" s="1" t="str">
        <f t="shared" si="2088"/>
        <v>X</v>
      </c>
      <c r="K9436" s="1" t="str">
        <f t="shared" si="2088"/>
        <v>X</v>
      </c>
      <c r="L9436" s="1" t="str">
        <f t="shared" si="2088"/>
        <v>X</v>
      </c>
      <c r="M9436" s="1" t="str">
        <f t="shared" si="2088"/>
        <v>X</v>
      </c>
      <c r="N9436" t="s">
        <v>27</v>
      </c>
    </row>
    <row r="9437" spans="1:14" x14ac:dyDescent="0.25">
      <c r="A9437" t="s">
        <v>43</v>
      </c>
      <c r="B9437" t="s">
        <v>39</v>
      </c>
      <c r="C9437" t="s">
        <v>37</v>
      </c>
      <c r="D9437" t="s">
        <v>34</v>
      </c>
      <c r="E9437" t="s">
        <v>22</v>
      </c>
      <c r="F9437" t="s">
        <v>15</v>
      </c>
      <c r="G9437" s="1" t="str">
        <f t="shared" si="2088"/>
        <v>X</v>
      </c>
      <c r="H9437" s="1" t="str">
        <f t="shared" si="2088"/>
        <v>X</v>
      </c>
      <c r="I9437" s="1" t="str">
        <f t="shared" si="2088"/>
        <v>X</v>
      </c>
      <c r="J9437" s="1" t="str">
        <f t="shared" si="2088"/>
        <v>X</v>
      </c>
      <c r="K9437" s="1" t="str">
        <f t="shared" si="2088"/>
        <v>X</v>
      </c>
      <c r="L9437" s="1" t="str">
        <f t="shared" si="2088"/>
        <v>X</v>
      </c>
      <c r="M9437" s="1" t="str">
        <f t="shared" si="2088"/>
        <v>X</v>
      </c>
      <c r="N9437" t="s">
        <v>27</v>
      </c>
    </row>
    <row r="9438" spans="1:14" x14ac:dyDescent="0.25">
      <c r="A9438" t="s">
        <v>43</v>
      </c>
      <c r="B9438" t="s">
        <v>39</v>
      </c>
      <c r="C9438" t="s">
        <v>37</v>
      </c>
      <c r="D9438" t="s">
        <v>34</v>
      </c>
      <c r="E9438" t="s">
        <v>22</v>
      </c>
      <c r="F9438" t="s">
        <v>17</v>
      </c>
      <c r="G9438" s="1" t="str">
        <f t="shared" si="2088"/>
        <v>X</v>
      </c>
      <c r="H9438" s="1" t="str">
        <f t="shared" si="2088"/>
        <v>X</v>
      </c>
      <c r="I9438" s="1" t="str">
        <f t="shared" si="2088"/>
        <v>X</v>
      </c>
      <c r="J9438" s="1" t="str">
        <f t="shared" si="2088"/>
        <v>X</v>
      </c>
      <c r="K9438" s="1" t="str">
        <f t="shared" si="2088"/>
        <v>X</v>
      </c>
      <c r="L9438" s="1" t="str">
        <f t="shared" si="2088"/>
        <v>X</v>
      </c>
      <c r="M9438" s="1" t="str">
        <f t="shared" si="2088"/>
        <v>X</v>
      </c>
      <c r="N9438" t="s">
        <v>27</v>
      </c>
    </row>
    <row r="9439" spans="1:14" x14ac:dyDescent="0.25">
      <c r="A9439" t="s">
        <v>43</v>
      </c>
      <c r="B9439" t="s">
        <v>39</v>
      </c>
      <c r="C9439" t="s">
        <v>37</v>
      </c>
      <c r="D9439" t="s">
        <v>34</v>
      </c>
      <c r="E9439" t="s">
        <v>22</v>
      </c>
      <c r="F9439" t="s">
        <v>18</v>
      </c>
      <c r="G9439" s="1" t="str">
        <f t="shared" ref="G9439:M9439" si="2089">"..."</f>
        <v>...</v>
      </c>
      <c r="H9439" s="1" t="str">
        <f t="shared" si="2089"/>
        <v>...</v>
      </c>
      <c r="I9439" s="1" t="str">
        <f t="shared" si="2089"/>
        <v>...</v>
      </c>
      <c r="J9439" s="1" t="str">
        <f t="shared" si="2089"/>
        <v>...</v>
      </c>
      <c r="K9439" s="1" t="str">
        <f t="shared" si="2089"/>
        <v>...</v>
      </c>
      <c r="L9439" s="1" t="str">
        <f t="shared" si="2089"/>
        <v>...</v>
      </c>
      <c r="M9439" s="1" t="str">
        <f t="shared" si="2089"/>
        <v>...</v>
      </c>
      <c r="N9439" t="s">
        <v>30</v>
      </c>
    </row>
    <row r="9440" spans="1:14" x14ac:dyDescent="0.25">
      <c r="A9440" t="s">
        <v>43</v>
      </c>
      <c r="B9440" t="s">
        <v>39</v>
      </c>
      <c r="C9440" t="s">
        <v>37</v>
      </c>
      <c r="D9440" t="s">
        <v>34</v>
      </c>
      <c r="E9440" t="s">
        <v>22</v>
      </c>
      <c r="F9440" t="s">
        <v>19</v>
      </c>
      <c r="G9440" s="1" t="str">
        <f t="shared" ref="G9440:M9442" si="2090">"X"</f>
        <v>X</v>
      </c>
      <c r="H9440" s="1" t="str">
        <f t="shared" si="2090"/>
        <v>X</v>
      </c>
      <c r="I9440" s="1" t="str">
        <f t="shared" si="2090"/>
        <v>X</v>
      </c>
      <c r="J9440" s="1" t="str">
        <f t="shared" si="2090"/>
        <v>X</v>
      </c>
      <c r="K9440" s="1" t="str">
        <f t="shared" si="2090"/>
        <v>X</v>
      </c>
      <c r="L9440" s="1" t="str">
        <f t="shared" si="2090"/>
        <v>X</v>
      </c>
      <c r="M9440" s="1" t="str">
        <f t="shared" si="2090"/>
        <v>X</v>
      </c>
      <c r="N9440" t="s">
        <v>27</v>
      </c>
    </row>
    <row r="9441" spans="1:14" x14ac:dyDescent="0.25">
      <c r="A9441" t="s">
        <v>43</v>
      </c>
      <c r="B9441" t="s">
        <v>39</v>
      </c>
      <c r="C9441" t="s">
        <v>37</v>
      </c>
      <c r="D9441" t="s">
        <v>34</v>
      </c>
      <c r="E9441" t="s">
        <v>22</v>
      </c>
      <c r="F9441" t="s">
        <v>20</v>
      </c>
      <c r="G9441" s="1" t="str">
        <f t="shared" si="2090"/>
        <v>X</v>
      </c>
      <c r="H9441" s="1" t="str">
        <f t="shared" si="2090"/>
        <v>X</v>
      </c>
      <c r="I9441" s="1" t="str">
        <f t="shared" si="2090"/>
        <v>X</v>
      </c>
      <c r="J9441" s="1" t="str">
        <f t="shared" si="2090"/>
        <v>X</v>
      </c>
      <c r="K9441" s="1" t="str">
        <f t="shared" si="2090"/>
        <v>X</v>
      </c>
      <c r="L9441" s="1" t="str">
        <f t="shared" si="2090"/>
        <v>X</v>
      </c>
      <c r="M9441" s="1" t="str">
        <f t="shared" si="2090"/>
        <v>X</v>
      </c>
      <c r="N9441" t="s">
        <v>27</v>
      </c>
    </row>
    <row r="9442" spans="1:14" x14ac:dyDescent="0.25">
      <c r="A9442" t="s">
        <v>43</v>
      </c>
      <c r="B9442" t="s">
        <v>39</v>
      </c>
      <c r="C9442" t="s">
        <v>37</v>
      </c>
      <c r="D9442" t="s">
        <v>34</v>
      </c>
      <c r="E9442" t="s">
        <v>23</v>
      </c>
      <c r="F9442" t="s">
        <v>15</v>
      </c>
      <c r="G9442" s="1" t="str">
        <f t="shared" si="2090"/>
        <v>X</v>
      </c>
      <c r="H9442" s="1" t="str">
        <f t="shared" si="2090"/>
        <v>X</v>
      </c>
      <c r="I9442" s="1" t="str">
        <f t="shared" si="2090"/>
        <v>X</v>
      </c>
      <c r="J9442" s="1" t="str">
        <f t="shared" si="2090"/>
        <v>X</v>
      </c>
      <c r="K9442" s="1" t="str">
        <f t="shared" si="2090"/>
        <v>X</v>
      </c>
      <c r="L9442" s="1" t="str">
        <f t="shared" si="2090"/>
        <v>X</v>
      </c>
      <c r="M9442" s="1" t="str">
        <f t="shared" si="2090"/>
        <v>X</v>
      </c>
      <c r="N9442" t="s">
        <v>27</v>
      </c>
    </row>
    <row r="9443" spans="1:14" x14ac:dyDescent="0.25">
      <c r="A9443" t="s">
        <v>43</v>
      </c>
      <c r="B9443" t="s">
        <v>39</v>
      </c>
      <c r="C9443" t="s">
        <v>37</v>
      </c>
      <c r="D9443" t="s">
        <v>34</v>
      </c>
      <c r="E9443" t="s">
        <v>23</v>
      </c>
      <c r="F9443" t="s">
        <v>17</v>
      </c>
      <c r="G9443" s="1" t="str">
        <f t="shared" ref="G9443:M9444" si="2091">"..."</f>
        <v>...</v>
      </c>
      <c r="H9443" s="1" t="str">
        <f t="shared" si="2091"/>
        <v>...</v>
      </c>
      <c r="I9443" s="1" t="str">
        <f t="shared" si="2091"/>
        <v>...</v>
      </c>
      <c r="J9443" s="1" t="str">
        <f t="shared" si="2091"/>
        <v>...</v>
      </c>
      <c r="K9443" s="1" t="str">
        <f t="shared" si="2091"/>
        <v>...</v>
      </c>
      <c r="L9443" s="1" t="str">
        <f t="shared" si="2091"/>
        <v>...</v>
      </c>
      <c r="M9443" s="1" t="str">
        <f t="shared" si="2091"/>
        <v>...</v>
      </c>
      <c r="N9443" t="s">
        <v>30</v>
      </c>
    </row>
    <row r="9444" spans="1:14" x14ac:dyDescent="0.25">
      <c r="A9444" t="s">
        <v>43</v>
      </c>
      <c r="B9444" t="s">
        <v>39</v>
      </c>
      <c r="C9444" t="s">
        <v>37</v>
      </c>
      <c r="D9444" t="s">
        <v>34</v>
      </c>
      <c r="E9444" t="s">
        <v>23</v>
      </c>
      <c r="F9444" t="s">
        <v>18</v>
      </c>
      <c r="G9444" s="1" t="str">
        <f t="shared" si="2091"/>
        <v>...</v>
      </c>
      <c r="H9444" s="1" t="str">
        <f t="shared" si="2091"/>
        <v>...</v>
      </c>
      <c r="I9444" s="1" t="str">
        <f t="shared" si="2091"/>
        <v>...</v>
      </c>
      <c r="J9444" s="1" t="str">
        <f t="shared" si="2091"/>
        <v>...</v>
      </c>
      <c r="K9444" s="1" t="str">
        <f t="shared" si="2091"/>
        <v>...</v>
      </c>
      <c r="L9444" s="1" t="str">
        <f t="shared" si="2091"/>
        <v>...</v>
      </c>
      <c r="M9444" s="1" t="str">
        <f t="shared" si="2091"/>
        <v>...</v>
      </c>
      <c r="N9444" t="s">
        <v>30</v>
      </c>
    </row>
    <row r="9445" spans="1:14" x14ac:dyDescent="0.25">
      <c r="A9445" t="s">
        <v>43</v>
      </c>
      <c r="B9445" t="s">
        <v>39</v>
      </c>
      <c r="C9445" t="s">
        <v>37</v>
      </c>
      <c r="D9445" t="s">
        <v>34</v>
      </c>
      <c r="E9445" t="s">
        <v>23</v>
      </c>
      <c r="F9445" t="s">
        <v>19</v>
      </c>
      <c r="G9445" s="1" t="str">
        <f t="shared" ref="G9445:M9446" si="2092">"X"</f>
        <v>X</v>
      </c>
      <c r="H9445" s="1" t="str">
        <f t="shared" si="2092"/>
        <v>X</v>
      </c>
      <c r="I9445" s="1" t="str">
        <f t="shared" si="2092"/>
        <v>X</v>
      </c>
      <c r="J9445" s="1" t="str">
        <f t="shared" si="2092"/>
        <v>X</v>
      </c>
      <c r="K9445" s="1" t="str">
        <f t="shared" si="2092"/>
        <v>X</v>
      </c>
      <c r="L9445" s="1" t="str">
        <f t="shared" si="2092"/>
        <v>X</v>
      </c>
      <c r="M9445" s="1" t="str">
        <f t="shared" si="2092"/>
        <v>X</v>
      </c>
      <c r="N9445" t="s">
        <v>27</v>
      </c>
    </row>
    <row r="9446" spans="1:14" x14ac:dyDescent="0.25">
      <c r="A9446" t="s">
        <v>43</v>
      </c>
      <c r="B9446" t="s">
        <v>39</v>
      </c>
      <c r="C9446" t="s">
        <v>37</v>
      </c>
      <c r="D9446" t="s">
        <v>34</v>
      </c>
      <c r="E9446" t="s">
        <v>23</v>
      </c>
      <c r="F9446" t="s">
        <v>20</v>
      </c>
      <c r="G9446" s="1" t="str">
        <f t="shared" si="2092"/>
        <v>X</v>
      </c>
      <c r="H9446" s="1" t="str">
        <f t="shared" si="2092"/>
        <v>X</v>
      </c>
      <c r="I9446" s="1" t="str">
        <f t="shared" si="2092"/>
        <v>X</v>
      </c>
      <c r="J9446" s="1" t="str">
        <f t="shared" si="2092"/>
        <v>X</v>
      </c>
      <c r="K9446" s="1" t="str">
        <f t="shared" si="2092"/>
        <v>X</v>
      </c>
      <c r="L9446" s="1" t="str">
        <f t="shared" si="2092"/>
        <v>X</v>
      </c>
      <c r="M9446" s="1" t="str">
        <f t="shared" si="2092"/>
        <v>X</v>
      </c>
      <c r="N9446" t="s">
        <v>27</v>
      </c>
    </row>
    <row r="9447" spans="1:14" x14ac:dyDescent="0.25">
      <c r="A9447" t="s">
        <v>43</v>
      </c>
      <c r="B9447" t="s">
        <v>39</v>
      </c>
      <c r="C9447" t="s">
        <v>37</v>
      </c>
      <c r="D9447" t="s">
        <v>34</v>
      </c>
      <c r="E9447" t="s">
        <v>26</v>
      </c>
      <c r="F9447" t="s">
        <v>15</v>
      </c>
      <c r="G9447" s="1" t="str">
        <f t="shared" ref="G9447:M9451" si="2093">"..."</f>
        <v>...</v>
      </c>
      <c r="H9447" s="1" t="str">
        <f t="shared" si="2093"/>
        <v>...</v>
      </c>
      <c r="I9447" s="1" t="str">
        <f t="shared" si="2093"/>
        <v>...</v>
      </c>
      <c r="J9447" s="1" t="str">
        <f t="shared" si="2093"/>
        <v>...</v>
      </c>
      <c r="K9447" s="1" t="str">
        <f t="shared" si="2093"/>
        <v>...</v>
      </c>
      <c r="L9447" s="1" t="str">
        <f t="shared" si="2093"/>
        <v>...</v>
      </c>
      <c r="M9447" s="1" t="str">
        <f t="shared" si="2093"/>
        <v>...</v>
      </c>
      <c r="N9447" t="s">
        <v>30</v>
      </c>
    </row>
    <row r="9448" spans="1:14" x14ac:dyDescent="0.25">
      <c r="A9448" t="s">
        <v>43</v>
      </c>
      <c r="B9448" t="s">
        <v>39</v>
      </c>
      <c r="C9448" t="s">
        <v>37</v>
      </c>
      <c r="D9448" t="s">
        <v>34</v>
      </c>
      <c r="E9448" t="s">
        <v>26</v>
      </c>
      <c r="F9448" t="s">
        <v>17</v>
      </c>
      <c r="G9448" s="1" t="str">
        <f t="shared" si="2093"/>
        <v>...</v>
      </c>
      <c r="H9448" s="1" t="str">
        <f t="shared" si="2093"/>
        <v>...</v>
      </c>
      <c r="I9448" s="1" t="str">
        <f t="shared" si="2093"/>
        <v>...</v>
      </c>
      <c r="J9448" s="1" t="str">
        <f t="shared" si="2093"/>
        <v>...</v>
      </c>
      <c r="K9448" s="1" t="str">
        <f t="shared" si="2093"/>
        <v>...</v>
      </c>
      <c r="L9448" s="1" t="str">
        <f t="shared" si="2093"/>
        <v>...</v>
      </c>
      <c r="M9448" s="1" t="str">
        <f t="shared" si="2093"/>
        <v>...</v>
      </c>
      <c r="N9448" t="s">
        <v>30</v>
      </c>
    </row>
    <row r="9449" spans="1:14" x14ac:dyDescent="0.25">
      <c r="A9449" t="s">
        <v>43</v>
      </c>
      <c r="B9449" t="s">
        <v>39</v>
      </c>
      <c r="C9449" t="s">
        <v>37</v>
      </c>
      <c r="D9449" t="s">
        <v>34</v>
      </c>
      <c r="E9449" t="s">
        <v>26</v>
      </c>
      <c r="F9449" t="s">
        <v>18</v>
      </c>
      <c r="G9449" s="1" t="str">
        <f t="shared" si="2093"/>
        <v>...</v>
      </c>
      <c r="H9449" s="1" t="str">
        <f t="shared" si="2093"/>
        <v>...</v>
      </c>
      <c r="I9449" s="1" t="str">
        <f t="shared" si="2093"/>
        <v>...</v>
      </c>
      <c r="J9449" s="1" t="str">
        <f t="shared" si="2093"/>
        <v>...</v>
      </c>
      <c r="K9449" s="1" t="str">
        <f t="shared" si="2093"/>
        <v>...</v>
      </c>
      <c r="L9449" s="1" t="str">
        <f t="shared" si="2093"/>
        <v>...</v>
      </c>
      <c r="M9449" s="1" t="str">
        <f t="shared" si="2093"/>
        <v>...</v>
      </c>
      <c r="N9449" t="s">
        <v>30</v>
      </c>
    </row>
    <row r="9450" spans="1:14" x14ac:dyDescent="0.25">
      <c r="A9450" t="s">
        <v>43</v>
      </c>
      <c r="B9450" t="s">
        <v>39</v>
      </c>
      <c r="C9450" t="s">
        <v>37</v>
      </c>
      <c r="D9450" t="s">
        <v>34</v>
      </c>
      <c r="E9450" t="s">
        <v>26</v>
      </c>
      <c r="F9450" t="s">
        <v>19</v>
      </c>
      <c r="G9450" s="1" t="str">
        <f t="shared" si="2093"/>
        <v>...</v>
      </c>
      <c r="H9450" s="1" t="str">
        <f t="shared" si="2093"/>
        <v>...</v>
      </c>
      <c r="I9450" s="1" t="str">
        <f t="shared" si="2093"/>
        <v>...</v>
      </c>
      <c r="J9450" s="1" t="str">
        <f t="shared" si="2093"/>
        <v>...</v>
      </c>
      <c r="K9450" s="1" t="str">
        <f t="shared" si="2093"/>
        <v>...</v>
      </c>
      <c r="L9450" s="1" t="str">
        <f t="shared" si="2093"/>
        <v>...</v>
      </c>
      <c r="M9450" s="1" t="str">
        <f t="shared" si="2093"/>
        <v>...</v>
      </c>
      <c r="N9450" t="s">
        <v>30</v>
      </c>
    </row>
    <row r="9451" spans="1:14" x14ac:dyDescent="0.25">
      <c r="A9451" t="s">
        <v>43</v>
      </c>
      <c r="B9451" t="s">
        <v>39</v>
      </c>
      <c r="C9451" t="s">
        <v>37</v>
      </c>
      <c r="D9451" t="s">
        <v>34</v>
      </c>
      <c r="E9451" t="s">
        <v>26</v>
      </c>
      <c r="F9451" t="s">
        <v>20</v>
      </c>
      <c r="G9451" s="1" t="str">
        <f t="shared" si="2093"/>
        <v>...</v>
      </c>
      <c r="H9451" s="1" t="str">
        <f t="shared" si="2093"/>
        <v>...</v>
      </c>
      <c r="I9451" s="1" t="str">
        <f t="shared" si="2093"/>
        <v>...</v>
      </c>
      <c r="J9451" s="1" t="str">
        <f t="shared" si="2093"/>
        <v>...</v>
      </c>
      <c r="K9451" s="1" t="str">
        <f t="shared" si="2093"/>
        <v>...</v>
      </c>
      <c r="L9451" s="1" t="str">
        <f t="shared" si="2093"/>
        <v>...</v>
      </c>
      <c r="M9451" s="1" t="str">
        <f t="shared" si="2093"/>
        <v>...</v>
      </c>
      <c r="N9451" t="s">
        <v>30</v>
      </c>
    </row>
    <row r="9452" spans="1:14" x14ac:dyDescent="0.25">
      <c r="A9452" t="s">
        <v>43</v>
      </c>
      <c r="B9452" t="s">
        <v>39</v>
      </c>
      <c r="C9452" t="s">
        <v>38</v>
      </c>
      <c r="D9452" t="s">
        <v>15</v>
      </c>
      <c r="E9452" t="s">
        <v>15</v>
      </c>
      <c r="F9452" t="s">
        <v>15</v>
      </c>
      <c r="G9452" s="1">
        <f>VALUE(18409)</f>
        <v>18409</v>
      </c>
      <c r="H9452" s="1">
        <f>VALUE(17604.98)</f>
        <v>17604.98</v>
      </c>
      <c r="I9452" s="1">
        <f>VALUE(4022)</f>
        <v>4022</v>
      </c>
      <c r="J9452" s="1">
        <f>VALUE(4965)</f>
        <v>4965</v>
      </c>
      <c r="K9452" s="1">
        <f>VALUE(5897)</f>
        <v>5897</v>
      </c>
      <c r="L9452" s="1">
        <f>VALUE(7588)</f>
        <v>7588</v>
      </c>
      <c r="M9452" s="1">
        <f>VALUE(10917)</f>
        <v>10917</v>
      </c>
      <c r="N9452" t="s">
        <v>16</v>
      </c>
    </row>
    <row r="9453" spans="1:14" x14ac:dyDescent="0.25">
      <c r="A9453" t="s">
        <v>43</v>
      </c>
      <c r="B9453" t="s">
        <v>39</v>
      </c>
      <c r="C9453" t="s">
        <v>38</v>
      </c>
      <c r="D9453" t="s">
        <v>15</v>
      </c>
      <c r="E9453" t="s">
        <v>15</v>
      </c>
      <c r="F9453" t="s">
        <v>17</v>
      </c>
      <c r="G9453" s="2">
        <f>VALUE(4077.29)</f>
        <v>4077.29</v>
      </c>
      <c r="H9453" s="3">
        <f>VALUE(3771.92)</f>
        <v>3771.92</v>
      </c>
      <c r="I9453" s="1">
        <f>VALUE(5760)</f>
        <v>5760</v>
      </c>
      <c r="J9453" s="1">
        <f>VALUE(7455)</f>
        <v>7455</v>
      </c>
      <c r="K9453" s="1">
        <f>VALUE(9863)</f>
        <v>9863</v>
      </c>
      <c r="L9453" s="1">
        <f>VALUE(13500)</f>
        <v>13500</v>
      </c>
      <c r="M9453" s="1">
        <f>VALUE(19608)</f>
        <v>19608</v>
      </c>
      <c r="N9453" t="s">
        <v>25</v>
      </c>
    </row>
    <row r="9454" spans="1:14" x14ac:dyDescent="0.25">
      <c r="A9454" t="s">
        <v>43</v>
      </c>
      <c r="B9454" t="s">
        <v>39</v>
      </c>
      <c r="C9454" t="s">
        <v>38</v>
      </c>
      <c r="D9454" t="s">
        <v>15</v>
      </c>
      <c r="E9454" t="s">
        <v>15</v>
      </c>
      <c r="F9454" t="s">
        <v>18</v>
      </c>
      <c r="G9454" s="2">
        <f>VALUE(1578.65)</f>
        <v>1578.65</v>
      </c>
      <c r="H9454" s="3">
        <f>VALUE(1557.65)</f>
        <v>1557.65</v>
      </c>
      <c r="I9454" s="1">
        <f>VALUE(4967)</f>
        <v>4967</v>
      </c>
      <c r="J9454" s="1">
        <f>VALUE(5723)</f>
        <v>5723</v>
      </c>
      <c r="K9454" s="6">
        <f>VALUE(6933)</f>
        <v>6933</v>
      </c>
      <c r="L9454" s="1">
        <f>VALUE(9115)</f>
        <v>9115</v>
      </c>
      <c r="M9454" s="1">
        <f>VALUE(10973)</f>
        <v>10973</v>
      </c>
      <c r="N9454" t="s">
        <v>25</v>
      </c>
    </row>
    <row r="9455" spans="1:14" x14ac:dyDescent="0.25">
      <c r="A9455" t="s">
        <v>43</v>
      </c>
      <c r="B9455" t="s">
        <v>39</v>
      </c>
      <c r="C9455" t="s">
        <v>38</v>
      </c>
      <c r="D9455" t="s">
        <v>15</v>
      </c>
      <c r="E9455" t="s">
        <v>15</v>
      </c>
      <c r="F9455" t="s">
        <v>19</v>
      </c>
      <c r="G9455" s="2">
        <f>VALUE(2153.58)</f>
        <v>2153.58</v>
      </c>
      <c r="H9455" s="3">
        <f>VALUE(2147.88)</f>
        <v>2147.88</v>
      </c>
      <c r="I9455" s="1">
        <f>VALUE(3895)</f>
        <v>3895</v>
      </c>
      <c r="J9455" s="1">
        <f>VALUE(5216)</f>
        <v>5216</v>
      </c>
      <c r="K9455" s="1">
        <f>VALUE(6242)</f>
        <v>6242</v>
      </c>
      <c r="L9455" s="1">
        <f>VALUE(7469)</f>
        <v>7469</v>
      </c>
      <c r="M9455" s="1">
        <f>VALUE(8532)</f>
        <v>8532</v>
      </c>
      <c r="N9455" t="s">
        <v>25</v>
      </c>
    </row>
    <row r="9456" spans="1:14" x14ac:dyDescent="0.25">
      <c r="A9456" t="s">
        <v>43</v>
      </c>
      <c r="B9456" t="s">
        <v>39</v>
      </c>
      <c r="C9456" t="s">
        <v>38</v>
      </c>
      <c r="D9456" t="s">
        <v>15</v>
      </c>
      <c r="E9456" t="s">
        <v>15</v>
      </c>
      <c r="F9456" t="s">
        <v>20</v>
      </c>
      <c r="G9456" s="1">
        <f>VALUE(10599.48)</f>
        <v>10599.48</v>
      </c>
      <c r="H9456" s="1">
        <f>VALUE(10127.53)</f>
        <v>10127.530000000001</v>
      </c>
      <c r="I9456" s="1">
        <f>VALUE(3711)</f>
        <v>3711</v>
      </c>
      <c r="J9456" s="1">
        <f>VALUE(4471)</f>
        <v>4471</v>
      </c>
      <c r="K9456" s="1">
        <f>VALUE(5327)</f>
        <v>5327</v>
      </c>
      <c r="L9456" s="1">
        <f>VALUE(6190)</f>
        <v>6190</v>
      </c>
      <c r="M9456" s="1">
        <f>VALUE(7021)</f>
        <v>7021</v>
      </c>
      <c r="N9456" t="s">
        <v>16</v>
      </c>
    </row>
    <row r="9457" spans="1:14" x14ac:dyDescent="0.25">
      <c r="A9457" t="s">
        <v>43</v>
      </c>
      <c r="B9457" t="s">
        <v>39</v>
      </c>
      <c r="C9457" t="s">
        <v>38</v>
      </c>
      <c r="D9457" t="s">
        <v>15</v>
      </c>
      <c r="E9457" t="s">
        <v>21</v>
      </c>
      <c r="F9457" t="s">
        <v>15</v>
      </c>
      <c r="G9457" s="2">
        <f>VALUE(3523.03)</f>
        <v>3523.03</v>
      </c>
      <c r="H9457" s="3">
        <f>VALUE(3156.63)</f>
        <v>3156.63</v>
      </c>
      <c r="I9457" s="4">
        <f>VALUE(5433)</f>
        <v>5433</v>
      </c>
      <c r="J9457" s="1">
        <f>VALUE(7148)</f>
        <v>7148</v>
      </c>
      <c r="K9457" s="1">
        <f>VALUE(9425)</f>
        <v>9425</v>
      </c>
      <c r="L9457" s="1">
        <f>VALUE(12604)</f>
        <v>12604</v>
      </c>
      <c r="M9457" s="1">
        <f>VALUE(18571)</f>
        <v>18571</v>
      </c>
      <c r="N9457" t="s">
        <v>25</v>
      </c>
    </row>
    <row r="9458" spans="1:14" x14ac:dyDescent="0.25">
      <c r="A9458" t="s">
        <v>43</v>
      </c>
      <c r="B9458" t="s">
        <v>39</v>
      </c>
      <c r="C9458" t="s">
        <v>38</v>
      </c>
      <c r="D9458" t="s">
        <v>15</v>
      </c>
      <c r="E9458" t="s">
        <v>21</v>
      </c>
      <c r="F9458" t="s">
        <v>17</v>
      </c>
      <c r="G9458" s="2">
        <f>VALUE(1994.33)</f>
        <v>1994.33</v>
      </c>
      <c r="H9458" s="3">
        <f>VALUE(1780.18)</f>
        <v>1780.18</v>
      </c>
      <c r="I9458" s="1">
        <f>VALUE(7553)</f>
        <v>7553</v>
      </c>
      <c r="J9458" s="1">
        <f>VALUE(9208)</f>
        <v>9208</v>
      </c>
      <c r="K9458" s="1">
        <f>VALUE(11360)</f>
        <v>11360</v>
      </c>
      <c r="L9458" s="1">
        <f>VALUE(16065)</f>
        <v>16065</v>
      </c>
      <c r="M9458" s="1">
        <f>VALUE(21587)</f>
        <v>21587</v>
      </c>
      <c r="N9458" t="s">
        <v>25</v>
      </c>
    </row>
    <row r="9459" spans="1:14" x14ac:dyDescent="0.25">
      <c r="A9459" t="s">
        <v>43</v>
      </c>
      <c r="B9459" t="s">
        <v>39</v>
      </c>
      <c r="C9459" t="s">
        <v>38</v>
      </c>
      <c r="D9459" t="s">
        <v>15</v>
      </c>
      <c r="E9459" t="s">
        <v>21</v>
      </c>
      <c r="F9459" t="s">
        <v>18</v>
      </c>
      <c r="G9459" s="2">
        <f>VALUE(390.89)</f>
        <v>390.89</v>
      </c>
      <c r="H9459" s="3">
        <f>VALUE(378.77)</f>
        <v>378.77</v>
      </c>
      <c r="I9459" s="1">
        <f>VALUE(6707)</f>
        <v>6707</v>
      </c>
      <c r="J9459" s="1">
        <f>VALUE(7307)</f>
        <v>7307</v>
      </c>
      <c r="K9459" s="1">
        <f>VALUE(8333)</f>
        <v>8333</v>
      </c>
      <c r="L9459" s="1">
        <f>VALUE(10527)</f>
        <v>10527</v>
      </c>
      <c r="M9459" s="1">
        <f>VALUE(11693)</f>
        <v>11693</v>
      </c>
      <c r="N9459" t="s">
        <v>25</v>
      </c>
    </row>
    <row r="9460" spans="1:14" x14ac:dyDescent="0.25">
      <c r="A9460" t="s">
        <v>43</v>
      </c>
      <c r="B9460" t="s">
        <v>39</v>
      </c>
      <c r="C9460" t="s">
        <v>38</v>
      </c>
      <c r="D9460" t="s">
        <v>15</v>
      </c>
      <c r="E9460" t="s">
        <v>21</v>
      </c>
      <c r="F9460" t="s">
        <v>19</v>
      </c>
      <c r="G9460" s="2">
        <f>VALUE(313.85)</f>
        <v>313.85000000000002</v>
      </c>
      <c r="H9460" s="3">
        <f>VALUE(298)</f>
        <v>298</v>
      </c>
      <c r="I9460" s="1">
        <f>VALUE(5796)</f>
        <v>5796</v>
      </c>
      <c r="J9460" s="1">
        <f>VALUE(6896)</f>
        <v>6896</v>
      </c>
      <c r="K9460" s="1">
        <f>VALUE(8045)</f>
        <v>8045</v>
      </c>
      <c r="L9460" s="1">
        <f>VALUE(9469)</f>
        <v>9469</v>
      </c>
      <c r="M9460" s="8">
        <f>VALUE(10993)</f>
        <v>10993</v>
      </c>
      <c r="N9460" t="s">
        <v>25</v>
      </c>
    </row>
    <row r="9461" spans="1:14" x14ac:dyDescent="0.25">
      <c r="A9461" t="s">
        <v>43</v>
      </c>
      <c r="B9461" t="s">
        <v>39</v>
      </c>
      <c r="C9461" t="s">
        <v>38</v>
      </c>
      <c r="D9461" t="s">
        <v>15</v>
      </c>
      <c r="E9461" t="s">
        <v>21</v>
      </c>
      <c r="F9461" t="s">
        <v>20</v>
      </c>
      <c r="G9461" s="2">
        <f>VALUE(823.96)</f>
        <v>823.96</v>
      </c>
      <c r="H9461" s="3">
        <f>VALUE(699.68)</f>
        <v>699.68</v>
      </c>
      <c r="I9461" s="4">
        <f>VALUE(4948)</f>
        <v>4948</v>
      </c>
      <c r="J9461" s="1">
        <f>VALUE(5247)</f>
        <v>5247</v>
      </c>
      <c r="K9461" s="1">
        <f>VALUE(6306)</f>
        <v>6306</v>
      </c>
      <c r="L9461" s="1">
        <f>VALUE(8069)</f>
        <v>8069</v>
      </c>
      <c r="M9461" s="8">
        <f>VALUE(9663)</f>
        <v>9663</v>
      </c>
      <c r="N9461" t="s">
        <v>25</v>
      </c>
    </row>
    <row r="9462" spans="1:14" x14ac:dyDescent="0.25">
      <c r="A9462" t="s">
        <v>43</v>
      </c>
      <c r="B9462" t="s">
        <v>39</v>
      </c>
      <c r="C9462" t="s">
        <v>38</v>
      </c>
      <c r="D9462" t="s">
        <v>15</v>
      </c>
      <c r="E9462" t="s">
        <v>22</v>
      </c>
      <c r="F9462" t="s">
        <v>15</v>
      </c>
      <c r="G9462" s="1">
        <f>VALUE(7787.61)</f>
        <v>7787.61</v>
      </c>
      <c r="H9462" s="1">
        <f>VALUE(7393.8)</f>
        <v>7393.8</v>
      </c>
      <c r="I9462" s="1">
        <f>VALUE(4525)</f>
        <v>4525</v>
      </c>
      <c r="J9462" s="1">
        <f>VALUE(5341)</f>
        <v>5341</v>
      </c>
      <c r="K9462" s="1">
        <f>VALUE(6190)</f>
        <v>6190</v>
      </c>
      <c r="L9462" s="1">
        <f>VALUE(7583)</f>
        <v>7583</v>
      </c>
      <c r="M9462" s="1">
        <f>VALUE(10054)</f>
        <v>10054</v>
      </c>
      <c r="N9462" t="s">
        <v>16</v>
      </c>
    </row>
    <row r="9463" spans="1:14" x14ac:dyDescent="0.25">
      <c r="A9463" t="s">
        <v>43</v>
      </c>
      <c r="B9463" t="s">
        <v>39</v>
      </c>
      <c r="C9463" t="s">
        <v>38</v>
      </c>
      <c r="D9463" t="s">
        <v>15</v>
      </c>
      <c r="E9463" t="s">
        <v>22</v>
      </c>
      <c r="F9463" t="s">
        <v>17</v>
      </c>
      <c r="G9463" s="2">
        <f>VALUE(1723.99)</f>
        <v>1723.99</v>
      </c>
      <c r="H9463" s="3">
        <f>VALUE(1626.14)</f>
        <v>1626.14</v>
      </c>
      <c r="I9463" s="1">
        <f>VALUE(5714)</f>
        <v>5714</v>
      </c>
      <c r="J9463" s="5">
        <f>VALUE(6262)</f>
        <v>6262</v>
      </c>
      <c r="K9463" s="1">
        <f>VALUE(8185)</f>
        <v>8185</v>
      </c>
      <c r="L9463" s="1">
        <f>VALUE(11063)</f>
        <v>11063</v>
      </c>
      <c r="M9463" s="8">
        <f>VALUE(17251)</f>
        <v>17251</v>
      </c>
      <c r="N9463" t="s">
        <v>25</v>
      </c>
    </row>
    <row r="9464" spans="1:14" x14ac:dyDescent="0.25">
      <c r="A9464" t="s">
        <v>43</v>
      </c>
      <c r="B9464" t="s">
        <v>39</v>
      </c>
      <c r="C9464" t="s">
        <v>38</v>
      </c>
      <c r="D9464" t="s">
        <v>15</v>
      </c>
      <c r="E9464" t="s">
        <v>22</v>
      </c>
      <c r="F9464" t="s">
        <v>18</v>
      </c>
      <c r="G9464" s="2">
        <f>VALUE(844.03)</f>
        <v>844.03</v>
      </c>
      <c r="H9464" s="3">
        <f>VALUE(836.42)</f>
        <v>836.42</v>
      </c>
      <c r="I9464" s="1">
        <f>VALUE(5232)</f>
        <v>5232</v>
      </c>
      <c r="J9464" s="1">
        <f>VALUE(5855)</f>
        <v>5855</v>
      </c>
      <c r="K9464" s="6">
        <f>VALUE(7177)</f>
        <v>7177</v>
      </c>
      <c r="L9464" s="7">
        <f>VALUE(9127)</f>
        <v>9127</v>
      </c>
      <c r="M9464" s="8">
        <f>VALUE(10917)</f>
        <v>10917</v>
      </c>
      <c r="N9464" t="s">
        <v>25</v>
      </c>
    </row>
    <row r="9465" spans="1:14" x14ac:dyDescent="0.25">
      <c r="A9465" t="s">
        <v>43</v>
      </c>
      <c r="B9465" t="s">
        <v>39</v>
      </c>
      <c r="C9465" t="s">
        <v>38</v>
      </c>
      <c r="D9465" t="s">
        <v>15</v>
      </c>
      <c r="E9465" t="s">
        <v>22</v>
      </c>
      <c r="F9465" t="s">
        <v>19</v>
      </c>
      <c r="G9465" s="2">
        <f>VALUE(923.82)</f>
        <v>923.82</v>
      </c>
      <c r="H9465" s="3">
        <f>VALUE(906.44)</f>
        <v>906.44</v>
      </c>
      <c r="I9465" s="4">
        <f>VALUE(5216)</f>
        <v>5216</v>
      </c>
      <c r="J9465" s="1">
        <f>VALUE(5542)</f>
        <v>5542</v>
      </c>
      <c r="K9465" s="1">
        <f>VALUE(6478)</f>
        <v>6478</v>
      </c>
      <c r="L9465" s="1">
        <f>VALUE(7573)</f>
        <v>7573</v>
      </c>
      <c r="M9465" s="1">
        <f>VALUE(8602)</f>
        <v>8602</v>
      </c>
      <c r="N9465" t="s">
        <v>25</v>
      </c>
    </row>
    <row r="9466" spans="1:14" x14ac:dyDescent="0.25">
      <c r="A9466" t="s">
        <v>43</v>
      </c>
      <c r="B9466" t="s">
        <v>39</v>
      </c>
      <c r="C9466" t="s">
        <v>38</v>
      </c>
      <c r="D9466" t="s">
        <v>15</v>
      </c>
      <c r="E9466" t="s">
        <v>22</v>
      </c>
      <c r="F9466" t="s">
        <v>20</v>
      </c>
      <c r="G9466" s="2">
        <f>VALUE(4295.77)</f>
        <v>4295.7700000000004</v>
      </c>
      <c r="H9466" s="3">
        <f>VALUE(4024.8)</f>
        <v>4024.8</v>
      </c>
      <c r="I9466" s="1">
        <f>VALUE(4332)</f>
        <v>4332</v>
      </c>
      <c r="J9466" s="1">
        <f>VALUE(4903)</f>
        <v>4903</v>
      </c>
      <c r="K9466" s="1">
        <f>VALUE(5665)</f>
        <v>5665</v>
      </c>
      <c r="L9466" s="1">
        <f>VALUE(6588)</f>
        <v>6588</v>
      </c>
      <c r="M9466" s="1">
        <f>VALUE(7283)</f>
        <v>7283</v>
      </c>
      <c r="N9466" t="s">
        <v>25</v>
      </c>
    </row>
    <row r="9467" spans="1:14" x14ac:dyDescent="0.25">
      <c r="A9467" t="s">
        <v>43</v>
      </c>
      <c r="B9467" t="s">
        <v>39</v>
      </c>
      <c r="C9467" t="s">
        <v>38</v>
      </c>
      <c r="D9467" t="s">
        <v>15</v>
      </c>
      <c r="E9467" t="s">
        <v>23</v>
      </c>
      <c r="F9467" t="s">
        <v>15</v>
      </c>
      <c r="G9467" s="2">
        <f>VALUE(6878.18)</f>
        <v>6878.18</v>
      </c>
      <c r="H9467" s="3">
        <f>VALUE(6845.56)</f>
        <v>6845.56</v>
      </c>
      <c r="I9467" s="1">
        <f>VALUE(3628)</f>
        <v>3628</v>
      </c>
      <c r="J9467" s="1">
        <f>VALUE(4149)</f>
        <v>4149</v>
      </c>
      <c r="K9467" s="1">
        <f>VALUE(5148)</f>
        <v>5148</v>
      </c>
      <c r="L9467" s="1">
        <f>VALUE(5883)</f>
        <v>5883</v>
      </c>
      <c r="M9467" s="1">
        <f>VALUE(6770)</f>
        <v>6770</v>
      </c>
      <c r="N9467" t="s">
        <v>25</v>
      </c>
    </row>
    <row r="9468" spans="1:14" x14ac:dyDescent="0.25">
      <c r="A9468" t="s">
        <v>43</v>
      </c>
      <c r="B9468" t="s">
        <v>39</v>
      </c>
      <c r="C9468" t="s">
        <v>38</v>
      </c>
      <c r="D9468" t="s">
        <v>15</v>
      </c>
      <c r="E9468" t="s">
        <v>23</v>
      </c>
      <c r="F9468" t="s">
        <v>17</v>
      </c>
      <c r="G9468" s="2">
        <f>VALUE(311.03)</f>
        <v>311.02999999999997</v>
      </c>
      <c r="H9468" s="3">
        <f>VALUE(316.72)</f>
        <v>316.72000000000003</v>
      </c>
      <c r="I9468" s="4">
        <f>VALUE(5397)</f>
        <v>5397</v>
      </c>
      <c r="J9468" s="1">
        <f>VALUE(5714)</f>
        <v>5714</v>
      </c>
      <c r="K9468" s="1">
        <f>VALUE(6979)</f>
        <v>6979</v>
      </c>
      <c r="L9468" s="1">
        <f>VALUE(10458)</f>
        <v>10458</v>
      </c>
      <c r="M9468" s="1">
        <f>VALUE(10458)</f>
        <v>10458</v>
      </c>
      <c r="N9468" t="s">
        <v>25</v>
      </c>
    </row>
    <row r="9469" spans="1:14" x14ac:dyDescent="0.25">
      <c r="A9469" t="s">
        <v>43</v>
      </c>
      <c r="B9469" t="s">
        <v>39</v>
      </c>
      <c r="C9469" t="s">
        <v>38</v>
      </c>
      <c r="D9469" t="s">
        <v>15</v>
      </c>
      <c r="E9469" t="s">
        <v>23</v>
      </c>
      <c r="F9469" t="s">
        <v>18</v>
      </c>
      <c r="G9469" s="2">
        <f>VALUE(327.67)</f>
        <v>327.67</v>
      </c>
      <c r="H9469" s="3">
        <f>VALUE(329.25)</f>
        <v>329.25</v>
      </c>
      <c r="I9469" s="4">
        <f>VALUE(4746)</f>
        <v>4746</v>
      </c>
      <c r="J9469" s="5">
        <f>VALUE(4875)</f>
        <v>4875</v>
      </c>
      <c r="K9469" s="6">
        <f>VALUE(5313)</f>
        <v>5313</v>
      </c>
      <c r="L9469" s="1">
        <f>VALUE(6400)</f>
        <v>6400</v>
      </c>
      <c r="M9469" s="8">
        <f>VALUE(7111)</f>
        <v>7111</v>
      </c>
      <c r="N9469" t="s">
        <v>25</v>
      </c>
    </row>
    <row r="9470" spans="1:14" x14ac:dyDescent="0.25">
      <c r="A9470" t="s">
        <v>43</v>
      </c>
      <c r="B9470" t="s">
        <v>39</v>
      </c>
      <c r="C9470" t="s">
        <v>38</v>
      </c>
      <c r="D9470" t="s">
        <v>15</v>
      </c>
      <c r="E9470" t="s">
        <v>23</v>
      </c>
      <c r="F9470" t="s">
        <v>19</v>
      </c>
      <c r="G9470" s="2">
        <f>VALUE(909.87)</f>
        <v>909.87</v>
      </c>
      <c r="H9470" s="3">
        <f>VALUE(937.19)</f>
        <v>937.19</v>
      </c>
      <c r="I9470" s="1">
        <f>VALUE(3895)</f>
        <v>3895</v>
      </c>
      <c r="J9470" s="5">
        <f>VALUE(4130)</f>
        <v>4130</v>
      </c>
      <c r="K9470" s="6">
        <f>VALUE(5478)</f>
        <v>5478</v>
      </c>
      <c r="L9470" s="7">
        <f>VALUE(6770)</f>
        <v>6770</v>
      </c>
      <c r="M9470" s="8">
        <f>VALUE(6943)</f>
        <v>6943</v>
      </c>
      <c r="N9470" t="s">
        <v>25</v>
      </c>
    </row>
    <row r="9471" spans="1:14" x14ac:dyDescent="0.25">
      <c r="A9471" t="s">
        <v>43</v>
      </c>
      <c r="B9471" t="s">
        <v>39</v>
      </c>
      <c r="C9471" t="s">
        <v>38</v>
      </c>
      <c r="D9471" t="s">
        <v>15</v>
      </c>
      <c r="E9471" t="s">
        <v>23</v>
      </c>
      <c r="F9471" t="s">
        <v>20</v>
      </c>
      <c r="G9471" s="2">
        <f>VALUE(5329.61)</f>
        <v>5329.61</v>
      </c>
      <c r="H9471" s="3">
        <f>VALUE(5262.4)</f>
        <v>5262.4</v>
      </c>
      <c r="I9471" s="1">
        <f>VALUE(3556)</f>
        <v>3556</v>
      </c>
      <c r="J9471" s="1">
        <f>VALUE(4091)</f>
        <v>4091</v>
      </c>
      <c r="K9471" s="1">
        <f>VALUE(5049)</f>
        <v>5049</v>
      </c>
      <c r="L9471" s="1">
        <f>VALUE(5609)</f>
        <v>5609</v>
      </c>
      <c r="M9471" s="1">
        <f>VALUE(6390)</f>
        <v>6390</v>
      </c>
      <c r="N9471" t="s">
        <v>25</v>
      </c>
    </row>
    <row r="9472" spans="1:14" x14ac:dyDescent="0.25">
      <c r="A9472" t="s">
        <v>43</v>
      </c>
      <c r="B9472" t="s">
        <v>39</v>
      </c>
      <c r="C9472" t="s">
        <v>38</v>
      </c>
      <c r="D9472" t="s">
        <v>15</v>
      </c>
      <c r="E9472" t="s">
        <v>26</v>
      </c>
      <c r="F9472" t="s">
        <v>15</v>
      </c>
      <c r="G9472" s="2">
        <f>VALUE(220.18)</f>
        <v>220.18</v>
      </c>
      <c r="H9472" s="3">
        <f>VALUE(208.99)</f>
        <v>208.99</v>
      </c>
      <c r="I9472" s="1">
        <f>VALUE(4277)</f>
        <v>4277</v>
      </c>
      <c r="J9472" s="1">
        <f>VALUE(4974)</f>
        <v>4974</v>
      </c>
      <c r="K9472" s="1">
        <f>VALUE(6113)</f>
        <v>6113</v>
      </c>
      <c r="L9472" s="7">
        <f>VALUE(8310)</f>
        <v>8310</v>
      </c>
      <c r="M9472" s="8">
        <f>VALUE(14545)</f>
        <v>14545</v>
      </c>
      <c r="N9472" t="s">
        <v>25</v>
      </c>
    </row>
    <row r="9473" spans="1:14" x14ac:dyDescent="0.25">
      <c r="A9473" t="s">
        <v>43</v>
      </c>
      <c r="B9473" t="s">
        <v>39</v>
      </c>
      <c r="C9473" t="s">
        <v>38</v>
      </c>
      <c r="D9473" t="s">
        <v>15</v>
      </c>
      <c r="E9473" t="s">
        <v>26</v>
      </c>
      <c r="F9473" t="s">
        <v>17</v>
      </c>
      <c r="G9473" s="1" t="str">
        <f t="shared" ref="G9473:M9476" si="2094">"X"</f>
        <v>X</v>
      </c>
      <c r="H9473" s="1" t="str">
        <f t="shared" si="2094"/>
        <v>X</v>
      </c>
      <c r="I9473" s="1" t="str">
        <f t="shared" si="2094"/>
        <v>X</v>
      </c>
      <c r="J9473" s="1" t="str">
        <f t="shared" si="2094"/>
        <v>X</v>
      </c>
      <c r="K9473" s="1" t="str">
        <f t="shared" si="2094"/>
        <v>X</v>
      </c>
      <c r="L9473" s="1" t="str">
        <f t="shared" si="2094"/>
        <v>X</v>
      </c>
      <c r="M9473" s="1" t="str">
        <f t="shared" si="2094"/>
        <v>X</v>
      </c>
      <c r="N9473" t="s">
        <v>27</v>
      </c>
    </row>
    <row r="9474" spans="1:14" x14ac:dyDescent="0.25">
      <c r="A9474" t="s">
        <v>43</v>
      </c>
      <c r="B9474" t="s">
        <v>39</v>
      </c>
      <c r="C9474" t="s">
        <v>38</v>
      </c>
      <c r="D9474" t="s">
        <v>15</v>
      </c>
      <c r="E9474" t="s">
        <v>26</v>
      </c>
      <c r="F9474" t="s">
        <v>18</v>
      </c>
      <c r="G9474" s="1" t="str">
        <f t="shared" si="2094"/>
        <v>X</v>
      </c>
      <c r="H9474" s="1" t="str">
        <f t="shared" si="2094"/>
        <v>X</v>
      </c>
      <c r="I9474" s="1" t="str">
        <f t="shared" si="2094"/>
        <v>X</v>
      </c>
      <c r="J9474" s="1" t="str">
        <f t="shared" si="2094"/>
        <v>X</v>
      </c>
      <c r="K9474" s="1" t="str">
        <f t="shared" si="2094"/>
        <v>X</v>
      </c>
      <c r="L9474" s="1" t="str">
        <f t="shared" si="2094"/>
        <v>X</v>
      </c>
      <c r="M9474" s="1" t="str">
        <f t="shared" si="2094"/>
        <v>X</v>
      </c>
      <c r="N9474" t="s">
        <v>27</v>
      </c>
    </row>
    <row r="9475" spans="1:14" x14ac:dyDescent="0.25">
      <c r="A9475" t="s">
        <v>43</v>
      </c>
      <c r="B9475" t="s">
        <v>39</v>
      </c>
      <c r="C9475" t="s">
        <v>38</v>
      </c>
      <c r="D9475" t="s">
        <v>15</v>
      </c>
      <c r="E9475" t="s">
        <v>26</v>
      </c>
      <c r="F9475" t="s">
        <v>19</v>
      </c>
      <c r="G9475" s="1" t="str">
        <f t="shared" si="2094"/>
        <v>X</v>
      </c>
      <c r="H9475" s="1" t="str">
        <f t="shared" si="2094"/>
        <v>X</v>
      </c>
      <c r="I9475" s="1" t="str">
        <f t="shared" si="2094"/>
        <v>X</v>
      </c>
      <c r="J9475" s="1" t="str">
        <f t="shared" si="2094"/>
        <v>X</v>
      </c>
      <c r="K9475" s="1" t="str">
        <f t="shared" si="2094"/>
        <v>X</v>
      </c>
      <c r="L9475" s="1" t="str">
        <f t="shared" si="2094"/>
        <v>X</v>
      </c>
      <c r="M9475" s="1" t="str">
        <f t="shared" si="2094"/>
        <v>X</v>
      </c>
      <c r="N9475" t="s">
        <v>27</v>
      </c>
    </row>
    <row r="9476" spans="1:14" x14ac:dyDescent="0.25">
      <c r="A9476" t="s">
        <v>43</v>
      </c>
      <c r="B9476" t="s">
        <v>39</v>
      </c>
      <c r="C9476" t="s">
        <v>38</v>
      </c>
      <c r="D9476" t="s">
        <v>15</v>
      </c>
      <c r="E9476" t="s">
        <v>26</v>
      </c>
      <c r="F9476" t="s">
        <v>20</v>
      </c>
      <c r="G9476" s="1" t="str">
        <f t="shared" si="2094"/>
        <v>X</v>
      </c>
      <c r="H9476" s="1" t="str">
        <f t="shared" si="2094"/>
        <v>X</v>
      </c>
      <c r="I9476" s="1" t="str">
        <f t="shared" si="2094"/>
        <v>X</v>
      </c>
      <c r="J9476" s="1" t="str">
        <f t="shared" si="2094"/>
        <v>X</v>
      </c>
      <c r="K9476" s="1" t="str">
        <f t="shared" si="2094"/>
        <v>X</v>
      </c>
      <c r="L9476" s="1" t="str">
        <f t="shared" si="2094"/>
        <v>X</v>
      </c>
      <c r="M9476" s="1" t="str">
        <f t="shared" si="2094"/>
        <v>X</v>
      </c>
      <c r="N9476" t="s">
        <v>27</v>
      </c>
    </row>
    <row r="9477" spans="1:14" x14ac:dyDescent="0.25">
      <c r="A9477" t="s">
        <v>43</v>
      </c>
      <c r="B9477" t="s">
        <v>39</v>
      </c>
      <c r="C9477" t="s">
        <v>38</v>
      </c>
      <c r="D9477" t="s">
        <v>28</v>
      </c>
      <c r="E9477" t="s">
        <v>15</v>
      </c>
      <c r="F9477" t="s">
        <v>15</v>
      </c>
      <c r="G9477" s="1">
        <f>VALUE(7453.49)</f>
        <v>7453.49</v>
      </c>
      <c r="H9477" s="1">
        <f>VALUE(6882.95)</f>
        <v>6882.95</v>
      </c>
      <c r="I9477" s="1">
        <f>VALUE(4821)</f>
        <v>4821</v>
      </c>
      <c r="J9477" s="1">
        <f>VALUE(5549)</f>
        <v>5549</v>
      </c>
      <c r="K9477" s="1">
        <f>VALUE(6984)</f>
        <v>6984</v>
      </c>
      <c r="L9477" s="1">
        <f>VALUE(9804)</f>
        <v>9804</v>
      </c>
      <c r="M9477" s="1">
        <f>VALUE(13914)</f>
        <v>13914</v>
      </c>
      <c r="N9477" t="s">
        <v>16</v>
      </c>
    </row>
    <row r="9478" spans="1:14" x14ac:dyDescent="0.25">
      <c r="A9478" t="s">
        <v>43</v>
      </c>
      <c r="B9478" t="s">
        <v>39</v>
      </c>
      <c r="C9478" t="s">
        <v>38</v>
      </c>
      <c r="D9478" t="s">
        <v>28</v>
      </c>
      <c r="E9478" t="s">
        <v>15</v>
      </c>
      <c r="F9478" t="s">
        <v>17</v>
      </c>
      <c r="G9478" s="2">
        <f>VALUE(2743.23)</f>
        <v>2743.23</v>
      </c>
      <c r="H9478" s="3">
        <f>VALUE(2484.36)</f>
        <v>2484.36</v>
      </c>
      <c r="I9478" s="1">
        <f>VALUE(6262)</f>
        <v>6262</v>
      </c>
      <c r="J9478" s="1">
        <f>VALUE(7927)</f>
        <v>7927</v>
      </c>
      <c r="K9478" s="1">
        <f>VALUE(10317)</f>
        <v>10317</v>
      </c>
      <c r="L9478" s="1">
        <f>VALUE(14083)</f>
        <v>14083</v>
      </c>
      <c r="M9478" s="1">
        <f>VALUE(20000)</f>
        <v>20000</v>
      </c>
      <c r="N9478" t="s">
        <v>25</v>
      </c>
    </row>
    <row r="9479" spans="1:14" x14ac:dyDescent="0.25">
      <c r="A9479" t="s">
        <v>43</v>
      </c>
      <c r="B9479" t="s">
        <v>39</v>
      </c>
      <c r="C9479" t="s">
        <v>38</v>
      </c>
      <c r="D9479" t="s">
        <v>28</v>
      </c>
      <c r="E9479" t="s">
        <v>15</v>
      </c>
      <c r="F9479" t="s">
        <v>18</v>
      </c>
      <c r="G9479" s="2">
        <f>VALUE(853.42)</f>
        <v>853.42</v>
      </c>
      <c r="H9479" s="3">
        <f>VALUE(842.08)</f>
        <v>842.08</v>
      </c>
      <c r="I9479" s="1">
        <f>VALUE(5274)</f>
        <v>5274</v>
      </c>
      <c r="J9479" s="1">
        <f>VALUE(6045)</f>
        <v>6045</v>
      </c>
      <c r="K9479" s="6">
        <f>VALUE(7767)</f>
        <v>7767</v>
      </c>
      <c r="L9479" s="1">
        <f>VALUE(10004)</f>
        <v>10004</v>
      </c>
      <c r="M9479" s="1">
        <f>VALUE(11576)</f>
        <v>11576</v>
      </c>
      <c r="N9479" t="s">
        <v>25</v>
      </c>
    </row>
    <row r="9480" spans="1:14" x14ac:dyDescent="0.25">
      <c r="A9480" t="s">
        <v>43</v>
      </c>
      <c r="B9480" t="s">
        <v>39</v>
      </c>
      <c r="C9480" t="s">
        <v>38</v>
      </c>
      <c r="D9480" t="s">
        <v>28</v>
      </c>
      <c r="E9480" t="s">
        <v>15</v>
      </c>
      <c r="F9480" t="s">
        <v>19</v>
      </c>
      <c r="G9480" s="2">
        <f>VALUE(723.34)</f>
        <v>723.34</v>
      </c>
      <c r="H9480" s="3">
        <f>VALUE(693.03)</f>
        <v>693.03</v>
      </c>
      <c r="I9480" s="4">
        <f>VALUE(5000)</f>
        <v>5000</v>
      </c>
      <c r="J9480" s="1">
        <f>VALUE(5541)</f>
        <v>5541</v>
      </c>
      <c r="K9480" s="1">
        <f>VALUE(6480)</f>
        <v>6480</v>
      </c>
      <c r="L9480" s="1">
        <f>VALUE(7798)</f>
        <v>7798</v>
      </c>
      <c r="M9480" s="1">
        <f>VALUE(9470)</f>
        <v>9470</v>
      </c>
      <c r="N9480" t="s">
        <v>25</v>
      </c>
    </row>
    <row r="9481" spans="1:14" x14ac:dyDescent="0.25">
      <c r="A9481" t="s">
        <v>43</v>
      </c>
      <c r="B9481" t="s">
        <v>39</v>
      </c>
      <c r="C9481" t="s">
        <v>38</v>
      </c>
      <c r="D9481" t="s">
        <v>28</v>
      </c>
      <c r="E9481" t="s">
        <v>15</v>
      </c>
      <c r="F9481" t="s">
        <v>20</v>
      </c>
      <c r="G9481" s="2">
        <f>VALUE(3133.5)</f>
        <v>3133.5</v>
      </c>
      <c r="H9481" s="3">
        <f>VALUE(2863.48)</f>
        <v>2863.48</v>
      </c>
      <c r="I9481" s="4">
        <f>VALUE(4331)</f>
        <v>4331</v>
      </c>
      <c r="J9481" s="1">
        <f>VALUE(5080)</f>
        <v>5080</v>
      </c>
      <c r="K9481" s="1">
        <f>VALUE(5742)</f>
        <v>5742</v>
      </c>
      <c r="L9481" s="1">
        <f>VALUE(6499)</f>
        <v>6499</v>
      </c>
      <c r="M9481" s="1">
        <f>VALUE(7711)</f>
        <v>7711</v>
      </c>
      <c r="N9481" t="s">
        <v>25</v>
      </c>
    </row>
    <row r="9482" spans="1:14" x14ac:dyDescent="0.25">
      <c r="A9482" t="s">
        <v>43</v>
      </c>
      <c r="B9482" t="s">
        <v>39</v>
      </c>
      <c r="C9482" t="s">
        <v>38</v>
      </c>
      <c r="D9482" t="s">
        <v>28</v>
      </c>
      <c r="E9482" t="s">
        <v>21</v>
      </c>
      <c r="F9482" t="s">
        <v>15</v>
      </c>
      <c r="G9482" s="2">
        <f>VALUE(2152.06)</f>
        <v>2152.06</v>
      </c>
      <c r="H9482" s="3">
        <f>VALUE(1883.28)</f>
        <v>1883.28</v>
      </c>
      <c r="I9482" s="1">
        <f>VALUE(6127)</f>
        <v>6127</v>
      </c>
      <c r="J9482" s="1">
        <f>VALUE(7905)</f>
        <v>7905</v>
      </c>
      <c r="K9482" s="1">
        <f>VALUE(10165)</f>
        <v>10165</v>
      </c>
      <c r="L9482" s="1">
        <f>VALUE(13500)</f>
        <v>13500</v>
      </c>
      <c r="M9482" s="1">
        <f>VALUE(19608)</f>
        <v>19608</v>
      </c>
      <c r="N9482" t="s">
        <v>25</v>
      </c>
    </row>
    <row r="9483" spans="1:14" x14ac:dyDescent="0.25">
      <c r="A9483" t="s">
        <v>43</v>
      </c>
      <c r="B9483" t="s">
        <v>39</v>
      </c>
      <c r="C9483" t="s">
        <v>38</v>
      </c>
      <c r="D9483" t="s">
        <v>28</v>
      </c>
      <c r="E9483" t="s">
        <v>21</v>
      </c>
      <c r="F9483" t="s">
        <v>17</v>
      </c>
      <c r="G9483" s="2">
        <f>VALUE(1431.5)</f>
        <v>1431.5</v>
      </c>
      <c r="H9483" s="3">
        <f>VALUE(1258.56)</f>
        <v>1258.56</v>
      </c>
      <c r="I9483" s="4">
        <f>VALUE(7553)</f>
        <v>7553</v>
      </c>
      <c r="J9483" s="1">
        <f>VALUE(9000)</f>
        <v>9000</v>
      </c>
      <c r="K9483" s="1">
        <f>VALUE(11073)</f>
        <v>11073</v>
      </c>
      <c r="L9483" s="1">
        <f>VALUE(15470)</f>
        <v>15470</v>
      </c>
      <c r="M9483" s="1">
        <f>VALUE(21553)</f>
        <v>21553</v>
      </c>
      <c r="N9483" t="s">
        <v>25</v>
      </c>
    </row>
    <row r="9484" spans="1:14" x14ac:dyDescent="0.25">
      <c r="A9484" t="s">
        <v>43</v>
      </c>
      <c r="B9484" t="s">
        <v>39</v>
      </c>
      <c r="C9484" t="s">
        <v>38</v>
      </c>
      <c r="D9484" t="s">
        <v>28</v>
      </c>
      <c r="E9484" t="s">
        <v>21</v>
      </c>
      <c r="F9484" t="s">
        <v>18</v>
      </c>
      <c r="G9484" s="2">
        <f>VALUE(167.3)</f>
        <v>167.3</v>
      </c>
      <c r="H9484" s="3">
        <f>VALUE(161.71)</f>
        <v>161.71</v>
      </c>
      <c r="I9484" s="1">
        <f>VALUE(7421)</f>
        <v>7421</v>
      </c>
      <c r="J9484" s="1">
        <f>VALUE(7795)</f>
        <v>7795</v>
      </c>
      <c r="K9484" s="1">
        <f>VALUE(9668)</f>
        <v>9668</v>
      </c>
      <c r="L9484" s="1">
        <f>VALUE(11023)</f>
        <v>11023</v>
      </c>
      <c r="M9484" s="1">
        <f>VALUE(11933)</f>
        <v>11933</v>
      </c>
      <c r="N9484" t="s">
        <v>25</v>
      </c>
    </row>
    <row r="9485" spans="1:14" x14ac:dyDescent="0.25">
      <c r="A9485" t="s">
        <v>43</v>
      </c>
      <c r="B9485" t="s">
        <v>39</v>
      </c>
      <c r="C9485" t="s">
        <v>38</v>
      </c>
      <c r="D9485" t="s">
        <v>28</v>
      </c>
      <c r="E9485" t="s">
        <v>21</v>
      </c>
      <c r="F9485" t="s">
        <v>19</v>
      </c>
      <c r="G9485" s="1" t="str">
        <f t="shared" ref="G9485:M9485" si="2095">"X"</f>
        <v>X</v>
      </c>
      <c r="H9485" s="1" t="str">
        <f t="shared" si="2095"/>
        <v>X</v>
      </c>
      <c r="I9485" s="1" t="str">
        <f t="shared" si="2095"/>
        <v>X</v>
      </c>
      <c r="J9485" s="1" t="str">
        <f t="shared" si="2095"/>
        <v>X</v>
      </c>
      <c r="K9485" s="1" t="str">
        <f t="shared" si="2095"/>
        <v>X</v>
      </c>
      <c r="L9485" s="1" t="str">
        <f t="shared" si="2095"/>
        <v>X</v>
      </c>
      <c r="M9485" s="1" t="str">
        <f t="shared" si="2095"/>
        <v>X</v>
      </c>
      <c r="N9485" t="s">
        <v>27</v>
      </c>
    </row>
    <row r="9486" spans="1:14" x14ac:dyDescent="0.25">
      <c r="A9486" t="s">
        <v>43</v>
      </c>
      <c r="B9486" t="s">
        <v>39</v>
      </c>
      <c r="C9486" t="s">
        <v>38</v>
      </c>
      <c r="D9486" t="s">
        <v>28</v>
      </c>
      <c r="E9486" t="s">
        <v>21</v>
      </c>
      <c r="F9486" t="s">
        <v>20</v>
      </c>
      <c r="G9486" s="2">
        <f>VALUE(402.78)</f>
        <v>402.78</v>
      </c>
      <c r="H9486" s="3">
        <f>VALUE(321.27)</f>
        <v>321.27</v>
      </c>
      <c r="I9486" s="4">
        <f>VALUE(4948)</f>
        <v>4948</v>
      </c>
      <c r="J9486" s="5">
        <f>VALUE(5984)</f>
        <v>5984</v>
      </c>
      <c r="K9486" s="6">
        <f>VALUE(6499)</f>
        <v>6499</v>
      </c>
      <c r="L9486" s="1">
        <f>VALUE(8667)</f>
        <v>8667</v>
      </c>
      <c r="M9486" s="1">
        <f>VALUE(10800)</f>
        <v>10800</v>
      </c>
      <c r="N9486" t="s">
        <v>25</v>
      </c>
    </row>
    <row r="9487" spans="1:14" x14ac:dyDescent="0.25">
      <c r="A9487" t="s">
        <v>43</v>
      </c>
      <c r="B9487" t="s">
        <v>39</v>
      </c>
      <c r="C9487" t="s">
        <v>38</v>
      </c>
      <c r="D9487" t="s">
        <v>28</v>
      </c>
      <c r="E9487" t="s">
        <v>22</v>
      </c>
      <c r="F9487" t="s">
        <v>15</v>
      </c>
      <c r="G9487" s="2">
        <f>VALUE(4126.15)</f>
        <v>4126.1499999999996</v>
      </c>
      <c r="H9487" s="3">
        <f>VALUE(3861.21)</f>
        <v>3861.21</v>
      </c>
      <c r="I9487" s="1">
        <f>VALUE(5034)</f>
        <v>5034</v>
      </c>
      <c r="J9487" s="1">
        <f>VALUE(5630)</f>
        <v>5630</v>
      </c>
      <c r="K9487" s="1">
        <f>VALUE(6541)</f>
        <v>6541</v>
      </c>
      <c r="L9487" s="1">
        <f>VALUE(8450)</f>
        <v>8450</v>
      </c>
      <c r="M9487" s="8">
        <f>VALUE(11405)</f>
        <v>11405</v>
      </c>
      <c r="N9487" t="s">
        <v>25</v>
      </c>
    </row>
    <row r="9488" spans="1:14" x14ac:dyDescent="0.25">
      <c r="A9488" t="s">
        <v>43</v>
      </c>
      <c r="B9488" t="s">
        <v>39</v>
      </c>
      <c r="C9488" t="s">
        <v>38</v>
      </c>
      <c r="D9488" t="s">
        <v>28</v>
      </c>
      <c r="E9488" t="s">
        <v>22</v>
      </c>
      <c r="F9488" t="s">
        <v>17</v>
      </c>
      <c r="G9488" s="2">
        <f>VALUE(1157.37)</f>
        <v>1157.3699999999999</v>
      </c>
      <c r="H9488" s="3">
        <f>VALUE(1072.89)</f>
        <v>1072.8900000000001</v>
      </c>
      <c r="I9488" s="4">
        <f>VALUE(5775)</f>
        <v>5775</v>
      </c>
      <c r="J9488" s="5">
        <f>VALUE(7573)</f>
        <v>7573</v>
      </c>
      <c r="K9488" s="6">
        <f>VALUE(8528)</f>
        <v>8528</v>
      </c>
      <c r="L9488" s="7">
        <f>VALUE(11905)</f>
        <v>11905</v>
      </c>
      <c r="M9488" s="8">
        <f>VALUE(18430)</f>
        <v>18430</v>
      </c>
      <c r="N9488" t="s">
        <v>24</v>
      </c>
    </row>
    <row r="9489" spans="1:14" x14ac:dyDescent="0.25">
      <c r="A9489" t="s">
        <v>43</v>
      </c>
      <c r="B9489" t="s">
        <v>39</v>
      </c>
      <c r="C9489" t="s">
        <v>38</v>
      </c>
      <c r="D9489" t="s">
        <v>28</v>
      </c>
      <c r="E9489" t="s">
        <v>22</v>
      </c>
      <c r="F9489" t="s">
        <v>18</v>
      </c>
      <c r="G9489" s="2">
        <f>VALUE(594.27)</f>
        <v>594.27</v>
      </c>
      <c r="H9489" s="3">
        <f>VALUE(586.58)</f>
        <v>586.58000000000004</v>
      </c>
      <c r="I9489" s="4">
        <f>VALUE(5722)</f>
        <v>5722</v>
      </c>
      <c r="J9489" s="5">
        <f>VALUE(6087)</f>
        <v>6087</v>
      </c>
      <c r="K9489" s="6">
        <f>VALUE(7687)</f>
        <v>7687</v>
      </c>
      <c r="L9489" s="7">
        <f>VALUE(9604)</f>
        <v>9604</v>
      </c>
      <c r="M9489" s="8">
        <f>VALUE(11667)</f>
        <v>11667</v>
      </c>
      <c r="N9489" t="s">
        <v>24</v>
      </c>
    </row>
    <row r="9490" spans="1:14" x14ac:dyDescent="0.25">
      <c r="A9490" t="s">
        <v>43</v>
      </c>
      <c r="B9490" t="s">
        <v>39</v>
      </c>
      <c r="C9490" t="s">
        <v>38</v>
      </c>
      <c r="D9490" t="s">
        <v>28</v>
      </c>
      <c r="E9490" t="s">
        <v>22</v>
      </c>
      <c r="F9490" t="s">
        <v>19</v>
      </c>
      <c r="G9490" s="2">
        <f>VALUE(473.77)</f>
        <v>473.77</v>
      </c>
      <c r="H9490" s="3">
        <f>VALUE(454.68)</f>
        <v>454.68</v>
      </c>
      <c r="I9490" s="1">
        <f>VALUE(5216)</f>
        <v>5216</v>
      </c>
      <c r="J9490" s="1">
        <f>VALUE(5542)</f>
        <v>5542</v>
      </c>
      <c r="K9490" s="1">
        <f>VALUE(6478)</f>
        <v>6478</v>
      </c>
      <c r="L9490" s="1">
        <f>VALUE(7573)</f>
        <v>7573</v>
      </c>
      <c r="M9490" s="1">
        <f>VALUE(9070)</f>
        <v>9070</v>
      </c>
      <c r="N9490" t="s">
        <v>25</v>
      </c>
    </row>
    <row r="9491" spans="1:14" x14ac:dyDescent="0.25">
      <c r="A9491" t="s">
        <v>43</v>
      </c>
      <c r="B9491" t="s">
        <v>39</v>
      </c>
      <c r="C9491" t="s">
        <v>38</v>
      </c>
      <c r="D9491" t="s">
        <v>28</v>
      </c>
      <c r="E9491" t="s">
        <v>22</v>
      </c>
      <c r="F9491" t="s">
        <v>20</v>
      </c>
      <c r="G9491" s="2">
        <f>VALUE(1900.74)</f>
        <v>1900.74</v>
      </c>
      <c r="H9491" s="3">
        <f>VALUE(1747.06)</f>
        <v>1747.06</v>
      </c>
      <c r="I9491" s="1">
        <f>VALUE(4548)</f>
        <v>4548</v>
      </c>
      <c r="J9491" s="1">
        <f>VALUE(5283)</f>
        <v>5283</v>
      </c>
      <c r="K9491" s="1">
        <f>VALUE(5848)</f>
        <v>5848</v>
      </c>
      <c r="L9491" s="1">
        <f>VALUE(6585)</f>
        <v>6585</v>
      </c>
      <c r="M9491" s="1">
        <f>VALUE(7573)</f>
        <v>7573</v>
      </c>
      <c r="N9491" t="s">
        <v>25</v>
      </c>
    </row>
    <row r="9492" spans="1:14" x14ac:dyDescent="0.25">
      <c r="A9492" t="s">
        <v>43</v>
      </c>
      <c r="B9492" t="s">
        <v>39</v>
      </c>
      <c r="C9492" t="s">
        <v>38</v>
      </c>
      <c r="D9492" t="s">
        <v>28</v>
      </c>
      <c r="E9492" t="s">
        <v>23</v>
      </c>
      <c r="F9492" t="s">
        <v>15</v>
      </c>
      <c r="G9492" s="2">
        <f>VALUE(1101.17)</f>
        <v>1101.17</v>
      </c>
      <c r="H9492" s="3">
        <f>VALUE(1061.81)</f>
        <v>1061.81</v>
      </c>
      <c r="I9492" s="4">
        <f>VALUE(3602)</f>
        <v>3602</v>
      </c>
      <c r="J9492" s="5">
        <f>VALUE(4694)</f>
        <v>4694</v>
      </c>
      <c r="K9492" s="1">
        <f>VALUE(5334)</f>
        <v>5334</v>
      </c>
      <c r="L9492" s="1">
        <f>VALUE(6130)</f>
        <v>6130</v>
      </c>
      <c r="M9492" s="8">
        <f>VALUE(8130)</f>
        <v>8130</v>
      </c>
      <c r="N9492" t="s">
        <v>25</v>
      </c>
    </row>
    <row r="9493" spans="1:14" x14ac:dyDescent="0.25">
      <c r="A9493" t="s">
        <v>43</v>
      </c>
      <c r="B9493" t="s">
        <v>39</v>
      </c>
      <c r="C9493" t="s">
        <v>38</v>
      </c>
      <c r="D9493" t="s">
        <v>28</v>
      </c>
      <c r="E9493" t="s">
        <v>23</v>
      </c>
      <c r="F9493" t="s">
        <v>17</v>
      </c>
      <c r="G9493" s="1" t="str">
        <f t="shared" ref="G9493:M9495" si="2096">"X"</f>
        <v>X</v>
      </c>
      <c r="H9493" s="1" t="str">
        <f t="shared" si="2096"/>
        <v>X</v>
      </c>
      <c r="I9493" s="1" t="str">
        <f t="shared" si="2096"/>
        <v>X</v>
      </c>
      <c r="J9493" s="1" t="str">
        <f t="shared" si="2096"/>
        <v>X</v>
      </c>
      <c r="K9493" s="1" t="str">
        <f t="shared" si="2096"/>
        <v>X</v>
      </c>
      <c r="L9493" s="1" t="str">
        <f t="shared" si="2096"/>
        <v>X</v>
      </c>
      <c r="M9493" s="1" t="str">
        <f t="shared" si="2096"/>
        <v>X</v>
      </c>
      <c r="N9493" t="s">
        <v>27</v>
      </c>
    </row>
    <row r="9494" spans="1:14" x14ac:dyDescent="0.25">
      <c r="A9494" t="s">
        <v>43</v>
      </c>
      <c r="B9494" t="s">
        <v>39</v>
      </c>
      <c r="C9494" t="s">
        <v>38</v>
      </c>
      <c r="D9494" t="s">
        <v>28</v>
      </c>
      <c r="E9494" t="s">
        <v>23</v>
      </c>
      <c r="F9494" t="s">
        <v>18</v>
      </c>
      <c r="G9494" s="1" t="str">
        <f t="shared" si="2096"/>
        <v>X</v>
      </c>
      <c r="H9494" s="1" t="str">
        <f t="shared" si="2096"/>
        <v>X</v>
      </c>
      <c r="I9494" s="1" t="str">
        <f t="shared" si="2096"/>
        <v>X</v>
      </c>
      <c r="J9494" s="1" t="str">
        <f t="shared" si="2096"/>
        <v>X</v>
      </c>
      <c r="K9494" s="1" t="str">
        <f t="shared" si="2096"/>
        <v>X</v>
      </c>
      <c r="L9494" s="1" t="str">
        <f t="shared" si="2096"/>
        <v>X</v>
      </c>
      <c r="M9494" s="1" t="str">
        <f t="shared" si="2096"/>
        <v>X</v>
      </c>
      <c r="N9494" t="s">
        <v>27</v>
      </c>
    </row>
    <row r="9495" spans="1:14" x14ac:dyDescent="0.25">
      <c r="A9495" t="s">
        <v>43</v>
      </c>
      <c r="B9495" t="s">
        <v>39</v>
      </c>
      <c r="C9495" t="s">
        <v>38</v>
      </c>
      <c r="D9495" t="s">
        <v>28</v>
      </c>
      <c r="E9495" t="s">
        <v>23</v>
      </c>
      <c r="F9495" t="s">
        <v>19</v>
      </c>
      <c r="G9495" s="1" t="str">
        <f t="shared" si="2096"/>
        <v>X</v>
      </c>
      <c r="H9495" s="1" t="str">
        <f t="shared" si="2096"/>
        <v>X</v>
      </c>
      <c r="I9495" s="1" t="str">
        <f t="shared" si="2096"/>
        <v>X</v>
      </c>
      <c r="J9495" s="1" t="str">
        <f t="shared" si="2096"/>
        <v>X</v>
      </c>
      <c r="K9495" s="1" t="str">
        <f t="shared" si="2096"/>
        <v>X</v>
      </c>
      <c r="L9495" s="1" t="str">
        <f t="shared" si="2096"/>
        <v>X</v>
      </c>
      <c r="M9495" s="1" t="str">
        <f t="shared" si="2096"/>
        <v>X</v>
      </c>
      <c r="N9495" t="s">
        <v>27</v>
      </c>
    </row>
    <row r="9496" spans="1:14" x14ac:dyDescent="0.25">
      <c r="A9496" t="s">
        <v>43</v>
      </c>
      <c r="B9496" t="s">
        <v>39</v>
      </c>
      <c r="C9496" t="s">
        <v>38</v>
      </c>
      <c r="D9496" t="s">
        <v>28</v>
      </c>
      <c r="E9496" t="s">
        <v>23</v>
      </c>
      <c r="F9496" t="s">
        <v>20</v>
      </c>
      <c r="G9496" s="2">
        <f>VALUE(791.02)</f>
        <v>791.02</v>
      </c>
      <c r="H9496" s="3">
        <f>VALUE(754.49)</f>
        <v>754.49</v>
      </c>
      <c r="I9496" s="4">
        <f>VALUE(3556)</f>
        <v>3556</v>
      </c>
      <c r="J9496" s="5">
        <f>VALUE(4291)</f>
        <v>4291</v>
      </c>
      <c r="K9496" s="1">
        <f>VALUE(5148)</f>
        <v>5148</v>
      </c>
      <c r="L9496" s="1">
        <f>VALUE(5748)</f>
        <v>5748</v>
      </c>
      <c r="M9496" s="1">
        <f>VALUE(6383)</f>
        <v>6383</v>
      </c>
      <c r="N9496" t="s">
        <v>25</v>
      </c>
    </row>
    <row r="9497" spans="1:14" x14ac:dyDescent="0.25">
      <c r="A9497" t="s">
        <v>43</v>
      </c>
      <c r="B9497" t="s">
        <v>39</v>
      </c>
      <c r="C9497" t="s">
        <v>38</v>
      </c>
      <c r="D9497" t="s">
        <v>28</v>
      </c>
      <c r="E9497" t="s">
        <v>26</v>
      </c>
      <c r="F9497" t="s">
        <v>15</v>
      </c>
      <c r="G9497" s="1" t="str">
        <f t="shared" ref="G9497:M9501" si="2097">"X"</f>
        <v>X</v>
      </c>
      <c r="H9497" s="1" t="str">
        <f t="shared" si="2097"/>
        <v>X</v>
      </c>
      <c r="I9497" s="1" t="str">
        <f t="shared" si="2097"/>
        <v>X</v>
      </c>
      <c r="J9497" s="1" t="str">
        <f t="shared" si="2097"/>
        <v>X</v>
      </c>
      <c r="K9497" s="1" t="str">
        <f t="shared" si="2097"/>
        <v>X</v>
      </c>
      <c r="L9497" s="1" t="str">
        <f t="shared" si="2097"/>
        <v>X</v>
      </c>
      <c r="M9497" s="1" t="str">
        <f t="shared" si="2097"/>
        <v>X</v>
      </c>
      <c r="N9497" t="s">
        <v>27</v>
      </c>
    </row>
    <row r="9498" spans="1:14" x14ac:dyDescent="0.25">
      <c r="A9498" t="s">
        <v>43</v>
      </c>
      <c r="B9498" t="s">
        <v>39</v>
      </c>
      <c r="C9498" t="s">
        <v>38</v>
      </c>
      <c r="D9498" t="s">
        <v>28</v>
      </c>
      <c r="E9498" t="s">
        <v>26</v>
      </c>
      <c r="F9498" t="s">
        <v>17</v>
      </c>
      <c r="G9498" s="1" t="str">
        <f t="shared" si="2097"/>
        <v>X</v>
      </c>
      <c r="H9498" s="1" t="str">
        <f t="shared" si="2097"/>
        <v>X</v>
      </c>
      <c r="I9498" s="1" t="str">
        <f t="shared" si="2097"/>
        <v>X</v>
      </c>
      <c r="J9498" s="1" t="str">
        <f t="shared" si="2097"/>
        <v>X</v>
      </c>
      <c r="K9498" s="1" t="str">
        <f t="shared" si="2097"/>
        <v>X</v>
      </c>
      <c r="L9498" s="1" t="str">
        <f t="shared" si="2097"/>
        <v>X</v>
      </c>
      <c r="M9498" s="1" t="str">
        <f t="shared" si="2097"/>
        <v>X</v>
      </c>
      <c r="N9498" t="s">
        <v>27</v>
      </c>
    </row>
    <row r="9499" spans="1:14" x14ac:dyDescent="0.25">
      <c r="A9499" t="s">
        <v>43</v>
      </c>
      <c r="B9499" t="s">
        <v>39</v>
      </c>
      <c r="C9499" t="s">
        <v>38</v>
      </c>
      <c r="D9499" t="s">
        <v>28</v>
      </c>
      <c r="E9499" t="s">
        <v>26</v>
      </c>
      <c r="F9499" t="s">
        <v>18</v>
      </c>
      <c r="G9499" s="1" t="str">
        <f t="shared" si="2097"/>
        <v>X</v>
      </c>
      <c r="H9499" s="1" t="str">
        <f t="shared" si="2097"/>
        <v>X</v>
      </c>
      <c r="I9499" s="1" t="str">
        <f t="shared" si="2097"/>
        <v>X</v>
      </c>
      <c r="J9499" s="1" t="str">
        <f t="shared" si="2097"/>
        <v>X</v>
      </c>
      <c r="K9499" s="1" t="str">
        <f t="shared" si="2097"/>
        <v>X</v>
      </c>
      <c r="L9499" s="1" t="str">
        <f t="shared" si="2097"/>
        <v>X</v>
      </c>
      <c r="M9499" s="1" t="str">
        <f t="shared" si="2097"/>
        <v>X</v>
      </c>
      <c r="N9499" t="s">
        <v>27</v>
      </c>
    </row>
    <row r="9500" spans="1:14" x14ac:dyDescent="0.25">
      <c r="A9500" t="s">
        <v>43</v>
      </c>
      <c r="B9500" t="s">
        <v>39</v>
      </c>
      <c r="C9500" t="s">
        <v>38</v>
      </c>
      <c r="D9500" t="s">
        <v>28</v>
      </c>
      <c r="E9500" t="s">
        <v>26</v>
      </c>
      <c r="F9500" t="s">
        <v>19</v>
      </c>
      <c r="G9500" s="1" t="str">
        <f t="shared" si="2097"/>
        <v>X</v>
      </c>
      <c r="H9500" s="1" t="str">
        <f t="shared" si="2097"/>
        <v>X</v>
      </c>
      <c r="I9500" s="1" t="str">
        <f t="shared" si="2097"/>
        <v>X</v>
      </c>
      <c r="J9500" s="1" t="str">
        <f t="shared" si="2097"/>
        <v>X</v>
      </c>
      <c r="K9500" s="1" t="str">
        <f t="shared" si="2097"/>
        <v>X</v>
      </c>
      <c r="L9500" s="1" t="str">
        <f t="shared" si="2097"/>
        <v>X</v>
      </c>
      <c r="M9500" s="1" t="str">
        <f t="shared" si="2097"/>
        <v>X</v>
      </c>
      <c r="N9500" t="s">
        <v>27</v>
      </c>
    </row>
    <row r="9501" spans="1:14" x14ac:dyDescent="0.25">
      <c r="A9501" t="s">
        <v>43</v>
      </c>
      <c r="B9501" t="s">
        <v>39</v>
      </c>
      <c r="C9501" t="s">
        <v>38</v>
      </c>
      <c r="D9501" t="s">
        <v>28</v>
      </c>
      <c r="E9501" t="s">
        <v>26</v>
      </c>
      <c r="F9501" t="s">
        <v>20</v>
      </c>
      <c r="G9501" s="1" t="str">
        <f t="shared" si="2097"/>
        <v>X</v>
      </c>
      <c r="H9501" s="1" t="str">
        <f t="shared" si="2097"/>
        <v>X</v>
      </c>
      <c r="I9501" s="1" t="str">
        <f t="shared" si="2097"/>
        <v>X</v>
      </c>
      <c r="J9501" s="1" t="str">
        <f t="shared" si="2097"/>
        <v>X</v>
      </c>
      <c r="K9501" s="1" t="str">
        <f t="shared" si="2097"/>
        <v>X</v>
      </c>
      <c r="L9501" s="1" t="str">
        <f t="shared" si="2097"/>
        <v>X</v>
      </c>
      <c r="M9501" s="1" t="str">
        <f t="shared" si="2097"/>
        <v>X</v>
      </c>
      <c r="N9501" t="s">
        <v>27</v>
      </c>
    </row>
    <row r="9502" spans="1:14" x14ac:dyDescent="0.25">
      <c r="A9502" t="s">
        <v>43</v>
      </c>
      <c r="B9502" t="s">
        <v>39</v>
      </c>
      <c r="C9502" t="s">
        <v>38</v>
      </c>
      <c r="D9502" t="s">
        <v>29</v>
      </c>
      <c r="E9502" t="s">
        <v>15</v>
      </c>
      <c r="F9502" t="s">
        <v>15</v>
      </c>
      <c r="G9502" s="2">
        <f>VALUE(3913.76)</f>
        <v>3913.76</v>
      </c>
      <c r="H9502" s="3">
        <f>VALUE(3901.16)</f>
        <v>3901.16</v>
      </c>
      <c r="I9502" s="4">
        <f>VALUE(3895)</f>
        <v>3895</v>
      </c>
      <c r="J9502" s="5">
        <f>VALUE(4875)</f>
        <v>4875</v>
      </c>
      <c r="K9502" s="1">
        <f>VALUE(5536)</f>
        <v>5536</v>
      </c>
      <c r="L9502" s="1">
        <f>VALUE(6572)</f>
        <v>6572</v>
      </c>
      <c r="M9502" s="8">
        <f>VALUE(8458)</f>
        <v>8458</v>
      </c>
      <c r="N9502" t="s">
        <v>25</v>
      </c>
    </row>
    <row r="9503" spans="1:14" x14ac:dyDescent="0.25">
      <c r="A9503" t="s">
        <v>43</v>
      </c>
      <c r="B9503" t="s">
        <v>39</v>
      </c>
      <c r="C9503" t="s">
        <v>38</v>
      </c>
      <c r="D9503" t="s">
        <v>29</v>
      </c>
      <c r="E9503" t="s">
        <v>15</v>
      </c>
      <c r="F9503" t="s">
        <v>17</v>
      </c>
      <c r="G9503" s="2">
        <f>VALUE(566.41)</f>
        <v>566.41</v>
      </c>
      <c r="H9503" s="3">
        <f>VALUE(559.52)</f>
        <v>559.52</v>
      </c>
      <c r="I9503" s="1">
        <f>VALUE(5230)</f>
        <v>5230</v>
      </c>
      <c r="J9503" s="1">
        <f>VALUE(6163)</f>
        <v>6163</v>
      </c>
      <c r="K9503" s="6">
        <f>VALUE(7586)</f>
        <v>7586</v>
      </c>
      <c r="L9503" s="7">
        <f>VALUE(12046)</f>
        <v>12046</v>
      </c>
      <c r="M9503" s="8">
        <f>VALUE(19795)</f>
        <v>19795</v>
      </c>
      <c r="N9503" t="s">
        <v>25</v>
      </c>
    </row>
    <row r="9504" spans="1:14" x14ac:dyDescent="0.25">
      <c r="A9504" t="s">
        <v>43</v>
      </c>
      <c r="B9504" t="s">
        <v>39</v>
      </c>
      <c r="C9504" t="s">
        <v>38</v>
      </c>
      <c r="D9504" t="s">
        <v>29</v>
      </c>
      <c r="E9504" t="s">
        <v>15</v>
      </c>
      <c r="F9504" t="s">
        <v>18</v>
      </c>
      <c r="G9504" s="2">
        <f>VALUE(370.53)</f>
        <v>370.53</v>
      </c>
      <c r="H9504" s="3">
        <f>VALUE(372.11)</f>
        <v>372.11</v>
      </c>
      <c r="I9504" s="1">
        <f>VALUE(4875)</f>
        <v>4875</v>
      </c>
      <c r="J9504" s="5">
        <f>VALUE(5222)</f>
        <v>5222</v>
      </c>
      <c r="K9504" s="6">
        <f>VALUE(6400)</f>
        <v>6400</v>
      </c>
      <c r="L9504" s="7">
        <f>VALUE(8186)</f>
        <v>8186</v>
      </c>
      <c r="M9504" s="8">
        <f>VALUE(9076)</f>
        <v>9076</v>
      </c>
      <c r="N9504" t="s">
        <v>25</v>
      </c>
    </row>
    <row r="9505" spans="1:14" x14ac:dyDescent="0.25">
      <c r="A9505" t="s">
        <v>43</v>
      </c>
      <c r="B9505" t="s">
        <v>39</v>
      </c>
      <c r="C9505" t="s">
        <v>38</v>
      </c>
      <c r="D9505" t="s">
        <v>29</v>
      </c>
      <c r="E9505" t="s">
        <v>15</v>
      </c>
      <c r="F9505" t="s">
        <v>19</v>
      </c>
      <c r="G9505" s="2">
        <f>VALUE(481.97)</f>
        <v>481.97</v>
      </c>
      <c r="H9505" s="3">
        <f>VALUE(493.99)</f>
        <v>493.99</v>
      </c>
      <c r="I9505" s="1">
        <f>VALUE(3895)</f>
        <v>3895</v>
      </c>
      <c r="J9505" s="1">
        <f>VALUE(3895)</f>
        <v>3895</v>
      </c>
      <c r="K9505" s="6">
        <f>VALUE(5550)</f>
        <v>5550</v>
      </c>
      <c r="L9505" s="7">
        <f>VALUE(7143)</f>
        <v>7143</v>
      </c>
      <c r="M9505" s="1">
        <f>VALUE(8222)</f>
        <v>8222</v>
      </c>
      <c r="N9505" t="s">
        <v>25</v>
      </c>
    </row>
    <row r="9506" spans="1:14" x14ac:dyDescent="0.25">
      <c r="A9506" t="s">
        <v>43</v>
      </c>
      <c r="B9506" t="s">
        <v>39</v>
      </c>
      <c r="C9506" t="s">
        <v>38</v>
      </c>
      <c r="D9506" t="s">
        <v>29</v>
      </c>
      <c r="E9506" t="s">
        <v>15</v>
      </c>
      <c r="F9506" t="s">
        <v>20</v>
      </c>
      <c r="G9506" s="2">
        <f>VALUE(2494.85)</f>
        <v>2494.85</v>
      </c>
      <c r="H9506" s="3">
        <f>VALUE(2475.54)</f>
        <v>2475.54</v>
      </c>
      <c r="I9506" s="1">
        <f>VALUE(3819)</f>
        <v>3819</v>
      </c>
      <c r="J9506" s="5">
        <f>VALUE(4636)</f>
        <v>4636</v>
      </c>
      <c r="K9506" s="1">
        <f>VALUE(5394)</f>
        <v>5394</v>
      </c>
      <c r="L9506" s="1">
        <f>VALUE(6019)</f>
        <v>6019</v>
      </c>
      <c r="M9506" s="1">
        <f>VALUE(6750)</f>
        <v>6750</v>
      </c>
      <c r="N9506" t="s">
        <v>25</v>
      </c>
    </row>
    <row r="9507" spans="1:14" x14ac:dyDescent="0.25">
      <c r="A9507" t="s">
        <v>43</v>
      </c>
      <c r="B9507" t="s">
        <v>39</v>
      </c>
      <c r="C9507" t="s">
        <v>38</v>
      </c>
      <c r="D9507" t="s">
        <v>29</v>
      </c>
      <c r="E9507" t="s">
        <v>21</v>
      </c>
      <c r="F9507" t="s">
        <v>15</v>
      </c>
      <c r="G9507" s="2">
        <f>VALUE(375.17)</f>
        <v>375.17</v>
      </c>
      <c r="H9507" s="3">
        <f>VALUE(354.58)</f>
        <v>354.58</v>
      </c>
      <c r="I9507" s="1">
        <f>VALUE(6628)</f>
        <v>6628</v>
      </c>
      <c r="J9507" s="1">
        <f>VALUE(7753)</f>
        <v>7753</v>
      </c>
      <c r="K9507" s="6">
        <f>VALUE(8699)</f>
        <v>8699</v>
      </c>
      <c r="L9507" s="7">
        <f>VALUE(15397)</f>
        <v>15397</v>
      </c>
      <c r="M9507" s="8">
        <f>VALUE(21334)</f>
        <v>21334</v>
      </c>
      <c r="N9507" t="s">
        <v>25</v>
      </c>
    </row>
    <row r="9508" spans="1:14" x14ac:dyDescent="0.25">
      <c r="A9508" t="s">
        <v>43</v>
      </c>
      <c r="B9508" t="s">
        <v>39</v>
      </c>
      <c r="C9508" t="s">
        <v>38</v>
      </c>
      <c r="D9508" t="s">
        <v>29</v>
      </c>
      <c r="E9508" t="s">
        <v>21</v>
      </c>
      <c r="F9508" t="s">
        <v>17</v>
      </c>
      <c r="G9508" s="2">
        <f>VALUE(174.33)</f>
        <v>174.33</v>
      </c>
      <c r="H9508" s="3">
        <f>VALUE(169.79)</f>
        <v>169.79</v>
      </c>
      <c r="I9508" s="1">
        <f>VALUE(8221)</f>
        <v>8221</v>
      </c>
      <c r="J9508" s="1">
        <f>VALUE(9931)</f>
        <v>9931</v>
      </c>
      <c r="K9508" s="6">
        <f>VALUE(13756)</f>
        <v>13756</v>
      </c>
      <c r="L9508" s="7">
        <f>VALUE(19473)</f>
        <v>19473</v>
      </c>
      <c r="M9508" s="1">
        <f>VALUE(26688)</f>
        <v>26688</v>
      </c>
      <c r="N9508" t="s">
        <v>25</v>
      </c>
    </row>
    <row r="9509" spans="1:14" x14ac:dyDescent="0.25">
      <c r="A9509" t="s">
        <v>43</v>
      </c>
      <c r="B9509" t="s">
        <v>39</v>
      </c>
      <c r="C9509" t="s">
        <v>38</v>
      </c>
      <c r="D9509" t="s">
        <v>29</v>
      </c>
      <c r="E9509" t="s">
        <v>21</v>
      </c>
      <c r="F9509" t="s">
        <v>18</v>
      </c>
      <c r="G9509" s="1" t="str">
        <f t="shared" ref="G9509:M9511" si="2098">"X"</f>
        <v>X</v>
      </c>
      <c r="H9509" s="1" t="str">
        <f t="shared" si="2098"/>
        <v>X</v>
      </c>
      <c r="I9509" s="1" t="str">
        <f t="shared" si="2098"/>
        <v>X</v>
      </c>
      <c r="J9509" s="1" t="str">
        <f t="shared" si="2098"/>
        <v>X</v>
      </c>
      <c r="K9509" s="1" t="str">
        <f t="shared" si="2098"/>
        <v>X</v>
      </c>
      <c r="L9509" s="1" t="str">
        <f t="shared" si="2098"/>
        <v>X</v>
      </c>
      <c r="M9509" s="1" t="str">
        <f t="shared" si="2098"/>
        <v>X</v>
      </c>
      <c r="N9509" t="s">
        <v>27</v>
      </c>
    </row>
    <row r="9510" spans="1:14" x14ac:dyDescent="0.25">
      <c r="A9510" t="s">
        <v>43</v>
      </c>
      <c r="B9510" t="s">
        <v>39</v>
      </c>
      <c r="C9510" t="s">
        <v>38</v>
      </c>
      <c r="D9510" t="s">
        <v>29</v>
      </c>
      <c r="E9510" t="s">
        <v>21</v>
      </c>
      <c r="F9510" t="s">
        <v>19</v>
      </c>
      <c r="G9510" s="1" t="str">
        <f t="shared" si="2098"/>
        <v>X</v>
      </c>
      <c r="H9510" s="1" t="str">
        <f t="shared" si="2098"/>
        <v>X</v>
      </c>
      <c r="I9510" s="1" t="str">
        <f t="shared" si="2098"/>
        <v>X</v>
      </c>
      <c r="J9510" s="1" t="str">
        <f t="shared" si="2098"/>
        <v>X</v>
      </c>
      <c r="K9510" s="1" t="str">
        <f t="shared" si="2098"/>
        <v>X</v>
      </c>
      <c r="L9510" s="1" t="str">
        <f t="shared" si="2098"/>
        <v>X</v>
      </c>
      <c r="M9510" s="1" t="str">
        <f t="shared" si="2098"/>
        <v>X</v>
      </c>
      <c r="N9510" t="s">
        <v>27</v>
      </c>
    </row>
    <row r="9511" spans="1:14" x14ac:dyDescent="0.25">
      <c r="A9511" t="s">
        <v>43</v>
      </c>
      <c r="B9511" t="s">
        <v>39</v>
      </c>
      <c r="C9511" t="s">
        <v>38</v>
      </c>
      <c r="D9511" t="s">
        <v>29</v>
      </c>
      <c r="E9511" t="s">
        <v>21</v>
      </c>
      <c r="F9511" t="s">
        <v>20</v>
      </c>
      <c r="G9511" s="1" t="str">
        <f t="shared" si="2098"/>
        <v>X</v>
      </c>
      <c r="H9511" s="1" t="str">
        <f t="shared" si="2098"/>
        <v>X</v>
      </c>
      <c r="I9511" s="1" t="str">
        <f t="shared" si="2098"/>
        <v>X</v>
      </c>
      <c r="J9511" s="1" t="str">
        <f t="shared" si="2098"/>
        <v>X</v>
      </c>
      <c r="K9511" s="1" t="str">
        <f t="shared" si="2098"/>
        <v>X</v>
      </c>
      <c r="L9511" s="1" t="str">
        <f t="shared" si="2098"/>
        <v>X</v>
      </c>
      <c r="M9511" s="1" t="str">
        <f t="shared" si="2098"/>
        <v>X</v>
      </c>
      <c r="N9511" t="s">
        <v>27</v>
      </c>
    </row>
    <row r="9512" spans="1:14" x14ac:dyDescent="0.25">
      <c r="A9512" t="s">
        <v>43</v>
      </c>
      <c r="B9512" t="s">
        <v>39</v>
      </c>
      <c r="C9512" t="s">
        <v>38</v>
      </c>
      <c r="D9512" t="s">
        <v>29</v>
      </c>
      <c r="E9512" t="s">
        <v>22</v>
      </c>
      <c r="F9512" t="s">
        <v>15</v>
      </c>
      <c r="G9512" s="2">
        <f>VALUE(1325.3)</f>
        <v>1325.3</v>
      </c>
      <c r="H9512" s="3">
        <f>VALUE(1325.97)</f>
        <v>1325.97</v>
      </c>
      <c r="I9512" s="1">
        <f>VALUE(4952)</f>
        <v>4952</v>
      </c>
      <c r="J9512" s="1">
        <f>VALUE(5268)</f>
        <v>5268</v>
      </c>
      <c r="K9512" s="1">
        <f>VALUE(6010)</f>
        <v>6010</v>
      </c>
      <c r="L9512" s="7">
        <f>VALUE(6750)</f>
        <v>6750</v>
      </c>
      <c r="M9512" s="8">
        <f>VALUE(8906)</f>
        <v>8906</v>
      </c>
      <c r="N9512" t="s">
        <v>25</v>
      </c>
    </row>
    <row r="9513" spans="1:14" x14ac:dyDescent="0.25">
      <c r="A9513" t="s">
        <v>43</v>
      </c>
      <c r="B9513" t="s">
        <v>39</v>
      </c>
      <c r="C9513" t="s">
        <v>38</v>
      </c>
      <c r="D9513" t="s">
        <v>29</v>
      </c>
      <c r="E9513" t="s">
        <v>22</v>
      </c>
      <c r="F9513" t="s">
        <v>17</v>
      </c>
      <c r="G9513" s="2">
        <f>VALUE(345.17)</f>
        <v>345.17</v>
      </c>
      <c r="H9513" s="3">
        <f>VALUE(340.64)</f>
        <v>340.64</v>
      </c>
      <c r="I9513" s="1">
        <f>VALUE(5230)</f>
        <v>5230</v>
      </c>
      <c r="J9513" s="1">
        <f>VALUE(5760)</f>
        <v>5760</v>
      </c>
      <c r="K9513" s="1">
        <f>VALUE(6190)</f>
        <v>6190</v>
      </c>
      <c r="L9513" s="7">
        <f>VALUE(8303)</f>
        <v>8303</v>
      </c>
      <c r="M9513" s="8">
        <f>VALUE(11370)</f>
        <v>11370</v>
      </c>
      <c r="N9513" t="s">
        <v>25</v>
      </c>
    </row>
    <row r="9514" spans="1:14" x14ac:dyDescent="0.25">
      <c r="A9514" t="s">
        <v>43</v>
      </c>
      <c r="B9514" t="s">
        <v>39</v>
      </c>
      <c r="C9514" t="s">
        <v>38</v>
      </c>
      <c r="D9514" t="s">
        <v>29</v>
      </c>
      <c r="E9514" t="s">
        <v>22</v>
      </c>
      <c r="F9514" t="s">
        <v>18</v>
      </c>
      <c r="G9514" s="1" t="str">
        <f t="shared" ref="G9514:M9515" si="2099">"X"</f>
        <v>X</v>
      </c>
      <c r="H9514" s="1" t="str">
        <f t="shared" si="2099"/>
        <v>X</v>
      </c>
      <c r="I9514" s="1" t="str">
        <f t="shared" si="2099"/>
        <v>X</v>
      </c>
      <c r="J9514" s="1" t="str">
        <f t="shared" si="2099"/>
        <v>X</v>
      </c>
      <c r="K9514" s="1" t="str">
        <f t="shared" si="2099"/>
        <v>X</v>
      </c>
      <c r="L9514" s="1" t="str">
        <f t="shared" si="2099"/>
        <v>X</v>
      </c>
      <c r="M9514" s="1" t="str">
        <f t="shared" si="2099"/>
        <v>X</v>
      </c>
      <c r="N9514" t="s">
        <v>27</v>
      </c>
    </row>
    <row r="9515" spans="1:14" x14ac:dyDescent="0.25">
      <c r="A9515" t="s">
        <v>43</v>
      </c>
      <c r="B9515" t="s">
        <v>39</v>
      </c>
      <c r="C9515" t="s">
        <v>38</v>
      </c>
      <c r="D9515" t="s">
        <v>29</v>
      </c>
      <c r="E9515" t="s">
        <v>22</v>
      </c>
      <c r="F9515" t="s">
        <v>19</v>
      </c>
      <c r="G9515" s="1" t="str">
        <f t="shared" si="2099"/>
        <v>X</v>
      </c>
      <c r="H9515" s="1" t="str">
        <f t="shared" si="2099"/>
        <v>X</v>
      </c>
      <c r="I9515" s="1" t="str">
        <f t="shared" si="2099"/>
        <v>X</v>
      </c>
      <c r="J9515" s="1" t="str">
        <f t="shared" si="2099"/>
        <v>X</v>
      </c>
      <c r="K9515" s="1" t="str">
        <f t="shared" si="2099"/>
        <v>X</v>
      </c>
      <c r="L9515" s="1" t="str">
        <f t="shared" si="2099"/>
        <v>X</v>
      </c>
      <c r="M9515" s="1" t="str">
        <f t="shared" si="2099"/>
        <v>X</v>
      </c>
      <c r="N9515" t="s">
        <v>27</v>
      </c>
    </row>
    <row r="9516" spans="1:14" x14ac:dyDescent="0.25">
      <c r="A9516" t="s">
        <v>43</v>
      </c>
      <c r="B9516" t="s">
        <v>39</v>
      </c>
      <c r="C9516" t="s">
        <v>38</v>
      </c>
      <c r="D9516" t="s">
        <v>29</v>
      </c>
      <c r="E9516" t="s">
        <v>22</v>
      </c>
      <c r="F9516" t="s">
        <v>20</v>
      </c>
      <c r="G9516" s="2">
        <f>VALUE(728.58)</f>
        <v>728.58</v>
      </c>
      <c r="H9516" s="3">
        <f>VALUE(728.73)</f>
        <v>728.73</v>
      </c>
      <c r="I9516" s="1">
        <f>VALUE(4658)</f>
        <v>4658</v>
      </c>
      <c r="J9516" s="1">
        <f>VALUE(5098)</f>
        <v>5098</v>
      </c>
      <c r="K9516" s="1">
        <f>VALUE(5660)</f>
        <v>5660</v>
      </c>
      <c r="L9516" s="1">
        <f>VALUE(6500)</f>
        <v>6500</v>
      </c>
      <c r="M9516" s="8">
        <f>VALUE(7233)</f>
        <v>7233</v>
      </c>
      <c r="N9516" t="s">
        <v>25</v>
      </c>
    </row>
    <row r="9517" spans="1:14" x14ac:dyDescent="0.25">
      <c r="A9517" t="s">
        <v>43</v>
      </c>
      <c r="B9517" t="s">
        <v>39</v>
      </c>
      <c r="C9517" t="s">
        <v>38</v>
      </c>
      <c r="D9517" t="s">
        <v>29</v>
      </c>
      <c r="E9517" t="s">
        <v>23</v>
      </c>
      <c r="F9517" t="s">
        <v>15</v>
      </c>
      <c r="G9517" s="2">
        <f>VALUE(2189.69)</f>
        <v>2189.69</v>
      </c>
      <c r="H9517" s="3">
        <f>VALUE(2198.39)</f>
        <v>2198.39</v>
      </c>
      <c r="I9517" s="4">
        <f>VALUE(3786)</f>
        <v>3786</v>
      </c>
      <c r="J9517" s="5">
        <f>VALUE(4157)</f>
        <v>4157</v>
      </c>
      <c r="K9517" s="1">
        <f>VALUE(5212)</f>
        <v>5212</v>
      </c>
      <c r="L9517" s="1">
        <f>VALUE(5921)</f>
        <v>5921</v>
      </c>
      <c r="M9517" s="1">
        <f>VALUE(6572)</f>
        <v>6572</v>
      </c>
      <c r="N9517" t="s">
        <v>25</v>
      </c>
    </row>
    <row r="9518" spans="1:14" x14ac:dyDescent="0.25">
      <c r="A9518" t="s">
        <v>43</v>
      </c>
      <c r="B9518" t="s">
        <v>39</v>
      </c>
      <c r="C9518" t="s">
        <v>38</v>
      </c>
      <c r="D9518" t="s">
        <v>29</v>
      </c>
      <c r="E9518" t="s">
        <v>23</v>
      </c>
      <c r="F9518" t="s">
        <v>17</v>
      </c>
      <c r="G9518" s="1" t="str">
        <f t="shared" ref="G9518:M9520" si="2100">"X"</f>
        <v>X</v>
      </c>
      <c r="H9518" s="1" t="str">
        <f t="shared" si="2100"/>
        <v>X</v>
      </c>
      <c r="I9518" s="1" t="str">
        <f t="shared" si="2100"/>
        <v>X</v>
      </c>
      <c r="J9518" s="1" t="str">
        <f t="shared" si="2100"/>
        <v>X</v>
      </c>
      <c r="K9518" s="1" t="str">
        <f t="shared" si="2100"/>
        <v>X</v>
      </c>
      <c r="L9518" s="1" t="str">
        <f t="shared" si="2100"/>
        <v>X</v>
      </c>
      <c r="M9518" s="1" t="str">
        <f t="shared" si="2100"/>
        <v>X</v>
      </c>
      <c r="N9518" t="s">
        <v>27</v>
      </c>
    </row>
    <row r="9519" spans="1:14" x14ac:dyDescent="0.25">
      <c r="A9519" t="s">
        <v>43</v>
      </c>
      <c r="B9519" t="s">
        <v>39</v>
      </c>
      <c r="C9519" t="s">
        <v>38</v>
      </c>
      <c r="D9519" t="s">
        <v>29</v>
      </c>
      <c r="E9519" t="s">
        <v>23</v>
      </c>
      <c r="F9519" t="s">
        <v>18</v>
      </c>
      <c r="G9519" s="1" t="str">
        <f t="shared" si="2100"/>
        <v>X</v>
      </c>
      <c r="H9519" s="1" t="str">
        <f t="shared" si="2100"/>
        <v>X</v>
      </c>
      <c r="I9519" s="1" t="str">
        <f t="shared" si="2100"/>
        <v>X</v>
      </c>
      <c r="J9519" s="1" t="str">
        <f t="shared" si="2100"/>
        <v>X</v>
      </c>
      <c r="K9519" s="1" t="str">
        <f t="shared" si="2100"/>
        <v>X</v>
      </c>
      <c r="L9519" s="1" t="str">
        <f t="shared" si="2100"/>
        <v>X</v>
      </c>
      <c r="M9519" s="1" t="str">
        <f t="shared" si="2100"/>
        <v>X</v>
      </c>
      <c r="N9519" t="s">
        <v>27</v>
      </c>
    </row>
    <row r="9520" spans="1:14" x14ac:dyDescent="0.25">
      <c r="A9520" t="s">
        <v>43</v>
      </c>
      <c r="B9520" t="s">
        <v>39</v>
      </c>
      <c r="C9520" t="s">
        <v>38</v>
      </c>
      <c r="D9520" t="s">
        <v>29</v>
      </c>
      <c r="E9520" t="s">
        <v>23</v>
      </c>
      <c r="F9520" t="s">
        <v>19</v>
      </c>
      <c r="G9520" s="1" t="str">
        <f t="shared" si="2100"/>
        <v>X</v>
      </c>
      <c r="H9520" s="1" t="str">
        <f t="shared" si="2100"/>
        <v>X</v>
      </c>
      <c r="I9520" s="1" t="str">
        <f t="shared" si="2100"/>
        <v>X</v>
      </c>
      <c r="J9520" s="1" t="str">
        <f t="shared" si="2100"/>
        <v>X</v>
      </c>
      <c r="K9520" s="1" t="str">
        <f t="shared" si="2100"/>
        <v>X</v>
      </c>
      <c r="L9520" s="1" t="str">
        <f t="shared" si="2100"/>
        <v>X</v>
      </c>
      <c r="M9520" s="1" t="str">
        <f t="shared" si="2100"/>
        <v>X</v>
      </c>
      <c r="N9520" t="s">
        <v>27</v>
      </c>
    </row>
    <row r="9521" spans="1:14" x14ac:dyDescent="0.25">
      <c r="A9521" t="s">
        <v>43</v>
      </c>
      <c r="B9521" t="s">
        <v>39</v>
      </c>
      <c r="C9521" t="s">
        <v>38</v>
      </c>
      <c r="D9521" t="s">
        <v>29</v>
      </c>
      <c r="E9521" t="s">
        <v>23</v>
      </c>
      <c r="F9521" t="s">
        <v>20</v>
      </c>
      <c r="G9521" s="2">
        <f>VALUE(1688.81)</f>
        <v>1688.81</v>
      </c>
      <c r="H9521" s="3">
        <f>VALUE(1679.65)</f>
        <v>1679.65</v>
      </c>
      <c r="I9521" s="4">
        <f>VALUE(3658)</f>
        <v>3658</v>
      </c>
      <c r="J9521" s="5">
        <f>VALUE(4189)</f>
        <v>4189</v>
      </c>
      <c r="K9521" s="1">
        <f>VALUE(5224)</f>
        <v>5224</v>
      </c>
      <c r="L9521" s="1">
        <f>VALUE(5709)</f>
        <v>5709</v>
      </c>
      <c r="M9521" s="1">
        <f>VALUE(6393)</f>
        <v>6393</v>
      </c>
      <c r="N9521" t="s">
        <v>25</v>
      </c>
    </row>
    <row r="9522" spans="1:14" x14ac:dyDescent="0.25">
      <c r="A9522" t="s">
        <v>43</v>
      </c>
      <c r="B9522" t="s">
        <v>39</v>
      </c>
      <c r="C9522" t="s">
        <v>38</v>
      </c>
      <c r="D9522" t="s">
        <v>29</v>
      </c>
      <c r="E9522" t="s">
        <v>26</v>
      </c>
      <c r="F9522" t="s">
        <v>15</v>
      </c>
      <c r="G9522" s="1" t="str">
        <f t="shared" ref="G9522:M9523" si="2101">"X"</f>
        <v>X</v>
      </c>
      <c r="H9522" s="1" t="str">
        <f t="shared" si="2101"/>
        <v>X</v>
      </c>
      <c r="I9522" s="1" t="str">
        <f t="shared" si="2101"/>
        <v>X</v>
      </c>
      <c r="J9522" s="1" t="str">
        <f t="shared" si="2101"/>
        <v>X</v>
      </c>
      <c r="K9522" s="1" t="str">
        <f t="shared" si="2101"/>
        <v>X</v>
      </c>
      <c r="L9522" s="1" t="str">
        <f t="shared" si="2101"/>
        <v>X</v>
      </c>
      <c r="M9522" s="1" t="str">
        <f t="shared" si="2101"/>
        <v>X</v>
      </c>
      <c r="N9522" t="s">
        <v>27</v>
      </c>
    </row>
    <row r="9523" spans="1:14" x14ac:dyDescent="0.25">
      <c r="A9523" t="s">
        <v>43</v>
      </c>
      <c r="B9523" t="s">
        <v>39</v>
      </c>
      <c r="C9523" t="s">
        <v>38</v>
      </c>
      <c r="D9523" t="s">
        <v>29</v>
      </c>
      <c r="E9523" t="s">
        <v>26</v>
      </c>
      <c r="F9523" t="s">
        <v>17</v>
      </c>
      <c r="G9523" s="1" t="str">
        <f t="shared" si="2101"/>
        <v>X</v>
      </c>
      <c r="H9523" s="1" t="str">
        <f t="shared" si="2101"/>
        <v>X</v>
      </c>
      <c r="I9523" s="1" t="str">
        <f t="shared" si="2101"/>
        <v>X</v>
      </c>
      <c r="J9523" s="1" t="str">
        <f t="shared" si="2101"/>
        <v>X</v>
      </c>
      <c r="K9523" s="1" t="str">
        <f t="shared" si="2101"/>
        <v>X</v>
      </c>
      <c r="L9523" s="1" t="str">
        <f t="shared" si="2101"/>
        <v>X</v>
      </c>
      <c r="M9523" s="1" t="str">
        <f t="shared" si="2101"/>
        <v>X</v>
      </c>
      <c r="N9523" t="s">
        <v>27</v>
      </c>
    </row>
    <row r="9524" spans="1:14" x14ac:dyDescent="0.25">
      <c r="A9524" t="s">
        <v>43</v>
      </c>
      <c r="B9524" t="s">
        <v>39</v>
      </c>
      <c r="C9524" t="s">
        <v>38</v>
      </c>
      <c r="D9524" t="s">
        <v>29</v>
      </c>
      <c r="E9524" t="s">
        <v>26</v>
      </c>
      <c r="F9524" t="s">
        <v>18</v>
      </c>
      <c r="G9524" s="1" t="str">
        <f t="shared" ref="G9524:M9525" si="2102">"..."</f>
        <v>...</v>
      </c>
      <c r="H9524" s="1" t="str">
        <f t="shared" si="2102"/>
        <v>...</v>
      </c>
      <c r="I9524" s="1" t="str">
        <f t="shared" si="2102"/>
        <v>...</v>
      </c>
      <c r="J9524" s="1" t="str">
        <f t="shared" si="2102"/>
        <v>...</v>
      </c>
      <c r="K9524" s="1" t="str">
        <f t="shared" si="2102"/>
        <v>...</v>
      </c>
      <c r="L9524" s="1" t="str">
        <f t="shared" si="2102"/>
        <v>...</v>
      </c>
      <c r="M9524" s="1" t="str">
        <f t="shared" si="2102"/>
        <v>...</v>
      </c>
      <c r="N9524" t="s">
        <v>30</v>
      </c>
    </row>
    <row r="9525" spans="1:14" x14ac:dyDescent="0.25">
      <c r="A9525" t="s">
        <v>43</v>
      </c>
      <c r="B9525" t="s">
        <v>39</v>
      </c>
      <c r="C9525" t="s">
        <v>38</v>
      </c>
      <c r="D9525" t="s">
        <v>29</v>
      </c>
      <c r="E9525" t="s">
        <v>26</v>
      </c>
      <c r="F9525" t="s">
        <v>19</v>
      </c>
      <c r="G9525" s="1" t="str">
        <f t="shared" si="2102"/>
        <v>...</v>
      </c>
      <c r="H9525" s="1" t="str">
        <f t="shared" si="2102"/>
        <v>...</v>
      </c>
      <c r="I9525" s="1" t="str">
        <f t="shared" si="2102"/>
        <v>...</v>
      </c>
      <c r="J9525" s="1" t="str">
        <f t="shared" si="2102"/>
        <v>...</v>
      </c>
      <c r="K9525" s="1" t="str">
        <f t="shared" si="2102"/>
        <v>...</v>
      </c>
      <c r="L9525" s="1" t="str">
        <f t="shared" si="2102"/>
        <v>...</v>
      </c>
      <c r="M9525" s="1" t="str">
        <f t="shared" si="2102"/>
        <v>...</v>
      </c>
      <c r="N9525" t="s">
        <v>30</v>
      </c>
    </row>
    <row r="9526" spans="1:14" x14ac:dyDescent="0.25">
      <c r="A9526" t="s">
        <v>43</v>
      </c>
      <c r="B9526" t="s">
        <v>39</v>
      </c>
      <c r="C9526" t="s">
        <v>38</v>
      </c>
      <c r="D9526" t="s">
        <v>29</v>
      </c>
      <c r="E9526" t="s">
        <v>26</v>
      </c>
      <c r="F9526" t="s">
        <v>20</v>
      </c>
      <c r="G9526" s="1" t="str">
        <f t="shared" ref="G9526:M9526" si="2103">"X"</f>
        <v>X</v>
      </c>
      <c r="H9526" s="1" t="str">
        <f t="shared" si="2103"/>
        <v>X</v>
      </c>
      <c r="I9526" s="1" t="str">
        <f t="shared" si="2103"/>
        <v>X</v>
      </c>
      <c r="J9526" s="1" t="str">
        <f t="shared" si="2103"/>
        <v>X</v>
      </c>
      <c r="K9526" s="1" t="str">
        <f t="shared" si="2103"/>
        <v>X</v>
      </c>
      <c r="L9526" s="1" t="str">
        <f t="shared" si="2103"/>
        <v>X</v>
      </c>
      <c r="M9526" s="1" t="str">
        <f t="shared" si="2103"/>
        <v>X</v>
      </c>
      <c r="N9526" t="s">
        <v>27</v>
      </c>
    </row>
    <row r="9527" spans="1:14" x14ac:dyDescent="0.25">
      <c r="A9527" t="s">
        <v>43</v>
      </c>
      <c r="B9527" t="s">
        <v>39</v>
      </c>
      <c r="C9527" t="s">
        <v>38</v>
      </c>
      <c r="D9527" t="s">
        <v>31</v>
      </c>
      <c r="E9527" t="s">
        <v>15</v>
      </c>
      <c r="F9527" t="s">
        <v>15</v>
      </c>
      <c r="G9527" s="2">
        <f>VALUE(908.25)</f>
        <v>908.25</v>
      </c>
      <c r="H9527" s="3">
        <f>VALUE(817.65)</f>
        <v>817.65</v>
      </c>
      <c r="I9527" s="4">
        <f>VALUE(3644)</f>
        <v>3644</v>
      </c>
      <c r="J9527" s="5">
        <f>VALUE(4044)</f>
        <v>4044</v>
      </c>
      <c r="K9527" s="6">
        <f>VALUE(4509)</f>
        <v>4509</v>
      </c>
      <c r="L9527" s="7">
        <f>VALUE(7260)</f>
        <v>7260</v>
      </c>
      <c r="M9527" s="8">
        <f>VALUE(9863)</f>
        <v>9863</v>
      </c>
      <c r="N9527" t="s">
        <v>24</v>
      </c>
    </row>
    <row r="9528" spans="1:14" x14ac:dyDescent="0.25">
      <c r="A9528" t="s">
        <v>43</v>
      </c>
      <c r="B9528" t="s">
        <v>39</v>
      </c>
      <c r="C9528" t="s">
        <v>38</v>
      </c>
      <c r="D9528" t="s">
        <v>31</v>
      </c>
      <c r="E9528" t="s">
        <v>15</v>
      </c>
      <c r="F9528" t="s">
        <v>17</v>
      </c>
      <c r="G9528" s="1" t="str">
        <f t="shared" ref="G9528:M9530" si="2104">"X"</f>
        <v>X</v>
      </c>
      <c r="H9528" s="1" t="str">
        <f t="shared" si="2104"/>
        <v>X</v>
      </c>
      <c r="I9528" s="1" t="str">
        <f t="shared" si="2104"/>
        <v>X</v>
      </c>
      <c r="J9528" s="1" t="str">
        <f t="shared" si="2104"/>
        <v>X</v>
      </c>
      <c r="K9528" s="1" t="str">
        <f t="shared" si="2104"/>
        <v>X</v>
      </c>
      <c r="L9528" s="1" t="str">
        <f t="shared" si="2104"/>
        <v>X</v>
      </c>
      <c r="M9528" s="1" t="str">
        <f t="shared" si="2104"/>
        <v>X</v>
      </c>
      <c r="N9528" t="s">
        <v>27</v>
      </c>
    </row>
    <row r="9529" spans="1:14" x14ac:dyDescent="0.25">
      <c r="A9529" t="s">
        <v>43</v>
      </c>
      <c r="B9529" t="s">
        <v>39</v>
      </c>
      <c r="C9529" t="s">
        <v>38</v>
      </c>
      <c r="D9529" t="s">
        <v>31</v>
      </c>
      <c r="E9529" t="s">
        <v>15</v>
      </c>
      <c r="F9529" t="s">
        <v>18</v>
      </c>
      <c r="G9529" s="1" t="str">
        <f t="shared" si="2104"/>
        <v>X</v>
      </c>
      <c r="H9529" s="1" t="str">
        <f t="shared" si="2104"/>
        <v>X</v>
      </c>
      <c r="I9529" s="1" t="str">
        <f t="shared" si="2104"/>
        <v>X</v>
      </c>
      <c r="J9529" s="1" t="str">
        <f t="shared" si="2104"/>
        <v>X</v>
      </c>
      <c r="K9529" s="1" t="str">
        <f t="shared" si="2104"/>
        <v>X</v>
      </c>
      <c r="L9529" s="1" t="str">
        <f t="shared" si="2104"/>
        <v>X</v>
      </c>
      <c r="M9529" s="1" t="str">
        <f t="shared" si="2104"/>
        <v>X</v>
      </c>
      <c r="N9529" t="s">
        <v>27</v>
      </c>
    </row>
    <row r="9530" spans="1:14" x14ac:dyDescent="0.25">
      <c r="A9530" t="s">
        <v>43</v>
      </c>
      <c r="B9530" t="s">
        <v>39</v>
      </c>
      <c r="C9530" t="s">
        <v>38</v>
      </c>
      <c r="D9530" t="s">
        <v>31</v>
      </c>
      <c r="E9530" t="s">
        <v>15</v>
      </c>
      <c r="F9530" t="s">
        <v>19</v>
      </c>
      <c r="G9530" s="1" t="str">
        <f t="shared" si="2104"/>
        <v>X</v>
      </c>
      <c r="H9530" s="1" t="str">
        <f t="shared" si="2104"/>
        <v>X</v>
      </c>
      <c r="I9530" s="1" t="str">
        <f t="shared" si="2104"/>
        <v>X</v>
      </c>
      <c r="J9530" s="1" t="str">
        <f t="shared" si="2104"/>
        <v>X</v>
      </c>
      <c r="K9530" s="1" t="str">
        <f t="shared" si="2104"/>
        <v>X</v>
      </c>
      <c r="L9530" s="1" t="str">
        <f t="shared" si="2104"/>
        <v>X</v>
      </c>
      <c r="M9530" s="1" t="str">
        <f t="shared" si="2104"/>
        <v>X</v>
      </c>
      <c r="N9530" t="s">
        <v>27</v>
      </c>
    </row>
    <row r="9531" spans="1:14" x14ac:dyDescent="0.25">
      <c r="A9531" t="s">
        <v>43</v>
      </c>
      <c r="B9531" t="s">
        <v>39</v>
      </c>
      <c r="C9531" t="s">
        <v>38</v>
      </c>
      <c r="D9531" t="s">
        <v>31</v>
      </c>
      <c r="E9531" t="s">
        <v>15</v>
      </c>
      <c r="F9531" t="s">
        <v>20</v>
      </c>
      <c r="G9531" s="2">
        <f>VALUE(661.58)</f>
        <v>661.58</v>
      </c>
      <c r="H9531" s="3">
        <f>VALUE(572.14)</f>
        <v>572.14</v>
      </c>
      <c r="I9531" s="4">
        <f>VALUE(3644)</f>
        <v>3644</v>
      </c>
      <c r="J9531" s="5">
        <f>VALUE(3644)</f>
        <v>3644</v>
      </c>
      <c r="K9531" s="6">
        <f>VALUE(4360)</f>
        <v>4360</v>
      </c>
      <c r="L9531" s="7">
        <f>VALUE(5035)</f>
        <v>5035</v>
      </c>
      <c r="M9531" s="8">
        <f>VALUE(6392)</f>
        <v>6392</v>
      </c>
      <c r="N9531" t="s">
        <v>24</v>
      </c>
    </row>
    <row r="9532" spans="1:14" x14ac:dyDescent="0.25">
      <c r="A9532" t="s">
        <v>43</v>
      </c>
      <c r="B9532" t="s">
        <v>39</v>
      </c>
      <c r="C9532" t="s">
        <v>38</v>
      </c>
      <c r="D9532" t="s">
        <v>31</v>
      </c>
      <c r="E9532" t="s">
        <v>21</v>
      </c>
      <c r="F9532" t="s">
        <v>15</v>
      </c>
      <c r="G9532" s="1" t="str">
        <f t="shared" ref="G9532:M9536" si="2105">"X"</f>
        <v>X</v>
      </c>
      <c r="H9532" s="1" t="str">
        <f t="shared" si="2105"/>
        <v>X</v>
      </c>
      <c r="I9532" s="1" t="str">
        <f t="shared" si="2105"/>
        <v>X</v>
      </c>
      <c r="J9532" s="1" t="str">
        <f t="shared" si="2105"/>
        <v>X</v>
      </c>
      <c r="K9532" s="1" t="str">
        <f t="shared" si="2105"/>
        <v>X</v>
      </c>
      <c r="L9532" s="1" t="str">
        <f t="shared" si="2105"/>
        <v>X</v>
      </c>
      <c r="M9532" s="1" t="str">
        <f t="shared" si="2105"/>
        <v>X</v>
      </c>
      <c r="N9532" t="s">
        <v>27</v>
      </c>
    </row>
    <row r="9533" spans="1:14" x14ac:dyDescent="0.25">
      <c r="A9533" t="s">
        <v>43</v>
      </c>
      <c r="B9533" t="s">
        <v>39</v>
      </c>
      <c r="C9533" t="s">
        <v>38</v>
      </c>
      <c r="D9533" t="s">
        <v>31</v>
      </c>
      <c r="E9533" t="s">
        <v>21</v>
      </c>
      <c r="F9533" t="s">
        <v>17</v>
      </c>
      <c r="G9533" s="1" t="str">
        <f t="shared" si="2105"/>
        <v>X</v>
      </c>
      <c r="H9533" s="1" t="str">
        <f t="shared" si="2105"/>
        <v>X</v>
      </c>
      <c r="I9533" s="1" t="str">
        <f t="shared" si="2105"/>
        <v>X</v>
      </c>
      <c r="J9533" s="1" t="str">
        <f t="shared" si="2105"/>
        <v>X</v>
      </c>
      <c r="K9533" s="1" t="str">
        <f t="shared" si="2105"/>
        <v>X</v>
      </c>
      <c r="L9533" s="1" t="str">
        <f t="shared" si="2105"/>
        <v>X</v>
      </c>
      <c r="M9533" s="1" t="str">
        <f t="shared" si="2105"/>
        <v>X</v>
      </c>
      <c r="N9533" t="s">
        <v>27</v>
      </c>
    </row>
    <row r="9534" spans="1:14" x14ac:dyDescent="0.25">
      <c r="A9534" t="s">
        <v>43</v>
      </c>
      <c r="B9534" t="s">
        <v>39</v>
      </c>
      <c r="C9534" t="s">
        <v>38</v>
      </c>
      <c r="D9534" t="s">
        <v>31</v>
      </c>
      <c r="E9534" t="s">
        <v>21</v>
      </c>
      <c r="F9534" t="s">
        <v>18</v>
      </c>
      <c r="G9534" s="1" t="str">
        <f t="shared" si="2105"/>
        <v>X</v>
      </c>
      <c r="H9534" s="1" t="str">
        <f t="shared" si="2105"/>
        <v>X</v>
      </c>
      <c r="I9534" s="1" t="str">
        <f t="shared" si="2105"/>
        <v>X</v>
      </c>
      <c r="J9534" s="1" t="str">
        <f t="shared" si="2105"/>
        <v>X</v>
      </c>
      <c r="K9534" s="1" t="str">
        <f t="shared" si="2105"/>
        <v>X</v>
      </c>
      <c r="L9534" s="1" t="str">
        <f t="shared" si="2105"/>
        <v>X</v>
      </c>
      <c r="M9534" s="1" t="str">
        <f t="shared" si="2105"/>
        <v>X</v>
      </c>
      <c r="N9534" t="s">
        <v>27</v>
      </c>
    </row>
    <row r="9535" spans="1:14" x14ac:dyDescent="0.25">
      <c r="A9535" t="s">
        <v>43</v>
      </c>
      <c r="B9535" t="s">
        <v>39</v>
      </c>
      <c r="C9535" t="s">
        <v>38</v>
      </c>
      <c r="D9535" t="s">
        <v>31</v>
      </c>
      <c r="E9535" t="s">
        <v>21</v>
      </c>
      <c r="F9535" t="s">
        <v>19</v>
      </c>
      <c r="G9535" s="1" t="str">
        <f t="shared" si="2105"/>
        <v>X</v>
      </c>
      <c r="H9535" s="1" t="str">
        <f t="shared" si="2105"/>
        <v>X</v>
      </c>
      <c r="I9535" s="1" t="str">
        <f t="shared" si="2105"/>
        <v>X</v>
      </c>
      <c r="J9535" s="1" t="str">
        <f t="shared" si="2105"/>
        <v>X</v>
      </c>
      <c r="K9535" s="1" t="str">
        <f t="shared" si="2105"/>
        <v>X</v>
      </c>
      <c r="L9535" s="1" t="str">
        <f t="shared" si="2105"/>
        <v>X</v>
      </c>
      <c r="M9535" s="1" t="str">
        <f t="shared" si="2105"/>
        <v>X</v>
      </c>
      <c r="N9535" t="s">
        <v>27</v>
      </c>
    </row>
    <row r="9536" spans="1:14" x14ac:dyDescent="0.25">
      <c r="A9536" t="s">
        <v>43</v>
      </c>
      <c r="B9536" t="s">
        <v>39</v>
      </c>
      <c r="C9536" t="s">
        <v>38</v>
      </c>
      <c r="D9536" t="s">
        <v>31</v>
      </c>
      <c r="E9536" t="s">
        <v>21</v>
      </c>
      <c r="F9536" t="s">
        <v>20</v>
      </c>
      <c r="G9536" s="1" t="str">
        <f t="shared" si="2105"/>
        <v>X</v>
      </c>
      <c r="H9536" s="1" t="str">
        <f t="shared" si="2105"/>
        <v>X</v>
      </c>
      <c r="I9536" s="1" t="str">
        <f t="shared" si="2105"/>
        <v>X</v>
      </c>
      <c r="J9536" s="1" t="str">
        <f t="shared" si="2105"/>
        <v>X</v>
      </c>
      <c r="K9536" s="1" t="str">
        <f t="shared" si="2105"/>
        <v>X</v>
      </c>
      <c r="L9536" s="1" t="str">
        <f t="shared" si="2105"/>
        <v>X</v>
      </c>
      <c r="M9536" s="1" t="str">
        <f t="shared" si="2105"/>
        <v>X</v>
      </c>
      <c r="N9536" t="s">
        <v>27</v>
      </c>
    </row>
    <row r="9537" spans="1:14" x14ac:dyDescent="0.25">
      <c r="A9537" t="s">
        <v>43</v>
      </c>
      <c r="B9537" t="s">
        <v>39</v>
      </c>
      <c r="C9537" t="s">
        <v>38</v>
      </c>
      <c r="D9537" t="s">
        <v>31</v>
      </c>
      <c r="E9537" t="s">
        <v>22</v>
      </c>
      <c r="F9537" t="s">
        <v>15</v>
      </c>
      <c r="G9537" s="2">
        <f>VALUE(428.14)</f>
        <v>428.14</v>
      </c>
      <c r="H9537" s="3">
        <f>VALUE(348.11)</f>
        <v>348.11</v>
      </c>
      <c r="I9537" s="1">
        <f>VALUE(4360)</f>
        <v>4360</v>
      </c>
      <c r="J9537" s="1">
        <f>VALUE(4360)</f>
        <v>4360</v>
      </c>
      <c r="K9537" s="1">
        <f>VALUE(4481)</f>
        <v>4481</v>
      </c>
      <c r="L9537" s="7">
        <f>VALUE(6183)</f>
        <v>6183</v>
      </c>
      <c r="M9537" s="8">
        <f>VALUE(8646)</f>
        <v>8646</v>
      </c>
      <c r="N9537" t="s">
        <v>25</v>
      </c>
    </row>
    <row r="9538" spans="1:14" x14ac:dyDescent="0.25">
      <c r="A9538" t="s">
        <v>43</v>
      </c>
      <c r="B9538" t="s">
        <v>39</v>
      </c>
      <c r="C9538" t="s">
        <v>38</v>
      </c>
      <c r="D9538" t="s">
        <v>31</v>
      </c>
      <c r="E9538" t="s">
        <v>22</v>
      </c>
      <c r="F9538" t="s">
        <v>17</v>
      </c>
      <c r="G9538" s="1" t="str">
        <f t="shared" ref="G9538:M9549" si="2106">"X"</f>
        <v>X</v>
      </c>
      <c r="H9538" s="1" t="str">
        <f t="shared" si="2106"/>
        <v>X</v>
      </c>
      <c r="I9538" s="1" t="str">
        <f t="shared" si="2106"/>
        <v>X</v>
      </c>
      <c r="J9538" s="1" t="str">
        <f t="shared" si="2106"/>
        <v>X</v>
      </c>
      <c r="K9538" s="1" t="str">
        <f t="shared" si="2106"/>
        <v>X</v>
      </c>
      <c r="L9538" s="1" t="str">
        <f t="shared" si="2106"/>
        <v>X</v>
      </c>
      <c r="M9538" s="1" t="str">
        <f t="shared" si="2106"/>
        <v>X</v>
      </c>
      <c r="N9538" t="s">
        <v>27</v>
      </c>
    </row>
    <row r="9539" spans="1:14" x14ac:dyDescent="0.25">
      <c r="A9539" t="s">
        <v>43</v>
      </c>
      <c r="B9539" t="s">
        <v>39</v>
      </c>
      <c r="C9539" t="s">
        <v>38</v>
      </c>
      <c r="D9539" t="s">
        <v>31</v>
      </c>
      <c r="E9539" t="s">
        <v>22</v>
      </c>
      <c r="F9539" t="s">
        <v>18</v>
      </c>
      <c r="G9539" s="1" t="str">
        <f t="shared" si="2106"/>
        <v>X</v>
      </c>
      <c r="H9539" s="1" t="str">
        <f t="shared" si="2106"/>
        <v>X</v>
      </c>
      <c r="I9539" s="1" t="str">
        <f t="shared" si="2106"/>
        <v>X</v>
      </c>
      <c r="J9539" s="1" t="str">
        <f t="shared" si="2106"/>
        <v>X</v>
      </c>
      <c r="K9539" s="1" t="str">
        <f t="shared" si="2106"/>
        <v>X</v>
      </c>
      <c r="L9539" s="1" t="str">
        <f t="shared" si="2106"/>
        <v>X</v>
      </c>
      <c r="M9539" s="1" t="str">
        <f t="shared" si="2106"/>
        <v>X</v>
      </c>
      <c r="N9539" t="s">
        <v>27</v>
      </c>
    </row>
    <row r="9540" spans="1:14" x14ac:dyDescent="0.25">
      <c r="A9540" t="s">
        <v>43</v>
      </c>
      <c r="B9540" t="s">
        <v>39</v>
      </c>
      <c r="C9540" t="s">
        <v>38</v>
      </c>
      <c r="D9540" t="s">
        <v>31</v>
      </c>
      <c r="E9540" t="s">
        <v>22</v>
      </c>
      <c r="F9540" t="s">
        <v>19</v>
      </c>
      <c r="G9540" s="1" t="str">
        <f t="shared" si="2106"/>
        <v>X</v>
      </c>
      <c r="H9540" s="1" t="str">
        <f t="shared" si="2106"/>
        <v>X</v>
      </c>
      <c r="I9540" s="1" t="str">
        <f t="shared" si="2106"/>
        <v>X</v>
      </c>
      <c r="J9540" s="1" t="str">
        <f t="shared" si="2106"/>
        <v>X</v>
      </c>
      <c r="K9540" s="1" t="str">
        <f t="shared" si="2106"/>
        <v>X</v>
      </c>
      <c r="L9540" s="1" t="str">
        <f t="shared" si="2106"/>
        <v>X</v>
      </c>
      <c r="M9540" s="1" t="str">
        <f t="shared" si="2106"/>
        <v>X</v>
      </c>
      <c r="N9540" t="s">
        <v>27</v>
      </c>
    </row>
    <row r="9541" spans="1:14" x14ac:dyDescent="0.25">
      <c r="A9541" t="s">
        <v>43</v>
      </c>
      <c r="B9541" t="s">
        <v>39</v>
      </c>
      <c r="C9541" t="s">
        <v>38</v>
      </c>
      <c r="D9541" t="s">
        <v>31</v>
      </c>
      <c r="E9541" t="s">
        <v>22</v>
      </c>
      <c r="F9541" t="s">
        <v>20</v>
      </c>
      <c r="G9541" s="1" t="str">
        <f t="shared" si="2106"/>
        <v>X</v>
      </c>
      <c r="H9541" s="1" t="str">
        <f t="shared" si="2106"/>
        <v>X</v>
      </c>
      <c r="I9541" s="1" t="str">
        <f t="shared" si="2106"/>
        <v>X</v>
      </c>
      <c r="J9541" s="1" t="str">
        <f t="shared" si="2106"/>
        <v>X</v>
      </c>
      <c r="K9541" s="1" t="str">
        <f t="shared" si="2106"/>
        <v>X</v>
      </c>
      <c r="L9541" s="1" t="str">
        <f t="shared" si="2106"/>
        <v>X</v>
      </c>
      <c r="M9541" s="1" t="str">
        <f t="shared" si="2106"/>
        <v>X</v>
      </c>
      <c r="N9541" t="s">
        <v>27</v>
      </c>
    </row>
    <row r="9542" spans="1:14" x14ac:dyDescent="0.25">
      <c r="A9542" t="s">
        <v>43</v>
      </c>
      <c r="B9542" t="s">
        <v>39</v>
      </c>
      <c r="C9542" t="s">
        <v>38</v>
      </c>
      <c r="D9542" t="s">
        <v>31</v>
      </c>
      <c r="E9542" t="s">
        <v>23</v>
      </c>
      <c r="F9542" t="s">
        <v>15</v>
      </c>
      <c r="G9542" s="1" t="str">
        <f t="shared" si="2106"/>
        <v>X</v>
      </c>
      <c r="H9542" s="1" t="str">
        <f t="shared" si="2106"/>
        <v>X</v>
      </c>
      <c r="I9542" s="1" t="str">
        <f t="shared" si="2106"/>
        <v>X</v>
      </c>
      <c r="J9542" s="1" t="str">
        <f t="shared" si="2106"/>
        <v>X</v>
      </c>
      <c r="K9542" s="1" t="str">
        <f t="shared" si="2106"/>
        <v>X</v>
      </c>
      <c r="L9542" s="1" t="str">
        <f t="shared" si="2106"/>
        <v>X</v>
      </c>
      <c r="M9542" s="1" t="str">
        <f t="shared" si="2106"/>
        <v>X</v>
      </c>
      <c r="N9542" t="s">
        <v>27</v>
      </c>
    </row>
    <row r="9543" spans="1:14" x14ac:dyDescent="0.25">
      <c r="A9543" t="s">
        <v>43</v>
      </c>
      <c r="B9543" t="s">
        <v>39</v>
      </c>
      <c r="C9543" t="s">
        <v>38</v>
      </c>
      <c r="D9543" t="s">
        <v>31</v>
      </c>
      <c r="E9543" t="s">
        <v>23</v>
      </c>
      <c r="F9543" t="s">
        <v>17</v>
      </c>
      <c r="G9543" s="1" t="str">
        <f t="shared" si="2106"/>
        <v>X</v>
      </c>
      <c r="H9543" s="1" t="str">
        <f t="shared" si="2106"/>
        <v>X</v>
      </c>
      <c r="I9543" s="1" t="str">
        <f t="shared" si="2106"/>
        <v>X</v>
      </c>
      <c r="J9543" s="1" t="str">
        <f t="shared" si="2106"/>
        <v>X</v>
      </c>
      <c r="K9543" s="1" t="str">
        <f t="shared" si="2106"/>
        <v>X</v>
      </c>
      <c r="L9543" s="1" t="str">
        <f t="shared" si="2106"/>
        <v>X</v>
      </c>
      <c r="M9543" s="1" t="str">
        <f t="shared" si="2106"/>
        <v>X</v>
      </c>
      <c r="N9543" t="s">
        <v>27</v>
      </c>
    </row>
    <row r="9544" spans="1:14" x14ac:dyDescent="0.25">
      <c r="A9544" t="s">
        <v>43</v>
      </c>
      <c r="B9544" t="s">
        <v>39</v>
      </c>
      <c r="C9544" t="s">
        <v>38</v>
      </c>
      <c r="D9544" t="s">
        <v>31</v>
      </c>
      <c r="E9544" t="s">
        <v>23</v>
      </c>
      <c r="F9544" t="s">
        <v>18</v>
      </c>
      <c r="G9544" s="1" t="str">
        <f t="shared" si="2106"/>
        <v>X</v>
      </c>
      <c r="H9544" s="1" t="str">
        <f t="shared" si="2106"/>
        <v>X</v>
      </c>
      <c r="I9544" s="1" t="str">
        <f t="shared" si="2106"/>
        <v>X</v>
      </c>
      <c r="J9544" s="1" t="str">
        <f t="shared" si="2106"/>
        <v>X</v>
      </c>
      <c r="K9544" s="1" t="str">
        <f t="shared" si="2106"/>
        <v>X</v>
      </c>
      <c r="L9544" s="1" t="str">
        <f t="shared" si="2106"/>
        <v>X</v>
      </c>
      <c r="M9544" s="1" t="str">
        <f t="shared" si="2106"/>
        <v>X</v>
      </c>
      <c r="N9544" t="s">
        <v>27</v>
      </c>
    </row>
    <row r="9545" spans="1:14" x14ac:dyDescent="0.25">
      <c r="A9545" t="s">
        <v>43</v>
      </c>
      <c r="B9545" t="s">
        <v>39</v>
      </c>
      <c r="C9545" t="s">
        <v>38</v>
      </c>
      <c r="D9545" t="s">
        <v>31</v>
      </c>
      <c r="E9545" t="s">
        <v>23</v>
      </c>
      <c r="F9545" t="s">
        <v>19</v>
      </c>
      <c r="G9545" s="1" t="str">
        <f t="shared" si="2106"/>
        <v>X</v>
      </c>
      <c r="H9545" s="1" t="str">
        <f t="shared" si="2106"/>
        <v>X</v>
      </c>
      <c r="I9545" s="1" t="str">
        <f t="shared" si="2106"/>
        <v>X</v>
      </c>
      <c r="J9545" s="1" t="str">
        <f t="shared" si="2106"/>
        <v>X</v>
      </c>
      <c r="K9545" s="1" t="str">
        <f t="shared" si="2106"/>
        <v>X</v>
      </c>
      <c r="L9545" s="1" t="str">
        <f t="shared" si="2106"/>
        <v>X</v>
      </c>
      <c r="M9545" s="1" t="str">
        <f t="shared" si="2106"/>
        <v>X</v>
      </c>
      <c r="N9545" t="s">
        <v>27</v>
      </c>
    </row>
    <row r="9546" spans="1:14" x14ac:dyDescent="0.25">
      <c r="A9546" t="s">
        <v>43</v>
      </c>
      <c r="B9546" t="s">
        <v>39</v>
      </c>
      <c r="C9546" t="s">
        <v>38</v>
      </c>
      <c r="D9546" t="s">
        <v>31</v>
      </c>
      <c r="E9546" t="s">
        <v>23</v>
      </c>
      <c r="F9546" t="s">
        <v>20</v>
      </c>
      <c r="G9546" s="1" t="str">
        <f t="shared" si="2106"/>
        <v>X</v>
      </c>
      <c r="H9546" s="1" t="str">
        <f t="shared" si="2106"/>
        <v>X</v>
      </c>
      <c r="I9546" s="1" t="str">
        <f t="shared" si="2106"/>
        <v>X</v>
      </c>
      <c r="J9546" s="1" t="str">
        <f t="shared" si="2106"/>
        <v>X</v>
      </c>
      <c r="K9546" s="1" t="str">
        <f t="shared" si="2106"/>
        <v>X</v>
      </c>
      <c r="L9546" s="1" t="str">
        <f t="shared" si="2106"/>
        <v>X</v>
      </c>
      <c r="M9546" s="1" t="str">
        <f t="shared" si="2106"/>
        <v>X</v>
      </c>
      <c r="N9546" t="s">
        <v>27</v>
      </c>
    </row>
    <row r="9547" spans="1:14" x14ac:dyDescent="0.25">
      <c r="A9547" t="s">
        <v>43</v>
      </c>
      <c r="B9547" t="s">
        <v>39</v>
      </c>
      <c r="C9547" t="s">
        <v>38</v>
      </c>
      <c r="D9547" t="s">
        <v>31</v>
      </c>
      <c r="E9547" t="s">
        <v>26</v>
      </c>
      <c r="F9547" t="s">
        <v>15</v>
      </c>
      <c r="G9547" s="1" t="str">
        <f t="shared" si="2106"/>
        <v>X</v>
      </c>
      <c r="H9547" s="1" t="str">
        <f t="shared" si="2106"/>
        <v>X</v>
      </c>
      <c r="I9547" s="1" t="str">
        <f t="shared" si="2106"/>
        <v>X</v>
      </c>
      <c r="J9547" s="1" t="str">
        <f t="shared" si="2106"/>
        <v>X</v>
      </c>
      <c r="K9547" s="1" t="str">
        <f t="shared" si="2106"/>
        <v>X</v>
      </c>
      <c r="L9547" s="1" t="str">
        <f t="shared" si="2106"/>
        <v>X</v>
      </c>
      <c r="M9547" s="1" t="str">
        <f t="shared" si="2106"/>
        <v>X</v>
      </c>
      <c r="N9547" t="s">
        <v>27</v>
      </c>
    </row>
    <row r="9548" spans="1:14" x14ac:dyDescent="0.25">
      <c r="A9548" t="s">
        <v>43</v>
      </c>
      <c r="B9548" t="s">
        <v>39</v>
      </c>
      <c r="C9548" t="s">
        <v>38</v>
      </c>
      <c r="D9548" t="s">
        <v>31</v>
      </c>
      <c r="E9548" t="s">
        <v>26</v>
      </c>
      <c r="F9548" t="s">
        <v>17</v>
      </c>
      <c r="G9548" s="1" t="str">
        <f t="shared" si="2106"/>
        <v>X</v>
      </c>
      <c r="H9548" s="1" t="str">
        <f t="shared" si="2106"/>
        <v>X</v>
      </c>
      <c r="I9548" s="1" t="str">
        <f t="shared" si="2106"/>
        <v>X</v>
      </c>
      <c r="J9548" s="1" t="str">
        <f t="shared" si="2106"/>
        <v>X</v>
      </c>
      <c r="K9548" s="1" t="str">
        <f t="shared" si="2106"/>
        <v>X</v>
      </c>
      <c r="L9548" s="1" t="str">
        <f t="shared" si="2106"/>
        <v>X</v>
      </c>
      <c r="M9548" s="1" t="str">
        <f t="shared" si="2106"/>
        <v>X</v>
      </c>
      <c r="N9548" t="s">
        <v>27</v>
      </c>
    </row>
    <row r="9549" spans="1:14" x14ac:dyDescent="0.25">
      <c r="A9549" t="s">
        <v>43</v>
      </c>
      <c r="B9549" t="s">
        <v>39</v>
      </c>
      <c r="C9549" t="s">
        <v>38</v>
      </c>
      <c r="D9549" t="s">
        <v>31</v>
      </c>
      <c r="E9549" t="s">
        <v>26</v>
      </c>
      <c r="F9549" t="s">
        <v>18</v>
      </c>
      <c r="G9549" s="1" t="str">
        <f t="shared" si="2106"/>
        <v>X</v>
      </c>
      <c r="H9549" s="1" t="str">
        <f t="shared" si="2106"/>
        <v>X</v>
      </c>
      <c r="I9549" s="1" t="str">
        <f t="shared" si="2106"/>
        <v>X</v>
      </c>
      <c r="J9549" s="1" t="str">
        <f t="shared" si="2106"/>
        <v>X</v>
      </c>
      <c r="K9549" s="1" t="str">
        <f t="shared" si="2106"/>
        <v>X</v>
      </c>
      <c r="L9549" s="1" t="str">
        <f t="shared" si="2106"/>
        <v>X</v>
      </c>
      <c r="M9549" s="1" t="str">
        <f t="shared" si="2106"/>
        <v>X</v>
      </c>
      <c r="N9549" t="s">
        <v>27</v>
      </c>
    </row>
    <row r="9550" spans="1:14" x14ac:dyDescent="0.25">
      <c r="A9550" t="s">
        <v>43</v>
      </c>
      <c r="B9550" t="s">
        <v>39</v>
      </c>
      <c r="C9550" t="s">
        <v>38</v>
      </c>
      <c r="D9550" t="s">
        <v>31</v>
      </c>
      <c r="E9550" t="s">
        <v>26</v>
      </c>
      <c r="F9550" t="s">
        <v>19</v>
      </c>
      <c r="G9550" s="1" t="str">
        <f t="shared" ref="G9550:M9550" si="2107">"..."</f>
        <v>...</v>
      </c>
      <c r="H9550" s="1" t="str">
        <f t="shared" si="2107"/>
        <v>...</v>
      </c>
      <c r="I9550" s="1" t="str">
        <f t="shared" si="2107"/>
        <v>...</v>
      </c>
      <c r="J9550" s="1" t="str">
        <f t="shared" si="2107"/>
        <v>...</v>
      </c>
      <c r="K9550" s="1" t="str">
        <f t="shared" si="2107"/>
        <v>...</v>
      </c>
      <c r="L9550" s="1" t="str">
        <f t="shared" si="2107"/>
        <v>...</v>
      </c>
      <c r="M9550" s="1" t="str">
        <f t="shared" si="2107"/>
        <v>...</v>
      </c>
      <c r="N9550" t="s">
        <v>30</v>
      </c>
    </row>
    <row r="9551" spans="1:14" x14ac:dyDescent="0.25">
      <c r="A9551" t="s">
        <v>43</v>
      </c>
      <c r="B9551" t="s">
        <v>39</v>
      </c>
      <c r="C9551" t="s">
        <v>38</v>
      </c>
      <c r="D9551" t="s">
        <v>31</v>
      </c>
      <c r="E9551" t="s">
        <v>26</v>
      </c>
      <c r="F9551" t="s">
        <v>20</v>
      </c>
      <c r="G9551" s="1" t="str">
        <f t="shared" ref="G9551:M9551" si="2108">"X"</f>
        <v>X</v>
      </c>
      <c r="H9551" s="1" t="str">
        <f t="shared" si="2108"/>
        <v>X</v>
      </c>
      <c r="I9551" s="1" t="str">
        <f t="shared" si="2108"/>
        <v>X</v>
      </c>
      <c r="J9551" s="1" t="str">
        <f t="shared" si="2108"/>
        <v>X</v>
      </c>
      <c r="K9551" s="1" t="str">
        <f t="shared" si="2108"/>
        <v>X</v>
      </c>
      <c r="L9551" s="1" t="str">
        <f t="shared" si="2108"/>
        <v>X</v>
      </c>
      <c r="M9551" s="1" t="str">
        <f t="shared" si="2108"/>
        <v>X</v>
      </c>
      <c r="N9551" t="s">
        <v>27</v>
      </c>
    </row>
    <row r="9552" spans="1:14" x14ac:dyDescent="0.25">
      <c r="A9552" t="s">
        <v>43</v>
      </c>
      <c r="B9552" t="s">
        <v>39</v>
      </c>
      <c r="C9552" t="s">
        <v>38</v>
      </c>
      <c r="D9552" t="s">
        <v>32</v>
      </c>
      <c r="E9552" t="s">
        <v>15</v>
      </c>
      <c r="F9552" t="s">
        <v>15</v>
      </c>
      <c r="G9552" s="1">
        <f>VALUE(6046.73)</f>
        <v>6046.73</v>
      </c>
      <c r="H9552" s="3">
        <f>VALUE(5937.7)</f>
        <v>5937.7</v>
      </c>
      <c r="I9552" s="1">
        <f>VALUE(3812)</f>
        <v>3812</v>
      </c>
      <c r="J9552" s="1">
        <f>VALUE(4584)</f>
        <v>4584</v>
      </c>
      <c r="K9552" s="1">
        <f>VALUE(5405)</f>
        <v>5405</v>
      </c>
      <c r="L9552" s="1">
        <f>VALUE(6723)</f>
        <v>6723</v>
      </c>
      <c r="M9552" s="1">
        <f>VALUE(7745)</f>
        <v>7745</v>
      </c>
      <c r="N9552" t="s">
        <v>25</v>
      </c>
    </row>
    <row r="9553" spans="1:14" x14ac:dyDescent="0.25">
      <c r="A9553" t="s">
        <v>43</v>
      </c>
      <c r="B9553" t="s">
        <v>39</v>
      </c>
      <c r="C9553" t="s">
        <v>38</v>
      </c>
      <c r="D9553" t="s">
        <v>32</v>
      </c>
      <c r="E9553" t="s">
        <v>15</v>
      </c>
      <c r="F9553" t="s">
        <v>17</v>
      </c>
      <c r="G9553" s="2">
        <f>VALUE(592.97)</f>
        <v>592.97</v>
      </c>
      <c r="H9553" s="3">
        <f>VALUE(561.05)</f>
        <v>561.04999999999995</v>
      </c>
      <c r="I9553" s="1">
        <f>VALUE(5926)</f>
        <v>5926</v>
      </c>
      <c r="J9553" s="1">
        <f>VALUE(7012)</f>
        <v>7012</v>
      </c>
      <c r="K9553" s="1">
        <f>VALUE(8870)</f>
        <v>8870</v>
      </c>
      <c r="L9553" s="1">
        <f>VALUE(11655)</f>
        <v>11655</v>
      </c>
      <c r="M9553" s="1">
        <f>VALUE(15519)</f>
        <v>15519</v>
      </c>
      <c r="N9553" t="s">
        <v>25</v>
      </c>
    </row>
    <row r="9554" spans="1:14" x14ac:dyDescent="0.25">
      <c r="A9554" t="s">
        <v>43</v>
      </c>
      <c r="B9554" t="s">
        <v>39</v>
      </c>
      <c r="C9554" t="s">
        <v>38</v>
      </c>
      <c r="D9554" t="s">
        <v>32</v>
      </c>
      <c r="E9554" t="s">
        <v>15</v>
      </c>
      <c r="F9554" t="s">
        <v>18</v>
      </c>
      <c r="G9554" s="2">
        <f>VALUE(302.77)</f>
        <v>302.77</v>
      </c>
      <c r="H9554" s="3">
        <f>VALUE(294.27)</f>
        <v>294.27</v>
      </c>
      <c r="I9554" s="1">
        <f>VALUE(5042)</f>
        <v>5042</v>
      </c>
      <c r="J9554" s="1">
        <f>VALUE(5324)</f>
        <v>5324</v>
      </c>
      <c r="K9554" s="1">
        <f>VALUE(6553)</f>
        <v>6553</v>
      </c>
      <c r="L9554" s="1">
        <f>VALUE(8092)</f>
        <v>8092</v>
      </c>
      <c r="M9554" s="1">
        <f>VALUE(10414)</f>
        <v>10414</v>
      </c>
      <c r="N9554" t="s">
        <v>25</v>
      </c>
    </row>
    <row r="9555" spans="1:14" x14ac:dyDescent="0.25">
      <c r="A9555" t="s">
        <v>43</v>
      </c>
      <c r="B9555" t="s">
        <v>39</v>
      </c>
      <c r="C9555" t="s">
        <v>38</v>
      </c>
      <c r="D9555" t="s">
        <v>32</v>
      </c>
      <c r="E9555" t="s">
        <v>15</v>
      </c>
      <c r="F9555" t="s">
        <v>19</v>
      </c>
      <c r="G9555" s="2">
        <f>VALUE(892.7)</f>
        <v>892.7</v>
      </c>
      <c r="H9555" s="3">
        <f>VALUE(907.55)</f>
        <v>907.55</v>
      </c>
      <c r="I9555" s="1">
        <f>VALUE(4600)</f>
        <v>4600</v>
      </c>
      <c r="J9555" s="1">
        <f>VALUE(5341)</f>
        <v>5341</v>
      </c>
      <c r="K9555" s="6">
        <f>VALUE(6346)</f>
        <v>6346</v>
      </c>
      <c r="L9555" s="1">
        <f>VALUE(6943)</f>
        <v>6943</v>
      </c>
      <c r="M9555" s="8">
        <f>VALUE(7708)</f>
        <v>7708</v>
      </c>
      <c r="N9555" t="s">
        <v>25</v>
      </c>
    </row>
    <row r="9556" spans="1:14" x14ac:dyDescent="0.25">
      <c r="A9556" t="s">
        <v>43</v>
      </c>
      <c r="B9556" t="s">
        <v>39</v>
      </c>
      <c r="C9556" t="s">
        <v>38</v>
      </c>
      <c r="D9556" t="s">
        <v>32</v>
      </c>
      <c r="E9556" t="s">
        <v>15</v>
      </c>
      <c r="F9556" t="s">
        <v>20</v>
      </c>
      <c r="G9556" s="2">
        <f>VALUE(4258.29)</f>
        <v>4258.29</v>
      </c>
      <c r="H9556" s="3">
        <f>VALUE(4174.83)</f>
        <v>4174.83</v>
      </c>
      <c r="I9556" s="1">
        <f>VALUE(3636)</f>
        <v>3636</v>
      </c>
      <c r="J9556" s="1">
        <f>VALUE(4242)</f>
        <v>4242</v>
      </c>
      <c r="K9556" s="1">
        <f>VALUE(5176)</f>
        <v>5176</v>
      </c>
      <c r="L9556" s="1">
        <f>VALUE(5897)</f>
        <v>5897</v>
      </c>
      <c r="M9556" s="8">
        <f>VALUE(6923)</f>
        <v>6923</v>
      </c>
      <c r="N9556" t="s">
        <v>25</v>
      </c>
    </row>
    <row r="9557" spans="1:14" x14ac:dyDescent="0.25">
      <c r="A9557" t="s">
        <v>43</v>
      </c>
      <c r="B9557" t="s">
        <v>39</v>
      </c>
      <c r="C9557" t="s">
        <v>38</v>
      </c>
      <c r="D9557" t="s">
        <v>32</v>
      </c>
      <c r="E9557" t="s">
        <v>21</v>
      </c>
      <c r="F9557" t="s">
        <v>15</v>
      </c>
      <c r="G9557" s="2">
        <f>VALUE(821.79)</f>
        <v>821.79</v>
      </c>
      <c r="H9557" s="3">
        <f>VALUE(763.26)</f>
        <v>763.26</v>
      </c>
      <c r="I9557" s="1">
        <f>VALUE(5247)</f>
        <v>5247</v>
      </c>
      <c r="J9557" s="1">
        <f>VALUE(5433)</f>
        <v>5433</v>
      </c>
      <c r="K9557" s="1">
        <f>VALUE(7455)</f>
        <v>7455</v>
      </c>
      <c r="L9557" s="1">
        <f>VALUE(10364)</f>
        <v>10364</v>
      </c>
      <c r="M9557" s="8">
        <f>VALUE(13375)</f>
        <v>13375</v>
      </c>
      <c r="N9557" t="s">
        <v>25</v>
      </c>
    </row>
    <row r="9558" spans="1:14" x14ac:dyDescent="0.25">
      <c r="A9558" t="s">
        <v>43</v>
      </c>
      <c r="B9558" t="s">
        <v>39</v>
      </c>
      <c r="C9558" t="s">
        <v>38</v>
      </c>
      <c r="D9558" t="s">
        <v>32</v>
      </c>
      <c r="E9558" t="s">
        <v>21</v>
      </c>
      <c r="F9558" t="s">
        <v>17</v>
      </c>
      <c r="G9558" s="2">
        <f>VALUE(291.01)</f>
        <v>291.01</v>
      </c>
      <c r="H9558" s="3">
        <f>VALUE(263.39)</f>
        <v>263.39</v>
      </c>
      <c r="I9558" s="1">
        <f>VALUE(7325)</f>
        <v>7325</v>
      </c>
      <c r="J9558" s="5">
        <f>VALUE(9675)</f>
        <v>9675</v>
      </c>
      <c r="K9558" s="1">
        <f>VALUE(11179)</f>
        <v>11179</v>
      </c>
      <c r="L9558" s="7">
        <f>VALUE(13953)</f>
        <v>13953</v>
      </c>
      <c r="M9558" s="1">
        <f>VALUE(17285)</f>
        <v>17285</v>
      </c>
      <c r="N9558" t="s">
        <v>25</v>
      </c>
    </row>
    <row r="9559" spans="1:14" x14ac:dyDescent="0.25">
      <c r="A9559" t="s">
        <v>43</v>
      </c>
      <c r="B9559" t="s">
        <v>39</v>
      </c>
      <c r="C9559" t="s">
        <v>38</v>
      </c>
      <c r="D9559" t="s">
        <v>32</v>
      </c>
      <c r="E9559" t="s">
        <v>21</v>
      </c>
      <c r="F9559" t="s">
        <v>18</v>
      </c>
      <c r="G9559" s="1" t="str">
        <f t="shared" ref="G9559:M9560" si="2109">"X"</f>
        <v>X</v>
      </c>
      <c r="H9559" s="1" t="str">
        <f t="shared" si="2109"/>
        <v>X</v>
      </c>
      <c r="I9559" s="1" t="str">
        <f t="shared" si="2109"/>
        <v>X</v>
      </c>
      <c r="J9559" s="1" t="str">
        <f t="shared" si="2109"/>
        <v>X</v>
      </c>
      <c r="K9559" s="1" t="str">
        <f t="shared" si="2109"/>
        <v>X</v>
      </c>
      <c r="L9559" s="1" t="str">
        <f t="shared" si="2109"/>
        <v>X</v>
      </c>
      <c r="M9559" s="1" t="str">
        <f t="shared" si="2109"/>
        <v>X</v>
      </c>
      <c r="N9559" t="s">
        <v>27</v>
      </c>
    </row>
    <row r="9560" spans="1:14" x14ac:dyDescent="0.25">
      <c r="A9560" t="s">
        <v>43</v>
      </c>
      <c r="B9560" t="s">
        <v>39</v>
      </c>
      <c r="C9560" t="s">
        <v>38</v>
      </c>
      <c r="D9560" t="s">
        <v>32</v>
      </c>
      <c r="E9560" t="s">
        <v>21</v>
      </c>
      <c r="F9560" t="s">
        <v>19</v>
      </c>
      <c r="G9560" s="1" t="str">
        <f t="shared" si="2109"/>
        <v>X</v>
      </c>
      <c r="H9560" s="1" t="str">
        <f t="shared" si="2109"/>
        <v>X</v>
      </c>
      <c r="I9560" s="1" t="str">
        <f t="shared" si="2109"/>
        <v>X</v>
      </c>
      <c r="J9560" s="1" t="str">
        <f t="shared" si="2109"/>
        <v>X</v>
      </c>
      <c r="K9560" s="1" t="str">
        <f t="shared" si="2109"/>
        <v>X</v>
      </c>
      <c r="L9560" s="1" t="str">
        <f t="shared" si="2109"/>
        <v>X</v>
      </c>
      <c r="M9560" s="1" t="str">
        <f t="shared" si="2109"/>
        <v>X</v>
      </c>
      <c r="N9560" t="s">
        <v>27</v>
      </c>
    </row>
    <row r="9561" spans="1:14" x14ac:dyDescent="0.25">
      <c r="A9561" t="s">
        <v>43</v>
      </c>
      <c r="B9561" t="s">
        <v>39</v>
      </c>
      <c r="C9561" t="s">
        <v>38</v>
      </c>
      <c r="D9561" t="s">
        <v>32</v>
      </c>
      <c r="E9561" t="s">
        <v>21</v>
      </c>
      <c r="F9561" t="s">
        <v>20</v>
      </c>
      <c r="G9561" s="2">
        <f>VALUE(339.16)</f>
        <v>339.16</v>
      </c>
      <c r="H9561" s="3">
        <f>VALUE(313.03)</f>
        <v>313.02999999999997</v>
      </c>
      <c r="I9561" s="1">
        <f>VALUE(4460)</f>
        <v>4460</v>
      </c>
      <c r="J9561" s="1">
        <f>VALUE(5247)</f>
        <v>5247</v>
      </c>
      <c r="K9561" s="1">
        <f>VALUE(5247)</f>
        <v>5247</v>
      </c>
      <c r="L9561" s="1">
        <f>VALUE(6860)</f>
        <v>6860</v>
      </c>
      <c r="M9561" s="1">
        <f>VALUE(8067)</f>
        <v>8067</v>
      </c>
      <c r="N9561" t="s">
        <v>25</v>
      </c>
    </row>
    <row r="9562" spans="1:14" x14ac:dyDescent="0.25">
      <c r="A9562" t="s">
        <v>43</v>
      </c>
      <c r="B9562" t="s">
        <v>39</v>
      </c>
      <c r="C9562" t="s">
        <v>38</v>
      </c>
      <c r="D9562" t="s">
        <v>32</v>
      </c>
      <c r="E9562" t="s">
        <v>22</v>
      </c>
      <c r="F9562" t="s">
        <v>15</v>
      </c>
      <c r="G9562" s="2">
        <f>VALUE(1898.65)</f>
        <v>1898.65</v>
      </c>
      <c r="H9562" s="3">
        <f>VALUE(1851.89)</f>
        <v>1851.89</v>
      </c>
      <c r="I9562" s="1">
        <f>VALUE(4185)</f>
        <v>4185</v>
      </c>
      <c r="J9562" s="1">
        <f>VALUE(4875)</f>
        <v>4875</v>
      </c>
      <c r="K9562" s="1">
        <f>VALUE(5915)</f>
        <v>5915</v>
      </c>
      <c r="L9562" s="1">
        <f>VALUE(7016)</f>
        <v>7016</v>
      </c>
      <c r="M9562" s="1">
        <f>VALUE(7745)</f>
        <v>7745</v>
      </c>
      <c r="N9562" t="s">
        <v>25</v>
      </c>
    </row>
    <row r="9563" spans="1:14" x14ac:dyDescent="0.25">
      <c r="A9563" t="s">
        <v>43</v>
      </c>
      <c r="B9563" t="s">
        <v>39</v>
      </c>
      <c r="C9563" t="s">
        <v>38</v>
      </c>
      <c r="D9563" t="s">
        <v>32</v>
      </c>
      <c r="E9563" t="s">
        <v>22</v>
      </c>
      <c r="F9563" t="s">
        <v>17</v>
      </c>
      <c r="G9563" s="2">
        <f>VALUE(183.7)</f>
        <v>183.7</v>
      </c>
      <c r="H9563" s="3">
        <f>VALUE(175.34)</f>
        <v>175.34</v>
      </c>
      <c r="I9563" s="1">
        <f>VALUE(5789)</f>
        <v>5789</v>
      </c>
      <c r="J9563" s="1">
        <f>VALUE(6983)</f>
        <v>6983</v>
      </c>
      <c r="K9563" s="6">
        <f>VALUE(7583)</f>
        <v>7583</v>
      </c>
      <c r="L9563" s="7">
        <f>VALUE(10120)</f>
        <v>10120</v>
      </c>
      <c r="M9563" s="8">
        <f>VALUE(12556)</f>
        <v>12556</v>
      </c>
      <c r="N9563" t="s">
        <v>25</v>
      </c>
    </row>
    <row r="9564" spans="1:14" x14ac:dyDescent="0.25">
      <c r="A9564" t="s">
        <v>43</v>
      </c>
      <c r="B9564" t="s">
        <v>39</v>
      </c>
      <c r="C9564" t="s">
        <v>38</v>
      </c>
      <c r="D9564" t="s">
        <v>32</v>
      </c>
      <c r="E9564" t="s">
        <v>22</v>
      </c>
      <c r="F9564" t="s">
        <v>18</v>
      </c>
      <c r="G9564" s="1" t="str">
        <f t="shared" ref="G9564:M9564" si="2110">"X"</f>
        <v>X</v>
      </c>
      <c r="H9564" s="1" t="str">
        <f t="shared" si="2110"/>
        <v>X</v>
      </c>
      <c r="I9564" s="1" t="str">
        <f t="shared" si="2110"/>
        <v>X</v>
      </c>
      <c r="J9564" s="1" t="str">
        <f t="shared" si="2110"/>
        <v>X</v>
      </c>
      <c r="K9564" s="1" t="str">
        <f t="shared" si="2110"/>
        <v>X</v>
      </c>
      <c r="L9564" s="1" t="str">
        <f t="shared" si="2110"/>
        <v>X</v>
      </c>
      <c r="M9564" s="1" t="str">
        <f t="shared" si="2110"/>
        <v>X</v>
      </c>
      <c r="N9564" t="s">
        <v>27</v>
      </c>
    </row>
    <row r="9565" spans="1:14" x14ac:dyDescent="0.25">
      <c r="A9565" t="s">
        <v>43</v>
      </c>
      <c r="B9565" t="s">
        <v>39</v>
      </c>
      <c r="C9565" t="s">
        <v>38</v>
      </c>
      <c r="D9565" t="s">
        <v>32</v>
      </c>
      <c r="E9565" t="s">
        <v>22</v>
      </c>
      <c r="F9565" t="s">
        <v>19</v>
      </c>
      <c r="G9565" s="2">
        <f>VALUE(301.56)</f>
        <v>301.56</v>
      </c>
      <c r="H9565" s="3">
        <f>VALUE(304.24)</f>
        <v>304.24</v>
      </c>
      <c r="I9565" s="1">
        <f>VALUE(4929)</f>
        <v>4929</v>
      </c>
      <c r="J9565" s="1">
        <f>VALUE(5650)</f>
        <v>5650</v>
      </c>
      <c r="K9565" s="1">
        <f>VALUE(6397)</f>
        <v>6397</v>
      </c>
      <c r="L9565" s="1">
        <f>VALUE(7573)</f>
        <v>7573</v>
      </c>
      <c r="M9565" s="8">
        <f>VALUE(7745)</f>
        <v>7745</v>
      </c>
      <c r="N9565" t="s">
        <v>25</v>
      </c>
    </row>
    <row r="9566" spans="1:14" x14ac:dyDescent="0.25">
      <c r="A9566" t="s">
        <v>43</v>
      </c>
      <c r="B9566" t="s">
        <v>39</v>
      </c>
      <c r="C9566" t="s">
        <v>38</v>
      </c>
      <c r="D9566" t="s">
        <v>32</v>
      </c>
      <c r="E9566" t="s">
        <v>22</v>
      </c>
      <c r="F9566" t="s">
        <v>20</v>
      </c>
      <c r="G9566" s="2">
        <f>VALUE(1296.25)</f>
        <v>1296.25</v>
      </c>
      <c r="H9566" s="3">
        <f>VALUE(1257.84)</f>
        <v>1257.8399999999999</v>
      </c>
      <c r="I9566" s="1">
        <f>VALUE(4034)</f>
        <v>4034</v>
      </c>
      <c r="J9566" s="1">
        <f>VALUE(4690)</f>
        <v>4690</v>
      </c>
      <c r="K9566" s="6">
        <f>VALUE(5559)</f>
        <v>5559</v>
      </c>
      <c r="L9566" s="7">
        <f>VALUE(6921)</f>
        <v>6921</v>
      </c>
      <c r="M9566" s="1">
        <f>VALUE(7218)</f>
        <v>7218</v>
      </c>
      <c r="N9566" t="s">
        <v>25</v>
      </c>
    </row>
    <row r="9567" spans="1:14" x14ac:dyDescent="0.25">
      <c r="A9567" t="s">
        <v>43</v>
      </c>
      <c r="B9567" t="s">
        <v>39</v>
      </c>
      <c r="C9567" t="s">
        <v>38</v>
      </c>
      <c r="D9567" t="s">
        <v>32</v>
      </c>
      <c r="E9567" t="s">
        <v>23</v>
      </c>
      <c r="F9567" t="s">
        <v>15</v>
      </c>
      <c r="G9567" s="2">
        <f>VALUE(3210.99)</f>
        <v>3210.99</v>
      </c>
      <c r="H9567" s="3">
        <f>VALUE(3219.6)</f>
        <v>3219.6</v>
      </c>
      <c r="I9567" s="1">
        <f>VALUE(3611)</f>
        <v>3611</v>
      </c>
      <c r="J9567" s="1">
        <f>VALUE(4154)</f>
        <v>4154</v>
      </c>
      <c r="K9567" s="1">
        <f>VALUE(5143)</f>
        <v>5143</v>
      </c>
      <c r="L9567" s="7">
        <f>VALUE(5850)</f>
        <v>5850</v>
      </c>
      <c r="M9567" s="1">
        <f>VALUE(6767)</f>
        <v>6767</v>
      </c>
      <c r="N9567" t="s">
        <v>25</v>
      </c>
    </row>
    <row r="9568" spans="1:14" x14ac:dyDescent="0.25">
      <c r="A9568" t="s">
        <v>43</v>
      </c>
      <c r="B9568" t="s">
        <v>39</v>
      </c>
      <c r="C9568" t="s">
        <v>38</v>
      </c>
      <c r="D9568" t="s">
        <v>32</v>
      </c>
      <c r="E9568" t="s">
        <v>23</v>
      </c>
      <c r="F9568" t="s">
        <v>17</v>
      </c>
      <c r="G9568" s="1" t="str">
        <f t="shared" ref="G9568:M9569" si="2111">"X"</f>
        <v>X</v>
      </c>
      <c r="H9568" s="1" t="str">
        <f t="shared" si="2111"/>
        <v>X</v>
      </c>
      <c r="I9568" s="1" t="str">
        <f t="shared" si="2111"/>
        <v>X</v>
      </c>
      <c r="J9568" s="1" t="str">
        <f t="shared" si="2111"/>
        <v>X</v>
      </c>
      <c r="K9568" s="1" t="str">
        <f t="shared" si="2111"/>
        <v>X</v>
      </c>
      <c r="L9568" s="1" t="str">
        <f t="shared" si="2111"/>
        <v>X</v>
      </c>
      <c r="M9568" s="1" t="str">
        <f t="shared" si="2111"/>
        <v>X</v>
      </c>
      <c r="N9568" t="s">
        <v>27</v>
      </c>
    </row>
    <row r="9569" spans="1:14" x14ac:dyDescent="0.25">
      <c r="A9569" t="s">
        <v>43</v>
      </c>
      <c r="B9569" t="s">
        <v>39</v>
      </c>
      <c r="C9569" t="s">
        <v>38</v>
      </c>
      <c r="D9569" t="s">
        <v>32</v>
      </c>
      <c r="E9569" t="s">
        <v>23</v>
      </c>
      <c r="F9569" t="s">
        <v>18</v>
      </c>
      <c r="G9569" s="1" t="str">
        <f t="shared" si="2111"/>
        <v>X</v>
      </c>
      <c r="H9569" s="1" t="str">
        <f t="shared" si="2111"/>
        <v>X</v>
      </c>
      <c r="I9569" s="1" t="str">
        <f t="shared" si="2111"/>
        <v>X</v>
      </c>
      <c r="J9569" s="1" t="str">
        <f t="shared" si="2111"/>
        <v>X</v>
      </c>
      <c r="K9569" s="1" t="str">
        <f t="shared" si="2111"/>
        <v>X</v>
      </c>
      <c r="L9569" s="1" t="str">
        <f t="shared" si="2111"/>
        <v>X</v>
      </c>
      <c r="M9569" s="1" t="str">
        <f t="shared" si="2111"/>
        <v>X</v>
      </c>
      <c r="N9569" t="s">
        <v>27</v>
      </c>
    </row>
    <row r="9570" spans="1:14" x14ac:dyDescent="0.25">
      <c r="A9570" t="s">
        <v>43</v>
      </c>
      <c r="B9570" t="s">
        <v>39</v>
      </c>
      <c r="C9570" t="s">
        <v>38</v>
      </c>
      <c r="D9570" t="s">
        <v>32</v>
      </c>
      <c r="E9570" t="s">
        <v>23</v>
      </c>
      <c r="F9570" t="s">
        <v>19</v>
      </c>
      <c r="G9570" s="2">
        <f>VALUE(493.78)</f>
        <v>493.78</v>
      </c>
      <c r="H9570" s="3">
        <f>VALUE(511.71)</f>
        <v>511.71</v>
      </c>
      <c r="I9570" s="1">
        <f>VALUE(4307)</f>
        <v>4307</v>
      </c>
      <c r="J9570" s="5">
        <f>VALUE(4983)</f>
        <v>4983</v>
      </c>
      <c r="K9570" s="6">
        <f>VALUE(5815)</f>
        <v>5815</v>
      </c>
      <c r="L9570" s="1">
        <f>VALUE(6866)</f>
        <v>6866</v>
      </c>
      <c r="M9570" s="1">
        <f>VALUE(6943)</f>
        <v>6943</v>
      </c>
      <c r="N9570" t="s">
        <v>25</v>
      </c>
    </row>
    <row r="9571" spans="1:14" x14ac:dyDescent="0.25">
      <c r="A9571" t="s">
        <v>43</v>
      </c>
      <c r="B9571" t="s">
        <v>39</v>
      </c>
      <c r="C9571" t="s">
        <v>38</v>
      </c>
      <c r="D9571" t="s">
        <v>32</v>
      </c>
      <c r="E9571" t="s">
        <v>23</v>
      </c>
      <c r="F9571" t="s">
        <v>20</v>
      </c>
      <c r="G9571" s="2">
        <f>VALUE(2533.02)</f>
        <v>2533.02</v>
      </c>
      <c r="H9571" s="3">
        <f>VALUE(2523.91)</f>
        <v>2523.91</v>
      </c>
      <c r="I9571" s="1">
        <f>VALUE(3431)</f>
        <v>3431</v>
      </c>
      <c r="J9571" s="1">
        <f>VALUE(3976)</f>
        <v>3976</v>
      </c>
      <c r="K9571" s="1">
        <f>VALUE(4968)</f>
        <v>4968</v>
      </c>
      <c r="L9571" s="1">
        <f>VALUE(5563)</f>
        <v>5563</v>
      </c>
      <c r="M9571" s="1">
        <f>VALUE(6336)</f>
        <v>6336</v>
      </c>
      <c r="N9571" t="s">
        <v>25</v>
      </c>
    </row>
    <row r="9572" spans="1:14" x14ac:dyDescent="0.25">
      <c r="A9572" t="s">
        <v>43</v>
      </c>
      <c r="B9572" t="s">
        <v>39</v>
      </c>
      <c r="C9572" t="s">
        <v>38</v>
      </c>
      <c r="D9572" t="s">
        <v>32</v>
      </c>
      <c r="E9572" t="s">
        <v>26</v>
      </c>
      <c r="F9572" t="s">
        <v>15</v>
      </c>
      <c r="G9572" s="1" t="str">
        <f t="shared" ref="G9572:M9586" si="2112">"X"</f>
        <v>X</v>
      </c>
      <c r="H9572" s="1" t="str">
        <f t="shared" si="2112"/>
        <v>X</v>
      </c>
      <c r="I9572" s="1" t="str">
        <f t="shared" si="2112"/>
        <v>X</v>
      </c>
      <c r="J9572" s="1" t="str">
        <f t="shared" si="2112"/>
        <v>X</v>
      </c>
      <c r="K9572" s="1" t="str">
        <f t="shared" si="2112"/>
        <v>X</v>
      </c>
      <c r="L9572" s="1" t="str">
        <f t="shared" si="2112"/>
        <v>X</v>
      </c>
      <c r="M9572" s="1" t="str">
        <f t="shared" si="2112"/>
        <v>X</v>
      </c>
      <c r="N9572" t="s">
        <v>27</v>
      </c>
    </row>
    <row r="9573" spans="1:14" x14ac:dyDescent="0.25">
      <c r="A9573" t="s">
        <v>43</v>
      </c>
      <c r="B9573" t="s">
        <v>39</v>
      </c>
      <c r="C9573" t="s">
        <v>38</v>
      </c>
      <c r="D9573" t="s">
        <v>32</v>
      </c>
      <c r="E9573" t="s">
        <v>26</v>
      </c>
      <c r="F9573" t="s">
        <v>17</v>
      </c>
      <c r="G9573" s="1" t="str">
        <f t="shared" si="2112"/>
        <v>X</v>
      </c>
      <c r="H9573" s="1" t="str">
        <f t="shared" si="2112"/>
        <v>X</v>
      </c>
      <c r="I9573" s="1" t="str">
        <f t="shared" si="2112"/>
        <v>X</v>
      </c>
      <c r="J9573" s="1" t="str">
        <f t="shared" si="2112"/>
        <v>X</v>
      </c>
      <c r="K9573" s="1" t="str">
        <f t="shared" si="2112"/>
        <v>X</v>
      </c>
      <c r="L9573" s="1" t="str">
        <f t="shared" si="2112"/>
        <v>X</v>
      </c>
      <c r="M9573" s="1" t="str">
        <f t="shared" si="2112"/>
        <v>X</v>
      </c>
      <c r="N9573" t="s">
        <v>27</v>
      </c>
    </row>
    <row r="9574" spans="1:14" x14ac:dyDescent="0.25">
      <c r="A9574" t="s">
        <v>43</v>
      </c>
      <c r="B9574" t="s">
        <v>39</v>
      </c>
      <c r="C9574" t="s">
        <v>38</v>
      </c>
      <c r="D9574" t="s">
        <v>32</v>
      </c>
      <c r="E9574" t="s">
        <v>26</v>
      </c>
      <c r="F9574" t="s">
        <v>18</v>
      </c>
      <c r="G9574" s="1" t="str">
        <f t="shared" si="2112"/>
        <v>X</v>
      </c>
      <c r="H9574" s="1" t="str">
        <f t="shared" si="2112"/>
        <v>X</v>
      </c>
      <c r="I9574" s="1" t="str">
        <f t="shared" si="2112"/>
        <v>X</v>
      </c>
      <c r="J9574" s="1" t="str">
        <f t="shared" si="2112"/>
        <v>X</v>
      </c>
      <c r="K9574" s="1" t="str">
        <f t="shared" si="2112"/>
        <v>X</v>
      </c>
      <c r="L9574" s="1" t="str">
        <f t="shared" si="2112"/>
        <v>X</v>
      </c>
      <c r="M9574" s="1" t="str">
        <f t="shared" si="2112"/>
        <v>X</v>
      </c>
      <c r="N9574" t="s">
        <v>27</v>
      </c>
    </row>
    <row r="9575" spans="1:14" x14ac:dyDescent="0.25">
      <c r="A9575" t="s">
        <v>43</v>
      </c>
      <c r="B9575" t="s">
        <v>39</v>
      </c>
      <c r="C9575" t="s">
        <v>38</v>
      </c>
      <c r="D9575" t="s">
        <v>32</v>
      </c>
      <c r="E9575" t="s">
        <v>26</v>
      </c>
      <c r="F9575" t="s">
        <v>19</v>
      </c>
      <c r="G9575" s="1" t="str">
        <f t="shared" si="2112"/>
        <v>X</v>
      </c>
      <c r="H9575" s="1" t="str">
        <f t="shared" si="2112"/>
        <v>X</v>
      </c>
      <c r="I9575" s="1" t="str">
        <f t="shared" si="2112"/>
        <v>X</v>
      </c>
      <c r="J9575" s="1" t="str">
        <f t="shared" si="2112"/>
        <v>X</v>
      </c>
      <c r="K9575" s="1" t="str">
        <f t="shared" si="2112"/>
        <v>X</v>
      </c>
      <c r="L9575" s="1" t="str">
        <f t="shared" si="2112"/>
        <v>X</v>
      </c>
      <c r="M9575" s="1" t="str">
        <f t="shared" si="2112"/>
        <v>X</v>
      </c>
      <c r="N9575" t="s">
        <v>27</v>
      </c>
    </row>
    <row r="9576" spans="1:14" x14ac:dyDescent="0.25">
      <c r="A9576" t="s">
        <v>43</v>
      </c>
      <c r="B9576" t="s">
        <v>39</v>
      </c>
      <c r="C9576" t="s">
        <v>38</v>
      </c>
      <c r="D9576" t="s">
        <v>32</v>
      </c>
      <c r="E9576" t="s">
        <v>26</v>
      </c>
      <c r="F9576" t="s">
        <v>20</v>
      </c>
      <c r="G9576" s="1" t="str">
        <f t="shared" si="2112"/>
        <v>X</v>
      </c>
      <c r="H9576" s="1" t="str">
        <f t="shared" si="2112"/>
        <v>X</v>
      </c>
      <c r="I9576" s="1" t="str">
        <f t="shared" si="2112"/>
        <v>X</v>
      </c>
      <c r="J9576" s="1" t="str">
        <f t="shared" si="2112"/>
        <v>X</v>
      </c>
      <c r="K9576" s="1" t="str">
        <f t="shared" si="2112"/>
        <v>X</v>
      </c>
      <c r="L9576" s="1" t="str">
        <f t="shared" si="2112"/>
        <v>X</v>
      </c>
      <c r="M9576" s="1" t="str">
        <f t="shared" si="2112"/>
        <v>X</v>
      </c>
      <c r="N9576" t="s">
        <v>27</v>
      </c>
    </row>
    <row r="9577" spans="1:14" x14ac:dyDescent="0.25">
      <c r="A9577" t="s">
        <v>43</v>
      </c>
      <c r="B9577" t="s">
        <v>39</v>
      </c>
      <c r="C9577" t="s">
        <v>38</v>
      </c>
      <c r="D9577" t="s">
        <v>33</v>
      </c>
      <c r="E9577" t="s">
        <v>15</v>
      </c>
      <c r="F9577" t="s">
        <v>15</v>
      </c>
      <c r="G9577" s="1" t="str">
        <f t="shared" si="2112"/>
        <v>X</v>
      </c>
      <c r="H9577" s="1" t="str">
        <f t="shared" si="2112"/>
        <v>X</v>
      </c>
      <c r="I9577" s="1" t="str">
        <f t="shared" si="2112"/>
        <v>X</v>
      </c>
      <c r="J9577" s="1" t="str">
        <f t="shared" si="2112"/>
        <v>X</v>
      </c>
      <c r="K9577" s="1" t="str">
        <f t="shared" si="2112"/>
        <v>X</v>
      </c>
      <c r="L9577" s="1" t="str">
        <f t="shared" si="2112"/>
        <v>X</v>
      </c>
      <c r="M9577" s="1" t="str">
        <f t="shared" si="2112"/>
        <v>X</v>
      </c>
      <c r="N9577" t="s">
        <v>27</v>
      </c>
    </row>
    <row r="9578" spans="1:14" x14ac:dyDescent="0.25">
      <c r="A9578" t="s">
        <v>43</v>
      </c>
      <c r="B9578" t="s">
        <v>39</v>
      </c>
      <c r="C9578" t="s">
        <v>38</v>
      </c>
      <c r="D9578" t="s">
        <v>33</v>
      </c>
      <c r="E9578" t="s">
        <v>15</v>
      </c>
      <c r="F9578" t="s">
        <v>17</v>
      </c>
      <c r="G9578" s="1" t="str">
        <f t="shared" si="2112"/>
        <v>X</v>
      </c>
      <c r="H9578" s="1" t="str">
        <f t="shared" si="2112"/>
        <v>X</v>
      </c>
      <c r="I9578" s="1" t="str">
        <f t="shared" si="2112"/>
        <v>X</v>
      </c>
      <c r="J9578" s="1" t="str">
        <f t="shared" si="2112"/>
        <v>X</v>
      </c>
      <c r="K9578" s="1" t="str">
        <f t="shared" si="2112"/>
        <v>X</v>
      </c>
      <c r="L9578" s="1" t="str">
        <f t="shared" si="2112"/>
        <v>X</v>
      </c>
      <c r="M9578" s="1" t="str">
        <f t="shared" si="2112"/>
        <v>X</v>
      </c>
      <c r="N9578" t="s">
        <v>27</v>
      </c>
    </row>
    <row r="9579" spans="1:14" x14ac:dyDescent="0.25">
      <c r="A9579" t="s">
        <v>43</v>
      </c>
      <c r="B9579" t="s">
        <v>39</v>
      </c>
      <c r="C9579" t="s">
        <v>38</v>
      </c>
      <c r="D9579" t="s">
        <v>33</v>
      </c>
      <c r="E9579" t="s">
        <v>15</v>
      </c>
      <c r="F9579" t="s">
        <v>18</v>
      </c>
      <c r="G9579" s="1" t="str">
        <f t="shared" si="2112"/>
        <v>X</v>
      </c>
      <c r="H9579" s="1" t="str">
        <f t="shared" si="2112"/>
        <v>X</v>
      </c>
      <c r="I9579" s="1" t="str">
        <f t="shared" si="2112"/>
        <v>X</v>
      </c>
      <c r="J9579" s="1" t="str">
        <f t="shared" si="2112"/>
        <v>X</v>
      </c>
      <c r="K9579" s="1" t="str">
        <f t="shared" si="2112"/>
        <v>X</v>
      </c>
      <c r="L9579" s="1" t="str">
        <f t="shared" si="2112"/>
        <v>X</v>
      </c>
      <c r="M9579" s="1" t="str">
        <f t="shared" si="2112"/>
        <v>X</v>
      </c>
      <c r="N9579" t="s">
        <v>27</v>
      </c>
    </row>
    <row r="9580" spans="1:14" x14ac:dyDescent="0.25">
      <c r="A9580" t="s">
        <v>43</v>
      </c>
      <c r="B9580" t="s">
        <v>39</v>
      </c>
      <c r="C9580" t="s">
        <v>38</v>
      </c>
      <c r="D9580" t="s">
        <v>33</v>
      </c>
      <c r="E9580" t="s">
        <v>15</v>
      </c>
      <c r="F9580" t="s">
        <v>19</v>
      </c>
      <c r="G9580" s="1" t="str">
        <f t="shared" si="2112"/>
        <v>X</v>
      </c>
      <c r="H9580" s="1" t="str">
        <f t="shared" si="2112"/>
        <v>X</v>
      </c>
      <c r="I9580" s="1" t="str">
        <f t="shared" si="2112"/>
        <v>X</v>
      </c>
      <c r="J9580" s="1" t="str">
        <f t="shared" si="2112"/>
        <v>X</v>
      </c>
      <c r="K9580" s="1" t="str">
        <f t="shared" si="2112"/>
        <v>X</v>
      </c>
      <c r="L9580" s="1" t="str">
        <f t="shared" si="2112"/>
        <v>X</v>
      </c>
      <c r="M9580" s="1" t="str">
        <f t="shared" si="2112"/>
        <v>X</v>
      </c>
      <c r="N9580" t="s">
        <v>27</v>
      </c>
    </row>
    <row r="9581" spans="1:14" x14ac:dyDescent="0.25">
      <c r="A9581" t="s">
        <v>43</v>
      </c>
      <c r="B9581" t="s">
        <v>39</v>
      </c>
      <c r="C9581" t="s">
        <v>38</v>
      </c>
      <c r="D9581" t="s">
        <v>33</v>
      </c>
      <c r="E9581" t="s">
        <v>15</v>
      </c>
      <c r="F9581" t="s">
        <v>20</v>
      </c>
      <c r="G9581" s="1" t="str">
        <f t="shared" si="2112"/>
        <v>X</v>
      </c>
      <c r="H9581" s="1" t="str">
        <f t="shared" si="2112"/>
        <v>X</v>
      </c>
      <c r="I9581" s="1" t="str">
        <f t="shared" si="2112"/>
        <v>X</v>
      </c>
      <c r="J9581" s="1" t="str">
        <f t="shared" si="2112"/>
        <v>X</v>
      </c>
      <c r="K9581" s="1" t="str">
        <f t="shared" si="2112"/>
        <v>X</v>
      </c>
      <c r="L9581" s="1" t="str">
        <f t="shared" si="2112"/>
        <v>X</v>
      </c>
      <c r="M9581" s="1" t="str">
        <f t="shared" si="2112"/>
        <v>X</v>
      </c>
      <c r="N9581" t="s">
        <v>27</v>
      </c>
    </row>
    <row r="9582" spans="1:14" x14ac:dyDescent="0.25">
      <c r="A9582" t="s">
        <v>43</v>
      </c>
      <c r="B9582" t="s">
        <v>39</v>
      </c>
      <c r="C9582" t="s">
        <v>38</v>
      </c>
      <c r="D9582" t="s">
        <v>33</v>
      </c>
      <c r="E9582" t="s">
        <v>21</v>
      </c>
      <c r="F9582" t="s">
        <v>15</v>
      </c>
      <c r="G9582" s="1" t="str">
        <f t="shared" si="2112"/>
        <v>X</v>
      </c>
      <c r="H9582" s="1" t="str">
        <f t="shared" si="2112"/>
        <v>X</v>
      </c>
      <c r="I9582" s="1" t="str">
        <f t="shared" si="2112"/>
        <v>X</v>
      </c>
      <c r="J9582" s="1" t="str">
        <f t="shared" si="2112"/>
        <v>X</v>
      </c>
      <c r="K9582" s="1" t="str">
        <f t="shared" si="2112"/>
        <v>X</v>
      </c>
      <c r="L9582" s="1" t="str">
        <f t="shared" si="2112"/>
        <v>X</v>
      </c>
      <c r="M9582" s="1" t="str">
        <f t="shared" si="2112"/>
        <v>X</v>
      </c>
      <c r="N9582" t="s">
        <v>27</v>
      </c>
    </row>
    <row r="9583" spans="1:14" x14ac:dyDescent="0.25">
      <c r="A9583" t="s">
        <v>43</v>
      </c>
      <c r="B9583" t="s">
        <v>39</v>
      </c>
      <c r="C9583" t="s">
        <v>38</v>
      </c>
      <c r="D9583" t="s">
        <v>33</v>
      </c>
      <c r="E9583" t="s">
        <v>21</v>
      </c>
      <c r="F9583" t="s">
        <v>17</v>
      </c>
      <c r="G9583" s="1" t="str">
        <f t="shared" si="2112"/>
        <v>X</v>
      </c>
      <c r="H9583" s="1" t="str">
        <f t="shared" si="2112"/>
        <v>X</v>
      </c>
      <c r="I9583" s="1" t="str">
        <f t="shared" si="2112"/>
        <v>X</v>
      </c>
      <c r="J9583" s="1" t="str">
        <f t="shared" si="2112"/>
        <v>X</v>
      </c>
      <c r="K9583" s="1" t="str">
        <f t="shared" si="2112"/>
        <v>X</v>
      </c>
      <c r="L9583" s="1" t="str">
        <f t="shared" si="2112"/>
        <v>X</v>
      </c>
      <c r="M9583" s="1" t="str">
        <f t="shared" si="2112"/>
        <v>X</v>
      </c>
      <c r="N9583" t="s">
        <v>27</v>
      </c>
    </row>
    <row r="9584" spans="1:14" x14ac:dyDescent="0.25">
      <c r="A9584" t="s">
        <v>43</v>
      </c>
      <c r="B9584" t="s">
        <v>39</v>
      </c>
      <c r="C9584" t="s">
        <v>38</v>
      </c>
      <c r="D9584" t="s">
        <v>33</v>
      </c>
      <c r="E9584" t="s">
        <v>21</v>
      </c>
      <c r="F9584" t="s">
        <v>18</v>
      </c>
      <c r="G9584" s="1" t="str">
        <f t="shared" si="2112"/>
        <v>X</v>
      </c>
      <c r="H9584" s="1" t="str">
        <f t="shared" si="2112"/>
        <v>X</v>
      </c>
      <c r="I9584" s="1" t="str">
        <f t="shared" si="2112"/>
        <v>X</v>
      </c>
      <c r="J9584" s="1" t="str">
        <f t="shared" si="2112"/>
        <v>X</v>
      </c>
      <c r="K9584" s="1" t="str">
        <f t="shared" si="2112"/>
        <v>X</v>
      </c>
      <c r="L9584" s="1" t="str">
        <f t="shared" si="2112"/>
        <v>X</v>
      </c>
      <c r="M9584" s="1" t="str">
        <f t="shared" si="2112"/>
        <v>X</v>
      </c>
      <c r="N9584" t="s">
        <v>27</v>
      </c>
    </row>
    <row r="9585" spans="1:14" x14ac:dyDescent="0.25">
      <c r="A9585" t="s">
        <v>43</v>
      </c>
      <c r="B9585" t="s">
        <v>39</v>
      </c>
      <c r="C9585" t="s">
        <v>38</v>
      </c>
      <c r="D9585" t="s">
        <v>33</v>
      </c>
      <c r="E9585" t="s">
        <v>21</v>
      </c>
      <c r="F9585" t="s">
        <v>19</v>
      </c>
      <c r="G9585" s="1" t="str">
        <f t="shared" si="2112"/>
        <v>X</v>
      </c>
      <c r="H9585" s="1" t="str">
        <f t="shared" si="2112"/>
        <v>X</v>
      </c>
      <c r="I9585" s="1" t="str">
        <f t="shared" si="2112"/>
        <v>X</v>
      </c>
      <c r="J9585" s="1" t="str">
        <f t="shared" si="2112"/>
        <v>X</v>
      </c>
      <c r="K9585" s="1" t="str">
        <f t="shared" si="2112"/>
        <v>X</v>
      </c>
      <c r="L9585" s="1" t="str">
        <f t="shared" si="2112"/>
        <v>X</v>
      </c>
      <c r="M9585" s="1" t="str">
        <f t="shared" si="2112"/>
        <v>X</v>
      </c>
      <c r="N9585" t="s">
        <v>27</v>
      </c>
    </row>
    <row r="9586" spans="1:14" x14ac:dyDescent="0.25">
      <c r="A9586" t="s">
        <v>43</v>
      </c>
      <c r="B9586" t="s">
        <v>39</v>
      </c>
      <c r="C9586" t="s">
        <v>38</v>
      </c>
      <c r="D9586" t="s">
        <v>33</v>
      </c>
      <c r="E9586" t="s">
        <v>21</v>
      </c>
      <c r="F9586" t="s">
        <v>20</v>
      </c>
      <c r="G9586" s="1" t="str">
        <f t="shared" si="2112"/>
        <v>X</v>
      </c>
      <c r="H9586" s="1" t="str">
        <f t="shared" si="2112"/>
        <v>X</v>
      </c>
      <c r="I9586" s="1" t="str">
        <f t="shared" si="2112"/>
        <v>X</v>
      </c>
      <c r="J9586" s="1" t="str">
        <f t="shared" si="2112"/>
        <v>X</v>
      </c>
      <c r="K9586" s="1" t="str">
        <f t="shared" si="2112"/>
        <v>X</v>
      </c>
      <c r="L9586" s="1" t="str">
        <f t="shared" si="2112"/>
        <v>X</v>
      </c>
      <c r="M9586" s="1" t="str">
        <f t="shared" si="2112"/>
        <v>X</v>
      </c>
      <c r="N9586" t="s">
        <v>27</v>
      </c>
    </row>
    <row r="9587" spans="1:14" x14ac:dyDescent="0.25">
      <c r="A9587" t="s">
        <v>43</v>
      </c>
      <c r="B9587" t="s">
        <v>39</v>
      </c>
      <c r="C9587" t="s">
        <v>38</v>
      </c>
      <c r="D9587" t="s">
        <v>33</v>
      </c>
      <c r="E9587" t="s">
        <v>22</v>
      </c>
      <c r="F9587" t="s">
        <v>15</v>
      </c>
      <c r="G9587" s="1" t="str">
        <f t="shared" ref="G9587:M9591" si="2113">"..."</f>
        <v>...</v>
      </c>
      <c r="H9587" s="1" t="str">
        <f t="shared" si="2113"/>
        <v>...</v>
      </c>
      <c r="I9587" s="1" t="str">
        <f t="shared" si="2113"/>
        <v>...</v>
      </c>
      <c r="J9587" s="1" t="str">
        <f t="shared" si="2113"/>
        <v>...</v>
      </c>
      <c r="K9587" s="1" t="str">
        <f t="shared" si="2113"/>
        <v>...</v>
      </c>
      <c r="L9587" s="1" t="str">
        <f t="shared" si="2113"/>
        <v>...</v>
      </c>
      <c r="M9587" s="1" t="str">
        <f t="shared" si="2113"/>
        <v>...</v>
      </c>
      <c r="N9587" t="s">
        <v>30</v>
      </c>
    </row>
    <row r="9588" spans="1:14" x14ac:dyDescent="0.25">
      <c r="A9588" t="s">
        <v>43</v>
      </c>
      <c r="B9588" t="s">
        <v>39</v>
      </c>
      <c r="C9588" t="s">
        <v>38</v>
      </c>
      <c r="D9588" t="s">
        <v>33</v>
      </c>
      <c r="E9588" t="s">
        <v>22</v>
      </c>
      <c r="F9588" t="s">
        <v>17</v>
      </c>
      <c r="G9588" s="1" t="str">
        <f t="shared" si="2113"/>
        <v>...</v>
      </c>
      <c r="H9588" s="1" t="str">
        <f t="shared" si="2113"/>
        <v>...</v>
      </c>
      <c r="I9588" s="1" t="str">
        <f t="shared" si="2113"/>
        <v>...</v>
      </c>
      <c r="J9588" s="1" t="str">
        <f t="shared" si="2113"/>
        <v>...</v>
      </c>
      <c r="K9588" s="1" t="str">
        <f t="shared" si="2113"/>
        <v>...</v>
      </c>
      <c r="L9588" s="1" t="str">
        <f t="shared" si="2113"/>
        <v>...</v>
      </c>
      <c r="M9588" s="1" t="str">
        <f t="shared" si="2113"/>
        <v>...</v>
      </c>
      <c r="N9588" t="s">
        <v>30</v>
      </c>
    </row>
    <row r="9589" spans="1:14" x14ac:dyDescent="0.25">
      <c r="A9589" t="s">
        <v>43</v>
      </c>
      <c r="B9589" t="s">
        <v>39</v>
      </c>
      <c r="C9589" t="s">
        <v>38</v>
      </c>
      <c r="D9589" t="s">
        <v>33</v>
      </c>
      <c r="E9589" t="s">
        <v>22</v>
      </c>
      <c r="F9589" t="s">
        <v>18</v>
      </c>
      <c r="G9589" s="1" t="str">
        <f t="shared" si="2113"/>
        <v>...</v>
      </c>
      <c r="H9589" s="1" t="str">
        <f t="shared" si="2113"/>
        <v>...</v>
      </c>
      <c r="I9589" s="1" t="str">
        <f t="shared" si="2113"/>
        <v>...</v>
      </c>
      <c r="J9589" s="1" t="str">
        <f t="shared" si="2113"/>
        <v>...</v>
      </c>
      <c r="K9589" s="1" t="str">
        <f t="shared" si="2113"/>
        <v>...</v>
      </c>
      <c r="L9589" s="1" t="str">
        <f t="shared" si="2113"/>
        <v>...</v>
      </c>
      <c r="M9589" s="1" t="str">
        <f t="shared" si="2113"/>
        <v>...</v>
      </c>
      <c r="N9589" t="s">
        <v>30</v>
      </c>
    </row>
    <row r="9590" spans="1:14" x14ac:dyDescent="0.25">
      <c r="A9590" t="s">
        <v>43</v>
      </c>
      <c r="B9590" t="s">
        <v>39</v>
      </c>
      <c r="C9590" t="s">
        <v>38</v>
      </c>
      <c r="D9590" t="s">
        <v>33</v>
      </c>
      <c r="E9590" t="s">
        <v>22</v>
      </c>
      <c r="F9590" t="s">
        <v>19</v>
      </c>
      <c r="G9590" s="1" t="str">
        <f t="shared" si="2113"/>
        <v>...</v>
      </c>
      <c r="H9590" s="1" t="str">
        <f t="shared" si="2113"/>
        <v>...</v>
      </c>
      <c r="I9590" s="1" t="str">
        <f t="shared" si="2113"/>
        <v>...</v>
      </c>
      <c r="J9590" s="1" t="str">
        <f t="shared" si="2113"/>
        <v>...</v>
      </c>
      <c r="K9590" s="1" t="str">
        <f t="shared" si="2113"/>
        <v>...</v>
      </c>
      <c r="L9590" s="1" t="str">
        <f t="shared" si="2113"/>
        <v>...</v>
      </c>
      <c r="M9590" s="1" t="str">
        <f t="shared" si="2113"/>
        <v>...</v>
      </c>
      <c r="N9590" t="s">
        <v>30</v>
      </c>
    </row>
    <row r="9591" spans="1:14" x14ac:dyDescent="0.25">
      <c r="A9591" t="s">
        <v>43</v>
      </c>
      <c r="B9591" t="s">
        <v>39</v>
      </c>
      <c r="C9591" t="s">
        <v>38</v>
      </c>
      <c r="D9591" t="s">
        <v>33</v>
      </c>
      <c r="E9591" t="s">
        <v>22</v>
      </c>
      <c r="F9591" t="s">
        <v>20</v>
      </c>
      <c r="G9591" s="1" t="str">
        <f t="shared" si="2113"/>
        <v>...</v>
      </c>
      <c r="H9591" s="1" t="str">
        <f t="shared" si="2113"/>
        <v>...</v>
      </c>
      <c r="I9591" s="1" t="str">
        <f t="shared" si="2113"/>
        <v>...</v>
      </c>
      <c r="J9591" s="1" t="str">
        <f t="shared" si="2113"/>
        <v>...</v>
      </c>
      <c r="K9591" s="1" t="str">
        <f t="shared" si="2113"/>
        <v>...</v>
      </c>
      <c r="L9591" s="1" t="str">
        <f t="shared" si="2113"/>
        <v>...</v>
      </c>
      <c r="M9591" s="1" t="str">
        <f t="shared" si="2113"/>
        <v>...</v>
      </c>
      <c r="N9591" t="s">
        <v>30</v>
      </c>
    </row>
    <row r="9592" spans="1:14" x14ac:dyDescent="0.25">
      <c r="A9592" t="s">
        <v>43</v>
      </c>
      <c r="B9592" t="s">
        <v>39</v>
      </c>
      <c r="C9592" t="s">
        <v>38</v>
      </c>
      <c r="D9592" t="s">
        <v>33</v>
      </c>
      <c r="E9592" t="s">
        <v>23</v>
      </c>
      <c r="F9592" t="s">
        <v>15</v>
      </c>
      <c r="G9592" s="1" t="str">
        <f t="shared" ref="G9592:M9592" si="2114">"X"</f>
        <v>X</v>
      </c>
      <c r="H9592" s="1" t="str">
        <f t="shared" si="2114"/>
        <v>X</v>
      </c>
      <c r="I9592" s="1" t="str">
        <f t="shared" si="2114"/>
        <v>X</v>
      </c>
      <c r="J9592" s="1" t="str">
        <f t="shared" si="2114"/>
        <v>X</v>
      </c>
      <c r="K9592" s="1" t="str">
        <f t="shared" si="2114"/>
        <v>X</v>
      </c>
      <c r="L9592" s="1" t="str">
        <f t="shared" si="2114"/>
        <v>X</v>
      </c>
      <c r="M9592" s="1" t="str">
        <f t="shared" si="2114"/>
        <v>X</v>
      </c>
      <c r="N9592" t="s">
        <v>27</v>
      </c>
    </row>
    <row r="9593" spans="1:14" x14ac:dyDescent="0.25">
      <c r="A9593" t="s">
        <v>43</v>
      </c>
      <c r="B9593" t="s">
        <v>39</v>
      </c>
      <c r="C9593" t="s">
        <v>38</v>
      </c>
      <c r="D9593" t="s">
        <v>33</v>
      </c>
      <c r="E9593" t="s">
        <v>23</v>
      </c>
      <c r="F9593" t="s">
        <v>17</v>
      </c>
      <c r="G9593" s="1" t="str">
        <f t="shared" ref="G9593:M9595" si="2115">"..."</f>
        <v>...</v>
      </c>
      <c r="H9593" s="1" t="str">
        <f t="shared" si="2115"/>
        <v>...</v>
      </c>
      <c r="I9593" s="1" t="str">
        <f t="shared" si="2115"/>
        <v>...</v>
      </c>
      <c r="J9593" s="1" t="str">
        <f t="shared" si="2115"/>
        <v>...</v>
      </c>
      <c r="K9593" s="1" t="str">
        <f t="shared" si="2115"/>
        <v>...</v>
      </c>
      <c r="L9593" s="1" t="str">
        <f t="shared" si="2115"/>
        <v>...</v>
      </c>
      <c r="M9593" s="1" t="str">
        <f t="shared" si="2115"/>
        <v>...</v>
      </c>
      <c r="N9593" t="s">
        <v>30</v>
      </c>
    </row>
    <row r="9594" spans="1:14" x14ac:dyDescent="0.25">
      <c r="A9594" t="s">
        <v>43</v>
      </c>
      <c r="B9594" t="s">
        <v>39</v>
      </c>
      <c r="C9594" t="s">
        <v>38</v>
      </c>
      <c r="D9594" t="s">
        <v>33</v>
      </c>
      <c r="E9594" t="s">
        <v>23</v>
      </c>
      <c r="F9594" t="s">
        <v>18</v>
      </c>
      <c r="G9594" s="1" t="str">
        <f t="shared" si="2115"/>
        <v>...</v>
      </c>
      <c r="H9594" s="1" t="str">
        <f t="shared" si="2115"/>
        <v>...</v>
      </c>
      <c r="I9594" s="1" t="str">
        <f t="shared" si="2115"/>
        <v>...</v>
      </c>
      <c r="J9594" s="1" t="str">
        <f t="shared" si="2115"/>
        <v>...</v>
      </c>
      <c r="K9594" s="1" t="str">
        <f t="shared" si="2115"/>
        <v>...</v>
      </c>
      <c r="L9594" s="1" t="str">
        <f t="shared" si="2115"/>
        <v>...</v>
      </c>
      <c r="M9594" s="1" t="str">
        <f t="shared" si="2115"/>
        <v>...</v>
      </c>
      <c r="N9594" t="s">
        <v>30</v>
      </c>
    </row>
    <row r="9595" spans="1:14" x14ac:dyDescent="0.25">
      <c r="A9595" t="s">
        <v>43</v>
      </c>
      <c r="B9595" t="s">
        <v>39</v>
      </c>
      <c r="C9595" t="s">
        <v>38</v>
      </c>
      <c r="D9595" t="s">
        <v>33</v>
      </c>
      <c r="E9595" t="s">
        <v>23</v>
      </c>
      <c r="F9595" t="s">
        <v>19</v>
      </c>
      <c r="G9595" s="1" t="str">
        <f t="shared" si="2115"/>
        <v>...</v>
      </c>
      <c r="H9595" s="1" t="str">
        <f t="shared" si="2115"/>
        <v>...</v>
      </c>
      <c r="I9595" s="1" t="str">
        <f t="shared" si="2115"/>
        <v>...</v>
      </c>
      <c r="J9595" s="1" t="str">
        <f t="shared" si="2115"/>
        <v>...</v>
      </c>
      <c r="K9595" s="1" t="str">
        <f t="shared" si="2115"/>
        <v>...</v>
      </c>
      <c r="L9595" s="1" t="str">
        <f t="shared" si="2115"/>
        <v>...</v>
      </c>
      <c r="M9595" s="1" t="str">
        <f t="shared" si="2115"/>
        <v>...</v>
      </c>
      <c r="N9595" t="s">
        <v>30</v>
      </c>
    </row>
    <row r="9596" spans="1:14" x14ac:dyDescent="0.25">
      <c r="A9596" t="s">
        <v>43</v>
      </c>
      <c r="B9596" t="s">
        <v>39</v>
      </c>
      <c r="C9596" t="s">
        <v>38</v>
      </c>
      <c r="D9596" t="s">
        <v>33</v>
      </c>
      <c r="E9596" t="s">
        <v>23</v>
      </c>
      <c r="F9596" t="s">
        <v>20</v>
      </c>
      <c r="G9596" s="1" t="str">
        <f t="shared" ref="G9596:M9598" si="2116">"X"</f>
        <v>X</v>
      </c>
      <c r="H9596" s="1" t="str">
        <f t="shared" si="2116"/>
        <v>X</v>
      </c>
      <c r="I9596" s="1" t="str">
        <f t="shared" si="2116"/>
        <v>X</v>
      </c>
      <c r="J9596" s="1" t="str">
        <f t="shared" si="2116"/>
        <v>X</v>
      </c>
      <c r="K9596" s="1" t="str">
        <f t="shared" si="2116"/>
        <v>X</v>
      </c>
      <c r="L9596" s="1" t="str">
        <f t="shared" si="2116"/>
        <v>X</v>
      </c>
      <c r="M9596" s="1" t="str">
        <f t="shared" si="2116"/>
        <v>X</v>
      </c>
      <c r="N9596" t="s">
        <v>27</v>
      </c>
    </row>
    <row r="9597" spans="1:14" x14ac:dyDescent="0.25">
      <c r="A9597" t="s">
        <v>43</v>
      </c>
      <c r="B9597" t="s">
        <v>39</v>
      </c>
      <c r="C9597" t="s">
        <v>38</v>
      </c>
      <c r="D9597" t="s">
        <v>33</v>
      </c>
      <c r="E9597" t="s">
        <v>26</v>
      </c>
      <c r="F9597" t="s">
        <v>15</v>
      </c>
      <c r="G9597" s="1" t="str">
        <f t="shared" si="2116"/>
        <v>X</v>
      </c>
      <c r="H9597" s="1" t="str">
        <f t="shared" si="2116"/>
        <v>X</v>
      </c>
      <c r="I9597" s="1" t="str">
        <f t="shared" si="2116"/>
        <v>X</v>
      </c>
      <c r="J9597" s="1" t="str">
        <f t="shared" si="2116"/>
        <v>X</v>
      </c>
      <c r="K9597" s="1" t="str">
        <f t="shared" si="2116"/>
        <v>X</v>
      </c>
      <c r="L9597" s="1" t="str">
        <f t="shared" si="2116"/>
        <v>X</v>
      </c>
      <c r="M9597" s="1" t="str">
        <f t="shared" si="2116"/>
        <v>X</v>
      </c>
      <c r="N9597" t="s">
        <v>27</v>
      </c>
    </row>
    <row r="9598" spans="1:14" x14ac:dyDescent="0.25">
      <c r="A9598" t="s">
        <v>43</v>
      </c>
      <c r="B9598" t="s">
        <v>39</v>
      </c>
      <c r="C9598" t="s">
        <v>38</v>
      </c>
      <c r="D9598" t="s">
        <v>33</v>
      </c>
      <c r="E9598" t="s">
        <v>26</v>
      </c>
      <c r="F9598" t="s">
        <v>17</v>
      </c>
      <c r="G9598" s="1" t="str">
        <f t="shared" si="2116"/>
        <v>X</v>
      </c>
      <c r="H9598" s="1" t="str">
        <f t="shared" si="2116"/>
        <v>X</v>
      </c>
      <c r="I9598" s="1" t="str">
        <f t="shared" si="2116"/>
        <v>X</v>
      </c>
      <c r="J9598" s="1" t="str">
        <f t="shared" si="2116"/>
        <v>X</v>
      </c>
      <c r="K9598" s="1" t="str">
        <f t="shared" si="2116"/>
        <v>X</v>
      </c>
      <c r="L9598" s="1" t="str">
        <f t="shared" si="2116"/>
        <v>X</v>
      </c>
      <c r="M9598" s="1" t="str">
        <f t="shared" si="2116"/>
        <v>X</v>
      </c>
      <c r="N9598" t="s">
        <v>27</v>
      </c>
    </row>
    <row r="9599" spans="1:14" x14ac:dyDescent="0.25">
      <c r="A9599" t="s">
        <v>43</v>
      </c>
      <c r="B9599" t="s">
        <v>39</v>
      </c>
      <c r="C9599" t="s">
        <v>38</v>
      </c>
      <c r="D9599" t="s">
        <v>33</v>
      </c>
      <c r="E9599" t="s">
        <v>26</v>
      </c>
      <c r="F9599" t="s">
        <v>18</v>
      </c>
      <c r="G9599" s="1" t="str">
        <f t="shared" ref="G9599:M9599" si="2117">"..."</f>
        <v>...</v>
      </c>
      <c r="H9599" s="1" t="str">
        <f t="shared" si="2117"/>
        <v>...</v>
      </c>
      <c r="I9599" s="1" t="str">
        <f t="shared" si="2117"/>
        <v>...</v>
      </c>
      <c r="J9599" s="1" t="str">
        <f t="shared" si="2117"/>
        <v>...</v>
      </c>
      <c r="K9599" s="1" t="str">
        <f t="shared" si="2117"/>
        <v>...</v>
      </c>
      <c r="L9599" s="1" t="str">
        <f t="shared" si="2117"/>
        <v>...</v>
      </c>
      <c r="M9599" s="1" t="str">
        <f t="shared" si="2117"/>
        <v>...</v>
      </c>
      <c r="N9599" t="s">
        <v>30</v>
      </c>
    </row>
    <row r="9600" spans="1:14" x14ac:dyDescent="0.25">
      <c r="A9600" t="s">
        <v>43</v>
      </c>
      <c r="B9600" t="s">
        <v>39</v>
      </c>
      <c r="C9600" t="s">
        <v>38</v>
      </c>
      <c r="D9600" t="s">
        <v>33</v>
      </c>
      <c r="E9600" t="s">
        <v>26</v>
      </c>
      <c r="F9600" t="s">
        <v>19</v>
      </c>
      <c r="G9600" s="1" t="str">
        <f t="shared" ref="G9600:M9600" si="2118">"X"</f>
        <v>X</v>
      </c>
      <c r="H9600" s="1" t="str">
        <f t="shared" si="2118"/>
        <v>X</v>
      </c>
      <c r="I9600" s="1" t="str">
        <f t="shared" si="2118"/>
        <v>X</v>
      </c>
      <c r="J9600" s="1" t="str">
        <f t="shared" si="2118"/>
        <v>X</v>
      </c>
      <c r="K9600" s="1" t="str">
        <f t="shared" si="2118"/>
        <v>X</v>
      </c>
      <c r="L9600" s="1" t="str">
        <f t="shared" si="2118"/>
        <v>X</v>
      </c>
      <c r="M9600" s="1" t="str">
        <f t="shared" si="2118"/>
        <v>X</v>
      </c>
      <c r="N9600" t="s">
        <v>27</v>
      </c>
    </row>
    <row r="9601" spans="1:14" x14ac:dyDescent="0.25">
      <c r="A9601" t="s">
        <v>43</v>
      </c>
      <c r="B9601" t="s">
        <v>39</v>
      </c>
      <c r="C9601" t="s">
        <v>38</v>
      </c>
      <c r="D9601" t="s">
        <v>33</v>
      </c>
      <c r="E9601" t="s">
        <v>26</v>
      </c>
      <c r="F9601" t="s">
        <v>20</v>
      </c>
      <c r="G9601" s="1" t="str">
        <f t="shared" ref="G9601:M9601" si="2119">"..."</f>
        <v>...</v>
      </c>
      <c r="H9601" s="1" t="str">
        <f t="shared" si="2119"/>
        <v>...</v>
      </c>
      <c r="I9601" s="1" t="str">
        <f t="shared" si="2119"/>
        <v>...</v>
      </c>
      <c r="J9601" s="1" t="str">
        <f t="shared" si="2119"/>
        <v>...</v>
      </c>
      <c r="K9601" s="1" t="str">
        <f t="shared" si="2119"/>
        <v>...</v>
      </c>
      <c r="L9601" s="1" t="str">
        <f t="shared" si="2119"/>
        <v>...</v>
      </c>
      <c r="M9601" s="1" t="str">
        <f t="shared" si="2119"/>
        <v>...</v>
      </c>
      <c r="N9601" t="s">
        <v>30</v>
      </c>
    </row>
    <row r="9602" spans="1:14" x14ac:dyDescent="0.25">
      <c r="A9602" t="s">
        <v>43</v>
      </c>
      <c r="B9602" t="s">
        <v>39</v>
      </c>
      <c r="C9602" t="s">
        <v>38</v>
      </c>
      <c r="D9602" t="s">
        <v>34</v>
      </c>
      <c r="E9602" t="s">
        <v>15</v>
      </c>
      <c r="F9602" t="s">
        <v>15</v>
      </c>
      <c r="G9602" s="1" t="str">
        <f t="shared" ref="G9602:M9609" si="2120">"X"</f>
        <v>X</v>
      </c>
      <c r="H9602" s="1" t="str">
        <f t="shared" si="2120"/>
        <v>X</v>
      </c>
      <c r="I9602" s="1" t="str">
        <f t="shared" si="2120"/>
        <v>X</v>
      </c>
      <c r="J9602" s="1" t="str">
        <f t="shared" si="2120"/>
        <v>X</v>
      </c>
      <c r="K9602" s="1" t="str">
        <f t="shared" si="2120"/>
        <v>X</v>
      </c>
      <c r="L9602" s="1" t="str">
        <f t="shared" si="2120"/>
        <v>X</v>
      </c>
      <c r="M9602" s="1" t="str">
        <f t="shared" si="2120"/>
        <v>X</v>
      </c>
      <c r="N9602" t="s">
        <v>27</v>
      </c>
    </row>
    <row r="9603" spans="1:14" x14ac:dyDescent="0.25">
      <c r="A9603" t="s">
        <v>43</v>
      </c>
      <c r="B9603" t="s">
        <v>39</v>
      </c>
      <c r="C9603" t="s">
        <v>38</v>
      </c>
      <c r="D9603" t="s">
        <v>34</v>
      </c>
      <c r="E9603" t="s">
        <v>15</v>
      </c>
      <c r="F9603" t="s">
        <v>17</v>
      </c>
      <c r="G9603" s="1" t="str">
        <f t="shared" si="2120"/>
        <v>X</v>
      </c>
      <c r="H9603" s="1" t="str">
        <f t="shared" si="2120"/>
        <v>X</v>
      </c>
      <c r="I9603" s="1" t="str">
        <f t="shared" si="2120"/>
        <v>X</v>
      </c>
      <c r="J9603" s="1" t="str">
        <f t="shared" si="2120"/>
        <v>X</v>
      </c>
      <c r="K9603" s="1" t="str">
        <f t="shared" si="2120"/>
        <v>X</v>
      </c>
      <c r="L9603" s="1" t="str">
        <f t="shared" si="2120"/>
        <v>X</v>
      </c>
      <c r="M9603" s="1" t="str">
        <f t="shared" si="2120"/>
        <v>X</v>
      </c>
      <c r="N9603" t="s">
        <v>27</v>
      </c>
    </row>
    <row r="9604" spans="1:14" x14ac:dyDescent="0.25">
      <c r="A9604" t="s">
        <v>43</v>
      </c>
      <c r="B9604" t="s">
        <v>39</v>
      </c>
      <c r="C9604" t="s">
        <v>38</v>
      </c>
      <c r="D9604" t="s">
        <v>34</v>
      </c>
      <c r="E9604" t="s">
        <v>15</v>
      </c>
      <c r="F9604" t="s">
        <v>18</v>
      </c>
      <c r="G9604" s="1" t="str">
        <f t="shared" si="2120"/>
        <v>X</v>
      </c>
      <c r="H9604" s="1" t="str">
        <f t="shared" si="2120"/>
        <v>X</v>
      </c>
      <c r="I9604" s="1" t="str">
        <f t="shared" si="2120"/>
        <v>X</v>
      </c>
      <c r="J9604" s="1" t="str">
        <f t="shared" si="2120"/>
        <v>X</v>
      </c>
      <c r="K9604" s="1" t="str">
        <f t="shared" si="2120"/>
        <v>X</v>
      </c>
      <c r="L9604" s="1" t="str">
        <f t="shared" si="2120"/>
        <v>X</v>
      </c>
      <c r="M9604" s="1" t="str">
        <f t="shared" si="2120"/>
        <v>X</v>
      </c>
      <c r="N9604" t="s">
        <v>27</v>
      </c>
    </row>
    <row r="9605" spans="1:14" x14ac:dyDescent="0.25">
      <c r="A9605" t="s">
        <v>43</v>
      </c>
      <c r="B9605" t="s">
        <v>39</v>
      </c>
      <c r="C9605" t="s">
        <v>38</v>
      </c>
      <c r="D9605" t="s">
        <v>34</v>
      </c>
      <c r="E9605" t="s">
        <v>15</v>
      </c>
      <c r="F9605" t="s">
        <v>19</v>
      </c>
      <c r="G9605" s="1" t="str">
        <f t="shared" si="2120"/>
        <v>X</v>
      </c>
      <c r="H9605" s="1" t="str">
        <f t="shared" si="2120"/>
        <v>X</v>
      </c>
      <c r="I9605" s="1" t="str">
        <f t="shared" si="2120"/>
        <v>X</v>
      </c>
      <c r="J9605" s="1" t="str">
        <f t="shared" si="2120"/>
        <v>X</v>
      </c>
      <c r="K9605" s="1" t="str">
        <f t="shared" si="2120"/>
        <v>X</v>
      </c>
      <c r="L9605" s="1" t="str">
        <f t="shared" si="2120"/>
        <v>X</v>
      </c>
      <c r="M9605" s="1" t="str">
        <f t="shared" si="2120"/>
        <v>X</v>
      </c>
      <c r="N9605" t="s">
        <v>27</v>
      </c>
    </row>
    <row r="9606" spans="1:14" x14ac:dyDescent="0.25">
      <c r="A9606" t="s">
        <v>43</v>
      </c>
      <c r="B9606" t="s">
        <v>39</v>
      </c>
      <c r="C9606" t="s">
        <v>38</v>
      </c>
      <c r="D9606" t="s">
        <v>34</v>
      </c>
      <c r="E9606" t="s">
        <v>15</v>
      </c>
      <c r="F9606" t="s">
        <v>20</v>
      </c>
      <c r="G9606" s="1" t="str">
        <f t="shared" si="2120"/>
        <v>X</v>
      </c>
      <c r="H9606" s="1" t="str">
        <f t="shared" si="2120"/>
        <v>X</v>
      </c>
      <c r="I9606" s="1" t="str">
        <f t="shared" si="2120"/>
        <v>X</v>
      </c>
      <c r="J9606" s="1" t="str">
        <f t="shared" si="2120"/>
        <v>X</v>
      </c>
      <c r="K9606" s="1" t="str">
        <f t="shared" si="2120"/>
        <v>X</v>
      </c>
      <c r="L9606" s="1" t="str">
        <f t="shared" si="2120"/>
        <v>X</v>
      </c>
      <c r="M9606" s="1" t="str">
        <f t="shared" si="2120"/>
        <v>X</v>
      </c>
      <c r="N9606" t="s">
        <v>27</v>
      </c>
    </row>
    <row r="9607" spans="1:14" x14ac:dyDescent="0.25">
      <c r="A9607" t="s">
        <v>43</v>
      </c>
      <c r="B9607" t="s">
        <v>39</v>
      </c>
      <c r="C9607" t="s">
        <v>38</v>
      </c>
      <c r="D9607" t="s">
        <v>34</v>
      </c>
      <c r="E9607" t="s">
        <v>21</v>
      </c>
      <c r="F9607" t="s">
        <v>15</v>
      </c>
      <c r="G9607" s="1" t="str">
        <f t="shared" si="2120"/>
        <v>X</v>
      </c>
      <c r="H9607" s="1" t="str">
        <f t="shared" si="2120"/>
        <v>X</v>
      </c>
      <c r="I9607" s="1" t="str">
        <f t="shared" si="2120"/>
        <v>X</v>
      </c>
      <c r="J9607" s="1" t="str">
        <f t="shared" si="2120"/>
        <v>X</v>
      </c>
      <c r="K9607" s="1" t="str">
        <f t="shared" si="2120"/>
        <v>X</v>
      </c>
      <c r="L9607" s="1" t="str">
        <f t="shared" si="2120"/>
        <v>X</v>
      </c>
      <c r="M9607" s="1" t="str">
        <f t="shared" si="2120"/>
        <v>X</v>
      </c>
      <c r="N9607" t="s">
        <v>27</v>
      </c>
    </row>
    <row r="9608" spans="1:14" x14ac:dyDescent="0.25">
      <c r="A9608" t="s">
        <v>43</v>
      </c>
      <c r="B9608" t="s">
        <v>39</v>
      </c>
      <c r="C9608" t="s">
        <v>38</v>
      </c>
      <c r="D9608" t="s">
        <v>34</v>
      </c>
      <c r="E9608" t="s">
        <v>21</v>
      </c>
      <c r="F9608" t="s">
        <v>17</v>
      </c>
      <c r="G9608" s="1" t="str">
        <f t="shared" si="2120"/>
        <v>X</v>
      </c>
      <c r="H9608" s="1" t="str">
        <f t="shared" si="2120"/>
        <v>X</v>
      </c>
      <c r="I9608" s="1" t="str">
        <f t="shared" si="2120"/>
        <v>X</v>
      </c>
      <c r="J9608" s="1" t="str">
        <f t="shared" si="2120"/>
        <v>X</v>
      </c>
      <c r="K9608" s="1" t="str">
        <f t="shared" si="2120"/>
        <v>X</v>
      </c>
      <c r="L9608" s="1" t="str">
        <f t="shared" si="2120"/>
        <v>X</v>
      </c>
      <c r="M9608" s="1" t="str">
        <f t="shared" si="2120"/>
        <v>X</v>
      </c>
      <c r="N9608" t="s">
        <v>27</v>
      </c>
    </row>
    <row r="9609" spans="1:14" x14ac:dyDescent="0.25">
      <c r="A9609" t="s">
        <v>43</v>
      </c>
      <c r="B9609" t="s">
        <v>39</v>
      </c>
      <c r="C9609" t="s">
        <v>38</v>
      </c>
      <c r="D9609" t="s">
        <v>34</v>
      </c>
      <c r="E9609" t="s">
        <v>21</v>
      </c>
      <c r="F9609" t="s">
        <v>18</v>
      </c>
      <c r="G9609" s="1" t="str">
        <f t="shared" si="2120"/>
        <v>X</v>
      </c>
      <c r="H9609" s="1" t="str">
        <f t="shared" si="2120"/>
        <v>X</v>
      </c>
      <c r="I9609" s="1" t="str">
        <f t="shared" si="2120"/>
        <v>X</v>
      </c>
      <c r="J9609" s="1" t="str">
        <f t="shared" si="2120"/>
        <v>X</v>
      </c>
      <c r="K9609" s="1" t="str">
        <f t="shared" si="2120"/>
        <v>X</v>
      </c>
      <c r="L9609" s="1" t="str">
        <f t="shared" si="2120"/>
        <v>X</v>
      </c>
      <c r="M9609" s="1" t="str">
        <f t="shared" si="2120"/>
        <v>X</v>
      </c>
      <c r="N9609" t="s">
        <v>27</v>
      </c>
    </row>
    <row r="9610" spans="1:14" x14ac:dyDescent="0.25">
      <c r="A9610" t="s">
        <v>43</v>
      </c>
      <c r="B9610" t="s">
        <v>39</v>
      </c>
      <c r="C9610" t="s">
        <v>38</v>
      </c>
      <c r="D9610" t="s">
        <v>34</v>
      </c>
      <c r="E9610" t="s">
        <v>21</v>
      </c>
      <c r="F9610" t="s">
        <v>19</v>
      </c>
      <c r="G9610" s="1" t="str">
        <f t="shared" ref="G9610:M9611" si="2121">"..."</f>
        <v>...</v>
      </c>
      <c r="H9610" s="1" t="str">
        <f t="shared" si="2121"/>
        <v>...</v>
      </c>
      <c r="I9610" s="1" t="str">
        <f t="shared" si="2121"/>
        <v>...</v>
      </c>
      <c r="J9610" s="1" t="str">
        <f t="shared" si="2121"/>
        <v>...</v>
      </c>
      <c r="K9610" s="1" t="str">
        <f t="shared" si="2121"/>
        <v>...</v>
      </c>
      <c r="L9610" s="1" t="str">
        <f t="shared" si="2121"/>
        <v>...</v>
      </c>
      <c r="M9610" s="1" t="str">
        <f t="shared" si="2121"/>
        <v>...</v>
      </c>
      <c r="N9610" t="s">
        <v>30</v>
      </c>
    </row>
    <row r="9611" spans="1:14" x14ac:dyDescent="0.25">
      <c r="A9611" t="s">
        <v>43</v>
      </c>
      <c r="B9611" t="s">
        <v>39</v>
      </c>
      <c r="C9611" t="s">
        <v>38</v>
      </c>
      <c r="D9611" t="s">
        <v>34</v>
      </c>
      <c r="E9611" t="s">
        <v>21</v>
      </c>
      <c r="F9611" t="s">
        <v>20</v>
      </c>
      <c r="G9611" s="1" t="str">
        <f t="shared" si="2121"/>
        <v>...</v>
      </c>
      <c r="H9611" s="1" t="str">
        <f t="shared" si="2121"/>
        <v>...</v>
      </c>
      <c r="I9611" s="1" t="str">
        <f t="shared" si="2121"/>
        <v>...</v>
      </c>
      <c r="J9611" s="1" t="str">
        <f t="shared" si="2121"/>
        <v>...</v>
      </c>
      <c r="K9611" s="1" t="str">
        <f t="shared" si="2121"/>
        <v>...</v>
      </c>
      <c r="L9611" s="1" t="str">
        <f t="shared" si="2121"/>
        <v>...</v>
      </c>
      <c r="M9611" s="1" t="str">
        <f t="shared" si="2121"/>
        <v>...</v>
      </c>
      <c r="N9611" t="s">
        <v>30</v>
      </c>
    </row>
    <row r="9612" spans="1:14" x14ac:dyDescent="0.25">
      <c r="A9612" t="s">
        <v>43</v>
      </c>
      <c r="B9612" t="s">
        <v>39</v>
      </c>
      <c r="C9612" t="s">
        <v>38</v>
      </c>
      <c r="D9612" t="s">
        <v>34</v>
      </c>
      <c r="E9612" t="s">
        <v>22</v>
      </c>
      <c r="F9612" t="s">
        <v>15</v>
      </c>
      <c r="G9612" s="1" t="str">
        <f t="shared" ref="G9612:M9612" si="2122">"X"</f>
        <v>X</v>
      </c>
      <c r="H9612" s="1" t="str">
        <f t="shared" si="2122"/>
        <v>X</v>
      </c>
      <c r="I9612" s="1" t="str">
        <f t="shared" si="2122"/>
        <v>X</v>
      </c>
      <c r="J9612" s="1" t="str">
        <f t="shared" si="2122"/>
        <v>X</v>
      </c>
      <c r="K9612" s="1" t="str">
        <f t="shared" si="2122"/>
        <v>X</v>
      </c>
      <c r="L9612" s="1" t="str">
        <f t="shared" si="2122"/>
        <v>X</v>
      </c>
      <c r="M9612" s="1" t="str">
        <f t="shared" si="2122"/>
        <v>X</v>
      </c>
      <c r="N9612" t="s">
        <v>27</v>
      </c>
    </row>
    <row r="9613" spans="1:14" x14ac:dyDescent="0.25">
      <c r="A9613" t="s">
        <v>43</v>
      </c>
      <c r="B9613" t="s">
        <v>39</v>
      </c>
      <c r="C9613" t="s">
        <v>38</v>
      </c>
      <c r="D9613" t="s">
        <v>34</v>
      </c>
      <c r="E9613" t="s">
        <v>22</v>
      </c>
      <c r="F9613" t="s">
        <v>17</v>
      </c>
      <c r="G9613" s="1" t="str">
        <f t="shared" ref="G9613:M9613" si="2123">"..."</f>
        <v>...</v>
      </c>
      <c r="H9613" s="1" t="str">
        <f t="shared" si="2123"/>
        <v>...</v>
      </c>
      <c r="I9613" s="1" t="str">
        <f t="shared" si="2123"/>
        <v>...</v>
      </c>
      <c r="J9613" s="1" t="str">
        <f t="shared" si="2123"/>
        <v>...</v>
      </c>
      <c r="K9613" s="1" t="str">
        <f t="shared" si="2123"/>
        <v>...</v>
      </c>
      <c r="L9613" s="1" t="str">
        <f t="shared" si="2123"/>
        <v>...</v>
      </c>
      <c r="M9613" s="1" t="str">
        <f t="shared" si="2123"/>
        <v>...</v>
      </c>
      <c r="N9613" t="s">
        <v>30</v>
      </c>
    </row>
    <row r="9614" spans="1:14" x14ac:dyDescent="0.25">
      <c r="A9614" t="s">
        <v>43</v>
      </c>
      <c r="B9614" t="s">
        <v>39</v>
      </c>
      <c r="C9614" t="s">
        <v>38</v>
      </c>
      <c r="D9614" t="s">
        <v>34</v>
      </c>
      <c r="E9614" t="s">
        <v>22</v>
      </c>
      <c r="F9614" t="s">
        <v>18</v>
      </c>
      <c r="G9614" s="1" t="str">
        <f t="shared" ref="G9614:M9614" si="2124">"X"</f>
        <v>X</v>
      </c>
      <c r="H9614" s="1" t="str">
        <f t="shared" si="2124"/>
        <v>X</v>
      </c>
      <c r="I9614" s="1" t="str">
        <f t="shared" si="2124"/>
        <v>X</v>
      </c>
      <c r="J9614" s="1" t="str">
        <f t="shared" si="2124"/>
        <v>X</v>
      </c>
      <c r="K9614" s="1" t="str">
        <f t="shared" si="2124"/>
        <v>X</v>
      </c>
      <c r="L9614" s="1" t="str">
        <f t="shared" si="2124"/>
        <v>X</v>
      </c>
      <c r="M9614" s="1" t="str">
        <f t="shared" si="2124"/>
        <v>X</v>
      </c>
      <c r="N9614" t="s">
        <v>27</v>
      </c>
    </row>
    <row r="9615" spans="1:14" x14ac:dyDescent="0.25">
      <c r="A9615" t="s">
        <v>43</v>
      </c>
      <c r="B9615" t="s">
        <v>39</v>
      </c>
      <c r="C9615" t="s">
        <v>38</v>
      </c>
      <c r="D9615" t="s">
        <v>34</v>
      </c>
      <c r="E9615" t="s">
        <v>22</v>
      </c>
      <c r="F9615" t="s">
        <v>19</v>
      </c>
      <c r="G9615" s="1" t="str">
        <f t="shared" ref="G9615:M9615" si="2125">"..."</f>
        <v>...</v>
      </c>
      <c r="H9615" s="1" t="str">
        <f t="shared" si="2125"/>
        <v>...</v>
      </c>
      <c r="I9615" s="1" t="str">
        <f t="shared" si="2125"/>
        <v>...</v>
      </c>
      <c r="J9615" s="1" t="str">
        <f t="shared" si="2125"/>
        <v>...</v>
      </c>
      <c r="K9615" s="1" t="str">
        <f t="shared" si="2125"/>
        <v>...</v>
      </c>
      <c r="L9615" s="1" t="str">
        <f t="shared" si="2125"/>
        <v>...</v>
      </c>
      <c r="M9615" s="1" t="str">
        <f t="shared" si="2125"/>
        <v>...</v>
      </c>
      <c r="N9615" t="s">
        <v>30</v>
      </c>
    </row>
    <row r="9616" spans="1:14" x14ac:dyDescent="0.25">
      <c r="A9616" t="s">
        <v>43</v>
      </c>
      <c r="B9616" t="s">
        <v>39</v>
      </c>
      <c r="C9616" t="s">
        <v>38</v>
      </c>
      <c r="D9616" t="s">
        <v>34</v>
      </c>
      <c r="E9616" t="s">
        <v>22</v>
      </c>
      <c r="F9616" t="s">
        <v>20</v>
      </c>
      <c r="G9616" s="1" t="str">
        <f t="shared" ref="G9616:M9617" si="2126">"X"</f>
        <v>X</v>
      </c>
      <c r="H9616" s="1" t="str">
        <f t="shared" si="2126"/>
        <v>X</v>
      </c>
      <c r="I9616" s="1" t="str">
        <f t="shared" si="2126"/>
        <v>X</v>
      </c>
      <c r="J9616" s="1" t="str">
        <f t="shared" si="2126"/>
        <v>X</v>
      </c>
      <c r="K9616" s="1" t="str">
        <f t="shared" si="2126"/>
        <v>X</v>
      </c>
      <c r="L9616" s="1" t="str">
        <f t="shared" si="2126"/>
        <v>X</v>
      </c>
      <c r="M9616" s="1" t="str">
        <f t="shared" si="2126"/>
        <v>X</v>
      </c>
      <c r="N9616" t="s">
        <v>27</v>
      </c>
    </row>
    <row r="9617" spans="1:14" x14ac:dyDescent="0.25">
      <c r="A9617" t="s">
        <v>43</v>
      </c>
      <c r="B9617" t="s">
        <v>39</v>
      </c>
      <c r="C9617" t="s">
        <v>38</v>
      </c>
      <c r="D9617" t="s">
        <v>34</v>
      </c>
      <c r="E9617" t="s">
        <v>23</v>
      </c>
      <c r="F9617" t="s">
        <v>15</v>
      </c>
      <c r="G9617" s="1" t="str">
        <f t="shared" si="2126"/>
        <v>X</v>
      </c>
      <c r="H9617" s="1" t="str">
        <f t="shared" si="2126"/>
        <v>X</v>
      </c>
      <c r="I9617" s="1" t="str">
        <f t="shared" si="2126"/>
        <v>X</v>
      </c>
      <c r="J9617" s="1" t="str">
        <f t="shared" si="2126"/>
        <v>X</v>
      </c>
      <c r="K9617" s="1" t="str">
        <f t="shared" si="2126"/>
        <v>X</v>
      </c>
      <c r="L9617" s="1" t="str">
        <f t="shared" si="2126"/>
        <v>X</v>
      </c>
      <c r="M9617" s="1" t="str">
        <f t="shared" si="2126"/>
        <v>X</v>
      </c>
      <c r="N9617" t="s">
        <v>27</v>
      </c>
    </row>
    <row r="9618" spans="1:14" x14ac:dyDescent="0.25">
      <c r="A9618" t="s">
        <v>43</v>
      </c>
      <c r="B9618" t="s">
        <v>39</v>
      </c>
      <c r="C9618" t="s">
        <v>38</v>
      </c>
      <c r="D9618" t="s">
        <v>34</v>
      </c>
      <c r="E9618" t="s">
        <v>23</v>
      </c>
      <c r="F9618" t="s">
        <v>17</v>
      </c>
      <c r="G9618" s="1" t="str">
        <f t="shared" ref="G9618:M9618" si="2127">"..."</f>
        <v>...</v>
      </c>
      <c r="H9618" s="1" t="str">
        <f t="shared" si="2127"/>
        <v>...</v>
      </c>
      <c r="I9618" s="1" t="str">
        <f t="shared" si="2127"/>
        <v>...</v>
      </c>
      <c r="J9618" s="1" t="str">
        <f t="shared" si="2127"/>
        <v>...</v>
      </c>
      <c r="K9618" s="1" t="str">
        <f t="shared" si="2127"/>
        <v>...</v>
      </c>
      <c r="L9618" s="1" t="str">
        <f t="shared" si="2127"/>
        <v>...</v>
      </c>
      <c r="M9618" s="1" t="str">
        <f t="shared" si="2127"/>
        <v>...</v>
      </c>
      <c r="N9618" t="s">
        <v>30</v>
      </c>
    </row>
    <row r="9619" spans="1:14" x14ac:dyDescent="0.25">
      <c r="A9619" t="s">
        <v>43</v>
      </c>
      <c r="B9619" t="s">
        <v>39</v>
      </c>
      <c r="C9619" t="s">
        <v>38</v>
      </c>
      <c r="D9619" t="s">
        <v>34</v>
      </c>
      <c r="E9619" t="s">
        <v>23</v>
      </c>
      <c r="F9619" t="s">
        <v>18</v>
      </c>
      <c r="G9619" s="1" t="str">
        <f t="shared" ref="G9619:M9621" si="2128">"X"</f>
        <v>X</v>
      </c>
      <c r="H9619" s="1" t="str">
        <f t="shared" si="2128"/>
        <v>X</v>
      </c>
      <c r="I9619" s="1" t="str">
        <f t="shared" si="2128"/>
        <v>X</v>
      </c>
      <c r="J9619" s="1" t="str">
        <f t="shared" si="2128"/>
        <v>X</v>
      </c>
      <c r="K9619" s="1" t="str">
        <f t="shared" si="2128"/>
        <v>X</v>
      </c>
      <c r="L9619" s="1" t="str">
        <f t="shared" si="2128"/>
        <v>X</v>
      </c>
      <c r="M9619" s="1" t="str">
        <f t="shared" si="2128"/>
        <v>X</v>
      </c>
      <c r="N9619" t="s">
        <v>27</v>
      </c>
    </row>
    <row r="9620" spans="1:14" x14ac:dyDescent="0.25">
      <c r="A9620" t="s">
        <v>43</v>
      </c>
      <c r="B9620" t="s">
        <v>39</v>
      </c>
      <c r="C9620" t="s">
        <v>38</v>
      </c>
      <c r="D9620" t="s">
        <v>34</v>
      </c>
      <c r="E9620" t="s">
        <v>23</v>
      </c>
      <c r="F9620" t="s">
        <v>19</v>
      </c>
      <c r="G9620" s="1" t="str">
        <f t="shared" si="2128"/>
        <v>X</v>
      </c>
      <c r="H9620" s="1" t="str">
        <f t="shared" si="2128"/>
        <v>X</v>
      </c>
      <c r="I9620" s="1" t="str">
        <f t="shared" si="2128"/>
        <v>X</v>
      </c>
      <c r="J9620" s="1" t="str">
        <f t="shared" si="2128"/>
        <v>X</v>
      </c>
      <c r="K9620" s="1" t="str">
        <f t="shared" si="2128"/>
        <v>X</v>
      </c>
      <c r="L9620" s="1" t="str">
        <f t="shared" si="2128"/>
        <v>X</v>
      </c>
      <c r="M9620" s="1" t="str">
        <f t="shared" si="2128"/>
        <v>X</v>
      </c>
      <c r="N9620" t="s">
        <v>27</v>
      </c>
    </row>
    <row r="9621" spans="1:14" x14ac:dyDescent="0.25">
      <c r="A9621" t="s">
        <v>43</v>
      </c>
      <c r="B9621" t="s">
        <v>39</v>
      </c>
      <c r="C9621" t="s">
        <v>38</v>
      </c>
      <c r="D9621" t="s">
        <v>34</v>
      </c>
      <c r="E9621" t="s">
        <v>23</v>
      </c>
      <c r="F9621" t="s">
        <v>20</v>
      </c>
      <c r="G9621" s="1" t="str">
        <f t="shared" si="2128"/>
        <v>X</v>
      </c>
      <c r="H9621" s="1" t="str">
        <f t="shared" si="2128"/>
        <v>X</v>
      </c>
      <c r="I9621" s="1" t="str">
        <f t="shared" si="2128"/>
        <v>X</v>
      </c>
      <c r="J9621" s="1" t="str">
        <f t="shared" si="2128"/>
        <v>X</v>
      </c>
      <c r="K9621" s="1" t="str">
        <f t="shared" si="2128"/>
        <v>X</v>
      </c>
      <c r="L9621" s="1" t="str">
        <f t="shared" si="2128"/>
        <v>X</v>
      </c>
      <c r="M9621" s="1" t="str">
        <f t="shared" si="2128"/>
        <v>X</v>
      </c>
      <c r="N9621" t="s">
        <v>27</v>
      </c>
    </row>
    <row r="9622" spans="1:14" x14ac:dyDescent="0.25">
      <c r="A9622" t="s">
        <v>43</v>
      </c>
      <c r="B9622" t="s">
        <v>39</v>
      </c>
      <c r="C9622" t="s">
        <v>38</v>
      </c>
      <c r="D9622" t="s">
        <v>34</v>
      </c>
      <c r="E9622" t="s">
        <v>26</v>
      </c>
      <c r="F9622" t="s">
        <v>15</v>
      </c>
      <c r="G9622" s="1" t="str">
        <f t="shared" ref="G9622:M9626" si="2129">"..."</f>
        <v>...</v>
      </c>
      <c r="H9622" s="1" t="str">
        <f t="shared" si="2129"/>
        <v>...</v>
      </c>
      <c r="I9622" s="1" t="str">
        <f t="shared" si="2129"/>
        <v>...</v>
      </c>
      <c r="J9622" s="1" t="str">
        <f t="shared" si="2129"/>
        <v>...</v>
      </c>
      <c r="K9622" s="1" t="str">
        <f t="shared" si="2129"/>
        <v>...</v>
      </c>
      <c r="L9622" s="1" t="str">
        <f t="shared" si="2129"/>
        <v>...</v>
      </c>
      <c r="M9622" s="1" t="str">
        <f t="shared" si="2129"/>
        <v>...</v>
      </c>
      <c r="N9622" t="s">
        <v>30</v>
      </c>
    </row>
    <row r="9623" spans="1:14" x14ac:dyDescent="0.25">
      <c r="A9623" t="s">
        <v>43</v>
      </c>
      <c r="B9623" t="s">
        <v>39</v>
      </c>
      <c r="C9623" t="s">
        <v>38</v>
      </c>
      <c r="D9623" t="s">
        <v>34</v>
      </c>
      <c r="E9623" t="s">
        <v>26</v>
      </c>
      <c r="F9623" t="s">
        <v>17</v>
      </c>
      <c r="G9623" s="1" t="str">
        <f t="shared" si="2129"/>
        <v>...</v>
      </c>
      <c r="H9623" s="1" t="str">
        <f t="shared" si="2129"/>
        <v>...</v>
      </c>
      <c r="I9623" s="1" t="str">
        <f t="shared" si="2129"/>
        <v>...</v>
      </c>
      <c r="J9623" s="1" t="str">
        <f t="shared" si="2129"/>
        <v>...</v>
      </c>
      <c r="K9623" s="1" t="str">
        <f t="shared" si="2129"/>
        <v>...</v>
      </c>
      <c r="L9623" s="1" t="str">
        <f t="shared" si="2129"/>
        <v>...</v>
      </c>
      <c r="M9623" s="1" t="str">
        <f t="shared" si="2129"/>
        <v>...</v>
      </c>
      <c r="N9623" t="s">
        <v>30</v>
      </c>
    </row>
    <row r="9624" spans="1:14" x14ac:dyDescent="0.25">
      <c r="A9624" t="s">
        <v>43</v>
      </c>
      <c r="B9624" t="s">
        <v>39</v>
      </c>
      <c r="C9624" t="s">
        <v>38</v>
      </c>
      <c r="D9624" t="s">
        <v>34</v>
      </c>
      <c r="E9624" t="s">
        <v>26</v>
      </c>
      <c r="F9624" t="s">
        <v>18</v>
      </c>
      <c r="G9624" s="1" t="str">
        <f t="shared" si="2129"/>
        <v>...</v>
      </c>
      <c r="H9624" s="1" t="str">
        <f t="shared" si="2129"/>
        <v>...</v>
      </c>
      <c r="I9624" s="1" t="str">
        <f t="shared" si="2129"/>
        <v>...</v>
      </c>
      <c r="J9624" s="1" t="str">
        <f t="shared" si="2129"/>
        <v>...</v>
      </c>
      <c r="K9624" s="1" t="str">
        <f t="shared" si="2129"/>
        <v>...</v>
      </c>
      <c r="L9624" s="1" t="str">
        <f t="shared" si="2129"/>
        <v>...</v>
      </c>
      <c r="M9624" s="1" t="str">
        <f t="shared" si="2129"/>
        <v>...</v>
      </c>
      <c r="N9624" t="s">
        <v>30</v>
      </c>
    </row>
    <row r="9625" spans="1:14" x14ac:dyDescent="0.25">
      <c r="A9625" t="s">
        <v>43</v>
      </c>
      <c r="B9625" t="s">
        <v>39</v>
      </c>
      <c r="C9625" t="s">
        <v>38</v>
      </c>
      <c r="D9625" t="s">
        <v>34</v>
      </c>
      <c r="E9625" t="s">
        <v>26</v>
      </c>
      <c r="F9625" t="s">
        <v>19</v>
      </c>
      <c r="G9625" s="1" t="str">
        <f t="shared" si="2129"/>
        <v>...</v>
      </c>
      <c r="H9625" s="1" t="str">
        <f t="shared" si="2129"/>
        <v>...</v>
      </c>
      <c r="I9625" s="1" t="str">
        <f t="shared" si="2129"/>
        <v>...</v>
      </c>
      <c r="J9625" s="1" t="str">
        <f t="shared" si="2129"/>
        <v>...</v>
      </c>
      <c r="K9625" s="1" t="str">
        <f t="shared" si="2129"/>
        <v>...</v>
      </c>
      <c r="L9625" s="1" t="str">
        <f t="shared" si="2129"/>
        <v>...</v>
      </c>
      <c r="M9625" s="1" t="str">
        <f t="shared" si="2129"/>
        <v>...</v>
      </c>
      <c r="N9625" t="s">
        <v>30</v>
      </c>
    </row>
    <row r="9626" spans="1:14" x14ac:dyDescent="0.25">
      <c r="A9626" t="s">
        <v>43</v>
      </c>
      <c r="B9626" t="s">
        <v>39</v>
      </c>
      <c r="C9626" t="s">
        <v>38</v>
      </c>
      <c r="D9626" t="s">
        <v>34</v>
      </c>
      <c r="E9626" t="s">
        <v>26</v>
      </c>
      <c r="F9626" t="s">
        <v>20</v>
      </c>
      <c r="G9626" s="1" t="str">
        <f t="shared" si="2129"/>
        <v>...</v>
      </c>
      <c r="H9626" s="1" t="str">
        <f t="shared" si="2129"/>
        <v>...</v>
      </c>
      <c r="I9626" s="1" t="str">
        <f t="shared" si="2129"/>
        <v>...</v>
      </c>
      <c r="J9626" s="1" t="str">
        <f t="shared" si="2129"/>
        <v>...</v>
      </c>
      <c r="K9626" s="1" t="str">
        <f t="shared" si="2129"/>
        <v>...</v>
      </c>
      <c r="L9626" s="1" t="str">
        <f t="shared" si="2129"/>
        <v>...</v>
      </c>
      <c r="M9626" s="1" t="str">
        <f t="shared" si="2129"/>
        <v>...</v>
      </c>
      <c r="N9626" t="s">
        <v>30</v>
      </c>
    </row>
    <row r="9627" spans="1:14" x14ac:dyDescent="0.25">
      <c r="A9627" t="s">
        <v>43</v>
      </c>
      <c r="B9627" t="s">
        <v>40</v>
      </c>
      <c r="C9627" t="s">
        <v>15</v>
      </c>
      <c r="D9627" t="s">
        <v>15</v>
      </c>
      <c r="E9627" t="s">
        <v>15</v>
      </c>
      <c r="F9627" t="s">
        <v>15</v>
      </c>
      <c r="G9627" s="1">
        <f>VALUE(53690.6)</f>
        <v>53690.6</v>
      </c>
      <c r="H9627" s="1">
        <f>VALUE(39719.71)</f>
        <v>39719.71</v>
      </c>
      <c r="I9627" s="1">
        <f>VALUE(3143)</f>
        <v>3143</v>
      </c>
      <c r="J9627" s="1">
        <f>VALUE(3639)</f>
        <v>3639</v>
      </c>
      <c r="K9627" s="1">
        <f>VALUE(4546)</f>
        <v>4546</v>
      </c>
      <c r="L9627" s="1">
        <f>VALUE(5810)</f>
        <v>5810</v>
      </c>
      <c r="M9627" s="1">
        <f>VALUE(7430)</f>
        <v>7430</v>
      </c>
      <c r="N9627" t="s">
        <v>16</v>
      </c>
    </row>
    <row r="9628" spans="1:14" x14ac:dyDescent="0.25">
      <c r="A9628" t="s">
        <v>43</v>
      </c>
      <c r="B9628" t="s">
        <v>40</v>
      </c>
      <c r="C9628" t="s">
        <v>15</v>
      </c>
      <c r="D9628" t="s">
        <v>15</v>
      </c>
      <c r="E9628" t="s">
        <v>15</v>
      </c>
      <c r="F9628" t="s">
        <v>17</v>
      </c>
      <c r="G9628" s="2">
        <f>VALUE(4349.58)</f>
        <v>4349.58</v>
      </c>
      <c r="H9628" s="3">
        <f>VALUE(3557.42)</f>
        <v>3557.42</v>
      </c>
      <c r="I9628" s="4">
        <f>VALUE(4492)</f>
        <v>4492</v>
      </c>
      <c r="J9628" s="5">
        <f>VALUE(5459)</f>
        <v>5459</v>
      </c>
      <c r="K9628" s="1">
        <f>VALUE(6779)</f>
        <v>6779</v>
      </c>
      <c r="L9628" s="1">
        <f>VALUE(8770)</f>
        <v>8770</v>
      </c>
      <c r="M9628" s="1">
        <f>VALUE(11452)</f>
        <v>11452</v>
      </c>
      <c r="N9628" t="s">
        <v>25</v>
      </c>
    </row>
    <row r="9629" spans="1:14" x14ac:dyDescent="0.25">
      <c r="A9629" t="s">
        <v>43</v>
      </c>
      <c r="B9629" t="s">
        <v>40</v>
      </c>
      <c r="C9629" t="s">
        <v>15</v>
      </c>
      <c r="D9629" t="s">
        <v>15</v>
      </c>
      <c r="E9629" t="s">
        <v>15</v>
      </c>
      <c r="F9629" t="s">
        <v>18</v>
      </c>
      <c r="G9629" s="2">
        <f>VALUE(5104.22)</f>
        <v>5104.22</v>
      </c>
      <c r="H9629" s="3">
        <f>VALUE(4100.7)</f>
        <v>4100.7</v>
      </c>
      <c r="I9629" s="4">
        <f>VALUE(3790)</f>
        <v>3790</v>
      </c>
      <c r="J9629" s="1">
        <f>VALUE(4384)</f>
        <v>4384</v>
      </c>
      <c r="K9629" s="1">
        <f>VALUE(5571)</f>
        <v>5571</v>
      </c>
      <c r="L9629" s="1">
        <f>VALUE(6933)</f>
        <v>6933</v>
      </c>
      <c r="M9629" s="1">
        <f>VALUE(8666)</f>
        <v>8666</v>
      </c>
      <c r="N9629" t="s">
        <v>25</v>
      </c>
    </row>
    <row r="9630" spans="1:14" x14ac:dyDescent="0.25">
      <c r="A9630" t="s">
        <v>43</v>
      </c>
      <c r="B9630" t="s">
        <v>40</v>
      </c>
      <c r="C9630" t="s">
        <v>15</v>
      </c>
      <c r="D9630" t="s">
        <v>15</v>
      </c>
      <c r="E9630" t="s">
        <v>15</v>
      </c>
      <c r="F9630" t="s">
        <v>19</v>
      </c>
      <c r="G9630" s="1">
        <f>VALUE(5778.81)</f>
        <v>5778.81</v>
      </c>
      <c r="H9630" s="1">
        <f>VALUE(4902.4)</f>
        <v>4902.3999999999996</v>
      </c>
      <c r="I9630" s="4">
        <f>VALUE(3637)</f>
        <v>3637</v>
      </c>
      <c r="J9630" s="1">
        <f>VALUE(4260)</f>
        <v>4260</v>
      </c>
      <c r="K9630" s="1">
        <f>VALUE(4990)</f>
        <v>4990</v>
      </c>
      <c r="L9630" s="1">
        <f>VALUE(6136)</f>
        <v>6136</v>
      </c>
      <c r="M9630" s="1">
        <f>VALUE(7421)</f>
        <v>7421</v>
      </c>
      <c r="N9630" t="s">
        <v>25</v>
      </c>
    </row>
    <row r="9631" spans="1:14" x14ac:dyDescent="0.25">
      <c r="A9631" t="s">
        <v>43</v>
      </c>
      <c r="B9631" t="s">
        <v>40</v>
      </c>
      <c r="C9631" t="s">
        <v>15</v>
      </c>
      <c r="D9631" t="s">
        <v>15</v>
      </c>
      <c r="E9631" t="s">
        <v>15</v>
      </c>
      <c r="F9631" t="s">
        <v>20</v>
      </c>
      <c r="G9631" s="1">
        <f>VALUE(38457.99)</f>
        <v>38457.99</v>
      </c>
      <c r="H9631" s="1">
        <f>VALUE(27159.19)</f>
        <v>27159.19</v>
      </c>
      <c r="I9631" s="1">
        <f>VALUE(3000)</f>
        <v>3000</v>
      </c>
      <c r="J9631" s="1">
        <f>VALUE(3460)</f>
        <v>3460</v>
      </c>
      <c r="K9631" s="1">
        <f>VALUE(4150)</f>
        <v>4150</v>
      </c>
      <c r="L9631" s="1">
        <f>VALUE(5210)</f>
        <v>5210</v>
      </c>
      <c r="M9631" s="1">
        <f>VALUE(6333)</f>
        <v>6333</v>
      </c>
      <c r="N9631" t="s">
        <v>16</v>
      </c>
    </row>
    <row r="9632" spans="1:14" x14ac:dyDescent="0.25">
      <c r="A9632" t="s">
        <v>43</v>
      </c>
      <c r="B9632" t="s">
        <v>40</v>
      </c>
      <c r="C9632" t="s">
        <v>15</v>
      </c>
      <c r="D9632" t="s">
        <v>15</v>
      </c>
      <c r="E9632" t="s">
        <v>21</v>
      </c>
      <c r="F9632" t="s">
        <v>15</v>
      </c>
      <c r="G9632" s="1">
        <f>VALUE(11118.92)</f>
        <v>11118.92</v>
      </c>
      <c r="H9632" s="1">
        <f>VALUE(8741.59)</f>
        <v>8741.59</v>
      </c>
      <c r="I9632" s="1">
        <f>VALUE(3850)</f>
        <v>3850</v>
      </c>
      <c r="J9632" s="1">
        <f>VALUE(4709)</f>
        <v>4709</v>
      </c>
      <c r="K9632" s="1">
        <f>VALUE(5827)</f>
        <v>5827</v>
      </c>
      <c r="L9632" s="1">
        <f>VALUE(7379)</f>
        <v>7379</v>
      </c>
      <c r="M9632" s="1">
        <f>VALUE(9206)</f>
        <v>9206</v>
      </c>
      <c r="N9632" t="s">
        <v>16</v>
      </c>
    </row>
    <row r="9633" spans="1:14" x14ac:dyDescent="0.25">
      <c r="A9633" t="s">
        <v>43</v>
      </c>
      <c r="B9633" t="s">
        <v>40</v>
      </c>
      <c r="C9633" t="s">
        <v>15</v>
      </c>
      <c r="D9633" t="s">
        <v>15</v>
      </c>
      <c r="E9633" t="s">
        <v>21</v>
      </c>
      <c r="F9633" t="s">
        <v>17</v>
      </c>
      <c r="G9633" s="2">
        <f>VALUE(1982.37)</f>
        <v>1982.37</v>
      </c>
      <c r="H9633" s="3">
        <f>VALUE(1589.19)</f>
        <v>1589.19</v>
      </c>
      <c r="I9633" s="4">
        <f>VALUE(5000)</f>
        <v>5000</v>
      </c>
      <c r="J9633" s="1">
        <f>VALUE(6429)</f>
        <v>6429</v>
      </c>
      <c r="K9633" s="1">
        <f>VALUE(7736)</f>
        <v>7736</v>
      </c>
      <c r="L9633" s="1">
        <f>VALUE(10143)</f>
        <v>10143</v>
      </c>
      <c r="M9633" s="1">
        <f>VALUE(12675)</f>
        <v>12675</v>
      </c>
      <c r="N9633" t="s">
        <v>25</v>
      </c>
    </row>
    <row r="9634" spans="1:14" x14ac:dyDescent="0.25">
      <c r="A9634" t="s">
        <v>43</v>
      </c>
      <c r="B9634" t="s">
        <v>40</v>
      </c>
      <c r="C9634" t="s">
        <v>15</v>
      </c>
      <c r="D9634" t="s">
        <v>15</v>
      </c>
      <c r="E9634" t="s">
        <v>21</v>
      </c>
      <c r="F9634" t="s">
        <v>18</v>
      </c>
      <c r="G9634" s="2">
        <f>VALUE(2085.94)</f>
        <v>2085.94</v>
      </c>
      <c r="H9634" s="3">
        <f>VALUE(1644.53)</f>
        <v>1644.53</v>
      </c>
      <c r="I9634" s="4">
        <f>VALUE(4239)</f>
        <v>4239</v>
      </c>
      <c r="J9634" s="5">
        <f>VALUE(5158)</f>
        <v>5158</v>
      </c>
      <c r="K9634" s="1">
        <f>VALUE(6355)</f>
        <v>6355</v>
      </c>
      <c r="L9634" s="1">
        <f>VALUE(7777)</f>
        <v>7777</v>
      </c>
      <c r="M9634" s="1">
        <f>VALUE(9662)</f>
        <v>9662</v>
      </c>
      <c r="N9634" t="s">
        <v>25</v>
      </c>
    </row>
    <row r="9635" spans="1:14" x14ac:dyDescent="0.25">
      <c r="A9635" t="s">
        <v>43</v>
      </c>
      <c r="B9635" t="s">
        <v>40</v>
      </c>
      <c r="C9635" t="s">
        <v>15</v>
      </c>
      <c r="D9635" t="s">
        <v>15</v>
      </c>
      <c r="E9635" t="s">
        <v>21</v>
      </c>
      <c r="F9635" t="s">
        <v>19</v>
      </c>
      <c r="G9635" s="2">
        <f>VALUE(1549.17)</f>
        <v>1549.17</v>
      </c>
      <c r="H9635" s="3">
        <f>VALUE(1309.25)</f>
        <v>1309.25</v>
      </c>
      <c r="I9635" s="4">
        <f>VALUE(4330)</f>
        <v>4330</v>
      </c>
      <c r="J9635" s="1">
        <f>VALUE(5075)</f>
        <v>5075</v>
      </c>
      <c r="K9635" s="1">
        <f>VALUE(5791)</f>
        <v>5791</v>
      </c>
      <c r="L9635" s="1">
        <f>VALUE(7103)</f>
        <v>7103</v>
      </c>
      <c r="M9635" s="1">
        <f>VALUE(8014)</f>
        <v>8014</v>
      </c>
      <c r="N9635" t="s">
        <v>25</v>
      </c>
    </row>
    <row r="9636" spans="1:14" x14ac:dyDescent="0.25">
      <c r="A9636" t="s">
        <v>43</v>
      </c>
      <c r="B9636" t="s">
        <v>40</v>
      </c>
      <c r="C9636" t="s">
        <v>15</v>
      </c>
      <c r="D9636" t="s">
        <v>15</v>
      </c>
      <c r="E9636" t="s">
        <v>21</v>
      </c>
      <c r="F9636" t="s">
        <v>20</v>
      </c>
      <c r="G9636" s="1">
        <f>VALUE(5501.44)</f>
        <v>5501.44</v>
      </c>
      <c r="H9636" s="1">
        <f>VALUE(4198.62)</f>
        <v>4198.62</v>
      </c>
      <c r="I9636" s="1">
        <f>VALUE(3499)</f>
        <v>3499</v>
      </c>
      <c r="J9636" s="1">
        <f>VALUE(4242)</f>
        <v>4242</v>
      </c>
      <c r="K9636" s="1">
        <f>VALUE(5209)</f>
        <v>5209</v>
      </c>
      <c r="L9636" s="1">
        <f>VALUE(6344)</f>
        <v>6344</v>
      </c>
      <c r="M9636" s="1">
        <f>VALUE(7608)</f>
        <v>7608</v>
      </c>
      <c r="N9636" t="s">
        <v>16</v>
      </c>
    </row>
    <row r="9637" spans="1:14" x14ac:dyDescent="0.25">
      <c r="A9637" t="s">
        <v>43</v>
      </c>
      <c r="B9637" t="s">
        <v>40</v>
      </c>
      <c r="C9637" t="s">
        <v>15</v>
      </c>
      <c r="D9637" t="s">
        <v>15</v>
      </c>
      <c r="E9637" t="s">
        <v>22</v>
      </c>
      <c r="F9637" t="s">
        <v>15</v>
      </c>
      <c r="G9637" s="1">
        <f>VALUE(24258.64)</f>
        <v>24258.639999999999</v>
      </c>
      <c r="H9637" s="1">
        <f>VALUE(18605.38)</f>
        <v>18605.38</v>
      </c>
      <c r="I9637" s="1">
        <f>VALUE(3467)</f>
        <v>3467</v>
      </c>
      <c r="J9637" s="1">
        <f>VALUE(4080)</f>
        <v>4080</v>
      </c>
      <c r="K9637" s="1">
        <f>VALUE(4876)</f>
        <v>4876</v>
      </c>
      <c r="L9637" s="1">
        <f>VALUE(5927)</f>
        <v>5927</v>
      </c>
      <c r="M9637" s="1">
        <f>VALUE(7217)</f>
        <v>7217</v>
      </c>
      <c r="N9637" t="s">
        <v>16</v>
      </c>
    </row>
    <row r="9638" spans="1:14" x14ac:dyDescent="0.25">
      <c r="A9638" t="s">
        <v>43</v>
      </c>
      <c r="B9638" t="s">
        <v>40</v>
      </c>
      <c r="C9638" t="s">
        <v>15</v>
      </c>
      <c r="D9638" t="s">
        <v>15</v>
      </c>
      <c r="E9638" t="s">
        <v>22</v>
      </c>
      <c r="F9638" t="s">
        <v>17</v>
      </c>
      <c r="G9638" s="2">
        <f>VALUE(1933.98)</f>
        <v>1933.98</v>
      </c>
      <c r="H9638" s="3">
        <f>VALUE(1570.99)</f>
        <v>1570.99</v>
      </c>
      <c r="I9638" s="4">
        <f>VALUE(4641)</f>
        <v>4641</v>
      </c>
      <c r="J9638" s="5">
        <f>VALUE(5459)</f>
        <v>5459</v>
      </c>
      <c r="K9638" s="6">
        <f>VALUE(6449)</f>
        <v>6449</v>
      </c>
      <c r="L9638" s="1">
        <f>VALUE(7801)</f>
        <v>7801</v>
      </c>
      <c r="M9638" s="8">
        <f>VALUE(9797)</f>
        <v>9797</v>
      </c>
      <c r="N9638" t="s">
        <v>25</v>
      </c>
    </row>
    <row r="9639" spans="1:14" x14ac:dyDescent="0.25">
      <c r="A9639" t="s">
        <v>43</v>
      </c>
      <c r="B9639" t="s">
        <v>40</v>
      </c>
      <c r="C9639" t="s">
        <v>15</v>
      </c>
      <c r="D9639" t="s">
        <v>15</v>
      </c>
      <c r="E9639" t="s">
        <v>22</v>
      </c>
      <c r="F9639" t="s">
        <v>18</v>
      </c>
      <c r="G9639" s="2">
        <f>VALUE(2474.06)</f>
        <v>2474.06</v>
      </c>
      <c r="H9639" s="3">
        <f>VALUE(2035.96)</f>
        <v>2035.96</v>
      </c>
      <c r="I9639" s="1">
        <f>VALUE(3831)</f>
        <v>3831</v>
      </c>
      <c r="J9639" s="1">
        <f>VALUE(4246)</f>
        <v>4246</v>
      </c>
      <c r="K9639" s="1">
        <f>VALUE(5263)</f>
        <v>5263</v>
      </c>
      <c r="L9639" s="1">
        <f>VALUE(6500)</f>
        <v>6500</v>
      </c>
      <c r="M9639" s="1">
        <f>VALUE(8009)</f>
        <v>8009</v>
      </c>
      <c r="N9639" t="s">
        <v>25</v>
      </c>
    </row>
    <row r="9640" spans="1:14" x14ac:dyDescent="0.25">
      <c r="A9640" t="s">
        <v>43</v>
      </c>
      <c r="B9640" t="s">
        <v>40</v>
      </c>
      <c r="C9640" t="s">
        <v>15</v>
      </c>
      <c r="D9640" t="s">
        <v>15</v>
      </c>
      <c r="E9640" t="s">
        <v>22</v>
      </c>
      <c r="F9640" t="s">
        <v>19</v>
      </c>
      <c r="G9640" s="2">
        <f>VALUE(3269.44)</f>
        <v>3269.44</v>
      </c>
      <c r="H9640" s="3">
        <f>VALUE(2780.07)</f>
        <v>2780.07</v>
      </c>
      <c r="I9640" s="1">
        <f>VALUE(3972)</f>
        <v>3972</v>
      </c>
      <c r="J9640" s="1">
        <f>VALUE(4331)</f>
        <v>4331</v>
      </c>
      <c r="K9640" s="1">
        <f>VALUE(4875)</f>
        <v>4875</v>
      </c>
      <c r="L9640" s="1">
        <f>VALUE(5972)</f>
        <v>5972</v>
      </c>
      <c r="M9640" s="1">
        <f>VALUE(7150)</f>
        <v>7150</v>
      </c>
      <c r="N9640" t="s">
        <v>25</v>
      </c>
    </row>
    <row r="9641" spans="1:14" x14ac:dyDescent="0.25">
      <c r="A9641" t="s">
        <v>43</v>
      </c>
      <c r="B9641" t="s">
        <v>40</v>
      </c>
      <c r="C9641" t="s">
        <v>15</v>
      </c>
      <c r="D9641" t="s">
        <v>15</v>
      </c>
      <c r="E9641" t="s">
        <v>22</v>
      </c>
      <c r="F9641" t="s">
        <v>20</v>
      </c>
      <c r="G9641" s="1">
        <f>VALUE(16581.16)</f>
        <v>16581.16</v>
      </c>
      <c r="H9641" s="1">
        <f>VALUE(12218.36)</f>
        <v>12218.36</v>
      </c>
      <c r="I9641" s="1">
        <f>VALUE(3362)</f>
        <v>3362</v>
      </c>
      <c r="J9641" s="1">
        <f>VALUE(3797)</f>
        <v>3797</v>
      </c>
      <c r="K9641" s="1">
        <f>VALUE(4643)</f>
        <v>4643</v>
      </c>
      <c r="L9641" s="1">
        <f>VALUE(5594)</f>
        <v>5594</v>
      </c>
      <c r="M9641" s="1">
        <f>VALUE(6557)</f>
        <v>6557</v>
      </c>
      <c r="N9641" t="s">
        <v>16</v>
      </c>
    </row>
    <row r="9642" spans="1:14" x14ac:dyDescent="0.25">
      <c r="A9642" t="s">
        <v>43</v>
      </c>
      <c r="B9642" t="s">
        <v>40</v>
      </c>
      <c r="C9642" t="s">
        <v>15</v>
      </c>
      <c r="D9642" t="s">
        <v>15</v>
      </c>
      <c r="E9642" t="s">
        <v>23</v>
      </c>
      <c r="F9642" t="s">
        <v>15</v>
      </c>
      <c r="G9642" s="1">
        <f>VALUE(17499.7)</f>
        <v>17499.7</v>
      </c>
      <c r="H9642" s="1">
        <f>VALUE(11786.23)</f>
        <v>11786.23</v>
      </c>
      <c r="I9642" s="1">
        <f>VALUE(2838)</f>
        <v>2838</v>
      </c>
      <c r="J9642" s="1">
        <f>VALUE(3158)</f>
        <v>3158</v>
      </c>
      <c r="K9642" s="1">
        <f>VALUE(3542)</f>
        <v>3542</v>
      </c>
      <c r="L9642" s="1">
        <f>VALUE(4060)</f>
        <v>4060</v>
      </c>
      <c r="M9642" s="1">
        <f>VALUE(4774)</f>
        <v>4774</v>
      </c>
      <c r="N9642" t="s">
        <v>16</v>
      </c>
    </row>
    <row r="9643" spans="1:14" x14ac:dyDescent="0.25">
      <c r="A9643" t="s">
        <v>43</v>
      </c>
      <c r="B9643" t="s">
        <v>40</v>
      </c>
      <c r="C9643" t="s">
        <v>15</v>
      </c>
      <c r="D9643" t="s">
        <v>15</v>
      </c>
      <c r="E9643" t="s">
        <v>23</v>
      </c>
      <c r="F9643" t="s">
        <v>17</v>
      </c>
      <c r="G9643" s="1" t="str">
        <f t="shared" ref="G9643:M9643" si="2130">"X"</f>
        <v>X</v>
      </c>
      <c r="H9643" s="1" t="str">
        <f t="shared" si="2130"/>
        <v>X</v>
      </c>
      <c r="I9643" s="1" t="str">
        <f t="shared" si="2130"/>
        <v>X</v>
      </c>
      <c r="J9643" s="1" t="str">
        <f t="shared" si="2130"/>
        <v>X</v>
      </c>
      <c r="K9643" s="1" t="str">
        <f t="shared" si="2130"/>
        <v>X</v>
      </c>
      <c r="L9643" s="1" t="str">
        <f t="shared" si="2130"/>
        <v>X</v>
      </c>
      <c r="M9643" s="1" t="str">
        <f t="shared" si="2130"/>
        <v>X</v>
      </c>
      <c r="N9643" t="s">
        <v>27</v>
      </c>
    </row>
    <row r="9644" spans="1:14" x14ac:dyDescent="0.25">
      <c r="A9644" t="s">
        <v>43</v>
      </c>
      <c r="B9644" t="s">
        <v>40</v>
      </c>
      <c r="C9644" t="s">
        <v>15</v>
      </c>
      <c r="D9644" t="s">
        <v>15</v>
      </c>
      <c r="E9644" t="s">
        <v>23</v>
      </c>
      <c r="F9644" t="s">
        <v>18</v>
      </c>
      <c r="G9644" s="2">
        <f>VALUE(484.7)</f>
        <v>484.7</v>
      </c>
      <c r="H9644" s="3">
        <f>VALUE(366.03)</f>
        <v>366.03</v>
      </c>
      <c r="I9644" s="1">
        <f>VALUE(3358)</f>
        <v>3358</v>
      </c>
      <c r="J9644" s="1">
        <f>VALUE(3358)</f>
        <v>3358</v>
      </c>
      <c r="K9644" s="1">
        <f>VALUE(3714)</f>
        <v>3714</v>
      </c>
      <c r="L9644" s="1">
        <f>VALUE(4699)</f>
        <v>4699</v>
      </c>
      <c r="M9644" s="1">
        <f>VALUE(5931)</f>
        <v>5931</v>
      </c>
      <c r="N9644" t="s">
        <v>25</v>
      </c>
    </row>
    <row r="9645" spans="1:14" x14ac:dyDescent="0.25">
      <c r="A9645" t="s">
        <v>43</v>
      </c>
      <c r="B9645" t="s">
        <v>40</v>
      </c>
      <c r="C9645" t="s">
        <v>15</v>
      </c>
      <c r="D9645" t="s">
        <v>15</v>
      </c>
      <c r="E9645" t="s">
        <v>23</v>
      </c>
      <c r="F9645" t="s">
        <v>19</v>
      </c>
      <c r="G9645" s="2">
        <f>VALUE(903.92)</f>
        <v>903.92</v>
      </c>
      <c r="H9645" s="3">
        <f>VALUE(766.77)</f>
        <v>766.77</v>
      </c>
      <c r="I9645" s="1">
        <f>VALUE(3187)</f>
        <v>3187</v>
      </c>
      <c r="J9645" s="5">
        <f>VALUE(3260)</f>
        <v>3260</v>
      </c>
      <c r="K9645" s="6">
        <f>VALUE(4065)</f>
        <v>4065</v>
      </c>
      <c r="L9645" s="1">
        <f>VALUE(4690)</f>
        <v>4690</v>
      </c>
      <c r="M9645" s="8">
        <f>VALUE(5295)</f>
        <v>5295</v>
      </c>
      <c r="N9645" t="s">
        <v>25</v>
      </c>
    </row>
    <row r="9646" spans="1:14" x14ac:dyDescent="0.25">
      <c r="A9646" t="s">
        <v>43</v>
      </c>
      <c r="B9646" t="s">
        <v>40</v>
      </c>
      <c r="C9646" t="s">
        <v>15</v>
      </c>
      <c r="D9646" t="s">
        <v>15</v>
      </c>
      <c r="E9646" t="s">
        <v>23</v>
      </c>
      <c r="F9646" t="s">
        <v>20</v>
      </c>
      <c r="G9646" s="1">
        <f>VALUE(15718.87)</f>
        <v>15718.87</v>
      </c>
      <c r="H9646" s="1">
        <f>VALUE(10294.02)</f>
        <v>10294.02</v>
      </c>
      <c r="I9646" s="1">
        <f>VALUE(2793)</f>
        <v>2793</v>
      </c>
      <c r="J9646" s="1">
        <f>VALUE(3115)</f>
        <v>3115</v>
      </c>
      <c r="K9646" s="1">
        <f>VALUE(3515)</f>
        <v>3515</v>
      </c>
      <c r="L9646" s="1">
        <f>VALUE(3968)</f>
        <v>3968</v>
      </c>
      <c r="M9646" s="1">
        <f>VALUE(4576)</f>
        <v>4576</v>
      </c>
      <c r="N9646" t="s">
        <v>16</v>
      </c>
    </row>
    <row r="9647" spans="1:14" x14ac:dyDescent="0.25">
      <c r="A9647" t="s">
        <v>43</v>
      </c>
      <c r="B9647" t="s">
        <v>40</v>
      </c>
      <c r="C9647" t="s">
        <v>15</v>
      </c>
      <c r="D9647" t="s">
        <v>15</v>
      </c>
      <c r="E9647" t="s">
        <v>26</v>
      </c>
      <c r="F9647" t="s">
        <v>15</v>
      </c>
      <c r="G9647" s="2">
        <f>VALUE(813.34)</f>
        <v>813.34</v>
      </c>
      <c r="H9647" s="3">
        <f>VALUE(586.51)</f>
        <v>586.51</v>
      </c>
      <c r="I9647" s="1">
        <f>VALUE(3426)</f>
        <v>3426</v>
      </c>
      <c r="J9647" s="1">
        <f>VALUE(4228)</f>
        <v>4228</v>
      </c>
      <c r="K9647" s="1">
        <f>VALUE(5069)</f>
        <v>5069</v>
      </c>
      <c r="L9647" s="1">
        <f>VALUE(6432)</f>
        <v>6432</v>
      </c>
      <c r="M9647" s="1">
        <f>VALUE(8854)</f>
        <v>8854</v>
      </c>
      <c r="N9647" t="s">
        <v>25</v>
      </c>
    </row>
    <row r="9648" spans="1:14" x14ac:dyDescent="0.25">
      <c r="A9648" t="s">
        <v>43</v>
      </c>
      <c r="B9648" t="s">
        <v>40</v>
      </c>
      <c r="C9648" t="s">
        <v>15</v>
      </c>
      <c r="D9648" t="s">
        <v>15</v>
      </c>
      <c r="E9648" t="s">
        <v>26</v>
      </c>
      <c r="F9648" t="s">
        <v>17</v>
      </c>
      <c r="G9648" s="1" t="str">
        <f t="shared" ref="G9648:M9650" si="2131">"X"</f>
        <v>X</v>
      </c>
      <c r="H9648" s="1" t="str">
        <f t="shared" si="2131"/>
        <v>X</v>
      </c>
      <c r="I9648" s="1" t="str">
        <f t="shared" si="2131"/>
        <v>X</v>
      </c>
      <c r="J9648" s="1" t="str">
        <f t="shared" si="2131"/>
        <v>X</v>
      </c>
      <c r="K9648" s="1" t="str">
        <f t="shared" si="2131"/>
        <v>X</v>
      </c>
      <c r="L9648" s="1" t="str">
        <f t="shared" si="2131"/>
        <v>X</v>
      </c>
      <c r="M9648" s="1" t="str">
        <f t="shared" si="2131"/>
        <v>X</v>
      </c>
      <c r="N9648" t="s">
        <v>27</v>
      </c>
    </row>
    <row r="9649" spans="1:14" x14ac:dyDescent="0.25">
      <c r="A9649" t="s">
        <v>43</v>
      </c>
      <c r="B9649" t="s">
        <v>40</v>
      </c>
      <c r="C9649" t="s">
        <v>15</v>
      </c>
      <c r="D9649" t="s">
        <v>15</v>
      </c>
      <c r="E9649" t="s">
        <v>26</v>
      </c>
      <c r="F9649" t="s">
        <v>18</v>
      </c>
      <c r="G9649" s="1" t="str">
        <f t="shared" si="2131"/>
        <v>X</v>
      </c>
      <c r="H9649" s="1" t="str">
        <f t="shared" si="2131"/>
        <v>X</v>
      </c>
      <c r="I9649" s="1" t="str">
        <f t="shared" si="2131"/>
        <v>X</v>
      </c>
      <c r="J9649" s="1" t="str">
        <f t="shared" si="2131"/>
        <v>X</v>
      </c>
      <c r="K9649" s="1" t="str">
        <f t="shared" si="2131"/>
        <v>X</v>
      </c>
      <c r="L9649" s="1" t="str">
        <f t="shared" si="2131"/>
        <v>X</v>
      </c>
      <c r="M9649" s="1" t="str">
        <f t="shared" si="2131"/>
        <v>X</v>
      </c>
      <c r="N9649" t="s">
        <v>27</v>
      </c>
    </row>
    <row r="9650" spans="1:14" x14ac:dyDescent="0.25">
      <c r="A9650" t="s">
        <v>43</v>
      </c>
      <c r="B9650" t="s">
        <v>40</v>
      </c>
      <c r="C9650" t="s">
        <v>15</v>
      </c>
      <c r="D9650" t="s">
        <v>15</v>
      </c>
      <c r="E9650" t="s">
        <v>26</v>
      </c>
      <c r="F9650" t="s">
        <v>19</v>
      </c>
      <c r="G9650" s="1" t="str">
        <f t="shared" si="2131"/>
        <v>X</v>
      </c>
      <c r="H9650" s="1" t="str">
        <f t="shared" si="2131"/>
        <v>X</v>
      </c>
      <c r="I9650" s="1" t="str">
        <f t="shared" si="2131"/>
        <v>X</v>
      </c>
      <c r="J9650" s="1" t="str">
        <f t="shared" si="2131"/>
        <v>X</v>
      </c>
      <c r="K9650" s="1" t="str">
        <f t="shared" si="2131"/>
        <v>X</v>
      </c>
      <c r="L9650" s="1" t="str">
        <f t="shared" si="2131"/>
        <v>X</v>
      </c>
      <c r="M9650" s="1" t="str">
        <f t="shared" si="2131"/>
        <v>X</v>
      </c>
      <c r="N9650" t="s">
        <v>27</v>
      </c>
    </row>
    <row r="9651" spans="1:14" x14ac:dyDescent="0.25">
      <c r="A9651" t="s">
        <v>43</v>
      </c>
      <c r="B9651" t="s">
        <v>40</v>
      </c>
      <c r="C9651" t="s">
        <v>15</v>
      </c>
      <c r="D9651" t="s">
        <v>15</v>
      </c>
      <c r="E9651" t="s">
        <v>26</v>
      </c>
      <c r="F9651" t="s">
        <v>20</v>
      </c>
      <c r="G9651" s="2">
        <f>VALUE(656.52)</f>
        <v>656.52</v>
      </c>
      <c r="H9651" s="3">
        <f>VALUE(448.19)</f>
        <v>448.19</v>
      </c>
      <c r="I9651" s="1">
        <f>VALUE(3420)</f>
        <v>3420</v>
      </c>
      <c r="J9651" s="1">
        <f>VALUE(4044)</f>
        <v>4044</v>
      </c>
      <c r="K9651" s="1">
        <f>VALUE(4906)</f>
        <v>4906</v>
      </c>
      <c r="L9651" s="1">
        <f>VALUE(5666)</f>
        <v>5666</v>
      </c>
      <c r="M9651" s="1">
        <f>VALUE(7084)</f>
        <v>7084</v>
      </c>
      <c r="N9651" t="s">
        <v>25</v>
      </c>
    </row>
    <row r="9652" spans="1:14" x14ac:dyDescent="0.25">
      <c r="A9652" t="s">
        <v>43</v>
      </c>
      <c r="B9652" t="s">
        <v>40</v>
      </c>
      <c r="C9652" t="s">
        <v>15</v>
      </c>
      <c r="D9652" t="s">
        <v>28</v>
      </c>
      <c r="E9652" t="s">
        <v>15</v>
      </c>
      <c r="F9652" t="s">
        <v>15</v>
      </c>
      <c r="G9652" s="1">
        <f>VALUE(24859.67)</f>
        <v>24859.67</v>
      </c>
      <c r="H9652" s="1">
        <f>VALUE(17634.21)</f>
        <v>17634.21</v>
      </c>
      <c r="I9652" s="1">
        <f>VALUE(3661)</f>
        <v>3661</v>
      </c>
      <c r="J9652" s="1">
        <f>VALUE(4259)</f>
        <v>4259</v>
      </c>
      <c r="K9652" s="1">
        <f>VALUE(5178)</f>
        <v>5178</v>
      </c>
      <c r="L9652" s="1">
        <f>VALUE(6414)</f>
        <v>6414</v>
      </c>
      <c r="M9652" s="1">
        <f>VALUE(7936)</f>
        <v>7936</v>
      </c>
      <c r="N9652" t="s">
        <v>16</v>
      </c>
    </row>
    <row r="9653" spans="1:14" x14ac:dyDescent="0.25">
      <c r="A9653" t="s">
        <v>43</v>
      </c>
      <c r="B9653" t="s">
        <v>40</v>
      </c>
      <c r="C9653" t="s">
        <v>15</v>
      </c>
      <c r="D9653" t="s">
        <v>28</v>
      </c>
      <c r="E9653" t="s">
        <v>15</v>
      </c>
      <c r="F9653" t="s">
        <v>17</v>
      </c>
      <c r="G9653" s="2">
        <f>VALUE(3001.61)</f>
        <v>3001.61</v>
      </c>
      <c r="H9653" s="3">
        <f>VALUE(2341.67)</f>
        <v>2341.67</v>
      </c>
      <c r="I9653" s="4">
        <f>VALUE(4641)</f>
        <v>4641</v>
      </c>
      <c r="J9653" s="5">
        <f>VALUE(5510)</f>
        <v>5510</v>
      </c>
      <c r="K9653" s="1">
        <f>VALUE(7066)</f>
        <v>7066</v>
      </c>
      <c r="L9653" s="1">
        <f>VALUE(8770)</f>
        <v>8770</v>
      </c>
      <c r="M9653" s="1">
        <f>VALUE(10953)</f>
        <v>10953</v>
      </c>
      <c r="N9653" t="s">
        <v>25</v>
      </c>
    </row>
    <row r="9654" spans="1:14" x14ac:dyDescent="0.25">
      <c r="A9654" t="s">
        <v>43</v>
      </c>
      <c r="B9654" t="s">
        <v>40</v>
      </c>
      <c r="C9654" t="s">
        <v>15</v>
      </c>
      <c r="D9654" t="s">
        <v>28</v>
      </c>
      <c r="E9654" t="s">
        <v>15</v>
      </c>
      <c r="F9654" t="s">
        <v>18</v>
      </c>
      <c r="G9654" s="2">
        <f>VALUE(3070.87)</f>
        <v>3070.87</v>
      </c>
      <c r="H9654" s="3">
        <f>VALUE(2370.9)</f>
        <v>2370.9</v>
      </c>
      <c r="I9654" s="1">
        <f>VALUE(3905)</f>
        <v>3905</v>
      </c>
      <c r="J9654" s="5">
        <f>VALUE(4481)</f>
        <v>4481</v>
      </c>
      <c r="K9654" s="1">
        <f>VALUE(5777)</f>
        <v>5777</v>
      </c>
      <c r="L9654" s="1">
        <f>VALUE(7042)</f>
        <v>7042</v>
      </c>
      <c r="M9654" s="1">
        <f>VALUE(8651)</f>
        <v>8651</v>
      </c>
      <c r="N9654" t="s">
        <v>25</v>
      </c>
    </row>
    <row r="9655" spans="1:14" x14ac:dyDescent="0.25">
      <c r="A9655" t="s">
        <v>43</v>
      </c>
      <c r="B9655" t="s">
        <v>40</v>
      </c>
      <c r="C9655" t="s">
        <v>15</v>
      </c>
      <c r="D9655" t="s">
        <v>28</v>
      </c>
      <c r="E9655" t="s">
        <v>15</v>
      </c>
      <c r="F9655" t="s">
        <v>19</v>
      </c>
      <c r="G9655" s="2">
        <f>VALUE(3242.63)</f>
        <v>3242.63</v>
      </c>
      <c r="H9655" s="3">
        <f>VALUE(2681.34)</f>
        <v>2681.34</v>
      </c>
      <c r="I9655" s="1">
        <f>VALUE(4062)</f>
        <v>4062</v>
      </c>
      <c r="J9655" s="1">
        <f>VALUE(4433)</f>
        <v>4433</v>
      </c>
      <c r="K9655" s="1">
        <f>VALUE(5145)</f>
        <v>5145</v>
      </c>
      <c r="L9655" s="1">
        <f>VALUE(6283)</f>
        <v>6283</v>
      </c>
      <c r="M9655" s="1">
        <f>VALUE(7564)</f>
        <v>7564</v>
      </c>
      <c r="N9655" t="s">
        <v>25</v>
      </c>
    </row>
    <row r="9656" spans="1:14" x14ac:dyDescent="0.25">
      <c r="A9656" t="s">
        <v>43</v>
      </c>
      <c r="B9656" t="s">
        <v>40</v>
      </c>
      <c r="C9656" t="s">
        <v>15</v>
      </c>
      <c r="D9656" t="s">
        <v>28</v>
      </c>
      <c r="E9656" t="s">
        <v>15</v>
      </c>
      <c r="F9656" t="s">
        <v>20</v>
      </c>
      <c r="G9656" s="1">
        <f>VALUE(15544.56)</f>
        <v>15544.56</v>
      </c>
      <c r="H9656" s="1">
        <f>VALUE(10240.3)</f>
        <v>10240.299999999999</v>
      </c>
      <c r="I9656" s="1">
        <f>VALUE(3442)</f>
        <v>3442</v>
      </c>
      <c r="J9656" s="1">
        <f>VALUE(4085)</f>
        <v>4085</v>
      </c>
      <c r="K9656" s="1">
        <f>VALUE(4890)</f>
        <v>4890</v>
      </c>
      <c r="L9656" s="1">
        <f>VALUE(5778)</f>
        <v>5778</v>
      </c>
      <c r="M9656" s="1">
        <f>VALUE(6879)</f>
        <v>6879</v>
      </c>
      <c r="N9656" t="s">
        <v>16</v>
      </c>
    </row>
    <row r="9657" spans="1:14" x14ac:dyDescent="0.25">
      <c r="A9657" t="s">
        <v>43</v>
      </c>
      <c r="B9657" t="s">
        <v>40</v>
      </c>
      <c r="C9657" t="s">
        <v>15</v>
      </c>
      <c r="D9657" t="s">
        <v>28</v>
      </c>
      <c r="E9657" t="s">
        <v>21</v>
      </c>
      <c r="F9657" t="s">
        <v>15</v>
      </c>
      <c r="G9657" s="1">
        <f>VALUE(5688.81)</f>
        <v>5688.81</v>
      </c>
      <c r="H9657" s="1">
        <f>VALUE(4068.72)</f>
        <v>4068.72</v>
      </c>
      <c r="I9657" s="1">
        <f>VALUE(4230)</f>
        <v>4230</v>
      </c>
      <c r="J9657" s="1">
        <f>VALUE(5055)</f>
        <v>5055</v>
      </c>
      <c r="K9657" s="1">
        <f>VALUE(6316)</f>
        <v>6316</v>
      </c>
      <c r="L9657" s="1">
        <f>VALUE(7669)</f>
        <v>7669</v>
      </c>
      <c r="M9657" s="1">
        <f>VALUE(9466)</f>
        <v>9466</v>
      </c>
      <c r="N9657" t="s">
        <v>16</v>
      </c>
    </row>
    <row r="9658" spans="1:14" x14ac:dyDescent="0.25">
      <c r="A9658" t="s">
        <v>43</v>
      </c>
      <c r="B9658" t="s">
        <v>40</v>
      </c>
      <c r="C9658" t="s">
        <v>15</v>
      </c>
      <c r="D9658" t="s">
        <v>28</v>
      </c>
      <c r="E9658" t="s">
        <v>21</v>
      </c>
      <c r="F9658" t="s">
        <v>17</v>
      </c>
      <c r="G9658" s="2">
        <f>VALUE(1314.97)</f>
        <v>1314.97</v>
      </c>
      <c r="H9658" s="3">
        <f>VALUE(1005.78)</f>
        <v>1005.78</v>
      </c>
      <c r="I9658" s="4">
        <f>VALUE(5600)</f>
        <v>5600</v>
      </c>
      <c r="J9658" s="1">
        <f>VALUE(6467)</f>
        <v>6467</v>
      </c>
      <c r="K9658" s="1">
        <f>VALUE(7868)</f>
        <v>7868</v>
      </c>
      <c r="L9658" s="1">
        <f>VALUE(9631)</f>
        <v>9631</v>
      </c>
      <c r="M9658" s="1">
        <f>VALUE(11931)</f>
        <v>11931</v>
      </c>
      <c r="N9658" t="s">
        <v>25</v>
      </c>
    </row>
    <row r="9659" spans="1:14" x14ac:dyDescent="0.25">
      <c r="A9659" t="s">
        <v>43</v>
      </c>
      <c r="B9659" t="s">
        <v>40</v>
      </c>
      <c r="C9659" t="s">
        <v>15</v>
      </c>
      <c r="D9659" t="s">
        <v>28</v>
      </c>
      <c r="E9659" t="s">
        <v>21</v>
      </c>
      <c r="F9659" t="s">
        <v>18</v>
      </c>
      <c r="G9659" s="2">
        <f>VALUE(1231.72)</f>
        <v>1231.72</v>
      </c>
      <c r="H9659" s="3">
        <f>VALUE(902.25)</f>
        <v>902.25</v>
      </c>
      <c r="I9659" s="4">
        <f>VALUE(4239)</f>
        <v>4239</v>
      </c>
      <c r="J9659" s="5">
        <f>VALUE(5071)</f>
        <v>5071</v>
      </c>
      <c r="K9659" s="6">
        <f>VALUE(6316)</f>
        <v>6316</v>
      </c>
      <c r="L9659" s="1">
        <f>VALUE(7637)</f>
        <v>7637</v>
      </c>
      <c r="M9659" s="1">
        <f>VALUE(9438)</f>
        <v>9438</v>
      </c>
      <c r="N9659" t="s">
        <v>25</v>
      </c>
    </row>
    <row r="9660" spans="1:14" x14ac:dyDescent="0.25">
      <c r="A9660" t="s">
        <v>43</v>
      </c>
      <c r="B9660" t="s">
        <v>40</v>
      </c>
      <c r="C9660" t="s">
        <v>15</v>
      </c>
      <c r="D9660" t="s">
        <v>28</v>
      </c>
      <c r="E9660" t="s">
        <v>21</v>
      </c>
      <c r="F9660" t="s">
        <v>19</v>
      </c>
      <c r="G9660" s="2">
        <f>VALUE(809.57)</f>
        <v>809.57</v>
      </c>
      <c r="H9660" s="3">
        <f>VALUE(652.46)</f>
        <v>652.46</v>
      </c>
      <c r="I9660" s="1">
        <f>VALUE(4332)</f>
        <v>4332</v>
      </c>
      <c r="J9660" s="1">
        <f>VALUE(5190)</f>
        <v>5190</v>
      </c>
      <c r="K9660" s="1">
        <f>VALUE(6223)</f>
        <v>6223</v>
      </c>
      <c r="L9660" s="1">
        <f>VALUE(7220)</f>
        <v>7220</v>
      </c>
      <c r="M9660" s="1">
        <f>VALUE(8024)</f>
        <v>8024</v>
      </c>
      <c r="N9660" t="s">
        <v>25</v>
      </c>
    </row>
    <row r="9661" spans="1:14" x14ac:dyDescent="0.25">
      <c r="A9661" t="s">
        <v>43</v>
      </c>
      <c r="B9661" t="s">
        <v>40</v>
      </c>
      <c r="C9661" t="s">
        <v>15</v>
      </c>
      <c r="D9661" t="s">
        <v>28</v>
      </c>
      <c r="E9661" t="s">
        <v>21</v>
      </c>
      <c r="F9661" t="s">
        <v>20</v>
      </c>
      <c r="G9661" s="2">
        <f>VALUE(2332.55)</f>
        <v>2332.5500000000002</v>
      </c>
      <c r="H9661" s="3">
        <f>VALUE(1508.23)</f>
        <v>1508.23</v>
      </c>
      <c r="I9661" s="1">
        <f>VALUE(3966)</f>
        <v>3966</v>
      </c>
      <c r="J9661" s="1">
        <f>VALUE(4436)</f>
        <v>4436</v>
      </c>
      <c r="K9661" s="1">
        <f>VALUE(5564)</f>
        <v>5564</v>
      </c>
      <c r="L9661" s="1">
        <f>VALUE(6681)</f>
        <v>6681</v>
      </c>
      <c r="M9661" s="1">
        <f>VALUE(7910)</f>
        <v>7910</v>
      </c>
      <c r="N9661" t="s">
        <v>25</v>
      </c>
    </row>
    <row r="9662" spans="1:14" x14ac:dyDescent="0.25">
      <c r="A9662" t="s">
        <v>43</v>
      </c>
      <c r="B9662" t="s">
        <v>40</v>
      </c>
      <c r="C9662" t="s">
        <v>15</v>
      </c>
      <c r="D9662" t="s">
        <v>28</v>
      </c>
      <c r="E9662" t="s">
        <v>22</v>
      </c>
      <c r="F9662" t="s">
        <v>15</v>
      </c>
      <c r="G9662" s="1">
        <f>VALUE(15544.41)</f>
        <v>15544.41</v>
      </c>
      <c r="H9662" s="1">
        <f>VALUE(11350.79)</f>
        <v>11350.79</v>
      </c>
      <c r="I9662" s="1">
        <f>VALUE(3714)</f>
        <v>3714</v>
      </c>
      <c r="J9662" s="1">
        <f>VALUE(4293)</f>
        <v>4293</v>
      </c>
      <c r="K9662" s="1">
        <f>VALUE(5101)</f>
        <v>5101</v>
      </c>
      <c r="L9662" s="1">
        <f>VALUE(6118)</f>
        <v>6118</v>
      </c>
      <c r="M9662" s="1">
        <f>VALUE(7451)</f>
        <v>7451</v>
      </c>
      <c r="N9662" t="s">
        <v>16</v>
      </c>
    </row>
    <row r="9663" spans="1:14" x14ac:dyDescent="0.25">
      <c r="A9663" t="s">
        <v>43</v>
      </c>
      <c r="B9663" t="s">
        <v>40</v>
      </c>
      <c r="C9663" t="s">
        <v>15</v>
      </c>
      <c r="D9663" t="s">
        <v>28</v>
      </c>
      <c r="E9663" t="s">
        <v>22</v>
      </c>
      <c r="F9663" t="s">
        <v>17</v>
      </c>
      <c r="G9663" s="2">
        <f>VALUE(1447.07)</f>
        <v>1447.07</v>
      </c>
      <c r="H9663" s="3">
        <f>VALUE(1117.65)</f>
        <v>1117.6500000000001</v>
      </c>
      <c r="I9663" s="4">
        <f>VALUE(4641)</f>
        <v>4641</v>
      </c>
      <c r="J9663" s="5">
        <f>VALUE(5229)</f>
        <v>5229</v>
      </c>
      <c r="K9663" s="6">
        <f>VALUE(6334)</f>
        <v>6334</v>
      </c>
      <c r="L9663" s="7">
        <f>VALUE(7845)</f>
        <v>7845</v>
      </c>
      <c r="M9663" s="8">
        <f>VALUE(10225)</f>
        <v>10225</v>
      </c>
      <c r="N9663" t="s">
        <v>24</v>
      </c>
    </row>
    <row r="9664" spans="1:14" x14ac:dyDescent="0.25">
      <c r="A9664" t="s">
        <v>43</v>
      </c>
      <c r="B9664" t="s">
        <v>40</v>
      </c>
      <c r="C9664" t="s">
        <v>15</v>
      </c>
      <c r="D9664" t="s">
        <v>28</v>
      </c>
      <c r="E9664" t="s">
        <v>22</v>
      </c>
      <c r="F9664" t="s">
        <v>18</v>
      </c>
      <c r="G9664" s="2">
        <f>VALUE(1665.49)</f>
        <v>1665.49</v>
      </c>
      <c r="H9664" s="3">
        <f>VALUE(1327.75)</f>
        <v>1327.75</v>
      </c>
      <c r="I9664" s="1">
        <f>VALUE(4048)</f>
        <v>4048</v>
      </c>
      <c r="J9664" s="5">
        <f>VALUE(4420)</f>
        <v>4420</v>
      </c>
      <c r="K9664" s="1">
        <f>VALUE(5667)</f>
        <v>5667</v>
      </c>
      <c r="L9664" s="1">
        <f>VALUE(6752)</f>
        <v>6752</v>
      </c>
      <c r="M9664" s="1">
        <f>VALUE(8226)</f>
        <v>8226</v>
      </c>
      <c r="N9664" t="s">
        <v>25</v>
      </c>
    </row>
    <row r="9665" spans="1:14" x14ac:dyDescent="0.25">
      <c r="A9665" t="s">
        <v>43</v>
      </c>
      <c r="B9665" t="s">
        <v>40</v>
      </c>
      <c r="C9665" t="s">
        <v>15</v>
      </c>
      <c r="D9665" t="s">
        <v>28</v>
      </c>
      <c r="E9665" t="s">
        <v>22</v>
      </c>
      <c r="F9665" t="s">
        <v>19</v>
      </c>
      <c r="G9665" s="2">
        <f>VALUE(2178.14)</f>
        <v>2178.14</v>
      </c>
      <c r="H9665" s="3">
        <f>VALUE(1814.63)</f>
        <v>1814.63</v>
      </c>
      <c r="I9665" s="1">
        <f>VALUE(4071)</f>
        <v>4071</v>
      </c>
      <c r="J9665" s="1">
        <f>VALUE(4360)</f>
        <v>4360</v>
      </c>
      <c r="K9665" s="1">
        <f>VALUE(4875)</f>
        <v>4875</v>
      </c>
      <c r="L9665" s="1">
        <f>VALUE(5798)</f>
        <v>5798</v>
      </c>
      <c r="M9665" s="1">
        <f>VALUE(7265)</f>
        <v>7265</v>
      </c>
      <c r="N9665" t="s">
        <v>25</v>
      </c>
    </row>
    <row r="9666" spans="1:14" x14ac:dyDescent="0.25">
      <c r="A9666" t="s">
        <v>43</v>
      </c>
      <c r="B9666" t="s">
        <v>40</v>
      </c>
      <c r="C9666" t="s">
        <v>15</v>
      </c>
      <c r="D9666" t="s">
        <v>28</v>
      </c>
      <c r="E9666" t="s">
        <v>22</v>
      </c>
      <c r="F9666" t="s">
        <v>20</v>
      </c>
      <c r="G9666" s="1">
        <f>VALUE(10253.71)</f>
        <v>10253.709999999999</v>
      </c>
      <c r="H9666" s="1">
        <f>VALUE(7090.76)</f>
        <v>7090.76</v>
      </c>
      <c r="I9666" s="1">
        <f>VALUE(3566)</f>
        <v>3566</v>
      </c>
      <c r="J9666" s="1">
        <f>VALUE(4145)</f>
        <v>4145</v>
      </c>
      <c r="K9666" s="1">
        <f>VALUE(4952)</f>
        <v>4952</v>
      </c>
      <c r="L9666" s="1">
        <f>VALUE(5768)</f>
        <v>5768</v>
      </c>
      <c r="M9666" s="1">
        <f>VALUE(6756)</f>
        <v>6756</v>
      </c>
      <c r="N9666" t="s">
        <v>16</v>
      </c>
    </row>
    <row r="9667" spans="1:14" x14ac:dyDescent="0.25">
      <c r="A9667" t="s">
        <v>43</v>
      </c>
      <c r="B9667" t="s">
        <v>40</v>
      </c>
      <c r="C9667" t="s">
        <v>15</v>
      </c>
      <c r="D9667" t="s">
        <v>28</v>
      </c>
      <c r="E9667" t="s">
        <v>23</v>
      </c>
      <c r="F9667" t="s">
        <v>15</v>
      </c>
      <c r="G9667" s="2">
        <f>VALUE(3382.06)</f>
        <v>3382.06</v>
      </c>
      <c r="H9667" s="3">
        <f>VALUE(2045.33)</f>
        <v>2045.33</v>
      </c>
      <c r="I9667" s="1">
        <f>VALUE(3115)</f>
        <v>3115</v>
      </c>
      <c r="J9667" s="1">
        <f>VALUE(3550)</f>
        <v>3550</v>
      </c>
      <c r="K9667" s="1">
        <f>VALUE(4148)</f>
        <v>4148</v>
      </c>
      <c r="L9667" s="1">
        <f>VALUE(4984)</f>
        <v>4984</v>
      </c>
      <c r="M9667" s="8">
        <f>VALUE(5908)</f>
        <v>5908</v>
      </c>
      <c r="N9667" t="s">
        <v>25</v>
      </c>
    </row>
    <row r="9668" spans="1:14" x14ac:dyDescent="0.25">
      <c r="A9668" t="s">
        <v>43</v>
      </c>
      <c r="B9668" t="s">
        <v>40</v>
      </c>
      <c r="C9668" t="s">
        <v>15</v>
      </c>
      <c r="D9668" t="s">
        <v>28</v>
      </c>
      <c r="E9668" t="s">
        <v>23</v>
      </c>
      <c r="F9668" t="s">
        <v>17</v>
      </c>
      <c r="G9668" s="1" t="str">
        <f t="shared" ref="G9668:M9669" si="2132">"X"</f>
        <v>X</v>
      </c>
      <c r="H9668" s="1" t="str">
        <f t="shared" si="2132"/>
        <v>X</v>
      </c>
      <c r="I9668" s="1" t="str">
        <f t="shared" si="2132"/>
        <v>X</v>
      </c>
      <c r="J9668" s="1" t="str">
        <f t="shared" si="2132"/>
        <v>X</v>
      </c>
      <c r="K9668" s="1" t="str">
        <f t="shared" si="2132"/>
        <v>X</v>
      </c>
      <c r="L9668" s="1" t="str">
        <f t="shared" si="2132"/>
        <v>X</v>
      </c>
      <c r="M9668" s="1" t="str">
        <f t="shared" si="2132"/>
        <v>X</v>
      </c>
      <c r="N9668" t="s">
        <v>27</v>
      </c>
    </row>
    <row r="9669" spans="1:14" x14ac:dyDescent="0.25">
      <c r="A9669" t="s">
        <v>43</v>
      </c>
      <c r="B9669" t="s">
        <v>40</v>
      </c>
      <c r="C9669" t="s">
        <v>15</v>
      </c>
      <c r="D9669" t="s">
        <v>28</v>
      </c>
      <c r="E9669" t="s">
        <v>23</v>
      </c>
      <c r="F9669" t="s">
        <v>18</v>
      </c>
      <c r="G9669" s="1" t="str">
        <f t="shared" si="2132"/>
        <v>X</v>
      </c>
      <c r="H9669" s="1" t="str">
        <f t="shared" si="2132"/>
        <v>X</v>
      </c>
      <c r="I9669" s="1" t="str">
        <f t="shared" si="2132"/>
        <v>X</v>
      </c>
      <c r="J9669" s="1" t="str">
        <f t="shared" si="2132"/>
        <v>X</v>
      </c>
      <c r="K9669" s="1" t="str">
        <f t="shared" si="2132"/>
        <v>X</v>
      </c>
      <c r="L9669" s="1" t="str">
        <f t="shared" si="2132"/>
        <v>X</v>
      </c>
      <c r="M9669" s="1" t="str">
        <f t="shared" si="2132"/>
        <v>X</v>
      </c>
      <c r="N9669" t="s">
        <v>27</v>
      </c>
    </row>
    <row r="9670" spans="1:14" x14ac:dyDescent="0.25">
      <c r="A9670" t="s">
        <v>43</v>
      </c>
      <c r="B9670" t="s">
        <v>40</v>
      </c>
      <c r="C9670" t="s">
        <v>15</v>
      </c>
      <c r="D9670" t="s">
        <v>28</v>
      </c>
      <c r="E9670" t="s">
        <v>23</v>
      </c>
      <c r="F9670" t="s">
        <v>19</v>
      </c>
      <c r="G9670" s="2">
        <f>VALUE(230.19)</f>
        <v>230.19</v>
      </c>
      <c r="H9670" s="3">
        <f>VALUE(201.09)</f>
        <v>201.09</v>
      </c>
      <c r="I9670" s="4">
        <f>VALUE(3628)</f>
        <v>3628</v>
      </c>
      <c r="J9670" s="1">
        <f>VALUE(4127)</f>
        <v>4127</v>
      </c>
      <c r="K9670" s="1">
        <f>VALUE(4511)</f>
        <v>4511</v>
      </c>
      <c r="L9670" s="1">
        <f>VALUE(5176)</f>
        <v>5176</v>
      </c>
      <c r="M9670" s="1">
        <f>VALUE(6414)</f>
        <v>6414</v>
      </c>
      <c r="N9670" t="s">
        <v>25</v>
      </c>
    </row>
    <row r="9671" spans="1:14" x14ac:dyDescent="0.25">
      <c r="A9671" t="s">
        <v>43</v>
      </c>
      <c r="B9671" t="s">
        <v>40</v>
      </c>
      <c r="C9671" t="s">
        <v>15</v>
      </c>
      <c r="D9671" t="s">
        <v>28</v>
      </c>
      <c r="E9671" t="s">
        <v>23</v>
      </c>
      <c r="F9671" t="s">
        <v>20</v>
      </c>
      <c r="G9671" s="2">
        <f>VALUE(2774.26)</f>
        <v>2774.26</v>
      </c>
      <c r="H9671" s="3">
        <f>VALUE(1518.2)</f>
        <v>1518.2</v>
      </c>
      <c r="I9671" s="4">
        <f>VALUE(3095)</f>
        <v>3095</v>
      </c>
      <c r="J9671" s="1">
        <f>VALUE(3467)</f>
        <v>3467</v>
      </c>
      <c r="K9671" s="1">
        <f>VALUE(4025)</f>
        <v>4025</v>
      </c>
      <c r="L9671" s="1">
        <f>VALUE(4696)</f>
        <v>4696</v>
      </c>
      <c r="M9671" s="1">
        <f>VALUE(5333)</f>
        <v>5333</v>
      </c>
      <c r="N9671" t="s">
        <v>25</v>
      </c>
    </row>
    <row r="9672" spans="1:14" x14ac:dyDescent="0.25">
      <c r="A9672" t="s">
        <v>43</v>
      </c>
      <c r="B9672" t="s">
        <v>40</v>
      </c>
      <c r="C9672" t="s">
        <v>15</v>
      </c>
      <c r="D9672" t="s">
        <v>28</v>
      </c>
      <c r="E9672" t="s">
        <v>26</v>
      </c>
      <c r="F9672" t="s">
        <v>15</v>
      </c>
      <c r="G9672" s="2">
        <f>VALUE(244.39)</f>
        <v>244.39</v>
      </c>
      <c r="H9672" s="3">
        <f>VALUE(169.37)</f>
        <v>169.37</v>
      </c>
      <c r="I9672" s="1">
        <f>VALUE(3345)</f>
        <v>3345</v>
      </c>
      <c r="J9672" s="1">
        <f>VALUE(4100)</f>
        <v>4100</v>
      </c>
      <c r="K9672" s="1">
        <f>VALUE(4875)</f>
        <v>4875</v>
      </c>
      <c r="L9672" s="1">
        <f>VALUE(6118)</f>
        <v>6118</v>
      </c>
      <c r="M9672" s="8">
        <f>VALUE(8176)</f>
        <v>8176</v>
      </c>
      <c r="N9672" t="s">
        <v>25</v>
      </c>
    </row>
    <row r="9673" spans="1:14" x14ac:dyDescent="0.25">
      <c r="A9673" t="s">
        <v>43</v>
      </c>
      <c r="B9673" t="s">
        <v>40</v>
      </c>
      <c r="C9673" t="s">
        <v>15</v>
      </c>
      <c r="D9673" t="s">
        <v>28</v>
      </c>
      <c r="E9673" t="s">
        <v>26</v>
      </c>
      <c r="F9673" t="s">
        <v>17</v>
      </c>
      <c r="G9673" s="1" t="str">
        <f t="shared" ref="G9673:M9675" si="2133">"X"</f>
        <v>X</v>
      </c>
      <c r="H9673" s="1" t="str">
        <f t="shared" si="2133"/>
        <v>X</v>
      </c>
      <c r="I9673" s="1" t="str">
        <f t="shared" si="2133"/>
        <v>X</v>
      </c>
      <c r="J9673" s="1" t="str">
        <f t="shared" si="2133"/>
        <v>X</v>
      </c>
      <c r="K9673" s="1" t="str">
        <f t="shared" si="2133"/>
        <v>X</v>
      </c>
      <c r="L9673" s="1" t="str">
        <f t="shared" si="2133"/>
        <v>X</v>
      </c>
      <c r="M9673" s="1" t="str">
        <f t="shared" si="2133"/>
        <v>X</v>
      </c>
      <c r="N9673" t="s">
        <v>27</v>
      </c>
    </row>
    <row r="9674" spans="1:14" x14ac:dyDescent="0.25">
      <c r="A9674" t="s">
        <v>43</v>
      </c>
      <c r="B9674" t="s">
        <v>40</v>
      </c>
      <c r="C9674" t="s">
        <v>15</v>
      </c>
      <c r="D9674" t="s">
        <v>28</v>
      </c>
      <c r="E9674" t="s">
        <v>26</v>
      </c>
      <c r="F9674" t="s">
        <v>18</v>
      </c>
      <c r="G9674" s="1" t="str">
        <f t="shared" si="2133"/>
        <v>X</v>
      </c>
      <c r="H9674" s="1" t="str">
        <f t="shared" si="2133"/>
        <v>X</v>
      </c>
      <c r="I9674" s="1" t="str">
        <f t="shared" si="2133"/>
        <v>X</v>
      </c>
      <c r="J9674" s="1" t="str">
        <f t="shared" si="2133"/>
        <v>X</v>
      </c>
      <c r="K9674" s="1" t="str">
        <f t="shared" si="2133"/>
        <v>X</v>
      </c>
      <c r="L9674" s="1" t="str">
        <f t="shared" si="2133"/>
        <v>X</v>
      </c>
      <c r="M9674" s="1" t="str">
        <f t="shared" si="2133"/>
        <v>X</v>
      </c>
      <c r="N9674" t="s">
        <v>27</v>
      </c>
    </row>
    <row r="9675" spans="1:14" x14ac:dyDescent="0.25">
      <c r="A9675" t="s">
        <v>43</v>
      </c>
      <c r="B9675" t="s">
        <v>40</v>
      </c>
      <c r="C9675" t="s">
        <v>15</v>
      </c>
      <c r="D9675" t="s">
        <v>28</v>
      </c>
      <c r="E9675" t="s">
        <v>26</v>
      </c>
      <c r="F9675" t="s">
        <v>19</v>
      </c>
      <c r="G9675" s="1" t="str">
        <f t="shared" si="2133"/>
        <v>X</v>
      </c>
      <c r="H9675" s="1" t="str">
        <f t="shared" si="2133"/>
        <v>X</v>
      </c>
      <c r="I9675" s="1" t="str">
        <f t="shared" si="2133"/>
        <v>X</v>
      </c>
      <c r="J9675" s="1" t="str">
        <f t="shared" si="2133"/>
        <v>X</v>
      </c>
      <c r="K9675" s="1" t="str">
        <f t="shared" si="2133"/>
        <v>X</v>
      </c>
      <c r="L9675" s="1" t="str">
        <f t="shared" si="2133"/>
        <v>X</v>
      </c>
      <c r="M9675" s="1" t="str">
        <f t="shared" si="2133"/>
        <v>X</v>
      </c>
      <c r="N9675" t="s">
        <v>27</v>
      </c>
    </row>
    <row r="9676" spans="1:14" x14ac:dyDescent="0.25">
      <c r="A9676" t="s">
        <v>43</v>
      </c>
      <c r="B9676" t="s">
        <v>40</v>
      </c>
      <c r="C9676" t="s">
        <v>15</v>
      </c>
      <c r="D9676" t="s">
        <v>28</v>
      </c>
      <c r="E9676" t="s">
        <v>26</v>
      </c>
      <c r="F9676" t="s">
        <v>20</v>
      </c>
      <c r="G9676" s="2">
        <f>VALUE(184.04)</f>
        <v>184.04</v>
      </c>
      <c r="H9676" s="3">
        <f>VALUE(123.11)</f>
        <v>123.11</v>
      </c>
      <c r="I9676" s="1">
        <f>VALUE(3345)</f>
        <v>3345</v>
      </c>
      <c r="J9676" s="1">
        <f>VALUE(4000)</f>
        <v>4000</v>
      </c>
      <c r="K9676" s="1">
        <f>VALUE(4763)</f>
        <v>4763</v>
      </c>
      <c r="L9676" s="1">
        <f>VALUE(5565)</f>
        <v>5565</v>
      </c>
      <c r="M9676" s="1">
        <f>VALUE(7006)</f>
        <v>7006</v>
      </c>
      <c r="N9676" t="s">
        <v>25</v>
      </c>
    </row>
    <row r="9677" spans="1:14" x14ac:dyDescent="0.25">
      <c r="A9677" t="s">
        <v>43</v>
      </c>
      <c r="B9677" t="s">
        <v>40</v>
      </c>
      <c r="C9677" t="s">
        <v>15</v>
      </c>
      <c r="D9677" t="s">
        <v>29</v>
      </c>
      <c r="E9677" t="s">
        <v>15</v>
      </c>
      <c r="F9677" t="s">
        <v>15</v>
      </c>
      <c r="G9677" s="2">
        <f>VALUE(6564.92)</f>
        <v>6564.92</v>
      </c>
      <c r="H9677" s="1">
        <f>VALUE(4451.9)</f>
        <v>4451.8999999999996</v>
      </c>
      <c r="I9677" s="1">
        <f>VALUE(3417)</f>
        <v>3417</v>
      </c>
      <c r="J9677" s="1">
        <f>VALUE(3811)</f>
        <v>3811</v>
      </c>
      <c r="K9677" s="1">
        <f>VALUE(4587)</f>
        <v>4587</v>
      </c>
      <c r="L9677" s="1">
        <f>VALUE(6008)</f>
        <v>6008</v>
      </c>
      <c r="M9677" s="1">
        <f>VALUE(7675)</f>
        <v>7675</v>
      </c>
      <c r="N9677" t="s">
        <v>25</v>
      </c>
    </row>
    <row r="9678" spans="1:14" x14ac:dyDescent="0.25">
      <c r="A9678" t="s">
        <v>43</v>
      </c>
      <c r="B9678" t="s">
        <v>40</v>
      </c>
      <c r="C9678" t="s">
        <v>15</v>
      </c>
      <c r="D9678" t="s">
        <v>29</v>
      </c>
      <c r="E9678" t="s">
        <v>15</v>
      </c>
      <c r="F9678" t="s">
        <v>17</v>
      </c>
      <c r="G9678" s="2">
        <f>VALUE(475.91)</f>
        <v>475.91</v>
      </c>
      <c r="H9678" s="3">
        <f>VALUE(425.7)</f>
        <v>425.7</v>
      </c>
      <c r="I9678" s="1">
        <f>VALUE(3804)</f>
        <v>3804</v>
      </c>
      <c r="J9678" s="5">
        <f>VALUE(4952)</f>
        <v>4952</v>
      </c>
      <c r="K9678" s="6">
        <f>VALUE(7584)</f>
        <v>7584</v>
      </c>
      <c r="L9678" s="7">
        <f>VALUE(8400)</f>
        <v>8400</v>
      </c>
      <c r="M9678" s="1">
        <f>VALUE(13191)</f>
        <v>13191</v>
      </c>
      <c r="N9678" t="s">
        <v>25</v>
      </c>
    </row>
    <row r="9679" spans="1:14" x14ac:dyDescent="0.25">
      <c r="A9679" t="s">
        <v>43</v>
      </c>
      <c r="B9679" t="s">
        <v>40</v>
      </c>
      <c r="C9679" t="s">
        <v>15</v>
      </c>
      <c r="D9679" t="s">
        <v>29</v>
      </c>
      <c r="E9679" t="s">
        <v>15</v>
      </c>
      <c r="F9679" t="s">
        <v>18</v>
      </c>
      <c r="G9679" s="2">
        <f>VALUE(539.01)</f>
        <v>539.01</v>
      </c>
      <c r="H9679" s="3">
        <f>VALUE(410.52)</f>
        <v>410.52</v>
      </c>
      <c r="I9679" s="1">
        <f>VALUE(3703)</f>
        <v>3703</v>
      </c>
      <c r="J9679" s="1">
        <f>VALUE(4532)</f>
        <v>4532</v>
      </c>
      <c r="K9679" s="6">
        <f>VALUE(5777)</f>
        <v>5777</v>
      </c>
      <c r="L9679" s="7">
        <f>VALUE(7524)</f>
        <v>7524</v>
      </c>
      <c r="M9679" s="1">
        <f>VALUE(9687)</f>
        <v>9687</v>
      </c>
      <c r="N9679" t="s">
        <v>25</v>
      </c>
    </row>
    <row r="9680" spans="1:14" x14ac:dyDescent="0.25">
      <c r="A9680" t="s">
        <v>43</v>
      </c>
      <c r="B9680" t="s">
        <v>40</v>
      </c>
      <c r="C9680" t="s">
        <v>15</v>
      </c>
      <c r="D9680" t="s">
        <v>29</v>
      </c>
      <c r="E9680" t="s">
        <v>15</v>
      </c>
      <c r="F9680" t="s">
        <v>19</v>
      </c>
      <c r="G9680" s="2">
        <f>VALUE(712.97)</f>
        <v>712.97</v>
      </c>
      <c r="H9680" s="3">
        <f>VALUE(641.38)</f>
        <v>641.38</v>
      </c>
      <c r="I9680" s="4">
        <f>VALUE(3712)</f>
        <v>3712</v>
      </c>
      <c r="J9680" s="5">
        <f>VALUE(4136)</f>
        <v>4136</v>
      </c>
      <c r="K9680" s="6">
        <f>VALUE(5159)</f>
        <v>5159</v>
      </c>
      <c r="L9680" s="7">
        <f>VALUE(6136)</f>
        <v>6136</v>
      </c>
      <c r="M9680" s="1">
        <f>VALUE(7620)</f>
        <v>7620</v>
      </c>
      <c r="N9680" t="s">
        <v>25</v>
      </c>
    </row>
    <row r="9681" spans="1:14" x14ac:dyDescent="0.25">
      <c r="A9681" t="s">
        <v>43</v>
      </c>
      <c r="B9681" t="s">
        <v>40</v>
      </c>
      <c r="C9681" t="s">
        <v>15</v>
      </c>
      <c r="D9681" t="s">
        <v>29</v>
      </c>
      <c r="E9681" t="s">
        <v>15</v>
      </c>
      <c r="F9681" t="s">
        <v>20</v>
      </c>
      <c r="G9681" s="2">
        <f>VALUE(4837.03)</f>
        <v>4837.03</v>
      </c>
      <c r="H9681" s="3">
        <f>VALUE(2974.3)</f>
        <v>2974.3</v>
      </c>
      <c r="I9681" s="1">
        <f>VALUE(3330)</f>
        <v>3330</v>
      </c>
      <c r="J9681" s="1">
        <f>VALUE(3703)</f>
        <v>3703</v>
      </c>
      <c r="K9681" s="1">
        <f>VALUE(4226)</f>
        <v>4226</v>
      </c>
      <c r="L9681" s="1">
        <f>VALUE(5217)</f>
        <v>5217</v>
      </c>
      <c r="M9681" s="1">
        <f>VALUE(6640)</f>
        <v>6640</v>
      </c>
      <c r="N9681" t="s">
        <v>25</v>
      </c>
    </row>
    <row r="9682" spans="1:14" x14ac:dyDescent="0.25">
      <c r="A9682" t="s">
        <v>43</v>
      </c>
      <c r="B9682" t="s">
        <v>40</v>
      </c>
      <c r="C9682" t="s">
        <v>15</v>
      </c>
      <c r="D9682" t="s">
        <v>29</v>
      </c>
      <c r="E9682" t="s">
        <v>21</v>
      </c>
      <c r="F9682" t="s">
        <v>15</v>
      </c>
      <c r="G9682" s="2">
        <f>VALUE(1006.74)</f>
        <v>1006.74</v>
      </c>
      <c r="H9682" s="3">
        <f>VALUE(853.84)</f>
        <v>853.84</v>
      </c>
      <c r="I9682" s="1">
        <f>VALUE(4666)</f>
        <v>4666</v>
      </c>
      <c r="J9682" s="1">
        <f>VALUE(5290)</f>
        <v>5290</v>
      </c>
      <c r="K9682" s="1">
        <f>VALUE(6640)</f>
        <v>6640</v>
      </c>
      <c r="L9682" s="1">
        <f>VALUE(8177)</f>
        <v>8177</v>
      </c>
      <c r="M9682" s="1">
        <f>VALUE(10246)</f>
        <v>10246</v>
      </c>
      <c r="N9682" t="s">
        <v>25</v>
      </c>
    </row>
    <row r="9683" spans="1:14" x14ac:dyDescent="0.25">
      <c r="A9683" t="s">
        <v>43</v>
      </c>
      <c r="B9683" t="s">
        <v>40</v>
      </c>
      <c r="C9683" t="s">
        <v>15</v>
      </c>
      <c r="D9683" t="s">
        <v>29</v>
      </c>
      <c r="E9683" t="s">
        <v>21</v>
      </c>
      <c r="F9683" t="s">
        <v>17</v>
      </c>
      <c r="G9683" s="2">
        <f>VALUE(201.04)</f>
        <v>201.04</v>
      </c>
      <c r="H9683" s="3">
        <f>VALUE(173.31)</f>
        <v>173.31</v>
      </c>
      <c r="I9683" s="4">
        <f>VALUE(4800)</f>
        <v>4800</v>
      </c>
      <c r="J9683" s="5">
        <f>VALUE(5000)</f>
        <v>5000</v>
      </c>
      <c r="K9683" s="6">
        <f>VALUE(7687)</f>
        <v>7687</v>
      </c>
      <c r="L9683" s="7">
        <f>VALUE(10705)</f>
        <v>10705</v>
      </c>
      <c r="M9683" s="8">
        <f>VALUE(14717)</f>
        <v>14717</v>
      </c>
      <c r="N9683" t="s">
        <v>24</v>
      </c>
    </row>
    <row r="9684" spans="1:14" x14ac:dyDescent="0.25">
      <c r="A9684" t="s">
        <v>43</v>
      </c>
      <c r="B9684" t="s">
        <v>40</v>
      </c>
      <c r="C9684" t="s">
        <v>15</v>
      </c>
      <c r="D9684" t="s">
        <v>29</v>
      </c>
      <c r="E9684" t="s">
        <v>21</v>
      </c>
      <c r="F9684" t="s">
        <v>18</v>
      </c>
      <c r="G9684" s="1" t="str">
        <f t="shared" ref="G9684:M9685" si="2134">"X"</f>
        <v>X</v>
      </c>
      <c r="H9684" s="1" t="str">
        <f t="shared" si="2134"/>
        <v>X</v>
      </c>
      <c r="I9684" s="1" t="str">
        <f t="shared" si="2134"/>
        <v>X</v>
      </c>
      <c r="J9684" s="1" t="str">
        <f t="shared" si="2134"/>
        <v>X</v>
      </c>
      <c r="K9684" s="1" t="str">
        <f t="shared" si="2134"/>
        <v>X</v>
      </c>
      <c r="L9684" s="1" t="str">
        <f t="shared" si="2134"/>
        <v>X</v>
      </c>
      <c r="M9684" s="1" t="str">
        <f t="shared" si="2134"/>
        <v>X</v>
      </c>
      <c r="N9684" t="s">
        <v>27</v>
      </c>
    </row>
    <row r="9685" spans="1:14" x14ac:dyDescent="0.25">
      <c r="A9685" t="s">
        <v>43</v>
      </c>
      <c r="B9685" t="s">
        <v>40</v>
      </c>
      <c r="C9685" t="s">
        <v>15</v>
      </c>
      <c r="D9685" t="s">
        <v>29</v>
      </c>
      <c r="E9685" t="s">
        <v>21</v>
      </c>
      <c r="F9685" t="s">
        <v>19</v>
      </c>
      <c r="G9685" s="1" t="str">
        <f t="shared" si="2134"/>
        <v>X</v>
      </c>
      <c r="H9685" s="1" t="str">
        <f t="shared" si="2134"/>
        <v>X</v>
      </c>
      <c r="I9685" s="1" t="str">
        <f t="shared" si="2134"/>
        <v>X</v>
      </c>
      <c r="J9685" s="1" t="str">
        <f t="shared" si="2134"/>
        <v>X</v>
      </c>
      <c r="K9685" s="1" t="str">
        <f t="shared" si="2134"/>
        <v>X</v>
      </c>
      <c r="L9685" s="1" t="str">
        <f t="shared" si="2134"/>
        <v>X</v>
      </c>
      <c r="M9685" s="1" t="str">
        <f t="shared" si="2134"/>
        <v>X</v>
      </c>
      <c r="N9685" t="s">
        <v>27</v>
      </c>
    </row>
    <row r="9686" spans="1:14" x14ac:dyDescent="0.25">
      <c r="A9686" t="s">
        <v>43</v>
      </c>
      <c r="B9686" t="s">
        <v>40</v>
      </c>
      <c r="C9686" t="s">
        <v>15</v>
      </c>
      <c r="D9686" t="s">
        <v>29</v>
      </c>
      <c r="E9686" t="s">
        <v>21</v>
      </c>
      <c r="F9686" t="s">
        <v>20</v>
      </c>
      <c r="G9686" s="2">
        <f>VALUE(463.03)</f>
        <v>463.03</v>
      </c>
      <c r="H9686" s="3">
        <f>VALUE(385.26)</f>
        <v>385.26</v>
      </c>
      <c r="I9686" s="4">
        <f>VALUE(4385)</f>
        <v>4385</v>
      </c>
      <c r="J9686" s="1">
        <f>VALUE(5318)</f>
        <v>5318</v>
      </c>
      <c r="K9686" s="1">
        <f>VALUE(6640)</f>
        <v>6640</v>
      </c>
      <c r="L9686" s="1">
        <f>VALUE(7337)</f>
        <v>7337</v>
      </c>
      <c r="M9686" s="1">
        <f>VALUE(8291)</f>
        <v>8291</v>
      </c>
      <c r="N9686" t="s">
        <v>25</v>
      </c>
    </row>
    <row r="9687" spans="1:14" x14ac:dyDescent="0.25">
      <c r="A9687" t="s">
        <v>43</v>
      </c>
      <c r="B9687" t="s">
        <v>40</v>
      </c>
      <c r="C9687" t="s">
        <v>15</v>
      </c>
      <c r="D9687" t="s">
        <v>29</v>
      </c>
      <c r="E9687" t="s">
        <v>22</v>
      </c>
      <c r="F9687" t="s">
        <v>15</v>
      </c>
      <c r="G9687" s="2">
        <f>VALUE(2197.36)</f>
        <v>2197.36</v>
      </c>
      <c r="H9687" s="3">
        <f>VALUE(1746.03)</f>
        <v>1746.03</v>
      </c>
      <c r="I9687" s="1">
        <f>VALUE(3765)</f>
        <v>3765</v>
      </c>
      <c r="J9687" s="1">
        <f>VALUE(4168)</f>
        <v>4168</v>
      </c>
      <c r="K9687" s="1">
        <f>VALUE(5158)</f>
        <v>5158</v>
      </c>
      <c r="L9687" s="1">
        <f>VALUE(6136)</f>
        <v>6136</v>
      </c>
      <c r="M9687" s="1">
        <f>VALUE(7675)</f>
        <v>7675</v>
      </c>
      <c r="N9687" t="s">
        <v>25</v>
      </c>
    </row>
    <row r="9688" spans="1:14" x14ac:dyDescent="0.25">
      <c r="A9688" t="s">
        <v>43</v>
      </c>
      <c r="B9688" t="s">
        <v>40</v>
      </c>
      <c r="C9688" t="s">
        <v>15</v>
      </c>
      <c r="D9688" t="s">
        <v>29</v>
      </c>
      <c r="E9688" t="s">
        <v>22</v>
      </c>
      <c r="F9688" t="s">
        <v>17</v>
      </c>
      <c r="G9688" s="1" t="str">
        <f t="shared" ref="G9688:M9689" si="2135">"X"</f>
        <v>X</v>
      </c>
      <c r="H9688" s="1" t="str">
        <f t="shared" si="2135"/>
        <v>X</v>
      </c>
      <c r="I9688" s="1" t="str">
        <f t="shared" si="2135"/>
        <v>X</v>
      </c>
      <c r="J9688" s="1" t="str">
        <f t="shared" si="2135"/>
        <v>X</v>
      </c>
      <c r="K9688" s="1" t="str">
        <f t="shared" si="2135"/>
        <v>X</v>
      </c>
      <c r="L9688" s="1" t="str">
        <f t="shared" si="2135"/>
        <v>X</v>
      </c>
      <c r="M9688" s="1" t="str">
        <f t="shared" si="2135"/>
        <v>X</v>
      </c>
      <c r="N9688" t="s">
        <v>27</v>
      </c>
    </row>
    <row r="9689" spans="1:14" x14ac:dyDescent="0.25">
      <c r="A9689" t="s">
        <v>43</v>
      </c>
      <c r="B9689" t="s">
        <v>40</v>
      </c>
      <c r="C9689" t="s">
        <v>15</v>
      </c>
      <c r="D9689" t="s">
        <v>29</v>
      </c>
      <c r="E9689" t="s">
        <v>22</v>
      </c>
      <c r="F9689" t="s">
        <v>18</v>
      </c>
      <c r="G9689" s="1" t="str">
        <f t="shared" si="2135"/>
        <v>X</v>
      </c>
      <c r="H9689" s="1" t="str">
        <f t="shared" si="2135"/>
        <v>X</v>
      </c>
      <c r="I9689" s="1" t="str">
        <f t="shared" si="2135"/>
        <v>X</v>
      </c>
      <c r="J9689" s="1" t="str">
        <f t="shared" si="2135"/>
        <v>X</v>
      </c>
      <c r="K9689" s="1" t="str">
        <f t="shared" si="2135"/>
        <v>X</v>
      </c>
      <c r="L9689" s="1" t="str">
        <f t="shared" si="2135"/>
        <v>X</v>
      </c>
      <c r="M9689" s="1" t="str">
        <f t="shared" si="2135"/>
        <v>X</v>
      </c>
      <c r="N9689" t="s">
        <v>27</v>
      </c>
    </row>
    <row r="9690" spans="1:14" x14ac:dyDescent="0.25">
      <c r="A9690" t="s">
        <v>43</v>
      </c>
      <c r="B9690" t="s">
        <v>40</v>
      </c>
      <c r="C9690" t="s">
        <v>15</v>
      </c>
      <c r="D9690" t="s">
        <v>29</v>
      </c>
      <c r="E9690" t="s">
        <v>22</v>
      </c>
      <c r="F9690" t="s">
        <v>19</v>
      </c>
      <c r="G9690" s="2">
        <f>VALUE(366.17)</f>
        <v>366.17</v>
      </c>
      <c r="H9690" s="3">
        <f>VALUE(340.01)</f>
        <v>340.01</v>
      </c>
      <c r="I9690" s="4">
        <f>VALUE(3972)</f>
        <v>3972</v>
      </c>
      <c r="J9690" s="5">
        <f>VALUE(4354)</f>
        <v>4354</v>
      </c>
      <c r="K9690" s="6">
        <f>VALUE(5479)</f>
        <v>5479</v>
      </c>
      <c r="L9690" s="1">
        <f>VALUE(6136)</f>
        <v>6136</v>
      </c>
      <c r="M9690" s="8">
        <f>VALUE(6806)</f>
        <v>6806</v>
      </c>
      <c r="N9690" t="s">
        <v>25</v>
      </c>
    </row>
    <row r="9691" spans="1:14" x14ac:dyDescent="0.25">
      <c r="A9691" t="s">
        <v>43</v>
      </c>
      <c r="B9691" t="s">
        <v>40</v>
      </c>
      <c r="C9691" t="s">
        <v>15</v>
      </c>
      <c r="D9691" t="s">
        <v>29</v>
      </c>
      <c r="E9691" t="s">
        <v>22</v>
      </c>
      <c r="F9691" t="s">
        <v>20</v>
      </c>
      <c r="G9691" s="2">
        <f>VALUE(1404.45)</f>
        <v>1404.45</v>
      </c>
      <c r="H9691" s="3">
        <f>VALUE(1052.36)</f>
        <v>1052.3599999999999</v>
      </c>
      <c r="I9691" s="1">
        <f>VALUE(3667)</f>
        <v>3667</v>
      </c>
      <c r="J9691" s="1">
        <f>VALUE(4024)</f>
        <v>4024</v>
      </c>
      <c r="K9691" s="1">
        <f>VALUE(4908)</f>
        <v>4908</v>
      </c>
      <c r="L9691" s="1">
        <f>VALUE(5558)</f>
        <v>5558</v>
      </c>
      <c r="M9691" s="1">
        <f>VALUE(6567)</f>
        <v>6567</v>
      </c>
      <c r="N9691" t="s">
        <v>25</v>
      </c>
    </row>
    <row r="9692" spans="1:14" x14ac:dyDescent="0.25">
      <c r="A9692" t="s">
        <v>43</v>
      </c>
      <c r="B9692" t="s">
        <v>40</v>
      </c>
      <c r="C9692" t="s">
        <v>15</v>
      </c>
      <c r="D9692" t="s">
        <v>29</v>
      </c>
      <c r="E9692" t="s">
        <v>23</v>
      </c>
      <c r="F9692" t="s">
        <v>15</v>
      </c>
      <c r="G9692" s="2">
        <f>VALUE(3253.48)</f>
        <v>3253.48</v>
      </c>
      <c r="H9692" s="3">
        <f>VALUE(1795.05)</f>
        <v>1795.05</v>
      </c>
      <c r="I9692" s="1">
        <f>VALUE(3200)</f>
        <v>3200</v>
      </c>
      <c r="J9692" s="1">
        <f>VALUE(3514)</f>
        <v>3514</v>
      </c>
      <c r="K9692" s="1">
        <f>VALUE(3884)</f>
        <v>3884</v>
      </c>
      <c r="L9692" s="1">
        <f>VALUE(4297)</f>
        <v>4297</v>
      </c>
      <c r="M9692" s="1">
        <f>VALUE(4854)</f>
        <v>4854</v>
      </c>
      <c r="N9692" t="s">
        <v>25</v>
      </c>
    </row>
    <row r="9693" spans="1:14" x14ac:dyDescent="0.25">
      <c r="A9693" t="s">
        <v>43</v>
      </c>
      <c r="B9693" t="s">
        <v>40</v>
      </c>
      <c r="C9693" t="s">
        <v>15</v>
      </c>
      <c r="D9693" t="s">
        <v>29</v>
      </c>
      <c r="E9693" t="s">
        <v>23</v>
      </c>
      <c r="F9693" t="s">
        <v>17</v>
      </c>
      <c r="G9693" s="1" t="str">
        <f t="shared" ref="G9693:M9695" si="2136">"X"</f>
        <v>X</v>
      </c>
      <c r="H9693" s="1" t="str">
        <f t="shared" si="2136"/>
        <v>X</v>
      </c>
      <c r="I9693" s="1" t="str">
        <f t="shared" si="2136"/>
        <v>X</v>
      </c>
      <c r="J9693" s="1" t="str">
        <f t="shared" si="2136"/>
        <v>X</v>
      </c>
      <c r="K9693" s="1" t="str">
        <f t="shared" si="2136"/>
        <v>X</v>
      </c>
      <c r="L9693" s="1" t="str">
        <f t="shared" si="2136"/>
        <v>X</v>
      </c>
      <c r="M9693" s="1" t="str">
        <f t="shared" si="2136"/>
        <v>X</v>
      </c>
      <c r="N9693" t="s">
        <v>27</v>
      </c>
    </row>
    <row r="9694" spans="1:14" x14ac:dyDescent="0.25">
      <c r="A9694" t="s">
        <v>43</v>
      </c>
      <c r="B9694" t="s">
        <v>40</v>
      </c>
      <c r="C9694" t="s">
        <v>15</v>
      </c>
      <c r="D9694" t="s">
        <v>29</v>
      </c>
      <c r="E9694" t="s">
        <v>23</v>
      </c>
      <c r="F9694" t="s">
        <v>18</v>
      </c>
      <c r="G9694" s="1" t="str">
        <f t="shared" si="2136"/>
        <v>X</v>
      </c>
      <c r="H9694" s="1" t="str">
        <f t="shared" si="2136"/>
        <v>X</v>
      </c>
      <c r="I9694" s="1" t="str">
        <f t="shared" si="2136"/>
        <v>X</v>
      </c>
      <c r="J9694" s="1" t="str">
        <f t="shared" si="2136"/>
        <v>X</v>
      </c>
      <c r="K9694" s="1" t="str">
        <f t="shared" si="2136"/>
        <v>X</v>
      </c>
      <c r="L9694" s="1" t="str">
        <f t="shared" si="2136"/>
        <v>X</v>
      </c>
      <c r="M9694" s="1" t="str">
        <f t="shared" si="2136"/>
        <v>X</v>
      </c>
      <c r="N9694" t="s">
        <v>27</v>
      </c>
    </row>
    <row r="9695" spans="1:14" x14ac:dyDescent="0.25">
      <c r="A9695" t="s">
        <v>43</v>
      </c>
      <c r="B9695" t="s">
        <v>40</v>
      </c>
      <c r="C9695" t="s">
        <v>15</v>
      </c>
      <c r="D9695" t="s">
        <v>29</v>
      </c>
      <c r="E9695" t="s">
        <v>23</v>
      </c>
      <c r="F9695" t="s">
        <v>19</v>
      </c>
      <c r="G9695" s="1" t="str">
        <f t="shared" si="2136"/>
        <v>X</v>
      </c>
      <c r="H9695" s="1" t="str">
        <f t="shared" si="2136"/>
        <v>X</v>
      </c>
      <c r="I9695" s="1" t="str">
        <f t="shared" si="2136"/>
        <v>X</v>
      </c>
      <c r="J9695" s="1" t="str">
        <f t="shared" si="2136"/>
        <v>X</v>
      </c>
      <c r="K9695" s="1" t="str">
        <f t="shared" si="2136"/>
        <v>X</v>
      </c>
      <c r="L9695" s="1" t="str">
        <f t="shared" si="2136"/>
        <v>X</v>
      </c>
      <c r="M9695" s="1" t="str">
        <f t="shared" si="2136"/>
        <v>X</v>
      </c>
      <c r="N9695" t="s">
        <v>27</v>
      </c>
    </row>
    <row r="9696" spans="1:14" x14ac:dyDescent="0.25">
      <c r="A9696" t="s">
        <v>43</v>
      </c>
      <c r="B9696" t="s">
        <v>40</v>
      </c>
      <c r="C9696" t="s">
        <v>15</v>
      </c>
      <c r="D9696" t="s">
        <v>29</v>
      </c>
      <c r="E9696" t="s">
        <v>23</v>
      </c>
      <c r="F9696" t="s">
        <v>20</v>
      </c>
      <c r="G9696" s="2">
        <f>VALUE(2883.83)</f>
        <v>2883.83</v>
      </c>
      <c r="H9696" s="3">
        <f>VALUE(1500.05)</f>
        <v>1500.05</v>
      </c>
      <c r="I9696" s="1">
        <f>VALUE(3148)</f>
        <v>3148</v>
      </c>
      <c r="J9696" s="1">
        <f>VALUE(3502)</f>
        <v>3502</v>
      </c>
      <c r="K9696" s="1">
        <f>VALUE(3885)</f>
        <v>3885</v>
      </c>
      <c r="L9696" s="1">
        <f>VALUE(4279)</f>
        <v>4279</v>
      </c>
      <c r="M9696" s="1">
        <f>VALUE(4745)</f>
        <v>4745</v>
      </c>
      <c r="N9696" t="s">
        <v>25</v>
      </c>
    </row>
    <row r="9697" spans="1:14" x14ac:dyDescent="0.25">
      <c r="A9697" t="s">
        <v>43</v>
      </c>
      <c r="B9697" t="s">
        <v>40</v>
      </c>
      <c r="C9697" t="s">
        <v>15</v>
      </c>
      <c r="D9697" t="s">
        <v>29</v>
      </c>
      <c r="E9697" t="s">
        <v>26</v>
      </c>
      <c r="F9697" t="s">
        <v>15</v>
      </c>
      <c r="G9697" s="1" t="str">
        <f t="shared" ref="G9697:M9701" si="2137">"X"</f>
        <v>X</v>
      </c>
      <c r="H9697" s="1" t="str">
        <f t="shared" si="2137"/>
        <v>X</v>
      </c>
      <c r="I9697" s="1" t="str">
        <f t="shared" si="2137"/>
        <v>X</v>
      </c>
      <c r="J9697" s="1" t="str">
        <f t="shared" si="2137"/>
        <v>X</v>
      </c>
      <c r="K9697" s="1" t="str">
        <f t="shared" si="2137"/>
        <v>X</v>
      </c>
      <c r="L9697" s="1" t="str">
        <f t="shared" si="2137"/>
        <v>X</v>
      </c>
      <c r="M9697" s="1" t="str">
        <f t="shared" si="2137"/>
        <v>X</v>
      </c>
      <c r="N9697" t="s">
        <v>27</v>
      </c>
    </row>
    <row r="9698" spans="1:14" x14ac:dyDescent="0.25">
      <c r="A9698" t="s">
        <v>43</v>
      </c>
      <c r="B9698" t="s">
        <v>40</v>
      </c>
      <c r="C9698" t="s">
        <v>15</v>
      </c>
      <c r="D9698" t="s">
        <v>29</v>
      </c>
      <c r="E9698" t="s">
        <v>26</v>
      </c>
      <c r="F9698" t="s">
        <v>17</v>
      </c>
      <c r="G9698" s="1" t="str">
        <f t="shared" si="2137"/>
        <v>X</v>
      </c>
      <c r="H9698" s="1" t="str">
        <f t="shared" si="2137"/>
        <v>X</v>
      </c>
      <c r="I9698" s="1" t="str">
        <f t="shared" si="2137"/>
        <v>X</v>
      </c>
      <c r="J9698" s="1" t="str">
        <f t="shared" si="2137"/>
        <v>X</v>
      </c>
      <c r="K9698" s="1" t="str">
        <f t="shared" si="2137"/>
        <v>X</v>
      </c>
      <c r="L9698" s="1" t="str">
        <f t="shared" si="2137"/>
        <v>X</v>
      </c>
      <c r="M9698" s="1" t="str">
        <f t="shared" si="2137"/>
        <v>X</v>
      </c>
      <c r="N9698" t="s">
        <v>27</v>
      </c>
    </row>
    <row r="9699" spans="1:14" x14ac:dyDescent="0.25">
      <c r="A9699" t="s">
        <v>43</v>
      </c>
      <c r="B9699" t="s">
        <v>40</v>
      </c>
      <c r="C9699" t="s">
        <v>15</v>
      </c>
      <c r="D9699" t="s">
        <v>29</v>
      </c>
      <c r="E9699" t="s">
        <v>26</v>
      </c>
      <c r="F9699" t="s">
        <v>18</v>
      </c>
      <c r="G9699" s="1" t="str">
        <f t="shared" si="2137"/>
        <v>X</v>
      </c>
      <c r="H9699" s="1" t="str">
        <f t="shared" si="2137"/>
        <v>X</v>
      </c>
      <c r="I9699" s="1" t="str">
        <f t="shared" si="2137"/>
        <v>X</v>
      </c>
      <c r="J9699" s="1" t="str">
        <f t="shared" si="2137"/>
        <v>X</v>
      </c>
      <c r="K9699" s="1" t="str">
        <f t="shared" si="2137"/>
        <v>X</v>
      </c>
      <c r="L9699" s="1" t="str">
        <f t="shared" si="2137"/>
        <v>X</v>
      </c>
      <c r="M9699" s="1" t="str">
        <f t="shared" si="2137"/>
        <v>X</v>
      </c>
      <c r="N9699" t="s">
        <v>27</v>
      </c>
    </row>
    <row r="9700" spans="1:14" x14ac:dyDescent="0.25">
      <c r="A9700" t="s">
        <v>43</v>
      </c>
      <c r="B9700" t="s">
        <v>40</v>
      </c>
      <c r="C9700" t="s">
        <v>15</v>
      </c>
      <c r="D9700" t="s">
        <v>29</v>
      </c>
      <c r="E9700" t="s">
        <v>26</v>
      </c>
      <c r="F9700" t="s">
        <v>19</v>
      </c>
      <c r="G9700" s="1" t="str">
        <f t="shared" si="2137"/>
        <v>X</v>
      </c>
      <c r="H9700" s="1" t="str">
        <f t="shared" si="2137"/>
        <v>X</v>
      </c>
      <c r="I9700" s="1" t="str">
        <f t="shared" si="2137"/>
        <v>X</v>
      </c>
      <c r="J9700" s="1" t="str">
        <f t="shared" si="2137"/>
        <v>X</v>
      </c>
      <c r="K9700" s="1" t="str">
        <f t="shared" si="2137"/>
        <v>X</v>
      </c>
      <c r="L9700" s="1" t="str">
        <f t="shared" si="2137"/>
        <v>X</v>
      </c>
      <c r="M9700" s="1" t="str">
        <f t="shared" si="2137"/>
        <v>X</v>
      </c>
      <c r="N9700" t="s">
        <v>27</v>
      </c>
    </row>
    <row r="9701" spans="1:14" x14ac:dyDescent="0.25">
      <c r="A9701" t="s">
        <v>43</v>
      </c>
      <c r="B9701" t="s">
        <v>40</v>
      </c>
      <c r="C9701" t="s">
        <v>15</v>
      </c>
      <c r="D9701" t="s">
        <v>29</v>
      </c>
      <c r="E9701" t="s">
        <v>26</v>
      </c>
      <c r="F9701" t="s">
        <v>20</v>
      </c>
      <c r="G9701" s="1" t="str">
        <f t="shared" si="2137"/>
        <v>X</v>
      </c>
      <c r="H9701" s="1" t="str">
        <f t="shared" si="2137"/>
        <v>X</v>
      </c>
      <c r="I9701" s="1" t="str">
        <f t="shared" si="2137"/>
        <v>X</v>
      </c>
      <c r="J9701" s="1" t="str">
        <f t="shared" si="2137"/>
        <v>X</v>
      </c>
      <c r="K9701" s="1" t="str">
        <f t="shared" si="2137"/>
        <v>X</v>
      </c>
      <c r="L9701" s="1" t="str">
        <f t="shared" si="2137"/>
        <v>X</v>
      </c>
      <c r="M9701" s="1" t="str">
        <f t="shared" si="2137"/>
        <v>X</v>
      </c>
      <c r="N9701" t="s">
        <v>27</v>
      </c>
    </row>
    <row r="9702" spans="1:14" x14ac:dyDescent="0.25">
      <c r="A9702" t="s">
        <v>43</v>
      </c>
      <c r="B9702" t="s">
        <v>40</v>
      </c>
      <c r="C9702" t="s">
        <v>15</v>
      </c>
      <c r="D9702" t="s">
        <v>31</v>
      </c>
      <c r="E9702" t="s">
        <v>15</v>
      </c>
      <c r="F9702" t="s">
        <v>15</v>
      </c>
      <c r="G9702" s="2">
        <f>VALUE(4054.66)</f>
        <v>4054.66</v>
      </c>
      <c r="H9702" s="3">
        <f>VALUE(2796.48)</f>
        <v>2796.48</v>
      </c>
      <c r="I9702" s="1">
        <f>VALUE(3315)</f>
        <v>3315</v>
      </c>
      <c r="J9702" s="1">
        <f>VALUE(3619)</f>
        <v>3619</v>
      </c>
      <c r="K9702" s="1">
        <f>VALUE(4371)</f>
        <v>4371</v>
      </c>
      <c r="L9702" s="1">
        <f>VALUE(5701)</f>
        <v>5701</v>
      </c>
      <c r="M9702" s="1">
        <f>VALUE(6933)</f>
        <v>6933</v>
      </c>
      <c r="N9702" t="s">
        <v>25</v>
      </c>
    </row>
    <row r="9703" spans="1:14" x14ac:dyDescent="0.25">
      <c r="A9703" t="s">
        <v>43</v>
      </c>
      <c r="B9703" t="s">
        <v>40</v>
      </c>
      <c r="C9703" t="s">
        <v>15</v>
      </c>
      <c r="D9703" t="s">
        <v>31</v>
      </c>
      <c r="E9703" t="s">
        <v>15</v>
      </c>
      <c r="F9703" t="s">
        <v>17</v>
      </c>
      <c r="G9703" s="2">
        <f>VALUE(237.9)</f>
        <v>237.9</v>
      </c>
      <c r="H9703" s="3">
        <f>VALUE(236.52)</f>
        <v>236.52</v>
      </c>
      <c r="I9703" s="4">
        <f>VALUE(3714)</f>
        <v>3714</v>
      </c>
      <c r="J9703" s="5">
        <f>VALUE(5554)</f>
        <v>5554</v>
      </c>
      <c r="K9703" s="6">
        <f>VALUE(6266)</f>
        <v>6266</v>
      </c>
      <c r="L9703" s="7">
        <f>VALUE(7607)</f>
        <v>7607</v>
      </c>
      <c r="M9703" s="8">
        <f>VALUE(15041)</f>
        <v>15041</v>
      </c>
      <c r="N9703" t="s">
        <v>24</v>
      </c>
    </row>
    <row r="9704" spans="1:14" x14ac:dyDescent="0.25">
      <c r="A9704" t="s">
        <v>43</v>
      </c>
      <c r="B9704" t="s">
        <v>40</v>
      </c>
      <c r="C9704" t="s">
        <v>15</v>
      </c>
      <c r="D9704" t="s">
        <v>31</v>
      </c>
      <c r="E9704" t="s">
        <v>15</v>
      </c>
      <c r="F9704" t="s">
        <v>18</v>
      </c>
      <c r="G9704" s="2">
        <f>VALUE(232.84)</f>
        <v>232.84</v>
      </c>
      <c r="H9704" s="3">
        <f>VALUE(224.93)</f>
        <v>224.93</v>
      </c>
      <c r="I9704" s="4">
        <f>VALUE(4033)</f>
        <v>4033</v>
      </c>
      <c r="J9704" s="1">
        <f>VALUE(5417)</f>
        <v>5417</v>
      </c>
      <c r="K9704" s="1">
        <f>VALUE(6409)</f>
        <v>6409</v>
      </c>
      <c r="L9704" s="1">
        <f>VALUE(7569)</f>
        <v>7569</v>
      </c>
      <c r="M9704" s="1">
        <f>VALUE(8981)</f>
        <v>8981</v>
      </c>
      <c r="N9704" t="s">
        <v>25</v>
      </c>
    </row>
    <row r="9705" spans="1:14" x14ac:dyDescent="0.25">
      <c r="A9705" t="s">
        <v>43</v>
      </c>
      <c r="B9705" t="s">
        <v>40</v>
      </c>
      <c r="C9705" t="s">
        <v>15</v>
      </c>
      <c r="D9705" t="s">
        <v>31</v>
      </c>
      <c r="E9705" t="s">
        <v>15</v>
      </c>
      <c r="F9705" t="s">
        <v>19</v>
      </c>
      <c r="G9705" s="2">
        <f>VALUE(254.84)</f>
        <v>254.84</v>
      </c>
      <c r="H9705" s="3">
        <f>VALUE(229.84)</f>
        <v>229.84</v>
      </c>
      <c r="I9705" s="4">
        <f>VALUE(4048)</f>
        <v>4048</v>
      </c>
      <c r="J9705" s="1">
        <f>VALUE(4710)</f>
        <v>4710</v>
      </c>
      <c r="K9705" s="1">
        <f>VALUE(5303)</f>
        <v>5303</v>
      </c>
      <c r="L9705" s="1">
        <f>VALUE(6500)</f>
        <v>6500</v>
      </c>
      <c r="M9705" s="1">
        <f>VALUE(7538)</f>
        <v>7538</v>
      </c>
      <c r="N9705" t="s">
        <v>25</v>
      </c>
    </row>
    <row r="9706" spans="1:14" x14ac:dyDescent="0.25">
      <c r="A9706" t="s">
        <v>43</v>
      </c>
      <c r="B9706" t="s">
        <v>40</v>
      </c>
      <c r="C9706" t="s">
        <v>15</v>
      </c>
      <c r="D9706" t="s">
        <v>31</v>
      </c>
      <c r="E9706" t="s">
        <v>15</v>
      </c>
      <c r="F9706" t="s">
        <v>20</v>
      </c>
      <c r="G9706" s="2">
        <f>VALUE(3329.08)</f>
        <v>3329.08</v>
      </c>
      <c r="H9706" s="3">
        <f>VALUE(2105.19)</f>
        <v>2105.19</v>
      </c>
      <c r="I9706" s="1">
        <f>VALUE(3263)</f>
        <v>3263</v>
      </c>
      <c r="J9706" s="1">
        <f>VALUE(3518)</f>
        <v>3518</v>
      </c>
      <c r="K9706" s="1">
        <f>VALUE(4003)</f>
        <v>4003</v>
      </c>
      <c r="L9706" s="1">
        <f>VALUE(5008)</f>
        <v>5008</v>
      </c>
      <c r="M9706" s="1">
        <f>VALUE(6022)</f>
        <v>6022</v>
      </c>
      <c r="N9706" t="s">
        <v>25</v>
      </c>
    </row>
    <row r="9707" spans="1:14" x14ac:dyDescent="0.25">
      <c r="A9707" t="s">
        <v>43</v>
      </c>
      <c r="B9707" t="s">
        <v>40</v>
      </c>
      <c r="C9707" t="s">
        <v>15</v>
      </c>
      <c r="D9707" t="s">
        <v>31</v>
      </c>
      <c r="E9707" t="s">
        <v>21</v>
      </c>
      <c r="F9707" t="s">
        <v>15</v>
      </c>
      <c r="G9707" s="2">
        <f>VALUE(932.56)</f>
        <v>932.56</v>
      </c>
      <c r="H9707" s="3">
        <f>VALUE(825.77)</f>
        <v>825.77</v>
      </c>
      <c r="I9707" s="1">
        <f>VALUE(4167)</f>
        <v>4167</v>
      </c>
      <c r="J9707" s="1">
        <f>VALUE(4930)</f>
        <v>4930</v>
      </c>
      <c r="K9707" s="1">
        <f>VALUE(5746)</f>
        <v>5746</v>
      </c>
      <c r="L9707" s="1">
        <f>VALUE(6924)</f>
        <v>6924</v>
      </c>
      <c r="M9707" s="8">
        <f>VALUE(9006)</f>
        <v>9006</v>
      </c>
      <c r="N9707" t="s">
        <v>25</v>
      </c>
    </row>
    <row r="9708" spans="1:14" x14ac:dyDescent="0.25">
      <c r="A9708" t="s">
        <v>43</v>
      </c>
      <c r="B9708" t="s">
        <v>40</v>
      </c>
      <c r="C9708" t="s">
        <v>15</v>
      </c>
      <c r="D9708" t="s">
        <v>31</v>
      </c>
      <c r="E9708" t="s">
        <v>21</v>
      </c>
      <c r="F9708" t="s">
        <v>17</v>
      </c>
      <c r="G9708" s="1" t="str">
        <f t="shared" ref="G9708:M9710" si="2138">"X"</f>
        <v>X</v>
      </c>
      <c r="H9708" s="1" t="str">
        <f t="shared" si="2138"/>
        <v>X</v>
      </c>
      <c r="I9708" s="1" t="str">
        <f t="shared" si="2138"/>
        <v>X</v>
      </c>
      <c r="J9708" s="1" t="str">
        <f t="shared" si="2138"/>
        <v>X</v>
      </c>
      <c r="K9708" s="1" t="str">
        <f t="shared" si="2138"/>
        <v>X</v>
      </c>
      <c r="L9708" s="1" t="str">
        <f t="shared" si="2138"/>
        <v>X</v>
      </c>
      <c r="M9708" s="1" t="str">
        <f t="shared" si="2138"/>
        <v>X</v>
      </c>
      <c r="N9708" t="s">
        <v>27</v>
      </c>
    </row>
    <row r="9709" spans="1:14" x14ac:dyDescent="0.25">
      <c r="A9709" t="s">
        <v>43</v>
      </c>
      <c r="B9709" t="s">
        <v>40</v>
      </c>
      <c r="C9709" t="s">
        <v>15</v>
      </c>
      <c r="D9709" t="s">
        <v>31</v>
      </c>
      <c r="E9709" t="s">
        <v>21</v>
      </c>
      <c r="F9709" t="s">
        <v>18</v>
      </c>
      <c r="G9709" s="1" t="str">
        <f t="shared" si="2138"/>
        <v>X</v>
      </c>
      <c r="H9709" s="1" t="str">
        <f t="shared" si="2138"/>
        <v>X</v>
      </c>
      <c r="I9709" s="1" t="str">
        <f t="shared" si="2138"/>
        <v>X</v>
      </c>
      <c r="J9709" s="1" t="str">
        <f t="shared" si="2138"/>
        <v>X</v>
      </c>
      <c r="K9709" s="1" t="str">
        <f t="shared" si="2138"/>
        <v>X</v>
      </c>
      <c r="L9709" s="1" t="str">
        <f t="shared" si="2138"/>
        <v>X</v>
      </c>
      <c r="M9709" s="1" t="str">
        <f t="shared" si="2138"/>
        <v>X</v>
      </c>
      <c r="N9709" t="s">
        <v>27</v>
      </c>
    </row>
    <row r="9710" spans="1:14" x14ac:dyDescent="0.25">
      <c r="A9710" t="s">
        <v>43</v>
      </c>
      <c r="B9710" t="s">
        <v>40</v>
      </c>
      <c r="C9710" t="s">
        <v>15</v>
      </c>
      <c r="D9710" t="s">
        <v>31</v>
      </c>
      <c r="E9710" t="s">
        <v>21</v>
      </c>
      <c r="F9710" t="s">
        <v>19</v>
      </c>
      <c r="G9710" s="1" t="str">
        <f t="shared" si="2138"/>
        <v>X</v>
      </c>
      <c r="H9710" s="1" t="str">
        <f t="shared" si="2138"/>
        <v>X</v>
      </c>
      <c r="I9710" s="1" t="str">
        <f t="shared" si="2138"/>
        <v>X</v>
      </c>
      <c r="J9710" s="1" t="str">
        <f t="shared" si="2138"/>
        <v>X</v>
      </c>
      <c r="K9710" s="1" t="str">
        <f t="shared" si="2138"/>
        <v>X</v>
      </c>
      <c r="L9710" s="1" t="str">
        <f t="shared" si="2138"/>
        <v>X</v>
      </c>
      <c r="M9710" s="1" t="str">
        <f t="shared" si="2138"/>
        <v>X</v>
      </c>
      <c r="N9710" t="s">
        <v>27</v>
      </c>
    </row>
    <row r="9711" spans="1:14" x14ac:dyDescent="0.25">
      <c r="A9711" t="s">
        <v>43</v>
      </c>
      <c r="B9711" t="s">
        <v>40</v>
      </c>
      <c r="C9711" t="s">
        <v>15</v>
      </c>
      <c r="D9711" t="s">
        <v>31</v>
      </c>
      <c r="E9711" t="s">
        <v>21</v>
      </c>
      <c r="F9711" t="s">
        <v>20</v>
      </c>
      <c r="G9711" s="2">
        <f>VALUE(568.97)</f>
        <v>568.97</v>
      </c>
      <c r="H9711" s="3">
        <f>VALUE(488.11)</f>
        <v>488.11</v>
      </c>
      <c r="I9711" s="1">
        <f>VALUE(3720)</f>
        <v>3720</v>
      </c>
      <c r="J9711" s="1">
        <f>VALUE(4518)</f>
        <v>4518</v>
      </c>
      <c r="K9711" s="1">
        <f>VALUE(5263)</f>
        <v>5263</v>
      </c>
      <c r="L9711" s="1">
        <f>VALUE(6158)</f>
        <v>6158</v>
      </c>
      <c r="M9711" s="1">
        <f>VALUE(7467)</f>
        <v>7467</v>
      </c>
      <c r="N9711" t="s">
        <v>25</v>
      </c>
    </row>
    <row r="9712" spans="1:14" x14ac:dyDescent="0.25">
      <c r="A9712" t="s">
        <v>43</v>
      </c>
      <c r="B9712" t="s">
        <v>40</v>
      </c>
      <c r="C9712" t="s">
        <v>15</v>
      </c>
      <c r="D9712" t="s">
        <v>31</v>
      </c>
      <c r="E9712" t="s">
        <v>22</v>
      </c>
      <c r="F9712" t="s">
        <v>15</v>
      </c>
      <c r="G9712" s="2">
        <f>VALUE(1093.9)</f>
        <v>1093.9000000000001</v>
      </c>
      <c r="H9712" s="3">
        <f>VALUE(989.29)</f>
        <v>989.29</v>
      </c>
      <c r="I9712" s="4">
        <f>VALUE(3467)</f>
        <v>3467</v>
      </c>
      <c r="J9712" s="1">
        <f>VALUE(3710)</f>
        <v>3710</v>
      </c>
      <c r="K9712" s="6">
        <f>VALUE(4392)</f>
        <v>4392</v>
      </c>
      <c r="L9712" s="7">
        <f>VALUE(5537)</f>
        <v>5537</v>
      </c>
      <c r="M9712" s="1">
        <f>VALUE(6266)</f>
        <v>6266</v>
      </c>
      <c r="N9712" t="s">
        <v>25</v>
      </c>
    </row>
    <row r="9713" spans="1:14" x14ac:dyDescent="0.25">
      <c r="A9713" t="s">
        <v>43</v>
      </c>
      <c r="B9713" t="s">
        <v>40</v>
      </c>
      <c r="C9713" t="s">
        <v>15</v>
      </c>
      <c r="D9713" t="s">
        <v>31</v>
      </c>
      <c r="E9713" t="s">
        <v>22</v>
      </c>
      <c r="F9713" t="s">
        <v>17</v>
      </c>
      <c r="G9713" s="1" t="str">
        <f t="shared" ref="G9713:M9715" si="2139">"X"</f>
        <v>X</v>
      </c>
      <c r="H9713" s="1" t="str">
        <f t="shared" si="2139"/>
        <v>X</v>
      </c>
      <c r="I9713" s="1" t="str">
        <f t="shared" si="2139"/>
        <v>X</v>
      </c>
      <c r="J9713" s="1" t="str">
        <f t="shared" si="2139"/>
        <v>X</v>
      </c>
      <c r="K9713" s="1" t="str">
        <f t="shared" si="2139"/>
        <v>X</v>
      </c>
      <c r="L9713" s="1" t="str">
        <f t="shared" si="2139"/>
        <v>X</v>
      </c>
      <c r="M9713" s="1" t="str">
        <f t="shared" si="2139"/>
        <v>X</v>
      </c>
      <c r="N9713" t="s">
        <v>27</v>
      </c>
    </row>
    <row r="9714" spans="1:14" x14ac:dyDescent="0.25">
      <c r="A9714" t="s">
        <v>43</v>
      </c>
      <c r="B9714" t="s">
        <v>40</v>
      </c>
      <c r="C9714" t="s">
        <v>15</v>
      </c>
      <c r="D9714" t="s">
        <v>31</v>
      </c>
      <c r="E9714" t="s">
        <v>22</v>
      </c>
      <c r="F9714" t="s">
        <v>18</v>
      </c>
      <c r="G9714" s="1" t="str">
        <f t="shared" si="2139"/>
        <v>X</v>
      </c>
      <c r="H9714" s="1" t="str">
        <f t="shared" si="2139"/>
        <v>X</v>
      </c>
      <c r="I9714" s="1" t="str">
        <f t="shared" si="2139"/>
        <v>X</v>
      </c>
      <c r="J9714" s="1" t="str">
        <f t="shared" si="2139"/>
        <v>X</v>
      </c>
      <c r="K9714" s="1" t="str">
        <f t="shared" si="2139"/>
        <v>X</v>
      </c>
      <c r="L9714" s="1" t="str">
        <f t="shared" si="2139"/>
        <v>X</v>
      </c>
      <c r="M9714" s="1" t="str">
        <f t="shared" si="2139"/>
        <v>X</v>
      </c>
      <c r="N9714" t="s">
        <v>27</v>
      </c>
    </row>
    <row r="9715" spans="1:14" x14ac:dyDescent="0.25">
      <c r="A9715" t="s">
        <v>43</v>
      </c>
      <c r="B9715" t="s">
        <v>40</v>
      </c>
      <c r="C9715" t="s">
        <v>15</v>
      </c>
      <c r="D9715" t="s">
        <v>31</v>
      </c>
      <c r="E9715" t="s">
        <v>22</v>
      </c>
      <c r="F9715" t="s">
        <v>19</v>
      </c>
      <c r="G9715" s="1" t="str">
        <f t="shared" si="2139"/>
        <v>X</v>
      </c>
      <c r="H9715" s="1" t="str">
        <f t="shared" si="2139"/>
        <v>X</v>
      </c>
      <c r="I9715" s="1" t="str">
        <f t="shared" si="2139"/>
        <v>X</v>
      </c>
      <c r="J9715" s="1" t="str">
        <f t="shared" si="2139"/>
        <v>X</v>
      </c>
      <c r="K9715" s="1" t="str">
        <f t="shared" si="2139"/>
        <v>X</v>
      </c>
      <c r="L9715" s="1" t="str">
        <f t="shared" si="2139"/>
        <v>X</v>
      </c>
      <c r="M9715" s="1" t="str">
        <f t="shared" si="2139"/>
        <v>X</v>
      </c>
      <c r="N9715" t="s">
        <v>27</v>
      </c>
    </row>
    <row r="9716" spans="1:14" x14ac:dyDescent="0.25">
      <c r="A9716" t="s">
        <v>43</v>
      </c>
      <c r="B9716" t="s">
        <v>40</v>
      </c>
      <c r="C9716" t="s">
        <v>15</v>
      </c>
      <c r="D9716" t="s">
        <v>31</v>
      </c>
      <c r="E9716" t="s">
        <v>22</v>
      </c>
      <c r="F9716" t="s">
        <v>20</v>
      </c>
      <c r="G9716" s="2">
        <f>VALUE(830.97)</f>
        <v>830.97</v>
      </c>
      <c r="H9716" s="3">
        <f>VALUE(731.23)</f>
        <v>731.23</v>
      </c>
      <c r="I9716" s="4">
        <f>VALUE(3467)</f>
        <v>3467</v>
      </c>
      <c r="J9716" s="1">
        <f>VALUE(3619)</f>
        <v>3619</v>
      </c>
      <c r="K9716" s="1">
        <f>VALUE(4179)</f>
        <v>4179</v>
      </c>
      <c r="L9716" s="1">
        <f>VALUE(4986)</f>
        <v>4986</v>
      </c>
      <c r="M9716" s="1">
        <f>VALUE(5936)</f>
        <v>5936</v>
      </c>
      <c r="N9716" t="s">
        <v>25</v>
      </c>
    </row>
    <row r="9717" spans="1:14" x14ac:dyDescent="0.25">
      <c r="A9717" t="s">
        <v>43</v>
      </c>
      <c r="B9717" t="s">
        <v>40</v>
      </c>
      <c r="C9717" t="s">
        <v>15</v>
      </c>
      <c r="D9717" t="s">
        <v>31</v>
      </c>
      <c r="E9717" t="s">
        <v>23</v>
      </c>
      <c r="F9717" t="s">
        <v>15</v>
      </c>
      <c r="G9717" s="2">
        <f>VALUE(1949.51)</f>
        <v>1949.51</v>
      </c>
      <c r="H9717" s="3">
        <f>VALUE(932.57)</f>
        <v>932.57</v>
      </c>
      <c r="I9717" s="4">
        <f>VALUE(3087)</f>
        <v>3087</v>
      </c>
      <c r="J9717" s="1">
        <f>VALUE(3355)</f>
        <v>3355</v>
      </c>
      <c r="K9717" s="1">
        <f>VALUE(3676)</f>
        <v>3676</v>
      </c>
      <c r="L9717" s="1">
        <f>VALUE(4036)</f>
        <v>4036</v>
      </c>
      <c r="M9717" s="8">
        <f>VALUE(4712)</f>
        <v>4712</v>
      </c>
      <c r="N9717" t="s">
        <v>25</v>
      </c>
    </row>
    <row r="9718" spans="1:14" x14ac:dyDescent="0.25">
      <c r="A9718" t="s">
        <v>43</v>
      </c>
      <c r="B9718" t="s">
        <v>40</v>
      </c>
      <c r="C9718" t="s">
        <v>15</v>
      </c>
      <c r="D9718" t="s">
        <v>31</v>
      </c>
      <c r="E9718" t="s">
        <v>23</v>
      </c>
      <c r="F9718" t="s">
        <v>17</v>
      </c>
      <c r="G9718" s="1" t="str">
        <f t="shared" ref="G9718:M9720" si="2140">"X"</f>
        <v>X</v>
      </c>
      <c r="H9718" s="1" t="str">
        <f t="shared" si="2140"/>
        <v>X</v>
      </c>
      <c r="I9718" s="1" t="str">
        <f t="shared" si="2140"/>
        <v>X</v>
      </c>
      <c r="J9718" s="1" t="str">
        <f t="shared" si="2140"/>
        <v>X</v>
      </c>
      <c r="K9718" s="1" t="str">
        <f t="shared" si="2140"/>
        <v>X</v>
      </c>
      <c r="L9718" s="1" t="str">
        <f t="shared" si="2140"/>
        <v>X</v>
      </c>
      <c r="M9718" s="1" t="str">
        <f t="shared" si="2140"/>
        <v>X</v>
      </c>
      <c r="N9718" t="s">
        <v>27</v>
      </c>
    </row>
    <row r="9719" spans="1:14" x14ac:dyDescent="0.25">
      <c r="A9719" t="s">
        <v>43</v>
      </c>
      <c r="B9719" t="s">
        <v>40</v>
      </c>
      <c r="C9719" t="s">
        <v>15</v>
      </c>
      <c r="D9719" t="s">
        <v>31</v>
      </c>
      <c r="E9719" t="s">
        <v>23</v>
      </c>
      <c r="F9719" t="s">
        <v>18</v>
      </c>
      <c r="G9719" s="1" t="str">
        <f t="shared" si="2140"/>
        <v>X</v>
      </c>
      <c r="H9719" s="1" t="str">
        <f t="shared" si="2140"/>
        <v>X</v>
      </c>
      <c r="I9719" s="1" t="str">
        <f t="shared" si="2140"/>
        <v>X</v>
      </c>
      <c r="J9719" s="1" t="str">
        <f t="shared" si="2140"/>
        <v>X</v>
      </c>
      <c r="K9719" s="1" t="str">
        <f t="shared" si="2140"/>
        <v>X</v>
      </c>
      <c r="L9719" s="1" t="str">
        <f t="shared" si="2140"/>
        <v>X</v>
      </c>
      <c r="M9719" s="1" t="str">
        <f t="shared" si="2140"/>
        <v>X</v>
      </c>
      <c r="N9719" t="s">
        <v>27</v>
      </c>
    </row>
    <row r="9720" spans="1:14" x14ac:dyDescent="0.25">
      <c r="A9720" t="s">
        <v>43</v>
      </c>
      <c r="B9720" t="s">
        <v>40</v>
      </c>
      <c r="C9720" t="s">
        <v>15</v>
      </c>
      <c r="D9720" t="s">
        <v>31</v>
      </c>
      <c r="E9720" t="s">
        <v>23</v>
      </c>
      <c r="F9720" t="s">
        <v>19</v>
      </c>
      <c r="G9720" s="1" t="str">
        <f t="shared" si="2140"/>
        <v>X</v>
      </c>
      <c r="H9720" s="1" t="str">
        <f t="shared" si="2140"/>
        <v>X</v>
      </c>
      <c r="I9720" s="1" t="str">
        <f t="shared" si="2140"/>
        <v>X</v>
      </c>
      <c r="J9720" s="1" t="str">
        <f t="shared" si="2140"/>
        <v>X</v>
      </c>
      <c r="K9720" s="1" t="str">
        <f t="shared" si="2140"/>
        <v>X</v>
      </c>
      <c r="L9720" s="1" t="str">
        <f t="shared" si="2140"/>
        <v>X</v>
      </c>
      <c r="M9720" s="1" t="str">
        <f t="shared" si="2140"/>
        <v>X</v>
      </c>
      <c r="N9720" t="s">
        <v>27</v>
      </c>
    </row>
    <row r="9721" spans="1:14" x14ac:dyDescent="0.25">
      <c r="A9721" t="s">
        <v>43</v>
      </c>
      <c r="B9721" t="s">
        <v>40</v>
      </c>
      <c r="C9721" t="s">
        <v>15</v>
      </c>
      <c r="D9721" t="s">
        <v>31</v>
      </c>
      <c r="E9721" t="s">
        <v>23</v>
      </c>
      <c r="F9721" t="s">
        <v>20</v>
      </c>
      <c r="G9721" s="2">
        <f>VALUE(1867.9)</f>
        <v>1867.9</v>
      </c>
      <c r="H9721" s="3">
        <f>VALUE(854.84)</f>
        <v>854.84</v>
      </c>
      <c r="I9721" s="1">
        <f>VALUE(2999)</f>
        <v>2999</v>
      </c>
      <c r="J9721" s="1">
        <f>VALUE(3307)</f>
        <v>3307</v>
      </c>
      <c r="K9721" s="1">
        <f>VALUE(3614)</f>
        <v>3614</v>
      </c>
      <c r="L9721" s="1">
        <f>VALUE(3937)</f>
        <v>3937</v>
      </c>
      <c r="M9721" s="8">
        <f>VALUE(4590)</f>
        <v>4590</v>
      </c>
      <c r="N9721" t="s">
        <v>25</v>
      </c>
    </row>
    <row r="9722" spans="1:14" x14ac:dyDescent="0.25">
      <c r="A9722" t="s">
        <v>43</v>
      </c>
      <c r="B9722" t="s">
        <v>40</v>
      </c>
      <c r="C9722" t="s">
        <v>15</v>
      </c>
      <c r="D9722" t="s">
        <v>31</v>
      </c>
      <c r="E9722" t="s">
        <v>26</v>
      </c>
      <c r="F9722" t="s">
        <v>15</v>
      </c>
      <c r="G9722" s="1" t="str">
        <f t="shared" ref="G9722:M9726" si="2141">"X"</f>
        <v>X</v>
      </c>
      <c r="H9722" s="1" t="str">
        <f t="shared" si="2141"/>
        <v>X</v>
      </c>
      <c r="I9722" s="1" t="str">
        <f t="shared" si="2141"/>
        <v>X</v>
      </c>
      <c r="J9722" s="1" t="str">
        <f t="shared" si="2141"/>
        <v>X</v>
      </c>
      <c r="K9722" s="1" t="str">
        <f t="shared" si="2141"/>
        <v>X</v>
      </c>
      <c r="L9722" s="1" t="str">
        <f t="shared" si="2141"/>
        <v>X</v>
      </c>
      <c r="M9722" s="1" t="str">
        <f t="shared" si="2141"/>
        <v>X</v>
      </c>
      <c r="N9722" t="s">
        <v>27</v>
      </c>
    </row>
    <row r="9723" spans="1:14" x14ac:dyDescent="0.25">
      <c r="A9723" t="s">
        <v>43</v>
      </c>
      <c r="B9723" t="s">
        <v>40</v>
      </c>
      <c r="C9723" t="s">
        <v>15</v>
      </c>
      <c r="D9723" t="s">
        <v>31</v>
      </c>
      <c r="E9723" t="s">
        <v>26</v>
      </c>
      <c r="F9723" t="s">
        <v>17</v>
      </c>
      <c r="G9723" s="1" t="str">
        <f t="shared" si="2141"/>
        <v>X</v>
      </c>
      <c r="H9723" s="1" t="str">
        <f t="shared" si="2141"/>
        <v>X</v>
      </c>
      <c r="I9723" s="1" t="str">
        <f t="shared" si="2141"/>
        <v>X</v>
      </c>
      <c r="J9723" s="1" t="str">
        <f t="shared" si="2141"/>
        <v>X</v>
      </c>
      <c r="K9723" s="1" t="str">
        <f t="shared" si="2141"/>
        <v>X</v>
      </c>
      <c r="L9723" s="1" t="str">
        <f t="shared" si="2141"/>
        <v>X</v>
      </c>
      <c r="M9723" s="1" t="str">
        <f t="shared" si="2141"/>
        <v>X</v>
      </c>
      <c r="N9723" t="s">
        <v>27</v>
      </c>
    </row>
    <row r="9724" spans="1:14" x14ac:dyDescent="0.25">
      <c r="A9724" t="s">
        <v>43</v>
      </c>
      <c r="B9724" t="s">
        <v>40</v>
      </c>
      <c r="C9724" t="s">
        <v>15</v>
      </c>
      <c r="D9724" t="s">
        <v>31</v>
      </c>
      <c r="E9724" t="s">
        <v>26</v>
      </c>
      <c r="F9724" t="s">
        <v>18</v>
      </c>
      <c r="G9724" s="1" t="str">
        <f t="shared" si="2141"/>
        <v>X</v>
      </c>
      <c r="H9724" s="1" t="str">
        <f t="shared" si="2141"/>
        <v>X</v>
      </c>
      <c r="I9724" s="1" t="str">
        <f t="shared" si="2141"/>
        <v>X</v>
      </c>
      <c r="J9724" s="1" t="str">
        <f t="shared" si="2141"/>
        <v>X</v>
      </c>
      <c r="K9724" s="1" t="str">
        <f t="shared" si="2141"/>
        <v>X</v>
      </c>
      <c r="L9724" s="1" t="str">
        <f t="shared" si="2141"/>
        <v>X</v>
      </c>
      <c r="M9724" s="1" t="str">
        <f t="shared" si="2141"/>
        <v>X</v>
      </c>
      <c r="N9724" t="s">
        <v>27</v>
      </c>
    </row>
    <row r="9725" spans="1:14" x14ac:dyDescent="0.25">
      <c r="A9725" t="s">
        <v>43</v>
      </c>
      <c r="B9725" t="s">
        <v>40</v>
      </c>
      <c r="C9725" t="s">
        <v>15</v>
      </c>
      <c r="D9725" t="s">
        <v>31</v>
      </c>
      <c r="E9725" t="s">
        <v>26</v>
      </c>
      <c r="F9725" t="s">
        <v>19</v>
      </c>
      <c r="G9725" s="1" t="str">
        <f t="shared" si="2141"/>
        <v>X</v>
      </c>
      <c r="H9725" s="1" t="str">
        <f t="shared" si="2141"/>
        <v>X</v>
      </c>
      <c r="I9725" s="1" t="str">
        <f t="shared" si="2141"/>
        <v>X</v>
      </c>
      <c r="J9725" s="1" t="str">
        <f t="shared" si="2141"/>
        <v>X</v>
      </c>
      <c r="K9725" s="1" t="str">
        <f t="shared" si="2141"/>
        <v>X</v>
      </c>
      <c r="L9725" s="1" t="str">
        <f t="shared" si="2141"/>
        <v>X</v>
      </c>
      <c r="M9725" s="1" t="str">
        <f t="shared" si="2141"/>
        <v>X</v>
      </c>
      <c r="N9725" t="s">
        <v>27</v>
      </c>
    </row>
    <row r="9726" spans="1:14" x14ac:dyDescent="0.25">
      <c r="A9726" t="s">
        <v>43</v>
      </c>
      <c r="B9726" t="s">
        <v>40</v>
      </c>
      <c r="C9726" t="s">
        <v>15</v>
      </c>
      <c r="D9726" t="s">
        <v>31</v>
      </c>
      <c r="E9726" t="s">
        <v>26</v>
      </c>
      <c r="F9726" t="s">
        <v>20</v>
      </c>
      <c r="G9726" s="1" t="str">
        <f t="shared" si="2141"/>
        <v>X</v>
      </c>
      <c r="H9726" s="1" t="str">
        <f t="shared" si="2141"/>
        <v>X</v>
      </c>
      <c r="I9726" s="1" t="str">
        <f t="shared" si="2141"/>
        <v>X</v>
      </c>
      <c r="J9726" s="1" t="str">
        <f t="shared" si="2141"/>
        <v>X</v>
      </c>
      <c r="K9726" s="1" t="str">
        <f t="shared" si="2141"/>
        <v>X</v>
      </c>
      <c r="L9726" s="1" t="str">
        <f t="shared" si="2141"/>
        <v>X</v>
      </c>
      <c r="M9726" s="1" t="str">
        <f t="shared" si="2141"/>
        <v>X</v>
      </c>
      <c r="N9726" t="s">
        <v>27</v>
      </c>
    </row>
    <row r="9727" spans="1:14" x14ac:dyDescent="0.25">
      <c r="A9727" t="s">
        <v>43</v>
      </c>
      <c r="B9727" t="s">
        <v>40</v>
      </c>
      <c r="C9727" t="s">
        <v>15</v>
      </c>
      <c r="D9727" t="s">
        <v>32</v>
      </c>
      <c r="E9727" t="s">
        <v>15</v>
      </c>
      <c r="F9727" t="s">
        <v>15</v>
      </c>
      <c r="G9727" s="1">
        <f>VALUE(17799.74)</f>
        <v>17799.740000000002</v>
      </c>
      <c r="H9727" s="1">
        <f>VALUE(14545.74)</f>
        <v>14545.74</v>
      </c>
      <c r="I9727" s="1">
        <f>VALUE(2925)</f>
        <v>2925</v>
      </c>
      <c r="J9727" s="1">
        <f>VALUE(3249)</f>
        <v>3249</v>
      </c>
      <c r="K9727" s="1">
        <f>VALUE(3746)</f>
        <v>3746</v>
      </c>
      <c r="L9727" s="1">
        <f>VALUE(4821)</f>
        <v>4821</v>
      </c>
      <c r="M9727" s="1">
        <f>VALUE(6182)</f>
        <v>6182</v>
      </c>
      <c r="N9727" t="s">
        <v>16</v>
      </c>
    </row>
    <row r="9728" spans="1:14" x14ac:dyDescent="0.25">
      <c r="A9728" t="s">
        <v>43</v>
      </c>
      <c r="B9728" t="s">
        <v>40</v>
      </c>
      <c r="C9728" t="s">
        <v>15</v>
      </c>
      <c r="D9728" t="s">
        <v>32</v>
      </c>
      <c r="E9728" t="s">
        <v>15</v>
      </c>
      <c r="F9728" t="s">
        <v>17</v>
      </c>
      <c r="G9728" s="2">
        <f>VALUE(617.65)</f>
        <v>617.65</v>
      </c>
      <c r="H9728" s="3">
        <f>VALUE(538.77)</f>
        <v>538.77</v>
      </c>
      <c r="I9728" s="4">
        <f>VALUE(4074)</f>
        <v>4074</v>
      </c>
      <c r="J9728" s="5">
        <f>VALUE(5308)</f>
        <v>5308</v>
      </c>
      <c r="K9728" s="1">
        <f>VALUE(6649)</f>
        <v>6649</v>
      </c>
      <c r="L9728" s="7">
        <f>VALUE(8735)</f>
        <v>8735</v>
      </c>
      <c r="M9728" s="8">
        <f>VALUE(10667)</f>
        <v>10667</v>
      </c>
      <c r="N9728" t="s">
        <v>25</v>
      </c>
    </row>
    <row r="9729" spans="1:14" x14ac:dyDescent="0.25">
      <c r="A9729" t="s">
        <v>43</v>
      </c>
      <c r="B9729" t="s">
        <v>40</v>
      </c>
      <c r="C9729" t="s">
        <v>15</v>
      </c>
      <c r="D9729" t="s">
        <v>32</v>
      </c>
      <c r="E9729" t="s">
        <v>15</v>
      </c>
      <c r="F9729" t="s">
        <v>18</v>
      </c>
      <c r="G9729" s="2">
        <f>VALUE(1215.12)</f>
        <v>1215.1199999999999</v>
      </c>
      <c r="H9729" s="3">
        <f>VALUE(1068.51)</f>
        <v>1068.51</v>
      </c>
      <c r="I9729" s="1">
        <f>VALUE(3358)</f>
        <v>3358</v>
      </c>
      <c r="J9729" s="1">
        <f>VALUE(4127)</f>
        <v>4127</v>
      </c>
      <c r="K9729" s="1">
        <f>VALUE(4893)</f>
        <v>4893</v>
      </c>
      <c r="L9729" s="1">
        <f>VALUE(6402)</f>
        <v>6402</v>
      </c>
      <c r="M9729" s="1">
        <f>VALUE(8009)</f>
        <v>8009</v>
      </c>
      <c r="N9729" t="s">
        <v>25</v>
      </c>
    </row>
    <row r="9730" spans="1:14" x14ac:dyDescent="0.25">
      <c r="A9730" t="s">
        <v>43</v>
      </c>
      <c r="B9730" t="s">
        <v>40</v>
      </c>
      <c r="C9730" t="s">
        <v>15</v>
      </c>
      <c r="D9730" t="s">
        <v>32</v>
      </c>
      <c r="E9730" t="s">
        <v>15</v>
      </c>
      <c r="F9730" t="s">
        <v>19</v>
      </c>
      <c r="G9730" s="2">
        <f>VALUE(1554.4)</f>
        <v>1554.4</v>
      </c>
      <c r="H9730" s="3">
        <f>VALUE(1339.8)</f>
        <v>1339.8</v>
      </c>
      <c r="I9730" s="1">
        <f>VALUE(3200)</f>
        <v>3200</v>
      </c>
      <c r="J9730" s="5">
        <f>VALUE(3678)</f>
        <v>3678</v>
      </c>
      <c r="K9730" s="1">
        <f>VALUE(4590)</f>
        <v>4590</v>
      </c>
      <c r="L9730" s="1">
        <f>VALUE(5577)</f>
        <v>5577</v>
      </c>
      <c r="M9730" s="1">
        <f>VALUE(6951)</f>
        <v>6951</v>
      </c>
      <c r="N9730" t="s">
        <v>25</v>
      </c>
    </row>
    <row r="9731" spans="1:14" x14ac:dyDescent="0.25">
      <c r="A9731" t="s">
        <v>43</v>
      </c>
      <c r="B9731" t="s">
        <v>40</v>
      </c>
      <c r="C9731" t="s">
        <v>15</v>
      </c>
      <c r="D9731" t="s">
        <v>32</v>
      </c>
      <c r="E9731" t="s">
        <v>15</v>
      </c>
      <c r="F9731" t="s">
        <v>20</v>
      </c>
      <c r="G9731" s="1">
        <f>VALUE(14412.57)</f>
        <v>14412.57</v>
      </c>
      <c r="H9731" s="1">
        <f>VALUE(11598.66)</f>
        <v>11598.66</v>
      </c>
      <c r="I9731" s="1">
        <f>VALUE(2828)</f>
        <v>2828</v>
      </c>
      <c r="J9731" s="1">
        <f>VALUE(3158)</f>
        <v>3158</v>
      </c>
      <c r="K9731" s="1">
        <f>VALUE(3586)</f>
        <v>3586</v>
      </c>
      <c r="L9731" s="1">
        <f>VALUE(4346)</f>
        <v>4346</v>
      </c>
      <c r="M9731" s="1">
        <f>VALUE(5454)</f>
        <v>5454</v>
      </c>
      <c r="N9731" t="s">
        <v>16</v>
      </c>
    </row>
    <row r="9732" spans="1:14" x14ac:dyDescent="0.25">
      <c r="A9732" t="s">
        <v>43</v>
      </c>
      <c r="B9732" t="s">
        <v>40</v>
      </c>
      <c r="C9732" t="s">
        <v>15</v>
      </c>
      <c r="D9732" t="s">
        <v>32</v>
      </c>
      <c r="E9732" t="s">
        <v>21</v>
      </c>
      <c r="F9732" t="s">
        <v>15</v>
      </c>
      <c r="G9732" s="2">
        <f>VALUE(3392.01)</f>
        <v>3392.01</v>
      </c>
      <c r="H9732" s="1">
        <f>VALUE(2916.46)</f>
        <v>2916.46</v>
      </c>
      <c r="I9732" s="1">
        <f>VALUE(3426)</f>
        <v>3426</v>
      </c>
      <c r="J9732" s="1">
        <f>VALUE(4198)</f>
        <v>4198</v>
      </c>
      <c r="K9732" s="1">
        <f>VALUE(5144)</f>
        <v>5144</v>
      </c>
      <c r="L9732" s="1">
        <f>VALUE(6333)</f>
        <v>6333</v>
      </c>
      <c r="M9732" s="1">
        <f>VALUE(8015)</f>
        <v>8015</v>
      </c>
      <c r="N9732" t="s">
        <v>25</v>
      </c>
    </row>
    <row r="9733" spans="1:14" x14ac:dyDescent="0.25">
      <c r="A9733" t="s">
        <v>43</v>
      </c>
      <c r="B9733" t="s">
        <v>40</v>
      </c>
      <c r="C9733" t="s">
        <v>15</v>
      </c>
      <c r="D9733" t="s">
        <v>32</v>
      </c>
      <c r="E9733" t="s">
        <v>21</v>
      </c>
      <c r="F9733" t="s">
        <v>17</v>
      </c>
      <c r="G9733" s="2">
        <f>VALUE(348.02)</f>
        <v>348.02</v>
      </c>
      <c r="H9733" s="3">
        <f>VALUE(300.95)</f>
        <v>300.95</v>
      </c>
      <c r="I9733" s="4">
        <f>VALUE(4803)</f>
        <v>4803</v>
      </c>
      <c r="J9733" s="5">
        <f>VALUE(6285)</f>
        <v>6285</v>
      </c>
      <c r="K9733" s="1">
        <f>VALUE(7723)</f>
        <v>7723</v>
      </c>
      <c r="L9733" s="1">
        <f>VALUE(10461)</f>
        <v>10461</v>
      </c>
      <c r="M9733" s="8">
        <f>VALUE(11775)</f>
        <v>11775</v>
      </c>
      <c r="N9733" t="s">
        <v>25</v>
      </c>
    </row>
    <row r="9734" spans="1:14" x14ac:dyDescent="0.25">
      <c r="A9734" t="s">
        <v>43</v>
      </c>
      <c r="B9734" t="s">
        <v>40</v>
      </c>
      <c r="C9734" t="s">
        <v>15</v>
      </c>
      <c r="D9734" t="s">
        <v>32</v>
      </c>
      <c r="E9734" t="s">
        <v>21</v>
      </c>
      <c r="F9734" t="s">
        <v>18</v>
      </c>
      <c r="G9734" s="2">
        <f>VALUE(479.15)</f>
        <v>479.15</v>
      </c>
      <c r="H9734" s="3">
        <f>VALUE(417.99)</f>
        <v>417.99</v>
      </c>
      <c r="I9734" s="1">
        <f>VALUE(4419)</f>
        <v>4419</v>
      </c>
      <c r="J9734" s="1">
        <f>VALUE(4901)</f>
        <v>4901</v>
      </c>
      <c r="K9734" s="1">
        <f>VALUE(6025)</f>
        <v>6025</v>
      </c>
      <c r="L9734" s="1">
        <f>VALUE(7662)</f>
        <v>7662</v>
      </c>
      <c r="M9734" s="8">
        <f>VALUE(9032)</f>
        <v>9032</v>
      </c>
      <c r="N9734" t="s">
        <v>25</v>
      </c>
    </row>
    <row r="9735" spans="1:14" x14ac:dyDescent="0.25">
      <c r="A9735" t="s">
        <v>43</v>
      </c>
      <c r="B9735" t="s">
        <v>40</v>
      </c>
      <c r="C9735" t="s">
        <v>15</v>
      </c>
      <c r="D9735" t="s">
        <v>32</v>
      </c>
      <c r="E9735" t="s">
        <v>21</v>
      </c>
      <c r="F9735" t="s">
        <v>19</v>
      </c>
      <c r="G9735" s="2">
        <f>VALUE(466.85)</f>
        <v>466.85</v>
      </c>
      <c r="H9735" s="3">
        <f>VALUE(416.81)</f>
        <v>416.81</v>
      </c>
      <c r="I9735" s="4">
        <f>VALUE(3817)</f>
        <v>3817</v>
      </c>
      <c r="J9735" s="1">
        <f>VALUE(4694)</f>
        <v>4694</v>
      </c>
      <c r="K9735" s="6">
        <f>VALUE(5293)</f>
        <v>5293</v>
      </c>
      <c r="L9735" s="7">
        <f>VALUE(6293)</f>
        <v>6293</v>
      </c>
      <c r="M9735" s="1">
        <f>VALUE(7680)</f>
        <v>7680</v>
      </c>
      <c r="N9735" t="s">
        <v>25</v>
      </c>
    </row>
    <row r="9736" spans="1:14" x14ac:dyDescent="0.25">
      <c r="A9736" t="s">
        <v>43</v>
      </c>
      <c r="B9736" t="s">
        <v>40</v>
      </c>
      <c r="C9736" t="s">
        <v>15</v>
      </c>
      <c r="D9736" t="s">
        <v>32</v>
      </c>
      <c r="E9736" t="s">
        <v>21</v>
      </c>
      <c r="F9736" t="s">
        <v>20</v>
      </c>
      <c r="G9736" s="2">
        <f>VALUE(2097.99)</f>
        <v>2097.9899999999998</v>
      </c>
      <c r="H9736" s="3">
        <f>VALUE(1780.71)</f>
        <v>1780.71</v>
      </c>
      <c r="I9736" s="1">
        <f>VALUE(3275)</f>
        <v>3275</v>
      </c>
      <c r="J9736" s="1">
        <f>VALUE(3818)</f>
        <v>3818</v>
      </c>
      <c r="K9736" s="1">
        <f>VALUE(4662)</f>
        <v>4662</v>
      </c>
      <c r="L9736" s="1">
        <f>VALUE(5527)</f>
        <v>5527</v>
      </c>
      <c r="M9736" s="1">
        <f>VALUE(6717)</f>
        <v>6717</v>
      </c>
      <c r="N9736" t="s">
        <v>25</v>
      </c>
    </row>
    <row r="9737" spans="1:14" x14ac:dyDescent="0.25">
      <c r="A9737" t="s">
        <v>43</v>
      </c>
      <c r="B9737" t="s">
        <v>40</v>
      </c>
      <c r="C9737" t="s">
        <v>15</v>
      </c>
      <c r="D9737" t="s">
        <v>32</v>
      </c>
      <c r="E9737" t="s">
        <v>22</v>
      </c>
      <c r="F9737" t="s">
        <v>15</v>
      </c>
      <c r="G9737" s="1">
        <f>VALUE(5263.48)</f>
        <v>5263.48</v>
      </c>
      <c r="H9737" s="3">
        <f>VALUE(4408.82)</f>
        <v>4408.82</v>
      </c>
      <c r="I9737" s="1">
        <f>VALUE(3120)</f>
        <v>3120</v>
      </c>
      <c r="J9737" s="1">
        <f>VALUE(3536)</f>
        <v>3536</v>
      </c>
      <c r="K9737" s="1">
        <f>VALUE(4240)</f>
        <v>4240</v>
      </c>
      <c r="L9737" s="1">
        <f>VALUE(5268)</f>
        <v>5268</v>
      </c>
      <c r="M9737" s="1">
        <f>VALUE(6500)</f>
        <v>6500</v>
      </c>
      <c r="N9737" t="s">
        <v>25</v>
      </c>
    </row>
    <row r="9738" spans="1:14" x14ac:dyDescent="0.25">
      <c r="A9738" t="s">
        <v>43</v>
      </c>
      <c r="B9738" t="s">
        <v>40</v>
      </c>
      <c r="C9738" t="s">
        <v>15</v>
      </c>
      <c r="D9738" t="s">
        <v>32</v>
      </c>
      <c r="E9738" t="s">
        <v>22</v>
      </c>
      <c r="F9738" t="s">
        <v>17</v>
      </c>
      <c r="G9738" s="1" t="str">
        <f t="shared" ref="G9738:M9738" si="2142">"X"</f>
        <v>X</v>
      </c>
      <c r="H9738" s="1" t="str">
        <f t="shared" si="2142"/>
        <v>X</v>
      </c>
      <c r="I9738" s="1" t="str">
        <f t="shared" si="2142"/>
        <v>X</v>
      </c>
      <c r="J9738" s="1" t="str">
        <f t="shared" si="2142"/>
        <v>X</v>
      </c>
      <c r="K9738" s="1" t="str">
        <f t="shared" si="2142"/>
        <v>X</v>
      </c>
      <c r="L9738" s="1" t="str">
        <f t="shared" si="2142"/>
        <v>X</v>
      </c>
      <c r="M9738" s="1" t="str">
        <f t="shared" si="2142"/>
        <v>X</v>
      </c>
      <c r="N9738" t="s">
        <v>27</v>
      </c>
    </row>
    <row r="9739" spans="1:14" x14ac:dyDescent="0.25">
      <c r="A9739" t="s">
        <v>43</v>
      </c>
      <c r="B9739" t="s">
        <v>40</v>
      </c>
      <c r="C9739" t="s">
        <v>15</v>
      </c>
      <c r="D9739" t="s">
        <v>32</v>
      </c>
      <c r="E9739" t="s">
        <v>22</v>
      </c>
      <c r="F9739" t="s">
        <v>18</v>
      </c>
      <c r="G9739" s="2">
        <f>VALUE(510.22)</f>
        <v>510.22</v>
      </c>
      <c r="H9739" s="3">
        <f>VALUE(464.76)</f>
        <v>464.76</v>
      </c>
      <c r="I9739" s="4">
        <f>VALUE(3683)</f>
        <v>3683</v>
      </c>
      <c r="J9739" s="1">
        <f>VALUE(4079)</f>
        <v>4079</v>
      </c>
      <c r="K9739" s="1">
        <f>VALUE(4680)</f>
        <v>4680</v>
      </c>
      <c r="L9739" s="7">
        <f>VALUE(5493)</f>
        <v>5493</v>
      </c>
      <c r="M9739" s="1">
        <f>VALUE(6587)</f>
        <v>6587</v>
      </c>
      <c r="N9739" t="s">
        <v>25</v>
      </c>
    </row>
    <row r="9740" spans="1:14" x14ac:dyDescent="0.25">
      <c r="A9740" t="s">
        <v>43</v>
      </c>
      <c r="B9740" t="s">
        <v>40</v>
      </c>
      <c r="C9740" t="s">
        <v>15</v>
      </c>
      <c r="D9740" t="s">
        <v>32</v>
      </c>
      <c r="E9740" t="s">
        <v>22</v>
      </c>
      <c r="F9740" t="s">
        <v>19</v>
      </c>
      <c r="G9740" s="2">
        <f>VALUE(610.71)</f>
        <v>610.71</v>
      </c>
      <c r="H9740" s="3">
        <f>VALUE(523.04)</f>
        <v>523.04</v>
      </c>
      <c r="I9740" s="1">
        <f>VALUE(3637)</f>
        <v>3637</v>
      </c>
      <c r="J9740" s="1">
        <f>VALUE(4075)</f>
        <v>4075</v>
      </c>
      <c r="K9740" s="1">
        <f>VALUE(4560)</f>
        <v>4560</v>
      </c>
      <c r="L9740" s="1">
        <f>VALUE(5592)</f>
        <v>5592</v>
      </c>
      <c r="M9740" s="1">
        <f>VALUE(6936)</f>
        <v>6936</v>
      </c>
      <c r="N9740" t="s">
        <v>25</v>
      </c>
    </row>
    <row r="9741" spans="1:14" x14ac:dyDescent="0.25">
      <c r="A9741" t="s">
        <v>43</v>
      </c>
      <c r="B9741" t="s">
        <v>40</v>
      </c>
      <c r="C9741" t="s">
        <v>15</v>
      </c>
      <c r="D9741" t="s">
        <v>32</v>
      </c>
      <c r="E9741" t="s">
        <v>22</v>
      </c>
      <c r="F9741" t="s">
        <v>20</v>
      </c>
      <c r="G9741" s="2">
        <f>VALUE(3946.62)</f>
        <v>3946.62</v>
      </c>
      <c r="H9741" s="3">
        <f>VALUE(3240.75)</f>
        <v>3240.75</v>
      </c>
      <c r="I9741" s="1">
        <f>VALUE(3059)</f>
        <v>3059</v>
      </c>
      <c r="J9741" s="1">
        <f>VALUE(3454)</f>
        <v>3454</v>
      </c>
      <c r="K9741" s="1">
        <f>VALUE(4091)</f>
        <v>4091</v>
      </c>
      <c r="L9741" s="1">
        <f>VALUE(4975)</f>
        <v>4975</v>
      </c>
      <c r="M9741" s="1">
        <f>VALUE(5958)</f>
        <v>5958</v>
      </c>
      <c r="N9741" t="s">
        <v>25</v>
      </c>
    </row>
    <row r="9742" spans="1:14" x14ac:dyDescent="0.25">
      <c r="A9742" t="s">
        <v>43</v>
      </c>
      <c r="B9742" t="s">
        <v>40</v>
      </c>
      <c r="C9742" t="s">
        <v>15</v>
      </c>
      <c r="D9742" t="s">
        <v>32</v>
      </c>
      <c r="E9742" t="s">
        <v>23</v>
      </c>
      <c r="F9742" t="s">
        <v>15</v>
      </c>
      <c r="G9742" s="1">
        <f>VALUE(8768.77)</f>
        <v>8768.77</v>
      </c>
      <c r="H9742" s="1">
        <f>VALUE(6915.87)</f>
        <v>6915.87</v>
      </c>
      <c r="I9742" s="1">
        <f>VALUE(2729)</f>
        <v>2729</v>
      </c>
      <c r="J9742" s="1">
        <f>VALUE(3005)</f>
        <v>3005</v>
      </c>
      <c r="K9742" s="1">
        <f>VALUE(3350)</f>
        <v>3350</v>
      </c>
      <c r="L9742" s="1">
        <f>VALUE(3746)</f>
        <v>3746</v>
      </c>
      <c r="M9742" s="1">
        <f>VALUE(4235)</f>
        <v>4235</v>
      </c>
      <c r="N9742" t="s">
        <v>16</v>
      </c>
    </row>
    <row r="9743" spans="1:14" x14ac:dyDescent="0.25">
      <c r="A9743" t="s">
        <v>43</v>
      </c>
      <c r="B9743" t="s">
        <v>40</v>
      </c>
      <c r="C9743" t="s">
        <v>15</v>
      </c>
      <c r="D9743" t="s">
        <v>32</v>
      </c>
      <c r="E9743" t="s">
        <v>23</v>
      </c>
      <c r="F9743" t="s">
        <v>17</v>
      </c>
      <c r="G9743" s="1" t="str">
        <f t="shared" ref="G9743:M9744" si="2143">"X"</f>
        <v>X</v>
      </c>
      <c r="H9743" s="1" t="str">
        <f t="shared" si="2143"/>
        <v>X</v>
      </c>
      <c r="I9743" s="1" t="str">
        <f t="shared" si="2143"/>
        <v>X</v>
      </c>
      <c r="J9743" s="1" t="str">
        <f t="shared" si="2143"/>
        <v>X</v>
      </c>
      <c r="K9743" s="1" t="str">
        <f t="shared" si="2143"/>
        <v>X</v>
      </c>
      <c r="L9743" s="1" t="str">
        <f t="shared" si="2143"/>
        <v>X</v>
      </c>
      <c r="M9743" s="1" t="str">
        <f t="shared" si="2143"/>
        <v>X</v>
      </c>
      <c r="N9743" t="s">
        <v>27</v>
      </c>
    </row>
    <row r="9744" spans="1:14" x14ac:dyDescent="0.25">
      <c r="A9744" t="s">
        <v>43</v>
      </c>
      <c r="B9744" t="s">
        <v>40</v>
      </c>
      <c r="C9744" t="s">
        <v>15</v>
      </c>
      <c r="D9744" t="s">
        <v>32</v>
      </c>
      <c r="E9744" t="s">
        <v>23</v>
      </c>
      <c r="F9744" t="s">
        <v>18</v>
      </c>
      <c r="G9744" s="1" t="str">
        <f t="shared" si="2143"/>
        <v>X</v>
      </c>
      <c r="H9744" s="1" t="str">
        <f t="shared" si="2143"/>
        <v>X</v>
      </c>
      <c r="I9744" s="1" t="str">
        <f t="shared" si="2143"/>
        <v>X</v>
      </c>
      <c r="J9744" s="1" t="str">
        <f t="shared" si="2143"/>
        <v>X</v>
      </c>
      <c r="K9744" s="1" t="str">
        <f t="shared" si="2143"/>
        <v>X</v>
      </c>
      <c r="L9744" s="1" t="str">
        <f t="shared" si="2143"/>
        <v>X</v>
      </c>
      <c r="M9744" s="1" t="str">
        <f t="shared" si="2143"/>
        <v>X</v>
      </c>
      <c r="N9744" t="s">
        <v>27</v>
      </c>
    </row>
    <row r="9745" spans="1:14" x14ac:dyDescent="0.25">
      <c r="A9745" t="s">
        <v>43</v>
      </c>
      <c r="B9745" t="s">
        <v>40</v>
      </c>
      <c r="C9745" t="s">
        <v>15</v>
      </c>
      <c r="D9745" t="s">
        <v>32</v>
      </c>
      <c r="E9745" t="s">
        <v>23</v>
      </c>
      <c r="F9745" t="s">
        <v>19</v>
      </c>
      <c r="G9745" s="2">
        <f>VALUE(453.26)</f>
        <v>453.26</v>
      </c>
      <c r="H9745" s="3">
        <f>VALUE(375.2)</f>
        <v>375.2</v>
      </c>
      <c r="I9745" s="1">
        <f>VALUE(3034)</f>
        <v>3034</v>
      </c>
      <c r="J9745" s="1">
        <f>VALUE(3193)</f>
        <v>3193</v>
      </c>
      <c r="K9745" s="6">
        <f>VALUE(3371)</f>
        <v>3371</v>
      </c>
      <c r="L9745" s="7">
        <f>VALUE(4388)</f>
        <v>4388</v>
      </c>
      <c r="M9745" s="8">
        <f>VALUE(5061)</f>
        <v>5061</v>
      </c>
      <c r="N9745" t="s">
        <v>25</v>
      </c>
    </row>
    <row r="9746" spans="1:14" x14ac:dyDescent="0.25">
      <c r="A9746" t="s">
        <v>43</v>
      </c>
      <c r="B9746" t="s">
        <v>40</v>
      </c>
      <c r="C9746" t="s">
        <v>15</v>
      </c>
      <c r="D9746" t="s">
        <v>32</v>
      </c>
      <c r="E9746" t="s">
        <v>23</v>
      </c>
      <c r="F9746" t="s">
        <v>20</v>
      </c>
      <c r="G9746" s="1">
        <f>VALUE(8049.88)</f>
        <v>8049.88</v>
      </c>
      <c r="H9746" s="1">
        <f>VALUE(6326.48)</f>
        <v>6326.48</v>
      </c>
      <c r="I9746" s="1">
        <f>VALUE(2715)</f>
        <v>2715</v>
      </c>
      <c r="J9746" s="1">
        <f>VALUE(2991)</f>
        <v>2991</v>
      </c>
      <c r="K9746" s="1">
        <f>VALUE(3322)</f>
        <v>3322</v>
      </c>
      <c r="L9746" s="1">
        <f>VALUE(3714)</f>
        <v>3714</v>
      </c>
      <c r="M9746" s="1">
        <f>VALUE(4160)</f>
        <v>4160</v>
      </c>
      <c r="N9746" t="s">
        <v>16</v>
      </c>
    </row>
    <row r="9747" spans="1:14" x14ac:dyDescent="0.25">
      <c r="A9747" t="s">
        <v>43</v>
      </c>
      <c r="B9747" t="s">
        <v>40</v>
      </c>
      <c r="C9747" t="s">
        <v>15</v>
      </c>
      <c r="D9747" t="s">
        <v>32</v>
      </c>
      <c r="E9747" t="s">
        <v>26</v>
      </c>
      <c r="F9747" t="s">
        <v>15</v>
      </c>
      <c r="G9747" s="2">
        <f>VALUE(375.48)</f>
        <v>375.48</v>
      </c>
      <c r="H9747" s="3">
        <f>VALUE(304.59)</f>
        <v>304.58999999999997</v>
      </c>
      <c r="I9747" s="1">
        <f>VALUE(3512)</f>
        <v>3512</v>
      </c>
      <c r="J9747" s="1">
        <f>VALUE(4258)</f>
        <v>4258</v>
      </c>
      <c r="K9747" s="1">
        <f>VALUE(5060)</f>
        <v>5060</v>
      </c>
      <c r="L9747" s="1">
        <f>VALUE(6200)</f>
        <v>6200</v>
      </c>
      <c r="M9747" s="1">
        <f>VALUE(8105)</f>
        <v>8105</v>
      </c>
      <c r="N9747" t="s">
        <v>25</v>
      </c>
    </row>
    <row r="9748" spans="1:14" x14ac:dyDescent="0.25">
      <c r="A9748" t="s">
        <v>43</v>
      </c>
      <c r="B9748" t="s">
        <v>40</v>
      </c>
      <c r="C9748" t="s">
        <v>15</v>
      </c>
      <c r="D9748" t="s">
        <v>32</v>
      </c>
      <c r="E9748" t="s">
        <v>26</v>
      </c>
      <c r="F9748" t="s">
        <v>17</v>
      </c>
      <c r="G9748" s="1" t="str">
        <f t="shared" ref="G9748:M9750" si="2144">"X"</f>
        <v>X</v>
      </c>
      <c r="H9748" s="1" t="str">
        <f t="shared" si="2144"/>
        <v>X</v>
      </c>
      <c r="I9748" s="1" t="str">
        <f t="shared" si="2144"/>
        <v>X</v>
      </c>
      <c r="J9748" s="1" t="str">
        <f t="shared" si="2144"/>
        <v>X</v>
      </c>
      <c r="K9748" s="1" t="str">
        <f t="shared" si="2144"/>
        <v>X</v>
      </c>
      <c r="L9748" s="1" t="str">
        <f t="shared" si="2144"/>
        <v>X</v>
      </c>
      <c r="M9748" s="1" t="str">
        <f t="shared" si="2144"/>
        <v>X</v>
      </c>
      <c r="N9748" t="s">
        <v>27</v>
      </c>
    </row>
    <row r="9749" spans="1:14" x14ac:dyDescent="0.25">
      <c r="A9749" t="s">
        <v>43</v>
      </c>
      <c r="B9749" t="s">
        <v>40</v>
      </c>
      <c r="C9749" t="s">
        <v>15</v>
      </c>
      <c r="D9749" t="s">
        <v>32</v>
      </c>
      <c r="E9749" t="s">
        <v>26</v>
      </c>
      <c r="F9749" t="s">
        <v>18</v>
      </c>
      <c r="G9749" s="1" t="str">
        <f t="shared" si="2144"/>
        <v>X</v>
      </c>
      <c r="H9749" s="1" t="str">
        <f t="shared" si="2144"/>
        <v>X</v>
      </c>
      <c r="I9749" s="1" t="str">
        <f t="shared" si="2144"/>
        <v>X</v>
      </c>
      <c r="J9749" s="1" t="str">
        <f t="shared" si="2144"/>
        <v>X</v>
      </c>
      <c r="K9749" s="1" t="str">
        <f t="shared" si="2144"/>
        <v>X</v>
      </c>
      <c r="L9749" s="1" t="str">
        <f t="shared" si="2144"/>
        <v>X</v>
      </c>
      <c r="M9749" s="1" t="str">
        <f t="shared" si="2144"/>
        <v>X</v>
      </c>
      <c r="N9749" t="s">
        <v>27</v>
      </c>
    </row>
    <row r="9750" spans="1:14" x14ac:dyDescent="0.25">
      <c r="A9750" t="s">
        <v>43</v>
      </c>
      <c r="B9750" t="s">
        <v>40</v>
      </c>
      <c r="C9750" t="s">
        <v>15</v>
      </c>
      <c r="D9750" t="s">
        <v>32</v>
      </c>
      <c r="E9750" t="s">
        <v>26</v>
      </c>
      <c r="F9750" t="s">
        <v>19</v>
      </c>
      <c r="G9750" s="1" t="str">
        <f t="shared" si="2144"/>
        <v>X</v>
      </c>
      <c r="H9750" s="1" t="str">
        <f t="shared" si="2144"/>
        <v>X</v>
      </c>
      <c r="I9750" s="1" t="str">
        <f t="shared" si="2144"/>
        <v>X</v>
      </c>
      <c r="J9750" s="1" t="str">
        <f t="shared" si="2144"/>
        <v>X</v>
      </c>
      <c r="K9750" s="1" t="str">
        <f t="shared" si="2144"/>
        <v>X</v>
      </c>
      <c r="L9750" s="1" t="str">
        <f t="shared" si="2144"/>
        <v>X</v>
      </c>
      <c r="M9750" s="1" t="str">
        <f t="shared" si="2144"/>
        <v>X</v>
      </c>
      <c r="N9750" t="s">
        <v>27</v>
      </c>
    </row>
    <row r="9751" spans="1:14" x14ac:dyDescent="0.25">
      <c r="A9751" t="s">
        <v>43</v>
      </c>
      <c r="B9751" t="s">
        <v>40</v>
      </c>
      <c r="C9751" t="s">
        <v>15</v>
      </c>
      <c r="D9751" t="s">
        <v>32</v>
      </c>
      <c r="E9751" t="s">
        <v>26</v>
      </c>
      <c r="F9751" t="s">
        <v>20</v>
      </c>
      <c r="G9751" s="2">
        <f>VALUE(318.08)</f>
        <v>318.08</v>
      </c>
      <c r="H9751" s="3">
        <f>VALUE(250.72)</f>
        <v>250.72</v>
      </c>
      <c r="I9751" s="1">
        <f>VALUE(3467)</f>
        <v>3467</v>
      </c>
      <c r="J9751" s="1">
        <f>VALUE(4209)</f>
        <v>4209</v>
      </c>
      <c r="K9751" s="1">
        <f>VALUE(4923)</f>
        <v>4923</v>
      </c>
      <c r="L9751" s="1">
        <f>VALUE(5519)</f>
        <v>5519</v>
      </c>
      <c r="M9751" s="1">
        <f>VALUE(6315)</f>
        <v>6315</v>
      </c>
      <c r="N9751" t="s">
        <v>25</v>
      </c>
    </row>
    <row r="9752" spans="1:14" x14ac:dyDescent="0.25">
      <c r="A9752" t="s">
        <v>43</v>
      </c>
      <c r="B9752" t="s">
        <v>40</v>
      </c>
      <c r="C9752" t="s">
        <v>15</v>
      </c>
      <c r="D9752" t="s">
        <v>33</v>
      </c>
      <c r="E9752" t="s">
        <v>15</v>
      </c>
      <c r="F9752" t="s">
        <v>15</v>
      </c>
      <c r="G9752" s="1" t="str">
        <f t="shared" ref="G9752:M9764" si="2145">"X"</f>
        <v>X</v>
      </c>
      <c r="H9752" s="1" t="str">
        <f t="shared" si="2145"/>
        <v>X</v>
      </c>
      <c r="I9752" s="1" t="str">
        <f t="shared" si="2145"/>
        <v>X</v>
      </c>
      <c r="J9752" s="1" t="str">
        <f t="shared" si="2145"/>
        <v>X</v>
      </c>
      <c r="K9752" s="1" t="str">
        <f t="shared" si="2145"/>
        <v>X</v>
      </c>
      <c r="L9752" s="1" t="str">
        <f t="shared" si="2145"/>
        <v>X</v>
      </c>
      <c r="M9752" s="1" t="str">
        <f t="shared" si="2145"/>
        <v>X</v>
      </c>
      <c r="N9752" t="s">
        <v>27</v>
      </c>
    </row>
    <row r="9753" spans="1:14" x14ac:dyDescent="0.25">
      <c r="A9753" t="s">
        <v>43</v>
      </c>
      <c r="B9753" t="s">
        <v>40</v>
      </c>
      <c r="C9753" t="s">
        <v>15</v>
      </c>
      <c r="D9753" t="s">
        <v>33</v>
      </c>
      <c r="E9753" t="s">
        <v>15</v>
      </c>
      <c r="F9753" t="s">
        <v>17</v>
      </c>
      <c r="G9753" s="1" t="str">
        <f t="shared" si="2145"/>
        <v>X</v>
      </c>
      <c r="H9753" s="1" t="str">
        <f t="shared" si="2145"/>
        <v>X</v>
      </c>
      <c r="I9753" s="1" t="str">
        <f t="shared" si="2145"/>
        <v>X</v>
      </c>
      <c r="J9753" s="1" t="str">
        <f t="shared" si="2145"/>
        <v>X</v>
      </c>
      <c r="K9753" s="1" t="str">
        <f t="shared" si="2145"/>
        <v>X</v>
      </c>
      <c r="L9753" s="1" t="str">
        <f t="shared" si="2145"/>
        <v>X</v>
      </c>
      <c r="M9753" s="1" t="str">
        <f t="shared" si="2145"/>
        <v>X</v>
      </c>
      <c r="N9753" t="s">
        <v>27</v>
      </c>
    </row>
    <row r="9754" spans="1:14" x14ac:dyDescent="0.25">
      <c r="A9754" t="s">
        <v>43</v>
      </c>
      <c r="B9754" t="s">
        <v>40</v>
      </c>
      <c r="C9754" t="s">
        <v>15</v>
      </c>
      <c r="D9754" t="s">
        <v>33</v>
      </c>
      <c r="E9754" t="s">
        <v>15</v>
      </c>
      <c r="F9754" t="s">
        <v>18</v>
      </c>
      <c r="G9754" s="1" t="str">
        <f t="shared" si="2145"/>
        <v>X</v>
      </c>
      <c r="H9754" s="1" t="str">
        <f t="shared" si="2145"/>
        <v>X</v>
      </c>
      <c r="I9754" s="1" t="str">
        <f t="shared" si="2145"/>
        <v>X</v>
      </c>
      <c r="J9754" s="1" t="str">
        <f t="shared" si="2145"/>
        <v>X</v>
      </c>
      <c r="K9754" s="1" t="str">
        <f t="shared" si="2145"/>
        <v>X</v>
      </c>
      <c r="L9754" s="1" t="str">
        <f t="shared" si="2145"/>
        <v>X</v>
      </c>
      <c r="M9754" s="1" t="str">
        <f t="shared" si="2145"/>
        <v>X</v>
      </c>
      <c r="N9754" t="s">
        <v>27</v>
      </c>
    </row>
    <row r="9755" spans="1:14" x14ac:dyDescent="0.25">
      <c r="A9755" t="s">
        <v>43</v>
      </c>
      <c r="B9755" t="s">
        <v>40</v>
      </c>
      <c r="C9755" t="s">
        <v>15</v>
      </c>
      <c r="D9755" t="s">
        <v>33</v>
      </c>
      <c r="E9755" t="s">
        <v>15</v>
      </c>
      <c r="F9755" t="s">
        <v>19</v>
      </c>
      <c r="G9755" s="1" t="str">
        <f t="shared" si="2145"/>
        <v>X</v>
      </c>
      <c r="H9755" s="1" t="str">
        <f t="shared" si="2145"/>
        <v>X</v>
      </c>
      <c r="I9755" s="1" t="str">
        <f t="shared" si="2145"/>
        <v>X</v>
      </c>
      <c r="J9755" s="1" t="str">
        <f t="shared" si="2145"/>
        <v>X</v>
      </c>
      <c r="K9755" s="1" t="str">
        <f t="shared" si="2145"/>
        <v>X</v>
      </c>
      <c r="L9755" s="1" t="str">
        <f t="shared" si="2145"/>
        <v>X</v>
      </c>
      <c r="M9755" s="1" t="str">
        <f t="shared" si="2145"/>
        <v>X</v>
      </c>
      <c r="N9755" t="s">
        <v>27</v>
      </c>
    </row>
    <row r="9756" spans="1:14" x14ac:dyDescent="0.25">
      <c r="A9756" t="s">
        <v>43</v>
      </c>
      <c r="B9756" t="s">
        <v>40</v>
      </c>
      <c r="C9756" t="s">
        <v>15</v>
      </c>
      <c r="D9756" t="s">
        <v>33</v>
      </c>
      <c r="E9756" t="s">
        <v>15</v>
      </c>
      <c r="F9756" t="s">
        <v>20</v>
      </c>
      <c r="G9756" s="1" t="str">
        <f t="shared" si="2145"/>
        <v>X</v>
      </c>
      <c r="H9756" s="1" t="str">
        <f t="shared" si="2145"/>
        <v>X</v>
      </c>
      <c r="I9756" s="1" t="str">
        <f t="shared" si="2145"/>
        <v>X</v>
      </c>
      <c r="J9756" s="1" t="str">
        <f t="shared" si="2145"/>
        <v>X</v>
      </c>
      <c r="K9756" s="1" t="str">
        <f t="shared" si="2145"/>
        <v>X</v>
      </c>
      <c r="L9756" s="1" t="str">
        <f t="shared" si="2145"/>
        <v>X</v>
      </c>
      <c r="M9756" s="1" t="str">
        <f t="shared" si="2145"/>
        <v>X</v>
      </c>
      <c r="N9756" t="s">
        <v>27</v>
      </c>
    </row>
    <row r="9757" spans="1:14" x14ac:dyDescent="0.25">
      <c r="A9757" t="s">
        <v>43</v>
      </c>
      <c r="B9757" t="s">
        <v>40</v>
      </c>
      <c r="C9757" t="s">
        <v>15</v>
      </c>
      <c r="D9757" t="s">
        <v>33</v>
      </c>
      <c r="E9757" t="s">
        <v>21</v>
      </c>
      <c r="F9757" t="s">
        <v>15</v>
      </c>
      <c r="G9757" s="1" t="str">
        <f t="shared" si="2145"/>
        <v>X</v>
      </c>
      <c r="H9757" s="1" t="str">
        <f t="shared" si="2145"/>
        <v>X</v>
      </c>
      <c r="I9757" s="1" t="str">
        <f t="shared" si="2145"/>
        <v>X</v>
      </c>
      <c r="J9757" s="1" t="str">
        <f t="shared" si="2145"/>
        <v>X</v>
      </c>
      <c r="K9757" s="1" t="str">
        <f t="shared" si="2145"/>
        <v>X</v>
      </c>
      <c r="L9757" s="1" t="str">
        <f t="shared" si="2145"/>
        <v>X</v>
      </c>
      <c r="M9757" s="1" t="str">
        <f t="shared" si="2145"/>
        <v>X</v>
      </c>
      <c r="N9757" t="s">
        <v>27</v>
      </c>
    </row>
    <row r="9758" spans="1:14" x14ac:dyDescent="0.25">
      <c r="A9758" t="s">
        <v>43</v>
      </c>
      <c r="B9758" t="s">
        <v>40</v>
      </c>
      <c r="C9758" t="s">
        <v>15</v>
      </c>
      <c r="D9758" t="s">
        <v>33</v>
      </c>
      <c r="E9758" t="s">
        <v>21</v>
      </c>
      <c r="F9758" t="s">
        <v>17</v>
      </c>
      <c r="G9758" s="1" t="str">
        <f t="shared" si="2145"/>
        <v>X</v>
      </c>
      <c r="H9758" s="1" t="str">
        <f t="shared" si="2145"/>
        <v>X</v>
      </c>
      <c r="I9758" s="1" t="str">
        <f t="shared" si="2145"/>
        <v>X</v>
      </c>
      <c r="J9758" s="1" t="str">
        <f t="shared" si="2145"/>
        <v>X</v>
      </c>
      <c r="K9758" s="1" t="str">
        <f t="shared" si="2145"/>
        <v>X</v>
      </c>
      <c r="L9758" s="1" t="str">
        <f t="shared" si="2145"/>
        <v>X</v>
      </c>
      <c r="M9758" s="1" t="str">
        <f t="shared" si="2145"/>
        <v>X</v>
      </c>
      <c r="N9758" t="s">
        <v>27</v>
      </c>
    </row>
    <row r="9759" spans="1:14" x14ac:dyDescent="0.25">
      <c r="A9759" t="s">
        <v>43</v>
      </c>
      <c r="B9759" t="s">
        <v>40</v>
      </c>
      <c r="C9759" t="s">
        <v>15</v>
      </c>
      <c r="D9759" t="s">
        <v>33</v>
      </c>
      <c r="E9759" t="s">
        <v>21</v>
      </c>
      <c r="F9759" t="s">
        <v>18</v>
      </c>
      <c r="G9759" s="1" t="str">
        <f t="shared" si="2145"/>
        <v>X</v>
      </c>
      <c r="H9759" s="1" t="str">
        <f t="shared" si="2145"/>
        <v>X</v>
      </c>
      <c r="I9759" s="1" t="str">
        <f t="shared" si="2145"/>
        <v>X</v>
      </c>
      <c r="J9759" s="1" t="str">
        <f t="shared" si="2145"/>
        <v>X</v>
      </c>
      <c r="K9759" s="1" t="str">
        <f t="shared" si="2145"/>
        <v>X</v>
      </c>
      <c r="L9759" s="1" t="str">
        <f t="shared" si="2145"/>
        <v>X</v>
      </c>
      <c r="M9759" s="1" t="str">
        <f t="shared" si="2145"/>
        <v>X</v>
      </c>
      <c r="N9759" t="s">
        <v>27</v>
      </c>
    </row>
    <row r="9760" spans="1:14" x14ac:dyDescent="0.25">
      <c r="A9760" t="s">
        <v>43</v>
      </c>
      <c r="B9760" t="s">
        <v>40</v>
      </c>
      <c r="C9760" t="s">
        <v>15</v>
      </c>
      <c r="D9760" t="s">
        <v>33</v>
      </c>
      <c r="E9760" t="s">
        <v>21</v>
      </c>
      <c r="F9760" t="s">
        <v>19</v>
      </c>
      <c r="G9760" s="1" t="str">
        <f t="shared" si="2145"/>
        <v>X</v>
      </c>
      <c r="H9760" s="1" t="str">
        <f t="shared" si="2145"/>
        <v>X</v>
      </c>
      <c r="I9760" s="1" t="str">
        <f t="shared" si="2145"/>
        <v>X</v>
      </c>
      <c r="J9760" s="1" t="str">
        <f t="shared" si="2145"/>
        <v>X</v>
      </c>
      <c r="K9760" s="1" t="str">
        <f t="shared" si="2145"/>
        <v>X</v>
      </c>
      <c r="L9760" s="1" t="str">
        <f t="shared" si="2145"/>
        <v>X</v>
      </c>
      <c r="M9760" s="1" t="str">
        <f t="shared" si="2145"/>
        <v>X</v>
      </c>
      <c r="N9760" t="s">
        <v>27</v>
      </c>
    </row>
    <row r="9761" spans="1:14" x14ac:dyDescent="0.25">
      <c r="A9761" t="s">
        <v>43</v>
      </c>
      <c r="B9761" t="s">
        <v>40</v>
      </c>
      <c r="C9761" t="s">
        <v>15</v>
      </c>
      <c r="D9761" t="s">
        <v>33</v>
      </c>
      <c r="E9761" t="s">
        <v>21</v>
      </c>
      <c r="F9761" t="s">
        <v>20</v>
      </c>
      <c r="G9761" s="1" t="str">
        <f t="shared" si="2145"/>
        <v>X</v>
      </c>
      <c r="H9761" s="1" t="str">
        <f t="shared" si="2145"/>
        <v>X</v>
      </c>
      <c r="I9761" s="1" t="str">
        <f t="shared" si="2145"/>
        <v>X</v>
      </c>
      <c r="J9761" s="1" t="str">
        <f t="shared" si="2145"/>
        <v>X</v>
      </c>
      <c r="K9761" s="1" t="str">
        <f t="shared" si="2145"/>
        <v>X</v>
      </c>
      <c r="L9761" s="1" t="str">
        <f t="shared" si="2145"/>
        <v>X</v>
      </c>
      <c r="M9761" s="1" t="str">
        <f t="shared" si="2145"/>
        <v>X</v>
      </c>
      <c r="N9761" t="s">
        <v>27</v>
      </c>
    </row>
    <row r="9762" spans="1:14" x14ac:dyDescent="0.25">
      <c r="A9762" t="s">
        <v>43</v>
      </c>
      <c r="B9762" t="s">
        <v>40</v>
      </c>
      <c r="C9762" t="s">
        <v>15</v>
      </c>
      <c r="D9762" t="s">
        <v>33</v>
      </c>
      <c r="E9762" t="s">
        <v>22</v>
      </c>
      <c r="F9762" t="s">
        <v>15</v>
      </c>
      <c r="G9762" s="1" t="str">
        <f t="shared" si="2145"/>
        <v>X</v>
      </c>
      <c r="H9762" s="1" t="str">
        <f t="shared" si="2145"/>
        <v>X</v>
      </c>
      <c r="I9762" s="1" t="str">
        <f t="shared" si="2145"/>
        <v>X</v>
      </c>
      <c r="J9762" s="1" t="str">
        <f t="shared" si="2145"/>
        <v>X</v>
      </c>
      <c r="K9762" s="1" t="str">
        <f t="shared" si="2145"/>
        <v>X</v>
      </c>
      <c r="L9762" s="1" t="str">
        <f t="shared" si="2145"/>
        <v>X</v>
      </c>
      <c r="M9762" s="1" t="str">
        <f t="shared" si="2145"/>
        <v>X</v>
      </c>
      <c r="N9762" t="s">
        <v>27</v>
      </c>
    </row>
    <row r="9763" spans="1:14" x14ac:dyDescent="0.25">
      <c r="A9763" t="s">
        <v>43</v>
      </c>
      <c r="B9763" t="s">
        <v>40</v>
      </c>
      <c r="C9763" t="s">
        <v>15</v>
      </c>
      <c r="D9763" t="s">
        <v>33</v>
      </c>
      <c r="E9763" t="s">
        <v>22</v>
      </c>
      <c r="F9763" t="s">
        <v>17</v>
      </c>
      <c r="G9763" s="1" t="str">
        <f t="shared" si="2145"/>
        <v>X</v>
      </c>
      <c r="H9763" s="1" t="str">
        <f t="shared" si="2145"/>
        <v>X</v>
      </c>
      <c r="I9763" s="1" t="str">
        <f t="shared" si="2145"/>
        <v>X</v>
      </c>
      <c r="J9763" s="1" t="str">
        <f t="shared" si="2145"/>
        <v>X</v>
      </c>
      <c r="K9763" s="1" t="str">
        <f t="shared" si="2145"/>
        <v>X</v>
      </c>
      <c r="L9763" s="1" t="str">
        <f t="shared" si="2145"/>
        <v>X</v>
      </c>
      <c r="M9763" s="1" t="str">
        <f t="shared" si="2145"/>
        <v>X</v>
      </c>
      <c r="N9763" t="s">
        <v>27</v>
      </c>
    </row>
    <row r="9764" spans="1:14" x14ac:dyDescent="0.25">
      <c r="A9764" t="s">
        <v>43</v>
      </c>
      <c r="B9764" t="s">
        <v>40</v>
      </c>
      <c r="C9764" t="s">
        <v>15</v>
      </c>
      <c r="D9764" t="s">
        <v>33</v>
      </c>
      <c r="E9764" t="s">
        <v>22</v>
      </c>
      <c r="F9764" t="s">
        <v>18</v>
      </c>
      <c r="G9764" s="1" t="str">
        <f t="shared" si="2145"/>
        <v>X</v>
      </c>
      <c r="H9764" s="1" t="str">
        <f t="shared" si="2145"/>
        <v>X</v>
      </c>
      <c r="I9764" s="1" t="str">
        <f t="shared" si="2145"/>
        <v>X</v>
      </c>
      <c r="J9764" s="1" t="str">
        <f t="shared" si="2145"/>
        <v>X</v>
      </c>
      <c r="K9764" s="1" t="str">
        <f t="shared" si="2145"/>
        <v>X</v>
      </c>
      <c r="L9764" s="1" t="str">
        <f t="shared" si="2145"/>
        <v>X</v>
      </c>
      <c r="M9764" s="1" t="str">
        <f t="shared" si="2145"/>
        <v>X</v>
      </c>
      <c r="N9764" t="s">
        <v>27</v>
      </c>
    </row>
    <row r="9765" spans="1:14" x14ac:dyDescent="0.25">
      <c r="A9765" t="s">
        <v>43</v>
      </c>
      <c r="B9765" t="s">
        <v>40</v>
      </c>
      <c r="C9765" t="s">
        <v>15</v>
      </c>
      <c r="D9765" t="s">
        <v>33</v>
      </c>
      <c r="E9765" t="s">
        <v>22</v>
      </c>
      <c r="F9765" t="s">
        <v>19</v>
      </c>
      <c r="G9765" s="1" t="str">
        <f t="shared" ref="G9765:M9765" si="2146">"..."</f>
        <v>...</v>
      </c>
      <c r="H9765" s="1" t="str">
        <f t="shared" si="2146"/>
        <v>...</v>
      </c>
      <c r="I9765" s="1" t="str">
        <f t="shared" si="2146"/>
        <v>...</v>
      </c>
      <c r="J9765" s="1" t="str">
        <f t="shared" si="2146"/>
        <v>...</v>
      </c>
      <c r="K9765" s="1" t="str">
        <f t="shared" si="2146"/>
        <v>...</v>
      </c>
      <c r="L9765" s="1" t="str">
        <f t="shared" si="2146"/>
        <v>...</v>
      </c>
      <c r="M9765" s="1" t="str">
        <f t="shared" si="2146"/>
        <v>...</v>
      </c>
      <c r="N9765" t="s">
        <v>30</v>
      </c>
    </row>
    <row r="9766" spans="1:14" x14ac:dyDescent="0.25">
      <c r="A9766" t="s">
        <v>43</v>
      </c>
      <c r="B9766" t="s">
        <v>40</v>
      </c>
      <c r="C9766" t="s">
        <v>15</v>
      </c>
      <c r="D9766" t="s">
        <v>33</v>
      </c>
      <c r="E9766" t="s">
        <v>22</v>
      </c>
      <c r="F9766" t="s">
        <v>20</v>
      </c>
      <c r="G9766" s="1" t="str">
        <f t="shared" ref="G9766:M9767" si="2147">"X"</f>
        <v>X</v>
      </c>
      <c r="H9766" s="1" t="str">
        <f t="shared" si="2147"/>
        <v>X</v>
      </c>
      <c r="I9766" s="1" t="str">
        <f t="shared" si="2147"/>
        <v>X</v>
      </c>
      <c r="J9766" s="1" t="str">
        <f t="shared" si="2147"/>
        <v>X</v>
      </c>
      <c r="K9766" s="1" t="str">
        <f t="shared" si="2147"/>
        <v>X</v>
      </c>
      <c r="L9766" s="1" t="str">
        <f t="shared" si="2147"/>
        <v>X</v>
      </c>
      <c r="M9766" s="1" t="str">
        <f t="shared" si="2147"/>
        <v>X</v>
      </c>
      <c r="N9766" t="s">
        <v>27</v>
      </c>
    </row>
    <row r="9767" spans="1:14" x14ac:dyDescent="0.25">
      <c r="A9767" t="s">
        <v>43</v>
      </c>
      <c r="B9767" t="s">
        <v>40</v>
      </c>
      <c r="C9767" t="s">
        <v>15</v>
      </c>
      <c r="D9767" t="s">
        <v>33</v>
      </c>
      <c r="E9767" t="s">
        <v>23</v>
      </c>
      <c r="F9767" t="s">
        <v>15</v>
      </c>
      <c r="G9767" s="1" t="str">
        <f t="shared" si="2147"/>
        <v>X</v>
      </c>
      <c r="H9767" s="1" t="str">
        <f t="shared" si="2147"/>
        <v>X</v>
      </c>
      <c r="I9767" s="1" t="str">
        <f t="shared" si="2147"/>
        <v>X</v>
      </c>
      <c r="J9767" s="1" t="str">
        <f t="shared" si="2147"/>
        <v>X</v>
      </c>
      <c r="K9767" s="1" t="str">
        <f t="shared" si="2147"/>
        <v>X</v>
      </c>
      <c r="L9767" s="1" t="str">
        <f t="shared" si="2147"/>
        <v>X</v>
      </c>
      <c r="M9767" s="1" t="str">
        <f t="shared" si="2147"/>
        <v>X</v>
      </c>
      <c r="N9767" t="s">
        <v>27</v>
      </c>
    </row>
    <row r="9768" spans="1:14" x14ac:dyDescent="0.25">
      <c r="A9768" t="s">
        <v>43</v>
      </c>
      <c r="B9768" t="s">
        <v>40</v>
      </c>
      <c r="C9768" t="s">
        <v>15</v>
      </c>
      <c r="D9768" t="s">
        <v>33</v>
      </c>
      <c r="E9768" t="s">
        <v>23</v>
      </c>
      <c r="F9768" t="s">
        <v>17</v>
      </c>
      <c r="G9768" s="1" t="str">
        <f t="shared" ref="G9768:M9770" si="2148">"..."</f>
        <v>...</v>
      </c>
      <c r="H9768" s="1" t="str">
        <f t="shared" si="2148"/>
        <v>...</v>
      </c>
      <c r="I9768" s="1" t="str">
        <f t="shared" si="2148"/>
        <v>...</v>
      </c>
      <c r="J9768" s="1" t="str">
        <f t="shared" si="2148"/>
        <v>...</v>
      </c>
      <c r="K9768" s="1" t="str">
        <f t="shared" si="2148"/>
        <v>...</v>
      </c>
      <c r="L9768" s="1" t="str">
        <f t="shared" si="2148"/>
        <v>...</v>
      </c>
      <c r="M9768" s="1" t="str">
        <f t="shared" si="2148"/>
        <v>...</v>
      </c>
      <c r="N9768" t="s">
        <v>30</v>
      </c>
    </row>
    <row r="9769" spans="1:14" x14ac:dyDescent="0.25">
      <c r="A9769" t="s">
        <v>43</v>
      </c>
      <c r="B9769" t="s">
        <v>40</v>
      </c>
      <c r="C9769" t="s">
        <v>15</v>
      </c>
      <c r="D9769" t="s">
        <v>33</v>
      </c>
      <c r="E9769" t="s">
        <v>23</v>
      </c>
      <c r="F9769" t="s">
        <v>18</v>
      </c>
      <c r="G9769" s="1" t="str">
        <f t="shared" si="2148"/>
        <v>...</v>
      </c>
      <c r="H9769" s="1" t="str">
        <f t="shared" si="2148"/>
        <v>...</v>
      </c>
      <c r="I9769" s="1" t="str">
        <f t="shared" si="2148"/>
        <v>...</v>
      </c>
      <c r="J9769" s="1" t="str">
        <f t="shared" si="2148"/>
        <v>...</v>
      </c>
      <c r="K9769" s="1" t="str">
        <f t="shared" si="2148"/>
        <v>...</v>
      </c>
      <c r="L9769" s="1" t="str">
        <f t="shared" si="2148"/>
        <v>...</v>
      </c>
      <c r="M9769" s="1" t="str">
        <f t="shared" si="2148"/>
        <v>...</v>
      </c>
      <c r="N9769" t="s">
        <v>30</v>
      </c>
    </row>
    <row r="9770" spans="1:14" x14ac:dyDescent="0.25">
      <c r="A9770" t="s">
        <v>43</v>
      </c>
      <c r="B9770" t="s">
        <v>40</v>
      </c>
      <c r="C9770" t="s">
        <v>15</v>
      </c>
      <c r="D9770" t="s">
        <v>33</v>
      </c>
      <c r="E9770" t="s">
        <v>23</v>
      </c>
      <c r="F9770" t="s">
        <v>19</v>
      </c>
      <c r="G9770" s="1" t="str">
        <f t="shared" si="2148"/>
        <v>...</v>
      </c>
      <c r="H9770" s="1" t="str">
        <f t="shared" si="2148"/>
        <v>...</v>
      </c>
      <c r="I9770" s="1" t="str">
        <f t="shared" si="2148"/>
        <v>...</v>
      </c>
      <c r="J9770" s="1" t="str">
        <f t="shared" si="2148"/>
        <v>...</v>
      </c>
      <c r="K9770" s="1" t="str">
        <f t="shared" si="2148"/>
        <v>...</v>
      </c>
      <c r="L9770" s="1" t="str">
        <f t="shared" si="2148"/>
        <v>...</v>
      </c>
      <c r="M9770" s="1" t="str">
        <f t="shared" si="2148"/>
        <v>...</v>
      </c>
      <c r="N9770" t="s">
        <v>30</v>
      </c>
    </row>
    <row r="9771" spans="1:14" x14ac:dyDescent="0.25">
      <c r="A9771" t="s">
        <v>43</v>
      </c>
      <c r="B9771" t="s">
        <v>40</v>
      </c>
      <c r="C9771" t="s">
        <v>15</v>
      </c>
      <c r="D9771" t="s">
        <v>33</v>
      </c>
      <c r="E9771" t="s">
        <v>23</v>
      </c>
      <c r="F9771" t="s">
        <v>20</v>
      </c>
      <c r="G9771" s="1" t="str">
        <f t="shared" ref="G9771:M9772" si="2149">"X"</f>
        <v>X</v>
      </c>
      <c r="H9771" s="1" t="str">
        <f t="shared" si="2149"/>
        <v>X</v>
      </c>
      <c r="I9771" s="1" t="str">
        <f t="shared" si="2149"/>
        <v>X</v>
      </c>
      <c r="J9771" s="1" t="str">
        <f t="shared" si="2149"/>
        <v>X</v>
      </c>
      <c r="K9771" s="1" t="str">
        <f t="shared" si="2149"/>
        <v>X</v>
      </c>
      <c r="L9771" s="1" t="str">
        <f t="shared" si="2149"/>
        <v>X</v>
      </c>
      <c r="M9771" s="1" t="str">
        <f t="shared" si="2149"/>
        <v>X</v>
      </c>
      <c r="N9771" t="s">
        <v>27</v>
      </c>
    </row>
    <row r="9772" spans="1:14" x14ac:dyDescent="0.25">
      <c r="A9772" t="s">
        <v>43</v>
      </c>
      <c r="B9772" t="s">
        <v>40</v>
      </c>
      <c r="C9772" t="s">
        <v>15</v>
      </c>
      <c r="D9772" t="s">
        <v>33</v>
      </c>
      <c r="E9772" t="s">
        <v>26</v>
      </c>
      <c r="F9772" t="s">
        <v>15</v>
      </c>
      <c r="G9772" s="1" t="str">
        <f t="shared" si="2149"/>
        <v>X</v>
      </c>
      <c r="H9772" s="1" t="str">
        <f t="shared" si="2149"/>
        <v>X</v>
      </c>
      <c r="I9772" s="1" t="str">
        <f t="shared" si="2149"/>
        <v>X</v>
      </c>
      <c r="J9772" s="1" t="str">
        <f t="shared" si="2149"/>
        <v>X</v>
      </c>
      <c r="K9772" s="1" t="str">
        <f t="shared" si="2149"/>
        <v>X</v>
      </c>
      <c r="L9772" s="1" t="str">
        <f t="shared" si="2149"/>
        <v>X</v>
      </c>
      <c r="M9772" s="1" t="str">
        <f t="shared" si="2149"/>
        <v>X</v>
      </c>
      <c r="N9772" t="s">
        <v>27</v>
      </c>
    </row>
    <row r="9773" spans="1:14" x14ac:dyDescent="0.25">
      <c r="A9773" t="s">
        <v>43</v>
      </c>
      <c r="B9773" t="s">
        <v>40</v>
      </c>
      <c r="C9773" t="s">
        <v>15</v>
      </c>
      <c r="D9773" t="s">
        <v>33</v>
      </c>
      <c r="E9773" t="s">
        <v>26</v>
      </c>
      <c r="F9773" t="s">
        <v>17</v>
      </c>
      <c r="G9773" s="1" t="str">
        <f t="shared" ref="G9773:M9775" si="2150">"..."</f>
        <v>...</v>
      </c>
      <c r="H9773" s="1" t="str">
        <f t="shared" si="2150"/>
        <v>...</v>
      </c>
      <c r="I9773" s="1" t="str">
        <f t="shared" si="2150"/>
        <v>...</v>
      </c>
      <c r="J9773" s="1" t="str">
        <f t="shared" si="2150"/>
        <v>...</v>
      </c>
      <c r="K9773" s="1" t="str">
        <f t="shared" si="2150"/>
        <v>...</v>
      </c>
      <c r="L9773" s="1" t="str">
        <f t="shared" si="2150"/>
        <v>...</v>
      </c>
      <c r="M9773" s="1" t="str">
        <f t="shared" si="2150"/>
        <v>...</v>
      </c>
      <c r="N9773" t="s">
        <v>30</v>
      </c>
    </row>
    <row r="9774" spans="1:14" x14ac:dyDescent="0.25">
      <c r="A9774" t="s">
        <v>43</v>
      </c>
      <c r="B9774" t="s">
        <v>40</v>
      </c>
      <c r="C9774" t="s">
        <v>15</v>
      </c>
      <c r="D9774" t="s">
        <v>33</v>
      </c>
      <c r="E9774" t="s">
        <v>26</v>
      </c>
      <c r="F9774" t="s">
        <v>18</v>
      </c>
      <c r="G9774" s="1" t="str">
        <f t="shared" si="2150"/>
        <v>...</v>
      </c>
      <c r="H9774" s="1" t="str">
        <f t="shared" si="2150"/>
        <v>...</v>
      </c>
      <c r="I9774" s="1" t="str">
        <f t="shared" si="2150"/>
        <v>...</v>
      </c>
      <c r="J9774" s="1" t="str">
        <f t="shared" si="2150"/>
        <v>...</v>
      </c>
      <c r="K9774" s="1" t="str">
        <f t="shared" si="2150"/>
        <v>...</v>
      </c>
      <c r="L9774" s="1" t="str">
        <f t="shared" si="2150"/>
        <v>...</v>
      </c>
      <c r="M9774" s="1" t="str">
        <f t="shared" si="2150"/>
        <v>...</v>
      </c>
      <c r="N9774" t="s">
        <v>30</v>
      </c>
    </row>
    <row r="9775" spans="1:14" x14ac:dyDescent="0.25">
      <c r="A9775" t="s">
        <v>43</v>
      </c>
      <c r="B9775" t="s">
        <v>40</v>
      </c>
      <c r="C9775" t="s">
        <v>15</v>
      </c>
      <c r="D9775" t="s">
        <v>33</v>
      </c>
      <c r="E9775" t="s">
        <v>26</v>
      </c>
      <c r="F9775" t="s">
        <v>19</v>
      </c>
      <c r="G9775" s="1" t="str">
        <f t="shared" si="2150"/>
        <v>...</v>
      </c>
      <c r="H9775" s="1" t="str">
        <f t="shared" si="2150"/>
        <v>...</v>
      </c>
      <c r="I9775" s="1" t="str">
        <f t="shared" si="2150"/>
        <v>...</v>
      </c>
      <c r="J9775" s="1" t="str">
        <f t="shared" si="2150"/>
        <v>...</v>
      </c>
      <c r="K9775" s="1" t="str">
        <f t="shared" si="2150"/>
        <v>...</v>
      </c>
      <c r="L9775" s="1" t="str">
        <f t="shared" si="2150"/>
        <v>...</v>
      </c>
      <c r="M9775" s="1" t="str">
        <f t="shared" si="2150"/>
        <v>...</v>
      </c>
      <c r="N9775" t="s">
        <v>30</v>
      </c>
    </row>
    <row r="9776" spans="1:14" x14ac:dyDescent="0.25">
      <c r="A9776" t="s">
        <v>43</v>
      </c>
      <c r="B9776" t="s">
        <v>40</v>
      </c>
      <c r="C9776" t="s">
        <v>15</v>
      </c>
      <c r="D9776" t="s">
        <v>33</v>
      </c>
      <c r="E9776" t="s">
        <v>26</v>
      </c>
      <c r="F9776" t="s">
        <v>20</v>
      </c>
      <c r="G9776" s="1" t="str">
        <f t="shared" ref="G9776:M9776" si="2151">"X"</f>
        <v>X</v>
      </c>
      <c r="H9776" s="1" t="str">
        <f t="shared" si="2151"/>
        <v>X</v>
      </c>
      <c r="I9776" s="1" t="str">
        <f t="shared" si="2151"/>
        <v>X</v>
      </c>
      <c r="J9776" s="1" t="str">
        <f t="shared" si="2151"/>
        <v>X</v>
      </c>
      <c r="K9776" s="1" t="str">
        <f t="shared" si="2151"/>
        <v>X</v>
      </c>
      <c r="L9776" s="1" t="str">
        <f t="shared" si="2151"/>
        <v>X</v>
      </c>
      <c r="M9776" s="1" t="str">
        <f t="shared" si="2151"/>
        <v>X</v>
      </c>
      <c r="N9776" t="s">
        <v>27</v>
      </c>
    </row>
    <row r="9777" spans="1:14" x14ac:dyDescent="0.25">
      <c r="A9777" t="s">
        <v>43</v>
      </c>
      <c r="B9777" t="s">
        <v>40</v>
      </c>
      <c r="C9777" t="s">
        <v>15</v>
      </c>
      <c r="D9777" t="s">
        <v>34</v>
      </c>
      <c r="E9777" t="s">
        <v>15</v>
      </c>
      <c r="F9777" t="s">
        <v>15</v>
      </c>
      <c r="G9777" s="2">
        <f>VALUE(300.58)</f>
        <v>300.58</v>
      </c>
      <c r="H9777" s="3">
        <f>VALUE(196.35)</f>
        <v>196.35</v>
      </c>
      <c r="I9777" s="4">
        <f>VALUE(2507)</f>
        <v>2507</v>
      </c>
      <c r="J9777" s="1">
        <f>VALUE(3156)</f>
        <v>3156</v>
      </c>
      <c r="K9777" s="1">
        <f>VALUE(3848)</f>
        <v>3848</v>
      </c>
      <c r="L9777" s="1">
        <f>VALUE(4957)</f>
        <v>4957</v>
      </c>
      <c r="M9777" s="8">
        <f>VALUE(7741)</f>
        <v>7741</v>
      </c>
      <c r="N9777" t="s">
        <v>25</v>
      </c>
    </row>
    <row r="9778" spans="1:14" x14ac:dyDescent="0.25">
      <c r="A9778" t="s">
        <v>43</v>
      </c>
      <c r="B9778" t="s">
        <v>40</v>
      </c>
      <c r="C9778" t="s">
        <v>15</v>
      </c>
      <c r="D9778" t="s">
        <v>34</v>
      </c>
      <c r="E9778" t="s">
        <v>15</v>
      </c>
      <c r="F9778" t="s">
        <v>17</v>
      </c>
      <c r="G9778" s="1" t="str">
        <f t="shared" ref="G9778:M9780" si="2152">"X"</f>
        <v>X</v>
      </c>
      <c r="H9778" s="1" t="str">
        <f t="shared" si="2152"/>
        <v>X</v>
      </c>
      <c r="I9778" s="1" t="str">
        <f t="shared" si="2152"/>
        <v>X</v>
      </c>
      <c r="J9778" s="1" t="str">
        <f t="shared" si="2152"/>
        <v>X</v>
      </c>
      <c r="K9778" s="1" t="str">
        <f t="shared" si="2152"/>
        <v>X</v>
      </c>
      <c r="L9778" s="1" t="str">
        <f t="shared" si="2152"/>
        <v>X</v>
      </c>
      <c r="M9778" s="1" t="str">
        <f t="shared" si="2152"/>
        <v>X</v>
      </c>
      <c r="N9778" t="s">
        <v>27</v>
      </c>
    </row>
    <row r="9779" spans="1:14" x14ac:dyDescent="0.25">
      <c r="A9779" t="s">
        <v>43</v>
      </c>
      <c r="B9779" t="s">
        <v>40</v>
      </c>
      <c r="C9779" t="s">
        <v>15</v>
      </c>
      <c r="D9779" t="s">
        <v>34</v>
      </c>
      <c r="E9779" t="s">
        <v>15</v>
      </c>
      <c r="F9779" t="s">
        <v>18</v>
      </c>
      <c r="G9779" s="1" t="str">
        <f t="shared" si="2152"/>
        <v>X</v>
      </c>
      <c r="H9779" s="1" t="str">
        <f t="shared" si="2152"/>
        <v>X</v>
      </c>
      <c r="I9779" s="1" t="str">
        <f t="shared" si="2152"/>
        <v>X</v>
      </c>
      <c r="J9779" s="1" t="str">
        <f t="shared" si="2152"/>
        <v>X</v>
      </c>
      <c r="K9779" s="1" t="str">
        <f t="shared" si="2152"/>
        <v>X</v>
      </c>
      <c r="L9779" s="1" t="str">
        <f t="shared" si="2152"/>
        <v>X</v>
      </c>
      <c r="M9779" s="1" t="str">
        <f t="shared" si="2152"/>
        <v>X</v>
      </c>
      <c r="N9779" t="s">
        <v>27</v>
      </c>
    </row>
    <row r="9780" spans="1:14" x14ac:dyDescent="0.25">
      <c r="A9780" t="s">
        <v>43</v>
      </c>
      <c r="B9780" t="s">
        <v>40</v>
      </c>
      <c r="C9780" t="s">
        <v>15</v>
      </c>
      <c r="D9780" t="s">
        <v>34</v>
      </c>
      <c r="E9780" t="s">
        <v>15</v>
      </c>
      <c r="F9780" t="s">
        <v>19</v>
      </c>
      <c r="G9780" s="1" t="str">
        <f t="shared" si="2152"/>
        <v>X</v>
      </c>
      <c r="H9780" s="1" t="str">
        <f t="shared" si="2152"/>
        <v>X</v>
      </c>
      <c r="I9780" s="1" t="str">
        <f t="shared" si="2152"/>
        <v>X</v>
      </c>
      <c r="J9780" s="1" t="str">
        <f t="shared" si="2152"/>
        <v>X</v>
      </c>
      <c r="K9780" s="1" t="str">
        <f t="shared" si="2152"/>
        <v>X</v>
      </c>
      <c r="L9780" s="1" t="str">
        <f t="shared" si="2152"/>
        <v>X</v>
      </c>
      <c r="M9780" s="1" t="str">
        <f t="shared" si="2152"/>
        <v>X</v>
      </c>
      <c r="N9780" t="s">
        <v>27</v>
      </c>
    </row>
    <row r="9781" spans="1:14" x14ac:dyDescent="0.25">
      <c r="A9781" t="s">
        <v>43</v>
      </c>
      <c r="B9781" t="s">
        <v>40</v>
      </c>
      <c r="C9781" t="s">
        <v>15</v>
      </c>
      <c r="D9781" t="s">
        <v>34</v>
      </c>
      <c r="E9781" t="s">
        <v>15</v>
      </c>
      <c r="F9781" t="s">
        <v>20</v>
      </c>
      <c r="G9781" s="2">
        <f>VALUE(250.99)</f>
        <v>250.99</v>
      </c>
      <c r="H9781" s="3">
        <f>VALUE(168.06)</f>
        <v>168.06</v>
      </c>
      <c r="I9781" s="1">
        <f>VALUE(2507)</f>
        <v>2507</v>
      </c>
      <c r="J9781" s="5">
        <f>VALUE(3120)</f>
        <v>3120</v>
      </c>
      <c r="K9781" s="6">
        <f>VALUE(3515)</f>
        <v>3515</v>
      </c>
      <c r="L9781" s="7">
        <f>VALUE(4333)</f>
        <v>4333</v>
      </c>
      <c r="M9781" s="1">
        <f>VALUE(5027)</f>
        <v>5027</v>
      </c>
      <c r="N9781" t="s">
        <v>25</v>
      </c>
    </row>
    <row r="9782" spans="1:14" x14ac:dyDescent="0.25">
      <c r="A9782" t="s">
        <v>43</v>
      </c>
      <c r="B9782" t="s">
        <v>40</v>
      </c>
      <c r="C9782" t="s">
        <v>15</v>
      </c>
      <c r="D9782" t="s">
        <v>34</v>
      </c>
      <c r="E9782" t="s">
        <v>21</v>
      </c>
      <c r="F9782" t="s">
        <v>15</v>
      </c>
      <c r="G9782" s="1" t="str">
        <f t="shared" ref="G9782:M9782" si="2153">"X"</f>
        <v>X</v>
      </c>
      <c r="H9782" s="1" t="str">
        <f t="shared" si="2153"/>
        <v>X</v>
      </c>
      <c r="I9782" s="1" t="str">
        <f t="shared" si="2153"/>
        <v>X</v>
      </c>
      <c r="J9782" s="1" t="str">
        <f t="shared" si="2153"/>
        <v>X</v>
      </c>
      <c r="K9782" s="1" t="str">
        <f t="shared" si="2153"/>
        <v>X</v>
      </c>
      <c r="L9782" s="1" t="str">
        <f t="shared" si="2153"/>
        <v>X</v>
      </c>
      <c r="M9782" s="1" t="str">
        <f t="shared" si="2153"/>
        <v>X</v>
      </c>
      <c r="N9782" t="s">
        <v>27</v>
      </c>
    </row>
    <row r="9783" spans="1:14" x14ac:dyDescent="0.25">
      <c r="A9783" t="s">
        <v>43</v>
      </c>
      <c r="B9783" t="s">
        <v>40</v>
      </c>
      <c r="C9783" t="s">
        <v>15</v>
      </c>
      <c r="D9783" t="s">
        <v>34</v>
      </c>
      <c r="E9783" t="s">
        <v>21</v>
      </c>
      <c r="F9783" t="s">
        <v>17</v>
      </c>
      <c r="G9783" s="1" t="str">
        <f t="shared" ref="G9783:M9783" si="2154">"..."</f>
        <v>...</v>
      </c>
      <c r="H9783" s="1" t="str">
        <f t="shared" si="2154"/>
        <v>...</v>
      </c>
      <c r="I9783" s="1" t="str">
        <f t="shared" si="2154"/>
        <v>...</v>
      </c>
      <c r="J9783" s="1" t="str">
        <f t="shared" si="2154"/>
        <v>...</v>
      </c>
      <c r="K9783" s="1" t="str">
        <f t="shared" si="2154"/>
        <v>...</v>
      </c>
      <c r="L9783" s="1" t="str">
        <f t="shared" si="2154"/>
        <v>...</v>
      </c>
      <c r="M9783" s="1" t="str">
        <f t="shared" si="2154"/>
        <v>...</v>
      </c>
      <c r="N9783" t="s">
        <v>30</v>
      </c>
    </row>
    <row r="9784" spans="1:14" x14ac:dyDescent="0.25">
      <c r="A9784" t="s">
        <v>43</v>
      </c>
      <c r="B9784" t="s">
        <v>40</v>
      </c>
      <c r="C9784" t="s">
        <v>15</v>
      </c>
      <c r="D9784" t="s">
        <v>34</v>
      </c>
      <c r="E9784" t="s">
        <v>21</v>
      </c>
      <c r="F9784" t="s">
        <v>18</v>
      </c>
      <c r="G9784" s="1" t="str">
        <f t="shared" ref="G9784:M9788" si="2155">"X"</f>
        <v>X</v>
      </c>
      <c r="H9784" s="1" t="str">
        <f t="shared" si="2155"/>
        <v>X</v>
      </c>
      <c r="I9784" s="1" t="str">
        <f t="shared" si="2155"/>
        <v>X</v>
      </c>
      <c r="J9784" s="1" t="str">
        <f t="shared" si="2155"/>
        <v>X</v>
      </c>
      <c r="K9784" s="1" t="str">
        <f t="shared" si="2155"/>
        <v>X</v>
      </c>
      <c r="L9784" s="1" t="str">
        <f t="shared" si="2155"/>
        <v>X</v>
      </c>
      <c r="M9784" s="1" t="str">
        <f t="shared" si="2155"/>
        <v>X</v>
      </c>
      <c r="N9784" t="s">
        <v>27</v>
      </c>
    </row>
    <row r="9785" spans="1:14" x14ac:dyDescent="0.25">
      <c r="A9785" t="s">
        <v>43</v>
      </c>
      <c r="B9785" t="s">
        <v>40</v>
      </c>
      <c r="C9785" t="s">
        <v>15</v>
      </c>
      <c r="D9785" t="s">
        <v>34</v>
      </c>
      <c r="E9785" t="s">
        <v>21</v>
      </c>
      <c r="F9785" t="s">
        <v>19</v>
      </c>
      <c r="G9785" s="1" t="str">
        <f t="shared" si="2155"/>
        <v>X</v>
      </c>
      <c r="H9785" s="1" t="str">
        <f t="shared" si="2155"/>
        <v>X</v>
      </c>
      <c r="I9785" s="1" t="str">
        <f t="shared" si="2155"/>
        <v>X</v>
      </c>
      <c r="J9785" s="1" t="str">
        <f t="shared" si="2155"/>
        <v>X</v>
      </c>
      <c r="K9785" s="1" t="str">
        <f t="shared" si="2155"/>
        <v>X</v>
      </c>
      <c r="L9785" s="1" t="str">
        <f t="shared" si="2155"/>
        <v>X</v>
      </c>
      <c r="M9785" s="1" t="str">
        <f t="shared" si="2155"/>
        <v>X</v>
      </c>
      <c r="N9785" t="s">
        <v>27</v>
      </c>
    </row>
    <row r="9786" spans="1:14" x14ac:dyDescent="0.25">
      <c r="A9786" t="s">
        <v>43</v>
      </c>
      <c r="B9786" t="s">
        <v>40</v>
      </c>
      <c r="C9786" t="s">
        <v>15</v>
      </c>
      <c r="D9786" t="s">
        <v>34</v>
      </c>
      <c r="E9786" t="s">
        <v>21</v>
      </c>
      <c r="F9786" t="s">
        <v>20</v>
      </c>
      <c r="G9786" s="1" t="str">
        <f t="shared" si="2155"/>
        <v>X</v>
      </c>
      <c r="H9786" s="1" t="str">
        <f t="shared" si="2155"/>
        <v>X</v>
      </c>
      <c r="I9786" s="1" t="str">
        <f t="shared" si="2155"/>
        <v>X</v>
      </c>
      <c r="J9786" s="1" t="str">
        <f t="shared" si="2155"/>
        <v>X</v>
      </c>
      <c r="K9786" s="1" t="str">
        <f t="shared" si="2155"/>
        <v>X</v>
      </c>
      <c r="L9786" s="1" t="str">
        <f t="shared" si="2155"/>
        <v>X</v>
      </c>
      <c r="M9786" s="1" t="str">
        <f t="shared" si="2155"/>
        <v>X</v>
      </c>
      <c r="N9786" t="s">
        <v>27</v>
      </c>
    </row>
    <row r="9787" spans="1:14" x14ac:dyDescent="0.25">
      <c r="A9787" t="s">
        <v>43</v>
      </c>
      <c r="B9787" t="s">
        <v>40</v>
      </c>
      <c r="C9787" t="s">
        <v>15</v>
      </c>
      <c r="D9787" t="s">
        <v>34</v>
      </c>
      <c r="E9787" t="s">
        <v>22</v>
      </c>
      <c r="F9787" t="s">
        <v>15</v>
      </c>
      <c r="G9787" s="1" t="str">
        <f t="shared" si="2155"/>
        <v>X</v>
      </c>
      <c r="H9787" s="1" t="str">
        <f t="shared" si="2155"/>
        <v>X</v>
      </c>
      <c r="I9787" s="1" t="str">
        <f t="shared" si="2155"/>
        <v>X</v>
      </c>
      <c r="J9787" s="1" t="str">
        <f t="shared" si="2155"/>
        <v>X</v>
      </c>
      <c r="K9787" s="1" t="str">
        <f t="shared" si="2155"/>
        <v>X</v>
      </c>
      <c r="L9787" s="1" t="str">
        <f t="shared" si="2155"/>
        <v>X</v>
      </c>
      <c r="M9787" s="1" t="str">
        <f t="shared" si="2155"/>
        <v>X</v>
      </c>
      <c r="N9787" t="s">
        <v>27</v>
      </c>
    </row>
    <row r="9788" spans="1:14" x14ac:dyDescent="0.25">
      <c r="A9788" t="s">
        <v>43</v>
      </c>
      <c r="B9788" t="s">
        <v>40</v>
      </c>
      <c r="C9788" t="s">
        <v>15</v>
      </c>
      <c r="D9788" t="s">
        <v>34</v>
      </c>
      <c r="E9788" t="s">
        <v>22</v>
      </c>
      <c r="F9788" t="s">
        <v>17</v>
      </c>
      <c r="G9788" s="1" t="str">
        <f t="shared" si="2155"/>
        <v>X</v>
      </c>
      <c r="H9788" s="1" t="str">
        <f t="shared" si="2155"/>
        <v>X</v>
      </c>
      <c r="I9788" s="1" t="str">
        <f t="shared" si="2155"/>
        <v>X</v>
      </c>
      <c r="J9788" s="1" t="str">
        <f t="shared" si="2155"/>
        <v>X</v>
      </c>
      <c r="K9788" s="1" t="str">
        <f t="shared" si="2155"/>
        <v>X</v>
      </c>
      <c r="L9788" s="1" t="str">
        <f t="shared" si="2155"/>
        <v>X</v>
      </c>
      <c r="M9788" s="1" t="str">
        <f t="shared" si="2155"/>
        <v>X</v>
      </c>
      <c r="N9788" t="s">
        <v>27</v>
      </c>
    </row>
    <row r="9789" spans="1:14" x14ac:dyDescent="0.25">
      <c r="A9789" t="s">
        <v>43</v>
      </c>
      <c r="B9789" t="s">
        <v>40</v>
      </c>
      <c r="C9789" t="s">
        <v>15</v>
      </c>
      <c r="D9789" t="s">
        <v>34</v>
      </c>
      <c r="E9789" t="s">
        <v>22</v>
      </c>
      <c r="F9789" t="s">
        <v>18</v>
      </c>
      <c r="G9789" s="1" t="str">
        <f t="shared" ref="G9789:M9789" si="2156">"..."</f>
        <v>...</v>
      </c>
      <c r="H9789" s="1" t="str">
        <f t="shared" si="2156"/>
        <v>...</v>
      </c>
      <c r="I9789" s="1" t="str">
        <f t="shared" si="2156"/>
        <v>...</v>
      </c>
      <c r="J9789" s="1" t="str">
        <f t="shared" si="2156"/>
        <v>...</v>
      </c>
      <c r="K9789" s="1" t="str">
        <f t="shared" si="2156"/>
        <v>...</v>
      </c>
      <c r="L9789" s="1" t="str">
        <f t="shared" si="2156"/>
        <v>...</v>
      </c>
      <c r="M9789" s="1" t="str">
        <f t="shared" si="2156"/>
        <v>...</v>
      </c>
      <c r="N9789" t="s">
        <v>30</v>
      </c>
    </row>
    <row r="9790" spans="1:14" x14ac:dyDescent="0.25">
      <c r="A9790" t="s">
        <v>43</v>
      </c>
      <c r="B9790" t="s">
        <v>40</v>
      </c>
      <c r="C9790" t="s">
        <v>15</v>
      </c>
      <c r="D9790" t="s">
        <v>34</v>
      </c>
      <c r="E9790" t="s">
        <v>22</v>
      </c>
      <c r="F9790" t="s">
        <v>19</v>
      </c>
      <c r="G9790" s="1" t="str">
        <f t="shared" ref="G9790:M9792" si="2157">"X"</f>
        <v>X</v>
      </c>
      <c r="H9790" s="1" t="str">
        <f t="shared" si="2157"/>
        <v>X</v>
      </c>
      <c r="I9790" s="1" t="str">
        <f t="shared" si="2157"/>
        <v>X</v>
      </c>
      <c r="J9790" s="1" t="str">
        <f t="shared" si="2157"/>
        <v>X</v>
      </c>
      <c r="K9790" s="1" t="str">
        <f t="shared" si="2157"/>
        <v>X</v>
      </c>
      <c r="L9790" s="1" t="str">
        <f t="shared" si="2157"/>
        <v>X</v>
      </c>
      <c r="M9790" s="1" t="str">
        <f t="shared" si="2157"/>
        <v>X</v>
      </c>
      <c r="N9790" t="s">
        <v>27</v>
      </c>
    </row>
    <row r="9791" spans="1:14" x14ac:dyDescent="0.25">
      <c r="A9791" t="s">
        <v>43</v>
      </c>
      <c r="B9791" t="s">
        <v>40</v>
      </c>
      <c r="C9791" t="s">
        <v>15</v>
      </c>
      <c r="D9791" t="s">
        <v>34</v>
      </c>
      <c r="E9791" t="s">
        <v>22</v>
      </c>
      <c r="F9791" t="s">
        <v>20</v>
      </c>
      <c r="G9791" s="1" t="str">
        <f t="shared" si="2157"/>
        <v>X</v>
      </c>
      <c r="H9791" s="1" t="str">
        <f t="shared" si="2157"/>
        <v>X</v>
      </c>
      <c r="I9791" s="1" t="str">
        <f t="shared" si="2157"/>
        <v>X</v>
      </c>
      <c r="J9791" s="1" t="str">
        <f t="shared" si="2157"/>
        <v>X</v>
      </c>
      <c r="K9791" s="1" t="str">
        <f t="shared" si="2157"/>
        <v>X</v>
      </c>
      <c r="L9791" s="1" t="str">
        <f t="shared" si="2157"/>
        <v>X</v>
      </c>
      <c r="M9791" s="1" t="str">
        <f t="shared" si="2157"/>
        <v>X</v>
      </c>
      <c r="N9791" t="s">
        <v>27</v>
      </c>
    </row>
    <row r="9792" spans="1:14" x14ac:dyDescent="0.25">
      <c r="A9792" t="s">
        <v>43</v>
      </c>
      <c r="B9792" t="s">
        <v>40</v>
      </c>
      <c r="C9792" t="s">
        <v>15</v>
      </c>
      <c r="D9792" t="s">
        <v>34</v>
      </c>
      <c r="E9792" t="s">
        <v>23</v>
      </c>
      <c r="F9792" t="s">
        <v>15</v>
      </c>
      <c r="G9792" s="1" t="str">
        <f t="shared" si="2157"/>
        <v>X</v>
      </c>
      <c r="H9792" s="1" t="str">
        <f t="shared" si="2157"/>
        <v>X</v>
      </c>
      <c r="I9792" s="1" t="str">
        <f t="shared" si="2157"/>
        <v>X</v>
      </c>
      <c r="J9792" s="1" t="str">
        <f t="shared" si="2157"/>
        <v>X</v>
      </c>
      <c r="K9792" s="1" t="str">
        <f t="shared" si="2157"/>
        <v>X</v>
      </c>
      <c r="L9792" s="1" t="str">
        <f t="shared" si="2157"/>
        <v>X</v>
      </c>
      <c r="M9792" s="1" t="str">
        <f t="shared" si="2157"/>
        <v>X</v>
      </c>
      <c r="N9792" t="s">
        <v>27</v>
      </c>
    </row>
    <row r="9793" spans="1:14" x14ac:dyDescent="0.25">
      <c r="A9793" t="s">
        <v>43</v>
      </c>
      <c r="B9793" t="s">
        <v>40</v>
      </c>
      <c r="C9793" t="s">
        <v>15</v>
      </c>
      <c r="D9793" t="s">
        <v>34</v>
      </c>
      <c r="E9793" t="s">
        <v>23</v>
      </c>
      <c r="F9793" t="s">
        <v>17</v>
      </c>
      <c r="G9793" s="1" t="str">
        <f t="shared" ref="G9793:M9793" si="2158">"..."</f>
        <v>...</v>
      </c>
      <c r="H9793" s="1" t="str">
        <f t="shared" si="2158"/>
        <v>...</v>
      </c>
      <c r="I9793" s="1" t="str">
        <f t="shared" si="2158"/>
        <v>...</v>
      </c>
      <c r="J9793" s="1" t="str">
        <f t="shared" si="2158"/>
        <v>...</v>
      </c>
      <c r="K9793" s="1" t="str">
        <f t="shared" si="2158"/>
        <v>...</v>
      </c>
      <c r="L9793" s="1" t="str">
        <f t="shared" si="2158"/>
        <v>...</v>
      </c>
      <c r="M9793" s="1" t="str">
        <f t="shared" si="2158"/>
        <v>...</v>
      </c>
      <c r="N9793" t="s">
        <v>30</v>
      </c>
    </row>
    <row r="9794" spans="1:14" x14ac:dyDescent="0.25">
      <c r="A9794" t="s">
        <v>43</v>
      </c>
      <c r="B9794" t="s">
        <v>40</v>
      </c>
      <c r="C9794" t="s">
        <v>15</v>
      </c>
      <c r="D9794" t="s">
        <v>34</v>
      </c>
      <c r="E9794" t="s">
        <v>23</v>
      </c>
      <c r="F9794" t="s">
        <v>18</v>
      </c>
      <c r="G9794" s="1" t="str">
        <f t="shared" ref="G9794:M9797" si="2159">"X"</f>
        <v>X</v>
      </c>
      <c r="H9794" s="1" t="str">
        <f t="shared" si="2159"/>
        <v>X</v>
      </c>
      <c r="I9794" s="1" t="str">
        <f t="shared" si="2159"/>
        <v>X</v>
      </c>
      <c r="J9794" s="1" t="str">
        <f t="shared" si="2159"/>
        <v>X</v>
      </c>
      <c r="K9794" s="1" t="str">
        <f t="shared" si="2159"/>
        <v>X</v>
      </c>
      <c r="L9794" s="1" t="str">
        <f t="shared" si="2159"/>
        <v>X</v>
      </c>
      <c r="M9794" s="1" t="str">
        <f t="shared" si="2159"/>
        <v>X</v>
      </c>
      <c r="N9794" t="s">
        <v>27</v>
      </c>
    </row>
    <row r="9795" spans="1:14" x14ac:dyDescent="0.25">
      <c r="A9795" t="s">
        <v>43</v>
      </c>
      <c r="B9795" t="s">
        <v>40</v>
      </c>
      <c r="C9795" t="s">
        <v>15</v>
      </c>
      <c r="D9795" t="s">
        <v>34</v>
      </c>
      <c r="E9795" t="s">
        <v>23</v>
      </c>
      <c r="F9795" t="s">
        <v>19</v>
      </c>
      <c r="G9795" s="1" t="str">
        <f t="shared" si="2159"/>
        <v>X</v>
      </c>
      <c r="H9795" s="1" t="str">
        <f t="shared" si="2159"/>
        <v>X</v>
      </c>
      <c r="I9795" s="1" t="str">
        <f t="shared" si="2159"/>
        <v>X</v>
      </c>
      <c r="J9795" s="1" t="str">
        <f t="shared" si="2159"/>
        <v>X</v>
      </c>
      <c r="K9795" s="1" t="str">
        <f t="shared" si="2159"/>
        <v>X</v>
      </c>
      <c r="L9795" s="1" t="str">
        <f t="shared" si="2159"/>
        <v>X</v>
      </c>
      <c r="M9795" s="1" t="str">
        <f t="shared" si="2159"/>
        <v>X</v>
      </c>
      <c r="N9795" t="s">
        <v>27</v>
      </c>
    </row>
    <row r="9796" spans="1:14" x14ac:dyDescent="0.25">
      <c r="A9796" t="s">
        <v>43</v>
      </c>
      <c r="B9796" t="s">
        <v>40</v>
      </c>
      <c r="C9796" t="s">
        <v>15</v>
      </c>
      <c r="D9796" t="s">
        <v>34</v>
      </c>
      <c r="E9796" t="s">
        <v>23</v>
      </c>
      <c r="F9796" t="s">
        <v>20</v>
      </c>
      <c r="G9796" s="1" t="str">
        <f t="shared" si="2159"/>
        <v>X</v>
      </c>
      <c r="H9796" s="1" t="str">
        <f t="shared" si="2159"/>
        <v>X</v>
      </c>
      <c r="I9796" s="1" t="str">
        <f t="shared" si="2159"/>
        <v>X</v>
      </c>
      <c r="J9796" s="1" t="str">
        <f t="shared" si="2159"/>
        <v>X</v>
      </c>
      <c r="K9796" s="1" t="str">
        <f t="shared" si="2159"/>
        <v>X</v>
      </c>
      <c r="L9796" s="1" t="str">
        <f t="shared" si="2159"/>
        <v>X</v>
      </c>
      <c r="M9796" s="1" t="str">
        <f t="shared" si="2159"/>
        <v>X</v>
      </c>
      <c r="N9796" t="s">
        <v>27</v>
      </c>
    </row>
    <row r="9797" spans="1:14" x14ac:dyDescent="0.25">
      <c r="A9797" t="s">
        <v>43</v>
      </c>
      <c r="B9797" t="s">
        <v>40</v>
      </c>
      <c r="C9797" t="s">
        <v>15</v>
      </c>
      <c r="D9797" t="s">
        <v>34</v>
      </c>
      <c r="E9797" t="s">
        <v>26</v>
      </c>
      <c r="F9797" t="s">
        <v>15</v>
      </c>
      <c r="G9797" s="1" t="str">
        <f t="shared" si="2159"/>
        <v>X</v>
      </c>
      <c r="H9797" s="1" t="str">
        <f t="shared" si="2159"/>
        <v>X</v>
      </c>
      <c r="I9797" s="1" t="str">
        <f t="shared" si="2159"/>
        <v>X</v>
      </c>
      <c r="J9797" s="1" t="str">
        <f t="shared" si="2159"/>
        <v>X</v>
      </c>
      <c r="K9797" s="1" t="str">
        <f t="shared" si="2159"/>
        <v>X</v>
      </c>
      <c r="L9797" s="1" t="str">
        <f t="shared" si="2159"/>
        <v>X</v>
      </c>
      <c r="M9797" s="1" t="str">
        <f t="shared" si="2159"/>
        <v>X</v>
      </c>
      <c r="N9797" t="s">
        <v>27</v>
      </c>
    </row>
    <row r="9798" spans="1:14" x14ac:dyDescent="0.25">
      <c r="A9798" t="s">
        <v>43</v>
      </c>
      <c r="B9798" t="s">
        <v>40</v>
      </c>
      <c r="C9798" t="s">
        <v>15</v>
      </c>
      <c r="D9798" t="s">
        <v>34</v>
      </c>
      <c r="E9798" t="s">
        <v>26</v>
      </c>
      <c r="F9798" t="s">
        <v>17</v>
      </c>
      <c r="G9798" s="1" t="str">
        <f t="shared" ref="G9798:M9800" si="2160">"..."</f>
        <v>...</v>
      </c>
      <c r="H9798" s="1" t="str">
        <f t="shared" si="2160"/>
        <v>...</v>
      </c>
      <c r="I9798" s="1" t="str">
        <f t="shared" si="2160"/>
        <v>...</v>
      </c>
      <c r="J9798" s="1" t="str">
        <f t="shared" si="2160"/>
        <v>...</v>
      </c>
      <c r="K9798" s="1" t="str">
        <f t="shared" si="2160"/>
        <v>...</v>
      </c>
      <c r="L9798" s="1" t="str">
        <f t="shared" si="2160"/>
        <v>...</v>
      </c>
      <c r="M9798" s="1" t="str">
        <f t="shared" si="2160"/>
        <v>...</v>
      </c>
      <c r="N9798" t="s">
        <v>30</v>
      </c>
    </row>
    <row r="9799" spans="1:14" x14ac:dyDescent="0.25">
      <c r="A9799" t="s">
        <v>43</v>
      </c>
      <c r="B9799" t="s">
        <v>40</v>
      </c>
      <c r="C9799" t="s">
        <v>15</v>
      </c>
      <c r="D9799" t="s">
        <v>34</v>
      </c>
      <c r="E9799" t="s">
        <v>26</v>
      </c>
      <c r="F9799" t="s">
        <v>18</v>
      </c>
      <c r="G9799" s="1" t="str">
        <f t="shared" si="2160"/>
        <v>...</v>
      </c>
      <c r="H9799" s="1" t="str">
        <f t="shared" si="2160"/>
        <v>...</v>
      </c>
      <c r="I9799" s="1" t="str">
        <f t="shared" si="2160"/>
        <v>...</v>
      </c>
      <c r="J9799" s="1" t="str">
        <f t="shared" si="2160"/>
        <v>...</v>
      </c>
      <c r="K9799" s="1" t="str">
        <f t="shared" si="2160"/>
        <v>...</v>
      </c>
      <c r="L9799" s="1" t="str">
        <f t="shared" si="2160"/>
        <v>...</v>
      </c>
      <c r="M9799" s="1" t="str">
        <f t="shared" si="2160"/>
        <v>...</v>
      </c>
      <c r="N9799" t="s">
        <v>30</v>
      </c>
    </row>
    <row r="9800" spans="1:14" x14ac:dyDescent="0.25">
      <c r="A9800" t="s">
        <v>43</v>
      </c>
      <c r="B9800" t="s">
        <v>40</v>
      </c>
      <c r="C9800" t="s">
        <v>15</v>
      </c>
      <c r="D9800" t="s">
        <v>34</v>
      </c>
      <c r="E9800" t="s">
        <v>26</v>
      </c>
      <c r="F9800" t="s">
        <v>19</v>
      </c>
      <c r="G9800" s="1" t="str">
        <f t="shared" si="2160"/>
        <v>...</v>
      </c>
      <c r="H9800" s="1" t="str">
        <f t="shared" si="2160"/>
        <v>...</v>
      </c>
      <c r="I9800" s="1" t="str">
        <f t="shared" si="2160"/>
        <v>...</v>
      </c>
      <c r="J9800" s="1" t="str">
        <f t="shared" si="2160"/>
        <v>...</v>
      </c>
      <c r="K9800" s="1" t="str">
        <f t="shared" si="2160"/>
        <v>...</v>
      </c>
      <c r="L9800" s="1" t="str">
        <f t="shared" si="2160"/>
        <v>...</v>
      </c>
      <c r="M9800" s="1" t="str">
        <f t="shared" si="2160"/>
        <v>...</v>
      </c>
      <c r="N9800" t="s">
        <v>30</v>
      </c>
    </row>
    <row r="9801" spans="1:14" x14ac:dyDescent="0.25">
      <c r="A9801" t="s">
        <v>43</v>
      </c>
      <c r="B9801" t="s">
        <v>40</v>
      </c>
      <c r="C9801" t="s">
        <v>15</v>
      </c>
      <c r="D9801" t="s">
        <v>34</v>
      </c>
      <c r="E9801" t="s">
        <v>26</v>
      </c>
      <c r="F9801" t="s">
        <v>20</v>
      </c>
      <c r="G9801" s="1" t="str">
        <f t="shared" ref="G9801:M9801" si="2161">"X"</f>
        <v>X</v>
      </c>
      <c r="H9801" s="1" t="str">
        <f t="shared" si="2161"/>
        <v>X</v>
      </c>
      <c r="I9801" s="1" t="str">
        <f t="shared" si="2161"/>
        <v>X</v>
      </c>
      <c r="J9801" s="1" t="str">
        <f t="shared" si="2161"/>
        <v>X</v>
      </c>
      <c r="K9801" s="1" t="str">
        <f t="shared" si="2161"/>
        <v>X</v>
      </c>
      <c r="L9801" s="1" t="str">
        <f t="shared" si="2161"/>
        <v>X</v>
      </c>
      <c r="M9801" s="1" t="str">
        <f t="shared" si="2161"/>
        <v>X</v>
      </c>
      <c r="N9801" t="s">
        <v>27</v>
      </c>
    </row>
    <row r="9802" spans="1:14" x14ac:dyDescent="0.25">
      <c r="A9802" t="s">
        <v>43</v>
      </c>
      <c r="B9802" t="s">
        <v>40</v>
      </c>
      <c r="C9802" t="s">
        <v>35</v>
      </c>
      <c r="D9802" t="s">
        <v>15</v>
      </c>
      <c r="E9802" t="s">
        <v>15</v>
      </c>
      <c r="F9802" t="s">
        <v>15</v>
      </c>
      <c r="G9802" s="2">
        <f>VALUE(3002.67)</f>
        <v>3002.67</v>
      </c>
      <c r="H9802" s="3">
        <f>VALUE(2470.44)</f>
        <v>2470.44</v>
      </c>
      <c r="I9802" s="1">
        <f>VALUE(2863)</f>
        <v>2863</v>
      </c>
      <c r="J9802" s="1">
        <f>VALUE(3193)</f>
        <v>3193</v>
      </c>
      <c r="K9802" s="1">
        <f>VALUE(3679)</f>
        <v>3679</v>
      </c>
      <c r="L9802" s="1">
        <f>VALUE(4127)</f>
        <v>4127</v>
      </c>
      <c r="M9802" s="1">
        <f>VALUE(4824)</f>
        <v>4824</v>
      </c>
      <c r="N9802" t="s">
        <v>25</v>
      </c>
    </row>
    <row r="9803" spans="1:14" x14ac:dyDescent="0.25">
      <c r="A9803" t="s">
        <v>43</v>
      </c>
      <c r="B9803" t="s">
        <v>40</v>
      </c>
      <c r="C9803" t="s">
        <v>35</v>
      </c>
      <c r="D9803" t="s">
        <v>15</v>
      </c>
      <c r="E9803" t="s">
        <v>15</v>
      </c>
      <c r="F9803" t="s">
        <v>17</v>
      </c>
      <c r="G9803" s="1" t="str">
        <f t="shared" ref="G9803:M9805" si="2162">"X"</f>
        <v>X</v>
      </c>
      <c r="H9803" s="1" t="str">
        <f t="shared" si="2162"/>
        <v>X</v>
      </c>
      <c r="I9803" s="1" t="str">
        <f t="shared" si="2162"/>
        <v>X</v>
      </c>
      <c r="J9803" s="1" t="str">
        <f t="shared" si="2162"/>
        <v>X</v>
      </c>
      <c r="K9803" s="1" t="str">
        <f t="shared" si="2162"/>
        <v>X</v>
      </c>
      <c r="L9803" s="1" t="str">
        <f t="shared" si="2162"/>
        <v>X</v>
      </c>
      <c r="M9803" s="1" t="str">
        <f t="shared" si="2162"/>
        <v>X</v>
      </c>
      <c r="N9803" t="s">
        <v>27</v>
      </c>
    </row>
    <row r="9804" spans="1:14" x14ac:dyDescent="0.25">
      <c r="A9804" t="s">
        <v>43</v>
      </c>
      <c r="B9804" t="s">
        <v>40</v>
      </c>
      <c r="C9804" t="s">
        <v>35</v>
      </c>
      <c r="D9804" t="s">
        <v>15</v>
      </c>
      <c r="E9804" t="s">
        <v>15</v>
      </c>
      <c r="F9804" t="s">
        <v>18</v>
      </c>
      <c r="G9804" s="1" t="str">
        <f t="shared" si="2162"/>
        <v>X</v>
      </c>
      <c r="H9804" s="1" t="str">
        <f t="shared" si="2162"/>
        <v>X</v>
      </c>
      <c r="I9804" s="1" t="str">
        <f t="shared" si="2162"/>
        <v>X</v>
      </c>
      <c r="J9804" s="1" t="str">
        <f t="shared" si="2162"/>
        <v>X</v>
      </c>
      <c r="K9804" s="1" t="str">
        <f t="shared" si="2162"/>
        <v>X</v>
      </c>
      <c r="L9804" s="1" t="str">
        <f t="shared" si="2162"/>
        <v>X</v>
      </c>
      <c r="M9804" s="1" t="str">
        <f t="shared" si="2162"/>
        <v>X</v>
      </c>
      <c r="N9804" t="s">
        <v>27</v>
      </c>
    </row>
    <row r="9805" spans="1:14" x14ac:dyDescent="0.25">
      <c r="A9805" t="s">
        <v>43</v>
      </c>
      <c r="B9805" t="s">
        <v>40</v>
      </c>
      <c r="C9805" t="s">
        <v>35</v>
      </c>
      <c r="D9805" t="s">
        <v>15</v>
      </c>
      <c r="E9805" t="s">
        <v>15</v>
      </c>
      <c r="F9805" t="s">
        <v>19</v>
      </c>
      <c r="G9805" s="1" t="str">
        <f t="shared" si="2162"/>
        <v>X</v>
      </c>
      <c r="H9805" s="1" t="str">
        <f t="shared" si="2162"/>
        <v>X</v>
      </c>
      <c r="I9805" s="1" t="str">
        <f t="shared" si="2162"/>
        <v>X</v>
      </c>
      <c r="J9805" s="1" t="str">
        <f t="shared" si="2162"/>
        <v>X</v>
      </c>
      <c r="K9805" s="1" t="str">
        <f t="shared" si="2162"/>
        <v>X</v>
      </c>
      <c r="L9805" s="1" t="str">
        <f t="shared" si="2162"/>
        <v>X</v>
      </c>
      <c r="M9805" s="1" t="str">
        <f t="shared" si="2162"/>
        <v>X</v>
      </c>
      <c r="N9805" t="s">
        <v>27</v>
      </c>
    </row>
    <row r="9806" spans="1:14" x14ac:dyDescent="0.25">
      <c r="A9806" t="s">
        <v>43</v>
      </c>
      <c r="B9806" t="s">
        <v>40</v>
      </c>
      <c r="C9806" t="s">
        <v>35</v>
      </c>
      <c r="D9806" t="s">
        <v>15</v>
      </c>
      <c r="E9806" t="s">
        <v>15</v>
      </c>
      <c r="F9806" t="s">
        <v>20</v>
      </c>
      <c r="G9806" s="2">
        <f>VALUE(2554.63)</f>
        <v>2554.63</v>
      </c>
      <c r="H9806" s="1">
        <f>VALUE(2073.97)</f>
        <v>2073.9699999999998</v>
      </c>
      <c r="I9806" s="1">
        <f>VALUE(2792)</f>
        <v>2792</v>
      </c>
      <c r="J9806" s="1">
        <f>VALUE(3157)</f>
        <v>3157</v>
      </c>
      <c r="K9806" s="1">
        <f>VALUE(3647)</f>
        <v>3647</v>
      </c>
      <c r="L9806" s="1">
        <f>VALUE(4158)</f>
        <v>4158</v>
      </c>
      <c r="M9806" s="1">
        <f>VALUE(4843)</f>
        <v>4843</v>
      </c>
      <c r="N9806" t="s">
        <v>25</v>
      </c>
    </row>
    <row r="9807" spans="1:14" x14ac:dyDescent="0.25">
      <c r="A9807" t="s">
        <v>43</v>
      </c>
      <c r="B9807" t="s">
        <v>40</v>
      </c>
      <c r="C9807" t="s">
        <v>35</v>
      </c>
      <c r="D9807" t="s">
        <v>15</v>
      </c>
      <c r="E9807" t="s">
        <v>21</v>
      </c>
      <c r="F9807" t="s">
        <v>15</v>
      </c>
      <c r="G9807" s="2">
        <f>VALUE(417.63)</f>
        <v>417.63</v>
      </c>
      <c r="H9807" s="3">
        <f>VALUE(319.76)</f>
        <v>319.76</v>
      </c>
      <c r="I9807" s="4">
        <f>VALUE(3275)</f>
        <v>3275</v>
      </c>
      <c r="J9807" s="1">
        <f>VALUE(3784)</f>
        <v>3784</v>
      </c>
      <c r="K9807" s="1">
        <f>VALUE(3966)</f>
        <v>3966</v>
      </c>
      <c r="L9807" s="7">
        <f>VALUE(5005)</f>
        <v>5005</v>
      </c>
      <c r="M9807" s="8">
        <f>VALUE(6073)</f>
        <v>6073</v>
      </c>
      <c r="N9807" t="s">
        <v>25</v>
      </c>
    </row>
    <row r="9808" spans="1:14" x14ac:dyDescent="0.25">
      <c r="A9808" t="s">
        <v>43</v>
      </c>
      <c r="B9808" t="s">
        <v>40</v>
      </c>
      <c r="C9808" t="s">
        <v>35</v>
      </c>
      <c r="D9808" t="s">
        <v>15</v>
      </c>
      <c r="E9808" t="s">
        <v>21</v>
      </c>
      <c r="F9808" t="s">
        <v>17</v>
      </c>
      <c r="G9808" s="1" t="str">
        <f t="shared" ref="G9808:M9810" si="2163">"X"</f>
        <v>X</v>
      </c>
      <c r="H9808" s="1" t="str">
        <f t="shared" si="2163"/>
        <v>X</v>
      </c>
      <c r="I9808" s="1" t="str">
        <f t="shared" si="2163"/>
        <v>X</v>
      </c>
      <c r="J9808" s="1" t="str">
        <f t="shared" si="2163"/>
        <v>X</v>
      </c>
      <c r="K9808" s="1" t="str">
        <f t="shared" si="2163"/>
        <v>X</v>
      </c>
      <c r="L9808" s="1" t="str">
        <f t="shared" si="2163"/>
        <v>X</v>
      </c>
      <c r="M9808" s="1" t="str">
        <f t="shared" si="2163"/>
        <v>X</v>
      </c>
      <c r="N9808" t="s">
        <v>27</v>
      </c>
    </row>
    <row r="9809" spans="1:14" x14ac:dyDescent="0.25">
      <c r="A9809" t="s">
        <v>43</v>
      </c>
      <c r="B9809" t="s">
        <v>40</v>
      </c>
      <c r="C9809" t="s">
        <v>35</v>
      </c>
      <c r="D9809" t="s">
        <v>15</v>
      </c>
      <c r="E9809" t="s">
        <v>21</v>
      </c>
      <c r="F9809" t="s">
        <v>18</v>
      </c>
      <c r="G9809" s="1" t="str">
        <f t="shared" si="2163"/>
        <v>X</v>
      </c>
      <c r="H9809" s="1" t="str">
        <f t="shared" si="2163"/>
        <v>X</v>
      </c>
      <c r="I9809" s="1" t="str">
        <f t="shared" si="2163"/>
        <v>X</v>
      </c>
      <c r="J9809" s="1" t="str">
        <f t="shared" si="2163"/>
        <v>X</v>
      </c>
      <c r="K9809" s="1" t="str">
        <f t="shared" si="2163"/>
        <v>X</v>
      </c>
      <c r="L9809" s="1" t="str">
        <f t="shared" si="2163"/>
        <v>X</v>
      </c>
      <c r="M9809" s="1" t="str">
        <f t="shared" si="2163"/>
        <v>X</v>
      </c>
      <c r="N9809" t="s">
        <v>27</v>
      </c>
    </row>
    <row r="9810" spans="1:14" x14ac:dyDescent="0.25">
      <c r="A9810" t="s">
        <v>43</v>
      </c>
      <c r="B9810" t="s">
        <v>40</v>
      </c>
      <c r="C9810" t="s">
        <v>35</v>
      </c>
      <c r="D9810" t="s">
        <v>15</v>
      </c>
      <c r="E9810" t="s">
        <v>21</v>
      </c>
      <c r="F9810" t="s">
        <v>19</v>
      </c>
      <c r="G9810" s="1" t="str">
        <f t="shared" si="2163"/>
        <v>X</v>
      </c>
      <c r="H9810" s="1" t="str">
        <f t="shared" si="2163"/>
        <v>X</v>
      </c>
      <c r="I9810" s="1" t="str">
        <f t="shared" si="2163"/>
        <v>X</v>
      </c>
      <c r="J9810" s="1" t="str">
        <f t="shared" si="2163"/>
        <v>X</v>
      </c>
      <c r="K9810" s="1" t="str">
        <f t="shared" si="2163"/>
        <v>X</v>
      </c>
      <c r="L9810" s="1" t="str">
        <f t="shared" si="2163"/>
        <v>X</v>
      </c>
      <c r="M9810" s="1" t="str">
        <f t="shared" si="2163"/>
        <v>X</v>
      </c>
      <c r="N9810" t="s">
        <v>27</v>
      </c>
    </row>
    <row r="9811" spans="1:14" x14ac:dyDescent="0.25">
      <c r="A9811" t="s">
        <v>43</v>
      </c>
      <c r="B9811" t="s">
        <v>40</v>
      </c>
      <c r="C9811" t="s">
        <v>35</v>
      </c>
      <c r="D9811" t="s">
        <v>15</v>
      </c>
      <c r="E9811" t="s">
        <v>21</v>
      </c>
      <c r="F9811" t="s">
        <v>20</v>
      </c>
      <c r="G9811" s="2">
        <f>VALUE(266.11)</f>
        <v>266.11</v>
      </c>
      <c r="H9811" s="3">
        <f>VALUE(186.33)</f>
        <v>186.33</v>
      </c>
      <c r="I9811" s="4">
        <f>VALUE(3102)</f>
        <v>3102</v>
      </c>
      <c r="J9811" s="5">
        <f>VALUE(3844)</f>
        <v>3844</v>
      </c>
      <c r="K9811" s="6">
        <f>VALUE(4230)</f>
        <v>4230</v>
      </c>
      <c r="L9811" s="7">
        <f>VALUE(5145)</f>
        <v>5145</v>
      </c>
      <c r="M9811" s="1">
        <f>VALUE(6333)</f>
        <v>6333</v>
      </c>
      <c r="N9811" t="s">
        <v>25</v>
      </c>
    </row>
    <row r="9812" spans="1:14" x14ac:dyDescent="0.25">
      <c r="A9812" t="s">
        <v>43</v>
      </c>
      <c r="B9812" t="s">
        <v>40</v>
      </c>
      <c r="C9812" t="s">
        <v>35</v>
      </c>
      <c r="D9812" t="s">
        <v>15</v>
      </c>
      <c r="E9812" t="s">
        <v>22</v>
      </c>
      <c r="F9812" t="s">
        <v>15</v>
      </c>
      <c r="G9812" s="2">
        <f>VALUE(1404.03)</f>
        <v>1404.03</v>
      </c>
      <c r="H9812" s="3">
        <f>VALUE(1211.05)</f>
        <v>1211.05</v>
      </c>
      <c r="I9812" s="1">
        <f>VALUE(3070)</f>
        <v>3070</v>
      </c>
      <c r="J9812" s="1">
        <f>VALUE(3569)</f>
        <v>3569</v>
      </c>
      <c r="K9812" s="1">
        <f>VALUE(3895)</f>
        <v>3895</v>
      </c>
      <c r="L9812" s="1">
        <f>VALUE(4409)</f>
        <v>4409</v>
      </c>
      <c r="M9812" s="1">
        <f>VALUE(4881)</f>
        <v>4881</v>
      </c>
      <c r="N9812" t="s">
        <v>25</v>
      </c>
    </row>
    <row r="9813" spans="1:14" x14ac:dyDescent="0.25">
      <c r="A9813" t="s">
        <v>43</v>
      </c>
      <c r="B9813" t="s">
        <v>40</v>
      </c>
      <c r="C9813" t="s">
        <v>35</v>
      </c>
      <c r="D9813" t="s">
        <v>15</v>
      </c>
      <c r="E9813" t="s">
        <v>22</v>
      </c>
      <c r="F9813" t="s">
        <v>17</v>
      </c>
      <c r="G9813" s="1" t="str">
        <f t="shared" ref="G9813:M9815" si="2164">"X"</f>
        <v>X</v>
      </c>
      <c r="H9813" s="1" t="str">
        <f t="shared" si="2164"/>
        <v>X</v>
      </c>
      <c r="I9813" s="1" t="str">
        <f t="shared" si="2164"/>
        <v>X</v>
      </c>
      <c r="J9813" s="1" t="str">
        <f t="shared" si="2164"/>
        <v>X</v>
      </c>
      <c r="K9813" s="1" t="str">
        <f t="shared" si="2164"/>
        <v>X</v>
      </c>
      <c r="L9813" s="1" t="str">
        <f t="shared" si="2164"/>
        <v>X</v>
      </c>
      <c r="M9813" s="1" t="str">
        <f t="shared" si="2164"/>
        <v>X</v>
      </c>
      <c r="N9813" t="s">
        <v>27</v>
      </c>
    </row>
    <row r="9814" spans="1:14" x14ac:dyDescent="0.25">
      <c r="A9814" t="s">
        <v>43</v>
      </c>
      <c r="B9814" t="s">
        <v>40</v>
      </c>
      <c r="C9814" t="s">
        <v>35</v>
      </c>
      <c r="D9814" t="s">
        <v>15</v>
      </c>
      <c r="E9814" t="s">
        <v>22</v>
      </c>
      <c r="F9814" t="s">
        <v>18</v>
      </c>
      <c r="G9814" s="1" t="str">
        <f t="shared" si="2164"/>
        <v>X</v>
      </c>
      <c r="H9814" s="1" t="str">
        <f t="shared" si="2164"/>
        <v>X</v>
      </c>
      <c r="I9814" s="1" t="str">
        <f t="shared" si="2164"/>
        <v>X</v>
      </c>
      <c r="J9814" s="1" t="str">
        <f t="shared" si="2164"/>
        <v>X</v>
      </c>
      <c r="K9814" s="1" t="str">
        <f t="shared" si="2164"/>
        <v>X</v>
      </c>
      <c r="L9814" s="1" t="str">
        <f t="shared" si="2164"/>
        <v>X</v>
      </c>
      <c r="M9814" s="1" t="str">
        <f t="shared" si="2164"/>
        <v>X</v>
      </c>
      <c r="N9814" t="s">
        <v>27</v>
      </c>
    </row>
    <row r="9815" spans="1:14" x14ac:dyDescent="0.25">
      <c r="A9815" t="s">
        <v>43</v>
      </c>
      <c r="B9815" t="s">
        <v>40</v>
      </c>
      <c r="C9815" t="s">
        <v>35</v>
      </c>
      <c r="D9815" t="s">
        <v>15</v>
      </c>
      <c r="E9815" t="s">
        <v>22</v>
      </c>
      <c r="F9815" t="s">
        <v>19</v>
      </c>
      <c r="G9815" s="1" t="str">
        <f t="shared" si="2164"/>
        <v>X</v>
      </c>
      <c r="H9815" s="1" t="str">
        <f t="shared" si="2164"/>
        <v>X</v>
      </c>
      <c r="I9815" s="1" t="str">
        <f t="shared" si="2164"/>
        <v>X</v>
      </c>
      <c r="J9815" s="1" t="str">
        <f t="shared" si="2164"/>
        <v>X</v>
      </c>
      <c r="K9815" s="1" t="str">
        <f t="shared" si="2164"/>
        <v>X</v>
      </c>
      <c r="L9815" s="1" t="str">
        <f t="shared" si="2164"/>
        <v>X</v>
      </c>
      <c r="M9815" s="1" t="str">
        <f t="shared" si="2164"/>
        <v>X</v>
      </c>
      <c r="N9815" t="s">
        <v>27</v>
      </c>
    </row>
    <row r="9816" spans="1:14" x14ac:dyDescent="0.25">
      <c r="A9816" t="s">
        <v>43</v>
      </c>
      <c r="B9816" t="s">
        <v>40</v>
      </c>
      <c r="C9816" t="s">
        <v>35</v>
      </c>
      <c r="D9816" t="s">
        <v>15</v>
      </c>
      <c r="E9816" t="s">
        <v>22</v>
      </c>
      <c r="F9816" t="s">
        <v>20</v>
      </c>
      <c r="G9816" s="2">
        <f>VALUE(1218.45)</f>
        <v>1218.45</v>
      </c>
      <c r="H9816" s="3">
        <f>VALUE(1058.03)</f>
        <v>1058.03</v>
      </c>
      <c r="I9816" s="4">
        <f>VALUE(2986)</f>
        <v>2986</v>
      </c>
      <c r="J9816" s="1">
        <f>VALUE(3550)</f>
        <v>3550</v>
      </c>
      <c r="K9816" s="1">
        <f>VALUE(3810)</f>
        <v>3810</v>
      </c>
      <c r="L9816" s="1">
        <f>VALUE(4436)</f>
        <v>4436</v>
      </c>
      <c r="M9816" s="1">
        <f>VALUE(4922)</f>
        <v>4922</v>
      </c>
      <c r="N9816" t="s">
        <v>25</v>
      </c>
    </row>
    <row r="9817" spans="1:14" x14ac:dyDescent="0.25">
      <c r="A9817" t="s">
        <v>43</v>
      </c>
      <c r="B9817" t="s">
        <v>40</v>
      </c>
      <c r="C9817" t="s">
        <v>35</v>
      </c>
      <c r="D9817" t="s">
        <v>15</v>
      </c>
      <c r="E9817" t="s">
        <v>23</v>
      </c>
      <c r="F9817" t="s">
        <v>15</v>
      </c>
      <c r="G9817" s="2">
        <f>VALUE(1153.69)</f>
        <v>1153.69</v>
      </c>
      <c r="H9817" s="3">
        <f>VALUE(915.78)</f>
        <v>915.78</v>
      </c>
      <c r="I9817" s="1">
        <f>VALUE(2719)</f>
        <v>2719</v>
      </c>
      <c r="J9817" s="1">
        <f>VALUE(2940)</f>
        <v>2940</v>
      </c>
      <c r="K9817" s="1">
        <f>VALUE(3222)</f>
        <v>3222</v>
      </c>
      <c r="L9817" s="1">
        <f>VALUE(3545)</f>
        <v>3545</v>
      </c>
      <c r="M9817" s="1">
        <f>VALUE(3845)</f>
        <v>3845</v>
      </c>
      <c r="N9817" t="s">
        <v>25</v>
      </c>
    </row>
    <row r="9818" spans="1:14" x14ac:dyDescent="0.25">
      <c r="A9818" t="s">
        <v>43</v>
      </c>
      <c r="B9818" t="s">
        <v>40</v>
      </c>
      <c r="C9818" t="s">
        <v>35</v>
      </c>
      <c r="D9818" t="s">
        <v>15</v>
      </c>
      <c r="E9818" t="s">
        <v>23</v>
      </c>
      <c r="F9818" t="s">
        <v>17</v>
      </c>
      <c r="G9818" s="1" t="str">
        <f t="shared" ref="G9818:M9818" si="2165">"..."</f>
        <v>...</v>
      </c>
      <c r="H9818" s="1" t="str">
        <f t="shared" si="2165"/>
        <v>...</v>
      </c>
      <c r="I9818" s="1" t="str">
        <f t="shared" si="2165"/>
        <v>...</v>
      </c>
      <c r="J9818" s="1" t="str">
        <f t="shared" si="2165"/>
        <v>...</v>
      </c>
      <c r="K9818" s="1" t="str">
        <f t="shared" si="2165"/>
        <v>...</v>
      </c>
      <c r="L9818" s="1" t="str">
        <f t="shared" si="2165"/>
        <v>...</v>
      </c>
      <c r="M9818" s="1" t="str">
        <f t="shared" si="2165"/>
        <v>...</v>
      </c>
      <c r="N9818" t="s">
        <v>30</v>
      </c>
    </row>
    <row r="9819" spans="1:14" x14ac:dyDescent="0.25">
      <c r="A9819" t="s">
        <v>43</v>
      </c>
      <c r="B9819" t="s">
        <v>40</v>
      </c>
      <c r="C9819" t="s">
        <v>35</v>
      </c>
      <c r="D9819" t="s">
        <v>15</v>
      </c>
      <c r="E9819" t="s">
        <v>23</v>
      </c>
      <c r="F9819" t="s">
        <v>18</v>
      </c>
      <c r="G9819" s="1" t="str">
        <f t="shared" ref="G9819:M9820" si="2166">"X"</f>
        <v>X</v>
      </c>
      <c r="H9819" s="1" t="str">
        <f t="shared" si="2166"/>
        <v>X</v>
      </c>
      <c r="I9819" s="1" t="str">
        <f t="shared" si="2166"/>
        <v>X</v>
      </c>
      <c r="J9819" s="1" t="str">
        <f t="shared" si="2166"/>
        <v>X</v>
      </c>
      <c r="K9819" s="1" t="str">
        <f t="shared" si="2166"/>
        <v>X</v>
      </c>
      <c r="L9819" s="1" t="str">
        <f t="shared" si="2166"/>
        <v>X</v>
      </c>
      <c r="M9819" s="1" t="str">
        <f t="shared" si="2166"/>
        <v>X</v>
      </c>
      <c r="N9819" t="s">
        <v>27</v>
      </c>
    </row>
    <row r="9820" spans="1:14" x14ac:dyDescent="0.25">
      <c r="A9820" t="s">
        <v>43</v>
      </c>
      <c r="B9820" t="s">
        <v>40</v>
      </c>
      <c r="C9820" t="s">
        <v>35</v>
      </c>
      <c r="D9820" t="s">
        <v>15</v>
      </c>
      <c r="E9820" t="s">
        <v>23</v>
      </c>
      <c r="F9820" t="s">
        <v>19</v>
      </c>
      <c r="G9820" s="1" t="str">
        <f t="shared" si="2166"/>
        <v>X</v>
      </c>
      <c r="H9820" s="1" t="str">
        <f t="shared" si="2166"/>
        <v>X</v>
      </c>
      <c r="I9820" s="1" t="str">
        <f t="shared" si="2166"/>
        <v>X</v>
      </c>
      <c r="J9820" s="1" t="str">
        <f t="shared" si="2166"/>
        <v>X</v>
      </c>
      <c r="K9820" s="1" t="str">
        <f t="shared" si="2166"/>
        <v>X</v>
      </c>
      <c r="L9820" s="1" t="str">
        <f t="shared" si="2166"/>
        <v>X</v>
      </c>
      <c r="M9820" s="1" t="str">
        <f t="shared" si="2166"/>
        <v>X</v>
      </c>
      <c r="N9820" t="s">
        <v>27</v>
      </c>
    </row>
    <row r="9821" spans="1:14" x14ac:dyDescent="0.25">
      <c r="A9821" t="s">
        <v>43</v>
      </c>
      <c r="B9821" t="s">
        <v>40</v>
      </c>
      <c r="C9821" t="s">
        <v>35</v>
      </c>
      <c r="D9821" t="s">
        <v>15</v>
      </c>
      <c r="E9821" t="s">
        <v>23</v>
      </c>
      <c r="F9821" t="s">
        <v>20</v>
      </c>
      <c r="G9821" s="2">
        <f>VALUE(1042.75)</f>
        <v>1042.75</v>
      </c>
      <c r="H9821" s="3">
        <f>VALUE(805.76)</f>
        <v>805.76</v>
      </c>
      <c r="I9821" s="1">
        <f>VALUE(2671)</f>
        <v>2671</v>
      </c>
      <c r="J9821" s="1">
        <f>VALUE(2929)</f>
        <v>2929</v>
      </c>
      <c r="K9821" s="1">
        <f>VALUE(3227)</f>
        <v>3227</v>
      </c>
      <c r="L9821" s="1">
        <f>VALUE(3561)</f>
        <v>3561</v>
      </c>
      <c r="M9821" s="1">
        <f>VALUE(3857)</f>
        <v>3857</v>
      </c>
      <c r="N9821" t="s">
        <v>25</v>
      </c>
    </row>
    <row r="9822" spans="1:14" x14ac:dyDescent="0.25">
      <c r="A9822" t="s">
        <v>43</v>
      </c>
      <c r="B9822" t="s">
        <v>40</v>
      </c>
      <c r="C9822" t="s">
        <v>35</v>
      </c>
      <c r="D9822" t="s">
        <v>15</v>
      </c>
      <c r="E9822" t="s">
        <v>26</v>
      </c>
      <c r="F9822" t="s">
        <v>15</v>
      </c>
      <c r="G9822" s="1" t="str">
        <f t="shared" ref="G9822:M9822" si="2167">"X"</f>
        <v>X</v>
      </c>
      <c r="H9822" s="1" t="str">
        <f t="shared" si="2167"/>
        <v>X</v>
      </c>
      <c r="I9822" s="1" t="str">
        <f t="shared" si="2167"/>
        <v>X</v>
      </c>
      <c r="J9822" s="1" t="str">
        <f t="shared" si="2167"/>
        <v>X</v>
      </c>
      <c r="K9822" s="1" t="str">
        <f t="shared" si="2167"/>
        <v>X</v>
      </c>
      <c r="L9822" s="1" t="str">
        <f t="shared" si="2167"/>
        <v>X</v>
      </c>
      <c r="M9822" s="1" t="str">
        <f t="shared" si="2167"/>
        <v>X</v>
      </c>
      <c r="N9822" t="s">
        <v>27</v>
      </c>
    </row>
    <row r="9823" spans="1:14" x14ac:dyDescent="0.25">
      <c r="A9823" t="s">
        <v>43</v>
      </c>
      <c r="B9823" t="s">
        <v>40</v>
      </c>
      <c r="C9823" t="s">
        <v>35</v>
      </c>
      <c r="D9823" t="s">
        <v>15</v>
      </c>
      <c r="E9823" t="s">
        <v>26</v>
      </c>
      <c r="F9823" t="s">
        <v>17</v>
      </c>
      <c r="G9823" s="1" t="str">
        <f t="shared" ref="G9823:M9825" si="2168">"..."</f>
        <v>...</v>
      </c>
      <c r="H9823" s="1" t="str">
        <f t="shared" si="2168"/>
        <v>...</v>
      </c>
      <c r="I9823" s="1" t="str">
        <f t="shared" si="2168"/>
        <v>...</v>
      </c>
      <c r="J9823" s="1" t="str">
        <f t="shared" si="2168"/>
        <v>...</v>
      </c>
      <c r="K9823" s="1" t="str">
        <f t="shared" si="2168"/>
        <v>...</v>
      </c>
      <c r="L9823" s="1" t="str">
        <f t="shared" si="2168"/>
        <v>...</v>
      </c>
      <c r="M9823" s="1" t="str">
        <f t="shared" si="2168"/>
        <v>...</v>
      </c>
      <c r="N9823" t="s">
        <v>30</v>
      </c>
    </row>
    <row r="9824" spans="1:14" x14ac:dyDescent="0.25">
      <c r="A9824" t="s">
        <v>43</v>
      </c>
      <c r="B9824" t="s">
        <v>40</v>
      </c>
      <c r="C9824" t="s">
        <v>35</v>
      </c>
      <c r="D9824" t="s">
        <v>15</v>
      </c>
      <c r="E9824" t="s">
        <v>26</v>
      </c>
      <c r="F9824" t="s">
        <v>18</v>
      </c>
      <c r="G9824" s="1" t="str">
        <f t="shared" si="2168"/>
        <v>...</v>
      </c>
      <c r="H9824" s="1" t="str">
        <f t="shared" si="2168"/>
        <v>...</v>
      </c>
      <c r="I9824" s="1" t="str">
        <f t="shared" si="2168"/>
        <v>...</v>
      </c>
      <c r="J9824" s="1" t="str">
        <f t="shared" si="2168"/>
        <v>...</v>
      </c>
      <c r="K9824" s="1" t="str">
        <f t="shared" si="2168"/>
        <v>...</v>
      </c>
      <c r="L9824" s="1" t="str">
        <f t="shared" si="2168"/>
        <v>...</v>
      </c>
      <c r="M9824" s="1" t="str">
        <f t="shared" si="2168"/>
        <v>...</v>
      </c>
      <c r="N9824" t="s">
        <v>30</v>
      </c>
    </row>
    <row r="9825" spans="1:14" x14ac:dyDescent="0.25">
      <c r="A9825" t="s">
        <v>43</v>
      </c>
      <c r="B9825" t="s">
        <v>40</v>
      </c>
      <c r="C9825" t="s">
        <v>35</v>
      </c>
      <c r="D9825" t="s">
        <v>15</v>
      </c>
      <c r="E9825" t="s">
        <v>26</v>
      </c>
      <c r="F9825" t="s">
        <v>19</v>
      </c>
      <c r="G9825" s="1" t="str">
        <f t="shared" si="2168"/>
        <v>...</v>
      </c>
      <c r="H9825" s="1" t="str">
        <f t="shared" si="2168"/>
        <v>...</v>
      </c>
      <c r="I9825" s="1" t="str">
        <f t="shared" si="2168"/>
        <v>...</v>
      </c>
      <c r="J9825" s="1" t="str">
        <f t="shared" si="2168"/>
        <v>...</v>
      </c>
      <c r="K9825" s="1" t="str">
        <f t="shared" si="2168"/>
        <v>...</v>
      </c>
      <c r="L9825" s="1" t="str">
        <f t="shared" si="2168"/>
        <v>...</v>
      </c>
      <c r="M9825" s="1" t="str">
        <f t="shared" si="2168"/>
        <v>...</v>
      </c>
      <c r="N9825" t="s">
        <v>30</v>
      </c>
    </row>
    <row r="9826" spans="1:14" x14ac:dyDescent="0.25">
      <c r="A9826" t="s">
        <v>43</v>
      </c>
      <c r="B9826" t="s">
        <v>40</v>
      </c>
      <c r="C9826" t="s">
        <v>35</v>
      </c>
      <c r="D9826" t="s">
        <v>15</v>
      </c>
      <c r="E9826" t="s">
        <v>26</v>
      </c>
      <c r="F9826" t="s">
        <v>20</v>
      </c>
      <c r="G9826" s="1" t="str">
        <f t="shared" ref="G9826:M9826" si="2169">"X"</f>
        <v>X</v>
      </c>
      <c r="H9826" s="1" t="str">
        <f t="shared" si="2169"/>
        <v>X</v>
      </c>
      <c r="I9826" s="1" t="str">
        <f t="shared" si="2169"/>
        <v>X</v>
      </c>
      <c r="J9826" s="1" t="str">
        <f t="shared" si="2169"/>
        <v>X</v>
      </c>
      <c r="K9826" s="1" t="str">
        <f t="shared" si="2169"/>
        <v>X</v>
      </c>
      <c r="L9826" s="1" t="str">
        <f t="shared" si="2169"/>
        <v>X</v>
      </c>
      <c r="M9826" s="1" t="str">
        <f t="shared" si="2169"/>
        <v>X</v>
      </c>
      <c r="N9826" t="s">
        <v>27</v>
      </c>
    </row>
    <row r="9827" spans="1:14" x14ac:dyDescent="0.25">
      <c r="A9827" t="s">
        <v>43</v>
      </c>
      <c r="B9827" t="s">
        <v>40</v>
      </c>
      <c r="C9827" t="s">
        <v>35</v>
      </c>
      <c r="D9827" t="s">
        <v>28</v>
      </c>
      <c r="E9827" t="s">
        <v>15</v>
      </c>
      <c r="F9827" t="s">
        <v>15</v>
      </c>
      <c r="G9827" s="2">
        <f>VALUE(1416.43)</f>
        <v>1416.43</v>
      </c>
      <c r="H9827" s="3">
        <f>VALUE(1161.66)</f>
        <v>1161.6600000000001</v>
      </c>
      <c r="I9827" s="1">
        <f>VALUE(3333)</f>
        <v>3333</v>
      </c>
      <c r="J9827" s="1">
        <f>VALUE(3659)</f>
        <v>3659</v>
      </c>
      <c r="K9827" s="1">
        <f>VALUE(3957)</f>
        <v>3957</v>
      </c>
      <c r="L9827" s="1">
        <f>VALUE(4445)</f>
        <v>4445</v>
      </c>
      <c r="M9827" s="1">
        <f>VALUE(5013)</f>
        <v>5013</v>
      </c>
      <c r="N9827" t="s">
        <v>25</v>
      </c>
    </row>
    <row r="9828" spans="1:14" x14ac:dyDescent="0.25">
      <c r="A9828" t="s">
        <v>43</v>
      </c>
      <c r="B9828" t="s">
        <v>40</v>
      </c>
      <c r="C9828" t="s">
        <v>35</v>
      </c>
      <c r="D9828" t="s">
        <v>28</v>
      </c>
      <c r="E9828" t="s">
        <v>15</v>
      </c>
      <c r="F9828" t="s">
        <v>17</v>
      </c>
      <c r="G9828" s="1" t="str">
        <f t="shared" ref="G9828:M9830" si="2170">"X"</f>
        <v>X</v>
      </c>
      <c r="H9828" s="1" t="str">
        <f t="shared" si="2170"/>
        <v>X</v>
      </c>
      <c r="I9828" s="1" t="str">
        <f t="shared" si="2170"/>
        <v>X</v>
      </c>
      <c r="J9828" s="1" t="str">
        <f t="shared" si="2170"/>
        <v>X</v>
      </c>
      <c r="K9828" s="1" t="str">
        <f t="shared" si="2170"/>
        <v>X</v>
      </c>
      <c r="L9828" s="1" t="str">
        <f t="shared" si="2170"/>
        <v>X</v>
      </c>
      <c r="M9828" s="1" t="str">
        <f t="shared" si="2170"/>
        <v>X</v>
      </c>
      <c r="N9828" t="s">
        <v>27</v>
      </c>
    </row>
    <row r="9829" spans="1:14" x14ac:dyDescent="0.25">
      <c r="A9829" t="s">
        <v>43</v>
      </c>
      <c r="B9829" t="s">
        <v>40</v>
      </c>
      <c r="C9829" t="s">
        <v>35</v>
      </c>
      <c r="D9829" t="s">
        <v>28</v>
      </c>
      <c r="E9829" t="s">
        <v>15</v>
      </c>
      <c r="F9829" t="s">
        <v>18</v>
      </c>
      <c r="G9829" s="1" t="str">
        <f t="shared" si="2170"/>
        <v>X</v>
      </c>
      <c r="H9829" s="1" t="str">
        <f t="shared" si="2170"/>
        <v>X</v>
      </c>
      <c r="I9829" s="1" t="str">
        <f t="shared" si="2170"/>
        <v>X</v>
      </c>
      <c r="J9829" s="1" t="str">
        <f t="shared" si="2170"/>
        <v>X</v>
      </c>
      <c r="K9829" s="1" t="str">
        <f t="shared" si="2170"/>
        <v>X</v>
      </c>
      <c r="L9829" s="1" t="str">
        <f t="shared" si="2170"/>
        <v>X</v>
      </c>
      <c r="M9829" s="1" t="str">
        <f t="shared" si="2170"/>
        <v>X</v>
      </c>
      <c r="N9829" t="s">
        <v>27</v>
      </c>
    </row>
    <row r="9830" spans="1:14" x14ac:dyDescent="0.25">
      <c r="A9830" t="s">
        <v>43</v>
      </c>
      <c r="B9830" t="s">
        <v>40</v>
      </c>
      <c r="C9830" t="s">
        <v>35</v>
      </c>
      <c r="D9830" t="s">
        <v>28</v>
      </c>
      <c r="E9830" t="s">
        <v>15</v>
      </c>
      <c r="F9830" t="s">
        <v>19</v>
      </c>
      <c r="G9830" s="1" t="str">
        <f t="shared" si="2170"/>
        <v>X</v>
      </c>
      <c r="H9830" s="1" t="str">
        <f t="shared" si="2170"/>
        <v>X</v>
      </c>
      <c r="I9830" s="1" t="str">
        <f t="shared" si="2170"/>
        <v>X</v>
      </c>
      <c r="J9830" s="1" t="str">
        <f t="shared" si="2170"/>
        <v>X</v>
      </c>
      <c r="K9830" s="1" t="str">
        <f t="shared" si="2170"/>
        <v>X</v>
      </c>
      <c r="L9830" s="1" t="str">
        <f t="shared" si="2170"/>
        <v>X</v>
      </c>
      <c r="M9830" s="1" t="str">
        <f t="shared" si="2170"/>
        <v>X</v>
      </c>
      <c r="N9830" t="s">
        <v>27</v>
      </c>
    </row>
    <row r="9831" spans="1:14" x14ac:dyDescent="0.25">
      <c r="A9831" t="s">
        <v>43</v>
      </c>
      <c r="B9831" t="s">
        <v>40</v>
      </c>
      <c r="C9831" t="s">
        <v>35</v>
      </c>
      <c r="D9831" t="s">
        <v>28</v>
      </c>
      <c r="E9831" t="s">
        <v>15</v>
      </c>
      <c r="F9831" t="s">
        <v>20</v>
      </c>
      <c r="G9831" s="2">
        <f>VALUE(1146.5)</f>
        <v>1146.5</v>
      </c>
      <c r="H9831" s="3">
        <f>VALUE(930.84)</f>
        <v>930.84</v>
      </c>
      <c r="I9831" s="1">
        <f>VALUE(3268)</f>
        <v>3268</v>
      </c>
      <c r="J9831" s="1">
        <f>VALUE(3630)</f>
        <v>3630</v>
      </c>
      <c r="K9831" s="1">
        <f>VALUE(3957)</f>
        <v>3957</v>
      </c>
      <c r="L9831" s="1">
        <f>VALUE(4445)</f>
        <v>4445</v>
      </c>
      <c r="M9831" s="1">
        <f>VALUE(5018)</f>
        <v>5018</v>
      </c>
      <c r="N9831" t="s">
        <v>25</v>
      </c>
    </row>
    <row r="9832" spans="1:14" x14ac:dyDescent="0.25">
      <c r="A9832" t="s">
        <v>43</v>
      </c>
      <c r="B9832" t="s">
        <v>40</v>
      </c>
      <c r="C9832" t="s">
        <v>35</v>
      </c>
      <c r="D9832" t="s">
        <v>28</v>
      </c>
      <c r="E9832" t="s">
        <v>21</v>
      </c>
      <c r="F9832" t="s">
        <v>15</v>
      </c>
      <c r="G9832" s="1" t="str">
        <f t="shared" ref="G9832:M9836" si="2171">"X"</f>
        <v>X</v>
      </c>
      <c r="H9832" s="1" t="str">
        <f t="shared" si="2171"/>
        <v>X</v>
      </c>
      <c r="I9832" s="1" t="str">
        <f t="shared" si="2171"/>
        <v>X</v>
      </c>
      <c r="J9832" s="1" t="str">
        <f t="shared" si="2171"/>
        <v>X</v>
      </c>
      <c r="K9832" s="1" t="str">
        <f t="shared" si="2171"/>
        <v>X</v>
      </c>
      <c r="L9832" s="1" t="str">
        <f t="shared" si="2171"/>
        <v>X</v>
      </c>
      <c r="M9832" s="1" t="str">
        <f t="shared" si="2171"/>
        <v>X</v>
      </c>
      <c r="N9832" t="s">
        <v>27</v>
      </c>
    </row>
    <row r="9833" spans="1:14" x14ac:dyDescent="0.25">
      <c r="A9833" t="s">
        <v>43</v>
      </c>
      <c r="B9833" t="s">
        <v>40</v>
      </c>
      <c r="C9833" t="s">
        <v>35</v>
      </c>
      <c r="D9833" t="s">
        <v>28</v>
      </c>
      <c r="E9833" t="s">
        <v>21</v>
      </c>
      <c r="F9833" t="s">
        <v>17</v>
      </c>
      <c r="G9833" s="1" t="str">
        <f t="shared" si="2171"/>
        <v>X</v>
      </c>
      <c r="H9833" s="1" t="str">
        <f t="shared" si="2171"/>
        <v>X</v>
      </c>
      <c r="I9833" s="1" t="str">
        <f t="shared" si="2171"/>
        <v>X</v>
      </c>
      <c r="J9833" s="1" t="str">
        <f t="shared" si="2171"/>
        <v>X</v>
      </c>
      <c r="K9833" s="1" t="str">
        <f t="shared" si="2171"/>
        <v>X</v>
      </c>
      <c r="L9833" s="1" t="str">
        <f t="shared" si="2171"/>
        <v>X</v>
      </c>
      <c r="M9833" s="1" t="str">
        <f t="shared" si="2171"/>
        <v>X</v>
      </c>
      <c r="N9833" t="s">
        <v>27</v>
      </c>
    </row>
    <row r="9834" spans="1:14" x14ac:dyDescent="0.25">
      <c r="A9834" t="s">
        <v>43</v>
      </c>
      <c r="B9834" t="s">
        <v>40</v>
      </c>
      <c r="C9834" t="s">
        <v>35</v>
      </c>
      <c r="D9834" t="s">
        <v>28</v>
      </c>
      <c r="E9834" t="s">
        <v>21</v>
      </c>
      <c r="F9834" t="s">
        <v>18</v>
      </c>
      <c r="G9834" s="1" t="str">
        <f t="shared" si="2171"/>
        <v>X</v>
      </c>
      <c r="H9834" s="1" t="str">
        <f t="shared" si="2171"/>
        <v>X</v>
      </c>
      <c r="I9834" s="1" t="str">
        <f t="shared" si="2171"/>
        <v>X</v>
      </c>
      <c r="J9834" s="1" t="str">
        <f t="shared" si="2171"/>
        <v>X</v>
      </c>
      <c r="K9834" s="1" t="str">
        <f t="shared" si="2171"/>
        <v>X</v>
      </c>
      <c r="L9834" s="1" t="str">
        <f t="shared" si="2171"/>
        <v>X</v>
      </c>
      <c r="M9834" s="1" t="str">
        <f t="shared" si="2171"/>
        <v>X</v>
      </c>
      <c r="N9834" t="s">
        <v>27</v>
      </c>
    </row>
    <row r="9835" spans="1:14" x14ac:dyDescent="0.25">
      <c r="A9835" t="s">
        <v>43</v>
      </c>
      <c r="B9835" t="s">
        <v>40</v>
      </c>
      <c r="C9835" t="s">
        <v>35</v>
      </c>
      <c r="D9835" t="s">
        <v>28</v>
      </c>
      <c r="E9835" t="s">
        <v>21</v>
      </c>
      <c r="F9835" t="s">
        <v>19</v>
      </c>
      <c r="G9835" s="1" t="str">
        <f t="shared" si="2171"/>
        <v>X</v>
      </c>
      <c r="H9835" s="1" t="str">
        <f t="shared" si="2171"/>
        <v>X</v>
      </c>
      <c r="I9835" s="1" t="str">
        <f t="shared" si="2171"/>
        <v>X</v>
      </c>
      <c r="J9835" s="1" t="str">
        <f t="shared" si="2171"/>
        <v>X</v>
      </c>
      <c r="K9835" s="1" t="str">
        <f t="shared" si="2171"/>
        <v>X</v>
      </c>
      <c r="L9835" s="1" t="str">
        <f t="shared" si="2171"/>
        <v>X</v>
      </c>
      <c r="M9835" s="1" t="str">
        <f t="shared" si="2171"/>
        <v>X</v>
      </c>
      <c r="N9835" t="s">
        <v>27</v>
      </c>
    </row>
    <row r="9836" spans="1:14" x14ac:dyDescent="0.25">
      <c r="A9836" t="s">
        <v>43</v>
      </c>
      <c r="B9836" t="s">
        <v>40</v>
      </c>
      <c r="C9836" t="s">
        <v>35</v>
      </c>
      <c r="D9836" t="s">
        <v>28</v>
      </c>
      <c r="E9836" t="s">
        <v>21</v>
      </c>
      <c r="F9836" t="s">
        <v>20</v>
      </c>
      <c r="G9836" s="1" t="str">
        <f t="shared" si="2171"/>
        <v>X</v>
      </c>
      <c r="H9836" s="1" t="str">
        <f t="shared" si="2171"/>
        <v>X</v>
      </c>
      <c r="I9836" s="1" t="str">
        <f t="shared" si="2171"/>
        <v>X</v>
      </c>
      <c r="J9836" s="1" t="str">
        <f t="shared" si="2171"/>
        <v>X</v>
      </c>
      <c r="K9836" s="1" t="str">
        <f t="shared" si="2171"/>
        <v>X</v>
      </c>
      <c r="L9836" s="1" t="str">
        <f t="shared" si="2171"/>
        <v>X</v>
      </c>
      <c r="M9836" s="1" t="str">
        <f t="shared" si="2171"/>
        <v>X</v>
      </c>
      <c r="N9836" t="s">
        <v>27</v>
      </c>
    </row>
    <row r="9837" spans="1:14" x14ac:dyDescent="0.25">
      <c r="A9837" t="s">
        <v>43</v>
      </c>
      <c r="B9837" t="s">
        <v>40</v>
      </c>
      <c r="C9837" t="s">
        <v>35</v>
      </c>
      <c r="D9837" t="s">
        <v>28</v>
      </c>
      <c r="E9837" t="s">
        <v>22</v>
      </c>
      <c r="F9837" t="s">
        <v>15</v>
      </c>
      <c r="G9837" s="2">
        <f>VALUE(997.16)</f>
        <v>997.16</v>
      </c>
      <c r="H9837" s="3">
        <f>VALUE(876.35)</f>
        <v>876.35</v>
      </c>
      <c r="I9837" s="1">
        <f>VALUE(3405)</f>
        <v>3405</v>
      </c>
      <c r="J9837" s="1">
        <f>VALUE(3649)</f>
        <v>3649</v>
      </c>
      <c r="K9837" s="1">
        <f>VALUE(4004)</f>
        <v>4004</v>
      </c>
      <c r="L9837" s="1">
        <f>VALUE(4445)</f>
        <v>4445</v>
      </c>
      <c r="M9837" s="1">
        <f>VALUE(4951)</f>
        <v>4951</v>
      </c>
      <c r="N9837" t="s">
        <v>25</v>
      </c>
    </row>
    <row r="9838" spans="1:14" x14ac:dyDescent="0.25">
      <c r="A9838" t="s">
        <v>43</v>
      </c>
      <c r="B9838" t="s">
        <v>40</v>
      </c>
      <c r="C9838" t="s">
        <v>35</v>
      </c>
      <c r="D9838" t="s">
        <v>28</v>
      </c>
      <c r="E9838" t="s">
        <v>22</v>
      </c>
      <c r="F9838" t="s">
        <v>17</v>
      </c>
      <c r="G9838" s="1" t="str">
        <f t="shared" ref="G9838:M9840" si="2172">"X"</f>
        <v>X</v>
      </c>
      <c r="H9838" s="1" t="str">
        <f t="shared" si="2172"/>
        <v>X</v>
      </c>
      <c r="I9838" s="1" t="str">
        <f t="shared" si="2172"/>
        <v>X</v>
      </c>
      <c r="J9838" s="1" t="str">
        <f t="shared" si="2172"/>
        <v>X</v>
      </c>
      <c r="K9838" s="1" t="str">
        <f t="shared" si="2172"/>
        <v>X</v>
      </c>
      <c r="L9838" s="1" t="str">
        <f t="shared" si="2172"/>
        <v>X</v>
      </c>
      <c r="M9838" s="1" t="str">
        <f t="shared" si="2172"/>
        <v>X</v>
      </c>
      <c r="N9838" t="s">
        <v>27</v>
      </c>
    </row>
    <row r="9839" spans="1:14" x14ac:dyDescent="0.25">
      <c r="A9839" t="s">
        <v>43</v>
      </c>
      <c r="B9839" t="s">
        <v>40</v>
      </c>
      <c r="C9839" t="s">
        <v>35</v>
      </c>
      <c r="D9839" t="s">
        <v>28</v>
      </c>
      <c r="E9839" t="s">
        <v>22</v>
      </c>
      <c r="F9839" t="s">
        <v>18</v>
      </c>
      <c r="G9839" s="1" t="str">
        <f t="shared" si="2172"/>
        <v>X</v>
      </c>
      <c r="H9839" s="1" t="str">
        <f t="shared" si="2172"/>
        <v>X</v>
      </c>
      <c r="I9839" s="1" t="str">
        <f t="shared" si="2172"/>
        <v>X</v>
      </c>
      <c r="J9839" s="1" t="str">
        <f t="shared" si="2172"/>
        <v>X</v>
      </c>
      <c r="K9839" s="1" t="str">
        <f t="shared" si="2172"/>
        <v>X</v>
      </c>
      <c r="L9839" s="1" t="str">
        <f t="shared" si="2172"/>
        <v>X</v>
      </c>
      <c r="M9839" s="1" t="str">
        <f t="shared" si="2172"/>
        <v>X</v>
      </c>
      <c r="N9839" t="s">
        <v>27</v>
      </c>
    </row>
    <row r="9840" spans="1:14" x14ac:dyDescent="0.25">
      <c r="A9840" t="s">
        <v>43</v>
      </c>
      <c r="B9840" t="s">
        <v>40</v>
      </c>
      <c r="C9840" t="s">
        <v>35</v>
      </c>
      <c r="D9840" t="s">
        <v>28</v>
      </c>
      <c r="E9840" t="s">
        <v>22</v>
      </c>
      <c r="F9840" t="s">
        <v>19</v>
      </c>
      <c r="G9840" s="1" t="str">
        <f t="shared" si="2172"/>
        <v>X</v>
      </c>
      <c r="H9840" s="1" t="str">
        <f t="shared" si="2172"/>
        <v>X</v>
      </c>
      <c r="I9840" s="1" t="str">
        <f t="shared" si="2172"/>
        <v>X</v>
      </c>
      <c r="J9840" s="1" t="str">
        <f t="shared" si="2172"/>
        <v>X</v>
      </c>
      <c r="K9840" s="1" t="str">
        <f t="shared" si="2172"/>
        <v>X</v>
      </c>
      <c r="L9840" s="1" t="str">
        <f t="shared" si="2172"/>
        <v>X</v>
      </c>
      <c r="M9840" s="1" t="str">
        <f t="shared" si="2172"/>
        <v>X</v>
      </c>
      <c r="N9840" t="s">
        <v>27</v>
      </c>
    </row>
    <row r="9841" spans="1:14" x14ac:dyDescent="0.25">
      <c r="A9841" t="s">
        <v>43</v>
      </c>
      <c r="B9841" t="s">
        <v>40</v>
      </c>
      <c r="C9841" t="s">
        <v>35</v>
      </c>
      <c r="D9841" t="s">
        <v>28</v>
      </c>
      <c r="E9841" t="s">
        <v>22</v>
      </c>
      <c r="F9841" t="s">
        <v>20</v>
      </c>
      <c r="G9841" s="2">
        <f>VALUE(829.81)</f>
        <v>829.81</v>
      </c>
      <c r="H9841" s="3">
        <f>VALUE(740.45)</f>
        <v>740.45</v>
      </c>
      <c r="I9841" s="1">
        <f>VALUE(3392)</f>
        <v>3392</v>
      </c>
      <c r="J9841" s="1">
        <f>VALUE(3638)</f>
        <v>3638</v>
      </c>
      <c r="K9841" s="1">
        <f>VALUE(3944)</f>
        <v>3944</v>
      </c>
      <c r="L9841" s="1">
        <f>VALUE(4445)</f>
        <v>4445</v>
      </c>
      <c r="M9841" s="1">
        <f>VALUE(5004)</f>
        <v>5004</v>
      </c>
      <c r="N9841" t="s">
        <v>25</v>
      </c>
    </row>
    <row r="9842" spans="1:14" x14ac:dyDescent="0.25">
      <c r="A9842" t="s">
        <v>43</v>
      </c>
      <c r="B9842" t="s">
        <v>40</v>
      </c>
      <c r="C9842" t="s">
        <v>35</v>
      </c>
      <c r="D9842" t="s">
        <v>28</v>
      </c>
      <c r="E9842" t="s">
        <v>23</v>
      </c>
      <c r="F9842" t="s">
        <v>15</v>
      </c>
      <c r="G9842" s="2">
        <f>VALUE(165.09)</f>
        <v>165.09</v>
      </c>
      <c r="H9842" s="3">
        <f>VALUE(81.07)</f>
        <v>81.069999999999993</v>
      </c>
      <c r="I9842" s="4">
        <f>VALUE(2426)</f>
        <v>2426</v>
      </c>
      <c r="J9842" s="5">
        <f>VALUE(2583)</f>
        <v>2583</v>
      </c>
      <c r="K9842" s="1">
        <f>VALUE(3500)</f>
        <v>3500</v>
      </c>
      <c r="L9842" s="7">
        <f>VALUE(3910)</f>
        <v>3910</v>
      </c>
      <c r="M9842" s="8">
        <f>VALUE(4707)</f>
        <v>4707</v>
      </c>
      <c r="N9842" t="s">
        <v>25</v>
      </c>
    </row>
    <row r="9843" spans="1:14" x14ac:dyDescent="0.25">
      <c r="A9843" t="s">
        <v>43</v>
      </c>
      <c r="B9843" t="s">
        <v>40</v>
      </c>
      <c r="C9843" t="s">
        <v>35</v>
      </c>
      <c r="D9843" t="s">
        <v>28</v>
      </c>
      <c r="E9843" t="s">
        <v>23</v>
      </c>
      <c r="F9843" t="s">
        <v>17</v>
      </c>
      <c r="G9843" s="1" t="str">
        <f t="shared" ref="G9843:M9843" si="2173">"..."</f>
        <v>...</v>
      </c>
      <c r="H9843" s="1" t="str">
        <f t="shared" si="2173"/>
        <v>...</v>
      </c>
      <c r="I9843" s="1" t="str">
        <f t="shared" si="2173"/>
        <v>...</v>
      </c>
      <c r="J9843" s="1" t="str">
        <f t="shared" si="2173"/>
        <v>...</v>
      </c>
      <c r="K9843" s="1" t="str">
        <f t="shared" si="2173"/>
        <v>...</v>
      </c>
      <c r="L9843" s="1" t="str">
        <f t="shared" si="2173"/>
        <v>...</v>
      </c>
      <c r="M9843" s="1" t="str">
        <f t="shared" si="2173"/>
        <v>...</v>
      </c>
      <c r="N9843" t="s">
        <v>30</v>
      </c>
    </row>
    <row r="9844" spans="1:14" x14ac:dyDescent="0.25">
      <c r="A9844" t="s">
        <v>43</v>
      </c>
      <c r="B9844" t="s">
        <v>40</v>
      </c>
      <c r="C9844" t="s">
        <v>35</v>
      </c>
      <c r="D9844" t="s">
        <v>28</v>
      </c>
      <c r="E9844" t="s">
        <v>23</v>
      </c>
      <c r="F9844" t="s">
        <v>18</v>
      </c>
      <c r="G9844" s="1" t="str">
        <f t="shared" ref="G9844:M9845" si="2174">"X"</f>
        <v>X</v>
      </c>
      <c r="H9844" s="1" t="str">
        <f t="shared" si="2174"/>
        <v>X</v>
      </c>
      <c r="I9844" s="1" t="str">
        <f t="shared" si="2174"/>
        <v>X</v>
      </c>
      <c r="J9844" s="1" t="str">
        <f t="shared" si="2174"/>
        <v>X</v>
      </c>
      <c r="K9844" s="1" t="str">
        <f t="shared" si="2174"/>
        <v>X</v>
      </c>
      <c r="L9844" s="1" t="str">
        <f t="shared" si="2174"/>
        <v>X</v>
      </c>
      <c r="M9844" s="1" t="str">
        <f t="shared" si="2174"/>
        <v>X</v>
      </c>
      <c r="N9844" t="s">
        <v>27</v>
      </c>
    </row>
    <row r="9845" spans="1:14" x14ac:dyDescent="0.25">
      <c r="A9845" t="s">
        <v>43</v>
      </c>
      <c r="B9845" t="s">
        <v>40</v>
      </c>
      <c r="C9845" t="s">
        <v>35</v>
      </c>
      <c r="D9845" t="s">
        <v>28</v>
      </c>
      <c r="E9845" t="s">
        <v>23</v>
      </c>
      <c r="F9845" t="s">
        <v>19</v>
      </c>
      <c r="G9845" s="1" t="str">
        <f t="shared" si="2174"/>
        <v>X</v>
      </c>
      <c r="H9845" s="1" t="str">
        <f t="shared" si="2174"/>
        <v>X</v>
      </c>
      <c r="I9845" s="1" t="str">
        <f t="shared" si="2174"/>
        <v>X</v>
      </c>
      <c r="J9845" s="1" t="str">
        <f t="shared" si="2174"/>
        <v>X</v>
      </c>
      <c r="K9845" s="1" t="str">
        <f t="shared" si="2174"/>
        <v>X</v>
      </c>
      <c r="L9845" s="1" t="str">
        <f t="shared" si="2174"/>
        <v>X</v>
      </c>
      <c r="M9845" s="1" t="str">
        <f t="shared" si="2174"/>
        <v>X</v>
      </c>
      <c r="N9845" t="s">
        <v>27</v>
      </c>
    </row>
    <row r="9846" spans="1:14" x14ac:dyDescent="0.25">
      <c r="A9846" t="s">
        <v>43</v>
      </c>
      <c r="B9846" t="s">
        <v>40</v>
      </c>
      <c r="C9846" t="s">
        <v>35</v>
      </c>
      <c r="D9846" t="s">
        <v>28</v>
      </c>
      <c r="E9846" t="s">
        <v>23</v>
      </c>
      <c r="F9846" t="s">
        <v>20</v>
      </c>
      <c r="G9846" s="2">
        <f>VALUE(152.01)</f>
        <v>152.01</v>
      </c>
      <c r="H9846" s="3">
        <f>VALUE(73.26)</f>
        <v>73.260000000000005</v>
      </c>
      <c r="I9846" s="1">
        <f>VALUE(2463)</f>
        <v>2463</v>
      </c>
      <c r="J9846" s="5">
        <f>VALUE(3000)</f>
        <v>3000</v>
      </c>
      <c r="K9846" s="1">
        <f>VALUE(3551)</f>
        <v>3551</v>
      </c>
      <c r="L9846" s="7">
        <f>VALUE(3910)</f>
        <v>3910</v>
      </c>
      <c r="M9846" s="8">
        <f>VALUE(4967)</f>
        <v>4967</v>
      </c>
      <c r="N9846" t="s">
        <v>25</v>
      </c>
    </row>
    <row r="9847" spans="1:14" x14ac:dyDescent="0.25">
      <c r="A9847" t="s">
        <v>43</v>
      </c>
      <c r="B9847" t="s">
        <v>40</v>
      </c>
      <c r="C9847" t="s">
        <v>35</v>
      </c>
      <c r="D9847" t="s">
        <v>28</v>
      </c>
      <c r="E9847" t="s">
        <v>26</v>
      </c>
      <c r="F9847" t="s">
        <v>15</v>
      </c>
      <c r="G9847" s="1" t="str">
        <f t="shared" ref="G9847:M9847" si="2175">"X"</f>
        <v>X</v>
      </c>
      <c r="H9847" s="1" t="str">
        <f t="shared" si="2175"/>
        <v>X</v>
      </c>
      <c r="I9847" s="1" t="str">
        <f t="shared" si="2175"/>
        <v>X</v>
      </c>
      <c r="J9847" s="1" t="str">
        <f t="shared" si="2175"/>
        <v>X</v>
      </c>
      <c r="K9847" s="1" t="str">
        <f t="shared" si="2175"/>
        <v>X</v>
      </c>
      <c r="L9847" s="1" t="str">
        <f t="shared" si="2175"/>
        <v>X</v>
      </c>
      <c r="M9847" s="1" t="str">
        <f t="shared" si="2175"/>
        <v>X</v>
      </c>
      <c r="N9847" t="s">
        <v>27</v>
      </c>
    </row>
    <row r="9848" spans="1:14" x14ac:dyDescent="0.25">
      <c r="A9848" t="s">
        <v>43</v>
      </c>
      <c r="B9848" t="s">
        <v>40</v>
      </c>
      <c r="C9848" t="s">
        <v>35</v>
      </c>
      <c r="D9848" t="s">
        <v>28</v>
      </c>
      <c r="E9848" t="s">
        <v>26</v>
      </c>
      <c r="F9848" t="s">
        <v>17</v>
      </c>
      <c r="G9848" s="1" t="str">
        <f t="shared" ref="G9848:M9850" si="2176">"..."</f>
        <v>...</v>
      </c>
      <c r="H9848" s="1" t="str">
        <f t="shared" si="2176"/>
        <v>...</v>
      </c>
      <c r="I9848" s="1" t="str">
        <f t="shared" si="2176"/>
        <v>...</v>
      </c>
      <c r="J9848" s="1" t="str">
        <f t="shared" si="2176"/>
        <v>...</v>
      </c>
      <c r="K9848" s="1" t="str">
        <f t="shared" si="2176"/>
        <v>...</v>
      </c>
      <c r="L9848" s="1" t="str">
        <f t="shared" si="2176"/>
        <v>...</v>
      </c>
      <c r="M9848" s="1" t="str">
        <f t="shared" si="2176"/>
        <v>...</v>
      </c>
      <c r="N9848" t="s">
        <v>30</v>
      </c>
    </row>
    <row r="9849" spans="1:14" x14ac:dyDescent="0.25">
      <c r="A9849" t="s">
        <v>43</v>
      </c>
      <c r="B9849" t="s">
        <v>40</v>
      </c>
      <c r="C9849" t="s">
        <v>35</v>
      </c>
      <c r="D9849" t="s">
        <v>28</v>
      </c>
      <c r="E9849" t="s">
        <v>26</v>
      </c>
      <c r="F9849" t="s">
        <v>18</v>
      </c>
      <c r="G9849" s="1" t="str">
        <f t="shared" si="2176"/>
        <v>...</v>
      </c>
      <c r="H9849" s="1" t="str">
        <f t="shared" si="2176"/>
        <v>...</v>
      </c>
      <c r="I9849" s="1" t="str">
        <f t="shared" si="2176"/>
        <v>...</v>
      </c>
      <c r="J9849" s="1" t="str">
        <f t="shared" si="2176"/>
        <v>...</v>
      </c>
      <c r="K9849" s="1" t="str">
        <f t="shared" si="2176"/>
        <v>...</v>
      </c>
      <c r="L9849" s="1" t="str">
        <f t="shared" si="2176"/>
        <v>...</v>
      </c>
      <c r="M9849" s="1" t="str">
        <f t="shared" si="2176"/>
        <v>...</v>
      </c>
      <c r="N9849" t="s">
        <v>30</v>
      </c>
    </row>
    <row r="9850" spans="1:14" x14ac:dyDescent="0.25">
      <c r="A9850" t="s">
        <v>43</v>
      </c>
      <c r="B9850" t="s">
        <v>40</v>
      </c>
      <c r="C9850" t="s">
        <v>35</v>
      </c>
      <c r="D9850" t="s">
        <v>28</v>
      </c>
      <c r="E9850" t="s">
        <v>26</v>
      </c>
      <c r="F9850" t="s">
        <v>19</v>
      </c>
      <c r="G9850" s="1" t="str">
        <f t="shared" si="2176"/>
        <v>...</v>
      </c>
      <c r="H9850" s="1" t="str">
        <f t="shared" si="2176"/>
        <v>...</v>
      </c>
      <c r="I9850" s="1" t="str">
        <f t="shared" si="2176"/>
        <v>...</v>
      </c>
      <c r="J9850" s="1" t="str">
        <f t="shared" si="2176"/>
        <v>...</v>
      </c>
      <c r="K9850" s="1" t="str">
        <f t="shared" si="2176"/>
        <v>...</v>
      </c>
      <c r="L9850" s="1" t="str">
        <f t="shared" si="2176"/>
        <v>...</v>
      </c>
      <c r="M9850" s="1" t="str">
        <f t="shared" si="2176"/>
        <v>...</v>
      </c>
      <c r="N9850" t="s">
        <v>30</v>
      </c>
    </row>
    <row r="9851" spans="1:14" x14ac:dyDescent="0.25">
      <c r="A9851" t="s">
        <v>43</v>
      </c>
      <c r="B9851" t="s">
        <v>40</v>
      </c>
      <c r="C9851" t="s">
        <v>35</v>
      </c>
      <c r="D9851" t="s">
        <v>28</v>
      </c>
      <c r="E9851" t="s">
        <v>26</v>
      </c>
      <c r="F9851" t="s">
        <v>20</v>
      </c>
      <c r="G9851" s="1" t="str">
        <f t="shared" ref="G9851:M9851" si="2177">"X"</f>
        <v>X</v>
      </c>
      <c r="H9851" s="1" t="str">
        <f t="shared" si="2177"/>
        <v>X</v>
      </c>
      <c r="I9851" s="1" t="str">
        <f t="shared" si="2177"/>
        <v>X</v>
      </c>
      <c r="J9851" s="1" t="str">
        <f t="shared" si="2177"/>
        <v>X</v>
      </c>
      <c r="K9851" s="1" t="str">
        <f t="shared" si="2177"/>
        <v>X</v>
      </c>
      <c r="L9851" s="1" t="str">
        <f t="shared" si="2177"/>
        <v>X</v>
      </c>
      <c r="M9851" s="1" t="str">
        <f t="shared" si="2177"/>
        <v>X</v>
      </c>
      <c r="N9851" t="s">
        <v>27</v>
      </c>
    </row>
    <row r="9852" spans="1:14" x14ac:dyDescent="0.25">
      <c r="A9852" t="s">
        <v>43</v>
      </c>
      <c r="B9852" t="s">
        <v>40</v>
      </c>
      <c r="C9852" t="s">
        <v>35</v>
      </c>
      <c r="D9852" t="s">
        <v>29</v>
      </c>
      <c r="E9852" t="s">
        <v>15</v>
      </c>
      <c r="F9852" t="s">
        <v>15</v>
      </c>
      <c r="G9852" s="2">
        <f>VALUE(170.04)</f>
        <v>170.04</v>
      </c>
      <c r="H9852" s="3">
        <f>VALUE(123.95)</f>
        <v>123.95</v>
      </c>
      <c r="I9852" s="4">
        <f>VALUE(3082)</f>
        <v>3082</v>
      </c>
      <c r="J9852" s="1">
        <f>VALUE(3467)</f>
        <v>3467</v>
      </c>
      <c r="K9852" s="1">
        <f>VALUE(3902)</f>
        <v>3902</v>
      </c>
      <c r="L9852" s="1">
        <f>VALUE(4361)</f>
        <v>4361</v>
      </c>
      <c r="M9852" s="1">
        <f>VALUE(4784)</f>
        <v>4784</v>
      </c>
      <c r="N9852" t="s">
        <v>25</v>
      </c>
    </row>
    <row r="9853" spans="1:14" x14ac:dyDescent="0.25">
      <c r="A9853" t="s">
        <v>43</v>
      </c>
      <c r="B9853" t="s">
        <v>40</v>
      </c>
      <c r="C9853" t="s">
        <v>35</v>
      </c>
      <c r="D9853" t="s">
        <v>29</v>
      </c>
      <c r="E9853" t="s">
        <v>15</v>
      </c>
      <c r="F9853" t="s">
        <v>17</v>
      </c>
      <c r="G9853" s="1" t="str">
        <f t="shared" ref="G9853:M9854" si="2178">"..."</f>
        <v>...</v>
      </c>
      <c r="H9853" s="1" t="str">
        <f t="shared" si="2178"/>
        <v>...</v>
      </c>
      <c r="I9853" s="1" t="str">
        <f t="shared" si="2178"/>
        <v>...</v>
      </c>
      <c r="J9853" s="1" t="str">
        <f t="shared" si="2178"/>
        <v>...</v>
      </c>
      <c r="K9853" s="1" t="str">
        <f t="shared" si="2178"/>
        <v>...</v>
      </c>
      <c r="L9853" s="1" t="str">
        <f t="shared" si="2178"/>
        <v>...</v>
      </c>
      <c r="M9853" s="1" t="str">
        <f t="shared" si="2178"/>
        <v>...</v>
      </c>
      <c r="N9853" t="s">
        <v>30</v>
      </c>
    </row>
    <row r="9854" spans="1:14" x14ac:dyDescent="0.25">
      <c r="A9854" t="s">
        <v>43</v>
      </c>
      <c r="B9854" t="s">
        <v>40</v>
      </c>
      <c r="C9854" t="s">
        <v>35</v>
      </c>
      <c r="D9854" t="s">
        <v>29</v>
      </c>
      <c r="E9854" t="s">
        <v>15</v>
      </c>
      <c r="F9854" t="s">
        <v>18</v>
      </c>
      <c r="G9854" s="1" t="str">
        <f t="shared" si="2178"/>
        <v>...</v>
      </c>
      <c r="H9854" s="1" t="str">
        <f t="shared" si="2178"/>
        <v>...</v>
      </c>
      <c r="I9854" s="1" t="str">
        <f t="shared" si="2178"/>
        <v>...</v>
      </c>
      <c r="J9854" s="1" t="str">
        <f t="shared" si="2178"/>
        <v>...</v>
      </c>
      <c r="K9854" s="1" t="str">
        <f t="shared" si="2178"/>
        <v>...</v>
      </c>
      <c r="L9854" s="1" t="str">
        <f t="shared" si="2178"/>
        <v>...</v>
      </c>
      <c r="M9854" s="1" t="str">
        <f t="shared" si="2178"/>
        <v>...</v>
      </c>
      <c r="N9854" t="s">
        <v>30</v>
      </c>
    </row>
    <row r="9855" spans="1:14" x14ac:dyDescent="0.25">
      <c r="A9855" t="s">
        <v>43</v>
      </c>
      <c r="B9855" t="s">
        <v>40</v>
      </c>
      <c r="C9855" t="s">
        <v>35</v>
      </c>
      <c r="D9855" t="s">
        <v>29</v>
      </c>
      <c r="E9855" t="s">
        <v>15</v>
      </c>
      <c r="F9855" t="s">
        <v>19</v>
      </c>
      <c r="G9855" s="1" t="str">
        <f t="shared" ref="G9855:M9857" si="2179">"X"</f>
        <v>X</v>
      </c>
      <c r="H9855" s="1" t="str">
        <f t="shared" si="2179"/>
        <v>X</v>
      </c>
      <c r="I9855" s="1" t="str">
        <f t="shared" si="2179"/>
        <v>X</v>
      </c>
      <c r="J9855" s="1" t="str">
        <f t="shared" si="2179"/>
        <v>X</v>
      </c>
      <c r="K9855" s="1" t="str">
        <f t="shared" si="2179"/>
        <v>X</v>
      </c>
      <c r="L9855" s="1" t="str">
        <f t="shared" si="2179"/>
        <v>X</v>
      </c>
      <c r="M9855" s="1" t="str">
        <f t="shared" si="2179"/>
        <v>X</v>
      </c>
      <c r="N9855" t="s">
        <v>27</v>
      </c>
    </row>
    <row r="9856" spans="1:14" x14ac:dyDescent="0.25">
      <c r="A9856" t="s">
        <v>43</v>
      </c>
      <c r="B9856" t="s">
        <v>40</v>
      </c>
      <c r="C9856" t="s">
        <v>35</v>
      </c>
      <c r="D9856" t="s">
        <v>29</v>
      </c>
      <c r="E9856" t="s">
        <v>15</v>
      </c>
      <c r="F9856" t="s">
        <v>20</v>
      </c>
      <c r="G9856" s="1" t="str">
        <f t="shared" si="2179"/>
        <v>X</v>
      </c>
      <c r="H9856" s="1" t="str">
        <f t="shared" si="2179"/>
        <v>X</v>
      </c>
      <c r="I9856" s="1" t="str">
        <f t="shared" si="2179"/>
        <v>X</v>
      </c>
      <c r="J9856" s="1" t="str">
        <f t="shared" si="2179"/>
        <v>X</v>
      </c>
      <c r="K9856" s="1" t="str">
        <f t="shared" si="2179"/>
        <v>X</v>
      </c>
      <c r="L9856" s="1" t="str">
        <f t="shared" si="2179"/>
        <v>X</v>
      </c>
      <c r="M9856" s="1" t="str">
        <f t="shared" si="2179"/>
        <v>X</v>
      </c>
      <c r="N9856" t="s">
        <v>27</v>
      </c>
    </row>
    <row r="9857" spans="1:14" x14ac:dyDescent="0.25">
      <c r="A9857" t="s">
        <v>43</v>
      </c>
      <c r="B9857" t="s">
        <v>40</v>
      </c>
      <c r="C9857" t="s">
        <v>35</v>
      </c>
      <c r="D9857" t="s">
        <v>29</v>
      </c>
      <c r="E9857" t="s">
        <v>21</v>
      </c>
      <c r="F9857" t="s">
        <v>15</v>
      </c>
      <c r="G9857" s="1" t="str">
        <f t="shared" si="2179"/>
        <v>X</v>
      </c>
      <c r="H9857" s="1" t="str">
        <f t="shared" si="2179"/>
        <v>X</v>
      </c>
      <c r="I9857" s="1" t="str">
        <f t="shared" si="2179"/>
        <v>X</v>
      </c>
      <c r="J9857" s="1" t="str">
        <f t="shared" si="2179"/>
        <v>X</v>
      </c>
      <c r="K9857" s="1" t="str">
        <f t="shared" si="2179"/>
        <v>X</v>
      </c>
      <c r="L9857" s="1" t="str">
        <f t="shared" si="2179"/>
        <v>X</v>
      </c>
      <c r="M9857" s="1" t="str">
        <f t="shared" si="2179"/>
        <v>X</v>
      </c>
      <c r="N9857" t="s">
        <v>27</v>
      </c>
    </row>
    <row r="9858" spans="1:14" x14ac:dyDescent="0.25">
      <c r="A9858" t="s">
        <v>43</v>
      </c>
      <c r="B9858" t="s">
        <v>40</v>
      </c>
      <c r="C9858" t="s">
        <v>35</v>
      </c>
      <c r="D9858" t="s">
        <v>29</v>
      </c>
      <c r="E9858" t="s">
        <v>21</v>
      </c>
      <c r="F9858" t="s">
        <v>17</v>
      </c>
      <c r="G9858" s="1" t="str">
        <f t="shared" ref="G9858:M9859" si="2180">"..."</f>
        <v>...</v>
      </c>
      <c r="H9858" s="1" t="str">
        <f t="shared" si="2180"/>
        <v>...</v>
      </c>
      <c r="I9858" s="1" t="str">
        <f t="shared" si="2180"/>
        <v>...</v>
      </c>
      <c r="J9858" s="1" t="str">
        <f t="shared" si="2180"/>
        <v>...</v>
      </c>
      <c r="K9858" s="1" t="str">
        <f t="shared" si="2180"/>
        <v>...</v>
      </c>
      <c r="L9858" s="1" t="str">
        <f t="shared" si="2180"/>
        <v>...</v>
      </c>
      <c r="M9858" s="1" t="str">
        <f t="shared" si="2180"/>
        <v>...</v>
      </c>
      <c r="N9858" t="s">
        <v>30</v>
      </c>
    </row>
    <row r="9859" spans="1:14" x14ac:dyDescent="0.25">
      <c r="A9859" t="s">
        <v>43</v>
      </c>
      <c r="B9859" t="s">
        <v>40</v>
      </c>
      <c r="C9859" t="s">
        <v>35</v>
      </c>
      <c r="D9859" t="s">
        <v>29</v>
      </c>
      <c r="E9859" t="s">
        <v>21</v>
      </c>
      <c r="F9859" t="s">
        <v>18</v>
      </c>
      <c r="G9859" s="1" t="str">
        <f t="shared" si="2180"/>
        <v>...</v>
      </c>
      <c r="H9859" s="1" t="str">
        <f t="shared" si="2180"/>
        <v>...</v>
      </c>
      <c r="I9859" s="1" t="str">
        <f t="shared" si="2180"/>
        <v>...</v>
      </c>
      <c r="J9859" s="1" t="str">
        <f t="shared" si="2180"/>
        <v>...</v>
      </c>
      <c r="K9859" s="1" t="str">
        <f t="shared" si="2180"/>
        <v>...</v>
      </c>
      <c r="L9859" s="1" t="str">
        <f t="shared" si="2180"/>
        <v>...</v>
      </c>
      <c r="M9859" s="1" t="str">
        <f t="shared" si="2180"/>
        <v>...</v>
      </c>
      <c r="N9859" t="s">
        <v>30</v>
      </c>
    </row>
    <row r="9860" spans="1:14" x14ac:dyDescent="0.25">
      <c r="A9860" t="s">
        <v>43</v>
      </c>
      <c r="B9860" t="s">
        <v>40</v>
      </c>
      <c r="C9860" t="s">
        <v>35</v>
      </c>
      <c r="D9860" t="s">
        <v>29</v>
      </c>
      <c r="E9860" t="s">
        <v>21</v>
      </c>
      <c r="F9860" t="s">
        <v>19</v>
      </c>
      <c r="G9860" s="1" t="str">
        <f t="shared" ref="G9860:M9862" si="2181">"X"</f>
        <v>X</v>
      </c>
      <c r="H9860" s="1" t="str">
        <f t="shared" si="2181"/>
        <v>X</v>
      </c>
      <c r="I9860" s="1" t="str">
        <f t="shared" si="2181"/>
        <v>X</v>
      </c>
      <c r="J9860" s="1" t="str">
        <f t="shared" si="2181"/>
        <v>X</v>
      </c>
      <c r="K9860" s="1" t="str">
        <f t="shared" si="2181"/>
        <v>X</v>
      </c>
      <c r="L9860" s="1" t="str">
        <f t="shared" si="2181"/>
        <v>X</v>
      </c>
      <c r="M9860" s="1" t="str">
        <f t="shared" si="2181"/>
        <v>X</v>
      </c>
      <c r="N9860" t="s">
        <v>27</v>
      </c>
    </row>
    <row r="9861" spans="1:14" x14ac:dyDescent="0.25">
      <c r="A9861" t="s">
        <v>43</v>
      </c>
      <c r="B9861" t="s">
        <v>40</v>
      </c>
      <c r="C9861" t="s">
        <v>35</v>
      </c>
      <c r="D9861" t="s">
        <v>29</v>
      </c>
      <c r="E9861" t="s">
        <v>21</v>
      </c>
      <c r="F9861" t="s">
        <v>20</v>
      </c>
      <c r="G9861" s="1" t="str">
        <f t="shared" si="2181"/>
        <v>X</v>
      </c>
      <c r="H9861" s="1" t="str">
        <f t="shared" si="2181"/>
        <v>X</v>
      </c>
      <c r="I9861" s="1" t="str">
        <f t="shared" si="2181"/>
        <v>X</v>
      </c>
      <c r="J9861" s="1" t="str">
        <f t="shared" si="2181"/>
        <v>X</v>
      </c>
      <c r="K9861" s="1" t="str">
        <f t="shared" si="2181"/>
        <v>X</v>
      </c>
      <c r="L9861" s="1" t="str">
        <f t="shared" si="2181"/>
        <v>X</v>
      </c>
      <c r="M9861" s="1" t="str">
        <f t="shared" si="2181"/>
        <v>X</v>
      </c>
      <c r="N9861" t="s">
        <v>27</v>
      </c>
    </row>
    <row r="9862" spans="1:14" x14ac:dyDescent="0.25">
      <c r="A9862" t="s">
        <v>43</v>
      </c>
      <c r="B9862" t="s">
        <v>40</v>
      </c>
      <c r="C9862" t="s">
        <v>35</v>
      </c>
      <c r="D9862" t="s">
        <v>29</v>
      </c>
      <c r="E9862" t="s">
        <v>22</v>
      </c>
      <c r="F9862" t="s">
        <v>15</v>
      </c>
      <c r="G9862" s="1" t="str">
        <f t="shared" si="2181"/>
        <v>X</v>
      </c>
      <c r="H9862" s="1" t="str">
        <f t="shared" si="2181"/>
        <v>X</v>
      </c>
      <c r="I9862" s="1" t="str">
        <f t="shared" si="2181"/>
        <v>X</v>
      </c>
      <c r="J9862" s="1" t="str">
        <f t="shared" si="2181"/>
        <v>X</v>
      </c>
      <c r="K9862" s="1" t="str">
        <f t="shared" si="2181"/>
        <v>X</v>
      </c>
      <c r="L9862" s="1" t="str">
        <f t="shared" si="2181"/>
        <v>X</v>
      </c>
      <c r="M9862" s="1" t="str">
        <f t="shared" si="2181"/>
        <v>X</v>
      </c>
      <c r="N9862" t="s">
        <v>27</v>
      </c>
    </row>
    <row r="9863" spans="1:14" x14ac:dyDescent="0.25">
      <c r="A9863" t="s">
        <v>43</v>
      </c>
      <c r="B9863" t="s">
        <v>40</v>
      </c>
      <c r="C9863" t="s">
        <v>35</v>
      </c>
      <c r="D9863" t="s">
        <v>29</v>
      </c>
      <c r="E9863" t="s">
        <v>22</v>
      </c>
      <c r="F9863" t="s">
        <v>17</v>
      </c>
      <c r="G9863" s="1" t="str">
        <f t="shared" ref="G9863:M9864" si="2182">"..."</f>
        <v>...</v>
      </c>
      <c r="H9863" s="1" t="str">
        <f t="shared" si="2182"/>
        <v>...</v>
      </c>
      <c r="I9863" s="1" t="str">
        <f t="shared" si="2182"/>
        <v>...</v>
      </c>
      <c r="J9863" s="1" t="str">
        <f t="shared" si="2182"/>
        <v>...</v>
      </c>
      <c r="K9863" s="1" t="str">
        <f t="shared" si="2182"/>
        <v>...</v>
      </c>
      <c r="L9863" s="1" t="str">
        <f t="shared" si="2182"/>
        <v>...</v>
      </c>
      <c r="M9863" s="1" t="str">
        <f t="shared" si="2182"/>
        <v>...</v>
      </c>
      <c r="N9863" t="s">
        <v>30</v>
      </c>
    </row>
    <row r="9864" spans="1:14" x14ac:dyDescent="0.25">
      <c r="A9864" t="s">
        <v>43</v>
      </c>
      <c r="B9864" t="s">
        <v>40</v>
      </c>
      <c r="C9864" t="s">
        <v>35</v>
      </c>
      <c r="D9864" t="s">
        <v>29</v>
      </c>
      <c r="E9864" t="s">
        <v>22</v>
      </c>
      <c r="F9864" t="s">
        <v>18</v>
      </c>
      <c r="G9864" s="1" t="str">
        <f t="shared" si="2182"/>
        <v>...</v>
      </c>
      <c r="H9864" s="1" t="str">
        <f t="shared" si="2182"/>
        <v>...</v>
      </c>
      <c r="I9864" s="1" t="str">
        <f t="shared" si="2182"/>
        <v>...</v>
      </c>
      <c r="J9864" s="1" t="str">
        <f t="shared" si="2182"/>
        <v>...</v>
      </c>
      <c r="K9864" s="1" t="str">
        <f t="shared" si="2182"/>
        <v>...</v>
      </c>
      <c r="L9864" s="1" t="str">
        <f t="shared" si="2182"/>
        <v>...</v>
      </c>
      <c r="M9864" s="1" t="str">
        <f t="shared" si="2182"/>
        <v>...</v>
      </c>
      <c r="N9864" t="s">
        <v>30</v>
      </c>
    </row>
    <row r="9865" spans="1:14" x14ac:dyDescent="0.25">
      <c r="A9865" t="s">
        <v>43</v>
      </c>
      <c r="B9865" t="s">
        <v>40</v>
      </c>
      <c r="C9865" t="s">
        <v>35</v>
      </c>
      <c r="D9865" t="s">
        <v>29</v>
      </c>
      <c r="E9865" t="s">
        <v>22</v>
      </c>
      <c r="F9865" t="s">
        <v>19</v>
      </c>
      <c r="G9865" s="1" t="str">
        <f t="shared" ref="G9865:M9867" si="2183">"X"</f>
        <v>X</v>
      </c>
      <c r="H9865" s="1" t="str">
        <f t="shared" si="2183"/>
        <v>X</v>
      </c>
      <c r="I9865" s="1" t="str">
        <f t="shared" si="2183"/>
        <v>X</v>
      </c>
      <c r="J9865" s="1" t="str">
        <f t="shared" si="2183"/>
        <v>X</v>
      </c>
      <c r="K9865" s="1" t="str">
        <f t="shared" si="2183"/>
        <v>X</v>
      </c>
      <c r="L9865" s="1" t="str">
        <f t="shared" si="2183"/>
        <v>X</v>
      </c>
      <c r="M9865" s="1" t="str">
        <f t="shared" si="2183"/>
        <v>X</v>
      </c>
      <c r="N9865" t="s">
        <v>27</v>
      </c>
    </row>
    <row r="9866" spans="1:14" x14ac:dyDescent="0.25">
      <c r="A9866" t="s">
        <v>43</v>
      </c>
      <c r="B9866" t="s">
        <v>40</v>
      </c>
      <c r="C9866" t="s">
        <v>35</v>
      </c>
      <c r="D9866" t="s">
        <v>29</v>
      </c>
      <c r="E9866" t="s">
        <v>22</v>
      </c>
      <c r="F9866" t="s">
        <v>20</v>
      </c>
      <c r="G9866" s="1" t="str">
        <f t="shared" si="2183"/>
        <v>X</v>
      </c>
      <c r="H9866" s="1" t="str">
        <f t="shared" si="2183"/>
        <v>X</v>
      </c>
      <c r="I9866" s="1" t="str">
        <f t="shared" si="2183"/>
        <v>X</v>
      </c>
      <c r="J9866" s="1" t="str">
        <f t="shared" si="2183"/>
        <v>X</v>
      </c>
      <c r="K9866" s="1" t="str">
        <f t="shared" si="2183"/>
        <v>X</v>
      </c>
      <c r="L9866" s="1" t="str">
        <f t="shared" si="2183"/>
        <v>X</v>
      </c>
      <c r="M9866" s="1" t="str">
        <f t="shared" si="2183"/>
        <v>X</v>
      </c>
      <c r="N9866" t="s">
        <v>27</v>
      </c>
    </row>
    <row r="9867" spans="1:14" x14ac:dyDescent="0.25">
      <c r="A9867" t="s">
        <v>43</v>
      </c>
      <c r="B9867" t="s">
        <v>40</v>
      </c>
      <c r="C9867" t="s">
        <v>35</v>
      </c>
      <c r="D9867" t="s">
        <v>29</v>
      </c>
      <c r="E9867" t="s">
        <v>23</v>
      </c>
      <c r="F9867" t="s">
        <v>15</v>
      </c>
      <c r="G9867" s="1" t="str">
        <f t="shared" si="2183"/>
        <v>X</v>
      </c>
      <c r="H9867" s="1" t="str">
        <f t="shared" si="2183"/>
        <v>X</v>
      </c>
      <c r="I9867" s="1" t="str">
        <f t="shared" si="2183"/>
        <v>X</v>
      </c>
      <c r="J9867" s="1" t="str">
        <f t="shared" si="2183"/>
        <v>X</v>
      </c>
      <c r="K9867" s="1" t="str">
        <f t="shared" si="2183"/>
        <v>X</v>
      </c>
      <c r="L9867" s="1" t="str">
        <f t="shared" si="2183"/>
        <v>X</v>
      </c>
      <c r="M9867" s="1" t="str">
        <f t="shared" si="2183"/>
        <v>X</v>
      </c>
      <c r="N9867" t="s">
        <v>27</v>
      </c>
    </row>
    <row r="9868" spans="1:14" x14ac:dyDescent="0.25">
      <c r="A9868" t="s">
        <v>43</v>
      </c>
      <c r="B9868" t="s">
        <v>40</v>
      </c>
      <c r="C9868" t="s">
        <v>35</v>
      </c>
      <c r="D9868" t="s">
        <v>29</v>
      </c>
      <c r="E9868" t="s">
        <v>23</v>
      </c>
      <c r="F9868" t="s">
        <v>17</v>
      </c>
      <c r="G9868" s="1" t="str">
        <f t="shared" ref="G9868:M9869" si="2184">"..."</f>
        <v>...</v>
      </c>
      <c r="H9868" s="1" t="str">
        <f t="shared" si="2184"/>
        <v>...</v>
      </c>
      <c r="I9868" s="1" t="str">
        <f t="shared" si="2184"/>
        <v>...</v>
      </c>
      <c r="J9868" s="1" t="str">
        <f t="shared" si="2184"/>
        <v>...</v>
      </c>
      <c r="K9868" s="1" t="str">
        <f t="shared" si="2184"/>
        <v>...</v>
      </c>
      <c r="L9868" s="1" t="str">
        <f t="shared" si="2184"/>
        <v>...</v>
      </c>
      <c r="M9868" s="1" t="str">
        <f t="shared" si="2184"/>
        <v>...</v>
      </c>
      <c r="N9868" t="s">
        <v>30</v>
      </c>
    </row>
    <row r="9869" spans="1:14" x14ac:dyDescent="0.25">
      <c r="A9869" t="s">
        <v>43</v>
      </c>
      <c r="B9869" t="s">
        <v>40</v>
      </c>
      <c r="C9869" t="s">
        <v>35</v>
      </c>
      <c r="D9869" t="s">
        <v>29</v>
      </c>
      <c r="E9869" t="s">
        <v>23</v>
      </c>
      <c r="F9869" t="s">
        <v>18</v>
      </c>
      <c r="G9869" s="1" t="str">
        <f t="shared" si="2184"/>
        <v>...</v>
      </c>
      <c r="H9869" s="1" t="str">
        <f t="shared" si="2184"/>
        <v>...</v>
      </c>
      <c r="I9869" s="1" t="str">
        <f t="shared" si="2184"/>
        <v>...</v>
      </c>
      <c r="J9869" s="1" t="str">
        <f t="shared" si="2184"/>
        <v>...</v>
      </c>
      <c r="K9869" s="1" t="str">
        <f t="shared" si="2184"/>
        <v>...</v>
      </c>
      <c r="L9869" s="1" t="str">
        <f t="shared" si="2184"/>
        <v>...</v>
      </c>
      <c r="M9869" s="1" t="str">
        <f t="shared" si="2184"/>
        <v>...</v>
      </c>
      <c r="N9869" t="s">
        <v>30</v>
      </c>
    </row>
    <row r="9870" spans="1:14" x14ac:dyDescent="0.25">
      <c r="A9870" t="s">
        <v>43</v>
      </c>
      <c r="B9870" t="s">
        <v>40</v>
      </c>
      <c r="C9870" t="s">
        <v>35</v>
      </c>
      <c r="D9870" t="s">
        <v>29</v>
      </c>
      <c r="E9870" t="s">
        <v>23</v>
      </c>
      <c r="F9870" t="s">
        <v>19</v>
      </c>
      <c r="G9870" s="1" t="str">
        <f t="shared" ref="G9870:M9871" si="2185">"X"</f>
        <v>X</v>
      </c>
      <c r="H9870" s="1" t="str">
        <f t="shared" si="2185"/>
        <v>X</v>
      </c>
      <c r="I9870" s="1" t="str">
        <f t="shared" si="2185"/>
        <v>X</v>
      </c>
      <c r="J9870" s="1" t="str">
        <f t="shared" si="2185"/>
        <v>X</v>
      </c>
      <c r="K9870" s="1" t="str">
        <f t="shared" si="2185"/>
        <v>X</v>
      </c>
      <c r="L9870" s="1" t="str">
        <f t="shared" si="2185"/>
        <v>X</v>
      </c>
      <c r="M9870" s="1" t="str">
        <f t="shared" si="2185"/>
        <v>X</v>
      </c>
      <c r="N9870" t="s">
        <v>27</v>
      </c>
    </row>
    <row r="9871" spans="1:14" x14ac:dyDescent="0.25">
      <c r="A9871" t="s">
        <v>43</v>
      </c>
      <c r="B9871" t="s">
        <v>40</v>
      </c>
      <c r="C9871" t="s">
        <v>35</v>
      </c>
      <c r="D9871" t="s">
        <v>29</v>
      </c>
      <c r="E9871" t="s">
        <v>23</v>
      </c>
      <c r="F9871" t="s">
        <v>20</v>
      </c>
      <c r="G9871" s="1" t="str">
        <f t="shared" si="2185"/>
        <v>X</v>
      </c>
      <c r="H9871" s="1" t="str">
        <f t="shared" si="2185"/>
        <v>X</v>
      </c>
      <c r="I9871" s="1" t="str">
        <f t="shared" si="2185"/>
        <v>X</v>
      </c>
      <c r="J9871" s="1" t="str">
        <f t="shared" si="2185"/>
        <v>X</v>
      </c>
      <c r="K9871" s="1" t="str">
        <f t="shared" si="2185"/>
        <v>X</v>
      </c>
      <c r="L9871" s="1" t="str">
        <f t="shared" si="2185"/>
        <v>X</v>
      </c>
      <c r="M9871" s="1" t="str">
        <f t="shared" si="2185"/>
        <v>X</v>
      </c>
      <c r="N9871" t="s">
        <v>27</v>
      </c>
    </row>
    <row r="9872" spans="1:14" x14ac:dyDescent="0.25">
      <c r="A9872" t="s">
        <v>43</v>
      </c>
      <c r="B9872" t="s">
        <v>40</v>
      </c>
      <c r="C9872" t="s">
        <v>35</v>
      </c>
      <c r="D9872" t="s">
        <v>29</v>
      </c>
      <c r="E9872" t="s">
        <v>26</v>
      </c>
      <c r="F9872" t="s">
        <v>15</v>
      </c>
      <c r="G9872" s="1" t="str">
        <f t="shared" ref="G9872:M9876" si="2186">"..."</f>
        <v>...</v>
      </c>
      <c r="H9872" s="1" t="str">
        <f t="shared" si="2186"/>
        <v>...</v>
      </c>
      <c r="I9872" s="1" t="str">
        <f t="shared" si="2186"/>
        <v>...</v>
      </c>
      <c r="J9872" s="1" t="str">
        <f t="shared" si="2186"/>
        <v>...</v>
      </c>
      <c r="K9872" s="1" t="str">
        <f t="shared" si="2186"/>
        <v>...</v>
      </c>
      <c r="L9872" s="1" t="str">
        <f t="shared" si="2186"/>
        <v>...</v>
      </c>
      <c r="M9872" s="1" t="str">
        <f t="shared" si="2186"/>
        <v>...</v>
      </c>
      <c r="N9872" t="s">
        <v>30</v>
      </c>
    </row>
    <row r="9873" spans="1:14" x14ac:dyDescent="0.25">
      <c r="A9873" t="s">
        <v>43</v>
      </c>
      <c r="B9873" t="s">
        <v>40</v>
      </c>
      <c r="C9873" t="s">
        <v>35</v>
      </c>
      <c r="D9873" t="s">
        <v>29</v>
      </c>
      <c r="E9873" t="s">
        <v>26</v>
      </c>
      <c r="F9873" t="s">
        <v>17</v>
      </c>
      <c r="G9873" s="1" t="str">
        <f t="shared" si="2186"/>
        <v>...</v>
      </c>
      <c r="H9873" s="1" t="str">
        <f t="shared" si="2186"/>
        <v>...</v>
      </c>
      <c r="I9873" s="1" t="str">
        <f t="shared" si="2186"/>
        <v>...</v>
      </c>
      <c r="J9873" s="1" t="str">
        <f t="shared" si="2186"/>
        <v>...</v>
      </c>
      <c r="K9873" s="1" t="str">
        <f t="shared" si="2186"/>
        <v>...</v>
      </c>
      <c r="L9873" s="1" t="str">
        <f t="shared" si="2186"/>
        <v>...</v>
      </c>
      <c r="M9873" s="1" t="str">
        <f t="shared" si="2186"/>
        <v>...</v>
      </c>
      <c r="N9873" t="s">
        <v>30</v>
      </c>
    </row>
    <row r="9874" spans="1:14" x14ac:dyDescent="0.25">
      <c r="A9874" t="s">
        <v>43</v>
      </c>
      <c r="B9874" t="s">
        <v>40</v>
      </c>
      <c r="C9874" t="s">
        <v>35</v>
      </c>
      <c r="D9874" t="s">
        <v>29</v>
      </c>
      <c r="E9874" t="s">
        <v>26</v>
      </c>
      <c r="F9874" t="s">
        <v>18</v>
      </c>
      <c r="G9874" s="1" t="str">
        <f t="shared" si="2186"/>
        <v>...</v>
      </c>
      <c r="H9874" s="1" t="str">
        <f t="shared" si="2186"/>
        <v>...</v>
      </c>
      <c r="I9874" s="1" t="str">
        <f t="shared" si="2186"/>
        <v>...</v>
      </c>
      <c r="J9874" s="1" t="str">
        <f t="shared" si="2186"/>
        <v>...</v>
      </c>
      <c r="K9874" s="1" t="str">
        <f t="shared" si="2186"/>
        <v>...</v>
      </c>
      <c r="L9874" s="1" t="str">
        <f t="shared" si="2186"/>
        <v>...</v>
      </c>
      <c r="M9874" s="1" t="str">
        <f t="shared" si="2186"/>
        <v>...</v>
      </c>
      <c r="N9874" t="s">
        <v>30</v>
      </c>
    </row>
    <row r="9875" spans="1:14" x14ac:dyDescent="0.25">
      <c r="A9875" t="s">
        <v>43</v>
      </c>
      <c r="B9875" t="s">
        <v>40</v>
      </c>
      <c r="C9875" t="s">
        <v>35</v>
      </c>
      <c r="D9875" t="s">
        <v>29</v>
      </c>
      <c r="E9875" t="s">
        <v>26</v>
      </c>
      <c r="F9875" t="s">
        <v>19</v>
      </c>
      <c r="G9875" s="1" t="str">
        <f t="shared" si="2186"/>
        <v>...</v>
      </c>
      <c r="H9875" s="1" t="str">
        <f t="shared" si="2186"/>
        <v>...</v>
      </c>
      <c r="I9875" s="1" t="str">
        <f t="shared" si="2186"/>
        <v>...</v>
      </c>
      <c r="J9875" s="1" t="str">
        <f t="shared" si="2186"/>
        <v>...</v>
      </c>
      <c r="K9875" s="1" t="str">
        <f t="shared" si="2186"/>
        <v>...</v>
      </c>
      <c r="L9875" s="1" t="str">
        <f t="shared" si="2186"/>
        <v>...</v>
      </c>
      <c r="M9875" s="1" t="str">
        <f t="shared" si="2186"/>
        <v>...</v>
      </c>
      <c r="N9875" t="s">
        <v>30</v>
      </c>
    </row>
    <row r="9876" spans="1:14" x14ac:dyDescent="0.25">
      <c r="A9876" t="s">
        <v>43</v>
      </c>
      <c r="B9876" t="s">
        <v>40</v>
      </c>
      <c r="C9876" t="s">
        <v>35</v>
      </c>
      <c r="D9876" t="s">
        <v>29</v>
      </c>
      <c r="E9876" t="s">
        <v>26</v>
      </c>
      <c r="F9876" t="s">
        <v>20</v>
      </c>
      <c r="G9876" s="1" t="str">
        <f t="shared" si="2186"/>
        <v>...</v>
      </c>
      <c r="H9876" s="1" t="str">
        <f t="shared" si="2186"/>
        <v>...</v>
      </c>
      <c r="I9876" s="1" t="str">
        <f t="shared" si="2186"/>
        <v>...</v>
      </c>
      <c r="J9876" s="1" t="str">
        <f t="shared" si="2186"/>
        <v>...</v>
      </c>
      <c r="K9876" s="1" t="str">
        <f t="shared" si="2186"/>
        <v>...</v>
      </c>
      <c r="L9876" s="1" t="str">
        <f t="shared" si="2186"/>
        <v>...</v>
      </c>
      <c r="M9876" s="1" t="str">
        <f t="shared" si="2186"/>
        <v>...</v>
      </c>
      <c r="N9876" t="s">
        <v>30</v>
      </c>
    </row>
    <row r="9877" spans="1:14" x14ac:dyDescent="0.25">
      <c r="A9877" t="s">
        <v>43</v>
      </c>
      <c r="B9877" t="s">
        <v>40</v>
      </c>
      <c r="C9877" t="s">
        <v>35</v>
      </c>
      <c r="D9877" t="s">
        <v>31</v>
      </c>
      <c r="E9877" t="s">
        <v>15</v>
      </c>
      <c r="F9877" t="s">
        <v>15</v>
      </c>
      <c r="G9877" s="2">
        <f>VALUE(185.33)</f>
        <v>185.33</v>
      </c>
      <c r="H9877" s="3">
        <f>VALUE(124.24)</f>
        <v>124.24</v>
      </c>
      <c r="I9877" s="4">
        <f>VALUE(3097)</f>
        <v>3097</v>
      </c>
      <c r="J9877" s="5">
        <f>VALUE(3279)</f>
        <v>3279</v>
      </c>
      <c r="K9877" s="1">
        <f>VALUE(3862)</f>
        <v>3862</v>
      </c>
      <c r="L9877" s="1">
        <f>VALUE(4266)</f>
        <v>4266</v>
      </c>
      <c r="M9877" s="8">
        <f>VALUE(5132)</f>
        <v>5132</v>
      </c>
      <c r="N9877" t="s">
        <v>25</v>
      </c>
    </row>
    <row r="9878" spans="1:14" x14ac:dyDescent="0.25">
      <c r="A9878" t="s">
        <v>43</v>
      </c>
      <c r="B9878" t="s">
        <v>40</v>
      </c>
      <c r="C9878" t="s">
        <v>35</v>
      </c>
      <c r="D9878" t="s">
        <v>31</v>
      </c>
      <c r="E9878" t="s">
        <v>15</v>
      </c>
      <c r="F9878" t="s">
        <v>17</v>
      </c>
      <c r="G9878" s="1" t="str">
        <f t="shared" ref="G9878:M9878" si="2187">"..."</f>
        <v>...</v>
      </c>
      <c r="H9878" s="1" t="str">
        <f t="shared" si="2187"/>
        <v>...</v>
      </c>
      <c r="I9878" s="1" t="str">
        <f t="shared" si="2187"/>
        <v>...</v>
      </c>
      <c r="J9878" s="1" t="str">
        <f t="shared" si="2187"/>
        <v>...</v>
      </c>
      <c r="K9878" s="1" t="str">
        <f t="shared" si="2187"/>
        <v>...</v>
      </c>
      <c r="L9878" s="1" t="str">
        <f t="shared" si="2187"/>
        <v>...</v>
      </c>
      <c r="M9878" s="1" t="str">
        <f t="shared" si="2187"/>
        <v>...</v>
      </c>
      <c r="N9878" t="s">
        <v>30</v>
      </c>
    </row>
    <row r="9879" spans="1:14" x14ac:dyDescent="0.25">
      <c r="A9879" t="s">
        <v>43</v>
      </c>
      <c r="B9879" t="s">
        <v>40</v>
      </c>
      <c r="C9879" t="s">
        <v>35</v>
      </c>
      <c r="D9879" t="s">
        <v>31</v>
      </c>
      <c r="E9879" t="s">
        <v>15</v>
      </c>
      <c r="F9879" t="s">
        <v>18</v>
      </c>
      <c r="G9879" s="1" t="str">
        <f t="shared" ref="G9879:M9882" si="2188">"X"</f>
        <v>X</v>
      </c>
      <c r="H9879" s="1" t="str">
        <f t="shared" si="2188"/>
        <v>X</v>
      </c>
      <c r="I9879" s="1" t="str">
        <f t="shared" si="2188"/>
        <v>X</v>
      </c>
      <c r="J9879" s="1" t="str">
        <f t="shared" si="2188"/>
        <v>X</v>
      </c>
      <c r="K9879" s="1" t="str">
        <f t="shared" si="2188"/>
        <v>X</v>
      </c>
      <c r="L9879" s="1" t="str">
        <f t="shared" si="2188"/>
        <v>X</v>
      </c>
      <c r="M9879" s="1" t="str">
        <f t="shared" si="2188"/>
        <v>X</v>
      </c>
      <c r="N9879" t="s">
        <v>27</v>
      </c>
    </row>
    <row r="9880" spans="1:14" x14ac:dyDescent="0.25">
      <c r="A9880" t="s">
        <v>43</v>
      </c>
      <c r="B9880" t="s">
        <v>40</v>
      </c>
      <c r="C9880" t="s">
        <v>35</v>
      </c>
      <c r="D9880" t="s">
        <v>31</v>
      </c>
      <c r="E9880" t="s">
        <v>15</v>
      </c>
      <c r="F9880" t="s">
        <v>19</v>
      </c>
      <c r="G9880" s="1" t="str">
        <f t="shared" si="2188"/>
        <v>X</v>
      </c>
      <c r="H9880" s="1" t="str">
        <f t="shared" si="2188"/>
        <v>X</v>
      </c>
      <c r="I9880" s="1" t="str">
        <f t="shared" si="2188"/>
        <v>X</v>
      </c>
      <c r="J9880" s="1" t="str">
        <f t="shared" si="2188"/>
        <v>X</v>
      </c>
      <c r="K9880" s="1" t="str">
        <f t="shared" si="2188"/>
        <v>X</v>
      </c>
      <c r="L9880" s="1" t="str">
        <f t="shared" si="2188"/>
        <v>X</v>
      </c>
      <c r="M9880" s="1" t="str">
        <f t="shared" si="2188"/>
        <v>X</v>
      </c>
      <c r="N9880" t="s">
        <v>27</v>
      </c>
    </row>
    <row r="9881" spans="1:14" x14ac:dyDescent="0.25">
      <c r="A9881" t="s">
        <v>43</v>
      </c>
      <c r="B9881" t="s">
        <v>40</v>
      </c>
      <c r="C9881" t="s">
        <v>35</v>
      </c>
      <c r="D9881" t="s">
        <v>31</v>
      </c>
      <c r="E9881" t="s">
        <v>15</v>
      </c>
      <c r="F9881" t="s">
        <v>20</v>
      </c>
      <c r="G9881" s="1" t="str">
        <f t="shared" si="2188"/>
        <v>X</v>
      </c>
      <c r="H9881" s="1" t="str">
        <f t="shared" si="2188"/>
        <v>X</v>
      </c>
      <c r="I9881" s="1" t="str">
        <f t="shared" si="2188"/>
        <v>X</v>
      </c>
      <c r="J9881" s="1" t="str">
        <f t="shared" si="2188"/>
        <v>X</v>
      </c>
      <c r="K9881" s="1" t="str">
        <f t="shared" si="2188"/>
        <v>X</v>
      </c>
      <c r="L9881" s="1" t="str">
        <f t="shared" si="2188"/>
        <v>X</v>
      </c>
      <c r="M9881" s="1" t="str">
        <f t="shared" si="2188"/>
        <v>X</v>
      </c>
      <c r="N9881" t="s">
        <v>27</v>
      </c>
    </row>
    <row r="9882" spans="1:14" x14ac:dyDescent="0.25">
      <c r="A9882" t="s">
        <v>43</v>
      </c>
      <c r="B9882" t="s">
        <v>40</v>
      </c>
      <c r="C9882" t="s">
        <v>35</v>
      </c>
      <c r="D9882" t="s">
        <v>31</v>
      </c>
      <c r="E9882" t="s">
        <v>21</v>
      </c>
      <c r="F9882" t="s">
        <v>15</v>
      </c>
      <c r="G9882" s="1" t="str">
        <f t="shared" si="2188"/>
        <v>X</v>
      </c>
      <c r="H9882" s="1" t="str">
        <f t="shared" si="2188"/>
        <v>X</v>
      </c>
      <c r="I9882" s="1" t="str">
        <f t="shared" si="2188"/>
        <v>X</v>
      </c>
      <c r="J9882" s="1" t="str">
        <f t="shared" si="2188"/>
        <v>X</v>
      </c>
      <c r="K9882" s="1" t="str">
        <f t="shared" si="2188"/>
        <v>X</v>
      </c>
      <c r="L9882" s="1" t="str">
        <f t="shared" si="2188"/>
        <v>X</v>
      </c>
      <c r="M9882" s="1" t="str">
        <f t="shared" si="2188"/>
        <v>X</v>
      </c>
      <c r="N9882" t="s">
        <v>27</v>
      </c>
    </row>
    <row r="9883" spans="1:14" x14ac:dyDescent="0.25">
      <c r="A9883" t="s">
        <v>43</v>
      </c>
      <c r="B9883" t="s">
        <v>40</v>
      </c>
      <c r="C9883" t="s">
        <v>35</v>
      </c>
      <c r="D9883" t="s">
        <v>31</v>
      </c>
      <c r="E9883" t="s">
        <v>21</v>
      </c>
      <c r="F9883" t="s">
        <v>17</v>
      </c>
      <c r="G9883" s="1" t="str">
        <f t="shared" ref="G9883:M9883" si="2189">"..."</f>
        <v>...</v>
      </c>
      <c r="H9883" s="1" t="str">
        <f t="shared" si="2189"/>
        <v>...</v>
      </c>
      <c r="I9883" s="1" t="str">
        <f t="shared" si="2189"/>
        <v>...</v>
      </c>
      <c r="J9883" s="1" t="str">
        <f t="shared" si="2189"/>
        <v>...</v>
      </c>
      <c r="K9883" s="1" t="str">
        <f t="shared" si="2189"/>
        <v>...</v>
      </c>
      <c r="L9883" s="1" t="str">
        <f t="shared" si="2189"/>
        <v>...</v>
      </c>
      <c r="M9883" s="1" t="str">
        <f t="shared" si="2189"/>
        <v>...</v>
      </c>
      <c r="N9883" t="s">
        <v>30</v>
      </c>
    </row>
    <row r="9884" spans="1:14" x14ac:dyDescent="0.25">
      <c r="A9884" t="s">
        <v>43</v>
      </c>
      <c r="B9884" t="s">
        <v>40</v>
      </c>
      <c r="C9884" t="s">
        <v>35</v>
      </c>
      <c r="D9884" t="s">
        <v>31</v>
      </c>
      <c r="E9884" t="s">
        <v>21</v>
      </c>
      <c r="F9884" t="s">
        <v>18</v>
      </c>
      <c r="G9884" s="1" t="str">
        <f t="shared" ref="G9884:M9887" si="2190">"X"</f>
        <v>X</v>
      </c>
      <c r="H9884" s="1" t="str">
        <f t="shared" si="2190"/>
        <v>X</v>
      </c>
      <c r="I9884" s="1" t="str">
        <f t="shared" si="2190"/>
        <v>X</v>
      </c>
      <c r="J9884" s="1" t="str">
        <f t="shared" si="2190"/>
        <v>X</v>
      </c>
      <c r="K9884" s="1" t="str">
        <f t="shared" si="2190"/>
        <v>X</v>
      </c>
      <c r="L9884" s="1" t="str">
        <f t="shared" si="2190"/>
        <v>X</v>
      </c>
      <c r="M9884" s="1" t="str">
        <f t="shared" si="2190"/>
        <v>X</v>
      </c>
      <c r="N9884" t="s">
        <v>27</v>
      </c>
    </row>
    <row r="9885" spans="1:14" x14ac:dyDescent="0.25">
      <c r="A9885" t="s">
        <v>43</v>
      </c>
      <c r="B9885" t="s">
        <v>40</v>
      </c>
      <c r="C9885" t="s">
        <v>35</v>
      </c>
      <c r="D9885" t="s">
        <v>31</v>
      </c>
      <c r="E9885" t="s">
        <v>21</v>
      </c>
      <c r="F9885" t="s">
        <v>19</v>
      </c>
      <c r="G9885" s="1" t="str">
        <f t="shared" si="2190"/>
        <v>X</v>
      </c>
      <c r="H9885" s="1" t="str">
        <f t="shared" si="2190"/>
        <v>X</v>
      </c>
      <c r="I9885" s="1" t="str">
        <f t="shared" si="2190"/>
        <v>X</v>
      </c>
      <c r="J9885" s="1" t="str">
        <f t="shared" si="2190"/>
        <v>X</v>
      </c>
      <c r="K9885" s="1" t="str">
        <f t="shared" si="2190"/>
        <v>X</v>
      </c>
      <c r="L9885" s="1" t="str">
        <f t="shared" si="2190"/>
        <v>X</v>
      </c>
      <c r="M9885" s="1" t="str">
        <f t="shared" si="2190"/>
        <v>X</v>
      </c>
      <c r="N9885" t="s">
        <v>27</v>
      </c>
    </row>
    <row r="9886" spans="1:14" x14ac:dyDescent="0.25">
      <c r="A9886" t="s">
        <v>43</v>
      </c>
      <c r="B9886" t="s">
        <v>40</v>
      </c>
      <c r="C9886" t="s">
        <v>35</v>
      </c>
      <c r="D9886" t="s">
        <v>31</v>
      </c>
      <c r="E9886" t="s">
        <v>21</v>
      </c>
      <c r="F9886" t="s">
        <v>20</v>
      </c>
      <c r="G9886" s="1" t="str">
        <f t="shared" si="2190"/>
        <v>X</v>
      </c>
      <c r="H9886" s="1" t="str">
        <f t="shared" si="2190"/>
        <v>X</v>
      </c>
      <c r="I9886" s="1" t="str">
        <f t="shared" si="2190"/>
        <v>X</v>
      </c>
      <c r="J9886" s="1" t="str">
        <f t="shared" si="2190"/>
        <v>X</v>
      </c>
      <c r="K9886" s="1" t="str">
        <f t="shared" si="2190"/>
        <v>X</v>
      </c>
      <c r="L9886" s="1" t="str">
        <f t="shared" si="2190"/>
        <v>X</v>
      </c>
      <c r="M9886" s="1" t="str">
        <f t="shared" si="2190"/>
        <v>X</v>
      </c>
      <c r="N9886" t="s">
        <v>27</v>
      </c>
    </row>
    <row r="9887" spans="1:14" x14ac:dyDescent="0.25">
      <c r="A9887" t="s">
        <v>43</v>
      </c>
      <c r="B9887" t="s">
        <v>40</v>
      </c>
      <c r="C9887" t="s">
        <v>35</v>
      </c>
      <c r="D9887" t="s">
        <v>31</v>
      </c>
      <c r="E9887" t="s">
        <v>22</v>
      </c>
      <c r="F9887" t="s">
        <v>15</v>
      </c>
      <c r="G9887" s="1" t="str">
        <f t="shared" si="2190"/>
        <v>X</v>
      </c>
      <c r="H9887" s="1" t="str">
        <f t="shared" si="2190"/>
        <v>X</v>
      </c>
      <c r="I9887" s="1" t="str">
        <f t="shared" si="2190"/>
        <v>X</v>
      </c>
      <c r="J9887" s="1" t="str">
        <f t="shared" si="2190"/>
        <v>X</v>
      </c>
      <c r="K9887" s="1" t="str">
        <f t="shared" si="2190"/>
        <v>X</v>
      </c>
      <c r="L9887" s="1" t="str">
        <f t="shared" si="2190"/>
        <v>X</v>
      </c>
      <c r="M9887" s="1" t="str">
        <f t="shared" si="2190"/>
        <v>X</v>
      </c>
      <c r="N9887" t="s">
        <v>27</v>
      </c>
    </row>
    <row r="9888" spans="1:14" x14ac:dyDescent="0.25">
      <c r="A9888" t="s">
        <v>43</v>
      </c>
      <c r="B9888" t="s">
        <v>40</v>
      </c>
      <c r="C9888" t="s">
        <v>35</v>
      </c>
      <c r="D9888" t="s">
        <v>31</v>
      </c>
      <c r="E9888" t="s">
        <v>22</v>
      </c>
      <c r="F9888" t="s">
        <v>17</v>
      </c>
      <c r="G9888" s="1" t="str">
        <f t="shared" ref="G9888:M9888" si="2191">"..."</f>
        <v>...</v>
      </c>
      <c r="H9888" s="1" t="str">
        <f t="shared" si="2191"/>
        <v>...</v>
      </c>
      <c r="I9888" s="1" t="str">
        <f t="shared" si="2191"/>
        <v>...</v>
      </c>
      <c r="J9888" s="1" t="str">
        <f t="shared" si="2191"/>
        <v>...</v>
      </c>
      <c r="K9888" s="1" t="str">
        <f t="shared" si="2191"/>
        <v>...</v>
      </c>
      <c r="L9888" s="1" t="str">
        <f t="shared" si="2191"/>
        <v>...</v>
      </c>
      <c r="M9888" s="1" t="str">
        <f t="shared" si="2191"/>
        <v>...</v>
      </c>
      <c r="N9888" t="s">
        <v>30</v>
      </c>
    </row>
    <row r="9889" spans="1:14" x14ac:dyDescent="0.25">
      <c r="A9889" t="s">
        <v>43</v>
      </c>
      <c r="B9889" t="s">
        <v>40</v>
      </c>
      <c r="C9889" t="s">
        <v>35</v>
      </c>
      <c r="D9889" t="s">
        <v>31</v>
      </c>
      <c r="E9889" t="s">
        <v>22</v>
      </c>
      <c r="F9889" t="s">
        <v>18</v>
      </c>
      <c r="G9889" s="1" t="str">
        <f t="shared" ref="G9889:M9892" si="2192">"X"</f>
        <v>X</v>
      </c>
      <c r="H9889" s="1" t="str">
        <f t="shared" si="2192"/>
        <v>X</v>
      </c>
      <c r="I9889" s="1" t="str">
        <f t="shared" si="2192"/>
        <v>X</v>
      </c>
      <c r="J9889" s="1" t="str">
        <f t="shared" si="2192"/>
        <v>X</v>
      </c>
      <c r="K9889" s="1" t="str">
        <f t="shared" si="2192"/>
        <v>X</v>
      </c>
      <c r="L9889" s="1" t="str">
        <f t="shared" si="2192"/>
        <v>X</v>
      </c>
      <c r="M9889" s="1" t="str">
        <f t="shared" si="2192"/>
        <v>X</v>
      </c>
      <c r="N9889" t="s">
        <v>27</v>
      </c>
    </row>
    <row r="9890" spans="1:14" x14ac:dyDescent="0.25">
      <c r="A9890" t="s">
        <v>43</v>
      </c>
      <c r="B9890" t="s">
        <v>40</v>
      </c>
      <c r="C9890" t="s">
        <v>35</v>
      </c>
      <c r="D9890" t="s">
        <v>31</v>
      </c>
      <c r="E9890" t="s">
        <v>22</v>
      </c>
      <c r="F9890" t="s">
        <v>19</v>
      </c>
      <c r="G9890" s="1" t="str">
        <f t="shared" si="2192"/>
        <v>X</v>
      </c>
      <c r="H9890" s="1" t="str">
        <f t="shared" si="2192"/>
        <v>X</v>
      </c>
      <c r="I9890" s="1" t="str">
        <f t="shared" si="2192"/>
        <v>X</v>
      </c>
      <c r="J9890" s="1" t="str">
        <f t="shared" si="2192"/>
        <v>X</v>
      </c>
      <c r="K9890" s="1" t="str">
        <f t="shared" si="2192"/>
        <v>X</v>
      </c>
      <c r="L9890" s="1" t="str">
        <f t="shared" si="2192"/>
        <v>X</v>
      </c>
      <c r="M9890" s="1" t="str">
        <f t="shared" si="2192"/>
        <v>X</v>
      </c>
      <c r="N9890" t="s">
        <v>27</v>
      </c>
    </row>
    <row r="9891" spans="1:14" x14ac:dyDescent="0.25">
      <c r="A9891" t="s">
        <v>43</v>
      </c>
      <c r="B9891" t="s">
        <v>40</v>
      </c>
      <c r="C9891" t="s">
        <v>35</v>
      </c>
      <c r="D9891" t="s">
        <v>31</v>
      </c>
      <c r="E9891" t="s">
        <v>22</v>
      </c>
      <c r="F9891" t="s">
        <v>20</v>
      </c>
      <c r="G9891" s="1" t="str">
        <f t="shared" si="2192"/>
        <v>X</v>
      </c>
      <c r="H9891" s="1" t="str">
        <f t="shared" si="2192"/>
        <v>X</v>
      </c>
      <c r="I9891" s="1" t="str">
        <f t="shared" si="2192"/>
        <v>X</v>
      </c>
      <c r="J9891" s="1" t="str">
        <f t="shared" si="2192"/>
        <v>X</v>
      </c>
      <c r="K9891" s="1" t="str">
        <f t="shared" si="2192"/>
        <v>X</v>
      </c>
      <c r="L9891" s="1" t="str">
        <f t="shared" si="2192"/>
        <v>X</v>
      </c>
      <c r="M9891" s="1" t="str">
        <f t="shared" si="2192"/>
        <v>X</v>
      </c>
      <c r="N9891" t="s">
        <v>27</v>
      </c>
    </row>
    <row r="9892" spans="1:14" x14ac:dyDescent="0.25">
      <c r="A9892" t="s">
        <v>43</v>
      </c>
      <c r="B9892" t="s">
        <v>40</v>
      </c>
      <c r="C9892" t="s">
        <v>35</v>
      </c>
      <c r="D9892" t="s">
        <v>31</v>
      </c>
      <c r="E9892" t="s">
        <v>23</v>
      </c>
      <c r="F9892" t="s">
        <v>15</v>
      </c>
      <c r="G9892" s="1" t="str">
        <f t="shared" si="2192"/>
        <v>X</v>
      </c>
      <c r="H9892" s="1" t="str">
        <f t="shared" si="2192"/>
        <v>X</v>
      </c>
      <c r="I9892" s="1" t="str">
        <f t="shared" si="2192"/>
        <v>X</v>
      </c>
      <c r="J9892" s="1" t="str">
        <f t="shared" si="2192"/>
        <v>X</v>
      </c>
      <c r="K9892" s="1" t="str">
        <f t="shared" si="2192"/>
        <v>X</v>
      </c>
      <c r="L9892" s="1" t="str">
        <f t="shared" si="2192"/>
        <v>X</v>
      </c>
      <c r="M9892" s="1" t="str">
        <f t="shared" si="2192"/>
        <v>X</v>
      </c>
      <c r="N9892" t="s">
        <v>27</v>
      </c>
    </row>
    <row r="9893" spans="1:14" x14ac:dyDescent="0.25">
      <c r="A9893" t="s">
        <v>43</v>
      </c>
      <c r="B9893" t="s">
        <v>40</v>
      </c>
      <c r="C9893" t="s">
        <v>35</v>
      </c>
      <c r="D9893" t="s">
        <v>31</v>
      </c>
      <c r="E9893" t="s">
        <v>23</v>
      </c>
      <c r="F9893" t="s">
        <v>17</v>
      </c>
      <c r="G9893" s="1" t="str">
        <f t="shared" ref="G9893:M9895" si="2193">"..."</f>
        <v>...</v>
      </c>
      <c r="H9893" s="1" t="str">
        <f t="shared" si="2193"/>
        <v>...</v>
      </c>
      <c r="I9893" s="1" t="str">
        <f t="shared" si="2193"/>
        <v>...</v>
      </c>
      <c r="J9893" s="1" t="str">
        <f t="shared" si="2193"/>
        <v>...</v>
      </c>
      <c r="K9893" s="1" t="str">
        <f t="shared" si="2193"/>
        <v>...</v>
      </c>
      <c r="L9893" s="1" t="str">
        <f t="shared" si="2193"/>
        <v>...</v>
      </c>
      <c r="M9893" s="1" t="str">
        <f t="shared" si="2193"/>
        <v>...</v>
      </c>
      <c r="N9893" t="s">
        <v>30</v>
      </c>
    </row>
    <row r="9894" spans="1:14" x14ac:dyDescent="0.25">
      <c r="A9894" t="s">
        <v>43</v>
      </c>
      <c r="B9894" t="s">
        <v>40</v>
      </c>
      <c r="C9894" t="s">
        <v>35</v>
      </c>
      <c r="D9894" t="s">
        <v>31</v>
      </c>
      <c r="E9894" t="s">
        <v>23</v>
      </c>
      <c r="F9894" t="s">
        <v>18</v>
      </c>
      <c r="G9894" s="1" t="str">
        <f t="shared" si="2193"/>
        <v>...</v>
      </c>
      <c r="H9894" s="1" t="str">
        <f t="shared" si="2193"/>
        <v>...</v>
      </c>
      <c r="I9894" s="1" t="str">
        <f t="shared" si="2193"/>
        <v>...</v>
      </c>
      <c r="J9894" s="1" t="str">
        <f t="shared" si="2193"/>
        <v>...</v>
      </c>
      <c r="K9894" s="1" t="str">
        <f t="shared" si="2193"/>
        <v>...</v>
      </c>
      <c r="L9894" s="1" t="str">
        <f t="shared" si="2193"/>
        <v>...</v>
      </c>
      <c r="M9894" s="1" t="str">
        <f t="shared" si="2193"/>
        <v>...</v>
      </c>
      <c r="N9894" t="s">
        <v>30</v>
      </c>
    </row>
    <row r="9895" spans="1:14" x14ac:dyDescent="0.25">
      <c r="A9895" t="s">
        <v>43</v>
      </c>
      <c r="B9895" t="s">
        <v>40</v>
      </c>
      <c r="C9895" t="s">
        <v>35</v>
      </c>
      <c r="D9895" t="s">
        <v>31</v>
      </c>
      <c r="E9895" t="s">
        <v>23</v>
      </c>
      <c r="F9895" t="s">
        <v>19</v>
      </c>
      <c r="G9895" s="1" t="str">
        <f t="shared" si="2193"/>
        <v>...</v>
      </c>
      <c r="H9895" s="1" t="str">
        <f t="shared" si="2193"/>
        <v>...</v>
      </c>
      <c r="I9895" s="1" t="str">
        <f t="shared" si="2193"/>
        <v>...</v>
      </c>
      <c r="J9895" s="1" t="str">
        <f t="shared" si="2193"/>
        <v>...</v>
      </c>
      <c r="K9895" s="1" t="str">
        <f t="shared" si="2193"/>
        <v>...</v>
      </c>
      <c r="L9895" s="1" t="str">
        <f t="shared" si="2193"/>
        <v>...</v>
      </c>
      <c r="M9895" s="1" t="str">
        <f t="shared" si="2193"/>
        <v>...</v>
      </c>
      <c r="N9895" t="s">
        <v>30</v>
      </c>
    </row>
    <row r="9896" spans="1:14" x14ac:dyDescent="0.25">
      <c r="A9896" t="s">
        <v>43</v>
      </c>
      <c r="B9896" t="s">
        <v>40</v>
      </c>
      <c r="C9896" t="s">
        <v>35</v>
      </c>
      <c r="D9896" t="s">
        <v>31</v>
      </c>
      <c r="E9896" t="s">
        <v>23</v>
      </c>
      <c r="F9896" t="s">
        <v>20</v>
      </c>
      <c r="G9896" s="1" t="str">
        <f t="shared" ref="G9896:M9897" si="2194">"X"</f>
        <v>X</v>
      </c>
      <c r="H9896" s="1" t="str">
        <f t="shared" si="2194"/>
        <v>X</v>
      </c>
      <c r="I9896" s="1" t="str">
        <f t="shared" si="2194"/>
        <v>X</v>
      </c>
      <c r="J9896" s="1" t="str">
        <f t="shared" si="2194"/>
        <v>X</v>
      </c>
      <c r="K9896" s="1" t="str">
        <f t="shared" si="2194"/>
        <v>X</v>
      </c>
      <c r="L9896" s="1" t="str">
        <f t="shared" si="2194"/>
        <v>X</v>
      </c>
      <c r="M9896" s="1" t="str">
        <f t="shared" si="2194"/>
        <v>X</v>
      </c>
      <c r="N9896" t="s">
        <v>27</v>
      </c>
    </row>
    <row r="9897" spans="1:14" x14ac:dyDescent="0.25">
      <c r="A9897" t="s">
        <v>43</v>
      </c>
      <c r="B9897" t="s">
        <v>40</v>
      </c>
      <c r="C9897" t="s">
        <v>35</v>
      </c>
      <c r="D9897" t="s">
        <v>31</v>
      </c>
      <c r="E9897" t="s">
        <v>26</v>
      </c>
      <c r="F9897" t="s">
        <v>15</v>
      </c>
      <c r="G9897" s="1" t="str">
        <f t="shared" si="2194"/>
        <v>X</v>
      </c>
      <c r="H9897" s="1" t="str">
        <f t="shared" si="2194"/>
        <v>X</v>
      </c>
      <c r="I9897" s="1" t="str">
        <f t="shared" si="2194"/>
        <v>X</v>
      </c>
      <c r="J9897" s="1" t="str">
        <f t="shared" si="2194"/>
        <v>X</v>
      </c>
      <c r="K9897" s="1" t="str">
        <f t="shared" si="2194"/>
        <v>X</v>
      </c>
      <c r="L9897" s="1" t="str">
        <f t="shared" si="2194"/>
        <v>X</v>
      </c>
      <c r="M9897" s="1" t="str">
        <f t="shared" si="2194"/>
        <v>X</v>
      </c>
      <c r="N9897" t="s">
        <v>27</v>
      </c>
    </row>
    <row r="9898" spans="1:14" x14ac:dyDescent="0.25">
      <c r="A9898" t="s">
        <v>43</v>
      </c>
      <c r="B9898" t="s">
        <v>40</v>
      </c>
      <c r="C9898" t="s">
        <v>35</v>
      </c>
      <c r="D9898" t="s">
        <v>31</v>
      </c>
      <c r="E9898" t="s">
        <v>26</v>
      </c>
      <c r="F9898" t="s">
        <v>17</v>
      </c>
      <c r="G9898" s="1" t="str">
        <f t="shared" ref="G9898:M9900" si="2195">"..."</f>
        <v>...</v>
      </c>
      <c r="H9898" s="1" t="str">
        <f t="shared" si="2195"/>
        <v>...</v>
      </c>
      <c r="I9898" s="1" t="str">
        <f t="shared" si="2195"/>
        <v>...</v>
      </c>
      <c r="J9898" s="1" t="str">
        <f t="shared" si="2195"/>
        <v>...</v>
      </c>
      <c r="K9898" s="1" t="str">
        <f t="shared" si="2195"/>
        <v>...</v>
      </c>
      <c r="L9898" s="1" t="str">
        <f t="shared" si="2195"/>
        <v>...</v>
      </c>
      <c r="M9898" s="1" t="str">
        <f t="shared" si="2195"/>
        <v>...</v>
      </c>
      <c r="N9898" t="s">
        <v>30</v>
      </c>
    </row>
    <row r="9899" spans="1:14" x14ac:dyDescent="0.25">
      <c r="A9899" t="s">
        <v>43</v>
      </c>
      <c r="B9899" t="s">
        <v>40</v>
      </c>
      <c r="C9899" t="s">
        <v>35</v>
      </c>
      <c r="D9899" t="s">
        <v>31</v>
      </c>
      <c r="E9899" t="s">
        <v>26</v>
      </c>
      <c r="F9899" t="s">
        <v>18</v>
      </c>
      <c r="G9899" s="1" t="str">
        <f t="shared" si="2195"/>
        <v>...</v>
      </c>
      <c r="H9899" s="1" t="str">
        <f t="shared" si="2195"/>
        <v>...</v>
      </c>
      <c r="I9899" s="1" t="str">
        <f t="shared" si="2195"/>
        <v>...</v>
      </c>
      <c r="J9899" s="1" t="str">
        <f t="shared" si="2195"/>
        <v>...</v>
      </c>
      <c r="K9899" s="1" t="str">
        <f t="shared" si="2195"/>
        <v>...</v>
      </c>
      <c r="L9899" s="1" t="str">
        <f t="shared" si="2195"/>
        <v>...</v>
      </c>
      <c r="M9899" s="1" t="str">
        <f t="shared" si="2195"/>
        <v>...</v>
      </c>
      <c r="N9899" t="s">
        <v>30</v>
      </c>
    </row>
    <row r="9900" spans="1:14" x14ac:dyDescent="0.25">
      <c r="A9900" t="s">
        <v>43</v>
      </c>
      <c r="B9900" t="s">
        <v>40</v>
      </c>
      <c r="C9900" t="s">
        <v>35</v>
      </c>
      <c r="D9900" t="s">
        <v>31</v>
      </c>
      <c r="E9900" t="s">
        <v>26</v>
      </c>
      <c r="F9900" t="s">
        <v>19</v>
      </c>
      <c r="G9900" s="1" t="str">
        <f t="shared" si="2195"/>
        <v>...</v>
      </c>
      <c r="H9900" s="1" t="str">
        <f t="shared" si="2195"/>
        <v>...</v>
      </c>
      <c r="I9900" s="1" t="str">
        <f t="shared" si="2195"/>
        <v>...</v>
      </c>
      <c r="J9900" s="1" t="str">
        <f t="shared" si="2195"/>
        <v>...</v>
      </c>
      <c r="K9900" s="1" t="str">
        <f t="shared" si="2195"/>
        <v>...</v>
      </c>
      <c r="L9900" s="1" t="str">
        <f t="shared" si="2195"/>
        <v>...</v>
      </c>
      <c r="M9900" s="1" t="str">
        <f t="shared" si="2195"/>
        <v>...</v>
      </c>
      <c r="N9900" t="s">
        <v>30</v>
      </c>
    </row>
    <row r="9901" spans="1:14" x14ac:dyDescent="0.25">
      <c r="A9901" t="s">
        <v>43</v>
      </c>
      <c r="B9901" t="s">
        <v>40</v>
      </c>
      <c r="C9901" t="s">
        <v>35</v>
      </c>
      <c r="D9901" t="s">
        <v>31</v>
      </c>
      <c r="E9901" t="s">
        <v>26</v>
      </c>
      <c r="F9901" t="s">
        <v>20</v>
      </c>
      <c r="G9901" s="1" t="str">
        <f t="shared" ref="G9901:M9901" si="2196">"X"</f>
        <v>X</v>
      </c>
      <c r="H9901" s="1" t="str">
        <f t="shared" si="2196"/>
        <v>X</v>
      </c>
      <c r="I9901" s="1" t="str">
        <f t="shared" si="2196"/>
        <v>X</v>
      </c>
      <c r="J9901" s="1" t="str">
        <f t="shared" si="2196"/>
        <v>X</v>
      </c>
      <c r="K9901" s="1" t="str">
        <f t="shared" si="2196"/>
        <v>X</v>
      </c>
      <c r="L9901" s="1" t="str">
        <f t="shared" si="2196"/>
        <v>X</v>
      </c>
      <c r="M9901" s="1" t="str">
        <f t="shared" si="2196"/>
        <v>X</v>
      </c>
      <c r="N9901" t="s">
        <v>27</v>
      </c>
    </row>
    <row r="9902" spans="1:14" x14ac:dyDescent="0.25">
      <c r="A9902" t="s">
        <v>43</v>
      </c>
      <c r="B9902" t="s">
        <v>40</v>
      </c>
      <c r="C9902" t="s">
        <v>35</v>
      </c>
      <c r="D9902" t="s">
        <v>32</v>
      </c>
      <c r="E9902" t="s">
        <v>15</v>
      </c>
      <c r="F9902" t="s">
        <v>15</v>
      </c>
      <c r="G9902" s="2">
        <f>VALUE(1208.69)</f>
        <v>1208.69</v>
      </c>
      <c r="H9902" s="3">
        <f>VALUE(1038.81)</f>
        <v>1038.81</v>
      </c>
      <c r="I9902" s="4">
        <f>VALUE(2745)</f>
        <v>2745</v>
      </c>
      <c r="J9902" s="1">
        <f>VALUE(2958)</f>
        <v>2958</v>
      </c>
      <c r="K9902" s="1">
        <f>VALUE(3260)</f>
        <v>3260</v>
      </c>
      <c r="L9902" s="1">
        <f>VALUE(3650)</f>
        <v>3650</v>
      </c>
      <c r="M9902" s="8">
        <f>VALUE(4127)</f>
        <v>4127</v>
      </c>
      <c r="N9902" t="s">
        <v>25</v>
      </c>
    </row>
    <row r="9903" spans="1:14" x14ac:dyDescent="0.25">
      <c r="A9903" t="s">
        <v>43</v>
      </c>
      <c r="B9903" t="s">
        <v>40</v>
      </c>
      <c r="C9903" t="s">
        <v>35</v>
      </c>
      <c r="D9903" t="s">
        <v>32</v>
      </c>
      <c r="E9903" t="s">
        <v>15</v>
      </c>
      <c r="F9903" t="s">
        <v>17</v>
      </c>
      <c r="G9903" s="1" t="str">
        <f t="shared" ref="G9903:M9905" si="2197">"X"</f>
        <v>X</v>
      </c>
      <c r="H9903" s="1" t="str">
        <f t="shared" si="2197"/>
        <v>X</v>
      </c>
      <c r="I9903" s="1" t="str">
        <f t="shared" si="2197"/>
        <v>X</v>
      </c>
      <c r="J9903" s="1" t="str">
        <f t="shared" si="2197"/>
        <v>X</v>
      </c>
      <c r="K9903" s="1" t="str">
        <f t="shared" si="2197"/>
        <v>X</v>
      </c>
      <c r="L9903" s="1" t="str">
        <f t="shared" si="2197"/>
        <v>X</v>
      </c>
      <c r="M9903" s="1" t="str">
        <f t="shared" si="2197"/>
        <v>X</v>
      </c>
      <c r="N9903" t="s">
        <v>27</v>
      </c>
    </row>
    <row r="9904" spans="1:14" x14ac:dyDescent="0.25">
      <c r="A9904" t="s">
        <v>43</v>
      </c>
      <c r="B9904" t="s">
        <v>40</v>
      </c>
      <c r="C9904" t="s">
        <v>35</v>
      </c>
      <c r="D9904" t="s">
        <v>32</v>
      </c>
      <c r="E9904" t="s">
        <v>15</v>
      </c>
      <c r="F9904" t="s">
        <v>18</v>
      </c>
      <c r="G9904" s="1" t="str">
        <f t="shared" si="2197"/>
        <v>X</v>
      </c>
      <c r="H9904" s="1" t="str">
        <f t="shared" si="2197"/>
        <v>X</v>
      </c>
      <c r="I9904" s="1" t="str">
        <f t="shared" si="2197"/>
        <v>X</v>
      </c>
      <c r="J9904" s="1" t="str">
        <f t="shared" si="2197"/>
        <v>X</v>
      </c>
      <c r="K9904" s="1" t="str">
        <f t="shared" si="2197"/>
        <v>X</v>
      </c>
      <c r="L9904" s="1" t="str">
        <f t="shared" si="2197"/>
        <v>X</v>
      </c>
      <c r="M9904" s="1" t="str">
        <f t="shared" si="2197"/>
        <v>X</v>
      </c>
      <c r="N9904" t="s">
        <v>27</v>
      </c>
    </row>
    <row r="9905" spans="1:14" x14ac:dyDescent="0.25">
      <c r="A9905" t="s">
        <v>43</v>
      </c>
      <c r="B9905" t="s">
        <v>40</v>
      </c>
      <c r="C9905" t="s">
        <v>35</v>
      </c>
      <c r="D9905" t="s">
        <v>32</v>
      </c>
      <c r="E9905" t="s">
        <v>15</v>
      </c>
      <c r="F9905" t="s">
        <v>19</v>
      </c>
      <c r="G9905" s="1" t="str">
        <f t="shared" si="2197"/>
        <v>X</v>
      </c>
      <c r="H9905" s="1" t="str">
        <f t="shared" si="2197"/>
        <v>X</v>
      </c>
      <c r="I9905" s="1" t="str">
        <f t="shared" si="2197"/>
        <v>X</v>
      </c>
      <c r="J9905" s="1" t="str">
        <f t="shared" si="2197"/>
        <v>X</v>
      </c>
      <c r="K9905" s="1" t="str">
        <f t="shared" si="2197"/>
        <v>X</v>
      </c>
      <c r="L9905" s="1" t="str">
        <f t="shared" si="2197"/>
        <v>X</v>
      </c>
      <c r="M9905" s="1" t="str">
        <f t="shared" si="2197"/>
        <v>X</v>
      </c>
      <c r="N9905" t="s">
        <v>27</v>
      </c>
    </row>
    <row r="9906" spans="1:14" x14ac:dyDescent="0.25">
      <c r="A9906" t="s">
        <v>43</v>
      </c>
      <c r="B9906" t="s">
        <v>40</v>
      </c>
      <c r="C9906" t="s">
        <v>35</v>
      </c>
      <c r="D9906" t="s">
        <v>32</v>
      </c>
      <c r="E9906" t="s">
        <v>15</v>
      </c>
      <c r="F9906" t="s">
        <v>20</v>
      </c>
      <c r="G9906" s="2">
        <f>VALUE(1066.24)</f>
        <v>1066.24</v>
      </c>
      <c r="H9906" s="3">
        <f>VALUE(898.78)</f>
        <v>898.78</v>
      </c>
      <c r="I9906" s="1">
        <f>VALUE(2702)</f>
        <v>2702</v>
      </c>
      <c r="J9906" s="1">
        <f>VALUE(2932)</f>
        <v>2932</v>
      </c>
      <c r="K9906" s="1">
        <f>VALUE(3260)</f>
        <v>3260</v>
      </c>
      <c r="L9906" s="1">
        <f>VALUE(3650)</f>
        <v>3650</v>
      </c>
      <c r="M9906" s="8">
        <f>VALUE(3983)</f>
        <v>3983</v>
      </c>
      <c r="N9906" t="s">
        <v>25</v>
      </c>
    </row>
    <row r="9907" spans="1:14" x14ac:dyDescent="0.25">
      <c r="A9907" t="s">
        <v>43</v>
      </c>
      <c r="B9907" t="s">
        <v>40</v>
      </c>
      <c r="C9907" t="s">
        <v>35</v>
      </c>
      <c r="D9907" t="s">
        <v>32</v>
      </c>
      <c r="E9907" t="s">
        <v>21</v>
      </c>
      <c r="F9907" t="s">
        <v>15</v>
      </c>
      <c r="G9907" s="1" t="str">
        <f t="shared" ref="G9907:M9911" si="2198">"X"</f>
        <v>X</v>
      </c>
      <c r="H9907" s="1" t="str">
        <f t="shared" si="2198"/>
        <v>X</v>
      </c>
      <c r="I9907" s="1" t="str">
        <f t="shared" si="2198"/>
        <v>X</v>
      </c>
      <c r="J9907" s="1" t="str">
        <f t="shared" si="2198"/>
        <v>X</v>
      </c>
      <c r="K9907" s="1" t="str">
        <f t="shared" si="2198"/>
        <v>X</v>
      </c>
      <c r="L9907" s="1" t="str">
        <f t="shared" si="2198"/>
        <v>X</v>
      </c>
      <c r="M9907" s="1" t="str">
        <f t="shared" si="2198"/>
        <v>X</v>
      </c>
      <c r="N9907" t="s">
        <v>27</v>
      </c>
    </row>
    <row r="9908" spans="1:14" x14ac:dyDescent="0.25">
      <c r="A9908" t="s">
        <v>43</v>
      </c>
      <c r="B9908" t="s">
        <v>40</v>
      </c>
      <c r="C9908" t="s">
        <v>35</v>
      </c>
      <c r="D9908" t="s">
        <v>32</v>
      </c>
      <c r="E9908" t="s">
        <v>21</v>
      </c>
      <c r="F9908" t="s">
        <v>17</v>
      </c>
      <c r="G9908" s="1" t="str">
        <f t="shared" si="2198"/>
        <v>X</v>
      </c>
      <c r="H9908" s="1" t="str">
        <f t="shared" si="2198"/>
        <v>X</v>
      </c>
      <c r="I9908" s="1" t="str">
        <f t="shared" si="2198"/>
        <v>X</v>
      </c>
      <c r="J9908" s="1" t="str">
        <f t="shared" si="2198"/>
        <v>X</v>
      </c>
      <c r="K9908" s="1" t="str">
        <f t="shared" si="2198"/>
        <v>X</v>
      </c>
      <c r="L9908" s="1" t="str">
        <f t="shared" si="2198"/>
        <v>X</v>
      </c>
      <c r="M9908" s="1" t="str">
        <f t="shared" si="2198"/>
        <v>X</v>
      </c>
      <c r="N9908" t="s">
        <v>27</v>
      </c>
    </row>
    <row r="9909" spans="1:14" x14ac:dyDescent="0.25">
      <c r="A9909" t="s">
        <v>43</v>
      </c>
      <c r="B9909" t="s">
        <v>40</v>
      </c>
      <c r="C9909" t="s">
        <v>35</v>
      </c>
      <c r="D9909" t="s">
        <v>32</v>
      </c>
      <c r="E9909" t="s">
        <v>21</v>
      </c>
      <c r="F9909" t="s">
        <v>18</v>
      </c>
      <c r="G9909" s="1" t="str">
        <f t="shared" si="2198"/>
        <v>X</v>
      </c>
      <c r="H9909" s="1" t="str">
        <f t="shared" si="2198"/>
        <v>X</v>
      </c>
      <c r="I9909" s="1" t="str">
        <f t="shared" si="2198"/>
        <v>X</v>
      </c>
      <c r="J9909" s="1" t="str">
        <f t="shared" si="2198"/>
        <v>X</v>
      </c>
      <c r="K9909" s="1" t="str">
        <f t="shared" si="2198"/>
        <v>X</v>
      </c>
      <c r="L9909" s="1" t="str">
        <f t="shared" si="2198"/>
        <v>X</v>
      </c>
      <c r="M9909" s="1" t="str">
        <f t="shared" si="2198"/>
        <v>X</v>
      </c>
      <c r="N9909" t="s">
        <v>27</v>
      </c>
    </row>
    <row r="9910" spans="1:14" x14ac:dyDescent="0.25">
      <c r="A9910" t="s">
        <v>43</v>
      </c>
      <c r="B9910" t="s">
        <v>40</v>
      </c>
      <c r="C9910" t="s">
        <v>35</v>
      </c>
      <c r="D9910" t="s">
        <v>32</v>
      </c>
      <c r="E9910" t="s">
        <v>21</v>
      </c>
      <c r="F9910" t="s">
        <v>19</v>
      </c>
      <c r="G9910" s="1" t="str">
        <f t="shared" si="2198"/>
        <v>X</v>
      </c>
      <c r="H9910" s="1" t="str">
        <f t="shared" si="2198"/>
        <v>X</v>
      </c>
      <c r="I9910" s="1" t="str">
        <f t="shared" si="2198"/>
        <v>X</v>
      </c>
      <c r="J9910" s="1" t="str">
        <f t="shared" si="2198"/>
        <v>X</v>
      </c>
      <c r="K9910" s="1" t="str">
        <f t="shared" si="2198"/>
        <v>X</v>
      </c>
      <c r="L9910" s="1" t="str">
        <f t="shared" si="2198"/>
        <v>X</v>
      </c>
      <c r="M9910" s="1" t="str">
        <f t="shared" si="2198"/>
        <v>X</v>
      </c>
      <c r="N9910" t="s">
        <v>27</v>
      </c>
    </row>
    <row r="9911" spans="1:14" x14ac:dyDescent="0.25">
      <c r="A9911" t="s">
        <v>43</v>
      </c>
      <c r="B9911" t="s">
        <v>40</v>
      </c>
      <c r="C9911" t="s">
        <v>35</v>
      </c>
      <c r="D9911" t="s">
        <v>32</v>
      </c>
      <c r="E9911" t="s">
        <v>21</v>
      </c>
      <c r="F9911" t="s">
        <v>20</v>
      </c>
      <c r="G9911" s="1" t="str">
        <f t="shared" si="2198"/>
        <v>X</v>
      </c>
      <c r="H9911" s="1" t="str">
        <f t="shared" si="2198"/>
        <v>X</v>
      </c>
      <c r="I9911" s="1" t="str">
        <f t="shared" si="2198"/>
        <v>X</v>
      </c>
      <c r="J9911" s="1" t="str">
        <f t="shared" si="2198"/>
        <v>X</v>
      </c>
      <c r="K9911" s="1" t="str">
        <f t="shared" si="2198"/>
        <v>X</v>
      </c>
      <c r="L9911" s="1" t="str">
        <f t="shared" si="2198"/>
        <v>X</v>
      </c>
      <c r="M9911" s="1" t="str">
        <f t="shared" si="2198"/>
        <v>X</v>
      </c>
      <c r="N9911" t="s">
        <v>27</v>
      </c>
    </row>
    <row r="9912" spans="1:14" x14ac:dyDescent="0.25">
      <c r="A9912" t="s">
        <v>43</v>
      </c>
      <c r="B9912" t="s">
        <v>40</v>
      </c>
      <c r="C9912" t="s">
        <v>35</v>
      </c>
      <c r="D9912" t="s">
        <v>32</v>
      </c>
      <c r="E9912" t="s">
        <v>22</v>
      </c>
      <c r="F9912" t="s">
        <v>15</v>
      </c>
      <c r="G9912" s="2">
        <f>VALUE(240.35)</f>
        <v>240.35</v>
      </c>
      <c r="H9912" s="3">
        <f>VALUE(188.98)</f>
        <v>188.98</v>
      </c>
      <c r="I9912" s="1">
        <f>VALUE(2732)</f>
        <v>2732</v>
      </c>
      <c r="J9912" s="1">
        <f>VALUE(2986)</f>
        <v>2986</v>
      </c>
      <c r="K9912" s="1">
        <f>VALUE(3476)</f>
        <v>3476</v>
      </c>
      <c r="L9912" s="1">
        <f>VALUE(3895)</f>
        <v>3895</v>
      </c>
      <c r="M9912" s="8">
        <f>VALUE(4500)</f>
        <v>4500</v>
      </c>
      <c r="N9912" t="s">
        <v>25</v>
      </c>
    </row>
    <row r="9913" spans="1:14" x14ac:dyDescent="0.25">
      <c r="A9913" t="s">
        <v>43</v>
      </c>
      <c r="B9913" t="s">
        <v>40</v>
      </c>
      <c r="C9913" t="s">
        <v>35</v>
      </c>
      <c r="D9913" t="s">
        <v>32</v>
      </c>
      <c r="E9913" t="s">
        <v>22</v>
      </c>
      <c r="F9913" t="s">
        <v>17</v>
      </c>
      <c r="G9913" s="1" t="str">
        <f t="shared" ref="G9913:M9914" si="2199">"..."</f>
        <v>...</v>
      </c>
      <c r="H9913" s="1" t="str">
        <f t="shared" si="2199"/>
        <v>...</v>
      </c>
      <c r="I9913" s="1" t="str">
        <f t="shared" si="2199"/>
        <v>...</v>
      </c>
      <c r="J9913" s="1" t="str">
        <f t="shared" si="2199"/>
        <v>...</v>
      </c>
      <c r="K9913" s="1" t="str">
        <f t="shared" si="2199"/>
        <v>...</v>
      </c>
      <c r="L9913" s="1" t="str">
        <f t="shared" si="2199"/>
        <v>...</v>
      </c>
      <c r="M9913" s="1" t="str">
        <f t="shared" si="2199"/>
        <v>...</v>
      </c>
      <c r="N9913" t="s">
        <v>30</v>
      </c>
    </row>
    <row r="9914" spans="1:14" x14ac:dyDescent="0.25">
      <c r="A9914" t="s">
        <v>43</v>
      </c>
      <c r="B9914" t="s">
        <v>40</v>
      </c>
      <c r="C9914" t="s">
        <v>35</v>
      </c>
      <c r="D9914" t="s">
        <v>32</v>
      </c>
      <c r="E9914" t="s">
        <v>22</v>
      </c>
      <c r="F9914" t="s">
        <v>18</v>
      </c>
      <c r="G9914" s="1" t="str">
        <f t="shared" si="2199"/>
        <v>...</v>
      </c>
      <c r="H9914" s="1" t="str">
        <f t="shared" si="2199"/>
        <v>...</v>
      </c>
      <c r="I9914" s="1" t="str">
        <f t="shared" si="2199"/>
        <v>...</v>
      </c>
      <c r="J9914" s="1" t="str">
        <f t="shared" si="2199"/>
        <v>...</v>
      </c>
      <c r="K9914" s="1" t="str">
        <f t="shared" si="2199"/>
        <v>...</v>
      </c>
      <c r="L9914" s="1" t="str">
        <f t="shared" si="2199"/>
        <v>...</v>
      </c>
      <c r="M9914" s="1" t="str">
        <f t="shared" si="2199"/>
        <v>...</v>
      </c>
      <c r="N9914" t="s">
        <v>30</v>
      </c>
    </row>
    <row r="9915" spans="1:14" x14ac:dyDescent="0.25">
      <c r="A9915" t="s">
        <v>43</v>
      </c>
      <c r="B9915" t="s">
        <v>40</v>
      </c>
      <c r="C9915" t="s">
        <v>35</v>
      </c>
      <c r="D9915" t="s">
        <v>32</v>
      </c>
      <c r="E9915" t="s">
        <v>22</v>
      </c>
      <c r="F9915" t="s">
        <v>19</v>
      </c>
      <c r="G9915" s="1" t="str">
        <f t="shared" ref="G9915:M9915" si="2200">"X"</f>
        <v>X</v>
      </c>
      <c r="H9915" s="1" t="str">
        <f t="shared" si="2200"/>
        <v>X</v>
      </c>
      <c r="I9915" s="1" t="str">
        <f t="shared" si="2200"/>
        <v>X</v>
      </c>
      <c r="J9915" s="1" t="str">
        <f t="shared" si="2200"/>
        <v>X</v>
      </c>
      <c r="K9915" s="1" t="str">
        <f t="shared" si="2200"/>
        <v>X</v>
      </c>
      <c r="L9915" s="1" t="str">
        <f t="shared" si="2200"/>
        <v>X</v>
      </c>
      <c r="M9915" s="1" t="str">
        <f t="shared" si="2200"/>
        <v>X</v>
      </c>
      <c r="N9915" t="s">
        <v>27</v>
      </c>
    </row>
    <row r="9916" spans="1:14" x14ac:dyDescent="0.25">
      <c r="A9916" t="s">
        <v>43</v>
      </c>
      <c r="B9916" t="s">
        <v>40</v>
      </c>
      <c r="C9916" t="s">
        <v>35</v>
      </c>
      <c r="D9916" t="s">
        <v>32</v>
      </c>
      <c r="E9916" t="s">
        <v>22</v>
      </c>
      <c r="F9916" t="s">
        <v>20</v>
      </c>
      <c r="G9916" s="2">
        <f>VALUE(233)</f>
        <v>233</v>
      </c>
      <c r="H9916" s="3">
        <f>VALUE(181.51)</f>
        <v>181.51</v>
      </c>
      <c r="I9916" s="1">
        <f>VALUE(2732)</f>
        <v>2732</v>
      </c>
      <c r="J9916" s="1">
        <f>VALUE(2986)</f>
        <v>2986</v>
      </c>
      <c r="K9916" s="1">
        <f>VALUE(3467)</f>
        <v>3467</v>
      </c>
      <c r="L9916" s="1">
        <f>VALUE(3734)</f>
        <v>3734</v>
      </c>
      <c r="M9916" s="8">
        <f>VALUE(4500)</f>
        <v>4500</v>
      </c>
      <c r="N9916" t="s">
        <v>25</v>
      </c>
    </row>
    <row r="9917" spans="1:14" x14ac:dyDescent="0.25">
      <c r="A9917" t="s">
        <v>43</v>
      </c>
      <c r="B9917" t="s">
        <v>40</v>
      </c>
      <c r="C9917" t="s">
        <v>35</v>
      </c>
      <c r="D9917" t="s">
        <v>32</v>
      </c>
      <c r="E9917" t="s">
        <v>23</v>
      </c>
      <c r="F9917" t="s">
        <v>15</v>
      </c>
      <c r="G9917" s="2">
        <f>VALUE(820.9)</f>
        <v>820.9</v>
      </c>
      <c r="H9917" s="3">
        <f>VALUE(739)</f>
        <v>739</v>
      </c>
      <c r="I9917" s="1">
        <f>VALUE(2745)</f>
        <v>2745</v>
      </c>
      <c r="J9917" s="1">
        <f>VALUE(2930)</f>
        <v>2930</v>
      </c>
      <c r="K9917" s="1">
        <f>VALUE(3201)</f>
        <v>3201</v>
      </c>
      <c r="L9917" s="1">
        <f>VALUE(3435)</f>
        <v>3435</v>
      </c>
      <c r="M9917" s="1">
        <f>VALUE(3747)</f>
        <v>3747</v>
      </c>
      <c r="N9917" t="s">
        <v>25</v>
      </c>
    </row>
    <row r="9918" spans="1:14" x14ac:dyDescent="0.25">
      <c r="A9918" t="s">
        <v>43</v>
      </c>
      <c r="B9918" t="s">
        <v>40</v>
      </c>
      <c r="C9918" t="s">
        <v>35</v>
      </c>
      <c r="D9918" t="s">
        <v>32</v>
      </c>
      <c r="E9918" t="s">
        <v>23</v>
      </c>
      <c r="F9918" t="s">
        <v>17</v>
      </c>
      <c r="G9918" s="1" t="str">
        <f t="shared" ref="G9918:M9919" si="2201">"..."</f>
        <v>...</v>
      </c>
      <c r="H9918" s="1" t="str">
        <f t="shared" si="2201"/>
        <v>...</v>
      </c>
      <c r="I9918" s="1" t="str">
        <f t="shared" si="2201"/>
        <v>...</v>
      </c>
      <c r="J9918" s="1" t="str">
        <f t="shared" si="2201"/>
        <v>...</v>
      </c>
      <c r="K9918" s="1" t="str">
        <f t="shared" si="2201"/>
        <v>...</v>
      </c>
      <c r="L9918" s="1" t="str">
        <f t="shared" si="2201"/>
        <v>...</v>
      </c>
      <c r="M9918" s="1" t="str">
        <f t="shared" si="2201"/>
        <v>...</v>
      </c>
      <c r="N9918" t="s">
        <v>30</v>
      </c>
    </row>
    <row r="9919" spans="1:14" x14ac:dyDescent="0.25">
      <c r="A9919" t="s">
        <v>43</v>
      </c>
      <c r="B9919" t="s">
        <v>40</v>
      </c>
      <c r="C9919" t="s">
        <v>35</v>
      </c>
      <c r="D9919" t="s">
        <v>32</v>
      </c>
      <c r="E9919" t="s">
        <v>23</v>
      </c>
      <c r="F9919" t="s">
        <v>18</v>
      </c>
      <c r="G9919" s="1" t="str">
        <f t="shared" si="2201"/>
        <v>...</v>
      </c>
      <c r="H9919" s="1" t="str">
        <f t="shared" si="2201"/>
        <v>...</v>
      </c>
      <c r="I9919" s="1" t="str">
        <f t="shared" si="2201"/>
        <v>...</v>
      </c>
      <c r="J9919" s="1" t="str">
        <f t="shared" si="2201"/>
        <v>...</v>
      </c>
      <c r="K9919" s="1" t="str">
        <f t="shared" si="2201"/>
        <v>...</v>
      </c>
      <c r="L9919" s="1" t="str">
        <f t="shared" si="2201"/>
        <v>...</v>
      </c>
      <c r="M9919" s="1" t="str">
        <f t="shared" si="2201"/>
        <v>...</v>
      </c>
      <c r="N9919" t="s">
        <v>30</v>
      </c>
    </row>
    <row r="9920" spans="1:14" x14ac:dyDescent="0.25">
      <c r="A9920" t="s">
        <v>43</v>
      </c>
      <c r="B9920" t="s">
        <v>40</v>
      </c>
      <c r="C9920" t="s">
        <v>35</v>
      </c>
      <c r="D9920" t="s">
        <v>32</v>
      </c>
      <c r="E9920" t="s">
        <v>23</v>
      </c>
      <c r="F9920" t="s">
        <v>19</v>
      </c>
      <c r="G9920" s="1" t="str">
        <f t="shared" ref="G9920:M9920" si="2202">"X"</f>
        <v>X</v>
      </c>
      <c r="H9920" s="1" t="str">
        <f t="shared" si="2202"/>
        <v>X</v>
      </c>
      <c r="I9920" s="1" t="str">
        <f t="shared" si="2202"/>
        <v>X</v>
      </c>
      <c r="J9920" s="1" t="str">
        <f t="shared" si="2202"/>
        <v>X</v>
      </c>
      <c r="K9920" s="1" t="str">
        <f t="shared" si="2202"/>
        <v>X</v>
      </c>
      <c r="L9920" s="1" t="str">
        <f t="shared" si="2202"/>
        <v>X</v>
      </c>
      <c r="M9920" s="1" t="str">
        <f t="shared" si="2202"/>
        <v>X</v>
      </c>
      <c r="N9920" t="s">
        <v>27</v>
      </c>
    </row>
    <row r="9921" spans="1:14" x14ac:dyDescent="0.25">
      <c r="A9921" t="s">
        <v>43</v>
      </c>
      <c r="B9921" t="s">
        <v>40</v>
      </c>
      <c r="C9921" t="s">
        <v>35</v>
      </c>
      <c r="D9921" t="s">
        <v>32</v>
      </c>
      <c r="E9921" t="s">
        <v>23</v>
      </c>
      <c r="F9921" t="s">
        <v>20</v>
      </c>
      <c r="G9921" s="2">
        <f>VALUE(726.5)</f>
        <v>726.5</v>
      </c>
      <c r="H9921" s="3">
        <f>VALUE(640.79)</f>
        <v>640.79</v>
      </c>
      <c r="I9921" s="4">
        <f>VALUE(2702)</f>
        <v>2702</v>
      </c>
      <c r="J9921" s="1">
        <f>VALUE(2927)</f>
        <v>2927</v>
      </c>
      <c r="K9921" s="1">
        <f>VALUE(3191)</f>
        <v>3191</v>
      </c>
      <c r="L9921" s="1">
        <f>VALUE(3499)</f>
        <v>3499</v>
      </c>
      <c r="M9921" s="1">
        <f>VALUE(3796)</f>
        <v>3796</v>
      </c>
      <c r="N9921" t="s">
        <v>25</v>
      </c>
    </row>
    <row r="9922" spans="1:14" x14ac:dyDescent="0.25">
      <c r="A9922" t="s">
        <v>43</v>
      </c>
      <c r="B9922" t="s">
        <v>40</v>
      </c>
      <c r="C9922" t="s">
        <v>35</v>
      </c>
      <c r="D9922" t="s">
        <v>32</v>
      </c>
      <c r="E9922" t="s">
        <v>26</v>
      </c>
      <c r="F9922" t="s">
        <v>15</v>
      </c>
      <c r="G9922" s="1" t="str">
        <f t="shared" ref="G9922:M9922" si="2203">"X"</f>
        <v>X</v>
      </c>
      <c r="H9922" s="1" t="str">
        <f t="shared" si="2203"/>
        <v>X</v>
      </c>
      <c r="I9922" s="1" t="str">
        <f t="shared" si="2203"/>
        <v>X</v>
      </c>
      <c r="J9922" s="1" t="str">
        <f t="shared" si="2203"/>
        <v>X</v>
      </c>
      <c r="K9922" s="1" t="str">
        <f t="shared" si="2203"/>
        <v>X</v>
      </c>
      <c r="L9922" s="1" t="str">
        <f t="shared" si="2203"/>
        <v>X</v>
      </c>
      <c r="M9922" s="1" t="str">
        <f t="shared" si="2203"/>
        <v>X</v>
      </c>
      <c r="N9922" t="s">
        <v>27</v>
      </c>
    </row>
    <row r="9923" spans="1:14" x14ac:dyDescent="0.25">
      <c r="A9923" t="s">
        <v>43</v>
      </c>
      <c r="B9923" t="s">
        <v>40</v>
      </c>
      <c r="C9923" t="s">
        <v>35</v>
      </c>
      <c r="D9923" t="s">
        <v>32</v>
      </c>
      <c r="E9923" t="s">
        <v>26</v>
      </c>
      <c r="F9923" t="s">
        <v>17</v>
      </c>
      <c r="G9923" s="1" t="str">
        <f t="shared" ref="G9923:M9925" si="2204">"..."</f>
        <v>...</v>
      </c>
      <c r="H9923" s="1" t="str">
        <f t="shared" si="2204"/>
        <v>...</v>
      </c>
      <c r="I9923" s="1" t="str">
        <f t="shared" si="2204"/>
        <v>...</v>
      </c>
      <c r="J9923" s="1" t="str">
        <f t="shared" si="2204"/>
        <v>...</v>
      </c>
      <c r="K9923" s="1" t="str">
        <f t="shared" si="2204"/>
        <v>...</v>
      </c>
      <c r="L9923" s="1" t="str">
        <f t="shared" si="2204"/>
        <v>...</v>
      </c>
      <c r="M9923" s="1" t="str">
        <f t="shared" si="2204"/>
        <v>...</v>
      </c>
      <c r="N9923" t="s">
        <v>30</v>
      </c>
    </row>
    <row r="9924" spans="1:14" x14ac:dyDescent="0.25">
      <c r="A9924" t="s">
        <v>43</v>
      </c>
      <c r="B9924" t="s">
        <v>40</v>
      </c>
      <c r="C9924" t="s">
        <v>35</v>
      </c>
      <c r="D9924" t="s">
        <v>32</v>
      </c>
      <c r="E9924" t="s">
        <v>26</v>
      </c>
      <c r="F9924" t="s">
        <v>18</v>
      </c>
      <c r="G9924" s="1" t="str">
        <f t="shared" si="2204"/>
        <v>...</v>
      </c>
      <c r="H9924" s="1" t="str">
        <f t="shared" si="2204"/>
        <v>...</v>
      </c>
      <c r="I9924" s="1" t="str">
        <f t="shared" si="2204"/>
        <v>...</v>
      </c>
      <c r="J9924" s="1" t="str">
        <f t="shared" si="2204"/>
        <v>...</v>
      </c>
      <c r="K9924" s="1" t="str">
        <f t="shared" si="2204"/>
        <v>...</v>
      </c>
      <c r="L9924" s="1" t="str">
        <f t="shared" si="2204"/>
        <v>...</v>
      </c>
      <c r="M9924" s="1" t="str">
        <f t="shared" si="2204"/>
        <v>...</v>
      </c>
      <c r="N9924" t="s">
        <v>30</v>
      </c>
    </row>
    <row r="9925" spans="1:14" x14ac:dyDescent="0.25">
      <c r="A9925" t="s">
        <v>43</v>
      </c>
      <c r="B9925" t="s">
        <v>40</v>
      </c>
      <c r="C9925" t="s">
        <v>35</v>
      </c>
      <c r="D9925" t="s">
        <v>32</v>
      </c>
      <c r="E9925" t="s">
        <v>26</v>
      </c>
      <c r="F9925" t="s">
        <v>19</v>
      </c>
      <c r="G9925" s="1" t="str">
        <f t="shared" si="2204"/>
        <v>...</v>
      </c>
      <c r="H9925" s="1" t="str">
        <f t="shared" si="2204"/>
        <v>...</v>
      </c>
      <c r="I9925" s="1" t="str">
        <f t="shared" si="2204"/>
        <v>...</v>
      </c>
      <c r="J9925" s="1" t="str">
        <f t="shared" si="2204"/>
        <v>...</v>
      </c>
      <c r="K9925" s="1" t="str">
        <f t="shared" si="2204"/>
        <v>...</v>
      </c>
      <c r="L9925" s="1" t="str">
        <f t="shared" si="2204"/>
        <v>...</v>
      </c>
      <c r="M9925" s="1" t="str">
        <f t="shared" si="2204"/>
        <v>...</v>
      </c>
      <c r="N9925" t="s">
        <v>30</v>
      </c>
    </row>
    <row r="9926" spans="1:14" x14ac:dyDescent="0.25">
      <c r="A9926" t="s">
        <v>43</v>
      </c>
      <c r="B9926" t="s">
        <v>40</v>
      </c>
      <c r="C9926" t="s">
        <v>35</v>
      </c>
      <c r="D9926" t="s">
        <v>32</v>
      </c>
      <c r="E9926" t="s">
        <v>26</v>
      </c>
      <c r="F9926" t="s">
        <v>20</v>
      </c>
      <c r="G9926" s="1" t="str">
        <f t="shared" ref="G9926:M9927" si="2205">"X"</f>
        <v>X</v>
      </c>
      <c r="H9926" s="1" t="str">
        <f t="shared" si="2205"/>
        <v>X</v>
      </c>
      <c r="I9926" s="1" t="str">
        <f t="shared" si="2205"/>
        <v>X</v>
      </c>
      <c r="J9926" s="1" t="str">
        <f t="shared" si="2205"/>
        <v>X</v>
      </c>
      <c r="K9926" s="1" t="str">
        <f t="shared" si="2205"/>
        <v>X</v>
      </c>
      <c r="L9926" s="1" t="str">
        <f t="shared" si="2205"/>
        <v>X</v>
      </c>
      <c r="M9926" s="1" t="str">
        <f t="shared" si="2205"/>
        <v>X</v>
      </c>
      <c r="N9926" t="s">
        <v>27</v>
      </c>
    </row>
    <row r="9927" spans="1:14" x14ac:dyDescent="0.25">
      <c r="A9927" t="s">
        <v>43</v>
      </c>
      <c r="B9927" t="s">
        <v>40</v>
      </c>
      <c r="C9927" t="s">
        <v>35</v>
      </c>
      <c r="D9927" t="s">
        <v>33</v>
      </c>
      <c r="E9927" t="s">
        <v>15</v>
      </c>
      <c r="F9927" t="s">
        <v>15</v>
      </c>
      <c r="G9927" s="1" t="str">
        <f t="shared" si="2205"/>
        <v>X</v>
      </c>
      <c r="H9927" s="1" t="str">
        <f t="shared" si="2205"/>
        <v>X</v>
      </c>
      <c r="I9927" s="1" t="str">
        <f t="shared" si="2205"/>
        <v>X</v>
      </c>
      <c r="J9927" s="1" t="str">
        <f t="shared" si="2205"/>
        <v>X</v>
      </c>
      <c r="K9927" s="1" t="str">
        <f t="shared" si="2205"/>
        <v>X</v>
      </c>
      <c r="L9927" s="1" t="str">
        <f t="shared" si="2205"/>
        <v>X</v>
      </c>
      <c r="M9927" s="1" t="str">
        <f t="shared" si="2205"/>
        <v>X</v>
      </c>
      <c r="N9927" t="s">
        <v>27</v>
      </c>
    </row>
    <row r="9928" spans="1:14" x14ac:dyDescent="0.25">
      <c r="A9928" t="s">
        <v>43</v>
      </c>
      <c r="B9928" t="s">
        <v>40</v>
      </c>
      <c r="C9928" t="s">
        <v>35</v>
      </c>
      <c r="D9928" t="s">
        <v>33</v>
      </c>
      <c r="E9928" t="s">
        <v>15</v>
      </c>
      <c r="F9928" t="s">
        <v>17</v>
      </c>
      <c r="G9928" s="1" t="str">
        <f t="shared" ref="G9928:M9930" si="2206">"..."</f>
        <v>...</v>
      </c>
      <c r="H9928" s="1" t="str">
        <f t="shared" si="2206"/>
        <v>...</v>
      </c>
      <c r="I9928" s="1" t="str">
        <f t="shared" si="2206"/>
        <v>...</v>
      </c>
      <c r="J9928" s="1" t="str">
        <f t="shared" si="2206"/>
        <v>...</v>
      </c>
      <c r="K9928" s="1" t="str">
        <f t="shared" si="2206"/>
        <v>...</v>
      </c>
      <c r="L9928" s="1" t="str">
        <f t="shared" si="2206"/>
        <v>...</v>
      </c>
      <c r="M9928" s="1" t="str">
        <f t="shared" si="2206"/>
        <v>...</v>
      </c>
      <c r="N9928" t="s">
        <v>30</v>
      </c>
    </row>
    <row r="9929" spans="1:14" x14ac:dyDescent="0.25">
      <c r="A9929" t="s">
        <v>43</v>
      </c>
      <c r="B9929" t="s">
        <v>40</v>
      </c>
      <c r="C9929" t="s">
        <v>35</v>
      </c>
      <c r="D9929" t="s">
        <v>33</v>
      </c>
      <c r="E9929" t="s">
        <v>15</v>
      </c>
      <c r="F9929" t="s">
        <v>18</v>
      </c>
      <c r="G9929" s="1" t="str">
        <f t="shared" si="2206"/>
        <v>...</v>
      </c>
      <c r="H9929" s="1" t="str">
        <f t="shared" si="2206"/>
        <v>...</v>
      </c>
      <c r="I9929" s="1" t="str">
        <f t="shared" si="2206"/>
        <v>...</v>
      </c>
      <c r="J9929" s="1" t="str">
        <f t="shared" si="2206"/>
        <v>...</v>
      </c>
      <c r="K9929" s="1" t="str">
        <f t="shared" si="2206"/>
        <v>...</v>
      </c>
      <c r="L9929" s="1" t="str">
        <f t="shared" si="2206"/>
        <v>...</v>
      </c>
      <c r="M9929" s="1" t="str">
        <f t="shared" si="2206"/>
        <v>...</v>
      </c>
      <c r="N9929" t="s">
        <v>30</v>
      </c>
    </row>
    <row r="9930" spans="1:14" x14ac:dyDescent="0.25">
      <c r="A9930" t="s">
        <v>43</v>
      </c>
      <c r="B9930" t="s">
        <v>40</v>
      </c>
      <c r="C9930" t="s">
        <v>35</v>
      </c>
      <c r="D9930" t="s">
        <v>33</v>
      </c>
      <c r="E9930" t="s">
        <v>15</v>
      </c>
      <c r="F9930" t="s">
        <v>19</v>
      </c>
      <c r="G9930" s="1" t="str">
        <f t="shared" si="2206"/>
        <v>...</v>
      </c>
      <c r="H9930" s="1" t="str">
        <f t="shared" si="2206"/>
        <v>...</v>
      </c>
      <c r="I9930" s="1" t="str">
        <f t="shared" si="2206"/>
        <v>...</v>
      </c>
      <c r="J9930" s="1" t="str">
        <f t="shared" si="2206"/>
        <v>...</v>
      </c>
      <c r="K9930" s="1" t="str">
        <f t="shared" si="2206"/>
        <v>...</v>
      </c>
      <c r="L9930" s="1" t="str">
        <f t="shared" si="2206"/>
        <v>...</v>
      </c>
      <c r="M9930" s="1" t="str">
        <f t="shared" si="2206"/>
        <v>...</v>
      </c>
      <c r="N9930" t="s">
        <v>30</v>
      </c>
    </row>
    <row r="9931" spans="1:14" x14ac:dyDescent="0.25">
      <c r="A9931" t="s">
        <v>43</v>
      </c>
      <c r="B9931" t="s">
        <v>40</v>
      </c>
      <c r="C9931" t="s">
        <v>35</v>
      </c>
      <c r="D9931" t="s">
        <v>33</v>
      </c>
      <c r="E9931" t="s">
        <v>15</v>
      </c>
      <c r="F9931" t="s">
        <v>20</v>
      </c>
      <c r="G9931" s="1" t="str">
        <f t="shared" ref="G9931:M9932" si="2207">"X"</f>
        <v>X</v>
      </c>
      <c r="H9931" s="1" t="str">
        <f t="shared" si="2207"/>
        <v>X</v>
      </c>
      <c r="I9931" s="1" t="str">
        <f t="shared" si="2207"/>
        <v>X</v>
      </c>
      <c r="J9931" s="1" t="str">
        <f t="shared" si="2207"/>
        <v>X</v>
      </c>
      <c r="K9931" s="1" t="str">
        <f t="shared" si="2207"/>
        <v>X</v>
      </c>
      <c r="L9931" s="1" t="str">
        <f t="shared" si="2207"/>
        <v>X</v>
      </c>
      <c r="M9931" s="1" t="str">
        <f t="shared" si="2207"/>
        <v>X</v>
      </c>
      <c r="N9931" t="s">
        <v>27</v>
      </c>
    </row>
    <row r="9932" spans="1:14" x14ac:dyDescent="0.25">
      <c r="A9932" t="s">
        <v>43</v>
      </c>
      <c r="B9932" t="s">
        <v>40</v>
      </c>
      <c r="C9932" t="s">
        <v>35</v>
      </c>
      <c r="D9932" t="s">
        <v>33</v>
      </c>
      <c r="E9932" t="s">
        <v>21</v>
      </c>
      <c r="F9932" t="s">
        <v>15</v>
      </c>
      <c r="G9932" s="1" t="str">
        <f t="shared" si="2207"/>
        <v>X</v>
      </c>
      <c r="H9932" s="1" t="str">
        <f t="shared" si="2207"/>
        <v>X</v>
      </c>
      <c r="I9932" s="1" t="str">
        <f t="shared" si="2207"/>
        <v>X</v>
      </c>
      <c r="J9932" s="1" t="str">
        <f t="shared" si="2207"/>
        <v>X</v>
      </c>
      <c r="K9932" s="1" t="str">
        <f t="shared" si="2207"/>
        <v>X</v>
      </c>
      <c r="L9932" s="1" t="str">
        <f t="shared" si="2207"/>
        <v>X</v>
      </c>
      <c r="M9932" s="1" t="str">
        <f t="shared" si="2207"/>
        <v>X</v>
      </c>
      <c r="N9932" t="s">
        <v>27</v>
      </c>
    </row>
    <row r="9933" spans="1:14" x14ac:dyDescent="0.25">
      <c r="A9933" t="s">
        <v>43</v>
      </c>
      <c r="B9933" t="s">
        <v>40</v>
      </c>
      <c r="C9933" t="s">
        <v>35</v>
      </c>
      <c r="D9933" t="s">
        <v>33</v>
      </c>
      <c r="E9933" t="s">
        <v>21</v>
      </c>
      <c r="F9933" t="s">
        <v>17</v>
      </c>
      <c r="G9933" s="1" t="str">
        <f t="shared" ref="G9933:M9935" si="2208">"..."</f>
        <v>...</v>
      </c>
      <c r="H9933" s="1" t="str">
        <f t="shared" si="2208"/>
        <v>...</v>
      </c>
      <c r="I9933" s="1" t="str">
        <f t="shared" si="2208"/>
        <v>...</v>
      </c>
      <c r="J9933" s="1" t="str">
        <f t="shared" si="2208"/>
        <v>...</v>
      </c>
      <c r="K9933" s="1" t="str">
        <f t="shared" si="2208"/>
        <v>...</v>
      </c>
      <c r="L9933" s="1" t="str">
        <f t="shared" si="2208"/>
        <v>...</v>
      </c>
      <c r="M9933" s="1" t="str">
        <f t="shared" si="2208"/>
        <v>...</v>
      </c>
      <c r="N9933" t="s">
        <v>30</v>
      </c>
    </row>
    <row r="9934" spans="1:14" x14ac:dyDescent="0.25">
      <c r="A9934" t="s">
        <v>43</v>
      </c>
      <c r="B9934" t="s">
        <v>40</v>
      </c>
      <c r="C9934" t="s">
        <v>35</v>
      </c>
      <c r="D9934" t="s">
        <v>33</v>
      </c>
      <c r="E9934" t="s">
        <v>21</v>
      </c>
      <c r="F9934" t="s">
        <v>18</v>
      </c>
      <c r="G9934" s="1" t="str">
        <f t="shared" si="2208"/>
        <v>...</v>
      </c>
      <c r="H9934" s="1" t="str">
        <f t="shared" si="2208"/>
        <v>...</v>
      </c>
      <c r="I9934" s="1" t="str">
        <f t="shared" si="2208"/>
        <v>...</v>
      </c>
      <c r="J9934" s="1" t="str">
        <f t="shared" si="2208"/>
        <v>...</v>
      </c>
      <c r="K9934" s="1" t="str">
        <f t="shared" si="2208"/>
        <v>...</v>
      </c>
      <c r="L9934" s="1" t="str">
        <f t="shared" si="2208"/>
        <v>...</v>
      </c>
      <c r="M9934" s="1" t="str">
        <f t="shared" si="2208"/>
        <v>...</v>
      </c>
      <c r="N9934" t="s">
        <v>30</v>
      </c>
    </row>
    <row r="9935" spans="1:14" x14ac:dyDescent="0.25">
      <c r="A9935" t="s">
        <v>43</v>
      </c>
      <c r="B9935" t="s">
        <v>40</v>
      </c>
      <c r="C9935" t="s">
        <v>35</v>
      </c>
      <c r="D9935" t="s">
        <v>33</v>
      </c>
      <c r="E9935" t="s">
        <v>21</v>
      </c>
      <c r="F9935" t="s">
        <v>19</v>
      </c>
      <c r="G9935" s="1" t="str">
        <f t="shared" si="2208"/>
        <v>...</v>
      </c>
      <c r="H9935" s="1" t="str">
        <f t="shared" si="2208"/>
        <v>...</v>
      </c>
      <c r="I9935" s="1" t="str">
        <f t="shared" si="2208"/>
        <v>...</v>
      </c>
      <c r="J9935" s="1" t="str">
        <f t="shared" si="2208"/>
        <v>...</v>
      </c>
      <c r="K9935" s="1" t="str">
        <f t="shared" si="2208"/>
        <v>...</v>
      </c>
      <c r="L9935" s="1" t="str">
        <f t="shared" si="2208"/>
        <v>...</v>
      </c>
      <c r="M9935" s="1" t="str">
        <f t="shared" si="2208"/>
        <v>...</v>
      </c>
      <c r="N9935" t="s">
        <v>30</v>
      </c>
    </row>
    <row r="9936" spans="1:14" x14ac:dyDescent="0.25">
      <c r="A9936" t="s">
        <v>43</v>
      </c>
      <c r="B9936" t="s">
        <v>40</v>
      </c>
      <c r="C9936" t="s">
        <v>35</v>
      </c>
      <c r="D9936" t="s">
        <v>33</v>
      </c>
      <c r="E9936" t="s">
        <v>21</v>
      </c>
      <c r="F9936" t="s">
        <v>20</v>
      </c>
      <c r="G9936" s="1" t="str">
        <f t="shared" ref="G9936:M9937" si="2209">"X"</f>
        <v>X</v>
      </c>
      <c r="H9936" s="1" t="str">
        <f t="shared" si="2209"/>
        <v>X</v>
      </c>
      <c r="I9936" s="1" t="str">
        <f t="shared" si="2209"/>
        <v>X</v>
      </c>
      <c r="J9936" s="1" t="str">
        <f t="shared" si="2209"/>
        <v>X</v>
      </c>
      <c r="K9936" s="1" t="str">
        <f t="shared" si="2209"/>
        <v>X</v>
      </c>
      <c r="L9936" s="1" t="str">
        <f t="shared" si="2209"/>
        <v>X</v>
      </c>
      <c r="M9936" s="1" t="str">
        <f t="shared" si="2209"/>
        <v>X</v>
      </c>
      <c r="N9936" t="s">
        <v>27</v>
      </c>
    </row>
    <row r="9937" spans="1:14" x14ac:dyDescent="0.25">
      <c r="A9937" t="s">
        <v>43</v>
      </c>
      <c r="B9937" t="s">
        <v>40</v>
      </c>
      <c r="C9937" t="s">
        <v>35</v>
      </c>
      <c r="D9937" t="s">
        <v>33</v>
      </c>
      <c r="E9937" t="s">
        <v>22</v>
      </c>
      <c r="F9937" t="s">
        <v>15</v>
      </c>
      <c r="G9937" s="1" t="str">
        <f t="shared" si="2209"/>
        <v>X</v>
      </c>
      <c r="H9937" s="1" t="str">
        <f t="shared" si="2209"/>
        <v>X</v>
      </c>
      <c r="I9937" s="1" t="str">
        <f t="shared" si="2209"/>
        <v>X</v>
      </c>
      <c r="J9937" s="1" t="str">
        <f t="shared" si="2209"/>
        <v>X</v>
      </c>
      <c r="K9937" s="1" t="str">
        <f t="shared" si="2209"/>
        <v>X</v>
      </c>
      <c r="L9937" s="1" t="str">
        <f t="shared" si="2209"/>
        <v>X</v>
      </c>
      <c r="M9937" s="1" t="str">
        <f t="shared" si="2209"/>
        <v>X</v>
      </c>
      <c r="N9937" t="s">
        <v>27</v>
      </c>
    </row>
    <row r="9938" spans="1:14" x14ac:dyDescent="0.25">
      <c r="A9938" t="s">
        <v>43</v>
      </c>
      <c r="B9938" t="s">
        <v>40</v>
      </c>
      <c r="C9938" t="s">
        <v>35</v>
      </c>
      <c r="D9938" t="s">
        <v>33</v>
      </c>
      <c r="E9938" t="s">
        <v>22</v>
      </c>
      <c r="F9938" t="s">
        <v>17</v>
      </c>
      <c r="G9938" s="1" t="str">
        <f t="shared" ref="G9938:M9940" si="2210">"..."</f>
        <v>...</v>
      </c>
      <c r="H9938" s="1" t="str">
        <f t="shared" si="2210"/>
        <v>...</v>
      </c>
      <c r="I9938" s="1" t="str">
        <f t="shared" si="2210"/>
        <v>...</v>
      </c>
      <c r="J9938" s="1" t="str">
        <f t="shared" si="2210"/>
        <v>...</v>
      </c>
      <c r="K9938" s="1" t="str">
        <f t="shared" si="2210"/>
        <v>...</v>
      </c>
      <c r="L9938" s="1" t="str">
        <f t="shared" si="2210"/>
        <v>...</v>
      </c>
      <c r="M9938" s="1" t="str">
        <f t="shared" si="2210"/>
        <v>...</v>
      </c>
      <c r="N9938" t="s">
        <v>30</v>
      </c>
    </row>
    <row r="9939" spans="1:14" x14ac:dyDescent="0.25">
      <c r="A9939" t="s">
        <v>43</v>
      </c>
      <c r="B9939" t="s">
        <v>40</v>
      </c>
      <c r="C9939" t="s">
        <v>35</v>
      </c>
      <c r="D9939" t="s">
        <v>33</v>
      </c>
      <c r="E9939" t="s">
        <v>22</v>
      </c>
      <c r="F9939" t="s">
        <v>18</v>
      </c>
      <c r="G9939" s="1" t="str">
        <f t="shared" si="2210"/>
        <v>...</v>
      </c>
      <c r="H9939" s="1" t="str">
        <f t="shared" si="2210"/>
        <v>...</v>
      </c>
      <c r="I9939" s="1" t="str">
        <f t="shared" si="2210"/>
        <v>...</v>
      </c>
      <c r="J9939" s="1" t="str">
        <f t="shared" si="2210"/>
        <v>...</v>
      </c>
      <c r="K9939" s="1" t="str">
        <f t="shared" si="2210"/>
        <v>...</v>
      </c>
      <c r="L9939" s="1" t="str">
        <f t="shared" si="2210"/>
        <v>...</v>
      </c>
      <c r="M9939" s="1" t="str">
        <f t="shared" si="2210"/>
        <v>...</v>
      </c>
      <c r="N9939" t="s">
        <v>30</v>
      </c>
    </row>
    <row r="9940" spans="1:14" x14ac:dyDescent="0.25">
      <c r="A9940" t="s">
        <v>43</v>
      </c>
      <c r="B9940" t="s">
        <v>40</v>
      </c>
      <c r="C9940" t="s">
        <v>35</v>
      </c>
      <c r="D9940" t="s">
        <v>33</v>
      </c>
      <c r="E9940" t="s">
        <v>22</v>
      </c>
      <c r="F9940" t="s">
        <v>19</v>
      </c>
      <c r="G9940" s="1" t="str">
        <f t="shared" si="2210"/>
        <v>...</v>
      </c>
      <c r="H9940" s="1" t="str">
        <f t="shared" si="2210"/>
        <v>...</v>
      </c>
      <c r="I9940" s="1" t="str">
        <f t="shared" si="2210"/>
        <v>...</v>
      </c>
      <c r="J9940" s="1" t="str">
        <f t="shared" si="2210"/>
        <v>...</v>
      </c>
      <c r="K9940" s="1" t="str">
        <f t="shared" si="2210"/>
        <v>...</v>
      </c>
      <c r="L9940" s="1" t="str">
        <f t="shared" si="2210"/>
        <v>...</v>
      </c>
      <c r="M9940" s="1" t="str">
        <f t="shared" si="2210"/>
        <v>...</v>
      </c>
      <c r="N9940" t="s">
        <v>30</v>
      </c>
    </row>
    <row r="9941" spans="1:14" x14ac:dyDescent="0.25">
      <c r="A9941" t="s">
        <v>43</v>
      </c>
      <c r="B9941" t="s">
        <v>40</v>
      </c>
      <c r="C9941" t="s">
        <v>35</v>
      </c>
      <c r="D9941" t="s">
        <v>33</v>
      </c>
      <c r="E9941" t="s">
        <v>22</v>
      </c>
      <c r="F9941" t="s">
        <v>20</v>
      </c>
      <c r="G9941" s="1" t="str">
        <f t="shared" ref="G9941:M9942" si="2211">"X"</f>
        <v>X</v>
      </c>
      <c r="H9941" s="1" t="str">
        <f t="shared" si="2211"/>
        <v>X</v>
      </c>
      <c r="I9941" s="1" t="str">
        <f t="shared" si="2211"/>
        <v>X</v>
      </c>
      <c r="J9941" s="1" t="str">
        <f t="shared" si="2211"/>
        <v>X</v>
      </c>
      <c r="K9941" s="1" t="str">
        <f t="shared" si="2211"/>
        <v>X</v>
      </c>
      <c r="L9941" s="1" t="str">
        <f t="shared" si="2211"/>
        <v>X</v>
      </c>
      <c r="M9941" s="1" t="str">
        <f t="shared" si="2211"/>
        <v>X</v>
      </c>
      <c r="N9941" t="s">
        <v>27</v>
      </c>
    </row>
    <row r="9942" spans="1:14" x14ac:dyDescent="0.25">
      <c r="A9942" t="s">
        <v>43</v>
      </c>
      <c r="B9942" t="s">
        <v>40</v>
      </c>
      <c r="C9942" t="s">
        <v>35</v>
      </c>
      <c r="D9942" t="s">
        <v>33</v>
      </c>
      <c r="E9942" t="s">
        <v>23</v>
      </c>
      <c r="F9942" t="s">
        <v>15</v>
      </c>
      <c r="G9942" s="1" t="str">
        <f t="shared" si="2211"/>
        <v>X</v>
      </c>
      <c r="H9942" s="1" t="str">
        <f t="shared" si="2211"/>
        <v>X</v>
      </c>
      <c r="I9942" s="1" t="str">
        <f t="shared" si="2211"/>
        <v>X</v>
      </c>
      <c r="J9942" s="1" t="str">
        <f t="shared" si="2211"/>
        <v>X</v>
      </c>
      <c r="K9942" s="1" t="str">
        <f t="shared" si="2211"/>
        <v>X</v>
      </c>
      <c r="L9942" s="1" t="str">
        <f t="shared" si="2211"/>
        <v>X</v>
      </c>
      <c r="M9942" s="1" t="str">
        <f t="shared" si="2211"/>
        <v>X</v>
      </c>
      <c r="N9942" t="s">
        <v>27</v>
      </c>
    </row>
    <row r="9943" spans="1:14" x14ac:dyDescent="0.25">
      <c r="A9943" t="s">
        <v>43</v>
      </c>
      <c r="B9943" t="s">
        <v>40</v>
      </c>
      <c r="C9943" t="s">
        <v>35</v>
      </c>
      <c r="D9943" t="s">
        <v>33</v>
      </c>
      <c r="E9943" t="s">
        <v>23</v>
      </c>
      <c r="F9943" t="s">
        <v>17</v>
      </c>
      <c r="G9943" s="1" t="str">
        <f t="shared" ref="G9943:M9945" si="2212">"..."</f>
        <v>...</v>
      </c>
      <c r="H9943" s="1" t="str">
        <f t="shared" si="2212"/>
        <v>...</v>
      </c>
      <c r="I9943" s="1" t="str">
        <f t="shared" si="2212"/>
        <v>...</v>
      </c>
      <c r="J9943" s="1" t="str">
        <f t="shared" si="2212"/>
        <v>...</v>
      </c>
      <c r="K9943" s="1" t="str">
        <f t="shared" si="2212"/>
        <v>...</v>
      </c>
      <c r="L9943" s="1" t="str">
        <f t="shared" si="2212"/>
        <v>...</v>
      </c>
      <c r="M9943" s="1" t="str">
        <f t="shared" si="2212"/>
        <v>...</v>
      </c>
      <c r="N9943" t="s">
        <v>30</v>
      </c>
    </row>
    <row r="9944" spans="1:14" x14ac:dyDescent="0.25">
      <c r="A9944" t="s">
        <v>43</v>
      </c>
      <c r="B9944" t="s">
        <v>40</v>
      </c>
      <c r="C9944" t="s">
        <v>35</v>
      </c>
      <c r="D9944" t="s">
        <v>33</v>
      </c>
      <c r="E9944" t="s">
        <v>23</v>
      </c>
      <c r="F9944" t="s">
        <v>18</v>
      </c>
      <c r="G9944" s="1" t="str">
        <f t="shared" si="2212"/>
        <v>...</v>
      </c>
      <c r="H9944" s="1" t="str">
        <f t="shared" si="2212"/>
        <v>...</v>
      </c>
      <c r="I9944" s="1" t="str">
        <f t="shared" si="2212"/>
        <v>...</v>
      </c>
      <c r="J9944" s="1" t="str">
        <f t="shared" si="2212"/>
        <v>...</v>
      </c>
      <c r="K9944" s="1" t="str">
        <f t="shared" si="2212"/>
        <v>...</v>
      </c>
      <c r="L9944" s="1" t="str">
        <f t="shared" si="2212"/>
        <v>...</v>
      </c>
      <c r="M9944" s="1" t="str">
        <f t="shared" si="2212"/>
        <v>...</v>
      </c>
      <c r="N9944" t="s">
        <v>30</v>
      </c>
    </row>
    <row r="9945" spans="1:14" x14ac:dyDescent="0.25">
      <c r="A9945" t="s">
        <v>43</v>
      </c>
      <c r="B9945" t="s">
        <v>40</v>
      </c>
      <c r="C9945" t="s">
        <v>35</v>
      </c>
      <c r="D9945" t="s">
        <v>33</v>
      </c>
      <c r="E9945" t="s">
        <v>23</v>
      </c>
      <c r="F9945" t="s">
        <v>19</v>
      </c>
      <c r="G9945" s="1" t="str">
        <f t="shared" si="2212"/>
        <v>...</v>
      </c>
      <c r="H9945" s="1" t="str">
        <f t="shared" si="2212"/>
        <v>...</v>
      </c>
      <c r="I9945" s="1" t="str">
        <f t="shared" si="2212"/>
        <v>...</v>
      </c>
      <c r="J9945" s="1" t="str">
        <f t="shared" si="2212"/>
        <v>...</v>
      </c>
      <c r="K9945" s="1" t="str">
        <f t="shared" si="2212"/>
        <v>...</v>
      </c>
      <c r="L9945" s="1" t="str">
        <f t="shared" si="2212"/>
        <v>...</v>
      </c>
      <c r="M9945" s="1" t="str">
        <f t="shared" si="2212"/>
        <v>...</v>
      </c>
      <c r="N9945" t="s">
        <v>30</v>
      </c>
    </row>
    <row r="9946" spans="1:14" x14ac:dyDescent="0.25">
      <c r="A9946" t="s">
        <v>43</v>
      </c>
      <c r="B9946" t="s">
        <v>40</v>
      </c>
      <c r="C9946" t="s">
        <v>35</v>
      </c>
      <c r="D9946" t="s">
        <v>33</v>
      </c>
      <c r="E9946" t="s">
        <v>23</v>
      </c>
      <c r="F9946" t="s">
        <v>20</v>
      </c>
      <c r="G9946" s="1" t="str">
        <f t="shared" ref="G9946:M9946" si="2213">"X"</f>
        <v>X</v>
      </c>
      <c r="H9946" s="1" t="str">
        <f t="shared" si="2213"/>
        <v>X</v>
      </c>
      <c r="I9946" s="1" t="str">
        <f t="shared" si="2213"/>
        <v>X</v>
      </c>
      <c r="J9946" s="1" t="str">
        <f t="shared" si="2213"/>
        <v>X</v>
      </c>
      <c r="K9946" s="1" t="str">
        <f t="shared" si="2213"/>
        <v>X</v>
      </c>
      <c r="L9946" s="1" t="str">
        <f t="shared" si="2213"/>
        <v>X</v>
      </c>
      <c r="M9946" s="1" t="str">
        <f t="shared" si="2213"/>
        <v>X</v>
      </c>
      <c r="N9946" t="s">
        <v>27</v>
      </c>
    </row>
    <row r="9947" spans="1:14" x14ac:dyDescent="0.25">
      <c r="A9947" t="s">
        <v>43</v>
      </c>
      <c r="B9947" t="s">
        <v>40</v>
      </c>
      <c r="C9947" t="s">
        <v>35</v>
      </c>
      <c r="D9947" t="s">
        <v>33</v>
      </c>
      <c r="E9947" t="s">
        <v>26</v>
      </c>
      <c r="F9947" t="s">
        <v>15</v>
      </c>
      <c r="G9947" s="1" t="str">
        <f t="shared" ref="G9947:M9951" si="2214">"..."</f>
        <v>...</v>
      </c>
      <c r="H9947" s="1" t="str">
        <f t="shared" si="2214"/>
        <v>...</v>
      </c>
      <c r="I9947" s="1" t="str">
        <f t="shared" si="2214"/>
        <v>...</v>
      </c>
      <c r="J9947" s="1" t="str">
        <f t="shared" si="2214"/>
        <v>...</v>
      </c>
      <c r="K9947" s="1" t="str">
        <f t="shared" si="2214"/>
        <v>...</v>
      </c>
      <c r="L9947" s="1" t="str">
        <f t="shared" si="2214"/>
        <v>...</v>
      </c>
      <c r="M9947" s="1" t="str">
        <f t="shared" si="2214"/>
        <v>...</v>
      </c>
      <c r="N9947" t="s">
        <v>30</v>
      </c>
    </row>
    <row r="9948" spans="1:14" x14ac:dyDescent="0.25">
      <c r="A9948" t="s">
        <v>43</v>
      </c>
      <c r="B9948" t="s">
        <v>40</v>
      </c>
      <c r="C9948" t="s">
        <v>35</v>
      </c>
      <c r="D9948" t="s">
        <v>33</v>
      </c>
      <c r="E9948" t="s">
        <v>26</v>
      </c>
      <c r="F9948" t="s">
        <v>17</v>
      </c>
      <c r="G9948" s="1" t="str">
        <f t="shared" si="2214"/>
        <v>...</v>
      </c>
      <c r="H9948" s="1" t="str">
        <f t="shared" si="2214"/>
        <v>...</v>
      </c>
      <c r="I9948" s="1" t="str">
        <f t="shared" si="2214"/>
        <v>...</v>
      </c>
      <c r="J9948" s="1" t="str">
        <f t="shared" si="2214"/>
        <v>...</v>
      </c>
      <c r="K9948" s="1" t="str">
        <f t="shared" si="2214"/>
        <v>...</v>
      </c>
      <c r="L9948" s="1" t="str">
        <f t="shared" si="2214"/>
        <v>...</v>
      </c>
      <c r="M9948" s="1" t="str">
        <f t="shared" si="2214"/>
        <v>...</v>
      </c>
      <c r="N9948" t="s">
        <v>30</v>
      </c>
    </row>
    <row r="9949" spans="1:14" x14ac:dyDescent="0.25">
      <c r="A9949" t="s">
        <v>43</v>
      </c>
      <c r="B9949" t="s">
        <v>40</v>
      </c>
      <c r="C9949" t="s">
        <v>35</v>
      </c>
      <c r="D9949" t="s">
        <v>33</v>
      </c>
      <c r="E9949" t="s">
        <v>26</v>
      </c>
      <c r="F9949" t="s">
        <v>18</v>
      </c>
      <c r="G9949" s="1" t="str">
        <f t="shared" si="2214"/>
        <v>...</v>
      </c>
      <c r="H9949" s="1" t="str">
        <f t="shared" si="2214"/>
        <v>...</v>
      </c>
      <c r="I9949" s="1" t="str">
        <f t="shared" si="2214"/>
        <v>...</v>
      </c>
      <c r="J9949" s="1" t="str">
        <f t="shared" si="2214"/>
        <v>...</v>
      </c>
      <c r="K9949" s="1" t="str">
        <f t="shared" si="2214"/>
        <v>...</v>
      </c>
      <c r="L9949" s="1" t="str">
        <f t="shared" si="2214"/>
        <v>...</v>
      </c>
      <c r="M9949" s="1" t="str">
        <f t="shared" si="2214"/>
        <v>...</v>
      </c>
      <c r="N9949" t="s">
        <v>30</v>
      </c>
    </row>
    <row r="9950" spans="1:14" x14ac:dyDescent="0.25">
      <c r="A9950" t="s">
        <v>43</v>
      </c>
      <c r="B9950" t="s">
        <v>40</v>
      </c>
      <c r="C9950" t="s">
        <v>35</v>
      </c>
      <c r="D9950" t="s">
        <v>33</v>
      </c>
      <c r="E9950" t="s">
        <v>26</v>
      </c>
      <c r="F9950" t="s">
        <v>19</v>
      </c>
      <c r="G9950" s="1" t="str">
        <f t="shared" si="2214"/>
        <v>...</v>
      </c>
      <c r="H9950" s="1" t="str">
        <f t="shared" si="2214"/>
        <v>...</v>
      </c>
      <c r="I9950" s="1" t="str">
        <f t="shared" si="2214"/>
        <v>...</v>
      </c>
      <c r="J9950" s="1" t="str">
        <f t="shared" si="2214"/>
        <v>...</v>
      </c>
      <c r="K9950" s="1" t="str">
        <f t="shared" si="2214"/>
        <v>...</v>
      </c>
      <c r="L9950" s="1" t="str">
        <f t="shared" si="2214"/>
        <v>...</v>
      </c>
      <c r="M9950" s="1" t="str">
        <f t="shared" si="2214"/>
        <v>...</v>
      </c>
      <c r="N9950" t="s">
        <v>30</v>
      </c>
    </row>
    <row r="9951" spans="1:14" x14ac:dyDescent="0.25">
      <c r="A9951" t="s">
        <v>43</v>
      </c>
      <c r="B9951" t="s">
        <v>40</v>
      </c>
      <c r="C9951" t="s">
        <v>35</v>
      </c>
      <c r="D9951" t="s">
        <v>33</v>
      </c>
      <c r="E9951" t="s">
        <v>26</v>
      </c>
      <c r="F9951" t="s">
        <v>20</v>
      </c>
      <c r="G9951" s="1" t="str">
        <f t="shared" si="2214"/>
        <v>...</v>
      </c>
      <c r="H9951" s="1" t="str">
        <f t="shared" si="2214"/>
        <v>...</v>
      </c>
      <c r="I9951" s="1" t="str">
        <f t="shared" si="2214"/>
        <v>...</v>
      </c>
      <c r="J9951" s="1" t="str">
        <f t="shared" si="2214"/>
        <v>...</v>
      </c>
      <c r="K9951" s="1" t="str">
        <f t="shared" si="2214"/>
        <v>...</v>
      </c>
      <c r="L9951" s="1" t="str">
        <f t="shared" si="2214"/>
        <v>...</v>
      </c>
      <c r="M9951" s="1" t="str">
        <f t="shared" si="2214"/>
        <v>...</v>
      </c>
      <c r="N9951" t="s">
        <v>30</v>
      </c>
    </row>
    <row r="9952" spans="1:14" x14ac:dyDescent="0.25">
      <c r="A9952" t="s">
        <v>43</v>
      </c>
      <c r="B9952" t="s">
        <v>40</v>
      </c>
      <c r="C9952" t="s">
        <v>35</v>
      </c>
      <c r="D9952" t="s">
        <v>34</v>
      </c>
      <c r="E9952" t="s">
        <v>15</v>
      </c>
      <c r="F9952" t="s">
        <v>15</v>
      </c>
      <c r="G9952" s="1" t="str">
        <f t="shared" ref="G9952:M9952" si="2215">"X"</f>
        <v>X</v>
      </c>
      <c r="H9952" s="1" t="str">
        <f t="shared" si="2215"/>
        <v>X</v>
      </c>
      <c r="I9952" s="1" t="str">
        <f t="shared" si="2215"/>
        <v>X</v>
      </c>
      <c r="J9952" s="1" t="str">
        <f t="shared" si="2215"/>
        <v>X</v>
      </c>
      <c r="K9952" s="1" t="str">
        <f t="shared" si="2215"/>
        <v>X</v>
      </c>
      <c r="L9952" s="1" t="str">
        <f t="shared" si="2215"/>
        <v>X</v>
      </c>
      <c r="M9952" s="1" t="str">
        <f t="shared" si="2215"/>
        <v>X</v>
      </c>
      <c r="N9952" t="s">
        <v>27</v>
      </c>
    </row>
    <row r="9953" spans="1:14" x14ac:dyDescent="0.25">
      <c r="A9953" t="s">
        <v>43</v>
      </c>
      <c r="B9953" t="s">
        <v>40</v>
      </c>
      <c r="C9953" t="s">
        <v>35</v>
      </c>
      <c r="D9953" t="s">
        <v>34</v>
      </c>
      <c r="E9953" t="s">
        <v>15</v>
      </c>
      <c r="F9953" t="s">
        <v>17</v>
      </c>
      <c r="G9953" s="1" t="str">
        <f t="shared" ref="G9953:M9955" si="2216">"..."</f>
        <v>...</v>
      </c>
      <c r="H9953" s="1" t="str">
        <f t="shared" si="2216"/>
        <v>...</v>
      </c>
      <c r="I9953" s="1" t="str">
        <f t="shared" si="2216"/>
        <v>...</v>
      </c>
      <c r="J9953" s="1" t="str">
        <f t="shared" si="2216"/>
        <v>...</v>
      </c>
      <c r="K9953" s="1" t="str">
        <f t="shared" si="2216"/>
        <v>...</v>
      </c>
      <c r="L9953" s="1" t="str">
        <f t="shared" si="2216"/>
        <v>...</v>
      </c>
      <c r="M9953" s="1" t="str">
        <f t="shared" si="2216"/>
        <v>...</v>
      </c>
      <c r="N9953" t="s">
        <v>30</v>
      </c>
    </row>
    <row r="9954" spans="1:14" x14ac:dyDescent="0.25">
      <c r="A9954" t="s">
        <v>43</v>
      </c>
      <c r="B9954" t="s">
        <v>40</v>
      </c>
      <c r="C9954" t="s">
        <v>35</v>
      </c>
      <c r="D9954" t="s">
        <v>34</v>
      </c>
      <c r="E9954" t="s">
        <v>15</v>
      </c>
      <c r="F9954" t="s">
        <v>18</v>
      </c>
      <c r="G9954" s="1" t="str">
        <f t="shared" si="2216"/>
        <v>...</v>
      </c>
      <c r="H9954" s="1" t="str">
        <f t="shared" si="2216"/>
        <v>...</v>
      </c>
      <c r="I9954" s="1" t="str">
        <f t="shared" si="2216"/>
        <v>...</v>
      </c>
      <c r="J9954" s="1" t="str">
        <f t="shared" si="2216"/>
        <v>...</v>
      </c>
      <c r="K9954" s="1" t="str">
        <f t="shared" si="2216"/>
        <v>...</v>
      </c>
      <c r="L9954" s="1" t="str">
        <f t="shared" si="2216"/>
        <v>...</v>
      </c>
      <c r="M9954" s="1" t="str">
        <f t="shared" si="2216"/>
        <v>...</v>
      </c>
      <c r="N9954" t="s">
        <v>30</v>
      </c>
    </row>
    <row r="9955" spans="1:14" x14ac:dyDescent="0.25">
      <c r="A9955" t="s">
        <v>43</v>
      </c>
      <c r="B9955" t="s">
        <v>40</v>
      </c>
      <c r="C9955" t="s">
        <v>35</v>
      </c>
      <c r="D9955" t="s">
        <v>34</v>
      </c>
      <c r="E9955" t="s">
        <v>15</v>
      </c>
      <c r="F9955" t="s">
        <v>19</v>
      </c>
      <c r="G9955" s="1" t="str">
        <f t="shared" si="2216"/>
        <v>...</v>
      </c>
      <c r="H9955" s="1" t="str">
        <f t="shared" si="2216"/>
        <v>...</v>
      </c>
      <c r="I9955" s="1" t="str">
        <f t="shared" si="2216"/>
        <v>...</v>
      </c>
      <c r="J9955" s="1" t="str">
        <f t="shared" si="2216"/>
        <v>...</v>
      </c>
      <c r="K9955" s="1" t="str">
        <f t="shared" si="2216"/>
        <v>...</v>
      </c>
      <c r="L9955" s="1" t="str">
        <f t="shared" si="2216"/>
        <v>...</v>
      </c>
      <c r="M9955" s="1" t="str">
        <f t="shared" si="2216"/>
        <v>...</v>
      </c>
      <c r="N9955" t="s">
        <v>30</v>
      </c>
    </row>
    <row r="9956" spans="1:14" x14ac:dyDescent="0.25">
      <c r="A9956" t="s">
        <v>43</v>
      </c>
      <c r="B9956" t="s">
        <v>40</v>
      </c>
      <c r="C9956" t="s">
        <v>35</v>
      </c>
      <c r="D9956" t="s">
        <v>34</v>
      </c>
      <c r="E9956" t="s">
        <v>15</v>
      </c>
      <c r="F9956" t="s">
        <v>20</v>
      </c>
      <c r="G9956" s="1" t="str">
        <f t="shared" ref="G9956:M9956" si="2217">"X"</f>
        <v>X</v>
      </c>
      <c r="H9956" s="1" t="str">
        <f t="shared" si="2217"/>
        <v>X</v>
      </c>
      <c r="I9956" s="1" t="str">
        <f t="shared" si="2217"/>
        <v>X</v>
      </c>
      <c r="J9956" s="1" t="str">
        <f t="shared" si="2217"/>
        <v>X</v>
      </c>
      <c r="K9956" s="1" t="str">
        <f t="shared" si="2217"/>
        <v>X</v>
      </c>
      <c r="L9956" s="1" t="str">
        <f t="shared" si="2217"/>
        <v>X</v>
      </c>
      <c r="M9956" s="1" t="str">
        <f t="shared" si="2217"/>
        <v>X</v>
      </c>
      <c r="N9956" t="s">
        <v>27</v>
      </c>
    </row>
    <row r="9957" spans="1:14" x14ac:dyDescent="0.25">
      <c r="A9957" t="s">
        <v>43</v>
      </c>
      <c r="B9957" t="s">
        <v>40</v>
      </c>
      <c r="C9957" t="s">
        <v>35</v>
      </c>
      <c r="D9957" t="s">
        <v>34</v>
      </c>
      <c r="E9957" t="s">
        <v>21</v>
      </c>
      <c r="F9957" t="s">
        <v>15</v>
      </c>
      <c r="G9957" s="1" t="str">
        <f t="shared" ref="G9957:M9961" si="2218">"..."</f>
        <v>...</v>
      </c>
      <c r="H9957" s="1" t="str">
        <f t="shared" si="2218"/>
        <v>...</v>
      </c>
      <c r="I9957" s="1" t="str">
        <f t="shared" si="2218"/>
        <v>...</v>
      </c>
      <c r="J9957" s="1" t="str">
        <f t="shared" si="2218"/>
        <v>...</v>
      </c>
      <c r="K9957" s="1" t="str">
        <f t="shared" si="2218"/>
        <v>...</v>
      </c>
      <c r="L9957" s="1" t="str">
        <f t="shared" si="2218"/>
        <v>...</v>
      </c>
      <c r="M9957" s="1" t="str">
        <f t="shared" si="2218"/>
        <v>...</v>
      </c>
      <c r="N9957" t="s">
        <v>30</v>
      </c>
    </row>
    <row r="9958" spans="1:14" x14ac:dyDescent="0.25">
      <c r="A9958" t="s">
        <v>43</v>
      </c>
      <c r="B9958" t="s">
        <v>40</v>
      </c>
      <c r="C9958" t="s">
        <v>35</v>
      </c>
      <c r="D9958" t="s">
        <v>34</v>
      </c>
      <c r="E9958" t="s">
        <v>21</v>
      </c>
      <c r="F9958" t="s">
        <v>17</v>
      </c>
      <c r="G9958" s="1" t="str">
        <f t="shared" si="2218"/>
        <v>...</v>
      </c>
      <c r="H9958" s="1" t="str">
        <f t="shared" si="2218"/>
        <v>...</v>
      </c>
      <c r="I9958" s="1" t="str">
        <f t="shared" si="2218"/>
        <v>...</v>
      </c>
      <c r="J9958" s="1" t="str">
        <f t="shared" si="2218"/>
        <v>...</v>
      </c>
      <c r="K9958" s="1" t="str">
        <f t="shared" si="2218"/>
        <v>...</v>
      </c>
      <c r="L9958" s="1" t="str">
        <f t="shared" si="2218"/>
        <v>...</v>
      </c>
      <c r="M9958" s="1" t="str">
        <f t="shared" si="2218"/>
        <v>...</v>
      </c>
      <c r="N9958" t="s">
        <v>30</v>
      </c>
    </row>
    <row r="9959" spans="1:14" x14ac:dyDescent="0.25">
      <c r="A9959" t="s">
        <v>43</v>
      </c>
      <c r="B9959" t="s">
        <v>40</v>
      </c>
      <c r="C9959" t="s">
        <v>35</v>
      </c>
      <c r="D9959" t="s">
        <v>34</v>
      </c>
      <c r="E9959" t="s">
        <v>21</v>
      </c>
      <c r="F9959" t="s">
        <v>18</v>
      </c>
      <c r="G9959" s="1" t="str">
        <f t="shared" si="2218"/>
        <v>...</v>
      </c>
      <c r="H9959" s="1" t="str">
        <f t="shared" si="2218"/>
        <v>...</v>
      </c>
      <c r="I9959" s="1" t="str">
        <f t="shared" si="2218"/>
        <v>...</v>
      </c>
      <c r="J9959" s="1" t="str">
        <f t="shared" si="2218"/>
        <v>...</v>
      </c>
      <c r="K9959" s="1" t="str">
        <f t="shared" si="2218"/>
        <v>...</v>
      </c>
      <c r="L9959" s="1" t="str">
        <f t="shared" si="2218"/>
        <v>...</v>
      </c>
      <c r="M9959" s="1" t="str">
        <f t="shared" si="2218"/>
        <v>...</v>
      </c>
      <c r="N9959" t="s">
        <v>30</v>
      </c>
    </row>
    <row r="9960" spans="1:14" x14ac:dyDescent="0.25">
      <c r="A9960" t="s">
        <v>43</v>
      </c>
      <c r="B9960" t="s">
        <v>40</v>
      </c>
      <c r="C9960" t="s">
        <v>35</v>
      </c>
      <c r="D9960" t="s">
        <v>34</v>
      </c>
      <c r="E9960" t="s">
        <v>21</v>
      </c>
      <c r="F9960" t="s">
        <v>19</v>
      </c>
      <c r="G9960" s="1" t="str">
        <f t="shared" si="2218"/>
        <v>...</v>
      </c>
      <c r="H9960" s="1" t="str">
        <f t="shared" si="2218"/>
        <v>...</v>
      </c>
      <c r="I9960" s="1" t="str">
        <f t="shared" si="2218"/>
        <v>...</v>
      </c>
      <c r="J9960" s="1" t="str">
        <f t="shared" si="2218"/>
        <v>...</v>
      </c>
      <c r="K9960" s="1" t="str">
        <f t="shared" si="2218"/>
        <v>...</v>
      </c>
      <c r="L9960" s="1" t="str">
        <f t="shared" si="2218"/>
        <v>...</v>
      </c>
      <c r="M9960" s="1" t="str">
        <f t="shared" si="2218"/>
        <v>...</v>
      </c>
      <c r="N9960" t="s">
        <v>30</v>
      </c>
    </row>
    <row r="9961" spans="1:14" x14ac:dyDescent="0.25">
      <c r="A9961" t="s">
        <v>43</v>
      </c>
      <c r="B9961" t="s">
        <v>40</v>
      </c>
      <c r="C9961" t="s">
        <v>35</v>
      </c>
      <c r="D9961" t="s">
        <v>34</v>
      </c>
      <c r="E9961" t="s">
        <v>21</v>
      </c>
      <c r="F9961" t="s">
        <v>20</v>
      </c>
      <c r="G9961" s="1" t="str">
        <f t="shared" si="2218"/>
        <v>...</v>
      </c>
      <c r="H9961" s="1" t="str">
        <f t="shared" si="2218"/>
        <v>...</v>
      </c>
      <c r="I9961" s="1" t="str">
        <f t="shared" si="2218"/>
        <v>...</v>
      </c>
      <c r="J9961" s="1" t="str">
        <f t="shared" si="2218"/>
        <v>...</v>
      </c>
      <c r="K9961" s="1" t="str">
        <f t="shared" si="2218"/>
        <v>...</v>
      </c>
      <c r="L9961" s="1" t="str">
        <f t="shared" si="2218"/>
        <v>...</v>
      </c>
      <c r="M9961" s="1" t="str">
        <f t="shared" si="2218"/>
        <v>...</v>
      </c>
      <c r="N9961" t="s">
        <v>30</v>
      </c>
    </row>
    <row r="9962" spans="1:14" x14ac:dyDescent="0.25">
      <c r="A9962" t="s">
        <v>43</v>
      </c>
      <c r="B9962" t="s">
        <v>40</v>
      </c>
      <c r="C9962" t="s">
        <v>35</v>
      </c>
      <c r="D9962" t="s">
        <v>34</v>
      </c>
      <c r="E9962" t="s">
        <v>22</v>
      </c>
      <c r="F9962" t="s">
        <v>15</v>
      </c>
      <c r="G9962" s="1" t="str">
        <f t="shared" ref="G9962:M9962" si="2219">"X"</f>
        <v>X</v>
      </c>
      <c r="H9962" s="1" t="str">
        <f t="shared" si="2219"/>
        <v>X</v>
      </c>
      <c r="I9962" s="1" t="str">
        <f t="shared" si="2219"/>
        <v>X</v>
      </c>
      <c r="J9962" s="1" t="str">
        <f t="shared" si="2219"/>
        <v>X</v>
      </c>
      <c r="K9962" s="1" t="str">
        <f t="shared" si="2219"/>
        <v>X</v>
      </c>
      <c r="L9962" s="1" t="str">
        <f t="shared" si="2219"/>
        <v>X</v>
      </c>
      <c r="M9962" s="1" t="str">
        <f t="shared" si="2219"/>
        <v>X</v>
      </c>
      <c r="N9962" t="s">
        <v>27</v>
      </c>
    </row>
    <row r="9963" spans="1:14" x14ac:dyDescent="0.25">
      <c r="A9963" t="s">
        <v>43</v>
      </c>
      <c r="B9963" t="s">
        <v>40</v>
      </c>
      <c r="C9963" t="s">
        <v>35</v>
      </c>
      <c r="D9963" t="s">
        <v>34</v>
      </c>
      <c r="E9963" t="s">
        <v>22</v>
      </c>
      <c r="F9963" t="s">
        <v>17</v>
      </c>
      <c r="G9963" s="1" t="str">
        <f t="shared" ref="G9963:M9965" si="2220">"..."</f>
        <v>...</v>
      </c>
      <c r="H9963" s="1" t="str">
        <f t="shared" si="2220"/>
        <v>...</v>
      </c>
      <c r="I9963" s="1" t="str">
        <f t="shared" si="2220"/>
        <v>...</v>
      </c>
      <c r="J9963" s="1" t="str">
        <f t="shared" si="2220"/>
        <v>...</v>
      </c>
      <c r="K9963" s="1" t="str">
        <f t="shared" si="2220"/>
        <v>...</v>
      </c>
      <c r="L9963" s="1" t="str">
        <f t="shared" si="2220"/>
        <v>...</v>
      </c>
      <c r="M9963" s="1" t="str">
        <f t="shared" si="2220"/>
        <v>...</v>
      </c>
      <c r="N9963" t="s">
        <v>30</v>
      </c>
    </row>
    <row r="9964" spans="1:14" x14ac:dyDescent="0.25">
      <c r="A9964" t="s">
        <v>43</v>
      </c>
      <c r="B9964" t="s">
        <v>40</v>
      </c>
      <c r="C9964" t="s">
        <v>35</v>
      </c>
      <c r="D9964" t="s">
        <v>34</v>
      </c>
      <c r="E9964" t="s">
        <v>22</v>
      </c>
      <c r="F9964" t="s">
        <v>18</v>
      </c>
      <c r="G9964" s="1" t="str">
        <f t="shared" si="2220"/>
        <v>...</v>
      </c>
      <c r="H9964" s="1" t="str">
        <f t="shared" si="2220"/>
        <v>...</v>
      </c>
      <c r="I9964" s="1" t="str">
        <f t="shared" si="2220"/>
        <v>...</v>
      </c>
      <c r="J9964" s="1" t="str">
        <f t="shared" si="2220"/>
        <v>...</v>
      </c>
      <c r="K9964" s="1" t="str">
        <f t="shared" si="2220"/>
        <v>...</v>
      </c>
      <c r="L9964" s="1" t="str">
        <f t="shared" si="2220"/>
        <v>...</v>
      </c>
      <c r="M9964" s="1" t="str">
        <f t="shared" si="2220"/>
        <v>...</v>
      </c>
      <c r="N9964" t="s">
        <v>30</v>
      </c>
    </row>
    <row r="9965" spans="1:14" x14ac:dyDescent="0.25">
      <c r="A9965" t="s">
        <v>43</v>
      </c>
      <c r="B9965" t="s">
        <v>40</v>
      </c>
      <c r="C9965" t="s">
        <v>35</v>
      </c>
      <c r="D9965" t="s">
        <v>34</v>
      </c>
      <c r="E9965" t="s">
        <v>22</v>
      </c>
      <c r="F9965" t="s">
        <v>19</v>
      </c>
      <c r="G9965" s="1" t="str">
        <f t="shared" si="2220"/>
        <v>...</v>
      </c>
      <c r="H9965" s="1" t="str">
        <f t="shared" si="2220"/>
        <v>...</v>
      </c>
      <c r="I9965" s="1" t="str">
        <f t="shared" si="2220"/>
        <v>...</v>
      </c>
      <c r="J9965" s="1" t="str">
        <f t="shared" si="2220"/>
        <v>...</v>
      </c>
      <c r="K9965" s="1" t="str">
        <f t="shared" si="2220"/>
        <v>...</v>
      </c>
      <c r="L9965" s="1" t="str">
        <f t="shared" si="2220"/>
        <v>...</v>
      </c>
      <c r="M9965" s="1" t="str">
        <f t="shared" si="2220"/>
        <v>...</v>
      </c>
      <c r="N9965" t="s">
        <v>30</v>
      </c>
    </row>
    <row r="9966" spans="1:14" x14ac:dyDescent="0.25">
      <c r="A9966" t="s">
        <v>43</v>
      </c>
      <c r="B9966" t="s">
        <v>40</v>
      </c>
      <c r="C9966" t="s">
        <v>35</v>
      </c>
      <c r="D9966" t="s">
        <v>34</v>
      </c>
      <c r="E9966" t="s">
        <v>22</v>
      </c>
      <c r="F9966" t="s">
        <v>20</v>
      </c>
      <c r="G9966" s="1" t="str">
        <f t="shared" ref="G9966:M9967" si="2221">"X"</f>
        <v>X</v>
      </c>
      <c r="H9966" s="1" t="str">
        <f t="shared" si="2221"/>
        <v>X</v>
      </c>
      <c r="I9966" s="1" t="str">
        <f t="shared" si="2221"/>
        <v>X</v>
      </c>
      <c r="J9966" s="1" t="str">
        <f t="shared" si="2221"/>
        <v>X</v>
      </c>
      <c r="K9966" s="1" t="str">
        <f t="shared" si="2221"/>
        <v>X</v>
      </c>
      <c r="L9966" s="1" t="str">
        <f t="shared" si="2221"/>
        <v>X</v>
      </c>
      <c r="M9966" s="1" t="str">
        <f t="shared" si="2221"/>
        <v>X</v>
      </c>
      <c r="N9966" t="s">
        <v>27</v>
      </c>
    </row>
    <row r="9967" spans="1:14" x14ac:dyDescent="0.25">
      <c r="A9967" t="s">
        <v>43</v>
      </c>
      <c r="B9967" t="s">
        <v>40</v>
      </c>
      <c r="C9967" t="s">
        <v>35</v>
      </c>
      <c r="D9967" t="s">
        <v>34</v>
      </c>
      <c r="E9967" t="s">
        <v>23</v>
      </c>
      <c r="F9967" t="s">
        <v>15</v>
      </c>
      <c r="G9967" s="1" t="str">
        <f t="shared" si="2221"/>
        <v>X</v>
      </c>
      <c r="H9967" s="1" t="str">
        <f t="shared" si="2221"/>
        <v>X</v>
      </c>
      <c r="I9967" s="1" t="str">
        <f t="shared" si="2221"/>
        <v>X</v>
      </c>
      <c r="J9967" s="1" t="str">
        <f t="shared" si="2221"/>
        <v>X</v>
      </c>
      <c r="K9967" s="1" t="str">
        <f t="shared" si="2221"/>
        <v>X</v>
      </c>
      <c r="L9967" s="1" t="str">
        <f t="shared" si="2221"/>
        <v>X</v>
      </c>
      <c r="M9967" s="1" t="str">
        <f t="shared" si="2221"/>
        <v>X</v>
      </c>
      <c r="N9967" t="s">
        <v>27</v>
      </c>
    </row>
    <row r="9968" spans="1:14" x14ac:dyDescent="0.25">
      <c r="A9968" t="s">
        <v>43</v>
      </c>
      <c r="B9968" t="s">
        <v>40</v>
      </c>
      <c r="C9968" t="s">
        <v>35</v>
      </c>
      <c r="D9968" t="s">
        <v>34</v>
      </c>
      <c r="E9968" t="s">
        <v>23</v>
      </c>
      <c r="F9968" t="s">
        <v>17</v>
      </c>
      <c r="G9968" s="1" t="str">
        <f t="shared" ref="G9968:M9970" si="2222">"..."</f>
        <v>...</v>
      </c>
      <c r="H9968" s="1" t="str">
        <f t="shared" si="2222"/>
        <v>...</v>
      </c>
      <c r="I9968" s="1" t="str">
        <f t="shared" si="2222"/>
        <v>...</v>
      </c>
      <c r="J9968" s="1" t="str">
        <f t="shared" si="2222"/>
        <v>...</v>
      </c>
      <c r="K9968" s="1" t="str">
        <f t="shared" si="2222"/>
        <v>...</v>
      </c>
      <c r="L9968" s="1" t="str">
        <f t="shared" si="2222"/>
        <v>...</v>
      </c>
      <c r="M9968" s="1" t="str">
        <f t="shared" si="2222"/>
        <v>...</v>
      </c>
      <c r="N9968" t="s">
        <v>30</v>
      </c>
    </row>
    <row r="9969" spans="1:14" x14ac:dyDescent="0.25">
      <c r="A9969" t="s">
        <v>43</v>
      </c>
      <c r="B9969" t="s">
        <v>40</v>
      </c>
      <c r="C9969" t="s">
        <v>35</v>
      </c>
      <c r="D9969" t="s">
        <v>34</v>
      </c>
      <c r="E9969" t="s">
        <v>23</v>
      </c>
      <c r="F9969" t="s">
        <v>18</v>
      </c>
      <c r="G9969" s="1" t="str">
        <f t="shared" si="2222"/>
        <v>...</v>
      </c>
      <c r="H9969" s="1" t="str">
        <f t="shared" si="2222"/>
        <v>...</v>
      </c>
      <c r="I9969" s="1" t="str">
        <f t="shared" si="2222"/>
        <v>...</v>
      </c>
      <c r="J9969" s="1" t="str">
        <f t="shared" si="2222"/>
        <v>...</v>
      </c>
      <c r="K9969" s="1" t="str">
        <f t="shared" si="2222"/>
        <v>...</v>
      </c>
      <c r="L9969" s="1" t="str">
        <f t="shared" si="2222"/>
        <v>...</v>
      </c>
      <c r="M9969" s="1" t="str">
        <f t="shared" si="2222"/>
        <v>...</v>
      </c>
      <c r="N9969" t="s">
        <v>30</v>
      </c>
    </row>
    <row r="9970" spans="1:14" x14ac:dyDescent="0.25">
      <c r="A9970" t="s">
        <v>43</v>
      </c>
      <c r="B9970" t="s">
        <v>40</v>
      </c>
      <c r="C9970" t="s">
        <v>35</v>
      </c>
      <c r="D9970" t="s">
        <v>34</v>
      </c>
      <c r="E9970" t="s">
        <v>23</v>
      </c>
      <c r="F9970" t="s">
        <v>19</v>
      </c>
      <c r="G9970" s="1" t="str">
        <f t="shared" si="2222"/>
        <v>...</v>
      </c>
      <c r="H9970" s="1" t="str">
        <f t="shared" si="2222"/>
        <v>...</v>
      </c>
      <c r="I9970" s="1" t="str">
        <f t="shared" si="2222"/>
        <v>...</v>
      </c>
      <c r="J9970" s="1" t="str">
        <f t="shared" si="2222"/>
        <v>...</v>
      </c>
      <c r="K9970" s="1" t="str">
        <f t="shared" si="2222"/>
        <v>...</v>
      </c>
      <c r="L9970" s="1" t="str">
        <f t="shared" si="2222"/>
        <v>...</v>
      </c>
      <c r="M9970" s="1" t="str">
        <f t="shared" si="2222"/>
        <v>...</v>
      </c>
      <c r="N9970" t="s">
        <v>30</v>
      </c>
    </row>
    <row r="9971" spans="1:14" x14ac:dyDescent="0.25">
      <c r="A9971" t="s">
        <v>43</v>
      </c>
      <c r="B9971" t="s">
        <v>40</v>
      </c>
      <c r="C9971" t="s">
        <v>35</v>
      </c>
      <c r="D9971" t="s">
        <v>34</v>
      </c>
      <c r="E9971" t="s">
        <v>23</v>
      </c>
      <c r="F9971" t="s">
        <v>20</v>
      </c>
      <c r="G9971" s="1" t="str">
        <f t="shared" ref="G9971:M9971" si="2223">"X"</f>
        <v>X</v>
      </c>
      <c r="H9971" s="1" t="str">
        <f t="shared" si="2223"/>
        <v>X</v>
      </c>
      <c r="I9971" s="1" t="str">
        <f t="shared" si="2223"/>
        <v>X</v>
      </c>
      <c r="J9971" s="1" t="str">
        <f t="shared" si="2223"/>
        <v>X</v>
      </c>
      <c r="K9971" s="1" t="str">
        <f t="shared" si="2223"/>
        <v>X</v>
      </c>
      <c r="L9971" s="1" t="str">
        <f t="shared" si="2223"/>
        <v>X</v>
      </c>
      <c r="M9971" s="1" t="str">
        <f t="shared" si="2223"/>
        <v>X</v>
      </c>
      <c r="N9971" t="s">
        <v>27</v>
      </c>
    </row>
    <row r="9972" spans="1:14" x14ac:dyDescent="0.25">
      <c r="A9972" t="s">
        <v>43</v>
      </c>
      <c r="B9972" t="s">
        <v>40</v>
      </c>
      <c r="C9972" t="s">
        <v>35</v>
      </c>
      <c r="D9972" t="s">
        <v>34</v>
      </c>
      <c r="E9972" t="s">
        <v>26</v>
      </c>
      <c r="F9972" t="s">
        <v>15</v>
      </c>
      <c r="G9972" s="1" t="str">
        <f t="shared" ref="G9972:M9976" si="2224">"..."</f>
        <v>...</v>
      </c>
      <c r="H9972" s="1" t="str">
        <f t="shared" si="2224"/>
        <v>...</v>
      </c>
      <c r="I9972" s="1" t="str">
        <f t="shared" si="2224"/>
        <v>...</v>
      </c>
      <c r="J9972" s="1" t="str">
        <f t="shared" si="2224"/>
        <v>...</v>
      </c>
      <c r="K9972" s="1" t="str">
        <f t="shared" si="2224"/>
        <v>...</v>
      </c>
      <c r="L9972" s="1" t="str">
        <f t="shared" si="2224"/>
        <v>...</v>
      </c>
      <c r="M9972" s="1" t="str">
        <f t="shared" si="2224"/>
        <v>...</v>
      </c>
      <c r="N9972" t="s">
        <v>30</v>
      </c>
    </row>
    <row r="9973" spans="1:14" x14ac:dyDescent="0.25">
      <c r="A9973" t="s">
        <v>43</v>
      </c>
      <c r="B9973" t="s">
        <v>40</v>
      </c>
      <c r="C9973" t="s">
        <v>35</v>
      </c>
      <c r="D9973" t="s">
        <v>34</v>
      </c>
      <c r="E9973" t="s">
        <v>26</v>
      </c>
      <c r="F9973" t="s">
        <v>17</v>
      </c>
      <c r="G9973" s="1" t="str">
        <f t="shared" si="2224"/>
        <v>...</v>
      </c>
      <c r="H9973" s="1" t="str">
        <f t="shared" si="2224"/>
        <v>...</v>
      </c>
      <c r="I9973" s="1" t="str">
        <f t="shared" si="2224"/>
        <v>...</v>
      </c>
      <c r="J9973" s="1" t="str">
        <f t="shared" si="2224"/>
        <v>...</v>
      </c>
      <c r="K9973" s="1" t="str">
        <f t="shared" si="2224"/>
        <v>...</v>
      </c>
      <c r="L9973" s="1" t="str">
        <f t="shared" si="2224"/>
        <v>...</v>
      </c>
      <c r="M9973" s="1" t="str">
        <f t="shared" si="2224"/>
        <v>...</v>
      </c>
      <c r="N9973" t="s">
        <v>30</v>
      </c>
    </row>
    <row r="9974" spans="1:14" x14ac:dyDescent="0.25">
      <c r="A9974" t="s">
        <v>43</v>
      </c>
      <c r="B9974" t="s">
        <v>40</v>
      </c>
      <c r="C9974" t="s">
        <v>35</v>
      </c>
      <c r="D9974" t="s">
        <v>34</v>
      </c>
      <c r="E9974" t="s">
        <v>26</v>
      </c>
      <c r="F9974" t="s">
        <v>18</v>
      </c>
      <c r="G9974" s="1" t="str">
        <f t="shared" si="2224"/>
        <v>...</v>
      </c>
      <c r="H9974" s="1" t="str">
        <f t="shared" si="2224"/>
        <v>...</v>
      </c>
      <c r="I9974" s="1" t="str">
        <f t="shared" si="2224"/>
        <v>...</v>
      </c>
      <c r="J9974" s="1" t="str">
        <f t="shared" si="2224"/>
        <v>...</v>
      </c>
      <c r="K9974" s="1" t="str">
        <f t="shared" si="2224"/>
        <v>...</v>
      </c>
      <c r="L9974" s="1" t="str">
        <f t="shared" si="2224"/>
        <v>...</v>
      </c>
      <c r="M9974" s="1" t="str">
        <f t="shared" si="2224"/>
        <v>...</v>
      </c>
      <c r="N9974" t="s">
        <v>30</v>
      </c>
    </row>
    <row r="9975" spans="1:14" x14ac:dyDescent="0.25">
      <c r="A9975" t="s">
        <v>43</v>
      </c>
      <c r="B9975" t="s">
        <v>40</v>
      </c>
      <c r="C9975" t="s">
        <v>35</v>
      </c>
      <c r="D9975" t="s">
        <v>34</v>
      </c>
      <c r="E9975" t="s">
        <v>26</v>
      </c>
      <c r="F9975" t="s">
        <v>19</v>
      </c>
      <c r="G9975" s="1" t="str">
        <f t="shared" si="2224"/>
        <v>...</v>
      </c>
      <c r="H9975" s="1" t="str">
        <f t="shared" si="2224"/>
        <v>...</v>
      </c>
      <c r="I9975" s="1" t="str">
        <f t="shared" si="2224"/>
        <v>...</v>
      </c>
      <c r="J9975" s="1" t="str">
        <f t="shared" si="2224"/>
        <v>...</v>
      </c>
      <c r="K9975" s="1" t="str">
        <f t="shared" si="2224"/>
        <v>...</v>
      </c>
      <c r="L9975" s="1" t="str">
        <f t="shared" si="2224"/>
        <v>...</v>
      </c>
      <c r="M9975" s="1" t="str">
        <f t="shared" si="2224"/>
        <v>...</v>
      </c>
      <c r="N9975" t="s">
        <v>30</v>
      </c>
    </row>
    <row r="9976" spans="1:14" x14ac:dyDescent="0.25">
      <c r="A9976" t="s">
        <v>43</v>
      </c>
      <c r="B9976" t="s">
        <v>40</v>
      </c>
      <c r="C9976" t="s">
        <v>35</v>
      </c>
      <c r="D9976" t="s">
        <v>34</v>
      </c>
      <c r="E9976" t="s">
        <v>26</v>
      </c>
      <c r="F9976" t="s">
        <v>20</v>
      </c>
      <c r="G9976" s="1" t="str">
        <f t="shared" si="2224"/>
        <v>...</v>
      </c>
      <c r="H9976" s="1" t="str">
        <f t="shared" si="2224"/>
        <v>...</v>
      </c>
      <c r="I9976" s="1" t="str">
        <f t="shared" si="2224"/>
        <v>...</v>
      </c>
      <c r="J9976" s="1" t="str">
        <f t="shared" si="2224"/>
        <v>...</v>
      </c>
      <c r="K9976" s="1" t="str">
        <f t="shared" si="2224"/>
        <v>...</v>
      </c>
      <c r="L9976" s="1" t="str">
        <f t="shared" si="2224"/>
        <v>...</v>
      </c>
      <c r="M9976" s="1" t="str">
        <f t="shared" si="2224"/>
        <v>...</v>
      </c>
      <c r="N9976" t="s">
        <v>30</v>
      </c>
    </row>
    <row r="9977" spans="1:14" x14ac:dyDescent="0.25">
      <c r="A9977" t="s">
        <v>43</v>
      </c>
      <c r="B9977" t="s">
        <v>40</v>
      </c>
      <c r="C9977" t="s">
        <v>36</v>
      </c>
      <c r="D9977" t="s">
        <v>15</v>
      </c>
      <c r="E9977" t="s">
        <v>15</v>
      </c>
      <c r="F9977" t="s">
        <v>15</v>
      </c>
      <c r="G9977" s="1">
        <f>VALUE(12778.14)</f>
        <v>12778.14</v>
      </c>
      <c r="H9977" s="1">
        <f>VALUE(10904.35)</f>
        <v>10904.35</v>
      </c>
      <c r="I9977" s="1">
        <f>VALUE(3086)</f>
        <v>3086</v>
      </c>
      <c r="J9977" s="1">
        <f>VALUE(3535)</f>
        <v>3535</v>
      </c>
      <c r="K9977" s="1">
        <f>VALUE(4333)</f>
        <v>4333</v>
      </c>
      <c r="L9977" s="1">
        <f>VALUE(5285)</f>
        <v>5285</v>
      </c>
      <c r="M9977" s="1">
        <f>VALUE(6304)</f>
        <v>6304</v>
      </c>
      <c r="N9977" t="s">
        <v>16</v>
      </c>
    </row>
    <row r="9978" spans="1:14" x14ac:dyDescent="0.25">
      <c r="A9978" t="s">
        <v>43</v>
      </c>
      <c r="B9978" t="s">
        <v>40</v>
      </c>
      <c r="C9978" t="s">
        <v>36</v>
      </c>
      <c r="D9978" t="s">
        <v>15</v>
      </c>
      <c r="E9978" t="s">
        <v>15</v>
      </c>
      <c r="F9978" t="s">
        <v>17</v>
      </c>
      <c r="G9978" s="2">
        <f>VALUE(572.42)</f>
        <v>572.41999999999996</v>
      </c>
      <c r="H9978" s="3">
        <f>VALUE(498.51)</f>
        <v>498.51</v>
      </c>
      <c r="I9978" s="4">
        <f>VALUE(3714)</f>
        <v>3714</v>
      </c>
      <c r="J9978" s="5">
        <f>VALUE(4800)</f>
        <v>4800</v>
      </c>
      <c r="K9978" s="6">
        <f>VALUE(6111)</f>
        <v>6111</v>
      </c>
      <c r="L9978" s="7">
        <f>VALUE(6802)</f>
        <v>6802</v>
      </c>
      <c r="M9978" s="1">
        <f>VALUE(7796)</f>
        <v>7796</v>
      </c>
      <c r="N9978" t="s">
        <v>25</v>
      </c>
    </row>
    <row r="9979" spans="1:14" x14ac:dyDescent="0.25">
      <c r="A9979" t="s">
        <v>43</v>
      </c>
      <c r="B9979" t="s">
        <v>40</v>
      </c>
      <c r="C9979" t="s">
        <v>36</v>
      </c>
      <c r="D9979" t="s">
        <v>15</v>
      </c>
      <c r="E9979" t="s">
        <v>15</v>
      </c>
      <c r="F9979" t="s">
        <v>18</v>
      </c>
      <c r="G9979" s="2">
        <f>VALUE(1319.6)</f>
        <v>1319.6</v>
      </c>
      <c r="H9979" s="3">
        <f>VALUE(1212.44)</f>
        <v>1212.44</v>
      </c>
      <c r="I9979" s="4">
        <f>VALUE(3718)</f>
        <v>3718</v>
      </c>
      <c r="J9979" s="1">
        <f>VALUE(4246)</f>
        <v>4246</v>
      </c>
      <c r="K9979" s="1">
        <f>VALUE(4901)</f>
        <v>4901</v>
      </c>
      <c r="L9979" s="1">
        <f>VALUE(6000)</f>
        <v>6000</v>
      </c>
      <c r="M9979" s="1">
        <f>VALUE(6933)</f>
        <v>6933</v>
      </c>
      <c r="N9979" t="s">
        <v>25</v>
      </c>
    </row>
    <row r="9980" spans="1:14" x14ac:dyDescent="0.25">
      <c r="A9980" t="s">
        <v>43</v>
      </c>
      <c r="B9980" t="s">
        <v>40</v>
      </c>
      <c r="C9980" t="s">
        <v>36</v>
      </c>
      <c r="D9980" t="s">
        <v>15</v>
      </c>
      <c r="E9980" t="s">
        <v>15</v>
      </c>
      <c r="F9980" t="s">
        <v>19</v>
      </c>
      <c r="G9980" s="2">
        <f>VALUE(1564.19)</f>
        <v>1564.19</v>
      </c>
      <c r="H9980" s="3">
        <f>VALUE(1406.23)</f>
        <v>1406.23</v>
      </c>
      <c r="I9980" s="1">
        <f>VALUE(3712)</f>
        <v>3712</v>
      </c>
      <c r="J9980" s="1">
        <f>VALUE(4330)</f>
        <v>4330</v>
      </c>
      <c r="K9980" s="1">
        <f>VALUE(4862)</f>
        <v>4862</v>
      </c>
      <c r="L9980" s="1">
        <f>VALUE(5498)</f>
        <v>5498</v>
      </c>
      <c r="M9980" s="1">
        <f>VALUE(6334)</f>
        <v>6334</v>
      </c>
      <c r="N9980" t="s">
        <v>25</v>
      </c>
    </row>
    <row r="9981" spans="1:14" x14ac:dyDescent="0.25">
      <c r="A9981" t="s">
        <v>43</v>
      </c>
      <c r="B9981" t="s">
        <v>40</v>
      </c>
      <c r="C9981" t="s">
        <v>36</v>
      </c>
      <c r="D9981" t="s">
        <v>15</v>
      </c>
      <c r="E9981" t="s">
        <v>15</v>
      </c>
      <c r="F9981" t="s">
        <v>20</v>
      </c>
      <c r="G9981" s="1">
        <f>VALUE(9321.93)</f>
        <v>9321.93</v>
      </c>
      <c r="H9981" s="1">
        <f>VALUE(7787.17)</f>
        <v>7787.17</v>
      </c>
      <c r="I9981" s="1">
        <f>VALUE(2958)</f>
        <v>2958</v>
      </c>
      <c r="J9981" s="1">
        <f>VALUE(3377)</f>
        <v>3377</v>
      </c>
      <c r="K9981" s="1">
        <f>VALUE(4043)</f>
        <v>4043</v>
      </c>
      <c r="L9981" s="1">
        <f>VALUE(4952)</f>
        <v>4952</v>
      </c>
      <c r="M9981" s="1">
        <f>VALUE(5834)</f>
        <v>5834</v>
      </c>
      <c r="N9981" t="s">
        <v>16</v>
      </c>
    </row>
    <row r="9982" spans="1:14" x14ac:dyDescent="0.25">
      <c r="A9982" t="s">
        <v>43</v>
      </c>
      <c r="B9982" t="s">
        <v>40</v>
      </c>
      <c r="C9982" t="s">
        <v>36</v>
      </c>
      <c r="D9982" t="s">
        <v>15</v>
      </c>
      <c r="E9982" t="s">
        <v>21</v>
      </c>
      <c r="F9982" t="s">
        <v>15</v>
      </c>
      <c r="G9982" s="2">
        <f>VALUE(3888.78)</f>
        <v>3888.78</v>
      </c>
      <c r="H9982" s="3">
        <f>VALUE(3444.52)</f>
        <v>3444.52</v>
      </c>
      <c r="I9982" s="1">
        <f>VALUE(3500)</f>
        <v>3500</v>
      </c>
      <c r="J9982" s="1">
        <f>VALUE(4403)</f>
        <v>4403</v>
      </c>
      <c r="K9982" s="1">
        <f>VALUE(5158)</f>
        <v>5158</v>
      </c>
      <c r="L9982" s="1">
        <f>VALUE(6234)</f>
        <v>6234</v>
      </c>
      <c r="M9982" s="1">
        <f>VALUE(6950)</f>
        <v>6950</v>
      </c>
      <c r="N9982" t="s">
        <v>25</v>
      </c>
    </row>
    <row r="9983" spans="1:14" x14ac:dyDescent="0.25">
      <c r="A9983" t="s">
        <v>43</v>
      </c>
      <c r="B9983" t="s">
        <v>40</v>
      </c>
      <c r="C9983" t="s">
        <v>36</v>
      </c>
      <c r="D9983" t="s">
        <v>15</v>
      </c>
      <c r="E9983" t="s">
        <v>21</v>
      </c>
      <c r="F9983" t="s">
        <v>17</v>
      </c>
      <c r="G9983" s="2">
        <f>VALUE(393.21)</f>
        <v>393.21</v>
      </c>
      <c r="H9983" s="3">
        <f>VALUE(329.17)</f>
        <v>329.17</v>
      </c>
      <c r="I9983" s="4">
        <f>VALUE(4717)</f>
        <v>4717</v>
      </c>
      <c r="J9983" s="5">
        <f>VALUE(5505)</f>
        <v>5505</v>
      </c>
      <c r="K9983" s="1">
        <f>VALUE(6467)</f>
        <v>6467</v>
      </c>
      <c r="L9983" s="7">
        <f>VALUE(7290)</f>
        <v>7290</v>
      </c>
      <c r="M9983" s="8">
        <f>VALUE(7983)</f>
        <v>7983</v>
      </c>
      <c r="N9983" t="s">
        <v>25</v>
      </c>
    </row>
    <row r="9984" spans="1:14" x14ac:dyDescent="0.25">
      <c r="A9984" t="s">
        <v>43</v>
      </c>
      <c r="B9984" t="s">
        <v>40</v>
      </c>
      <c r="C9984" t="s">
        <v>36</v>
      </c>
      <c r="D9984" t="s">
        <v>15</v>
      </c>
      <c r="E9984" t="s">
        <v>21</v>
      </c>
      <c r="F9984" t="s">
        <v>18</v>
      </c>
      <c r="G9984" s="2">
        <f>VALUE(671.82)</f>
        <v>671.82</v>
      </c>
      <c r="H9984" s="3">
        <f>VALUE(581.32)</f>
        <v>581.32000000000005</v>
      </c>
      <c r="I9984" s="1">
        <f>VALUE(4540)</f>
        <v>4540</v>
      </c>
      <c r="J9984" s="1">
        <f>VALUE(4837)</f>
        <v>4837</v>
      </c>
      <c r="K9984" s="6">
        <f>VALUE(5697)</f>
        <v>5697</v>
      </c>
      <c r="L9984" s="1">
        <f>VALUE(6710)</f>
        <v>6710</v>
      </c>
      <c r="M9984" s="8">
        <f>VALUE(7446)</f>
        <v>7446</v>
      </c>
      <c r="N9984" t="s">
        <v>25</v>
      </c>
    </row>
    <row r="9985" spans="1:14" x14ac:dyDescent="0.25">
      <c r="A9985" t="s">
        <v>43</v>
      </c>
      <c r="B9985" t="s">
        <v>40</v>
      </c>
      <c r="C9985" t="s">
        <v>36</v>
      </c>
      <c r="D9985" t="s">
        <v>15</v>
      </c>
      <c r="E9985" t="s">
        <v>21</v>
      </c>
      <c r="F9985" t="s">
        <v>19</v>
      </c>
      <c r="G9985" s="2">
        <f>VALUE(620.59)</f>
        <v>620.59</v>
      </c>
      <c r="H9985" s="3">
        <f>VALUE(577.02)</f>
        <v>577.02</v>
      </c>
      <c r="I9985" s="4">
        <f>VALUE(4330)</f>
        <v>4330</v>
      </c>
      <c r="J9985" s="1">
        <f>VALUE(4715)</f>
        <v>4715</v>
      </c>
      <c r="K9985" s="1">
        <f>VALUE(5280)</f>
        <v>5280</v>
      </c>
      <c r="L9985" s="1">
        <f>VALUE(6091)</f>
        <v>6091</v>
      </c>
      <c r="M9985" s="1">
        <f>VALUE(6900)</f>
        <v>6900</v>
      </c>
      <c r="N9985" t="s">
        <v>25</v>
      </c>
    </row>
    <row r="9986" spans="1:14" x14ac:dyDescent="0.25">
      <c r="A9986" t="s">
        <v>43</v>
      </c>
      <c r="B9986" t="s">
        <v>40</v>
      </c>
      <c r="C9986" t="s">
        <v>36</v>
      </c>
      <c r="D9986" t="s">
        <v>15</v>
      </c>
      <c r="E9986" t="s">
        <v>21</v>
      </c>
      <c r="F9986" t="s">
        <v>20</v>
      </c>
      <c r="G9986" s="2">
        <f>VALUE(2203.16)</f>
        <v>2203.16</v>
      </c>
      <c r="H9986" s="3">
        <f>VALUE(1957.01)</f>
        <v>1957.01</v>
      </c>
      <c r="I9986" s="1">
        <f>VALUE(3282)</f>
        <v>3282</v>
      </c>
      <c r="J9986" s="1">
        <f>VALUE(3971)</f>
        <v>3971</v>
      </c>
      <c r="K9986" s="1">
        <f>VALUE(4728)</f>
        <v>4728</v>
      </c>
      <c r="L9986" s="1">
        <f>VALUE(5792)</f>
        <v>5792</v>
      </c>
      <c r="M9986" s="1">
        <f>VALUE(6640)</f>
        <v>6640</v>
      </c>
      <c r="N9986" t="s">
        <v>25</v>
      </c>
    </row>
    <row r="9987" spans="1:14" x14ac:dyDescent="0.25">
      <c r="A9987" t="s">
        <v>43</v>
      </c>
      <c r="B9987" t="s">
        <v>40</v>
      </c>
      <c r="C9987" t="s">
        <v>36</v>
      </c>
      <c r="D9987" t="s">
        <v>15</v>
      </c>
      <c r="E9987" t="s">
        <v>22</v>
      </c>
      <c r="F9987" t="s">
        <v>15</v>
      </c>
      <c r="G9987" s="1">
        <f>VALUE(5486.93)</f>
        <v>5486.93</v>
      </c>
      <c r="H9987" s="1">
        <f>VALUE(4770.07)</f>
        <v>4770.07</v>
      </c>
      <c r="I9987" s="1">
        <f>VALUE(3249)</f>
        <v>3249</v>
      </c>
      <c r="J9987" s="1">
        <f>VALUE(3718)</f>
        <v>3718</v>
      </c>
      <c r="K9987" s="1">
        <f>VALUE(4363)</f>
        <v>4363</v>
      </c>
      <c r="L9987" s="1">
        <f>VALUE(5113)</f>
        <v>5113</v>
      </c>
      <c r="M9987" s="1">
        <f>VALUE(5833)</f>
        <v>5833</v>
      </c>
      <c r="N9987" t="s">
        <v>16</v>
      </c>
    </row>
    <row r="9988" spans="1:14" x14ac:dyDescent="0.25">
      <c r="A9988" t="s">
        <v>43</v>
      </c>
      <c r="B9988" t="s">
        <v>40</v>
      </c>
      <c r="C9988" t="s">
        <v>36</v>
      </c>
      <c r="D9988" t="s">
        <v>15</v>
      </c>
      <c r="E9988" t="s">
        <v>22</v>
      </c>
      <c r="F9988" t="s">
        <v>17</v>
      </c>
      <c r="G9988" s="1" t="str">
        <f t="shared" ref="G9988:M9988" si="2225">"X"</f>
        <v>X</v>
      </c>
      <c r="H9988" s="1" t="str">
        <f t="shared" si="2225"/>
        <v>X</v>
      </c>
      <c r="I9988" s="1" t="str">
        <f t="shared" si="2225"/>
        <v>X</v>
      </c>
      <c r="J9988" s="1" t="str">
        <f t="shared" si="2225"/>
        <v>X</v>
      </c>
      <c r="K9988" s="1" t="str">
        <f t="shared" si="2225"/>
        <v>X</v>
      </c>
      <c r="L9988" s="1" t="str">
        <f t="shared" si="2225"/>
        <v>X</v>
      </c>
      <c r="M9988" s="1" t="str">
        <f t="shared" si="2225"/>
        <v>X</v>
      </c>
      <c r="N9988" t="s">
        <v>27</v>
      </c>
    </row>
    <row r="9989" spans="1:14" x14ac:dyDescent="0.25">
      <c r="A9989" t="s">
        <v>43</v>
      </c>
      <c r="B9989" t="s">
        <v>40</v>
      </c>
      <c r="C9989" t="s">
        <v>36</v>
      </c>
      <c r="D9989" t="s">
        <v>15</v>
      </c>
      <c r="E9989" t="s">
        <v>22</v>
      </c>
      <c r="F9989" t="s">
        <v>18</v>
      </c>
      <c r="G9989" s="2">
        <f>VALUE(616.72)</f>
        <v>616.72</v>
      </c>
      <c r="H9989" s="3">
        <f>VALUE(600.74)</f>
        <v>600.74</v>
      </c>
      <c r="I9989" s="4">
        <f>VALUE(3714)</f>
        <v>3714</v>
      </c>
      <c r="J9989" s="1">
        <f>VALUE(4100)</f>
        <v>4100</v>
      </c>
      <c r="K9989" s="1">
        <f>VALUE(4267)</f>
        <v>4267</v>
      </c>
      <c r="L9989" s="1">
        <f>VALUE(5158)</f>
        <v>5158</v>
      </c>
      <c r="M9989" s="1">
        <f>VALUE(6000)</f>
        <v>6000</v>
      </c>
      <c r="N9989" t="s">
        <v>25</v>
      </c>
    </row>
    <row r="9990" spans="1:14" x14ac:dyDescent="0.25">
      <c r="A9990" t="s">
        <v>43</v>
      </c>
      <c r="B9990" t="s">
        <v>40</v>
      </c>
      <c r="C9990" t="s">
        <v>36</v>
      </c>
      <c r="D9990" t="s">
        <v>15</v>
      </c>
      <c r="E9990" t="s">
        <v>22</v>
      </c>
      <c r="F9990" t="s">
        <v>19</v>
      </c>
      <c r="G9990" s="2">
        <f>VALUE(771.71)</f>
        <v>771.71</v>
      </c>
      <c r="H9990" s="3">
        <f>VALUE(700.06)</f>
        <v>700.06</v>
      </c>
      <c r="I9990" s="1">
        <f>VALUE(3972)</f>
        <v>3972</v>
      </c>
      <c r="J9990" s="1">
        <f>VALUE(4165)</f>
        <v>4165</v>
      </c>
      <c r="K9990" s="1">
        <f>VALUE(4560)</f>
        <v>4560</v>
      </c>
      <c r="L9990" s="1">
        <f>VALUE(5333)</f>
        <v>5333</v>
      </c>
      <c r="M9990" s="1">
        <f>VALUE(5948)</f>
        <v>5948</v>
      </c>
      <c r="N9990" t="s">
        <v>25</v>
      </c>
    </row>
    <row r="9991" spans="1:14" x14ac:dyDescent="0.25">
      <c r="A9991" t="s">
        <v>43</v>
      </c>
      <c r="B9991" t="s">
        <v>40</v>
      </c>
      <c r="C9991" t="s">
        <v>36</v>
      </c>
      <c r="D9991" t="s">
        <v>15</v>
      </c>
      <c r="E9991" t="s">
        <v>22</v>
      </c>
      <c r="F9991" t="s">
        <v>20</v>
      </c>
      <c r="G9991" s="2">
        <f>VALUE(3974.79)</f>
        <v>3974.79</v>
      </c>
      <c r="H9991" s="3">
        <f>VALUE(3352.3)</f>
        <v>3352.3</v>
      </c>
      <c r="I9991" s="1">
        <f>VALUE(3064)</f>
        <v>3064</v>
      </c>
      <c r="J9991" s="1">
        <f>VALUE(3613)</f>
        <v>3613</v>
      </c>
      <c r="K9991" s="1">
        <f>VALUE(4261)</f>
        <v>4261</v>
      </c>
      <c r="L9991" s="1">
        <f>VALUE(5068)</f>
        <v>5068</v>
      </c>
      <c r="M9991" s="1">
        <f>VALUE(5708)</f>
        <v>5708</v>
      </c>
      <c r="N9991" t="s">
        <v>25</v>
      </c>
    </row>
    <row r="9992" spans="1:14" x14ac:dyDescent="0.25">
      <c r="A9992" t="s">
        <v>43</v>
      </c>
      <c r="B9992" t="s">
        <v>40</v>
      </c>
      <c r="C9992" t="s">
        <v>36</v>
      </c>
      <c r="D9992" t="s">
        <v>15</v>
      </c>
      <c r="E9992" t="s">
        <v>23</v>
      </c>
      <c r="F9992" t="s">
        <v>15</v>
      </c>
      <c r="G9992" s="2">
        <f>VALUE(3137.33)</f>
        <v>3137.33</v>
      </c>
      <c r="H9992" s="1">
        <f>VALUE(2480.8)</f>
        <v>2480.8000000000002</v>
      </c>
      <c r="I9992" s="1">
        <f>VALUE(2790)</f>
        <v>2790</v>
      </c>
      <c r="J9992" s="1">
        <f>VALUE(3115)</f>
        <v>3115</v>
      </c>
      <c r="K9992" s="1">
        <f>VALUE(3433)</f>
        <v>3433</v>
      </c>
      <c r="L9992" s="1">
        <f>VALUE(3751)</f>
        <v>3751</v>
      </c>
      <c r="M9992" s="1">
        <f>VALUE(4209)</f>
        <v>4209</v>
      </c>
      <c r="N9992" t="s">
        <v>25</v>
      </c>
    </row>
    <row r="9993" spans="1:14" x14ac:dyDescent="0.25">
      <c r="A9993" t="s">
        <v>43</v>
      </c>
      <c r="B9993" t="s">
        <v>40</v>
      </c>
      <c r="C9993" t="s">
        <v>36</v>
      </c>
      <c r="D9993" t="s">
        <v>15</v>
      </c>
      <c r="E9993" t="s">
        <v>23</v>
      </c>
      <c r="F9993" t="s">
        <v>17</v>
      </c>
      <c r="G9993" s="1" t="str">
        <f t="shared" ref="G9993:M9995" si="2226">"X"</f>
        <v>X</v>
      </c>
      <c r="H9993" s="1" t="str">
        <f t="shared" si="2226"/>
        <v>X</v>
      </c>
      <c r="I9993" s="1" t="str">
        <f t="shared" si="2226"/>
        <v>X</v>
      </c>
      <c r="J9993" s="1" t="str">
        <f t="shared" si="2226"/>
        <v>X</v>
      </c>
      <c r="K9993" s="1" t="str">
        <f t="shared" si="2226"/>
        <v>X</v>
      </c>
      <c r="L9993" s="1" t="str">
        <f t="shared" si="2226"/>
        <v>X</v>
      </c>
      <c r="M9993" s="1" t="str">
        <f t="shared" si="2226"/>
        <v>X</v>
      </c>
      <c r="N9993" t="s">
        <v>27</v>
      </c>
    </row>
    <row r="9994" spans="1:14" x14ac:dyDescent="0.25">
      <c r="A9994" t="s">
        <v>43</v>
      </c>
      <c r="B9994" t="s">
        <v>40</v>
      </c>
      <c r="C9994" t="s">
        <v>36</v>
      </c>
      <c r="D9994" t="s">
        <v>15</v>
      </c>
      <c r="E9994" t="s">
        <v>23</v>
      </c>
      <c r="F9994" t="s">
        <v>18</v>
      </c>
      <c r="G9994" s="1" t="str">
        <f t="shared" si="2226"/>
        <v>X</v>
      </c>
      <c r="H9994" s="1" t="str">
        <f t="shared" si="2226"/>
        <v>X</v>
      </c>
      <c r="I9994" s="1" t="str">
        <f t="shared" si="2226"/>
        <v>X</v>
      </c>
      <c r="J9994" s="1" t="str">
        <f t="shared" si="2226"/>
        <v>X</v>
      </c>
      <c r="K9994" s="1" t="str">
        <f t="shared" si="2226"/>
        <v>X</v>
      </c>
      <c r="L9994" s="1" t="str">
        <f t="shared" si="2226"/>
        <v>X</v>
      </c>
      <c r="M9994" s="1" t="str">
        <f t="shared" si="2226"/>
        <v>X</v>
      </c>
      <c r="N9994" t="s">
        <v>27</v>
      </c>
    </row>
    <row r="9995" spans="1:14" x14ac:dyDescent="0.25">
      <c r="A9995" t="s">
        <v>43</v>
      </c>
      <c r="B9995" t="s">
        <v>40</v>
      </c>
      <c r="C9995" t="s">
        <v>36</v>
      </c>
      <c r="D9995" t="s">
        <v>15</v>
      </c>
      <c r="E9995" t="s">
        <v>23</v>
      </c>
      <c r="F9995" t="s">
        <v>19</v>
      </c>
      <c r="G9995" s="1" t="str">
        <f t="shared" si="2226"/>
        <v>X</v>
      </c>
      <c r="H9995" s="1" t="str">
        <f t="shared" si="2226"/>
        <v>X</v>
      </c>
      <c r="I9995" s="1" t="str">
        <f t="shared" si="2226"/>
        <v>X</v>
      </c>
      <c r="J9995" s="1" t="str">
        <f t="shared" si="2226"/>
        <v>X</v>
      </c>
      <c r="K9995" s="1" t="str">
        <f t="shared" si="2226"/>
        <v>X</v>
      </c>
      <c r="L9995" s="1" t="str">
        <f t="shared" si="2226"/>
        <v>X</v>
      </c>
      <c r="M9995" s="1" t="str">
        <f t="shared" si="2226"/>
        <v>X</v>
      </c>
      <c r="N9995" t="s">
        <v>27</v>
      </c>
    </row>
    <row r="9996" spans="1:14" x14ac:dyDescent="0.25">
      <c r="A9996" t="s">
        <v>43</v>
      </c>
      <c r="B9996" t="s">
        <v>40</v>
      </c>
      <c r="C9996" t="s">
        <v>36</v>
      </c>
      <c r="D9996" t="s">
        <v>15</v>
      </c>
      <c r="E9996" t="s">
        <v>23</v>
      </c>
      <c r="F9996" t="s">
        <v>20</v>
      </c>
      <c r="G9996" s="2">
        <f>VALUE(2903.54)</f>
        <v>2903.54</v>
      </c>
      <c r="H9996" s="1">
        <f>VALUE(2295.1)</f>
        <v>2295.1</v>
      </c>
      <c r="I9996" s="1">
        <f>VALUE(2764)</f>
        <v>2764</v>
      </c>
      <c r="J9996" s="1">
        <f>VALUE(3087)</f>
        <v>3087</v>
      </c>
      <c r="K9996" s="1">
        <f>VALUE(3402)</f>
        <v>3402</v>
      </c>
      <c r="L9996" s="1">
        <f>VALUE(3747)</f>
        <v>3747</v>
      </c>
      <c r="M9996" s="1">
        <f>VALUE(4152)</f>
        <v>4152</v>
      </c>
      <c r="N9996" t="s">
        <v>25</v>
      </c>
    </row>
    <row r="9997" spans="1:14" x14ac:dyDescent="0.25">
      <c r="A9997" t="s">
        <v>43</v>
      </c>
      <c r="B9997" t="s">
        <v>40</v>
      </c>
      <c r="C9997" t="s">
        <v>36</v>
      </c>
      <c r="D9997" t="s">
        <v>15</v>
      </c>
      <c r="E9997" t="s">
        <v>26</v>
      </c>
      <c r="F9997" t="s">
        <v>15</v>
      </c>
      <c r="G9997" s="2">
        <f>VALUE(265.1)</f>
        <v>265.10000000000002</v>
      </c>
      <c r="H9997" s="3">
        <f>VALUE(208.96)</f>
        <v>208.96</v>
      </c>
      <c r="I9997" s="4">
        <f>VALUE(3320)</f>
        <v>3320</v>
      </c>
      <c r="J9997" s="1">
        <f>VALUE(4215)</f>
        <v>4215</v>
      </c>
      <c r="K9997" s="1">
        <f>VALUE(4854)</f>
        <v>4854</v>
      </c>
      <c r="L9997" s="1">
        <f>VALUE(5470)</f>
        <v>5470</v>
      </c>
      <c r="M9997" s="1">
        <f>VALUE(6315)</f>
        <v>6315</v>
      </c>
      <c r="N9997" t="s">
        <v>25</v>
      </c>
    </row>
    <row r="9998" spans="1:14" x14ac:dyDescent="0.25">
      <c r="A9998" t="s">
        <v>43</v>
      </c>
      <c r="B9998" t="s">
        <v>40</v>
      </c>
      <c r="C9998" t="s">
        <v>36</v>
      </c>
      <c r="D9998" t="s">
        <v>15</v>
      </c>
      <c r="E9998" t="s">
        <v>26</v>
      </c>
      <c r="F9998" t="s">
        <v>17</v>
      </c>
      <c r="G9998" s="1" t="str">
        <f t="shared" ref="G9998:M10000" si="2227">"X"</f>
        <v>X</v>
      </c>
      <c r="H9998" s="1" t="str">
        <f t="shared" si="2227"/>
        <v>X</v>
      </c>
      <c r="I9998" s="1" t="str">
        <f t="shared" si="2227"/>
        <v>X</v>
      </c>
      <c r="J9998" s="1" t="str">
        <f t="shared" si="2227"/>
        <v>X</v>
      </c>
      <c r="K9998" s="1" t="str">
        <f t="shared" si="2227"/>
        <v>X</v>
      </c>
      <c r="L9998" s="1" t="str">
        <f t="shared" si="2227"/>
        <v>X</v>
      </c>
      <c r="M9998" s="1" t="str">
        <f t="shared" si="2227"/>
        <v>X</v>
      </c>
      <c r="N9998" t="s">
        <v>27</v>
      </c>
    </row>
    <row r="9999" spans="1:14" x14ac:dyDescent="0.25">
      <c r="A9999" t="s">
        <v>43</v>
      </c>
      <c r="B9999" t="s">
        <v>40</v>
      </c>
      <c r="C9999" t="s">
        <v>36</v>
      </c>
      <c r="D9999" t="s">
        <v>15</v>
      </c>
      <c r="E9999" t="s">
        <v>26</v>
      </c>
      <c r="F9999" t="s">
        <v>18</v>
      </c>
      <c r="G9999" s="1" t="str">
        <f t="shared" si="2227"/>
        <v>X</v>
      </c>
      <c r="H9999" s="1" t="str">
        <f t="shared" si="2227"/>
        <v>X</v>
      </c>
      <c r="I9999" s="1" t="str">
        <f t="shared" si="2227"/>
        <v>X</v>
      </c>
      <c r="J9999" s="1" t="str">
        <f t="shared" si="2227"/>
        <v>X</v>
      </c>
      <c r="K9999" s="1" t="str">
        <f t="shared" si="2227"/>
        <v>X</v>
      </c>
      <c r="L9999" s="1" t="str">
        <f t="shared" si="2227"/>
        <v>X</v>
      </c>
      <c r="M9999" s="1" t="str">
        <f t="shared" si="2227"/>
        <v>X</v>
      </c>
      <c r="N9999" t="s">
        <v>27</v>
      </c>
    </row>
    <row r="10000" spans="1:14" x14ac:dyDescent="0.25">
      <c r="A10000" t="s">
        <v>43</v>
      </c>
      <c r="B10000" t="s">
        <v>40</v>
      </c>
      <c r="C10000" t="s">
        <v>36</v>
      </c>
      <c r="D10000" t="s">
        <v>15</v>
      </c>
      <c r="E10000" t="s">
        <v>26</v>
      </c>
      <c r="F10000" t="s">
        <v>19</v>
      </c>
      <c r="G10000" s="1" t="str">
        <f t="shared" si="2227"/>
        <v>X</v>
      </c>
      <c r="H10000" s="1" t="str">
        <f t="shared" si="2227"/>
        <v>X</v>
      </c>
      <c r="I10000" s="1" t="str">
        <f t="shared" si="2227"/>
        <v>X</v>
      </c>
      <c r="J10000" s="1" t="str">
        <f t="shared" si="2227"/>
        <v>X</v>
      </c>
      <c r="K10000" s="1" t="str">
        <f t="shared" si="2227"/>
        <v>X</v>
      </c>
      <c r="L10000" s="1" t="str">
        <f t="shared" si="2227"/>
        <v>X</v>
      </c>
      <c r="M10000" s="1" t="str">
        <f t="shared" si="2227"/>
        <v>X</v>
      </c>
      <c r="N10000" t="s">
        <v>27</v>
      </c>
    </row>
    <row r="10001" spans="1:14" x14ac:dyDescent="0.25">
      <c r="A10001" t="s">
        <v>43</v>
      </c>
      <c r="B10001" t="s">
        <v>40</v>
      </c>
      <c r="C10001" t="s">
        <v>36</v>
      </c>
      <c r="D10001" t="s">
        <v>15</v>
      </c>
      <c r="E10001" t="s">
        <v>26</v>
      </c>
      <c r="F10001" t="s">
        <v>20</v>
      </c>
      <c r="G10001" s="2">
        <f>VALUE(240.44)</f>
        <v>240.44</v>
      </c>
      <c r="H10001" s="3">
        <f>VALUE(182.76)</f>
        <v>182.76</v>
      </c>
      <c r="I10001" s="1">
        <f>VALUE(3581)</f>
        <v>3581</v>
      </c>
      <c r="J10001" s="1">
        <f>VALUE(4333)</f>
        <v>4333</v>
      </c>
      <c r="K10001" s="1">
        <f>VALUE(4923)</f>
        <v>4923</v>
      </c>
      <c r="L10001" s="1">
        <f>VALUE(5487)</f>
        <v>5487</v>
      </c>
      <c r="M10001" s="1">
        <f>VALUE(6298)</f>
        <v>6298</v>
      </c>
      <c r="N10001" t="s">
        <v>25</v>
      </c>
    </row>
    <row r="10002" spans="1:14" x14ac:dyDescent="0.25">
      <c r="A10002" t="s">
        <v>43</v>
      </c>
      <c r="B10002" t="s">
        <v>40</v>
      </c>
      <c r="C10002" t="s">
        <v>36</v>
      </c>
      <c r="D10002" t="s">
        <v>28</v>
      </c>
      <c r="E10002" t="s">
        <v>15</v>
      </c>
      <c r="F10002" t="s">
        <v>15</v>
      </c>
      <c r="G10002" s="2">
        <f>VALUE(4834.37)</f>
        <v>4834.37</v>
      </c>
      <c r="H10002" s="3">
        <f>VALUE(4105.08)</f>
        <v>4105.08</v>
      </c>
      <c r="I10002" s="4">
        <f>VALUE(3525)</f>
        <v>3525</v>
      </c>
      <c r="J10002" s="1">
        <f>VALUE(4218)</f>
        <v>4218</v>
      </c>
      <c r="K10002" s="1">
        <f>VALUE(4846)</f>
        <v>4846</v>
      </c>
      <c r="L10002" s="1">
        <f>VALUE(5724)</f>
        <v>5724</v>
      </c>
      <c r="M10002" s="1">
        <f>VALUE(6608)</f>
        <v>6608</v>
      </c>
      <c r="N10002" t="s">
        <v>25</v>
      </c>
    </row>
    <row r="10003" spans="1:14" x14ac:dyDescent="0.25">
      <c r="A10003" t="s">
        <v>43</v>
      </c>
      <c r="B10003" t="s">
        <v>40</v>
      </c>
      <c r="C10003" t="s">
        <v>36</v>
      </c>
      <c r="D10003" t="s">
        <v>28</v>
      </c>
      <c r="E10003" t="s">
        <v>15</v>
      </c>
      <c r="F10003" t="s">
        <v>17</v>
      </c>
      <c r="G10003" s="2">
        <f>VALUE(329.49)</f>
        <v>329.49</v>
      </c>
      <c r="H10003" s="3">
        <f>VALUE(289.7)</f>
        <v>289.7</v>
      </c>
      <c r="I10003" s="1">
        <f>VALUE(4492)</f>
        <v>4492</v>
      </c>
      <c r="J10003" s="5">
        <f>VALUE(5624)</f>
        <v>5624</v>
      </c>
      <c r="K10003" s="1">
        <f>VALUE(6334)</f>
        <v>6334</v>
      </c>
      <c r="L10003" s="7">
        <f>VALUE(7380)</f>
        <v>7380</v>
      </c>
      <c r="M10003" s="8">
        <f>VALUE(7983)</f>
        <v>7983</v>
      </c>
      <c r="N10003" t="s">
        <v>25</v>
      </c>
    </row>
    <row r="10004" spans="1:14" x14ac:dyDescent="0.25">
      <c r="A10004" t="s">
        <v>43</v>
      </c>
      <c r="B10004" t="s">
        <v>40</v>
      </c>
      <c r="C10004" t="s">
        <v>36</v>
      </c>
      <c r="D10004" t="s">
        <v>28</v>
      </c>
      <c r="E10004" t="s">
        <v>15</v>
      </c>
      <c r="F10004" t="s">
        <v>18</v>
      </c>
      <c r="G10004" s="2">
        <f>VALUE(777.58)</f>
        <v>777.58</v>
      </c>
      <c r="H10004" s="3">
        <f>VALUE(689.84)</f>
        <v>689.84</v>
      </c>
      <c r="I10004" s="4">
        <f>VALUE(3718)</f>
        <v>3718</v>
      </c>
      <c r="J10004" s="1">
        <f>VALUE(4246)</f>
        <v>4246</v>
      </c>
      <c r="K10004" s="1">
        <f>VALUE(5092)</f>
        <v>5092</v>
      </c>
      <c r="L10004" s="7">
        <f>VALUE(5956)</f>
        <v>5956</v>
      </c>
      <c r="M10004" s="1">
        <f>VALUE(6933)</f>
        <v>6933</v>
      </c>
      <c r="N10004" t="s">
        <v>25</v>
      </c>
    </row>
    <row r="10005" spans="1:14" x14ac:dyDescent="0.25">
      <c r="A10005" t="s">
        <v>43</v>
      </c>
      <c r="B10005" t="s">
        <v>40</v>
      </c>
      <c r="C10005" t="s">
        <v>36</v>
      </c>
      <c r="D10005" t="s">
        <v>28</v>
      </c>
      <c r="E10005" t="s">
        <v>15</v>
      </c>
      <c r="F10005" t="s">
        <v>19</v>
      </c>
      <c r="G10005" s="2">
        <f>VALUE(790.46)</f>
        <v>790.46</v>
      </c>
      <c r="H10005" s="3">
        <f>VALUE(695.73)</f>
        <v>695.73</v>
      </c>
      <c r="I10005" s="1">
        <f>VALUE(4032)</f>
        <v>4032</v>
      </c>
      <c r="J10005" s="1">
        <f>VALUE(4420)</f>
        <v>4420</v>
      </c>
      <c r="K10005" s="1">
        <f>VALUE(4892)</f>
        <v>4892</v>
      </c>
      <c r="L10005" s="1">
        <f>VALUE(5742)</f>
        <v>5742</v>
      </c>
      <c r="M10005" s="1">
        <f>VALUE(6413)</f>
        <v>6413</v>
      </c>
      <c r="N10005" t="s">
        <v>25</v>
      </c>
    </row>
    <row r="10006" spans="1:14" x14ac:dyDescent="0.25">
      <c r="A10006" t="s">
        <v>43</v>
      </c>
      <c r="B10006" t="s">
        <v>40</v>
      </c>
      <c r="C10006" t="s">
        <v>36</v>
      </c>
      <c r="D10006" t="s">
        <v>28</v>
      </c>
      <c r="E10006" t="s">
        <v>15</v>
      </c>
      <c r="F10006" t="s">
        <v>20</v>
      </c>
      <c r="G10006" s="2">
        <f>VALUE(2936.84)</f>
        <v>2936.84</v>
      </c>
      <c r="H10006" s="3">
        <f>VALUE(2429.81)</f>
        <v>2429.81</v>
      </c>
      <c r="I10006" s="4">
        <f>VALUE(3232)</f>
        <v>3232</v>
      </c>
      <c r="J10006" s="1">
        <f>VALUE(4050)</f>
        <v>4050</v>
      </c>
      <c r="K10006" s="1">
        <f>VALUE(4648)</f>
        <v>4648</v>
      </c>
      <c r="L10006" s="1">
        <f>VALUE(5416)</f>
        <v>5416</v>
      </c>
      <c r="M10006" s="1">
        <f>VALUE(6215)</f>
        <v>6215</v>
      </c>
      <c r="N10006" t="s">
        <v>25</v>
      </c>
    </row>
    <row r="10007" spans="1:14" x14ac:dyDescent="0.25">
      <c r="A10007" t="s">
        <v>43</v>
      </c>
      <c r="B10007" t="s">
        <v>40</v>
      </c>
      <c r="C10007" t="s">
        <v>36</v>
      </c>
      <c r="D10007" t="s">
        <v>28</v>
      </c>
      <c r="E10007" t="s">
        <v>21</v>
      </c>
      <c r="F10007" t="s">
        <v>15</v>
      </c>
      <c r="G10007" s="2">
        <f>VALUE(1611.75)</f>
        <v>1611.75</v>
      </c>
      <c r="H10007" s="3">
        <f>VALUE(1372.73)</f>
        <v>1372.73</v>
      </c>
      <c r="I10007" s="4">
        <f>VALUE(4317)</f>
        <v>4317</v>
      </c>
      <c r="J10007" s="1">
        <f>VALUE(4715)</f>
        <v>4715</v>
      </c>
      <c r="K10007" s="1">
        <f>VALUE(5655)</f>
        <v>5655</v>
      </c>
      <c r="L10007" s="1">
        <f>VALUE(6500)</f>
        <v>6500</v>
      </c>
      <c r="M10007" s="1">
        <f>VALUE(7290)</f>
        <v>7290</v>
      </c>
      <c r="N10007" t="s">
        <v>25</v>
      </c>
    </row>
    <row r="10008" spans="1:14" x14ac:dyDescent="0.25">
      <c r="A10008" t="s">
        <v>43</v>
      </c>
      <c r="B10008" t="s">
        <v>40</v>
      </c>
      <c r="C10008" t="s">
        <v>36</v>
      </c>
      <c r="D10008" t="s">
        <v>28</v>
      </c>
      <c r="E10008" t="s">
        <v>21</v>
      </c>
      <c r="F10008" t="s">
        <v>17</v>
      </c>
      <c r="G10008" s="1" t="str">
        <f t="shared" ref="G10008:M10008" si="2228">"X"</f>
        <v>X</v>
      </c>
      <c r="H10008" s="1" t="str">
        <f t="shared" si="2228"/>
        <v>X</v>
      </c>
      <c r="I10008" s="1" t="str">
        <f t="shared" si="2228"/>
        <v>X</v>
      </c>
      <c r="J10008" s="1" t="str">
        <f t="shared" si="2228"/>
        <v>X</v>
      </c>
      <c r="K10008" s="1" t="str">
        <f t="shared" si="2228"/>
        <v>X</v>
      </c>
      <c r="L10008" s="1" t="str">
        <f t="shared" si="2228"/>
        <v>X</v>
      </c>
      <c r="M10008" s="1" t="str">
        <f t="shared" si="2228"/>
        <v>X</v>
      </c>
      <c r="N10008" t="s">
        <v>27</v>
      </c>
    </row>
    <row r="10009" spans="1:14" x14ac:dyDescent="0.25">
      <c r="A10009" t="s">
        <v>43</v>
      </c>
      <c r="B10009" t="s">
        <v>40</v>
      </c>
      <c r="C10009" t="s">
        <v>36</v>
      </c>
      <c r="D10009" t="s">
        <v>28</v>
      </c>
      <c r="E10009" t="s">
        <v>21</v>
      </c>
      <c r="F10009" t="s">
        <v>18</v>
      </c>
      <c r="G10009" s="2">
        <f>VALUE(410.73)</f>
        <v>410.73</v>
      </c>
      <c r="H10009" s="3">
        <f>VALUE(333.88)</f>
        <v>333.88</v>
      </c>
      <c r="I10009" s="1">
        <f>VALUE(4621)</f>
        <v>4621</v>
      </c>
      <c r="J10009" s="1">
        <f>VALUE(4830)</f>
        <v>4830</v>
      </c>
      <c r="K10009" s="6">
        <f>VALUE(5561)</f>
        <v>5561</v>
      </c>
      <c r="L10009" s="7">
        <f>VALUE(6710)</f>
        <v>6710</v>
      </c>
      <c r="M10009" s="8">
        <f>VALUE(7367)</f>
        <v>7367</v>
      </c>
      <c r="N10009" t="s">
        <v>25</v>
      </c>
    </row>
    <row r="10010" spans="1:14" x14ac:dyDescent="0.25">
      <c r="A10010" t="s">
        <v>43</v>
      </c>
      <c r="B10010" t="s">
        <v>40</v>
      </c>
      <c r="C10010" t="s">
        <v>36</v>
      </c>
      <c r="D10010" t="s">
        <v>28</v>
      </c>
      <c r="E10010" t="s">
        <v>21</v>
      </c>
      <c r="F10010" t="s">
        <v>19</v>
      </c>
      <c r="G10010" s="2">
        <f>VALUE(304.06)</f>
        <v>304.06</v>
      </c>
      <c r="H10010" s="3">
        <f>VALUE(274.51)</f>
        <v>274.51</v>
      </c>
      <c r="I10010" s="1">
        <f>VALUE(4420)</f>
        <v>4420</v>
      </c>
      <c r="J10010" s="5">
        <f>VALUE(4715)</f>
        <v>4715</v>
      </c>
      <c r="K10010" s="6">
        <f>VALUE(5280)</f>
        <v>5280</v>
      </c>
      <c r="L10010" s="1">
        <f>VALUE(6223)</f>
        <v>6223</v>
      </c>
      <c r="M10010" s="1">
        <f>VALUE(6713)</f>
        <v>6713</v>
      </c>
      <c r="N10010" t="s">
        <v>25</v>
      </c>
    </row>
    <row r="10011" spans="1:14" x14ac:dyDescent="0.25">
      <c r="A10011" t="s">
        <v>43</v>
      </c>
      <c r="B10011" t="s">
        <v>40</v>
      </c>
      <c r="C10011" t="s">
        <v>36</v>
      </c>
      <c r="D10011" t="s">
        <v>28</v>
      </c>
      <c r="E10011" t="s">
        <v>21</v>
      </c>
      <c r="F10011" t="s">
        <v>20</v>
      </c>
      <c r="G10011" s="2">
        <f>VALUE(642.06)</f>
        <v>642.05999999999995</v>
      </c>
      <c r="H10011" s="3">
        <f>VALUE(541.73)</f>
        <v>541.73</v>
      </c>
      <c r="I10011" s="4">
        <f>VALUE(3718)</f>
        <v>3718</v>
      </c>
      <c r="J10011" s="1">
        <f>VALUE(4439)</f>
        <v>4439</v>
      </c>
      <c r="K10011" s="1">
        <f>VALUE(5382)</f>
        <v>5382</v>
      </c>
      <c r="L10011" s="1">
        <f>VALUE(6153)</f>
        <v>6153</v>
      </c>
      <c r="M10011" s="1">
        <f>VALUE(6704)</f>
        <v>6704</v>
      </c>
      <c r="N10011" t="s">
        <v>25</v>
      </c>
    </row>
    <row r="10012" spans="1:14" x14ac:dyDescent="0.25">
      <c r="A10012" t="s">
        <v>43</v>
      </c>
      <c r="B10012" t="s">
        <v>40</v>
      </c>
      <c r="C10012" t="s">
        <v>36</v>
      </c>
      <c r="D10012" t="s">
        <v>28</v>
      </c>
      <c r="E10012" t="s">
        <v>22</v>
      </c>
      <c r="F10012" t="s">
        <v>15</v>
      </c>
      <c r="G10012" s="2">
        <f>VALUE(2852.81)</f>
        <v>2852.81</v>
      </c>
      <c r="H10012" s="3">
        <f>VALUE(2450.18)</f>
        <v>2450.1799999999998</v>
      </c>
      <c r="I10012" s="4">
        <f>VALUE(3324)</f>
        <v>3324</v>
      </c>
      <c r="J10012" s="1">
        <f>VALUE(4149)</f>
        <v>4149</v>
      </c>
      <c r="K10012" s="1">
        <f>VALUE(4560)</f>
        <v>4560</v>
      </c>
      <c r="L10012" s="1">
        <f>VALUE(5301)</f>
        <v>5301</v>
      </c>
      <c r="M10012" s="1">
        <f>VALUE(5924)</f>
        <v>5924</v>
      </c>
      <c r="N10012" t="s">
        <v>25</v>
      </c>
    </row>
    <row r="10013" spans="1:14" x14ac:dyDescent="0.25">
      <c r="A10013" t="s">
        <v>43</v>
      </c>
      <c r="B10013" t="s">
        <v>40</v>
      </c>
      <c r="C10013" t="s">
        <v>36</v>
      </c>
      <c r="D10013" t="s">
        <v>28</v>
      </c>
      <c r="E10013" t="s">
        <v>22</v>
      </c>
      <c r="F10013" t="s">
        <v>17</v>
      </c>
      <c r="G10013" s="1" t="str">
        <f t="shared" ref="G10013:M10013" si="2229">"X"</f>
        <v>X</v>
      </c>
      <c r="H10013" s="1" t="str">
        <f t="shared" si="2229"/>
        <v>X</v>
      </c>
      <c r="I10013" s="1" t="str">
        <f t="shared" si="2229"/>
        <v>X</v>
      </c>
      <c r="J10013" s="1" t="str">
        <f t="shared" si="2229"/>
        <v>X</v>
      </c>
      <c r="K10013" s="1" t="str">
        <f t="shared" si="2229"/>
        <v>X</v>
      </c>
      <c r="L10013" s="1" t="str">
        <f t="shared" si="2229"/>
        <v>X</v>
      </c>
      <c r="M10013" s="1" t="str">
        <f t="shared" si="2229"/>
        <v>X</v>
      </c>
      <c r="N10013" t="s">
        <v>27</v>
      </c>
    </row>
    <row r="10014" spans="1:14" x14ac:dyDescent="0.25">
      <c r="A10014" t="s">
        <v>43</v>
      </c>
      <c r="B10014" t="s">
        <v>40</v>
      </c>
      <c r="C10014" t="s">
        <v>36</v>
      </c>
      <c r="D10014" t="s">
        <v>28</v>
      </c>
      <c r="E10014" t="s">
        <v>22</v>
      </c>
      <c r="F10014" t="s">
        <v>18</v>
      </c>
      <c r="G10014" s="2">
        <f>VALUE(354)</f>
        <v>354</v>
      </c>
      <c r="H10014" s="3">
        <f>VALUE(342.47)</f>
        <v>342.47</v>
      </c>
      <c r="I10014" s="1">
        <f>VALUE(3714)</f>
        <v>3714</v>
      </c>
      <c r="J10014" s="1">
        <f>VALUE(4149)</f>
        <v>4149</v>
      </c>
      <c r="K10014" s="1">
        <f>VALUE(4246)</f>
        <v>4246</v>
      </c>
      <c r="L10014" s="1">
        <f>VALUE(5230)</f>
        <v>5230</v>
      </c>
      <c r="M10014" s="8">
        <f>VALUE(5912)</f>
        <v>5912</v>
      </c>
      <c r="N10014" t="s">
        <v>25</v>
      </c>
    </row>
    <row r="10015" spans="1:14" x14ac:dyDescent="0.25">
      <c r="A10015" t="s">
        <v>43</v>
      </c>
      <c r="B10015" t="s">
        <v>40</v>
      </c>
      <c r="C10015" t="s">
        <v>36</v>
      </c>
      <c r="D10015" t="s">
        <v>28</v>
      </c>
      <c r="E10015" t="s">
        <v>22</v>
      </c>
      <c r="F10015" t="s">
        <v>19</v>
      </c>
      <c r="G10015" s="2">
        <f>VALUE(453.45)</f>
        <v>453.45</v>
      </c>
      <c r="H10015" s="3">
        <f>VALUE(394.01)</f>
        <v>394.01</v>
      </c>
      <c r="I10015" s="1">
        <f>VALUE(4032)</f>
        <v>4032</v>
      </c>
      <c r="J10015" s="1">
        <f>VALUE(4316)</f>
        <v>4316</v>
      </c>
      <c r="K10015" s="1">
        <f>VALUE(4598)</f>
        <v>4598</v>
      </c>
      <c r="L10015" s="1">
        <f>VALUE(5333)</f>
        <v>5333</v>
      </c>
      <c r="M10015" s="8">
        <f>VALUE(5825)</f>
        <v>5825</v>
      </c>
      <c r="N10015" t="s">
        <v>25</v>
      </c>
    </row>
    <row r="10016" spans="1:14" x14ac:dyDescent="0.25">
      <c r="A10016" t="s">
        <v>43</v>
      </c>
      <c r="B10016" t="s">
        <v>40</v>
      </c>
      <c r="C10016" t="s">
        <v>36</v>
      </c>
      <c r="D10016" t="s">
        <v>28</v>
      </c>
      <c r="E10016" t="s">
        <v>22</v>
      </c>
      <c r="F10016" t="s">
        <v>20</v>
      </c>
      <c r="G10016" s="2">
        <f>VALUE(1970.77)</f>
        <v>1970.77</v>
      </c>
      <c r="H10016" s="3">
        <f>VALUE(1646.61)</f>
        <v>1646.61</v>
      </c>
      <c r="I10016" s="4">
        <f>VALUE(3232)</f>
        <v>3232</v>
      </c>
      <c r="J10016" s="5">
        <f>VALUE(4125)</f>
        <v>4125</v>
      </c>
      <c r="K10016" s="1">
        <f>VALUE(4567)</f>
        <v>4567</v>
      </c>
      <c r="L10016" s="1">
        <f>VALUE(5246)</f>
        <v>5246</v>
      </c>
      <c r="M10016" s="1">
        <f>VALUE(5881)</f>
        <v>5881</v>
      </c>
      <c r="N10016" t="s">
        <v>25</v>
      </c>
    </row>
    <row r="10017" spans="1:14" x14ac:dyDescent="0.25">
      <c r="A10017" t="s">
        <v>43</v>
      </c>
      <c r="B10017" t="s">
        <v>40</v>
      </c>
      <c r="C10017" t="s">
        <v>36</v>
      </c>
      <c r="D10017" t="s">
        <v>28</v>
      </c>
      <c r="E10017" t="s">
        <v>23</v>
      </c>
      <c r="F10017" t="s">
        <v>15</v>
      </c>
      <c r="G10017" s="2">
        <f>VALUE(295.12)</f>
        <v>295.12</v>
      </c>
      <c r="H10017" s="3">
        <f>VALUE(229.18)</f>
        <v>229.18</v>
      </c>
      <c r="I10017" s="4">
        <f>VALUE(3042)</f>
        <v>3042</v>
      </c>
      <c r="J10017" s="1">
        <f>VALUE(3525)</f>
        <v>3525</v>
      </c>
      <c r="K10017" s="1">
        <f>VALUE(3914)</f>
        <v>3914</v>
      </c>
      <c r="L10017" s="1">
        <f>VALUE(4265)</f>
        <v>4265</v>
      </c>
      <c r="M10017" s="1">
        <f>VALUE(5275)</f>
        <v>5275</v>
      </c>
      <c r="N10017" t="s">
        <v>25</v>
      </c>
    </row>
    <row r="10018" spans="1:14" x14ac:dyDescent="0.25">
      <c r="A10018" t="s">
        <v>43</v>
      </c>
      <c r="B10018" t="s">
        <v>40</v>
      </c>
      <c r="C10018" t="s">
        <v>36</v>
      </c>
      <c r="D10018" t="s">
        <v>28</v>
      </c>
      <c r="E10018" t="s">
        <v>23</v>
      </c>
      <c r="F10018" t="s">
        <v>17</v>
      </c>
      <c r="G10018" s="1" t="str">
        <f t="shared" ref="G10018:M10018" si="2230">"..."</f>
        <v>...</v>
      </c>
      <c r="H10018" s="1" t="str">
        <f t="shared" si="2230"/>
        <v>...</v>
      </c>
      <c r="I10018" s="1" t="str">
        <f t="shared" si="2230"/>
        <v>...</v>
      </c>
      <c r="J10018" s="1" t="str">
        <f t="shared" si="2230"/>
        <v>...</v>
      </c>
      <c r="K10018" s="1" t="str">
        <f t="shared" si="2230"/>
        <v>...</v>
      </c>
      <c r="L10018" s="1" t="str">
        <f t="shared" si="2230"/>
        <v>...</v>
      </c>
      <c r="M10018" s="1" t="str">
        <f t="shared" si="2230"/>
        <v>...</v>
      </c>
      <c r="N10018" t="s">
        <v>30</v>
      </c>
    </row>
    <row r="10019" spans="1:14" x14ac:dyDescent="0.25">
      <c r="A10019" t="s">
        <v>43</v>
      </c>
      <c r="B10019" t="s">
        <v>40</v>
      </c>
      <c r="C10019" t="s">
        <v>36</v>
      </c>
      <c r="D10019" t="s">
        <v>28</v>
      </c>
      <c r="E10019" t="s">
        <v>23</v>
      </c>
      <c r="F10019" t="s">
        <v>18</v>
      </c>
      <c r="G10019" s="1" t="str">
        <f t="shared" ref="G10019:M10020" si="2231">"X"</f>
        <v>X</v>
      </c>
      <c r="H10019" s="1" t="str">
        <f t="shared" si="2231"/>
        <v>X</v>
      </c>
      <c r="I10019" s="1" t="str">
        <f t="shared" si="2231"/>
        <v>X</v>
      </c>
      <c r="J10019" s="1" t="str">
        <f t="shared" si="2231"/>
        <v>X</v>
      </c>
      <c r="K10019" s="1" t="str">
        <f t="shared" si="2231"/>
        <v>X</v>
      </c>
      <c r="L10019" s="1" t="str">
        <f t="shared" si="2231"/>
        <v>X</v>
      </c>
      <c r="M10019" s="1" t="str">
        <f t="shared" si="2231"/>
        <v>X</v>
      </c>
      <c r="N10019" t="s">
        <v>27</v>
      </c>
    </row>
    <row r="10020" spans="1:14" x14ac:dyDescent="0.25">
      <c r="A10020" t="s">
        <v>43</v>
      </c>
      <c r="B10020" t="s">
        <v>40</v>
      </c>
      <c r="C10020" t="s">
        <v>36</v>
      </c>
      <c r="D10020" t="s">
        <v>28</v>
      </c>
      <c r="E10020" t="s">
        <v>23</v>
      </c>
      <c r="F10020" t="s">
        <v>19</v>
      </c>
      <c r="G10020" s="1" t="str">
        <f t="shared" si="2231"/>
        <v>X</v>
      </c>
      <c r="H10020" s="1" t="str">
        <f t="shared" si="2231"/>
        <v>X</v>
      </c>
      <c r="I10020" s="1" t="str">
        <f t="shared" si="2231"/>
        <v>X</v>
      </c>
      <c r="J10020" s="1" t="str">
        <f t="shared" si="2231"/>
        <v>X</v>
      </c>
      <c r="K10020" s="1" t="str">
        <f t="shared" si="2231"/>
        <v>X</v>
      </c>
      <c r="L10020" s="1" t="str">
        <f t="shared" si="2231"/>
        <v>X</v>
      </c>
      <c r="M10020" s="1" t="str">
        <f t="shared" si="2231"/>
        <v>X</v>
      </c>
      <c r="N10020" t="s">
        <v>27</v>
      </c>
    </row>
    <row r="10021" spans="1:14" x14ac:dyDescent="0.25">
      <c r="A10021" t="s">
        <v>43</v>
      </c>
      <c r="B10021" t="s">
        <v>40</v>
      </c>
      <c r="C10021" t="s">
        <v>36</v>
      </c>
      <c r="D10021" t="s">
        <v>28</v>
      </c>
      <c r="E10021" t="s">
        <v>23</v>
      </c>
      <c r="F10021" t="s">
        <v>20</v>
      </c>
      <c r="G10021" s="2">
        <f>VALUE(255.39)</f>
        <v>255.39</v>
      </c>
      <c r="H10021" s="3">
        <f>VALUE(195.05)</f>
        <v>195.05</v>
      </c>
      <c r="I10021" s="4">
        <f>VALUE(3404)</f>
        <v>3404</v>
      </c>
      <c r="J10021" s="1">
        <f>VALUE(3525)</f>
        <v>3525</v>
      </c>
      <c r="K10021" s="1">
        <f>VALUE(3939)</f>
        <v>3939</v>
      </c>
      <c r="L10021" s="1">
        <f>VALUE(4163)</f>
        <v>4163</v>
      </c>
      <c r="M10021" s="8">
        <f>VALUE(5301)</f>
        <v>5301</v>
      </c>
      <c r="N10021" t="s">
        <v>25</v>
      </c>
    </row>
    <row r="10022" spans="1:14" x14ac:dyDescent="0.25">
      <c r="A10022" t="s">
        <v>43</v>
      </c>
      <c r="B10022" t="s">
        <v>40</v>
      </c>
      <c r="C10022" t="s">
        <v>36</v>
      </c>
      <c r="D10022" t="s">
        <v>28</v>
      </c>
      <c r="E10022" t="s">
        <v>26</v>
      </c>
      <c r="F10022" t="s">
        <v>15</v>
      </c>
      <c r="G10022" s="1" t="str">
        <f t="shared" ref="G10022:M10022" si="2232">"X"</f>
        <v>X</v>
      </c>
      <c r="H10022" s="1" t="str">
        <f t="shared" si="2232"/>
        <v>X</v>
      </c>
      <c r="I10022" s="1" t="str">
        <f t="shared" si="2232"/>
        <v>X</v>
      </c>
      <c r="J10022" s="1" t="str">
        <f t="shared" si="2232"/>
        <v>X</v>
      </c>
      <c r="K10022" s="1" t="str">
        <f t="shared" si="2232"/>
        <v>X</v>
      </c>
      <c r="L10022" s="1" t="str">
        <f t="shared" si="2232"/>
        <v>X</v>
      </c>
      <c r="M10022" s="1" t="str">
        <f t="shared" si="2232"/>
        <v>X</v>
      </c>
      <c r="N10022" t="s">
        <v>27</v>
      </c>
    </row>
    <row r="10023" spans="1:14" x14ac:dyDescent="0.25">
      <c r="A10023" t="s">
        <v>43</v>
      </c>
      <c r="B10023" t="s">
        <v>40</v>
      </c>
      <c r="C10023" t="s">
        <v>36</v>
      </c>
      <c r="D10023" t="s">
        <v>28</v>
      </c>
      <c r="E10023" t="s">
        <v>26</v>
      </c>
      <c r="F10023" t="s">
        <v>17</v>
      </c>
      <c r="G10023" s="1" t="str">
        <f t="shared" ref="G10023:M10023" si="2233">"..."</f>
        <v>...</v>
      </c>
      <c r="H10023" s="1" t="str">
        <f t="shared" si="2233"/>
        <v>...</v>
      </c>
      <c r="I10023" s="1" t="str">
        <f t="shared" si="2233"/>
        <v>...</v>
      </c>
      <c r="J10023" s="1" t="str">
        <f t="shared" si="2233"/>
        <v>...</v>
      </c>
      <c r="K10023" s="1" t="str">
        <f t="shared" si="2233"/>
        <v>...</v>
      </c>
      <c r="L10023" s="1" t="str">
        <f t="shared" si="2233"/>
        <v>...</v>
      </c>
      <c r="M10023" s="1" t="str">
        <f t="shared" si="2233"/>
        <v>...</v>
      </c>
      <c r="N10023" t="s">
        <v>30</v>
      </c>
    </row>
    <row r="10024" spans="1:14" x14ac:dyDescent="0.25">
      <c r="A10024" t="s">
        <v>43</v>
      </c>
      <c r="B10024" t="s">
        <v>40</v>
      </c>
      <c r="C10024" t="s">
        <v>36</v>
      </c>
      <c r="D10024" t="s">
        <v>28</v>
      </c>
      <c r="E10024" t="s">
        <v>26</v>
      </c>
      <c r="F10024" t="s">
        <v>18</v>
      </c>
      <c r="G10024" s="1" t="str">
        <f t="shared" ref="G10024:M10026" si="2234">"X"</f>
        <v>X</v>
      </c>
      <c r="H10024" s="1" t="str">
        <f t="shared" si="2234"/>
        <v>X</v>
      </c>
      <c r="I10024" s="1" t="str">
        <f t="shared" si="2234"/>
        <v>X</v>
      </c>
      <c r="J10024" s="1" t="str">
        <f t="shared" si="2234"/>
        <v>X</v>
      </c>
      <c r="K10024" s="1" t="str">
        <f t="shared" si="2234"/>
        <v>X</v>
      </c>
      <c r="L10024" s="1" t="str">
        <f t="shared" si="2234"/>
        <v>X</v>
      </c>
      <c r="M10024" s="1" t="str">
        <f t="shared" si="2234"/>
        <v>X</v>
      </c>
      <c r="N10024" t="s">
        <v>27</v>
      </c>
    </row>
    <row r="10025" spans="1:14" x14ac:dyDescent="0.25">
      <c r="A10025" t="s">
        <v>43</v>
      </c>
      <c r="B10025" t="s">
        <v>40</v>
      </c>
      <c r="C10025" t="s">
        <v>36</v>
      </c>
      <c r="D10025" t="s">
        <v>28</v>
      </c>
      <c r="E10025" t="s">
        <v>26</v>
      </c>
      <c r="F10025" t="s">
        <v>19</v>
      </c>
      <c r="G10025" s="1" t="str">
        <f t="shared" si="2234"/>
        <v>X</v>
      </c>
      <c r="H10025" s="1" t="str">
        <f t="shared" si="2234"/>
        <v>X</v>
      </c>
      <c r="I10025" s="1" t="str">
        <f t="shared" si="2234"/>
        <v>X</v>
      </c>
      <c r="J10025" s="1" t="str">
        <f t="shared" si="2234"/>
        <v>X</v>
      </c>
      <c r="K10025" s="1" t="str">
        <f t="shared" si="2234"/>
        <v>X</v>
      </c>
      <c r="L10025" s="1" t="str">
        <f t="shared" si="2234"/>
        <v>X</v>
      </c>
      <c r="M10025" s="1" t="str">
        <f t="shared" si="2234"/>
        <v>X</v>
      </c>
      <c r="N10025" t="s">
        <v>27</v>
      </c>
    </row>
    <row r="10026" spans="1:14" x14ac:dyDescent="0.25">
      <c r="A10026" t="s">
        <v>43</v>
      </c>
      <c r="B10026" t="s">
        <v>40</v>
      </c>
      <c r="C10026" t="s">
        <v>36</v>
      </c>
      <c r="D10026" t="s">
        <v>28</v>
      </c>
      <c r="E10026" t="s">
        <v>26</v>
      </c>
      <c r="F10026" t="s">
        <v>20</v>
      </c>
      <c r="G10026" s="1" t="str">
        <f t="shared" si="2234"/>
        <v>X</v>
      </c>
      <c r="H10026" s="1" t="str">
        <f t="shared" si="2234"/>
        <v>X</v>
      </c>
      <c r="I10026" s="1" t="str">
        <f t="shared" si="2234"/>
        <v>X</v>
      </c>
      <c r="J10026" s="1" t="str">
        <f t="shared" si="2234"/>
        <v>X</v>
      </c>
      <c r="K10026" s="1" t="str">
        <f t="shared" si="2234"/>
        <v>X</v>
      </c>
      <c r="L10026" s="1" t="str">
        <f t="shared" si="2234"/>
        <v>X</v>
      </c>
      <c r="M10026" s="1" t="str">
        <f t="shared" si="2234"/>
        <v>X</v>
      </c>
      <c r="N10026" t="s">
        <v>27</v>
      </c>
    </row>
    <row r="10027" spans="1:14" x14ac:dyDescent="0.25">
      <c r="A10027" t="s">
        <v>43</v>
      </c>
      <c r="B10027" t="s">
        <v>40</v>
      </c>
      <c r="C10027" t="s">
        <v>36</v>
      </c>
      <c r="D10027" t="s">
        <v>29</v>
      </c>
      <c r="E10027" t="s">
        <v>15</v>
      </c>
      <c r="F10027" t="s">
        <v>15</v>
      </c>
      <c r="G10027" s="2">
        <f>VALUE(1070.79)</f>
        <v>1070.79</v>
      </c>
      <c r="H10027" s="3">
        <f>VALUE(876.58)</f>
        <v>876.58</v>
      </c>
      <c r="I10027" s="1">
        <f>VALUE(3384)</f>
        <v>3384</v>
      </c>
      <c r="J10027" s="1">
        <f>VALUE(3812)</f>
        <v>3812</v>
      </c>
      <c r="K10027" s="1">
        <f>VALUE(4592)</f>
        <v>4592</v>
      </c>
      <c r="L10027" s="7">
        <f>VALUE(5473)</f>
        <v>5473</v>
      </c>
      <c r="M10027" s="1">
        <f>VALUE(6640)</f>
        <v>6640</v>
      </c>
      <c r="N10027" t="s">
        <v>25</v>
      </c>
    </row>
    <row r="10028" spans="1:14" x14ac:dyDescent="0.25">
      <c r="A10028" t="s">
        <v>43</v>
      </c>
      <c r="B10028" t="s">
        <v>40</v>
      </c>
      <c r="C10028" t="s">
        <v>36</v>
      </c>
      <c r="D10028" t="s">
        <v>29</v>
      </c>
      <c r="E10028" t="s">
        <v>15</v>
      </c>
      <c r="F10028" t="s">
        <v>17</v>
      </c>
      <c r="G10028" s="1" t="str">
        <f t="shared" ref="G10028:M10030" si="2235">"X"</f>
        <v>X</v>
      </c>
      <c r="H10028" s="1" t="str">
        <f t="shared" si="2235"/>
        <v>X</v>
      </c>
      <c r="I10028" s="1" t="str">
        <f t="shared" si="2235"/>
        <v>X</v>
      </c>
      <c r="J10028" s="1" t="str">
        <f t="shared" si="2235"/>
        <v>X</v>
      </c>
      <c r="K10028" s="1" t="str">
        <f t="shared" si="2235"/>
        <v>X</v>
      </c>
      <c r="L10028" s="1" t="str">
        <f t="shared" si="2235"/>
        <v>X</v>
      </c>
      <c r="M10028" s="1" t="str">
        <f t="shared" si="2235"/>
        <v>X</v>
      </c>
      <c r="N10028" t="s">
        <v>27</v>
      </c>
    </row>
    <row r="10029" spans="1:14" x14ac:dyDescent="0.25">
      <c r="A10029" t="s">
        <v>43</v>
      </c>
      <c r="B10029" t="s">
        <v>40</v>
      </c>
      <c r="C10029" t="s">
        <v>36</v>
      </c>
      <c r="D10029" t="s">
        <v>29</v>
      </c>
      <c r="E10029" t="s">
        <v>15</v>
      </c>
      <c r="F10029" t="s">
        <v>18</v>
      </c>
      <c r="G10029" s="1" t="str">
        <f t="shared" si="2235"/>
        <v>X</v>
      </c>
      <c r="H10029" s="1" t="str">
        <f t="shared" si="2235"/>
        <v>X</v>
      </c>
      <c r="I10029" s="1" t="str">
        <f t="shared" si="2235"/>
        <v>X</v>
      </c>
      <c r="J10029" s="1" t="str">
        <f t="shared" si="2235"/>
        <v>X</v>
      </c>
      <c r="K10029" s="1" t="str">
        <f t="shared" si="2235"/>
        <v>X</v>
      </c>
      <c r="L10029" s="1" t="str">
        <f t="shared" si="2235"/>
        <v>X</v>
      </c>
      <c r="M10029" s="1" t="str">
        <f t="shared" si="2235"/>
        <v>X</v>
      </c>
      <c r="N10029" t="s">
        <v>27</v>
      </c>
    </row>
    <row r="10030" spans="1:14" x14ac:dyDescent="0.25">
      <c r="A10030" t="s">
        <v>43</v>
      </c>
      <c r="B10030" t="s">
        <v>40</v>
      </c>
      <c r="C10030" t="s">
        <v>36</v>
      </c>
      <c r="D10030" t="s">
        <v>29</v>
      </c>
      <c r="E10030" t="s">
        <v>15</v>
      </c>
      <c r="F10030" t="s">
        <v>19</v>
      </c>
      <c r="G10030" s="1" t="str">
        <f t="shared" si="2235"/>
        <v>X</v>
      </c>
      <c r="H10030" s="1" t="str">
        <f t="shared" si="2235"/>
        <v>X</v>
      </c>
      <c r="I10030" s="1" t="str">
        <f t="shared" si="2235"/>
        <v>X</v>
      </c>
      <c r="J10030" s="1" t="str">
        <f t="shared" si="2235"/>
        <v>X</v>
      </c>
      <c r="K10030" s="1" t="str">
        <f t="shared" si="2235"/>
        <v>X</v>
      </c>
      <c r="L10030" s="1" t="str">
        <f t="shared" si="2235"/>
        <v>X</v>
      </c>
      <c r="M10030" s="1" t="str">
        <f t="shared" si="2235"/>
        <v>X</v>
      </c>
      <c r="N10030" t="s">
        <v>27</v>
      </c>
    </row>
    <row r="10031" spans="1:14" x14ac:dyDescent="0.25">
      <c r="A10031" t="s">
        <v>43</v>
      </c>
      <c r="B10031" t="s">
        <v>40</v>
      </c>
      <c r="C10031" t="s">
        <v>36</v>
      </c>
      <c r="D10031" t="s">
        <v>29</v>
      </c>
      <c r="E10031" t="s">
        <v>15</v>
      </c>
      <c r="F10031" t="s">
        <v>20</v>
      </c>
      <c r="G10031" s="2">
        <f>VALUE(807.32)</f>
        <v>807.32</v>
      </c>
      <c r="H10031" s="3">
        <f>VALUE(620.14)</f>
        <v>620.14</v>
      </c>
      <c r="I10031" s="1">
        <f>VALUE(3377)</f>
        <v>3377</v>
      </c>
      <c r="J10031" s="1">
        <f>VALUE(3667)</f>
        <v>3667</v>
      </c>
      <c r="K10031" s="1">
        <f>VALUE(4385)</f>
        <v>4385</v>
      </c>
      <c r="L10031" s="7">
        <f>VALUE(5415)</f>
        <v>5415</v>
      </c>
      <c r="M10031" s="1">
        <f>VALUE(6640)</f>
        <v>6640</v>
      </c>
      <c r="N10031" t="s">
        <v>25</v>
      </c>
    </row>
    <row r="10032" spans="1:14" x14ac:dyDescent="0.25">
      <c r="A10032" t="s">
        <v>43</v>
      </c>
      <c r="B10032" t="s">
        <v>40</v>
      </c>
      <c r="C10032" t="s">
        <v>36</v>
      </c>
      <c r="D10032" t="s">
        <v>29</v>
      </c>
      <c r="E10032" t="s">
        <v>21</v>
      </c>
      <c r="F10032" t="s">
        <v>15</v>
      </c>
      <c r="G10032" s="1" t="str">
        <f t="shared" ref="G10032:M10036" si="2236">"X"</f>
        <v>X</v>
      </c>
      <c r="H10032" s="1" t="str">
        <f t="shared" si="2236"/>
        <v>X</v>
      </c>
      <c r="I10032" s="1" t="str">
        <f t="shared" si="2236"/>
        <v>X</v>
      </c>
      <c r="J10032" s="1" t="str">
        <f t="shared" si="2236"/>
        <v>X</v>
      </c>
      <c r="K10032" s="1" t="str">
        <f t="shared" si="2236"/>
        <v>X</v>
      </c>
      <c r="L10032" s="1" t="str">
        <f t="shared" si="2236"/>
        <v>X</v>
      </c>
      <c r="M10032" s="1" t="str">
        <f t="shared" si="2236"/>
        <v>X</v>
      </c>
      <c r="N10032" t="s">
        <v>27</v>
      </c>
    </row>
    <row r="10033" spans="1:14" x14ac:dyDescent="0.25">
      <c r="A10033" t="s">
        <v>43</v>
      </c>
      <c r="B10033" t="s">
        <v>40</v>
      </c>
      <c r="C10033" t="s">
        <v>36</v>
      </c>
      <c r="D10033" t="s">
        <v>29</v>
      </c>
      <c r="E10033" t="s">
        <v>21</v>
      </c>
      <c r="F10033" t="s">
        <v>17</v>
      </c>
      <c r="G10033" s="1" t="str">
        <f t="shared" si="2236"/>
        <v>X</v>
      </c>
      <c r="H10033" s="1" t="str">
        <f t="shared" si="2236"/>
        <v>X</v>
      </c>
      <c r="I10033" s="1" t="str">
        <f t="shared" si="2236"/>
        <v>X</v>
      </c>
      <c r="J10033" s="1" t="str">
        <f t="shared" si="2236"/>
        <v>X</v>
      </c>
      <c r="K10033" s="1" t="str">
        <f t="shared" si="2236"/>
        <v>X</v>
      </c>
      <c r="L10033" s="1" t="str">
        <f t="shared" si="2236"/>
        <v>X</v>
      </c>
      <c r="M10033" s="1" t="str">
        <f t="shared" si="2236"/>
        <v>X</v>
      </c>
      <c r="N10033" t="s">
        <v>27</v>
      </c>
    </row>
    <row r="10034" spans="1:14" x14ac:dyDescent="0.25">
      <c r="A10034" t="s">
        <v>43</v>
      </c>
      <c r="B10034" t="s">
        <v>40</v>
      </c>
      <c r="C10034" t="s">
        <v>36</v>
      </c>
      <c r="D10034" t="s">
        <v>29</v>
      </c>
      <c r="E10034" t="s">
        <v>21</v>
      </c>
      <c r="F10034" t="s">
        <v>18</v>
      </c>
      <c r="G10034" s="1" t="str">
        <f t="shared" si="2236"/>
        <v>X</v>
      </c>
      <c r="H10034" s="1" t="str">
        <f t="shared" si="2236"/>
        <v>X</v>
      </c>
      <c r="I10034" s="1" t="str">
        <f t="shared" si="2236"/>
        <v>X</v>
      </c>
      <c r="J10034" s="1" t="str">
        <f t="shared" si="2236"/>
        <v>X</v>
      </c>
      <c r="K10034" s="1" t="str">
        <f t="shared" si="2236"/>
        <v>X</v>
      </c>
      <c r="L10034" s="1" t="str">
        <f t="shared" si="2236"/>
        <v>X</v>
      </c>
      <c r="M10034" s="1" t="str">
        <f t="shared" si="2236"/>
        <v>X</v>
      </c>
      <c r="N10034" t="s">
        <v>27</v>
      </c>
    </row>
    <row r="10035" spans="1:14" x14ac:dyDescent="0.25">
      <c r="A10035" t="s">
        <v>43</v>
      </c>
      <c r="B10035" t="s">
        <v>40</v>
      </c>
      <c r="C10035" t="s">
        <v>36</v>
      </c>
      <c r="D10035" t="s">
        <v>29</v>
      </c>
      <c r="E10035" t="s">
        <v>21</v>
      </c>
      <c r="F10035" t="s">
        <v>19</v>
      </c>
      <c r="G10035" s="1" t="str">
        <f t="shared" si="2236"/>
        <v>X</v>
      </c>
      <c r="H10035" s="1" t="str">
        <f t="shared" si="2236"/>
        <v>X</v>
      </c>
      <c r="I10035" s="1" t="str">
        <f t="shared" si="2236"/>
        <v>X</v>
      </c>
      <c r="J10035" s="1" t="str">
        <f t="shared" si="2236"/>
        <v>X</v>
      </c>
      <c r="K10035" s="1" t="str">
        <f t="shared" si="2236"/>
        <v>X</v>
      </c>
      <c r="L10035" s="1" t="str">
        <f t="shared" si="2236"/>
        <v>X</v>
      </c>
      <c r="M10035" s="1" t="str">
        <f t="shared" si="2236"/>
        <v>X</v>
      </c>
      <c r="N10035" t="s">
        <v>27</v>
      </c>
    </row>
    <row r="10036" spans="1:14" x14ac:dyDescent="0.25">
      <c r="A10036" t="s">
        <v>43</v>
      </c>
      <c r="B10036" t="s">
        <v>40</v>
      </c>
      <c r="C10036" t="s">
        <v>36</v>
      </c>
      <c r="D10036" t="s">
        <v>29</v>
      </c>
      <c r="E10036" t="s">
        <v>21</v>
      </c>
      <c r="F10036" t="s">
        <v>20</v>
      </c>
      <c r="G10036" s="1" t="str">
        <f t="shared" si="2236"/>
        <v>X</v>
      </c>
      <c r="H10036" s="1" t="str">
        <f t="shared" si="2236"/>
        <v>X</v>
      </c>
      <c r="I10036" s="1" t="str">
        <f t="shared" si="2236"/>
        <v>X</v>
      </c>
      <c r="J10036" s="1" t="str">
        <f t="shared" si="2236"/>
        <v>X</v>
      </c>
      <c r="K10036" s="1" t="str">
        <f t="shared" si="2236"/>
        <v>X</v>
      </c>
      <c r="L10036" s="1" t="str">
        <f t="shared" si="2236"/>
        <v>X</v>
      </c>
      <c r="M10036" s="1" t="str">
        <f t="shared" si="2236"/>
        <v>X</v>
      </c>
      <c r="N10036" t="s">
        <v>27</v>
      </c>
    </row>
    <row r="10037" spans="1:14" x14ac:dyDescent="0.25">
      <c r="A10037" t="s">
        <v>43</v>
      </c>
      <c r="B10037" t="s">
        <v>40</v>
      </c>
      <c r="C10037" t="s">
        <v>36</v>
      </c>
      <c r="D10037" t="s">
        <v>29</v>
      </c>
      <c r="E10037" t="s">
        <v>22</v>
      </c>
      <c r="F10037" t="s">
        <v>15</v>
      </c>
      <c r="G10037" s="2">
        <f>VALUE(407.76)</f>
        <v>407.76</v>
      </c>
      <c r="H10037" s="3">
        <f>VALUE(358.34)</f>
        <v>358.34</v>
      </c>
      <c r="I10037" s="1">
        <f>VALUE(3780)</f>
        <v>3780</v>
      </c>
      <c r="J10037" s="1">
        <f>VALUE(3972)</f>
        <v>3972</v>
      </c>
      <c r="K10037" s="1">
        <f>VALUE(4685)</f>
        <v>4685</v>
      </c>
      <c r="L10037" s="1">
        <f>VALUE(5415)</f>
        <v>5415</v>
      </c>
      <c r="M10037" s="1">
        <f>VALUE(6479)</f>
        <v>6479</v>
      </c>
      <c r="N10037" t="s">
        <v>25</v>
      </c>
    </row>
    <row r="10038" spans="1:14" x14ac:dyDescent="0.25">
      <c r="A10038" t="s">
        <v>43</v>
      </c>
      <c r="B10038" t="s">
        <v>40</v>
      </c>
      <c r="C10038" t="s">
        <v>36</v>
      </c>
      <c r="D10038" t="s">
        <v>29</v>
      </c>
      <c r="E10038" t="s">
        <v>22</v>
      </c>
      <c r="F10038" t="s">
        <v>17</v>
      </c>
      <c r="G10038" s="1" t="str">
        <f t="shared" ref="G10038:M10040" si="2237">"X"</f>
        <v>X</v>
      </c>
      <c r="H10038" s="1" t="str">
        <f t="shared" si="2237"/>
        <v>X</v>
      </c>
      <c r="I10038" s="1" t="str">
        <f t="shared" si="2237"/>
        <v>X</v>
      </c>
      <c r="J10038" s="1" t="str">
        <f t="shared" si="2237"/>
        <v>X</v>
      </c>
      <c r="K10038" s="1" t="str">
        <f t="shared" si="2237"/>
        <v>X</v>
      </c>
      <c r="L10038" s="1" t="str">
        <f t="shared" si="2237"/>
        <v>X</v>
      </c>
      <c r="M10038" s="1" t="str">
        <f t="shared" si="2237"/>
        <v>X</v>
      </c>
      <c r="N10038" t="s">
        <v>27</v>
      </c>
    </row>
    <row r="10039" spans="1:14" x14ac:dyDescent="0.25">
      <c r="A10039" t="s">
        <v>43</v>
      </c>
      <c r="B10039" t="s">
        <v>40</v>
      </c>
      <c r="C10039" t="s">
        <v>36</v>
      </c>
      <c r="D10039" t="s">
        <v>29</v>
      </c>
      <c r="E10039" t="s">
        <v>22</v>
      </c>
      <c r="F10039" t="s">
        <v>18</v>
      </c>
      <c r="G10039" s="1" t="str">
        <f t="shared" si="2237"/>
        <v>X</v>
      </c>
      <c r="H10039" s="1" t="str">
        <f t="shared" si="2237"/>
        <v>X</v>
      </c>
      <c r="I10039" s="1" t="str">
        <f t="shared" si="2237"/>
        <v>X</v>
      </c>
      <c r="J10039" s="1" t="str">
        <f t="shared" si="2237"/>
        <v>X</v>
      </c>
      <c r="K10039" s="1" t="str">
        <f t="shared" si="2237"/>
        <v>X</v>
      </c>
      <c r="L10039" s="1" t="str">
        <f t="shared" si="2237"/>
        <v>X</v>
      </c>
      <c r="M10039" s="1" t="str">
        <f t="shared" si="2237"/>
        <v>X</v>
      </c>
      <c r="N10039" t="s">
        <v>27</v>
      </c>
    </row>
    <row r="10040" spans="1:14" x14ac:dyDescent="0.25">
      <c r="A10040" t="s">
        <v>43</v>
      </c>
      <c r="B10040" t="s">
        <v>40</v>
      </c>
      <c r="C10040" t="s">
        <v>36</v>
      </c>
      <c r="D10040" t="s">
        <v>29</v>
      </c>
      <c r="E10040" t="s">
        <v>22</v>
      </c>
      <c r="F10040" t="s">
        <v>19</v>
      </c>
      <c r="G10040" s="1" t="str">
        <f t="shared" si="2237"/>
        <v>X</v>
      </c>
      <c r="H10040" s="1" t="str">
        <f t="shared" si="2237"/>
        <v>X</v>
      </c>
      <c r="I10040" s="1" t="str">
        <f t="shared" si="2237"/>
        <v>X</v>
      </c>
      <c r="J10040" s="1" t="str">
        <f t="shared" si="2237"/>
        <v>X</v>
      </c>
      <c r="K10040" s="1" t="str">
        <f t="shared" si="2237"/>
        <v>X</v>
      </c>
      <c r="L10040" s="1" t="str">
        <f t="shared" si="2237"/>
        <v>X</v>
      </c>
      <c r="M10040" s="1" t="str">
        <f t="shared" si="2237"/>
        <v>X</v>
      </c>
      <c r="N10040" t="s">
        <v>27</v>
      </c>
    </row>
    <row r="10041" spans="1:14" x14ac:dyDescent="0.25">
      <c r="A10041" t="s">
        <v>43</v>
      </c>
      <c r="B10041" t="s">
        <v>40</v>
      </c>
      <c r="C10041" t="s">
        <v>36</v>
      </c>
      <c r="D10041" t="s">
        <v>29</v>
      </c>
      <c r="E10041" t="s">
        <v>22</v>
      </c>
      <c r="F10041" t="s">
        <v>20</v>
      </c>
      <c r="G10041" s="2">
        <f>VALUE(285.67)</f>
        <v>285.67</v>
      </c>
      <c r="H10041" s="3">
        <f>VALUE(232.85)</f>
        <v>232.85</v>
      </c>
      <c r="I10041" s="1">
        <f>VALUE(3667)</f>
        <v>3667</v>
      </c>
      <c r="J10041" s="1">
        <f>VALUE(4026)</f>
        <v>4026</v>
      </c>
      <c r="K10041" s="1">
        <f>VALUE(4685)</f>
        <v>4685</v>
      </c>
      <c r="L10041" s="1">
        <f>VALUE(5238)</f>
        <v>5238</v>
      </c>
      <c r="M10041" s="1">
        <f>VALUE(5715)</f>
        <v>5715</v>
      </c>
      <c r="N10041" t="s">
        <v>25</v>
      </c>
    </row>
    <row r="10042" spans="1:14" x14ac:dyDescent="0.25">
      <c r="A10042" t="s">
        <v>43</v>
      </c>
      <c r="B10042" t="s">
        <v>40</v>
      </c>
      <c r="C10042" t="s">
        <v>36</v>
      </c>
      <c r="D10042" t="s">
        <v>29</v>
      </c>
      <c r="E10042" t="s">
        <v>23</v>
      </c>
      <c r="F10042" t="s">
        <v>15</v>
      </c>
      <c r="G10042" s="2">
        <f>VALUE(386.31)</f>
        <v>386.31</v>
      </c>
      <c r="H10042" s="3">
        <f>VALUE(256.98)</f>
        <v>256.98</v>
      </c>
      <c r="I10042" s="1">
        <f>VALUE(3139)</f>
        <v>3139</v>
      </c>
      <c r="J10042" s="1">
        <f>VALUE(3384)</f>
        <v>3384</v>
      </c>
      <c r="K10042" s="1">
        <f>VALUE(3696)</f>
        <v>3696</v>
      </c>
      <c r="L10042" s="1">
        <f>VALUE(4093)</f>
        <v>4093</v>
      </c>
      <c r="M10042" s="1">
        <f>VALUE(4484)</f>
        <v>4484</v>
      </c>
      <c r="N10042" t="s">
        <v>25</v>
      </c>
    </row>
    <row r="10043" spans="1:14" x14ac:dyDescent="0.25">
      <c r="A10043" t="s">
        <v>43</v>
      </c>
      <c r="B10043" t="s">
        <v>40</v>
      </c>
      <c r="C10043" t="s">
        <v>36</v>
      </c>
      <c r="D10043" t="s">
        <v>29</v>
      </c>
      <c r="E10043" t="s">
        <v>23</v>
      </c>
      <c r="F10043" t="s">
        <v>17</v>
      </c>
      <c r="G10043" s="1" t="str">
        <f t="shared" ref="G10043:M10043" si="2238">"..."</f>
        <v>...</v>
      </c>
      <c r="H10043" s="1" t="str">
        <f t="shared" si="2238"/>
        <v>...</v>
      </c>
      <c r="I10043" s="1" t="str">
        <f t="shared" si="2238"/>
        <v>...</v>
      </c>
      <c r="J10043" s="1" t="str">
        <f t="shared" si="2238"/>
        <v>...</v>
      </c>
      <c r="K10043" s="1" t="str">
        <f t="shared" si="2238"/>
        <v>...</v>
      </c>
      <c r="L10043" s="1" t="str">
        <f t="shared" si="2238"/>
        <v>...</v>
      </c>
      <c r="M10043" s="1" t="str">
        <f t="shared" si="2238"/>
        <v>...</v>
      </c>
      <c r="N10043" t="s">
        <v>30</v>
      </c>
    </row>
    <row r="10044" spans="1:14" x14ac:dyDescent="0.25">
      <c r="A10044" t="s">
        <v>43</v>
      </c>
      <c r="B10044" t="s">
        <v>40</v>
      </c>
      <c r="C10044" t="s">
        <v>36</v>
      </c>
      <c r="D10044" t="s">
        <v>29</v>
      </c>
      <c r="E10044" t="s">
        <v>23</v>
      </c>
      <c r="F10044" t="s">
        <v>18</v>
      </c>
      <c r="G10044" s="1" t="str">
        <f t="shared" ref="G10044:M10045" si="2239">"X"</f>
        <v>X</v>
      </c>
      <c r="H10044" s="1" t="str">
        <f t="shared" si="2239"/>
        <v>X</v>
      </c>
      <c r="I10044" s="1" t="str">
        <f t="shared" si="2239"/>
        <v>X</v>
      </c>
      <c r="J10044" s="1" t="str">
        <f t="shared" si="2239"/>
        <v>X</v>
      </c>
      <c r="K10044" s="1" t="str">
        <f t="shared" si="2239"/>
        <v>X</v>
      </c>
      <c r="L10044" s="1" t="str">
        <f t="shared" si="2239"/>
        <v>X</v>
      </c>
      <c r="M10044" s="1" t="str">
        <f t="shared" si="2239"/>
        <v>X</v>
      </c>
      <c r="N10044" t="s">
        <v>27</v>
      </c>
    </row>
    <row r="10045" spans="1:14" x14ac:dyDescent="0.25">
      <c r="A10045" t="s">
        <v>43</v>
      </c>
      <c r="B10045" t="s">
        <v>40</v>
      </c>
      <c r="C10045" t="s">
        <v>36</v>
      </c>
      <c r="D10045" t="s">
        <v>29</v>
      </c>
      <c r="E10045" t="s">
        <v>23</v>
      </c>
      <c r="F10045" t="s">
        <v>19</v>
      </c>
      <c r="G10045" s="1" t="str">
        <f t="shared" si="2239"/>
        <v>X</v>
      </c>
      <c r="H10045" s="1" t="str">
        <f t="shared" si="2239"/>
        <v>X</v>
      </c>
      <c r="I10045" s="1" t="str">
        <f t="shared" si="2239"/>
        <v>X</v>
      </c>
      <c r="J10045" s="1" t="str">
        <f t="shared" si="2239"/>
        <v>X</v>
      </c>
      <c r="K10045" s="1" t="str">
        <f t="shared" si="2239"/>
        <v>X</v>
      </c>
      <c r="L10045" s="1" t="str">
        <f t="shared" si="2239"/>
        <v>X</v>
      </c>
      <c r="M10045" s="1" t="str">
        <f t="shared" si="2239"/>
        <v>X</v>
      </c>
      <c r="N10045" t="s">
        <v>27</v>
      </c>
    </row>
    <row r="10046" spans="1:14" x14ac:dyDescent="0.25">
      <c r="A10046" t="s">
        <v>43</v>
      </c>
      <c r="B10046" t="s">
        <v>40</v>
      </c>
      <c r="C10046" t="s">
        <v>36</v>
      </c>
      <c r="D10046" t="s">
        <v>29</v>
      </c>
      <c r="E10046" t="s">
        <v>23</v>
      </c>
      <c r="F10046" t="s">
        <v>20</v>
      </c>
      <c r="G10046" s="2">
        <f>VALUE(345.88)</f>
        <v>345.88</v>
      </c>
      <c r="H10046" s="3">
        <f>VALUE(222.8)</f>
        <v>222.8</v>
      </c>
      <c r="I10046" s="1">
        <f>VALUE(3139)</f>
        <v>3139</v>
      </c>
      <c r="J10046" s="1">
        <f>VALUE(3384)</f>
        <v>3384</v>
      </c>
      <c r="K10046" s="1">
        <f>VALUE(3611)</f>
        <v>3611</v>
      </c>
      <c r="L10046" s="1">
        <f>VALUE(4067)</f>
        <v>4067</v>
      </c>
      <c r="M10046" s="1">
        <f>VALUE(4412)</f>
        <v>4412</v>
      </c>
      <c r="N10046" t="s">
        <v>25</v>
      </c>
    </row>
    <row r="10047" spans="1:14" x14ac:dyDescent="0.25">
      <c r="A10047" t="s">
        <v>43</v>
      </c>
      <c r="B10047" t="s">
        <v>40</v>
      </c>
      <c r="C10047" t="s">
        <v>36</v>
      </c>
      <c r="D10047" t="s">
        <v>29</v>
      </c>
      <c r="E10047" t="s">
        <v>26</v>
      </c>
      <c r="F10047" t="s">
        <v>15</v>
      </c>
      <c r="G10047" s="1" t="str">
        <f t="shared" ref="G10047:M10048" si="2240">"X"</f>
        <v>X</v>
      </c>
      <c r="H10047" s="1" t="str">
        <f t="shared" si="2240"/>
        <v>X</v>
      </c>
      <c r="I10047" s="1" t="str">
        <f t="shared" si="2240"/>
        <v>X</v>
      </c>
      <c r="J10047" s="1" t="str">
        <f t="shared" si="2240"/>
        <v>X</v>
      </c>
      <c r="K10047" s="1" t="str">
        <f t="shared" si="2240"/>
        <v>X</v>
      </c>
      <c r="L10047" s="1" t="str">
        <f t="shared" si="2240"/>
        <v>X</v>
      </c>
      <c r="M10047" s="1" t="str">
        <f t="shared" si="2240"/>
        <v>X</v>
      </c>
      <c r="N10047" t="s">
        <v>27</v>
      </c>
    </row>
    <row r="10048" spans="1:14" x14ac:dyDescent="0.25">
      <c r="A10048" t="s">
        <v>43</v>
      </c>
      <c r="B10048" t="s">
        <v>40</v>
      </c>
      <c r="C10048" t="s">
        <v>36</v>
      </c>
      <c r="D10048" t="s">
        <v>29</v>
      </c>
      <c r="E10048" t="s">
        <v>26</v>
      </c>
      <c r="F10048" t="s">
        <v>17</v>
      </c>
      <c r="G10048" s="1" t="str">
        <f t="shared" si="2240"/>
        <v>X</v>
      </c>
      <c r="H10048" s="1" t="str">
        <f t="shared" si="2240"/>
        <v>X</v>
      </c>
      <c r="I10048" s="1" t="str">
        <f t="shared" si="2240"/>
        <v>X</v>
      </c>
      <c r="J10048" s="1" t="str">
        <f t="shared" si="2240"/>
        <v>X</v>
      </c>
      <c r="K10048" s="1" t="str">
        <f t="shared" si="2240"/>
        <v>X</v>
      </c>
      <c r="L10048" s="1" t="str">
        <f t="shared" si="2240"/>
        <v>X</v>
      </c>
      <c r="M10048" s="1" t="str">
        <f t="shared" si="2240"/>
        <v>X</v>
      </c>
      <c r="N10048" t="s">
        <v>27</v>
      </c>
    </row>
    <row r="10049" spans="1:14" x14ac:dyDescent="0.25">
      <c r="A10049" t="s">
        <v>43</v>
      </c>
      <c r="B10049" t="s">
        <v>40</v>
      </c>
      <c r="C10049" t="s">
        <v>36</v>
      </c>
      <c r="D10049" t="s">
        <v>29</v>
      </c>
      <c r="E10049" t="s">
        <v>26</v>
      </c>
      <c r="F10049" t="s">
        <v>18</v>
      </c>
      <c r="G10049" s="1" t="str">
        <f t="shared" ref="G10049:M10049" si="2241">"..."</f>
        <v>...</v>
      </c>
      <c r="H10049" s="1" t="str">
        <f t="shared" si="2241"/>
        <v>...</v>
      </c>
      <c r="I10049" s="1" t="str">
        <f t="shared" si="2241"/>
        <v>...</v>
      </c>
      <c r="J10049" s="1" t="str">
        <f t="shared" si="2241"/>
        <v>...</v>
      </c>
      <c r="K10049" s="1" t="str">
        <f t="shared" si="2241"/>
        <v>...</v>
      </c>
      <c r="L10049" s="1" t="str">
        <f t="shared" si="2241"/>
        <v>...</v>
      </c>
      <c r="M10049" s="1" t="str">
        <f t="shared" si="2241"/>
        <v>...</v>
      </c>
      <c r="N10049" t="s">
        <v>30</v>
      </c>
    </row>
    <row r="10050" spans="1:14" x14ac:dyDescent="0.25">
      <c r="A10050" t="s">
        <v>43</v>
      </c>
      <c r="B10050" t="s">
        <v>40</v>
      </c>
      <c r="C10050" t="s">
        <v>36</v>
      </c>
      <c r="D10050" t="s">
        <v>29</v>
      </c>
      <c r="E10050" t="s">
        <v>26</v>
      </c>
      <c r="F10050" t="s">
        <v>19</v>
      </c>
      <c r="G10050" s="1" t="str">
        <f t="shared" ref="G10050:M10051" si="2242">"X"</f>
        <v>X</v>
      </c>
      <c r="H10050" s="1" t="str">
        <f t="shared" si="2242"/>
        <v>X</v>
      </c>
      <c r="I10050" s="1" t="str">
        <f t="shared" si="2242"/>
        <v>X</v>
      </c>
      <c r="J10050" s="1" t="str">
        <f t="shared" si="2242"/>
        <v>X</v>
      </c>
      <c r="K10050" s="1" t="str">
        <f t="shared" si="2242"/>
        <v>X</v>
      </c>
      <c r="L10050" s="1" t="str">
        <f t="shared" si="2242"/>
        <v>X</v>
      </c>
      <c r="M10050" s="1" t="str">
        <f t="shared" si="2242"/>
        <v>X</v>
      </c>
      <c r="N10050" t="s">
        <v>27</v>
      </c>
    </row>
    <row r="10051" spans="1:14" x14ac:dyDescent="0.25">
      <c r="A10051" t="s">
        <v>43</v>
      </c>
      <c r="B10051" t="s">
        <v>40</v>
      </c>
      <c r="C10051" t="s">
        <v>36</v>
      </c>
      <c r="D10051" t="s">
        <v>29</v>
      </c>
      <c r="E10051" t="s">
        <v>26</v>
      </c>
      <c r="F10051" t="s">
        <v>20</v>
      </c>
      <c r="G10051" s="1" t="str">
        <f t="shared" si="2242"/>
        <v>X</v>
      </c>
      <c r="H10051" s="1" t="str">
        <f t="shared" si="2242"/>
        <v>X</v>
      </c>
      <c r="I10051" s="1" t="str">
        <f t="shared" si="2242"/>
        <v>X</v>
      </c>
      <c r="J10051" s="1" t="str">
        <f t="shared" si="2242"/>
        <v>X</v>
      </c>
      <c r="K10051" s="1" t="str">
        <f t="shared" si="2242"/>
        <v>X</v>
      </c>
      <c r="L10051" s="1" t="str">
        <f t="shared" si="2242"/>
        <v>X</v>
      </c>
      <c r="M10051" s="1" t="str">
        <f t="shared" si="2242"/>
        <v>X</v>
      </c>
      <c r="N10051" t="s">
        <v>27</v>
      </c>
    </row>
    <row r="10052" spans="1:14" x14ac:dyDescent="0.25">
      <c r="A10052" t="s">
        <v>43</v>
      </c>
      <c r="B10052" t="s">
        <v>40</v>
      </c>
      <c r="C10052" t="s">
        <v>36</v>
      </c>
      <c r="D10052" t="s">
        <v>31</v>
      </c>
      <c r="E10052" t="s">
        <v>15</v>
      </c>
      <c r="F10052" t="s">
        <v>15</v>
      </c>
      <c r="G10052" s="2">
        <f>VALUE(1492.62)</f>
        <v>1492.62</v>
      </c>
      <c r="H10052" s="3">
        <f>VALUE(1240.35)</f>
        <v>1240.3499999999999</v>
      </c>
      <c r="I10052" s="1">
        <f>VALUE(3362)</f>
        <v>3362</v>
      </c>
      <c r="J10052" s="1">
        <f>VALUE(3619)</f>
        <v>3619</v>
      </c>
      <c r="K10052" s="1">
        <f>VALUE(4432)</f>
        <v>4432</v>
      </c>
      <c r="L10052" s="1">
        <f>VALUE(5460)</f>
        <v>5460</v>
      </c>
      <c r="M10052" s="1">
        <f>VALUE(6550)</f>
        <v>6550</v>
      </c>
      <c r="N10052" t="s">
        <v>25</v>
      </c>
    </row>
    <row r="10053" spans="1:14" x14ac:dyDescent="0.25">
      <c r="A10053" t="s">
        <v>43</v>
      </c>
      <c r="B10053" t="s">
        <v>40</v>
      </c>
      <c r="C10053" t="s">
        <v>36</v>
      </c>
      <c r="D10053" t="s">
        <v>31</v>
      </c>
      <c r="E10053" t="s">
        <v>15</v>
      </c>
      <c r="F10053" t="s">
        <v>17</v>
      </c>
      <c r="G10053" s="1" t="str">
        <f t="shared" ref="G10053:M10055" si="2243">"X"</f>
        <v>X</v>
      </c>
      <c r="H10053" s="1" t="str">
        <f t="shared" si="2243"/>
        <v>X</v>
      </c>
      <c r="I10053" s="1" t="str">
        <f t="shared" si="2243"/>
        <v>X</v>
      </c>
      <c r="J10053" s="1" t="str">
        <f t="shared" si="2243"/>
        <v>X</v>
      </c>
      <c r="K10053" s="1" t="str">
        <f t="shared" si="2243"/>
        <v>X</v>
      </c>
      <c r="L10053" s="1" t="str">
        <f t="shared" si="2243"/>
        <v>X</v>
      </c>
      <c r="M10053" s="1" t="str">
        <f t="shared" si="2243"/>
        <v>X</v>
      </c>
      <c r="N10053" t="s">
        <v>27</v>
      </c>
    </row>
    <row r="10054" spans="1:14" x14ac:dyDescent="0.25">
      <c r="A10054" t="s">
        <v>43</v>
      </c>
      <c r="B10054" t="s">
        <v>40</v>
      </c>
      <c r="C10054" t="s">
        <v>36</v>
      </c>
      <c r="D10054" t="s">
        <v>31</v>
      </c>
      <c r="E10054" t="s">
        <v>15</v>
      </c>
      <c r="F10054" t="s">
        <v>18</v>
      </c>
      <c r="G10054" s="1" t="str">
        <f t="shared" si="2243"/>
        <v>X</v>
      </c>
      <c r="H10054" s="1" t="str">
        <f t="shared" si="2243"/>
        <v>X</v>
      </c>
      <c r="I10054" s="1" t="str">
        <f t="shared" si="2243"/>
        <v>X</v>
      </c>
      <c r="J10054" s="1" t="str">
        <f t="shared" si="2243"/>
        <v>X</v>
      </c>
      <c r="K10054" s="1" t="str">
        <f t="shared" si="2243"/>
        <v>X</v>
      </c>
      <c r="L10054" s="1" t="str">
        <f t="shared" si="2243"/>
        <v>X</v>
      </c>
      <c r="M10054" s="1" t="str">
        <f t="shared" si="2243"/>
        <v>X</v>
      </c>
      <c r="N10054" t="s">
        <v>27</v>
      </c>
    </row>
    <row r="10055" spans="1:14" x14ac:dyDescent="0.25">
      <c r="A10055" t="s">
        <v>43</v>
      </c>
      <c r="B10055" t="s">
        <v>40</v>
      </c>
      <c r="C10055" t="s">
        <v>36</v>
      </c>
      <c r="D10055" t="s">
        <v>31</v>
      </c>
      <c r="E10055" t="s">
        <v>15</v>
      </c>
      <c r="F10055" t="s">
        <v>19</v>
      </c>
      <c r="G10055" s="1" t="str">
        <f t="shared" si="2243"/>
        <v>X</v>
      </c>
      <c r="H10055" s="1" t="str">
        <f t="shared" si="2243"/>
        <v>X</v>
      </c>
      <c r="I10055" s="1" t="str">
        <f t="shared" si="2243"/>
        <v>X</v>
      </c>
      <c r="J10055" s="1" t="str">
        <f t="shared" si="2243"/>
        <v>X</v>
      </c>
      <c r="K10055" s="1" t="str">
        <f t="shared" si="2243"/>
        <v>X</v>
      </c>
      <c r="L10055" s="1" t="str">
        <f t="shared" si="2243"/>
        <v>X</v>
      </c>
      <c r="M10055" s="1" t="str">
        <f t="shared" si="2243"/>
        <v>X</v>
      </c>
      <c r="N10055" t="s">
        <v>27</v>
      </c>
    </row>
    <row r="10056" spans="1:14" x14ac:dyDescent="0.25">
      <c r="A10056" t="s">
        <v>43</v>
      </c>
      <c r="B10056" t="s">
        <v>40</v>
      </c>
      <c r="C10056" t="s">
        <v>36</v>
      </c>
      <c r="D10056" t="s">
        <v>31</v>
      </c>
      <c r="E10056" t="s">
        <v>15</v>
      </c>
      <c r="F10056" t="s">
        <v>20</v>
      </c>
      <c r="G10056" s="2">
        <f>VALUE(1202.28)</f>
        <v>1202.28</v>
      </c>
      <c r="H10056" s="3">
        <f>VALUE(957.9)</f>
        <v>957.9</v>
      </c>
      <c r="I10056" s="1">
        <f>VALUE(3288)</f>
        <v>3288</v>
      </c>
      <c r="J10056" s="1">
        <f>VALUE(3611)</f>
        <v>3611</v>
      </c>
      <c r="K10056" s="1">
        <f>VALUE(4181)</f>
        <v>4181</v>
      </c>
      <c r="L10056" s="1">
        <f>VALUE(5000)</f>
        <v>5000</v>
      </c>
      <c r="M10056" s="1">
        <f>VALUE(5850)</f>
        <v>5850</v>
      </c>
      <c r="N10056" t="s">
        <v>25</v>
      </c>
    </row>
    <row r="10057" spans="1:14" x14ac:dyDescent="0.25">
      <c r="A10057" t="s">
        <v>43</v>
      </c>
      <c r="B10057" t="s">
        <v>40</v>
      </c>
      <c r="C10057" t="s">
        <v>36</v>
      </c>
      <c r="D10057" t="s">
        <v>31</v>
      </c>
      <c r="E10057" t="s">
        <v>21</v>
      </c>
      <c r="F10057" t="s">
        <v>15</v>
      </c>
      <c r="G10057" s="2">
        <f>VALUE(486.02)</f>
        <v>486.02</v>
      </c>
      <c r="H10057" s="3">
        <f>VALUE(455.91)</f>
        <v>455.91</v>
      </c>
      <c r="I10057" s="4">
        <f>VALUE(4167)</f>
        <v>4167</v>
      </c>
      <c r="J10057" s="1">
        <f>VALUE(4518)</f>
        <v>4518</v>
      </c>
      <c r="K10057" s="1">
        <f>VALUE(5275)</f>
        <v>5275</v>
      </c>
      <c r="L10057" s="1">
        <f>VALUE(6409)</f>
        <v>6409</v>
      </c>
      <c r="M10057" s="1">
        <f>VALUE(6902)</f>
        <v>6902</v>
      </c>
      <c r="N10057" t="s">
        <v>25</v>
      </c>
    </row>
    <row r="10058" spans="1:14" x14ac:dyDescent="0.25">
      <c r="A10058" t="s">
        <v>43</v>
      </c>
      <c r="B10058" t="s">
        <v>40</v>
      </c>
      <c r="C10058" t="s">
        <v>36</v>
      </c>
      <c r="D10058" t="s">
        <v>31</v>
      </c>
      <c r="E10058" t="s">
        <v>21</v>
      </c>
      <c r="F10058" t="s">
        <v>17</v>
      </c>
      <c r="G10058" s="1" t="str">
        <f t="shared" ref="G10058:M10060" si="2244">"X"</f>
        <v>X</v>
      </c>
      <c r="H10058" s="1" t="str">
        <f t="shared" si="2244"/>
        <v>X</v>
      </c>
      <c r="I10058" s="1" t="str">
        <f t="shared" si="2244"/>
        <v>X</v>
      </c>
      <c r="J10058" s="1" t="str">
        <f t="shared" si="2244"/>
        <v>X</v>
      </c>
      <c r="K10058" s="1" t="str">
        <f t="shared" si="2244"/>
        <v>X</v>
      </c>
      <c r="L10058" s="1" t="str">
        <f t="shared" si="2244"/>
        <v>X</v>
      </c>
      <c r="M10058" s="1" t="str">
        <f t="shared" si="2244"/>
        <v>X</v>
      </c>
      <c r="N10058" t="s">
        <v>27</v>
      </c>
    </row>
    <row r="10059" spans="1:14" x14ac:dyDescent="0.25">
      <c r="A10059" t="s">
        <v>43</v>
      </c>
      <c r="B10059" t="s">
        <v>40</v>
      </c>
      <c r="C10059" t="s">
        <v>36</v>
      </c>
      <c r="D10059" t="s">
        <v>31</v>
      </c>
      <c r="E10059" t="s">
        <v>21</v>
      </c>
      <c r="F10059" t="s">
        <v>18</v>
      </c>
      <c r="G10059" s="1" t="str">
        <f t="shared" si="2244"/>
        <v>X</v>
      </c>
      <c r="H10059" s="1" t="str">
        <f t="shared" si="2244"/>
        <v>X</v>
      </c>
      <c r="I10059" s="1" t="str">
        <f t="shared" si="2244"/>
        <v>X</v>
      </c>
      <c r="J10059" s="1" t="str">
        <f t="shared" si="2244"/>
        <v>X</v>
      </c>
      <c r="K10059" s="1" t="str">
        <f t="shared" si="2244"/>
        <v>X</v>
      </c>
      <c r="L10059" s="1" t="str">
        <f t="shared" si="2244"/>
        <v>X</v>
      </c>
      <c r="M10059" s="1" t="str">
        <f t="shared" si="2244"/>
        <v>X</v>
      </c>
      <c r="N10059" t="s">
        <v>27</v>
      </c>
    </row>
    <row r="10060" spans="1:14" x14ac:dyDescent="0.25">
      <c r="A10060" t="s">
        <v>43</v>
      </c>
      <c r="B10060" t="s">
        <v>40</v>
      </c>
      <c r="C10060" t="s">
        <v>36</v>
      </c>
      <c r="D10060" t="s">
        <v>31</v>
      </c>
      <c r="E10060" t="s">
        <v>21</v>
      </c>
      <c r="F10060" t="s">
        <v>19</v>
      </c>
      <c r="G10060" s="1" t="str">
        <f t="shared" si="2244"/>
        <v>X</v>
      </c>
      <c r="H10060" s="1" t="str">
        <f t="shared" si="2244"/>
        <v>X</v>
      </c>
      <c r="I10060" s="1" t="str">
        <f t="shared" si="2244"/>
        <v>X</v>
      </c>
      <c r="J10060" s="1" t="str">
        <f t="shared" si="2244"/>
        <v>X</v>
      </c>
      <c r="K10060" s="1" t="str">
        <f t="shared" si="2244"/>
        <v>X</v>
      </c>
      <c r="L10060" s="1" t="str">
        <f t="shared" si="2244"/>
        <v>X</v>
      </c>
      <c r="M10060" s="1" t="str">
        <f t="shared" si="2244"/>
        <v>X</v>
      </c>
      <c r="N10060" t="s">
        <v>27</v>
      </c>
    </row>
    <row r="10061" spans="1:14" x14ac:dyDescent="0.25">
      <c r="A10061" t="s">
        <v>43</v>
      </c>
      <c r="B10061" t="s">
        <v>40</v>
      </c>
      <c r="C10061" t="s">
        <v>36</v>
      </c>
      <c r="D10061" t="s">
        <v>31</v>
      </c>
      <c r="E10061" t="s">
        <v>21</v>
      </c>
      <c r="F10061" t="s">
        <v>20</v>
      </c>
      <c r="G10061" s="2">
        <f>VALUE(332.43)</f>
        <v>332.43</v>
      </c>
      <c r="H10061" s="3">
        <f>VALUE(309.73)</f>
        <v>309.73</v>
      </c>
      <c r="I10061" s="1">
        <f>VALUE(3775)</f>
        <v>3775</v>
      </c>
      <c r="J10061" s="1">
        <f>VALUE(4518)</f>
        <v>4518</v>
      </c>
      <c r="K10061" s="1">
        <f>VALUE(5000)</f>
        <v>5000</v>
      </c>
      <c r="L10061" s="1">
        <f>VALUE(5746)</f>
        <v>5746</v>
      </c>
      <c r="M10061" s="1">
        <f>VALUE(6902)</f>
        <v>6902</v>
      </c>
      <c r="N10061" t="s">
        <v>25</v>
      </c>
    </row>
    <row r="10062" spans="1:14" x14ac:dyDescent="0.25">
      <c r="A10062" t="s">
        <v>43</v>
      </c>
      <c r="B10062" t="s">
        <v>40</v>
      </c>
      <c r="C10062" t="s">
        <v>36</v>
      </c>
      <c r="D10062" t="s">
        <v>31</v>
      </c>
      <c r="E10062" t="s">
        <v>22</v>
      </c>
      <c r="F10062" t="s">
        <v>15</v>
      </c>
      <c r="G10062" s="2">
        <f>VALUE(524.28)</f>
        <v>524.28</v>
      </c>
      <c r="H10062" s="3">
        <f>VALUE(493.97)</f>
        <v>493.97</v>
      </c>
      <c r="I10062" s="4">
        <f>VALUE(3467)</f>
        <v>3467</v>
      </c>
      <c r="J10062" s="1">
        <f>VALUE(3619)</f>
        <v>3619</v>
      </c>
      <c r="K10062" s="1">
        <f>VALUE(4181)</f>
        <v>4181</v>
      </c>
      <c r="L10062" s="1">
        <f>VALUE(4976)</f>
        <v>4976</v>
      </c>
      <c r="M10062" s="1">
        <f>VALUE(6000)</f>
        <v>6000</v>
      </c>
      <c r="N10062" t="s">
        <v>25</v>
      </c>
    </row>
    <row r="10063" spans="1:14" x14ac:dyDescent="0.25">
      <c r="A10063" t="s">
        <v>43</v>
      </c>
      <c r="B10063" t="s">
        <v>40</v>
      </c>
      <c r="C10063" t="s">
        <v>36</v>
      </c>
      <c r="D10063" t="s">
        <v>31</v>
      </c>
      <c r="E10063" t="s">
        <v>22</v>
      </c>
      <c r="F10063" t="s">
        <v>17</v>
      </c>
      <c r="G10063" s="1" t="str">
        <f t="shared" ref="G10063:M10065" si="2245">"X"</f>
        <v>X</v>
      </c>
      <c r="H10063" s="1" t="str">
        <f t="shared" si="2245"/>
        <v>X</v>
      </c>
      <c r="I10063" s="1" t="str">
        <f t="shared" si="2245"/>
        <v>X</v>
      </c>
      <c r="J10063" s="1" t="str">
        <f t="shared" si="2245"/>
        <v>X</v>
      </c>
      <c r="K10063" s="1" t="str">
        <f t="shared" si="2245"/>
        <v>X</v>
      </c>
      <c r="L10063" s="1" t="str">
        <f t="shared" si="2245"/>
        <v>X</v>
      </c>
      <c r="M10063" s="1" t="str">
        <f t="shared" si="2245"/>
        <v>X</v>
      </c>
      <c r="N10063" t="s">
        <v>27</v>
      </c>
    </row>
    <row r="10064" spans="1:14" x14ac:dyDescent="0.25">
      <c r="A10064" t="s">
        <v>43</v>
      </c>
      <c r="B10064" t="s">
        <v>40</v>
      </c>
      <c r="C10064" t="s">
        <v>36</v>
      </c>
      <c r="D10064" t="s">
        <v>31</v>
      </c>
      <c r="E10064" t="s">
        <v>22</v>
      </c>
      <c r="F10064" t="s">
        <v>18</v>
      </c>
      <c r="G10064" s="1" t="str">
        <f t="shared" si="2245"/>
        <v>X</v>
      </c>
      <c r="H10064" s="1" t="str">
        <f t="shared" si="2245"/>
        <v>X</v>
      </c>
      <c r="I10064" s="1" t="str">
        <f t="shared" si="2245"/>
        <v>X</v>
      </c>
      <c r="J10064" s="1" t="str">
        <f t="shared" si="2245"/>
        <v>X</v>
      </c>
      <c r="K10064" s="1" t="str">
        <f t="shared" si="2245"/>
        <v>X</v>
      </c>
      <c r="L10064" s="1" t="str">
        <f t="shared" si="2245"/>
        <v>X</v>
      </c>
      <c r="M10064" s="1" t="str">
        <f t="shared" si="2245"/>
        <v>X</v>
      </c>
      <c r="N10064" t="s">
        <v>27</v>
      </c>
    </row>
    <row r="10065" spans="1:14" x14ac:dyDescent="0.25">
      <c r="A10065" t="s">
        <v>43</v>
      </c>
      <c r="B10065" t="s">
        <v>40</v>
      </c>
      <c r="C10065" t="s">
        <v>36</v>
      </c>
      <c r="D10065" t="s">
        <v>31</v>
      </c>
      <c r="E10065" t="s">
        <v>22</v>
      </c>
      <c r="F10065" t="s">
        <v>19</v>
      </c>
      <c r="G10065" s="1" t="str">
        <f t="shared" si="2245"/>
        <v>X</v>
      </c>
      <c r="H10065" s="1" t="str">
        <f t="shared" si="2245"/>
        <v>X</v>
      </c>
      <c r="I10065" s="1" t="str">
        <f t="shared" si="2245"/>
        <v>X</v>
      </c>
      <c r="J10065" s="1" t="str">
        <f t="shared" si="2245"/>
        <v>X</v>
      </c>
      <c r="K10065" s="1" t="str">
        <f t="shared" si="2245"/>
        <v>X</v>
      </c>
      <c r="L10065" s="1" t="str">
        <f t="shared" si="2245"/>
        <v>X</v>
      </c>
      <c r="M10065" s="1" t="str">
        <f t="shared" si="2245"/>
        <v>X</v>
      </c>
      <c r="N10065" t="s">
        <v>27</v>
      </c>
    </row>
    <row r="10066" spans="1:14" x14ac:dyDescent="0.25">
      <c r="A10066" t="s">
        <v>43</v>
      </c>
      <c r="B10066" t="s">
        <v>40</v>
      </c>
      <c r="C10066" t="s">
        <v>36</v>
      </c>
      <c r="D10066" t="s">
        <v>31</v>
      </c>
      <c r="E10066" t="s">
        <v>22</v>
      </c>
      <c r="F10066" t="s">
        <v>20</v>
      </c>
      <c r="G10066" s="2">
        <f>VALUE(439.35)</f>
        <v>439.35</v>
      </c>
      <c r="H10066" s="3">
        <f>VALUE(409.45)</f>
        <v>409.45</v>
      </c>
      <c r="I10066" s="4">
        <f>VALUE(3467)</f>
        <v>3467</v>
      </c>
      <c r="J10066" s="1">
        <f>VALUE(3619)</f>
        <v>3619</v>
      </c>
      <c r="K10066" s="1">
        <f>VALUE(3886)</f>
        <v>3886</v>
      </c>
      <c r="L10066" s="1">
        <f>VALUE(4670)</f>
        <v>4670</v>
      </c>
      <c r="M10066" s="1">
        <f>VALUE(5466)</f>
        <v>5466</v>
      </c>
      <c r="N10066" t="s">
        <v>25</v>
      </c>
    </row>
    <row r="10067" spans="1:14" x14ac:dyDescent="0.25">
      <c r="A10067" t="s">
        <v>43</v>
      </c>
      <c r="B10067" t="s">
        <v>40</v>
      </c>
      <c r="C10067" t="s">
        <v>36</v>
      </c>
      <c r="D10067" t="s">
        <v>31</v>
      </c>
      <c r="E10067" t="s">
        <v>23</v>
      </c>
      <c r="F10067" t="s">
        <v>15</v>
      </c>
      <c r="G10067" s="2">
        <f>VALUE(455.76)</f>
        <v>455.76</v>
      </c>
      <c r="H10067" s="3">
        <f>VALUE(267.77)</f>
        <v>267.77</v>
      </c>
      <c r="I10067" s="4">
        <f>VALUE(2955)</f>
        <v>2955</v>
      </c>
      <c r="J10067" s="5">
        <f>VALUE(3171)</f>
        <v>3171</v>
      </c>
      <c r="K10067" s="1">
        <f>VALUE(3611)</f>
        <v>3611</v>
      </c>
      <c r="L10067" s="1">
        <f>VALUE(3852)</f>
        <v>3852</v>
      </c>
      <c r="M10067" s="1">
        <f>VALUE(4457)</f>
        <v>4457</v>
      </c>
      <c r="N10067" t="s">
        <v>25</v>
      </c>
    </row>
    <row r="10068" spans="1:14" x14ac:dyDescent="0.25">
      <c r="A10068" t="s">
        <v>43</v>
      </c>
      <c r="B10068" t="s">
        <v>40</v>
      </c>
      <c r="C10068" t="s">
        <v>36</v>
      </c>
      <c r="D10068" t="s">
        <v>31</v>
      </c>
      <c r="E10068" t="s">
        <v>23</v>
      </c>
      <c r="F10068" t="s">
        <v>17</v>
      </c>
      <c r="G10068" s="1" t="str">
        <f t="shared" ref="G10068:M10070" si="2246">"X"</f>
        <v>X</v>
      </c>
      <c r="H10068" s="1" t="str">
        <f t="shared" si="2246"/>
        <v>X</v>
      </c>
      <c r="I10068" s="1" t="str">
        <f t="shared" si="2246"/>
        <v>X</v>
      </c>
      <c r="J10068" s="1" t="str">
        <f t="shared" si="2246"/>
        <v>X</v>
      </c>
      <c r="K10068" s="1" t="str">
        <f t="shared" si="2246"/>
        <v>X</v>
      </c>
      <c r="L10068" s="1" t="str">
        <f t="shared" si="2246"/>
        <v>X</v>
      </c>
      <c r="M10068" s="1" t="str">
        <f t="shared" si="2246"/>
        <v>X</v>
      </c>
      <c r="N10068" t="s">
        <v>27</v>
      </c>
    </row>
    <row r="10069" spans="1:14" x14ac:dyDescent="0.25">
      <c r="A10069" t="s">
        <v>43</v>
      </c>
      <c r="B10069" t="s">
        <v>40</v>
      </c>
      <c r="C10069" t="s">
        <v>36</v>
      </c>
      <c r="D10069" t="s">
        <v>31</v>
      </c>
      <c r="E10069" t="s">
        <v>23</v>
      </c>
      <c r="F10069" t="s">
        <v>18</v>
      </c>
      <c r="G10069" s="1" t="str">
        <f t="shared" si="2246"/>
        <v>X</v>
      </c>
      <c r="H10069" s="1" t="str">
        <f t="shared" si="2246"/>
        <v>X</v>
      </c>
      <c r="I10069" s="1" t="str">
        <f t="shared" si="2246"/>
        <v>X</v>
      </c>
      <c r="J10069" s="1" t="str">
        <f t="shared" si="2246"/>
        <v>X</v>
      </c>
      <c r="K10069" s="1" t="str">
        <f t="shared" si="2246"/>
        <v>X</v>
      </c>
      <c r="L10069" s="1" t="str">
        <f t="shared" si="2246"/>
        <v>X</v>
      </c>
      <c r="M10069" s="1" t="str">
        <f t="shared" si="2246"/>
        <v>X</v>
      </c>
      <c r="N10069" t="s">
        <v>27</v>
      </c>
    </row>
    <row r="10070" spans="1:14" x14ac:dyDescent="0.25">
      <c r="A10070" t="s">
        <v>43</v>
      </c>
      <c r="B10070" t="s">
        <v>40</v>
      </c>
      <c r="C10070" t="s">
        <v>36</v>
      </c>
      <c r="D10070" t="s">
        <v>31</v>
      </c>
      <c r="E10070" t="s">
        <v>23</v>
      </c>
      <c r="F10070" t="s">
        <v>19</v>
      </c>
      <c r="G10070" s="1" t="str">
        <f t="shared" si="2246"/>
        <v>X</v>
      </c>
      <c r="H10070" s="1" t="str">
        <f t="shared" si="2246"/>
        <v>X</v>
      </c>
      <c r="I10070" s="1" t="str">
        <f t="shared" si="2246"/>
        <v>X</v>
      </c>
      <c r="J10070" s="1" t="str">
        <f t="shared" si="2246"/>
        <v>X</v>
      </c>
      <c r="K10070" s="1" t="str">
        <f t="shared" si="2246"/>
        <v>X</v>
      </c>
      <c r="L10070" s="1" t="str">
        <f t="shared" si="2246"/>
        <v>X</v>
      </c>
      <c r="M10070" s="1" t="str">
        <f t="shared" si="2246"/>
        <v>X</v>
      </c>
      <c r="N10070" t="s">
        <v>27</v>
      </c>
    </row>
    <row r="10071" spans="1:14" x14ac:dyDescent="0.25">
      <c r="A10071" t="s">
        <v>43</v>
      </c>
      <c r="B10071" t="s">
        <v>40</v>
      </c>
      <c r="C10071" t="s">
        <v>36</v>
      </c>
      <c r="D10071" t="s">
        <v>31</v>
      </c>
      <c r="E10071" t="s">
        <v>23</v>
      </c>
      <c r="F10071" t="s">
        <v>20</v>
      </c>
      <c r="G10071" s="2">
        <f>VALUE(407.93)</f>
        <v>407.93</v>
      </c>
      <c r="H10071" s="3">
        <f>VALUE(220.14)</f>
        <v>220.14</v>
      </c>
      <c r="I10071" s="4">
        <f>VALUE(2929)</f>
        <v>2929</v>
      </c>
      <c r="J10071" s="1">
        <f>VALUE(3087)</f>
        <v>3087</v>
      </c>
      <c r="K10071" s="1">
        <f>VALUE(3559)</f>
        <v>3559</v>
      </c>
      <c r="L10071" s="1">
        <f>VALUE(3965)</f>
        <v>3965</v>
      </c>
      <c r="M10071" s="1">
        <f>VALUE(4457)</f>
        <v>4457</v>
      </c>
      <c r="N10071" t="s">
        <v>25</v>
      </c>
    </row>
    <row r="10072" spans="1:14" x14ac:dyDescent="0.25">
      <c r="A10072" t="s">
        <v>43</v>
      </c>
      <c r="B10072" t="s">
        <v>40</v>
      </c>
      <c r="C10072" t="s">
        <v>36</v>
      </c>
      <c r="D10072" t="s">
        <v>31</v>
      </c>
      <c r="E10072" t="s">
        <v>26</v>
      </c>
      <c r="F10072" t="s">
        <v>15</v>
      </c>
      <c r="G10072" s="1" t="str">
        <f t="shared" ref="G10072:M10072" si="2247">"X"</f>
        <v>X</v>
      </c>
      <c r="H10072" s="1" t="str">
        <f t="shared" si="2247"/>
        <v>X</v>
      </c>
      <c r="I10072" s="1" t="str">
        <f t="shared" si="2247"/>
        <v>X</v>
      </c>
      <c r="J10072" s="1" t="str">
        <f t="shared" si="2247"/>
        <v>X</v>
      </c>
      <c r="K10072" s="1" t="str">
        <f t="shared" si="2247"/>
        <v>X</v>
      </c>
      <c r="L10072" s="1" t="str">
        <f t="shared" si="2247"/>
        <v>X</v>
      </c>
      <c r="M10072" s="1" t="str">
        <f t="shared" si="2247"/>
        <v>X</v>
      </c>
      <c r="N10072" t="s">
        <v>27</v>
      </c>
    </row>
    <row r="10073" spans="1:14" x14ac:dyDescent="0.25">
      <c r="A10073" t="s">
        <v>43</v>
      </c>
      <c r="B10073" t="s">
        <v>40</v>
      </c>
      <c r="C10073" t="s">
        <v>36</v>
      </c>
      <c r="D10073" t="s">
        <v>31</v>
      </c>
      <c r="E10073" t="s">
        <v>26</v>
      </c>
      <c r="F10073" t="s">
        <v>17</v>
      </c>
      <c r="G10073" s="1" t="str">
        <f t="shared" ref="G10073:M10073" si="2248">"..."</f>
        <v>...</v>
      </c>
      <c r="H10073" s="1" t="str">
        <f t="shared" si="2248"/>
        <v>...</v>
      </c>
      <c r="I10073" s="1" t="str">
        <f t="shared" si="2248"/>
        <v>...</v>
      </c>
      <c r="J10073" s="1" t="str">
        <f t="shared" si="2248"/>
        <v>...</v>
      </c>
      <c r="K10073" s="1" t="str">
        <f t="shared" si="2248"/>
        <v>...</v>
      </c>
      <c r="L10073" s="1" t="str">
        <f t="shared" si="2248"/>
        <v>...</v>
      </c>
      <c r="M10073" s="1" t="str">
        <f t="shared" si="2248"/>
        <v>...</v>
      </c>
      <c r="N10073" t="s">
        <v>30</v>
      </c>
    </row>
    <row r="10074" spans="1:14" x14ac:dyDescent="0.25">
      <c r="A10074" t="s">
        <v>43</v>
      </c>
      <c r="B10074" t="s">
        <v>40</v>
      </c>
      <c r="C10074" t="s">
        <v>36</v>
      </c>
      <c r="D10074" t="s">
        <v>31</v>
      </c>
      <c r="E10074" t="s">
        <v>26</v>
      </c>
      <c r="F10074" t="s">
        <v>18</v>
      </c>
      <c r="G10074" s="1" t="str">
        <f t="shared" ref="G10074:M10076" si="2249">"X"</f>
        <v>X</v>
      </c>
      <c r="H10074" s="1" t="str">
        <f t="shared" si="2249"/>
        <v>X</v>
      </c>
      <c r="I10074" s="1" t="str">
        <f t="shared" si="2249"/>
        <v>X</v>
      </c>
      <c r="J10074" s="1" t="str">
        <f t="shared" si="2249"/>
        <v>X</v>
      </c>
      <c r="K10074" s="1" t="str">
        <f t="shared" si="2249"/>
        <v>X</v>
      </c>
      <c r="L10074" s="1" t="str">
        <f t="shared" si="2249"/>
        <v>X</v>
      </c>
      <c r="M10074" s="1" t="str">
        <f t="shared" si="2249"/>
        <v>X</v>
      </c>
      <c r="N10074" t="s">
        <v>27</v>
      </c>
    </row>
    <row r="10075" spans="1:14" x14ac:dyDescent="0.25">
      <c r="A10075" t="s">
        <v>43</v>
      </c>
      <c r="B10075" t="s">
        <v>40</v>
      </c>
      <c r="C10075" t="s">
        <v>36</v>
      </c>
      <c r="D10075" t="s">
        <v>31</v>
      </c>
      <c r="E10075" t="s">
        <v>26</v>
      </c>
      <c r="F10075" t="s">
        <v>19</v>
      </c>
      <c r="G10075" s="1" t="str">
        <f t="shared" si="2249"/>
        <v>X</v>
      </c>
      <c r="H10075" s="1" t="str">
        <f t="shared" si="2249"/>
        <v>X</v>
      </c>
      <c r="I10075" s="1" t="str">
        <f t="shared" si="2249"/>
        <v>X</v>
      </c>
      <c r="J10075" s="1" t="str">
        <f t="shared" si="2249"/>
        <v>X</v>
      </c>
      <c r="K10075" s="1" t="str">
        <f t="shared" si="2249"/>
        <v>X</v>
      </c>
      <c r="L10075" s="1" t="str">
        <f t="shared" si="2249"/>
        <v>X</v>
      </c>
      <c r="M10075" s="1" t="str">
        <f t="shared" si="2249"/>
        <v>X</v>
      </c>
      <c r="N10075" t="s">
        <v>27</v>
      </c>
    </row>
    <row r="10076" spans="1:14" x14ac:dyDescent="0.25">
      <c r="A10076" t="s">
        <v>43</v>
      </c>
      <c r="B10076" t="s">
        <v>40</v>
      </c>
      <c r="C10076" t="s">
        <v>36</v>
      </c>
      <c r="D10076" t="s">
        <v>31</v>
      </c>
      <c r="E10076" t="s">
        <v>26</v>
      </c>
      <c r="F10076" t="s">
        <v>20</v>
      </c>
      <c r="G10076" s="1" t="str">
        <f t="shared" si="2249"/>
        <v>X</v>
      </c>
      <c r="H10076" s="1" t="str">
        <f t="shared" si="2249"/>
        <v>X</v>
      </c>
      <c r="I10076" s="1" t="str">
        <f t="shared" si="2249"/>
        <v>X</v>
      </c>
      <c r="J10076" s="1" t="str">
        <f t="shared" si="2249"/>
        <v>X</v>
      </c>
      <c r="K10076" s="1" t="str">
        <f t="shared" si="2249"/>
        <v>X</v>
      </c>
      <c r="L10076" s="1" t="str">
        <f t="shared" si="2249"/>
        <v>X</v>
      </c>
      <c r="M10076" s="1" t="str">
        <f t="shared" si="2249"/>
        <v>X</v>
      </c>
      <c r="N10076" t="s">
        <v>27</v>
      </c>
    </row>
    <row r="10077" spans="1:14" x14ac:dyDescent="0.25">
      <c r="A10077" t="s">
        <v>43</v>
      </c>
      <c r="B10077" t="s">
        <v>40</v>
      </c>
      <c r="C10077" t="s">
        <v>36</v>
      </c>
      <c r="D10077" t="s">
        <v>32</v>
      </c>
      <c r="E10077" t="s">
        <v>15</v>
      </c>
      <c r="F10077" t="s">
        <v>15</v>
      </c>
      <c r="G10077" s="1">
        <f>VALUE(5199.68)</f>
        <v>5199.68</v>
      </c>
      <c r="H10077" s="1">
        <f>VALUE(4554.89)</f>
        <v>4554.8900000000003</v>
      </c>
      <c r="I10077" s="1">
        <f>VALUE(2925)</f>
        <v>2925</v>
      </c>
      <c r="J10077" s="1">
        <f>VALUE(3250)</f>
        <v>3250</v>
      </c>
      <c r="K10077" s="1">
        <f>VALUE(3733)</f>
        <v>3733</v>
      </c>
      <c r="L10077" s="1">
        <f>VALUE(4590)</f>
        <v>4590</v>
      </c>
      <c r="M10077" s="1">
        <f>VALUE(5528)</f>
        <v>5528</v>
      </c>
      <c r="N10077" t="s">
        <v>16</v>
      </c>
    </row>
    <row r="10078" spans="1:14" x14ac:dyDescent="0.25">
      <c r="A10078" t="s">
        <v>43</v>
      </c>
      <c r="B10078" t="s">
        <v>40</v>
      </c>
      <c r="C10078" t="s">
        <v>36</v>
      </c>
      <c r="D10078" t="s">
        <v>32</v>
      </c>
      <c r="E10078" t="s">
        <v>15</v>
      </c>
      <c r="F10078" t="s">
        <v>17</v>
      </c>
      <c r="G10078" s="1" t="str">
        <f t="shared" ref="G10078:M10078" si="2250">"X"</f>
        <v>X</v>
      </c>
      <c r="H10078" s="1" t="str">
        <f t="shared" si="2250"/>
        <v>X</v>
      </c>
      <c r="I10078" s="1" t="str">
        <f t="shared" si="2250"/>
        <v>X</v>
      </c>
      <c r="J10078" s="1" t="str">
        <f t="shared" si="2250"/>
        <v>X</v>
      </c>
      <c r="K10078" s="1" t="str">
        <f t="shared" si="2250"/>
        <v>X</v>
      </c>
      <c r="L10078" s="1" t="str">
        <f t="shared" si="2250"/>
        <v>X</v>
      </c>
      <c r="M10078" s="1" t="str">
        <f t="shared" si="2250"/>
        <v>X</v>
      </c>
      <c r="N10078" t="s">
        <v>27</v>
      </c>
    </row>
    <row r="10079" spans="1:14" x14ac:dyDescent="0.25">
      <c r="A10079" t="s">
        <v>43</v>
      </c>
      <c r="B10079" t="s">
        <v>40</v>
      </c>
      <c r="C10079" t="s">
        <v>36</v>
      </c>
      <c r="D10079" t="s">
        <v>32</v>
      </c>
      <c r="E10079" t="s">
        <v>15</v>
      </c>
      <c r="F10079" t="s">
        <v>18</v>
      </c>
      <c r="G10079" s="2">
        <f>VALUE(398.08)</f>
        <v>398.08</v>
      </c>
      <c r="H10079" s="3">
        <f>VALUE(382.62)</f>
        <v>382.62</v>
      </c>
      <c r="I10079" s="4">
        <f>VALUE(3622)</f>
        <v>3622</v>
      </c>
      <c r="J10079" s="1">
        <f>VALUE(3900)</f>
        <v>3900</v>
      </c>
      <c r="K10079" s="1">
        <f>VALUE(4433)</f>
        <v>4433</v>
      </c>
      <c r="L10079" s="1">
        <f>VALUE(5168)</f>
        <v>5168</v>
      </c>
      <c r="M10079" s="8">
        <f>VALUE(6571)</f>
        <v>6571</v>
      </c>
      <c r="N10079" t="s">
        <v>25</v>
      </c>
    </row>
    <row r="10080" spans="1:14" x14ac:dyDescent="0.25">
      <c r="A10080" t="s">
        <v>43</v>
      </c>
      <c r="B10080" t="s">
        <v>40</v>
      </c>
      <c r="C10080" t="s">
        <v>36</v>
      </c>
      <c r="D10080" t="s">
        <v>32</v>
      </c>
      <c r="E10080" t="s">
        <v>15</v>
      </c>
      <c r="F10080" t="s">
        <v>19</v>
      </c>
      <c r="G10080" s="2">
        <f>VALUE(460.89)</f>
        <v>460.89</v>
      </c>
      <c r="H10080" s="3">
        <f>VALUE(417.06)</f>
        <v>417.06</v>
      </c>
      <c r="I10080" s="1">
        <f>VALUE(3299)</f>
        <v>3299</v>
      </c>
      <c r="J10080" s="5">
        <f>VALUE(3942)</f>
        <v>3942</v>
      </c>
      <c r="K10080" s="6">
        <f>VALUE(4590)</f>
        <v>4590</v>
      </c>
      <c r="L10080" s="7">
        <f>VALUE(5098)</f>
        <v>5098</v>
      </c>
      <c r="M10080" s="1">
        <f>VALUE(6137)</f>
        <v>6137</v>
      </c>
      <c r="N10080" t="s">
        <v>25</v>
      </c>
    </row>
    <row r="10081" spans="1:14" x14ac:dyDescent="0.25">
      <c r="A10081" t="s">
        <v>43</v>
      </c>
      <c r="B10081" t="s">
        <v>40</v>
      </c>
      <c r="C10081" t="s">
        <v>36</v>
      </c>
      <c r="D10081" t="s">
        <v>32</v>
      </c>
      <c r="E10081" t="s">
        <v>15</v>
      </c>
      <c r="F10081" t="s">
        <v>20</v>
      </c>
      <c r="G10081" s="1">
        <f>VALUE(4213.77)</f>
        <v>4213.7700000000004</v>
      </c>
      <c r="H10081" s="1">
        <f>VALUE(3664.99)</f>
        <v>3664.99</v>
      </c>
      <c r="I10081" s="1">
        <f>VALUE(2835)</f>
        <v>2835</v>
      </c>
      <c r="J10081" s="1">
        <f>VALUE(3194)</f>
        <v>3194</v>
      </c>
      <c r="K10081" s="1">
        <f>VALUE(3564)</f>
        <v>3564</v>
      </c>
      <c r="L10081" s="1">
        <f>VALUE(4217)</f>
        <v>4217</v>
      </c>
      <c r="M10081" s="1">
        <f>VALUE(5204)</f>
        <v>5204</v>
      </c>
      <c r="N10081" t="s">
        <v>16</v>
      </c>
    </row>
    <row r="10082" spans="1:14" x14ac:dyDescent="0.25">
      <c r="A10082" t="s">
        <v>43</v>
      </c>
      <c r="B10082" t="s">
        <v>40</v>
      </c>
      <c r="C10082" t="s">
        <v>36</v>
      </c>
      <c r="D10082" t="s">
        <v>32</v>
      </c>
      <c r="E10082" t="s">
        <v>21</v>
      </c>
      <c r="F10082" t="s">
        <v>15</v>
      </c>
      <c r="G10082" s="2">
        <f>VALUE(1502.79)</f>
        <v>1502.79</v>
      </c>
      <c r="H10082" s="3">
        <f>VALUE(1345.11)</f>
        <v>1345.11</v>
      </c>
      <c r="I10082" s="1">
        <f>VALUE(3254)</f>
        <v>3254</v>
      </c>
      <c r="J10082" s="1">
        <f>VALUE(3790)</f>
        <v>3790</v>
      </c>
      <c r="K10082" s="1">
        <f>VALUE(4639)</f>
        <v>4639</v>
      </c>
      <c r="L10082" s="1">
        <f>VALUE(5361)</f>
        <v>5361</v>
      </c>
      <c r="M10082" s="1">
        <f>VALUE(6571)</f>
        <v>6571</v>
      </c>
      <c r="N10082" t="s">
        <v>25</v>
      </c>
    </row>
    <row r="10083" spans="1:14" x14ac:dyDescent="0.25">
      <c r="A10083" t="s">
        <v>43</v>
      </c>
      <c r="B10083" t="s">
        <v>40</v>
      </c>
      <c r="C10083" t="s">
        <v>36</v>
      </c>
      <c r="D10083" t="s">
        <v>32</v>
      </c>
      <c r="E10083" t="s">
        <v>21</v>
      </c>
      <c r="F10083" t="s">
        <v>17</v>
      </c>
      <c r="G10083" s="1" t="str">
        <f t="shared" ref="G10083:M10085" si="2251">"X"</f>
        <v>X</v>
      </c>
      <c r="H10083" s="1" t="str">
        <f t="shared" si="2251"/>
        <v>X</v>
      </c>
      <c r="I10083" s="1" t="str">
        <f t="shared" si="2251"/>
        <v>X</v>
      </c>
      <c r="J10083" s="1" t="str">
        <f t="shared" si="2251"/>
        <v>X</v>
      </c>
      <c r="K10083" s="1" t="str">
        <f t="shared" si="2251"/>
        <v>X</v>
      </c>
      <c r="L10083" s="1" t="str">
        <f t="shared" si="2251"/>
        <v>X</v>
      </c>
      <c r="M10083" s="1" t="str">
        <f t="shared" si="2251"/>
        <v>X</v>
      </c>
      <c r="N10083" t="s">
        <v>27</v>
      </c>
    </row>
    <row r="10084" spans="1:14" x14ac:dyDescent="0.25">
      <c r="A10084" t="s">
        <v>43</v>
      </c>
      <c r="B10084" t="s">
        <v>40</v>
      </c>
      <c r="C10084" t="s">
        <v>36</v>
      </c>
      <c r="D10084" t="s">
        <v>32</v>
      </c>
      <c r="E10084" t="s">
        <v>21</v>
      </c>
      <c r="F10084" t="s">
        <v>18</v>
      </c>
      <c r="G10084" s="1" t="str">
        <f t="shared" si="2251"/>
        <v>X</v>
      </c>
      <c r="H10084" s="1" t="str">
        <f t="shared" si="2251"/>
        <v>X</v>
      </c>
      <c r="I10084" s="1" t="str">
        <f t="shared" si="2251"/>
        <v>X</v>
      </c>
      <c r="J10084" s="1" t="str">
        <f t="shared" si="2251"/>
        <v>X</v>
      </c>
      <c r="K10084" s="1" t="str">
        <f t="shared" si="2251"/>
        <v>X</v>
      </c>
      <c r="L10084" s="1" t="str">
        <f t="shared" si="2251"/>
        <v>X</v>
      </c>
      <c r="M10084" s="1" t="str">
        <f t="shared" si="2251"/>
        <v>X</v>
      </c>
      <c r="N10084" t="s">
        <v>27</v>
      </c>
    </row>
    <row r="10085" spans="1:14" x14ac:dyDescent="0.25">
      <c r="A10085" t="s">
        <v>43</v>
      </c>
      <c r="B10085" t="s">
        <v>40</v>
      </c>
      <c r="C10085" t="s">
        <v>36</v>
      </c>
      <c r="D10085" t="s">
        <v>32</v>
      </c>
      <c r="E10085" t="s">
        <v>21</v>
      </c>
      <c r="F10085" t="s">
        <v>19</v>
      </c>
      <c r="G10085" s="1" t="str">
        <f t="shared" si="2251"/>
        <v>X</v>
      </c>
      <c r="H10085" s="1" t="str">
        <f t="shared" si="2251"/>
        <v>X</v>
      </c>
      <c r="I10085" s="1" t="str">
        <f t="shared" si="2251"/>
        <v>X</v>
      </c>
      <c r="J10085" s="1" t="str">
        <f t="shared" si="2251"/>
        <v>X</v>
      </c>
      <c r="K10085" s="1" t="str">
        <f t="shared" si="2251"/>
        <v>X</v>
      </c>
      <c r="L10085" s="1" t="str">
        <f t="shared" si="2251"/>
        <v>X</v>
      </c>
      <c r="M10085" s="1" t="str">
        <f t="shared" si="2251"/>
        <v>X</v>
      </c>
      <c r="N10085" t="s">
        <v>27</v>
      </c>
    </row>
    <row r="10086" spans="1:14" x14ac:dyDescent="0.25">
      <c r="A10086" t="s">
        <v>43</v>
      </c>
      <c r="B10086" t="s">
        <v>40</v>
      </c>
      <c r="C10086" t="s">
        <v>36</v>
      </c>
      <c r="D10086" t="s">
        <v>32</v>
      </c>
      <c r="E10086" t="s">
        <v>21</v>
      </c>
      <c r="F10086" t="s">
        <v>20</v>
      </c>
      <c r="G10086" s="2">
        <f>VALUE(1045.13)</f>
        <v>1045.1300000000001</v>
      </c>
      <c r="H10086" s="3">
        <f>VALUE(933.05)</f>
        <v>933.05</v>
      </c>
      <c r="I10086" s="1">
        <f>VALUE(3142)</f>
        <v>3142</v>
      </c>
      <c r="J10086" s="1">
        <f>VALUE(3512)</f>
        <v>3512</v>
      </c>
      <c r="K10086" s="1">
        <f>VALUE(4264)</f>
        <v>4264</v>
      </c>
      <c r="L10086" s="1">
        <f>VALUE(5051)</f>
        <v>5051</v>
      </c>
      <c r="M10086" s="1">
        <f>VALUE(5935)</f>
        <v>5935</v>
      </c>
      <c r="N10086" t="s">
        <v>25</v>
      </c>
    </row>
    <row r="10087" spans="1:14" x14ac:dyDescent="0.25">
      <c r="A10087" t="s">
        <v>43</v>
      </c>
      <c r="B10087" t="s">
        <v>40</v>
      </c>
      <c r="C10087" t="s">
        <v>36</v>
      </c>
      <c r="D10087" t="s">
        <v>32</v>
      </c>
      <c r="E10087" t="s">
        <v>22</v>
      </c>
      <c r="F10087" t="s">
        <v>15</v>
      </c>
      <c r="G10087" s="2">
        <f>VALUE(1617.52)</f>
        <v>1617.52</v>
      </c>
      <c r="H10087" s="3">
        <f>VALUE(1410.4)</f>
        <v>1410.4</v>
      </c>
      <c r="I10087" s="1">
        <f>VALUE(3010)</f>
        <v>3010</v>
      </c>
      <c r="J10087" s="1">
        <f>VALUE(3426)</f>
        <v>3426</v>
      </c>
      <c r="K10087" s="1">
        <f>VALUE(3831)</f>
        <v>3831</v>
      </c>
      <c r="L10087" s="1">
        <f>VALUE(4560)</f>
        <v>4560</v>
      </c>
      <c r="M10087" s="1">
        <f>VALUE(5493)</f>
        <v>5493</v>
      </c>
      <c r="N10087" t="s">
        <v>25</v>
      </c>
    </row>
    <row r="10088" spans="1:14" x14ac:dyDescent="0.25">
      <c r="A10088" t="s">
        <v>43</v>
      </c>
      <c r="B10088" t="s">
        <v>40</v>
      </c>
      <c r="C10088" t="s">
        <v>36</v>
      </c>
      <c r="D10088" t="s">
        <v>32</v>
      </c>
      <c r="E10088" t="s">
        <v>22</v>
      </c>
      <c r="F10088" t="s">
        <v>17</v>
      </c>
      <c r="G10088" s="1" t="str">
        <f t="shared" ref="G10088:M10090" si="2252">"X"</f>
        <v>X</v>
      </c>
      <c r="H10088" s="1" t="str">
        <f t="shared" si="2252"/>
        <v>X</v>
      </c>
      <c r="I10088" s="1" t="str">
        <f t="shared" si="2252"/>
        <v>X</v>
      </c>
      <c r="J10088" s="1" t="str">
        <f t="shared" si="2252"/>
        <v>X</v>
      </c>
      <c r="K10088" s="1" t="str">
        <f t="shared" si="2252"/>
        <v>X</v>
      </c>
      <c r="L10088" s="1" t="str">
        <f t="shared" si="2252"/>
        <v>X</v>
      </c>
      <c r="M10088" s="1" t="str">
        <f t="shared" si="2252"/>
        <v>X</v>
      </c>
      <c r="N10088" t="s">
        <v>27</v>
      </c>
    </row>
    <row r="10089" spans="1:14" x14ac:dyDescent="0.25">
      <c r="A10089" t="s">
        <v>43</v>
      </c>
      <c r="B10089" t="s">
        <v>40</v>
      </c>
      <c r="C10089" t="s">
        <v>36</v>
      </c>
      <c r="D10089" t="s">
        <v>32</v>
      </c>
      <c r="E10089" t="s">
        <v>22</v>
      </c>
      <c r="F10089" t="s">
        <v>18</v>
      </c>
      <c r="G10089" s="1" t="str">
        <f t="shared" si="2252"/>
        <v>X</v>
      </c>
      <c r="H10089" s="1" t="str">
        <f t="shared" si="2252"/>
        <v>X</v>
      </c>
      <c r="I10089" s="1" t="str">
        <f t="shared" si="2252"/>
        <v>X</v>
      </c>
      <c r="J10089" s="1" t="str">
        <f t="shared" si="2252"/>
        <v>X</v>
      </c>
      <c r="K10089" s="1" t="str">
        <f t="shared" si="2252"/>
        <v>X</v>
      </c>
      <c r="L10089" s="1" t="str">
        <f t="shared" si="2252"/>
        <v>X</v>
      </c>
      <c r="M10089" s="1" t="str">
        <f t="shared" si="2252"/>
        <v>X</v>
      </c>
      <c r="N10089" t="s">
        <v>27</v>
      </c>
    </row>
    <row r="10090" spans="1:14" x14ac:dyDescent="0.25">
      <c r="A10090" t="s">
        <v>43</v>
      </c>
      <c r="B10090" t="s">
        <v>40</v>
      </c>
      <c r="C10090" t="s">
        <v>36</v>
      </c>
      <c r="D10090" t="s">
        <v>32</v>
      </c>
      <c r="E10090" t="s">
        <v>22</v>
      </c>
      <c r="F10090" t="s">
        <v>19</v>
      </c>
      <c r="G10090" s="1" t="str">
        <f t="shared" si="2252"/>
        <v>X</v>
      </c>
      <c r="H10090" s="1" t="str">
        <f t="shared" si="2252"/>
        <v>X</v>
      </c>
      <c r="I10090" s="1" t="str">
        <f t="shared" si="2252"/>
        <v>X</v>
      </c>
      <c r="J10090" s="1" t="str">
        <f t="shared" si="2252"/>
        <v>X</v>
      </c>
      <c r="K10090" s="1" t="str">
        <f t="shared" si="2252"/>
        <v>X</v>
      </c>
      <c r="L10090" s="1" t="str">
        <f t="shared" si="2252"/>
        <v>X</v>
      </c>
      <c r="M10090" s="1" t="str">
        <f t="shared" si="2252"/>
        <v>X</v>
      </c>
      <c r="N10090" t="s">
        <v>27</v>
      </c>
    </row>
    <row r="10091" spans="1:14" x14ac:dyDescent="0.25">
      <c r="A10091" t="s">
        <v>43</v>
      </c>
      <c r="B10091" t="s">
        <v>40</v>
      </c>
      <c r="C10091" t="s">
        <v>36</v>
      </c>
      <c r="D10091" t="s">
        <v>32</v>
      </c>
      <c r="E10091" t="s">
        <v>22</v>
      </c>
      <c r="F10091" t="s">
        <v>20</v>
      </c>
      <c r="G10091" s="2">
        <f>VALUE(1202.93)</f>
        <v>1202.93</v>
      </c>
      <c r="H10091" s="3">
        <f>VALUE(1010.57)</f>
        <v>1010.57</v>
      </c>
      <c r="I10091" s="1">
        <f>VALUE(2864)</f>
        <v>2864</v>
      </c>
      <c r="J10091" s="1">
        <f>VALUE(3250)</f>
        <v>3250</v>
      </c>
      <c r="K10091" s="1">
        <f>VALUE(3721)</f>
        <v>3721</v>
      </c>
      <c r="L10091" s="7">
        <f>VALUE(4407)</f>
        <v>4407</v>
      </c>
      <c r="M10091" s="1">
        <f>VALUE(5346)</f>
        <v>5346</v>
      </c>
      <c r="N10091" t="s">
        <v>25</v>
      </c>
    </row>
    <row r="10092" spans="1:14" x14ac:dyDescent="0.25">
      <c r="A10092" t="s">
        <v>43</v>
      </c>
      <c r="B10092" t="s">
        <v>40</v>
      </c>
      <c r="C10092" t="s">
        <v>36</v>
      </c>
      <c r="D10092" t="s">
        <v>32</v>
      </c>
      <c r="E10092" t="s">
        <v>23</v>
      </c>
      <c r="F10092" t="s">
        <v>15</v>
      </c>
      <c r="G10092" s="2">
        <f>VALUE(1935.08)</f>
        <v>1935.08</v>
      </c>
      <c r="H10092" s="1">
        <f>VALUE(1686.44)</f>
        <v>1686.44</v>
      </c>
      <c r="I10092" s="4">
        <f>VALUE(2752)</f>
        <v>2752</v>
      </c>
      <c r="J10092" s="1">
        <f>VALUE(3010)</f>
        <v>3010</v>
      </c>
      <c r="K10092" s="1">
        <f>VALUE(3294)</f>
        <v>3294</v>
      </c>
      <c r="L10092" s="1">
        <f>VALUE(3622)</f>
        <v>3622</v>
      </c>
      <c r="M10092" s="1">
        <f>VALUE(3920)</f>
        <v>3920</v>
      </c>
      <c r="N10092" t="s">
        <v>25</v>
      </c>
    </row>
    <row r="10093" spans="1:14" x14ac:dyDescent="0.25">
      <c r="A10093" t="s">
        <v>43</v>
      </c>
      <c r="B10093" t="s">
        <v>40</v>
      </c>
      <c r="C10093" t="s">
        <v>36</v>
      </c>
      <c r="D10093" t="s">
        <v>32</v>
      </c>
      <c r="E10093" t="s">
        <v>23</v>
      </c>
      <c r="F10093" t="s">
        <v>17</v>
      </c>
      <c r="G10093" s="1" t="str">
        <f t="shared" ref="G10093:M10095" si="2253">"X"</f>
        <v>X</v>
      </c>
      <c r="H10093" s="1" t="str">
        <f t="shared" si="2253"/>
        <v>X</v>
      </c>
      <c r="I10093" s="1" t="str">
        <f t="shared" si="2253"/>
        <v>X</v>
      </c>
      <c r="J10093" s="1" t="str">
        <f t="shared" si="2253"/>
        <v>X</v>
      </c>
      <c r="K10093" s="1" t="str">
        <f t="shared" si="2253"/>
        <v>X</v>
      </c>
      <c r="L10093" s="1" t="str">
        <f t="shared" si="2253"/>
        <v>X</v>
      </c>
      <c r="M10093" s="1" t="str">
        <f t="shared" si="2253"/>
        <v>X</v>
      </c>
      <c r="N10093" t="s">
        <v>27</v>
      </c>
    </row>
    <row r="10094" spans="1:14" x14ac:dyDescent="0.25">
      <c r="A10094" t="s">
        <v>43</v>
      </c>
      <c r="B10094" t="s">
        <v>40</v>
      </c>
      <c r="C10094" t="s">
        <v>36</v>
      </c>
      <c r="D10094" t="s">
        <v>32</v>
      </c>
      <c r="E10094" t="s">
        <v>23</v>
      </c>
      <c r="F10094" t="s">
        <v>18</v>
      </c>
      <c r="G10094" s="1" t="str">
        <f t="shared" si="2253"/>
        <v>X</v>
      </c>
      <c r="H10094" s="1" t="str">
        <f t="shared" si="2253"/>
        <v>X</v>
      </c>
      <c r="I10094" s="1" t="str">
        <f t="shared" si="2253"/>
        <v>X</v>
      </c>
      <c r="J10094" s="1" t="str">
        <f t="shared" si="2253"/>
        <v>X</v>
      </c>
      <c r="K10094" s="1" t="str">
        <f t="shared" si="2253"/>
        <v>X</v>
      </c>
      <c r="L10094" s="1" t="str">
        <f t="shared" si="2253"/>
        <v>X</v>
      </c>
      <c r="M10094" s="1" t="str">
        <f t="shared" si="2253"/>
        <v>X</v>
      </c>
      <c r="N10094" t="s">
        <v>27</v>
      </c>
    </row>
    <row r="10095" spans="1:14" x14ac:dyDescent="0.25">
      <c r="A10095" t="s">
        <v>43</v>
      </c>
      <c r="B10095" t="s">
        <v>40</v>
      </c>
      <c r="C10095" t="s">
        <v>36</v>
      </c>
      <c r="D10095" t="s">
        <v>32</v>
      </c>
      <c r="E10095" t="s">
        <v>23</v>
      </c>
      <c r="F10095" t="s">
        <v>19</v>
      </c>
      <c r="G10095" s="1" t="str">
        <f t="shared" si="2253"/>
        <v>X</v>
      </c>
      <c r="H10095" s="1" t="str">
        <f t="shared" si="2253"/>
        <v>X</v>
      </c>
      <c r="I10095" s="1" t="str">
        <f t="shared" si="2253"/>
        <v>X</v>
      </c>
      <c r="J10095" s="1" t="str">
        <f t="shared" si="2253"/>
        <v>X</v>
      </c>
      <c r="K10095" s="1" t="str">
        <f t="shared" si="2253"/>
        <v>X</v>
      </c>
      <c r="L10095" s="1" t="str">
        <f t="shared" si="2253"/>
        <v>X</v>
      </c>
      <c r="M10095" s="1" t="str">
        <f t="shared" si="2253"/>
        <v>X</v>
      </c>
      <c r="N10095" t="s">
        <v>27</v>
      </c>
    </row>
    <row r="10096" spans="1:14" x14ac:dyDescent="0.25">
      <c r="A10096" t="s">
        <v>43</v>
      </c>
      <c r="B10096" t="s">
        <v>40</v>
      </c>
      <c r="C10096" t="s">
        <v>36</v>
      </c>
      <c r="D10096" t="s">
        <v>32</v>
      </c>
      <c r="E10096" t="s">
        <v>23</v>
      </c>
      <c r="F10096" t="s">
        <v>20</v>
      </c>
      <c r="G10096" s="2">
        <f>VALUE(1829.28)</f>
        <v>1829.28</v>
      </c>
      <c r="H10096" s="1">
        <f>VALUE(1616.68)</f>
        <v>1616.68</v>
      </c>
      <c r="I10096" s="4">
        <f>VALUE(2749)</f>
        <v>2749</v>
      </c>
      <c r="J10096" s="1">
        <f>VALUE(3006)</f>
        <v>3006</v>
      </c>
      <c r="K10096" s="1">
        <f>VALUE(3280)</f>
        <v>3280</v>
      </c>
      <c r="L10096" s="1">
        <f>VALUE(3597)</f>
        <v>3597</v>
      </c>
      <c r="M10096" s="1">
        <f>VALUE(3883)</f>
        <v>3883</v>
      </c>
      <c r="N10096" t="s">
        <v>25</v>
      </c>
    </row>
    <row r="10097" spans="1:14" x14ac:dyDescent="0.25">
      <c r="A10097" t="s">
        <v>43</v>
      </c>
      <c r="B10097" t="s">
        <v>40</v>
      </c>
      <c r="C10097" t="s">
        <v>36</v>
      </c>
      <c r="D10097" t="s">
        <v>32</v>
      </c>
      <c r="E10097" t="s">
        <v>26</v>
      </c>
      <c r="F10097" t="s">
        <v>15</v>
      </c>
      <c r="G10097" s="2">
        <f>VALUE(144.29)</f>
        <v>144.29</v>
      </c>
      <c r="H10097" s="3">
        <f>VALUE(112.94)</f>
        <v>112.94</v>
      </c>
      <c r="I10097" s="1">
        <f>VALUE(3747)</f>
        <v>3747</v>
      </c>
      <c r="J10097" s="1">
        <f>VALUE(4379)</f>
        <v>4379</v>
      </c>
      <c r="K10097" s="1">
        <f>VALUE(4758)</f>
        <v>4758</v>
      </c>
      <c r="L10097" s="1">
        <f>VALUE(5396)</f>
        <v>5396</v>
      </c>
      <c r="M10097" s="1">
        <f>VALUE(6278)</f>
        <v>6278</v>
      </c>
      <c r="N10097" t="s">
        <v>25</v>
      </c>
    </row>
    <row r="10098" spans="1:14" x14ac:dyDescent="0.25">
      <c r="A10098" t="s">
        <v>43</v>
      </c>
      <c r="B10098" t="s">
        <v>40</v>
      </c>
      <c r="C10098" t="s">
        <v>36</v>
      </c>
      <c r="D10098" t="s">
        <v>32</v>
      </c>
      <c r="E10098" t="s">
        <v>26</v>
      </c>
      <c r="F10098" t="s">
        <v>17</v>
      </c>
      <c r="G10098" s="1" t="str">
        <f t="shared" ref="G10098:M10099" si="2254">"..."</f>
        <v>...</v>
      </c>
      <c r="H10098" s="1" t="str">
        <f t="shared" si="2254"/>
        <v>...</v>
      </c>
      <c r="I10098" s="1" t="str">
        <f t="shared" si="2254"/>
        <v>...</v>
      </c>
      <c r="J10098" s="1" t="str">
        <f t="shared" si="2254"/>
        <v>...</v>
      </c>
      <c r="K10098" s="1" t="str">
        <f t="shared" si="2254"/>
        <v>...</v>
      </c>
      <c r="L10098" s="1" t="str">
        <f t="shared" si="2254"/>
        <v>...</v>
      </c>
      <c r="M10098" s="1" t="str">
        <f t="shared" si="2254"/>
        <v>...</v>
      </c>
      <c r="N10098" t="s">
        <v>30</v>
      </c>
    </row>
    <row r="10099" spans="1:14" x14ac:dyDescent="0.25">
      <c r="A10099" t="s">
        <v>43</v>
      </c>
      <c r="B10099" t="s">
        <v>40</v>
      </c>
      <c r="C10099" t="s">
        <v>36</v>
      </c>
      <c r="D10099" t="s">
        <v>32</v>
      </c>
      <c r="E10099" t="s">
        <v>26</v>
      </c>
      <c r="F10099" t="s">
        <v>18</v>
      </c>
      <c r="G10099" s="1" t="str">
        <f t="shared" si="2254"/>
        <v>...</v>
      </c>
      <c r="H10099" s="1" t="str">
        <f t="shared" si="2254"/>
        <v>...</v>
      </c>
      <c r="I10099" s="1" t="str">
        <f t="shared" si="2254"/>
        <v>...</v>
      </c>
      <c r="J10099" s="1" t="str">
        <f t="shared" si="2254"/>
        <v>...</v>
      </c>
      <c r="K10099" s="1" t="str">
        <f t="shared" si="2254"/>
        <v>...</v>
      </c>
      <c r="L10099" s="1" t="str">
        <f t="shared" si="2254"/>
        <v>...</v>
      </c>
      <c r="M10099" s="1" t="str">
        <f t="shared" si="2254"/>
        <v>...</v>
      </c>
      <c r="N10099" t="s">
        <v>30</v>
      </c>
    </row>
    <row r="10100" spans="1:14" x14ac:dyDescent="0.25">
      <c r="A10100" t="s">
        <v>43</v>
      </c>
      <c r="B10100" t="s">
        <v>40</v>
      </c>
      <c r="C10100" t="s">
        <v>36</v>
      </c>
      <c r="D10100" t="s">
        <v>32</v>
      </c>
      <c r="E10100" t="s">
        <v>26</v>
      </c>
      <c r="F10100" t="s">
        <v>19</v>
      </c>
      <c r="G10100" s="1" t="str">
        <f t="shared" ref="G10100:M10100" si="2255">"X"</f>
        <v>X</v>
      </c>
      <c r="H10100" s="1" t="str">
        <f t="shared" si="2255"/>
        <v>X</v>
      </c>
      <c r="I10100" s="1" t="str">
        <f t="shared" si="2255"/>
        <v>X</v>
      </c>
      <c r="J10100" s="1" t="str">
        <f t="shared" si="2255"/>
        <v>X</v>
      </c>
      <c r="K10100" s="1" t="str">
        <f t="shared" si="2255"/>
        <v>X</v>
      </c>
      <c r="L10100" s="1" t="str">
        <f t="shared" si="2255"/>
        <v>X</v>
      </c>
      <c r="M10100" s="1" t="str">
        <f t="shared" si="2255"/>
        <v>X</v>
      </c>
      <c r="N10100" t="s">
        <v>27</v>
      </c>
    </row>
    <row r="10101" spans="1:14" x14ac:dyDescent="0.25">
      <c r="A10101" t="s">
        <v>43</v>
      </c>
      <c r="B10101" t="s">
        <v>40</v>
      </c>
      <c r="C10101" t="s">
        <v>36</v>
      </c>
      <c r="D10101" t="s">
        <v>32</v>
      </c>
      <c r="E10101" t="s">
        <v>26</v>
      </c>
      <c r="F10101" t="s">
        <v>20</v>
      </c>
      <c r="G10101" s="2">
        <f>VALUE(136.43)</f>
        <v>136.43</v>
      </c>
      <c r="H10101" s="3">
        <f>VALUE(104.69)</f>
        <v>104.69</v>
      </c>
      <c r="I10101" s="1">
        <f>VALUE(2982)</f>
        <v>2982</v>
      </c>
      <c r="J10101" s="1">
        <f>VALUE(4559)</f>
        <v>4559</v>
      </c>
      <c r="K10101" s="1">
        <f>VALUE(4821)</f>
        <v>4821</v>
      </c>
      <c r="L10101" s="1">
        <f>VALUE(5433)</f>
        <v>5433</v>
      </c>
      <c r="M10101" s="1">
        <f>VALUE(6278)</f>
        <v>6278</v>
      </c>
      <c r="N10101" t="s">
        <v>25</v>
      </c>
    </row>
    <row r="10102" spans="1:14" x14ac:dyDescent="0.25">
      <c r="A10102" t="s">
        <v>43</v>
      </c>
      <c r="B10102" t="s">
        <v>40</v>
      </c>
      <c r="C10102" t="s">
        <v>36</v>
      </c>
      <c r="D10102" t="s">
        <v>33</v>
      </c>
      <c r="E10102" t="s">
        <v>15</v>
      </c>
      <c r="F10102" t="s">
        <v>15</v>
      </c>
      <c r="G10102" s="1" t="str">
        <f t="shared" ref="G10102:M10102" si="2256">"X"</f>
        <v>X</v>
      </c>
      <c r="H10102" s="1" t="str">
        <f t="shared" si="2256"/>
        <v>X</v>
      </c>
      <c r="I10102" s="1" t="str">
        <f t="shared" si="2256"/>
        <v>X</v>
      </c>
      <c r="J10102" s="1" t="str">
        <f t="shared" si="2256"/>
        <v>X</v>
      </c>
      <c r="K10102" s="1" t="str">
        <f t="shared" si="2256"/>
        <v>X</v>
      </c>
      <c r="L10102" s="1" t="str">
        <f t="shared" si="2256"/>
        <v>X</v>
      </c>
      <c r="M10102" s="1" t="str">
        <f t="shared" si="2256"/>
        <v>X</v>
      </c>
      <c r="N10102" t="s">
        <v>27</v>
      </c>
    </row>
    <row r="10103" spans="1:14" x14ac:dyDescent="0.25">
      <c r="A10103" t="s">
        <v>43</v>
      </c>
      <c r="B10103" t="s">
        <v>40</v>
      </c>
      <c r="C10103" t="s">
        <v>36</v>
      </c>
      <c r="D10103" t="s">
        <v>33</v>
      </c>
      <c r="E10103" t="s">
        <v>15</v>
      </c>
      <c r="F10103" t="s">
        <v>17</v>
      </c>
      <c r="G10103" s="1" t="str">
        <f t="shared" ref="G10103:M10103" si="2257">"..."</f>
        <v>...</v>
      </c>
      <c r="H10103" s="1" t="str">
        <f t="shared" si="2257"/>
        <v>...</v>
      </c>
      <c r="I10103" s="1" t="str">
        <f t="shared" si="2257"/>
        <v>...</v>
      </c>
      <c r="J10103" s="1" t="str">
        <f t="shared" si="2257"/>
        <v>...</v>
      </c>
      <c r="K10103" s="1" t="str">
        <f t="shared" si="2257"/>
        <v>...</v>
      </c>
      <c r="L10103" s="1" t="str">
        <f t="shared" si="2257"/>
        <v>...</v>
      </c>
      <c r="M10103" s="1" t="str">
        <f t="shared" si="2257"/>
        <v>...</v>
      </c>
      <c r="N10103" t="s">
        <v>30</v>
      </c>
    </row>
    <row r="10104" spans="1:14" x14ac:dyDescent="0.25">
      <c r="A10104" t="s">
        <v>43</v>
      </c>
      <c r="B10104" t="s">
        <v>40</v>
      </c>
      <c r="C10104" t="s">
        <v>36</v>
      </c>
      <c r="D10104" t="s">
        <v>33</v>
      </c>
      <c r="E10104" t="s">
        <v>15</v>
      </c>
      <c r="F10104" t="s">
        <v>18</v>
      </c>
      <c r="G10104" s="1" t="str">
        <f t="shared" ref="G10104:M10107" si="2258">"X"</f>
        <v>X</v>
      </c>
      <c r="H10104" s="1" t="str">
        <f t="shared" si="2258"/>
        <v>X</v>
      </c>
      <c r="I10104" s="1" t="str">
        <f t="shared" si="2258"/>
        <v>X</v>
      </c>
      <c r="J10104" s="1" t="str">
        <f t="shared" si="2258"/>
        <v>X</v>
      </c>
      <c r="K10104" s="1" t="str">
        <f t="shared" si="2258"/>
        <v>X</v>
      </c>
      <c r="L10104" s="1" t="str">
        <f t="shared" si="2258"/>
        <v>X</v>
      </c>
      <c r="M10104" s="1" t="str">
        <f t="shared" si="2258"/>
        <v>X</v>
      </c>
      <c r="N10104" t="s">
        <v>27</v>
      </c>
    </row>
    <row r="10105" spans="1:14" x14ac:dyDescent="0.25">
      <c r="A10105" t="s">
        <v>43</v>
      </c>
      <c r="B10105" t="s">
        <v>40</v>
      </c>
      <c r="C10105" t="s">
        <v>36</v>
      </c>
      <c r="D10105" t="s">
        <v>33</v>
      </c>
      <c r="E10105" t="s">
        <v>15</v>
      </c>
      <c r="F10105" t="s">
        <v>19</v>
      </c>
      <c r="G10105" s="1" t="str">
        <f t="shared" si="2258"/>
        <v>X</v>
      </c>
      <c r="H10105" s="1" t="str">
        <f t="shared" si="2258"/>
        <v>X</v>
      </c>
      <c r="I10105" s="1" t="str">
        <f t="shared" si="2258"/>
        <v>X</v>
      </c>
      <c r="J10105" s="1" t="str">
        <f t="shared" si="2258"/>
        <v>X</v>
      </c>
      <c r="K10105" s="1" t="str">
        <f t="shared" si="2258"/>
        <v>X</v>
      </c>
      <c r="L10105" s="1" t="str">
        <f t="shared" si="2258"/>
        <v>X</v>
      </c>
      <c r="M10105" s="1" t="str">
        <f t="shared" si="2258"/>
        <v>X</v>
      </c>
      <c r="N10105" t="s">
        <v>27</v>
      </c>
    </row>
    <row r="10106" spans="1:14" x14ac:dyDescent="0.25">
      <c r="A10106" t="s">
        <v>43</v>
      </c>
      <c r="B10106" t="s">
        <v>40</v>
      </c>
      <c r="C10106" t="s">
        <v>36</v>
      </c>
      <c r="D10106" t="s">
        <v>33</v>
      </c>
      <c r="E10106" t="s">
        <v>15</v>
      </c>
      <c r="F10106" t="s">
        <v>20</v>
      </c>
      <c r="G10106" s="1" t="str">
        <f t="shared" si="2258"/>
        <v>X</v>
      </c>
      <c r="H10106" s="1" t="str">
        <f t="shared" si="2258"/>
        <v>X</v>
      </c>
      <c r="I10106" s="1" t="str">
        <f t="shared" si="2258"/>
        <v>X</v>
      </c>
      <c r="J10106" s="1" t="str">
        <f t="shared" si="2258"/>
        <v>X</v>
      </c>
      <c r="K10106" s="1" t="str">
        <f t="shared" si="2258"/>
        <v>X</v>
      </c>
      <c r="L10106" s="1" t="str">
        <f t="shared" si="2258"/>
        <v>X</v>
      </c>
      <c r="M10106" s="1" t="str">
        <f t="shared" si="2258"/>
        <v>X</v>
      </c>
      <c r="N10106" t="s">
        <v>27</v>
      </c>
    </row>
    <row r="10107" spans="1:14" x14ac:dyDescent="0.25">
      <c r="A10107" t="s">
        <v>43</v>
      </c>
      <c r="B10107" t="s">
        <v>40</v>
      </c>
      <c r="C10107" t="s">
        <v>36</v>
      </c>
      <c r="D10107" t="s">
        <v>33</v>
      </c>
      <c r="E10107" t="s">
        <v>21</v>
      </c>
      <c r="F10107" t="s">
        <v>15</v>
      </c>
      <c r="G10107" s="1" t="str">
        <f t="shared" si="2258"/>
        <v>X</v>
      </c>
      <c r="H10107" s="1" t="str">
        <f t="shared" si="2258"/>
        <v>X</v>
      </c>
      <c r="I10107" s="1" t="str">
        <f t="shared" si="2258"/>
        <v>X</v>
      </c>
      <c r="J10107" s="1" t="str">
        <f t="shared" si="2258"/>
        <v>X</v>
      </c>
      <c r="K10107" s="1" t="str">
        <f t="shared" si="2258"/>
        <v>X</v>
      </c>
      <c r="L10107" s="1" t="str">
        <f t="shared" si="2258"/>
        <v>X</v>
      </c>
      <c r="M10107" s="1" t="str">
        <f t="shared" si="2258"/>
        <v>X</v>
      </c>
      <c r="N10107" t="s">
        <v>27</v>
      </c>
    </row>
    <row r="10108" spans="1:14" x14ac:dyDescent="0.25">
      <c r="A10108" t="s">
        <v>43</v>
      </c>
      <c r="B10108" t="s">
        <v>40</v>
      </c>
      <c r="C10108" t="s">
        <v>36</v>
      </c>
      <c r="D10108" t="s">
        <v>33</v>
      </c>
      <c r="E10108" t="s">
        <v>21</v>
      </c>
      <c r="F10108" t="s">
        <v>17</v>
      </c>
      <c r="G10108" s="1" t="str">
        <f t="shared" ref="G10108:M10108" si="2259">"..."</f>
        <v>...</v>
      </c>
      <c r="H10108" s="1" t="str">
        <f t="shared" si="2259"/>
        <v>...</v>
      </c>
      <c r="I10108" s="1" t="str">
        <f t="shared" si="2259"/>
        <v>...</v>
      </c>
      <c r="J10108" s="1" t="str">
        <f t="shared" si="2259"/>
        <v>...</v>
      </c>
      <c r="K10108" s="1" t="str">
        <f t="shared" si="2259"/>
        <v>...</v>
      </c>
      <c r="L10108" s="1" t="str">
        <f t="shared" si="2259"/>
        <v>...</v>
      </c>
      <c r="M10108" s="1" t="str">
        <f t="shared" si="2259"/>
        <v>...</v>
      </c>
      <c r="N10108" t="s">
        <v>30</v>
      </c>
    </row>
    <row r="10109" spans="1:14" x14ac:dyDescent="0.25">
      <c r="A10109" t="s">
        <v>43</v>
      </c>
      <c r="B10109" t="s">
        <v>40</v>
      </c>
      <c r="C10109" t="s">
        <v>36</v>
      </c>
      <c r="D10109" t="s">
        <v>33</v>
      </c>
      <c r="E10109" t="s">
        <v>21</v>
      </c>
      <c r="F10109" t="s">
        <v>18</v>
      </c>
      <c r="G10109" s="1" t="str">
        <f t="shared" ref="G10109:M10112" si="2260">"X"</f>
        <v>X</v>
      </c>
      <c r="H10109" s="1" t="str">
        <f t="shared" si="2260"/>
        <v>X</v>
      </c>
      <c r="I10109" s="1" t="str">
        <f t="shared" si="2260"/>
        <v>X</v>
      </c>
      <c r="J10109" s="1" t="str">
        <f t="shared" si="2260"/>
        <v>X</v>
      </c>
      <c r="K10109" s="1" t="str">
        <f t="shared" si="2260"/>
        <v>X</v>
      </c>
      <c r="L10109" s="1" t="str">
        <f t="shared" si="2260"/>
        <v>X</v>
      </c>
      <c r="M10109" s="1" t="str">
        <f t="shared" si="2260"/>
        <v>X</v>
      </c>
      <c r="N10109" t="s">
        <v>27</v>
      </c>
    </row>
    <row r="10110" spans="1:14" x14ac:dyDescent="0.25">
      <c r="A10110" t="s">
        <v>43</v>
      </c>
      <c r="B10110" t="s">
        <v>40</v>
      </c>
      <c r="C10110" t="s">
        <v>36</v>
      </c>
      <c r="D10110" t="s">
        <v>33</v>
      </c>
      <c r="E10110" t="s">
        <v>21</v>
      </c>
      <c r="F10110" t="s">
        <v>19</v>
      </c>
      <c r="G10110" s="1" t="str">
        <f t="shared" si="2260"/>
        <v>X</v>
      </c>
      <c r="H10110" s="1" t="str">
        <f t="shared" si="2260"/>
        <v>X</v>
      </c>
      <c r="I10110" s="1" t="str">
        <f t="shared" si="2260"/>
        <v>X</v>
      </c>
      <c r="J10110" s="1" t="str">
        <f t="shared" si="2260"/>
        <v>X</v>
      </c>
      <c r="K10110" s="1" t="str">
        <f t="shared" si="2260"/>
        <v>X</v>
      </c>
      <c r="L10110" s="1" t="str">
        <f t="shared" si="2260"/>
        <v>X</v>
      </c>
      <c r="M10110" s="1" t="str">
        <f t="shared" si="2260"/>
        <v>X</v>
      </c>
      <c r="N10110" t="s">
        <v>27</v>
      </c>
    </row>
    <row r="10111" spans="1:14" x14ac:dyDescent="0.25">
      <c r="A10111" t="s">
        <v>43</v>
      </c>
      <c r="B10111" t="s">
        <v>40</v>
      </c>
      <c r="C10111" t="s">
        <v>36</v>
      </c>
      <c r="D10111" t="s">
        <v>33</v>
      </c>
      <c r="E10111" t="s">
        <v>21</v>
      </c>
      <c r="F10111" t="s">
        <v>20</v>
      </c>
      <c r="G10111" s="1" t="str">
        <f t="shared" si="2260"/>
        <v>X</v>
      </c>
      <c r="H10111" s="1" t="str">
        <f t="shared" si="2260"/>
        <v>X</v>
      </c>
      <c r="I10111" s="1" t="str">
        <f t="shared" si="2260"/>
        <v>X</v>
      </c>
      <c r="J10111" s="1" t="str">
        <f t="shared" si="2260"/>
        <v>X</v>
      </c>
      <c r="K10111" s="1" t="str">
        <f t="shared" si="2260"/>
        <v>X</v>
      </c>
      <c r="L10111" s="1" t="str">
        <f t="shared" si="2260"/>
        <v>X</v>
      </c>
      <c r="M10111" s="1" t="str">
        <f t="shared" si="2260"/>
        <v>X</v>
      </c>
      <c r="N10111" t="s">
        <v>27</v>
      </c>
    </row>
    <row r="10112" spans="1:14" x14ac:dyDescent="0.25">
      <c r="A10112" t="s">
        <v>43</v>
      </c>
      <c r="B10112" t="s">
        <v>40</v>
      </c>
      <c r="C10112" t="s">
        <v>36</v>
      </c>
      <c r="D10112" t="s">
        <v>33</v>
      </c>
      <c r="E10112" t="s">
        <v>22</v>
      </c>
      <c r="F10112" t="s">
        <v>15</v>
      </c>
      <c r="G10112" s="1" t="str">
        <f t="shared" si="2260"/>
        <v>X</v>
      </c>
      <c r="H10112" s="1" t="str">
        <f t="shared" si="2260"/>
        <v>X</v>
      </c>
      <c r="I10112" s="1" t="str">
        <f t="shared" si="2260"/>
        <v>X</v>
      </c>
      <c r="J10112" s="1" t="str">
        <f t="shared" si="2260"/>
        <v>X</v>
      </c>
      <c r="K10112" s="1" t="str">
        <f t="shared" si="2260"/>
        <v>X</v>
      </c>
      <c r="L10112" s="1" t="str">
        <f t="shared" si="2260"/>
        <v>X</v>
      </c>
      <c r="M10112" s="1" t="str">
        <f t="shared" si="2260"/>
        <v>X</v>
      </c>
      <c r="N10112" t="s">
        <v>27</v>
      </c>
    </row>
    <row r="10113" spans="1:14" x14ac:dyDescent="0.25">
      <c r="A10113" t="s">
        <v>43</v>
      </c>
      <c r="B10113" t="s">
        <v>40</v>
      </c>
      <c r="C10113" t="s">
        <v>36</v>
      </c>
      <c r="D10113" t="s">
        <v>33</v>
      </c>
      <c r="E10113" t="s">
        <v>22</v>
      </c>
      <c r="F10113" t="s">
        <v>17</v>
      </c>
      <c r="G10113" s="1" t="str">
        <f t="shared" ref="G10113:M10115" si="2261">"..."</f>
        <v>...</v>
      </c>
      <c r="H10113" s="1" t="str">
        <f t="shared" si="2261"/>
        <v>...</v>
      </c>
      <c r="I10113" s="1" t="str">
        <f t="shared" si="2261"/>
        <v>...</v>
      </c>
      <c r="J10113" s="1" t="str">
        <f t="shared" si="2261"/>
        <v>...</v>
      </c>
      <c r="K10113" s="1" t="str">
        <f t="shared" si="2261"/>
        <v>...</v>
      </c>
      <c r="L10113" s="1" t="str">
        <f t="shared" si="2261"/>
        <v>...</v>
      </c>
      <c r="M10113" s="1" t="str">
        <f t="shared" si="2261"/>
        <v>...</v>
      </c>
      <c r="N10113" t="s">
        <v>30</v>
      </c>
    </row>
    <row r="10114" spans="1:14" x14ac:dyDescent="0.25">
      <c r="A10114" t="s">
        <v>43</v>
      </c>
      <c r="B10114" t="s">
        <v>40</v>
      </c>
      <c r="C10114" t="s">
        <v>36</v>
      </c>
      <c r="D10114" t="s">
        <v>33</v>
      </c>
      <c r="E10114" t="s">
        <v>22</v>
      </c>
      <c r="F10114" t="s">
        <v>18</v>
      </c>
      <c r="G10114" s="1" t="str">
        <f t="shared" si="2261"/>
        <v>...</v>
      </c>
      <c r="H10114" s="1" t="str">
        <f t="shared" si="2261"/>
        <v>...</v>
      </c>
      <c r="I10114" s="1" t="str">
        <f t="shared" si="2261"/>
        <v>...</v>
      </c>
      <c r="J10114" s="1" t="str">
        <f t="shared" si="2261"/>
        <v>...</v>
      </c>
      <c r="K10114" s="1" t="str">
        <f t="shared" si="2261"/>
        <v>...</v>
      </c>
      <c r="L10114" s="1" t="str">
        <f t="shared" si="2261"/>
        <v>...</v>
      </c>
      <c r="M10114" s="1" t="str">
        <f t="shared" si="2261"/>
        <v>...</v>
      </c>
      <c r="N10114" t="s">
        <v>30</v>
      </c>
    </row>
    <row r="10115" spans="1:14" x14ac:dyDescent="0.25">
      <c r="A10115" t="s">
        <v>43</v>
      </c>
      <c r="B10115" t="s">
        <v>40</v>
      </c>
      <c r="C10115" t="s">
        <v>36</v>
      </c>
      <c r="D10115" t="s">
        <v>33</v>
      </c>
      <c r="E10115" t="s">
        <v>22</v>
      </c>
      <c r="F10115" t="s">
        <v>19</v>
      </c>
      <c r="G10115" s="1" t="str">
        <f t="shared" si="2261"/>
        <v>...</v>
      </c>
      <c r="H10115" s="1" t="str">
        <f t="shared" si="2261"/>
        <v>...</v>
      </c>
      <c r="I10115" s="1" t="str">
        <f t="shared" si="2261"/>
        <v>...</v>
      </c>
      <c r="J10115" s="1" t="str">
        <f t="shared" si="2261"/>
        <v>...</v>
      </c>
      <c r="K10115" s="1" t="str">
        <f t="shared" si="2261"/>
        <v>...</v>
      </c>
      <c r="L10115" s="1" t="str">
        <f t="shared" si="2261"/>
        <v>...</v>
      </c>
      <c r="M10115" s="1" t="str">
        <f t="shared" si="2261"/>
        <v>...</v>
      </c>
      <c r="N10115" t="s">
        <v>30</v>
      </c>
    </row>
    <row r="10116" spans="1:14" x14ac:dyDescent="0.25">
      <c r="A10116" t="s">
        <v>43</v>
      </c>
      <c r="B10116" t="s">
        <v>40</v>
      </c>
      <c r="C10116" t="s">
        <v>36</v>
      </c>
      <c r="D10116" t="s">
        <v>33</v>
      </c>
      <c r="E10116" t="s">
        <v>22</v>
      </c>
      <c r="F10116" t="s">
        <v>20</v>
      </c>
      <c r="G10116" s="1" t="str">
        <f t="shared" ref="G10116:M10117" si="2262">"X"</f>
        <v>X</v>
      </c>
      <c r="H10116" s="1" t="str">
        <f t="shared" si="2262"/>
        <v>X</v>
      </c>
      <c r="I10116" s="1" t="str">
        <f t="shared" si="2262"/>
        <v>X</v>
      </c>
      <c r="J10116" s="1" t="str">
        <f t="shared" si="2262"/>
        <v>X</v>
      </c>
      <c r="K10116" s="1" t="str">
        <f t="shared" si="2262"/>
        <v>X</v>
      </c>
      <c r="L10116" s="1" t="str">
        <f t="shared" si="2262"/>
        <v>X</v>
      </c>
      <c r="M10116" s="1" t="str">
        <f t="shared" si="2262"/>
        <v>X</v>
      </c>
      <c r="N10116" t="s">
        <v>27</v>
      </c>
    </row>
    <row r="10117" spans="1:14" x14ac:dyDescent="0.25">
      <c r="A10117" t="s">
        <v>43</v>
      </c>
      <c r="B10117" t="s">
        <v>40</v>
      </c>
      <c r="C10117" t="s">
        <v>36</v>
      </c>
      <c r="D10117" t="s">
        <v>33</v>
      </c>
      <c r="E10117" t="s">
        <v>23</v>
      </c>
      <c r="F10117" t="s">
        <v>15</v>
      </c>
      <c r="G10117" s="1" t="str">
        <f t="shared" si="2262"/>
        <v>X</v>
      </c>
      <c r="H10117" s="1" t="str">
        <f t="shared" si="2262"/>
        <v>X</v>
      </c>
      <c r="I10117" s="1" t="str">
        <f t="shared" si="2262"/>
        <v>X</v>
      </c>
      <c r="J10117" s="1" t="str">
        <f t="shared" si="2262"/>
        <v>X</v>
      </c>
      <c r="K10117" s="1" t="str">
        <f t="shared" si="2262"/>
        <v>X</v>
      </c>
      <c r="L10117" s="1" t="str">
        <f t="shared" si="2262"/>
        <v>X</v>
      </c>
      <c r="M10117" s="1" t="str">
        <f t="shared" si="2262"/>
        <v>X</v>
      </c>
      <c r="N10117" t="s">
        <v>27</v>
      </c>
    </row>
    <row r="10118" spans="1:14" x14ac:dyDescent="0.25">
      <c r="A10118" t="s">
        <v>43</v>
      </c>
      <c r="B10118" t="s">
        <v>40</v>
      </c>
      <c r="C10118" t="s">
        <v>36</v>
      </c>
      <c r="D10118" t="s">
        <v>33</v>
      </c>
      <c r="E10118" t="s">
        <v>23</v>
      </c>
      <c r="F10118" t="s">
        <v>17</v>
      </c>
      <c r="G10118" s="1" t="str">
        <f t="shared" ref="G10118:M10120" si="2263">"..."</f>
        <v>...</v>
      </c>
      <c r="H10118" s="1" t="str">
        <f t="shared" si="2263"/>
        <v>...</v>
      </c>
      <c r="I10118" s="1" t="str">
        <f t="shared" si="2263"/>
        <v>...</v>
      </c>
      <c r="J10118" s="1" t="str">
        <f t="shared" si="2263"/>
        <v>...</v>
      </c>
      <c r="K10118" s="1" t="str">
        <f t="shared" si="2263"/>
        <v>...</v>
      </c>
      <c r="L10118" s="1" t="str">
        <f t="shared" si="2263"/>
        <v>...</v>
      </c>
      <c r="M10118" s="1" t="str">
        <f t="shared" si="2263"/>
        <v>...</v>
      </c>
      <c r="N10118" t="s">
        <v>30</v>
      </c>
    </row>
    <row r="10119" spans="1:14" x14ac:dyDescent="0.25">
      <c r="A10119" t="s">
        <v>43</v>
      </c>
      <c r="B10119" t="s">
        <v>40</v>
      </c>
      <c r="C10119" t="s">
        <v>36</v>
      </c>
      <c r="D10119" t="s">
        <v>33</v>
      </c>
      <c r="E10119" t="s">
        <v>23</v>
      </c>
      <c r="F10119" t="s">
        <v>18</v>
      </c>
      <c r="G10119" s="1" t="str">
        <f t="shared" si="2263"/>
        <v>...</v>
      </c>
      <c r="H10119" s="1" t="str">
        <f t="shared" si="2263"/>
        <v>...</v>
      </c>
      <c r="I10119" s="1" t="str">
        <f t="shared" si="2263"/>
        <v>...</v>
      </c>
      <c r="J10119" s="1" t="str">
        <f t="shared" si="2263"/>
        <v>...</v>
      </c>
      <c r="K10119" s="1" t="str">
        <f t="shared" si="2263"/>
        <v>...</v>
      </c>
      <c r="L10119" s="1" t="str">
        <f t="shared" si="2263"/>
        <v>...</v>
      </c>
      <c r="M10119" s="1" t="str">
        <f t="shared" si="2263"/>
        <v>...</v>
      </c>
      <c r="N10119" t="s">
        <v>30</v>
      </c>
    </row>
    <row r="10120" spans="1:14" x14ac:dyDescent="0.25">
      <c r="A10120" t="s">
        <v>43</v>
      </c>
      <c r="B10120" t="s">
        <v>40</v>
      </c>
      <c r="C10120" t="s">
        <v>36</v>
      </c>
      <c r="D10120" t="s">
        <v>33</v>
      </c>
      <c r="E10120" t="s">
        <v>23</v>
      </c>
      <c r="F10120" t="s">
        <v>19</v>
      </c>
      <c r="G10120" s="1" t="str">
        <f t="shared" si="2263"/>
        <v>...</v>
      </c>
      <c r="H10120" s="1" t="str">
        <f t="shared" si="2263"/>
        <v>...</v>
      </c>
      <c r="I10120" s="1" t="str">
        <f t="shared" si="2263"/>
        <v>...</v>
      </c>
      <c r="J10120" s="1" t="str">
        <f t="shared" si="2263"/>
        <v>...</v>
      </c>
      <c r="K10120" s="1" t="str">
        <f t="shared" si="2263"/>
        <v>...</v>
      </c>
      <c r="L10120" s="1" t="str">
        <f t="shared" si="2263"/>
        <v>...</v>
      </c>
      <c r="M10120" s="1" t="str">
        <f t="shared" si="2263"/>
        <v>...</v>
      </c>
      <c r="N10120" t="s">
        <v>30</v>
      </c>
    </row>
    <row r="10121" spans="1:14" x14ac:dyDescent="0.25">
      <c r="A10121" t="s">
        <v>43</v>
      </c>
      <c r="B10121" t="s">
        <v>40</v>
      </c>
      <c r="C10121" t="s">
        <v>36</v>
      </c>
      <c r="D10121" t="s">
        <v>33</v>
      </c>
      <c r="E10121" t="s">
        <v>23</v>
      </c>
      <c r="F10121" t="s">
        <v>20</v>
      </c>
      <c r="G10121" s="1" t="str">
        <f t="shared" ref="G10121:M10122" si="2264">"X"</f>
        <v>X</v>
      </c>
      <c r="H10121" s="1" t="str">
        <f t="shared" si="2264"/>
        <v>X</v>
      </c>
      <c r="I10121" s="1" t="str">
        <f t="shared" si="2264"/>
        <v>X</v>
      </c>
      <c r="J10121" s="1" t="str">
        <f t="shared" si="2264"/>
        <v>X</v>
      </c>
      <c r="K10121" s="1" t="str">
        <f t="shared" si="2264"/>
        <v>X</v>
      </c>
      <c r="L10121" s="1" t="str">
        <f t="shared" si="2264"/>
        <v>X</v>
      </c>
      <c r="M10121" s="1" t="str">
        <f t="shared" si="2264"/>
        <v>X</v>
      </c>
      <c r="N10121" t="s">
        <v>27</v>
      </c>
    </row>
    <row r="10122" spans="1:14" x14ac:dyDescent="0.25">
      <c r="A10122" t="s">
        <v>43</v>
      </c>
      <c r="B10122" t="s">
        <v>40</v>
      </c>
      <c r="C10122" t="s">
        <v>36</v>
      </c>
      <c r="D10122" t="s">
        <v>33</v>
      </c>
      <c r="E10122" t="s">
        <v>26</v>
      </c>
      <c r="F10122" t="s">
        <v>15</v>
      </c>
      <c r="G10122" s="1" t="str">
        <f t="shared" si="2264"/>
        <v>X</v>
      </c>
      <c r="H10122" s="1" t="str">
        <f t="shared" si="2264"/>
        <v>X</v>
      </c>
      <c r="I10122" s="1" t="str">
        <f t="shared" si="2264"/>
        <v>X</v>
      </c>
      <c r="J10122" s="1" t="str">
        <f t="shared" si="2264"/>
        <v>X</v>
      </c>
      <c r="K10122" s="1" t="str">
        <f t="shared" si="2264"/>
        <v>X</v>
      </c>
      <c r="L10122" s="1" t="str">
        <f t="shared" si="2264"/>
        <v>X</v>
      </c>
      <c r="M10122" s="1" t="str">
        <f t="shared" si="2264"/>
        <v>X</v>
      </c>
      <c r="N10122" t="s">
        <v>27</v>
      </c>
    </row>
    <row r="10123" spans="1:14" x14ac:dyDescent="0.25">
      <c r="A10123" t="s">
        <v>43</v>
      </c>
      <c r="B10123" t="s">
        <v>40</v>
      </c>
      <c r="C10123" t="s">
        <v>36</v>
      </c>
      <c r="D10123" t="s">
        <v>33</v>
      </c>
      <c r="E10123" t="s">
        <v>26</v>
      </c>
      <c r="F10123" t="s">
        <v>17</v>
      </c>
      <c r="G10123" s="1" t="str">
        <f t="shared" ref="G10123:M10125" si="2265">"..."</f>
        <v>...</v>
      </c>
      <c r="H10123" s="1" t="str">
        <f t="shared" si="2265"/>
        <v>...</v>
      </c>
      <c r="I10123" s="1" t="str">
        <f t="shared" si="2265"/>
        <v>...</v>
      </c>
      <c r="J10123" s="1" t="str">
        <f t="shared" si="2265"/>
        <v>...</v>
      </c>
      <c r="K10123" s="1" t="str">
        <f t="shared" si="2265"/>
        <v>...</v>
      </c>
      <c r="L10123" s="1" t="str">
        <f t="shared" si="2265"/>
        <v>...</v>
      </c>
      <c r="M10123" s="1" t="str">
        <f t="shared" si="2265"/>
        <v>...</v>
      </c>
      <c r="N10123" t="s">
        <v>30</v>
      </c>
    </row>
    <row r="10124" spans="1:14" x14ac:dyDescent="0.25">
      <c r="A10124" t="s">
        <v>43</v>
      </c>
      <c r="B10124" t="s">
        <v>40</v>
      </c>
      <c r="C10124" t="s">
        <v>36</v>
      </c>
      <c r="D10124" t="s">
        <v>33</v>
      </c>
      <c r="E10124" t="s">
        <v>26</v>
      </c>
      <c r="F10124" t="s">
        <v>18</v>
      </c>
      <c r="G10124" s="1" t="str">
        <f t="shared" si="2265"/>
        <v>...</v>
      </c>
      <c r="H10124" s="1" t="str">
        <f t="shared" si="2265"/>
        <v>...</v>
      </c>
      <c r="I10124" s="1" t="str">
        <f t="shared" si="2265"/>
        <v>...</v>
      </c>
      <c r="J10124" s="1" t="str">
        <f t="shared" si="2265"/>
        <v>...</v>
      </c>
      <c r="K10124" s="1" t="str">
        <f t="shared" si="2265"/>
        <v>...</v>
      </c>
      <c r="L10124" s="1" t="str">
        <f t="shared" si="2265"/>
        <v>...</v>
      </c>
      <c r="M10124" s="1" t="str">
        <f t="shared" si="2265"/>
        <v>...</v>
      </c>
      <c r="N10124" t="s">
        <v>30</v>
      </c>
    </row>
    <row r="10125" spans="1:14" x14ac:dyDescent="0.25">
      <c r="A10125" t="s">
        <v>43</v>
      </c>
      <c r="B10125" t="s">
        <v>40</v>
      </c>
      <c r="C10125" t="s">
        <v>36</v>
      </c>
      <c r="D10125" t="s">
        <v>33</v>
      </c>
      <c r="E10125" t="s">
        <v>26</v>
      </c>
      <c r="F10125" t="s">
        <v>19</v>
      </c>
      <c r="G10125" s="1" t="str">
        <f t="shared" si="2265"/>
        <v>...</v>
      </c>
      <c r="H10125" s="1" t="str">
        <f t="shared" si="2265"/>
        <v>...</v>
      </c>
      <c r="I10125" s="1" t="str">
        <f t="shared" si="2265"/>
        <v>...</v>
      </c>
      <c r="J10125" s="1" t="str">
        <f t="shared" si="2265"/>
        <v>...</v>
      </c>
      <c r="K10125" s="1" t="str">
        <f t="shared" si="2265"/>
        <v>...</v>
      </c>
      <c r="L10125" s="1" t="str">
        <f t="shared" si="2265"/>
        <v>...</v>
      </c>
      <c r="M10125" s="1" t="str">
        <f t="shared" si="2265"/>
        <v>...</v>
      </c>
      <c r="N10125" t="s">
        <v>30</v>
      </c>
    </row>
    <row r="10126" spans="1:14" x14ac:dyDescent="0.25">
      <c r="A10126" t="s">
        <v>43</v>
      </c>
      <c r="B10126" t="s">
        <v>40</v>
      </c>
      <c r="C10126" t="s">
        <v>36</v>
      </c>
      <c r="D10126" t="s">
        <v>33</v>
      </c>
      <c r="E10126" t="s">
        <v>26</v>
      </c>
      <c r="F10126" t="s">
        <v>20</v>
      </c>
      <c r="G10126" s="1" t="str">
        <f t="shared" ref="G10126:M10127" si="2266">"X"</f>
        <v>X</v>
      </c>
      <c r="H10126" s="1" t="str">
        <f t="shared" si="2266"/>
        <v>X</v>
      </c>
      <c r="I10126" s="1" t="str">
        <f t="shared" si="2266"/>
        <v>X</v>
      </c>
      <c r="J10126" s="1" t="str">
        <f t="shared" si="2266"/>
        <v>X</v>
      </c>
      <c r="K10126" s="1" t="str">
        <f t="shared" si="2266"/>
        <v>X</v>
      </c>
      <c r="L10126" s="1" t="str">
        <f t="shared" si="2266"/>
        <v>X</v>
      </c>
      <c r="M10126" s="1" t="str">
        <f t="shared" si="2266"/>
        <v>X</v>
      </c>
      <c r="N10126" t="s">
        <v>27</v>
      </c>
    </row>
    <row r="10127" spans="1:14" x14ac:dyDescent="0.25">
      <c r="A10127" t="s">
        <v>43</v>
      </c>
      <c r="B10127" t="s">
        <v>40</v>
      </c>
      <c r="C10127" t="s">
        <v>36</v>
      </c>
      <c r="D10127" t="s">
        <v>34</v>
      </c>
      <c r="E10127" t="s">
        <v>15</v>
      </c>
      <c r="F10127" t="s">
        <v>15</v>
      </c>
      <c r="G10127" s="1" t="str">
        <f t="shared" si="2266"/>
        <v>X</v>
      </c>
      <c r="H10127" s="1" t="str">
        <f t="shared" si="2266"/>
        <v>X</v>
      </c>
      <c r="I10127" s="1" t="str">
        <f t="shared" si="2266"/>
        <v>X</v>
      </c>
      <c r="J10127" s="1" t="str">
        <f t="shared" si="2266"/>
        <v>X</v>
      </c>
      <c r="K10127" s="1" t="str">
        <f t="shared" si="2266"/>
        <v>X</v>
      </c>
      <c r="L10127" s="1" t="str">
        <f t="shared" si="2266"/>
        <v>X</v>
      </c>
      <c r="M10127" s="1" t="str">
        <f t="shared" si="2266"/>
        <v>X</v>
      </c>
      <c r="N10127" t="s">
        <v>27</v>
      </c>
    </row>
    <row r="10128" spans="1:14" x14ac:dyDescent="0.25">
      <c r="A10128" t="s">
        <v>43</v>
      </c>
      <c r="B10128" t="s">
        <v>40</v>
      </c>
      <c r="C10128" t="s">
        <v>36</v>
      </c>
      <c r="D10128" t="s">
        <v>34</v>
      </c>
      <c r="E10128" t="s">
        <v>15</v>
      </c>
      <c r="F10128" t="s">
        <v>17</v>
      </c>
      <c r="G10128" s="1" t="str">
        <f t="shared" ref="G10128:M10129" si="2267">"..."</f>
        <v>...</v>
      </c>
      <c r="H10128" s="1" t="str">
        <f t="shared" si="2267"/>
        <v>...</v>
      </c>
      <c r="I10128" s="1" t="str">
        <f t="shared" si="2267"/>
        <v>...</v>
      </c>
      <c r="J10128" s="1" t="str">
        <f t="shared" si="2267"/>
        <v>...</v>
      </c>
      <c r="K10128" s="1" t="str">
        <f t="shared" si="2267"/>
        <v>...</v>
      </c>
      <c r="L10128" s="1" t="str">
        <f t="shared" si="2267"/>
        <v>...</v>
      </c>
      <c r="M10128" s="1" t="str">
        <f t="shared" si="2267"/>
        <v>...</v>
      </c>
      <c r="N10128" t="s">
        <v>30</v>
      </c>
    </row>
    <row r="10129" spans="1:14" x14ac:dyDescent="0.25">
      <c r="A10129" t="s">
        <v>43</v>
      </c>
      <c r="B10129" t="s">
        <v>40</v>
      </c>
      <c r="C10129" t="s">
        <v>36</v>
      </c>
      <c r="D10129" t="s">
        <v>34</v>
      </c>
      <c r="E10129" t="s">
        <v>15</v>
      </c>
      <c r="F10129" t="s">
        <v>18</v>
      </c>
      <c r="G10129" s="1" t="str">
        <f t="shared" si="2267"/>
        <v>...</v>
      </c>
      <c r="H10129" s="1" t="str">
        <f t="shared" si="2267"/>
        <v>...</v>
      </c>
      <c r="I10129" s="1" t="str">
        <f t="shared" si="2267"/>
        <v>...</v>
      </c>
      <c r="J10129" s="1" t="str">
        <f t="shared" si="2267"/>
        <v>...</v>
      </c>
      <c r="K10129" s="1" t="str">
        <f t="shared" si="2267"/>
        <v>...</v>
      </c>
      <c r="L10129" s="1" t="str">
        <f t="shared" si="2267"/>
        <v>...</v>
      </c>
      <c r="M10129" s="1" t="str">
        <f t="shared" si="2267"/>
        <v>...</v>
      </c>
      <c r="N10129" t="s">
        <v>30</v>
      </c>
    </row>
    <row r="10130" spans="1:14" x14ac:dyDescent="0.25">
      <c r="A10130" t="s">
        <v>43</v>
      </c>
      <c r="B10130" t="s">
        <v>40</v>
      </c>
      <c r="C10130" t="s">
        <v>36</v>
      </c>
      <c r="D10130" t="s">
        <v>34</v>
      </c>
      <c r="E10130" t="s">
        <v>15</v>
      </c>
      <c r="F10130" t="s">
        <v>19</v>
      </c>
      <c r="G10130" s="1" t="str">
        <f t="shared" ref="G10130:M10132" si="2268">"X"</f>
        <v>X</v>
      </c>
      <c r="H10130" s="1" t="str">
        <f t="shared" si="2268"/>
        <v>X</v>
      </c>
      <c r="I10130" s="1" t="str">
        <f t="shared" si="2268"/>
        <v>X</v>
      </c>
      <c r="J10130" s="1" t="str">
        <f t="shared" si="2268"/>
        <v>X</v>
      </c>
      <c r="K10130" s="1" t="str">
        <f t="shared" si="2268"/>
        <v>X</v>
      </c>
      <c r="L10130" s="1" t="str">
        <f t="shared" si="2268"/>
        <v>X</v>
      </c>
      <c r="M10130" s="1" t="str">
        <f t="shared" si="2268"/>
        <v>X</v>
      </c>
      <c r="N10130" t="s">
        <v>27</v>
      </c>
    </row>
    <row r="10131" spans="1:14" x14ac:dyDescent="0.25">
      <c r="A10131" t="s">
        <v>43</v>
      </c>
      <c r="B10131" t="s">
        <v>40</v>
      </c>
      <c r="C10131" t="s">
        <v>36</v>
      </c>
      <c r="D10131" t="s">
        <v>34</v>
      </c>
      <c r="E10131" t="s">
        <v>15</v>
      </c>
      <c r="F10131" t="s">
        <v>20</v>
      </c>
      <c r="G10131" s="1" t="str">
        <f t="shared" si="2268"/>
        <v>X</v>
      </c>
      <c r="H10131" s="1" t="str">
        <f t="shared" si="2268"/>
        <v>X</v>
      </c>
      <c r="I10131" s="1" t="str">
        <f t="shared" si="2268"/>
        <v>X</v>
      </c>
      <c r="J10131" s="1" t="str">
        <f t="shared" si="2268"/>
        <v>X</v>
      </c>
      <c r="K10131" s="1" t="str">
        <f t="shared" si="2268"/>
        <v>X</v>
      </c>
      <c r="L10131" s="1" t="str">
        <f t="shared" si="2268"/>
        <v>X</v>
      </c>
      <c r="M10131" s="1" t="str">
        <f t="shared" si="2268"/>
        <v>X</v>
      </c>
      <c r="N10131" t="s">
        <v>27</v>
      </c>
    </row>
    <row r="10132" spans="1:14" x14ac:dyDescent="0.25">
      <c r="A10132" t="s">
        <v>43</v>
      </c>
      <c r="B10132" t="s">
        <v>40</v>
      </c>
      <c r="C10132" t="s">
        <v>36</v>
      </c>
      <c r="D10132" t="s">
        <v>34</v>
      </c>
      <c r="E10132" t="s">
        <v>21</v>
      </c>
      <c r="F10132" t="s">
        <v>15</v>
      </c>
      <c r="G10132" s="1" t="str">
        <f t="shared" si="2268"/>
        <v>X</v>
      </c>
      <c r="H10132" s="1" t="str">
        <f t="shared" si="2268"/>
        <v>X</v>
      </c>
      <c r="I10132" s="1" t="str">
        <f t="shared" si="2268"/>
        <v>X</v>
      </c>
      <c r="J10132" s="1" t="str">
        <f t="shared" si="2268"/>
        <v>X</v>
      </c>
      <c r="K10132" s="1" t="str">
        <f t="shared" si="2268"/>
        <v>X</v>
      </c>
      <c r="L10132" s="1" t="str">
        <f t="shared" si="2268"/>
        <v>X</v>
      </c>
      <c r="M10132" s="1" t="str">
        <f t="shared" si="2268"/>
        <v>X</v>
      </c>
      <c r="N10132" t="s">
        <v>27</v>
      </c>
    </row>
    <row r="10133" spans="1:14" x14ac:dyDescent="0.25">
      <c r="A10133" t="s">
        <v>43</v>
      </c>
      <c r="B10133" t="s">
        <v>40</v>
      </c>
      <c r="C10133" t="s">
        <v>36</v>
      </c>
      <c r="D10133" t="s">
        <v>34</v>
      </c>
      <c r="E10133" t="s">
        <v>21</v>
      </c>
      <c r="F10133" t="s">
        <v>17</v>
      </c>
      <c r="G10133" s="1" t="str">
        <f t="shared" ref="G10133:M10135" si="2269">"..."</f>
        <v>...</v>
      </c>
      <c r="H10133" s="1" t="str">
        <f t="shared" si="2269"/>
        <v>...</v>
      </c>
      <c r="I10133" s="1" t="str">
        <f t="shared" si="2269"/>
        <v>...</v>
      </c>
      <c r="J10133" s="1" t="str">
        <f t="shared" si="2269"/>
        <v>...</v>
      </c>
      <c r="K10133" s="1" t="str">
        <f t="shared" si="2269"/>
        <v>...</v>
      </c>
      <c r="L10133" s="1" t="str">
        <f t="shared" si="2269"/>
        <v>...</v>
      </c>
      <c r="M10133" s="1" t="str">
        <f t="shared" si="2269"/>
        <v>...</v>
      </c>
      <c r="N10133" t="s">
        <v>30</v>
      </c>
    </row>
    <row r="10134" spans="1:14" x14ac:dyDescent="0.25">
      <c r="A10134" t="s">
        <v>43</v>
      </c>
      <c r="B10134" t="s">
        <v>40</v>
      </c>
      <c r="C10134" t="s">
        <v>36</v>
      </c>
      <c r="D10134" t="s">
        <v>34</v>
      </c>
      <c r="E10134" t="s">
        <v>21</v>
      </c>
      <c r="F10134" t="s">
        <v>18</v>
      </c>
      <c r="G10134" s="1" t="str">
        <f t="shared" si="2269"/>
        <v>...</v>
      </c>
      <c r="H10134" s="1" t="str">
        <f t="shared" si="2269"/>
        <v>...</v>
      </c>
      <c r="I10134" s="1" t="str">
        <f t="shared" si="2269"/>
        <v>...</v>
      </c>
      <c r="J10134" s="1" t="str">
        <f t="shared" si="2269"/>
        <v>...</v>
      </c>
      <c r="K10134" s="1" t="str">
        <f t="shared" si="2269"/>
        <v>...</v>
      </c>
      <c r="L10134" s="1" t="str">
        <f t="shared" si="2269"/>
        <v>...</v>
      </c>
      <c r="M10134" s="1" t="str">
        <f t="shared" si="2269"/>
        <v>...</v>
      </c>
      <c r="N10134" t="s">
        <v>30</v>
      </c>
    </row>
    <row r="10135" spans="1:14" x14ac:dyDescent="0.25">
      <c r="A10135" t="s">
        <v>43</v>
      </c>
      <c r="B10135" t="s">
        <v>40</v>
      </c>
      <c r="C10135" t="s">
        <v>36</v>
      </c>
      <c r="D10135" t="s">
        <v>34</v>
      </c>
      <c r="E10135" t="s">
        <v>21</v>
      </c>
      <c r="F10135" t="s">
        <v>19</v>
      </c>
      <c r="G10135" s="1" t="str">
        <f t="shared" si="2269"/>
        <v>...</v>
      </c>
      <c r="H10135" s="1" t="str">
        <f t="shared" si="2269"/>
        <v>...</v>
      </c>
      <c r="I10135" s="1" t="str">
        <f t="shared" si="2269"/>
        <v>...</v>
      </c>
      <c r="J10135" s="1" t="str">
        <f t="shared" si="2269"/>
        <v>...</v>
      </c>
      <c r="K10135" s="1" t="str">
        <f t="shared" si="2269"/>
        <v>...</v>
      </c>
      <c r="L10135" s="1" t="str">
        <f t="shared" si="2269"/>
        <v>...</v>
      </c>
      <c r="M10135" s="1" t="str">
        <f t="shared" si="2269"/>
        <v>...</v>
      </c>
      <c r="N10135" t="s">
        <v>30</v>
      </c>
    </row>
    <row r="10136" spans="1:14" x14ac:dyDescent="0.25">
      <c r="A10136" t="s">
        <v>43</v>
      </c>
      <c r="B10136" t="s">
        <v>40</v>
      </c>
      <c r="C10136" t="s">
        <v>36</v>
      </c>
      <c r="D10136" t="s">
        <v>34</v>
      </c>
      <c r="E10136" t="s">
        <v>21</v>
      </c>
      <c r="F10136" t="s">
        <v>20</v>
      </c>
      <c r="G10136" s="1" t="str">
        <f t="shared" ref="G10136:M10137" si="2270">"X"</f>
        <v>X</v>
      </c>
      <c r="H10136" s="1" t="str">
        <f t="shared" si="2270"/>
        <v>X</v>
      </c>
      <c r="I10136" s="1" t="str">
        <f t="shared" si="2270"/>
        <v>X</v>
      </c>
      <c r="J10136" s="1" t="str">
        <f t="shared" si="2270"/>
        <v>X</v>
      </c>
      <c r="K10136" s="1" t="str">
        <f t="shared" si="2270"/>
        <v>X</v>
      </c>
      <c r="L10136" s="1" t="str">
        <f t="shared" si="2270"/>
        <v>X</v>
      </c>
      <c r="M10136" s="1" t="str">
        <f t="shared" si="2270"/>
        <v>X</v>
      </c>
      <c r="N10136" t="s">
        <v>27</v>
      </c>
    </row>
    <row r="10137" spans="1:14" x14ac:dyDescent="0.25">
      <c r="A10137" t="s">
        <v>43</v>
      </c>
      <c r="B10137" t="s">
        <v>40</v>
      </c>
      <c r="C10137" t="s">
        <v>36</v>
      </c>
      <c r="D10137" t="s">
        <v>34</v>
      </c>
      <c r="E10137" t="s">
        <v>22</v>
      </c>
      <c r="F10137" t="s">
        <v>15</v>
      </c>
      <c r="G10137" s="1" t="str">
        <f t="shared" si="2270"/>
        <v>X</v>
      </c>
      <c r="H10137" s="1" t="str">
        <f t="shared" si="2270"/>
        <v>X</v>
      </c>
      <c r="I10137" s="1" t="str">
        <f t="shared" si="2270"/>
        <v>X</v>
      </c>
      <c r="J10137" s="1" t="str">
        <f t="shared" si="2270"/>
        <v>X</v>
      </c>
      <c r="K10137" s="1" t="str">
        <f t="shared" si="2270"/>
        <v>X</v>
      </c>
      <c r="L10137" s="1" t="str">
        <f t="shared" si="2270"/>
        <v>X</v>
      </c>
      <c r="M10137" s="1" t="str">
        <f t="shared" si="2270"/>
        <v>X</v>
      </c>
      <c r="N10137" t="s">
        <v>27</v>
      </c>
    </row>
    <row r="10138" spans="1:14" x14ac:dyDescent="0.25">
      <c r="A10138" t="s">
        <v>43</v>
      </c>
      <c r="B10138" t="s">
        <v>40</v>
      </c>
      <c r="C10138" t="s">
        <v>36</v>
      </c>
      <c r="D10138" t="s">
        <v>34</v>
      </c>
      <c r="E10138" t="s">
        <v>22</v>
      </c>
      <c r="F10138" t="s">
        <v>17</v>
      </c>
      <c r="G10138" s="1" t="str">
        <f t="shared" ref="G10138:M10139" si="2271">"..."</f>
        <v>...</v>
      </c>
      <c r="H10138" s="1" t="str">
        <f t="shared" si="2271"/>
        <v>...</v>
      </c>
      <c r="I10138" s="1" t="str">
        <f t="shared" si="2271"/>
        <v>...</v>
      </c>
      <c r="J10138" s="1" t="str">
        <f t="shared" si="2271"/>
        <v>...</v>
      </c>
      <c r="K10138" s="1" t="str">
        <f t="shared" si="2271"/>
        <v>...</v>
      </c>
      <c r="L10138" s="1" t="str">
        <f t="shared" si="2271"/>
        <v>...</v>
      </c>
      <c r="M10138" s="1" t="str">
        <f t="shared" si="2271"/>
        <v>...</v>
      </c>
      <c r="N10138" t="s">
        <v>30</v>
      </c>
    </row>
    <row r="10139" spans="1:14" x14ac:dyDescent="0.25">
      <c r="A10139" t="s">
        <v>43</v>
      </c>
      <c r="B10139" t="s">
        <v>40</v>
      </c>
      <c r="C10139" t="s">
        <v>36</v>
      </c>
      <c r="D10139" t="s">
        <v>34</v>
      </c>
      <c r="E10139" t="s">
        <v>22</v>
      </c>
      <c r="F10139" t="s">
        <v>18</v>
      </c>
      <c r="G10139" s="1" t="str">
        <f t="shared" si="2271"/>
        <v>...</v>
      </c>
      <c r="H10139" s="1" t="str">
        <f t="shared" si="2271"/>
        <v>...</v>
      </c>
      <c r="I10139" s="1" t="str">
        <f t="shared" si="2271"/>
        <v>...</v>
      </c>
      <c r="J10139" s="1" t="str">
        <f t="shared" si="2271"/>
        <v>...</v>
      </c>
      <c r="K10139" s="1" t="str">
        <f t="shared" si="2271"/>
        <v>...</v>
      </c>
      <c r="L10139" s="1" t="str">
        <f t="shared" si="2271"/>
        <v>...</v>
      </c>
      <c r="M10139" s="1" t="str">
        <f t="shared" si="2271"/>
        <v>...</v>
      </c>
      <c r="N10139" t="s">
        <v>30</v>
      </c>
    </row>
    <row r="10140" spans="1:14" x14ac:dyDescent="0.25">
      <c r="A10140" t="s">
        <v>43</v>
      </c>
      <c r="B10140" t="s">
        <v>40</v>
      </c>
      <c r="C10140" t="s">
        <v>36</v>
      </c>
      <c r="D10140" t="s">
        <v>34</v>
      </c>
      <c r="E10140" t="s">
        <v>22</v>
      </c>
      <c r="F10140" t="s">
        <v>19</v>
      </c>
      <c r="G10140" s="1" t="str">
        <f t="shared" ref="G10140:M10142" si="2272">"X"</f>
        <v>X</v>
      </c>
      <c r="H10140" s="1" t="str">
        <f t="shared" si="2272"/>
        <v>X</v>
      </c>
      <c r="I10140" s="1" t="str">
        <f t="shared" si="2272"/>
        <v>X</v>
      </c>
      <c r="J10140" s="1" t="str">
        <f t="shared" si="2272"/>
        <v>X</v>
      </c>
      <c r="K10140" s="1" t="str">
        <f t="shared" si="2272"/>
        <v>X</v>
      </c>
      <c r="L10140" s="1" t="str">
        <f t="shared" si="2272"/>
        <v>X</v>
      </c>
      <c r="M10140" s="1" t="str">
        <f t="shared" si="2272"/>
        <v>X</v>
      </c>
      <c r="N10140" t="s">
        <v>27</v>
      </c>
    </row>
    <row r="10141" spans="1:14" x14ac:dyDescent="0.25">
      <c r="A10141" t="s">
        <v>43</v>
      </c>
      <c r="B10141" t="s">
        <v>40</v>
      </c>
      <c r="C10141" t="s">
        <v>36</v>
      </c>
      <c r="D10141" t="s">
        <v>34</v>
      </c>
      <c r="E10141" t="s">
        <v>22</v>
      </c>
      <c r="F10141" t="s">
        <v>20</v>
      </c>
      <c r="G10141" s="1" t="str">
        <f t="shared" si="2272"/>
        <v>X</v>
      </c>
      <c r="H10141" s="1" t="str">
        <f t="shared" si="2272"/>
        <v>X</v>
      </c>
      <c r="I10141" s="1" t="str">
        <f t="shared" si="2272"/>
        <v>X</v>
      </c>
      <c r="J10141" s="1" t="str">
        <f t="shared" si="2272"/>
        <v>X</v>
      </c>
      <c r="K10141" s="1" t="str">
        <f t="shared" si="2272"/>
        <v>X</v>
      </c>
      <c r="L10141" s="1" t="str">
        <f t="shared" si="2272"/>
        <v>X</v>
      </c>
      <c r="M10141" s="1" t="str">
        <f t="shared" si="2272"/>
        <v>X</v>
      </c>
      <c r="N10141" t="s">
        <v>27</v>
      </c>
    </row>
    <row r="10142" spans="1:14" x14ac:dyDescent="0.25">
      <c r="A10142" t="s">
        <v>43</v>
      </c>
      <c r="B10142" t="s">
        <v>40</v>
      </c>
      <c r="C10142" t="s">
        <v>36</v>
      </c>
      <c r="D10142" t="s">
        <v>34</v>
      </c>
      <c r="E10142" t="s">
        <v>23</v>
      </c>
      <c r="F10142" t="s">
        <v>15</v>
      </c>
      <c r="G10142" s="1" t="str">
        <f t="shared" si="2272"/>
        <v>X</v>
      </c>
      <c r="H10142" s="1" t="str">
        <f t="shared" si="2272"/>
        <v>X</v>
      </c>
      <c r="I10142" s="1" t="str">
        <f t="shared" si="2272"/>
        <v>X</v>
      </c>
      <c r="J10142" s="1" t="str">
        <f t="shared" si="2272"/>
        <v>X</v>
      </c>
      <c r="K10142" s="1" t="str">
        <f t="shared" si="2272"/>
        <v>X</v>
      </c>
      <c r="L10142" s="1" t="str">
        <f t="shared" si="2272"/>
        <v>X</v>
      </c>
      <c r="M10142" s="1" t="str">
        <f t="shared" si="2272"/>
        <v>X</v>
      </c>
      <c r="N10142" t="s">
        <v>27</v>
      </c>
    </row>
    <row r="10143" spans="1:14" x14ac:dyDescent="0.25">
      <c r="A10143" t="s">
        <v>43</v>
      </c>
      <c r="B10143" t="s">
        <v>40</v>
      </c>
      <c r="C10143" t="s">
        <v>36</v>
      </c>
      <c r="D10143" t="s">
        <v>34</v>
      </c>
      <c r="E10143" t="s">
        <v>23</v>
      </c>
      <c r="F10143" t="s">
        <v>17</v>
      </c>
      <c r="G10143" s="1" t="str">
        <f t="shared" ref="G10143:M10145" si="2273">"..."</f>
        <v>...</v>
      </c>
      <c r="H10143" s="1" t="str">
        <f t="shared" si="2273"/>
        <v>...</v>
      </c>
      <c r="I10143" s="1" t="str">
        <f t="shared" si="2273"/>
        <v>...</v>
      </c>
      <c r="J10143" s="1" t="str">
        <f t="shared" si="2273"/>
        <v>...</v>
      </c>
      <c r="K10143" s="1" t="str">
        <f t="shared" si="2273"/>
        <v>...</v>
      </c>
      <c r="L10143" s="1" t="str">
        <f t="shared" si="2273"/>
        <v>...</v>
      </c>
      <c r="M10143" s="1" t="str">
        <f t="shared" si="2273"/>
        <v>...</v>
      </c>
      <c r="N10143" t="s">
        <v>30</v>
      </c>
    </row>
    <row r="10144" spans="1:14" x14ac:dyDescent="0.25">
      <c r="A10144" t="s">
        <v>43</v>
      </c>
      <c r="B10144" t="s">
        <v>40</v>
      </c>
      <c r="C10144" t="s">
        <v>36</v>
      </c>
      <c r="D10144" t="s">
        <v>34</v>
      </c>
      <c r="E10144" t="s">
        <v>23</v>
      </c>
      <c r="F10144" t="s">
        <v>18</v>
      </c>
      <c r="G10144" s="1" t="str">
        <f t="shared" si="2273"/>
        <v>...</v>
      </c>
      <c r="H10144" s="1" t="str">
        <f t="shared" si="2273"/>
        <v>...</v>
      </c>
      <c r="I10144" s="1" t="str">
        <f t="shared" si="2273"/>
        <v>...</v>
      </c>
      <c r="J10144" s="1" t="str">
        <f t="shared" si="2273"/>
        <v>...</v>
      </c>
      <c r="K10144" s="1" t="str">
        <f t="shared" si="2273"/>
        <v>...</v>
      </c>
      <c r="L10144" s="1" t="str">
        <f t="shared" si="2273"/>
        <v>...</v>
      </c>
      <c r="M10144" s="1" t="str">
        <f t="shared" si="2273"/>
        <v>...</v>
      </c>
      <c r="N10144" t="s">
        <v>30</v>
      </c>
    </row>
    <row r="10145" spans="1:14" x14ac:dyDescent="0.25">
      <c r="A10145" t="s">
        <v>43</v>
      </c>
      <c r="B10145" t="s">
        <v>40</v>
      </c>
      <c r="C10145" t="s">
        <v>36</v>
      </c>
      <c r="D10145" t="s">
        <v>34</v>
      </c>
      <c r="E10145" t="s">
        <v>23</v>
      </c>
      <c r="F10145" t="s">
        <v>19</v>
      </c>
      <c r="G10145" s="1" t="str">
        <f t="shared" si="2273"/>
        <v>...</v>
      </c>
      <c r="H10145" s="1" t="str">
        <f t="shared" si="2273"/>
        <v>...</v>
      </c>
      <c r="I10145" s="1" t="str">
        <f t="shared" si="2273"/>
        <v>...</v>
      </c>
      <c r="J10145" s="1" t="str">
        <f t="shared" si="2273"/>
        <v>...</v>
      </c>
      <c r="K10145" s="1" t="str">
        <f t="shared" si="2273"/>
        <v>...</v>
      </c>
      <c r="L10145" s="1" t="str">
        <f t="shared" si="2273"/>
        <v>...</v>
      </c>
      <c r="M10145" s="1" t="str">
        <f t="shared" si="2273"/>
        <v>...</v>
      </c>
      <c r="N10145" t="s">
        <v>30</v>
      </c>
    </row>
    <row r="10146" spans="1:14" x14ac:dyDescent="0.25">
      <c r="A10146" t="s">
        <v>43</v>
      </c>
      <c r="B10146" t="s">
        <v>40</v>
      </c>
      <c r="C10146" t="s">
        <v>36</v>
      </c>
      <c r="D10146" t="s">
        <v>34</v>
      </c>
      <c r="E10146" t="s">
        <v>23</v>
      </c>
      <c r="F10146" t="s">
        <v>20</v>
      </c>
      <c r="G10146" s="1" t="str">
        <f t="shared" ref="G10146:M10146" si="2274">"X"</f>
        <v>X</v>
      </c>
      <c r="H10146" s="1" t="str">
        <f t="shared" si="2274"/>
        <v>X</v>
      </c>
      <c r="I10146" s="1" t="str">
        <f t="shared" si="2274"/>
        <v>X</v>
      </c>
      <c r="J10146" s="1" t="str">
        <f t="shared" si="2274"/>
        <v>X</v>
      </c>
      <c r="K10146" s="1" t="str">
        <f t="shared" si="2274"/>
        <v>X</v>
      </c>
      <c r="L10146" s="1" t="str">
        <f t="shared" si="2274"/>
        <v>X</v>
      </c>
      <c r="M10146" s="1" t="str">
        <f t="shared" si="2274"/>
        <v>X</v>
      </c>
      <c r="N10146" t="s">
        <v>27</v>
      </c>
    </row>
    <row r="10147" spans="1:14" x14ac:dyDescent="0.25">
      <c r="A10147" t="s">
        <v>43</v>
      </c>
      <c r="B10147" t="s">
        <v>40</v>
      </c>
      <c r="C10147" t="s">
        <v>36</v>
      </c>
      <c r="D10147" t="s">
        <v>34</v>
      </c>
      <c r="E10147" t="s">
        <v>26</v>
      </c>
      <c r="F10147" t="s">
        <v>15</v>
      </c>
      <c r="G10147" s="1" t="str">
        <f t="shared" ref="G10147:M10151" si="2275">"..."</f>
        <v>...</v>
      </c>
      <c r="H10147" s="1" t="str">
        <f t="shared" si="2275"/>
        <v>...</v>
      </c>
      <c r="I10147" s="1" t="str">
        <f t="shared" si="2275"/>
        <v>...</v>
      </c>
      <c r="J10147" s="1" t="str">
        <f t="shared" si="2275"/>
        <v>...</v>
      </c>
      <c r="K10147" s="1" t="str">
        <f t="shared" si="2275"/>
        <v>...</v>
      </c>
      <c r="L10147" s="1" t="str">
        <f t="shared" si="2275"/>
        <v>...</v>
      </c>
      <c r="M10147" s="1" t="str">
        <f t="shared" si="2275"/>
        <v>...</v>
      </c>
      <c r="N10147" t="s">
        <v>30</v>
      </c>
    </row>
    <row r="10148" spans="1:14" x14ac:dyDescent="0.25">
      <c r="A10148" t="s">
        <v>43</v>
      </c>
      <c r="B10148" t="s">
        <v>40</v>
      </c>
      <c r="C10148" t="s">
        <v>36</v>
      </c>
      <c r="D10148" t="s">
        <v>34</v>
      </c>
      <c r="E10148" t="s">
        <v>26</v>
      </c>
      <c r="F10148" t="s">
        <v>17</v>
      </c>
      <c r="G10148" s="1" t="str">
        <f t="shared" si="2275"/>
        <v>...</v>
      </c>
      <c r="H10148" s="1" t="str">
        <f t="shared" si="2275"/>
        <v>...</v>
      </c>
      <c r="I10148" s="1" t="str">
        <f t="shared" si="2275"/>
        <v>...</v>
      </c>
      <c r="J10148" s="1" t="str">
        <f t="shared" si="2275"/>
        <v>...</v>
      </c>
      <c r="K10148" s="1" t="str">
        <f t="shared" si="2275"/>
        <v>...</v>
      </c>
      <c r="L10148" s="1" t="str">
        <f t="shared" si="2275"/>
        <v>...</v>
      </c>
      <c r="M10148" s="1" t="str">
        <f t="shared" si="2275"/>
        <v>...</v>
      </c>
      <c r="N10148" t="s">
        <v>30</v>
      </c>
    </row>
    <row r="10149" spans="1:14" x14ac:dyDescent="0.25">
      <c r="A10149" t="s">
        <v>43</v>
      </c>
      <c r="B10149" t="s">
        <v>40</v>
      </c>
      <c r="C10149" t="s">
        <v>36</v>
      </c>
      <c r="D10149" t="s">
        <v>34</v>
      </c>
      <c r="E10149" t="s">
        <v>26</v>
      </c>
      <c r="F10149" t="s">
        <v>18</v>
      </c>
      <c r="G10149" s="1" t="str">
        <f t="shared" si="2275"/>
        <v>...</v>
      </c>
      <c r="H10149" s="1" t="str">
        <f t="shared" si="2275"/>
        <v>...</v>
      </c>
      <c r="I10149" s="1" t="str">
        <f t="shared" si="2275"/>
        <v>...</v>
      </c>
      <c r="J10149" s="1" t="str">
        <f t="shared" si="2275"/>
        <v>...</v>
      </c>
      <c r="K10149" s="1" t="str">
        <f t="shared" si="2275"/>
        <v>...</v>
      </c>
      <c r="L10149" s="1" t="str">
        <f t="shared" si="2275"/>
        <v>...</v>
      </c>
      <c r="M10149" s="1" t="str">
        <f t="shared" si="2275"/>
        <v>...</v>
      </c>
      <c r="N10149" t="s">
        <v>30</v>
      </c>
    </row>
    <row r="10150" spans="1:14" x14ac:dyDescent="0.25">
      <c r="A10150" t="s">
        <v>43</v>
      </c>
      <c r="B10150" t="s">
        <v>40</v>
      </c>
      <c r="C10150" t="s">
        <v>36</v>
      </c>
      <c r="D10150" t="s">
        <v>34</v>
      </c>
      <c r="E10150" t="s">
        <v>26</v>
      </c>
      <c r="F10150" t="s">
        <v>19</v>
      </c>
      <c r="G10150" s="1" t="str">
        <f t="shared" si="2275"/>
        <v>...</v>
      </c>
      <c r="H10150" s="1" t="str">
        <f t="shared" si="2275"/>
        <v>...</v>
      </c>
      <c r="I10150" s="1" t="str">
        <f t="shared" si="2275"/>
        <v>...</v>
      </c>
      <c r="J10150" s="1" t="str">
        <f t="shared" si="2275"/>
        <v>...</v>
      </c>
      <c r="K10150" s="1" t="str">
        <f t="shared" si="2275"/>
        <v>...</v>
      </c>
      <c r="L10150" s="1" t="str">
        <f t="shared" si="2275"/>
        <v>...</v>
      </c>
      <c r="M10150" s="1" t="str">
        <f t="shared" si="2275"/>
        <v>...</v>
      </c>
      <c r="N10150" t="s">
        <v>30</v>
      </c>
    </row>
    <row r="10151" spans="1:14" x14ac:dyDescent="0.25">
      <c r="A10151" t="s">
        <v>43</v>
      </c>
      <c r="B10151" t="s">
        <v>40</v>
      </c>
      <c r="C10151" t="s">
        <v>36</v>
      </c>
      <c r="D10151" t="s">
        <v>34</v>
      </c>
      <c r="E10151" t="s">
        <v>26</v>
      </c>
      <c r="F10151" t="s">
        <v>20</v>
      </c>
      <c r="G10151" s="1" t="str">
        <f t="shared" si="2275"/>
        <v>...</v>
      </c>
      <c r="H10151" s="1" t="str">
        <f t="shared" si="2275"/>
        <v>...</v>
      </c>
      <c r="I10151" s="1" t="str">
        <f t="shared" si="2275"/>
        <v>...</v>
      </c>
      <c r="J10151" s="1" t="str">
        <f t="shared" si="2275"/>
        <v>...</v>
      </c>
      <c r="K10151" s="1" t="str">
        <f t="shared" si="2275"/>
        <v>...</v>
      </c>
      <c r="L10151" s="1" t="str">
        <f t="shared" si="2275"/>
        <v>...</v>
      </c>
      <c r="M10151" s="1" t="str">
        <f t="shared" si="2275"/>
        <v>...</v>
      </c>
      <c r="N10151" t="s">
        <v>30</v>
      </c>
    </row>
    <row r="10152" spans="1:14" x14ac:dyDescent="0.25">
      <c r="A10152" t="s">
        <v>43</v>
      </c>
      <c r="B10152" t="s">
        <v>40</v>
      </c>
      <c r="C10152" t="s">
        <v>37</v>
      </c>
      <c r="D10152" t="s">
        <v>15</v>
      </c>
      <c r="E10152" t="s">
        <v>15</v>
      </c>
      <c r="F10152" t="s">
        <v>15</v>
      </c>
      <c r="G10152" s="1">
        <f>VALUE(25452.98)</f>
        <v>25452.98</v>
      </c>
      <c r="H10152" s="1">
        <f>VALUE(18212.85)</f>
        <v>18212.849999999999</v>
      </c>
      <c r="I10152" s="1">
        <f>VALUE(3156)</f>
        <v>3156</v>
      </c>
      <c r="J10152" s="1">
        <f>VALUE(3668)</f>
        <v>3668</v>
      </c>
      <c r="K10152" s="1">
        <f>VALUE(4635)</f>
        <v>4635</v>
      </c>
      <c r="L10152" s="1">
        <f>VALUE(6064)</f>
        <v>6064</v>
      </c>
      <c r="M10152" s="1">
        <f>VALUE(7685)</f>
        <v>7685</v>
      </c>
      <c r="N10152" t="s">
        <v>16</v>
      </c>
    </row>
    <row r="10153" spans="1:14" x14ac:dyDescent="0.25">
      <c r="A10153" t="s">
        <v>43</v>
      </c>
      <c r="B10153" t="s">
        <v>40</v>
      </c>
      <c r="C10153" t="s">
        <v>37</v>
      </c>
      <c r="D10153" t="s">
        <v>15</v>
      </c>
      <c r="E10153" t="s">
        <v>15</v>
      </c>
      <c r="F10153" t="s">
        <v>17</v>
      </c>
      <c r="G10153" s="2">
        <f>VALUE(2349.03)</f>
        <v>2349.0300000000002</v>
      </c>
      <c r="H10153" s="3">
        <f>VALUE(1879.48)</f>
        <v>1879.48</v>
      </c>
      <c r="I10153" s="4">
        <f>VALUE(4333)</f>
        <v>4333</v>
      </c>
      <c r="J10153" s="5">
        <f>VALUE(5329)</f>
        <v>5329</v>
      </c>
      <c r="K10153" s="1">
        <f>VALUE(7004)</f>
        <v>7004</v>
      </c>
      <c r="L10153" s="1">
        <f>VALUE(8965)</f>
        <v>8965</v>
      </c>
      <c r="M10153" s="1">
        <f>VALUE(11667)</f>
        <v>11667</v>
      </c>
      <c r="N10153" t="s">
        <v>25</v>
      </c>
    </row>
    <row r="10154" spans="1:14" x14ac:dyDescent="0.25">
      <c r="A10154" t="s">
        <v>43</v>
      </c>
      <c r="B10154" t="s">
        <v>40</v>
      </c>
      <c r="C10154" t="s">
        <v>37</v>
      </c>
      <c r="D10154" t="s">
        <v>15</v>
      </c>
      <c r="E10154" t="s">
        <v>15</v>
      </c>
      <c r="F10154" t="s">
        <v>18</v>
      </c>
      <c r="G10154" s="2">
        <f>VALUE(2424.81)</f>
        <v>2424.81</v>
      </c>
      <c r="H10154" s="3">
        <f>VALUE(1954.11)</f>
        <v>1954.11</v>
      </c>
      <c r="I10154" s="4">
        <f>VALUE(3885)</f>
        <v>3885</v>
      </c>
      <c r="J10154" s="5">
        <f>VALUE(4661)</f>
        <v>4661</v>
      </c>
      <c r="K10154" s="1">
        <f>VALUE(6062)</f>
        <v>6062</v>
      </c>
      <c r="L10154" s="1">
        <f>VALUE(7659)</f>
        <v>7659</v>
      </c>
      <c r="M10154" s="1">
        <f>VALUE(9453)</f>
        <v>9453</v>
      </c>
      <c r="N10154" t="s">
        <v>25</v>
      </c>
    </row>
    <row r="10155" spans="1:14" x14ac:dyDescent="0.25">
      <c r="A10155" t="s">
        <v>43</v>
      </c>
      <c r="B10155" t="s">
        <v>40</v>
      </c>
      <c r="C10155" t="s">
        <v>37</v>
      </c>
      <c r="D10155" t="s">
        <v>15</v>
      </c>
      <c r="E10155" t="s">
        <v>15</v>
      </c>
      <c r="F10155" t="s">
        <v>19</v>
      </c>
      <c r="G10155" s="2">
        <f>VALUE(2754.47)</f>
        <v>2754.47</v>
      </c>
      <c r="H10155" s="3">
        <f>VALUE(2240.56)</f>
        <v>2240.56</v>
      </c>
      <c r="I10155" s="4">
        <f>VALUE(3687)</f>
        <v>3687</v>
      </c>
      <c r="J10155" s="1">
        <f>VALUE(4230)</f>
        <v>4230</v>
      </c>
      <c r="K10155" s="1">
        <f>VALUE(5098)</f>
        <v>5098</v>
      </c>
      <c r="L10155" s="1">
        <f>VALUE(6474)</f>
        <v>6474</v>
      </c>
      <c r="M10155" s="1">
        <f>VALUE(7696)</f>
        <v>7696</v>
      </c>
      <c r="N10155" t="s">
        <v>25</v>
      </c>
    </row>
    <row r="10156" spans="1:14" x14ac:dyDescent="0.25">
      <c r="A10156" t="s">
        <v>43</v>
      </c>
      <c r="B10156" t="s">
        <v>40</v>
      </c>
      <c r="C10156" t="s">
        <v>37</v>
      </c>
      <c r="D10156" t="s">
        <v>15</v>
      </c>
      <c r="E10156" t="s">
        <v>15</v>
      </c>
      <c r="F10156" t="s">
        <v>20</v>
      </c>
      <c r="G10156" s="1">
        <f>VALUE(17924.67)</f>
        <v>17924.669999999998</v>
      </c>
      <c r="H10156" s="1">
        <f>VALUE(12138.7)</f>
        <v>12138.7</v>
      </c>
      <c r="I10156" s="1">
        <f>VALUE(3007)</f>
        <v>3007</v>
      </c>
      <c r="J10156" s="1">
        <f>VALUE(3467)</f>
        <v>3467</v>
      </c>
      <c r="K10156" s="1">
        <f>VALUE(4150)</f>
        <v>4150</v>
      </c>
      <c r="L10156" s="1">
        <f>VALUE(5305)</f>
        <v>5305</v>
      </c>
      <c r="M10156" s="1">
        <f>VALUE(6535)</f>
        <v>6535</v>
      </c>
      <c r="N10156" t="s">
        <v>16</v>
      </c>
    </row>
    <row r="10157" spans="1:14" x14ac:dyDescent="0.25">
      <c r="A10157" t="s">
        <v>43</v>
      </c>
      <c r="B10157" t="s">
        <v>40</v>
      </c>
      <c r="C10157" t="s">
        <v>37</v>
      </c>
      <c r="D10157" t="s">
        <v>15</v>
      </c>
      <c r="E10157" t="s">
        <v>21</v>
      </c>
      <c r="F10157" t="s">
        <v>15</v>
      </c>
      <c r="G10157" s="1">
        <f>VALUE(5001.95)</f>
        <v>5001.95</v>
      </c>
      <c r="H10157" s="1">
        <f>VALUE(3772.41)</f>
        <v>3772.41</v>
      </c>
      <c r="I10157" s="4">
        <f>VALUE(4239)</f>
        <v>4239</v>
      </c>
      <c r="J10157" s="1">
        <f>VALUE(5200)</f>
        <v>5200</v>
      </c>
      <c r="K10157" s="1">
        <f>VALUE(6472)</f>
        <v>6472</v>
      </c>
      <c r="L10157" s="1">
        <f>VALUE(8026)</f>
        <v>8026</v>
      </c>
      <c r="M10157" s="1">
        <f>VALUE(10133)</f>
        <v>10133</v>
      </c>
      <c r="N10157" t="s">
        <v>25</v>
      </c>
    </row>
    <row r="10158" spans="1:14" x14ac:dyDescent="0.25">
      <c r="A10158" t="s">
        <v>43</v>
      </c>
      <c r="B10158" t="s">
        <v>40</v>
      </c>
      <c r="C10158" t="s">
        <v>37</v>
      </c>
      <c r="D10158" t="s">
        <v>15</v>
      </c>
      <c r="E10158" t="s">
        <v>21</v>
      </c>
      <c r="F10158" t="s">
        <v>17</v>
      </c>
      <c r="G10158" s="2">
        <f>VALUE(1065.31)</f>
        <v>1065.31</v>
      </c>
      <c r="H10158" s="3">
        <f>VALUE(869.3)</f>
        <v>869.3</v>
      </c>
      <c r="I10158" s="1">
        <f>VALUE(5349)</f>
        <v>5349</v>
      </c>
      <c r="J10158" s="1">
        <f>VALUE(6469)</f>
        <v>6469</v>
      </c>
      <c r="K10158" s="6">
        <f>VALUE(7930)</f>
        <v>7930</v>
      </c>
      <c r="L10158" s="1">
        <f>VALUE(10461)</f>
        <v>10461</v>
      </c>
      <c r="M10158" s="1">
        <f>VALUE(13491)</f>
        <v>13491</v>
      </c>
      <c r="N10158" t="s">
        <v>25</v>
      </c>
    </row>
    <row r="10159" spans="1:14" x14ac:dyDescent="0.25">
      <c r="A10159" t="s">
        <v>43</v>
      </c>
      <c r="B10159" t="s">
        <v>40</v>
      </c>
      <c r="C10159" t="s">
        <v>37</v>
      </c>
      <c r="D10159" t="s">
        <v>15</v>
      </c>
      <c r="E10159" t="s">
        <v>21</v>
      </c>
      <c r="F10159" t="s">
        <v>18</v>
      </c>
      <c r="G10159" s="2">
        <f>VALUE(998.53)</f>
        <v>998.53</v>
      </c>
      <c r="H10159" s="3">
        <f>VALUE(788.82)</f>
        <v>788.82</v>
      </c>
      <c r="I10159" s="1">
        <f>VALUE(4239)</f>
        <v>4239</v>
      </c>
      <c r="J10159" s="1">
        <f>VALUE(5707)</f>
        <v>5707</v>
      </c>
      <c r="K10159" s="1">
        <f>VALUE(7042)</f>
        <v>7042</v>
      </c>
      <c r="L10159" s="1">
        <f>VALUE(8500)</f>
        <v>8500</v>
      </c>
      <c r="M10159" s="1">
        <f>VALUE(10073)</f>
        <v>10073</v>
      </c>
      <c r="N10159" t="s">
        <v>25</v>
      </c>
    </row>
    <row r="10160" spans="1:14" x14ac:dyDescent="0.25">
      <c r="A10160" t="s">
        <v>43</v>
      </c>
      <c r="B10160" t="s">
        <v>40</v>
      </c>
      <c r="C10160" t="s">
        <v>37</v>
      </c>
      <c r="D10160" t="s">
        <v>15</v>
      </c>
      <c r="E10160" t="s">
        <v>21</v>
      </c>
      <c r="F10160" t="s">
        <v>19</v>
      </c>
      <c r="G10160" s="2">
        <f>VALUE(666.09)</f>
        <v>666.09</v>
      </c>
      <c r="H10160" s="3">
        <f>VALUE(510.21)</f>
        <v>510.21</v>
      </c>
      <c r="I10160" s="1">
        <f>VALUE(4694)</f>
        <v>4694</v>
      </c>
      <c r="J10160" s="1">
        <f>VALUE(5504)</f>
        <v>5504</v>
      </c>
      <c r="K10160" s="1">
        <f>VALUE(6700)</f>
        <v>6700</v>
      </c>
      <c r="L10160" s="1">
        <f>VALUE(7669)</f>
        <v>7669</v>
      </c>
      <c r="M10160" s="1">
        <f>VALUE(8459)</f>
        <v>8459</v>
      </c>
      <c r="N10160" t="s">
        <v>25</v>
      </c>
    </row>
    <row r="10161" spans="1:14" x14ac:dyDescent="0.25">
      <c r="A10161" t="s">
        <v>43</v>
      </c>
      <c r="B10161" t="s">
        <v>40</v>
      </c>
      <c r="C10161" t="s">
        <v>37</v>
      </c>
      <c r="D10161" t="s">
        <v>15</v>
      </c>
      <c r="E10161" t="s">
        <v>21</v>
      </c>
      <c r="F10161" t="s">
        <v>20</v>
      </c>
      <c r="G10161" s="2">
        <f>VALUE(2272.02)</f>
        <v>2272.02</v>
      </c>
      <c r="H10161" s="3">
        <f>VALUE(1604.08)</f>
        <v>1604.08</v>
      </c>
      <c r="I10161" s="1">
        <f>VALUE(3900)</f>
        <v>3900</v>
      </c>
      <c r="J10161" s="1">
        <f>VALUE(4621)</f>
        <v>4621</v>
      </c>
      <c r="K10161" s="1">
        <f>VALUE(5527)</f>
        <v>5527</v>
      </c>
      <c r="L10161" s="1">
        <f>VALUE(6940)</f>
        <v>6940</v>
      </c>
      <c r="M10161" s="1">
        <f>VALUE(8080)</f>
        <v>8080</v>
      </c>
      <c r="N10161" t="s">
        <v>25</v>
      </c>
    </row>
    <row r="10162" spans="1:14" x14ac:dyDescent="0.25">
      <c r="A10162" t="s">
        <v>43</v>
      </c>
      <c r="B10162" t="s">
        <v>40</v>
      </c>
      <c r="C10162" t="s">
        <v>37</v>
      </c>
      <c r="D10162" t="s">
        <v>15</v>
      </c>
      <c r="E10162" t="s">
        <v>22</v>
      </c>
      <c r="F10162" t="s">
        <v>15</v>
      </c>
      <c r="G10162" s="1">
        <f>VALUE(11422.76)</f>
        <v>11422.76</v>
      </c>
      <c r="H10162" s="1">
        <f>VALUE(8406.48)</f>
        <v>8406.48</v>
      </c>
      <c r="I10162" s="1">
        <f>VALUE(3581)</f>
        <v>3581</v>
      </c>
      <c r="J10162" s="1">
        <f>VALUE(4127)</f>
        <v>4127</v>
      </c>
      <c r="K10162" s="1">
        <f>VALUE(4967)</f>
        <v>4967</v>
      </c>
      <c r="L10162" s="1">
        <f>VALUE(6128)</f>
        <v>6128</v>
      </c>
      <c r="M10162" s="1">
        <f>VALUE(7475)</f>
        <v>7475</v>
      </c>
      <c r="N10162" t="s">
        <v>16</v>
      </c>
    </row>
    <row r="10163" spans="1:14" x14ac:dyDescent="0.25">
      <c r="A10163" t="s">
        <v>43</v>
      </c>
      <c r="B10163" t="s">
        <v>40</v>
      </c>
      <c r="C10163" t="s">
        <v>37</v>
      </c>
      <c r="D10163" t="s">
        <v>15</v>
      </c>
      <c r="E10163" t="s">
        <v>22</v>
      </c>
      <c r="F10163" t="s">
        <v>17</v>
      </c>
      <c r="G10163" s="2">
        <f>VALUE(1012.69)</f>
        <v>1012.69</v>
      </c>
      <c r="H10163" s="3">
        <f>VALUE(756.03)</f>
        <v>756.03</v>
      </c>
      <c r="I10163" s="4">
        <f>VALUE(4442)</f>
        <v>4442</v>
      </c>
      <c r="J10163" s="5">
        <f>VALUE(4667)</f>
        <v>4667</v>
      </c>
      <c r="K10163" s="6">
        <f>VALUE(6475)</f>
        <v>6475</v>
      </c>
      <c r="L10163" s="7">
        <f>VALUE(7675)</f>
        <v>7675</v>
      </c>
      <c r="M10163" s="1">
        <f>VALUE(9466)</f>
        <v>9466</v>
      </c>
      <c r="N10163" t="s">
        <v>25</v>
      </c>
    </row>
    <row r="10164" spans="1:14" x14ac:dyDescent="0.25">
      <c r="A10164" t="s">
        <v>43</v>
      </c>
      <c r="B10164" t="s">
        <v>40</v>
      </c>
      <c r="C10164" t="s">
        <v>37</v>
      </c>
      <c r="D10164" t="s">
        <v>15</v>
      </c>
      <c r="E10164" t="s">
        <v>22</v>
      </c>
      <c r="F10164" t="s">
        <v>18</v>
      </c>
      <c r="G10164" s="2">
        <f>VALUE(1112.61)</f>
        <v>1112.6099999999999</v>
      </c>
      <c r="H10164" s="3">
        <f>VALUE(924.6)</f>
        <v>924.6</v>
      </c>
      <c r="I10164" s="1">
        <f>VALUE(4127)</f>
        <v>4127</v>
      </c>
      <c r="J10164" s="1">
        <f>VALUE(4756)</f>
        <v>4756</v>
      </c>
      <c r="K10164" s="1">
        <f>VALUE(5777)</f>
        <v>5777</v>
      </c>
      <c r="L10164" s="1">
        <f>VALUE(6752)</f>
        <v>6752</v>
      </c>
      <c r="M10164" s="1">
        <f>VALUE(8644)</f>
        <v>8644</v>
      </c>
      <c r="N10164" t="s">
        <v>25</v>
      </c>
    </row>
    <row r="10165" spans="1:14" x14ac:dyDescent="0.25">
      <c r="A10165" t="s">
        <v>43</v>
      </c>
      <c r="B10165" t="s">
        <v>40</v>
      </c>
      <c r="C10165" t="s">
        <v>37</v>
      </c>
      <c r="D10165" t="s">
        <v>15</v>
      </c>
      <c r="E10165" t="s">
        <v>22</v>
      </c>
      <c r="F10165" t="s">
        <v>19</v>
      </c>
      <c r="G10165" s="2">
        <f>VALUE(1627.01)</f>
        <v>1627.01</v>
      </c>
      <c r="H10165" s="3">
        <f>VALUE(1337.49)</f>
        <v>1337.49</v>
      </c>
      <c r="I10165" s="4">
        <f>VALUE(3868)</f>
        <v>3868</v>
      </c>
      <c r="J10165" s="1">
        <f>VALUE(4282)</f>
        <v>4282</v>
      </c>
      <c r="K10165" s="1">
        <f>VALUE(4875)</f>
        <v>4875</v>
      </c>
      <c r="L10165" s="1">
        <f>VALUE(6148)</f>
        <v>6148</v>
      </c>
      <c r="M10165" s="1">
        <f>VALUE(7439)</f>
        <v>7439</v>
      </c>
      <c r="N10165" t="s">
        <v>25</v>
      </c>
    </row>
    <row r="10166" spans="1:14" x14ac:dyDescent="0.25">
      <c r="A10166" t="s">
        <v>43</v>
      </c>
      <c r="B10166" t="s">
        <v>40</v>
      </c>
      <c r="C10166" t="s">
        <v>37</v>
      </c>
      <c r="D10166" t="s">
        <v>15</v>
      </c>
      <c r="E10166" t="s">
        <v>22</v>
      </c>
      <c r="F10166" t="s">
        <v>20</v>
      </c>
      <c r="G10166" s="1">
        <f>VALUE(7670.45)</f>
        <v>7670.45</v>
      </c>
      <c r="H10166" s="1">
        <f>VALUE(5388.36)</f>
        <v>5388.36</v>
      </c>
      <c r="I10166" s="1">
        <f>VALUE(3396)</f>
        <v>3396</v>
      </c>
      <c r="J10166" s="1">
        <f>VALUE(3976)</f>
        <v>3976</v>
      </c>
      <c r="K10166" s="1">
        <f>VALUE(4781)</f>
        <v>4781</v>
      </c>
      <c r="L10166" s="1">
        <f>VALUE(5670)</f>
        <v>5670</v>
      </c>
      <c r="M10166" s="1">
        <f>VALUE(6698)</f>
        <v>6698</v>
      </c>
      <c r="N10166" t="s">
        <v>16</v>
      </c>
    </row>
    <row r="10167" spans="1:14" x14ac:dyDescent="0.25">
      <c r="A10167" t="s">
        <v>43</v>
      </c>
      <c r="B10167" t="s">
        <v>40</v>
      </c>
      <c r="C10167" t="s">
        <v>37</v>
      </c>
      <c r="D10167" t="s">
        <v>15</v>
      </c>
      <c r="E10167" t="s">
        <v>23</v>
      </c>
      <c r="F10167" t="s">
        <v>15</v>
      </c>
      <c r="G10167" s="2">
        <f>VALUE(8664.94)</f>
        <v>8664.94</v>
      </c>
      <c r="H10167" s="1">
        <f>VALUE(5771.1)</f>
        <v>5771.1</v>
      </c>
      <c r="I10167" s="1">
        <f>VALUE(2898)</f>
        <v>2898</v>
      </c>
      <c r="J10167" s="1">
        <f>VALUE(3169)</f>
        <v>3169</v>
      </c>
      <c r="K10167" s="1">
        <f>VALUE(3546)</f>
        <v>3546</v>
      </c>
      <c r="L10167" s="1">
        <f>VALUE(4060)</f>
        <v>4060</v>
      </c>
      <c r="M10167" s="1">
        <f>VALUE(4727)</f>
        <v>4727</v>
      </c>
      <c r="N10167" t="s">
        <v>25</v>
      </c>
    </row>
    <row r="10168" spans="1:14" x14ac:dyDescent="0.25">
      <c r="A10168" t="s">
        <v>43</v>
      </c>
      <c r="B10168" t="s">
        <v>40</v>
      </c>
      <c r="C10168" t="s">
        <v>37</v>
      </c>
      <c r="D10168" t="s">
        <v>15</v>
      </c>
      <c r="E10168" t="s">
        <v>23</v>
      </c>
      <c r="F10168" t="s">
        <v>17</v>
      </c>
      <c r="G10168" s="1" t="str">
        <f t="shared" ref="G10168:M10169" si="2276">"X"</f>
        <v>X</v>
      </c>
      <c r="H10168" s="1" t="str">
        <f t="shared" si="2276"/>
        <v>X</v>
      </c>
      <c r="I10168" s="1" t="str">
        <f t="shared" si="2276"/>
        <v>X</v>
      </c>
      <c r="J10168" s="1" t="str">
        <f t="shared" si="2276"/>
        <v>X</v>
      </c>
      <c r="K10168" s="1" t="str">
        <f t="shared" si="2276"/>
        <v>X</v>
      </c>
      <c r="L10168" s="1" t="str">
        <f t="shared" si="2276"/>
        <v>X</v>
      </c>
      <c r="M10168" s="1" t="str">
        <f t="shared" si="2276"/>
        <v>X</v>
      </c>
      <c r="N10168" t="s">
        <v>27</v>
      </c>
    </row>
    <row r="10169" spans="1:14" x14ac:dyDescent="0.25">
      <c r="A10169" t="s">
        <v>43</v>
      </c>
      <c r="B10169" t="s">
        <v>40</v>
      </c>
      <c r="C10169" t="s">
        <v>37</v>
      </c>
      <c r="D10169" t="s">
        <v>15</v>
      </c>
      <c r="E10169" t="s">
        <v>23</v>
      </c>
      <c r="F10169" t="s">
        <v>18</v>
      </c>
      <c r="G10169" s="1" t="str">
        <f t="shared" si="2276"/>
        <v>X</v>
      </c>
      <c r="H10169" s="1" t="str">
        <f t="shared" si="2276"/>
        <v>X</v>
      </c>
      <c r="I10169" s="1" t="str">
        <f t="shared" si="2276"/>
        <v>X</v>
      </c>
      <c r="J10169" s="1" t="str">
        <f t="shared" si="2276"/>
        <v>X</v>
      </c>
      <c r="K10169" s="1" t="str">
        <f t="shared" si="2276"/>
        <v>X</v>
      </c>
      <c r="L10169" s="1" t="str">
        <f t="shared" si="2276"/>
        <v>X</v>
      </c>
      <c r="M10169" s="1" t="str">
        <f t="shared" si="2276"/>
        <v>X</v>
      </c>
      <c r="N10169" t="s">
        <v>27</v>
      </c>
    </row>
    <row r="10170" spans="1:14" x14ac:dyDescent="0.25">
      <c r="A10170" t="s">
        <v>43</v>
      </c>
      <c r="B10170" t="s">
        <v>40</v>
      </c>
      <c r="C10170" t="s">
        <v>37</v>
      </c>
      <c r="D10170" t="s">
        <v>15</v>
      </c>
      <c r="E10170" t="s">
        <v>23</v>
      </c>
      <c r="F10170" t="s">
        <v>19</v>
      </c>
      <c r="G10170" s="2">
        <f>VALUE(422.74)</f>
        <v>422.74</v>
      </c>
      <c r="H10170" s="3">
        <f>VALUE(365.19)</f>
        <v>365.19</v>
      </c>
      <c r="I10170" s="1">
        <f>VALUE(3088)</f>
        <v>3088</v>
      </c>
      <c r="J10170" s="5">
        <f>VALUE(3302)</f>
        <v>3302</v>
      </c>
      <c r="K10170" s="6">
        <f>VALUE(4127)</f>
        <v>4127</v>
      </c>
      <c r="L10170" s="1">
        <f>VALUE(4627)</f>
        <v>4627</v>
      </c>
      <c r="M10170" s="1">
        <f>VALUE(5176)</f>
        <v>5176</v>
      </c>
      <c r="N10170" t="s">
        <v>25</v>
      </c>
    </row>
    <row r="10171" spans="1:14" x14ac:dyDescent="0.25">
      <c r="A10171" t="s">
        <v>43</v>
      </c>
      <c r="B10171" t="s">
        <v>40</v>
      </c>
      <c r="C10171" t="s">
        <v>37</v>
      </c>
      <c r="D10171" t="s">
        <v>15</v>
      </c>
      <c r="E10171" t="s">
        <v>23</v>
      </c>
      <c r="F10171" t="s">
        <v>20</v>
      </c>
      <c r="G10171" s="2">
        <f>VALUE(7720.06)</f>
        <v>7720.06</v>
      </c>
      <c r="H10171" s="1">
        <f>VALUE(4968.98)</f>
        <v>4968.9799999999996</v>
      </c>
      <c r="I10171" s="1">
        <f>VALUE(2836)</f>
        <v>2836</v>
      </c>
      <c r="J10171" s="1">
        <f>VALUE(3111)</f>
        <v>3111</v>
      </c>
      <c r="K10171" s="1">
        <f>VALUE(3508)</f>
        <v>3508</v>
      </c>
      <c r="L10171" s="1">
        <f>VALUE(3942)</f>
        <v>3942</v>
      </c>
      <c r="M10171" s="1">
        <f>VALUE(4540)</f>
        <v>4540</v>
      </c>
      <c r="N10171" t="s">
        <v>25</v>
      </c>
    </row>
    <row r="10172" spans="1:14" x14ac:dyDescent="0.25">
      <c r="A10172" t="s">
        <v>43</v>
      </c>
      <c r="B10172" t="s">
        <v>40</v>
      </c>
      <c r="C10172" t="s">
        <v>37</v>
      </c>
      <c r="D10172" t="s">
        <v>15</v>
      </c>
      <c r="E10172" t="s">
        <v>26</v>
      </c>
      <c r="F10172" t="s">
        <v>15</v>
      </c>
      <c r="G10172" s="2">
        <f>VALUE(363.33)</f>
        <v>363.33</v>
      </c>
      <c r="H10172" s="3">
        <f>VALUE(262.86)</f>
        <v>262.86</v>
      </c>
      <c r="I10172" s="4">
        <f>VALUE(3512)</f>
        <v>3512</v>
      </c>
      <c r="J10172" s="5">
        <f>VALUE(4603)</f>
        <v>4603</v>
      </c>
      <c r="K10172" s="1">
        <f>VALUE(5851)</f>
        <v>5851</v>
      </c>
      <c r="L10172" s="1">
        <f>VALUE(8146)</f>
        <v>8146</v>
      </c>
      <c r="M10172" s="1">
        <f>VALUE(11506)</f>
        <v>11506</v>
      </c>
      <c r="N10172" t="s">
        <v>25</v>
      </c>
    </row>
    <row r="10173" spans="1:14" x14ac:dyDescent="0.25">
      <c r="A10173" t="s">
        <v>43</v>
      </c>
      <c r="B10173" t="s">
        <v>40</v>
      </c>
      <c r="C10173" t="s">
        <v>37</v>
      </c>
      <c r="D10173" t="s">
        <v>15</v>
      </c>
      <c r="E10173" t="s">
        <v>26</v>
      </c>
      <c r="F10173" t="s">
        <v>17</v>
      </c>
      <c r="G10173" s="1" t="str">
        <f t="shared" ref="G10173:M10175" si="2277">"X"</f>
        <v>X</v>
      </c>
      <c r="H10173" s="1" t="str">
        <f t="shared" si="2277"/>
        <v>X</v>
      </c>
      <c r="I10173" s="1" t="str">
        <f t="shared" si="2277"/>
        <v>X</v>
      </c>
      <c r="J10173" s="1" t="str">
        <f t="shared" si="2277"/>
        <v>X</v>
      </c>
      <c r="K10173" s="1" t="str">
        <f t="shared" si="2277"/>
        <v>X</v>
      </c>
      <c r="L10173" s="1" t="str">
        <f t="shared" si="2277"/>
        <v>X</v>
      </c>
      <c r="M10173" s="1" t="str">
        <f t="shared" si="2277"/>
        <v>X</v>
      </c>
      <c r="N10173" t="s">
        <v>27</v>
      </c>
    </row>
    <row r="10174" spans="1:14" x14ac:dyDescent="0.25">
      <c r="A10174" t="s">
        <v>43</v>
      </c>
      <c r="B10174" t="s">
        <v>40</v>
      </c>
      <c r="C10174" t="s">
        <v>37</v>
      </c>
      <c r="D10174" t="s">
        <v>15</v>
      </c>
      <c r="E10174" t="s">
        <v>26</v>
      </c>
      <c r="F10174" t="s">
        <v>18</v>
      </c>
      <c r="G10174" s="1" t="str">
        <f t="shared" si="2277"/>
        <v>X</v>
      </c>
      <c r="H10174" s="1" t="str">
        <f t="shared" si="2277"/>
        <v>X</v>
      </c>
      <c r="I10174" s="1" t="str">
        <f t="shared" si="2277"/>
        <v>X</v>
      </c>
      <c r="J10174" s="1" t="str">
        <f t="shared" si="2277"/>
        <v>X</v>
      </c>
      <c r="K10174" s="1" t="str">
        <f t="shared" si="2277"/>
        <v>X</v>
      </c>
      <c r="L10174" s="1" t="str">
        <f t="shared" si="2277"/>
        <v>X</v>
      </c>
      <c r="M10174" s="1" t="str">
        <f t="shared" si="2277"/>
        <v>X</v>
      </c>
      <c r="N10174" t="s">
        <v>27</v>
      </c>
    </row>
    <row r="10175" spans="1:14" x14ac:dyDescent="0.25">
      <c r="A10175" t="s">
        <v>43</v>
      </c>
      <c r="B10175" t="s">
        <v>40</v>
      </c>
      <c r="C10175" t="s">
        <v>37</v>
      </c>
      <c r="D10175" t="s">
        <v>15</v>
      </c>
      <c r="E10175" t="s">
        <v>26</v>
      </c>
      <c r="F10175" t="s">
        <v>19</v>
      </c>
      <c r="G10175" s="1" t="str">
        <f t="shared" si="2277"/>
        <v>X</v>
      </c>
      <c r="H10175" s="1" t="str">
        <f t="shared" si="2277"/>
        <v>X</v>
      </c>
      <c r="I10175" s="1" t="str">
        <f t="shared" si="2277"/>
        <v>X</v>
      </c>
      <c r="J10175" s="1" t="str">
        <f t="shared" si="2277"/>
        <v>X</v>
      </c>
      <c r="K10175" s="1" t="str">
        <f t="shared" si="2277"/>
        <v>X</v>
      </c>
      <c r="L10175" s="1" t="str">
        <f t="shared" si="2277"/>
        <v>X</v>
      </c>
      <c r="M10175" s="1" t="str">
        <f t="shared" si="2277"/>
        <v>X</v>
      </c>
      <c r="N10175" t="s">
        <v>27</v>
      </c>
    </row>
    <row r="10176" spans="1:14" x14ac:dyDescent="0.25">
      <c r="A10176" t="s">
        <v>43</v>
      </c>
      <c r="B10176" t="s">
        <v>40</v>
      </c>
      <c r="C10176" t="s">
        <v>37</v>
      </c>
      <c r="D10176" t="s">
        <v>15</v>
      </c>
      <c r="E10176" t="s">
        <v>26</v>
      </c>
      <c r="F10176" t="s">
        <v>20</v>
      </c>
      <c r="G10176" s="2">
        <f>VALUE(262.14)</f>
        <v>262.14</v>
      </c>
      <c r="H10176" s="3">
        <f>VALUE(177.28)</f>
        <v>177.28</v>
      </c>
      <c r="I10176" s="4">
        <f>VALUE(3477)</f>
        <v>3477</v>
      </c>
      <c r="J10176" s="5">
        <f>VALUE(4000)</f>
        <v>4000</v>
      </c>
      <c r="K10176" s="1">
        <f>VALUE(5264)</f>
        <v>5264</v>
      </c>
      <c r="L10176" s="1">
        <f>VALUE(6228)</f>
        <v>6228</v>
      </c>
      <c r="M10176" s="1">
        <f>VALUE(7634)</f>
        <v>7634</v>
      </c>
      <c r="N10176" t="s">
        <v>25</v>
      </c>
    </row>
    <row r="10177" spans="1:14" x14ac:dyDescent="0.25">
      <c r="A10177" t="s">
        <v>43</v>
      </c>
      <c r="B10177" t="s">
        <v>40</v>
      </c>
      <c r="C10177" t="s">
        <v>37</v>
      </c>
      <c r="D10177" t="s">
        <v>28</v>
      </c>
      <c r="E10177" t="s">
        <v>15</v>
      </c>
      <c r="F10177" t="s">
        <v>15</v>
      </c>
      <c r="G10177" s="1">
        <f>VALUE(11202.58)</f>
        <v>11202.58</v>
      </c>
      <c r="H10177" s="1">
        <f>VALUE(7550.55)</f>
        <v>7550.55</v>
      </c>
      <c r="I10177" s="1">
        <f>VALUE(3792)</f>
        <v>3792</v>
      </c>
      <c r="J10177" s="1">
        <f>VALUE(4354)</f>
        <v>4354</v>
      </c>
      <c r="K10177" s="1">
        <f>VALUE(5329)</f>
        <v>5329</v>
      </c>
      <c r="L10177" s="1">
        <f>VALUE(6671)</f>
        <v>6671</v>
      </c>
      <c r="M10177" s="1">
        <f>VALUE(8273)</f>
        <v>8273</v>
      </c>
      <c r="N10177" t="s">
        <v>16</v>
      </c>
    </row>
    <row r="10178" spans="1:14" x14ac:dyDescent="0.25">
      <c r="A10178" t="s">
        <v>43</v>
      </c>
      <c r="B10178" t="s">
        <v>40</v>
      </c>
      <c r="C10178" t="s">
        <v>37</v>
      </c>
      <c r="D10178" t="s">
        <v>28</v>
      </c>
      <c r="E10178" t="s">
        <v>15</v>
      </c>
      <c r="F10178" t="s">
        <v>17</v>
      </c>
      <c r="G10178" s="2">
        <f>VALUE(1555.3)</f>
        <v>1555.3</v>
      </c>
      <c r="H10178" s="3">
        <f>VALUE(1157.44)</f>
        <v>1157.44</v>
      </c>
      <c r="I10178" s="4">
        <f>VALUE(4641)</f>
        <v>4641</v>
      </c>
      <c r="J10178" s="5">
        <f>VALUE(5329)</f>
        <v>5329</v>
      </c>
      <c r="K10178" s="6">
        <f>VALUE(6588)</f>
        <v>6588</v>
      </c>
      <c r="L10178" s="1">
        <f>VALUE(8718)</f>
        <v>8718</v>
      </c>
      <c r="M10178" s="8">
        <f>VALUE(10918)</f>
        <v>10918</v>
      </c>
      <c r="N10178" t="s">
        <v>25</v>
      </c>
    </row>
    <row r="10179" spans="1:14" x14ac:dyDescent="0.25">
      <c r="A10179" t="s">
        <v>43</v>
      </c>
      <c r="B10179" t="s">
        <v>40</v>
      </c>
      <c r="C10179" t="s">
        <v>37</v>
      </c>
      <c r="D10179" t="s">
        <v>28</v>
      </c>
      <c r="E10179" t="s">
        <v>15</v>
      </c>
      <c r="F10179" t="s">
        <v>18</v>
      </c>
      <c r="G10179" s="2">
        <f>VALUE(1228.48)</f>
        <v>1228.48</v>
      </c>
      <c r="H10179" s="3">
        <f>VALUE(967.44)</f>
        <v>967.44</v>
      </c>
      <c r="I10179" s="1">
        <f>VALUE(4239)</f>
        <v>4239</v>
      </c>
      <c r="J10179" s="1">
        <f>VALUE(5129)</f>
        <v>5129</v>
      </c>
      <c r="K10179" s="1">
        <f>VALUE(6190)</f>
        <v>6190</v>
      </c>
      <c r="L10179" s="1">
        <f>VALUE(7936)</f>
        <v>7936</v>
      </c>
      <c r="M10179" s="1">
        <f>VALUE(9984)</f>
        <v>9984</v>
      </c>
      <c r="N10179" t="s">
        <v>25</v>
      </c>
    </row>
    <row r="10180" spans="1:14" x14ac:dyDescent="0.25">
      <c r="A10180" t="s">
        <v>43</v>
      </c>
      <c r="B10180" t="s">
        <v>40</v>
      </c>
      <c r="C10180" t="s">
        <v>37</v>
      </c>
      <c r="D10180" t="s">
        <v>28</v>
      </c>
      <c r="E10180" t="s">
        <v>15</v>
      </c>
      <c r="F10180" t="s">
        <v>19</v>
      </c>
      <c r="G10180" s="2">
        <f>VALUE(1558.15)</f>
        <v>1558.15</v>
      </c>
      <c r="H10180" s="3">
        <f>VALUE(1236.88)</f>
        <v>1236.8800000000001</v>
      </c>
      <c r="I10180" s="1">
        <f>VALUE(4124)</f>
        <v>4124</v>
      </c>
      <c r="J10180" s="1">
        <f>VALUE(4432)</f>
        <v>4432</v>
      </c>
      <c r="K10180" s="1">
        <f>VALUE(5182)</f>
        <v>5182</v>
      </c>
      <c r="L10180" s="1">
        <f>VALUE(6545)</f>
        <v>6545</v>
      </c>
      <c r="M10180" s="1">
        <f>VALUE(7708)</f>
        <v>7708</v>
      </c>
      <c r="N10180" t="s">
        <v>25</v>
      </c>
    </row>
    <row r="10181" spans="1:14" x14ac:dyDescent="0.25">
      <c r="A10181" t="s">
        <v>43</v>
      </c>
      <c r="B10181" t="s">
        <v>40</v>
      </c>
      <c r="C10181" t="s">
        <v>37</v>
      </c>
      <c r="D10181" t="s">
        <v>28</v>
      </c>
      <c r="E10181" t="s">
        <v>15</v>
      </c>
      <c r="F10181" t="s">
        <v>20</v>
      </c>
      <c r="G10181" s="1">
        <f>VALUE(6860.65)</f>
        <v>6860.65</v>
      </c>
      <c r="H10181" s="1">
        <f>VALUE(4188.79)</f>
        <v>4188.79</v>
      </c>
      <c r="I10181" s="1">
        <f>VALUE(3401)</f>
        <v>3401</v>
      </c>
      <c r="J10181" s="1">
        <f>VALUE(4117)</f>
        <v>4117</v>
      </c>
      <c r="K10181" s="1">
        <f>VALUE(4959)</f>
        <v>4959</v>
      </c>
      <c r="L10181" s="1">
        <f>VALUE(6020)</f>
        <v>6020</v>
      </c>
      <c r="M10181" s="1">
        <f>VALUE(7132)</f>
        <v>7132</v>
      </c>
      <c r="N10181" t="s">
        <v>16</v>
      </c>
    </row>
    <row r="10182" spans="1:14" x14ac:dyDescent="0.25">
      <c r="A10182" t="s">
        <v>43</v>
      </c>
      <c r="B10182" t="s">
        <v>40</v>
      </c>
      <c r="C10182" t="s">
        <v>37</v>
      </c>
      <c r="D10182" t="s">
        <v>28</v>
      </c>
      <c r="E10182" t="s">
        <v>21</v>
      </c>
      <c r="F10182" t="s">
        <v>15</v>
      </c>
      <c r="G10182" s="2">
        <f>VALUE(2502.51)</f>
        <v>2502.5100000000002</v>
      </c>
      <c r="H10182" s="3">
        <f>VALUE(1694.46)</f>
        <v>1694.46</v>
      </c>
      <c r="I10182" s="4">
        <f>VALUE(4239)</f>
        <v>4239</v>
      </c>
      <c r="J10182" s="5">
        <f>VALUE(5447)</f>
        <v>5447</v>
      </c>
      <c r="K10182" s="1">
        <f>VALUE(6887)</f>
        <v>6887</v>
      </c>
      <c r="L10182" s="1">
        <f>VALUE(8325)</f>
        <v>8325</v>
      </c>
      <c r="M10182" s="1">
        <f>VALUE(10237)</f>
        <v>10237</v>
      </c>
      <c r="N10182" t="s">
        <v>25</v>
      </c>
    </row>
    <row r="10183" spans="1:14" x14ac:dyDescent="0.25">
      <c r="A10183" t="s">
        <v>43</v>
      </c>
      <c r="B10183" t="s">
        <v>40</v>
      </c>
      <c r="C10183" t="s">
        <v>37</v>
      </c>
      <c r="D10183" t="s">
        <v>28</v>
      </c>
      <c r="E10183" t="s">
        <v>21</v>
      </c>
      <c r="F10183" t="s">
        <v>17</v>
      </c>
      <c r="G10183" s="2">
        <f>VALUE(644.33)</f>
        <v>644.33000000000004</v>
      </c>
      <c r="H10183" s="3">
        <f>VALUE(484.44)</f>
        <v>484.44</v>
      </c>
      <c r="I10183" s="4">
        <f>VALUE(5754)</f>
        <v>5754</v>
      </c>
      <c r="J10183" s="5">
        <f>VALUE(6577)</f>
        <v>6577</v>
      </c>
      <c r="K10183" s="6">
        <f>VALUE(7875)</f>
        <v>7875</v>
      </c>
      <c r="L10183" s="7">
        <f>VALUE(9777)</f>
        <v>9777</v>
      </c>
      <c r="M10183" s="1">
        <f>VALUE(12916)</f>
        <v>12916</v>
      </c>
      <c r="N10183" t="s">
        <v>25</v>
      </c>
    </row>
    <row r="10184" spans="1:14" x14ac:dyDescent="0.25">
      <c r="A10184" t="s">
        <v>43</v>
      </c>
      <c r="B10184" t="s">
        <v>40</v>
      </c>
      <c r="C10184" t="s">
        <v>37</v>
      </c>
      <c r="D10184" t="s">
        <v>28</v>
      </c>
      <c r="E10184" t="s">
        <v>21</v>
      </c>
      <c r="F10184" t="s">
        <v>18</v>
      </c>
      <c r="G10184" s="2">
        <f>VALUE(494.55)</f>
        <v>494.55</v>
      </c>
      <c r="H10184" s="3">
        <f>VALUE(356.65)</f>
        <v>356.65</v>
      </c>
      <c r="I10184" s="1">
        <f>VALUE(4239)</f>
        <v>4239</v>
      </c>
      <c r="J10184" s="5">
        <f>VALUE(5187)</f>
        <v>5187</v>
      </c>
      <c r="K10184" s="1">
        <f>VALUE(7358)</f>
        <v>7358</v>
      </c>
      <c r="L10184" s="1">
        <f>VALUE(8630)</f>
        <v>8630</v>
      </c>
      <c r="M10184" s="1">
        <f>VALUE(10632)</f>
        <v>10632</v>
      </c>
      <c r="N10184" t="s">
        <v>25</v>
      </c>
    </row>
    <row r="10185" spans="1:14" x14ac:dyDescent="0.25">
      <c r="A10185" t="s">
        <v>43</v>
      </c>
      <c r="B10185" t="s">
        <v>40</v>
      </c>
      <c r="C10185" t="s">
        <v>37</v>
      </c>
      <c r="D10185" t="s">
        <v>28</v>
      </c>
      <c r="E10185" t="s">
        <v>21</v>
      </c>
      <c r="F10185" t="s">
        <v>19</v>
      </c>
      <c r="G10185" s="2">
        <f>VALUE(354.53)</f>
        <v>354.53</v>
      </c>
      <c r="H10185" s="3">
        <f>VALUE(252.95)</f>
        <v>252.95</v>
      </c>
      <c r="I10185" s="4">
        <f>VALUE(5231)</f>
        <v>5231</v>
      </c>
      <c r="J10185" s="5">
        <f>VALUE(6176)</f>
        <v>6176</v>
      </c>
      <c r="K10185" s="1">
        <f>VALUE(6975)</f>
        <v>6975</v>
      </c>
      <c r="L10185" s="1">
        <f>VALUE(7669)</f>
        <v>7669</v>
      </c>
      <c r="M10185" s="1">
        <f>VALUE(8442)</f>
        <v>8442</v>
      </c>
      <c r="N10185" t="s">
        <v>25</v>
      </c>
    </row>
    <row r="10186" spans="1:14" x14ac:dyDescent="0.25">
      <c r="A10186" t="s">
        <v>43</v>
      </c>
      <c r="B10186" t="s">
        <v>40</v>
      </c>
      <c r="C10186" t="s">
        <v>37</v>
      </c>
      <c r="D10186" t="s">
        <v>28</v>
      </c>
      <c r="E10186" t="s">
        <v>21</v>
      </c>
      <c r="F10186" t="s">
        <v>20</v>
      </c>
      <c r="G10186" s="2">
        <f>VALUE(1009.1)</f>
        <v>1009.1</v>
      </c>
      <c r="H10186" s="3">
        <f>VALUE(600.42)</f>
        <v>600.41999999999996</v>
      </c>
      <c r="I10186" s="4">
        <f>VALUE(4206)</f>
        <v>4206</v>
      </c>
      <c r="J10186" s="5">
        <f>VALUE(4942)</f>
        <v>4942</v>
      </c>
      <c r="K10186" s="1">
        <f>VALUE(5909)</f>
        <v>5909</v>
      </c>
      <c r="L10186" s="1">
        <f>VALUE(7455)</f>
        <v>7455</v>
      </c>
      <c r="M10186" s="1">
        <f>VALUE(8246)</f>
        <v>8246</v>
      </c>
      <c r="N10186" t="s">
        <v>25</v>
      </c>
    </row>
    <row r="10187" spans="1:14" x14ac:dyDescent="0.25">
      <c r="A10187" t="s">
        <v>43</v>
      </c>
      <c r="B10187" t="s">
        <v>40</v>
      </c>
      <c r="C10187" t="s">
        <v>37</v>
      </c>
      <c r="D10187" t="s">
        <v>28</v>
      </c>
      <c r="E10187" t="s">
        <v>22</v>
      </c>
      <c r="F10187" t="s">
        <v>15</v>
      </c>
      <c r="G10187" s="2">
        <f>VALUE(7031.86)</f>
        <v>7031.86</v>
      </c>
      <c r="H10187" s="3">
        <f>VALUE(4872.49)</f>
        <v>4872.49</v>
      </c>
      <c r="I10187" s="1">
        <f>VALUE(3878)</f>
        <v>3878</v>
      </c>
      <c r="J10187" s="1">
        <f>VALUE(4433)</f>
        <v>4433</v>
      </c>
      <c r="K10187" s="1">
        <f>VALUE(5182)</f>
        <v>5182</v>
      </c>
      <c r="L10187" s="1">
        <f>VALUE(6300)</f>
        <v>6300</v>
      </c>
      <c r="M10187" s="1">
        <f>VALUE(7584)</f>
        <v>7584</v>
      </c>
      <c r="N10187" t="s">
        <v>25</v>
      </c>
    </row>
    <row r="10188" spans="1:14" x14ac:dyDescent="0.25">
      <c r="A10188" t="s">
        <v>43</v>
      </c>
      <c r="B10188" t="s">
        <v>40</v>
      </c>
      <c r="C10188" t="s">
        <v>37</v>
      </c>
      <c r="D10188" t="s">
        <v>28</v>
      </c>
      <c r="E10188" t="s">
        <v>22</v>
      </c>
      <c r="F10188" t="s">
        <v>17</v>
      </c>
      <c r="G10188" s="2">
        <f>VALUE(756.44)</f>
        <v>756.44</v>
      </c>
      <c r="H10188" s="3">
        <f>VALUE(530.44)</f>
        <v>530.44000000000005</v>
      </c>
      <c r="I10188" s="4">
        <f>VALUE(4641)</f>
        <v>4641</v>
      </c>
      <c r="J10188" s="5">
        <f>VALUE(4641)</f>
        <v>4641</v>
      </c>
      <c r="K10188" s="6">
        <f>VALUE(6222)</f>
        <v>6222</v>
      </c>
      <c r="L10188" s="7">
        <f>VALUE(7999)</f>
        <v>7999</v>
      </c>
      <c r="M10188" s="8">
        <f>VALUE(9524)</f>
        <v>9524</v>
      </c>
      <c r="N10188" t="s">
        <v>24</v>
      </c>
    </row>
    <row r="10189" spans="1:14" x14ac:dyDescent="0.25">
      <c r="A10189" t="s">
        <v>43</v>
      </c>
      <c r="B10189" t="s">
        <v>40</v>
      </c>
      <c r="C10189" t="s">
        <v>37</v>
      </c>
      <c r="D10189" t="s">
        <v>28</v>
      </c>
      <c r="E10189" t="s">
        <v>22</v>
      </c>
      <c r="F10189" t="s">
        <v>18</v>
      </c>
      <c r="G10189" s="2">
        <f>VALUE(684.86)</f>
        <v>684.86</v>
      </c>
      <c r="H10189" s="3">
        <f>VALUE(565.93)</f>
        <v>565.92999999999995</v>
      </c>
      <c r="I10189" s="1">
        <f>VALUE(4225)</f>
        <v>4225</v>
      </c>
      <c r="J10189" s="1">
        <f>VALUE(5159)</f>
        <v>5159</v>
      </c>
      <c r="K10189" s="1">
        <f>VALUE(6161)</f>
        <v>6161</v>
      </c>
      <c r="L10189" s="1">
        <f>VALUE(7459)</f>
        <v>7459</v>
      </c>
      <c r="M10189" s="1">
        <f>VALUE(9400)</f>
        <v>9400</v>
      </c>
      <c r="N10189" t="s">
        <v>25</v>
      </c>
    </row>
    <row r="10190" spans="1:14" x14ac:dyDescent="0.25">
      <c r="A10190" t="s">
        <v>43</v>
      </c>
      <c r="B10190" t="s">
        <v>40</v>
      </c>
      <c r="C10190" t="s">
        <v>37</v>
      </c>
      <c r="D10190" t="s">
        <v>28</v>
      </c>
      <c r="E10190" t="s">
        <v>22</v>
      </c>
      <c r="F10190" t="s">
        <v>19</v>
      </c>
      <c r="G10190" s="2">
        <f>VALUE(1091.93)</f>
        <v>1091.93</v>
      </c>
      <c r="H10190" s="3">
        <f>VALUE(890.8)</f>
        <v>890.8</v>
      </c>
      <c r="I10190" s="4">
        <f>VALUE(4080)</f>
        <v>4080</v>
      </c>
      <c r="J10190" s="1">
        <f>VALUE(4336)</f>
        <v>4336</v>
      </c>
      <c r="K10190" s="6">
        <f>VALUE(4853)</f>
        <v>4853</v>
      </c>
      <c r="L10190" s="7">
        <f>VALUE(5994)</f>
        <v>5994</v>
      </c>
      <c r="M10190" s="8">
        <f>VALUE(7462)</f>
        <v>7462</v>
      </c>
      <c r="N10190" t="s">
        <v>25</v>
      </c>
    </row>
    <row r="10191" spans="1:14" x14ac:dyDescent="0.25">
      <c r="A10191" t="s">
        <v>43</v>
      </c>
      <c r="B10191" t="s">
        <v>40</v>
      </c>
      <c r="C10191" t="s">
        <v>37</v>
      </c>
      <c r="D10191" t="s">
        <v>28</v>
      </c>
      <c r="E10191" t="s">
        <v>22</v>
      </c>
      <c r="F10191" t="s">
        <v>20</v>
      </c>
      <c r="G10191" s="2">
        <f>VALUE(4498.63)</f>
        <v>4498.63</v>
      </c>
      <c r="H10191" s="3">
        <f>VALUE(2885.32)</f>
        <v>2885.32</v>
      </c>
      <c r="I10191" s="4">
        <f>VALUE(3792)</f>
        <v>3792</v>
      </c>
      <c r="J10191" s="1">
        <f>VALUE(4224)</f>
        <v>4224</v>
      </c>
      <c r="K10191" s="1">
        <f>VALUE(5067)</f>
        <v>5067</v>
      </c>
      <c r="L10191" s="1">
        <f>VALUE(6020)</f>
        <v>6020</v>
      </c>
      <c r="M10191" s="1">
        <f>VALUE(6943)</f>
        <v>6943</v>
      </c>
      <c r="N10191" t="s">
        <v>25</v>
      </c>
    </row>
    <row r="10192" spans="1:14" x14ac:dyDescent="0.25">
      <c r="A10192" t="s">
        <v>43</v>
      </c>
      <c r="B10192" t="s">
        <v>40</v>
      </c>
      <c r="C10192" t="s">
        <v>37</v>
      </c>
      <c r="D10192" t="s">
        <v>28</v>
      </c>
      <c r="E10192" t="s">
        <v>23</v>
      </c>
      <c r="F10192" t="s">
        <v>15</v>
      </c>
      <c r="G10192" s="2">
        <f>VALUE(1580.67)</f>
        <v>1580.67</v>
      </c>
      <c r="H10192" s="3">
        <f>VALUE(929.86)</f>
        <v>929.86</v>
      </c>
      <c r="I10192" s="4">
        <f>VALUE(3115)</f>
        <v>3115</v>
      </c>
      <c r="J10192" s="1">
        <f>VALUE(3467)</f>
        <v>3467</v>
      </c>
      <c r="K10192" s="6">
        <f>VALUE(4127)</f>
        <v>4127</v>
      </c>
      <c r="L10192" s="1">
        <f>VALUE(4859)</f>
        <v>4859</v>
      </c>
      <c r="M10192" s="1">
        <f>VALUE(5329)</f>
        <v>5329</v>
      </c>
      <c r="N10192" t="s">
        <v>25</v>
      </c>
    </row>
    <row r="10193" spans="1:14" x14ac:dyDescent="0.25">
      <c r="A10193" t="s">
        <v>43</v>
      </c>
      <c r="B10193" t="s">
        <v>40</v>
      </c>
      <c r="C10193" t="s">
        <v>37</v>
      </c>
      <c r="D10193" t="s">
        <v>28</v>
      </c>
      <c r="E10193" t="s">
        <v>23</v>
      </c>
      <c r="F10193" t="s">
        <v>17</v>
      </c>
      <c r="G10193" s="1" t="str">
        <f t="shared" ref="G10193:M10195" si="2278">"X"</f>
        <v>X</v>
      </c>
      <c r="H10193" s="1" t="str">
        <f t="shared" si="2278"/>
        <v>X</v>
      </c>
      <c r="I10193" s="1" t="str">
        <f t="shared" si="2278"/>
        <v>X</v>
      </c>
      <c r="J10193" s="1" t="str">
        <f t="shared" si="2278"/>
        <v>X</v>
      </c>
      <c r="K10193" s="1" t="str">
        <f t="shared" si="2278"/>
        <v>X</v>
      </c>
      <c r="L10193" s="1" t="str">
        <f t="shared" si="2278"/>
        <v>X</v>
      </c>
      <c r="M10193" s="1" t="str">
        <f t="shared" si="2278"/>
        <v>X</v>
      </c>
      <c r="N10193" t="s">
        <v>27</v>
      </c>
    </row>
    <row r="10194" spans="1:14" x14ac:dyDescent="0.25">
      <c r="A10194" t="s">
        <v>43</v>
      </c>
      <c r="B10194" t="s">
        <v>40</v>
      </c>
      <c r="C10194" t="s">
        <v>37</v>
      </c>
      <c r="D10194" t="s">
        <v>28</v>
      </c>
      <c r="E10194" t="s">
        <v>23</v>
      </c>
      <c r="F10194" t="s">
        <v>18</v>
      </c>
      <c r="G10194" s="1" t="str">
        <f t="shared" si="2278"/>
        <v>X</v>
      </c>
      <c r="H10194" s="1" t="str">
        <f t="shared" si="2278"/>
        <v>X</v>
      </c>
      <c r="I10194" s="1" t="str">
        <f t="shared" si="2278"/>
        <v>X</v>
      </c>
      <c r="J10194" s="1" t="str">
        <f t="shared" si="2278"/>
        <v>X</v>
      </c>
      <c r="K10194" s="1" t="str">
        <f t="shared" si="2278"/>
        <v>X</v>
      </c>
      <c r="L10194" s="1" t="str">
        <f t="shared" si="2278"/>
        <v>X</v>
      </c>
      <c r="M10194" s="1" t="str">
        <f t="shared" si="2278"/>
        <v>X</v>
      </c>
      <c r="N10194" t="s">
        <v>27</v>
      </c>
    </row>
    <row r="10195" spans="1:14" x14ac:dyDescent="0.25">
      <c r="A10195" t="s">
        <v>43</v>
      </c>
      <c r="B10195" t="s">
        <v>40</v>
      </c>
      <c r="C10195" t="s">
        <v>37</v>
      </c>
      <c r="D10195" t="s">
        <v>28</v>
      </c>
      <c r="E10195" t="s">
        <v>23</v>
      </c>
      <c r="F10195" t="s">
        <v>19</v>
      </c>
      <c r="G10195" s="1" t="str">
        <f t="shared" si="2278"/>
        <v>X</v>
      </c>
      <c r="H10195" s="1" t="str">
        <f t="shared" si="2278"/>
        <v>X</v>
      </c>
      <c r="I10195" s="1" t="str">
        <f t="shared" si="2278"/>
        <v>X</v>
      </c>
      <c r="J10195" s="1" t="str">
        <f t="shared" si="2278"/>
        <v>X</v>
      </c>
      <c r="K10195" s="1" t="str">
        <f t="shared" si="2278"/>
        <v>X</v>
      </c>
      <c r="L10195" s="1" t="str">
        <f t="shared" si="2278"/>
        <v>X</v>
      </c>
      <c r="M10195" s="1" t="str">
        <f t="shared" si="2278"/>
        <v>X</v>
      </c>
      <c r="N10195" t="s">
        <v>27</v>
      </c>
    </row>
    <row r="10196" spans="1:14" x14ac:dyDescent="0.25">
      <c r="A10196" t="s">
        <v>43</v>
      </c>
      <c r="B10196" t="s">
        <v>40</v>
      </c>
      <c r="C10196" t="s">
        <v>37</v>
      </c>
      <c r="D10196" t="s">
        <v>28</v>
      </c>
      <c r="E10196" t="s">
        <v>23</v>
      </c>
      <c r="F10196" t="s">
        <v>20</v>
      </c>
      <c r="G10196" s="2">
        <f>VALUE(1298.78)</f>
        <v>1298.78</v>
      </c>
      <c r="H10196" s="3">
        <f>VALUE(671.44)</f>
        <v>671.44</v>
      </c>
      <c r="I10196" s="4">
        <f>VALUE(3095)</f>
        <v>3095</v>
      </c>
      <c r="J10196" s="1">
        <f>VALUE(3355)</f>
        <v>3355</v>
      </c>
      <c r="K10196" s="6">
        <f>VALUE(3792)</f>
        <v>3792</v>
      </c>
      <c r="L10196" s="1">
        <f>VALUE(4597)</f>
        <v>4597</v>
      </c>
      <c r="M10196" s="1">
        <f>VALUE(5132)</f>
        <v>5132</v>
      </c>
      <c r="N10196" t="s">
        <v>25</v>
      </c>
    </row>
    <row r="10197" spans="1:14" x14ac:dyDescent="0.25">
      <c r="A10197" t="s">
        <v>43</v>
      </c>
      <c r="B10197" t="s">
        <v>40</v>
      </c>
      <c r="C10197" t="s">
        <v>37</v>
      </c>
      <c r="D10197" t="s">
        <v>28</v>
      </c>
      <c r="E10197" t="s">
        <v>26</v>
      </c>
      <c r="F10197" t="s">
        <v>15</v>
      </c>
      <c r="G10197" s="1" t="str">
        <f t="shared" ref="G10197:M10201" si="2279">"X"</f>
        <v>X</v>
      </c>
      <c r="H10197" s="1" t="str">
        <f t="shared" si="2279"/>
        <v>X</v>
      </c>
      <c r="I10197" s="1" t="str">
        <f t="shared" si="2279"/>
        <v>X</v>
      </c>
      <c r="J10197" s="1" t="str">
        <f t="shared" si="2279"/>
        <v>X</v>
      </c>
      <c r="K10197" s="1" t="str">
        <f t="shared" si="2279"/>
        <v>X</v>
      </c>
      <c r="L10197" s="1" t="str">
        <f t="shared" si="2279"/>
        <v>X</v>
      </c>
      <c r="M10197" s="1" t="str">
        <f t="shared" si="2279"/>
        <v>X</v>
      </c>
      <c r="N10197" t="s">
        <v>27</v>
      </c>
    </row>
    <row r="10198" spans="1:14" x14ac:dyDescent="0.25">
      <c r="A10198" t="s">
        <v>43</v>
      </c>
      <c r="B10198" t="s">
        <v>40</v>
      </c>
      <c r="C10198" t="s">
        <v>37</v>
      </c>
      <c r="D10198" t="s">
        <v>28</v>
      </c>
      <c r="E10198" t="s">
        <v>26</v>
      </c>
      <c r="F10198" t="s">
        <v>17</v>
      </c>
      <c r="G10198" s="1" t="str">
        <f t="shared" si="2279"/>
        <v>X</v>
      </c>
      <c r="H10198" s="1" t="str">
        <f t="shared" si="2279"/>
        <v>X</v>
      </c>
      <c r="I10198" s="1" t="str">
        <f t="shared" si="2279"/>
        <v>X</v>
      </c>
      <c r="J10198" s="1" t="str">
        <f t="shared" si="2279"/>
        <v>X</v>
      </c>
      <c r="K10198" s="1" t="str">
        <f t="shared" si="2279"/>
        <v>X</v>
      </c>
      <c r="L10198" s="1" t="str">
        <f t="shared" si="2279"/>
        <v>X</v>
      </c>
      <c r="M10198" s="1" t="str">
        <f t="shared" si="2279"/>
        <v>X</v>
      </c>
      <c r="N10198" t="s">
        <v>27</v>
      </c>
    </row>
    <row r="10199" spans="1:14" x14ac:dyDescent="0.25">
      <c r="A10199" t="s">
        <v>43</v>
      </c>
      <c r="B10199" t="s">
        <v>40</v>
      </c>
      <c r="C10199" t="s">
        <v>37</v>
      </c>
      <c r="D10199" t="s">
        <v>28</v>
      </c>
      <c r="E10199" t="s">
        <v>26</v>
      </c>
      <c r="F10199" t="s">
        <v>18</v>
      </c>
      <c r="G10199" s="1" t="str">
        <f t="shared" si="2279"/>
        <v>X</v>
      </c>
      <c r="H10199" s="1" t="str">
        <f t="shared" si="2279"/>
        <v>X</v>
      </c>
      <c r="I10199" s="1" t="str">
        <f t="shared" si="2279"/>
        <v>X</v>
      </c>
      <c r="J10199" s="1" t="str">
        <f t="shared" si="2279"/>
        <v>X</v>
      </c>
      <c r="K10199" s="1" t="str">
        <f t="shared" si="2279"/>
        <v>X</v>
      </c>
      <c r="L10199" s="1" t="str">
        <f t="shared" si="2279"/>
        <v>X</v>
      </c>
      <c r="M10199" s="1" t="str">
        <f t="shared" si="2279"/>
        <v>X</v>
      </c>
      <c r="N10199" t="s">
        <v>27</v>
      </c>
    </row>
    <row r="10200" spans="1:14" x14ac:dyDescent="0.25">
      <c r="A10200" t="s">
        <v>43</v>
      </c>
      <c r="B10200" t="s">
        <v>40</v>
      </c>
      <c r="C10200" t="s">
        <v>37</v>
      </c>
      <c r="D10200" t="s">
        <v>28</v>
      </c>
      <c r="E10200" t="s">
        <v>26</v>
      </c>
      <c r="F10200" t="s">
        <v>19</v>
      </c>
      <c r="G10200" s="1" t="str">
        <f t="shared" si="2279"/>
        <v>X</v>
      </c>
      <c r="H10200" s="1" t="str">
        <f t="shared" si="2279"/>
        <v>X</v>
      </c>
      <c r="I10200" s="1" t="str">
        <f t="shared" si="2279"/>
        <v>X</v>
      </c>
      <c r="J10200" s="1" t="str">
        <f t="shared" si="2279"/>
        <v>X</v>
      </c>
      <c r="K10200" s="1" t="str">
        <f t="shared" si="2279"/>
        <v>X</v>
      </c>
      <c r="L10200" s="1" t="str">
        <f t="shared" si="2279"/>
        <v>X</v>
      </c>
      <c r="M10200" s="1" t="str">
        <f t="shared" si="2279"/>
        <v>X</v>
      </c>
      <c r="N10200" t="s">
        <v>27</v>
      </c>
    </row>
    <row r="10201" spans="1:14" x14ac:dyDescent="0.25">
      <c r="A10201" t="s">
        <v>43</v>
      </c>
      <c r="B10201" t="s">
        <v>40</v>
      </c>
      <c r="C10201" t="s">
        <v>37</v>
      </c>
      <c r="D10201" t="s">
        <v>28</v>
      </c>
      <c r="E10201" t="s">
        <v>26</v>
      </c>
      <c r="F10201" t="s">
        <v>20</v>
      </c>
      <c r="G10201" s="1" t="str">
        <f t="shared" si="2279"/>
        <v>X</v>
      </c>
      <c r="H10201" s="1" t="str">
        <f t="shared" si="2279"/>
        <v>X</v>
      </c>
      <c r="I10201" s="1" t="str">
        <f t="shared" si="2279"/>
        <v>X</v>
      </c>
      <c r="J10201" s="1" t="str">
        <f t="shared" si="2279"/>
        <v>X</v>
      </c>
      <c r="K10201" s="1" t="str">
        <f t="shared" si="2279"/>
        <v>X</v>
      </c>
      <c r="L10201" s="1" t="str">
        <f t="shared" si="2279"/>
        <v>X</v>
      </c>
      <c r="M10201" s="1" t="str">
        <f t="shared" si="2279"/>
        <v>X</v>
      </c>
      <c r="N10201" t="s">
        <v>27</v>
      </c>
    </row>
    <row r="10202" spans="1:14" x14ac:dyDescent="0.25">
      <c r="A10202" t="s">
        <v>43</v>
      </c>
      <c r="B10202" t="s">
        <v>40</v>
      </c>
      <c r="C10202" t="s">
        <v>37</v>
      </c>
      <c r="D10202" t="s">
        <v>29</v>
      </c>
      <c r="E10202" t="s">
        <v>15</v>
      </c>
      <c r="F10202" t="s">
        <v>15</v>
      </c>
      <c r="G10202" s="2">
        <f>VALUE(3383.07)</f>
        <v>3383.07</v>
      </c>
      <c r="H10202" s="3">
        <f>VALUE(2280.94)</f>
        <v>2280.94</v>
      </c>
      <c r="I10202" s="1">
        <f>VALUE(3498)</f>
        <v>3498</v>
      </c>
      <c r="J10202" s="1">
        <f>VALUE(3804)</f>
        <v>3804</v>
      </c>
      <c r="K10202" s="1">
        <f>VALUE(4713)</f>
        <v>4713</v>
      </c>
      <c r="L10202" s="7">
        <f>VALUE(6344)</f>
        <v>6344</v>
      </c>
      <c r="M10202" s="1">
        <f>VALUE(8122)</f>
        <v>8122</v>
      </c>
      <c r="N10202" t="s">
        <v>25</v>
      </c>
    </row>
    <row r="10203" spans="1:14" x14ac:dyDescent="0.25">
      <c r="A10203" t="s">
        <v>43</v>
      </c>
      <c r="B10203" t="s">
        <v>40</v>
      </c>
      <c r="C10203" t="s">
        <v>37</v>
      </c>
      <c r="D10203" t="s">
        <v>29</v>
      </c>
      <c r="E10203" t="s">
        <v>15</v>
      </c>
      <c r="F10203" t="s">
        <v>17</v>
      </c>
      <c r="G10203" s="2">
        <f>VALUE(354.88)</f>
        <v>354.88</v>
      </c>
      <c r="H10203" s="3">
        <f>VALUE(310.2)</f>
        <v>310.2</v>
      </c>
      <c r="I10203" s="1">
        <f>VALUE(3804)</f>
        <v>3804</v>
      </c>
      <c r="J10203" s="5">
        <f>VALUE(5000)</f>
        <v>5000</v>
      </c>
      <c r="K10203" s="1">
        <f>VALUE(7672)</f>
        <v>7672</v>
      </c>
      <c r="L10203" s="7">
        <f>VALUE(8400)</f>
        <v>8400</v>
      </c>
      <c r="M10203" s="1">
        <f>VALUE(12500)</f>
        <v>12500</v>
      </c>
      <c r="N10203" t="s">
        <v>25</v>
      </c>
    </row>
    <row r="10204" spans="1:14" x14ac:dyDescent="0.25">
      <c r="A10204" t="s">
        <v>43</v>
      </c>
      <c r="B10204" t="s">
        <v>40</v>
      </c>
      <c r="C10204" t="s">
        <v>37</v>
      </c>
      <c r="D10204" t="s">
        <v>29</v>
      </c>
      <c r="E10204" t="s">
        <v>15</v>
      </c>
      <c r="F10204" t="s">
        <v>18</v>
      </c>
      <c r="G10204" s="2">
        <f>VALUE(381.78)</f>
        <v>381.78</v>
      </c>
      <c r="H10204" s="3">
        <f>VALUE(291.05)</f>
        <v>291.05</v>
      </c>
      <c r="I10204" s="1">
        <f>VALUE(3703)</f>
        <v>3703</v>
      </c>
      <c r="J10204" s="1">
        <f>VALUE(4532)</f>
        <v>4532</v>
      </c>
      <c r="K10204" s="6">
        <f>VALUE(5777)</f>
        <v>5777</v>
      </c>
      <c r="L10204" s="7">
        <f>VALUE(7064)</f>
        <v>7064</v>
      </c>
      <c r="M10204" s="8">
        <f>VALUE(9651)</f>
        <v>9651</v>
      </c>
      <c r="N10204" t="s">
        <v>25</v>
      </c>
    </row>
    <row r="10205" spans="1:14" x14ac:dyDescent="0.25">
      <c r="A10205" t="s">
        <v>43</v>
      </c>
      <c r="B10205" t="s">
        <v>40</v>
      </c>
      <c r="C10205" t="s">
        <v>37</v>
      </c>
      <c r="D10205" t="s">
        <v>29</v>
      </c>
      <c r="E10205" t="s">
        <v>15</v>
      </c>
      <c r="F10205" t="s">
        <v>19</v>
      </c>
      <c r="G10205" s="2">
        <f>VALUE(298.72)</f>
        <v>298.72000000000003</v>
      </c>
      <c r="H10205" s="3">
        <f>VALUE(270.14)</f>
        <v>270.14</v>
      </c>
      <c r="I10205" s="1">
        <f>VALUE(3238)</f>
        <v>3238</v>
      </c>
      <c r="J10205" s="1">
        <f>VALUE(4127)</f>
        <v>4127</v>
      </c>
      <c r="K10205" s="1">
        <f>VALUE(4884)</f>
        <v>4884</v>
      </c>
      <c r="L10205" s="1">
        <f>VALUE(6748)</f>
        <v>6748</v>
      </c>
      <c r="M10205" s="1">
        <f>VALUE(8122)</f>
        <v>8122</v>
      </c>
      <c r="N10205" t="s">
        <v>25</v>
      </c>
    </row>
    <row r="10206" spans="1:14" x14ac:dyDescent="0.25">
      <c r="A10206" t="s">
        <v>43</v>
      </c>
      <c r="B10206" t="s">
        <v>40</v>
      </c>
      <c r="C10206" t="s">
        <v>37</v>
      </c>
      <c r="D10206" t="s">
        <v>29</v>
      </c>
      <c r="E10206" t="s">
        <v>15</v>
      </c>
      <c r="F10206" t="s">
        <v>20</v>
      </c>
      <c r="G10206" s="2">
        <f>VALUE(2347.69)</f>
        <v>2347.69</v>
      </c>
      <c r="H10206" s="3">
        <f>VALUE(1409.55)</f>
        <v>1409.55</v>
      </c>
      <c r="I10206" s="1">
        <f>VALUE(3348)</f>
        <v>3348</v>
      </c>
      <c r="J10206" s="1">
        <f>VALUE(3728)</f>
        <v>3728</v>
      </c>
      <c r="K10206" s="1">
        <f>VALUE(4278)</f>
        <v>4278</v>
      </c>
      <c r="L10206" s="1">
        <f>VALUE(5389)</f>
        <v>5389</v>
      </c>
      <c r="M10206" s="1">
        <f>VALUE(6996)</f>
        <v>6996</v>
      </c>
      <c r="N10206" t="s">
        <v>25</v>
      </c>
    </row>
    <row r="10207" spans="1:14" x14ac:dyDescent="0.25">
      <c r="A10207" t="s">
        <v>43</v>
      </c>
      <c r="B10207" t="s">
        <v>40</v>
      </c>
      <c r="C10207" t="s">
        <v>37</v>
      </c>
      <c r="D10207" t="s">
        <v>29</v>
      </c>
      <c r="E10207" t="s">
        <v>21</v>
      </c>
      <c r="F10207" t="s">
        <v>15</v>
      </c>
      <c r="G10207" s="2">
        <f>VALUE(623.08)</f>
        <v>623.08000000000004</v>
      </c>
      <c r="H10207" s="3">
        <f>VALUE(508.46)</f>
        <v>508.46</v>
      </c>
      <c r="I10207" s="4">
        <f>VALUE(4952)</f>
        <v>4952</v>
      </c>
      <c r="J10207" s="1">
        <f>VALUE(5555)</f>
        <v>5555</v>
      </c>
      <c r="K10207" s="1">
        <f>VALUE(6996)</f>
        <v>6996</v>
      </c>
      <c r="L10207" s="7">
        <f>VALUE(8499)</f>
        <v>8499</v>
      </c>
      <c r="M10207" s="8">
        <f>VALUE(11667)</f>
        <v>11667</v>
      </c>
      <c r="N10207" t="s">
        <v>25</v>
      </c>
    </row>
    <row r="10208" spans="1:14" x14ac:dyDescent="0.25">
      <c r="A10208" t="s">
        <v>43</v>
      </c>
      <c r="B10208" t="s">
        <v>40</v>
      </c>
      <c r="C10208" t="s">
        <v>37</v>
      </c>
      <c r="D10208" t="s">
        <v>29</v>
      </c>
      <c r="E10208" t="s">
        <v>21</v>
      </c>
      <c r="F10208" t="s">
        <v>17</v>
      </c>
      <c r="G10208" s="1" t="str">
        <f t="shared" ref="G10208:M10210" si="2280">"X"</f>
        <v>X</v>
      </c>
      <c r="H10208" s="1" t="str">
        <f t="shared" si="2280"/>
        <v>X</v>
      </c>
      <c r="I10208" s="1" t="str">
        <f t="shared" si="2280"/>
        <v>X</v>
      </c>
      <c r="J10208" s="1" t="str">
        <f t="shared" si="2280"/>
        <v>X</v>
      </c>
      <c r="K10208" s="1" t="str">
        <f t="shared" si="2280"/>
        <v>X</v>
      </c>
      <c r="L10208" s="1" t="str">
        <f t="shared" si="2280"/>
        <v>X</v>
      </c>
      <c r="M10208" s="1" t="str">
        <f t="shared" si="2280"/>
        <v>X</v>
      </c>
      <c r="N10208" t="s">
        <v>27</v>
      </c>
    </row>
    <row r="10209" spans="1:14" x14ac:dyDescent="0.25">
      <c r="A10209" t="s">
        <v>43</v>
      </c>
      <c r="B10209" t="s">
        <v>40</v>
      </c>
      <c r="C10209" t="s">
        <v>37</v>
      </c>
      <c r="D10209" t="s">
        <v>29</v>
      </c>
      <c r="E10209" t="s">
        <v>21</v>
      </c>
      <c r="F10209" t="s">
        <v>18</v>
      </c>
      <c r="G10209" s="1" t="str">
        <f t="shared" si="2280"/>
        <v>X</v>
      </c>
      <c r="H10209" s="1" t="str">
        <f t="shared" si="2280"/>
        <v>X</v>
      </c>
      <c r="I10209" s="1" t="str">
        <f t="shared" si="2280"/>
        <v>X</v>
      </c>
      <c r="J10209" s="1" t="str">
        <f t="shared" si="2280"/>
        <v>X</v>
      </c>
      <c r="K10209" s="1" t="str">
        <f t="shared" si="2280"/>
        <v>X</v>
      </c>
      <c r="L10209" s="1" t="str">
        <f t="shared" si="2280"/>
        <v>X</v>
      </c>
      <c r="M10209" s="1" t="str">
        <f t="shared" si="2280"/>
        <v>X</v>
      </c>
      <c r="N10209" t="s">
        <v>27</v>
      </c>
    </row>
    <row r="10210" spans="1:14" x14ac:dyDescent="0.25">
      <c r="A10210" t="s">
        <v>43</v>
      </c>
      <c r="B10210" t="s">
        <v>40</v>
      </c>
      <c r="C10210" t="s">
        <v>37</v>
      </c>
      <c r="D10210" t="s">
        <v>29</v>
      </c>
      <c r="E10210" t="s">
        <v>21</v>
      </c>
      <c r="F10210" t="s">
        <v>19</v>
      </c>
      <c r="G10210" s="1" t="str">
        <f t="shared" si="2280"/>
        <v>X</v>
      </c>
      <c r="H1021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<c r="K10210" s="1" t="str">
        <f t="shared" si="2280"/>
        <v>X</v>
      </c>
      <c r="L10210" s="1" t="str">
        <f t="shared" si="2280"/>
        <v>X</v>
      </c>
      <c r="M10210" s="1" t="str">
        <f t="shared" si="2280"/>
        <v>X</v>
      </c>
      <c r="N10210" t="s">
        <v>27</v>
      </c>
    </row>
    <row r="10211" spans="1:14" x14ac:dyDescent="0.25">
      <c r="A10211" t="s">
        <v>43</v>
      </c>
      <c r="B10211" t="s">
        <v>40</v>
      </c>
      <c r="C10211" t="s">
        <v>37</v>
      </c>
      <c r="D10211" t="s">
        <v>29</v>
      </c>
      <c r="E10211" t="s">
        <v>21</v>
      </c>
      <c r="F10211" t="s">
        <v>20</v>
      </c>
      <c r="G10211" s="2">
        <f>VALUE(255.82)</f>
        <v>255.82</v>
      </c>
      <c r="H10211" s="3">
        <f>VALUE(198.08)</f>
        <v>198.08</v>
      </c>
      <c r="I10211" s="1">
        <f>VALUE(4400)</f>
        <v>4400</v>
      </c>
      <c r="J10211" s="1">
        <f>VALUE(5300)</f>
        <v>5300</v>
      </c>
      <c r="K10211" s="1">
        <f>VALUE(6938)</f>
        <v>6938</v>
      </c>
      <c r="L10211" s="1">
        <f>VALUE(7584)</f>
        <v>7584</v>
      </c>
      <c r="M10211" s="1">
        <f>VALUE(8476)</f>
        <v>8476</v>
      </c>
      <c r="N10211" t="s">
        <v>25</v>
      </c>
    </row>
    <row r="10212" spans="1:14" x14ac:dyDescent="0.25">
      <c r="A10212" t="s">
        <v>43</v>
      </c>
      <c r="B10212" t="s">
        <v>40</v>
      </c>
      <c r="C10212" t="s">
        <v>37</v>
      </c>
      <c r="D10212" t="s">
        <v>29</v>
      </c>
      <c r="E10212" t="s">
        <v>22</v>
      </c>
      <c r="F10212" t="s">
        <v>15</v>
      </c>
      <c r="G10212" s="2">
        <f>VALUE(1187.46)</f>
        <v>1187.46</v>
      </c>
      <c r="H10212" s="3">
        <f>VALUE(902.08)</f>
        <v>902.08</v>
      </c>
      <c r="I10212" s="1">
        <f>VALUE(3765)</f>
        <v>3765</v>
      </c>
      <c r="J10212" s="5">
        <f>VALUE(4303)</f>
        <v>4303</v>
      </c>
      <c r="K10212" s="1">
        <f>VALUE(5159)</f>
        <v>5159</v>
      </c>
      <c r="L10212" s="7">
        <f>VALUE(6423)</f>
        <v>6423</v>
      </c>
      <c r="M10212" s="1">
        <f>VALUE(7675)</f>
        <v>7675</v>
      </c>
      <c r="N10212" t="s">
        <v>25</v>
      </c>
    </row>
    <row r="10213" spans="1:14" x14ac:dyDescent="0.25">
      <c r="A10213" t="s">
        <v>43</v>
      </c>
      <c r="B10213" t="s">
        <v>40</v>
      </c>
      <c r="C10213" t="s">
        <v>37</v>
      </c>
      <c r="D10213" t="s">
        <v>29</v>
      </c>
      <c r="E10213" t="s">
        <v>22</v>
      </c>
      <c r="F10213" t="s">
        <v>17</v>
      </c>
      <c r="G10213" s="1" t="str">
        <f t="shared" ref="G10213:M10215" si="2281">"X"</f>
        <v>X</v>
      </c>
      <c r="H10213" s="1" t="str">
        <f t="shared" si="2281"/>
        <v>X</v>
      </c>
      <c r="I10213" s="1" t="str">
        <f t="shared" si="2281"/>
        <v>X</v>
      </c>
      <c r="J10213" s="1" t="str">
        <f t="shared" si="2281"/>
        <v>X</v>
      </c>
      <c r="K10213" s="1" t="str">
        <f t="shared" si="2281"/>
        <v>X</v>
      </c>
      <c r="L10213" s="1" t="str">
        <f t="shared" si="2281"/>
        <v>X</v>
      </c>
      <c r="M10213" s="1" t="str">
        <f t="shared" si="2281"/>
        <v>X</v>
      </c>
      <c r="N10213" t="s">
        <v>27</v>
      </c>
    </row>
    <row r="10214" spans="1:14" x14ac:dyDescent="0.25">
      <c r="A10214" t="s">
        <v>43</v>
      </c>
      <c r="B10214" t="s">
        <v>40</v>
      </c>
      <c r="C10214" t="s">
        <v>37</v>
      </c>
      <c r="D10214" t="s">
        <v>29</v>
      </c>
      <c r="E10214" t="s">
        <v>22</v>
      </c>
      <c r="F10214" t="s">
        <v>18</v>
      </c>
      <c r="G10214" s="1" t="str">
        <f t="shared" si="2281"/>
        <v>X</v>
      </c>
      <c r="H10214" s="1" t="str">
        <f t="shared" si="2281"/>
        <v>X</v>
      </c>
      <c r="I10214" s="1" t="str">
        <f t="shared" si="2281"/>
        <v>X</v>
      </c>
      <c r="J10214" s="1" t="str">
        <f t="shared" si="2281"/>
        <v>X</v>
      </c>
      <c r="K10214" s="1" t="str">
        <f t="shared" si="2281"/>
        <v>X</v>
      </c>
      <c r="L10214" s="1" t="str">
        <f t="shared" si="2281"/>
        <v>X</v>
      </c>
      <c r="M10214" s="1" t="str">
        <f t="shared" si="2281"/>
        <v>X</v>
      </c>
      <c r="N10214" t="s">
        <v>27</v>
      </c>
    </row>
    <row r="10215" spans="1:14" x14ac:dyDescent="0.25">
      <c r="A10215" t="s">
        <v>43</v>
      </c>
      <c r="B10215" t="s">
        <v>40</v>
      </c>
      <c r="C10215" t="s">
        <v>37</v>
      </c>
      <c r="D10215" t="s">
        <v>29</v>
      </c>
      <c r="E10215" t="s">
        <v>22</v>
      </c>
      <c r="F10215" t="s">
        <v>19</v>
      </c>
      <c r="G10215" s="1" t="str">
        <f t="shared" si="2281"/>
        <v>X</v>
      </c>
      <c r="H10215" s="1" t="str">
        <f t="shared" si="2281"/>
        <v>X</v>
      </c>
      <c r="I10215" s="1" t="str">
        <f t="shared" si="2281"/>
        <v>X</v>
      </c>
      <c r="J10215" s="1" t="str">
        <f t="shared" si="2281"/>
        <v>X</v>
      </c>
      <c r="K10215" s="1" t="str">
        <f t="shared" si="2281"/>
        <v>X</v>
      </c>
      <c r="L10215" s="1" t="str">
        <f t="shared" si="2281"/>
        <v>X</v>
      </c>
      <c r="M10215" s="1" t="str">
        <f t="shared" si="2281"/>
        <v>X</v>
      </c>
      <c r="N10215" t="s">
        <v>27</v>
      </c>
    </row>
    <row r="10216" spans="1:14" x14ac:dyDescent="0.25">
      <c r="A10216" t="s">
        <v>43</v>
      </c>
      <c r="B10216" t="s">
        <v>40</v>
      </c>
      <c r="C10216" t="s">
        <v>37</v>
      </c>
      <c r="D10216" t="s">
        <v>29</v>
      </c>
      <c r="E10216" t="s">
        <v>22</v>
      </c>
      <c r="F10216" t="s">
        <v>20</v>
      </c>
      <c r="G10216" s="2">
        <f>VALUE(748.53)</f>
        <v>748.53</v>
      </c>
      <c r="H10216" s="3">
        <f>VALUE(531.99)</f>
        <v>531.99</v>
      </c>
      <c r="I10216" s="1">
        <f>VALUE(3735)</f>
        <v>3735</v>
      </c>
      <c r="J10216" s="1">
        <f>VALUE(4085)</f>
        <v>4085</v>
      </c>
      <c r="K10216" s="1">
        <f>VALUE(5104)</f>
        <v>5104</v>
      </c>
      <c r="L10216" s="1">
        <f>VALUE(5573)</f>
        <v>5573</v>
      </c>
      <c r="M10216" s="1">
        <f>VALUE(6682)</f>
        <v>6682</v>
      </c>
      <c r="N10216" t="s">
        <v>25</v>
      </c>
    </row>
    <row r="10217" spans="1:14" x14ac:dyDescent="0.25">
      <c r="A10217" t="s">
        <v>43</v>
      </c>
      <c r="B10217" t="s">
        <v>40</v>
      </c>
      <c r="C10217" t="s">
        <v>37</v>
      </c>
      <c r="D10217" t="s">
        <v>29</v>
      </c>
      <c r="E10217" t="s">
        <v>23</v>
      </c>
      <c r="F10217" t="s">
        <v>15</v>
      </c>
      <c r="G10217" s="2">
        <f>VALUE(1525.4)</f>
        <v>1525.4</v>
      </c>
      <c r="H10217" s="3">
        <f>VALUE(841.88)</f>
        <v>841.88</v>
      </c>
      <c r="I10217" s="4">
        <f>VALUE(3238)</f>
        <v>3238</v>
      </c>
      <c r="J10217" s="1">
        <f>VALUE(3514)</f>
        <v>3514</v>
      </c>
      <c r="K10217" s="1">
        <f>VALUE(3804)</f>
        <v>3804</v>
      </c>
      <c r="L10217" s="1">
        <f>VALUE(4167)</f>
        <v>4167</v>
      </c>
      <c r="M10217" s="1">
        <f>VALUE(4764)</f>
        <v>4764</v>
      </c>
      <c r="N10217" t="s">
        <v>25</v>
      </c>
    </row>
    <row r="10218" spans="1:14" x14ac:dyDescent="0.25">
      <c r="A10218" t="s">
        <v>43</v>
      </c>
      <c r="B10218" t="s">
        <v>40</v>
      </c>
      <c r="C10218" t="s">
        <v>37</v>
      </c>
      <c r="D10218" t="s">
        <v>29</v>
      </c>
      <c r="E10218" t="s">
        <v>23</v>
      </c>
      <c r="F10218" t="s">
        <v>17</v>
      </c>
      <c r="G10218" s="1" t="str">
        <f t="shared" ref="G10218:M10220" si="2282">"X"</f>
        <v>X</v>
      </c>
      <c r="H10218" s="1" t="str">
        <f t="shared" si="2282"/>
        <v>X</v>
      </c>
      <c r="I10218" s="1" t="str">
        <f t="shared" si="2282"/>
        <v>X</v>
      </c>
      <c r="J10218" s="1" t="str">
        <f t="shared" si="2282"/>
        <v>X</v>
      </c>
      <c r="K10218" s="1" t="str">
        <f t="shared" si="2282"/>
        <v>X</v>
      </c>
      <c r="L10218" s="1" t="str">
        <f t="shared" si="2282"/>
        <v>X</v>
      </c>
      <c r="M10218" s="1" t="str">
        <f t="shared" si="2282"/>
        <v>X</v>
      </c>
      <c r="N10218" t="s">
        <v>27</v>
      </c>
    </row>
    <row r="10219" spans="1:14" x14ac:dyDescent="0.25">
      <c r="A10219" t="s">
        <v>43</v>
      </c>
      <c r="B10219" t="s">
        <v>40</v>
      </c>
      <c r="C10219" t="s">
        <v>37</v>
      </c>
      <c r="D10219" t="s">
        <v>29</v>
      </c>
      <c r="E10219" t="s">
        <v>23</v>
      </c>
      <c r="F10219" t="s">
        <v>18</v>
      </c>
      <c r="G10219" s="1" t="str">
        <f t="shared" si="2282"/>
        <v>X</v>
      </c>
      <c r="H10219" s="1" t="str">
        <f t="shared" si="2282"/>
        <v>X</v>
      </c>
      <c r="I10219" s="1" t="str">
        <f t="shared" si="2282"/>
        <v>X</v>
      </c>
      <c r="J10219" s="1" t="str">
        <f t="shared" si="2282"/>
        <v>X</v>
      </c>
      <c r="K10219" s="1" t="str">
        <f t="shared" si="2282"/>
        <v>X</v>
      </c>
      <c r="L10219" s="1" t="str">
        <f t="shared" si="2282"/>
        <v>X</v>
      </c>
      <c r="M10219" s="1" t="str">
        <f t="shared" si="2282"/>
        <v>X</v>
      </c>
      <c r="N10219" t="s">
        <v>27</v>
      </c>
    </row>
    <row r="10220" spans="1:14" x14ac:dyDescent="0.25">
      <c r="A10220" t="s">
        <v>43</v>
      </c>
      <c r="B10220" t="s">
        <v>40</v>
      </c>
      <c r="C10220" t="s">
        <v>37</v>
      </c>
      <c r="D10220" t="s">
        <v>29</v>
      </c>
      <c r="E10220" t="s">
        <v>23</v>
      </c>
      <c r="F10220" t="s">
        <v>19</v>
      </c>
      <c r="G10220" s="1" t="str">
        <f t="shared" si="2282"/>
        <v>X</v>
      </c>
      <c r="H10220" s="1" t="str">
        <f t="shared" si="2282"/>
        <v>X</v>
      </c>
      <c r="I10220" s="1" t="str">
        <f t="shared" si="2282"/>
        <v>X</v>
      </c>
      <c r="J10220" s="1" t="str">
        <f t="shared" si="2282"/>
        <v>X</v>
      </c>
      <c r="K10220" s="1" t="str">
        <f t="shared" si="2282"/>
        <v>X</v>
      </c>
      <c r="L10220" s="1" t="str">
        <f t="shared" si="2282"/>
        <v>X</v>
      </c>
      <c r="M10220" s="1" t="str">
        <f t="shared" si="2282"/>
        <v>X</v>
      </c>
      <c r="N10220" t="s">
        <v>27</v>
      </c>
    </row>
    <row r="10221" spans="1:14" x14ac:dyDescent="0.25">
      <c r="A10221" t="s">
        <v>43</v>
      </c>
      <c r="B10221" t="s">
        <v>40</v>
      </c>
      <c r="C10221" t="s">
        <v>37</v>
      </c>
      <c r="D10221" t="s">
        <v>29</v>
      </c>
      <c r="E10221" t="s">
        <v>23</v>
      </c>
      <c r="F10221" t="s">
        <v>20</v>
      </c>
      <c r="G10221" s="2">
        <f>VALUE(1308.26)</f>
        <v>1308.26</v>
      </c>
      <c r="H10221" s="3">
        <f>VALUE(661.08)</f>
        <v>661.08</v>
      </c>
      <c r="I10221" s="1">
        <f>VALUE(3132)</f>
        <v>3132</v>
      </c>
      <c r="J10221" s="1">
        <f>VALUE(3515)</f>
        <v>3515</v>
      </c>
      <c r="K10221" s="1">
        <f>VALUE(3793)</f>
        <v>3793</v>
      </c>
      <c r="L10221" s="1">
        <f>VALUE(4175)</f>
        <v>4175</v>
      </c>
      <c r="M10221" s="1">
        <f>VALUE(4708)</f>
        <v>4708</v>
      </c>
      <c r="N10221" t="s">
        <v>25</v>
      </c>
    </row>
    <row r="10222" spans="1:14" x14ac:dyDescent="0.25">
      <c r="A10222" t="s">
        <v>43</v>
      </c>
      <c r="B10222" t="s">
        <v>40</v>
      </c>
      <c r="C10222" t="s">
        <v>37</v>
      </c>
      <c r="D10222" t="s">
        <v>29</v>
      </c>
      <c r="E10222" t="s">
        <v>26</v>
      </c>
      <c r="F10222" t="s">
        <v>15</v>
      </c>
      <c r="G10222" s="1" t="str">
        <f t="shared" ref="G10222:M10224" si="2283">"X"</f>
        <v>X</v>
      </c>
      <c r="H10222" s="1" t="str">
        <f t="shared" si="2283"/>
        <v>X</v>
      </c>
      <c r="I10222" s="1" t="str">
        <f t="shared" si="2283"/>
        <v>X</v>
      </c>
      <c r="J10222" s="1" t="str">
        <f t="shared" si="2283"/>
        <v>X</v>
      </c>
      <c r="K10222" s="1" t="str">
        <f t="shared" si="2283"/>
        <v>X</v>
      </c>
      <c r="L10222" s="1" t="str">
        <f t="shared" si="2283"/>
        <v>X</v>
      </c>
      <c r="M10222" s="1" t="str">
        <f t="shared" si="2283"/>
        <v>X</v>
      </c>
      <c r="N10222" t="s">
        <v>27</v>
      </c>
    </row>
    <row r="10223" spans="1:14" x14ac:dyDescent="0.25">
      <c r="A10223" t="s">
        <v>43</v>
      </c>
      <c r="B10223" t="s">
        <v>40</v>
      </c>
      <c r="C10223" t="s">
        <v>37</v>
      </c>
      <c r="D10223" t="s">
        <v>29</v>
      </c>
      <c r="E10223" t="s">
        <v>26</v>
      </c>
      <c r="F10223" t="s">
        <v>17</v>
      </c>
      <c r="G10223" s="1" t="str">
        <f t="shared" si="2283"/>
        <v>X</v>
      </c>
      <c r="H10223" s="1" t="str">
        <f t="shared" si="2283"/>
        <v>X</v>
      </c>
      <c r="I10223" s="1" t="str">
        <f t="shared" si="2283"/>
        <v>X</v>
      </c>
      <c r="J10223" s="1" t="str">
        <f t="shared" si="2283"/>
        <v>X</v>
      </c>
      <c r="K10223" s="1" t="str">
        <f t="shared" si="2283"/>
        <v>X</v>
      </c>
      <c r="L10223" s="1" t="str">
        <f t="shared" si="2283"/>
        <v>X</v>
      </c>
      <c r="M10223" s="1" t="str">
        <f t="shared" si="2283"/>
        <v>X</v>
      </c>
      <c r="N10223" t="s">
        <v>27</v>
      </c>
    </row>
    <row r="10224" spans="1:14" x14ac:dyDescent="0.25">
      <c r="A10224" t="s">
        <v>43</v>
      </c>
      <c r="B10224" t="s">
        <v>40</v>
      </c>
      <c r="C10224" t="s">
        <v>37</v>
      </c>
      <c r="D10224" t="s">
        <v>29</v>
      </c>
      <c r="E10224" t="s">
        <v>26</v>
      </c>
      <c r="F10224" t="s">
        <v>18</v>
      </c>
      <c r="G10224" s="1" t="str">
        <f t="shared" si="2283"/>
        <v>X</v>
      </c>
      <c r="H10224" s="1" t="str">
        <f t="shared" si="2283"/>
        <v>X</v>
      </c>
      <c r="I10224" s="1" t="str">
        <f t="shared" si="2283"/>
        <v>X</v>
      </c>
      <c r="J10224" s="1" t="str">
        <f t="shared" si="2283"/>
        <v>X</v>
      </c>
      <c r="K10224" s="1" t="str">
        <f t="shared" si="2283"/>
        <v>X</v>
      </c>
      <c r="L10224" s="1" t="str">
        <f t="shared" si="2283"/>
        <v>X</v>
      </c>
      <c r="M10224" s="1" t="str">
        <f t="shared" si="2283"/>
        <v>X</v>
      </c>
      <c r="N10224" t="s">
        <v>27</v>
      </c>
    </row>
    <row r="10225" spans="1:14" x14ac:dyDescent="0.25">
      <c r="A10225" t="s">
        <v>43</v>
      </c>
      <c r="B10225" t="s">
        <v>40</v>
      </c>
      <c r="C10225" t="s">
        <v>37</v>
      </c>
      <c r="D10225" t="s">
        <v>29</v>
      </c>
      <c r="E10225" t="s">
        <v>26</v>
      </c>
      <c r="F10225" t="s">
        <v>19</v>
      </c>
      <c r="G10225" s="1" t="str">
        <f t="shared" ref="G10225:M10225" si="2284">"..."</f>
        <v>...</v>
      </c>
      <c r="H10225" s="1" t="str">
        <f t="shared" si="2284"/>
        <v>...</v>
      </c>
      <c r="I10225" s="1" t="str">
        <f t="shared" si="2284"/>
        <v>...</v>
      </c>
      <c r="J10225" s="1" t="str">
        <f t="shared" si="2284"/>
        <v>...</v>
      </c>
      <c r="K10225" s="1" t="str">
        <f t="shared" si="2284"/>
        <v>...</v>
      </c>
      <c r="L10225" s="1" t="str">
        <f t="shared" si="2284"/>
        <v>...</v>
      </c>
      <c r="M10225" s="1" t="str">
        <f t="shared" si="2284"/>
        <v>...</v>
      </c>
      <c r="N10225" t="s">
        <v>30</v>
      </c>
    </row>
    <row r="10226" spans="1:14" x14ac:dyDescent="0.25">
      <c r="A10226" t="s">
        <v>43</v>
      </c>
      <c r="B10226" t="s">
        <v>40</v>
      </c>
      <c r="C10226" t="s">
        <v>37</v>
      </c>
      <c r="D10226" t="s">
        <v>29</v>
      </c>
      <c r="E10226" t="s">
        <v>26</v>
      </c>
      <c r="F10226" t="s">
        <v>20</v>
      </c>
      <c r="G10226" s="1" t="str">
        <f t="shared" ref="G10226:M10226" si="2285">"X"</f>
        <v>X</v>
      </c>
      <c r="H10226" s="1" t="str">
        <f t="shared" si="2285"/>
        <v>X</v>
      </c>
      <c r="I10226" s="1" t="str">
        <f t="shared" si="2285"/>
        <v>X</v>
      </c>
      <c r="J10226" s="1" t="str">
        <f t="shared" si="2285"/>
        <v>X</v>
      </c>
      <c r="K10226" s="1" t="str">
        <f t="shared" si="2285"/>
        <v>X</v>
      </c>
      <c r="L10226" s="1" t="str">
        <f t="shared" si="2285"/>
        <v>X</v>
      </c>
      <c r="M10226" s="1" t="str">
        <f t="shared" si="2285"/>
        <v>X</v>
      </c>
      <c r="N10226" t="s">
        <v>27</v>
      </c>
    </row>
    <row r="10227" spans="1:14" x14ac:dyDescent="0.25">
      <c r="A10227" t="s">
        <v>43</v>
      </c>
      <c r="B10227" t="s">
        <v>40</v>
      </c>
      <c r="C10227" t="s">
        <v>37</v>
      </c>
      <c r="D10227" t="s">
        <v>31</v>
      </c>
      <c r="E10227" t="s">
        <v>15</v>
      </c>
      <c r="F10227" t="s">
        <v>15</v>
      </c>
      <c r="G10227" s="2">
        <f>VALUE(2016.6)</f>
        <v>2016.6</v>
      </c>
      <c r="H10227" s="3">
        <f>VALUE(1170.9)</f>
        <v>1170.9000000000001</v>
      </c>
      <c r="I10227" s="4">
        <f>VALUE(3274)</f>
        <v>3274</v>
      </c>
      <c r="J10227" s="1">
        <f>VALUE(3637)</f>
        <v>3637</v>
      </c>
      <c r="K10227" s="6">
        <f>VALUE(4250)</f>
        <v>4250</v>
      </c>
      <c r="L10227" s="1">
        <f>VALUE(5809)</f>
        <v>5809</v>
      </c>
      <c r="M10227" s="1">
        <f>VALUE(7922)</f>
        <v>7922</v>
      </c>
      <c r="N10227" t="s">
        <v>25</v>
      </c>
    </row>
    <row r="10228" spans="1:14" x14ac:dyDescent="0.25">
      <c r="A10228" t="s">
        <v>43</v>
      </c>
      <c r="B10228" t="s">
        <v>40</v>
      </c>
      <c r="C10228" t="s">
        <v>37</v>
      </c>
      <c r="D10228" t="s">
        <v>31</v>
      </c>
      <c r="E10228" t="s">
        <v>15</v>
      </c>
      <c r="F10228" t="s">
        <v>17</v>
      </c>
      <c r="G10228" s="1" t="str">
        <f t="shared" ref="G10228:M10230" si="2286">"X"</f>
        <v>X</v>
      </c>
      <c r="H10228" s="1" t="str">
        <f t="shared" si="2286"/>
        <v>X</v>
      </c>
      <c r="I10228" s="1" t="str">
        <f t="shared" si="2286"/>
        <v>X</v>
      </c>
      <c r="J10228" s="1" t="str">
        <f t="shared" si="2286"/>
        <v>X</v>
      </c>
      <c r="K10228" s="1" t="str">
        <f t="shared" si="2286"/>
        <v>X</v>
      </c>
      <c r="L10228" s="1" t="str">
        <f t="shared" si="2286"/>
        <v>X</v>
      </c>
      <c r="M10228" s="1" t="str">
        <f t="shared" si="2286"/>
        <v>X</v>
      </c>
      <c r="N10228" t="s">
        <v>27</v>
      </c>
    </row>
    <row r="10229" spans="1:14" x14ac:dyDescent="0.25">
      <c r="A10229" t="s">
        <v>43</v>
      </c>
      <c r="B10229" t="s">
        <v>40</v>
      </c>
      <c r="C10229" t="s">
        <v>37</v>
      </c>
      <c r="D10229" t="s">
        <v>31</v>
      </c>
      <c r="E10229" t="s">
        <v>15</v>
      </c>
      <c r="F10229" t="s">
        <v>18</v>
      </c>
      <c r="G10229" s="1" t="str">
        <f t="shared" si="2286"/>
        <v>X</v>
      </c>
      <c r="H10229" s="1" t="str">
        <f t="shared" si="2286"/>
        <v>X</v>
      </c>
      <c r="I10229" s="1" t="str">
        <f t="shared" si="2286"/>
        <v>X</v>
      </c>
      <c r="J10229" s="1" t="str">
        <f t="shared" si="2286"/>
        <v>X</v>
      </c>
      <c r="K10229" s="1" t="str">
        <f t="shared" si="2286"/>
        <v>X</v>
      </c>
      <c r="L10229" s="1" t="str">
        <f t="shared" si="2286"/>
        <v>X</v>
      </c>
      <c r="M10229" s="1" t="str">
        <f t="shared" si="2286"/>
        <v>X</v>
      </c>
      <c r="N10229" t="s">
        <v>27</v>
      </c>
    </row>
    <row r="10230" spans="1:14" x14ac:dyDescent="0.25">
      <c r="A10230" t="s">
        <v>43</v>
      </c>
      <c r="B10230" t="s">
        <v>40</v>
      </c>
      <c r="C10230" t="s">
        <v>37</v>
      </c>
      <c r="D10230" t="s">
        <v>31</v>
      </c>
      <c r="E10230" t="s">
        <v>15</v>
      </c>
      <c r="F10230" t="s">
        <v>19</v>
      </c>
      <c r="G10230" s="1" t="str">
        <f t="shared" si="2286"/>
        <v>X</v>
      </c>
      <c r="H10230" s="1" t="str">
        <f t="shared" si="2286"/>
        <v>X</v>
      </c>
      <c r="I10230" s="1" t="str">
        <f t="shared" si="2286"/>
        <v>X</v>
      </c>
      <c r="J10230" s="1" t="str">
        <f t="shared" si="2286"/>
        <v>X</v>
      </c>
      <c r="K10230" s="1" t="str">
        <f t="shared" si="2286"/>
        <v>X</v>
      </c>
      <c r="L10230" s="1" t="str">
        <f t="shared" si="2286"/>
        <v>X</v>
      </c>
      <c r="M10230" s="1" t="str">
        <f t="shared" si="2286"/>
        <v>X</v>
      </c>
      <c r="N10230" t="s">
        <v>27</v>
      </c>
    </row>
    <row r="10231" spans="1:14" x14ac:dyDescent="0.25">
      <c r="A10231" t="s">
        <v>43</v>
      </c>
      <c r="B10231" t="s">
        <v>40</v>
      </c>
      <c r="C10231" t="s">
        <v>37</v>
      </c>
      <c r="D10231" t="s">
        <v>31</v>
      </c>
      <c r="E10231" t="s">
        <v>15</v>
      </c>
      <c r="F10231" t="s">
        <v>20</v>
      </c>
      <c r="G10231" s="2">
        <f>VALUE(1714.49)</f>
        <v>1714.49</v>
      </c>
      <c r="H10231" s="3">
        <f>VALUE(894.96)</f>
        <v>894.96</v>
      </c>
      <c r="I10231" s="1">
        <f>VALUE(3236)</f>
        <v>3236</v>
      </c>
      <c r="J10231" s="1">
        <f>VALUE(3487)</f>
        <v>3487</v>
      </c>
      <c r="K10231" s="6">
        <f>VALUE(3763)</f>
        <v>3763</v>
      </c>
      <c r="L10231" s="7">
        <f>VALUE(5172)</f>
        <v>5172</v>
      </c>
      <c r="M10231" s="1">
        <f>VALUE(6158)</f>
        <v>6158</v>
      </c>
      <c r="N10231" t="s">
        <v>25</v>
      </c>
    </row>
    <row r="10232" spans="1:14" x14ac:dyDescent="0.25">
      <c r="A10232" t="s">
        <v>43</v>
      </c>
      <c r="B10232" t="s">
        <v>40</v>
      </c>
      <c r="C10232" t="s">
        <v>37</v>
      </c>
      <c r="D10232" t="s">
        <v>31</v>
      </c>
      <c r="E10232" t="s">
        <v>21</v>
      </c>
      <c r="F10232" t="s">
        <v>15</v>
      </c>
      <c r="G10232" s="2">
        <f>VALUE(360.66)</f>
        <v>360.66</v>
      </c>
      <c r="H10232" s="3">
        <f>VALUE(300.71)</f>
        <v>300.70999999999998</v>
      </c>
      <c r="I10232" s="4">
        <f>VALUE(4667)</f>
        <v>4667</v>
      </c>
      <c r="J10232" s="1">
        <f>VALUE(5459)</f>
        <v>5459</v>
      </c>
      <c r="K10232" s="1">
        <f>VALUE(6561)</f>
        <v>6561</v>
      </c>
      <c r="L10232" s="1">
        <f>VALUE(7952)</f>
        <v>7952</v>
      </c>
      <c r="M10232" s="8">
        <f>VALUE(10965)</f>
        <v>10965</v>
      </c>
      <c r="N10232" t="s">
        <v>25</v>
      </c>
    </row>
    <row r="10233" spans="1:14" x14ac:dyDescent="0.25">
      <c r="A10233" t="s">
        <v>43</v>
      </c>
      <c r="B10233" t="s">
        <v>40</v>
      </c>
      <c r="C10233" t="s">
        <v>37</v>
      </c>
      <c r="D10233" t="s">
        <v>31</v>
      </c>
      <c r="E10233" t="s">
        <v>21</v>
      </c>
      <c r="F10233" t="s">
        <v>17</v>
      </c>
      <c r="G10233" s="1" t="str">
        <f t="shared" ref="G10233:M10235" si="2287">"X"</f>
        <v>X</v>
      </c>
      <c r="H10233" s="1" t="str">
        <f t="shared" si="2287"/>
        <v>X</v>
      </c>
      <c r="I10233" s="1" t="str">
        <f t="shared" si="2287"/>
        <v>X</v>
      </c>
      <c r="J10233" s="1" t="str">
        <f t="shared" si="2287"/>
        <v>X</v>
      </c>
      <c r="K10233" s="1" t="str">
        <f t="shared" si="2287"/>
        <v>X</v>
      </c>
      <c r="L10233" s="1" t="str">
        <f t="shared" si="2287"/>
        <v>X</v>
      </c>
      <c r="M10233" s="1" t="str">
        <f t="shared" si="2287"/>
        <v>X</v>
      </c>
      <c r="N10233" t="s">
        <v>27</v>
      </c>
    </row>
    <row r="10234" spans="1:14" x14ac:dyDescent="0.25">
      <c r="A10234" t="s">
        <v>43</v>
      </c>
      <c r="B10234" t="s">
        <v>40</v>
      </c>
      <c r="C10234" t="s">
        <v>37</v>
      </c>
      <c r="D10234" t="s">
        <v>31</v>
      </c>
      <c r="E10234" t="s">
        <v>21</v>
      </c>
      <c r="F10234" t="s">
        <v>18</v>
      </c>
      <c r="G10234" s="1" t="str">
        <f t="shared" si="2287"/>
        <v>X</v>
      </c>
      <c r="H10234" s="1" t="str">
        <f t="shared" si="2287"/>
        <v>X</v>
      </c>
      <c r="I10234" s="1" t="str">
        <f t="shared" si="2287"/>
        <v>X</v>
      </c>
      <c r="J10234" s="1" t="str">
        <f t="shared" si="2287"/>
        <v>X</v>
      </c>
      <c r="K10234" s="1" t="str">
        <f t="shared" si="2287"/>
        <v>X</v>
      </c>
      <c r="L10234" s="1" t="str">
        <f t="shared" si="2287"/>
        <v>X</v>
      </c>
      <c r="M10234" s="1" t="str">
        <f t="shared" si="2287"/>
        <v>X</v>
      </c>
      <c r="N10234" t="s">
        <v>27</v>
      </c>
    </row>
    <row r="10235" spans="1:14" x14ac:dyDescent="0.25">
      <c r="A10235" t="s">
        <v>43</v>
      </c>
      <c r="B10235" t="s">
        <v>40</v>
      </c>
      <c r="C10235" t="s">
        <v>37</v>
      </c>
      <c r="D10235" t="s">
        <v>31</v>
      </c>
      <c r="E10235" t="s">
        <v>21</v>
      </c>
      <c r="F10235" t="s">
        <v>19</v>
      </c>
      <c r="G10235" s="1" t="str">
        <f t="shared" si="2287"/>
        <v>X</v>
      </c>
      <c r="H10235" s="1" t="str">
        <f t="shared" si="2287"/>
        <v>X</v>
      </c>
      <c r="I10235" s="1" t="str">
        <f t="shared" si="2287"/>
        <v>X</v>
      </c>
      <c r="J10235" s="1" t="str">
        <f t="shared" si="2287"/>
        <v>X</v>
      </c>
      <c r="K10235" s="1" t="str">
        <f t="shared" si="2287"/>
        <v>X</v>
      </c>
      <c r="L10235" s="1" t="str">
        <f t="shared" si="2287"/>
        <v>X</v>
      </c>
      <c r="M10235" s="1" t="str">
        <f t="shared" si="2287"/>
        <v>X</v>
      </c>
      <c r="N10235" t="s">
        <v>27</v>
      </c>
    </row>
    <row r="10236" spans="1:14" x14ac:dyDescent="0.25">
      <c r="A10236" t="s">
        <v>43</v>
      </c>
      <c r="B10236" t="s">
        <v>40</v>
      </c>
      <c r="C10236" t="s">
        <v>37</v>
      </c>
      <c r="D10236" t="s">
        <v>31</v>
      </c>
      <c r="E10236" t="s">
        <v>21</v>
      </c>
      <c r="F10236" t="s">
        <v>20</v>
      </c>
      <c r="G10236" s="2">
        <f>VALUE(196.18)</f>
        <v>196.18</v>
      </c>
      <c r="H10236" s="3">
        <f>VALUE(148.83)</f>
        <v>148.83000000000001</v>
      </c>
      <c r="I10236" s="4">
        <f>VALUE(3527)</f>
        <v>3527</v>
      </c>
      <c r="J10236" s="1">
        <f>VALUE(5039)</f>
        <v>5039</v>
      </c>
      <c r="K10236" s="1">
        <f>VALUE(5701)</f>
        <v>5701</v>
      </c>
      <c r="L10236" s="7">
        <f>VALUE(6652)</f>
        <v>6652</v>
      </c>
      <c r="M10236" s="1">
        <f>VALUE(7952)</f>
        <v>7952</v>
      </c>
      <c r="N10236" t="s">
        <v>25</v>
      </c>
    </row>
    <row r="10237" spans="1:14" x14ac:dyDescent="0.25">
      <c r="A10237" t="s">
        <v>43</v>
      </c>
      <c r="B10237" t="s">
        <v>40</v>
      </c>
      <c r="C10237" t="s">
        <v>37</v>
      </c>
      <c r="D10237" t="s">
        <v>31</v>
      </c>
      <c r="E10237" t="s">
        <v>22</v>
      </c>
      <c r="F10237" t="s">
        <v>15</v>
      </c>
      <c r="G10237" s="2">
        <f>VALUE(385.81)</f>
        <v>385.81</v>
      </c>
      <c r="H10237" s="3">
        <f>VALUE(319.47)</f>
        <v>319.47000000000003</v>
      </c>
      <c r="I10237" s="1">
        <f>VALUE(3467)</f>
        <v>3467</v>
      </c>
      <c r="J10237" s="1">
        <f>VALUE(3738)</f>
        <v>3738</v>
      </c>
      <c r="K10237" s="6">
        <f>VALUE(4584)</f>
        <v>4584</v>
      </c>
      <c r="L10237" s="1">
        <f>VALUE(5679)</f>
        <v>5679</v>
      </c>
      <c r="M10237" s="1">
        <f>VALUE(6888)</f>
        <v>6888</v>
      </c>
      <c r="N10237" t="s">
        <v>25</v>
      </c>
    </row>
    <row r="10238" spans="1:14" x14ac:dyDescent="0.25">
      <c r="A10238" t="s">
        <v>43</v>
      </c>
      <c r="B10238" t="s">
        <v>40</v>
      </c>
      <c r="C10238" t="s">
        <v>37</v>
      </c>
      <c r="D10238" t="s">
        <v>31</v>
      </c>
      <c r="E10238" t="s">
        <v>22</v>
      </c>
      <c r="F10238" t="s">
        <v>17</v>
      </c>
      <c r="G10238" s="1" t="str">
        <f t="shared" ref="G10238:M10240" si="2288">"X"</f>
        <v>X</v>
      </c>
      <c r="H10238" s="1" t="str">
        <f t="shared" si="2288"/>
        <v>X</v>
      </c>
      <c r="I10238" s="1" t="str">
        <f t="shared" si="2288"/>
        <v>X</v>
      </c>
      <c r="J10238" s="1" t="str">
        <f t="shared" si="2288"/>
        <v>X</v>
      </c>
      <c r="K10238" s="1" t="str">
        <f t="shared" si="2288"/>
        <v>X</v>
      </c>
      <c r="L10238" s="1" t="str">
        <f t="shared" si="2288"/>
        <v>X</v>
      </c>
      <c r="M10238" s="1" t="str">
        <f t="shared" si="2288"/>
        <v>X</v>
      </c>
      <c r="N10238" t="s">
        <v>27</v>
      </c>
    </row>
    <row r="10239" spans="1:14" x14ac:dyDescent="0.25">
      <c r="A10239" t="s">
        <v>43</v>
      </c>
      <c r="B10239" t="s">
        <v>40</v>
      </c>
      <c r="C10239" t="s">
        <v>37</v>
      </c>
      <c r="D10239" t="s">
        <v>31</v>
      </c>
      <c r="E10239" t="s">
        <v>22</v>
      </c>
      <c r="F10239" t="s">
        <v>18</v>
      </c>
      <c r="G10239" s="1" t="str">
        <f t="shared" si="2288"/>
        <v>X</v>
      </c>
      <c r="H10239" s="1" t="str">
        <f t="shared" si="2288"/>
        <v>X</v>
      </c>
      <c r="I10239" s="1" t="str">
        <f t="shared" si="2288"/>
        <v>X</v>
      </c>
      <c r="J10239" s="1" t="str">
        <f t="shared" si="2288"/>
        <v>X</v>
      </c>
      <c r="K10239" s="1" t="str">
        <f t="shared" si="2288"/>
        <v>X</v>
      </c>
      <c r="L10239" s="1" t="str">
        <f t="shared" si="2288"/>
        <v>X</v>
      </c>
      <c r="M10239" s="1" t="str">
        <f t="shared" si="2288"/>
        <v>X</v>
      </c>
      <c r="N10239" t="s">
        <v>27</v>
      </c>
    </row>
    <row r="10240" spans="1:14" x14ac:dyDescent="0.25">
      <c r="A10240" t="s">
        <v>43</v>
      </c>
      <c r="B10240" t="s">
        <v>40</v>
      </c>
      <c r="C10240" t="s">
        <v>37</v>
      </c>
      <c r="D10240" t="s">
        <v>31</v>
      </c>
      <c r="E10240" t="s">
        <v>22</v>
      </c>
      <c r="F10240" t="s">
        <v>19</v>
      </c>
      <c r="G10240" s="1" t="str">
        <f t="shared" si="2288"/>
        <v>X</v>
      </c>
      <c r="H10240" s="1" t="str">
        <f t="shared" si="2288"/>
        <v>X</v>
      </c>
      <c r="I10240" s="1" t="str">
        <f t="shared" si="2288"/>
        <v>X</v>
      </c>
      <c r="J10240" s="1" t="str">
        <f t="shared" si="2288"/>
        <v>X</v>
      </c>
      <c r="K10240" s="1" t="str">
        <f t="shared" si="2288"/>
        <v>X</v>
      </c>
      <c r="L10240" s="1" t="str">
        <f t="shared" si="2288"/>
        <v>X</v>
      </c>
      <c r="M10240" s="1" t="str">
        <f t="shared" si="2288"/>
        <v>X</v>
      </c>
      <c r="N10240" t="s">
        <v>27</v>
      </c>
    </row>
    <row r="10241" spans="1:14" x14ac:dyDescent="0.25">
      <c r="A10241" t="s">
        <v>43</v>
      </c>
      <c r="B10241" t="s">
        <v>40</v>
      </c>
      <c r="C10241" t="s">
        <v>37</v>
      </c>
      <c r="D10241" t="s">
        <v>31</v>
      </c>
      <c r="E10241" t="s">
        <v>22</v>
      </c>
      <c r="F10241" t="s">
        <v>20</v>
      </c>
      <c r="G10241" s="2">
        <f>VALUE(292.88)</f>
        <v>292.88</v>
      </c>
      <c r="H10241" s="3">
        <f>VALUE(236.37)</f>
        <v>236.37</v>
      </c>
      <c r="I10241" s="1">
        <f>VALUE(3454)</f>
        <v>3454</v>
      </c>
      <c r="J10241" s="1">
        <f>VALUE(3738)</f>
        <v>3738</v>
      </c>
      <c r="K10241" s="6">
        <f>VALUE(4333)</f>
        <v>4333</v>
      </c>
      <c r="L10241" s="7">
        <f>VALUE(5209)</f>
        <v>5209</v>
      </c>
      <c r="M10241" s="1">
        <f>VALUE(6293)</f>
        <v>6293</v>
      </c>
      <c r="N10241" t="s">
        <v>25</v>
      </c>
    </row>
    <row r="10242" spans="1:14" x14ac:dyDescent="0.25">
      <c r="A10242" t="s">
        <v>43</v>
      </c>
      <c r="B10242" t="s">
        <v>40</v>
      </c>
      <c r="C10242" t="s">
        <v>37</v>
      </c>
      <c r="D10242" t="s">
        <v>31</v>
      </c>
      <c r="E10242" t="s">
        <v>23</v>
      </c>
      <c r="F10242" t="s">
        <v>15</v>
      </c>
      <c r="G10242" s="2">
        <f>VALUE(1219.37)</f>
        <v>1219.3699999999999</v>
      </c>
      <c r="H10242" s="3">
        <f>VALUE(525.94)</f>
        <v>525.94000000000005</v>
      </c>
      <c r="I10242" s="4">
        <f>VALUE(3024)</f>
        <v>3024</v>
      </c>
      <c r="J10242" s="5">
        <f>VALUE(3465)</f>
        <v>3465</v>
      </c>
      <c r="K10242" s="1">
        <f>VALUE(3685)</f>
        <v>3685</v>
      </c>
      <c r="L10242" s="7">
        <f>VALUE(4144)</f>
        <v>4144</v>
      </c>
      <c r="M10242" s="8">
        <f>VALUE(5090)</f>
        <v>5090</v>
      </c>
      <c r="N10242" t="s">
        <v>25</v>
      </c>
    </row>
    <row r="10243" spans="1:14" x14ac:dyDescent="0.25">
      <c r="A10243" t="s">
        <v>43</v>
      </c>
      <c r="B10243" t="s">
        <v>40</v>
      </c>
      <c r="C10243" t="s">
        <v>37</v>
      </c>
      <c r="D10243" t="s">
        <v>31</v>
      </c>
      <c r="E10243" t="s">
        <v>23</v>
      </c>
      <c r="F10243" t="s">
        <v>17</v>
      </c>
      <c r="G10243" s="1" t="str">
        <f t="shared" ref="G10243:M10245" si="2289">"X"</f>
        <v>X</v>
      </c>
      <c r="H10243" s="1" t="str">
        <f t="shared" si="2289"/>
        <v>X</v>
      </c>
      <c r="I10243" s="1" t="str">
        <f t="shared" si="2289"/>
        <v>X</v>
      </c>
      <c r="J10243" s="1" t="str">
        <f t="shared" si="2289"/>
        <v>X</v>
      </c>
      <c r="K10243" s="1" t="str">
        <f t="shared" si="2289"/>
        <v>X</v>
      </c>
      <c r="L10243" s="1" t="str">
        <f t="shared" si="2289"/>
        <v>X</v>
      </c>
      <c r="M10243" s="1" t="str">
        <f t="shared" si="2289"/>
        <v>X</v>
      </c>
      <c r="N10243" t="s">
        <v>27</v>
      </c>
    </row>
    <row r="10244" spans="1:14" x14ac:dyDescent="0.25">
      <c r="A10244" t="s">
        <v>43</v>
      </c>
      <c r="B10244" t="s">
        <v>40</v>
      </c>
      <c r="C10244" t="s">
        <v>37</v>
      </c>
      <c r="D10244" t="s">
        <v>31</v>
      </c>
      <c r="E10244" t="s">
        <v>23</v>
      </c>
      <c r="F10244" t="s">
        <v>18</v>
      </c>
      <c r="G10244" s="1" t="str">
        <f t="shared" si="2289"/>
        <v>X</v>
      </c>
      <c r="H10244" s="1" t="str">
        <f t="shared" si="2289"/>
        <v>X</v>
      </c>
      <c r="I10244" s="1" t="str">
        <f t="shared" si="2289"/>
        <v>X</v>
      </c>
      <c r="J10244" s="1" t="str">
        <f t="shared" si="2289"/>
        <v>X</v>
      </c>
      <c r="K10244" s="1" t="str">
        <f t="shared" si="2289"/>
        <v>X</v>
      </c>
      <c r="L10244" s="1" t="str">
        <f t="shared" si="2289"/>
        <v>X</v>
      </c>
      <c r="M10244" s="1" t="str">
        <f t="shared" si="2289"/>
        <v>X</v>
      </c>
      <c r="N10244" t="s">
        <v>27</v>
      </c>
    </row>
    <row r="10245" spans="1:14" x14ac:dyDescent="0.25">
      <c r="A10245" t="s">
        <v>43</v>
      </c>
      <c r="B10245" t="s">
        <v>40</v>
      </c>
      <c r="C10245" t="s">
        <v>37</v>
      </c>
      <c r="D10245" t="s">
        <v>31</v>
      </c>
      <c r="E10245" t="s">
        <v>23</v>
      </c>
      <c r="F10245" t="s">
        <v>19</v>
      </c>
      <c r="G10245" s="1" t="str">
        <f t="shared" si="2289"/>
        <v>X</v>
      </c>
      <c r="H10245" s="1" t="str">
        <f t="shared" si="2289"/>
        <v>X</v>
      </c>
      <c r="I10245" s="1" t="str">
        <f t="shared" si="2289"/>
        <v>X</v>
      </c>
      <c r="J10245" s="1" t="str">
        <f t="shared" si="2289"/>
        <v>X</v>
      </c>
      <c r="K10245" s="1" t="str">
        <f t="shared" si="2289"/>
        <v>X</v>
      </c>
      <c r="L10245" s="1" t="str">
        <f t="shared" si="2289"/>
        <v>X</v>
      </c>
      <c r="M10245" s="1" t="str">
        <f t="shared" si="2289"/>
        <v>X</v>
      </c>
      <c r="N10245" t="s">
        <v>27</v>
      </c>
    </row>
    <row r="10246" spans="1:14" x14ac:dyDescent="0.25">
      <c r="A10246" t="s">
        <v>43</v>
      </c>
      <c r="B10246" t="s">
        <v>40</v>
      </c>
      <c r="C10246" t="s">
        <v>37</v>
      </c>
      <c r="D10246" t="s">
        <v>31</v>
      </c>
      <c r="E10246" t="s">
        <v>23</v>
      </c>
      <c r="F10246" t="s">
        <v>20</v>
      </c>
      <c r="G10246" s="2">
        <f>VALUE(1188.13)</f>
        <v>1188.1300000000001</v>
      </c>
      <c r="H10246" s="3">
        <f>VALUE(498.7)</f>
        <v>498.7</v>
      </c>
      <c r="I10246" s="4">
        <f>VALUE(2999)</f>
        <v>2999</v>
      </c>
      <c r="J10246" s="5">
        <f>VALUE(3453)</f>
        <v>3453</v>
      </c>
      <c r="K10246" s="1">
        <f>VALUE(3685)</f>
        <v>3685</v>
      </c>
      <c r="L10246" s="7">
        <f>VALUE(3921)</f>
        <v>3921</v>
      </c>
      <c r="M10246" s="8">
        <f>VALUE(4812)</f>
        <v>4812</v>
      </c>
      <c r="N10246" t="s">
        <v>25</v>
      </c>
    </row>
    <row r="10247" spans="1:14" x14ac:dyDescent="0.25">
      <c r="A10247" t="s">
        <v>43</v>
      </c>
      <c r="B10247" t="s">
        <v>40</v>
      </c>
      <c r="C10247" t="s">
        <v>37</v>
      </c>
      <c r="D10247" t="s">
        <v>31</v>
      </c>
      <c r="E10247" t="s">
        <v>26</v>
      </c>
      <c r="F10247" t="s">
        <v>15</v>
      </c>
      <c r="G10247" s="1" t="str">
        <f t="shared" ref="G10247:M10251" si="2290">"X"</f>
        <v>X</v>
      </c>
      <c r="H10247" s="1" t="str">
        <f t="shared" si="2290"/>
        <v>X</v>
      </c>
      <c r="I10247" s="1" t="str">
        <f t="shared" si="2290"/>
        <v>X</v>
      </c>
      <c r="J10247" s="1" t="str">
        <f t="shared" si="2290"/>
        <v>X</v>
      </c>
      <c r="K10247" s="1" t="str">
        <f t="shared" si="2290"/>
        <v>X</v>
      </c>
      <c r="L10247" s="1" t="str">
        <f t="shared" si="2290"/>
        <v>X</v>
      </c>
      <c r="M10247" s="1" t="str">
        <f t="shared" si="2290"/>
        <v>X</v>
      </c>
      <c r="N10247" t="s">
        <v>27</v>
      </c>
    </row>
    <row r="10248" spans="1:14" x14ac:dyDescent="0.25">
      <c r="A10248" t="s">
        <v>43</v>
      </c>
      <c r="B10248" t="s">
        <v>40</v>
      </c>
      <c r="C10248" t="s">
        <v>37</v>
      </c>
      <c r="D10248" t="s">
        <v>31</v>
      </c>
      <c r="E10248" t="s">
        <v>26</v>
      </c>
      <c r="F10248" t="s">
        <v>17</v>
      </c>
      <c r="G10248" s="1" t="str">
        <f t="shared" si="2290"/>
        <v>X</v>
      </c>
      <c r="H10248" s="1" t="str">
        <f t="shared" si="2290"/>
        <v>X</v>
      </c>
      <c r="I10248" s="1" t="str">
        <f t="shared" si="2290"/>
        <v>X</v>
      </c>
      <c r="J10248" s="1" t="str">
        <f t="shared" si="2290"/>
        <v>X</v>
      </c>
      <c r="K10248" s="1" t="str">
        <f t="shared" si="2290"/>
        <v>X</v>
      </c>
      <c r="L10248" s="1" t="str">
        <f t="shared" si="2290"/>
        <v>X</v>
      </c>
      <c r="M10248" s="1" t="str">
        <f t="shared" si="2290"/>
        <v>X</v>
      </c>
      <c r="N10248" t="s">
        <v>27</v>
      </c>
    </row>
    <row r="10249" spans="1:14" x14ac:dyDescent="0.25">
      <c r="A10249" t="s">
        <v>43</v>
      </c>
      <c r="B10249" t="s">
        <v>40</v>
      </c>
      <c r="C10249" t="s">
        <v>37</v>
      </c>
      <c r="D10249" t="s">
        <v>31</v>
      </c>
      <c r="E10249" t="s">
        <v>26</v>
      </c>
      <c r="F10249" t="s">
        <v>18</v>
      </c>
      <c r="G10249" s="1" t="str">
        <f t="shared" si="2290"/>
        <v>X</v>
      </c>
      <c r="H10249" s="1" t="str">
        <f t="shared" si="2290"/>
        <v>X</v>
      </c>
      <c r="I10249" s="1" t="str">
        <f t="shared" si="2290"/>
        <v>X</v>
      </c>
      <c r="J10249" s="1" t="str">
        <f t="shared" si="2290"/>
        <v>X</v>
      </c>
      <c r="K10249" s="1" t="str">
        <f t="shared" si="2290"/>
        <v>X</v>
      </c>
      <c r="L10249" s="1" t="str">
        <f t="shared" si="2290"/>
        <v>X</v>
      </c>
      <c r="M10249" s="1" t="str">
        <f t="shared" si="2290"/>
        <v>X</v>
      </c>
      <c r="N10249" t="s">
        <v>27</v>
      </c>
    </row>
    <row r="10250" spans="1:14" x14ac:dyDescent="0.25">
      <c r="A10250" t="s">
        <v>43</v>
      </c>
      <c r="B10250" t="s">
        <v>40</v>
      </c>
      <c r="C10250" t="s">
        <v>37</v>
      </c>
      <c r="D10250" t="s">
        <v>31</v>
      </c>
      <c r="E10250" t="s">
        <v>26</v>
      </c>
      <c r="F10250" t="s">
        <v>19</v>
      </c>
      <c r="G10250" s="1" t="str">
        <f t="shared" si="2290"/>
        <v>X</v>
      </c>
      <c r="H10250" s="1" t="str">
        <f t="shared" si="2290"/>
        <v>X</v>
      </c>
      <c r="I10250" s="1" t="str">
        <f t="shared" si="2290"/>
        <v>X</v>
      </c>
      <c r="J10250" s="1" t="str">
        <f t="shared" si="2290"/>
        <v>X</v>
      </c>
      <c r="K10250" s="1" t="str">
        <f t="shared" si="2290"/>
        <v>X</v>
      </c>
      <c r="L10250" s="1" t="str">
        <f t="shared" si="2290"/>
        <v>X</v>
      </c>
      <c r="M10250" s="1" t="str">
        <f t="shared" si="2290"/>
        <v>X</v>
      </c>
      <c r="N10250" t="s">
        <v>27</v>
      </c>
    </row>
    <row r="10251" spans="1:14" x14ac:dyDescent="0.25">
      <c r="A10251" t="s">
        <v>43</v>
      </c>
      <c r="B10251" t="s">
        <v>40</v>
      </c>
      <c r="C10251" t="s">
        <v>37</v>
      </c>
      <c r="D10251" t="s">
        <v>31</v>
      </c>
      <c r="E10251" t="s">
        <v>26</v>
      </c>
      <c r="F10251" t="s">
        <v>20</v>
      </c>
      <c r="G10251" s="1" t="str">
        <f t="shared" si="2290"/>
        <v>X</v>
      </c>
      <c r="H10251" s="1" t="str">
        <f t="shared" si="2290"/>
        <v>X</v>
      </c>
      <c r="I10251" s="1" t="str">
        <f t="shared" si="2290"/>
        <v>X</v>
      </c>
      <c r="J10251" s="1" t="str">
        <f t="shared" si="2290"/>
        <v>X</v>
      </c>
      <c r="K10251" s="1" t="str">
        <f t="shared" si="2290"/>
        <v>X</v>
      </c>
      <c r="L10251" s="1" t="str">
        <f t="shared" si="2290"/>
        <v>X</v>
      </c>
      <c r="M10251" s="1" t="str">
        <f t="shared" si="2290"/>
        <v>X</v>
      </c>
      <c r="N10251" t="s">
        <v>27</v>
      </c>
    </row>
    <row r="10252" spans="1:14" x14ac:dyDescent="0.25">
      <c r="A10252" t="s">
        <v>43</v>
      </c>
      <c r="B10252" t="s">
        <v>40</v>
      </c>
      <c r="C10252" t="s">
        <v>37</v>
      </c>
      <c r="D10252" t="s">
        <v>32</v>
      </c>
      <c r="E10252" t="s">
        <v>15</v>
      </c>
      <c r="F10252" t="s">
        <v>15</v>
      </c>
      <c r="G10252" s="1">
        <f>VALUE(8717.55)</f>
        <v>8717.5499999999993</v>
      </c>
      <c r="H10252" s="1">
        <f>VALUE(7120.89)</f>
        <v>7120.89</v>
      </c>
      <c r="I10252" s="1">
        <f>VALUE(2982)</f>
        <v>2982</v>
      </c>
      <c r="J10252" s="1">
        <f>VALUE(3275)</f>
        <v>3275</v>
      </c>
      <c r="K10252" s="1">
        <f>VALUE(3816)</f>
        <v>3816</v>
      </c>
      <c r="L10252" s="1">
        <f>VALUE(5030)</f>
        <v>5030</v>
      </c>
      <c r="M10252" s="1">
        <f>VALUE(6587)</f>
        <v>6587</v>
      </c>
      <c r="N10252" t="s">
        <v>16</v>
      </c>
    </row>
    <row r="10253" spans="1:14" x14ac:dyDescent="0.25">
      <c r="A10253" t="s">
        <v>43</v>
      </c>
      <c r="B10253" t="s">
        <v>40</v>
      </c>
      <c r="C10253" t="s">
        <v>37</v>
      </c>
      <c r="D10253" t="s">
        <v>32</v>
      </c>
      <c r="E10253" t="s">
        <v>15</v>
      </c>
      <c r="F10253" t="s">
        <v>17</v>
      </c>
      <c r="G10253" s="2">
        <f>VALUE(345.66)</f>
        <v>345.66</v>
      </c>
      <c r="H10253" s="3">
        <f>VALUE(323.29)</f>
        <v>323.29000000000002</v>
      </c>
      <c r="I10253" s="4">
        <f>VALUE(4363)</f>
        <v>4363</v>
      </c>
      <c r="J10253" s="5">
        <f>VALUE(5088)</f>
        <v>5088</v>
      </c>
      <c r="K10253" s="1">
        <f>VALUE(7199)</f>
        <v>7199</v>
      </c>
      <c r="L10253" s="1">
        <f>VALUE(10441)</f>
        <v>10441</v>
      </c>
      <c r="M10253" s="8">
        <f>VALUE(10892)</f>
        <v>10892</v>
      </c>
      <c r="N10253" t="s">
        <v>25</v>
      </c>
    </row>
    <row r="10254" spans="1:14" x14ac:dyDescent="0.25">
      <c r="A10254" t="s">
        <v>43</v>
      </c>
      <c r="B10254" t="s">
        <v>40</v>
      </c>
      <c r="C10254" t="s">
        <v>37</v>
      </c>
      <c r="D10254" t="s">
        <v>32</v>
      </c>
      <c r="E10254" t="s">
        <v>15</v>
      </c>
      <c r="F10254" t="s">
        <v>18</v>
      </c>
      <c r="G10254" s="2">
        <f>VALUE(697.87)</f>
        <v>697.87</v>
      </c>
      <c r="H10254" s="3">
        <f>VALUE(584.56)</f>
        <v>584.55999999999995</v>
      </c>
      <c r="I10254" s="1">
        <f>VALUE(3358)</f>
        <v>3358</v>
      </c>
      <c r="J10254" s="5">
        <f>VALUE(4230)</f>
        <v>4230</v>
      </c>
      <c r="K10254" s="1">
        <f>VALUE(5480)</f>
        <v>5480</v>
      </c>
      <c r="L10254" s="7">
        <f>VALUE(6691)</f>
        <v>6691</v>
      </c>
      <c r="M10254" s="8">
        <f>VALUE(8288)</f>
        <v>8288</v>
      </c>
      <c r="N10254" t="s">
        <v>25</v>
      </c>
    </row>
    <row r="10255" spans="1:14" x14ac:dyDescent="0.25">
      <c r="A10255" t="s">
        <v>43</v>
      </c>
      <c r="B10255" t="s">
        <v>40</v>
      </c>
      <c r="C10255" t="s">
        <v>37</v>
      </c>
      <c r="D10255" t="s">
        <v>32</v>
      </c>
      <c r="E10255" t="s">
        <v>15</v>
      </c>
      <c r="F10255" t="s">
        <v>19</v>
      </c>
      <c r="G10255" s="2">
        <f>VALUE(796.01)</f>
        <v>796.01</v>
      </c>
      <c r="H10255" s="3">
        <f>VALUE(650.38)</f>
        <v>650.38</v>
      </c>
      <c r="I10255" s="4">
        <f>VALUE(3302)</f>
        <v>3302</v>
      </c>
      <c r="J10255" s="1">
        <f>VALUE(3875)</f>
        <v>3875</v>
      </c>
      <c r="K10255" s="1">
        <f>VALUE(4798)</f>
        <v>4798</v>
      </c>
      <c r="L10255" s="1">
        <f>VALUE(5952)</f>
        <v>5952</v>
      </c>
      <c r="M10255" s="1">
        <f>VALUE(7330)</f>
        <v>7330</v>
      </c>
      <c r="N10255" t="s">
        <v>25</v>
      </c>
    </row>
    <row r="10256" spans="1:14" x14ac:dyDescent="0.25">
      <c r="A10256" t="s">
        <v>43</v>
      </c>
      <c r="B10256" t="s">
        <v>40</v>
      </c>
      <c r="C10256" t="s">
        <v>37</v>
      </c>
      <c r="D10256" t="s">
        <v>32</v>
      </c>
      <c r="E10256" t="s">
        <v>15</v>
      </c>
      <c r="F10256" t="s">
        <v>20</v>
      </c>
      <c r="G10256" s="1">
        <f>VALUE(6878.01)</f>
        <v>6878.01</v>
      </c>
      <c r="H10256" s="1">
        <f>VALUE(5562.66)</f>
        <v>5562.66</v>
      </c>
      <c r="I10256" s="1">
        <f>VALUE(2897)</f>
        <v>2897</v>
      </c>
      <c r="J10256" s="1">
        <f>VALUE(3180)</f>
        <v>3180</v>
      </c>
      <c r="K10256" s="1">
        <f>VALUE(3627)</f>
        <v>3627</v>
      </c>
      <c r="L10256" s="1">
        <f>VALUE(4398)</f>
        <v>4398</v>
      </c>
      <c r="M10256" s="1">
        <f>VALUE(5527)</f>
        <v>5527</v>
      </c>
      <c r="N10256" t="s">
        <v>16</v>
      </c>
    </row>
    <row r="10257" spans="1:14" x14ac:dyDescent="0.25">
      <c r="A10257" t="s">
        <v>43</v>
      </c>
      <c r="B10257" t="s">
        <v>40</v>
      </c>
      <c r="C10257" t="s">
        <v>37</v>
      </c>
      <c r="D10257" t="s">
        <v>32</v>
      </c>
      <c r="E10257" t="s">
        <v>21</v>
      </c>
      <c r="F10257" t="s">
        <v>15</v>
      </c>
      <c r="G10257" s="2">
        <f>VALUE(1491.92)</f>
        <v>1491.92</v>
      </c>
      <c r="H10257" s="3">
        <f>VALUE(1247.9)</f>
        <v>1247.9000000000001</v>
      </c>
      <c r="I10257" s="1">
        <f>VALUE(3974)</f>
        <v>3974</v>
      </c>
      <c r="J10257" s="1">
        <f>VALUE(4760)</f>
        <v>4760</v>
      </c>
      <c r="K10257" s="1">
        <f>VALUE(5590)</f>
        <v>5590</v>
      </c>
      <c r="L10257" s="1">
        <f>VALUE(7445)</f>
        <v>7445</v>
      </c>
      <c r="M10257" s="8">
        <f>VALUE(9330)</f>
        <v>9330</v>
      </c>
      <c r="N10257" t="s">
        <v>25</v>
      </c>
    </row>
    <row r="10258" spans="1:14" x14ac:dyDescent="0.25">
      <c r="A10258" t="s">
        <v>43</v>
      </c>
      <c r="B10258" t="s">
        <v>40</v>
      </c>
      <c r="C10258" t="s">
        <v>37</v>
      </c>
      <c r="D10258" t="s">
        <v>32</v>
      </c>
      <c r="E10258" t="s">
        <v>21</v>
      </c>
      <c r="F10258" t="s">
        <v>17</v>
      </c>
      <c r="G10258" s="1" t="str">
        <f t="shared" ref="G10258:M10258" si="2291">"X"</f>
        <v>X</v>
      </c>
      <c r="H10258" s="1" t="str">
        <f t="shared" si="2291"/>
        <v>X</v>
      </c>
      <c r="I10258" s="1" t="str">
        <f t="shared" si="2291"/>
        <v>X</v>
      </c>
      <c r="J10258" s="1" t="str">
        <f t="shared" si="2291"/>
        <v>X</v>
      </c>
      <c r="K10258" s="1" t="str">
        <f t="shared" si="2291"/>
        <v>X</v>
      </c>
      <c r="L10258" s="1" t="str">
        <f t="shared" si="2291"/>
        <v>X</v>
      </c>
      <c r="M10258" s="1" t="str">
        <f t="shared" si="2291"/>
        <v>X</v>
      </c>
      <c r="N10258" t="s">
        <v>27</v>
      </c>
    </row>
    <row r="10259" spans="1:14" x14ac:dyDescent="0.25">
      <c r="A10259" t="s">
        <v>43</v>
      </c>
      <c r="B10259" t="s">
        <v>40</v>
      </c>
      <c r="C10259" t="s">
        <v>37</v>
      </c>
      <c r="D10259" t="s">
        <v>32</v>
      </c>
      <c r="E10259" t="s">
        <v>21</v>
      </c>
      <c r="F10259" t="s">
        <v>18</v>
      </c>
      <c r="G10259" s="2">
        <f>VALUE(277.25)</f>
        <v>277.25</v>
      </c>
      <c r="H10259" s="3">
        <f>VALUE(234.98)</f>
        <v>234.98</v>
      </c>
      <c r="I10259" s="1">
        <f>VALUE(4850)</f>
        <v>4850</v>
      </c>
      <c r="J10259" s="1">
        <f>VALUE(5571)</f>
        <v>5571</v>
      </c>
      <c r="K10259" s="6">
        <f>VALUE(6433)</f>
        <v>6433</v>
      </c>
      <c r="L10259" s="1">
        <f>VALUE(8022)</f>
        <v>8022</v>
      </c>
      <c r="M10259" s="8">
        <f>VALUE(9330)</f>
        <v>9330</v>
      </c>
      <c r="N10259" t="s">
        <v>25</v>
      </c>
    </row>
    <row r="10260" spans="1:14" x14ac:dyDescent="0.25">
      <c r="A10260" t="s">
        <v>43</v>
      </c>
      <c r="B10260" t="s">
        <v>40</v>
      </c>
      <c r="C10260" t="s">
        <v>37</v>
      </c>
      <c r="D10260" t="s">
        <v>32</v>
      </c>
      <c r="E10260" t="s">
        <v>21</v>
      </c>
      <c r="F10260" t="s">
        <v>19</v>
      </c>
      <c r="G10260" s="2">
        <f>VALUE(204.39)</f>
        <v>204.39</v>
      </c>
      <c r="H10260" s="3">
        <f>VALUE(165.18)</f>
        <v>165.18</v>
      </c>
      <c r="I10260" s="1">
        <f>VALUE(4694)</f>
        <v>4694</v>
      </c>
      <c r="J10260" s="1">
        <f>VALUE(5238)</f>
        <v>5238</v>
      </c>
      <c r="K10260" s="1">
        <f>VALUE(5707)</f>
        <v>5707</v>
      </c>
      <c r="L10260" s="1">
        <f>VALUE(7015)</f>
        <v>7015</v>
      </c>
      <c r="M10260" s="1">
        <f>VALUE(8107)</f>
        <v>8107</v>
      </c>
      <c r="N10260" t="s">
        <v>25</v>
      </c>
    </row>
    <row r="10261" spans="1:14" x14ac:dyDescent="0.25">
      <c r="A10261" t="s">
        <v>43</v>
      </c>
      <c r="B10261" t="s">
        <v>40</v>
      </c>
      <c r="C10261" t="s">
        <v>37</v>
      </c>
      <c r="D10261" t="s">
        <v>32</v>
      </c>
      <c r="E10261" t="s">
        <v>21</v>
      </c>
      <c r="F10261" t="s">
        <v>20</v>
      </c>
      <c r="G10261" s="2">
        <f>VALUE(790.9)</f>
        <v>790.9</v>
      </c>
      <c r="H10261" s="3">
        <f>VALUE(639.87)</f>
        <v>639.87</v>
      </c>
      <c r="I10261" s="1">
        <f>VALUE(3628)</f>
        <v>3628</v>
      </c>
      <c r="J10261" s="1">
        <f>VALUE(4236)</f>
        <v>4236</v>
      </c>
      <c r="K10261" s="1">
        <f>VALUE(5063)</f>
        <v>5063</v>
      </c>
      <c r="L10261" s="7">
        <f>VALUE(5824)</f>
        <v>5824</v>
      </c>
      <c r="M10261" s="1">
        <f>VALUE(7240)</f>
        <v>7240</v>
      </c>
      <c r="N10261" t="s">
        <v>25</v>
      </c>
    </row>
    <row r="10262" spans="1:14" x14ac:dyDescent="0.25">
      <c r="A10262" t="s">
        <v>43</v>
      </c>
      <c r="B10262" t="s">
        <v>40</v>
      </c>
      <c r="C10262" t="s">
        <v>37</v>
      </c>
      <c r="D10262" t="s">
        <v>32</v>
      </c>
      <c r="E10262" t="s">
        <v>22</v>
      </c>
      <c r="F10262" t="s">
        <v>15</v>
      </c>
      <c r="G10262" s="2">
        <f>VALUE(2765.5)</f>
        <v>2765.5</v>
      </c>
      <c r="H10262" s="3">
        <f>VALUE(2281.14)</f>
        <v>2281.14</v>
      </c>
      <c r="I10262" s="1">
        <f>VALUE(3263)</f>
        <v>3263</v>
      </c>
      <c r="J10262" s="1">
        <f>VALUE(3640)</f>
        <v>3640</v>
      </c>
      <c r="K10262" s="1">
        <f>VALUE(4333)</f>
        <v>4333</v>
      </c>
      <c r="L10262" s="1">
        <f>VALUE(5414)</f>
        <v>5414</v>
      </c>
      <c r="M10262" s="1">
        <f>VALUE(6587)</f>
        <v>6587</v>
      </c>
      <c r="N10262" t="s">
        <v>25</v>
      </c>
    </row>
    <row r="10263" spans="1:14" x14ac:dyDescent="0.25">
      <c r="A10263" t="s">
        <v>43</v>
      </c>
      <c r="B10263" t="s">
        <v>40</v>
      </c>
      <c r="C10263" t="s">
        <v>37</v>
      </c>
      <c r="D10263" t="s">
        <v>32</v>
      </c>
      <c r="E10263" t="s">
        <v>22</v>
      </c>
      <c r="F10263" t="s">
        <v>17</v>
      </c>
      <c r="G10263" s="1" t="str">
        <f t="shared" ref="G10263:M10264" si="2292">"X"</f>
        <v>X</v>
      </c>
      <c r="H10263" s="1" t="str">
        <f t="shared" si="2292"/>
        <v>X</v>
      </c>
      <c r="I10263" s="1" t="str">
        <f t="shared" si="2292"/>
        <v>X</v>
      </c>
      <c r="J10263" s="1" t="str">
        <f t="shared" si="2292"/>
        <v>X</v>
      </c>
      <c r="K10263" s="1" t="str">
        <f t="shared" si="2292"/>
        <v>X</v>
      </c>
      <c r="L10263" s="1" t="str">
        <f t="shared" si="2292"/>
        <v>X</v>
      </c>
      <c r="M10263" s="1" t="str">
        <f t="shared" si="2292"/>
        <v>X</v>
      </c>
      <c r="N10263" t="s">
        <v>27</v>
      </c>
    </row>
    <row r="10264" spans="1:14" x14ac:dyDescent="0.25">
      <c r="A10264" t="s">
        <v>43</v>
      </c>
      <c r="B10264" t="s">
        <v>40</v>
      </c>
      <c r="C10264" t="s">
        <v>37</v>
      </c>
      <c r="D10264" t="s">
        <v>32</v>
      </c>
      <c r="E10264" t="s">
        <v>22</v>
      </c>
      <c r="F10264" t="s">
        <v>18</v>
      </c>
      <c r="G10264" s="1" t="str">
        <f t="shared" si="2292"/>
        <v>X</v>
      </c>
      <c r="H10264" s="1" t="str">
        <f t="shared" si="2292"/>
        <v>X</v>
      </c>
      <c r="I10264" s="1" t="str">
        <f t="shared" si="2292"/>
        <v>X</v>
      </c>
      <c r="J10264" s="1" t="str">
        <f t="shared" si="2292"/>
        <v>X</v>
      </c>
      <c r="K10264" s="1" t="str">
        <f t="shared" si="2292"/>
        <v>X</v>
      </c>
      <c r="L10264" s="1" t="str">
        <f t="shared" si="2292"/>
        <v>X</v>
      </c>
      <c r="M10264" s="1" t="str">
        <f t="shared" si="2292"/>
        <v>X</v>
      </c>
      <c r="N10264" t="s">
        <v>27</v>
      </c>
    </row>
    <row r="10265" spans="1:14" x14ac:dyDescent="0.25">
      <c r="A10265" t="s">
        <v>43</v>
      </c>
      <c r="B10265" t="s">
        <v>40</v>
      </c>
      <c r="C10265" t="s">
        <v>37</v>
      </c>
      <c r="D10265" t="s">
        <v>32</v>
      </c>
      <c r="E10265" t="s">
        <v>22</v>
      </c>
      <c r="F10265" t="s">
        <v>19</v>
      </c>
      <c r="G10265" s="2">
        <f>VALUE(357.6)</f>
        <v>357.6</v>
      </c>
      <c r="H10265" s="3">
        <f>VALUE(294.59)</f>
        <v>294.58999999999997</v>
      </c>
      <c r="I10265" s="1">
        <f>VALUE(3637)</f>
        <v>3637</v>
      </c>
      <c r="J10265" s="1">
        <f>VALUE(3984)</f>
        <v>3984</v>
      </c>
      <c r="K10265" s="1">
        <f>VALUE(4905)</f>
        <v>4905</v>
      </c>
      <c r="L10265" s="1">
        <f>VALUE(6016)</f>
        <v>6016</v>
      </c>
      <c r="M10265" s="1">
        <f>VALUE(7280)</f>
        <v>7280</v>
      </c>
      <c r="N10265" t="s">
        <v>25</v>
      </c>
    </row>
    <row r="10266" spans="1:14" x14ac:dyDescent="0.25">
      <c r="A10266" t="s">
        <v>43</v>
      </c>
      <c r="B10266" t="s">
        <v>40</v>
      </c>
      <c r="C10266" t="s">
        <v>37</v>
      </c>
      <c r="D10266" t="s">
        <v>32</v>
      </c>
      <c r="E10266" t="s">
        <v>22</v>
      </c>
      <c r="F10266" t="s">
        <v>20</v>
      </c>
      <c r="G10266" s="2">
        <f>VALUE(2083.87)</f>
        <v>2083.87</v>
      </c>
      <c r="H10266" s="3">
        <f>VALUE(1706.21)</f>
        <v>1706.21</v>
      </c>
      <c r="I10266" s="1">
        <f>VALUE(3157)</f>
        <v>3157</v>
      </c>
      <c r="J10266" s="1">
        <f>VALUE(3467)</f>
        <v>3467</v>
      </c>
      <c r="K10266" s="1">
        <f>VALUE(4150)</f>
        <v>4150</v>
      </c>
      <c r="L10266" s="1">
        <f>VALUE(5091)</f>
        <v>5091</v>
      </c>
      <c r="M10266" s="1">
        <f>VALUE(6043)</f>
        <v>6043</v>
      </c>
      <c r="N10266" t="s">
        <v>25</v>
      </c>
    </row>
    <row r="10267" spans="1:14" x14ac:dyDescent="0.25">
      <c r="A10267" t="s">
        <v>43</v>
      </c>
      <c r="B10267" t="s">
        <v>40</v>
      </c>
      <c r="C10267" t="s">
        <v>37</v>
      </c>
      <c r="D10267" t="s">
        <v>32</v>
      </c>
      <c r="E10267" t="s">
        <v>23</v>
      </c>
      <c r="F10267" t="s">
        <v>15</v>
      </c>
      <c r="G10267" s="2">
        <f>VALUE(4286.93)</f>
        <v>4286.93</v>
      </c>
      <c r="H10267" s="3">
        <f>VALUE(3440.01)</f>
        <v>3440.01</v>
      </c>
      <c r="I10267" s="1">
        <f>VALUE(2736)</f>
        <v>2736</v>
      </c>
      <c r="J10267" s="1">
        <f>VALUE(3005)</f>
        <v>3005</v>
      </c>
      <c r="K10267" s="1">
        <f>VALUE(3358)</f>
        <v>3358</v>
      </c>
      <c r="L10267" s="1">
        <f>VALUE(3746)</f>
        <v>3746</v>
      </c>
      <c r="M10267" s="1">
        <f>VALUE(4301)</f>
        <v>4301</v>
      </c>
      <c r="N10267" t="s">
        <v>25</v>
      </c>
    </row>
    <row r="10268" spans="1:14" x14ac:dyDescent="0.25">
      <c r="A10268" t="s">
        <v>43</v>
      </c>
      <c r="B10268" t="s">
        <v>40</v>
      </c>
      <c r="C10268" t="s">
        <v>37</v>
      </c>
      <c r="D10268" t="s">
        <v>32</v>
      </c>
      <c r="E10268" t="s">
        <v>23</v>
      </c>
      <c r="F10268" t="s">
        <v>17</v>
      </c>
      <c r="G10268" s="1" t="str">
        <f t="shared" ref="G10268:M10269" si="2293">"X"</f>
        <v>X</v>
      </c>
      <c r="H10268" s="1" t="str">
        <f t="shared" si="2293"/>
        <v>X</v>
      </c>
      <c r="I10268" s="1" t="str">
        <f t="shared" si="2293"/>
        <v>X</v>
      </c>
      <c r="J10268" s="1" t="str">
        <f t="shared" si="2293"/>
        <v>X</v>
      </c>
      <c r="K10268" s="1" t="str">
        <f t="shared" si="2293"/>
        <v>X</v>
      </c>
      <c r="L10268" s="1" t="str">
        <f t="shared" si="2293"/>
        <v>X</v>
      </c>
      <c r="M10268" s="1" t="str">
        <f t="shared" si="2293"/>
        <v>X</v>
      </c>
      <c r="N10268" t="s">
        <v>27</v>
      </c>
    </row>
    <row r="10269" spans="1:14" x14ac:dyDescent="0.25">
      <c r="A10269" t="s">
        <v>43</v>
      </c>
      <c r="B10269" t="s">
        <v>40</v>
      </c>
      <c r="C10269" t="s">
        <v>37</v>
      </c>
      <c r="D10269" t="s">
        <v>32</v>
      </c>
      <c r="E10269" t="s">
        <v>23</v>
      </c>
      <c r="F10269" t="s">
        <v>18</v>
      </c>
      <c r="G10269" s="1" t="str">
        <f t="shared" si="2293"/>
        <v>X</v>
      </c>
      <c r="H10269" s="1" t="str">
        <f t="shared" si="2293"/>
        <v>X</v>
      </c>
      <c r="I10269" s="1" t="str">
        <f t="shared" si="2293"/>
        <v>X</v>
      </c>
      <c r="J10269" s="1" t="str">
        <f t="shared" si="2293"/>
        <v>X</v>
      </c>
      <c r="K10269" s="1" t="str">
        <f t="shared" si="2293"/>
        <v>X</v>
      </c>
      <c r="L10269" s="1" t="str">
        <f t="shared" si="2293"/>
        <v>X</v>
      </c>
      <c r="M10269" s="1" t="str">
        <f t="shared" si="2293"/>
        <v>X</v>
      </c>
      <c r="N10269" t="s">
        <v>27</v>
      </c>
    </row>
    <row r="10270" spans="1:14" x14ac:dyDescent="0.25">
      <c r="A10270" t="s">
        <v>43</v>
      </c>
      <c r="B10270" t="s">
        <v>40</v>
      </c>
      <c r="C10270" t="s">
        <v>37</v>
      </c>
      <c r="D10270" t="s">
        <v>32</v>
      </c>
      <c r="E10270" t="s">
        <v>23</v>
      </c>
      <c r="F10270" t="s">
        <v>19</v>
      </c>
      <c r="G10270" s="2">
        <f>VALUE(218.3)</f>
        <v>218.3</v>
      </c>
      <c r="H10270" s="3">
        <f>VALUE(174.11)</f>
        <v>174.11</v>
      </c>
      <c r="I10270" s="1">
        <f>VALUE(2922)</f>
        <v>2922</v>
      </c>
      <c r="J10270" s="1">
        <f>VALUE(3223)</f>
        <v>3223</v>
      </c>
      <c r="K10270" s="1">
        <f>VALUE(3856)</f>
        <v>3856</v>
      </c>
      <c r="L10270" s="1">
        <f>VALUE(4564)</f>
        <v>4564</v>
      </c>
      <c r="M10270" s="1">
        <f>VALUE(5229)</f>
        <v>5229</v>
      </c>
      <c r="N10270" t="s">
        <v>25</v>
      </c>
    </row>
    <row r="10271" spans="1:14" x14ac:dyDescent="0.25">
      <c r="A10271" t="s">
        <v>43</v>
      </c>
      <c r="B10271" t="s">
        <v>40</v>
      </c>
      <c r="C10271" t="s">
        <v>37</v>
      </c>
      <c r="D10271" t="s">
        <v>32</v>
      </c>
      <c r="E10271" t="s">
        <v>23</v>
      </c>
      <c r="F10271" t="s">
        <v>20</v>
      </c>
      <c r="G10271" s="2">
        <f>VALUE(3872.32)</f>
        <v>3872.32</v>
      </c>
      <c r="H10271" s="3">
        <f>VALUE(3104.35)</f>
        <v>3104.35</v>
      </c>
      <c r="I10271" s="1">
        <f>VALUE(2708)</f>
        <v>2708</v>
      </c>
      <c r="J10271" s="1">
        <f>VALUE(3004)</f>
        <v>3004</v>
      </c>
      <c r="K10271" s="1">
        <f>VALUE(3347)</f>
        <v>3347</v>
      </c>
      <c r="L10271" s="1">
        <f>VALUE(3707)</f>
        <v>3707</v>
      </c>
      <c r="M10271" s="1">
        <f>VALUE(4185)</f>
        <v>4185</v>
      </c>
      <c r="N10271" t="s">
        <v>25</v>
      </c>
    </row>
    <row r="10272" spans="1:14" x14ac:dyDescent="0.25">
      <c r="A10272" t="s">
        <v>43</v>
      </c>
      <c r="B10272" t="s">
        <v>40</v>
      </c>
      <c r="C10272" t="s">
        <v>37</v>
      </c>
      <c r="D10272" t="s">
        <v>32</v>
      </c>
      <c r="E10272" t="s">
        <v>26</v>
      </c>
      <c r="F10272" t="s">
        <v>15</v>
      </c>
      <c r="G10272" s="2">
        <f>VALUE(173.2)</f>
        <v>173.2</v>
      </c>
      <c r="H10272" s="3">
        <f>VALUE(151.84)</f>
        <v>151.84</v>
      </c>
      <c r="I10272" s="1">
        <f>VALUE(3559)</f>
        <v>3559</v>
      </c>
      <c r="J10272" s="1">
        <f>VALUE(4430)</f>
        <v>4430</v>
      </c>
      <c r="K10272" s="1">
        <f>VALUE(5435)</f>
        <v>5435</v>
      </c>
      <c r="L10272" s="1">
        <f>VALUE(6839)</f>
        <v>6839</v>
      </c>
      <c r="M10272" s="1">
        <f>VALUE(10192)</f>
        <v>10192</v>
      </c>
      <c r="N10272" t="s">
        <v>25</v>
      </c>
    </row>
    <row r="10273" spans="1:14" x14ac:dyDescent="0.25">
      <c r="A10273" t="s">
        <v>43</v>
      </c>
      <c r="B10273" t="s">
        <v>40</v>
      </c>
      <c r="C10273" t="s">
        <v>37</v>
      </c>
      <c r="D10273" t="s">
        <v>32</v>
      </c>
      <c r="E10273" t="s">
        <v>26</v>
      </c>
      <c r="F10273" t="s">
        <v>17</v>
      </c>
      <c r="G10273" s="1" t="str">
        <f t="shared" ref="G10273:M10275" si="2294">"X"</f>
        <v>X</v>
      </c>
      <c r="H10273" s="1" t="str">
        <f t="shared" si="2294"/>
        <v>X</v>
      </c>
      <c r="I10273" s="1" t="str">
        <f t="shared" si="2294"/>
        <v>X</v>
      </c>
      <c r="J10273" s="1" t="str">
        <f t="shared" si="2294"/>
        <v>X</v>
      </c>
      <c r="K10273" s="1" t="str">
        <f t="shared" si="2294"/>
        <v>X</v>
      </c>
      <c r="L10273" s="1" t="str">
        <f t="shared" si="2294"/>
        <v>X</v>
      </c>
      <c r="M10273" s="1" t="str">
        <f t="shared" si="2294"/>
        <v>X</v>
      </c>
      <c r="N10273" t="s">
        <v>27</v>
      </c>
    </row>
    <row r="10274" spans="1:14" x14ac:dyDescent="0.25">
      <c r="A10274" t="s">
        <v>43</v>
      </c>
      <c r="B10274" t="s">
        <v>40</v>
      </c>
      <c r="C10274" t="s">
        <v>37</v>
      </c>
      <c r="D10274" t="s">
        <v>32</v>
      </c>
      <c r="E10274" t="s">
        <v>26</v>
      </c>
      <c r="F10274" t="s">
        <v>18</v>
      </c>
      <c r="G10274" s="1" t="str">
        <f t="shared" si="2294"/>
        <v>X</v>
      </c>
      <c r="H10274" s="1" t="str">
        <f t="shared" si="2294"/>
        <v>X</v>
      </c>
      <c r="I10274" s="1" t="str">
        <f t="shared" si="2294"/>
        <v>X</v>
      </c>
      <c r="J10274" s="1" t="str">
        <f t="shared" si="2294"/>
        <v>X</v>
      </c>
      <c r="K10274" s="1" t="str">
        <f t="shared" si="2294"/>
        <v>X</v>
      </c>
      <c r="L10274" s="1" t="str">
        <f t="shared" si="2294"/>
        <v>X</v>
      </c>
      <c r="M10274" s="1" t="str">
        <f t="shared" si="2294"/>
        <v>X</v>
      </c>
      <c r="N10274" t="s">
        <v>27</v>
      </c>
    </row>
    <row r="10275" spans="1:14" x14ac:dyDescent="0.25">
      <c r="A10275" t="s">
        <v>43</v>
      </c>
      <c r="B10275" t="s">
        <v>40</v>
      </c>
      <c r="C10275" t="s">
        <v>37</v>
      </c>
      <c r="D10275" t="s">
        <v>32</v>
      </c>
      <c r="E10275" t="s">
        <v>26</v>
      </c>
      <c r="F10275" t="s">
        <v>19</v>
      </c>
      <c r="G10275" s="1" t="str">
        <f t="shared" si="2294"/>
        <v>X</v>
      </c>
      <c r="H10275" s="1" t="str">
        <f t="shared" si="2294"/>
        <v>X</v>
      </c>
      <c r="I10275" s="1" t="str">
        <f t="shared" si="2294"/>
        <v>X</v>
      </c>
      <c r="J10275" s="1" t="str">
        <f t="shared" si="2294"/>
        <v>X</v>
      </c>
      <c r="K10275" s="1" t="str">
        <f t="shared" si="2294"/>
        <v>X</v>
      </c>
      <c r="L10275" s="1" t="str">
        <f t="shared" si="2294"/>
        <v>X</v>
      </c>
      <c r="M10275" s="1" t="str">
        <f t="shared" si="2294"/>
        <v>X</v>
      </c>
      <c r="N10275" t="s">
        <v>27</v>
      </c>
    </row>
    <row r="10276" spans="1:14" x14ac:dyDescent="0.25">
      <c r="A10276" t="s">
        <v>43</v>
      </c>
      <c r="B10276" t="s">
        <v>40</v>
      </c>
      <c r="C10276" t="s">
        <v>37</v>
      </c>
      <c r="D10276" t="s">
        <v>32</v>
      </c>
      <c r="E10276" t="s">
        <v>26</v>
      </c>
      <c r="F10276" t="s">
        <v>20</v>
      </c>
      <c r="G10276" s="2">
        <f>VALUE(130.92)</f>
        <v>130.91999999999999</v>
      </c>
      <c r="H10276" s="3">
        <f>VALUE(112.23)</f>
        <v>112.23</v>
      </c>
      <c r="I10276" s="1">
        <f>VALUE(3512)</f>
        <v>3512</v>
      </c>
      <c r="J10276" s="1">
        <f>VALUE(3732)</f>
        <v>3732</v>
      </c>
      <c r="K10276" s="1">
        <f>VALUE(5103)</f>
        <v>5103</v>
      </c>
      <c r="L10276" s="1">
        <f>VALUE(5666)</f>
        <v>5666</v>
      </c>
      <c r="M10276" s="1">
        <f>VALUE(6432)</f>
        <v>6432</v>
      </c>
      <c r="N10276" t="s">
        <v>25</v>
      </c>
    </row>
    <row r="10277" spans="1:14" x14ac:dyDescent="0.25">
      <c r="A10277" t="s">
        <v>43</v>
      </c>
      <c r="B10277" t="s">
        <v>40</v>
      </c>
      <c r="C10277" t="s">
        <v>37</v>
      </c>
      <c r="D10277" t="s">
        <v>33</v>
      </c>
      <c r="E10277" t="s">
        <v>15</v>
      </c>
      <c r="F10277" t="s">
        <v>15</v>
      </c>
      <c r="G10277" s="1" t="str">
        <f t="shared" ref="G10277:M10279" si="2295">"X"</f>
        <v>X</v>
      </c>
      <c r="H10277" s="1" t="str">
        <f t="shared" si="2295"/>
        <v>X</v>
      </c>
      <c r="I10277" s="1" t="str">
        <f t="shared" si="2295"/>
        <v>X</v>
      </c>
      <c r="J10277" s="1" t="str">
        <f t="shared" si="2295"/>
        <v>X</v>
      </c>
      <c r="K10277" s="1" t="str">
        <f t="shared" si="2295"/>
        <v>X</v>
      </c>
      <c r="L10277" s="1" t="str">
        <f t="shared" si="2295"/>
        <v>X</v>
      </c>
      <c r="M10277" s="1" t="str">
        <f t="shared" si="2295"/>
        <v>X</v>
      </c>
      <c r="N10277" t="s">
        <v>27</v>
      </c>
    </row>
    <row r="10278" spans="1:14" x14ac:dyDescent="0.25">
      <c r="A10278" t="s">
        <v>43</v>
      </c>
      <c r="B10278" t="s">
        <v>40</v>
      </c>
      <c r="C10278" t="s">
        <v>37</v>
      </c>
      <c r="D10278" t="s">
        <v>33</v>
      </c>
      <c r="E10278" t="s">
        <v>15</v>
      </c>
      <c r="F10278" t="s">
        <v>17</v>
      </c>
      <c r="G10278" s="1" t="str">
        <f t="shared" si="2295"/>
        <v>X</v>
      </c>
      <c r="H10278" s="1" t="str">
        <f t="shared" si="2295"/>
        <v>X</v>
      </c>
      <c r="I10278" s="1" t="str">
        <f t="shared" si="2295"/>
        <v>X</v>
      </c>
      <c r="J10278" s="1" t="str">
        <f t="shared" si="2295"/>
        <v>X</v>
      </c>
      <c r="K10278" s="1" t="str">
        <f t="shared" si="2295"/>
        <v>X</v>
      </c>
      <c r="L10278" s="1" t="str">
        <f t="shared" si="2295"/>
        <v>X</v>
      </c>
      <c r="M10278" s="1" t="str">
        <f t="shared" si="2295"/>
        <v>X</v>
      </c>
      <c r="N10278" t="s">
        <v>27</v>
      </c>
    </row>
    <row r="10279" spans="1:14" x14ac:dyDescent="0.25">
      <c r="A10279" t="s">
        <v>43</v>
      </c>
      <c r="B10279" t="s">
        <v>40</v>
      </c>
      <c r="C10279" t="s">
        <v>37</v>
      </c>
      <c r="D10279" t="s">
        <v>33</v>
      </c>
      <c r="E10279" t="s">
        <v>15</v>
      </c>
      <c r="F10279" t="s">
        <v>18</v>
      </c>
      <c r="G10279" s="1" t="str">
        <f t="shared" si="2295"/>
        <v>X</v>
      </c>
      <c r="H10279" s="1" t="str">
        <f t="shared" si="2295"/>
        <v>X</v>
      </c>
      <c r="I10279" s="1" t="str">
        <f t="shared" si="2295"/>
        <v>X</v>
      </c>
      <c r="J10279" s="1" t="str">
        <f t="shared" si="2295"/>
        <v>X</v>
      </c>
      <c r="K10279" s="1" t="str">
        <f t="shared" si="2295"/>
        <v>X</v>
      </c>
      <c r="L10279" s="1" t="str">
        <f t="shared" si="2295"/>
        <v>X</v>
      </c>
      <c r="M10279" s="1" t="str">
        <f t="shared" si="2295"/>
        <v>X</v>
      </c>
      <c r="N10279" t="s">
        <v>27</v>
      </c>
    </row>
    <row r="10280" spans="1:14" x14ac:dyDescent="0.25">
      <c r="A10280" t="s">
        <v>43</v>
      </c>
      <c r="B10280" t="s">
        <v>40</v>
      </c>
      <c r="C10280" t="s">
        <v>37</v>
      </c>
      <c r="D10280" t="s">
        <v>33</v>
      </c>
      <c r="E10280" t="s">
        <v>15</v>
      </c>
      <c r="F10280" t="s">
        <v>19</v>
      </c>
      <c r="G10280" s="1" t="str">
        <f t="shared" ref="G10280:M10280" si="2296">"..."</f>
        <v>...</v>
      </c>
      <c r="H10280" s="1" t="str">
        <f t="shared" si="2296"/>
        <v>...</v>
      </c>
      <c r="I10280" s="1" t="str">
        <f t="shared" si="2296"/>
        <v>...</v>
      </c>
      <c r="J10280" s="1" t="str">
        <f t="shared" si="2296"/>
        <v>...</v>
      </c>
      <c r="K10280" s="1" t="str">
        <f t="shared" si="2296"/>
        <v>...</v>
      </c>
      <c r="L10280" s="1" t="str">
        <f t="shared" si="2296"/>
        <v>...</v>
      </c>
      <c r="M10280" s="1" t="str">
        <f t="shared" si="2296"/>
        <v>...</v>
      </c>
      <c r="N10280" t="s">
        <v>30</v>
      </c>
    </row>
    <row r="10281" spans="1:14" x14ac:dyDescent="0.25">
      <c r="A10281" t="s">
        <v>43</v>
      </c>
      <c r="B10281" t="s">
        <v>40</v>
      </c>
      <c r="C10281" t="s">
        <v>37</v>
      </c>
      <c r="D10281" t="s">
        <v>33</v>
      </c>
      <c r="E10281" t="s">
        <v>15</v>
      </c>
      <c r="F10281" t="s">
        <v>20</v>
      </c>
      <c r="G10281" s="1" t="str">
        <f t="shared" ref="G10281:M10283" si="2297">"X"</f>
        <v>X</v>
      </c>
      <c r="H10281" s="1" t="str">
        <f t="shared" si="2297"/>
        <v>X</v>
      </c>
      <c r="I10281" s="1" t="str">
        <f t="shared" si="2297"/>
        <v>X</v>
      </c>
      <c r="J10281" s="1" t="str">
        <f t="shared" si="2297"/>
        <v>X</v>
      </c>
      <c r="K10281" s="1" t="str">
        <f t="shared" si="2297"/>
        <v>X</v>
      </c>
      <c r="L10281" s="1" t="str">
        <f t="shared" si="2297"/>
        <v>X</v>
      </c>
      <c r="M10281" s="1" t="str">
        <f t="shared" si="2297"/>
        <v>X</v>
      </c>
      <c r="N10281" t="s">
        <v>27</v>
      </c>
    </row>
    <row r="10282" spans="1:14" x14ac:dyDescent="0.25">
      <c r="A10282" t="s">
        <v>43</v>
      </c>
      <c r="B10282" t="s">
        <v>40</v>
      </c>
      <c r="C10282" t="s">
        <v>37</v>
      </c>
      <c r="D10282" t="s">
        <v>33</v>
      </c>
      <c r="E10282" t="s">
        <v>21</v>
      </c>
      <c r="F10282" t="s">
        <v>15</v>
      </c>
      <c r="G10282" s="1" t="str">
        <f t="shared" si="2297"/>
        <v>X</v>
      </c>
      <c r="H10282" s="1" t="str">
        <f t="shared" si="2297"/>
        <v>X</v>
      </c>
      <c r="I10282" s="1" t="str">
        <f t="shared" si="2297"/>
        <v>X</v>
      </c>
      <c r="J10282" s="1" t="str">
        <f t="shared" si="2297"/>
        <v>X</v>
      </c>
      <c r="K10282" s="1" t="str">
        <f t="shared" si="2297"/>
        <v>X</v>
      </c>
      <c r="L10282" s="1" t="str">
        <f t="shared" si="2297"/>
        <v>X</v>
      </c>
      <c r="M10282" s="1" t="str">
        <f t="shared" si="2297"/>
        <v>X</v>
      </c>
      <c r="N10282" t="s">
        <v>27</v>
      </c>
    </row>
    <row r="10283" spans="1:14" x14ac:dyDescent="0.25">
      <c r="A10283" t="s">
        <v>43</v>
      </c>
      <c r="B10283" t="s">
        <v>40</v>
      </c>
      <c r="C10283" t="s">
        <v>37</v>
      </c>
      <c r="D10283" t="s">
        <v>33</v>
      </c>
      <c r="E10283" t="s">
        <v>21</v>
      </c>
      <c r="F10283" t="s">
        <v>17</v>
      </c>
      <c r="G10283" s="1" t="str">
        <f t="shared" si="2297"/>
        <v>X</v>
      </c>
      <c r="H10283" s="1" t="str">
        <f t="shared" si="2297"/>
        <v>X</v>
      </c>
      <c r="I10283" s="1" t="str">
        <f t="shared" si="2297"/>
        <v>X</v>
      </c>
      <c r="J10283" s="1" t="str">
        <f t="shared" si="2297"/>
        <v>X</v>
      </c>
      <c r="K10283" s="1" t="str">
        <f t="shared" si="2297"/>
        <v>X</v>
      </c>
      <c r="L10283" s="1" t="str">
        <f t="shared" si="2297"/>
        <v>X</v>
      </c>
      <c r="M10283" s="1" t="str">
        <f t="shared" si="2297"/>
        <v>X</v>
      </c>
      <c r="N10283" t="s">
        <v>27</v>
      </c>
    </row>
    <row r="10284" spans="1:14" x14ac:dyDescent="0.25">
      <c r="A10284" t="s">
        <v>43</v>
      </c>
      <c r="B10284" t="s">
        <v>40</v>
      </c>
      <c r="C10284" t="s">
        <v>37</v>
      </c>
      <c r="D10284" t="s">
        <v>33</v>
      </c>
      <c r="E10284" t="s">
        <v>21</v>
      </c>
      <c r="F10284" t="s">
        <v>18</v>
      </c>
      <c r="G10284" s="1" t="str">
        <f t="shared" ref="G10284:M10285" si="2298">"..."</f>
        <v>...</v>
      </c>
      <c r="H10284" s="1" t="str">
        <f t="shared" si="2298"/>
        <v>...</v>
      </c>
      <c r="I10284" s="1" t="str">
        <f t="shared" si="2298"/>
        <v>...</v>
      </c>
      <c r="J10284" s="1" t="str">
        <f t="shared" si="2298"/>
        <v>...</v>
      </c>
      <c r="K10284" s="1" t="str">
        <f t="shared" si="2298"/>
        <v>...</v>
      </c>
      <c r="L10284" s="1" t="str">
        <f t="shared" si="2298"/>
        <v>...</v>
      </c>
      <c r="M10284" s="1" t="str">
        <f t="shared" si="2298"/>
        <v>...</v>
      </c>
      <c r="N10284" t="s">
        <v>30</v>
      </c>
    </row>
    <row r="10285" spans="1:14" x14ac:dyDescent="0.25">
      <c r="A10285" t="s">
        <v>43</v>
      </c>
      <c r="B10285" t="s">
        <v>40</v>
      </c>
      <c r="C10285" t="s">
        <v>37</v>
      </c>
      <c r="D10285" t="s">
        <v>33</v>
      </c>
      <c r="E10285" t="s">
        <v>21</v>
      </c>
      <c r="F10285" t="s">
        <v>19</v>
      </c>
      <c r="G10285" s="1" t="str">
        <f t="shared" si="2298"/>
        <v>...</v>
      </c>
      <c r="H10285" s="1" t="str">
        <f t="shared" si="2298"/>
        <v>...</v>
      </c>
      <c r="I10285" s="1" t="str">
        <f t="shared" si="2298"/>
        <v>...</v>
      </c>
      <c r="J10285" s="1" t="str">
        <f t="shared" si="2298"/>
        <v>...</v>
      </c>
      <c r="K10285" s="1" t="str">
        <f t="shared" si="2298"/>
        <v>...</v>
      </c>
      <c r="L10285" s="1" t="str">
        <f t="shared" si="2298"/>
        <v>...</v>
      </c>
      <c r="M10285" s="1" t="str">
        <f t="shared" si="2298"/>
        <v>...</v>
      </c>
      <c r="N10285" t="s">
        <v>30</v>
      </c>
    </row>
    <row r="10286" spans="1:14" x14ac:dyDescent="0.25">
      <c r="A10286" t="s">
        <v>43</v>
      </c>
      <c r="B10286" t="s">
        <v>40</v>
      </c>
      <c r="C10286" t="s">
        <v>37</v>
      </c>
      <c r="D10286" t="s">
        <v>33</v>
      </c>
      <c r="E10286" t="s">
        <v>21</v>
      </c>
      <c r="F10286" t="s">
        <v>20</v>
      </c>
      <c r="G10286" s="1" t="str">
        <f t="shared" ref="G10286:M10289" si="2299">"X"</f>
        <v>X</v>
      </c>
      <c r="H10286" s="1" t="str">
        <f t="shared" si="2299"/>
        <v>X</v>
      </c>
      <c r="I10286" s="1" t="str">
        <f t="shared" si="2299"/>
        <v>X</v>
      </c>
      <c r="J10286" s="1" t="str">
        <f t="shared" si="2299"/>
        <v>X</v>
      </c>
      <c r="K10286" s="1" t="str">
        <f t="shared" si="2299"/>
        <v>X</v>
      </c>
      <c r="L10286" s="1" t="str">
        <f t="shared" si="2299"/>
        <v>X</v>
      </c>
      <c r="M10286" s="1" t="str">
        <f t="shared" si="2299"/>
        <v>X</v>
      </c>
      <c r="N10286" t="s">
        <v>27</v>
      </c>
    </row>
    <row r="10287" spans="1:14" x14ac:dyDescent="0.25">
      <c r="A10287" t="s">
        <v>43</v>
      </c>
      <c r="B10287" t="s">
        <v>40</v>
      </c>
      <c r="C10287" t="s">
        <v>37</v>
      </c>
      <c r="D10287" t="s">
        <v>33</v>
      </c>
      <c r="E10287" t="s">
        <v>22</v>
      </c>
      <c r="F10287" t="s">
        <v>15</v>
      </c>
      <c r="G10287" s="1" t="str">
        <f t="shared" si="2299"/>
        <v>X</v>
      </c>
      <c r="H10287" s="1" t="str">
        <f t="shared" si="2299"/>
        <v>X</v>
      </c>
      <c r="I10287" s="1" t="str">
        <f t="shared" si="2299"/>
        <v>X</v>
      </c>
      <c r="J10287" s="1" t="str">
        <f t="shared" si="2299"/>
        <v>X</v>
      </c>
      <c r="K10287" s="1" t="str">
        <f t="shared" si="2299"/>
        <v>X</v>
      </c>
      <c r="L10287" s="1" t="str">
        <f t="shared" si="2299"/>
        <v>X</v>
      </c>
      <c r="M10287" s="1" t="str">
        <f t="shared" si="2299"/>
        <v>X</v>
      </c>
      <c r="N10287" t="s">
        <v>27</v>
      </c>
    </row>
    <row r="10288" spans="1:14" x14ac:dyDescent="0.25">
      <c r="A10288" t="s">
        <v>43</v>
      </c>
      <c r="B10288" t="s">
        <v>40</v>
      </c>
      <c r="C10288" t="s">
        <v>37</v>
      </c>
      <c r="D10288" t="s">
        <v>33</v>
      </c>
      <c r="E10288" t="s">
        <v>22</v>
      </c>
      <c r="F10288" t="s">
        <v>17</v>
      </c>
      <c r="G10288" s="1" t="str">
        <f t="shared" si="2299"/>
        <v>X</v>
      </c>
      <c r="H10288" s="1" t="str">
        <f t="shared" si="2299"/>
        <v>X</v>
      </c>
      <c r="I10288" s="1" t="str">
        <f t="shared" si="2299"/>
        <v>X</v>
      </c>
      <c r="J10288" s="1" t="str">
        <f t="shared" si="2299"/>
        <v>X</v>
      </c>
      <c r="K10288" s="1" t="str">
        <f t="shared" si="2299"/>
        <v>X</v>
      </c>
      <c r="L10288" s="1" t="str">
        <f t="shared" si="2299"/>
        <v>X</v>
      </c>
      <c r="M10288" s="1" t="str">
        <f t="shared" si="2299"/>
        <v>X</v>
      </c>
      <c r="N10288" t="s">
        <v>27</v>
      </c>
    </row>
    <row r="10289" spans="1:14" x14ac:dyDescent="0.25">
      <c r="A10289" t="s">
        <v>43</v>
      </c>
      <c r="B10289" t="s">
        <v>40</v>
      </c>
      <c r="C10289" t="s">
        <v>37</v>
      </c>
      <c r="D10289" t="s">
        <v>33</v>
      </c>
      <c r="E10289" t="s">
        <v>22</v>
      </c>
      <c r="F10289" t="s">
        <v>18</v>
      </c>
      <c r="G10289" s="1" t="str">
        <f t="shared" si="2299"/>
        <v>X</v>
      </c>
      <c r="H10289" s="1" t="str">
        <f t="shared" si="2299"/>
        <v>X</v>
      </c>
      <c r="I10289" s="1" t="str">
        <f t="shared" si="2299"/>
        <v>X</v>
      </c>
      <c r="J10289" s="1" t="str">
        <f t="shared" si="2299"/>
        <v>X</v>
      </c>
      <c r="K10289" s="1" t="str">
        <f t="shared" si="2299"/>
        <v>X</v>
      </c>
      <c r="L10289" s="1" t="str">
        <f t="shared" si="2299"/>
        <v>X</v>
      </c>
      <c r="M10289" s="1" t="str">
        <f t="shared" si="2299"/>
        <v>X</v>
      </c>
      <c r="N10289" t="s">
        <v>27</v>
      </c>
    </row>
    <row r="10290" spans="1:14" x14ac:dyDescent="0.25">
      <c r="A10290" t="s">
        <v>43</v>
      </c>
      <c r="B10290" t="s">
        <v>40</v>
      </c>
      <c r="C10290" t="s">
        <v>37</v>
      </c>
      <c r="D10290" t="s">
        <v>33</v>
      </c>
      <c r="E10290" t="s">
        <v>22</v>
      </c>
      <c r="F10290" t="s">
        <v>19</v>
      </c>
      <c r="G10290" s="1" t="str">
        <f t="shared" ref="G10290:M10290" si="2300">"..."</f>
        <v>...</v>
      </c>
      <c r="H10290" s="1" t="str">
        <f t="shared" si="2300"/>
        <v>...</v>
      </c>
      <c r="I10290" s="1" t="str">
        <f t="shared" si="2300"/>
        <v>...</v>
      </c>
      <c r="J10290" s="1" t="str">
        <f t="shared" si="2300"/>
        <v>...</v>
      </c>
      <c r="K10290" s="1" t="str">
        <f t="shared" si="2300"/>
        <v>...</v>
      </c>
      <c r="L10290" s="1" t="str">
        <f t="shared" si="2300"/>
        <v>...</v>
      </c>
      <c r="M10290" s="1" t="str">
        <f t="shared" si="2300"/>
        <v>...</v>
      </c>
      <c r="N10290" t="s">
        <v>30</v>
      </c>
    </row>
    <row r="10291" spans="1:14" x14ac:dyDescent="0.25">
      <c r="A10291" t="s">
        <v>43</v>
      </c>
      <c r="B10291" t="s">
        <v>40</v>
      </c>
      <c r="C10291" t="s">
        <v>37</v>
      </c>
      <c r="D10291" t="s">
        <v>33</v>
      </c>
      <c r="E10291" t="s">
        <v>22</v>
      </c>
      <c r="F10291" t="s">
        <v>20</v>
      </c>
      <c r="G10291" s="1" t="str">
        <f t="shared" ref="G10291:M10292" si="2301">"X"</f>
        <v>X</v>
      </c>
      <c r="H10291" s="1" t="str">
        <f t="shared" si="2301"/>
        <v>X</v>
      </c>
      <c r="I10291" s="1" t="str">
        <f t="shared" si="2301"/>
        <v>X</v>
      </c>
      <c r="J10291" s="1" t="str">
        <f t="shared" si="2301"/>
        <v>X</v>
      </c>
      <c r="K10291" s="1" t="str">
        <f t="shared" si="2301"/>
        <v>X</v>
      </c>
      <c r="L10291" s="1" t="str">
        <f t="shared" si="2301"/>
        <v>X</v>
      </c>
      <c r="M10291" s="1" t="str">
        <f t="shared" si="2301"/>
        <v>X</v>
      </c>
      <c r="N10291" t="s">
        <v>27</v>
      </c>
    </row>
    <row r="10292" spans="1:14" x14ac:dyDescent="0.25">
      <c r="A10292" t="s">
        <v>43</v>
      </c>
      <c r="B10292" t="s">
        <v>40</v>
      </c>
      <c r="C10292" t="s">
        <v>37</v>
      </c>
      <c r="D10292" t="s">
        <v>33</v>
      </c>
      <c r="E10292" t="s">
        <v>23</v>
      </c>
      <c r="F10292" t="s">
        <v>15</v>
      </c>
      <c r="G10292" s="1" t="str">
        <f t="shared" si="2301"/>
        <v>X</v>
      </c>
      <c r="H10292" s="1" t="str">
        <f t="shared" si="2301"/>
        <v>X</v>
      </c>
      <c r="I10292" s="1" t="str">
        <f t="shared" si="2301"/>
        <v>X</v>
      </c>
      <c r="J10292" s="1" t="str">
        <f t="shared" si="2301"/>
        <v>X</v>
      </c>
      <c r="K10292" s="1" t="str">
        <f t="shared" si="2301"/>
        <v>X</v>
      </c>
      <c r="L10292" s="1" t="str">
        <f t="shared" si="2301"/>
        <v>X</v>
      </c>
      <c r="M10292" s="1" t="str">
        <f t="shared" si="2301"/>
        <v>X</v>
      </c>
      <c r="N10292" t="s">
        <v>27</v>
      </c>
    </row>
    <row r="10293" spans="1:14" x14ac:dyDescent="0.25">
      <c r="A10293" t="s">
        <v>43</v>
      </c>
      <c r="B10293" t="s">
        <v>40</v>
      </c>
      <c r="C10293" t="s">
        <v>37</v>
      </c>
      <c r="D10293" t="s">
        <v>33</v>
      </c>
      <c r="E10293" t="s">
        <v>23</v>
      </c>
      <c r="F10293" t="s">
        <v>17</v>
      </c>
      <c r="G10293" s="1" t="str">
        <f t="shared" ref="G10293:M10295" si="2302">"..."</f>
        <v>...</v>
      </c>
      <c r="H10293" s="1" t="str">
        <f t="shared" si="2302"/>
        <v>...</v>
      </c>
      <c r="I10293" s="1" t="str">
        <f t="shared" si="2302"/>
        <v>...</v>
      </c>
      <c r="J10293" s="1" t="str">
        <f t="shared" si="2302"/>
        <v>...</v>
      </c>
      <c r="K10293" s="1" t="str">
        <f t="shared" si="2302"/>
        <v>...</v>
      </c>
      <c r="L10293" s="1" t="str">
        <f t="shared" si="2302"/>
        <v>...</v>
      </c>
      <c r="M10293" s="1" t="str">
        <f t="shared" si="2302"/>
        <v>...</v>
      </c>
      <c r="N10293" t="s">
        <v>30</v>
      </c>
    </row>
    <row r="10294" spans="1:14" x14ac:dyDescent="0.25">
      <c r="A10294" t="s">
        <v>43</v>
      </c>
      <c r="B10294" t="s">
        <v>40</v>
      </c>
      <c r="C10294" t="s">
        <v>37</v>
      </c>
      <c r="D10294" t="s">
        <v>33</v>
      </c>
      <c r="E10294" t="s">
        <v>23</v>
      </c>
      <c r="F10294" t="s">
        <v>18</v>
      </c>
      <c r="G10294" s="1" t="str">
        <f t="shared" si="2302"/>
        <v>...</v>
      </c>
      <c r="H10294" s="1" t="str">
        <f t="shared" si="2302"/>
        <v>...</v>
      </c>
      <c r="I10294" s="1" t="str">
        <f t="shared" si="2302"/>
        <v>...</v>
      </c>
      <c r="J10294" s="1" t="str">
        <f t="shared" si="2302"/>
        <v>...</v>
      </c>
      <c r="K10294" s="1" t="str">
        <f t="shared" si="2302"/>
        <v>...</v>
      </c>
      <c r="L10294" s="1" t="str">
        <f t="shared" si="2302"/>
        <v>...</v>
      </c>
      <c r="M10294" s="1" t="str">
        <f t="shared" si="2302"/>
        <v>...</v>
      </c>
      <c r="N10294" t="s">
        <v>30</v>
      </c>
    </row>
    <row r="10295" spans="1:14" x14ac:dyDescent="0.25">
      <c r="A10295" t="s">
        <v>43</v>
      </c>
      <c r="B10295" t="s">
        <v>40</v>
      </c>
      <c r="C10295" t="s">
        <v>37</v>
      </c>
      <c r="D10295" t="s">
        <v>33</v>
      </c>
      <c r="E10295" t="s">
        <v>23</v>
      </c>
      <c r="F10295" t="s">
        <v>19</v>
      </c>
      <c r="G10295" s="1" t="str">
        <f t="shared" si="2302"/>
        <v>...</v>
      </c>
      <c r="H10295" s="1" t="str">
        <f t="shared" si="2302"/>
        <v>...</v>
      </c>
      <c r="I10295" s="1" t="str">
        <f t="shared" si="2302"/>
        <v>...</v>
      </c>
      <c r="J10295" s="1" t="str">
        <f t="shared" si="2302"/>
        <v>...</v>
      </c>
      <c r="K10295" s="1" t="str">
        <f t="shared" si="2302"/>
        <v>...</v>
      </c>
      <c r="L10295" s="1" t="str">
        <f t="shared" si="2302"/>
        <v>...</v>
      </c>
      <c r="M10295" s="1" t="str">
        <f t="shared" si="2302"/>
        <v>...</v>
      </c>
      <c r="N10295" t="s">
        <v>30</v>
      </c>
    </row>
    <row r="10296" spans="1:14" x14ac:dyDescent="0.25">
      <c r="A10296" t="s">
        <v>43</v>
      </c>
      <c r="B10296" t="s">
        <v>40</v>
      </c>
      <c r="C10296" t="s">
        <v>37</v>
      </c>
      <c r="D10296" t="s">
        <v>33</v>
      </c>
      <c r="E10296" t="s">
        <v>23</v>
      </c>
      <c r="F10296" t="s">
        <v>20</v>
      </c>
      <c r="G10296" s="1" t="str">
        <f t="shared" ref="G10296:M10297" si="2303">"X"</f>
        <v>X</v>
      </c>
      <c r="H10296" s="1" t="str">
        <f t="shared" si="2303"/>
        <v>X</v>
      </c>
      <c r="I10296" s="1" t="str">
        <f t="shared" si="2303"/>
        <v>X</v>
      </c>
      <c r="J10296" s="1" t="str">
        <f t="shared" si="2303"/>
        <v>X</v>
      </c>
      <c r="K10296" s="1" t="str">
        <f t="shared" si="2303"/>
        <v>X</v>
      </c>
      <c r="L10296" s="1" t="str">
        <f t="shared" si="2303"/>
        <v>X</v>
      </c>
      <c r="M10296" s="1" t="str">
        <f t="shared" si="2303"/>
        <v>X</v>
      </c>
      <c r="N10296" t="s">
        <v>27</v>
      </c>
    </row>
    <row r="10297" spans="1:14" x14ac:dyDescent="0.25">
      <c r="A10297" t="s">
        <v>43</v>
      </c>
      <c r="B10297" t="s">
        <v>40</v>
      </c>
      <c r="C10297" t="s">
        <v>37</v>
      </c>
      <c r="D10297" t="s">
        <v>33</v>
      </c>
      <c r="E10297" t="s">
        <v>26</v>
      </c>
      <c r="F10297" t="s">
        <v>15</v>
      </c>
      <c r="G10297" s="1" t="str">
        <f t="shared" si="2303"/>
        <v>X</v>
      </c>
      <c r="H10297" s="1" t="str">
        <f t="shared" si="2303"/>
        <v>X</v>
      </c>
      <c r="I10297" s="1" t="str">
        <f t="shared" si="2303"/>
        <v>X</v>
      </c>
      <c r="J10297" s="1" t="str">
        <f t="shared" si="2303"/>
        <v>X</v>
      </c>
      <c r="K10297" s="1" t="str">
        <f t="shared" si="2303"/>
        <v>X</v>
      </c>
      <c r="L10297" s="1" t="str">
        <f t="shared" si="2303"/>
        <v>X</v>
      </c>
      <c r="M10297" s="1" t="str">
        <f t="shared" si="2303"/>
        <v>X</v>
      </c>
      <c r="N10297" t="s">
        <v>27</v>
      </c>
    </row>
    <row r="10298" spans="1:14" x14ac:dyDescent="0.25">
      <c r="A10298" t="s">
        <v>43</v>
      </c>
      <c r="B10298" t="s">
        <v>40</v>
      </c>
      <c r="C10298" t="s">
        <v>37</v>
      </c>
      <c r="D10298" t="s">
        <v>33</v>
      </c>
      <c r="E10298" t="s">
        <v>26</v>
      </c>
      <c r="F10298" t="s">
        <v>17</v>
      </c>
      <c r="G10298" s="1" t="str">
        <f t="shared" ref="G10298:M10300" si="2304">"..."</f>
        <v>...</v>
      </c>
      <c r="H10298" s="1" t="str">
        <f t="shared" si="2304"/>
        <v>...</v>
      </c>
      <c r="I10298" s="1" t="str">
        <f t="shared" si="2304"/>
        <v>...</v>
      </c>
      <c r="J10298" s="1" t="str">
        <f t="shared" si="2304"/>
        <v>...</v>
      </c>
      <c r="K10298" s="1" t="str">
        <f t="shared" si="2304"/>
        <v>...</v>
      </c>
      <c r="L10298" s="1" t="str">
        <f t="shared" si="2304"/>
        <v>...</v>
      </c>
      <c r="M10298" s="1" t="str">
        <f t="shared" si="2304"/>
        <v>...</v>
      </c>
      <c r="N10298" t="s">
        <v>30</v>
      </c>
    </row>
    <row r="10299" spans="1:14" x14ac:dyDescent="0.25">
      <c r="A10299" t="s">
        <v>43</v>
      </c>
      <c r="B10299" t="s">
        <v>40</v>
      </c>
      <c r="C10299" t="s">
        <v>37</v>
      </c>
      <c r="D10299" t="s">
        <v>33</v>
      </c>
      <c r="E10299" t="s">
        <v>26</v>
      </c>
      <c r="F10299" t="s">
        <v>18</v>
      </c>
      <c r="G10299" s="1" t="str">
        <f t="shared" si="2304"/>
        <v>...</v>
      </c>
      <c r="H10299" s="1" t="str">
        <f t="shared" si="2304"/>
        <v>...</v>
      </c>
      <c r="I10299" s="1" t="str">
        <f t="shared" si="2304"/>
        <v>...</v>
      </c>
      <c r="J10299" s="1" t="str">
        <f t="shared" si="2304"/>
        <v>...</v>
      </c>
      <c r="K10299" s="1" t="str">
        <f t="shared" si="2304"/>
        <v>...</v>
      </c>
      <c r="L10299" s="1" t="str">
        <f t="shared" si="2304"/>
        <v>...</v>
      </c>
      <c r="M10299" s="1" t="str">
        <f t="shared" si="2304"/>
        <v>...</v>
      </c>
      <c r="N10299" t="s">
        <v>30</v>
      </c>
    </row>
    <row r="10300" spans="1:14" x14ac:dyDescent="0.25">
      <c r="A10300" t="s">
        <v>43</v>
      </c>
      <c r="B10300" t="s">
        <v>40</v>
      </c>
      <c r="C10300" t="s">
        <v>37</v>
      </c>
      <c r="D10300" t="s">
        <v>33</v>
      </c>
      <c r="E10300" t="s">
        <v>26</v>
      </c>
      <c r="F10300" t="s">
        <v>19</v>
      </c>
      <c r="G10300" s="1" t="str">
        <f t="shared" si="2304"/>
        <v>...</v>
      </c>
      <c r="H10300" s="1" t="str">
        <f t="shared" si="2304"/>
        <v>...</v>
      </c>
      <c r="I10300" s="1" t="str">
        <f t="shared" si="2304"/>
        <v>...</v>
      </c>
      <c r="J10300" s="1" t="str">
        <f t="shared" si="2304"/>
        <v>...</v>
      </c>
      <c r="K10300" s="1" t="str">
        <f t="shared" si="2304"/>
        <v>...</v>
      </c>
      <c r="L10300" s="1" t="str">
        <f t="shared" si="2304"/>
        <v>...</v>
      </c>
      <c r="M10300" s="1" t="str">
        <f t="shared" si="2304"/>
        <v>...</v>
      </c>
      <c r="N10300" t="s">
        <v>30</v>
      </c>
    </row>
    <row r="10301" spans="1:14" x14ac:dyDescent="0.25">
      <c r="A10301" t="s">
        <v>43</v>
      </c>
      <c r="B10301" t="s">
        <v>40</v>
      </c>
      <c r="C10301" t="s">
        <v>37</v>
      </c>
      <c r="D10301" t="s">
        <v>33</v>
      </c>
      <c r="E10301" t="s">
        <v>26</v>
      </c>
      <c r="F10301" t="s">
        <v>20</v>
      </c>
      <c r="G10301" s="1" t="str">
        <f t="shared" ref="G10301:M10303" si="2305">"X"</f>
        <v>X</v>
      </c>
      <c r="H10301" s="1" t="str">
        <f t="shared" si="2305"/>
        <v>X</v>
      </c>
      <c r="I10301" s="1" t="str">
        <f t="shared" si="2305"/>
        <v>X</v>
      </c>
      <c r="J10301" s="1" t="str">
        <f t="shared" si="2305"/>
        <v>X</v>
      </c>
      <c r="K10301" s="1" t="str">
        <f t="shared" si="2305"/>
        <v>X</v>
      </c>
      <c r="L10301" s="1" t="str">
        <f t="shared" si="2305"/>
        <v>X</v>
      </c>
      <c r="M10301" s="1" t="str">
        <f t="shared" si="2305"/>
        <v>X</v>
      </c>
      <c r="N10301" t="s">
        <v>27</v>
      </c>
    </row>
    <row r="10302" spans="1:14" x14ac:dyDescent="0.25">
      <c r="A10302" t="s">
        <v>43</v>
      </c>
      <c r="B10302" t="s">
        <v>40</v>
      </c>
      <c r="C10302" t="s">
        <v>37</v>
      </c>
      <c r="D10302" t="s">
        <v>34</v>
      </c>
      <c r="E10302" t="s">
        <v>15</v>
      </c>
      <c r="F10302" t="s">
        <v>15</v>
      </c>
      <c r="G10302" s="1" t="str">
        <f t="shared" si="2305"/>
        <v>X</v>
      </c>
      <c r="H10302" s="1" t="str">
        <f t="shared" si="2305"/>
        <v>X</v>
      </c>
      <c r="I10302" s="1" t="str">
        <f t="shared" si="2305"/>
        <v>X</v>
      </c>
      <c r="J10302" s="1" t="str">
        <f t="shared" si="2305"/>
        <v>X</v>
      </c>
      <c r="K10302" s="1" t="str">
        <f t="shared" si="2305"/>
        <v>X</v>
      </c>
      <c r="L10302" s="1" t="str">
        <f t="shared" si="2305"/>
        <v>X</v>
      </c>
      <c r="M10302" s="1" t="str">
        <f t="shared" si="2305"/>
        <v>X</v>
      </c>
      <c r="N10302" t="s">
        <v>27</v>
      </c>
    </row>
    <row r="10303" spans="1:14" x14ac:dyDescent="0.25">
      <c r="A10303" t="s">
        <v>43</v>
      </c>
      <c r="B10303" t="s">
        <v>40</v>
      </c>
      <c r="C10303" t="s">
        <v>37</v>
      </c>
      <c r="D10303" t="s">
        <v>34</v>
      </c>
      <c r="E10303" t="s">
        <v>15</v>
      </c>
      <c r="F10303" t="s">
        <v>17</v>
      </c>
      <c r="G10303" s="1" t="str">
        <f t="shared" si="2305"/>
        <v>X</v>
      </c>
      <c r="H10303" s="1" t="str">
        <f t="shared" si="2305"/>
        <v>X</v>
      </c>
      <c r="I10303" s="1" t="str">
        <f t="shared" si="2305"/>
        <v>X</v>
      </c>
      <c r="J10303" s="1" t="str">
        <f t="shared" si="2305"/>
        <v>X</v>
      </c>
      <c r="K10303" s="1" t="str">
        <f t="shared" si="2305"/>
        <v>X</v>
      </c>
      <c r="L10303" s="1" t="str">
        <f t="shared" si="2305"/>
        <v>X</v>
      </c>
      <c r="M10303" s="1" t="str">
        <f t="shared" si="2305"/>
        <v>X</v>
      </c>
      <c r="N10303" t="s">
        <v>27</v>
      </c>
    </row>
    <row r="10304" spans="1:14" x14ac:dyDescent="0.25">
      <c r="A10304" t="s">
        <v>43</v>
      </c>
      <c r="B10304" t="s">
        <v>40</v>
      </c>
      <c r="C10304" t="s">
        <v>37</v>
      </c>
      <c r="D10304" t="s">
        <v>34</v>
      </c>
      <c r="E10304" t="s">
        <v>15</v>
      </c>
      <c r="F10304" t="s">
        <v>18</v>
      </c>
      <c r="G10304" s="1" t="str">
        <f t="shared" ref="G10304:M10304" si="2306">"..."</f>
        <v>...</v>
      </c>
      <c r="H10304" s="1" t="str">
        <f t="shared" si="2306"/>
        <v>...</v>
      </c>
      <c r="I10304" s="1" t="str">
        <f t="shared" si="2306"/>
        <v>...</v>
      </c>
      <c r="J10304" s="1" t="str">
        <f t="shared" si="2306"/>
        <v>...</v>
      </c>
      <c r="K10304" s="1" t="str">
        <f t="shared" si="2306"/>
        <v>...</v>
      </c>
      <c r="L10304" s="1" t="str">
        <f t="shared" si="2306"/>
        <v>...</v>
      </c>
      <c r="M10304" s="1" t="str">
        <f t="shared" si="2306"/>
        <v>...</v>
      </c>
      <c r="N10304" t="s">
        <v>30</v>
      </c>
    </row>
    <row r="10305" spans="1:14" x14ac:dyDescent="0.25">
      <c r="A10305" t="s">
        <v>43</v>
      </c>
      <c r="B10305" t="s">
        <v>40</v>
      </c>
      <c r="C10305" t="s">
        <v>37</v>
      </c>
      <c r="D10305" t="s">
        <v>34</v>
      </c>
      <c r="E10305" t="s">
        <v>15</v>
      </c>
      <c r="F10305" t="s">
        <v>19</v>
      </c>
      <c r="G10305" s="1" t="str">
        <f t="shared" ref="G10305:M10307" si="2307">"X"</f>
        <v>X</v>
      </c>
      <c r="H10305" s="1" t="str">
        <f t="shared" si="2307"/>
        <v>X</v>
      </c>
      <c r="I10305" s="1" t="str">
        <f t="shared" si="2307"/>
        <v>X</v>
      </c>
      <c r="J10305" s="1" t="str">
        <f t="shared" si="2307"/>
        <v>X</v>
      </c>
      <c r="K10305" s="1" t="str">
        <f t="shared" si="2307"/>
        <v>X</v>
      </c>
      <c r="L10305" s="1" t="str">
        <f t="shared" si="2307"/>
        <v>X</v>
      </c>
      <c r="M10305" s="1" t="str">
        <f t="shared" si="2307"/>
        <v>X</v>
      </c>
      <c r="N10305" t="s">
        <v>27</v>
      </c>
    </row>
    <row r="10306" spans="1:14" x14ac:dyDescent="0.25">
      <c r="A10306" t="s">
        <v>43</v>
      </c>
      <c r="B10306" t="s">
        <v>40</v>
      </c>
      <c r="C10306" t="s">
        <v>37</v>
      </c>
      <c r="D10306" t="s">
        <v>34</v>
      </c>
      <c r="E10306" t="s">
        <v>15</v>
      </c>
      <c r="F10306" t="s">
        <v>20</v>
      </c>
      <c r="G10306" s="1" t="str">
        <f t="shared" si="2307"/>
        <v>X</v>
      </c>
      <c r="H10306" s="1" t="str">
        <f t="shared" si="2307"/>
        <v>X</v>
      </c>
      <c r="I10306" s="1" t="str">
        <f t="shared" si="2307"/>
        <v>X</v>
      </c>
      <c r="J10306" s="1" t="str">
        <f t="shared" si="2307"/>
        <v>X</v>
      </c>
      <c r="K10306" s="1" t="str">
        <f t="shared" si="2307"/>
        <v>X</v>
      </c>
      <c r="L10306" s="1" t="str">
        <f t="shared" si="2307"/>
        <v>X</v>
      </c>
      <c r="M10306" s="1" t="str">
        <f t="shared" si="2307"/>
        <v>X</v>
      </c>
      <c r="N10306" t="s">
        <v>27</v>
      </c>
    </row>
    <row r="10307" spans="1:14" x14ac:dyDescent="0.25">
      <c r="A10307" t="s">
        <v>43</v>
      </c>
      <c r="B10307" t="s">
        <v>40</v>
      </c>
      <c r="C10307" t="s">
        <v>37</v>
      </c>
      <c r="D10307" t="s">
        <v>34</v>
      </c>
      <c r="E10307" t="s">
        <v>21</v>
      </c>
      <c r="F10307" t="s">
        <v>15</v>
      </c>
      <c r="G10307" s="1" t="str">
        <f t="shared" si="2307"/>
        <v>X</v>
      </c>
      <c r="H10307" s="1" t="str">
        <f t="shared" si="2307"/>
        <v>X</v>
      </c>
      <c r="I10307" s="1" t="str">
        <f t="shared" si="2307"/>
        <v>X</v>
      </c>
      <c r="J10307" s="1" t="str">
        <f t="shared" si="2307"/>
        <v>X</v>
      </c>
      <c r="K10307" s="1" t="str">
        <f t="shared" si="2307"/>
        <v>X</v>
      </c>
      <c r="L10307" s="1" t="str">
        <f t="shared" si="2307"/>
        <v>X</v>
      </c>
      <c r="M10307" s="1" t="str">
        <f t="shared" si="2307"/>
        <v>X</v>
      </c>
      <c r="N10307" t="s">
        <v>27</v>
      </c>
    </row>
    <row r="10308" spans="1:14" x14ac:dyDescent="0.25">
      <c r="A10308" t="s">
        <v>43</v>
      </c>
      <c r="B10308" t="s">
        <v>40</v>
      </c>
      <c r="C10308" t="s">
        <v>37</v>
      </c>
      <c r="D10308" t="s">
        <v>34</v>
      </c>
      <c r="E10308" t="s">
        <v>21</v>
      </c>
      <c r="F10308" t="s">
        <v>17</v>
      </c>
      <c r="G10308" s="1" t="str">
        <f t="shared" ref="G10308:M10309" si="2308">"..."</f>
        <v>...</v>
      </c>
      <c r="H10308" s="1" t="str">
        <f t="shared" si="2308"/>
        <v>...</v>
      </c>
      <c r="I10308" s="1" t="str">
        <f t="shared" si="2308"/>
        <v>...</v>
      </c>
      <c r="J10308" s="1" t="str">
        <f t="shared" si="2308"/>
        <v>...</v>
      </c>
      <c r="K10308" s="1" t="str">
        <f t="shared" si="2308"/>
        <v>...</v>
      </c>
      <c r="L10308" s="1" t="str">
        <f t="shared" si="2308"/>
        <v>...</v>
      </c>
      <c r="M10308" s="1" t="str">
        <f t="shared" si="2308"/>
        <v>...</v>
      </c>
      <c r="N10308" t="s">
        <v>30</v>
      </c>
    </row>
    <row r="10309" spans="1:14" x14ac:dyDescent="0.25">
      <c r="A10309" t="s">
        <v>43</v>
      </c>
      <c r="B10309" t="s">
        <v>40</v>
      </c>
      <c r="C10309" t="s">
        <v>37</v>
      </c>
      <c r="D10309" t="s">
        <v>34</v>
      </c>
      <c r="E10309" t="s">
        <v>21</v>
      </c>
      <c r="F10309" t="s">
        <v>18</v>
      </c>
      <c r="G10309" s="1" t="str">
        <f t="shared" si="2308"/>
        <v>...</v>
      </c>
      <c r="H10309" s="1" t="str">
        <f t="shared" si="2308"/>
        <v>...</v>
      </c>
      <c r="I10309" s="1" t="str">
        <f t="shared" si="2308"/>
        <v>...</v>
      </c>
      <c r="J10309" s="1" t="str">
        <f t="shared" si="2308"/>
        <v>...</v>
      </c>
      <c r="K10309" s="1" t="str">
        <f t="shared" si="2308"/>
        <v>...</v>
      </c>
      <c r="L10309" s="1" t="str">
        <f t="shared" si="2308"/>
        <v>...</v>
      </c>
      <c r="M10309" s="1" t="str">
        <f t="shared" si="2308"/>
        <v>...</v>
      </c>
      <c r="N10309" t="s">
        <v>30</v>
      </c>
    </row>
    <row r="10310" spans="1:14" x14ac:dyDescent="0.25">
      <c r="A10310" t="s">
        <v>43</v>
      </c>
      <c r="B10310" t="s">
        <v>40</v>
      </c>
      <c r="C10310" t="s">
        <v>37</v>
      </c>
      <c r="D10310" t="s">
        <v>34</v>
      </c>
      <c r="E10310" t="s">
        <v>21</v>
      </c>
      <c r="F10310" t="s">
        <v>19</v>
      </c>
      <c r="G10310" s="1" t="str">
        <f t="shared" ref="G10310:M10313" si="2309">"X"</f>
        <v>X</v>
      </c>
      <c r="H10310" s="1" t="str">
        <f t="shared" si="2309"/>
        <v>X</v>
      </c>
      <c r="I10310" s="1" t="str">
        <f t="shared" si="2309"/>
        <v>X</v>
      </c>
      <c r="J10310" s="1" t="str">
        <f t="shared" si="2309"/>
        <v>X</v>
      </c>
      <c r="K10310" s="1" t="str">
        <f t="shared" si="2309"/>
        <v>X</v>
      </c>
      <c r="L10310" s="1" t="str">
        <f t="shared" si="2309"/>
        <v>X</v>
      </c>
      <c r="M10310" s="1" t="str">
        <f t="shared" si="2309"/>
        <v>X</v>
      </c>
      <c r="N10310" t="s">
        <v>27</v>
      </c>
    </row>
    <row r="10311" spans="1:14" x14ac:dyDescent="0.25">
      <c r="A10311" t="s">
        <v>43</v>
      </c>
      <c r="B10311" t="s">
        <v>40</v>
      </c>
      <c r="C10311" t="s">
        <v>37</v>
      </c>
      <c r="D10311" t="s">
        <v>34</v>
      </c>
      <c r="E10311" t="s">
        <v>21</v>
      </c>
      <c r="F10311" t="s">
        <v>20</v>
      </c>
      <c r="G10311" s="1" t="str">
        <f t="shared" si="2309"/>
        <v>X</v>
      </c>
      <c r="H10311" s="1" t="str">
        <f t="shared" si="2309"/>
        <v>X</v>
      </c>
      <c r="I10311" s="1" t="str">
        <f t="shared" si="2309"/>
        <v>X</v>
      </c>
      <c r="J10311" s="1" t="str">
        <f t="shared" si="2309"/>
        <v>X</v>
      </c>
      <c r="K10311" s="1" t="str">
        <f t="shared" si="2309"/>
        <v>X</v>
      </c>
      <c r="L10311" s="1" t="str">
        <f t="shared" si="2309"/>
        <v>X</v>
      </c>
      <c r="M10311" s="1" t="str">
        <f t="shared" si="2309"/>
        <v>X</v>
      </c>
      <c r="N10311" t="s">
        <v>27</v>
      </c>
    </row>
    <row r="10312" spans="1:14" x14ac:dyDescent="0.25">
      <c r="A10312" t="s">
        <v>43</v>
      </c>
      <c r="B10312" t="s">
        <v>40</v>
      </c>
      <c r="C10312" t="s">
        <v>37</v>
      </c>
      <c r="D10312" t="s">
        <v>34</v>
      </c>
      <c r="E10312" t="s">
        <v>22</v>
      </c>
      <c r="F10312" t="s">
        <v>15</v>
      </c>
      <c r="G10312" s="1" t="str">
        <f t="shared" si="2309"/>
        <v>X</v>
      </c>
      <c r="H10312" s="1" t="str">
        <f t="shared" si="2309"/>
        <v>X</v>
      </c>
      <c r="I10312" s="1" t="str">
        <f t="shared" si="2309"/>
        <v>X</v>
      </c>
      <c r="J10312" s="1" t="str">
        <f t="shared" si="2309"/>
        <v>X</v>
      </c>
      <c r="K10312" s="1" t="str">
        <f t="shared" si="2309"/>
        <v>X</v>
      </c>
      <c r="L10312" s="1" t="str">
        <f t="shared" si="2309"/>
        <v>X</v>
      </c>
      <c r="M10312" s="1" t="str">
        <f t="shared" si="2309"/>
        <v>X</v>
      </c>
      <c r="N10312" t="s">
        <v>27</v>
      </c>
    </row>
    <row r="10313" spans="1:14" x14ac:dyDescent="0.25">
      <c r="A10313" t="s">
        <v>43</v>
      </c>
      <c r="B10313" t="s">
        <v>40</v>
      </c>
      <c r="C10313" t="s">
        <v>37</v>
      </c>
      <c r="D10313" t="s">
        <v>34</v>
      </c>
      <c r="E10313" t="s">
        <v>22</v>
      </c>
      <c r="F10313" t="s">
        <v>17</v>
      </c>
      <c r="G10313" s="1" t="str">
        <f t="shared" si="2309"/>
        <v>X</v>
      </c>
      <c r="H10313" s="1" t="str">
        <f t="shared" si="2309"/>
        <v>X</v>
      </c>
      <c r="I10313" s="1" t="str">
        <f t="shared" si="2309"/>
        <v>X</v>
      </c>
      <c r="J10313" s="1" t="str">
        <f t="shared" si="2309"/>
        <v>X</v>
      </c>
      <c r="K10313" s="1" t="str">
        <f t="shared" si="2309"/>
        <v>X</v>
      </c>
      <c r="L10313" s="1" t="str">
        <f t="shared" si="2309"/>
        <v>X</v>
      </c>
      <c r="M10313" s="1" t="str">
        <f t="shared" si="2309"/>
        <v>X</v>
      </c>
      <c r="N10313" t="s">
        <v>27</v>
      </c>
    </row>
    <row r="10314" spans="1:14" x14ac:dyDescent="0.25">
      <c r="A10314" t="s">
        <v>43</v>
      </c>
      <c r="B10314" t="s">
        <v>40</v>
      </c>
      <c r="C10314" t="s">
        <v>37</v>
      </c>
      <c r="D10314" t="s">
        <v>34</v>
      </c>
      <c r="E10314" t="s">
        <v>22</v>
      </c>
      <c r="F10314" t="s">
        <v>18</v>
      </c>
      <c r="G10314" s="1" t="str">
        <f t="shared" ref="G10314:M10315" si="2310">"..."</f>
        <v>...</v>
      </c>
      <c r="H10314" s="1" t="str">
        <f t="shared" si="2310"/>
        <v>...</v>
      </c>
      <c r="I10314" s="1" t="str">
        <f t="shared" si="2310"/>
        <v>...</v>
      </c>
      <c r="J10314" s="1" t="str">
        <f t="shared" si="2310"/>
        <v>...</v>
      </c>
      <c r="K10314" s="1" t="str">
        <f t="shared" si="2310"/>
        <v>...</v>
      </c>
      <c r="L10314" s="1" t="str">
        <f t="shared" si="2310"/>
        <v>...</v>
      </c>
      <c r="M10314" s="1" t="str">
        <f t="shared" si="2310"/>
        <v>...</v>
      </c>
      <c r="N10314" t="s">
        <v>30</v>
      </c>
    </row>
    <row r="10315" spans="1:14" x14ac:dyDescent="0.25">
      <c r="A10315" t="s">
        <v>43</v>
      </c>
      <c r="B10315" t="s">
        <v>40</v>
      </c>
      <c r="C10315" t="s">
        <v>37</v>
      </c>
      <c r="D10315" t="s">
        <v>34</v>
      </c>
      <c r="E10315" t="s">
        <v>22</v>
      </c>
      <c r="F10315" t="s">
        <v>19</v>
      </c>
      <c r="G10315" s="1" t="str">
        <f t="shared" si="2310"/>
        <v>...</v>
      </c>
      <c r="H10315" s="1" t="str">
        <f t="shared" si="2310"/>
        <v>...</v>
      </c>
      <c r="I10315" s="1" t="str">
        <f t="shared" si="2310"/>
        <v>...</v>
      </c>
      <c r="J10315" s="1" t="str">
        <f t="shared" si="2310"/>
        <v>...</v>
      </c>
      <c r="K10315" s="1" t="str">
        <f t="shared" si="2310"/>
        <v>...</v>
      </c>
      <c r="L10315" s="1" t="str">
        <f t="shared" si="2310"/>
        <v>...</v>
      </c>
      <c r="M10315" s="1" t="str">
        <f t="shared" si="2310"/>
        <v>...</v>
      </c>
      <c r="N10315" t="s">
        <v>30</v>
      </c>
    </row>
    <row r="10316" spans="1:14" x14ac:dyDescent="0.25">
      <c r="A10316" t="s">
        <v>43</v>
      </c>
      <c r="B10316" t="s">
        <v>40</v>
      </c>
      <c r="C10316" t="s">
        <v>37</v>
      </c>
      <c r="D10316" t="s">
        <v>34</v>
      </c>
      <c r="E10316" t="s">
        <v>22</v>
      </c>
      <c r="F10316" t="s">
        <v>20</v>
      </c>
      <c r="G10316" s="1" t="str">
        <f t="shared" ref="G10316:M10317" si="2311">"X"</f>
        <v>X</v>
      </c>
      <c r="H10316" s="1" t="str">
        <f t="shared" si="2311"/>
        <v>X</v>
      </c>
      <c r="I10316" s="1" t="str">
        <f t="shared" si="2311"/>
        <v>X</v>
      </c>
      <c r="J10316" s="1" t="str">
        <f t="shared" si="2311"/>
        <v>X</v>
      </c>
      <c r="K10316" s="1" t="str">
        <f t="shared" si="2311"/>
        <v>X</v>
      </c>
      <c r="L10316" s="1" t="str">
        <f t="shared" si="2311"/>
        <v>X</v>
      </c>
      <c r="M10316" s="1" t="str">
        <f t="shared" si="2311"/>
        <v>X</v>
      </c>
      <c r="N10316" t="s">
        <v>27</v>
      </c>
    </row>
    <row r="10317" spans="1:14" x14ac:dyDescent="0.25">
      <c r="A10317" t="s">
        <v>43</v>
      </c>
      <c r="B10317" t="s">
        <v>40</v>
      </c>
      <c r="C10317" t="s">
        <v>37</v>
      </c>
      <c r="D10317" t="s">
        <v>34</v>
      </c>
      <c r="E10317" t="s">
        <v>23</v>
      </c>
      <c r="F10317" t="s">
        <v>15</v>
      </c>
      <c r="G10317" s="1" t="str">
        <f t="shared" si="2311"/>
        <v>X</v>
      </c>
      <c r="H10317" s="1" t="str">
        <f t="shared" si="2311"/>
        <v>X</v>
      </c>
      <c r="I10317" s="1" t="str">
        <f t="shared" si="2311"/>
        <v>X</v>
      </c>
      <c r="J10317" s="1" t="str">
        <f t="shared" si="2311"/>
        <v>X</v>
      </c>
      <c r="K10317" s="1" t="str">
        <f t="shared" si="2311"/>
        <v>X</v>
      </c>
      <c r="L10317" s="1" t="str">
        <f t="shared" si="2311"/>
        <v>X</v>
      </c>
      <c r="M10317" s="1" t="str">
        <f t="shared" si="2311"/>
        <v>X</v>
      </c>
      <c r="N10317" t="s">
        <v>27</v>
      </c>
    </row>
    <row r="10318" spans="1:14" x14ac:dyDescent="0.25">
      <c r="A10318" t="s">
        <v>43</v>
      </c>
      <c r="B10318" t="s">
        <v>40</v>
      </c>
      <c r="C10318" t="s">
        <v>37</v>
      </c>
      <c r="D10318" t="s">
        <v>34</v>
      </c>
      <c r="E10318" t="s">
        <v>23</v>
      </c>
      <c r="F10318" t="s">
        <v>17</v>
      </c>
      <c r="G10318" s="1" t="str">
        <f t="shared" ref="G10318:M10320" si="2312">"..."</f>
        <v>...</v>
      </c>
      <c r="H10318" s="1" t="str">
        <f t="shared" si="2312"/>
        <v>...</v>
      </c>
      <c r="I10318" s="1" t="str">
        <f t="shared" si="2312"/>
        <v>...</v>
      </c>
      <c r="J10318" s="1" t="str">
        <f t="shared" si="2312"/>
        <v>...</v>
      </c>
      <c r="K10318" s="1" t="str">
        <f t="shared" si="2312"/>
        <v>...</v>
      </c>
      <c r="L10318" s="1" t="str">
        <f t="shared" si="2312"/>
        <v>...</v>
      </c>
      <c r="M10318" s="1" t="str">
        <f t="shared" si="2312"/>
        <v>...</v>
      </c>
      <c r="N10318" t="s">
        <v>30</v>
      </c>
    </row>
    <row r="10319" spans="1:14" x14ac:dyDescent="0.25">
      <c r="A10319" t="s">
        <v>43</v>
      </c>
      <c r="B10319" t="s">
        <v>40</v>
      </c>
      <c r="C10319" t="s">
        <v>37</v>
      </c>
      <c r="D10319" t="s">
        <v>34</v>
      </c>
      <c r="E10319" t="s">
        <v>23</v>
      </c>
      <c r="F10319" t="s">
        <v>18</v>
      </c>
      <c r="G10319" s="1" t="str">
        <f t="shared" si="2312"/>
        <v>...</v>
      </c>
      <c r="H10319" s="1" t="str">
        <f t="shared" si="2312"/>
        <v>...</v>
      </c>
      <c r="I10319" s="1" t="str">
        <f t="shared" si="2312"/>
        <v>...</v>
      </c>
      <c r="J10319" s="1" t="str">
        <f t="shared" si="2312"/>
        <v>...</v>
      </c>
      <c r="K10319" s="1" t="str">
        <f t="shared" si="2312"/>
        <v>...</v>
      </c>
      <c r="L10319" s="1" t="str">
        <f t="shared" si="2312"/>
        <v>...</v>
      </c>
      <c r="M10319" s="1" t="str">
        <f t="shared" si="2312"/>
        <v>...</v>
      </c>
      <c r="N10319" t="s">
        <v>30</v>
      </c>
    </row>
    <row r="10320" spans="1:14" x14ac:dyDescent="0.25">
      <c r="A10320" t="s">
        <v>43</v>
      </c>
      <c r="B10320" t="s">
        <v>40</v>
      </c>
      <c r="C10320" t="s">
        <v>37</v>
      </c>
      <c r="D10320" t="s">
        <v>34</v>
      </c>
      <c r="E10320" t="s">
        <v>23</v>
      </c>
      <c r="F10320" t="s">
        <v>19</v>
      </c>
      <c r="G10320" s="1" t="str">
        <f t="shared" si="2312"/>
        <v>...</v>
      </c>
      <c r="H10320" s="1" t="str">
        <f t="shared" si="2312"/>
        <v>...</v>
      </c>
      <c r="I10320" s="1" t="str">
        <f t="shared" si="2312"/>
        <v>...</v>
      </c>
      <c r="J10320" s="1" t="str">
        <f t="shared" si="2312"/>
        <v>...</v>
      </c>
      <c r="K10320" s="1" t="str">
        <f t="shared" si="2312"/>
        <v>...</v>
      </c>
      <c r="L10320" s="1" t="str">
        <f t="shared" si="2312"/>
        <v>...</v>
      </c>
      <c r="M10320" s="1" t="str">
        <f t="shared" si="2312"/>
        <v>...</v>
      </c>
      <c r="N10320" t="s">
        <v>30</v>
      </c>
    </row>
    <row r="10321" spans="1:14" x14ac:dyDescent="0.25">
      <c r="A10321" t="s">
        <v>43</v>
      </c>
      <c r="B10321" t="s">
        <v>40</v>
      </c>
      <c r="C10321" t="s">
        <v>37</v>
      </c>
      <c r="D10321" t="s">
        <v>34</v>
      </c>
      <c r="E10321" t="s">
        <v>23</v>
      </c>
      <c r="F10321" t="s">
        <v>20</v>
      </c>
      <c r="G10321" s="1" t="str">
        <f t="shared" ref="G10321:M10322" si="2313">"X"</f>
        <v>X</v>
      </c>
      <c r="H10321" s="1" t="str">
        <f t="shared" si="2313"/>
        <v>X</v>
      </c>
      <c r="I10321" s="1" t="str">
        <f t="shared" si="2313"/>
        <v>X</v>
      </c>
      <c r="J10321" s="1" t="str">
        <f t="shared" si="2313"/>
        <v>X</v>
      </c>
      <c r="K10321" s="1" t="str">
        <f t="shared" si="2313"/>
        <v>X</v>
      </c>
      <c r="L10321" s="1" t="str">
        <f t="shared" si="2313"/>
        <v>X</v>
      </c>
      <c r="M10321" s="1" t="str">
        <f t="shared" si="2313"/>
        <v>X</v>
      </c>
      <c r="N10321" t="s">
        <v>27</v>
      </c>
    </row>
    <row r="10322" spans="1:14" x14ac:dyDescent="0.25">
      <c r="A10322" t="s">
        <v>43</v>
      </c>
      <c r="B10322" t="s">
        <v>40</v>
      </c>
      <c r="C10322" t="s">
        <v>37</v>
      </c>
      <c r="D10322" t="s">
        <v>34</v>
      </c>
      <c r="E10322" t="s">
        <v>26</v>
      </c>
      <c r="F10322" t="s">
        <v>15</v>
      </c>
      <c r="G10322" s="1" t="str">
        <f t="shared" si="2313"/>
        <v>X</v>
      </c>
      <c r="H10322" s="1" t="str">
        <f t="shared" si="2313"/>
        <v>X</v>
      </c>
      <c r="I10322" s="1" t="str">
        <f t="shared" si="2313"/>
        <v>X</v>
      </c>
      <c r="J10322" s="1" t="str">
        <f t="shared" si="2313"/>
        <v>X</v>
      </c>
      <c r="K10322" s="1" t="str">
        <f t="shared" si="2313"/>
        <v>X</v>
      </c>
      <c r="L10322" s="1" t="str">
        <f t="shared" si="2313"/>
        <v>X</v>
      </c>
      <c r="M10322" s="1" t="str">
        <f t="shared" si="2313"/>
        <v>X</v>
      </c>
      <c r="N10322" t="s">
        <v>27</v>
      </c>
    </row>
    <row r="10323" spans="1:14" x14ac:dyDescent="0.25">
      <c r="A10323" t="s">
        <v>43</v>
      </c>
      <c r="B10323" t="s">
        <v>40</v>
      </c>
      <c r="C10323" t="s">
        <v>37</v>
      </c>
      <c r="D10323" t="s">
        <v>34</v>
      </c>
      <c r="E10323" t="s">
        <v>26</v>
      </c>
      <c r="F10323" t="s">
        <v>17</v>
      </c>
      <c r="G10323" s="1" t="str">
        <f t="shared" ref="G10323:M10325" si="2314">"..."</f>
        <v>...</v>
      </c>
      <c r="H10323" s="1" t="str">
        <f t="shared" si="2314"/>
        <v>...</v>
      </c>
      <c r="I10323" s="1" t="str">
        <f t="shared" si="2314"/>
        <v>...</v>
      </c>
      <c r="J10323" s="1" t="str">
        <f t="shared" si="2314"/>
        <v>...</v>
      </c>
      <c r="K10323" s="1" t="str">
        <f t="shared" si="2314"/>
        <v>...</v>
      </c>
      <c r="L10323" s="1" t="str">
        <f t="shared" si="2314"/>
        <v>...</v>
      </c>
      <c r="M10323" s="1" t="str">
        <f t="shared" si="2314"/>
        <v>...</v>
      </c>
      <c r="N10323" t="s">
        <v>30</v>
      </c>
    </row>
    <row r="10324" spans="1:14" x14ac:dyDescent="0.25">
      <c r="A10324" t="s">
        <v>43</v>
      </c>
      <c r="B10324" t="s">
        <v>40</v>
      </c>
      <c r="C10324" t="s">
        <v>37</v>
      </c>
      <c r="D10324" t="s">
        <v>34</v>
      </c>
      <c r="E10324" t="s">
        <v>26</v>
      </c>
      <c r="F10324" t="s">
        <v>18</v>
      </c>
      <c r="G10324" s="1" t="str">
        <f t="shared" si="2314"/>
        <v>...</v>
      </c>
      <c r="H10324" s="1" t="str">
        <f t="shared" si="2314"/>
        <v>...</v>
      </c>
      <c r="I10324" s="1" t="str">
        <f t="shared" si="2314"/>
        <v>...</v>
      </c>
      <c r="J10324" s="1" t="str">
        <f t="shared" si="2314"/>
        <v>...</v>
      </c>
      <c r="K10324" s="1" t="str">
        <f t="shared" si="2314"/>
        <v>...</v>
      </c>
      <c r="L10324" s="1" t="str">
        <f t="shared" si="2314"/>
        <v>...</v>
      </c>
      <c r="M10324" s="1" t="str">
        <f t="shared" si="2314"/>
        <v>...</v>
      </c>
      <c r="N10324" t="s">
        <v>30</v>
      </c>
    </row>
    <row r="10325" spans="1:14" x14ac:dyDescent="0.25">
      <c r="A10325" t="s">
        <v>43</v>
      </c>
      <c r="B10325" t="s">
        <v>40</v>
      </c>
      <c r="C10325" t="s">
        <v>37</v>
      </c>
      <c r="D10325" t="s">
        <v>34</v>
      </c>
      <c r="E10325" t="s">
        <v>26</v>
      </c>
      <c r="F10325" t="s">
        <v>19</v>
      </c>
      <c r="G10325" s="1" t="str">
        <f t="shared" si="2314"/>
        <v>...</v>
      </c>
      <c r="H10325" s="1" t="str">
        <f t="shared" si="2314"/>
        <v>...</v>
      </c>
      <c r="I10325" s="1" t="str">
        <f t="shared" si="2314"/>
        <v>...</v>
      </c>
      <c r="J10325" s="1" t="str">
        <f t="shared" si="2314"/>
        <v>...</v>
      </c>
      <c r="K10325" s="1" t="str">
        <f t="shared" si="2314"/>
        <v>...</v>
      </c>
      <c r="L10325" s="1" t="str">
        <f t="shared" si="2314"/>
        <v>...</v>
      </c>
      <c r="M10325" s="1" t="str">
        <f t="shared" si="2314"/>
        <v>...</v>
      </c>
      <c r="N10325" t="s">
        <v>30</v>
      </c>
    </row>
    <row r="10326" spans="1:14" x14ac:dyDescent="0.25">
      <c r="A10326" t="s">
        <v>43</v>
      </c>
      <c r="B10326" t="s">
        <v>40</v>
      </c>
      <c r="C10326" t="s">
        <v>37</v>
      </c>
      <c r="D10326" t="s">
        <v>34</v>
      </c>
      <c r="E10326" t="s">
        <v>26</v>
      </c>
      <c r="F10326" t="s">
        <v>20</v>
      </c>
      <c r="G10326" s="1" t="str">
        <f t="shared" ref="G10326:M10326" si="2315">"X"</f>
        <v>X</v>
      </c>
      <c r="H10326" s="1" t="str">
        <f t="shared" si="2315"/>
        <v>X</v>
      </c>
      <c r="I10326" s="1" t="str">
        <f t="shared" si="2315"/>
        <v>X</v>
      </c>
      <c r="J10326" s="1" t="str">
        <f t="shared" si="2315"/>
        <v>X</v>
      </c>
      <c r="K10326" s="1" t="str">
        <f t="shared" si="2315"/>
        <v>X</v>
      </c>
      <c r="L10326" s="1" t="str">
        <f t="shared" si="2315"/>
        <v>X</v>
      </c>
      <c r="M10326" s="1" t="str">
        <f t="shared" si="2315"/>
        <v>X</v>
      </c>
      <c r="N10326" t="s">
        <v>27</v>
      </c>
    </row>
    <row r="10327" spans="1:14" x14ac:dyDescent="0.25">
      <c r="A10327" t="s">
        <v>43</v>
      </c>
      <c r="B10327" t="s">
        <v>40</v>
      </c>
      <c r="C10327" t="s">
        <v>38</v>
      </c>
      <c r="D10327" t="s">
        <v>15</v>
      </c>
      <c r="E10327" t="s">
        <v>15</v>
      </c>
      <c r="F10327" t="s">
        <v>15</v>
      </c>
      <c r="G10327" s="1">
        <f>VALUE(12456.81)</f>
        <v>12456.81</v>
      </c>
      <c r="H10327" s="1">
        <f>VALUE(8132.07)</f>
        <v>8132.07</v>
      </c>
      <c r="I10327" s="1">
        <f>VALUE(3429)</f>
        <v>3429</v>
      </c>
      <c r="J10327" s="1">
        <f>VALUE(4134)</f>
        <v>4134</v>
      </c>
      <c r="K10327" s="1">
        <f>VALUE(5265)</f>
        <v>5265</v>
      </c>
      <c r="L10327" s="1">
        <f>VALUE(6567)</f>
        <v>6567</v>
      </c>
      <c r="M10327" s="1">
        <f>VALUE(8240)</f>
        <v>8240</v>
      </c>
      <c r="N10327" t="s">
        <v>16</v>
      </c>
    </row>
    <row r="10328" spans="1:14" x14ac:dyDescent="0.25">
      <c r="A10328" t="s">
        <v>43</v>
      </c>
      <c r="B10328" t="s">
        <v>40</v>
      </c>
      <c r="C10328" t="s">
        <v>38</v>
      </c>
      <c r="D10328" t="s">
        <v>15</v>
      </c>
      <c r="E10328" t="s">
        <v>15</v>
      </c>
      <c r="F10328" t="s">
        <v>17</v>
      </c>
      <c r="G10328" s="2">
        <f>VALUE(1404.23)</f>
        <v>1404.23</v>
      </c>
      <c r="H10328" s="3">
        <f>VALUE(1154.89)</f>
        <v>1154.8900000000001</v>
      </c>
      <c r="I10328" s="4">
        <f>VALUE(5459)</f>
        <v>5459</v>
      </c>
      <c r="J10328" s="5">
        <f>VALUE(6125)</f>
        <v>6125</v>
      </c>
      <c r="K10328" s="6">
        <f>VALUE(7668)</f>
        <v>7668</v>
      </c>
      <c r="L10328" s="7">
        <f>VALUE(9323)</f>
        <v>9323</v>
      </c>
      <c r="M10328" s="8">
        <f>VALUE(11813)</f>
        <v>11813</v>
      </c>
      <c r="N10328" t="s">
        <v>24</v>
      </c>
    </row>
    <row r="10329" spans="1:14" x14ac:dyDescent="0.25">
      <c r="A10329" t="s">
        <v>43</v>
      </c>
      <c r="B10329" t="s">
        <v>40</v>
      </c>
      <c r="C10329" t="s">
        <v>38</v>
      </c>
      <c r="D10329" t="s">
        <v>15</v>
      </c>
      <c r="E10329" t="s">
        <v>15</v>
      </c>
      <c r="F10329" t="s">
        <v>18</v>
      </c>
      <c r="G10329" s="2">
        <f>VALUE(1208.13)</f>
        <v>1208.1300000000001</v>
      </c>
      <c r="H10329" s="3">
        <f>VALUE(820.36)</f>
        <v>820.36</v>
      </c>
      <c r="I10329" s="4">
        <f>VALUE(3733)</f>
        <v>3733</v>
      </c>
      <c r="J10329" s="1">
        <f>VALUE(5091)</f>
        <v>5091</v>
      </c>
      <c r="K10329" s="1">
        <f>VALUE(6320)</f>
        <v>6320</v>
      </c>
      <c r="L10329" s="1">
        <f>VALUE(7298)</f>
        <v>7298</v>
      </c>
      <c r="M10329" s="8">
        <f>VALUE(8770)</f>
        <v>8770</v>
      </c>
      <c r="N10329" t="s">
        <v>25</v>
      </c>
    </row>
    <row r="10330" spans="1:14" x14ac:dyDescent="0.25">
      <c r="A10330" t="s">
        <v>43</v>
      </c>
      <c r="B10330" t="s">
        <v>40</v>
      </c>
      <c r="C10330" t="s">
        <v>38</v>
      </c>
      <c r="D10330" t="s">
        <v>15</v>
      </c>
      <c r="E10330" t="s">
        <v>15</v>
      </c>
      <c r="F10330" t="s">
        <v>19</v>
      </c>
      <c r="G10330" s="2">
        <f>VALUE(1187.69)</f>
        <v>1187.69</v>
      </c>
      <c r="H10330" s="3">
        <f>VALUE(997.47)</f>
        <v>997.47</v>
      </c>
      <c r="I10330" s="1">
        <f>VALUE(4211)</f>
        <v>4211</v>
      </c>
      <c r="J10330" s="1">
        <f>VALUE(4658)</f>
        <v>4658</v>
      </c>
      <c r="K10330" s="1">
        <f>VALUE(5449)</f>
        <v>5449</v>
      </c>
      <c r="L10330" s="1">
        <f>VALUE(6491)</f>
        <v>6491</v>
      </c>
      <c r="M10330" s="1">
        <f>VALUE(7840)</f>
        <v>7840</v>
      </c>
      <c r="N10330" t="s">
        <v>25</v>
      </c>
    </row>
    <row r="10331" spans="1:14" x14ac:dyDescent="0.25">
      <c r="A10331" t="s">
        <v>43</v>
      </c>
      <c r="B10331" t="s">
        <v>40</v>
      </c>
      <c r="C10331" t="s">
        <v>38</v>
      </c>
      <c r="D10331" t="s">
        <v>15</v>
      </c>
      <c r="E10331" t="s">
        <v>15</v>
      </c>
      <c r="F10331" t="s">
        <v>20</v>
      </c>
      <c r="G10331" s="2">
        <f>VALUE(8656.76)</f>
        <v>8656.76</v>
      </c>
      <c r="H10331" s="1">
        <f>VALUE(5159.35)</f>
        <v>5159.3500000000004</v>
      </c>
      <c r="I10331" s="1">
        <f>VALUE(3200)</f>
        <v>3200</v>
      </c>
      <c r="J10331" s="1">
        <f>VALUE(3753)</f>
        <v>3753</v>
      </c>
      <c r="K10331" s="1">
        <f>VALUE(4712)</f>
        <v>4712</v>
      </c>
      <c r="L10331" s="1">
        <f>VALUE(5713)</f>
        <v>5713</v>
      </c>
      <c r="M10331" s="1">
        <f>VALUE(7017)</f>
        <v>7017</v>
      </c>
      <c r="N10331" t="s">
        <v>25</v>
      </c>
    </row>
    <row r="10332" spans="1:14" x14ac:dyDescent="0.25">
      <c r="A10332" t="s">
        <v>43</v>
      </c>
      <c r="B10332" t="s">
        <v>40</v>
      </c>
      <c r="C10332" t="s">
        <v>38</v>
      </c>
      <c r="D10332" t="s">
        <v>15</v>
      </c>
      <c r="E10332" t="s">
        <v>21</v>
      </c>
      <c r="F10332" t="s">
        <v>15</v>
      </c>
      <c r="G10332" s="2">
        <f>VALUE(1810.56)</f>
        <v>1810.56</v>
      </c>
      <c r="H10332" s="3">
        <f>VALUE(1204.9)</f>
        <v>1204.9000000000001</v>
      </c>
      <c r="I10332" s="1">
        <f>VALUE(4854)</f>
        <v>4854</v>
      </c>
      <c r="J10332" s="5">
        <f>VALUE(5587)</f>
        <v>5587</v>
      </c>
      <c r="K10332" s="1">
        <f>VALUE(7352)</f>
        <v>7352</v>
      </c>
      <c r="L10332" s="1">
        <f>VALUE(8732)</f>
        <v>8732</v>
      </c>
      <c r="M10332" s="1">
        <f>VALUE(11094)</f>
        <v>11094</v>
      </c>
      <c r="N10332" t="s">
        <v>25</v>
      </c>
    </row>
    <row r="10333" spans="1:14" x14ac:dyDescent="0.25">
      <c r="A10333" t="s">
        <v>43</v>
      </c>
      <c r="B10333" t="s">
        <v>40</v>
      </c>
      <c r="C10333" t="s">
        <v>38</v>
      </c>
      <c r="D10333" t="s">
        <v>15</v>
      </c>
      <c r="E10333" t="s">
        <v>21</v>
      </c>
      <c r="F10333" t="s">
        <v>17</v>
      </c>
      <c r="G10333" s="2">
        <f>VALUE(511.86)</f>
        <v>511.86</v>
      </c>
      <c r="H10333" s="3">
        <f>VALUE(378.59)</f>
        <v>378.59</v>
      </c>
      <c r="I10333" s="4">
        <f>VALUE(6484)</f>
        <v>6484</v>
      </c>
      <c r="J10333" s="5">
        <f>VALUE(8192)</f>
        <v>8192</v>
      </c>
      <c r="K10333" s="6">
        <f>VALUE(8975)</f>
        <v>8975</v>
      </c>
      <c r="L10333" s="7">
        <f>VALUE(11195)</f>
        <v>11195</v>
      </c>
      <c r="M10333" s="8">
        <f>VALUE(13778)</f>
        <v>13778</v>
      </c>
      <c r="N10333" t="s">
        <v>24</v>
      </c>
    </row>
    <row r="10334" spans="1:14" x14ac:dyDescent="0.25">
      <c r="A10334" t="s">
        <v>43</v>
      </c>
      <c r="B10334" t="s">
        <v>40</v>
      </c>
      <c r="C10334" t="s">
        <v>38</v>
      </c>
      <c r="D10334" t="s">
        <v>15</v>
      </c>
      <c r="E10334" t="s">
        <v>21</v>
      </c>
      <c r="F10334" t="s">
        <v>18</v>
      </c>
      <c r="G10334" s="2">
        <f>VALUE(351.6)</f>
        <v>351.6</v>
      </c>
      <c r="H10334" s="3">
        <f>VALUE(213.62)</f>
        <v>213.62</v>
      </c>
      <c r="I10334" s="1">
        <f>VALUE(5095)</f>
        <v>5095</v>
      </c>
      <c r="J10334" s="1">
        <f>VALUE(5882)</f>
        <v>5882</v>
      </c>
      <c r="K10334" s="1">
        <f>VALUE(7125)</f>
        <v>7125</v>
      </c>
      <c r="L10334" s="1">
        <f>VALUE(8125)</f>
        <v>8125</v>
      </c>
      <c r="M10334" s="1">
        <f>VALUE(10000)</f>
        <v>10000</v>
      </c>
      <c r="N10334" t="s">
        <v>25</v>
      </c>
    </row>
    <row r="10335" spans="1:14" x14ac:dyDescent="0.25">
      <c r="A10335" t="s">
        <v>43</v>
      </c>
      <c r="B10335" t="s">
        <v>40</v>
      </c>
      <c r="C10335" t="s">
        <v>38</v>
      </c>
      <c r="D10335" t="s">
        <v>15</v>
      </c>
      <c r="E10335" t="s">
        <v>21</v>
      </c>
      <c r="F10335" t="s">
        <v>19</v>
      </c>
      <c r="G10335" s="2">
        <f>VALUE(186.95)</f>
        <v>186.95</v>
      </c>
      <c r="H10335" s="3">
        <f>VALUE(161.49)</f>
        <v>161.49</v>
      </c>
      <c r="I10335" s="4">
        <f>VALUE(4361)</f>
        <v>4361</v>
      </c>
      <c r="J10335" s="1">
        <f>VALUE(6178)</f>
        <v>6178</v>
      </c>
      <c r="K10335" s="1">
        <f>VALUE(7247)</f>
        <v>7247</v>
      </c>
      <c r="L10335" s="1">
        <f>VALUE(8000)</f>
        <v>8000</v>
      </c>
      <c r="M10335" s="1">
        <f>VALUE(8732)</f>
        <v>8732</v>
      </c>
      <c r="N10335" t="s">
        <v>25</v>
      </c>
    </row>
    <row r="10336" spans="1:14" x14ac:dyDescent="0.25">
      <c r="A10336" t="s">
        <v>43</v>
      </c>
      <c r="B10336" t="s">
        <v>40</v>
      </c>
      <c r="C10336" t="s">
        <v>38</v>
      </c>
      <c r="D10336" t="s">
        <v>15</v>
      </c>
      <c r="E10336" t="s">
        <v>21</v>
      </c>
      <c r="F10336" t="s">
        <v>20</v>
      </c>
      <c r="G10336" s="2">
        <f>VALUE(760.15)</f>
        <v>760.15</v>
      </c>
      <c r="H10336" s="3">
        <f>VALUE(451.2)</f>
        <v>451.2</v>
      </c>
      <c r="I10336" s="1">
        <f>VALUE(4242)</f>
        <v>4242</v>
      </c>
      <c r="J10336" s="1">
        <f>VALUE(5063)</f>
        <v>5063</v>
      </c>
      <c r="K10336" s="6">
        <f>VALUE(5750)</f>
        <v>5750</v>
      </c>
      <c r="L10336" s="1">
        <f>VALUE(7584)</f>
        <v>7584</v>
      </c>
      <c r="M10336" s="1">
        <f>VALUE(8667)</f>
        <v>8667</v>
      </c>
      <c r="N10336" t="s">
        <v>25</v>
      </c>
    </row>
    <row r="10337" spans="1:14" x14ac:dyDescent="0.25">
      <c r="A10337" t="s">
        <v>43</v>
      </c>
      <c r="B10337" t="s">
        <v>40</v>
      </c>
      <c r="C10337" t="s">
        <v>38</v>
      </c>
      <c r="D10337" t="s">
        <v>15</v>
      </c>
      <c r="E10337" t="s">
        <v>22</v>
      </c>
      <c r="F10337" t="s">
        <v>15</v>
      </c>
      <c r="G10337" s="2">
        <f>VALUE(5944.92)</f>
        <v>5944.92</v>
      </c>
      <c r="H10337" s="3">
        <f>VALUE(4217.78)</f>
        <v>4217.78</v>
      </c>
      <c r="I10337" s="1">
        <f>VALUE(4177)</f>
        <v>4177</v>
      </c>
      <c r="J10337" s="1">
        <f>VALUE(4875)</f>
        <v>4875</v>
      </c>
      <c r="K10337" s="1">
        <f>VALUE(5708)</f>
        <v>5708</v>
      </c>
      <c r="L10337" s="1">
        <f>VALUE(6650)</f>
        <v>6650</v>
      </c>
      <c r="M10337" s="1">
        <f>VALUE(7913)</f>
        <v>7913</v>
      </c>
      <c r="N10337" t="s">
        <v>25</v>
      </c>
    </row>
    <row r="10338" spans="1:14" x14ac:dyDescent="0.25">
      <c r="A10338" t="s">
        <v>43</v>
      </c>
      <c r="B10338" t="s">
        <v>40</v>
      </c>
      <c r="C10338" t="s">
        <v>38</v>
      </c>
      <c r="D10338" t="s">
        <v>15</v>
      </c>
      <c r="E10338" t="s">
        <v>22</v>
      </c>
      <c r="F10338" t="s">
        <v>17</v>
      </c>
      <c r="G10338" s="2">
        <f>VALUE(785.67)</f>
        <v>785.67</v>
      </c>
      <c r="H10338" s="3">
        <f>VALUE(685.58)</f>
        <v>685.58</v>
      </c>
      <c r="I10338" s="4">
        <f>VALUE(5056)</f>
        <v>5056</v>
      </c>
      <c r="J10338" s="5">
        <f>VALUE(5922)</f>
        <v>5922</v>
      </c>
      <c r="K10338" s="6">
        <f>VALUE(6649)</f>
        <v>6649</v>
      </c>
      <c r="L10338" s="7">
        <f>VALUE(7801)</f>
        <v>7801</v>
      </c>
      <c r="M10338" s="8">
        <f>VALUE(10509)</f>
        <v>10509</v>
      </c>
      <c r="N10338" t="s">
        <v>24</v>
      </c>
    </row>
    <row r="10339" spans="1:14" x14ac:dyDescent="0.25">
      <c r="A10339" t="s">
        <v>43</v>
      </c>
      <c r="B10339" t="s">
        <v>40</v>
      </c>
      <c r="C10339" t="s">
        <v>38</v>
      </c>
      <c r="D10339" t="s">
        <v>15</v>
      </c>
      <c r="E10339" t="s">
        <v>22</v>
      </c>
      <c r="F10339" t="s">
        <v>18</v>
      </c>
      <c r="G10339" s="2">
        <f>VALUE(661.98)</f>
        <v>661.98</v>
      </c>
      <c r="H10339" s="3">
        <f>VALUE(458.73)</f>
        <v>458.73</v>
      </c>
      <c r="I10339" s="4">
        <f>VALUE(4208)</f>
        <v>4208</v>
      </c>
      <c r="J10339" s="1">
        <f>VALUE(5178)</f>
        <v>5178</v>
      </c>
      <c r="K10339" s="1">
        <f>VALUE(6327)</f>
        <v>6327</v>
      </c>
      <c r="L10339" s="1">
        <f>VALUE(7184)</f>
        <v>7184</v>
      </c>
      <c r="M10339" s="1">
        <f>VALUE(8450)</f>
        <v>8450</v>
      </c>
      <c r="N10339" t="s">
        <v>25</v>
      </c>
    </row>
    <row r="10340" spans="1:14" x14ac:dyDescent="0.25">
      <c r="A10340" t="s">
        <v>43</v>
      </c>
      <c r="B10340" t="s">
        <v>40</v>
      </c>
      <c r="C10340" t="s">
        <v>38</v>
      </c>
      <c r="D10340" t="s">
        <v>15</v>
      </c>
      <c r="E10340" t="s">
        <v>22</v>
      </c>
      <c r="F10340" t="s">
        <v>19</v>
      </c>
      <c r="G10340" s="2">
        <f>VALUE(779.8)</f>
        <v>779.8</v>
      </c>
      <c r="H10340" s="3">
        <f>VALUE(653.8)</f>
        <v>653.79999999999995</v>
      </c>
      <c r="I10340" s="1">
        <f>VALUE(4315)</f>
        <v>4315</v>
      </c>
      <c r="J10340" s="1">
        <f>VALUE(4739)</f>
        <v>4739</v>
      </c>
      <c r="K10340" s="6">
        <f>VALUE(5390)</f>
        <v>5390</v>
      </c>
      <c r="L10340" s="1">
        <f>VALUE(6283)</f>
        <v>6283</v>
      </c>
      <c r="M10340" s="1">
        <f>VALUE(7510)</f>
        <v>7510</v>
      </c>
      <c r="N10340" t="s">
        <v>25</v>
      </c>
    </row>
    <row r="10341" spans="1:14" x14ac:dyDescent="0.25">
      <c r="A10341" t="s">
        <v>43</v>
      </c>
      <c r="B10341" t="s">
        <v>40</v>
      </c>
      <c r="C10341" t="s">
        <v>38</v>
      </c>
      <c r="D10341" t="s">
        <v>15</v>
      </c>
      <c r="E10341" t="s">
        <v>22</v>
      </c>
      <c r="F10341" t="s">
        <v>20</v>
      </c>
      <c r="G10341" s="2">
        <f>VALUE(3717.47)</f>
        <v>3717.47</v>
      </c>
      <c r="H10341" s="3">
        <f>VALUE(2419.67)</f>
        <v>2419.67</v>
      </c>
      <c r="I10341" s="1">
        <f>VALUE(3915)</f>
        <v>3915</v>
      </c>
      <c r="J10341" s="1">
        <f>VALUE(4742)</f>
        <v>4742</v>
      </c>
      <c r="K10341" s="1">
        <f>VALUE(5556)</f>
        <v>5556</v>
      </c>
      <c r="L10341" s="1">
        <f>VALUE(6317)</f>
        <v>6317</v>
      </c>
      <c r="M10341" s="1">
        <f>VALUE(7446)</f>
        <v>7446</v>
      </c>
      <c r="N10341" t="s">
        <v>25</v>
      </c>
    </row>
    <row r="10342" spans="1:14" x14ac:dyDescent="0.25">
      <c r="A10342" t="s">
        <v>43</v>
      </c>
      <c r="B10342" t="s">
        <v>40</v>
      </c>
      <c r="C10342" t="s">
        <v>38</v>
      </c>
      <c r="D10342" t="s">
        <v>15</v>
      </c>
      <c r="E10342" t="s">
        <v>23</v>
      </c>
      <c r="F10342" t="s">
        <v>15</v>
      </c>
      <c r="G10342" s="2">
        <f>VALUE(4543.74)</f>
        <v>4543.74</v>
      </c>
      <c r="H10342" s="3">
        <f>VALUE(2618.55)</f>
        <v>2618.5500000000002</v>
      </c>
      <c r="I10342" s="1">
        <f>VALUE(2925)</f>
        <v>2925</v>
      </c>
      <c r="J10342" s="1">
        <f>VALUE(3391)</f>
        <v>3391</v>
      </c>
      <c r="K10342" s="1">
        <f>VALUE(3938)</f>
        <v>3938</v>
      </c>
      <c r="L10342" s="1">
        <f>VALUE(4612)</f>
        <v>4612</v>
      </c>
      <c r="M10342" s="8">
        <f>VALUE(5440)</f>
        <v>5440</v>
      </c>
      <c r="N10342" t="s">
        <v>25</v>
      </c>
    </row>
    <row r="10343" spans="1:14" x14ac:dyDescent="0.25">
      <c r="A10343" t="s">
        <v>43</v>
      </c>
      <c r="B10343" t="s">
        <v>40</v>
      </c>
      <c r="C10343" t="s">
        <v>38</v>
      </c>
      <c r="D10343" t="s">
        <v>15</v>
      </c>
      <c r="E10343" t="s">
        <v>23</v>
      </c>
      <c r="F10343" t="s">
        <v>17</v>
      </c>
      <c r="G10343" s="1" t="str">
        <f t="shared" ref="G10343:M10344" si="2316">"X"</f>
        <v>X</v>
      </c>
      <c r="H10343" s="1" t="str">
        <f t="shared" si="2316"/>
        <v>X</v>
      </c>
      <c r="I10343" s="1" t="str">
        <f t="shared" si="2316"/>
        <v>X</v>
      </c>
      <c r="J10343" s="1" t="str">
        <f t="shared" si="2316"/>
        <v>X</v>
      </c>
      <c r="K10343" s="1" t="str">
        <f t="shared" si="2316"/>
        <v>X</v>
      </c>
      <c r="L10343" s="1" t="str">
        <f t="shared" si="2316"/>
        <v>X</v>
      </c>
      <c r="M10343" s="1" t="str">
        <f t="shared" si="2316"/>
        <v>X</v>
      </c>
      <c r="N10343" t="s">
        <v>27</v>
      </c>
    </row>
    <row r="10344" spans="1:14" x14ac:dyDescent="0.25">
      <c r="A10344" t="s">
        <v>43</v>
      </c>
      <c r="B10344" t="s">
        <v>40</v>
      </c>
      <c r="C10344" t="s">
        <v>38</v>
      </c>
      <c r="D10344" t="s">
        <v>15</v>
      </c>
      <c r="E10344" t="s">
        <v>23</v>
      </c>
      <c r="F10344" t="s">
        <v>18</v>
      </c>
      <c r="G10344" s="1" t="str">
        <f t="shared" si="2316"/>
        <v>X</v>
      </c>
      <c r="H10344" s="1" t="str">
        <f t="shared" si="2316"/>
        <v>X</v>
      </c>
      <c r="I10344" s="1" t="str">
        <f t="shared" si="2316"/>
        <v>X</v>
      </c>
      <c r="J10344" s="1" t="str">
        <f t="shared" si="2316"/>
        <v>X</v>
      </c>
      <c r="K10344" s="1" t="str">
        <f t="shared" si="2316"/>
        <v>X</v>
      </c>
      <c r="L10344" s="1" t="str">
        <f t="shared" si="2316"/>
        <v>X</v>
      </c>
      <c r="M10344" s="1" t="str">
        <f t="shared" si="2316"/>
        <v>X</v>
      </c>
      <c r="N10344" t="s">
        <v>27</v>
      </c>
    </row>
    <row r="10345" spans="1:14" x14ac:dyDescent="0.25">
      <c r="A10345" t="s">
        <v>43</v>
      </c>
      <c r="B10345" t="s">
        <v>40</v>
      </c>
      <c r="C10345" t="s">
        <v>38</v>
      </c>
      <c r="D10345" t="s">
        <v>15</v>
      </c>
      <c r="E10345" t="s">
        <v>23</v>
      </c>
      <c r="F10345" t="s">
        <v>19</v>
      </c>
      <c r="G10345" s="2">
        <f>VALUE(220.94)</f>
        <v>220.94</v>
      </c>
      <c r="H10345" s="3">
        <f>VALUE(182.18)</f>
        <v>182.18</v>
      </c>
      <c r="I10345" s="4">
        <f>VALUE(3268)</f>
        <v>3268</v>
      </c>
      <c r="J10345" s="1">
        <f>VALUE(4211)</f>
        <v>4211</v>
      </c>
      <c r="K10345" s="1">
        <f>VALUE(4703)</f>
        <v>4703</v>
      </c>
      <c r="L10345" s="1">
        <f>VALUE(5452)</f>
        <v>5452</v>
      </c>
      <c r="M10345" s="1">
        <f>VALUE(6414)</f>
        <v>6414</v>
      </c>
      <c r="N10345" t="s">
        <v>25</v>
      </c>
    </row>
    <row r="10346" spans="1:14" x14ac:dyDescent="0.25">
      <c r="A10346" t="s">
        <v>43</v>
      </c>
      <c r="B10346" t="s">
        <v>40</v>
      </c>
      <c r="C10346" t="s">
        <v>38</v>
      </c>
      <c r="D10346" t="s">
        <v>15</v>
      </c>
      <c r="E10346" t="s">
        <v>23</v>
      </c>
      <c r="F10346" t="s">
        <v>20</v>
      </c>
      <c r="G10346" s="2">
        <f>VALUE(4052.52)</f>
        <v>4052.52</v>
      </c>
      <c r="H10346" s="3">
        <f>VALUE(2224.18)</f>
        <v>2224.1799999999998</v>
      </c>
      <c r="I10346" s="1">
        <f>VALUE(2884)</f>
        <v>2884</v>
      </c>
      <c r="J10346" s="1">
        <f>VALUE(3314)</f>
        <v>3314</v>
      </c>
      <c r="K10346" s="1">
        <f>VALUE(3806)</f>
        <v>3806</v>
      </c>
      <c r="L10346" s="1">
        <f>VALUE(4392)</f>
        <v>4392</v>
      </c>
      <c r="M10346" s="1">
        <f>VALUE(5000)</f>
        <v>5000</v>
      </c>
      <c r="N10346" t="s">
        <v>25</v>
      </c>
    </row>
    <row r="10347" spans="1:14" x14ac:dyDescent="0.25">
      <c r="A10347" t="s">
        <v>43</v>
      </c>
      <c r="B10347" t="s">
        <v>40</v>
      </c>
      <c r="C10347" t="s">
        <v>38</v>
      </c>
      <c r="D10347" t="s">
        <v>15</v>
      </c>
      <c r="E10347" t="s">
        <v>26</v>
      </c>
      <c r="F10347" t="s">
        <v>15</v>
      </c>
      <c r="G10347" s="1" t="str">
        <f t="shared" ref="G10347:M10349" si="2317">"X"</f>
        <v>X</v>
      </c>
      <c r="H10347" s="1" t="str">
        <f t="shared" si="2317"/>
        <v>X</v>
      </c>
      <c r="I10347" s="1" t="str">
        <f t="shared" si="2317"/>
        <v>X</v>
      </c>
      <c r="J10347" s="1" t="str">
        <f t="shared" si="2317"/>
        <v>X</v>
      </c>
      <c r="K10347" s="1" t="str">
        <f t="shared" si="2317"/>
        <v>X</v>
      </c>
      <c r="L10347" s="1" t="str">
        <f t="shared" si="2317"/>
        <v>X</v>
      </c>
      <c r="M10347" s="1" t="str">
        <f t="shared" si="2317"/>
        <v>X</v>
      </c>
      <c r="N10347" t="s">
        <v>27</v>
      </c>
    </row>
    <row r="10348" spans="1:14" x14ac:dyDescent="0.25">
      <c r="A10348" t="s">
        <v>43</v>
      </c>
      <c r="B10348" t="s">
        <v>40</v>
      </c>
      <c r="C10348" t="s">
        <v>38</v>
      </c>
      <c r="D10348" t="s">
        <v>15</v>
      </c>
      <c r="E10348" t="s">
        <v>26</v>
      </c>
      <c r="F10348" t="s">
        <v>17</v>
      </c>
      <c r="G10348" s="1" t="str">
        <f t="shared" si="2317"/>
        <v>X</v>
      </c>
      <c r="H10348" s="1" t="str">
        <f t="shared" si="2317"/>
        <v>X</v>
      </c>
      <c r="I10348" s="1" t="str">
        <f t="shared" si="2317"/>
        <v>X</v>
      </c>
      <c r="J10348" s="1" t="str">
        <f t="shared" si="2317"/>
        <v>X</v>
      </c>
      <c r="K10348" s="1" t="str">
        <f t="shared" si="2317"/>
        <v>X</v>
      </c>
      <c r="L10348" s="1" t="str">
        <f t="shared" si="2317"/>
        <v>X</v>
      </c>
      <c r="M10348" s="1" t="str">
        <f t="shared" si="2317"/>
        <v>X</v>
      </c>
      <c r="N10348" t="s">
        <v>27</v>
      </c>
    </row>
    <row r="10349" spans="1:14" x14ac:dyDescent="0.25">
      <c r="A10349" t="s">
        <v>43</v>
      </c>
      <c r="B10349" t="s">
        <v>40</v>
      </c>
      <c r="C10349" t="s">
        <v>38</v>
      </c>
      <c r="D10349" t="s">
        <v>15</v>
      </c>
      <c r="E10349" t="s">
        <v>26</v>
      </c>
      <c r="F10349" t="s">
        <v>18</v>
      </c>
      <c r="G10349" s="1" t="str">
        <f t="shared" si="2317"/>
        <v>X</v>
      </c>
      <c r="H10349" s="1" t="str">
        <f t="shared" si="2317"/>
        <v>X</v>
      </c>
      <c r="I10349" s="1" t="str">
        <f t="shared" si="2317"/>
        <v>X</v>
      </c>
      <c r="J10349" s="1" t="str">
        <f t="shared" si="2317"/>
        <v>X</v>
      </c>
      <c r="K10349" s="1" t="str">
        <f t="shared" si="2317"/>
        <v>X</v>
      </c>
      <c r="L10349" s="1" t="str">
        <f t="shared" si="2317"/>
        <v>X</v>
      </c>
      <c r="M10349" s="1" t="str">
        <f t="shared" si="2317"/>
        <v>X</v>
      </c>
      <c r="N10349" t="s">
        <v>27</v>
      </c>
    </row>
    <row r="10350" spans="1:14" x14ac:dyDescent="0.25">
      <c r="A10350" t="s">
        <v>43</v>
      </c>
      <c r="B10350" t="s">
        <v>40</v>
      </c>
      <c r="C10350" t="s">
        <v>38</v>
      </c>
      <c r="D10350" t="s">
        <v>15</v>
      </c>
      <c r="E10350" t="s">
        <v>26</v>
      </c>
      <c r="F10350" t="s">
        <v>19</v>
      </c>
      <c r="G10350" s="1" t="str">
        <f t="shared" ref="G10350:M10350" si="2318">"..."</f>
        <v>...</v>
      </c>
      <c r="H10350" s="1" t="str">
        <f t="shared" si="2318"/>
        <v>...</v>
      </c>
      <c r="I10350" s="1" t="str">
        <f t="shared" si="2318"/>
        <v>...</v>
      </c>
      <c r="J10350" s="1" t="str">
        <f t="shared" si="2318"/>
        <v>...</v>
      </c>
      <c r="K10350" s="1" t="str">
        <f t="shared" si="2318"/>
        <v>...</v>
      </c>
      <c r="L10350" s="1" t="str">
        <f t="shared" si="2318"/>
        <v>...</v>
      </c>
      <c r="M10350" s="1" t="str">
        <f t="shared" si="2318"/>
        <v>...</v>
      </c>
      <c r="N10350" t="s">
        <v>30</v>
      </c>
    </row>
    <row r="10351" spans="1:14" x14ac:dyDescent="0.25">
      <c r="A10351" t="s">
        <v>43</v>
      </c>
      <c r="B10351" t="s">
        <v>40</v>
      </c>
      <c r="C10351" t="s">
        <v>38</v>
      </c>
      <c r="D10351" t="s">
        <v>15</v>
      </c>
      <c r="E10351" t="s">
        <v>26</v>
      </c>
      <c r="F10351" t="s">
        <v>20</v>
      </c>
      <c r="G10351" s="1" t="str">
        <f t="shared" ref="G10351:M10351" si="2319">"X"</f>
        <v>X</v>
      </c>
      <c r="H10351" s="1" t="str">
        <f t="shared" si="2319"/>
        <v>X</v>
      </c>
      <c r="I10351" s="1" t="str">
        <f t="shared" si="2319"/>
        <v>X</v>
      </c>
      <c r="J10351" s="1" t="str">
        <f t="shared" si="2319"/>
        <v>X</v>
      </c>
      <c r="K10351" s="1" t="str">
        <f t="shared" si="2319"/>
        <v>X</v>
      </c>
      <c r="L10351" s="1" t="str">
        <f t="shared" si="2319"/>
        <v>X</v>
      </c>
      <c r="M10351" s="1" t="str">
        <f t="shared" si="2319"/>
        <v>X</v>
      </c>
      <c r="N10351" t="s">
        <v>27</v>
      </c>
    </row>
    <row r="10352" spans="1:14" x14ac:dyDescent="0.25">
      <c r="A10352" t="s">
        <v>43</v>
      </c>
      <c r="B10352" t="s">
        <v>40</v>
      </c>
      <c r="C10352" t="s">
        <v>38</v>
      </c>
      <c r="D10352" t="s">
        <v>28</v>
      </c>
      <c r="E10352" t="s">
        <v>15</v>
      </c>
      <c r="F10352" t="s">
        <v>15</v>
      </c>
      <c r="G10352" s="1">
        <f>VALUE(7406.29)</f>
        <v>7406.29</v>
      </c>
      <c r="H10352" s="1">
        <f>VALUE(4816.92)</f>
        <v>4816.92</v>
      </c>
      <c r="I10352" s="1">
        <f>VALUE(3935)</f>
        <v>3935</v>
      </c>
      <c r="J10352" s="1">
        <f>VALUE(4742)</f>
        <v>4742</v>
      </c>
      <c r="K10352" s="1">
        <f>VALUE(5708)</f>
        <v>5708</v>
      </c>
      <c r="L10352" s="1">
        <f>VALUE(7100)</f>
        <v>7100</v>
      </c>
      <c r="M10352" s="1">
        <f>VALUE(8666)</f>
        <v>8666</v>
      </c>
      <c r="N10352" t="s">
        <v>16</v>
      </c>
    </row>
    <row r="10353" spans="1:14" x14ac:dyDescent="0.25">
      <c r="A10353" t="s">
        <v>43</v>
      </c>
      <c r="B10353" t="s">
        <v>40</v>
      </c>
      <c r="C10353" t="s">
        <v>38</v>
      </c>
      <c r="D10353" t="s">
        <v>28</v>
      </c>
      <c r="E10353" t="s">
        <v>15</v>
      </c>
      <c r="F10353" t="s">
        <v>17</v>
      </c>
      <c r="G10353" s="2">
        <f>VALUE(1098.26)</f>
        <v>1098.26</v>
      </c>
      <c r="H10353" s="3">
        <f>VALUE(875.33)</f>
        <v>875.33</v>
      </c>
      <c r="I10353" s="1">
        <f>VALUE(5204)</f>
        <v>5204</v>
      </c>
      <c r="J10353" s="5">
        <f>VALUE(6078)</f>
        <v>6078</v>
      </c>
      <c r="K10353" s="6">
        <f>VALUE(7801)</f>
        <v>7801</v>
      </c>
      <c r="L10353" s="7">
        <f>VALUE(9230)</f>
        <v>9230</v>
      </c>
      <c r="M10353" s="1">
        <f>VALUE(11736)</f>
        <v>11736</v>
      </c>
      <c r="N10353" t="s">
        <v>25</v>
      </c>
    </row>
    <row r="10354" spans="1:14" x14ac:dyDescent="0.25">
      <c r="A10354" t="s">
        <v>43</v>
      </c>
      <c r="B10354" t="s">
        <v>40</v>
      </c>
      <c r="C10354" t="s">
        <v>38</v>
      </c>
      <c r="D10354" t="s">
        <v>28</v>
      </c>
      <c r="E10354" t="s">
        <v>15</v>
      </c>
      <c r="F10354" t="s">
        <v>18</v>
      </c>
      <c r="G10354" s="2">
        <f>VALUE(927.07)</f>
        <v>927.07</v>
      </c>
      <c r="H10354" s="3">
        <f>VALUE(609.63)</f>
        <v>609.63</v>
      </c>
      <c r="I10354" s="1">
        <f>VALUE(3955)</f>
        <v>3955</v>
      </c>
      <c r="J10354" s="1">
        <f>VALUE(5178)</f>
        <v>5178</v>
      </c>
      <c r="K10354" s="1">
        <f>VALUE(6327)</f>
        <v>6327</v>
      </c>
      <c r="L10354" s="1">
        <f>VALUE(7222)</f>
        <v>7222</v>
      </c>
      <c r="M10354" s="1">
        <f>VALUE(8373)</f>
        <v>8373</v>
      </c>
      <c r="N10354" t="s">
        <v>25</v>
      </c>
    </row>
    <row r="10355" spans="1:14" x14ac:dyDescent="0.25">
      <c r="A10355" t="s">
        <v>43</v>
      </c>
      <c r="B10355" t="s">
        <v>40</v>
      </c>
      <c r="C10355" t="s">
        <v>38</v>
      </c>
      <c r="D10355" t="s">
        <v>28</v>
      </c>
      <c r="E10355" t="s">
        <v>15</v>
      </c>
      <c r="F10355" t="s">
        <v>19</v>
      </c>
      <c r="G10355" s="2">
        <f>VALUE(780.39)</f>
        <v>780.39</v>
      </c>
      <c r="H10355" s="3">
        <f>VALUE(641.1)</f>
        <v>641.1</v>
      </c>
      <c r="I10355" s="1">
        <f>VALUE(4310)</f>
        <v>4310</v>
      </c>
      <c r="J10355" s="1">
        <f>VALUE(4658)</f>
        <v>4658</v>
      </c>
      <c r="K10355" s="6">
        <f>VALUE(5200)</f>
        <v>5200</v>
      </c>
      <c r="L10355" s="1">
        <f>VALUE(6604)</f>
        <v>6604</v>
      </c>
      <c r="M10355" s="1">
        <f>VALUE(8000)</f>
        <v>8000</v>
      </c>
      <c r="N10355" t="s">
        <v>25</v>
      </c>
    </row>
    <row r="10356" spans="1:14" x14ac:dyDescent="0.25">
      <c r="A10356" t="s">
        <v>43</v>
      </c>
      <c r="B10356" t="s">
        <v>40</v>
      </c>
      <c r="C10356" t="s">
        <v>38</v>
      </c>
      <c r="D10356" t="s">
        <v>28</v>
      </c>
      <c r="E10356" t="s">
        <v>15</v>
      </c>
      <c r="F10356" t="s">
        <v>20</v>
      </c>
      <c r="G10356" s="2">
        <f>VALUE(4600.57)</f>
        <v>4600.57</v>
      </c>
      <c r="H10356" s="3">
        <f>VALUE(2690.86)</f>
        <v>2690.86</v>
      </c>
      <c r="I10356" s="1">
        <f>VALUE(3615)</f>
        <v>3615</v>
      </c>
      <c r="J10356" s="1">
        <f>VALUE(4334)</f>
        <v>4334</v>
      </c>
      <c r="K10356" s="1">
        <f>VALUE(5353)</f>
        <v>5353</v>
      </c>
      <c r="L10356" s="1">
        <f>VALUE(6129)</f>
        <v>6129</v>
      </c>
      <c r="M10356" s="1">
        <f>VALUE(7366)</f>
        <v>7366</v>
      </c>
      <c r="N10356" t="s">
        <v>25</v>
      </c>
    </row>
    <row r="10357" spans="1:14" x14ac:dyDescent="0.25">
      <c r="A10357" t="s">
        <v>43</v>
      </c>
      <c r="B10357" t="s">
        <v>40</v>
      </c>
      <c r="C10357" t="s">
        <v>38</v>
      </c>
      <c r="D10357" t="s">
        <v>28</v>
      </c>
      <c r="E10357" t="s">
        <v>21</v>
      </c>
      <c r="F10357" t="s">
        <v>15</v>
      </c>
      <c r="G10357" s="2">
        <f>VALUE(1336.85)</f>
        <v>1336.85</v>
      </c>
      <c r="H10357" s="3">
        <f>VALUE(812.75)</f>
        <v>812.75</v>
      </c>
      <c r="I10357" s="4">
        <f>VALUE(4450)</f>
        <v>4450</v>
      </c>
      <c r="J10357" s="1">
        <f>VALUE(5864)</f>
        <v>5864</v>
      </c>
      <c r="K10357" s="1">
        <f>VALUE(7353)</f>
        <v>7353</v>
      </c>
      <c r="L10357" s="1">
        <f>VALUE(8667)</f>
        <v>8667</v>
      </c>
      <c r="M10357" s="1">
        <f>VALUE(11084)</f>
        <v>11084</v>
      </c>
      <c r="N10357" t="s">
        <v>25</v>
      </c>
    </row>
    <row r="10358" spans="1:14" x14ac:dyDescent="0.25">
      <c r="A10358" t="s">
        <v>43</v>
      </c>
      <c r="B10358" t="s">
        <v>40</v>
      </c>
      <c r="C10358" t="s">
        <v>38</v>
      </c>
      <c r="D10358" t="s">
        <v>28</v>
      </c>
      <c r="E10358" t="s">
        <v>21</v>
      </c>
      <c r="F10358" t="s">
        <v>17</v>
      </c>
      <c r="G10358" s="2">
        <f>VALUE(409.09)</f>
        <v>409.09</v>
      </c>
      <c r="H10358" s="3">
        <f>VALUE(291.94)</f>
        <v>291.94</v>
      </c>
      <c r="I10358" s="4">
        <f>VALUE(6484)</f>
        <v>6484</v>
      </c>
      <c r="J10358" s="5">
        <f>VALUE(8135)</f>
        <v>8135</v>
      </c>
      <c r="K10358" s="6">
        <f>VALUE(8667)</f>
        <v>8667</v>
      </c>
      <c r="L10358" s="7">
        <f>VALUE(10631)</f>
        <v>10631</v>
      </c>
      <c r="M10358" s="1">
        <f>VALUE(12443)</f>
        <v>12443</v>
      </c>
      <c r="N10358" t="s">
        <v>25</v>
      </c>
    </row>
    <row r="10359" spans="1:14" x14ac:dyDescent="0.25">
      <c r="A10359" t="s">
        <v>43</v>
      </c>
      <c r="B10359" t="s">
        <v>40</v>
      </c>
      <c r="C10359" t="s">
        <v>38</v>
      </c>
      <c r="D10359" t="s">
        <v>28</v>
      </c>
      <c r="E10359" t="s">
        <v>21</v>
      </c>
      <c r="F10359" t="s">
        <v>18</v>
      </c>
      <c r="G10359" s="1" t="str">
        <f t="shared" ref="G10359:M10360" si="2320">"X"</f>
        <v>X</v>
      </c>
      <c r="H10359" s="1" t="str">
        <f t="shared" si="2320"/>
        <v>X</v>
      </c>
      <c r="I10359" s="1" t="str">
        <f t="shared" si="2320"/>
        <v>X</v>
      </c>
      <c r="J10359" s="1" t="str">
        <f t="shared" si="2320"/>
        <v>X</v>
      </c>
      <c r="K10359" s="1" t="str">
        <f t="shared" si="2320"/>
        <v>X</v>
      </c>
      <c r="L10359" s="1" t="str">
        <f t="shared" si="2320"/>
        <v>X</v>
      </c>
      <c r="M10359" s="1" t="str">
        <f t="shared" si="2320"/>
        <v>X</v>
      </c>
      <c r="N10359" t="s">
        <v>27</v>
      </c>
    </row>
    <row r="10360" spans="1:14" x14ac:dyDescent="0.25">
      <c r="A10360" t="s">
        <v>43</v>
      </c>
      <c r="B10360" t="s">
        <v>40</v>
      </c>
      <c r="C10360" t="s">
        <v>38</v>
      </c>
      <c r="D10360" t="s">
        <v>28</v>
      </c>
      <c r="E10360" t="s">
        <v>21</v>
      </c>
      <c r="F10360" t="s">
        <v>19</v>
      </c>
      <c r="G10360" s="1" t="str">
        <f t="shared" si="2320"/>
        <v>X</v>
      </c>
      <c r="H10360" s="1" t="str">
        <f t="shared" si="2320"/>
        <v>X</v>
      </c>
      <c r="I10360" s="1" t="str">
        <f t="shared" si="2320"/>
        <v>X</v>
      </c>
      <c r="J10360" s="1" t="str">
        <f t="shared" si="2320"/>
        <v>X</v>
      </c>
      <c r="K10360" s="1" t="str">
        <f t="shared" si="2320"/>
        <v>X</v>
      </c>
      <c r="L10360" s="1" t="str">
        <f t="shared" si="2320"/>
        <v>X</v>
      </c>
      <c r="M10360" s="1" t="str">
        <f t="shared" si="2320"/>
        <v>X</v>
      </c>
      <c r="N10360" t="s">
        <v>27</v>
      </c>
    </row>
    <row r="10361" spans="1:14" x14ac:dyDescent="0.25">
      <c r="A10361" t="s">
        <v>43</v>
      </c>
      <c r="B10361" t="s">
        <v>40</v>
      </c>
      <c r="C10361" t="s">
        <v>38</v>
      </c>
      <c r="D10361" t="s">
        <v>28</v>
      </c>
      <c r="E10361" t="s">
        <v>21</v>
      </c>
      <c r="F10361" t="s">
        <v>20</v>
      </c>
      <c r="G10361" s="2">
        <f>VALUE(533.19)</f>
        <v>533.19000000000005</v>
      </c>
      <c r="H10361" s="3">
        <f>VALUE(264.41)</f>
        <v>264.41000000000003</v>
      </c>
      <c r="I10361" s="1">
        <f>VALUE(4242)</f>
        <v>4242</v>
      </c>
      <c r="J10361" s="1">
        <f>VALUE(4767)</f>
        <v>4767</v>
      </c>
      <c r="K10361" s="1">
        <f>VALUE(5932)</f>
        <v>5932</v>
      </c>
      <c r="L10361" s="1">
        <f>VALUE(7586)</f>
        <v>7586</v>
      </c>
      <c r="M10361" s="1">
        <f>VALUE(8667)</f>
        <v>8667</v>
      </c>
      <c r="N10361" t="s">
        <v>25</v>
      </c>
    </row>
    <row r="10362" spans="1:14" x14ac:dyDescent="0.25">
      <c r="A10362" t="s">
        <v>43</v>
      </c>
      <c r="B10362" t="s">
        <v>40</v>
      </c>
      <c r="C10362" t="s">
        <v>38</v>
      </c>
      <c r="D10362" t="s">
        <v>28</v>
      </c>
      <c r="E10362" t="s">
        <v>22</v>
      </c>
      <c r="F10362" t="s">
        <v>15</v>
      </c>
      <c r="G10362" s="2">
        <f>VALUE(4662.58)</f>
        <v>4662.58</v>
      </c>
      <c r="H10362" s="3">
        <f>VALUE(3151.77)</f>
        <v>3151.77</v>
      </c>
      <c r="I10362" s="1">
        <f>VALUE(4250)</f>
        <v>4250</v>
      </c>
      <c r="J10362" s="1">
        <f>VALUE(4875)</f>
        <v>4875</v>
      </c>
      <c r="K10362" s="1">
        <f>VALUE(5708)</f>
        <v>5708</v>
      </c>
      <c r="L10362" s="1">
        <f>VALUE(6782)</f>
        <v>6782</v>
      </c>
      <c r="M10362" s="1">
        <f>VALUE(7964)</f>
        <v>7964</v>
      </c>
      <c r="N10362" t="s">
        <v>25</v>
      </c>
    </row>
    <row r="10363" spans="1:14" x14ac:dyDescent="0.25">
      <c r="A10363" t="s">
        <v>43</v>
      </c>
      <c r="B10363" t="s">
        <v>40</v>
      </c>
      <c r="C10363" t="s">
        <v>38</v>
      </c>
      <c r="D10363" t="s">
        <v>28</v>
      </c>
      <c r="E10363" t="s">
        <v>22</v>
      </c>
      <c r="F10363" t="s">
        <v>17</v>
      </c>
      <c r="G10363" s="2">
        <f>VALUE(604.13)</f>
        <v>604.13</v>
      </c>
      <c r="H10363" s="3">
        <f>VALUE(507.71)</f>
        <v>507.71</v>
      </c>
      <c r="I10363" s="4">
        <f>VALUE(4762)</f>
        <v>4762</v>
      </c>
      <c r="J10363" s="5">
        <f>VALUE(5459)</f>
        <v>5459</v>
      </c>
      <c r="K10363" s="6">
        <f>VALUE(6949)</f>
        <v>6949</v>
      </c>
      <c r="L10363" s="7">
        <f>VALUE(7964)</f>
        <v>7964</v>
      </c>
      <c r="M10363" s="8">
        <f>VALUE(10509)</f>
        <v>10509</v>
      </c>
      <c r="N10363" t="s">
        <v>24</v>
      </c>
    </row>
    <row r="10364" spans="1:14" x14ac:dyDescent="0.25">
      <c r="A10364" t="s">
        <v>43</v>
      </c>
      <c r="B10364" t="s">
        <v>40</v>
      </c>
      <c r="C10364" t="s">
        <v>38</v>
      </c>
      <c r="D10364" t="s">
        <v>28</v>
      </c>
      <c r="E10364" t="s">
        <v>22</v>
      </c>
      <c r="F10364" t="s">
        <v>18</v>
      </c>
      <c r="G10364" s="2">
        <f>VALUE(545.03)</f>
        <v>545.03</v>
      </c>
      <c r="H10364" s="3">
        <f>VALUE(368.71)</f>
        <v>368.71</v>
      </c>
      <c r="I10364" s="4">
        <f>VALUE(4660)</f>
        <v>4660</v>
      </c>
      <c r="J10364" s="5">
        <f>VALUE(5332)</f>
        <v>5332</v>
      </c>
      <c r="K10364" s="1">
        <f>VALUE(6327)</f>
        <v>6327</v>
      </c>
      <c r="L10364" s="1">
        <f>VALUE(7147)</f>
        <v>7147</v>
      </c>
      <c r="M10364" s="1">
        <f>VALUE(8373)</f>
        <v>8373</v>
      </c>
      <c r="N10364" t="s">
        <v>25</v>
      </c>
    </row>
    <row r="10365" spans="1:14" x14ac:dyDescent="0.25">
      <c r="A10365" t="s">
        <v>43</v>
      </c>
      <c r="B10365" t="s">
        <v>40</v>
      </c>
      <c r="C10365" t="s">
        <v>38</v>
      </c>
      <c r="D10365" t="s">
        <v>28</v>
      </c>
      <c r="E10365" t="s">
        <v>22</v>
      </c>
      <c r="F10365" t="s">
        <v>19</v>
      </c>
      <c r="G10365" s="2">
        <f>VALUE(558.92)</f>
        <v>558.91999999999996</v>
      </c>
      <c r="H10365" s="3">
        <f>VALUE(456.97)</f>
        <v>456.97</v>
      </c>
      <c r="I10365" s="1">
        <f>VALUE(4331)</f>
        <v>4331</v>
      </c>
      <c r="J10365" s="1">
        <f>VALUE(4658)</f>
        <v>4658</v>
      </c>
      <c r="K10365" s="1">
        <f>VALUE(5200)</f>
        <v>5200</v>
      </c>
      <c r="L10365" s="1">
        <f>VALUE(6286)</f>
        <v>6286</v>
      </c>
      <c r="M10365" s="1">
        <f>VALUE(7840)</f>
        <v>7840</v>
      </c>
      <c r="N10365" t="s">
        <v>25</v>
      </c>
    </row>
    <row r="10366" spans="1:14" x14ac:dyDescent="0.25">
      <c r="A10366" t="s">
        <v>43</v>
      </c>
      <c r="B10366" t="s">
        <v>40</v>
      </c>
      <c r="C10366" t="s">
        <v>38</v>
      </c>
      <c r="D10366" t="s">
        <v>28</v>
      </c>
      <c r="E10366" t="s">
        <v>22</v>
      </c>
      <c r="F10366" t="s">
        <v>20</v>
      </c>
      <c r="G10366" s="2">
        <f>VALUE(2954.5)</f>
        <v>2954.5</v>
      </c>
      <c r="H10366" s="3">
        <f>VALUE(1818.38)</f>
        <v>1818.38</v>
      </c>
      <c r="I10366" s="1">
        <f>VALUE(4057)</f>
        <v>4057</v>
      </c>
      <c r="J10366" s="1">
        <f>VALUE(4785)</f>
        <v>4785</v>
      </c>
      <c r="K10366" s="1">
        <f>VALUE(5674)</f>
        <v>5674</v>
      </c>
      <c r="L10366" s="1">
        <f>VALUE(6396)</f>
        <v>6396</v>
      </c>
      <c r="M10366" s="1">
        <f>VALUE(7319)</f>
        <v>7319</v>
      </c>
      <c r="N10366" t="s">
        <v>25</v>
      </c>
    </row>
    <row r="10367" spans="1:14" x14ac:dyDescent="0.25">
      <c r="A10367" t="s">
        <v>43</v>
      </c>
      <c r="B10367" t="s">
        <v>40</v>
      </c>
      <c r="C10367" t="s">
        <v>38</v>
      </c>
      <c r="D10367" t="s">
        <v>28</v>
      </c>
      <c r="E10367" t="s">
        <v>23</v>
      </c>
      <c r="F10367" t="s">
        <v>15</v>
      </c>
      <c r="G10367" s="2">
        <f>VALUE(1341.18)</f>
        <v>1341.18</v>
      </c>
      <c r="H10367" s="3">
        <f>VALUE(805.22)</f>
        <v>805.22</v>
      </c>
      <c r="I10367" s="1">
        <f>VALUE(3314)</f>
        <v>3314</v>
      </c>
      <c r="J10367" s="1">
        <f>VALUE(3714)</f>
        <v>3714</v>
      </c>
      <c r="K10367" s="1">
        <f>VALUE(4394)</f>
        <v>4394</v>
      </c>
      <c r="L10367" s="1">
        <f>VALUE(5333)</f>
        <v>5333</v>
      </c>
      <c r="M10367" s="8">
        <f>VALUE(6857)</f>
        <v>6857</v>
      </c>
      <c r="N10367" t="s">
        <v>25</v>
      </c>
    </row>
    <row r="10368" spans="1:14" x14ac:dyDescent="0.25">
      <c r="A10368" t="s">
        <v>43</v>
      </c>
      <c r="B10368" t="s">
        <v>40</v>
      </c>
      <c r="C10368" t="s">
        <v>38</v>
      </c>
      <c r="D10368" t="s">
        <v>28</v>
      </c>
      <c r="E10368" t="s">
        <v>23</v>
      </c>
      <c r="F10368" t="s">
        <v>17</v>
      </c>
      <c r="G10368" s="1" t="str">
        <f t="shared" ref="G10368:M10370" si="2321">"X"</f>
        <v>X</v>
      </c>
      <c r="H10368" s="1" t="str">
        <f t="shared" si="2321"/>
        <v>X</v>
      </c>
      <c r="I10368" s="1" t="str">
        <f t="shared" si="2321"/>
        <v>X</v>
      </c>
      <c r="J10368" s="1" t="str">
        <f t="shared" si="2321"/>
        <v>X</v>
      </c>
      <c r="K10368" s="1" t="str">
        <f t="shared" si="2321"/>
        <v>X</v>
      </c>
      <c r="L10368" s="1" t="str">
        <f t="shared" si="2321"/>
        <v>X</v>
      </c>
      <c r="M10368" s="1" t="str">
        <f t="shared" si="2321"/>
        <v>X</v>
      </c>
      <c r="N10368" t="s">
        <v>27</v>
      </c>
    </row>
    <row r="10369" spans="1:14" x14ac:dyDescent="0.25">
      <c r="A10369" t="s">
        <v>43</v>
      </c>
      <c r="B10369" t="s">
        <v>40</v>
      </c>
      <c r="C10369" t="s">
        <v>38</v>
      </c>
      <c r="D10369" t="s">
        <v>28</v>
      </c>
      <c r="E10369" t="s">
        <v>23</v>
      </c>
      <c r="F10369" t="s">
        <v>18</v>
      </c>
      <c r="G10369" s="1" t="str">
        <f t="shared" si="2321"/>
        <v>X</v>
      </c>
      <c r="H10369" s="1" t="str">
        <f t="shared" si="2321"/>
        <v>X</v>
      </c>
      <c r="I10369" s="1" t="str">
        <f t="shared" si="2321"/>
        <v>X</v>
      </c>
      <c r="J10369" s="1" t="str">
        <f t="shared" si="2321"/>
        <v>X</v>
      </c>
      <c r="K10369" s="1" t="str">
        <f t="shared" si="2321"/>
        <v>X</v>
      </c>
      <c r="L10369" s="1" t="str">
        <f t="shared" si="2321"/>
        <v>X</v>
      </c>
      <c r="M10369" s="1" t="str">
        <f t="shared" si="2321"/>
        <v>X</v>
      </c>
      <c r="N10369" t="s">
        <v>27</v>
      </c>
    </row>
    <row r="10370" spans="1:14" x14ac:dyDescent="0.25">
      <c r="A10370" t="s">
        <v>43</v>
      </c>
      <c r="B10370" t="s">
        <v>40</v>
      </c>
      <c r="C10370" t="s">
        <v>38</v>
      </c>
      <c r="D10370" t="s">
        <v>28</v>
      </c>
      <c r="E10370" t="s">
        <v>23</v>
      </c>
      <c r="F10370" t="s">
        <v>19</v>
      </c>
      <c r="G10370" s="1" t="str">
        <f t="shared" si="2321"/>
        <v>X</v>
      </c>
      <c r="H10370" s="1" t="str">
        <f t="shared" si="2321"/>
        <v>X</v>
      </c>
      <c r="I10370" s="1" t="str">
        <f t="shared" si="2321"/>
        <v>X</v>
      </c>
      <c r="J10370" s="1" t="str">
        <f t="shared" si="2321"/>
        <v>X</v>
      </c>
      <c r="K10370" s="1" t="str">
        <f t="shared" si="2321"/>
        <v>X</v>
      </c>
      <c r="L10370" s="1" t="str">
        <f t="shared" si="2321"/>
        <v>X</v>
      </c>
      <c r="M10370" s="1" t="str">
        <f t="shared" si="2321"/>
        <v>X</v>
      </c>
      <c r="N10370" t="s">
        <v>27</v>
      </c>
    </row>
    <row r="10371" spans="1:14" x14ac:dyDescent="0.25">
      <c r="A10371" t="s">
        <v>43</v>
      </c>
      <c r="B10371" t="s">
        <v>40</v>
      </c>
      <c r="C10371" t="s">
        <v>38</v>
      </c>
      <c r="D10371" t="s">
        <v>28</v>
      </c>
      <c r="E10371" t="s">
        <v>23</v>
      </c>
      <c r="F10371" t="s">
        <v>20</v>
      </c>
      <c r="G10371" s="2">
        <f>VALUE(1068.08)</f>
        <v>1068.08</v>
      </c>
      <c r="H10371" s="3">
        <f>VALUE(578.45)</f>
        <v>578.45000000000005</v>
      </c>
      <c r="I10371" s="4">
        <f>VALUE(3200)</f>
        <v>3200</v>
      </c>
      <c r="J10371" s="1">
        <f>VALUE(3594)</f>
        <v>3594</v>
      </c>
      <c r="K10371" s="1">
        <f>VALUE(4251)</f>
        <v>4251</v>
      </c>
      <c r="L10371" s="1">
        <f>VALUE(4878)</f>
        <v>4878</v>
      </c>
      <c r="M10371" s="1">
        <f>VALUE(5675)</f>
        <v>5675</v>
      </c>
      <c r="N10371" t="s">
        <v>25</v>
      </c>
    </row>
    <row r="10372" spans="1:14" x14ac:dyDescent="0.25">
      <c r="A10372" t="s">
        <v>43</v>
      </c>
      <c r="B10372" t="s">
        <v>40</v>
      </c>
      <c r="C10372" t="s">
        <v>38</v>
      </c>
      <c r="D10372" t="s">
        <v>28</v>
      </c>
      <c r="E10372" t="s">
        <v>26</v>
      </c>
      <c r="F10372" t="s">
        <v>15</v>
      </c>
      <c r="G10372" s="1" t="str">
        <f t="shared" ref="G10372:M10374" si="2322">"X"</f>
        <v>X</v>
      </c>
      <c r="H10372" s="1" t="str">
        <f t="shared" si="2322"/>
        <v>X</v>
      </c>
      <c r="I10372" s="1" t="str">
        <f t="shared" si="2322"/>
        <v>X</v>
      </c>
      <c r="J10372" s="1" t="str">
        <f t="shared" si="2322"/>
        <v>X</v>
      </c>
      <c r="K10372" s="1" t="str">
        <f t="shared" si="2322"/>
        <v>X</v>
      </c>
      <c r="L10372" s="1" t="str">
        <f t="shared" si="2322"/>
        <v>X</v>
      </c>
      <c r="M10372" s="1" t="str">
        <f t="shared" si="2322"/>
        <v>X</v>
      </c>
      <c r="N10372" t="s">
        <v>27</v>
      </c>
    </row>
    <row r="10373" spans="1:14" x14ac:dyDescent="0.25">
      <c r="A10373" t="s">
        <v>43</v>
      </c>
      <c r="B10373" t="s">
        <v>40</v>
      </c>
      <c r="C10373" t="s">
        <v>38</v>
      </c>
      <c r="D10373" t="s">
        <v>28</v>
      </c>
      <c r="E10373" t="s">
        <v>26</v>
      </c>
      <c r="F10373" t="s">
        <v>17</v>
      </c>
      <c r="G10373" s="1" t="str">
        <f t="shared" si="2322"/>
        <v>X</v>
      </c>
      <c r="H10373" s="1" t="str">
        <f t="shared" si="2322"/>
        <v>X</v>
      </c>
      <c r="I10373" s="1" t="str">
        <f t="shared" si="2322"/>
        <v>X</v>
      </c>
      <c r="J10373" s="1" t="str">
        <f t="shared" si="2322"/>
        <v>X</v>
      </c>
      <c r="K10373" s="1" t="str">
        <f t="shared" si="2322"/>
        <v>X</v>
      </c>
      <c r="L10373" s="1" t="str">
        <f t="shared" si="2322"/>
        <v>X</v>
      </c>
      <c r="M10373" s="1" t="str">
        <f t="shared" si="2322"/>
        <v>X</v>
      </c>
      <c r="N10373" t="s">
        <v>27</v>
      </c>
    </row>
    <row r="10374" spans="1:14" x14ac:dyDescent="0.25">
      <c r="A10374" t="s">
        <v>43</v>
      </c>
      <c r="B10374" t="s">
        <v>40</v>
      </c>
      <c r="C10374" t="s">
        <v>38</v>
      </c>
      <c r="D10374" t="s">
        <v>28</v>
      </c>
      <c r="E10374" t="s">
        <v>26</v>
      </c>
      <c r="F10374" t="s">
        <v>18</v>
      </c>
      <c r="G10374" s="1" t="str">
        <f t="shared" si="2322"/>
        <v>X</v>
      </c>
      <c r="H10374" s="1" t="str">
        <f t="shared" si="2322"/>
        <v>X</v>
      </c>
      <c r="I10374" s="1" t="str">
        <f t="shared" si="2322"/>
        <v>X</v>
      </c>
      <c r="J10374" s="1" t="str">
        <f t="shared" si="2322"/>
        <v>X</v>
      </c>
      <c r="K10374" s="1" t="str">
        <f t="shared" si="2322"/>
        <v>X</v>
      </c>
      <c r="L10374" s="1" t="str">
        <f t="shared" si="2322"/>
        <v>X</v>
      </c>
      <c r="M10374" s="1" t="str">
        <f t="shared" si="2322"/>
        <v>X</v>
      </c>
      <c r="N10374" t="s">
        <v>27</v>
      </c>
    </row>
    <row r="10375" spans="1:14" x14ac:dyDescent="0.25">
      <c r="A10375" t="s">
        <v>43</v>
      </c>
      <c r="B10375" t="s">
        <v>40</v>
      </c>
      <c r="C10375" t="s">
        <v>38</v>
      </c>
      <c r="D10375" t="s">
        <v>28</v>
      </c>
      <c r="E10375" t="s">
        <v>26</v>
      </c>
      <c r="F10375" t="s">
        <v>19</v>
      </c>
      <c r="G10375" s="1" t="str">
        <f t="shared" ref="G10375:M10375" si="2323">"..."</f>
        <v>...</v>
      </c>
      <c r="H10375" s="1" t="str">
        <f t="shared" si="2323"/>
        <v>...</v>
      </c>
      <c r="I10375" s="1" t="str">
        <f t="shared" si="2323"/>
        <v>...</v>
      </c>
      <c r="J10375" s="1" t="str">
        <f t="shared" si="2323"/>
        <v>...</v>
      </c>
      <c r="K10375" s="1" t="str">
        <f t="shared" si="2323"/>
        <v>...</v>
      </c>
      <c r="L10375" s="1" t="str">
        <f t="shared" si="2323"/>
        <v>...</v>
      </c>
      <c r="M10375" s="1" t="str">
        <f t="shared" si="2323"/>
        <v>...</v>
      </c>
      <c r="N10375" t="s">
        <v>30</v>
      </c>
    </row>
    <row r="10376" spans="1:14" x14ac:dyDescent="0.25">
      <c r="A10376" t="s">
        <v>43</v>
      </c>
      <c r="B10376" t="s">
        <v>40</v>
      </c>
      <c r="C10376" t="s">
        <v>38</v>
      </c>
      <c r="D10376" t="s">
        <v>28</v>
      </c>
      <c r="E10376" t="s">
        <v>26</v>
      </c>
      <c r="F10376" t="s">
        <v>20</v>
      </c>
      <c r="G10376" s="1" t="str">
        <f t="shared" ref="G10376:M10376" si="2324">"X"</f>
        <v>X</v>
      </c>
      <c r="H10376" s="1" t="str">
        <f t="shared" si="2324"/>
        <v>X</v>
      </c>
      <c r="I10376" s="1" t="str">
        <f t="shared" si="2324"/>
        <v>X</v>
      </c>
      <c r="J10376" s="1" t="str">
        <f t="shared" si="2324"/>
        <v>X</v>
      </c>
      <c r="K10376" s="1" t="str">
        <f t="shared" si="2324"/>
        <v>X</v>
      </c>
      <c r="L10376" s="1" t="str">
        <f t="shared" si="2324"/>
        <v>X</v>
      </c>
      <c r="M10376" s="1" t="str">
        <f t="shared" si="2324"/>
        <v>X</v>
      </c>
      <c r="N10376" t="s">
        <v>27</v>
      </c>
    </row>
    <row r="10377" spans="1:14" x14ac:dyDescent="0.25">
      <c r="A10377" t="s">
        <v>43</v>
      </c>
      <c r="B10377" t="s">
        <v>40</v>
      </c>
      <c r="C10377" t="s">
        <v>38</v>
      </c>
      <c r="D10377" t="s">
        <v>29</v>
      </c>
      <c r="E10377" t="s">
        <v>15</v>
      </c>
      <c r="F10377" t="s">
        <v>15</v>
      </c>
      <c r="G10377" s="2">
        <f>VALUE(1941.02)</f>
        <v>1941.02</v>
      </c>
      <c r="H10377" s="3">
        <f>VALUE(1170.43)</f>
        <v>1170.43</v>
      </c>
      <c r="I10377" s="1">
        <f>VALUE(3467)</f>
        <v>3467</v>
      </c>
      <c r="J10377" s="5">
        <f>VALUE(3984)</f>
        <v>3984</v>
      </c>
      <c r="K10377" s="6">
        <f>VALUE(4531)</f>
        <v>4531</v>
      </c>
      <c r="L10377" s="7">
        <f>VALUE(5680)</f>
        <v>5680</v>
      </c>
      <c r="M10377" s="8">
        <f>VALUE(7751)</f>
        <v>7751</v>
      </c>
      <c r="N10377" t="s">
        <v>25</v>
      </c>
    </row>
    <row r="10378" spans="1:14" x14ac:dyDescent="0.25">
      <c r="A10378" t="s">
        <v>43</v>
      </c>
      <c r="B10378" t="s">
        <v>40</v>
      </c>
      <c r="C10378" t="s">
        <v>38</v>
      </c>
      <c r="D10378" t="s">
        <v>29</v>
      </c>
      <c r="E10378" t="s">
        <v>15</v>
      </c>
      <c r="F10378" t="s">
        <v>17</v>
      </c>
      <c r="G10378" s="1" t="str">
        <f t="shared" ref="G10378:M10380" si="2325">"X"</f>
        <v>X</v>
      </c>
      <c r="H10378" s="1" t="str">
        <f t="shared" si="2325"/>
        <v>X</v>
      </c>
      <c r="I10378" s="1" t="str">
        <f t="shared" si="2325"/>
        <v>X</v>
      </c>
      <c r="J10378" s="1" t="str">
        <f t="shared" si="2325"/>
        <v>X</v>
      </c>
      <c r="K10378" s="1" t="str">
        <f t="shared" si="2325"/>
        <v>X</v>
      </c>
      <c r="L10378" s="1" t="str">
        <f t="shared" si="2325"/>
        <v>X</v>
      </c>
      <c r="M10378" s="1" t="str">
        <f t="shared" si="2325"/>
        <v>X</v>
      </c>
      <c r="N10378" t="s">
        <v>27</v>
      </c>
    </row>
    <row r="10379" spans="1:14" x14ac:dyDescent="0.25">
      <c r="A10379" t="s">
        <v>43</v>
      </c>
      <c r="B10379" t="s">
        <v>40</v>
      </c>
      <c r="C10379" t="s">
        <v>38</v>
      </c>
      <c r="D10379" t="s">
        <v>29</v>
      </c>
      <c r="E10379" t="s">
        <v>15</v>
      </c>
      <c r="F10379" t="s">
        <v>18</v>
      </c>
      <c r="G10379" s="1" t="str">
        <f t="shared" si="2325"/>
        <v>X</v>
      </c>
      <c r="H10379" s="1" t="str">
        <f t="shared" si="2325"/>
        <v>X</v>
      </c>
      <c r="I10379" s="1" t="str">
        <f t="shared" si="2325"/>
        <v>X</v>
      </c>
      <c r="J10379" s="1" t="str">
        <f t="shared" si="2325"/>
        <v>X</v>
      </c>
      <c r="K10379" s="1" t="str">
        <f t="shared" si="2325"/>
        <v>X</v>
      </c>
      <c r="L10379" s="1" t="str">
        <f t="shared" si="2325"/>
        <v>X</v>
      </c>
      <c r="M10379" s="1" t="str">
        <f t="shared" si="2325"/>
        <v>X</v>
      </c>
      <c r="N10379" t="s">
        <v>27</v>
      </c>
    </row>
    <row r="10380" spans="1:14" x14ac:dyDescent="0.25">
      <c r="A10380" t="s">
        <v>43</v>
      </c>
      <c r="B10380" t="s">
        <v>40</v>
      </c>
      <c r="C10380" t="s">
        <v>38</v>
      </c>
      <c r="D10380" t="s">
        <v>29</v>
      </c>
      <c r="E10380" t="s">
        <v>15</v>
      </c>
      <c r="F10380" t="s">
        <v>19</v>
      </c>
      <c r="G10380" s="1" t="str">
        <f t="shared" si="2325"/>
        <v>X</v>
      </c>
      <c r="H10380" s="1" t="str">
        <f t="shared" si="2325"/>
        <v>X</v>
      </c>
      <c r="I10380" s="1" t="str">
        <f t="shared" si="2325"/>
        <v>X</v>
      </c>
      <c r="J10380" s="1" t="str">
        <f t="shared" si="2325"/>
        <v>X</v>
      </c>
      <c r="K10380" s="1" t="str">
        <f t="shared" si="2325"/>
        <v>X</v>
      </c>
      <c r="L10380" s="1" t="str">
        <f t="shared" si="2325"/>
        <v>X</v>
      </c>
      <c r="M10380" s="1" t="str">
        <f t="shared" si="2325"/>
        <v>X</v>
      </c>
      <c r="N10380" t="s">
        <v>27</v>
      </c>
    </row>
    <row r="10381" spans="1:14" x14ac:dyDescent="0.25">
      <c r="A10381" t="s">
        <v>43</v>
      </c>
      <c r="B10381" t="s">
        <v>40</v>
      </c>
      <c r="C10381" t="s">
        <v>38</v>
      </c>
      <c r="D10381" t="s">
        <v>29</v>
      </c>
      <c r="E10381" t="s">
        <v>15</v>
      </c>
      <c r="F10381" t="s">
        <v>20</v>
      </c>
      <c r="G10381" s="2">
        <f>VALUE(1539.87)</f>
        <v>1539.87</v>
      </c>
      <c r="H10381" s="3">
        <f>VALUE(839.4)</f>
        <v>839.4</v>
      </c>
      <c r="I10381" s="1">
        <f>VALUE(3302)</f>
        <v>3302</v>
      </c>
      <c r="J10381" s="1">
        <f>VALUE(3766)</f>
        <v>3766</v>
      </c>
      <c r="K10381" s="6">
        <f>VALUE(4103)</f>
        <v>4103</v>
      </c>
      <c r="L10381" s="1">
        <f>VALUE(5028)</f>
        <v>5028</v>
      </c>
      <c r="M10381" s="8">
        <f>VALUE(6121)</f>
        <v>6121</v>
      </c>
      <c r="N10381" t="s">
        <v>25</v>
      </c>
    </row>
    <row r="10382" spans="1:14" x14ac:dyDescent="0.25">
      <c r="A10382" t="s">
        <v>43</v>
      </c>
      <c r="B10382" t="s">
        <v>40</v>
      </c>
      <c r="C10382" t="s">
        <v>38</v>
      </c>
      <c r="D10382" t="s">
        <v>29</v>
      </c>
      <c r="E10382" t="s">
        <v>21</v>
      </c>
      <c r="F10382" t="s">
        <v>15</v>
      </c>
      <c r="G10382" s="1" t="str">
        <f t="shared" ref="G10382:M10386" si="2326">"X"</f>
        <v>X</v>
      </c>
      <c r="H10382" s="1" t="str">
        <f t="shared" si="2326"/>
        <v>X</v>
      </c>
      <c r="I10382" s="1" t="str">
        <f t="shared" si="2326"/>
        <v>X</v>
      </c>
      <c r="J10382" s="1" t="str">
        <f t="shared" si="2326"/>
        <v>X</v>
      </c>
      <c r="K10382" s="1" t="str">
        <f t="shared" si="2326"/>
        <v>X</v>
      </c>
      <c r="L10382" s="1" t="str">
        <f t="shared" si="2326"/>
        <v>X</v>
      </c>
      <c r="M10382" s="1" t="str">
        <f t="shared" si="2326"/>
        <v>X</v>
      </c>
      <c r="N10382" t="s">
        <v>27</v>
      </c>
    </row>
    <row r="10383" spans="1:14" x14ac:dyDescent="0.25">
      <c r="A10383" t="s">
        <v>43</v>
      </c>
      <c r="B10383" t="s">
        <v>40</v>
      </c>
      <c r="C10383" t="s">
        <v>38</v>
      </c>
      <c r="D10383" t="s">
        <v>29</v>
      </c>
      <c r="E10383" t="s">
        <v>21</v>
      </c>
      <c r="F10383" t="s">
        <v>17</v>
      </c>
      <c r="G10383" s="1" t="str">
        <f t="shared" si="2326"/>
        <v>X</v>
      </c>
      <c r="H10383" s="1" t="str">
        <f t="shared" si="2326"/>
        <v>X</v>
      </c>
      <c r="I10383" s="1" t="str">
        <f t="shared" si="2326"/>
        <v>X</v>
      </c>
      <c r="J10383" s="1" t="str">
        <f t="shared" si="2326"/>
        <v>X</v>
      </c>
      <c r="K10383" s="1" t="str">
        <f t="shared" si="2326"/>
        <v>X</v>
      </c>
      <c r="L10383" s="1" t="str">
        <f t="shared" si="2326"/>
        <v>X</v>
      </c>
      <c r="M10383" s="1" t="str">
        <f t="shared" si="2326"/>
        <v>X</v>
      </c>
      <c r="N10383" t="s">
        <v>27</v>
      </c>
    </row>
    <row r="10384" spans="1:14" x14ac:dyDescent="0.25">
      <c r="A10384" t="s">
        <v>43</v>
      </c>
      <c r="B10384" t="s">
        <v>40</v>
      </c>
      <c r="C10384" t="s">
        <v>38</v>
      </c>
      <c r="D10384" t="s">
        <v>29</v>
      </c>
      <c r="E10384" t="s">
        <v>21</v>
      </c>
      <c r="F10384" t="s">
        <v>18</v>
      </c>
      <c r="G10384" s="1" t="str">
        <f t="shared" si="2326"/>
        <v>X</v>
      </c>
      <c r="H10384" s="1" t="str">
        <f t="shared" si="2326"/>
        <v>X</v>
      </c>
      <c r="I10384" s="1" t="str">
        <f t="shared" si="2326"/>
        <v>X</v>
      </c>
      <c r="J10384" s="1" t="str">
        <f t="shared" si="2326"/>
        <v>X</v>
      </c>
      <c r="K10384" s="1" t="str">
        <f t="shared" si="2326"/>
        <v>X</v>
      </c>
      <c r="L10384" s="1" t="str">
        <f t="shared" si="2326"/>
        <v>X</v>
      </c>
      <c r="M10384" s="1" t="str">
        <f t="shared" si="2326"/>
        <v>X</v>
      </c>
      <c r="N10384" t="s">
        <v>27</v>
      </c>
    </row>
    <row r="10385" spans="1:14" x14ac:dyDescent="0.25">
      <c r="A10385" t="s">
        <v>43</v>
      </c>
      <c r="B10385" t="s">
        <v>40</v>
      </c>
      <c r="C10385" t="s">
        <v>38</v>
      </c>
      <c r="D10385" t="s">
        <v>29</v>
      </c>
      <c r="E10385" t="s">
        <v>21</v>
      </c>
      <c r="F10385" t="s">
        <v>19</v>
      </c>
      <c r="G10385" s="1" t="str">
        <f t="shared" si="2326"/>
        <v>X</v>
      </c>
      <c r="H10385" s="1" t="str">
        <f t="shared" si="2326"/>
        <v>X</v>
      </c>
      <c r="I10385" s="1" t="str">
        <f t="shared" si="2326"/>
        <v>X</v>
      </c>
      <c r="J10385" s="1" t="str">
        <f t="shared" si="2326"/>
        <v>X</v>
      </c>
      <c r="K10385" s="1" t="str">
        <f t="shared" si="2326"/>
        <v>X</v>
      </c>
      <c r="L10385" s="1" t="str">
        <f t="shared" si="2326"/>
        <v>X</v>
      </c>
      <c r="M10385" s="1" t="str">
        <f t="shared" si="2326"/>
        <v>X</v>
      </c>
      <c r="N10385" t="s">
        <v>27</v>
      </c>
    </row>
    <row r="10386" spans="1:14" x14ac:dyDescent="0.25">
      <c r="A10386" t="s">
        <v>43</v>
      </c>
      <c r="B10386" t="s">
        <v>40</v>
      </c>
      <c r="C10386" t="s">
        <v>38</v>
      </c>
      <c r="D10386" t="s">
        <v>29</v>
      </c>
      <c r="E10386" t="s">
        <v>21</v>
      </c>
      <c r="F10386" t="s">
        <v>20</v>
      </c>
      <c r="G10386" s="1" t="str">
        <f t="shared" si="2326"/>
        <v>X</v>
      </c>
      <c r="H10386" s="1" t="str">
        <f t="shared" si="2326"/>
        <v>X</v>
      </c>
      <c r="I10386" s="1" t="str">
        <f t="shared" si="2326"/>
        <v>X</v>
      </c>
      <c r="J10386" s="1" t="str">
        <f t="shared" si="2326"/>
        <v>X</v>
      </c>
      <c r="K10386" s="1" t="str">
        <f t="shared" si="2326"/>
        <v>X</v>
      </c>
      <c r="L10386" s="1" t="str">
        <f t="shared" si="2326"/>
        <v>X</v>
      </c>
      <c r="M10386" s="1" t="str">
        <f t="shared" si="2326"/>
        <v>X</v>
      </c>
      <c r="N10386" t="s">
        <v>27</v>
      </c>
    </row>
    <row r="10387" spans="1:14" x14ac:dyDescent="0.25">
      <c r="A10387" t="s">
        <v>43</v>
      </c>
      <c r="B10387" t="s">
        <v>40</v>
      </c>
      <c r="C10387" t="s">
        <v>38</v>
      </c>
      <c r="D10387" t="s">
        <v>29</v>
      </c>
      <c r="E10387" t="s">
        <v>22</v>
      </c>
      <c r="F10387" t="s">
        <v>15</v>
      </c>
      <c r="G10387" s="2">
        <f>VALUE(501.25)</f>
        <v>501.25</v>
      </c>
      <c r="H10387" s="3">
        <f>VALUE(397.94)</f>
        <v>397.94</v>
      </c>
      <c r="I10387" s="1">
        <f>VALUE(4000)</f>
        <v>4000</v>
      </c>
      <c r="J10387" s="1">
        <f>VALUE(5118)</f>
        <v>5118</v>
      </c>
      <c r="K10387" s="1">
        <f>VALUE(5623)</f>
        <v>5623</v>
      </c>
      <c r="L10387" s="1">
        <f>VALUE(6365)</f>
        <v>6365</v>
      </c>
      <c r="M10387" s="8">
        <f>VALUE(8354)</f>
        <v>8354</v>
      </c>
      <c r="N10387" t="s">
        <v>25</v>
      </c>
    </row>
    <row r="10388" spans="1:14" x14ac:dyDescent="0.25">
      <c r="A10388" t="s">
        <v>43</v>
      </c>
      <c r="B10388" t="s">
        <v>40</v>
      </c>
      <c r="C10388" t="s">
        <v>38</v>
      </c>
      <c r="D10388" t="s">
        <v>29</v>
      </c>
      <c r="E10388" t="s">
        <v>22</v>
      </c>
      <c r="F10388" t="s">
        <v>17</v>
      </c>
      <c r="G10388" s="1" t="str">
        <f t="shared" ref="G10388:M10390" si="2327">"X"</f>
        <v>X</v>
      </c>
      <c r="H10388" s="1" t="str">
        <f t="shared" si="2327"/>
        <v>X</v>
      </c>
      <c r="I10388" s="1" t="str">
        <f t="shared" si="2327"/>
        <v>X</v>
      </c>
      <c r="J10388" s="1" t="str">
        <f t="shared" si="2327"/>
        <v>X</v>
      </c>
      <c r="K10388" s="1" t="str">
        <f t="shared" si="2327"/>
        <v>X</v>
      </c>
      <c r="L10388" s="1" t="str">
        <f t="shared" si="2327"/>
        <v>X</v>
      </c>
      <c r="M10388" s="1" t="str">
        <f t="shared" si="2327"/>
        <v>X</v>
      </c>
      <c r="N10388" t="s">
        <v>27</v>
      </c>
    </row>
    <row r="10389" spans="1:14" x14ac:dyDescent="0.25">
      <c r="A10389" t="s">
        <v>43</v>
      </c>
      <c r="B10389" t="s">
        <v>40</v>
      </c>
      <c r="C10389" t="s">
        <v>38</v>
      </c>
      <c r="D10389" t="s">
        <v>29</v>
      </c>
      <c r="E10389" t="s">
        <v>22</v>
      </c>
      <c r="F10389" t="s">
        <v>18</v>
      </c>
      <c r="G10389" s="1" t="str">
        <f t="shared" si="2327"/>
        <v>X</v>
      </c>
      <c r="H10389" s="1" t="str">
        <f t="shared" si="2327"/>
        <v>X</v>
      </c>
      <c r="I10389" s="1" t="str">
        <f t="shared" si="2327"/>
        <v>X</v>
      </c>
      <c r="J10389" s="1" t="str">
        <f t="shared" si="2327"/>
        <v>X</v>
      </c>
      <c r="K10389" s="1" t="str">
        <f t="shared" si="2327"/>
        <v>X</v>
      </c>
      <c r="L10389" s="1" t="str">
        <f t="shared" si="2327"/>
        <v>X</v>
      </c>
      <c r="M10389" s="1" t="str">
        <f t="shared" si="2327"/>
        <v>X</v>
      </c>
      <c r="N10389" t="s">
        <v>27</v>
      </c>
    </row>
    <row r="10390" spans="1:14" x14ac:dyDescent="0.25">
      <c r="A10390" t="s">
        <v>43</v>
      </c>
      <c r="B10390" t="s">
        <v>40</v>
      </c>
      <c r="C10390" t="s">
        <v>38</v>
      </c>
      <c r="D10390" t="s">
        <v>29</v>
      </c>
      <c r="E10390" t="s">
        <v>22</v>
      </c>
      <c r="F10390" t="s">
        <v>19</v>
      </c>
      <c r="G10390" s="1" t="str">
        <f t="shared" si="2327"/>
        <v>X</v>
      </c>
      <c r="H10390" s="1" t="str">
        <f t="shared" si="2327"/>
        <v>X</v>
      </c>
      <c r="I10390" s="1" t="str">
        <f t="shared" si="2327"/>
        <v>X</v>
      </c>
      <c r="J10390" s="1" t="str">
        <f t="shared" si="2327"/>
        <v>X</v>
      </c>
      <c r="K10390" s="1" t="str">
        <f t="shared" si="2327"/>
        <v>X</v>
      </c>
      <c r="L10390" s="1" t="str">
        <f t="shared" si="2327"/>
        <v>X</v>
      </c>
      <c r="M10390" s="1" t="str">
        <f t="shared" si="2327"/>
        <v>X</v>
      </c>
      <c r="N10390" t="s">
        <v>27</v>
      </c>
    </row>
    <row r="10391" spans="1:14" x14ac:dyDescent="0.25">
      <c r="A10391" t="s">
        <v>43</v>
      </c>
      <c r="B10391" t="s">
        <v>40</v>
      </c>
      <c r="C10391" t="s">
        <v>38</v>
      </c>
      <c r="D10391" t="s">
        <v>29</v>
      </c>
      <c r="E10391" t="s">
        <v>22</v>
      </c>
      <c r="F10391" t="s">
        <v>20</v>
      </c>
      <c r="G10391" s="2">
        <f>VALUE(277.65)</f>
        <v>277.64999999999998</v>
      </c>
      <c r="H10391" s="3">
        <f>VALUE(206.99)</f>
        <v>206.99</v>
      </c>
      <c r="I10391" s="1">
        <f>VALUE(3765)</f>
        <v>3765</v>
      </c>
      <c r="J10391" s="5">
        <f>VALUE(4626)</f>
        <v>4626</v>
      </c>
      <c r="K10391" s="1">
        <f>VALUE(5276)</f>
        <v>5276</v>
      </c>
      <c r="L10391" s="7">
        <f>VALUE(6121)</f>
        <v>6121</v>
      </c>
      <c r="M10391" s="8">
        <f>VALUE(7969)</f>
        <v>7969</v>
      </c>
      <c r="N10391" t="s">
        <v>25</v>
      </c>
    </row>
    <row r="10392" spans="1:14" x14ac:dyDescent="0.25">
      <c r="A10392" t="s">
        <v>43</v>
      </c>
      <c r="B10392" t="s">
        <v>40</v>
      </c>
      <c r="C10392" t="s">
        <v>38</v>
      </c>
      <c r="D10392" t="s">
        <v>29</v>
      </c>
      <c r="E10392" t="s">
        <v>23</v>
      </c>
      <c r="F10392" t="s">
        <v>15</v>
      </c>
      <c r="G10392" s="2">
        <f>VALUE(1289.91)</f>
        <v>1289.9100000000001</v>
      </c>
      <c r="H10392" s="3">
        <f>VALUE(668.71)</f>
        <v>668.71</v>
      </c>
      <c r="I10392" s="4">
        <f>VALUE(3243)</f>
        <v>3243</v>
      </c>
      <c r="J10392" s="1">
        <f>VALUE(3647)</f>
        <v>3647</v>
      </c>
      <c r="K10392" s="1">
        <f>VALUE(3984)</f>
        <v>3984</v>
      </c>
      <c r="L10392" s="1">
        <f>VALUE(4473)</f>
        <v>4473</v>
      </c>
      <c r="M10392" s="1">
        <f>VALUE(5040)</f>
        <v>5040</v>
      </c>
      <c r="N10392" t="s">
        <v>25</v>
      </c>
    </row>
    <row r="10393" spans="1:14" x14ac:dyDescent="0.25">
      <c r="A10393" t="s">
        <v>43</v>
      </c>
      <c r="B10393" t="s">
        <v>40</v>
      </c>
      <c r="C10393" t="s">
        <v>38</v>
      </c>
      <c r="D10393" t="s">
        <v>29</v>
      </c>
      <c r="E10393" t="s">
        <v>23</v>
      </c>
      <c r="F10393" t="s">
        <v>17</v>
      </c>
      <c r="G10393" s="1" t="str">
        <f t="shared" ref="G10393:M10395" si="2328">"X"</f>
        <v>X</v>
      </c>
      <c r="H10393" s="1" t="str">
        <f t="shared" si="2328"/>
        <v>X</v>
      </c>
      <c r="I10393" s="1" t="str">
        <f t="shared" si="2328"/>
        <v>X</v>
      </c>
      <c r="J10393" s="1" t="str">
        <f t="shared" si="2328"/>
        <v>X</v>
      </c>
      <c r="K10393" s="1" t="str">
        <f t="shared" si="2328"/>
        <v>X</v>
      </c>
      <c r="L10393" s="1" t="str">
        <f t="shared" si="2328"/>
        <v>X</v>
      </c>
      <c r="M10393" s="1" t="str">
        <f t="shared" si="2328"/>
        <v>X</v>
      </c>
      <c r="N10393" t="s">
        <v>27</v>
      </c>
    </row>
    <row r="10394" spans="1:14" x14ac:dyDescent="0.25">
      <c r="A10394" t="s">
        <v>43</v>
      </c>
      <c r="B10394" t="s">
        <v>40</v>
      </c>
      <c r="C10394" t="s">
        <v>38</v>
      </c>
      <c r="D10394" t="s">
        <v>29</v>
      </c>
      <c r="E10394" t="s">
        <v>23</v>
      </c>
      <c r="F10394" t="s">
        <v>18</v>
      </c>
      <c r="G10394" s="1" t="str">
        <f t="shared" si="2328"/>
        <v>X</v>
      </c>
      <c r="H10394" s="1" t="str">
        <f t="shared" si="2328"/>
        <v>X</v>
      </c>
      <c r="I10394" s="1" t="str">
        <f t="shared" si="2328"/>
        <v>X</v>
      </c>
      <c r="J10394" s="1" t="str">
        <f t="shared" si="2328"/>
        <v>X</v>
      </c>
      <c r="K10394" s="1" t="str">
        <f t="shared" si="2328"/>
        <v>X</v>
      </c>
      <c r="L10394" s="1" t="str">
        <f t="shared" si="2328"/>
        <v>X</v>
      </c>
      <c r="M10394" s="1" t="str">
        <f t="shared" si="2328"/>
        <v>X</v>
      </c>
      <c r="N10394" t="s">
        <v>27</v>
      </c>
    </row>
    <row r="10395" spans="1:14" x14ac:dyDescent="0.25">
      <c r="A10395" t="s">
        <v>43</v>
      </c>
      <c r="B10395" t="s">
        <v>40</v>
      </c>
      <c r="C10395" t="s">
        <v>38</v>
      </c>
      <c r="D10395" t="s">
        <v>29</v>
      </c>
      <c r="E10395" t="s">
        <v>23</v>
      </c>
      <c r="F10395" t="s">
        <v>19</v>
      </c>
      <c r="G10395" s="1" t="str">
        <f t="shared" si="2328"/>
        <v>X</v>
      </c>
      <c r="H10395" s="1" t="str">
        <f t="shared" si="2328"/>
        <v>X</v>
      </c>
      <c r="I10395" s="1" t="str">
        <f t="shared" si="2328"/>
        <v>X</v>
      </c>
      <c r="J10395" s="1" t="str">
        <f t="shared" si="2328"/>
        <v>X</v>
      </c>
      <c r="K10395" s="1" t="str">
        <f t="shared" si="2328"/>
        <v>X</v>
      </c>
      <c r="L10395" s="1" t="str">
        <f t="shared" si="2328"/>
        <v>X</v>
      </c>
      <c r="M10395" s="1" t="str">
        <f t="shared" si="2328"/>
        <v>X</v>
      </c>
      <c r="N10395" t="s">
        <v>27</v>
      </c>
    </row>
    <row r="10396" spans="1:14" x14ac:dyDescent="0.25">
      <c r="A10396" t="s">
        <v>43</v>
      </c>
      <c r="B10396" t="s">
        <v>40</v>
      </c>
      <c r="C10396" t="s">
        <v>38</v>
      </c>
      <c r="D10396" t="s">
        <v>29</v>
      </c>
      <c r="E10396" t="s">
        <v>23</v>
      </c>
      <c r="F10396" t="s">
        <v>20</v>
      </c>
      <c r="G10396" s="2">
        <f>VALUE(1181.29)</f>
        <v>1181.29</v>
      </c>
      <c r="H10396" s="3">
        <f>VALUE(592.69)</f>
        <v>592.69000000000005</v>
      </c>
      <c r="I10396" s="1">
        <f>VALUE(3198)</f>
        <v>3198</v>
      </c>
      <c r="J10396" s="1">
        <f>VALUE(3560)</f>
        <v>3560</v>
      </c>
      <c r="K10396" s="1">
        <f>VALUE(3984)</f>
        <v>3984</v>
      </c>
      <c r="L10396" s="1">
        <f>VALUE(4367)</f>
        <v>4367</v>
      </c>
      <c r="M10396" s="1">
        <f>VALUE(4870)</f>
        <v>4870</v>
      </c>
      <c r="N10396" t="s">
        <v>25</v>
      </c>
    </row>
    <row r="10397" spans="1:14" x14ac:dyDescent="0.25">
      <c r="A10397" t="s">
        <v>43</v>
      </c>
      <c r="B10397" t="s">
        <v>40</v>
      </c>
      <c r="C10397" t="s">
        <v>38</v>
      </c>
      <c r="D10397" t="s">
        <v>29</v>
      </c>
      <c r="E10397" t="s">
        <v>26</v>
      </c>
      <c r="F10397" t="s">
        <v>15</v>
      </c>
      <c r="G10397" s="1" t="str">
        <f t="shared" ref="G10397:M10397" si="2329">"X"</f>
        <v>X</v>
      </c>
      <c r="H10397" s="1" t="str">
        <f t="shared" si="2329"/>
        <v>X</v>
      </c>
      <c r="I10397" s="1" t="str">
        <f t="shared" si="2329"/>
        <v>X</v>
      </c>
      <c r="J10397" s="1" t="str">
        <f t="shared" si="2329"/>
        <v>X</v>
      </c>
      <c r="K10397" s="1" t="str">
        <f t="shared" si="2329"/>
        <v>X</v>
      </c>
      <c r="L10397" s="1" t="str">
        <f t="shared" si="2329"/>
        <v>X</v>
      </c>
      <c r="M10397" s="1" t="str">
        <f t="shared" si="2329"/>
        <v>X</v>
      </c>
      <c r="N10397" t="s">
        <v>27</v>
      </c>
    </row>
    <row r="10398" spans="1:14" x14ac:dyDescent="0.25">
      <c r="A10398" t="s">
        <v>43</v>
      </c>
      <c r="B10398" t="s">
        <v>40</v>
      </c>
      <c r="C10398" t="s">
        <v>38</v>
      </c>
      <c r="D10398" t="s">
        <v>29</v>
      </c>
      <c r="E10398" t="s">
        <v>26</v>
      </c>
      <c r="F10398" t="s">
        <v>17</v>
      </c>
      <c r="G10398" s="1" t="str">
        <f t="shared" ref="G10398:M10398" si="2330">"..."</f>
        <v>...</v>
      </c>
      <c r="H10398" s="1" t="str">
        <f t="shared" si="2330"/>
        <v>...</v>
      </c>
      <c r="I10398" s="1" t="str">
        <f t="shared" si="2330"/>
        <v>...</v>
      </c>
      <c r="J10398" s="1" t="str">
        <f t="shared" si="2330"/>
        <v>...</v>
      </c>
      <c r="K10398" s="1" t="str">
        <f t="shared" si="2330"/>
        <v>...</v>
      </c>
      <c r="L10398" s="1" t="str">
        <f t="shared" si="2330"/>
        <v>...</v>
      </c>
      <c r="M10398" s="1" t="str">
        <f t="shared" si="2330"/>
        <v>...</v>
      </c>
      <c r="N10398" t="s">
        <v>30</v>
      </c>
    </row>
    <row r="10399" spans="1:14" x14ac:dyDescent="0.25">
      <c r="A10399" t="s">
        <v>43</v>
      </c>
      <c r="B10399" t="s">
        <v>40</v>
      </c>
      <c r="C10399" t="s">
        <v>38</v>
      </c>
      <c r="D10399" t="s">
        <v>29</v>
      </c>
      <c r="E10399" t="s">
        <v>26</v>
      </c>
      <c r="F10399" t="s">
        <v>18</v>
      </c>
      <c r="G10399" s="1" t="str">
        <f t="shared" ref="G10399:M10399" si="2331">"X"</f>
        <v>X</v>
      </c>
      <c r="H10399" s="1" t="str">
        <f t="shared" si="2331"/>
        <v>X</v>
      </c>
      <c r="I10399" s="1" t="str">
        <f t="shared" si="2331"/>
        <v>X</v>
      </c>
      <c r="J10399" s="1" t="str">
        <f t="shared" si="2331"/>
        <v>X</v>
      </c>
      <c r="K10399" s="1" t="str">
        <f t="shared" si="2331"/>
        <v>X</v>
      </c>
      <c r="L10399" s="1" t="str">
        <f t="shared" si="2331"/>
        <v>X</v>
      </c>
      <c r="M10399" s="1" t="str">
        <f t="shared" si="2331"/>
        <v>X</v>
      </c>
      <c r="N10399" t="s">
        <v>27</v>
      </c>
    </row>
    <row r="10400" spans="1:14" x14ac:dyDescent="0.25">
      <c r="A10400" t="s">
        <v>43</v>
      </c>
      <c r="B10400" t="s">
        <v>40</v>
      </c>
      <c r="C10400" t="s">
        <v>38</v>
      </c>
      <c r="D10400" t="s">
        <v>29</v>
      </c>
      <c r="E10400" t="s">
        <v>26</v>
      </c>
      <c r="F10400" t="s">
        <v>19</v>
      </c>
      <c r="G10400" s="1" t="str">
        <f t="shared" ref="G10400:M10400" si="2332">"..."</f>
        <v>...</v>
      </c>
      <c r="H10400" s="1" t="str">
        <f t="shared" si="2332"/>
        <v>...</v>
      </c>
      <c r="I10400" s="1" t="str">
        <f t="shared" si="2332"/>
        <v>...</v>
      </c>
      <c r="J10400" s="1" t="str">
        <f t="shared" si="2332"/>
        <v>...</v>
      </c>
      <c r="K10400" s="1" t="str">
        <f t="shared" si="2332"/>
        <v>...</v>
      </c>
      <c r="L10400" s="1" t="str">
        <f t="shared" si="2332"/>
        <v>...</v>
      </c>
      <c r="M10400" s="1" t="str">
        <f t="shared" si="2332"/>
        <v>...</v>
      </c>
      <c r="N10400" t="s">
        <v>30</v>
      </c>
    </row>
    <row r="10401" spans="1:14" x14ac:dyDescent="0.25">
      <c r="A10401" t="s">
        <v>43</v>
      </c>
      <c r="B10401" t="s">
        <v>40</v>
      </c>
      <c r="C10401" t="s">
        <v>38</v>
      </c>
      <c r="D10401" t="s">
        <v>29</v>
      </c>
      <c r="E10401" t="s">
        <v>26</v>
      </c>
      <c r="F10401" t="s">
        <v>20</v>
      </c>
      <c r="G10401" s="1" t="str">
        <f t="shared" ref="G10401:M10401" si="2333">"X"</f>
        <v>X</v>
      </c>
      <c r="H10401" s="1" t="str">
        <f t="shared" si="2333"/>
        <v>X</v>
      </c>
      <c r="I10401" s="1" t="str">
        <f t="shared" si="2333"/>
        <v>X</v>
      </c>
      <c r="J10401" s="1" t="str">
        <f t="shared" si="2333"/>
        <v>X</v>
      </c>
      <c r="K10401" s="1" t="str">
        <f t="shared" si="2333"/>
        <v>X</v>
      </c>
      <c r="L10401" s="1" t="str">
        <f t="shared" si="2333"/>
        <v>X</v>
      </c>
      <c r="M10401" s="1" t="str">
        <f t="shared" si="2333"/>
        <v>X</v>
      </c>
      <c r="N10401" t="s">
        <v>27</v>
      </c>
    </row>
    <row r="10402" spans="1:14" x14ac:dyDescent="0.25">
      <c r="A10402" t="s">
        <v>43</v>
      </c>
      <c r="B10402" t="s">
        <v>40</v>
      </c>
      <c r="C10402" t="s">
        <v>38</v>
      </c>
      <c r="D10402" t="s">
        <v>31</v>
      </c>
      <c r="E10402" t="s">
        <v>15</v>
      </c>
      <c r="F10402" t="s">
        <v>15</v>
      </c>
      <c r="G10402" s="2">
        <f>VALUE(360.11)</f>
        <v>360.11</v>
      </c>
      <c r="H10402" s="3">
        <f>VALUE(260.99)</f>
        <v>260.99</v>
      </c>
      <c r="I10402" s="4">
        <f>VALUE(3518)</f>
        <v>3518</v>
      </c>
      <c r="J10402" s="5">
        <f>VALUE(4034)</f>
        <v>4034</v>
      </c>
      <c r="K10402" s="6">
        <f>VALUE(5657)</f>
        <v>5657</v>
      </c>
      <c r="L10402" s="7">
        <f>VALUE(6266)</f>
        <v>6266</v>
      </c>
      <c r="M10402" s="8">
        <f>VALUE(9335)</f>
        <v>9335</v>
      </c>
      <c r="N10402" t="s">
        <v>24</v>
      </c>
    </row>
    <row r="10403" spans="1:14" x14ac:dyDescent="0.25">
      <c r="A10403" t="s">
        <v>43</v>
      </c>
      <c r="B10403" t="s">
        <v>40</v>
      </c>
      <c r="C10403" t="s">
        <v>38</v>
      </c>
      <c r="D10403" t="s">
        <v>31</v>
      </c>
      <c r="E10403" t="s">
        <v>15</v>
      </c>
      <c r="F10403" t="s">
        <v>17</v>
      </c>
      <c r="G10403" s="1" t="str">
        <f t="shared" ref="G10403:M10412" si="2334">"X"</f>
        <v>X</v>
      </c>
      <c r="H10403" s="1" t="str">
        <f t="shared" si="2334"/>
        <v>X</v>
      </c>
      <c r="I10403" s="1" t="str">
        <f t="shared" si="2334"/>
        <v>X</v>
      </c>
      <c r="J10403" s="1" t="str">
        <f t="shared" si="2334"/>
        <v>X</v>
      </c>
      <c r="K10403" s="1" t="str">
        <f t="shared" si="2334"/>
        <v>X</v>
      </c>
      <c r="L10403" s="1" t="str">
        <f t="shared" si="2334"/>
        <v>X</v>
      </c>
      <c r="M10403" s="1" t="str">
        <f t="shared" si="2334"/>
        <v>X</v>
      </c>
      <c r="N10403" t="s">
        <v>27</v>
      </c>
    </row>
    <row r="10404" spans="1:14" x14ac:dyDescent="0.25">
      <c r="A10404" t="s">
        <v>43</v>
      </c>
      <c r="B10404" t="s">
        <v>40</v>
      </c>
      <c r="C10404" t="s">
        <v>38</v>
      </c>
      <c r="D10404" t="s">
        <v>31</v>
      </c>
      <c r="E10404" t="s">
        <v>15</v>
      </c>
      <c r="F10404" t="s">
        <v>18</v>
      </c>
      <c r="G10404" s="1" t="str">
        <f t="shared" si="2334"/>
        <v>X</v>
      </c>
      <c r="H10404" s="1" t="str">
        <f t="shared" si="2334"/>
        <v>X</v>
      </c>
      <c r="I10404" s="1" t="str">
        <f t="shared" si="2334"/>
        <v>X</v>
      </c>
      <c r="J10404" s="1" t="str">
        <f t="shared" si="2334"/>
        <v>X</v>
      </c>
      <c r="K10404" s="1" t="str">
        <f t="shared" si="2334"/>
        <v>X</v>
      </c>
      <c r="L10404" s="1" t="str">
        <f t="shared" si="2334"/>
        <v>X</v>
      </c>
      <c r="M10404" s="1" t="str">
        <f t="shared" si="2334"/>
        <v>X</v>
      </c>
      <c r="N10404" t="s">
        <v>27</v>
      </c>
    </row>
    <row r="10405" spans="1:14" x14ac:dyDescent="0.25">
      <c r="A10405" t="s">
        <v>43</v>
      </c>
      <c r="B10405" t="s">
        <v>40</v>
      </c>
      <c r="C10405" t="s">
        <v>38</v>
      </c>
      <c r="D10405" t="s">
        <v>31</v>
      </c>
      <c r="E10405" t="s">
        <v>15</v>
      </c>
      <c r="F10405" t="s">
        <v>19</v>
      </c>
      <c r="G10405" s="1" t="str">
        <f t="shared" si="2334"/>
        <v>X</v>
      </c>
      <c r="H10405" s="1" t="str">
        <f t="shared" si="2334"/>
        <v>X</v>
      </c>
      <c r="I10405" s="1" t="str">
        <f t="shared" si="2334"/>
        <v>X</v>
      </c>
      <c r="J10405" s="1" t="str">
        <f t="shared" si="2334"/>
        <v>X</v>
      </c>
      <c r="K10405" s="1" t="str">
        <f t="shared" si="2334"/>
        <v>X</v>
      </c>
      <c r="L10405" s="1" t="str">
        <f t="shared" si="2334"/>
        <v>X</v>
      </c>
      <c r="M10405" s="1" t="str">
        <f t="shared" si="2334"/>
        <v>X</v>
      </c>
      <c r="N10405" t="s">
        <v>27</v>
      </c>
    </row>
    <row r="10406" spans="1:14" x14ac:dyDescent="0.25">
      <c r="A10406" t="s">
        <v>43</v>
      </c>
      <c r="B10406" t="s">
        <v>40</v>
      </c>
      <c r="C10406" t="s">
        <v>38</v>
      </c>
      <c r="D10406" t="s">
        <v>31</v>
      </c>
      <c r="E10406" t="s">
        <v>15</v>
      </c>
      <c r="F10406" t="s">
        <v>20</v>
      </c>
      <c r="G10406" s="1" t="str">
        <f t="shared" si="2334"/>
        <v>X</v>
      </c>
      <c r="H10406" s="1" t="str">
        <f t="shared" si="2334"/>
        <v>X</v>
      </c>
      <c r="I10406" s="1" t="str">
        <f t="shared" si="2334"/>
        <v>X</v>
      </c>
      <c r="J10406" s="1" t="str">
        <f t="shared" si="2334"/>
        <v>X</v>
      </c>
      <c r="K10406" s="1" t="str">
        <f t="shared" si="2334"/>
        <v>X</v>
      </c>
      <c r="L10406" s="1" t="str">
        <f t="shared" si="2334"/>
        <v>X</v>
      </c>
      <c r="M10406" s="1" t="str">
        <f t="shared" si="2334"/>
        <v>X</v>
      </c>
      <c r="N10406" t="s">
        <v>27</v>
      </c>
    </row>
    <row r="10407" spans="1:14" x14ac:dyDescent="0.25">
      <c r="A10407" t="s">
        <v>43</v>
      </c>
      <c r="B10407" t="s">
        <v>40</v>
      </c>
      <c r="C10407" t="s">
        <v>38</v>
      </c>
      <c r="D10407" t="s">
        <v>31</v>
      </c>
      <c r="E10407" t="s">
        <v>21</v>
      </c>
      <c r="F10407" t="s">
        <v>15</v>
      </c>
      <c r="G10407" s="1" t="str">
        <f t="shared" si="2334"/>
        <v>X</v>
      </c>
      <c r="H10407" s="1" t="str">
        <f t="shared" si="2334"/>
        <v>X</v>
      </c>
      <c r="I10407" s="1" t="str">
        <f t="shared" si="2334"/>
        <v>X</v>
      </c>
      <c r="J10407" s="1" t="str">
        <f t="shared" si="2334"/>
        <v>X</v>
      </c>
      <c r="K10407" s="1" t="str">
        <f t="shared" si="2334"/>
        <v>X</v>
      </c>
      <c r="L10407" s="1" t="str">
        <f t="shared" si="2334"/>
        <v>X</v>
      </c>
      <c r="M10407" s="1" t="str">
        <f t="shared" si="2334"/>
        <v>X</v>
      </c>
      <c r="N10407" t="s">
        <v>27</v>
      </c>
    </row>
    <row r="10408" spans="1:14" x14ac:dyDescent="0.25">
      <c r="A10408" t="s">
        <v>43</v>
      </c>
      <c r="B10408" t="s">
        <v>40</v>
      </c>
      <c r="C10408" t="s">
        <v>38</v>
      </c>
      <c r="D10408" t="s">
        <v>31</v>
      </c>
      <c r="E10408" t="s">
        <v>21</v>
      </c>
      <c r="F10408" t="s">
        <v>17</v>
      </c>
      <c r="G10408" s="1" t="str">
        <f t="shared" si="2334"/>
        <v>X</v>
      </c>
      <c r="H10408" s="1" t="str">
        <f t="shared" si="2334"/>
        <v>X</v>
      </c>
      <c r="I10408" s="1" t="str">
        <f t="shared" si="2334"/>
        <v>X</v>
      </c>
      <c r="J10408" s="1" t="str">
        <f t="shared" si="2334"/>
        <v>X</v>
      </c>
      <c r="K10408" s="1" t="str">
        <f t="shared" si="2334"/>
        <v>X</v>
      </c>
      <c r="L10408" s="1" t="str">
        <f t="shared" si="2334"/>
        <v>X</v>
      </c>
      <c r="M10408" s="1" t="str">
        <f t="shared" si="2334"/>
        <v>X</v>
      </c>
      <c r="N10408" t="s">
        <v>27</v>
      </c>
    </row>
    <row r="10409" spans="1:14" x14ac:dyDescent="0.25">
      <c r="A10409" t="s">
        <v>43</v>
      </c>
      <c r="B10409" t="s">
        <v>40</v>
      </c>
      <c r="C10409" t="s">
        <v>38</v>
      </c>
      <c r="D10409" t="s">
        <v>31</v>
      </c>
      <c r="E10409" t="s">
        <v>21</v>
      </c>
      <c r="F10409" t="s">
        <v>18</v>
      </c>
      <c r="G10409" s="1" t="str">
        <f t="shared" si="2334"/>
        <v>X</v>
      </c>
      <c r="H10409" s="1" t="str">
        <f t="shared" si="2334"/>
        <v>X</v>
      </c>
      <c r="I10409" s="1" t="str">
        <f t="shared" si="2334"/>
        <v>X</v>
      </c>
      <c r="J10409" s="1" t="str">
        <f t="shared" si="2334"/>
        <v>X</v>
      </c>
      <c r="K10409" s="1" t="str">
        <f t="shared" si="2334"/>
        <v>X</v>
      </c>
      <c r="L10409" s="1" t="str">
        <f t="shared" si="2334"/>
        <v>X</v>
      </c>
      <c r="M10409" s="1" t="str">
        <f t="shared" si="2334"/>
        <v>X</v>
      </c>
      <c r="N10409" t="s">
        <v>27</v>
      </c>
    </row>
    <row r="10410" spans="1:14" x14ac:dyDescent="0.25">
      <c r="A10410" t="s">
        <v>43</v>
      </c>
      <c r="B10410" t="s">
        <v>40</v>
      </c>
      <c r="C10410" t="s">
        <v>38</v>
      </c>
      <c r="D10410" t="s">
        <v>31</v>
      </c>
      <c r="E10410" t="s">
        <v>21</v>
      </c>
      <c r="F10410" t="s">
        <v>19</v>
      </c>
      <c r="G10410" s="1" t="str">
        <f t="shared" si="2334"/>
        <v>X</v>
      </c>
      <c r="H10410" s="1" t="str">
        <f t="shared" si="2334"/>
        <v>X</v>
      </c>
      <c r="I10410" s="1" t="str">
        <f t="shared" si="2334"/>
        <v>X</v>
      </c>
      <c r="J10410" s="1" t="str">
        <f t="shared" si="2334"/>
        <v>X</v>
      </c>
      <c r="K10410" s="1" t="str">
        <f t="shared" si="2334"/>
        <v>X</v>
      </c>
      <c r="L10410" s="1" t="str">
        <f t="shared" si="2334"/>
        <v>X</v>
      </c>
      <c r="M10410" s="1" t="str">
        <f t="shared" si="2334"/>
        <v>X</v>
      </c>
      <c r="N10410" t="s">
        <v>27</v>
      </c>
    </row>
    <row r="10411" spans="1:14" x14ac:dyDescent="0.25">
      <c r="A10411" t="s">
        <v>43</v>
      </c>
      <c r="B10411" t="s">
        <v>40</v>
      </c>
      <c r="C10411" t="s">
        <v>38</v>
      </c>
      <c r="D10411" t="s">
        <v>31</v>
      </c>
      <c r="E10411" t="s">
        <v>21</v>
      </c>
      <c r="F10411" t="s">
        <v>20</v>
      </c>
      <c r="G10411" s="1" t="str">
        <f t="shared" si="2334"/>
        <v>X</v>
      </c>
      <c r="H10411" s="1" t="str">
        <f t="shared" si="2334"/>
        <v>X</v>
      </c>
      <c r="I10411" s="1" t="str">
        <f t="shared" si="2334"/>
        <v>X</v>
      </c>
      <c r="J10411" s="1" t="str">
        <f t="shared" si="2334"/>
        <v>X</v>
      </c>
      <c r="K10411" s="1" t="str">
        <f t="shared" si="2334"/>
        <v>X</v>
      </c>
      <c r="L10411" s="1" t="str">
        <f t="shared" si="2334"/>
        <v>X</v>
      </c>
      <c r="M10411" s="1" t="str">
        <f t="shared" si="2334"/>
        <v>X</v>
      </c>
      <c r="N10411" t="s">
        <v>27</v>
      </c>
    </row>
    <row r="10412" spans="1:14" x14ac:dyDescent="0.25">
      <c r="A10412" t="s">
        <v>43</v>
      </c>
      <c r="B10412" t="s">
        <v>40</v>
      </c>
      <c r="C10412" t="s">
        <v>38</v>
      </c>
      <c r="D10412" t="s">
        <v>31</v>
      </c>
      <c r="E10412" t="s">
        <v>22</v>
      </c>
      <c r="F10412" t="s">
        <v>15</v>
      </c>
      <c r="G10412" s="1" t="str">
        <f t="shared" si="2334"/>
        <v>X</v>
      </c>
      <c r="H10412" s="1" t="str">
        <f t="shared" si="2334"/>
        <v>X</v>
      </c>
      <c r="I10412" s="1" t="str">
        <f t="shared" si="2334"/>
        <v>X</v>
      </c>
      <c r="J10412" s="1" t="str">
        <f t="shared" si="2334"/>
        <v>X</v>
      </c>
      <c r="K10412" s="1" t="str">
        <f t="shared" si="2334"/>
        <v>X</v>
      </c>
      <c r="L10412" s="1" t="str">
        <f t="shared" si="2334"/>
        <v>X</v>
      </c>
      <c r="M10412" s="1" t="str">
        <f t="shared" si="2334"/>
        <v>X</v>
      </c>
      <c r="N10412" t="s">
        <v>27</v>
      </c>
    </row>
    <row r="10413" spans="1:14" x14ac:dyDescent="0.25">
      <c r="A10413" t="s">
        <v>43</v>
      </c>
      <c r="B10413" t="s">
        <v>40</v>
      </c>
      <c r="C10413" t="s">
        <v>38</v>
      </c>
      <c r="D10413" t="s">
        <v>31</v>
      </c>
      <c r="E10413" t="s">
        <v>22</v>
      </c>
      <c r="F10413" t="s">
        <v>17</v>
      </c>
      <c r="G10413" s="1" t="str">
        <f t="shared" ref="G10413:M10418" si="2335">"X"</f>
        <v>X</v>
      </c>
      <c r="H10413" s="1" t="str">
        <f t="shared" si="2335"/>
        <v>X</v>
      </c>
      <c r="I10413" s="1" t="str">
        <f t="shared" si="2335"/>
        <v>X</v>
      </c>
      <c r="J10413" s="1" t="str">
        <f t="shared" si="2335"/>
        <v>X</v>
      </c>
      <c r="K10413" s="1" t="str">
        <f t="shared" si="2335"/>
        <v>X</v>
      </c>
      <c r="L10413" s="1" t="str">
        <f t="shared" si="2335"/>
        <v>X</v>
      </c>
      <c r="M10413" s="1" t="str">
        <f t="shared" si="2335"/>
        <v>X</v>
      </c>
      <c r="N10413" t="s">
        <v>27</v>
      </c>
    </row>
    <row r="10414" spans="1:14" x14ac:dyDescent="0.25">
      <c r="A10414" t="s">
        <v>43</v>
      </c>
      <c r="B10414" t="s">
        <v>40</v>
      </c>
      <c r="C10414" t="s">
        <v>38</v>
      </c>
      <c r="D10414" t="s">
        <v>31</v>
      </c>
      <c r="E10414" t="s">
        <v>22</v>
      </c>
      <c r="F10414" t="s">
        <v>18</v>
      </c>
      <c r="G10414" s="1" t="str">
        <f t="shared" si="2335"/>
        <v>X</v>
      </c>
      <c r="H10414" s="1" t="str">
        <f t="shared" si="2335"/>
        <v>X</v>
      </c>
      <c r="I10414" s="1" t="str">
        <f t="shared" si="2335"/>
        <v>X</v>
      </c>
      <c r="J10414" s="1" t="str">
        <f t="shared" si="2335"/>
        <v>X</v>
      </c>
      <c r="K10414" s="1" t="str">
        <f t="shared" si="2335"/>
        <v>X</v>
      </c>
      <c r="L10414" s="1" t="str">
        <f t="shared" si="2335"/>
        <v>X</v>
      </c>
      <c r="M10414" s="1" t="str">
        <f t="shared" si="2335"/>
        <v>X</v>
      </c>
      <c r="N10414" t="s">
        <v>27</v>
      </c>
    </row>
    <row r="10415" spans="1:14" x14ac:dyDescent="0.25">
      <c r="A10415" t="s">
        <v>43</v>
      </c>
      <c r="B10415" t="s">
        <v>40</v>
      </c>
      <c r="C10415" t="s">
        <v>38</v>
      </c>
      <c r="D10415" t="s">
        <v>31</v>
      </c>
      <c r="E10415" t="s">
        <v>22</v>
      </c>
      <c r="F10415" t="s">
        <v>19</v>
      </c>
      <c r="G10415" s="1" t="str">
        <f t="shared" si="2335"/>
        <v>X</v>
      </c>
      <c r="H10415" s="1" t="str">
        <f t="shared" si="2335"/>
        <v>X</v>
      </c>
      <c r="I10415" s="1" t="str">
        <f t="shared" si="2335"/>
        <v>X</v>
      </c>
      <c r="J10415" s="1" t="str">
        <f t="shared" si="2335"/>
        <v>X</v>
      </c>
      <c r="K10415" s="1" t="str">
        <f t="shared" si="2335"/>
        <v>X</v>
      </c>
      <c r="L10415" s="1" t="str">
        <f t="shared" si="2335"/>
        <v>X</v>
      </c>
      <c r="M10415" s="1" t="str">
        <f t="shared" si="2335"/>
        <v>X</v>
      </c>
      <c r="N10415" t="s">
        <v>27</v>
      </c>
    </row>
    <row r="10416" spans="1:14" x14ac:dyDescent="0.25">
      <c r="A10416" t="s">
        <v>43</v>
      </c>
      <c r="B10416" t="s">
        <v>40</v>
      </c>
      <c r="C10416" t="s">
        <v>38</v>
      </c>
      <c r="D10416" t="s">
        <v>31</v>
      </c>
      <c r="E10416" t="s">
        <v>22</v>
      </c>
      <c r="F10416" t="s">
        <v>20</v>
      </c>
      <c r="G10416" s="1" t="str">
        <f t="shared" si="2335"/>
        <v>X</v>
      </c>
      <c r="H10416" s="1" t="str">
        <f t="shared" si="2335"/>
        <v>X</v>
      </c>
      <c r="I10416" s="1" t="str">
        <f t="shared" si="2335"/>
        <v>X</v>
      </c>
      <c r="J10416" s="1" t="str">
        <f t="shared" si="2335"/>
        <v>X</v>
      </c>
      <c r="K10416" s="1" t="str">
        <f t="shared" si="2335"/>
        <v>X</v>
      </c>
      <c r="L10416" s="1" t="str">
        <f t="shared" si="2335"/>
        <v>X</v>
      </c>
      <c r="M10416" s="1" t="str">
        <f t="shared" si="2335"/>
        <v>X</v>
      </c>
      <c r="N10416" t="s">
        <v>27</v>
      </c>
    </row>
    <row r="10417" spans="1:14" x14ac:dyDescent="0.25">
      <c r="A10417" t="s">
        <v>43</v>
      </c>
      <c r="B10417" t="s">
        <v>40</v>
      </c>
      <c r="C10417" t="s">
        <v>38</v>
      </c>
      <c r="D10417" t="s">
        <v>31</v>
      </c>
      <c r="E10417" t="s">
        <v>23</v>
      </c>
      <c r="F10417" t="s">
        <v>15</v>
      </c>
      <c r="G10417" s="1" t="str">
        <f t="shared" si="2335"/>
        <v>X</v>
      </c>
      <c r="H10417" s="1" t="str">
        <f t="shared" si="2335"/>
        <v>X</v>
      </c>
      <c r="I10417" s="1" t="str">
        <f t="shared" si="2335"/>
        <v>X</v>
      </c>
      <c r="J10417" s="1" t="str">
        <f t="shared" si="2335"/>
        <v>X</v>
      </c>
      <c r="K10417" s="1" t="str">
        <f t="shared" si="2335"/>
        <v>X</v>
      </c>
      <c r="L10417" s="1" t="str">
        <f t="shared" si="2335"/>
        <v>X</v>
      </c>
      <c r="M10417" s="1" t="str">
        <f t="shared" si="2335"/>
        <v>X</v>
      </c>
      <c r="N10417" t="s">
        <v>27</v>
      </c>
    </row>
    <row r="10418" spans="1:14" x14ac:dyDescent="0.25">
      <c r="A10418" t="s">
        <v>43</v>
      </c>
      <c r="B10418" t="s">
        <v>40</v>
      </c>
      <c r="C10418" t="s">
        <v>38</v>
      </c>
      <c r="D10418" t="s">
        <v>31</v>
      </c>
      <c r="E10418" t="s">
        <v>23</v>
      </c>
      <c r="F10418" t="s">
        <v>17</v>
      </c>
      <c r="G10418" s="1" t="str">
        <f t="shared" si="2335"/>
        <v>X</v>
      </c>
      <c r="H10418" s="1" t="str">
        <f t="shared" si="2335"/>
        <v>X</v>
      </c>
      <c r="I10418" s="1" t="str">
        <f t="shared" si="2335"/>
        <v>X</v>
      </c>
      <c r="J10418" s="1" t="str">
        <f t="shared" si="2335"/>
        <v>X</v>
      </c>
      <c r="K10418" s="1" t="str">
        <f t="shared" si="2335"/>
        <v>X</v>
      </c>
      <c r="L10418" s="1" t="str">
        <f t="shared" si="2335"/>
        <v>X</v>
      </c>
      <c r="M10418" s="1" t="str">
        <f t="shared" si="2335"/>
        <v>X</v>
      </c>
      <c r="N10418" t="s">
        <v>27</v>
      </c>
    </row>
    <row r="10419" spans="1:14" x14ac:dyDescent="0.25">
      <c r="A10419" t="s">
        <v>43</v>
      </c>
      <c r="B10419" t="s">
        <v>40</v>
      </c>
      <c r="C10419" t="s">
        <v>38</v>
      </c>
      <c r="D10419" t="s">
        <v>31</v>
      </c>
      <c r="E10419" t="s">
        <v>23</v>
      </c>
      <c r="F10419" t="s">
        <v>18</v>
      </c>
      <c r="G10419" s="1" t="str">
        <f t="shared" ref="G10419:M10419" si="2336">"..."</f>
        <v>...</v>
      </c>
      <c r="H10419" s="1" t="str">
        <f t="shared" si="2336"/>
        <v>...</v>
      </c>
      <c r="I10419" s="1" t="str">
        <f t="shared" si="2336"/>
        <v>...</v>
      </c>
      <c r="J10419" s="1" t="str">
        <f t="shared" si="2336"/>
        <v>...</v>
      </c>
      <c r="K10419" s="1" t="str">
        <f t="shared" si="2336"/>
        <v>...</v>
      </c>
      <c r="L10419" s="1" t="str">
        <f t="shared" si="2336"/>
        <v>...</v>
      </c>
      <c r="M10419" s="1" t="str">
        <f t="shared" si="2336"/>
        <v>...</v>
      </c>
      <c r="N10419" t="s">
        <v>30</v>
      </c>
    </row>
    <row r="10420" spans="1:14" x14ac:dyDescent="0.25">
      <c r="A10420" t="s">
        <v>43</v>
      </c>
      <c r="B10420" t="s">
        <v>40</v>
      </c>
      <c r="C10420" t="s">
        <v>38</v>
      </c>
      <c r="D10420" t="s">
        <v>31</v>
      </c>
      <c r="E10420" t="s">
        <v>23</v>
      </c>
      <c r="F10420" t="s">
        <v>19</v>
      </c>
      <c r="G10420" s="1" t="str">
        <f t="shared" ref="G10420:M10421" si="2337">"X"</f>
        <v>X</v>
      </c>
      <c r="H10420" s="1" t="str">
        <f t="shared" si="2337"/>
        <v>X</v>
      </c>
      <c r="I10420" s="1" t="str">
        <f t="shared" si="2337"/>
        <v>X</v>
      </c>
      <c r="J10420" s="1" t="str">
        <f t="shared" si="2337"/>
        <v>X</v>
      </c>
      <c r="K10420" s="1" t="str">
        <f t="shared" si="2337"/>
        <v>X</v>
      </c>
      <c r="L10420" s="1" t="str">
        <f t="shared" si="2337"/>
        <v>X</v>
      </c>
      <c r="M10420" s="1" t="str">
        <f t="shared" si="2337"/>
        <v>X</v>
      </c>
      <c r="N10420" t="s">
        <v>27</v>
      </c>
    </row>
    <row r="10421" spans="1:14" x14ac:dyDescent="0.25">
      <c r="A10421" t="s">
        <v>43</v>
      </c>
      <c r="B10421" t="s">
        <v>40</v>
      </c>
      <c r="C10421" t="s">
        <v>38</v>
      </c>
      <c r="D10421" t="s">
        <v>31</v>
      </c>
      <c r="E10421" t="s">
        <v>23</v>
      </c>
      <c r="F10421" t="s">
        <v>20</v>
      </c>
      <c r="G10421" s="1" t="str">
        <f t="shared" si="2337"/>
        <v>X</v>
      </c>
      <c r="H10421" s="1" t="str">
        <f t="shared" si="2337"/>
        <v>X</v>
      </c>
      <c r="I10421" s="1" t="str">
        <f t="shared" si="2337"/>
        <v>X</v>
      </c>
      <c r="J10421" s="1" t="str">
        <f t="shared" si="2337"/>
        <v>X</v>
      </c>
      <c r="K10421" s="1" t="str">
        <f t="shared" si="2337"/>
        <v>X</v>
      </c>
      <c r="L10421" s="1" t="str">
        <f t="shared" si="2337"/>
        <v>X</v>
      </c>
      <c r="M10421" s="1" t="str">
        <f t="shared" si="2337"/>
        <v>X</v>
      </c>
      <c r="N10421" t="s">
        <v>27</v>
      </c>
    </row>
    <row r="10422" spans="1:14" x14ac:dyDescent="0.25">
      <c r="A10422" t="s">
        <v>43</v>
      </c>
      <c r="B10422" t="s">
        <v>40</v>
      </c>
      <c r="C10422" t="s">
        <v>38</v>
      </c>
      <c r="D10422" t="s">
        <v>31</v>
      </c>
      <c r="E10422" t="s">
        <v>26</v>
      </c>
      <c r="F10422" t="s">
        <v>15</v>
      </c>
      <c r="G10422" s="1" t="str">
        <f t="shared" ref="G10422:M10426" si="2338">"..."</f>
        <v>...</v>
      </c>
      <c r="H10422" s="1" t="str">
        <f t="shared" si="2338"/>
        <v>...</v>
      </c>
      <c r="I10422" s="1" t="str">
        <f t="shared" si="2338"/>
        <v>...</v>
      </c>
      <c r="J10422" s="1" t="str">
        <f t="shared" si="2338"/>
        <v>...</v>
      </c>
      <c r="K10422" s="1" t="str">
        <f t="shared" si="2338"/>
        <v>...</v>
      </c>
      <c r="L10422" s="1" t="str">
        <f t="shared" si="2338"/>
        <v>...</v>
      </c>
      <c r="M10422" s="1" t="str">
        <f t="shared" si="2338"/>
        <v>...</v>
      </c>
      <c r="N10422" t="s">
        <v>30</v>
      </c>
    </row>
    <row r="10423" spans="1:14" x14ac:dyDescent="0.25">
      <c r="A10423" t="s">
        <v>43</v>
      </c>
      <c r="B10423" t="s">
        <v>40</v>
      </c>
      <c r="C10423" t="s">
        <v>38</v>
      </c>
      <c r="D10423" t="s">
        <v>31</v>
      </c>
      <c r="E10423" t="s">
        <v>26</v>
      </c>
      <c r="F10423" t="s">
        <v>17</v>
      </c>
      <c r="G10423" s="1" t="str">
        <f t="shared" si="2338"/>
        <v>...</v>
      </c>
      <c r="H10423" s="1" t="str">
        <f t="shared" si="2338"/>
        <v>...</v>
      </c>
      <c r="I10423" s="1" t="str">
        <f t="shared" si="2338"/>
        <v>...</v>
      </c>
      <c r="J10423" s="1" t="str">
        <f t="shared" si="2338"/>
        <v>...</v>
      </c>
      <c r="K10423" s="1" t="str">
        <f t="shared" si="2338"/>
        <v>...</v>
      </c>
      <c r="L10423" s="1" t="str">
        <f t="shared" si="2338"/>
        <v>...</v>
      </c>
      <c r="M10423" s="1" t="str">
        <f t="shared" si="2338"/>
        <v>...</v>
      </c>
      <c r="N10423" t="s">
        <v>30</v>
      </c>
    </row>
    <row r="10424" spans="1:14" x14ac:dyDescent="0.25">
      <c r="A10424" t="s">
        <v>43</v>
      </c>
      <c r="B10424" t="s">
        <v>40</v>
      </c>
      <c r="C10424" t="s">
        <v>38</v>
      </c>
      <c r="D10424" t="s">
        <v>31</v>
      </c>
      <c r="E10424" t="s">
        <v>26</v>
      </c>
      <c r="F10424" t="s">
        <v>18</v>
      </c>
      <c r="G10424" s="1" t="str">
        <f t="shared" si="2338"/>
        <v>...</v>
      </c>
      <c r="H10424" s="1" t="str">
        <f t="shared" si="2338"/>
        <v>...</v>
      </c>
      <c r="I10424" s="1" t="str">
        <f t="shared" si="2338"/>
        <v>...</v>
      </c>
      <c r="J10424" s="1" t="str">
        <f t="shared" si="2338"/>
        <v>...</v>
      </c>
      <c r="K10424" s="1" t="str">
        <f t="shared" si="2338"/>
        <v>...</v>
      </c>
      <c r="L10424" s="1" t="str">
        <f t="shared" si="2338"/>
        <v>...</v>
      </c>
      <c r="M10424" s="1" t="str">
        <f t="shared" si="2338"/>
        <v>...</v>
      </c>
      <c r="N10424" t="s">
        <v>30</v>
      </c>
    </row>
    <row r="10425" spans="1:14" x14ac:dyDescent="0.25">
      <c r="A10425" t="s">
        <v>43</v>
      </c>
      <c r="B10425" t="s">
        <v>40</v>
      </c>
      <c r="C10425" t="s">
        <v>38</v>
      </c>
      <c r="D10425" t="s">
        <v>31</v>
      </c>
      <c r="E10425" t="s">
        <v>26</v>
      </c>
      <c r="F10425" t="s">
        <v>19</v>
      </c>
      <c r="G10425" s="1" t="str">
        <f t="shared" si="2338"/>
        <v>...</v>
      </c>
      <c r="H10425" s="1" t="str">
        <f t="shared" si="2338"/>
        <v>...</v>
      </c>
      <c r="I10425" s="1" t="str">
        <f t="shared" si="2338"/>
        <v>...</v>
      </c>
      <c r="J10425" s="1" t="str">
        <f t="shared" si="2338"/>
        <v>...</v>
      </c>
      <c r="K10425" s="1" t="str">
        <f t="shared" si="2338"/>
        <v>...</v>
      </c>
      <c r="L10425" s="1" t="str">
        <f t="shared" si="2338"/>
        <v>...</v>
      </c>
      <c r="M10425" s="1" t="str">
        <f t="shared" si="2338"/>
        <v>...</v>
      </c>
      <c r="N10425" t="s">
        <v>30</v>
      </c>
    </row>
    <row r="10426" spans="1:14" x14ac:dyDescent="0.25">
      <c r="A10426" t="s">
        <v>43</v>
      </c>
      <c r="B10426" t="s">
        <v>40</v>
      </c>
      <c r="C10426" t="s">
        <v>38</v>
      </c>
      <c r="D10426" t="s">
        <v>31</v>
      </c>
      <c r="E10426" t="s">
        <v>26</v>
      </c>
      <c r="F10426" t="s">
        <v>20</v>
      </c>
      <c r="G10426" s="1" t="str">
        <f t="shared" si="2338"/>
        <v>...</v>
      </c>
      <c r="H10426" s="1" t="str">
        <f t="shared" si="2338"/>
        <v>...</v>
      </c>
      <c r="I10426" s="1" t="str">
        <f t="shared" si="2338"/>
        <v>...</v>
      </c>
      <c r="J10426" s="1" t="str">
        <f t="shared" si="2338"/>
        <v>...</v>
      </c>
      <c r="K10426" s="1" t="str">
        <f t="shared" si="2338"/>
        <v>...</v>
      </c>
      <c r="L10426" s="1" t="str">
        <f t="shared" si="2338"/>
        <v>...</v>
      </c>
      <c r="M10426" s="1" t="str">
        <f t="shared" si="2338"/>
        <v>...</v>
      </c>
      <c r="N10426" t="s">
        <v>30</v>
      </c>
    </row>
    <row r="10427" spans="1:14" x14ac:dyDescent="0.25">
      <c r="A10427" t="s">
        <v>43</v>
      </c>
      <c r="B10427" t="s">
        <v>40</v>
      </c>
      <c r="C10427" t="s">
        <v>38</v>
      </c>
      <c r="D10427" t="s">
        <v>32</v>
      </c>
      <c r="E10427" t="s">
        <v>15</v>
      </c>
      <c r="F10427" t="s">
        <v>15</v>
      </c>
      <c r="G10427" s="2">
        <f>VALUE(2673.82)</f>
        <v>2673.82</v>
      </c>
      <c r="H10427" s="3">
        <f>VALUE(1831.15)</f>
        <v>1831.15</v>
      </c>
      <c r="I10427" s="1">
        <f>VALUE(2883)</f>
        <v>2883</v>
      </c>
      <c r="J10427" s="1">
        <f>VALUE(3350)</f>
        <v>3350</v>
      </c>
      <c r="K10427" s="1">
        <f>VALUE(4160)</f>
        <v>4160</v>
      </c>
      <c r="L10427" s="1">
        <f>VALUE(5417)</f>
        <v>5417</v>
      </c>
      <c r="M10427" s="1">
        <f>VALUE(6934)</f>
        <v>6934</v>
      </c>
      <c r="N10427" t="s">
        <v>25</v>
      </c>
    </row>
    <row r="10428" spans="1:14" x14ac:dyDescent="0.25">
      <c r="A10428" t="s">
        <v>43</v>
      </c>
      <c r="B10428" t="s">
        <v>40</v>
      </c>
      <c r="C10428" t="s">
        <v>38</v>
      </c>
      <c r="D10428" t="s">
        <v>32</v>
      </c>
      <c r="E10428" t="s">
        <v>15</v>
      </c>
      <c r="F10428" t="s">
        <v>17</v>
      </c>
      <c r="G10428" s="1" t="str">
        <f t="shared" ref="G10428:M10429" si="2339">"X"</f>
        <v>X</v>
      </c>
      <c r="H10428" s="1" t="str">
        <f t="shared" si="2339"/>
        <v>X</v>
      </c>
      <c r="I10428" s="1" t="str">
        <f t="shared" si="2339"/>
        <v>X</v>
      </c>
      <c r="J10428" s="1" t="str">
        <f t="shared" si="2339"/>
        <v>X</v>
      </c>
      <c r="K10428" s="1" t="str">
        <f t="shared" si="2339"/>
        <v>X</v>
      </c>
      <c r="L10428" s="1" t="str">
        <f t="shared" si="2339"/>
        <v>X</v>
      </c>
      <c r="M10428" s="1" t="str">
        <f t="shared" si="2339"/>
        <v>X</v>
      </c>
      <c r="N10428" t="s">
        <v>27</v>
      </c>
    </row>
    <row r="10429" spans="1:14" x14ac:dyDescent="0.25">
      <c r="A10429" t="s">
        <v>43</v>
      </c>
      <c r="B10429" t="s">
        <v>40</v>
      </c>
      <c r="C10429" t="s">
        <v>38</v>
      </c>
      <c r="D10429" t="s">
        <v>32</v>
      </c>
      <c r="E10429" t="s">
        <v>15</v>
      </c>
      <c r="F10429" t="s">
        <v>18</v>
      </c>
      <c r="G10429" s="1" t="str">
        <f t="shared" si="2339"/>
        <v>X</v>
      </c>
      <c r="H10429" s="1" t="str">
        <f t="shared" si="2339"/>
        <v>X</v>
      </c>
      <c r="I10429" s="1" t="str">
        <f t="shared" si="2339"/>
        <v>X</v>
      </c>
      <c r="J10429" s="1" t="str">
        <f t="shared" si="2339"/>
        <v>X</v>
      </c>
      <c r="K10429" s="1" t="str">
        <f t="shared" si="2339"/>
        <v>X</v>
      </c>
      <c r="L10429" s="1" t="str">
        <f t="shared" si="2339"/>
        <v>X</v>
      </c>
      <c r="M10429" s="1" t="str">
        <f t="shared" si="2339"/>
        <v>X</v>
      </c>
      <c r="N10429" t="s">
        <v>27</v>
      </c>
    </row>
    <row r="10430" spans="1:14" x14ac:dyDescent="0.25">
      <c r="A10430" t="s">
        <v>43</v>
      </c>
      <c r="B10430" t="s">
        <v>40</v>
      </c>
      <c r="C10430" t="s">
        <v>38</v>
      </c>
      <c r="D10430" t="s">
        <v>32</v>
      </c>
      <c r="E10430" t="s">
        <v>15</v>
      </c>
      <c r="F10430" t="s">
        <v>19</v>
      </c>
      <c r="G10430" s="2">
        <f>VALUE(169.13)</f>
        <v>169.13</v>
      </c>
      <c r="H10430" s="3">
        <f>VALUE(142.98)</f>
        <v>142.97999999999999</v>
      </c>
      <c r="I10430" s="4">
        <f>VALUE(3277)</f>
        <v>3277</v>
      </c>
      <c r="J10430" s="5">
        <f>VALUE(4211)</f>
        <v>4211</v>
      </c>
      <c r="K10430" s="1">
        <f>VALUE(4983)</f>
        <v>4983</v>
      </c>
      <c r="L10430" s="1">
        <f>VALUE(6498)</f>
        <v>6498</v>
      </c>
      <c r="M10430" s="1">
        <f>VALUE(7751)</f>
        <v>7751</v>
      </c>
      <c r="N10430" t="s">
        <v>25</v>
      </c>
    </row>
    <row r="10431" spans="1:14" x14ac:dyDescent="0.25">
      <c r="A10431" t="s">
        <v>43</v>
      </c>
      <c r="B10431" t="s">
        <v>40</v>
      </c>
      <c r="C10431" t="s">
        <v>38</v>
      </c>
      <c r="D10431" t="s">
        <v>32</v>
      </c>
      <c r="E10431" t="s">
        <v>15</v>
      </c>
      <c r="F10431" t="s">
        <v>20</v>
      </c>
      <c r="G10431" s="2">
        <f>VALUE(2254.55)</f>
        <v>2254.5500000000002</v>
      </c>
      <c r="H10431" s="3">
        <f>VALUE(1472.23)</f>
        <v>1472.23</v>
      </c>
      <c r="I10431" s="1">
        <f>VALUE(2745)</f>
        <v>2745</v>
      </c>
      <c r="J10431" s="1">
        <f>VALUE(3219)</f>
        <v>3219</v>
      </c>
      <c r="K10431" s="1">
        <f>VALUE(3829)</f>
        <v>3829</v>
      </c>
      <c r="L10431" s="1">
        <f>VALUE(4975)</f>
        <v>4975</v>
      </c>
      <c r="M10431" s="1">
        <f>VALUE(5893)</f>
        <v>5893</v>
      </c>
      <c r="N10431" t="s">
        <v>25</v>
      </c>
    </row>
    <row r="10432" spans="1:14" x14ac:dyDescent="0.25">
      <c r="A10432" t="s">
        <v>43</v>
      </c>
      <c r="B10432" t="s">
        <v>40</v>
      </c>
      <c r="C10432" t="s">
        <v>38</v>
      </c>
      <c r="D10432" t="s">
        <v>32</v>
      </c>
      <c r="E10432" t="s">
        <v>21</v>
      </c>
      <c r="F10432" t="s">
        <v>15</v>
      </c>
      <c r="G10432" s="2">
        <f>VALUE(259.33)</f>
        <v>259.33</v>
      </c>
      <c r="H10432" s="3">
        <f>VALUE(219.64)</f>
        <v>219.64</v>
      </c>
      <c r="I10432" s="1">
        <f>VALUE(5063)</f>
        <v>5063</v>
      </c>
      <c r="J10432" s="1">
        <f>VALUE(5389)</f>
        <v>5389</v>
      </c>
      <c r="K10432" s="1">
        <f>VALUE(5587)</f>
        <v>5587</v>
      </c>
      <c r="L10432" s="1">
        <f>VALUE(7841)</f>
        <v>7841</v>
      </c>
      <c r="M10432" s="8">
        <f>VALUE(10364)</f>
        <v>10364</v>
      </c>
      <c r="N10432" t="s">
        <v>25</v>
      </c>
    </row>
    <row r="10433" spans="1:14" x14ac:dyDescent="0.25">
      <c r="A10433" t="s">
        <v>43</v>
      </c>
      <c r="B10433" t="s">
        <v>40</v>
      </c>
      <c r="C10433" t="s">
        <v>38</v>
      </c>
      <c r="D10433" t="s">
        <v>32</v>
      </c>
      <c r="E10433" t="s">
        <v>21</v>
      </c>
      <c r="F10433" t="s">
        <v>17</v>
      </c>
      <c r="G10433" s="1" t="str">
        <f t="shared" ref="G10433:M10436" si="2340">"X"</f>
        <v>X</v>
      </c>
      <c r="H10433" s="1" t="str">
        <f t="shared" si="2340"/>
        <v>X</v>
      </c>
      <c r="I10433" s="1" t="str">
        <f t="shared" si="2340"/>
        <v>X</v>
      </c>
      <c r="J10433" s="1" t="str">
        <f t="shared" si="2340"/>
        <v>X</v>
      </c>
      <c r="K10433" s="1" t="str">
        <f t="shared" si="2340"/>
        <v>X</v>
      </c>
      <c r="L10433" s="1" t="str">
        <f t="shared" si="2340"/>
        <v>X</v>
      </c>
      <c r="M10433" s="1" t="str">
        <f t="shared" si="2340"/>
        <v>X</v>
      </c>
      <c r="N10433" t="s">
        <v>27</v>
      </c>
    </row>
    <row r="10434" spans="1:14" x14ac:dyDescent="0.25">
      <c r="A10434" t="s">
        <v>43</v>
      </c>
      <c r="B10434" t="s">
        <v>40</v>
      </c>
      <c r="C10434" t="s">
        <v>38</v>
      </c>
      <c r="D10434" t="s">
        <v>32</v>
      </c>
      <c r="E10434" t="s">
        <v>21</v>
      </c>
      <c r="F10434" t="s">
        <v>18</v>
      </c>
      <c r="G10434" s="1" t="str">
        <f t="shared" si="2340"/>
        <v>X</v>
      </c>
      <c r="H10434" s="1" t="str">
        <f t="shared" si="2340"/>
        <v>X</v>
      </c>
      <c r="I10434" s="1" t="str">
        <f t="shared" si="2340"/>
        <v>X</v>
      </c>
      <c r="J10434" s="1" t="str">
        <f t="shared" si="2340"/>
        <v>X</v>
      </c>
      <c r="K10434" s="1" t="str">
        <f t="shared" si="2340"/>
        <v>X</v>
      </c>
      <c r="L10434" s="1" t="str">
        <f t="shared" si="2340"/>
        <v>X</v>
      </c>
      <c r="M10434" s="1" t="str">
        <f t="shared" si="2340"/>
        <v>X</v>
      </c>
      <c r="N10434" t="s">
        <v>27</v>
      </c>
    </row>
    <row r="10435" spans="1:14" x14ac:dyDescent="0.25">
      <c r="A10435" t="s">
        <v>43</v>
      </c>
      <c r="B10435" t="s">
        <v>40</v>
      </c>
      <c r="C10435" t="s">
        <v>38</v>
      </c>
      <c r="D10435" t="s">
        <v>32</v>
      </c>
      <c r="E10435" t="s">
        <v>21</v>
      </c>
      <c r="F10435" t="s">
        <v>19</v>
      </c>
      <c r="G10435" s="1" t="str">
        <f t="shared" si="2340"/>
        <v>X</v>
      </c>
      <c r="H10435" s="1" t="str">
        <f t="shared" si="2340"/>
        <v>X</v>
      </c>
      <c r="I10435" s="1" t="str">
        <f t="shared" si="2340"/>
        <v>X</v>
      </c>
      <c r="J10435" s="1" t="str">
        <f t="shared" si="2340"/>
        <v>X</v>
      </c>
      <c r="K10435" s="1" t="str">
        <f t="shared" si="2340"/>
        <v>X</v>
      </c>
      <c r="L10435" s="1" t="str">
        <f t="shared" si="2340"/>
        <v>X</v>
      </c>
      <c r="M10435" s="1" t="str">
        <f t="shared" si="2340"/>
        <v>X</v>
      </c>
      <c r="N10435" t="s">
        <v>27</v>
      </c>
    </row>
    <row r="10436" spans="1:14" x14ac:dyDescent="0.25">
      <c r="A10436" t="s">
        <v>43</v>
      </c>
      <c r="B10436" t="s">
        <v>40</v>
      </c>
      <c r="C10436" t="s">
        <v>38</v>
      </c>
      <c r="D10436" t="s">
        <v>32</v>
      </c>
      <c r="E10436" t="s">
        <v>21</v>
      </c>
      <c r="F10436" t="s">
        <v>20</v>
      </c>
      <c r="G10436" s="1" t="str">
        <f t="shared" si="2340"/>
        <v>X</v>
      </c>
      <c r="H10436" s="1" t="str">
        <f t="shared" si="2340"/>
        <v>X</v>
      </c>
      <c r="I10436" s="1" t="str">
        <f t="shared" si="2340"/>
        <v>X</v>
      </c>
      <c r="J10436" s="1" t="str">
        <f t="shared" si="2340"/>
        <v>X</v>
      </c>
      <c r="K10436" s="1" t="str">
        <f t="shared" si="2340"/>
        <v>X</v>
      </c>
      <c r="L10436" s="1" t="str">
        <f t="shared" si="2340"/>
        <v>X</v>
      </c>
      <c r="M10436" s="1" t="str">
        <f t="shared" si="2340"/>
        <v>X</v>
      </c>
      <c r="N10436" t="s">
        <v>27</v>
      </c>
    </row>
    <row r="10437" spans="1:14" x14ac:dyDescent="0.25">
      <c r="A10437" t="s">
        <v>43</v>
      </c>
      <c r="B10437" t="s">
        <v>40</v>
      </c>
      <c r="C10437" t="s">
        <v>38</v>
      </c>
      <c r="D10437" t="s">
        <v>32</v>
      </c>
      <c r="E10437" t="s">
        <v>22</v>
      </c>
      <c r="F10437" t="s">
        <v>15</v>
      </c>
      <c r="G10437" s="2">
        <f>VALUE(640.11)</f>
        <v>640.11</v>
      </c>
      <c r="H10437" s="3">
        <f>VALUE(528.3)</f>
        <v>528.29999999999995</v>
      </c>
      <c r="I10437" s="1">
        <f>VALUE(3528)</f>
        <v>3528</v>
      </c>
      <c r="J10437" s="1">
        <f>VALUE(4441)</f>
        <v>4441</v>
      </c>
      <c r="K10437" s="6">
        <f>VALUE(5357)</f>
        <v>5357</v>
      </c>
      <c r="L10437" s="1">
        <f>VALUE(6649)</f>
        <v>6649</v>
      </c>
      <c r="M10437" s="1">
        <f>VALUE(7751)</f>
        <v>7751</v>
      </c>
      <c r="N10437" t="s">
        <v>25</v>
      </c>
    </row>
    <row r="10438" spans="1:14" x14ac:dyDescent="0.25">
      <c r="A10438" t="s">
        <v>43</v>
      </c>
      <c r="B10438" t="s">
        <v>40</v>
      </c>
      <c r="C10438" t="s">
        <v>38</v>
      </c>
      <c r="D10438" t="s">
        <v>32</v>
      </c>
      <c r="E10438" t="s">
        <v>22</v>
      </c>
      <c r="F10438" t="s">
        <v>17</v>
      </c>
      <c r="G10438" s="1" t="str">
        <f t="shared" ref="G10438:M10440" si="2341">"X"</f>
        <v>X</v>
      </c>
      <c r="H10438" s="1" t="str">
        <f t="shared" si="2341"/>
        <v>X</v>
      </c>
      <c r="I10438" s="1" t="str">
        <f t="shared" si="2341"/>
        <v>X</v>
      </c>
      <c r="J10438" s="1" t="str">
        <f t="shared" si="2341"/>
        <v>X</v>
      </c>
      <c r="K10438" s="1" t="str">
        <f t="shared" si="2341"/>
        <v>X</v>
      </c>
      <c r="L10438" s="1" t="str">
        <f t="shared" si="2341"/>
        <v>X</v>
      </c>
      <c r="M10438" s="1" t="str">
        <f t="shared" si="2341"/>
        <v>X</v>
      </c>
      <c r="N10438" t="s">
        <v>27</v>
      </c>
    </row>
    <row r="10439" spans="1:14" x14ac:dyDescent="0.25">
      <c r="A10439" t="s">
        <v>43</v>
      </c>
      <c r="B10439" t="s">
        <v>40</v>
      </c>
      <c r="C10439" t="s">
        <v>38</v>
      </c>
      <c r="D10439" t="s">
        <v>32</v>
      </c>
      <c r="E10439" t="s">
        <v>22</v>
      </c>
      <c r="F10439" t="s">
        <v>18</v>
      </c>
      <c r="G10439" s="1" t="str">
        <f t="shared" si="2341"/>
        <v>X</v>
      </c>
      <c r="H10439" s="1" t="str">
        <f t="shared" si="2341"/>
        <v>X</v>
      </c>
      <c r="I10439" s="1" t="str">
        <f t="shared" si="2341"/>
        <v>X</v>
      </c>
      <c r="J10439" s="1" t="str">
        <f t="shared" si="2341"/>
        <v>X</v>
      </c>
      <c r="K10439" s="1" t="str">
        <f t="shared" si="2341"/>
        <v>X</v>
      </c>
      <c r="L10439" s="1" t="str">
        <f t="shared" si="2341"/>
        <v>X</v>
      </c>
      <c r="M10439" s="1" t="str">
        <f t="shared" si="2341"/>
        <v>X</v>
      </c>
      <c r="N10439" t="s">
        <v>27</v>
      </c>
    </row>
    <row r="10440" spans="1:14" x14ac:dyDescent="0.25">
      <c r="A10440" t="s">
        <v>43</v>
      </c>
      <c r="B10440" t="s">
        <v>40</v>
      </c>
      <c r="C10440" t="s">
        <v>38</v>
      </c>
      <c r="D10440" t="s">
        <v>32</v>
      </c>
      <c r="E10440" t="s">
        <v>22</v>
      </c>
      <c r="F10440" t="s">
        <v>19</v>
      </c>
      <c r="G10440" s="1" t="str">
        <f t="shared" si="2341"/>
        <v>X</v>
      </c>
      <c r="H10440" s="1" t="str">
        <f t="shared" si="2341"/>
        <v>X</v>
      </c>
      <c r="I10440" s="1" t="str">
        <f t="shared" si="2341"/>
        <v>X</v>
      </c>
      <c r="J10440" s="1" t="str">
        <f t="shared" si="2341"/>
        <v>X</v>
      </c>
      <c r="K10440" s="1" t="str">
        <f t="shared" si="2341"/>
        <v>X</v>
      </c>
      <c r="L10440" s="1" t="str">
        <f t="shared" si="2341"/>
        <v>X</v>
      </c>
      <c r="M10440" s="1" t="str">
        <f t="shared" si="2341"/>
        <v>X</v>
      </c>
      <c r="N10440" t="s">
        <v>27</v>
      </c>
    </row>
    <row r="10441" spans="1:14" x14ac:dyDescent="0.25">
      <c r="A10441" t="s">
        <v>43</v>
      </c>
      <c r="B10441" t="s">
        <v>40</v>
      </c>
      <c r="C10441" t="s">
        <v>38</v>
      </c>
      <c r="D10441" t="s">
        <v>32</v>
      </c>
      <c r="E10441" t="s">
        <v>22</v>
      </c>
      <c r="F10441" t="s">
        <v>20</v>
      </c>
      <c r="G10441" s="2">
        <f>VALUE(426.82)</f>
        <v>426.82</v>
      </c>
      <c r="H10441" s="3">
        <f>VALUE(342.46)</f>
        <v>342.46</v>
      </c>
      <c r="I10441" s="1">
        <f>VALUE(3527)</f>
        <v>3527</v>
      </c>
      <c r="J10441" s="1">
        <f>VALUE(4333)</f>
        <v>4333</v>
      </c>
      <c r="K10441" s="1">
        <f>VALUE(5076)</f>
        <v>5076</v>
      </c>
      <c r="L10441" s="1">
        <f>VALUE(6114)</f>
        <v>6114</v>
      </c>
      <c r="M10441" s="1">
        <f>VALUE(7446)</f>
        <v>7446</v>
      </c>
      <c r="N10441" t="s">
        <v>25</v>
      </c>
    </row>
    <row r="10442" spans="1:14" x14ac:dyDescent="0.25">
      <c r="A10442" t="s">
        <v>43</v>
      </c>
      <c r="B10442" t="s">
        <v>40</v>
      </c>
      <c r="C10442" t="s">
        <v>38</v>
      </c>
      <c r="D10442" t="s">
        <v>32</v>
      </c>
      <c r="E10442" t="s">
        <v>23</v>
      </c>
      <c r="F10442" t="s">
        <v>15</v>
      </c>
      <c r="G10442" s="2">
        <f>VALUE(1725.86)</f>
        <v>1725.86</v>
      </c>
      <c r="H10442" s="3">
        <f>VALUE(1050.42)</f>
        <v>1050.42</v>
      </c>
      <c r="I10442" s="4">
        <f>VALUE(2724)</f>
        <v>2724</v>
      </c>
      <c r="J10442" s="1">
        <f>VALUE(3005)</f>
        <v>3005</v>
      </c>
      <c r="K10442" s="1">
        <f>VALUE(3529)</f>
        <v>3529</v>
      </c>
      <c r="L10442" s="1">
        <f>VALUE(4128)</f>
        <v>4128</v>
      </c>
      <c r="M10442" s="1">
        <f>VALUE(4763)</f>
        <v>4763</v>
      </c>
      <c r="N10442" t="s">
        <v>25</v>
      </c>
    </row>
    <row r="10443" spans="1:14" x14ac:dyDescent="0.25">
      <c r="A10443" t="s">
        <v>43</v>
      </c>
      <c r="B10443" t="s">
        <v>40</v>
      </c>
      <c r="C10443" t="s">
        <v>38</v>
      </c>
      <c r="D10443" t="s">
        <v>32</v>
      </c>
      <c r="E10443" t="s">
        <v>23</v>
      </c>
      <c r="F10443" t="s">
        <v>17</v>
      </c>
      <c r="G10443" s="1" t="str">
        <f t="shared" ref="G10443:M10445" si="2342">"X"</f>
        <v>X</v>
      </c>
      <c r="H10443" s="1" t="str">
        <f t="shared" si="2342"/>
        <v>X</v>
      </c>
      <c r="I10443" s="1" t="str">
        <f t="shared" si="2342"/>
        <v>X</v>
      </c>
      <c r="J10443" s="1" t="str">
        <f t="shared" si="2342"/>
        <v>X</v>
      </c>
      <c r="K10443" s="1" t="str">
        <f t="shared" si="2342"/>
        <v>X</v>
      </c>
      <c r="L10443" s="1" t="str">
        <f t="shared" si="2342"/>
        <v>X</v>
      </c>
      <c r="M10443" s="1" t="str">
        <f t="shared" si="2342"/>
        <v>X</v>
      </c>
      <c r="N10443" t="s">
        <v>27</v>
      </c>
    </row>
    <row r="10444" spans="1:14" x14ac:dyDescent="0.25">
      <c r="A10444" t="s">
        <v>43</v>
      </c>
      <c r="B10444" t="s">
        <v>40</v>
      </c>
      <c r="C10444" t="s">
        <v>38</v>
      </c>
      <c r="D10444" t="s">
        <v>32</v>
      </c>
      <c r="E10444" t="s">
        <v>23</v>
      </c>
      <c r="F10444" t="s">
        <v>18</v>
      </c>
      <c r="G10444" s="1" t="str">
        <f t="shared" si="2342"/>
        <v>X</v>
      </c>
      <c r="H10444" s="1" t="str">
        <f t="shared" si="2342"/>
        <v>X</v>
      </c>
      <c r="I10444" s="1" t="str">
        <f t="shared" si="2342"/>
        <v>X</v>
      </c>
      <c r="J10444" s="1" t="str">
        <f t="shared" si="2342"/>
        <v>X</v>
      </c>
      <c r="K10444" s="1" t="str">
        <f t="shared" si="2342"/>
        <v>X</v>
      </c>
      <c r="L10444" s="1" t="str">
        <f t="shared" si="2342"/>
        <v>X</v>
      </c>
      <c r="M10444" s="1" t="str">
        <f t="shared" si="2342"/>
        <v>X</v>
      </c>
      <c r="N10444" t="s">
        <v>27</v>
      </c>
    </row>
    <row r="10445" spans="1:14" x14ac:dyDescent="0.25">
      <c r="A10445" t="s">
        <v>43</v>
      </c>
      <c r="B10445" t="s">
        <v>40</v>
      </c>
      <c r="C10445" t="s">
        <v>38</v>
      </c>
      <c r="D10445" t="s">
        <v>32</v>
      </c>
      <c r="E10445" t="s">
        <v>23</v>
      </c>
      <c r="F10445" t="s">
        <v>19</v>
      </c>
      <c r="G10445" s="1" t="str">
        <f t="shared" si="2342"/>
        <v>X</v>
      </c>
      <c r="H10445" s="1" t="str">
        <f t="shared" si="2342"/>
        <v>X</v>
      </c>
      <c r="I10445" s="1" t="str">
        <f t="shared" si="2342"/>
        <v>X</v>
      </c>
      <c r="J10445" s="1" t="str">
        <f t="shared" si="2342"/>
        <v>X</v>
      </c>
      <c r="K10445" s="1" t="str">
        <f t="shared" si="2342"/>
        <v>X</v>
      </c>
      <c r="L10445" s="1" t="str">
        <f t="shared" si="2342"/>
        <v>X</v>
      </c>
      <c r="M10445" s="1" t="str">
        <f t="shared" si="2342"/>
        <v>X</v>
      </c>
      <c r="N10445" t="s">
        <v>27</v>
      </c>
    </row>
    <row r="10446" spans="1:14" x14ac:dyDescent="0.25">
      <c r="A10446" t="s">
        <v>43</v>
      </c>
      <c r="B10446" t="s">
        <v>40</v>
      </c>
      <c r="C10446" t="s">
        <v>38</v>
      </c>
      <c r="D10446" t="s">
        <v>32</v>
      </c>
      <c r="E10446" t="s">
        <v>23</v>
      </c>
      <c r="F10446" t="s">
        <v>20</v>
      </c>
      <c r="G10446" s="2">
        <f>VALUE(1621.78)</f>
        <v>1621.78</v>
      </c>
      <c r="H10446" s="3">
        <f>VALUE(964.66)</f>
        <v>964.66</v>
      </c>
      <c r="I10446" s="1">
        <f>VALUE(2710)</f>
        <v>2710</v>
      </c>
      <c r="J10446" s="1">
        <f>VALUE(2984)</f>
        <v>2984</v>
      </c>
      <c r="K10446" s="1">
        <f>VALUE(3529)</f>
        <v>3529</v>
      </c>
      <c r="L10446" s="1">
        <f>VALUE(3982)</f>
        <v>3982</v>
      </c>
      <c r="M10446" s="1">
        <f>VALUE(4612)</f>
        <v>4612</v>
      </c>
      <c r="N10446" t="s">
        <v>25</v>
      </c>
    </row>
    <row r="10447" spans="1:14" x14ac:dyDescent="0.25">
      <c r="A10447" t="s">
        <v>43</v>
      </c>
      <c r="B10447" t="s">
        <v>40</v>
      </c>
      <c r="C10447" t="s">
        <v>38</v>
      </c>
      <c r="D10447" t="s">
        <v>32</v>
      </c>
      <c r="E10447" t="s">
        <v>26</v>
      </c>
      <c r="F10447" t="s">
        <v>15</v>
      </c>
      <c r="G10447" s="1" t="str">
        <f t="shared" ref="G10447:M10449" si="2343">"X"</f>
        <v>X</v>
      </c>
      <c r="H10447" s="1" t="str">
        <f t="shared" si="2343"/>
        <v>X</v>
      </c>
      <c r="I10447" s="1" t="str">
        <f t="shared" si="2343"/>
        <v>X</v>
      </c>
      <c r="J10447" s="1" t="str">
        <f t="shared" si="2343"/>
        <v>X</v>
      </c>
      <c r="K10447" s="1" t="str">
        <f t="shared" si="2343"/>
        <v>X</v>
      </c>
      <c r="L10447" s="1" t="str">
        <f t="shared" si="2343"/>
        <v>X</v>
      </c>
      <c r="M10447" s="1" t="str">
        <f t="shared" si="2343"/>
        <v>X</v>
      </c>
      <c r="N10447" t="s">
        <v>27</v>
      </c>
    </row>
    <row r="10448" spans="1:14" x14ac:dyDescent="0.25">
      <c r="A10448" t="s">
        <v>43</v>
      </c>
      <c r="B10448" t="s">
        <v>40</v>
      </c>
      <c r="C10448" t="s">
        <v>38</v>
      </c>
      <c r="D10448" t="s">
        <v>32</v>
      </c>
      <c r="E10448" t="s">
        <v>26</v>
      </c>
      <c r="F10448" t="s">
        <v>17</v>
      </c>
      <c r="G10448" s="1" t="str">
        <f t="shared" si="2343"/>
        <v>X</v>
      </c>
      <c r="H10448" s="1" t="str">
        <f t="shared" si="2343"/>
        <v>X</v>
      </c>
      <c r="I10448" s="1" t="str">
        <f t="shared" si="2343"/>
        <v>X</v>
      </c>
      <c r="J10448" s="1" t="str">
        <f t="shared" si="2343"/>
        <v>X</v>
      </c>
      <c r="K10448" s="1" t="str">
        <f t="shared" si="2343"/>
        <v>X</v>
      </c>
      <c r="L10448" s="1" t="str">
        <f t="shared" si="2343"/>
        <v>X</v>
      </c>
      <c r="M10448" s="1" t="str">
        <f t="shared" si="2343"/>
        <v>X</v>
      </c>
      <c r="N10448" t="s">
        <v>27</v>
      </c>
    </row>
    <row r="10449" spans="1:14" x14ac:dyDescent="0.25">
      <c r="A10449" t="s">
        <v>43</v>
      </c>
      <c r="B10449" t="s">
        <v>40</v>
      </c>
      <c r="C10449" t="s">
        <v>38</v>
      </c>
      <c r="D10449" t="s">
        <v>32</v>
      </c>
      <c r="E10449" t="s">
        <v>26</v>
      </c>
      <c r="F10449" t="s">
        <v>18</v>
      </c>
      <c r="G10449" s="1" t="str">
        <f t="shared" si="2343"/>
        <v>X</v>
      </c>
      <c r="H10449" s="1" t="str">
        <f t="shared" si="2343"/>
        <v>X</v>
      </c>
      <c r="I10449" s="1" t="str">
        <f t="shared" si="2343"/>
        <v>X</v>
      </c>
      <c r="J10449" s="1" t="str">
        <f t="shared" si="2343"/>
        <v>X</v>
      </c>
      <c r="K10449" s="1" t="str">
        <f t="shared" si="2343"/>
        <v>X</v>
      </c>
      <c r="L10449" s="1" t="str">
        <f t="shared" si="2343"/>
        <v>X</v>
      </c>
      <c r="M10449" s="1" t="str">
        <f t="shared" si="2343"/>
        <v>X</v>
      </c>
      <c r="N10449" t="s">
        <v>27</v>
      </c>
    </row>
    <row r="10450" spans="1:14" x14ac:dyDescent="0.25">
      <c r="A10450" t="s">
        <v>43</v>
      </c>
      <c r="B10450" t="s">
        <v>40</v>
      </c>
      <c r="C10450" t="s">
        <v>38</v>
      </c>
      <c r="D10450" t="s">
        <v>32</v>
      </c>
      <c r="E10450" t="s">
        <v>26</v>
      </c>
      <c r="F10450" t="s">
        <v>19</v>
      </c>
      <c r="G10450" s="1" t="str">
        <f t="shared" ref="G10450:M10450" si="2344">"..."</f>
        <v>...</v>
      </c>
      <c r="H10450" s="1" t="str">
        <f t="shared" si="2344"/>
        <v>...</v>
      </c>
      <c r="I10450" s="1" t="str">
        <f t="shared" si="2344"/>
        <v>...</v>
      </c>
      <c r="J10450" s="1" t="str">
        <f t="shared" si="2344"/>
        <v>...</v>
      </c>
      <c r="K10450" s="1" t="str">
        <f t="shared" si="2344"/>
        <v>...</v>
      </c>
      <c r="L10450" s="1" t="str">
        <f t="shared" si="2344"/>
        <v>...</v>
      </c>
      <c r="M10450" s="1" t="str">
        <f t="shared" si="2344"/>
        <v>...</v>
      </c>
      <c r="N10450" t="s">
        <v>30</v>
      </c>
    </row>
    <row r="10451" spans="1:14" x14ac:dyDescent="0.25">
      <c r="A10451" t="s">
        <v>43</v>
      </c>
      <c r="B10451" t="s">
        <v>40</v>
      </c>
      <c r="C10451" t="s">
        <v>38</v>
      </c>
      <c r="D10451" t="s">
        <v>32</v>
      </c>
      <c r="E10451" t="s">
        <v>26</v>
      </c>
      <c r="F10451" t="s">
        <v>20</v>
      </c>
      <c r="G10451" s="1" t="str">
        <f t="shared" ref="G10451:M10453" si="2345">"X"</f>
        <v>X</v>
      </c>
      <c r="H10451" s="1" t="str">
        <f t="shared" si="2345"/>
        <v>X</v>
      </c>
      <c r="I10451" s="1" t="str">
        <f t="shared" si="2345"/>
        <v>X</v>
      </c>
      <c r="J10451" s="1" t="str">
        <f t="shared" si="2345"/>
        <v>X</v>
      </c>
      <c r="K10451" s="1" t="str">
        <f t="shared" si="2345"/>
        <v>X</v>
      </c>
      <c r="L10451" s="1" t="str">
        <f t="shared" si="2345"/>
        <v>X</v>
      </c>
      <c r="M10451" s="1" t="str">
        <f t="shared" si="2345"/>
        <v>X</v>
      </c>
      <c r="N10451" t="s">
        <v>27</v>
      </c>
    </row>
    <row r="10452" spans="1:14" x14ac:dyDescent="0.25">
      <c r="A10452" t="s">
        <v>43</v>
      </c>
      <c r="B10452" t="s">
        <v>40</v>
      </c>
      <c r="C10452" t="s">
        <v>38</v>
      </c>
      <c r="D10452" t="s">
        <v>33</v>
      </c>
      <c r="E10452" t="s">
        <v>15</v>
      </c>
      <c r="F10452" t="s">
        <v>15</v>
      </c>
      <c r="G10452" s="1" t="str">
        <f t="shared" si="2345"/>
        <v>X</v>
      </c>
      <c r="H10452" s="1" t="str">
        <f t="shared" si="2345"/>
        <v>X</v>
      </c>
      <c r="I10452" s="1" t="str">
        <f t="shared" si="2345"/>
        <v>X</v>
      </c>
      <c r="J10452" s="1" t="str">
        <f t="shared" si="2345"/>
        <v>X</v>
      </c>
      <c r="K10452" s="1" t="str">
        <f t="shared" si="2345"/>
        <v>X</v>
      </c>
      <c r="L10452" s="1" t="str">
        <f t="shared" si="2345"/>
        <v>X</v>
      </c>
      <c r="M10452" s="1" t="str">
        <f t="shared" si="2345"/>
        <v>X</v>
      </c>
      <c r="N10452" t="s">
        <v>27</v>
      </c>
    </row>
    <row r="10453" spans="1:14" x14ac:dyDescent="0.25">
      <c r="A10453" t="s">
        <v>43</v>
      </c>
      <c r="B10453" t="s">
        <v>40</v>
      </c>
      <c r="C10453" t="s">
        <v>38</v>
      </c>
      <c r="D10453" t="s">
        <v>33</v>
      </c>
      <c r="E10453" t="s">
        <v>15</v>
      </c>
      <c r="F10453" t="s">
        <v>17</v>
      </c>
      <c r="G10453" s="1" t="str">
        <f t="shared" si="2345"/>
        <v>X</v>
      </c>
      <c r="H10453" s="1" t="str">
        <f t="shared" si="2345"/>
        <v>X</v>
      </c>
      <c r="I10453" s="1" t="str">
        <f t="shared" si="2345"/>
        <v>X</v>
      </c>
      <c r="J10453" s="1" t="str">
        <f t="shared" si="2345"/>
        <v>X</v>
      </c>
      <c r="K10453" s="1" t="str">
        <f t="shared" si="2345"/>
        <v>X</v>
      </c>
      <c r="L10453" s="1" t="str">
        <f t="shared" si="2345"/>
        <v>X</v>
      </c>
      <c r="M10453" s="1" t="str">
        <f t="shared" si="2345"/>
        <v>X</v>
      </c>
      <c r="N10453" t="s">
        <v>27</v>
      </c>
    </row>
    <row r="10454" spans="1:14" x14ac:dyDescent="0.25">
      <c r="A10454" t="s">
        <v>43</v>
      </c>
      <c r="B10454" t="s">
        <v>40</v>
      </c>
      <c r="C10454" t="s">
        <v>38</v>
      </c>
      <c r="D10454" t="s">
        <v>33</v>
      </c>
      <c r="E10454" t="s">
        <v>15</v>
      </c>
      <c r="F10454" t="s">
        <v>18</v>
      </c>
      <c r="G10454" s="1" t="str">
        <f t="shared" ref="G10454:M10455" si="2346">"..."</f>
        <v>...</v>
      </c>
      <c r="H10454" s="1" t="str">
        <f t="shared" si="2346"/>
        <v>...</v>
      </c>
      <c r="I10454" s="1" t="str">
        <f t="shared" si="2346"/>
        <v>...</v>
      </c>
      <c r="J10454" s="1" t="str">
        <f t="shared" si="2346"/>
        <v>...</v>
      </c>
      <c r="K10454" s="1" t="str">
        <f t="shared" si="2346"/>
        <v>...</v>
      </c>
      <c r="L10454" s="1" t="str">
        <f t="shared" si="2346"/>
        <v>...</v>
      </c>
      <c r="M10454" s="1" t="str">
        <f t="shared" si="2346"/>
        <v>...</v>
      </c>
      <c r="N10454" t="s">
        <v>30</v>
      </c>
    </row>
    <row r="10455" spans="1:14" x14ac:dyDescent="0.25">
      <c r="A10455" t="s">
        <v>43</v>
      </c>
      <c r="B10455" t="s">
        <v>40</v>
      </c>
      <c r="C10455" t="s">
        <v>38</v>
      </c>
      <c r="D10455" t="s">
        <v>33</v>
      </c>
      <c r="E10455" t="s">
        <v>15</v>
      </c>
      <c r="F10455" t="s">
        <v>19</v>
      </c>
      <c r="G10455" s="1" t="str">
        <f t="shared" si="2346"/>
        <v>...</v>
      </c>
      <c r="H10455" s="1" t="str">
        <f t="shared" si="2346"/>
        <v>...</v>
      </c>
      <c r="I10455" s="1" t="str">
        <f t="shared" si="2346"/>
        <v>...</v>
      </c>
      <c r="J10455" s="1" t="str">
        <f t="shared" si="2346"/>
        <v>...</v>
      </c>
      <c r="K10455" s="1" t="str">
        <f t="shared" si="2346"/>
        <v>...</v>
      </c>
      <c r="L10455" s="1" t="str">
        <f t="shared" si="2346"/>
        <v>...</v>
      </c>
      <c r="M10455" s="1" t="str">
        <f t="shared" si="2346"/>
        <v>...</v>
      </c>
      <c r="N10455" t="s">
        <v>30</v>
      </c>
    </row>
    <row r="10456" spans="1:14" x14ac:dyDescent="0.25">
      <c r="A10456" t="s">
        <v>43</v>
      </c>
      <c r="B10456" t="s">
        <v>40</v>
      </c>
      <c r="C10456" t="s">
        <v>38</v>
      </c>
      <c r="D10456" t="s">
        <v>33</v>
      </c>
      <c r="E10456" t="s">
        <v>15</v>
      </c>
      <c r="F10456" t="s">
        <v>20</v>
      </c>
      <c r="G10456" s="1" t="str">
        <f t="shared" ref="G10456:M10458" si="2347">"X"</f>
        <v>X</v>
      </c>
      <c r="H10456" s="1" t="str">
        <f t="shared" si="2347"/>
        <v>X</v>
      </c>
      <c r="I10456" s="1" t="str">
        <f t="shared" si="2347"/>
        <v>X</v>
      </c>
      <c r="J10456" s="1" t="str">
        <f t="shared" si="2347"/>
        <v>X</v>
      </c>
      <c r="K10456" s="1" t="str">
        <f t="shared" si="2347"/>
        <v>X</v>
      </c>
      <c r="L10456" s="1" t="str">
        <f t="shared" si="2347"/>
        <v>X</v>
      </c>
      <c r="M10456" s="1" t="str">
        <f t="shared" si="2347"/>
        <v>X</v>
      </c>
      <c r="N10456" t="s">
        <v>27</v>
      </c>
    </row>
    <row r="10457" spans="1:14" x14ac:dyDescent="0.25">
      <c r="A10457" t="s">
        <v>43</v>
      </c>
      <c r="B10457" t="s">
        <v>40</v>
      </c>
      <c r="C10457" t="s">
        <v>38</v>
      </c>
      <c r="D10457" t="s">
        <v>33</v>
      </c>
      <c r="E10457" t="s">
        <v>21</v>
      </c>
      <c r="F10457" t="s">
        <v>15</v>
      </c>
      <c r="G10457" s="1" t="str">
        <f t="shared" si="2347"/>
        <v>X</v>
      </c>
      <c r="H10457" s="1" t="str">
        <f t="shared" si="2347"/>
        <v>X</v>
      </c>
      <c r="I10457" s="1" t="str">
        <f t="shared" si="2347"/>
        <v>X</v>
      </c>
      <c r="J10457" s="1" t="str">
        <f t="shared" si="2347"/>
        <v>X</v>
      </c>
      <c r="K10457" s="1" t="str">
        <f t="shared" si="2347"/>
        <v>X</v>
      </c>
      <c r="L10457" s="1" t="str">
        <f t="shared" si="2347"/>
        <v>X</v>
      </c>
      <c r="M10457" s="1" t="str">
        <f t="shared" si="2347"/>
        <v>X</v>
      </c>
      <c r="N10457" t="s">
        <v>27</v>
      </c>
    </row>
    <row r="10458" spans="1:14" x14ac:dyDescent="0.25">
      <c r="A10458" t="s">
        <v>43</v>
      </c>
      <c r="B10458" t="s">
        <v>40</v>
      </c>
      <c r="C10458" t="s">
        <v>38</v>
      </c>
      <c r="D10458" t="s">
        <v>33</v>
      </c>
      <c r="E10458" t="s">
        <v>21</v>
      </c>
      <c r="F10458" t="s">
        <v>17</v>
      </c>
      <c r="G10458" s="1" t="str">
        <f t="shared" si="2347"/>
        <v>X</v>
      </c>
      <c r="H10458" s="1" t="str">
        <f t="shared" si="2347"/>
        <v>X</v>
      </c>
      <c r="I10458" s="1" t="str">
        <f t="shared" si="2347"/>
        <v>X</v>
      </c>
      <c r="J10458" s="1" t="str">
        <f t="shared" si="2347"/>
        <v>X</v>
      </c>
      <c r="K10458" s="1" t="str">
        <f t="shared" si="2347"/>
        <v>X</v>
      </c>
      <c r="L10458" s="1" t="str">
        <f t="shared" si="2347"/>
        <v>X</v>
      </c>
      <c r="M10458" s="1" t="str">
        <f t="shared" si="2347"/>
        <v>X</v>
      </c>
      <c r="N10458" t="s">
        <v>27</v>
      </c>
    </row>
    <row r="10459" spans="1:14" x14ac:dyDescent="0.25">
      <c r="A10459" t="s">
        <v>43</v>
      </c>
      <c r="B10459" t="s">
        <v>40</v>
      </c>
      <c r="C10459" t="s">
        <v>38</v>
      </c>
      <c r="D10459" t="s">
        <v>33</v>
      </c>
      <c r="E10459" t="s">
        <v>21</v>
      </c>
      <c r="F10459" t="s">
        <v>18</v>
      </c>
      <c r="G10459" s="1" t="str">
        <f t="shared" ref="G10459:M10461" si="2348">"..."</f>
        <v>...</v>
      </c>
      <c r="H10459" s="1" t="str">
        <f t="shared" si="2348"/>
        <v>...</v>
      </c>
      <c r="I10459" s="1" t="str">
        <f t="shared" si="2348"/>
        <v>...</v>
      </c>
      <c r="J10459" s="1" t="str">
        <f t="shared" si="2348"/>
        <v>...</v>
      </c>
      <c r="K10459" s="1" t="str">
        <f t="shared" si="2348"/>
        <v>...</v>
      </c>
      <c r="L10459" s="1" t="str">
        <f t="shared" si="2348"/>
        <v>...</v>
      </c>
      <c r="M10459" s="1" t="str">
        <f t="shared" si="2348"/>
        <v>...</v>
      </c>
      <c r="N10459" t="s">
        <v>30</v>
      </c>
    </row>
    <row r="10460" spans="1:14" x14ac:dyDescent="0.25">
      <c r="A10460" t="s">
        <v>43</v>
      </c>
      <c r="B10460" t="s">
        <v>40</v>
      </c>
      <c r="C10460" t="s">
        <v>38</v>
      </c>
      <c r="D10460" t="s">
        <v>33</v>
      </c>
      <c r="E10460" t="s">
        <v>21</v>
      </c>
      <c r="F10460" t="s">
        <v>19</v>
      </c>
      <c r="G10460" s="1" t="str">
        <f t="shared" si="2348"/>
        <v>...</v>
      </c>
      <c r="H10460" s="1" t="str">
        <f t="shared" si="2348"/>
        <v>...</v>
      </c>
      <c r="I10460" s="1" t="str">
        <f t="shared" si="2348"/>
        <v>...</v>
      </c>
      <c r="J10460" s="1" t="str">
        <f t="shared" si="2348"/>
        <v>...</v>
      </c>
      <c r="K10460" s="1" t="str">
        <f t="shared" si="2348"/>
        <v>...</v>
      </c>
      <c r="L10460" s="1" t="str">
        <f t="shared" si="2348"/>
        <v>...</v>
      </c>
      <c r="M10460" s="1" t="str">
        <f t="shared" si="2348"/>
        <v>...</v>
      </c>
      <c r="N10460" t="s">
        <v>30</v>
      </c>
    </row>
    <row r="10461" spans="1:14" x14ac:dyDescent="0.25">
      <c r="A10461" t="s">
        <v>43</v>
      </c>
      <c r="B10461" t="s">
        <v>40</v>
      </c>
      <c r="C10461" t="s">
        <v>38</v>
      </c>
      <c r="D10461" t="s">
        <v>33</v>
      </c>
      <c r="E10461" t="s">
        <v>21</v>
      </c>
      <c r="F10461" t="s">
        <v>20</v>
      </c>
      <c r="G10461" s="1" t="str">
        <f t="shared" si="2348"/>
        <v>...</v>
      </c>
      <c r="H10461" s="1" t="str">
        <f t="shared" si="2348"/>
        <v>...</v>
      </c>
      <c r="I10461" s="1" t="str">
        <f t="shared" si="2348"/>
        <v>...</v>
      </c>
      <c r="J10461" s="1" t="str">
        <f t="shared" si="2348"/>
        <v>...</v>
      </c>
      <c r="K10461" s="1" t="str">
        <f t="shared" si="2348"/>
        <v>...</v>
      </c>
      <c r="L10461" s="1" t="str">
        <f t="shared" si="2348"/>
        <v>...</v>
      </c>
      <c r="M10461" s="1" t="str">
        <f t="shared" si="2348"/>
        <v>...</v>
      </c>
      <c r="N10461" t="s">
        <v>30</v>
      </c>
    </row>
    <row r="10462" spans="1:14" x14ac:dyDescent="0.25">
      <c r="A10462" t="s">
        <v>43</v>
      </c>
      <c r="B10462" t="s">
        <v>40</v>
      </c>
      <c r="C10462" t="s">
        <v>38</v>
      </c>
      <c r="D10462" t="s">
        <v>33</v>
      </c>
      <c r="E10462" t="s">
        <v>22</v>
      </c>
      <c r="F10462" t="s">
        <v>15</v>
      </c>
      <c r="G10462" s="1" t="str">
        <f t="shared" ref="G10462:M10462" si="2349">"X"</f>
        <v>X</v>
      </c>
      <c r="H10462" s="1" t="str">
        <f t="shared" si="2349"/>
        <v>X</v>
      </c>
      <c r="I10462" s="1" t="str">
        <f t="shared" si="2349"/>
        <v>X</v>
      </c>
      <c r="J10462" s="1" t="str">
        <f t="shared" si="2349"/>
        <v>X</v>
      </c>
      <c r="K10462" s="1" t="str">
        <f t="shared" si="2349"/>
        <v>X</v>
      </c>
      <c r="L10462" s="1" t="str">
        <f t="shared" si="2349"/>
        <v>X</v>
      </c>
      <c r="M10462" s="1" t="str">
        <f t="shared" si="2349"/>
        <v>X</v>
      </c>
      <c r="N10462" t="s">
        <v>27</v>
      </c>
    </row>
    <row r="10463" spans="1:14" x14ac:dyDescent="0.25">
      <c r="A10463" t="s">
        <v>43</v>
      </c>
      <c r="B10463" t="s">
        <v>40</v>
      </c>
      <c r="C10463" t="s">
        <v>38</v>
      </c>
      <c r="D10463" t="s">
        <v>33</v>
      </c>
      <c r="E10463" t="s">
        <v>22</v>
      </c>
      <c r="F10463" t="s">
        <v>17</v>
      </c>
      <c r="G10463" s="1" t="str">
        <f t="shared" ref="G10463:M10465" si="2350">"..."</f>
        <v>...</v>
      </c>
      <c r="H10463" s="1" t="str">
        <f t="shared" si="2350"/>
        <v>...</v>
      </c>
      <c r="I10463" s="1" t="str">
        <f t="shared" si="2350"/>
        <v>...</v>
      </c>
      <c r="J10463" s="1" t="str">
        <f t="shared" si="2350"/>
        <v>...</v>
      </c>
      <c r="K10463" s="1" t="str">
        <f t="shared" si="2350"/>
        <v>...</v>
      </c>
      <c r="L10463" s="1" t="str">
        <f t="shared" si="2350"/>
        <v>...</v>
      </c>
      <c r="M10463" s="1" t="str">
        <f t="shared" si="2350"/>
        <v>...</v>
      </c>
      <c r="N10463" t="s">
        <v>30</v>
      </c>
    </row>
    <row r="10464" spans="1:14" x14ac:dyDescent="0.25">
      <c r="A10464" t="s">
        <v>43</v>
      </c>
      <c r="B10464" t="s">
        <v>40</v>
      </c>
      <c r="C10464" t="s">
        <v>38</v>
      </c>
      <c r="D10464" t="s">
        <v>33</v>
      </c>
      <c r="E10464" t="s">
        <v>22</v>
      </c>
      <c r="F10464" t="s">
        <v>18</v>
      </c>
      <c r="G10464" s="1" t="str">
        <f t="shared" si="2350"/>
        <v>...</v>
      </c>
      <c r="H10464" s="1" t="str">
        <f t="shared" si="2350"/>
        <v>...</v>
      </c>
      <c r="I10464" s="1" t="str">
        <f t="shared" si="2350"/>
        <v>...</v>
      </c>
      <c r="J10464" s="1" t="str">
        <f t="shared" si="2350"/>
        <v>...</v>
      </c>
      <c r="K10464" s="1" t="str">
        <f t="shared" si="2350"/>
        <v>...</v>
      </c>
      <c r="L10464" s="1" t="str">
        <f t="shared" si="2350"/>
        <v>...</v>
      </c>
      <c r="M10464" s="1" t="str">
        <f t="shared" si="2350"/>
        <v>...</v>
      </c>
      <c r="N10464" t="s">
        <v>30</v>
      </c>
    </row>
    <row r="10465" spans="1:14" x14ac:dyDescent="0.25">
      <c r="A10465" t="s">
        <v>43</v>
      </c>
      <c r="B10465" t="s">
        <v>40</v>
      </c>
      <c r="C10465" t="s">
        <v>38</v>
      </c>
      <c r="D10465" t="s">
        <v>33</v>
      </c>
      <c r="E10465" t="s">
        <v>22</v>
      </c>
      <c r="F10465" t="s">
        <v>19</v>
      </c>
      <c r="G10465" s="1" t="str">
        <f t="shared" si="2350"/>
        <v>...</v>
      </c>
      <c r="H10465" s="1" t="str">
        <f t="shared" si="2350"/>
        <v>...</v>
      </c>
      <c r="I10465" s="1" t="str">
        <f t="shared" si="2350"/>
        <v>...</v>
      </c>
      <c r="J10465" s="1" t="str">
        <f t="shared" si="2350"/>
        <v>...</v>
      </c>
      <c r="K10465" s="1" t="str">
        <f t="shared" si="2350"/>
        <v>...</v>
      </c>
      <c r="L10465" s="1" t="str">
        <f t="shared" si="2350"/>
        <v>...</v>
      </c>
      <c r="M10465" s="1" t="str">
        <f t="shared" si="2350"/>
        <v>...</v>
      </c>
      <c r="N10465" t="s">
        <v>30</v>
      </c>
    </row>
    <row r="10466" spans="1:14" x14ac:dyDescent="0.25">
      <c r="A10466" t="s">
        <v>43</v>
      </c>
      <c r="B10466" t="s">
        <v>40</v>
      </c>
      <c r="C10466" t="s">
        <v>38</v>
      </c>
      <c r="D10466" t="s">
        <v>33</v>
      </c>
      <c r="E10466" t="s">
        <v>22</v>
      </c>
      <c r="F10466" t="s">
        <v>20</v>
      </c>
      <c r="G10466" s="1" t="str">
        <f t="shared" ref="G10466:M10467" si="2351">"X"</f>
        <v>X</v>
      </c>
      <c r="H10466" s="1" t="str">
        <f t="shared" si="2351"/>
        <v>X</v>
      </c>
      <c r="I10466" s="1" t="str">
        <f t="shared" si="2351"/>
        <v>X</v>
      </c>
      <c r="J10466" s="1" t="str">
        <f t="shared" si="2351"/>
        <v>X</v>
      </c>
      <c r="K10466" s="1" t="str">
        <f t="shared" si="2351"/>
        <v>X</v>
      </c>
      <c r="L10466" s="1" t="str">
        <f t="shared" si="2351"/>
        <v>X</v>
      </c>
      <c r="M10466" s="1" t="str">
        <f t="shared" si="2351"/>
        <v>X</v>
      </c>
      <c r="N10466" t="s">
        <v>27</v>
      </c>
    </row>
    <row r="10467" spans="1:14" x14ac:dyDescent="0.25">
      <c r="A10467" t="s">
        <v>43</v>
      </c>
      <c r="B10467" t="s">
        <v>40</v>
      </c>
      <c r="C10467" t="s">
        <v>38</v>
      </c>
      <c r="D10467" t="s">
        <v>33</v>
      </c>
      <c r="E10467" t="s">
        <v>23</v>
      </c>
      <c r="F10467" t="s">
        <v>15</v>
      </c>
      <c r="G10467" s="1" t="str">
        <f t="shared" si="2351"/>
        <v>X</v>
      </c>
      <c r="H10467" s="1" t="str">
        <f t="shared" si="2351"/>
        <v>X</v>
      </c>
      <c r="I10467" s="1" t="str">
        <f t="shared" si="2351"/>
        <v>X</v>
      </c>
      <c r="J10467" s="1" t="str">
        <f t="shared" si="2351"/>
        <v>X</v>
      </c>
      <c r="K10467" s="1" t="str">
        <f t="shared" si="2351"/>
        <v>X</v>
      </c>
      <c r="L10467" s="1" t="str">
        <f t="shared" si="2351"/>
        <v>X</v>
      </c>
      <c r="M10467" s="1" t="str">
        <f t="shared" si="2351"/>
        <v>X</v>
      </c>
      <c r="N10467" t="s">
        <v>27</v>
      </c>
    </row>
    <row r="10468" spans="1:14" x14ac:dyDescent="0.25">
      <c r="A10468" t="s">
        <v>43</v>
      </c>
      <c r="B10468" t="s">
        <v>40</v>
      </c>
      <c r="C10468" t="s">
        <v>38</v>
      </c>
      <c r="D10468" t="s">
        <v>33</v>
      </c>
      <c r="E10468" t="s">
        <v>23</v>
      </c>
      <c r="F10468" t="s">
        <v>17</v>
      </c>
      <c r="G10468" s="1" t="str">
        <f t="shared" ref="G10468:M10470" si="2352">"..."</f>
        <v>...</v>
      </c>
      <c r="H10468" s="1" t="str">
        <f t="shared" si="2352"/>
        <v>...</v>
      </c>
      <c r="I10468" s="1" t="str">
        <f t="shared" si="2352"/>
        <v>...</v>
      </c>
      <c r="J10468" s="1" t="str">
        <f t="shared" si="2352"/>
        <v>...</v>
      </c>
      <c r="K10468" s="1" t="str">
        <f t="shared" si="2352"/>
        <v>...</v>
      </c>
      <c r="L10468" s="1" t="str">
        <f t="shared" si="2352"/>
        <v>...</v>
      </c>
      <c r="M10468" s="1" t="str">
        <f t="shared" si="2352"/>
        <v>...</v>
      </c>
      <c r="N10468" t="s">
        <v>30</v>
      </c>
    </row>
    <row r="10469" spans="1:14" x14ac:dyDescent="0.25">
      <c r="A10469" t="s">
        <v>43</v>
      </c>
      <c r="B10469" t="s">
        <v>40</v>
      </c>
      <c r="C10469" t="s">
        <v>38</v>
      </c>
      <c r="D10469" t="s">
        <v>33</v>
      </c>
      <c r="E10469" t="s">
        <v>23</v>
      </c>
      <c r="F10469" t="s">
        <v>18</v>
      </c>
      <c r="G10469" s="1" t="str">
        <f t="shared" si="2352"/>
        <v>...</v>
      </c>
      <c r="H10469" s="1" t="str">
        <f t="shared" si="2352"/>
        <v>...</v>
      </c>
      <c r="I10469" s="1" t="str">
        <f t="shared" si="2352"/>
        <v>...</v>
      </c>
      <c r="J10469" s="1" t="str">
        <f t="shared" si="2352"/>
        <v>...</v>
      </c>
      <c r="K10469" s="1" t="str">
        <f t="shared" si="2352"/>
        <v>...</v>
      </c>
      <c r="L10469" s="1" t="str">
        <f t="shared" si="2352"/>
        <v>...</v>
      </c>
      <c r="M10469" s="1" t="str">
        <f t="shared" si="2352"/>
        <v>...</v>
      </c>
      <c r="N10469" t="s">
        <v>30</v>
      </c>
    </row>
    <row r="10470" spans="1:14" x14ac:dyDescent="0.25">
      <c r="A10470" t="s">
        <v>43</v>
      </c>
      <c r="B10470" t="s">
        <v>40</v>
      </c>
      <c r="C10470" t="s">
        <v>38</v>
      </c>
      <c r="D10470" t="s">
        <v>33</v>
      </c>
      <c r="E10470" t="s">
        <v>23</v>
      </c>
      <c r="F10470" t="s">
        <v>19</v>
      </c>
      <c r="G10470" s="1" t="str">
        <f t="shared" si="2352"/>
        <v>...</v>
      </c>
      <c r="H10470" s="1" t="str">
        <f t="shared" si="2352"/>
        <v>...</v>
      </c>
      <c r="I10470" s="1" t="str">
        <f t="shared" si="2352"/>
        <v>...</v>
      </c>
      <c r="J10470" s="1" t="str">
        <f t="shared" si="2352"/>
        <v>...</v>
      </c>
      <c r="K10470" s="1" t="str">
        <f t="shared" si="2352"/>
        <v>...</v>
      </c>
      <c r="L10470" s="1" t="str">
        <f t="shared" si="2352"/>
        <v>...</v>
      </c>
      <c r="M10470" s="1" t="str">
        <f t="shared" si="2352"/>
        <v>...</v>
      </c>
      <c r="N10470" t="s">
        <v>30</v>
      </c>
    </row>
    <row r="10471" spans="1:14" x14ac:dyDescent="0.25">
      <c r="A10471" t="s">
        <v>43</v>
      </c>
      <c r="B10471" t="s">
        <v>40</v>
      </c>
      <c r="C10471" t="s">
        <v>38</v>
      </c>
      <c r="D10471" t="s">
        <v>33</v>
      </c>
      <c r="E10471" t="s">
        <v>23</v>
      </c>
      <c r="F10471" t="s">
        <v>20</v>
      </c>
      <c r="G10471" s="1" t="str">
        <f t="shared" ref="G10471:M10471" si="2353">"X"</f>
        <v>X</v>
      </c>
      <c r="H10471" s="1" t="str">
        <f t="shared" si="2353"/>
        <v>X</v>
      </c>
      <c r="I10471" s="1" t="str">
        <f t="shared" si="2353"/>
        <v>X</v>
      </c>
      <c r="J10471" s="1" t="str">
        <f t="shared" si="2353"/>
        <v>X</v>
      </c>
      <c r="K10471" s="1" t="str">
        <f t="shared" si="2353"/>
        <v>X</v>
      </c>
      <c r="L10471" s="1" t="str">
        <f t="shared" si="2353"/>
        <v>X</v>
      </c>
      <c r="M10471" s="1" t="str">
        <f t="shared" si="2353"/>
        <v>X</v>
      </c>
      <c r="N10471" t="s">
        <v>27</v>
      </c>
    </row>
    <row r="10472" spans="1:14" x14ac:dyDescent="0.25">
      <c r="A10472" t="s">
        <v>43</v>
      </c>
      <c r="B10472" t="s">
        <v>40</v>
      </c>
      <c r="C10472" t="s">
        <v>38</v>
      </c>
      <c r="D10472" t="s">
        <v>33</v>
      </c>
      <c r="E10472" t="s">
        <v>26</v>
      </c>
      <c r="F10472" t="s">
        <v>15</v>
      </c>
      <c r="G10472" s="1" t="str">
        <f t="shared" ref="G10472:M10476" si="2354">"..."</f>
        <v>...</v>
      </c>
      <c r="H10472" s="1" t="str">
        <f t="shared" si="2354"/>
        <v>...</v>
      </c>
      <c r="I10472" s="1" t="str">
        <f t="shared" si="2354"/>
        <v>...</v>
      </c>
      <c r="J10472" s="1" t="str">
        <f t="shared" si="2354"/>
        <v>...</v>
      </c>
      <c r="K10472" s="1" t="str">
        <f t="shared" si="2354"/>
        <v>...</v>
      </c>
      <c r="L10472" s="1" t="str">
        <f t="shared" si="2354"/>
        <v>...</v>
      </c>
      <c r="M10472" s="1" t="str">
        <f t="shared" si="2354"/>
        <v>...</v>
      </c>
      <c r="N10472" t="s">
        <v>30</v>
      </c>
    </row>
    <row r="10473" spans="1:14" x14ac:dyDescent="0.25">
      <c r="A10473" t="s">
        <v>43</v>
      </c>
      <c r="B10473" t="s">
        <v>40</v>
      </c>
      <c r="C10473" t="s">
        <v>38</v>
      </c>
      <c r="D10473" t="s">
        <v>33</v>
      </c>
      <c r="E10473" t="s">
        <v>26</v>
      </c>
      <c r="F10473" t="s">
        <v>17</v>
      </c>
      <c r="G10473" s="1" t="str">
        <f t="shared" si="2354"/>
        <v>...</v>
      </c>
      <c r="H10473" s="1" t="str">
        <f t="shared" si="2354"/>
        <v>...</v>
      </c>
      <c r="I10473" s="1" t="str">
        <f t="shared" si="2354"/>
        <v>...</v>
      </c>
      <c r="J10473" s="1" t="str">
        <f t="shared" si="2354"/>
        <v>...</v>
      </c>
      <c r="K10473" s="1" t="str">
        <f t="shared" si="2354"/>
        <v>...</v>
      </c>
      <c r="L10473" s="1" t="str">
        <f t="shared" si="2354"/>
        <v>...</v>
      </c>
      <c r="M10473" s="1" t="str">
        <f t="shared" si="2354"/>
        <v>...</v>
      </c>
      <c r="N10473" t="s">
        <v>30</v>
      </c>
    </row>
    <row r="10474" spans="1:14" x14ac:dyDescent="0.25">
      <c r="A10474" t="s">
        <v>43</v>
      </c>
      <c r="B10474" t="s">
        <v>40</v>
      </c>
      <c r="C10474" t="s">
        <v>38</v>
      </c>
      <c r="D10474" t="s">
        <v>33</v>
      </c>
      <c r="E10474" t="s">
        <v>26</v>
      </c>
      <c r="F10474" t="s">
        <v>18</v>
      </c>
      <c r="G10474" s="1" t="str">
        <f t="shared" si="2354"/>
        <v>...</v>
      </c>
      <c r="H10474" s="1" t="str">
        <f t="shared" si="2354"/>
        <v>...</v>
      </c>
      <c r="I10474" s="1" t="str">
        <f t="shared" si="2354"/>
        <v>...</v>
      </c>
      <c r="J10474" s="1" t="str">
        <f t="shared" si="2354"/>
        <v>...</v>
      </c>
      <c r="K10474" s="1" t="str">
        <f t="shared" si="2354"/>
        <v>...</v>
      </c>
      <c r="L10474" s="1" t="str">
        <f t="shared" si="2354"/>
        <v>...</v>
      </c>
      <c r="M10474" s="1" t="str">
        <f t="shared" si="2354"/>
        <v>...</v>
      </c>
      <c r="N10474" t="s">
        <v>30</v>
      </c>
    </row>
    <row r="10475" spans="1:14" x14ac:dyDescent="0.25">
      <c r="A10475" t="s">
        <v>43</v>
      </c>
      <c r="B10475" t="s">
        <v>40</v>
      </c>
      <c r="C10475" t="s">
        <v>38</v>
      </c>
      <c r="D10475" t="s">
        <v>33</v>
      </c>
      <c r="E10475" t="s">
        <v>26</v>
      </c>
      <c r="F10475" t="s">
        <v>19</v>
      </c>
      <c r="G10475" s="1" t="str">
        <f t="shared" si="2354"/>
        <v>...</v>
      </c>
      <c r="H10475" s="1" t="str">
        <f t="shared" si="2354"/>
        <v>...</v>
      </c>
      <c r="I10475" s="1" t="str">
        <f t="shared" si="2354"/>
        <v>...</v>
      </c>
      <c r="J10475" s="1" t="str">
        <f t="shared" si="2354"/>
        <v>...</v>
      </c>
      <c r="K10475" s="1" t="str">
        <f t="shared" si="2354"/>
        <v>...</v>
      </c>
      <c r="L10475" s="1" t="str">
        <f t="shared" si="2354"/>
        <v>...</v>
      </c>
      <c r="M10475" s="1" t="str">
        <f t="shared" si="2354"/>
        <v>...</v>
      </c>
      <c r="N10475" t="s">
        <v>30</v>
      </c>
    </row>
    <row r="10476" spans="1:14" x14ac:dyDescent="0.25">
      <c r="A10476" t="s">
        <v>43</v>
      </c>
      <c r="B10476" t="s">
        <v>40</v>
      </c>
      <c r="C10476" t="s">
        <v>38</v>
      </c>
      <c r="D10476" t="s">
        <v>33</v>
      </c>
      <c r="E10476" t="s">
        <v>26</v>
      </c>
      <c r="F10476" t="s">
        <v>20</v>
      </c>
      <c r="G10476" s="1" t="str">
        <f t="shared" si="2354"/>
        <v>...</v>
      </c>
      <c r="H10476" s="1" t="str">
        <f t="shared" si="2354"/>
        <v>...</v>
      </c>
      <c r="I10476" s="1" t="str">
        <f t="shared" si="2354"/>
        <v>...</v>
      </c>
      <c r="J10476" s="1" t="str">
        <f t="shared" si="2354"/>
        <v>...</v>
      </c>
      <c r="K10476" s="1" t="str">
        <f t="shared" si="2354"/>
        <v>...</v>
      </c>
      <c r="L10476" s="1" t="str">
        <f t="shared" si="2354"/>
        <v>...</v>
      </c>
      <c r="M10476" s="1" t="str">
        <f t="shared" si="2354"/>
        <v>...</v>
      </c>
      <c r="N10476" t="s">
        <v>30</v>
      </c>
    </row>
    <row r="10477" spans="1:14" x14ac:dyDescent="0.25">
      <c r="A10477" t="s">
        <v>43</v>
      </c>
      <c r="B10477" t="s">
        <v>40</v>
      </c>
      <c r="C10477" t="s">
        <v>38</v>
      </c>
      <c r="D10477" t="s">
        <v>34</v>
      </c>
      <c r="E10477" t="s">
        <v>15</v>
      </c>
      <c r="F10477" t="s">
        <v>15</v>
      </c>
      <c r="G10477" s="1" t="str">
        <f t="shared" ref="G10477:M10477" si="2355">"X"</f>
        <v>X</v>
      </c>
      <c r="H10477" s="1" t="str">
        <f t="shared" si="2355"/>
        <v>X</v>
      </c>
      <c r="I10477" s="1" t="str">
        <f t="shared" si="2355"/>
        <v>X</v>
      </c>
      <c r="J10477" s="1" t="str">
        <f t="shared" si="2355"/>
        <v>X</v>
      </c>
      <c r="K10477" s="1" t="str">
        <f t="shared" si="2355"/>
        <v>X</v>
      </c>
      <c r="L10477" s="1" t="str">
        <f t="shared" si="2355"/>
        <v>X</v>
      </c>
      <c r="M10477" s="1" t="str">
        <f t="shared" si="2355"/>
        <v>X</v>
      </c>
      <c r="N10477" t="s">
        <v>27</v>
      </c>
    </row>
    <row r="10478" spans="1:14" x14ac:dyDescent="0.25">
      <c r="A10478" t="s">
        <v>43</v>
      </c>
      <c r="B10478" t="s">
        <v>40</v>
      </c>
      <c r="C10478" t="s">
        <v>38</v>
      </c>
      <c r="D10478" t="s">
        <v>34</v>
      </c>
      <c r="E10478" t="s">
        <v>15</v>
      </c>
      <c r="F10478" t="s">
        <v>17</v>
      </c>
      <c r="G10478" s="1" t="str">
        <f t="shared" ref="G10478:M10478" si="2356">"..."</f>
        <v>...</v>
      </c>
      <c r="H10478" s="1" t="str">
        <f t="shared" si="2356"/>
        <v>...</v>
      </c>
      <c r="I10478" s="1" t="str">
        <f t="shared" si="2356"/>
        <v>...</v>
      </c>
      <c r="J10478" s="1" t="str">
        <f t="shared" si="2356"/>
        <v>...</v>
      </c>
      <c r="K10478" s="1" t="str">
        <f t="shared" si="2356"/>
        <v>...</v>
      </c>
      <c r="L10478" s="1" t="str">
        <f t="shared" si="2356"/>
        <v>...</v>
      </c>
      <c r="M10478" s="1" t="str">
        <f t="shared" si="2356"/>
        <v>...</v>
      </c>
      <c r="N10478" t="s">
        <v>30</v>
      </c>
    </row>
    <row r="10479" spans="1:14" x14ac:dyDescent="0.25">
      <c r="A10479" t="s">
        <v>43</v>
      </c>
      <c r="B10479" t="s">
        <v>40</v>
      </c>
      <c r="C10479" t="s">
        <v>38</v>
      </c>
      <c r="D10479" t="s">
        <v>34</v>
      </c>
      <c r="E10479" t="s">
        <v>15</v>
      </c>
      <c r="F10479" t="s">
        <v>18</v>
      </c>
      <c r="G10479" s="1" t="str">
        <f t="shared" ref="G10479:M10482" si="2357">"X"</f>
        <v>X</v>
      </c>
      <c r="H10479" s="1" t="str">
        <f t="shared" si="2357"/>
        <v>X</v>
      </c>
      <c r="I10479" s="1" t="str">
        <f t="shared" si="2357"/>
        <v>X</v>
      </c>
      <c r="J10479" s="1" t="str">
        <f t="shared" si="2357"/>
        <v>X</v>
      </c>
      <c r="K10479" s="1" t="str">
        <f t="shared" si="2357"/>
        <v>X</v>
      </c>
      <c r="L10479" s="1" t="str">
        <f t="shared" si="2357"/>
        <v>X</v>
      </c>
      <c r="M10479" s="1" t="str">
        <f t="shared" si="2357"/>
        <v>X</v>
      </c>
      <c r="N10479" t="s">
        <v>27</v>
      </c>
    </row>
    <row r="10480" spans="1:14" x14ac:dyDescent="0.25">
      <c r="A10480" t="s">
        <v>43</v>
      </c>
      <c r="B10480" t="s">
        <v>40</v>
      </c>
      <c r="C10480" t="s">
        <v>38</v>
      </c>
      <c r="D10480" t="s">
        <v>34</v>
      </c>
      <c r="E10480" t="s">
        <v>15</v>
      </c>
      <c r="F10480" t="s">
        <v>19</v>
      </c>
      <c r="G10480" s="1" t="str">
        <f t="shared" si="2357"/>
        <v>X</v>
      </c>
      <c r="H10480" s="1" t="str">
        <f t="shared" si="2357"/>
        <v>X</v>
      </c>
      <c r="I10480" s="1" t="str">
        <f t="shared" si="2357"/>
        <v>X</v>
      </c>
      <c r="J10480" s="1" t="str">
        <f t="shared" si="2357"/>
        <v>X</v>
      </c>
      <c r="K10480" s="1" t="str">
        <f t="shared" si="2357"/>
        <v>X</v>
      </c>
      <c r="L10480" s="1" t="str">
        <f t="shared" si="2357"/>
        <v>X</v>
      </c>
      <c r="M10480" s="1" t="str">
        <f t="shared" si="2357"/>
        <v>X</v>
      </c>
      <c r="N10480" t="s">
        <v>27</v>
      </c>
    </row>
    <row r="10481" spans="1:14" x14ac:dyDescent="0.25">
      <c r="A10481" t="s">
        <v>43</v>
      </c>
      <c r="B10481" t="s">
        <v>40</v>
      </c>
      <c r="C10481" t="s">
        <v>38</v>
      </c>
      <c r="D10481" t="s">
        <v>34</v>
      </c>
      <c r="E10481" t="s">
        <v>15</v>
      </c>
      <c r="F10481" t="s">
        <v>20</v>
      </c>
      <c r="G10481" s="1" t="str">
        <f t="shared" si="2357"/>
        <v>X</v>
      </c>
      <c r="H10481" s="1" t="str">
        <f t="shared" si="2357"/>
        <v>X</v>
      </c>
      <c r="I10481" s="1" t="str">
        <f t="shared" si="2357"/>
        <v>X</v>
      </c>
      <c r="J10481" s="1" t="str">
        <f t="shared" si="2357"/>
        <v>X</v>
      </c>
      <c r="K10481" s="1" t="str">
        <f t="shared" si="2357"/>
        <v>X</v>
      </c>
      <c r="L10481" s="1" t="str">
        <f t="shared" si="2357"/>
        <v>X</v>
      </c>
      <c r="M10481" s="1" t="str">
        <f t="shared" si="2357"/>
        <v>X</v>
      </c>
      <c r="N10481" t="s">
        <v>27</v>
      </c>
    </row>
    <row r="10482" spans="1:14" x14ac:dyDescent="0.25">
      <c r="A10482" t="s">
        <v>43</v>
      </c>
      <c r="B10482" t="s">
        <v>40</v>
      </c>
      <c r="C10482" t="s">
        <v>38</v>
      </c>
      <c r="D10482" t="s">
        <v>34</v>
      </c>
      <c r="E10482" t="s">
        <v>21</v>
      </c>
      <c r="F10482" t="s">
        <v>15</v>
      </c>
      <c r="G10482" s="1" t="str">
        <f t="shared" si="2357"/>
        <v>X</v>
      </c>
      <c r="H10482" s="1" t="str">
        <f t="shared" si="2357"/>
        <v>X</v>
      </c>
      <c r="I10482" s="1" t="str">
        <f t="shared" si="2357"/>
        <v>X</v>
      </c>
      <c r="J10482" s="1" t="str">
        <f t="shared" si="2357"/>
        <v>X</v>
      </c>
      <c r="K10482" s="1" t="str">
        <f t="shared" si="2357"/>
        <v>X</v>
      </c>
      <c r="L10482" s="1" t="str">
        <f t="shared" si="2357"/>
        <v>X</v>
      </c>
      <c r="M10482" s="1" t="str">
        <f t="shared" si="2357"/>
        <v>X</v>
      </c>
      <c r="N10482" t="s">
        <v>27</v>
      </c>
    </row>
    <row r="10483" spans="1:14" x14ac:dyDescent="0.25">
      <c r="A10483" t="s">
        <v>43</v>
      </c>
      <c r="B10483" t="s">
        <v>40</v>
      </c>
      <c r="C10483" t="s">
        <v>38</v>
      </c>
      <c r="D10483" t="s">
        <v>34</v>
      </c>
      <c r="E10483" t="s">
        <v>21</v>
      </c>
      <c r="F10483" t="s">
        <v>17</v>
      </c>
      <c r="G10483" s="1" t="str">
        <f t="shared" ref="G10483:M10483" si="2358">"..."</f>
        <v>...</v>
      </c>
      <c r="H10483" s="1" t="str">
        <f t="shared" si="2358"/>
        <v>...</v>
      </c>
      <c r="I10483" s="1" t="str">
        <f t="shared" si="2358"/>
        <v>...</v>
      </c>
      <c r="J10483" s="1" t="str">
        <f t="shared" si="2358"/>
        <v>...</v>
      </c>
      <c r="K10483" s="1" t="str">
        <f t="shared" si="2358"/>
        <v>...</v>
      </c>
      <c r="L10483" s="1" t="str">
        <f t="shared" si="2358"/>
        <v>...</v>
      </c>
      <c r="M10483" s="1" t="str">
        <f t="shared" si="2358"/>
        <v>...</v>
      </c>
      <c r="N10483" t="s">
        <v>30</v>
      </c>
    </row>
    <row r="10484" spans="1:14" x14ac:dyDescent="0.25">
      <c r="A10484" t="s">
        <v>43</v>
      </c>
      <c r="B10484" t="s">
        <v>40</v>
      </c>
      <c r="C10484" t="s">
        <v>38</v>
      </c>
      <c r="D10484" t="s">
        <v>34</v>
      </c>
      <c r="E10484" t="s">
        <v>21</v>
      </c>
      <c r="F10484" t="s">
        <v>18</v>
      </c>
      <c r="G10484" s="1" t="str">
        <f t="shared" ref="G10484:M10484" si="2359">"X"</f>
        <v>X</v>
      </c>
      <c r="H10484" s="1" t="str">
        <f t="shared" si="2359"/>
        <v>X</v>
      </c>
      <c r="I10484" s="1" t="str">
        <f t="shared" si="2359"/>
        <v>X</v>
      </c>
      <c r="J10484" s="1" t="str">
        <f t="shared" si="2359"/>
        <v>X</v>
      </c>
      <c r="K10484" s="1" t="str">
        <f t="shared" si="2359"/>
        <v>X</v>
      </c>
      <c r="L10484" s="1" t="str">
        <f t="shared" si="2359"/>
        <v>X</v>
      </c>
      <c r="M10484" s="1" t="str">
        <f t="shared" si="2359"/>
        <v>X</v>
      </c>
      <c r="N10484" t="s">
        <v>27</v>
      </c>
    </row>
    <row r="10485" spans="1:14" x14ac:dyDescent="0.25">
      <c r="A10485" t="s">
        <v>43</v>
      </c>
      <c r="B10485" t="s">
        <v>40</v>
      </c>
      <c r="C10485" t="s">
        <v>38</v>
      </c>
      <c r="D10485" t="s">
        <v>34</v>
      </c>
      <c r="E10485" t="s">
        <v>21</v>
      </c>
      <c r="F10485" t="s">
        <v>19</v>
      </c>
      <c r="G10485" s="1" t="str">
        <f t="shared" ref="G10485:M10486" si="2360">"..."</f>
        <v>...</v>
      </c>
      <c r="H10485" s="1" t="str">
        <f t="shared" si="2360"/>
        <v>...</v>
      </c>
      <c r="I10485" s="1" t="str">
        <f t="shared" si="2360"/>
        <v>...</v>
      </c>
      <c r="J10485" s="1" t="str">
        <f t="shared" si="2360"/>
        <v>...</v>
      </c>
      <c r="K10485" s="1" t="str">
        <f t="shared" si="2360"/>
        <v>...</v>
      </c>
      <c r="L10485" s="1" t="str">
        <f t="shared" si="2360"/>
        <v>...</v>
      </c>
      <c r="M10485" s="1" t="str">
        <f t="shared" si="2360"/>
        <v>...</v>
      </c>
      <c r="N10485" t="s">
        <v>30</v>
      </c>
    </row>
    <row r="10486" spans="1:14" x14ac:dyDescent="0.25">
      <c r="A10486" t="s">
        <v>43</v>
      </c>
      <c r="B10486" t="s">
        <v>40</v>
      </c>
      <c r="C10486" t="s">
        <v>38</v>
      </c>
      <c r="D10486" t="s">
        <v>34</v>
      </c>
      <c r="E10486" t="s">
        <v>21</v>
      </c>
      <c r="F10486" t="s">
        <v>20</v>
      </c>
      <c r="G10486" s="1" t="str">
        <f t="shared" si="2360"/>
        <v>...</v>
      </c>
      <c r="H10486" s="1" t="str">
        <f t="shared" si="2360"/>
        <v>...</v>
      </c>
      <c r="I10486" s="1" t="str">
        <f t="shared" si="2360"/>
        <v>...</v>
      </c>
      <c r="J10486" s="1" t="str">
        <f t="shared" si="2360"/>
        <v>...</v>
      </c>
      <c r="K10486" s="1" t="str">
        <f t="shared" si="2360"/>
        <v>...</v>
      </c>
      <c r="L10486" s="1" t="str">
        <f t="shared" si="2360"/>
        <v>...</v>
      </c>
      <c r="M10486" s="1" t="str">
        <f t="shared" si="2360"/>
        <v>...</v>
      </c>
      <c r="N10486" t="s">
        <v>30</v>
      </c>
    </row>
    <row r="10487" spans="1:14" x14ac:dyDescent="0.25">
      <c r="A10487" t="s">
        <v>43</v>
      </c>
      <c r="B10487" t="s">
        <v>40</v>
      </c>
      <c r="C10487" t="s">
        <v>38</v>
      </c>
      <c r="D10487" t="s">
        <v>34</v>
      </c>
      <c r="E10487" t="s">
        <v>22</v>
      </c>
      <c r="F10487" t="s">
        <v>15</v>
      </c>
      <c r="G10487" s="1" t="str">
        <f t="shared" ref="G10487:M10487" si="2361">"X"</f>
        <v>X</v>
      </c>
      <c r="H10487" s="1" t="str">
        <f t="shared" si="2361"/>
        <v>X</v>
      </c>
      <c r="I10487" s="1" t="str">
        <f t="shared" si="2361"/>
        <v>X</v>
      </c>
      <c r="J10487" s="1" t="str">
        <f t="shared" si="2361"/>
        <v>X</v>
      </c>
      <c r="K10487" s="1" t="str">
        <f t="shared" si="2361"/>
        <v>X</v>
      </c>
      <c r="L10487" s="1" t="str">
        <f t="shared" si="2361"/>
        <v>X</v>
      </c>
      <c r="M10487" s="1" t="str">
        <f t="shared" si="2361"/>
        <v>X</v>
      </c>
      <c r="N10487" t="s">
        <v>27</v>
      </c>
    </row>
    <row r="10488" spans="1:14" x14ac:dyDescent="0.25">
      <c r="A10488" t="s">
        <v>43</v>
      </c>
      <c r="B10488" t="s">
        <v>40</v>
      </c>
      <c r="C10488" t="s">
        <v>38</v>
      </c>
      <c r="D10488" t="s">
        <v>34</v>
      </c>
      <c r="E10488" t="s">
        <v>22</v>
      </c>
      <c r="F10488" t="s">
        <v>17</v>
      </c>
      <c r="G10488" s="1" t="str">
        <f t="shared" ref="G10488:M10490" si="2362">"..."</f>
        <v>...</v>
      </c>
      <c r="H10488" s="1" t="str">
        <f t="shared" si="2362"/>
        <v>...</v>
      </c>
      <c r="I10488" s="1" t="str">
        <f t="shared" si="2362"/>
        <v>...</v>
      </c>
      <c r="J10488" s="1" t="str">
        <f t="shared" si="2362"/>
        <v>...</v>
      </c>
      <c r="K10488" s="1" t="str">
        <f t="shared" si="2362"/>
        <v>...</v>
      </c>
      <c r="L10488" s="1" t="str">
        <f t="shared" si="2362"/>
        <v>...</v>
      </c>
      <c r="M10488" s="1" t="str">
        <f t="shared" si="2362"/>
        <v>...</v>
      </c>
      <c r="N10488" t="s">
        <v>30</v>
      </c>
    </row>
    <row r="10489" spans="1:14" x14ac:dyDescent="0.25">
      <c r="A10489" t="s">
        <v>43</v>
      </c>
      <c r="B10489" t="s">
        <v>40</v>
      </c>
      <c r="C10489" t="s">
        <v>38</v>
      </c>
      <c r="D10489" t="s">
        <v>34</v>
      </c>
      <c r="E10489" t="s">
        <v>22</v>
      </c>
      <c r="F10489" t="s">
        <v>18</v>
      </c>
      <c r="G10489" s="1" t="str">
        <f t="shared" si="2362"/>
        <v>...</v>
      </c>
      <c r="H10489" s="1" t="str">
        <f t="shared" si="2362"/>
        <v>...</v>
      </c>
      <c r="I10489" s="1" t="str">
        <f t="shared" si="2362"/>
        <v>...</v>
      </c>
      <c r="J10489" s="1" t="str">
        <f t="shared" si="2362"/>
        <v>...</v>
      </c>
      <c r="K10489" s="1" t="str">
        <f t="shared" si="2362"/>
        <v>...</v>
      </c>
      <c r="L10489" s="1" t="str">
        <f t="shared" si="2362"/>
        <v>...</v>
      </c>
      <c r="M10489" s="1" t="str">
        <f t="shared" si="2362"/>
        <v>...</v>
      </c>
      <c r="N10489" t="s">
        <v>30</v>
      </c>
    </row>
    <row r="10490" spans="1:14" x14ac:dyDescent="0.25">
      <c r="A10490" t="s">
        <v>43</v>
      </c>
      <c r="B10490" t="s">
        <v>40</v>
      </c>
      <c r="C10490" t="s">
        <v>38</v>
      </c>
      <c r="D10490" t="s">
        <v>34</v>
      </c>
      <c r="E10490" t="s">
        <v>22</v>
      </c>
      <c r="F10490" t="s">
        <v>19</v>
      </c>
      <c r="G10490" s="1" t="str">
        <f t="shared" si="2362"/>
        <v>...</v>
      </c>
      <c r="H10490" s="1" t="str">
        <f t="shared" si="2362"/>
        <v>...</v>
      </c>
      <c r="I10490" s="1" t="str">
        <f t="shared" si="2362"/>
        <v>...</v>
      </c>
      <c r="J10490" s="1" t="str">
        <f t="shared" si="2362"/>
        <v>...</v>
      </c>
      <c r="K10490" s="1" t="str">
        <f t="shared" si="2362"/>
        <v>...</v>
      </c>
      <c r="L10490" s="1" t="str">
        <f t="shared" si="2362"/>
        <v>...</v>
      </c>
      <c r="M10490" s="1" t="str">
        <f t="shared" si="2362"/>
        <v>...</v>
      </c>
      <c r="N10490" t="s">
        <v>30</v>
      </c>
    </row>
    <row r="10491" spans="1:14" x14ac:dyDescent="0.25">
      <c r="A10491" t="s">
        <v>43</v>
      </c>
      <c r="B10491" t="s">
        <v>40</v>
      </c>
      <c r="C10491" t="s">
        <v>38</v>
      </c>
      <c r="D10491" t="s">
        <v>34</v>
      </c>
      <c r="E10491" t="s">
        <v>22</v>
      </c>
      <c r="F10491" t="s">
        <v>20</v>
      </c>
      <c r="G10491" s="1" t="str">
        <f t="shared" ref="G10491:M10492" si="2363">"X"</f>
        <v>X</v>
      </c>
      <c r="H10491" s="1" t="str">
        <f t="shared" si="2363"/>
        <v>X</v>
      </c>
      <c r="I10491" s="1" t="str">
        <f t="shared" si="2363"/>
        <v>X</v>
      </c>
      <c r="J10491" s="1" t="str">
        <f t="shared" si="2363"/>
        <v>X</v>
      </c>
      <c r="K10491" s="1" t="str">
        <f t="shared" si="2363"/>
        <v>X</v>
      </c>
      <c r="L10491" s="1" t="str">
        <f t="shared" si="2363"/>
        <v>X</v>
      </c>
      <c r="M10491" s="1" t="str">
        <f t="shared" si="2363"/>
        <v>X</v>
      </c>
      <c r="N10491" t="s">
        <v>27</v>
      </c>
    </row>
    <row r="10492" spans="1:14" x14ac:dyDescent="0.25">
      <c r="A10492" t="s">
        <v>43</v>
      </c>
      <c r="B10492" t="s">
        <v>40</v>
      </c>
      <c r="C10492" t="s">
        <v>38</v>
      </c>
      <c r="D10492" t="s">
        <v>34</v>
      </c>
      <c r="E10492" t="s">
        <v>23</v>
      </c>
      <c r="F10492" t="s">
        <v>15</v>
      </c>
      <c r="G10492" s="1" t="str">
        <f t="shared" si="2363"/>
        <v>X</v>
      </c>
      <c r="H10492" s="1" t="str">
        <f t="shared" si="2363"/>
        <v>X</v>
      </c>
      <c r="I10492" s="1" t="str">
        <f t="shared" si="2363"/>
        <v>X</v>
      </c>
      <c r="J10492" s="1" t="str">
        <f t="shared" si="2363"/>
        <v>X</v>
      </c>
      <c r="K10492" s="1" t="str">
        <f t="shared" si="2363"/>
        <v>X</v>
      </c>
      <c r="L10492" s="1" t="str">
        <f t="shared" si="2363"/>
        <v>X</v>
      </c>
      <c r="M10492" s="1" t="str">
        <f t="shared" si="2363"/>
        <v>X</v>
      </c>
      <c r="N10492" t="s">
        <v>27</v>
      </c>
    </row>
    <row r="10493" spans="1:14" x14ac:dyDescent="0.25">
      <c r="A10493" t="s">
        <v>43</v>
      </c>
      <c r="B10493" t="s">
        <v>40</v>
      </c>
      <c r="C10493" t="s">
        <v>38</v>
      </c>
      <c r="D10493" t="s">
        <v>34</v>
      </c>
      <c r="E10493" t="s">
        <v>23</v>
      </c>
      <c r="F10493" t="s">
        <v>17</v>
      </c>
      <c r="G10493" s="1" t="str">
        <f t="shared" ref="G10493:M10493" si="2364">"..."</f>
        <v>...</v>
      </c>
      <c r="H10493" s="1" t="str">
        <f t="shared" si="2364"/>
        <v>...</v>
      </c>
      <c r="I10493" s="1" t="str">
        <f t="shared" si="2364"/>
        <v>...</v>
      </c>
      <c r="J10493" s="1" t="str">
        <f t="shared" si="2364"/>
        <v>...</v>
      </c>
      <c r="K10493" s="1" t="str">
        <f t="shared" si="2364"/>
        <v>...</v>
      </c>
      <c r="L10493" s="1" t="str">
        <f t="shared" si="2364"/>
        <v>...</v>
      </c>
      <c r="M10493" s="1" t="str">
        <f t="shared" si="2364"/>
        <v>...</v>
      </c>
      <c r="N10493" t="s">
        <v>30</v>
      </c>
    </row>
    <row r="10494" spans="1:14" x14ac:dyDescent="0.25">
      <c r="A10494" t="s">
        <v>43</v>
      </c>
      <c r="B10494" t="s">
        <v>40</v>
      </c>
      <c r="C10494" t="s">
        <v>38</v>
      </c>
      <c r="D10494" t="s">
        <v>34</v>
      </c>
      <c r="E10494" t="s">
        <v>23</v>
      </c>
      <c r="F10494" t="s">
        <v>18</v>
      </c>
      <c r="G10494" s="1" t="str">
        <f t="shared" ref="G10494:M10496" si="2365">"X"</f>
        <v>X</v>
      </c>
      <c r="H10494" s="1" t="str">
        <f t="shared" si="2365"/>
        <v>X</v>
      </c>
      <c r="I10494" s="1" t="str">
        <f t="shared" si="2365"/>
        <v>X</v>
      </c>
      <c r="J10494" s="1" t="str">
        <f t="shared" si="2365"/>
        <v>X</v>
      </c>
      <c r="K10494" s="1" t="str">
        <f t="shared" si="2365"/>
        <v>X</v>
      </c>
      <c r="L10494" s="1" t="str">
        <f t="shared" si="2365"/>
        <v>X</v>
      </c>
      <c r="M10494" s="1" t="str">
        <f t="shared" si="2365"/>
        <v>X</v>
      </c>
      <c r="N10494" t="s">
        <v>27</v>
      </c>
    </row>
    <row r="10495" spans="1:14" x14ac:dyDescent="0.25">
      <c r="A10495" t="s">
        <v>43</v>
      </c>
      <c r="B10495" t="s">
        <v>40</v>
      </c>
      <c r="C10495" t="s">
        <v>38</v>
      </c>
      <c r="D10495" t="s">
        <v>34</v>
      </c>
      <c r="E10495" t="s">
        <v>23</v>
      </c>
      <c r="F10495" t="s">
        <v>19</v>
      </c>
      <c r="G10495" s="1" t="str">
        <f t="shared" si="2365"/>
        <v>X</v>
      </c>
      <c r="H10495" s="1" t="str">
        <f t="shared" si="2365"/>
        <v>X</v>
      </c>
      <c r="I10495" s="1" t="str">
        <f t="shared" si="2365"/>
        <v>X</v>
      </c>
      <c r="J10495" s="1" t="str">
        <f t="shared" si="2365"/>
        <v>X</v>
      </c>
      <c r="K10495" s="1" t="str">
        <f t="shared" si="2365"/>
        <v>X</v>
      </c>
      <c r="L10495" s="1" t="str">
        <f t="shared" si="2365"/>
        <v>X</v>
      </c>
      <c r="M10495" s="1" t="str">
        <f t="shared" si="2365"/>
        <v>X</v>
      </c>
      <c r="N10495" t="s">
        <v>27</v>
      </c>
    </row>
    <row r="10496" spans="1:14" x14ac:dyDescent="0.25">
      <c r="A10496" t="s">
        <v>43</v>
      </c>
      <c r="B10496" t="s">
        <v>40</v>
      </c>
      <c r="C10496" t="s">
        <v>38</v>
      </c>
      <c r="D10496" t="s">
        <v>34</v>
      </c>
      <c r="E10496" t="s">
        <v>23</v>
      </c>
      <c r="F10496" t="s">
        <v>20</v>
      </c>
      <c r="G10496" s="1" t="str">
        <f t="shared" si="2365"/>
        <v>X</v>
      </c>
      <c r="H10496" s="1" t="str">
        <f t="shared" si="2365"/>
        <v>X</v>
      </c>
      <c r="I10496" s="1" t="str">
        <f t="shared" si="2365"/>
        <v>X</v>
      </c>
      <c r="J10496" s="1" t="str">
        <f t="shared" si="2365"/>
        <v>X</v>
      </c>
      <c r="K10496" s="1" t="str">
        <f t="shared" si="2365"/>
        <v>X</v>
      </c>
      <c r="L10496" s="1" t="str">
        <f t="shared" si="2365"/>
        <v>X</v>
      </c>
      <c r="M10496" s="1" t="str">
        <f t="shared" si="2365"/>
        <v>X</v>
      </c>
      <c r="N10496" t="s">
        <v>27</v>
      </c>
    </row>
    <row r="10497" spans="1:14" x14ac:dyDescent="0.25">
      <c r="A10497" t="s">
        <v>43</v>
      </c>
      <c r="B10497" t="s">
        <v>40</v>
      </c>
      <c r="C10497" t="s">
        <v>38</v>
      </c>
      <c r="D10497" t="s">
        <v>34</v>
      </c>
      <c r="E10497" t="s">
        <v>26</v>
      </c>
      <c r="F10497" t="s">
        <v>15</v>
      </c>
      <c r="G10497" s="1" t="str">
        <f t="shared" ref="G10497:M10501" si="2366">"..."</f>
        <v>...</v>
      </c>
      <c r="H10497" s="1" t="str">
        <f t="shared" si="2366"/>
        <v>...</v>
      </c>
      <c r="I10497" s="1" t="str">
        <f t="shared" si="2366"/>
        <v>...</v>
      </c>
      <c r="J10497" s="1" t="str">
        <f t="shared" si="2366"/>
        <v>...</v>
      </c>
      <c r="K10497" s="1" t="str">
        <f t="shared" si="2366"/>
        <v>...</v>
      </c>
      <c r="L10497" s="1" t="str">
        <f t="shared" si="2366"/>
        <v>...</v>
      </c>
      <c r="M10497" s="1" t="str">
        <f t="shared" si="2366"/>
        <v>...</v>
      </c>
      <c r="N10497" t="s">
        <v>30</v>
      </c>
    </row>
    <row r="10498" spans="1:14" x14ac:dyDescent="0.25">
      <c r="A10498" t="s">
        <v>43</v>
      </c>
      <c r="B10498" t="s">
        <v>40</v>
      </c>
      <c r="C10498" t="s">
        <v>38</v>
      </c>
      <c r="D10498" t="s">
        <v>34</v>
      </c>
      <c r="E10498" t="s">
        <v>26</v>
      </c>
      <c r="F10498" t="s">
        <v>17</v>
      </c>
      <c r="G10498" s="1" t="str">
        <f t="shared" si="2366"/>
        <v>...</v>
      </c>
      <c r="H10498" s="1" t="str">
        <f t="shared" si="2366"/>
        <v>...</v>
      </c>
      <c r="I10498" s="1" t="str">
        <f t="shared" si="2366"/>
        <v>...</v>
      </c>
      <c r="J10498" s="1" t="str">
        <f t="shared" si="2366"/>
        <v>...</v>
      </c>
      <c r="K10498" s="1" t="str">
        <f t="shared" si="2366"/>
        <v>...</v>
      </c>
      <c r="L10498" s="1" t="str">
        <f t="shared" si="2366"/>
        <v>...</v>
      </c>
      <c r="M10498" s="1" t="str">
        <f t="shared" si="2366"/>
        <v>...</v>
      </c>
      <c r="N10498" t="s">
        <v>30</v>
      </c>
    </row>
    <row r="10499" spans="1:14" x14ac:dyDescent="0.25">
      <c r="A10499" t="s">
        <v>43</v>
      </c>
      <c r="B10499" t="s">
        <v>40</v>
      </c>
      <c r="C10499" t="s">
        <v>38</v>
      </c>
      <c r="D10499" t="s">
        <v>34</v>
      </c>
      <c r="E10499" t="s">
        <v>26</v>
      </c>
      <c r="F10499" t="s">
        <v>18</v>
      </c>
      <c r="G10499" s="1" t="str">
        <f t="shared" si="2366"/>
        <v>...</v>
      </c>
      <c r="H10499" s="1" t="str">
        <f t="shared" si="2366"/>
        <v>...</v>
      </c>
      <c r="I10499" s="1" t="str">
        <f t="shared" si="2366"/>
        <v>...</v>
      </c>
      <c r="J10499" s="1" t="str">
        <f t="shared" si="2366"/>
        <v>...</v>
      </c>
      <c r="K10499" s="1" t="str">
        <f t="shared" si="2366"/>
        <v>...</v>
      </c>
      <c r="L10499" s="1" t="str">
        <f t="shared" si="2366"/>
        <v>...</v>
      </c>
      <c r="M10499" s="1" t="str">
        <f t="shared" si="2366"/>
        <v>...</v>
      </c>
      <c r="N10499" t="s">
        <v>30</v>
      </c>
    </row>
    <row r="10500" spans="1:14" x14ac:dyDescent="0.25">
      <c r="A10500" t="s">
        <v>43</v>
      </c>
      <c r="B10500" t="s">
        <v>40</v>
      </c>
      <c r="C10500" t="s">
        <v>38</v>
      </c>
      <c r="D10500" t="s">
        <v>34</v>
      </c>
      <c r="E10500" t="s">
        <v>26</v>
      </c>
      <c r="F10500" t="s">
        <v>19</v>
      </c>
      <c r="G10500" s="1" t="str">
        <f t="shared" si="2366"/>
        <v>...</v>
      </c>
      <c r="H10500" s="1" t="str">
        <f t="shared" si="2366"/>
        <v>...</v>
      </c>
      <c r="I10500" s="1" t="str">
        <f t="shared" si="2366"/>
        <v>...</v>
      </c>
      <c r="J10500" s="1" t="str">
        <f t="shared" si="2366"/>
        <v>...</v>
      </c>
      <c r="K10500" s="1" t="str">
        <f t="shared" si="2366"/>
        <v>...</v>
      </c>
      <c r="L10500" s="1" t="str">
        <f t="shared" si="2366"/>
        <v>...</v>
      </c>
      <c r="M10500" s="1" t="str">
        <f t="shared" si="2366"/>
        <v>...</v>
      </c>
      <c r="N10500" t="s">
        <v>30</v>
      </c>
    </row>
    <row r="10501" spans="1:14" x14ac:dyDescent="0.25">
      <c r="A10501" t="s">
        <v>43</v>
      </c>
      <c r="B10501" t="s">
        <v>40</v>
      </c>
      <c r="C10501" t="s">
        <v>38</v>
      </c>
      <c r="D10501" t="s">
        <v>34</v>
      </c>
      <c r="E10501" t="s">
        <v>26</v>
      </c>
      <c r="F10501" t="s">
        <v>20</v>
      </c>
      <c r="G10501" s="1" t="str">
        <f t="shared" si="2366"/>
        <v>...</v>
      </c>
      <c r="H10501" s="1" t="str">
        <f t="shared" si="2366"/>
        <v>...</v>
      </c>
      <c r="I10501" s="1" t="str">
        <f t="shared" si="2366"/>
        <v>...</v>
      </c>
      <c r="J10501" s="1" t="str">
        <f t="shared" si="2366"/>
        <v>...</v>
      </c>
      <c r="K10501" s="1" t="str">
        <f t="shared" si="2366"/>
        <v>...</v>
      </c>
      <c r="L10501" s="1" t="str">
        <f t="shared" si="2366"/>
        <v>...</v>
      </c>
      <c r="M10501" s="1" t="str">
        <f t="shared" si="2366"/>
        <v>...</v>
      </c>
      <c r="N10501" t="s">
        <v>30</v>
      </c>
    </row>
    <row r="10502" spans="1:14" x14ac:dyDescent="0.25">
      <c r="A10502" t="s">
        <v>44</v>
      </c>
      <c r="B10502" t="s">
        <v>15</v>
      </c>
      <c r="C10502" t="s">
        <v>15</v>
      </c>
      <c r="D10502" t="s">
        <v>15</v>
      </c>
      <c r="E10502" t="s">
        <v>15</v>
      </c>
      <c r="F10502" t="s">
        <v>15</v>
      </c>
      <c r="G10502" s="1">
        <f>VALUE(126486.48)</f>
        <v>126486.48</v>
      </c>
      <c r="H10502" s="1">
        <f>VALUE(108829.85)</f>
        <v>108829.85</v>
      </c>
      <c r="I10502" s="1">
        <f>VALUE(3446)</f>
        <v>3446</v>
      </c>
      <c r="J10502" s="1">
        <f>VALUE(4135)</f>
        <v>4135</v>
      </c>
      <c r="K10502" s="1">
        <f>VALUE(5262)</f>
        <v>5262</v>
      </c>
      <c r="L10502" s="1">
        <f>VALUE(6665)</f>
        <v>6665</v>
      </c>
      <c r="M10502" s="1">
        <f>VALUE(9085)</f>
        <v>9085</v>
      </c>
      <c r="N10502" t="s">
        <v>16</v>
      </c>
    </row>
    <row r="10503" spans="1:14" x14ac:dyDescent="0.25">
      <c r="A10503" t="s">
        <v>44</v>
      </c>
      <c r="B10503" t="s">
        <v>15</v>
      </c>
      <c r="C10503" t="s">
        <v>15</v>
      </c>
      <c r="D10503" t="s">
        <v>15</v>
      </c>
      <c r="E10503" t="s">
        <v>15</v>
      </c>
      <c r="F10503" t="s">
        <v>17</v>
      </c>
      <c r="G10503" s="1">
        <f>VALUE(17712.04)</f>
        <v>17712.04</v>
      </c>
      <c r="H10503" s="1">
        <f>VALUE(16590.29)</f>
        <v>16590.29</v>
      </c>
      <c r="I10503" s="1">
        <f>VALUE(4580)</f>
        <v>4580</v>
      </c>
      <c r="J10503" s="1">
        <f>VALUE(6173)</f>
        <v>6173</v>
      </c>
      <c r="K10503" s="1">
        <f>VALUE(8300)</f>
        <v>8300</v>
      </c>
      <c r="L10503" s="1">
        <f>VALUE(11802)</f>
        <v>11802</v>
      </c>
      <c r="M10503" s="1">
        <f>VALUE(16623)</f>
        <v>16623</v>
      </c>
      <c r="N10503" t="s">
        <v>16</v>
      </c>
    </row>
    <row r="10504" spans="1:14" x14ac:dyDescent="0.25">
      <c r="A10504" t="s">
        <v>44</v>
      </c>
      <c r="B10504" t="s">
        <v>15</v>
      </c>
      <c r="C10504" t="s">
        <v>15</v>
      </c>
      <c r="D10504" t="s">
        <v>15</v>
      </c>
      <c r="E10504" t="s">
        <v>15</v>
      </c>
      <c r="F10504" t="s">
        <v>18</v>
      </c>
      <c r="G10504" s="1">
        <f>VALUE(11140.86)</f>
        <v>11140.86</v>
      </c>
      <c r="H10504" s="1">
        <f>VALUE(9981.24)</f>
        <v>9981.24</v>
      </c>
      <c r="I10504" s="1">
        <f>VALUE(4249)</f>
        <v>4249</v>
      </c>
      <c r="J10504" s="1">
        <f>VALUE(5286)</f>
        <v>5286</v>
      </c>
      <c r="K10504" s="1">
        <f>VALUE(6499)</f>
        <v>6499</v>
      </c>
      <c r="L10504" s="1">
        <f>VALUE(8387)</f>
        <v>8387</v>
      </c>
      <c r="M10504" s="1">
        <f>VALUE(10801)</f>
        <v>10801</v>
      </c>
      <c r="N10504" t="s">
        <v>16</v>
      </c>
    </row>
    <row r="10505" spans="1:14" x14ac:dyDescent="0.25">
      <c r="A10505" t="s">
        <v>44</v>
      </c>
      <c r="B10505" t="s">
        <v>15</v>
      </c>
      <c r="C10505" t="s">
        <v>15</v>
      </c>
      <c r="D10505" t="s">
        <v>15</v>
      </c>
      <c r="E10505" t="s">
        <v>15</v>
      </c>
      <c r="F10505" t="s">
        <v>19</v>
      </c>
      <c r="G10505" s="1">
        <f>VALUE(14253.23)</f>
        <v>14253.23</v>
      </c>
      <c r="H10505" s="1">
        <f>VALUE(12880.86)</f>
        <v>12880.86</v>
      </c>
      <c r="I10505" s="1">
        <f>VALUE(3848)</f>
        <v>3848</v>
      </c>
      <c r="J10505" s="1">
        <f>VALUE(4642)</f>
        <v>4642</v>
      </c>
      <c r="K10505" s="1">
        <f>VALUE(5686)</f>
        <v>5686</v>
      </c>
      <c r="L10505" s="1">
        <f>VALUE(6761)</f>
        <v>6761</v>
      </c>
      <c r="M10505" s="1">
        <f>VALUE(7927)</f>
        <v>7927</v>
      </c>
      <c r="N10505" t="s">
        <v>16</v>
      </c>
    </row>
    <row r="10506" spans="1:14" x14ac:dyDescent="0.25">
      <c r="A10506" t="s">
        <v>44</v>
      </c>
      <c r="B10506" t="s">
        <v>15</v>
      </c>
      <c r="C10506" t="s">
        <v>15</v>
      </c>
      <c r="D10506" t="s">
        <v>15</v>
      </c>
      <c r="E10506" t="s">
        <v>15</v>
      </c>
      <c r="F10506" t="s">
        <v>20</v>
      </c>
      <c r="G10506" s="1">
        <f>VALUE(83380.35)</f>
        <v>83380.350000000006</v>
      </c>
      <c r="H10506" s="1">
        <f>VALUE(69377.46)</f>
        <v>69377.460000000006</v>
      </c>
      <c r="I10506" s="1">
        <f>VALUE(3294)</f>
        <v>3294</v>
      </c>
      <c r="J10506" s="1">
        <f>VALUE(3822)</f>
        <v>3822</v>
      </c>
      <c r="K10506" s="1">
        <f>VALUE(4722)</f>
        <v>4722</v>
      </c>
      <c r="L10506" s="1">
        <f>VALUE(5758)</f>
        <v>5758</v>
      </c>
      <c r="M10506" s="1">
        <f>VALUE(6808)</f>
        <v>6808</v>
      </c>
      <c r="N10506" t="s">
        <v>16</v>
      </c>
    </row>
    <row r="10507" spans="1:14" x14ac:dyDescent="0.25">
      <c r="A10507" t="s">
        <v>44</v>
      </c>
      <c r="B10507" t="s">
        <v>15</v>
      </c>
      <c r="C10507" t="s">
        <v>15</v>
      </c>
      <c r="D10507" t="s">
        <v>15</v>
      </c>
      <c r="E10507" t="s">
        <v>21</v>
      </c>
      <c r="F10507" t="s">
        <v>15</v>
      </c>
      <c r="G10507" s="1">
        <f>VALUE(31404.43)</f>
        <v>31404.43</v>
      </c>
      <c r="H10507" s="1">
        <f>VALUE(27789.64)</f>
        <v>27789.64</v>
      </c>
      <c r="I10507" s="1">
        <f>VALUE(4133)</f>
        <v>4133</v>
      </c>
      <c r="J10507" s="1">
        <f>VALUE(5248)</f>
        <v>5248</v>
      </c>
      <c r="K10507" s="1">
        <f>VALUE(6852)</f>
        <v>6852</v>
      </c>
      <c r="L10507" s="1">
        <f>VALUE(9496)</f>
        <v>9496</v>
      </c>
      <c r="M10507" s="1">
        <f>VALUE(13505)</f>
        <v>13505</v>
      </c>
      <c r="N10507" t="s">
        <v>16</v>
      </c>
    </row>
    <row r="10508" spans="1:14" x14ac:dyDescent="0.25">
      <c r="A10508" t="s">
        <v>44</v>
      </c>
      <c r="B10508" t="s">
        <v>15</v>
      </c>
      <c r="C10508" t="s">
        <v>15</v>
      </c>
      <c r="D10508" t="s">
        <v>15</v>
      </c>
      <c r="E10508" t="s">
        <v>21</v>
      </c>
      <c r="F10508" t="s">
        <v>17</v>
      </c>
      <c r="G10508" s="1">
        <f>VALUE(9625.27)</f>
        <v>9625.27</v>
      </c>
      <c r="H10508" s="1">
        <f>VALUE(8932.45)</f>
        <v>8932.4500000000007</v>
      </c>
      <c r="I10508" s="1">
        <f>VALUE(5556)</f>
        <v>5556</v>
      </c>
      <c r="J10508" s="1">
        <f>VALUE(7221)</f>
        <v>7221</v>
      </c>
      <c r="K10508" s="1">
        <f>VALUE(9998)</f>
        <v>9998</v>
      </c>
      <c r="L10508" s="1">
        <f>VALUE(13803)</f>
        <v>13803</v>
      </c>
      <c r="M10508" s="1">
        <f>VALUE(18685)</f>
        <v>18685</v>
      </c>
      <c r="N10508" t="s">
        <v>16</v>
      </c>
    </row>
    <row r="10509" spans="1:14" x14ac:dyDescent="0.25">
      <c r="A10509" t="s">
        <v>44</v>
      </c>
      <c r="B10509" t="s">
        <v>15</v>
      </c>
      <c r="C10509" t="s">
        <v>15</v>
      </c>
      <c r="D10509" t="s">
        <v>15</v>
      </c>
      <c r="E10509" t="s">
        <v>21</v>
      </c>
      <c r="F10509" t="s">
        <v>18</v>
      </c>
      <c r="G10509" s="1">
        <f>VALUE(4793.61)</f>
        <v>4793.6099999999997</v>
      </c>
      <c r="H10509" s="1">
        <f>VALUE(4249.79)</f>
        <v>4249.79</v>
      </c>
      <c r="I10509" s="1">
        <f>VALUE(4950)</f>
        <v>4950</v>
      </c>
      <c r="J10509" s="1">
        <f>VALUE(5833)</f>
        <v>5833</v>
      </c>
      <c r="K10509" s="1">
        <f>VALUE(7509)</f>
        <v>7509</v>
      </c>
      <c r="L10509" s="1">
        <f>VALUE(9823)</f>
        <v>9823</v>
      </c>
      <c r="M10509" s="1">
        <f>VALUE(12045)</f>
        <v>12045</v>
      </c>
      <c r="N10509" t="s">
        <v>16</v>
      </c>
    </row>
    <row r="10510" spans="1:14" x14ac:dyDescent="0.25">
      <c r="A10510" t="s">
        <v>44</v>
      </c>
      <c r="B10510" t="s">
        <v>15</v>
      </c>
      <c r="C10510" t="s">
        <v>15</v>
      </c>
      <c r="D10510" t="s">
        <v>15</v>
      </c>
      <c r="E10510" t="s">
        <v>21</v>
      </c>
      <c r="F10510" t="s">
        <v>19</v>
      </c>
      <c r="G10510" s="1">
        <f>VALUE(3666.33)</f>
        <v>3666.33</v>
      </c>
      <c r="H10510" s="1">
        <f>VALUE(3241.56)</f>
        <v>3241.56</v>
      </c>
      <c r="I10510" s="1">
        <f>VALUE(4063)</f>
        <v>4063</v>
      </c>
      <c r="J10510" s="1">
        <f>VALUE(5137)</f>
        <v>5137</v>
      </c>
      <c r="K10510" s="1">
        <f>VALUE(6472)</f>
        <v>6472</v>
      </c>
      <c r="L10510" s="1">
        <f>VALUE(7736)</f>
        <v>7736</v>
      </c>
      <c r="M10510" s="1">
        <f>VALUE(9268)</f>
        <v>9268</v>
      </c>
      <c r="N10510" t="s">
        <v>16</v>
      </c>
    </row>
    <row r="10511" spans="1:14" x14ac:dyDescent="0.25">
      <c r="A10511" t="s">
        <v>44</v>
      </c>
      <c r="B10511" t="s">
        <v>15</v>
      </c>
      <c r="C10511" t="s">
        <v>15</v>
      </c>
      <c r="D10511" t="s">
        <v>15</v>
      </c>
      <c r="E10511" t="s">
        <v>21</v>
      </c>
      <c r="F10511" t="s">
        <v>20</v>
      </c>
      <c r="G10511" s="1">
        <f>VALUE(13319.22)</f>
        <v>13319.22</v>
      </c>
      <c r="H10511" s="1">
        <f>VALUE(11365.84)</f>
        <v>11365.84</v>
      </c>
      <c r="I10511" s="1">
        <f>VALUE(3660)</f>
        <v>3660</v>
      </c>
      <c r="J10511" s="1">
        <f>VALUE(4580)</f>
        <v>4580</v>
      </c>
      <c r="K10511" s="1">
        <f>VALUE(5610)</f>
        <v>5610</v>
      </c>
      <c r="L10511" s="1">
        <f>VALUE(6931)</f>
        <v>6931</v>
      </c>
      <c r="M10511" s="1">
        <f>VALUE(8326)</f>
        <v>8326</v>
      </c>
      <c r="N10511" t="s">
        <v>16</v>
      </c>
    </row>
    <row r="10512" spans="1:14" x14ac:dyDescent="0.25">
      <c r="A10512" t="s">
        <v>44</v>
      </c>
      <c r="B10512" t="s">
        <v>15</v>
      </c>
      <c r="C10512" t="s">
        <v>15</v>
      </c>
      <c r="D10512" t="s">
        <v>15</v>
      </c>
      <c r="E10512" t="s">
        <v>22</v>
      </c>
      <c r="F10512" t="s">
        <v>15</v>
      </c>
      <c r="G10512" s="1">
        <f>VALUE(52456.52)</f>
        <v>52456.52</v>
      </c>
      <c r="H10512" s="1">
        <f>VALUE(46234.94)</f>
        <v>46234.94</v>
      </c>
      <c r="I10512" s="1">
        <f>VALUE(3713)</f>
        <v>3713</v>
      </c>
      <c r="J10512" s="1">
        <f>VALUE(4396)</f>
        <v>4396</v>
      </c>
      <c r="K10512" s="1">
        <f>VALUE(5355)</f>
        <v>5355</v>
      </c>
      <c r="L10512" s="1">
        <f>VALUE(6498)</f>
        <v>6498</v>
      </c>
      <c r="M10512" s="1">
        <f>VALUE(7933)</f>
        <v>7933</v>
      </c>
      <c r="N10512" t="s">
        <v>16</v>
      </c>
    </row>
    <row r="10513" spans="1:14" x14ac:dyDescent="0.25">
      <c r="A10513" t="s">
        <v>44</v>
      </c>
      <c r="B10513" t="s">
        <v>15</v>
      </c>
      <c r="C10513" t="s">
        <v>15</v>
      </c>
      <c r="D10513" t="s">
        <v>15</v>
      </c>
      <c r="E10513" t="s">
        <v>22</v>
      </c>
      <c r="F10513" t="s">
        <v>17</v>
      </c>
      <c r="G10513" s="1">
        <f>VALUE(6715.56)</f>
        <v>6715.56</v>
      </c>
      <c r="H10513" s="3">
        <f>VALUE(6406.97)</f>
        <v>6406.97</v>
      </c>
      <c r="I10513" s="1">
        <f>VALUE(4478)</f>
        <v>4478</v>
      </c>
      <c r="J10513" s="1">
        <f>VALUE(5413)</f>
        <v>5413</v>
      </c>
      <c r="K10513" s="1">
        <f>VALUE(7012)</f>
        <v>7012</v>
      </c>
      <c r="L10513" s="1">
        <f>VALUE(9265)</f>
        <v>9265</v>
      </c>
      <c r="M10513" s="1">
        <f>VALUE(13328)</f>
        <v>13328</v>
      </c>
      <c r="N10513" t="s">
        <v>25</v>
      </c>
    </row>
    <row r="10514" spans="1:14" x14ac:dyDescent="0.25">
      <c r="A10514" t="s">
        <v>44</v>
      </c>
      <c r="B10514" t="s">
        <v>15</v>
      </c>
      <c r="C10514" t="s">
        <v>15</v>
      </c>
      <c r="D10514" t="s">
        <v>15</v>
      </c>
      <c r="E10514" t="s">
        <v>22</v>
      </c>
      <c r="F10514" t="s">
        <v>18</v>
      </c>
      <c r="G10514" s="1">
        <f>VALUE(4766.34)</f>
        <v>4766.34</v>
      </c>
      <c r="H10514" s="1">
        <f>VALUE(4278.87)</f>
        <v>4278.87</v>
      </c>
      <c r="I10514" s="1">
        <f>VALUE(4281)</f>
        <v>4281</v>
      </c>
      <c r="J10514" s="1">
        <f>VALUE(5158)</f>
        <v>5158</v>
      </c>
      <c r="K10514" s="1">
        <f>VALUE(6310)</f>
        <v>6310</v>
      </c>
      <c r="L10514" s="1">
        <f>VALUE(7678)</f>
        <v>7678</v>
      </c>
      <c r="M10514" s="1">
        <f>VALUE(9587)</f>
        <v>9587</v>
      </c>
      <c r="N10514" t="s">
        <v>16</v>
      </c>
    </row>
    <row r="10515" spans="1:14" x14ac:dyDescent="0.25">
      <c r="A10515" t="s">
        <v>44</v>
      </c>
      <c r="B10515" t="s">
        <v>15</v>
      </c>
      <c r="C10515" t="s">
        <v>15</v>
      </c>
      <c r="D10515" t="s">
        <v>15</v>
      </c>
      <c r="E10515" t="s">
        <v>22</v>
      </c>
      <c r="F10515" t="s">
        <v>19</v>
      </c>
      <c r="G10515" s="1">
        <f>VALUE(7828.07)</f>
        <v>7828.07</v>
      </c>
      <c r="H10515" s="1">
        <f>VALUE(7080.77)</f>
        <v>7080.77</v>
      </c>
      <c r="I10515" s="1">
        <f>VALUE(3990)</f>
        <v>3990</v>
      </c>
      <c r="J10515" s="1">
        <f>VALUE(4689)</f>
        <v>4689</v>
      </c>
      <c r="K10515" s="1">
        <f>VALUE(5650)</f>
        <v>5650</v>
      </c>
      <c r="L10515" s="1">
        <f>VALUE(6604)</f>
        <v>6604</v>
      </c>
      <c r="M10515" s="1">
        <f>VALUE(7686)</f>
        <v>7686</v>
      </c>
      <c r="N10515" t="s">
        <v>16</v>
      </c>
    </row>
    <row r="10516" spans="1:14" x14ac:dyDescent="0.25">
      <c r="A10516" t="s">
        <v>44</v>
      </c>
      <c r="B10516" t="s">
        <v>15</v>
      </c>
      <c r="C10516" t="s">
        <v>15</v>
      </c>
      <c r="D10516" t="s">
        <v>15</v>
      </c>
      <c r="E10516" t="s">
        <v>22</v>
      </c>
      <c r="F10516" t="s">
        <v>20</v>
      </c>
      <c r="G10516" s="1">
        <f>VALUE(33146.55)</f>
        <v>33146.550000000003</v>
      </c>
      <c r="H10516" s="1">
        <f>VALUE(28468.33)</f>
        <v>28468.33</v>
      </c>
      <c r="I10516" s="1">
        <f>VALUE(3552)</f>
        <v>3552</v>
      </c>
      <c r="J10516" s="1">
        <f>VALUE(4143)</f>
        <v>4143</v>
      </c>
      <c r="K10516" s="1">
        <f>VALUE(5017)</f>
        <v>5017</v>
      </c>
      <c r="L10516" s="1">
        <f>VALUE(5882)</f>
        <v>5882</v>
      </c>
      <c r="M10516" s="1">
        <f>VALUE(6746)</f>
        <v>6746</v>
      </c>
      <c r="N10516" t="s">
        <v>16</v>
      </c>
    </row>
    <row r="10517" spans="1:14" x14ac:dyDescent="0.25">
      <c r="A10517" t="s">
        <v>44</v>
      </c>
      <c r="B10517" t="s">
        <v>15</v>
      </c>
      <c r="C10517" t="s">
        <v>15</v>
      </c>
      <c r="D10517" t="s">
        <v>15</v>
      </c>
      <c r="E10517" t="s">
        <v>23</v>
      </c>
      <c r="F10517" t="s">
        <v>15</v>
      </c>
      <c r="G10517" s="1">
        <f>VALUE(41195.2)</f>
        <v>41195.199999999997</v>
      </c>
      <c r="H10517" s="1">
        <f>VALUE(33466.54)</f>
        <v>33466.54</v>
      </c>
      <c r="I10517" s="1">
        <f>VALUE(3182)</f>
        <v>3182</v>
      </c>
      <c r="J10517" s="1">
        <f>VALUE(3528)</f>
        <v>3528</v>
      </c>
      <c r="K10517" s="1">
        <f>VALUE(4242)</f>
        <v>4242</v>
      </c>
      <c r="L10517" s="1">
        <f>VALUE(5259)</f>
        <v>5259</v>
      </c>
      <c r="M10517" s="1">
        <f>VALUE(6173)</f>
        <v>6173</v>
      </c>
      <c r="N10517" t="s">
        <v>16</v>
      </c>
    </row>
    <row r="10518" spans="1:14" x14ac:dyDescent="0.25">
      <c r="A10518" t="s">
        <v>44</v>
      </c>
      <c r="B10518" t="s">
        <v>15</v>
      </c>
      <c r="C10518" t="s">
        <v>15</v>
      </c>
      <c r="D10518" t="s">
        <v>15</v>
      </c>
      <c r="E10518" t="s">
        <v>23</v>
      </c>
      <c r="F10518" t="s">
        <v>17</v>
      </c>
      <c r="G10518" s="2">
        <f>VALUE(1125.58)</f>
        <v>1125.58</v>
      </c>
      <c r="H10518" s="3">
        <f>VALUE(1029.97)</f>
        <v>1029.97</v>
      </c>
      <c r="I10518" s="1">
        <f>VALUE(3713)</f>
        <v>3713</v>
      </c>
      <c r="J10518" s="5">
        <f>VALUE(4128)</f>
        <v>4128</v>
      </c>
      <c r="K10518" s="1">
        <f>VALUE(5686)</f>
        <v>5686</v>
      </c>
      <c r="L10518" s="7">
        <f>VALUE(6568)</f>
        <v>6568</v>
      </c>
      <c r="M10518" s="8">
        <f>VALUE(8678)</f>
        <v>8678</v>
      </c>
      <c r="N10518" t="s">
        <v>25</v>
      </c>
    </row>
    <row r="10519" spans="1:14" x14ac:dyDescent="0.25">
      <c r="A10519" t="s">
        <v>44</v>
      </c>
      <c r="B10519" t="s">
        <v>15</v>
      </c>
      <c r="C10519" t="s">
        <v>15</v>
      </c>
      <c r="D10519" t="s">
        <v>15</v>
      </c>
      <c r="E10519" t="s">
        <v>23</v>
      </c>
      <c r="F10519" t="s">
        <v>18</v>
      </c>
      <c r="G10519" s="2">
        <f>VALUE(1408.25)</f>
        <v>1408.25</v>
      </c>
      <c r="H10519" s="3">
        <f>VALUE(1292.06)</f>
        <v>1292.06</v>
      </c>
      <c r="I10519" s="1">
        <f>VALUE(3670)</f>
        <v>3670</v>
      </c>
      <c r="J10519" s="5">
        <f>VALUE(4230)</f>
        <v>4230</v>
      </c>
      <c r="K10519" s="6">
        <f>VALUE(5091)</f>
        <v>5091</v>
      </c>
      <c r="L10519" s="1">
        <f>VALUE(5946)</f>
        <v>5946</v>
      </c>
      <c r="M10519" s="1">
        <f>VALUE(6552)</f>
        <v>6552</v>
      </c>
      <c r="N10519" t="s">
        <v>25</v>
      </c>
    </row>
    <row r="10520" spans="1:14" x14ac:dyDescent="0.25">
      <c r="A10520" t="s">
        <v>44</v>
      </c>
      <c r="B10520" t="s">
        <v>15</v>
      </c>
      <c r="C10520" t="s">
        <v>15</v>
      </c>
      <c r="D10520" t="s">
        <v>15</v>
      </c>
      <c r="E10520" t="s">
        <v>23</v>
      </c>
      <c r="F10520" t="s">
        <v>19</v>
      </c>
      <c r="G10520" s="2">
        <f>VALUE(2726.64)</f>
        <v>2726.64</v>
      </c>
      <c r="H10520" s="3">
        <f>VALUE(2526.03)</f>
        <v>2526.0300000000002</v>
      </c>
      <c r="I10520" s="1">
        <f>VALUE(3277)</f>
        <v>3277</v>
      </c>
      <c r="J10520" s="1">
        <f>VALUE(4112)</f>
        <v>4112</v>
      </c>
      <c r="K10520" s="1">
        <f>VALUE(5016)</f>
        <v>5016</v>
      </c>
      <c r="L10520" s="1">
        <f>VALUE(6096)</f>
        <v>6096</v>
      </c>
      <c r="M10520" s="8">
        <f>VALUE(6847)</f>
        <v>6847</v>
      </c>
      <c r="N10520" t="s">
        <v>25</v>
      </c>
    </row>
    <row r="10521" spans="1:14" x14ac:dyDescent="0.25">
      <c r="A10521" t="s">
        <v>44</v>
      </c>
      <c r="B10521" t="s">
        <v>15</v>
      </c>
      <c r="C10521" t="s">
        <v>15</v>
      </c>
      <c r="D10521" t="s">
        <v>15</v>
      </c>
      <c r="E10521" t="s">
        <v>23</v>
      </c>
      <c r="F10521" t="s">
        <v>20</v>
      </c>
      <c r="G10521" s="1">
        <f>VALUE(35934.73)</f>
        <v>35934.730000000003</v>
      </c>
      <c r="H10521" s="1">
        <f>VALUE(28618.48)</f>
        <v>28618.48</v>
      </c>
      <c r="I10521" s="1">
        <f>VALUE(3158)</f>
        <v>3158</v>
      </c>
      <c r="J10521" s="1">
        <f>VALUE(3501)</f>
        <v>3501</v>
      </c>
      <c r="K10521" s="1">
        <f>VALUE(4131)</f>
        <v>4131</v>
      </c>
      <c r="L10521" s="1">
        <f>VALUE(5054)</f>
        <v>5054</v>
      </c>
      <c r="M10521" s="1">
        <f>VALUE(5948)</f>
        <v>5948</v>
      </c>
      <c r="N10521" t="s">
        <v>16</v>
      </c>
    </row>
    <row r="10522" spans="1:14" x14ac:dyDescent="0.25">
      <c r="A10522" t="s">
        <v>44</v>
      </c>
      <c r="B10522" t="s">
        <v>15</v>
      </c>
      <c r="C10522" t="s">
        <v>15</v>
      </c>
      <c r="D10522" t="s">
        <v>15</v>
      </c>
      <c r="E10522" t="s">
        <v>26</v>
      </c>
      <c r="F10522" t="s">
        <v>15</v>
      </c>
      <c r="G10522" s="2">
        <f>VALUE(1430.33)</f>
        <v>1430.33</v>
      </c>
      <c r="H10522" s="3">
        <f>VALUE(1338.73)</f>
        <v>1338.73</v>
      </c>
      <c r="I10522" s="4">
        <f>VALUE(4224)</f>
        <v>4224</v>
      </c>
      <c r="J10522" s="1">
        <f>VALUE(5062)</f>
        <v>5062</v>
      </c>
      <c r="K10522" s="1">
        <f>VALUE(6084)</f>
        <v>6084</v>
      </c>
      <c r="L10522" s="1">
        <f>VALUE(7986)</f>
        <v>7986</v>
      </c>
      <c r="M10522" s="8">
        <f>VALUE(11086)</f>
        <v>11086</v>
      </c>
      <c r="N10522" t="s">
        <v>25</v>
      </c>
    </row>
    <row r="10523" spans="1:14" x14ac:dyDescent="0.25">
      <c r="A10523" t="s">
        <v>44</v>
      </c>
      <c r="B10523" t="s">
        <v>15</v>
      </c>
      <c r="C10523" t="s">
        <v>15</v>
      </c>
      <c r="D10523" t="s">
        <v>15</v>
      </c>
      <c r="E10523" t="s">
        <v>26</v>
      </c>
      <c r="F10523" t="s">
        <v>17</v>
      </c>
      <c r="G10523" s="2">
        <f>VALUE(245.63)</f>
        <v>245.63</v>
      </c>
      <c r="H10523" s="3">
        <f>VALUE(220.9)</f>
        <v>220.9</v>
      </c>
      <c r="I10523" s="4">
        <f>VALUE(7219)</f>
        <v>7219</v>
      </c>
      <c r="J10523" s="5">
        <f>VALUE(8123)</f>
        <v>8123</v>
      </c>
      <c r="K10523" s="6">
        <f>VALUE(11694)</f>
        <v>11694</v>
      </c>
      <c r="L10523" s="7">
        <f>VALUE(15467)</f>
        <v>15467</v>
      </c>
      <c r="M10523" s="1">
        <f>VALUE(15940)</f>
        <v>15940</v>
      </c>
      <c r="N10523" t="s">
        <v>25</v>
      </c>
    </row>
    <row r="10524" spans="1:14" x14ac:dyDescent="0.25">
      <c r="A10524" t="s">
        <v>44</v>
      </c>
      <c r="B10524" t="s">
        <v>15</v>
      </c>
      <c r="C10524" t="s">
        <v>15</v>
      </c>
      <c r="D10524" t="s">
        <v>15</v>
      </c>
      <c r="E10524" t="s">
        <v>26</v>
      </c>
      <c r="F10524" t="s">
        <v>18</v>
      </c>
      <c r="G10524" s="2">
        <f>VALUE(172.66)</f>
        <v>172.66</v>
      </c>
      <c r="H10524" s="3">
        <f>VALUE(160.52)</f>
        <v>160.52000000000001</v>
      </c>
      <c r="I10524" s="1">
        <f>VALUE(5000)</f>
        <v>5000</v>
      </c>
      <c r="J10524" s="1">
        <f>VALUE(5601)</f>
        <v>5601</v>
      </c>
      <c r="K10524" s="1">
        <f>VALUE(7032)</f>
        <v>7032</v>
      </c>
      <c r="L10524" s="1">
        <f>VALUE(8161)</f>
        <v>8161</v>
      </c>
      <c r="M10524" s="1">
        <f>VALUE(9589)</f>
        <v>9589</v>
      </c>
      <c r="N10524" t="s">
        <v>25</v>
      </c>
    </row>
    <row r="10525" spans="1:14" x14ac:dyDescent="0.25">
      <c r="A10525" t="s">
        <v>44</v>
      </c>
      <c r="B10525" t="s">
        <v>15</v>
      </c>
      <c r="C10525" t="s">
        <v>15</v>
      </c>
      <c r="D10525" t="s">
        <v>15</v>
      </c>
      <c r="E10525" t="s">
        <v>26</v>
      </c>
      <c r="F10525" t="s">
        <v>19</v>
      </c>
      <c r="G10525" s="1" t="str">
        <f t="shared" ref="G10525:M10525" si="2367">"X"</f>
        <v>X</v>
      </c>
      <c r="H10525" s="1" t="str">
        <f t="shared" si="2367"/>
        <v>X</v>
      </c>
      <c r="I10525" s="1" t="str">
        <f t="shared" si="2367"/>
        <v>X</v>
      </c>
      <c r="J10525" s="1" t="str">
        <f t="shared" si="2367"/>
        <v>X</v>
      </c>
      <c r="K10525" s="1" t="str">
        <f t="shared" si="2367"/>
        <v>X</v>
      </c>
      <c r="L10525" s="1" t="str">
        <f t="shared" si="2367"/>
        <v>X</v>
      </c>
      <c r="M10525" s="1" t="str">
        <f t="shared" si="2367"/>
        <v>X</v>
      </c>
      <c r="N10525" t="s">
        <v>27</v>
      </c>
    </row>
    <row r="10526" spans="1:14" x14ac:dyDescent="0.25">
      <c r="A10526" t="s">
        <v>44</v>
      </c>
      <c r="B10526" t="s">
        <v>15</v>
      </c>
      <c r="C10526" t="s">
        <v>15</v>
      </c>
      <c r="D10526" t="s">
        <v>15</v>
      </c>
      <c r="E10526" t="s">
        <v>26</v>
      </c>
      <c r="F10526" t="s">
        <v>20</v>
      </c>
      <c r="G10526" s="2">
        <f>VALUE(979.85)</f>
        <v>979.85</v>
      </c>
      <c r="H10526" s="3">
        <f>VALUE(924.81)</f>
        <v>924.81</v>
      </c>
      <c r="I10526" s="1">
        <f>VALUE(3771)</f>
        <v>3771</v>
      </c>
      <c r="J10526" s="1">
        <f>VALUE(4673)</f>
        <v>4673</v>
      </c>
      <c r="K10526" s="1">
        <f>VALUE(5637)</f>
        <v>5637</v>
      </c>
      <c r="L10526" s="1">
        <f>VALUE(6631)</f>
        <v>6631</v>
      </c>
      <c r="M10526" s="1">
        <f>VALUE(8381)</f>
        <v>8381</v>
      </c>
      <c r="N10526" t="s">
        <v>25</v>
      </c>
    </row>
    <row r="10527" spans="1:14" x14ac:dyDescent="0.25">
      <c r="A10527" t="s">
        <v>44</v>
      </c>
      <c r="B10527" t="s">
        <v>15</v>
      </c>
      <c r="C10527" t="s">
        <v>15</v>
      </c>
      <c r="D10527" t="s">
        <v>28</v>
      </c>
      <c r="E10527" t="s">
        <v>15</v>
      </c>
      <c r="F10527" t="s">
        <v>15</v>
      </c>
      <c r="G10527" s="1">
        <f>VALUE(49087.65)</f>
        <v>49087.65</v>
      </c>
      <c r="H10527" s="1">
        <f>VALUE(40481.77)</f>
        <v>40481.769999999997</v>
      </c>
      <c r="I10527" s="1">
        <f>VALUE(3975)</f>
        <v>3975</v>
      </c>
      <c r="J10527" s="1">
        <f>VALUE(4789)</f>
        <v>4789</v>
      </c>
      <c r="K10527" s="1">
        <f>VALUE(5974)</f>
        <v>5974</v>
      </c>
      <c r="L10527" s="1">
        <f>VALUE(7583)</f>
        <v>7583</v>
      </c>
      <c r="M10527" s="1">
        <f>VALUE(10738)</f>
        <v>10738</v>
      </c>
      <c r="N10527" t="s">
        <v>16</v>
      </c>
    </row>
    <row r="10528" spans="1:14" x14ac:dyDescent="0.25">
      <c r="A10528" t="s">
        <v>44</v>
      </c>
      <c r="B10528" t="s">
        <v>15</v>
      </c>
      <c r="C10528" t="s">
        <v>15</v>
      </c>
      <c r="D10528" t="s">
        <v>28</v>
      </c>
      <c r="E10528" t="s">
        <v>15</v>
      </c>
      <c r="F10528" t="s">
        <v>17</v>
      </c>
      <c r="G10528" s="1">
        <f>VALUE(10427.73)</f>
        <v>10427.73</v>
      </c>
      <c r="H10528" s="1">
        <f>VALUE(9638.79)</f>
        <v>9638.7900000000009</v>
      </c>
      <c r="I10528" s="1">
        <f>VALUE(4870)</f>
        <v>4870</v>
      </c>
      <c r="J10528" s="1">
        <f>VALUE(6347)</f>
        <v>6347</v>
      </c>
      <c r="K10528" s="1">
        <f>VALUE(8527)</f>
        <v>8527</v>
      </c>
      <c r="L10528" s="1">
        <f>VALUE(11742)</f>
        <v>11742</v>
      </c>
      <c r="M10528" s="1">
        <f>VALUE(16300)</f>
        <v>16300</v>
      </c>
      <c r="N10528" t="s">
        <v>16</v>
      </c>
    </row>
    <row r="10529" spans="1:14" x14ac:dyDescent="0.25">
      <c r="A10529" t="s">
        <v>44</v>
      </c>
      <c r="B10529" t="s">
        <v>15</v>
      </c>
      <c r="C10529" t="s">
        <v>15</v>
      </c>
      <c r="D10529" t="s">
        <v>28</v>
      </c>
      <c r="E10529" t="s">
        <v>15</v>
      </c>
      <c r="F10529" t="s">
        <v>18</v>
      </c>
      <c r="G10529" s="1">
        <f>VALUE(5393.52)</f>
        <v>5393.52</v>
      </c>
      <c r="H10529" s="1">
        <f>VALUE(4622.95)</f>
        <v>4622.95</v>
      </c>
      <c r="I10529" s="1">
        <f>VALUE(4412)</f>
        <v>4412</v>
      </c>
      <c r="J10529" s="1">
        <f>VALUE(5667)</f>
        <v>5667</v>
      </c>
      <c r="K10529" s="1">
        <f>VALUE(6933)</f>
        <v>6933</v>
      </c>
      <c r="L10529" s="1">
        <f>VALUE(8914)</f>
        <v>8914</v>
      </c>
      <c r="M10529" s="1">
        <f>VALUE(11216)</f>
        <v>11216</v>
      </c>
      <c r="N10529" t="s">
        <v>16</v>
      </c>
    </row>
    <row r="10530" spans="1:14" x14ac:dyDescent="0.25">
      <c r="A10530" t="s">
        <v>44</v>
      </c>
      <c r="B10530" t="s">
        <v>15</v>
      </c>
      <c r="C10530" t="s">
        <v>15</v>
      </c>
      <c r="D10530" t="s">
        <v>28</v>
      </c>
      <c r="E10530" t="s">
        <v>15</v>
      </c>
      <c r="F10530" t="s">
        <v>19</v>
      </c>
      <c r="G10530" s="1">
        <f>VALUE(6049.42)</f>
        <v>6049.42</v>
      </c>
      <c r="H10530" s="1">
        <f>VALUE(5130.13)</f>
        <v>5130.13</v>
      </c>
      <c r="I10530" s="1">
        <f>VALUE(4094)</f>
        <v>4094</v>
      </c>
      <c r="J10530" s="1">
        <f>VALUE(4874)</f>
        <v>4874</v>
      </c>
      <c r="K10530" s="1">
        <f>VALUE(6048)</f>
        <v>6048</v>
      </c>
      <c r="L10530" s="1">
        <f>VALUE(7037)</f>
        <v>7037</v>
      </c>
      <c r="M10530" s="1">
        <f>VALUE(8378)</f>
        <v>8378</v>
      </c>
      <c r="N10530" t="s">
        <v>16</v>
      </c>
    </row>
    <row r="10531" spans="1:14" x14ac:dyDescent="0.25">
      <c r="A10531" t="s">
        <v>44</v>
      </c>
      <c r="B10531" t="s">
        <v>15</v>
      </c>
      <c r="C10531" t="s">
        <v>15</v>
      </c>
      <c r="D10531" t="s">
        <v>28</v>
      </c>
      <c r="E10531" t="s">
        <v>15</v>
      </c>
      <c r="F10531" t="s">
        <v>20</v>
      </c>
      <c r="G10531" s="1">
        <f>VALUE(27216.98)</f>
        <v>27216.98</v>
      </c>
      <c r="H10531" s="1">
        <f>VALUE(21089.9)</f>
        <v>21089.9</v>
      </c>
      <c r="I10531" s="1">
        <f>VALUE(3718)</f>
        <v>3718</v>
      </c>
      <c r="J10531" s="1">
        <f>VALUE(4388)</f>
        <v>4388</v>
      </c>
      <c r="K10531" s="1">
        <f>VALUE(5306)</f>
        <v>5306</v>
      </c>
      <c r="L10531" s="1">
        <f>VALUE(6233)</f>
        <v>6233</v>
      </c>
      <c r="M10531" s="1">
        <f>VALUE(7362)</f>
        <v>7362</v>
      </c>
      <c r="N10531" t="s">
        <v>16</v>
      </c>
    </row>
    <row r="10532" spans="1:14" x14ac:dyDescent="0.25">
      <c r="A10532" t="s">
        <v>44</v>
      </c>
      <c r="B10532" t="s">
        <v>15</v>
      </c>
      <c r="C10532" t="s">
        <v>15</v>
      </c>
      <c r="D10532" t="s">
        <v>28</v>
      </c>
      <c r="E10532" t="s">
        <v>21</v>
      </c>
      <c r="F10532" t="s">
        <v>15</v>
      </c>
      <c r="G10532" s="1">
        <f>VALUE(13715.41)</f>
        <v>13715.41</v>
      </c>
      <c r="H10532" s="1">
        <f>VALUE(11603.01)</f>
        <v>11603.01</v>
      </c>
      <c r="I10532" s="1">
        <f>VALUE(4854)</f>
        <v>4854</v>
      </c>
      <c r="J10532" s="1">
        <f>VALUE(5974)</f>
        <v>5974</v>
      </c>
      <c r="K10532" s="1">
        <f>VALUE(7635)</f>
        <v>7635</v>
      </c>
      <c r="L10532" s="1">
        <f>VALUE(10505)</f>
        <v>10505</v>
      </c>
      <c r="M10532" s="1">
        <f>VALUE(14244)</f>
        <v>14244</v>
      </c>
      <c r="N10532" t="s">
        <v>16</v>
      </c>
    </row>
    <row r="10533" spans="1:14" x14ac:dyDescent="0.25">
      <c r="A10533" t="s">
        <v>44</v>
      </c>
      <c r="B10533" t="s">
        <v>15</v>
      </c>
      <c r="C10533" t="s">
        <v>15</v>
      </c>
      <c r="D10533" t="s">
        <v>28</v>
      </c>
      <c r="E10533" t="s">
        <v>21</v>
      </c>
      <c r="F10533" t="s">
        <v>17</v>
      </c>
      <c r="G10533" s="1">
        <f>VALUE(5376.2)</f>
        <v>5376.2</v>
      </c>
      <c r="H10533" s="1">
        <f>VALUE(4911.55)</f>
        <v>4911.55</v>
      </c>
      <c r="I10533" s="1">
        <f>VALUE(5880)</f>
        <v>5880</v>
      </c>
      <c r="J10533" s="1">
        <f>VALUE(7617)</f>
        <v>7617</v>
      </c>
      <c r="K10533" s="1">
        <f>VALUE(10078)</f>
        <v>10078</v>
      </c>
      <c r="L10533" s="1">
        <f>VALUE(13450)</f>
        <v>13450</v>
      </c>
      <c r="M10533" s="1">
        <f>VALUE(18396)</f>
        <v>18396</v>
      </c>
      <c r="N10533" t="s">
        <v>16</v>
      </c>
    </row>
    <row r="10534" spans="1:14" x14ac:dyDescent="0.25">
      <c r="A10534" t="s">
        <v>44</v>
      </c>
      <c r="B10534" t="s">
        <v>15</v>
      </c>
      <c r="C10534" t="s">
        <v>15</v>
      </c>
      <c r="D10534" t="s">
        <v>28</v>
      </c>
      <c r="E10534" t="s">
        <v>21</v>
      </c>
      <c r="F10534" t="s">
        <v>18</v>
      </c>
      <c r="G10534" s="2">
        <f>VALUE(2158.87)</f>
        <v>2158.87</v>
      </c>
      <c r="H10534" s="3">
        <f>VALUE(1850.6)</f>
        <v>1850.6</v>
      </c>
      <c r="I10534" s="1">
        <f>VALUE(5286)</f>
        <v>5286</v>
      </c>
      <c r="J10534" s="1">
        <f>VALUE(6345)</f>
        <v>6345</v>
      </c>
      <c r="K10534" s="1">
        <f>VALUE(7766)</f>
        <v>7766</v>
      </c>
      <c r="L10534" s="1">
        <f>VALUE(10094)</f>
        <v>10094</v>
      </c>
      <c r="M10534" s="1">
        <f>VALUE(12045)</f>
        <v>12045</v>
      </c>
      <c r="N10534" t="s">
        <v>25</v>
      </c>
    </row>
    <row r="10535" spans="1:14" x14ac:dyDescent="0.25">
      <c r="A10535" t="s">
        <v>44</v>
      </c>
      <c r="B10535" t="s">
        <v>15</v>
      </c>
      <c r="C10535" t="s">
        <v>15</v>
      </c>
      <c r="D10535" t="s">
        <v>28</v>
      </c>
      <c r="E10535" t="s">
        <v>21</v>
      </c>
      <c r="F10535" t="s">
        <v>19</v>
      </c>
      <c r="G10535" s="2">
        <f>VALUE(1443.42)</f>
        <v>1443.42</v>
      </c>
      <c r="H10535" s="3">
        <f>VALUE(1177.04)</f>
        <v>1177.04</v>
      </c>
      <c r="I10535" s="1">
        <f>VALUE(4901)</f>
        <v>4901</v>
      </c>
      <c r="J10535" s="1">
        <f>VALUE(5714)</f>
        <v>5714</v>
      </c>
      <c r="K10535" s="1">
        <f>VALUE(6980)</f>
        <v>6980</v>
      </c>
      <c r="L10535" s="1">
        <f>VALUE(8230)</f>
        <v>8230</v>
      </c>
      <c r="M10535" s="8">
        <f>VALUE(9549)</f>
        <v>9549</v>
      </c>
      <c r="N10535" t="s">
        <v>25</v>
      </c>
    </row>
    <row r="10536" spans="1:14" x14ac:dyDescent="0.25">
      <c r="A10536" t="s">
        <v>44</v>
      </c>
      <c r="B10536" t="s">
        <v>15</v>
      </c>
      <c r="C10536" t="s">
        <v>15</v>
      </c>
      <c r="D10536" t="s">
        <v>28</v>
      </c>
      <c r="E10536" t="s">
        <v>21</v>
      </c>
      <c r="F10536" t="s">
        <v>20</v>
      </c>
      <c r="G10536" s="1">
        <f>VALUE(4736.92)</f>
        <v>4736.92</v>
      </c>
      <c r="H10536" s="1">
        <f>VALUE(3663.82)</f>
        <v>3663.82</v>
      </c>
      <c r="I10536" s="4">
        <f>VALUE(4222)</f>
        <v>4222</v>
      </c>
      <c r="J10536" s="1">
        <f>VALUE(5090)</f>
        <v>5090</v>
      </c>
      <c r="K10536" s="1">
        <f>VALUE(6004)</f>
        <v>6004</v>
      </c>
      <c r="L10536" s="1">
        <f>VALUE(7412)</f>
        <v>7412</v>
      </c>
      <c r="M10536" s="8">
        <f>VALUE(8807)</f>
        <v>8807</v>
      </c>
      <c r="N10536" t="s">
        <v>25</v>
      </c>
    </row>
    <row r="10537" spans="1:14" x14ac:dyDescent="0.25">
      <c r="A10537" t="s">
        <v>44</v>
      </c>
      <c r="B10537" t="s">
        <v>15</v>
      </c>
      <c r="C10537" t="s">
        <v>15</v>
      </c>
      <c r="D10537" t="s">
        <v>28</v>
      </c>
      <c r="E10537" t="s">
        <v>22</v>
      </c>
      <c r="F10537" t="s">
        <v>15</v>
      </c>
      <c r="G10537" s="1">
        <f>VALUE(28065.68)</f>
        <v>28065.68</v>
      </c>
      <c r="H10537" s="1">
        <f>VALUE(23794.42)</f>
        <v>23794.42</v>
      </c>
      <c r="I10537" s="1">
        <f>VALUE(3940)</f>
        <v>3940</v>
      </c>
      <c r="J10537" s="1">
        <f>VALUE(4701)</f>
        <v>4701</v>
      </c>
      <c r="K10537" s="1">
        <f>VALUE(5726)</f>
        <v>5726</v>
      </c>
      <c r="L10537" s="1">
        <f>VALUE(6860)</f>
        <v>6860</v>
      </c>
      <c r="M10537" s="1">
        <f>VALUE(8633)</f>
        <v>8633</v>
      </c>
      <c r="N10537" t="s">
        <v>16</v>
      </c>
    </row>
    <row r="10538" spans="1:14" x14ac:dyDescent="0.25">
      <c r="A10538" t="s">
        <v>44</v>
      </c>
      <c r="B10538" t="s">
        <v>15</v>
      </c>
      <c r="C10538" t="s">
        <v>15</v>
      </c>
      <c r="D10538" t="s">
        <v>28</v>
      </c>
      <c r="E10538" t="s">
        <v>22</v>
      </c>
      <c r="F10538" t="s">
        <v>17</v>
      </c>
      <c r="G10538" s="2">
        <f>VALUE(4412.31)</f>
        <v>4412.3100000000004</v>
      </c>
      <c r="H10538" s="3">
        <f>VALUE(4176.08)</f>
        <v>4176.08</v>
      </c>
      <c r="I10538" s="4">
        <f>VALUE(4729)</f>
        <v>4729</v>
      </c>
      <c r="J10538" s="5">
        <f>VALUE(5893)</f>
        <v>5893</v>
      </c>
      <c r="K10538" s="1">
        <f>VALUE(7243)</f>
        <v>7243</v>
      </c>
      <c r="L10538" s="1">
        <f>VALUE(9565)</f>
        <v>9565</v>
      </c>
      <c r="M10538" s="1">
        <f>VALUE(13709)</f>
        <v>13709</v>
      </c>
      <c r="N10538" t="s">
        <v>25</v>
      </c>
    </row>
    <row r="10539" spans="1:14" x14ac:dyDescent="0.25">
      <c r="A10539" t="s">
        <v>44</v>
      </c>
      <c r="B10539" t="s">
        <v>15</v>
      </c>
      <c r="C10539" t="s">
        <v>15</v>
      </c>
      <c r="D10539" t="s">
        <v>28</v>
      </c>
      <c r="E10539" t="s">
        <v>22</v>
      </c>
      <c r="F10539" t="s">
        <v>18</v>
      </c>
      <c r="G10539" s="2">
        <f>VALUE(2903.53)</f>
        <v>2903.53</v>
      </c>
      <c r="H10539" s="1">
        <f>VALUE(2507.96)</f>
        <v>2507.96</v>
      </c>
      <c r="I10539" s="1">
        <f>VALUE(4377)</f>
        <v>4377</v>
      </c>
      <c r="J10539" s="1">
        <f>VALUE(5459)</f>
        <v>5459</v>
      </c>
      <c r="K10539" s="1">
        <f>VALUE(6610)</f>
        <v>6610</v>
      </c>
      <c r="L10539" s="1">
        <f>VALUE(8135)</f>
        <v>8135</v>
      </c>
      <c r="M10539" s="1">
        <f>VALUE(10172)</f>
        <v>10172</v>
      </c>
      <c r="N10539" t="s">
        <v>25</v>
      </c>
    </row>
    <row r="10540" spans="1:14" x14ac:dyDescent="0.25">
      <c r="A10540" t="s">
        <v>44</v>
      </c>
      <c r="B10540" t="s">
        <v>15</v>
      </c>
      <c r="C10540" t="s">
        <v>15</v>
      </c>
      <c r="D10540" t="s">
        <v>28</v>
      </c>
      <c r="E10540" t="s">
        <v>22</v>
      </c>
      <c r="F10540" t="s">
        <v>19</v>
      </c>
      <c r="G10540" s="1">
        <f>VALUE(3946.83)</f>
        <v>3946.83</v>
      </c>
      <c r="H10540" s="1">
        <f>VALUE(3425.5)</f>
        <v>3425.5</v>
      </c>
      <c r="I10540" s="1">
        <f>VALUE(4043)</f>
        <v>4043</v>
      </c>
      <c r="J10540" s="1">
        <f>VALUE(4789)</f>
        <v>4789</v>
      </c>
      <c r="K10540" s="1">
        <f>VALUE(5884)</f>
        <v>5884</v>
      </c>
      <c r="L10540" s="1">
        <f>VALUE(6788)</f>
        <v>6788</v>
      </c>
      <c r="M10540" s="1">
        <f>VALUE(7805)</f>
        <v>7805</v>
      </c>
      <c r="N10540" t="s">
        <v>16</v>
      </c>
    </row>
    <row r="10541" spans="1:14" x14ac:dyDescent="0.25">
      <c r="A10541" t="s">
        <v>44</v>
      </c>
      <c r="B10541" t="s">
        <v>15</v>
      </c>
      <c r="C10541" t="s">
        <v>15</v>
      </c>
      <c r="D10541" t="s">
        <v>28</v>
      </c>
      <c r="E10541" t="s">
        <v>22</v>
      </c>
      <c r="F10541" t="s">
        <v>20</v>
      </c>
      <c r="G10541" s="1">
        <f>VALUE(16803.01)</f>
        <v>16803.009999999998</v>
      </c>
      <c r="H10541" s="1">
        <f>VALUE(13684.88)</f>
        <v>13684.88</v>
      </c>
      <c r="I10541" s="1">
        <f>VALUE(3761)</f>
        <v>3761</v>
      </c>
      <c r="J10541" s="1">
        <f>VALUE(4420)</f>
        <v>4420</v>
      </c>
      <c r="K10541" s="1">
        <f>VALUE(5313)</f>
        <v>5313</v>
      </c>
      <c r="L10541" s="1">
        <f>VALUE(6159)</f>
        <v>6159</v>
      </c>
      <c r="M10541" s="1">
        <f>VALUE(7040)</f>
        <v>7040</v>
      </c>
      <c r="N10541" t="s">
        <v>16</v>
      </c>
    </row>
    <row r="10542" spans="1:14" x14ac:dyDescent="0.25">
      <c r="A10542" t="s">
        <v>44</v>
      </c>
      <c r="B10542" t="s">
        <v>15</v>
      </c>
      <c r="C10542" t="s">
        <v>15</v>
      </c>
      <c r="D10542" t="s">
        <v>28</v>
      </c>
      <c r="E10542" t="s">
        <v>23</v>
      </c>
      <c r="F10542" t="s">
        <v>15</v>
      </c>
      <c r="G10542" s="1">
        <f>VALUE(6736.22)</f>
        <v>6736.22</v>
      </c>
      <c r="H10542" s="1">
        <f>VALUE(4584.08)</f>
        <v>4584.08</v>
      </c>
      <c r="I10542" s="1">
        <f>VALUE(3426)</f>
        <v>3426</v>
      </c>
      <c r="J10542" s="1">
        <f>VALUE(3999)</f>
        <v>3999</v>
      </c>
      <c r="K10542" s="1">
        <f>VALUE(4586)</f>
        <v>4586</v>
      </c>
      <c r="L10542" s="1">
        <f>VALUE(5470)</f>
        <v>5470</v>
      </c>
      <c r="M10542" s="1">
        <f>VALUE(6385)</f>
        <v>6385</v>
      </c>
      <c r="N10542" t="s">
        <v>16</v>
      </c>
    </row>
    <row r="10543" spans="1:14" x14ac:dyDescent="0.25">
      <c r="A10543" t="s">
        <v>44</v>
      </c>
      <c r="B10543" t="s">
        <v>15</v>
      </c>
      <c r="C10543" t="s">
        <v>15</v>
      </c>
      <c r="D10543" t="s">
        <v>28</v>
      </c>
      <c r="E10543" t="s">
        <v>23</v>
      </c>
      <c r="F10543" t="s">
        <v>17</v>
      </c>
      <c r="G10543" s="2">
        <f>VALUE(530.76)</f>
        <v>530.76</v>
      </c>
      <c r="H10543" s="3">
        <f>VALUE(456.98)</f>
        <v>456.98</v>
      </c>
      <c r="I10543" s="4">
        <f>VALUE(3556)</f>
        <v>3556</v>
      </c>
      <c r="J10543" s="5">
        <f>VALUE(4184)</f>
        <v>4184</v>
      </c>
      <c r="K10543" s="6">
        <f>VALUE(5665)</f>
        <v>5665</v>
      </c>
      <c r="L10543" s="7">
        <f>VALUE(6372)</f>
        <v>6372</v>
      </c>
      <c r="M10543" s="8">
        <f>VALUE(10315)</f>
        <v>10315</v>
      </c>
      <c r="N10543" t="s">
        <v>24</v>
      </c>
    </row>
    <row r="10544" spans="1:14" x14ac:dyDescent="0.25">
      <c r="A10544" t="s">
        <v>44</v>
      </c>
      <c r="B10544" t="s">
        <v>15</v>
      </c>
      <c r="C10544" t="s">
        <v>15</v>
      </c>
      <c r="D10544" t="s">
        <v>28</v>
      </c>
      <c r="E10544" t="s">
        <v>23</v>
      </c>
      <c r="F10544" t="s">
        <v>18</v>
      </c>
      <c r="G10544" s="2">
        <f>VALUE(271.31)</f>
        <v>271.31</v>
      </c>
      <c r="H10544" s="3">
        <f>VALUE(216.98)</f>
        <v>216.98</v>
      </c>
      <c r="I10544" s="4">
        <f>VALUE(3756)</f>
        <v>3756</v>
      </c>
      <c r="J10544" s="5">
        <f>VALUE(4230)</f>
        <v>4230</v>
      </c>
      <c r="K10544" s="6">
        <f>VALUE(4411)</f>
        <v>4411</v>
      </c>
      <c r="L10544" s="7">
        <f>VALUE(5972)</f>
        <v>5972</v>
      </c>
      <c r="M10544" s="1">
        <f>VALUE(8583)</f>
        <v>8583</v>
      </c>
      <c r="N10544" t="s">
        <v>25</v>
      </c>
    </row>
    <row r="10545" spans="1:14" x14ac:dyDescent="0.25">
      <c r="A10545" t="s">
        <v>44</v>
      </c>
      <c r="B10545" t="s">
        <v>15</v>
      </c>
      <c r="C10545" t="s">
        <v>15</v>
      </c>
      <c r="D10545" t="s">
        <v>28</v>
      </c>
      <c r="E10545" t="s">
        <v>23</v>
      </c>
      <c r="F10545" t="s">
        <v>19</v>
      </c>
      <c r="G10545" s="2">
        <f>VALUE(646.29)</f>
        <v>646.29</v>
      </c>
      <c r="H10545" s="3">
        <f>VALUE(514.87)</f>
        <v>514.87</v>
      </c>
      <c r="I10545" s="4">
        <f>VALUE(3744)</f>
        <v>3744</v>
      </c>
      <c r="J10545" s="5">
        <f>VALUE(4250)</f>
        <v>4250</v>
      </c>
      <c r="K10545" s="6">
        <f>VALUE(5158)</f>
        <v>5158</v>
      </c>
      <c r="L10545" s="1">
        <f>VALUE(6096)</f>
        <v>6096</v>
      </c>
      <c r="M10545" s="8">
        <f>VALUE(6666)</f>
        <v>6666</v>
      </c>
      <c r="N10545" t="s">
        <v>25</v>
      </c>
    </row>
    <row r="10546" spans="1:14" x14ac:dyDescent="0.25">
      <c r="A10546" t="s">
        <v>44</v>
      </c>
      <c r="B10546" t="s">
        <v>15</v>
      </c>
      <c r="C10546" t="s">
        <v>15</v>
      </c>
      <c r="D10546" t="s">
        <v>28</v>
      </c>
      <c r="E10546" t="s">
        <v>23</v>
      </c>
      <c r="F10546" t="s">
        <v>20</v>
      </c>
      <c r="G10546" s="1">
        <f>VALUE(5287.86)</f>
        <v>5287.86</v>
      </c>
      <c r="H10546" s="1">
        <f>VALUE(3395.25)</f>
        <v>3395.25</v>
      </c>
      <c r="I10546" s="1">
        <f>VALUE(3392)</f>
        <v>3392</v>
      </c>
      <c r="J10546" s="1">
        <f>VALUE(3894)</f>
        <v>3894</v>
      </c>
      <c r="K10546" s="1">
        <f>VALUE(4504)</f>
        <v>4504</v>
      </c>
      <c r="L10546" s="1">
        <f>VALUE(5259)</f>
        <v>5259</v>
      </c>
      <c r="M10546" s="1">
        <f>VALUE(6131)</f>
        <v>6131</v>
      </c>
      <c r="N10546" t="s">
        <v>16</v>
      </c>
    </row>
    <row r="10547" spans="1:14" x14ac:dyDescent="0.25">
      <c r="A10547" t="s">
        <v>44</v>
      </c>
      <c r="B10547" t="s">
        <v>15</v>
      </c>
      <c r="C10547" t="s">
        <v>15</v>
      </c>
      <c r="D10547" t="s">
        <v>28</v>
      </c>
      <c r="E10547" t="s">
        <v>26</v>
      </c>
      <c r="F10547" t="s">
        <v>15</v>
      </c>
      <c r="G10547" s="2">
        <f>VALUE(570.34)</f>
        <v>570.34</v>
      </c>
      <c r="H10547" s="3">
        <f>VALUE(500.26)</f>
        <v>500.26</v>
      </c>
      <c r="I10547" s="1">
        <f>VALUE(4470)</f>
        <v>4470</v>
      </c>
      <c r="J10547" s="1">
        <f>VALUE(5399)</f>
        <v>5399</v>
      </c>
      <c r="K10547" s="1">
        <f>VALUE(6727)</f>
        <v>6727</v>
      </c>
      <c r="L10547" s="1">
        <f>VALUE(9253)</f>
        <v>9253</v>
      </c>
      <c r="M10547" s="1">
        <f>VALUE(11569)</f>
        <v>11569</v>
      </c>
      <c r="N10547" t="s">
        <v>25</v>
      </c>
    </row>
    <row r="10548" spans="1:14" x14ac:dyDescent="0.25">
      <c r="A10548" t="s">
        <v>44</v>
      </c>
      <c r="B10548" t="s">
        <v>15</v>
      </c>
      <c r="C10548" t="s">
        <v>15</v>
      </c>
      <c r="D10548" t="s">
        <v>28</v>
      </c>
      <c r="E10548" t="s">
        <v>26</v>
      </c>
      <c r="F10548" t="s">
        <v>17</v>
      </c>
      <c r="G10548" s="1" t="str">
        <f t="shared" ref="G10548:M10550" si="2368">"X"</f>
        <v>X</v>
      </c>
      <c r="H10548" s="1" t="str">
        <f t="shared" si="2368"/>
        <v>X</v>
      </c>
      <c r="I10548" s="1" t="str">
        <f t="shared" si="2368"/>
        <v>X</v>
      </c>
      <c r="J10548" s="1" t="str">
        <f t="shared" si="2368"/>
        <v>X</v>
      </c>
      <c r="K10548" s="1" t="str">
        <f t="shared" si="2368"/>
        <v>X</v>
      </c>
      <c r="L10548" s="1" t="str">
        <f t="shared" si="2368"/>
        <v>X</v>
      </c>
      <c r="M10548" s="1" t="str">
        <f t="shared" si="2368"/>
        <v>X</v>
      </c>
      <c r="N10548" t="s">
        <v>27</v>
      </c>
    </row>
    <row r="10549" spans="1:14" x14ac:dyDescent="0.25">
      <c r="A10549" t="s">
        <v>44</v>
      </c>
      <c r="B10549" t="s">
        <v>15</v>
      </c>
      <c r="C10549" t="s">
        <v>15</v>
      </c>
      <c r="D10549" t="s">
        <v>28</v>
      </c>
      <c r="E10549" t="s">
        <v>26</v>
      </c>
      <c r="F10549" t="s">
        <v>18</v>
      </c>
      <c r="G10549" s="1" t="str">
        <f t="shared" si="2368"/>
        <v>X</v>
      </c>
      <c r="H10549" s="1" t="str">
        <f t="shared" si="2368"/>
        <v>X</v>
      </c>
      <c r="I10549" s="1" t="str">
        <f t="shared" si="2368"/>
        <v>X</v>
      </c>
      <c r="J10549" s="1" t="str">
        <f t="shared" si="2368"/>
        <v>X</v>
      </c>
      <c r="K10549" s="1" t="str">
        <f t="shared" si="2368"/>
        <v>X</v>
      </c>
      <c r="L10549" s="1" t="str">
        <f t="shared" si="2368"/>
        <v>X</v>
      </c>
      <c r="M10549" s="1" t="str">
        <f t="shared" si="2368"/>
        <v>X</v>
      </c>
      <c r="N10549" t="s">
        <v>27</v>
      </c>
    </row>
    <row r="10550" spans="1:14" x14ac:dyDescent="0.25">
      <c r="A10550" t="s">
        <v>44</v>
      </c>
      <c r="B10550" t="s">
        <v>15</v>
      </c>
      <c r="C10550" t="s">
        <v>15</v>
      </c>
      <c r="D10550" t="s">
        <v>28</v>
      </c>
      <c r="E10550" t="s">
        <v>26</v>
      </c>
      <c r="F10550" t="s">
        <v>19</v>
      </c>
      <c r="G10550" s="1" t="str">
        <f t="shared" si="2368"/>
        <v>X</v>
      </c>
      <c r="H10550" s="1" t="str">
        <f t="shared" si="2368"/>
        <v>X</v>
      </c>
      <c r="I10550" s="1" t="str">
        <f t="shared" si="2368"/>
        <v>X</v>
      </c>
      <c r="J10550" s="1" t="str">
        <f t="shared" si="2368"/>
        <v>X</v>
      </c>
      <c r="K10550" s="1" t="str">
        <f t="shared" si="2368"/>
        <v>X</v>
      </c>
      <c r="L10550" s="1" t="str">
        <f t="shared" si="2368"/>
        <v>X</v>
      </c>
      <c r="M10550" s="1" t="str">
        <f t="shared" si="2368"/>
        <v>X</v>
      </c>
      <c r="N10550" t="s">
        <v>27</v>
      </c>
    </row>
    <row r="10551" spans="1:14" x14ac:dyDescent="0.25">
      <c r="A10551" t="s">
        <v>44</v>
      </c>
      <c r="B10551" t="s">
        <v>15</v>
      </c>
      <c r="C10551" t="s">
        <v>15</v>
      </c>
      <c r="D10551" t="s">
        <v>28</v>
      </c>
      <c r="E10551" t="s">
        <v>26</v>
      </c>
      <c r="F10551" t="s">
        <v>20</v>
      </c>
      <c r="G10551" s="2">
        <f>VALUE(389.19)</f>
        <v>389.19</v>
      </c>
      <c r="H10551" s="3">
        <f>VALUE(345.95)</f>
        <v>345.95</v>
      </c>
      <c r="I10551" s="1">
        <f>VALUE(4333)</f>
        <v>4333</v>
      </c>
      <c r="J10551" s="1">
        <f>VALUE(5280)</f>
        <v>5280</v>
      </c>
      <c r="K10551" s="1">
        <f>VALUE(6066)</f>
        <v>6066</v>
      </c>
      <c r="L10551" s="1">
        <f>VALUE(7344)</f>
        <v>7344</v>
      </c>
      <c r="M10551" s="1">
        <f>VALUE(9253)</f>
        <v>9253</v>
      </c>
      <c r="N10551" t="s">
        <v>25</v>
      </c>
    </row>
    <row r="10552" spans="1:14" x14ac:dyDescent="0.25">
      <c r="A10552" t="s">
        <v>44</v>
      </c>
      <c r="B10552" t="s">
        <v>15</v>
      </c>
      <c r="C10552" t="s">
        <v>15</v>
      </c>
      <c r="D10552" t="s">
        <v>29</v>
      </c>
      <c r="E10552" t="s">
        <v>15</v>
      </c>
      <c r="F10552" t="s">
        <v>15</v>
      </c>
      <c r="G10552" s="1">
        <f>VALUE(16464.94)</f>
        <v>16464.939999999999</v>
      </c>
      <c r="H10552" s="1">
        <f>VALUE(14114.01)</f>
        <v>14114.01</v>
      </c>
      <c r="I10552" s="1">
        <f>VALUE(3670)</f>
        <v>3670</v>
      </c>
      <c r="J10552" s="1">
        <f>VALUE(4390)</f>
        <v>4390</v>
      </c>
      <c r="K10552" s="1">
        <f>VALUE(5420)</f>
        <v>5420</v>
      </c>
      <c r="L10552" s="1">
        <f>VALUE(6881)</f>
        <v>6881</v>
      </c>
      <c r="M10552" s="1">
        <f>VALUE(9667)</f>
        <v>9667</v>
      </c>
      <c r="N10552" t="s">
        <v>16</v>
      </c>
    </row>
    <row r="10553" spans="1:14" x14ac:dyDescent="0.25">
      <c r="A10553" t="s">
        <v>44</v>
      </c>
      <c r="B10553" t="s">
        <v>15</v>
      </c>
      <c r="C10553" t="s">
        <v>15</v>
      </c>
      <c r="D10553" t="s">
        <v>29</v>
      </c>
      <c r="E10553" t="s">
        <v>15</v>
      </c>
      <c r="F10553" t="s">
        <v>17</v>
      </c>
      <c r="G10553" s="2">
        <f>VALUE(2423.81)</f>
        <v>2423.81</v>
      </c>
      <c r="H10553" s="3">
        <f>VALUE(2395.49)</f>
        <v>2395.4899999999998</v>
      </c>
      <c r="I10553" s="4">
        <f>VALUE(4465)</f>
        <v>4465</v>
      </c>
      <c r="J10553" s="5">
        <f>VALUE(6149)</f>
        <v>6149</v>
      </c>
      <c r="K10553" s="6">
        <f>VALUE(8644)</f>
        <v>8644</v>
      </c>
      <c r="L10553" s="7">
        <f>VALUE(11538)</f>
        <v>11538</v>
      </c>
      <c r="M10553" s="8">
        <f>VALUE(16745)</f>
        <v>16745</v>
      </c>
      <c r="N10553" t="s">
        <v>24</v>
      </c>
    </row>
    <row r="10554" spans="1:14" x14ac:dyDescent="0.25">
      <c r="A10554" t="s">
        <v>44</v>
      </c>
      <c r="B10554" t="s">
        <v>15</v>
      </c>
      <c r="C10554" t="s">
        <v>15</v>
      </c>
      <c r="D10554" t="s">
        <v>29</v>
      </c>
      <c r="E10554" t="s">
        <v>15</v>
      </c>
      <c r="F10554" t="s">
        <v>18</v>
      </c>
      <c r="G10554" s="2">
        <f>VALUE(1469.46)</f>
        <v>1469.46</v>
      </c>
      <c r="H10554" s="3">
        <f>VALUE(1288.48)</f>
        <v>1288.48</v>
      </c>
      <c r="I10554" s="1">
        <f>VALUE(4712)</f>
        <v>4712</v>
      </c>
      <c r="J10554" s="1">
        <f>VALUE(5524)</f>
        <v>5524</v>
      </c>
      <c r="K10554" s="1">
        <f>VALUE(6881)</f>
        <v>6881</v>
      </c>
      <c r="L10554" s="7">
        <f>VALUE(8725)</f>
        <v>8725</v>
      </c>
      <c r="M10554" s="1">
        <f>VALUE(11448)</f>
        <v>11448</v>
      </c>
      <c r="N10554" t="s">
        <v>25</v>
      </c>
    </row>
    <row r="10555" spans="1:14" x14ac:dyDescent="0.25">
      <c r="A10555" t="s">
        <v>44</v>
      </c>
      <c r="B10555" t="s">
        <v>15</v>
      </c>
      <c r="C10555" t="s">
        <v>15</v>
      </c>
      <c r="D10555" t="s">
        <v>29</v>
      </c>
      <c r="E10555" t="s">
        <v>15</v>
      </c>
      <c r="F10555" t="s">
        <v>19</v>
      </c>
      <c r="G10555" s="2">
        <f>VALUE(1774.96)</f>
        <v>1774.96</v>
      </c>
      <c r="H10555" s="3">
        <f>VALUE(1658.37)</f>
        <v>1658.37</v>
      </c>
      <c r="I10555" s="4">
        <f>VALUE(4018)</f>
        <v>4018</v>
      </c>
      <c r="J10555" s="1">
        <f>VALUE(4735)</f>
        <v>4735</v>
      </c>
      <c r="K10555" s="1">
        <f>VALUE(5618)</f>
        <v>5618</v>
      </c>
      <c r="L10555" s="1">
        <f>VALUE(6749)</f>
        <v>6749</v>
      </c>
      <c r="M10555" s="8">
        <f>VALUE(8425)</f>
        <v>8425</v>
      </c>
      <c r="N10555" t="s">
        <v>25</v>
      </c>
    </row>
    <row r="10556" spans="1:14" x14ac:dyDescent="0.25">
      <c r="A10556" t="s">
        <v>44</v>
      </c>
      <c r="B10556" t="s">
        <v>15</v>
      </c>
      <c r="C10556" t="s">
        <v>15</v>
      </c>
      <c r="D10556" t="s">
        <v>29</v>
      </c>
      <c r="E10556" t="s">
        <v>15</v>
      </c>
      <c r="F10556" t="s">
        <v>20</v>
      </c>
      <c r="G10556" s="1">
        <f>VALUE(10796.71)</f>
        <v>10796.71</v>
      </c>
      <c r="H10556" s="1">
        <f>VALUE(8771.67)</f>
        <v>8771.67</v>
      </c>
      <c r="I10556" s="1">
        <f>VALUE(3545)</f>
        <v>3545</v>
      </c>
      <c r="J10556" s="1">
        <f>VALUE(4125)</f>
        <v>4125</v>
      </c>
      <c r="K10556" s="1">
        <f>VALUE(4866)</f>
        <v>4866</v>
      </c>
      <c r="L10556" s="1">
        <f>VALUE(5899)</f>
        <v>5899</v>
      </c>
      <c r="M10556" s="1">
        <f>VALUE(7004)</f>
        <v>7004</v>
      </c>
      <c r="N10556" t="s">
        <v>16</v>
      </c>
    </row>
    <row r="10557" spans="1:14" x14ac:dyDescent="0.25">
      <c r="A10557" t="s">
        <v>44</v>
      </c>
      <c r="B10557" t="s">
        <v>15</v>
      </c>
      <c r="C10557" t="s">
        <v>15</v>
      </c>
      <c r="D10557" t="s">
        <v>29</v>
      </c>
      <c r="E10557" t="s">
        <v>21</v>
      </c>
      <c r="F10557" t="s">
        <v>15</v>
      </c>
      <c r="G10557" s="2">
        <f>VALUE(3391.35)</f>
        <v>3391.35</v>
      </c>
      <c r="H10557" s="3">
        <f>VALUE(3032.92)</f>
        <v>3032.92</v>
      </c>
      <c r="I10557" s="4">
        <f>VALUE(5026)</f>
        <v>5026</v>
      </c>
      <c r="J10557" s="1">
        <f>VALUE(6523)</f>
        <v>6523</v>
      </c>
      <c r="K10557" s="1">
        <f>VALUE(7997)</f>
        <v>7997</v>
      </c>
      <c r="L10557" s="7">
        <f>VALUE(11158)</f>
        <v>11158</v>
      </c>
      <c r="M10557" s="1">
        <f>VALUE(16227)</f>
        <v>16227</v>
      </c>
      <c r="N10557" t="s">
        <v>25</v>
      </c>
    </row>
    <row r="10558" spans="1:14" x14ac:dyDescent="0.25">
      <c r="A10558" t="s">
        <v>44</v>
      </c>
      <c r="B10558" t="s">
        <v>15</v>
      </c>
      <c r="C10558" t="s">
        <v>15</v>
      </c>
      <c r="D10558" t="s">
        <v>29</v>
      </c>
      <c r="E10558" t="s">
        <v>21</v>
      </c>
      <c r="F10558" t="s">
        <v>17</v>
      </c>
      <c r="G10558" s="2">
        <f>VALUE(1299.11)</f>
        <v>1299.1099999999999</v>
      </c>
      <c r="H10558" s="3">
        <f>VALUE(1266.07)</f>
        <v>1266.07</v>
      </c>
      <c r="I10558" s="4">
        <f>VALUE(5681)</f>
        <v>5681</v>
      </c>
      <c r="J10558" s="5">
        <f>VALUE(7000)</f>
        <v>7000</v>
      </c>
      <c r="K10558" s="6">
        <f>VALUE(11147)</f>
        <v>11147</v>
      </c>
      <c r="L10558" s="1">
        <f>VALUE(14889)</f>
        <v>14889</v>
      </c>
      <c r="M10558" s="8">
        <f>VALUE(19422)</f>
        <v>19422</v>
      </c>
      <c r="N10558" t="s">
        <v>25</v>
      </c>
    </row>
    <row r="10559" spans="1:14" x14ac:dyDescent="0.25">
      <c r="A10559" t="s">
        <v>44</v>
      </c>
      <c r="B10559" t="s">
        <v>15</v>
      </c>
      <c r="C10559" t="s">
        <v>15</v>
      </c>
      <c r="D10559" t="s">
        <v>29</v>
      </c>
      <c r="E10559" t="s">
        <v>21</v>
      </c>
      <c r="F10559" t="s">
        <v>18</v>
      </c>
      <c r="G10559" s="2">
        <f>VALUE(619.26)</f>
        <v>619.26</v>
      </c>
      <c r="H10559" s="3">
        <f>VALUE(524.53)</f>
        <v>524.53</v>
      </c>
      <c r="I10559" s="1">
        <f>VALUE(6117)</f>
        <v>6117</v>
      </c>
      <c r="J10559" s="1">
        <f>VALUE(7458)</f>
        <v>7458</v>
      </c>
      <c r="K10559" s="1">
        <f>VALUE(8686)</f>
        <v>8686</v>
      </c>
      <c r="L10559" s="1">
        <f>VALUE(10778)</f>
        <v>10778</v>
      </c>
      <c r="M10559" s="8">
        <f>VALUE(14254)</f>
        <v>14254</v>
      </c>
      <c r="N10559" t="s">
        <v>25</v>
      </c>
    </row>
    <row r="10560" spans="1:14" x14ac:dyDescent="0.25">
      <c r="A10560" t="s">
        <v>44</v>
      </c>
      <c r="B10560" t="s">
        <v>15</v>
      </c>
      <c r="C10560" t="s">
        <v>15</v>
      </c>
      <c r="D10560" t="s">
        <v>29</v>
      </c>
      <c r="E10560" t="s">
        <v>21</v>
      </c>
      <c r="F10560" t="s">
        <v>19</v>
      </c>
      <c r="G10560" s="2">
        <f>VALUE(336)</f>
        <v>336</v>
      </c>
      <c r="H10560" s="3">
        <f>VALUE(308.69)</f>
        <v>308.69</v>
      </c>
      <c r="I10560" s="1">
        <f>VALUE(5055)</f>
        <v>5055</v>
      </c>
      <c r="J10560" s="1">
        <f>VALUE(6171)</f>
        <v>6171</v>
      </c>
      <c r="K10560" s="1">
        <f>VALUE(7391)</f>
        <v>7391</v>
      </c>
      <c r="L10560" s="1">
        <f>VALUE(8428)</f>
        <v>8428</v>
      </c>
      <c r="M10560" s="8">
        <f>VALUE(11099)</f>
        <v>11099</v>
      </c>
      <c r="N10560" t="s">
        <v>25</v>
      </c>
    </row>
    <row r="10561" spans="1:14" x14ac:dyDescent="0.25">
      <c r="A10561" t="s">
        <v>44</v>
      </c>
      <c r="B10561" t="s">
        <v>15</v>
      </c>
      <c r="C10561" t="s">
        <v>15</v>
      </c>
      <c r="D10561" t="s">
        <v>29</v>
      </c>
      <c r="E10561" t="s">
        <v>21</v>
      </c>
      <c r="F10561" t="s">
        <v>20</v>
      </c>
      <c r="G10561" s="2">
        <f>VALUE(1136.98)</f>
        <v>1136.98</v>
      </c>
      <c r="H10561" s="3">
        <f>VALUE(933.63)</f>
        <v>933.63</v>
      </c>
      <c r="I10561" s="1">
        <f>VALUE(4621)</f>
        <v>4621</v>
      </c>
      <c r="J10561" s="5">
        <f>VALUE(5605)</f>
        <v>5605</v>
      </c>
      <c r="K10561" s="6">
        <f>VALUE(6965)</f>
        <v>6965</v>
      </c>
      <c r="L10561" s="1">
        <f>VALUE(7798)</f>
        <v>7798</v>
      </c>
      <c r="M10561" s="1">
        <f>VALUE(9301)</f>
        <v>9301</v>
      </c>
      <c r="N10561" t="s">
        <v>25</v>
      </c>
    </row>
    <row r="10562" spans="1:14" x14ac:dyDescent="0.25">
      <c r="A10562" t="s">
        <v>44</v>
      </c>
      <c r="B10562" t="s">
        <v>15</v>
      </c>
      <c r="C10562" t="s">
        <v>15</v>
      </c>
      <c r="D10562" t="s">
        <v>29</v>
      </c>
      <c r="E10562" t="s">
        <v>22</v>
      </c>
      <c r="F10562" t="s">
        <v>15</v>
      </c>
      <c r="G10562" s="1">
        <f>VALUE(6137.47)</f>
        <v>6137.47</v>
      </c>
      <c r="H10562" s="1">
        <f>VALUE(5658.44)</f>
        <v>5658.44</v>
      </c>
      <c r="I10562" s="1">
        <f>VALUE(4000)</f>
        <v>4000</v>
      </c>
      <c r="J10562" s="1">
        <f>VALUE(4614)</f>
        <v>4614</v>
      </c>
      <c r="K10562" s="1">
        <f>VALUE(5461)</f>
        <v>5461</v>
      </c>
      <c r="L10562" s="1">
        <f>VALUE(6499)</f>
        <v>6499</v>
      </c>
      <c r="M10562" s="1">
        <f>VALUE(8190)</f>
        <v>8190</v>
      </c>
      <c r="N10562" t="s">
        <v>16</v>
      </c>
    </row>
    <row r="10563" spans="1:14" x14ac:dyDescent="0.25">
      <c r="A10563" t="s">
        <v>44</v>
      </c>
      <c r="B10563" t="s">
        <v>15</v>
      </c>
      <c r="C10563" t="s">
        <v>15</v>
      </c>
      <c r="D10563" t="s">
        <v>29</v>
      </c>
      <c r="E10563" t="s">
        <v>22</v>
      </c>
      <c r="F10563" t="s">
        <v>17</v>
      </c>
      <c r="G10563" s="2">
        <f>VALUE(805.41)</f>
        <v>805.41</v>
      </c>
      <c r="H10563" s="3">
        <f>VALUE(827.2)</f>
        <v>827.2</v>
      </c>
      <c r="I10563" s="4">
        <f>VALUE(4299)</f>
        <v>4299</v>
      </c>
      <c r="J10563" s="5">
        <f>VALUE(4762)</f>
        <v>4762</v>
      </c>
      <c r="K10563" s="6">
        <f>VALUE(6913)</f>
        <v>6913</v>
      </c>
      <c r="L10563" s="7">
        <f>VALUE(9995)</f>
        <v>9995</v>
      </c>
      <c r="M10563" s="1">
        <f>VALUE(11158)</f>
        <v>11158</v>
      </c>
      <c r="N10563" t="s">
        <v>25</v>
      </c>
    </row>
    <row r="10564" spans="1:14" x14ac:dyDescent="0.25">
      <c r="A10564" t="s">
        <v>44</v>
      </c>
      <c r="B10564" t="s">
        <v>15</v>
      </c>
      <c r="C10564" t="s">
        <v>15</v>
      </c>
      <c r="D10564" t="s">
        <v>29</v>
      </c>
      <c r="E10564" t="s">
        <v>22</v>
      </c>
      <c r="F10564" t="s">
        <v>18</v>
      </c>
      <c r="G10564" s="2">
        <f>VALUE(555.71)</f>
        <v>555.71</v>
      </c>
      <c r="H10564" s="3">
        <f>VALUE(515.74)</f>
        <v>515.74</v>
      </c>
      <c r="I10564" s="1">
        <f>VALUE(4701)</f>
        <v>4701</v>
      </c>
      <c r="J10564" s="5">
        <f>VALUE(5391)</f>
        <v>5391</v>
      </c>
      <c r="K10564" s="1">
        <f>VALUE(6253)</f>
        <v>6253</v>
      </c>
      <c r="L10564" s="1">
        <f>VALUE(7473)</f>
        <v>7473</v>
      </c>
      <c r="M10564" s="1">
        <f>VALUE(9500)</f>
        <v>9500</v>
      </c>
      <c r="N10564" t="s">
        <v>25</v>
      </c>
    </row>
    <row r="10565" spans="1:14" x14ac:dyDescent="0.25">
      <c r="A10565" t="s">
        <v>44</v>
      </c>
      <c r="B10565" t="s">
        <v>15</v>
      </c>
      <c r="C10565" t="s">
        <v>15</v>
      </c>
      <c r="D10565" t="s">
        <v>29</v>
      </c>
      <c r="E10565" t="s">
        <v>22</v>
      </c>
      <c r="F10565" t="s">
        <v>19</v>
      </c>
      <c r="G10565" s="2">
        <f>VALUE(996.56)</f>
        <v>996.56</v>
      </c>
      <c r="H10565" s="3">
        <f>VALUE(919.06)</f>
        <v>919.06</v>
      </c>
      <c r="I10565" s="1">
        <f>VALUE(4264)</f>
        <v>4264</v>
      </c>
      <c r="J10565" s="1">
        <f>VALUE(4765)</f>
        <v>4765</v>
      </c>
      <c r="K10565" s="1">
        <f>VALUE(5536)</f>
        <v>5536</v>
      </c>
      <c r="L10565" s="1">
        <f>VALUE(6417)</f>
        <v>6417</v>
      </c>
      <c r="M10565" s="8">
        <f>VALUE(7883)</f>
        <v>7883</v>
      </c>
      <c r="N10565" t="s">
        <v>25</v>
      </c>
    </row>
    <row r="10566" spans="1:14" x14ac:dyDescent="0.25">
      <c r="A10566" t="s">
        <v>44</v>
      </c>
      <c r="B10566" t="s">
        <v>15</v>
      </c>
      <c r="C10566" t="s">
        <v>15</v>
      </c>
      <c r="D10566" t="s">
        <v>29</v>
      </c>
      <c r="E10566" t="s">
        <v>22</v>
      </c>
      <c r="F10566" t="s">
        <v>20</v>
      </c>
      <c r="G10566" s="1">
        <f>VALUE(3779.79)</f>
        <v>3779.79</v>
      </c>
      <c r="H10566" s="3">
        <f>VALUE(3396.44)</f>
        <v>3396.44</v>
      </c>
      <c r="I10566" s="1">
        <f>VALUE(3899)</f>
        <v>3899</v>
      </c>
      <c r="J10566" s="1">
        <f>VALUE(4456)</f>
        <v>4456</v>
      </c>
      <c r="K10566" s="1">
        <f>VALUE(5158)</f>
        <v>5158</v>
      </c>
      <c r="L10566" s="1">
        <f>VALUE(5990)</f>
        <v>5990</v>
      </c>
      <c r="M10566" s="1">
        <f>VALUE(6707)</f>
        <v>6707</v>
      </c>
      <c r="N10566" t="s">
        <v>25</v>
      </c>
    </row>
    <row r="10567" spans="1:14" x14ac:dyDescent="0.25">
      <c r="A10567" t="s">
        <v>44</v>
      </c>
      <c r="B10567" t="s">
        <v>15</v>
      </c>
      <c r="C10567" t="s">
        <v>15</v>
      </c>
      <c r="D10567" t="s">
        <v>29</v>
      </c>
      <c r="E10567" t="s">
        <v>23</v>
      </c>
      <c r="F10567" t="s">
        <v>15</v>
      </c>
      <c r="G10567" s="1">
        <f>VALUE(6751.61)</f>
        <v>6751.61</v>
      </c>
      <c r="H10567" s="1">
        <f>VALUE(5244.86)</f>
        <v>5244.86</v>
      </c>
      <c r="I10567" s="1">
        <f>VALUE(3435)</f>
        <v>3435</v>
      </c>
      <c r="J10567" s="1">
        <f>VALUE(3835)</f>
        <v>3835</v>
      </c>
      <c r="K10567" s="1">
        <f>VALUE(4563)</f>
        <v>4563</v>
      </c>
      <c r="L10567" s="1">
        <f>VALUE(5488)</f>
        <v>5488</v>
      </c>
      <c r="M10567" s="1">
        <f>VALUE(6426)</f>
        <v>6426</v>
      </c>
      <c r="N10567" t="s">
        <v>16</v>
      </c>
    </row>
    <row r="10568" spans="1:14" x14ac:dyDescent="0.25">
      <c r="A10568" t="s">
        <v>44</v>
      </c>
      <c r="B10568" t="s">
        <v>15</v>
      </c>
      <c r="C10568" t="s">
        <v>15</v>
      </c>
      <c r="D10568" t="s">
        <v>29</v>
      </c>
      <c r="E10568" t="s">
        <v>23</v>
      </c>
      <c r="F10568" t="s">
        <v>17</v>
      </c>
      <c r="G10568" s="1" t="str">
        <f t="shared" ref="G10568:M10568" si="2369">"X"</f>
        <v>X</v>
      </c>
      <c r="H10568" s="1" t="str">
        <f t="shared" si="2369"/>
        <v>X</v>
      </c>
      <c r="I10568" s="1" t="str">
        <f t="shared" si="2369"/>
        <v>X</v>
      </c>
      <c r="J10568" s="1" t="str">
        <f t="shared" si="2369"/>
        <v>X</v>
      </c>
      <c r="K10568" s="1" t="str">
        <f t="shared" si="2369"/>
        <v>X</v>
      </c>
      <c r="L10568" s="1" t="str">
        <f t="shared" si="2369"/>
        <v>X</v>
      </c>
      <c r="M10568" s="1" t="str">
        <f t="shared" si="2369"/>
        <v>X</v>
      </c>
      <c r="N10568" t="s">
        <v>27</v>
      </c>
    </row>
    <row r="10569" spans="1:14" x14ac:dyDescent="0.25">
      <c r="A10569" t="s">
        <v>44</v>
      </c>
      <c r="B10569" t="s">
        <v>15</v>
      </c>
      <c r="C10569" t="s">
        <v>15</v>
      </c>
      <c r="D10569" t="s">
        <v>29</v>
      </c>
      <c r="E10569" t="s">
        <v>23</v>
      </c>
      <c r="F10569" t="s">
        <v>18</v>
      </c>
      <c r="G10569" s="2">
        <f>VALUE(286.33)</f>
        <v>286.33</v>
      </c>
      <c r="H10569" s="3">
        <f>VALUE(240.05)</f>
        <v>240.05</v>
      </c>
      <c r="I10569" s="4">
        <f>VALUE(3755)</f>
        <v>3755</v>
      </c>
      <c r="J10569" s="5">
        <f>VALUE(4591)</f>
        <v>4591</v>
      </c>
      <c r="K10569" s="1">
        <f>VALUE(5158)</f>
        <v>5158</v>
      </c>
      <c r="L10569" s="1">
        <f>VALUE(5871)</f>
        <v>5871</v>
      </c>
      <c r="M10569" s="1">
        <f>VALUE(6812)</f>
        <v>6812</v>
      </c>
      <c r="N10569" t="s">
        <v>25</v>
      </c>
    </row>
    <row r="10570" spans="1:14" x14ac:dyDescent="0.25">
      <c r="A10570" t="s">
        <v>44</v>
      </c>
      <c r="B10570" t="s">
        <v>15</v>
      </c>
      <c r="C10570" t="s">
        <v>15</v>
      </c>
      <c r="D10570" t="s">
        <v>29</v>
      </c>
      <c r="E10570" t="s">
        <v>23</v>
      </c>
      <c r="F10570" t="s">
        <v>19</v>
      </c>
      <c r="G10570" s="2">
        <f>VALUE(432.36)</f>
        <v>432.36</v>
      </c>
      <c r="H10570" s="3">
        <f>VALUE(420.65)</f>
        <v>420.65</v>
      </c>
      <c r="I10570" s="1">
        <f>VALUE(3241)</f>
        <v>3241</v>
      </c>
      <c r="J10570" s="1">
        <f>VALUE(4018)</f>
        <v>4018</v>
      </c>
      <c r="K10570" s="1">
        <f>VALUE(4886)</f>
        <v>4886</v>
      </c>
      <c r="L10570" s="1">
        <f>VALUE(5941)</f>
        <v>5941</v>
      </c>
      <c r="M10570" s="1">
        <f>VALUE(6709)</f>
        <v>6709</v>
      </c>
      <c r="N10570" t="s">
        <v>25</v>
      </c>
    </row>
    <row r="10571" spans="1:14" x14ac:dyDescent="0.25">
      <c r="A10571" t="s">
        <v>44</v>
      </c>
      <c r="B10571" t="s">
        <v>15</v>
      </c>
      <c r="C10571" t="s">
        <v>15</v>
      </c>
      <c r="D10571" t="s">
        <v>29</v>
      </c>
      <c r="E10571" t="s">
        <v>23</v>
      </c>
      <c r="F10571" t="s">
        <v>20</v>
      </c>
      <c r="G10571" s="1">
        <f>VALUE(5752.96)</f>
        <v>5752.96</v>
      </c>
      <c r="H10571" s="1">
        <f>VALUE(4322.65)</f>
        <v>4322.6499999999996</v>
      </c>
      <c r="I10571" s="1">
        <f>VALUE(3435)</f>
        <v>3435</v>
      </c>
      <c r="J10571" s="1">
        <f>VALUE(3778)</f>
        <v>3778</v>
      </c>
      <c r="K10571" s="1">
        <f>VALUE(4467)</f>
        <v>4467</v>
      </c>
      <c r="L10571" s="1">
        <f>VALUE(5350)</f>
        <v>5350</v>
      </c>
      <c r="M10571" s="1">
        <f>VALUE(6120)</f>
        <v>6120</v>
      </c>
      <c r="N10571" t="s">
        <v>16</v>
      </c>
    </row>
    <row r="10572" spans="1:14" x14ac:dyDescent="0.25">
      <c r="A10572" t="s">
        <v>44</v>
      </c>
      <c r="B10572" t="s">
        <v>15</v>
      </c>
      <c r="C10572" t="s">
        <v>15</v>
      </c>
      <c r="D10572" t="s">
        <v>29</v>
      </c>
      <c r="E10572" t="s">
        <v>26</v>
      </c>
      <c r="F10572" t="s">
        <v>15</v>
      </c>
      <c r="G10572" s="2">
        <f>VALUE(184.51)</f>
        <v>184.51</v>
      </c>
      <c r="H10572" s="3">
        <f>VALUE(177.79)</f>
        <v>177.79</v>
      </c>
      <c r="I10572" s="1">
        <f>VALUE(4438)</f>
        <v>4438</v>
      </c>
      <c r="J10572" s="1">
        <f>VALUE(4492)</f>
        <v>4492</v>
      </c>
      <c r="K10572" s="1">
        <f>VALUE(5637)</f>
        <v>5637</v>
      </c>
      <c r="L10572" s="1">
        <f>VALUE(7221)</f>
        <v>7221</v>
      </c>
      <c r="M10572" s="1">
        <f>VALUE(8946)</f>
        <v>8946</v>
      </c>
      <c r="N10572" t="s">
        <v>25</v>
      </c>
    </row>
    <row r="10573" spans="1:14" x14ac:dyDescent="0.25">
      <c r="A10573" t="s">
        <v>44</v>
      </c>
      <c r="B10573" t="s">
        <v>15</v>
      </c>
      <c r="C10573" t="s">
        <v>15</v>
      </c>
      <c r="D10573" t="s">
        <v>29</v>
      </c>
      <c r="E10573" t="s">
        <v>26</v>
      </c>
      <c r="F10573" t="s">
        <v>17</v>
      </c>
      <c r="G10573" s="1" t="str">
        <f t="shared" ref="G10573:M10576" si="2370">"X"</f>
        <v>X</v>
      </c>
      <c r="H10573" s="1" t="str">
        <f t="shared" si="2370"/>
        <v>X</v>
      </c>
      <c r="I10573" s="1" t="str">
        <f t="shared" si="2370"/>
        <v>X</v>
      </c>
      <c r="J10573" s="1" t="str">
        <f t="shared" si="2370"/>
        <v>X</v>
      </c>
      <c r="K10573" s="1" t="str">
        <f t="shared" si="2370"/>
        <v>X</v>
      </c>
      <c r="L10573" s="1" t="str">
        <f t="shared" si="2370"/>
        <v>X</v>
      </c>
      <c r="M10573" s="1" t="str">
        <f t="shared" si="2370"/>
        <v>X</v>
      </c>
      <c r="N10573" t="s">
        <v>27</v>
      </c>
    </row>
    <row r="10574" spans="1:14" x14ac:dyDescent="0.25">
      <c r="A10574" t="s">
        <v>44</v>
      </c>
      <c r="B10574" t="s">
        <v>15</v>
      </c>
      <c r="C10574" t="s">
        <v>15</v>
      </c>
      <c r="D10574" t="s">
        <v>29</v>
      </c>
      <c r="E10574" t="s">
        <v>26</v>
      </c>
      <c r="F10574" t="s">
        <v>18</v>
      </c>
      <c r="G10574" s="1" t="str">
        <f t="shared" si="2370"/>
        <v>X</v>
      </c>
      <c r="H10574" s="1" t="str">
        <f t="shared" si="2370"/>
        <v>X</v>
      </c>
      <c r="I10574" s="1" t="str">
        <f t="shared" si="2370"/>
        <v>X</v>
      </c>
      <c r="J10574" s="1" t="str">
        <f t="shared" si="2370"/>
        <v>X</v>
      </c>
      <c r="K10574" s="1" t="str">
        <f t="shared" si="2370"/>
        <v>X</v>
      </c>
      <c r="L10574" s="1" t="str">
        <f t="shared" si="2370"/>
        <v>X</v>
      </c>
      <c r="M10574" s="1" t="str">
        <f t="shared" si="2370"/>
        <v>X</v>
      </c>
      <c r="N10574" t="s">
        <v>27</v>
      </c>
    </row>
    <row r="10575" spans="1:14" x14ac:dyDescent="0.25">
      <c r="A10575" t="s">
        <v>44</v>
      </c>
      <c r="B10575" t="s">
        <v>15</v>
      </c>
      <c r="C10575" t="s">
        <v>15</v>
      </c>
      <c r="D10575" t="s">
        <v>29</v>
      </c>
      <c r="E10575" t="s">
        <v>26</v>
      </c>
      <c r="F10575" t="s">
        <v>19</v>
      </c>
      <c r="G10575" s="1" t="str">
        <f t="shared" si="2370"/>
        <v>X</v>
      </c>
      <c r="H10575" s="1" t="str">
        <f t="shared" si="2370"/>
        <v>X</v>
      </c>
      <c r="I10575" s="1" t="str">
        <f t="shared" si="2370"/>
        <v>X</v>
      </c>
      <c r="J10575" s="1" t="str">
        <f t="shared" si="2370"/>
        <v>X</v>
      </c>
      <c r="K10575" s="1" t="str">
        <f t="shared" si="2370"/>
        <v>X</v>
      </c>
      <c r="L10575" s="1" t="str">
        <f t="shared" si="2370"/>
        <v>X</v>
      </c>
      <c r="M10575" s="1" t="str">
        <f t="shared" si="2370"/>
        <v>X</v>
      </c>
      <c r="N10575" t="s">
        <v>27</v>
      </c>
    </row>
    <row r="10576" spans="1:14" x14ac:dyDescent="0.25">
      <c r="A10576" t="s">
        <v>44</v>
      </c>
      <c r="B10576" t="s">
        <v>15</v>
      </c>
      <c r="C10576" t="s">
        <v>15</v>
      </c>
      <c r="D10576" t="s">
        <v>29</v>
      </c>
      <c r="E10576" t="s">
        <v>26</v>
      </c>
      <c r="F10576" t="s">
        <v>20</v>
      </c>
      <c r="G10576" s="1" t="str">
        <f t="shared" si="2370"/>
        <v>X</v>
      </c>
      <c r="H10576" s="1" t="str">
        <f t="shared" si="2370"/>
        <v>X</v>
      </c>
      <c r="I10576" s="1" t="str">
        <f t="shared" si="2370"/>
        <v>X</v>
      </c>
      <c r="J10576" s="1" t="str">
        <f t="shared" si="2370"/>
        <v>X</v>
      </c>
      <c r="K10576" s="1" t="str">
        <f t="shared" si="2370"/>
        <v>X</v>
      </c>
      <c r="L10576" s="1" t="str">
        <f t="shared" si="2370"/>
        <v>X</v>
      </c>
      <c r="M10576" s="1" t="str">
        <f t="shared" si="2370"/>
        <v>X</v>
      </c>
      <c r="N10576" t="s">
        <v>27</v>
      </c>
    </row>
    <row r="10577" spans="1:14" x14ac:dyDescent="0.25">
      <c r="A10577" t="s">
        <v>44</v>
      </c>
      <c r="B10577" t="s">
        <v>15</v>
      </c>
      <c r="C10577" t="s">
        <v>15</v>
      </c>
      <c r="D10577" t="s">
        <v>31</v>
      </c>
      <c r="E10577" t="s">
        <v>15</v>
      </c>
      <c r="F10577" t="s">
        <v>15</v>
      </c>
      <c r="G10577" s="1">
        <f>VALUE(10051.75)</f>
        <v>10051.75</v>
      </c>
      <c r="H10577" s="1">
        <f>VALUE(8540.24)</f>
        <v>8540.24</v>
      </c>
      <c r="I10577" s="1">
        <f>VALUE(3508)</f>
        <v>3508</v>
      </c>
      <c r="J10577" s="1">
        <f>VALUE(4058)</f>
        <v>4058</v>
      </c>
      <c r="K10577" s="1">
        <f>VALUE(5097)</f>
        <v>5097</v>
      </c>
      <c r="L10577" s="1">
        <f>VALUE(6832)</f>
        <v>6832</v>
      </c>
      <c r="M10577" s="8">
        <f>VALUE(10398)</f>
        <v>10398</v>
      </c>
      <c r="N10577" t="s">
        <v>25</v>
      </c>
    </row>
    <row r="10578" spans="1:14" x14ac:dyDescent="0.25">
      <c r="A10578" t="s">
        <v>44</v>
      </c>
      <c r="B10578" t="s">
        <v>15</v>
      </c>
      <c r="C10578" t="s">
        <v>15</v>
      </c>
      <c r="D10578" t="s">
        <v>31</v>
      </c>
      <c r="E10578" t="s">
        <v>15</v>
      </c>
      <c r="F10578" t="s">
        <v>17</v>
      </c>
      <c r="G10578" s="2">
        <f>VALUE(1462.84)</f>
        <v>1462.84</v>
      </c>
      <c r="H10578" s="3">
        <f>VALUE(1444.55)</f>
        <v>1444.55</v>
      </c>
      <c r="I10578" s="4">
        <f>VALUE(4421)</f>
        <v>4421</v>
      </c>
      <c r="J10578" s="5">
        <f>VALUE(5975)</f>
        <v>5975</v>
      </c>
      <c r="K10578" s="6">
        <f>VALUE(8424)</f>
        <v>8424</v>
      </c>
      <c r="L10578" s="7">
        <f>VALUE(12997)</f>
        <v>12997</v>
      </c>
      <c r="M10578" s="8">
        <f>VALUE(18685)</f>
        <v>18685</v>
      </c>
      <c r="N10578" t="s">
        <v>24</v>
      </c>
    </row>
    <row r="10579" spans="1:14" x14ac:dyDescent="0.25">
      <c r="A10579" t="s">
        <v>44</v>
      </c>
      <c r="B10579" t="s">
        <v>15</v>
      </c>
      <c r="C10579" t="s">
        <v>15</v>
      </c>
      <c r="D10579" t="s">
        <v>31</v>
      </c>
      <c r="E10579" t="s">
        <v>15</v>
      </c>
      <c r="F10579" t="s">
        <v>18</v>
      </c>
      <c r="G10579" s="2">
        <f>VALUE(815.16)</f>
        <v>815.16</v>
      </c>
      <c r="H10579" s="3">
        <f>VALUE(713.05)</f>
        <v>713.05</v>
      </c>
      <c r="I10579" s="1">
        <f>VALUE(4478)</f>
        <v>4478</v>
      </c>
      <c r="J10579" s="1">
        <f>VALUE(5533)</f>
        <v>5533</v>
      </c>
      <c r="K10579" s="1">
        <f>VALUE(7090)</f>
        <v>7090</v>
      </c>
      <c r="L10579" s="7">
        <f>VALUE(9861)</f>
        <v>9861</v>
      </c>
      <c r="M10579" s="8">
        <f>VALUE(13586)</f>
        <v>13586</v>
      </c>
      <c r="N10579" t="s">
        <v>25</v>
      </c>
    </row>
    <row r="10580" spans="1:14" x14ac:dyDescent="0.25">
      <c r="A10580" t="s">
        <v>44</v>
      </c>
      <c r="B10580" t="s">
        <v>15</v>
      </c>
      <c r="C10580" t="s">
        <v>15</v>
      </c>
      <c r="D10580" t="s">
        <v>31</v>
      </c>
      <c r="E10580" t="s">
        <v>15</v>
      </c>
      <c r="F10580" t="s">
        <v>19</v>
      </c>
      <c r="G10580" s="2">
        <f>VALUE(881.7)</f>
        <v>881.7</v>
      </c>
      <c r="H10580" s="3">
        <f>VALUE(845.91)</f>
        <v>845.91</v>
      </c>
      <c r="I10580" s="1">
        <f>VALUE(4229)</f>
        <v>4229</v>
      </c>
      <c r="J10580" s="1">
        <f>VALUE(4843)</f>
        <v>4843</v>
      </c>
      <c r="K10580" s="1">
        <f>VALUE(5912)</f>
        <v>5912</v>
      </c>
      <c r="L10580" s="1">
        <f>VALUE(7002)</f>
        <v>7002</v>
      </c>
      <c r="M10580" s="8">
        <f>VALUE(8268)</f>
        <v>8268</v>
      </c>
      <c r="N10580" t="s">
        <v>25</v>
      </c>
    </row>
    <row r="10581" spans="1:14" x14ac:dyDescent="0.25">
      <c r="A10581" t="s">
        <v>44</v>
      </c>
      <c r="B10581" t="s">
        <v>15</v>
      </c>
      <c r="C10581" t="s">
        <v>15</v>
      </c>
      <c r="D10581" t="s">
        <v>31</v>
      </c>
      <c r="E10581" t="s">
        <v>15</v>
      </c>
      <c r="F10581" t="s">
        <v>20</v>
      </c>
      <c r="G10581" s="1">
        <f>VALUE(6892.05)</f>
        <v>6892.05</v>
      </c>
      <c r="H10581" s="1">
        <f>VALUE(5536.73)</f>
        <v>5536.73</v>
      </c>
      <c r="I10581" s="1">
        <f>VALUE(3388)</f>
        <v>3388</v>
      </c>
      <c r="J10581" s="1">
        <f>VALUE(3870)</f>
        <v>3870</v>
      </c>
      <c r="K10581" s="1">
        <f>VALUE(4585)</f>
        <v>4585</v>
      </c>
      <c r="L10581" s="1">
        <f>VALUE(5621)</f>
        <v>5621</v>
      </c>
      <c r="M10581" s="1">
        <f>VALUE(6945)</f>
        <v>6945</v>
      </c>
      <c r="N10581" t="s">
        <v>16</v>
      </c>
    </row>
    <row r="10582" spans="1:14" x14ac:dyDescent="0.25">
      <c r="A10582" t="s">
        <v>44</v>
      </c>
      <c r="B10582" t="s">
        <v>15</v>
      </c>
      <c r="C10582" t="s">
        <v>15</v>
      </c>
      <c r="D10582" t="s">
        <v>31</v>
      </c>
      <c r="E10582" t="s">
        <v>21</v>
      </c>
      <c r="F10582" t="s">
        <v>15</v>
      </c>
      <c r="G10582" s="1">
        <f>VALUE(3365.49)</f>
        <v>3365.49</v>
      </c>
      <c r="H10582" s="1">
        <f>VALUE(3124.73)</f>
        <v>3124.73</v>
      </c>
      <c r="I10582" s="1">
        <f>VALUE(4482)</f>
        <v>4482</v>
      </c>
      <c r="J10582" s="1">
        <f>VALUE(5200)</f>
        <v>5200</v>
      </c>
      <c r="K10582" s="1">
        <f>VALUE(6667)</f>
        <v>6667</v>
      </c>
      <c r="L10582" s="7">
        <f>VALUE(9912)</f>
        <v>9912</v>
      </c>
      <c r="M10582" s="8">
        <f>VALUE(14163)</f>
        <v>14163</v>
      </c>
      <c r="N10582" t="s">
        <v>25</v>
      </c>
    </row>
    <row r="10583" spans="1:14" x14ac:dyDescent="0.25">
      <c r="A10583" t="s">
        <v>44</v>
      </c>
      <c r="B10583" t="s">
        <v>15</v>
      </c>
      <c r="C10583" t="s">
        <v>15</v>
      </c>
      <c r="D10583" t="s">
        <v>31</v>
      </c>
      <c r="E10583" t="s">
        <v>21</v>
      </c>
      <c r="F10583" t="s">
        <v>17</v>
      </c>
      <c r="G10583" s="2">
        <f>VALUE(1006.7)</f>
        <v>1006.7</v>
      </c>
      <c r="H10583" s="3">
        <f>VALUE(1000.86)</f>
        <v>1000.86</v>
      </c>
      <c r="I10583" s="4">
        <f>VALUE(5443)</f>
        <v>5443</v>
      </c>
      <c r="J10583" s="5">
        <f>VALUE(6667)</f>
        <v>6667</v>
      </c>
      <c r="K10583" s="6">
        <f>VALUE(10128)</f>
        <v>10128</v>
      </c>
      <c r="L10583" s="7">
        <f>VALUE(13735)</f>
        <v>13735</v>
      </c>
      <c r="M10583" s="8">
        <f>VALUE(21013)</f>
        <v>21013</v>
      </c>
      <c r="N10583" t="s">
        <v>24</v>
      </c>
    </row>
    <row r="10584" spans="1:14" x14ac:dyDescent="0.25">
      <c r="A10584" t="s">
        <v>44</v>
      </c>
      <c r="B10584" t="s">
        <v>15</v>
      </c>
      <c r="C10584" t="s">
        <v>15</v>
      </c>
      <c r="D10584" t="s">
        <v>31</v>
      </c>
      <c r="E10584" t="s">
        <v>21</v>
      </c>
      <c r="F10584" t="s">
        <v>18</v>
      </c>
      <c r="G10584" s="2">
        <f>VALUE(545.71)</f>
        <v>545.71</v>
      </c>
      <c r="H10584" s="3">
        <f>VALUE(473.21)</f>
        <v>473.21</v>
      </c>
      <c r="I10584" s="1">
        <f>VALUE(4874)</f>
        <v>4874</v>
      </c>
      <c r="J10584" s="1">
        <f>VALUE(6349)</f>
        <v>6349</v>
      </c>
      <c r="K10584" s="6">
        <f>VALUE(7843)</f>
        <v>7843</v>
      </c>
      <c r="L10584" s="7">
        <f>VALUE(11289)</f>
        <v>11289</v>
      </c>
      <c r="M10584" s="8">
        <f>VALUE(15453)</f>
        <v>15453</v>
      </c>
      <c r="N10584" t="s">
        <v>25</v>
      </c>
    </row>
    <row r="10585" spans="1:14" x14ac:dyDescent="0.25">
      <c r="A10585" t="s">
        <v>44</v>
      </c>
      <c r="B10585" t="s">
        <v>15</v>
      </c>
      <c r="C10585" t="s">
        <v>15</v>
      </c>
      <c r="D10585" t="s">
        <v>31</v>
      </c>
      <c r="E10585" t="s">
        <v>21</v>
      </c>
      <c r="F10585" t="s">
        <v>19</v>
      </c>
      <c r="G10585" s="2">
        <f>VALUE(292.89)</f>
        <v>292.89</v>
      </c>
      <c r="H10585" s="3">
        <f>VALUE(280.38)</f>
        <v>280.38</v>
      </c>
      <c r="I10585" s="4">
        <f>VALUE(4739)</f>
        <v>4739</v>
      </c>
      <c r="J10585" s="1">
        <f>VALUE(5147)</f>
        <v>5147</v>
      </c>
      <c r="K10585" s="1">
        <f>VALUE(6236)</f>
        <v>6236</v>
      </c>
      <c r="L10585" s="1">
        <f>VALUE(7714)</f>
        <v>7714</v>
      </c>
      <c r="M10585" s="8">
        <f>VALUE(9912)</f>
        <v>9912</v>
      </c>
      <c r="N10585" t="s">
        <v>25</v>
      </c>
    </row>
    <row r="10586" spans="1:14" x14ac:dyDescent="0.25">
      <c r="A10586" t="s">
        <v>44</v>
      </c>
      <c r="B10586" t="s">
        <v>15</v>
      </c>
      <c r="C10586" t="s">
        <v>15</v>
      </c>
      <c r="D10586" t="s">
        <v>31</v>
      </c>
      <c r="E10586" t="s">
        <v>21</v>
      </c>
      <c r="F10586" t="s">
        <v>20</v>
      </c>
      <c r="G10586" s="1">
        <f>VALUE(1520.19)</f>
        <v>1520.19</v>
      </c>
      <c r="H10586" s="1">
        <f>VALUE(1370.28)</f>
        <v>1370.28</v>
      </c>
      <c r="I10586" s="1">
        <f>VALUE(4126)</f>
        <v>4126</v>
      </c>
      <c r="J10586" s="1">
        <f>VALUE(4762)</f>
        <v>4762</v>
      </c>
      <c r="K10586" s="1">
        <f>VALUE(5600)</f>
        <v>5600</v>
      </c>
      <c r="L10586" s="1">
        <f>VALUE(6770)</f>
        <v>6770</v>
      </c>
      <c r="M10586" s="8">
        <f>VALUE(8750)</f>
        <v>8750</v>
      </c>
      <c r="N10586" t="s">
        <v>25</v>
      </c>
    </row>
    <row r="10587" spans="1:14" x14ac:dyDescent="0.25">
      <c r="A10587" t="s">
        <v>44</v>
      </c>
      <c r="B10587" t="s">
        <v>15</v>
      </c>
      <c r="C10587" t="s">
        <v>15</v>
      </c>
      <c r="D10587" t="s">
        <v>31</v>
      </c>
      <c r="E10587" t="s">
        <v>22</v>
      </c>
      <c r="F10587" t="s">
        <v>15</v>
      </c>
      <c r="G10587" s="2">
        <f>VALUE(2698.3)</f>
        <v>2698.3</v>
      </c>
      <c r="H10587" s="3">
        <f>VALUE(2497.85)</f>
        <v>2497.85</v>
      </c>
      <c r="I10587" s="1">
        <f>VALUE(3619)</f>
        <v>3619</v>
      </c>
      <c r="J10587" s="1">
        <f>VALUE(4007)</f>
        <v>4007</v>
      </c>
      <c r="K10587" s="1">
        <f>VALUE(4863)</f>
        <v>4863</v>
      </c>
      <c r="L10587" s="1">
        <f>VALUE(6026)</f>
        <v>6026</v>
      </c>
      <c r="M10587" s="8">
        <f>VALUE(7717)</f>
        <v>7717</v>
      </c>
      <c r="N10587" t="s">
        <v>25</v>
      </c>
    </row>
    <row r="10588" spans="1:14" x14ac:dyDescent="0.25">
      <c r="A10588" t="s">
        <v>44</v>
      </c>
      <c r="B10588" t="s">
        <v>15</v>
      </c>
      <c r="C10588" t="s">
        <v>15</v>
      </c>
      <c r="D10588" t="s">
        <v>31</v>
      </c>
      <c r="E10588" t="s">
        <v>22</v>
      </c>
      <c r="F10588" t="s">
        <v>17</v>
      </c>
      <c r="G10588" s="2">
        <f>VALUE(363.54)</f>
        <v>363.54</v>
      </c>
      <c r="H10588" s="3">
        <f>VALUE(349.29)</f>
        <v>349.29</v>
      </c>
      <c r="I10588" s="4">
        <f>VALUE(4421)</f>
        <v>4421</v>
      </c>
      <c r="J10588" s="5">
        <f>VALUE(5097)</f>
        <v>5097</v>
      </c>
      <c r="K10588" s="6">
        <f>VALUE(6499)</f>
        <v>6499</v>
      </c>
      <c r="L10588" s="7">
        <f>VALUE(10290)</f>
        <v>10290</v>
      </c>
      <c r="M10588" s="1">
        <f>VALUE(16300)</f>
        <v>16300</v>
      </c>
      <c r="N10588" t="s">
        <v>25</v>
      </c>
    </row>
    <row r="10589" spans="1:14" x14ac:dyDescent="0.25">
      <c r="A10589" t="s">
        <v>44</v>
      </c>
      <c r="B10589" t="s">
        <v>15</v>
      </c>
      <c r="C10589" t="s">
        <v>15</v>
      </c>
      <c r="D10589" t="s">
        <v>31</v>
      </c>
      <c r="E10589" t="s">
        <v>22</v>
      </c>
      <c r="F10589" t="s">
        <v>18</v>
      </c>
      <c r="G10589" s="2">
        <f>VALUE(220.51)</f>
        <v>220.51</v>
      </c>
      <c r="H10589" s="3">
        <f>VALUE(198.22)</f>
        <v>198.22</v>
      </c>
      <c r="I10589" s="1">
        <f>VALUE(4250)</f>
        <v>4250</v>
      </c>
      <c r="J10589" s="1">
        <f>VALUE(5000)</f>
        <v>5000</v>
      </c>
      <c r="K10589" s="1">
        <f>VALUE(6248)</f>
        <v>6248</v>
      </c>
      <c r="L10589" s="1">
        <f>VALUE(8071)</f>
        <v>8071</v>
      </c>
      <c r="M10589" s="1">
        <f>VALUE(9336)</f>
        <v>9336</v>
      </c>
      <c r="N10589" t="s">
        <v>25</v>
      </c>
    </row>
    <row r="10590" spans="1:14" x14ac:dyDescent="0.25">
      <c r="A10590" t="s">
        <v>44</v>
      </c>
      <c r="B10590" t="s">
        <v>15</v>
      </c>
      <c r="C10590" t="s">
        <v>15</v>
      </c>
      <c r="D10590" t="s">
        <v>31</v>
      </c>
      <c r="E10590" t="s">
        <v>22</v>
      </c>
      <c r="F10590" t="s">
        <v>19</v>
      </c>
      <c r="G10590" s="2">
        <f>VALUE(337.56)</f>
        <v>337.56</v>
      </c>
      <c r="H10590" s="3">
        <f>VALUE(327.23)</f>
        <v>327.23</v>
      </c>
      <c r="I10590" s="1">
        <f>VALUE(4029)</f>
        <v>4029</v>
      </c>
      <c r="J10590" s="1">
        <f>VALUE(4696)</f>
        <v>4696</v>
      </c>
      <c r="K10590" s="6">
        <f>VALUE(5281)</f>
        <v>5281</v>
      </c>
      <c r="L10590" s="7">
        <f>VALUE(6543)</f>
        <v>6543</v>
      </c>
      <c r="M10590" s="8">
        <f>VALUE(8313)</f>
        <v>8313</v>
      </c>
      <c r="N10590" t="s">
        <v>25</v>
      </c>
    </row>
    <row r="10591" spans="1:14" x14ac:dyDescent="0.25">
      <c r="A10591" t="s">
        <v>44</v>
      </c>
      <c r="B10591" t="s">
        <v>15</v>
      </c>
      <c r="C10591" t="s">
        <v>15</v>
      </c>
      <c r="D10591" t="s">
        <v>31</v>
      </c>
      <c r="E10591" t="s">
        <v>22</v>
      </c>
      <c r="F10591" t="s">
        <v>20</v>
      </c>
      <c r="G10591" s="2">
        <f>VALUE(1776.69)</f>
        <v>1776.69</v>
      </c>
      <c r="H10591" s="3">
        <f>VALUE(1623.11)</f>
        <v>1623.11</v>
      </c>
      <c r="I10591" s="1">
        <f>VALUE(3550)</f>
        <v>3550</v>
      </c>
      <c r="J10591" s="1">
        <f>VALUE(3920)</f>
        <v>3920</v>
      </c>
      <c r="K10591" s="1">
        <f>VALUE(4381)</f>
        <v>4381</v>
      </c>
      <c r="L10591" s="1">
        <f>VALUE(5285)</f>
        <v>5285</v>
      </c>
      <c r="M10591" s="1">
        <f>VALUE(6081)</f>
        <v>6081</v>
      </c>
      <c r="N10591" t="s">
        <v>25</v>
      </c>
    </row>
    <row r="10592" spans="1:14" x14ac:dyDescent="0.25">
      <c r="A10592" t="s">
        <v>44</v>
      </c>
      <c r="B10592" t="s">
        <v>15</v>
      </c>
      <c r="C10592" t="s">
        <v>15</v>
      </c>
      <c r="D10592" t="s">
        <v>31</v>
      </c>
      <c r="E10592" t="s">
        <v>23</v>
      </c>
      <c r="F10592" t="s">
        <v>15</v>
      </c>
      <c r="G10592" s="2">
        <f>VALUE(3917.94)</f>
        <v>3917.94</v>
      </c>
      <c r="H10592" s="3">
        <f>VALUE(2849.22)</f>
        <v>2849.22</v>
      </c>
      <c r="I10592" s="1">
        <f>VALUE(3277)</f>
        <v>3277</v>
      </c>
      <c r="J10592" s="1">
        <f>VALUE(3560)</f>
        <v>3560</v>
      </c>
      <c r="K10592" s="1">
        <f>VALUE(4252)</f>
        <v>4252</v>
      </c>
      <c r="L10592" s="7">
        <f>VALUE(5302)</f>
        <v>5302</v>
      </c>
      <c r="M10592" s="8">
        <f>VALUE(6246)</f>
        <v>6246</v>
      </c>
      <c r="N10592" t="s">
        <v>25</v>
      </c>
    </row>
    <row r="10593" spans="1:14" x14ac:dyDescent="0.25">
      <c r="A10593" t="s">
        <v>44</v>
      </c>
      <c r="B10593" t="s">
        <v>15</v>
      </c>
      <c r="C10593" t="s">
        <v>15</v>
      </c>
      <c r="D10593" t="s">
        <v>31</v>
      </c>
      <c r="E10593" t="s">
        <v>23</v>
      </c>
      <c r="F10593" t="s">
        <v>17</v>
      </c>
      <c r="G10593" s="1" t="str">
        <f t="shared" ref="G10593:M10595" si="2371">"X"</f>
        <v>X</v>
      </c>
      <c r="H10593" s="1" t="str">
        <f t="shared" si="2371"/>
        <v>X</v>
      </c>
      <c r="I10593" s="1" t="str">
        <f t="shared" si="2371"/>
        <v>X</v>
      </c>
      <c r="J10593" s="1" t="str">
        <f t="shared" si="2371"/>
        <v>X</v>
      </c>
      <c r="K10593" s="1" t="str">
        <f t="shared" si="2371"/>
        <v>X</v>
      </c>
      <c r="L10593" s="1" t="str">
        <f t="shared" si="2371"/>
        <v>X</v>
      </c>
      <c r="M10593" s="1" t="str">
        <f t="shared" si="2371"/>
        <v>X</v>
      </c>
      <c r="N10593" t="s">
        <v>27</v>
      </c>
    </row>
    <row r="10594" spans="1:14" x14ac:dyDescent="0.25">
      <c r="A10594" t="s">
        <v>44</v>
      </c>
      <c r="B10594" t="s">
        <v>15</v>
      </c>
      <c r="C10594" t="s">
        <v>15</v>
      </c>
      <c r="D10594" t="s">
        <v>31</v>
      </c>
      <c r="E10594" t="s">
        <v>23</v>
      </c>
      <c r="F10594" t="s">
        <v>18</v>
      </c>
      <c r="G10594" s="1" t="str">
        <f t="shared" si="2371"/>
        <v>X</v>
      </c>
      <c r="H10594" s="1" t="str">
        <f t="shared" si="2371"/>
        <v>X</v>
      </c>
      <c r="I10594" s="1" t="str">
        <f t="shared" si="2371"/>
        <v>X</v>
      </c>
      <c r="J10594" s="1" t="str">
        <f t="shared" si="2371"/>
        <v>X</v>
      </c>
      <c r="K10594" s="1" t="str">
        <f t="shared" si="2371"/>
        <v>X</v>
      </c>
      <c r="L10594" s="1" t="str">
        <f t="shared" si="2371"/>
        <v>X</v>
      </c>
      <c r="M10594" s="1" t="str">
        <f t="shared" si="2371"/>
        <v>X</v>
      </c>
      <c r="N10594" t="s">
        <v>27</v>
      </c>
    </row>
    <row r="10595" spans="1:14" x14ac:dyDescent="0.25">
      <c r="A10595" t="s">
        <v>44</v>
      </c>
      <c r="B10595" t="s">
        <v>15</v>
      </c>
      <c r="C10595" t="s">
        <v>15</v>
      </c>
      <c r="D10595" t="s">
        <v>31</v>
      </c>
      <c r="E10595" t="s">
        <v>23</v>
      </c>
      <c r="F10595" t="s">
        <v>19</v>
      </c>
      <c r="G10595" s="1" t="str">
        <f t="shared" si="2371"/>
        <v>X</v>
      </c>
      <c r="H10595" s="1" t="str">
        <f t="shared" si="2371"/>
        <v>X</v>
      </c>
      <c r="I10595" s="1" t="str">
        <f t="shared" si="2371"/>
        <v>X</v>
      </c>
      <c r="J10595" s="1" t="str">
        <f t="shared" si="2371"/>
        <v>X</v>
      </c>
      <c r="K10595" s="1" t="str">
        <f t="shared" si="2371"/>
        <v>X</v>
      </c>
      <c r="L10595" s="1" t="str">
        <f t="shared" si="2371"/>
        <v>X</v>
      </c>
      <c r="M10595" s="1" t="str">
        <f t="shared" si="2371"/>
        <v>X</v>
      </c>
      <c r="N10595" t="s">
        <v>27</v>
      </c>
    </row>
    <row r="10596" spans="1:14" x14ac:dyDescent="0.25">
      <c r="A10596" t="s">
        <v>44</v>
      </c>
      <c r="B10596" t="s">
        <v>15</v>
      </c>
      <c r="C10596" t="s">
        <v>15</v>
      </c>
      <c r="D10596" t="s">
        <v>31</v>
      </c>
      <c r="E10596" t="s">
        <v>23</v>
      </c>
      <c r="F10596" t="s">
        <v>20</v>
      </c>
      <c r="G10596" s="2">
        <f>VALUE(3546.09)</f>
        <v>3546.09</v>
      </c>
      <c r="H10596" s="3">
        <f>VALUE(2496.07)</f>
        <v>2496.0700000000002</v>
      </c>
      <c r="I10596" s="1">
        <f>VALUE(3218)</f>
        <v>3218</v>
      </c>
      <c r="J10596" s="1">
        <f>VALUE(3518)</f>
        <v>3518</v>
      </c>
      <c r="K10596" s="1">
        <f>VALUE(4126)</f>
        <v>4126</v>
      </c>
      <c r="L10596" s="7">
        <f>VALUE(4888)</f>
        <v>4888</v>
      </c>
      <c r="M10596" s="8">
        <f>VALUE(6203)</f>
        <v>6203</v>
      </c>
      <c r="N10596" t="s">
        <v>25</v>
      </c>
    </row>
    <row r="10597" spans="1:14" x14ac:dyDescent="0.25">
      <c r="A10597" t="s">
        <v>44</v>
      </c>
      <c r="B10597" t="s">
        <v>15</v>
      </c>
      <c r="C10597" t="s">
        <v>15</v>
      </c>
      <c r="D10597" t="s">
        <v>31</v>
      </c>
      <c r="E10597" t="s">
        <v>26</v>
      </c>
      <c r="F10597" t="s">
        <v>15</v>
      </c>
      <c r="G10597" s="1" t="str">
        <f t="shared" ref="G10597:M10599" si="2372">"X"</f>
        <v>X</v>
      </c>
      <c r="H10597" s="1" t="str">
        <f t="shared" si="2372"/>
        <v>X</v>
      </c>
      <c r="I10597" s="1" t="str">
        <f t="shared" si="2372"/>
        <v>X</v>
      </c>
      <c r="J10597" s="1" t="str">
        <f t="shared" si="2372"/>
        <v>X</v>
      </c>
      <c r="K10597" s="1" t="str">
        <f t="shared" si="2372"/>
        <v>X</v>
      </c>
      <c r="L10597" s="1" t="str">
        <f t="shared" si="2372"/>
        <v>X</v>
      </c>
      <c r="M10597" s="1" t="str">
        <f t="shared" si="2372"/>
        <v>X</v>
      </c>
      <c r="N10597" t="s">
        <v>27</v>
      </c>
    </row>
    <row r="10598" spans="1:14" x14ac:dyDescent="0.25">
      <c r="A10598" t="s">
        <v>44</v>
      </c>
      <c r="B10598" t="s">
        <v>15</v>
      </c>
      <c r="C10598" t="s">
        <v>15</v>
      </c>
      <c r="D10598" t="s">
        <v>31</v>
      </c>
      <c r="E10598" t="s">
        <v>26</v>
      </c>
      <c r="F10598" t="s">
        <v>17</v>
      </c>
      <c r="G10598" s="1" t="str">
        <f t="shared" si="2372"/>
        <v>X</v>
      </c>
      <c r="H10598" s="1" t="str">
        <f t="shared" si="2372"/>
        <v>X</v>
      </c>
      <c r="I10598" s="1" t="str">
        <f t="shared" si="2372"/>
        <v>X</v>
      </c>
      <c r="J10598" s="1" t="str">
        <f t="shared" si="2372"/>
        <v>X</v>
      </c>
      <c r="K10598" s="1" t="str">
        <f t="shared" si="2372"/>
        <v>X</v>
      </c>
      <c r="L10598" s="1" t="str">
        <f t="shared" si="2372"/>
        <v>X</v>
      </c>
      <c r="M10598" s="1" t="str">
        <f t="shared" si="2372"/>
        <v>X</v>
      </c>
      <c r="N10598" t="s">
        <v>27</v>
      </c>
    </row>
    <row r="10599" spans="1:14" x14ac:dyDescent="0.25">
      <c r="A10599" t="s">
        <v>44</v>
      </c>
      <c r="B10599" t="s">
        <v>15</v>
      </c>
      <c r="C10599" t="s">
        <v>15</v>
      </c>
      <c r="D10599" t="s">
        <v>31</v>
      </c>
      <c r="E10599" t="s">
        <v>26</v>
      </c>
      <c r="F10599" t="s">
        <v>18</v>
      </c>
      <c r="G10599" s="1" t="str">
        <f t="shared" si="2372"/>
        <v>X</v>
      </c>
      <c r="H10599" s="1" t="str">
        <f t="shared" si="2372"/>
        <v>X</v>
      </c>
      <c r="I10599" s="1" t="str">
        <f t="shared" si="2372"/>
        <v>X</v>
      </c>
      <c r="J10599" s="1" t="str">
        <f t="shared" si="2372"/>
        <v>X</v>
      </c>
      <c r="K10599" s="1" t="str">
        <f t="shared" si="2372"/>
        <v>X</v>
      </c>
      <c r="L10599" s="1" t="str">
        <f t="shared" si="2372"/>
        <v>X</v>
      </c>
      <c r="M10599" s="1" t="str">
        <f t="shared" si="2372"/>
        <v>X</v>
      </c>
      <c r="N10599" t="s">
        <v>27</v>
      </c>
    </row>
    <row r="10600" spans="1:14" x14ac:dyDescent="0.25">
      <c r="A10600" t="s">
        <v>44</v>
      </c>
      <c r="B10600" t="s">
        <v>15</v>
      </c>
      <c r="C10600" t="s">
        <v>15</v>
      </c>
      <c r="D10600" t="s">
        <v>31</v>
      </c>
      <c r="E10600" t="s">
        <v>26</v>
      </c>
      <c r="F10600" t="s">
        <v>19</v>
      </c>
      <c r="G10600" s="1" t="str">
        <f t="shared" ref="G10600:M10600" si="2373">"..."</f>
        <v>...</v>
      </c>
      <c r="H10600" s="1" t="str">
        <f t="shared" si="2373"/>
        <v>...</v>
      </c>
      <c r="I10600" s="1" t="str">
        <f t="shared" si="2373"/>
        <v>...</v>
      </c>
      <c r="J10600" s="1" t="str">
        <f t="shared" si="2373"/>
        <v>...</v>
      </c>
      <c r="K10600" s="1" t="str">
        <f t="shared" si="2373"/>
        <v>...</v>
      </c>
      <c r="L10600" s="1" t="str">
        <f t="shared" si="2373"/>
        <v>...</v>
      </c>
      <c r="M10600" s="1" t="str">
        <f t="shared" si="2373"/>
        <v>...</v>
      </c>
      <c r="N10600" t="s">
        <v>30</v>
      </c>
    </row>
    <row r="10601" spans="1:14" x14ac:dyDescent="0.25">
      <c r="A10601" t="s">
        <v>44</v>
      </c>
      <c r="B10601" t="s">
        <v>15</v>
      </c>
      <c r="C10601" t="s">
        <v>15</v>
      </c>
      <c r="D10601" t="s">
        <v>31</v>
      </c>
      <c r="E10601" t="s">
        <v>26</v>
      </c>
      <c r="F10601" t="s">
        <v>20</v>
      </c>
      <c r="G10601" s="1" t="str">
        <f t="shared" ref="G10601:M10601" si="2374">"X"</f>
        <v>X</v>
      </c>
      <c r="H10601" s="1" t="str">
        <f t="shared" si="2374"/>
        <v>X</v>
      </c>
      <c r="I10601" s="1" t="str">
        <f t="shared" si="2374"/>
        <v>X</v>
      </c>
      <c r="J10601" s="1" t="str">
        <f t="shared" si="2374"/>
        <v>X</v>
      </c>
      <c r="K10601" s="1" t="str">
        <f t="shared" si="2374"/>
        <v>X</v>
      </c>
      <c r="L10601" s="1" t="str">
        <f t="shared" si="2374"/>
        <v>X</v>
      </c>
      <c r="M10601" s="1" t="str">
        <f t="shared" si="2374"/>
        <v>X</v>
      </c>
      <c r="N10601" t="s">
        <v>27</v>
      </c>
    </row>
    <row r="10602" spans="1:14" x14ac:dyDescent="0.25">
      <c r="A10602" t="s">
        <v>44</v>
      </c>
      <c r="B10602" t="s">
        <v>15</v>
      </c>
      <c r="C10602" t="s">
        <v>15</v>
      </c>
      <c r="D10602" t="s">
        <v>32</v>
      </c>
      <c r="E10602" t="s">
        <v>15</v>
      </c>
      <c r="F10602" t="s">
        <v>15</v>
      </c>
      <c r="G10602" s="1">
        <f>VALUE(49398.29)</f>
        <v>49398.29</v>
      </c>
      <c r="H10602" s="1">
        <f>VALUE(44443.99)</f>
        <v>44443.99</v>
      </c>
      <c r="I10602" s="1">
        <f>VALUE(3237)</f>
        <v>3237</v>
      </c>
      <c r="J10602" s="1">
        <f>VALUE(3697)</f>
        <v>3697</v>
      </c>
      <c r="K10602" s="1">
        <f>VALUE(4642)</f>
        <v>4642</v>
      </c>
      <c r="L10602" s="1">
        <f>VALUE(5794)</f>
        <v>5794</v>
      </c>
      <c r="M10602" s="1">
        <f>VALUE(7142)</f>
        <v>7142</v>
      </c>
      <c r="N10602" t="s">
        <v>16</v>
      </c>
    </row>
    <row r="10603" spans="1:14" x14ac:dyDescent="0.25">
      <c r="A10603" t="s">
        <v>44</v>
      </c>
      <c r="B10603" t="s">
        <v>15</v>
      </c>
      <c r="C10603" t="s">
        <v>15</v>
      </c>
      <c r="D10603" t="s">
        <v>32</v>
      </c>
      <c r="E10603" t="s">
        <v>15</v>
      </c>
      <c r="F10603" t="s">
        <v>17</v>
      </c>
      <c r="G10603" s="2">
        <f>VALUE(3177.11)</f>
        <v>3177.11</v>
      </c>
      <c r="H10603" s="3">
        <f>VALUE(2922.26)</f>
        <v>2922.26</v>
      </c>
      <c r="I10603" s="1">
        <f>VALUE(4471)</f>
        <v>4471</v>
      </c>
      <c r="J10603" s="5">
        <f>VALUE(5429)</f>
        <v>5429</v>
      </c>
      <c r="K10603" s="1">
        <f>VALUE(7351)</f>
        <v>7351</v>
      </c>
      <c r="L10603" s="7">
        <f>VALUE(11044)</f>
        <v>11044</v>
      </c>
      <c r="M10603" s="8">
        <f>VALUE(16247)</f>
        <v>16247</v>
      </c>
      <c r="N10603" t="s">
        <v>25</v>
      </c>
    </row>
    <row r="10604" spans="1:14" x14ac:dyDescent="0.25">
      <c r="A10604" t="s">
        <v>44</v>
      </c>
      <c r="B10604" t="s">
        <v>15</v>
      </c>
      <c r="C10604" t="s">
        <v>15</v>
      </c>
      <c r="D10604" t="s">
        <v>32</v>
      </c>
      <c r="E10604" t="s">
        <v>15</v>
      </c>
      <c r="F10604" t="s">
        <v>18</v>
      </c>
      <c r="G10604" s="2">
        <f>VALUE(3364.74)</f>
        <v>3364.74</v>
      </c>
      <c r="H10604" s="3">
        <f>VALUE(3264.55)</f>
        <v>3264.55</v>
      </c>
      <c r="I10604" s="1">
        <f>VALUE(3791)</f>
        <v>3791</v>
      </c>
      <c r="J10604" s="1">
        <f>VALUE(4794)</f>
        <v>4794</v>
      </c>
      <c r="K10604" s="1">
        <f>VALUE(5634)</f>
        <v>5634</v>
      </c>
      <c r="L10604" s="1">
        <f>VALUE(7049)</f>
        <v>7049</v>
      </c>
      <c r="M10604" s="1">
        <f>VALUE(9156)</f>
        <v>9156</v>
      </c>
      <c r="N10604" t="s">
        <v>25</v>
      </c>
    </row>
    <row r="10605" spans="1:14" x14ac:dyDescent="0.25">
      <c r="A10605" t="s">
        <v>44</v>
      </c>
      <c r="B10605" t="s">
        <v>15</v>
      </c>
      <c r="C10605" t="s">
        <v>15</v>
      </c>
      <c r="D10605" t="s">
        <v>32</v>
      </c>
      <c r="E10605" t="s">
        <v>15</v>
      </c>
      <c r="F10605" t="s">
        <v>19</v>
      </c>
      <c r="G10605" s="1">
        <f>VALUE(5433.82)</f>
        <v>5433.82</v>
      </c>
      <c r="H10605" s="1">
        <f>VALUE(5152.65)</f>
        <v>5152.6499999999996</v>
      </c>
      <c r="I10605" s="1">
        <f>VALUE(3508)</f>
        <v>3508</v>
      </c>
      <c r="J10605" s="1">
        <f>VALUE(4347)</f>
        <v>4347</v>
      </c>
      <c r="K10605" s="1">
        <f>VALUE(5364)</f>
        <v>5364</v>
      </c>
      <c r="L10605" s="1">
        <f>VALUE(6547)</f>
        <v>6547</v>
      </c>
      <c r="M10605" s="1">
        <f>VALUE(7499)</f>
        <v>7499</v>
      </c>
      <c r="N10605" t="s">
        <v>16</v>
      </c>
    </row>
    <row r="10606" spans="1:14" x14ac:dyDescent="0.25">
      <c r="A10606" t="s">
        <v>44</v>
      </c>
      <c r="B10606" t="s">
        <v>15</v>
      </c>
      <c r="C10606" t="s">
        <v>15</v>
      </c>
      <c r="D10606" t="s">
        <v>32</v>
      </c>
      <c r="E10606" t="s">
        <v>15</v>
      </c>
      <c r="F10606" t="s">
        <v>20</v>
      </c>
      <c r="G10606" s="1">
        <f>VALUE(37422.62)</f>
        <v>37422.620000000003</v>
      </c>
      <c r="H10606" s="1">
        <f>VALUE(33104.53)</f>
        <v>33104.53</v>
      </c>
      <c r="I10606" s="1">
        <f>VALUE(3162)</f>
        <v>3162</v>
      </c>
      <c r="J10606" s="1">
        <f>VALUE(3534)</f>
        <v>3534</v>
      </c>
      <c r="K10606" s="1">
        <f>VALUE(4330)</f>
        <v>4330</v>
      </c>
      <c r="L10606" s="1">
        <f>VALUE(5361)</f>
        <v>5361</v>
      </c>
      <c r="M10606" s="1">
        <f>VALUE(6277)</f>
        <v>6277</v>
      </c>
      <c r="N10606" t="s">
        <v>16</v>
      </c>
    </row>
    <row r="10607" spans="1:14" x14ac:dyDescent="0.25">
      <c r="A10607" t="s">
        <v>44</v>
      </c>
      <c r="B10607" t="s">
        <v>15</v>
      </c>
      <c r="C10607" t="s">
        <v>15</v>
      </c>
      <c r="D10607" t="s">
        <v>32</v>
      </c>
      <c r="E10607" t="s">
        <v>21</v>
      </c>
      <c r="F10607" t="s">
        <v>15</v>
      </c>
      <c r="G10607" s="1">
        <f>VALUE(10419.38)</f>
        <v>10419.379999999999</v>
      </c>
      <c r="H10607" s="1">
        <f>VALUE(9577.65)</f>
        <v>9577.65</v>
      </c>
      <c r="I10607" s="1">
        <f>VALUE(3555)</f>
        <v>3555</v>
      </c>
      <c r="J10607" s="1">
        <f>VALUE(4441)</f>
        <v>4441</v>
      </c>
      <c r="K10607" s="1">
        <f>VALUE(5675)</f>
        <v>5675</v>
      </c>
      <c r="L10607" s="1">
        <f>VALUE(7397)</f>
        <v>7397</v>
      </c>
      <c r="M10607" s="1">
        <f>VALUE(9998)</f>
        <v>9998</v>
      </c>
      <c r="N10607" t="s">
        <v>16</v>
      </c>
    </row>
    <row r="10608" spans="1:14" x14ac:dyDescent="0.25">
      <c r="A10608" t="s">
        <v>44</v>
      </c>
      <c r="B10608" t="s">
        <v>15</v>
      </c>
      <c r="C10608" t="s">
        <v>15</v>
      </c>
      <c r="D10608" t="s">
        <v>32</v>
      </c>
      <c r="E10608" t="s">
        <v>21</v>
      </c>
      <c r="F10608" t="s">
        <v>17</v>
      </c>
      <c r="G10608" s="2">
        <f>VALUE(1770.4)</f>
        <v>1770.4</v>
      </c>
      <c r="H10608" s="3">
        <f>VALUE(1611.71)</f>
        <v>1611.71</v>
      </c>
      <c r="I10608" s="4">
        <f>VALUE(4924)</f>
        <v>4924</v>
      </c>
      <c r="J10608" s="1">
        <f>VALUE(6666)</f>
        <v>6666</v>
      </c>
      <c r="K10608" s="6">
        <f>VALUE(8748)</f>
        <v>8748</v>
      </c>
      <c r="L10608" s="7">
        <f>VALUE(12889)</f>
        <v>12889</v>
      </c>
      <c r="M10608" s="8">
        <f>VALUE(18099)</f>
        <v>18099</v>
      </c>
      <c r="N10608" t="s">
        <v>25</v>
      </c>
    </row>
    <row r="10609" spans="1:14" x14ac:dyDescent="0.25">
      <c r="A10609" t="s">
        <v>44</v>
      </c>
      <c r="B10609" t="s">
        <v>15</v>
      </c>
      <c r="C10609" t="s">
        <v>15</v>
      </c>
      <c r="D10609" t="s">
        <v>32</v>
      </c>
      <c r="E10609" t="s">
        <v>21</v>
      </c>
      <c r="F10609" t="s">
        <v>18</v>
      </c>
      <c r="G10609" s="2">
        <f>VALUE(1419.99)</f>
        <v>1419.99</v>
      </c>
      <c r="H10609" s="3">
        <f>VALUE(1351.79)</f>
        <v>1351.79</v>
      </c>
      <c r="I10609" s="4">
        <f>VALUE(4000)</f>
        <v>4000</v>
      </c>
      <c r="J10609" s="1">
        <f>VALUE(5416)</f>
        <v>5416</v>
      </c>
      <c r="K10609" s="1">
        <f>VALUE(6393)</f>
        <v>6393</v>
      </c>
      <c r="L10609" s="1">
        <f>VALUE(8473)</f>
        <v>8473</v>
      </c>
      <c r="M10609" s="1">
        <f>VALUE(10418)</f>
        <v>10418</v>
      </c>
      <c r="N10609" t="s">
        <v>25</v>
      </c>
    </row>
    <row r="10610" spans="1:14" x14ac:dyDescent="0.25">
      <c r="A10610" t="s">
        <v>44</v>
      </c>
      <c r="B10610" t="s">
        <v>15</v>
      </c>
      <c r="C10610" t="s">
        <v>15</v>
      </c>
      <c r="D10610" t="s">
        <v>32</v>
      </c>
      <c r="E10610" t="s">
        <v>21</v>
      </c>
      <c r="F10610" t="s">
        <v>19</v>
      </c>
      <c r="G10610" s="2">
        <f>VALUE(1550.94)</f>
        <v>1550.94</v>
      </c>
      <c r="H10610" s="3">
        <f>VALUE(1447.12)</f>
        <v>1447.12</v>
      </c>
      <c r="I10610" s="4">
        <f>VALUE(3577)</f>
        <v>3577</v>
      </c>
      <c r="J10610" s="5">
        <f>VALUE(4351)</f>
        <v>4351</v>
      </c>
      <c r="K10610" s="1">
        <f>VALUE(5884)</f>
        <v>5884</v>
      </c>
      <c r="L10610" s="1">
        <f>VALUE(7127)</f>
        <v>7127</v>
      </c>
      <c r="M10610" s="1">
        <f>VALUE(8232)</f>
        <v>8232</v>
      </c>
      <c r="N10610" t="s">
        <v>25</v>
      </c>
    </row>
    <row r="10611" spans="1:14" x14ac:dyDescent="0.25">
      <c r="A10611" t="s">
        <v>44</v>
      </c>
      <c r="B10611" t="s">
        <v>15</v>
      </c>
      <c r="C10611" t="s">
        <v>15</v>
      </c>
      <c r="D10611" t="s">
        <v>32</v>
      </c>
      <c r="E10611" t="s">
        <v>21</v>
      </c>
      <c r="F10611" t="s">
        <v>20</v>
      </c>
      <c r="G10611" s="1">
        <f>VALUE(5678.05)</f>
        <v>5678.05</v>
      </c>
      <c r="H10611" s="1">
        <f>VALUE(5167.03)</f>
        <v>5167.03</v>
      </c>
      <c r="I10611" s="1">
        <f>VALUE(3345)</f>
        <v>3345</v>
      </c>
      <c r="J10611" s="1">
        <f>VALUE(4119)</f>
        <v>4119</v>
      </c>
      <c r="K10611" s="1">
        <f>VALUE(5047)</f>
        <v>5047</v>
      </c>
      <c r="L10611" s="1">
        <f>VALUE(6311)</f>
        <v>6311</v>
      </c>
      <c r="M10611" s="1">
        <f>VALUE(7640)</f>
        <v>7640</v>
      </c>
      <c r="N10611" t="s">
        <v>16</v>
      </c>
    </row>
    <row r="10612" spans="1:14" x14ac:dyDescent="0.25">
      <c r="A10612" t="s">
        <v>44</v>
      </c>
      <c r="B10612" t="s">
        <v>15</v>
      </c>
      <c r="C10612" t="s">
        <v>15</v>
      </c>
      <c r="D10612" t="s">
        <v>32</v>
      </c>
      <c r="E10612" t="s">
        <v>22</v>
      </c>
      <c r="F10612" t="s">
        <v>15</v>
      </c>
      <c r="G10612" s="1">
        <f>VALUE(15193.74)</f>
        <v>15193.74</v>
      </c>
      <c r="H10612" s="1">
        <f>VALUE(13978.57)</f>
        <v>13978.57</v>
      </c>
      <c r="I10612" s="1">
        <f>VALUE(3402)</f>
        <v>3402</v>
      </c>
      <c r="J10612" s="1">
        <f>VALUE(4007)</f>
        <v>4007</v>
      </c>
      <c r="K10612" s="1">
        <f>VALUE(4859)</f>
        <v>4859</v>
      </c>
      <c r="L10612" s="1">
        <f>VALUE(5811)</f>
        <v>5811</v>
      </c>
      <c r="M10612" s="1">
        <f>VALUE(6970)</f>
        <v>6970</v>
      </c>
      <c r="N10612" t="s">
        <v>16</v>
      </c>
    </row>
    <row r="10613" spans="1:14" x14ac:dyDescent="0.25">
      <c r="A10613" t="s">
        <v>44</v>
      </c>
      <c r="B10613" t="s">
        <v>15</v>
      </c>
      <c r="C10613" t="s">
        <v>15</v>
      </c>
      <c r="D10613" t="s">
        <v>32</v>
      </c>
      <c r="E10613" t="s">
        <v>22</v>
      </c>
      <c r="F10613" t="s">
        <v>17</v>
      </c>
      <c r="G10613" s="2">
        <f>VALUE(1092.21)</f>
        <v>1092.21</v>
      </c>
      <c r="H10613" s="3">
        <f>VALUE(1012.18)</f>
        <v>1012.18</v>
      </c>
      <c r="I10613" s="4">
        <f>VALUE(4478)</f>
        <v>4478</v>
      </c>
      <c r="J10613" s="5">
        <f>VALUE(4781)</f>
        <v>4781</v>
      </c>
      <c r="K10613" s="6">
        <f>VALUE(6244)</f>
        <v>6244</v>
      </c>
      <c r="L10613" s="7">
        <f>VALUE(7852)</f>
        <v>7852</v>
      </c>
      <c r="M10613" s="8">
        <f>VALUE(11394)</f>
        <v>11394</v>
      </c>
      <c r="N10613" t="s">
        <v>24</v>
      </c>
    </row>
    <row r="10614" spans="1:14" x14ac:dyDescent="0.25">
      <c r="A10614" t="s">
        <v>44</v>
      </c>
      <c r="B10614" t="s">
        <v>15</v>
      </c>
      <c r="C10614" t="s">
        <v>15</v>
      </c>
      <c r="D10614" t="s">
        <v>32</v>
      </c>
      <c r="E10614" t="s">
        <v>22</v>
      </c>
      <c r="F10614" t="s">
        <v>18</v>
      </c>
      <c r="G10614" s="2">
        <f>VALUE(1057.23)</f>
        <v>1057.23</v>
      </c>
      <c r="H10614" s="3">
        <f>VALUE(1029.68)</f>
        <v>1029.68</v>
      </c>
      <c r="I10614" s="4">
        <f>VALUE(4054)</f>
        <v>4054</v>
      </c>
      <c r="J10614" s="1">
        <f>VALUE(4678)</f>
        <v>4678</v>
      </c>
      <c r="K10614" s="1">
        <f>VALUE(5440)</f>
        <v>5440</v>
      </c>
      <c r="L10614" s="1">
        <f>VALUE(6919)</f>
        <v>6919</v>
      </c>
      <c r="M10614" s="1">
        <f>VALUE(8387)</f>
        <v>8387</v>
      </c>
      <c r="N10614" t="s">
        <v>25</v>
      </c>
    </row>
    <row r="10615" spans="1:14" x14ac:dyDescent="0.25">
      <c r="A10615" t="s">
        <v>44</v>
      </c>
      <c r="B10615" t="s">
        <v>15</v>
      </c>
      <c r="C10615" t="s">
        <v>15</v>
      </c>
      <c r="D10615" t="s">
        <v>32</v>
      </c>
      <c r="E10615" t="s">
        <v>22</v>
      </c>
      <c r="F10615" t="s">
        <v>19</v>
      </c>
      <c r="G10615" s="2">
        <f>VALUE(2490.69)</f>
        <v>2490.69</v>
      </c>
      <c r="H10615" s="3">
        <f>VALUE(2356.02)</f>
        <v>2356.02</v>
      </c>
      <c r="I10615" s="1">
        <f>VALUE(3821)</f>
        <v>3821</v>
      </c>
      <c r="J10615" s="1">
        <f>VALUE(4529)</f>
        <v>4529</v>
      </c>
      <c r="K10615" s="1">
        <f>VALUE(5423)</f>
        <v>5423</v>
      </c>
      <c r="L10615" s="1">
        <f>VALUE(6303)</f>
        <v>6303</v>
      </c>
      <c r="M10615" s="1">
        <f>VALUE(7172)</f>
        <v>7172</v>
      </c>
      <c r="N10615" t="s">
        <v>25</v>
      </c>
    </row>
    <row r="10616" spans="1:14" x14ac:dyDescent="0.25">
      <c r="A10616" t="s">
        <v>44</v>
      </c>
      <c r="B10616" t="s">
        <v>15</v>
      </c>
      <c r="C10616" t="s">
        <v>15</v>
      </c>
      <c r="D10616" t="s">
        <v>32</v>
      </c>
      <c r="E10616" t="s">
        <v>22</v>
      </c>
      <c r="F10616" t="s">
        <v>20</v>
      </c>
      <c r="G10616" s="1">
        <f>VALUE(10553.61)</f>
        <v>10553.61</v>
      </c>
      <c r="H10616" s="1">
        <f>VALUE(9580.69)</f>
        <v>9580.69</v>
      </c>
      <c r="I10616" s="1">
        <f>VALUE(3306)</f>
        <v>3306</v>
      </c>
      <c r="J10616" s="1">
        <f>VALUE(3813)</f>
        <v>3813</v>
      </c>
      <c r="K10616" s="1">
        <f>VALUE(4563)</f>
        <v>4563</v>
      </c>
      <c r="L10616" s="1">
        <f>VALUE(5436)</f>
        <v>5436</v>
      </c>
      <c r="M10616" s="1">
        <f>VALUE(6236)</f>
        <v>6236</v>
      </c>
      <c r="N10616" t="s">
        <v>16</v>
      </c>
    </row>
    <row r="10617" spans="1:14" x14ac:dyDescent="0.25">
      <c r="A10617" t="s">
        <v>44</v>
      </c>
      <c r="B10617" t="s">
        <v>15</v>
      </c>
      <c r="C10617" t="s">
        <v>15</v>
      </c>
      <c r="D10617" t="s">
        <v>32</v>
      </c>
      <c r="E10617" t="s">
        <v>23</v>
      </c>
      <c r="F10617" t="s">
        <v>15</v>
      </c>
      <c r="G10617" s="1">
        <f>VALUE(23179.71)</f>
        <v>23179.71</v>
      </c>
      <c r="H10617" s="1">
        <f>VALUE(20295.53)</f>
        <v>20295.53</v>
      </c>
      <c r="I10617" s="1">
        <f>VALUE(3106)</f>
        <v>3106</v>
      </c>
      <c r="J10617" s="1">
        <f>VALUE(3423)</f>
        <v>3423</v>
      </c>
      <c r="K10617" s="1">
        <f>VALUE(4072)</f>
        <v>4072</v>
      </c>
      <c r="L10617" s="1">
        <f>VALUE(5106)</f>
        <v>5106</v>
      </c>
      <c r="M10617" s="1">
        <f>VALUE(5993)</f>
        <v>5993</v>
      </c>
      <c r="N10617" t="s">
        <v>16</v>
      </c>
    </row>
    <row r="10618" spans="1:14" x14ac:dyDescent="0.25">
      <c r="A10618" t="s">
        <v>44</v>
      </c>
      <c r="B10618" t="s">
        <v>15</v>
      </c>
      <c r="C10618" t="s">
        <v>15</v>
      </c>
      <c r="D10618" t="s">
        <v>32</v>
      </c>
      <c r="E10618" t="s">
        <v>23</v>
      </c>
      <c r="F10618" t="s">
        <v>17</v>
      </c>
      <c r="G10618" s="2">
        <f>VALUE(230.29)</f>
        <v>230.29</v>
      </c>
      <c r="H10618" s="3">
        <f>VALUE(225.99)</f>
        <v>225.99</v>
      </c>
      <c r="I10618" s="1">
        <f>VALUE(3810)</f>
        <v>3810</v>
      </c>
      <c r="J10618" s="1">
        <f>VALUE(4318)</f>
        <v>4318</v>
      </c>
      <c r="K10618" s="1">
        <f>VALUE(5364)</f>
        <v>5364</v>
      </c>
      <c r="L10618" s="1">
        <f>VALUE(6568)</f>
        <v>6568</v>
      </c>
      <c r="M10618" s="1">
        <f>VALUE(7461)</f>
        <v>7461</v>
      </c>
      <c r="N10618" t="s">
        <v>25</v>
      </c>
    </row>
    <row r="10619" spans="1:14" x14ac:dyDescent="0.25">
      <c r="A10619" t="s">
        <v>44</v>
      </c>
      <c r="B10619" t="s">
        <v>15</v>
      </c>
      <c r="C10619" t="s">
        <v>15</v>
      </c>
      <c r="D10619" t="s">
        <v>32</v>
      </c>
      <c r="E10619" t="s">
        <v>23</v>
      </c>
      <c r="F10619" t="s">
        <v>18</v>
      </c>
      <c r="G10619" s="2">
        <f>VALUE(790.14)</f>
        <v>790.14</v>
      </c>
      <c r="H10619" s="3">
        <f>VALUE(785.67)</f>
        <v>785.67</v>
      </c>
      <c r="I10619" s="4">
        <f>VALUE(3670)</f>
        <v>3670</v>
      </c>
      <c r="J10619" s="5">
        <f>VALUE(4332)</f>
        <v>4332</v>
      </c>
      <c r="K10619" s="6">
        <f>VALUE(5252)</f>
        <v>5252</v>
      </c>
      <c r="L10619" s="1">
        <f>VALUE(5961)</f>
        <v>5961</v>
      </c>
      <c r="M10619" s="1">
        <f>VALUE(6376)</f>
        <v>6376</v>
      </c>
      <c r="N10619" t="s">
        <v>25</v>
      </c>
    </row>
    <row r="10620" spans="1:14" x14ac:dyDescent="0.25">
      <c r="A10620" t="s">
        <v>44</v>
      </c>
      <c r="B10620" t="s">
        <v>15</v>
      </c>
      <c r="C10620" t="s">
        <v>15</v>
      </c>
      <c r="D10620" t="s">
        <v>32</v>
      </c>
      <c r="E10620" t="s">
        <v>23</v>
      </c>
      <c r="F10620" t="s">
        <v>19</v>
      </c>
      <c r="G10620" s="2">
        <f>VALUE(1382.92)</f>
        <v>1382.92</v>
      </c>
      <c r="H10620" s="3">
        <f>VALUE(1339.7)</f>
        <v>1339.7</v>
      </c>
      <c r="I10620" s="1">
        <f>VALUE(3237)</f>
        <v>3237</v>
      </c>
      <c r="J10620" s="1">
        <f>VALUE(3903)</f>
        <v>3903</v>
      </c>
      <c r="K10620" s="1">
        <f>VALUE(4857)</f>
        <v>4857</v>
      </c>
      <c r="L10620" s="7">
        <f>VALUE(6078)</f>
        <v>6078</v>
      </c>
      <c r="M10620" s="8">
        <f>VALUE(6793)</f>
        <v>6793</v>
      </c>
      <c r="N10620" t="s">
        <v>25</v>
      </c>
    </row>
    <row r="10621" spans="1:14" x14ac:dyDescent="0.25">
      <c r="A10621" t="s">
        <v>44</v>
      </c>
      <c r="B10621" t="s">
        <v>15</v>
      </c>
      <c r="C10621" t="s">
        <v>15</v>
      </c>
      <c r="D10621" t="s">
        <v>32</v>
      </c>
      <c r="E10621" t="s">
        <v>23</v>
      </c>
      <c r="F10621" t="s">
        <v>20</v>
      </c>
      <c r="G10621" s="1">
        <f>VALUE(20776.36)</f>
        <v>20776.36</v>
      </c>
      <c r="H10621" s="1">
        <f>VALUE(17944.17)</f>
        <v>17944.169999999998</v>
      </c>
      <c r="I10621" s="1">
        <f>VALUE(3083)</f>
        <v>3083</v>
      </c>
      <c r="J10621" s="1">
        <f>VALUE(3383)</f>
        <v>3383</v>
      </c>
      <c r="K10621" s="1">
        <f>VALUE(3949)</f>
        <v>3949</v>
      </c>
      <c r="L10621" s="1">
        <f>VALUE(4941)</f>
        <v>4941</v>
      </c>
      <c r="M10621" s="1">
        <f>VALUE(5863)</f>
        <v>5863</v>
      </c>
      <c r="N10621" t="s">
        <v>16</v>
      </c>
    </row>
    <row r="10622" spans="1:14" x14ac:dyDescent="0.25">
      <c r="A10622" t="s">
        <v>44</v>
      </c>
      <c r="B10622" t="s">
        <v>15</v>
      </c>
      <c r="C10622" t="s">
        <v>15</v>
      </c>
      <c r="D10622" t="s">
        <v>32</v>
      </c>
      <c r="E10622" t="s">
        <v>26</v>
      </c>
      <c r="F10622" t="s">
        <v>15</v>
      </c>
      <c r="G10622" s="2">
        <f>VALUE(605.46)</f>
        <v>605.46</v>
      </c>
      <c r="H10622" s="3">
        <f>VALUE(592.24)</f>
        <v>592.24</v>
      </c>
      <c r="I10622" s="4">
        <f>VALUE(4224)</f>
        <v>4224</v>
      </c>
      <c r="J10622" s="5">
        <f>VALUE(4936)</f>
        <v>4936</v>
      </c>
      <c r="K10622" s="1">
        <f>VALUE(5729)</f>
        <v>5729</v>
      </c>
      <c r="L10622" s="7">
        <f>VALUE(7311)</f>
        <v>7311</v>
      </c>
      <c r="M10622" s="8">
        <f>VALUE(10219)</f>
        <v>10219</v>
      </c>
      <c r="N10622" t="s">
        <v>25</v>
      </c>
    </row>
    <row r="10623" spans="1:14" x14ac:dyDescent="0.25">
      <c r="A10623" t="s">
        <v>44</v>
      </c>
      <c r="B10623" t="s">
        <v>15</v>
      </c>
      <c r="C10623" t="s">
        <v>15</v>
      </c>
      <c r="D10623" t="s">
        <v>32</v>
      </c>
      <c r="E10623" t="s">
        <v>26</v>
      </c>
      <c r="F10623" t="s">
        <v>17</v>
      </c>
      <c r="G10623" s="1" t="str">
        <f t="shared" ref="G10623:M10625" si="2375">"X"</f>
        <v>X</v>
      </c>
      <c r="H10623" s="1" t="str">
        <f t="shared" si="2375"/>
        <v>X</v>
      </c>
      <c r="I10623" s="1" t="str">
        <f t="shared" si="2375"/>
        <v>X</v>
      </c>
      <c r="J10623" s="1" t="str">
        <f t="shared" si="2375"/>
        <v>X</v>
      </c>
      <c r="K10623" s="1" t="str">
        <f t="shared" si="2375"/>
        <v>X</v>
      </c>
      <c r="L10623" s="1" t="str">
        <f t="shared" si="2375"/>
        <v>X</v>
      </c>
      <c r="M10623" s="1" t="str">
        <f t="shared" si="2375"/>
        <v>X</v>
      </c>
      <c r="N10623" t="s">
        <v>27</v>
      </c>
    </row>
    <row r="10624" spans="1:14" x14ac:dyDescent="0.25">
      <c r="A10624" t="s">
        <v>44</v>
      </c>
      <c r="B10624" t="s">
        <v>15</v>
      </c>
      <c r="C10624" t="s">
        <v>15</v>
      </c>
      <c r="D10624" t="s">
        <v>32</v>
      </c>
      <c r="E10624" t="s">
        <v>26</v>
      </c>
      <c r="F10624" t="s">
        <v>18</v>
      </c>
      <c r="G10624" s="1" t="str">
        <f t="shared" si="2375"/>
        <v>X</v>
      </c>
      <c r="H10624" s="1" t="str">
        <f t="shared" si="2375"/>
        <v>X</v>
      </c>
      <c r="I10624" s="1" t="str">
        <f t="shared" si="2375"/>
        <v>X</v>
      </c>
      <c r="J10624" s="1" t="str">
        <f t="shared" si="2375"/>
        <v>X</v>
      </c>
      <c r="K10624" s="1" t="str">
        <f t="shared" si="2375"/>
        <v>X</v>
      </c>
      <c r="L10624" s="1" t="str">
        <f t="shared" si="2375"/>
        <v>X</v>
      </c>
      <c r="M10624" s="1" t="str">
        <f t="shared" si="2375"/>
        <v>X</v>
      </c>
      <c r="N10624" t="s">
        <v>27</v>
      </c>
    </row>
    <row r="10625" spans="1:14" x14ac:dyDescent="0.25">
      <c r="A10625" t="s">
        <v>44</v>
      </c>
      <c r="B10625" t="s">
        <v>15</v>
      </c>
      <c r="C10625" t="s">
        <v>15</v>
      </c>
      <c r="D10625" t="s">
        <v>32</v>
      </c>
      <c r="E10625" t="s">
        <v>26</v>
      </c>
      <c r="F10625" t="s">
        <v>19</v>
      </c>
      <c r="G10625" s="1" t="str">
        <f t="shared" si="2375"/>
        <v>X</v>
      </c>
      <c r="H10625" s="1" t="str">
        <f t="shared" si="2375"/>
        <v>X</v>
      </c>
      <c r="I10625" s="1" t="str">
        <f t="shared" si="2375"/>
        <v>X</v>
      </c>
      <c r="J10625" s="1" t="str">
        <f t="shared" si="2375"/>
        <v>X</v>
      </c>
      <c r="K10625" s="1" t="str">
        <f t="shared" si="2375"/>
        <v>X</v>
      </c>
      <c r="L10625" s="1" t="str">
        <f t="shared" si="2375"/>
        <v>X</v>
      </c>
      <c r="M10625" s="1" t="str">
        <f t="shared" si="2375"/>
        <v>X</v>
      </c>
      <c r="N10625" t="s">
        <v>27</v>
      </c>
    </row>
    <row r="10626" spans="1:14" x14ac:dyDescent="0.25">
      <c r="A10626" t="s">
        <v>44</v>
      </c>
      <c r="B10626" t="s">
        <v>15</v>
      </c>
      <c r="C10626" t="s">
        <v>15</v>
      </c>
      <c r="D10626" t="s">
        <v>32</v>
      </c>
      <c r="E10626" t="s">
        <v>26</v>
      </c>
      <c r="F10626" t="s">
        <v>20</v>
      </c>
      <c r="G10626" s="2">
        <f>VALUE(414.6)</f>
        <v>414.6</v>
      </c>
      <c r="H10626" s="3">
        <f>VALUE(412.64)</f>
        <v>412.64</v>
      </c>
      <c r="I10626" s="4">
        <f>VALUE(4059)</f>
        <v>4059</v>
      </c>
      <c r="J10626" s="1">
        <f>VALUE(4619)</f>
        <v>4619</v>
      </c>
      <c r="K10626" s="6">
        <f>VALUE(5634)</f>
        <v>5634</v>
      </c>
      <c r="L10626" s="1">
        <f>VALUE(6450)</f>
        <v>6450</v>
      </c>
      <c r="M10626" s="1">
        <f>VALUE(7763)</f>
        <v>7763</v>
      </c>
      <c r="N10626" t="s">
        <v>25</v>
      </c>
    </row>
    <row r="10627" spans="1:14" x14ac:dyDescent="0.25">
      <c r="A10627" t="s">
        <v>44</v>
      </c>
      <c r="B10627" t="s">
        <v>15</v>
      </c>
      <c r="C10627" t="s">
        <v>15</v>
      </c>
      <c r="D10627" t="s">
        <v>33</v>
      </c>
      <c r="E10627" t="s">
        <v>15</v>
      </c>
      <c r="F10627" t="s">
        <v>15</v>
      </c>
      <c r="G10627" s="2">
        <f>VALUE(559.32)</f>
        <v>559.32000000000005</v>
      </c>
      <c r="H10627" s="3">
        <f>VALUE(520.42)</f>
        <v>520.41999999999996</v>
      </c>
      <c r="I10627" s="1">
        <f>VALUE(3396)</f>
        <v>3396</v>
      </c>
      <c r="J10627" s="1">
        <f>VALUE(3713)</f>
        <v>3713</v>
      </c>
      <c r="K10627" s="6">
        <f>VALUE(4800)</f>
        <v>4800</v>
      </c>
      <c r="L10627" s="7">
        <f>VALUE(8312)</f>
        <v>8312</v>
      </c>
      <c r="M10627" s="1">
        <f>VALUE(16299)</f>
        <v>16299</v>
      </c>
      <c r="N10627" t="s">
        <v>25</v>
      </c>
    </row>
    <row r="10628" spans="1:14" x14ac:dyDescent="0.25">
      <c r="A10628" t="s">
        <v>44</v>
      </c>
      <c r="B10628" t="s">
        <v>15</v>
      </c>
      <c r="C10628" t="s">
        <v>15</v>
      </c>
      <c r="D10628" t="s">
        <v>33</v>
      </c>
      <c r="E10628" t="s">
        <v>15</v>
      </c>
      <c r="F10628" t="s">
        <v>17</v>
      </c>
      <c r="G10628" s="1" t="str">
        <f t="shared" ref="G10628:M10630" si="2376">"X"</f>
        <v>X</v>
      </c>
      <c r="H10628" s="1" t="str">
        <f t="shared" si="2376"/>
        <v>X</v>
      </c>
      <c r="I10628" s="1" t="str">
        <f t="shared" si="2376"/>
        <v>X</v>
      </c>
      <c r="J10628" s="1" t="str">
        <f t="shared" si="2376"/>
        <v>X</v>
      </c>
      <c r="K10628" s="1" t="str">
        <f t="shared" si="2376"/>
        <v>X</v>
      </c>
      <c r="L10628" s="1" t="str">
        <f t="shared" si="2376"/>
        <v>X</v>
      </c>
      <c r="M10628" s="1" t="str">
        <f t="shared" si="2376"/>
        <v>X</v>
      </c>
      <c r="N10628" t="s">
        <v>27</v>
      </c>
    </row>
    <row r="10629" spans="1:14" x14ac:dyDescent="0.25">
      <c r="A10629" t="s">
        <v>44</v>
      </c>
      <c r="B10629" t="s">
        <v>15</v>
      </c>
      <c r="C10629" t="s">
        <v>15</v>
      </c>
      <c r="D10629" t="s">
        <v>33</v>
      </c>
      <c r="E10629" t="s">
        <v>15</v>
      </c>
      <c r="F10629" t="s">
        <v>18</v>
      </c>
      <c r="G10629" s="1" t="str">
        <f t="shared" si="2376"/>
        <v>X</v>
      </c>
      <c r="H10629" s="1" t="str">
        <f t="shared" si="2376"/>
        <v>X</v>
      </c>
      <c r="I10629" s="1" t="str">
        <f t="shared" si="2376"/>
        <v>X</v>
      </c>
      <c r="J10629" s="1" t="str">
        <f t="shared" si="2376"/>
        <v>X</v>
      </c>
      <c r="K10629" s="1" t="str">
        <f t="shared" si="2376"/>
        <v>X</v>
      </c>
      <c r="L10629" s="1" t="str">
        <f t="shared" si="2376"/>
        <v>X</v>
      </c>
      <c r="M10629" s="1" t="str">
        <f t="shared" si="2376"/>
        <v>X</v>
      </c>
      <c r="N10629" t="s">
        <v>27</v>
      </c>
    </row>
    <row r="10630" spans="1:14" x14ac:dyDescent="0.25">
      <c r="A10630" t="s">
        <v>44</v>
      </c>
      <c r="B10630" t="s">
        <v>15</v>
      </c>
      <c r="C10630" t="s">
        <v>15</v>
      </c>
      <c r="D10630" t="s">
        <v>33</v>
      </c>
      <c r="E10630" t="s">
        <v>15</v>
      </c>
      <c r="F10630" t="s">
        <v>19</v>
      </c>
      <c r="G10630" s="1" t="str">
        <f t="shared" si="2376"/>
        <v>X</v>
      </c>
      <c r="H10630" s="1" t="str">
        <f t="shared" si="2376"/>
        <v>X</v>
      </c>
      <c r="I10630" s="1" t="str">
        <f t="shared" si="2376"/>
        <v>X</v>
      </c>
      <c r="J10630" s="1" t="str">
        <f t="shared" si="2376"/>
        <v>X</v>
      </c>
      <c r="K10630" s="1" t="str">
        <f t="shared" si="2376"/>
        <v>X</v>
      </c>
      <c r="L10630" s="1" t="str">
        <f t="shared" si="2376"/>
        <v>X</v>
      </c>
      <c r="M10630" s="1" t="str">
        <f t="shared" si="2376"/>
        <v>X</v>
      </c>
      <c r="N10630" t="s">
        <v>27</v>
      </c>
    </row>
    <row r="10631" spans="1:14" x14ac:dyDescent="0.25">
      <c r="A10631" t="s">
        <v>44</v>
      </c>
      <c r="B10631" t="s">
        <v>15</v>
      </c>
      <c r="C10631" t="s">
        <v>15</v>
      </c>
      <c r="D10631" t="s">
        <v>33</v>
      </c>
      <c r="E10631" t="s">
        <v>15</v>
      </c>
      <c r="F10631" t="s">
        <v>20</v>
      </c>
      <c r="G10631" s="2">
        <f>VALUE(332.56)</f>
        <v>332.56</v>
      </c>
      <c r="H10631" s="3">
        <f>VALUE(308.09)</f>
        <v>308.08999999999997</v>
      </c>
      <c r="I10631" s="4">
        <f>VALUE(3119)</f>
        <v>3119</v>
      </c>
      <c r="J10631" s="1">
        <f>VALUE(3513)</f>
        <v>3513</v>
      </c>
      <c r="K10631" s="1">
        <f>VALUE(4229)</f>
        <v>4229</v>
      </c>
      <c r="L10631" s="1">
        <f>VALUE(5394)</f>
        <v>5394</v>
      </c>
      <c r="M10631" s="1">
        <f>VALUE(6557)</f>
        <v>6557</v>
      </c>
      <c r="N10631" t="s">
        <v>25</v>
      </c>
    </row>
    <row r="10632" spans="1:14" x14ac:dyDescent="0.25">
      <c r="A10632" t="s">
        <v>44</v>
      </c>
      <c r="B10632" t="s">
        <v>15</v>
      </c>
      <c r="C10632" t="s">
        <v>15</v>
      </c>
      <c r="D10632" t="s">
        <v>33</v>
      </c>
      <c r="E10632" t="s">
        <v>21</v>
      </c>
      <c r="F10632" t="s">
        <v>15</v>
      </c>
      <c r="G10632" s="2">
        <f>VALUE(277.17)</f>
        <v>277.17</v>
      </c>
      <c r="H10632" s="3">
        <f>VALUE(258.47)</f>
        <v>258.47000000000003</v>
      </c>
      <c r="I10632" s="4">
        <f>VALUE(4006)</f>
        <v>4006</v>
      </c>
      <c r="J10632" s="5">
        <f>VALUE(4762)</f>
        <v>4762</v>
      </c>
      <c r="K10632" s="6">
        <f>VALUE(6925)</f>
        <v>6925</v>
      </c>
      <c r="L10632" s="7">
        <f>VALUE(16299)</f>
        <v>16299</v>
      </c>
      <c r="M10632" s="1">
        <f>VALUE(16299)</f>
        <v>16299</v>
      </c>
      <c r="N10632" t="s">
        <v>25</v>
      </c>
    </row>
    <row r="10633" spans="1:14" x14ac:dyDescent="0.25">
      <c r="A10633" t="s">
        <v>44</v>
      </c>
      <c r="B10633" t="s">
        <v>15</v>
      </c>
      <c r="C10633" t="s">
        <v>15</v>
      </c>
      <c r="D10633" t="s">
        <v>33</v>
      </c>
      <c r="E10633" t="s">
        <v>21</v>
      </c>
      <c r="F10633" t="s">
        <v>17</v>
      </c>
      <c r="G10633" s="1" t="str">
        <f t="shared" ref="G10633:M10635" si="2377">"X"</f>
        <v>X</v>
      </c>
      <c r="H10633" s="1" t="str">
        <f t="shared" si="2377"/>
        <v>X</v>
      </c>
      <c r="I10633" s="1" t="str">
        <f t="shared" si="2377"/>
        <v>X</v>
      </c>
      <c r="J10633" s="1" t="str">
        <f t="shared" si="2377"/>
        <v>X</v>
      </c>
      <c r="K10633" s="1" t="str">
        <f t="shared" si="2377"/>
        <v>X</v>
      </c>
      <c r="L10633" s="1" t="str">
        <f t="shared" si="2377"/>
        <v>X</v>
      </c>
      <c r="M10633" s="1" t="str">
        <f t="shared" si="2377"/>
        <v>X</v>
      </c>
      <c r="N10633" t="s">
        <v>27</v>
      </c>
    </row>
    <row r="10634" spans="1:14" x14ac:dyDescent="0.25">
      <c r="A10634" t="s">
        <v>44</v>
      </c>
      <c r="B10634" t="s">
        <v>15</v>
      </c>
      <c r="C10634" t="s">
        <v>15</v>
      </c>
      <c r="D10634" t="s">
        <v>33</v>
      </c>
      <c r="E10634" t="s">
        <v>21</v>
      </c>
      <c r="F10634" t="s">
        <v>18</v>
      </c>
      <c r="G10634" s="1" t="str">
        <f t="shared" si="2377"/>
        <v>X</v>
      </c>
      <c r="H10634" s="1" t="str">
        <f t="shared" si="2377"/>
        <v>X</v>
      </c>
      <c r="I10634" s="1" t="str">
        <f t="shared" si="2377"/>
        <v>X</v>
      </c>
      <c r="J10634" s="1" t="str">
        <f t="shared" si="2377"/>
        <v>X</v>
      </c>
      <c r="K10634" s="1" t="str">
        <f t="shared" si="2377"/>
        <v>X</v>
      </c>
      <c r="L10634" s="1" t="str">
        <f t="shared" si="2377"/>
        <v>X</v>
      </c>
      <c r="M10634" s="1" t="str">
        <f t="shared" si="2377"/>
        <v>X</v>
      </c>
      <c r="N10634" t="s">
        <v>27</v>
      </c>
    </row>
    <row r="10635" spans="1:14" x14ac:dyDescent="0.25">
      <c r="A10635" t="s">
        <v>44</v>
      </c>
      <c r="B10635" t="s">
        <v>15</v>
      </c>
      <c r="C10635" t="s">
        <v>15</v>
      </c>
      <c r="D10635" t="s">
        <v>33</v>
      </c>
      <c r="E10635" t="s">
        <v>21</v>
      </c>
      <c r="F10635" t="s">
        <v>19</v>
      </c>
      <c r="G10635" s="1" t="str">
        <f t="shared" si="2377"/>
        <v>X</v>
      </c>
      <c r="H10635" s="1" t="str">
        <f t="shared" si="2377"/>
        <v>X</v>
      </c>
      <c r="I10635" s="1" t="str">
        <f t="shared" si="2377"/>
        <v>X</v>
      </c>
      <c r="J10635" s="1" t="str">
        <f t="shared" si="2377"/>
        <v>X</v>
      </c>
      <c r="K10635" s="1" t="str">
        <f t="shared" si="2377"/>
        <v>X</v>
      </c>
      <c r="L10635" s="1" t="str">
        <f t="shared" si="2377"/>
        <v>X</v>
      </c>
      <c r="M10635" s="1" t="str">
        <f t="shared" si="2377"/>
        <v>X</v>
      </c>
      <c r="N10635" t="s">
        <v>27</v>
      </c>
    </row>
    <row r="10636" spans="1:14" x14ac:dyDescent="0.25">
      <c r="A10636" t="s">
        <v>44</v>
      </c>
      <c r="B10636" t="s">
        <v>15</v>
      </c>
      <c r="C10636" t="s">
        <v>15</v>
      </c>
      <c r="D10636" t="s">
        <v>33</v>
      </c>
      <c r="E10636" t="s">
        <v>21</v>
      </c>
      <c r="F10636" t="s">
        <v>20</v>
      </c>
      <c r="G10636" s="2">
        <f>VALUE(111.49)</f>
        <v>111.49</v>
      </c>
      <c r="H10636" s="3">
        <f>VALUE(105.88)</f>
        <v>105.88</v>
      </c>
      <c r="I10636" s="4">
        <f>VALUE(3396)</f>
        <v>3396</v>
      </c>
      <c r="J10636" s="1">
        <f>VALUE(4366)</f>
        <v>4366</v>
      </c>
      <c r="K10636" s="1">
        <f>VALUE(5191)</f>
        <v>5191</v>
      </c>
      <c r="L10636" s="1">
        <f>VALUE(6273)</f>
        <v>6273</v>
      </c>
      <c r="M10636" s="8">
        <f>VALUE(7710)</f>
        <v>7710</v>
      </c>
      <c r="N10636" t="s">
        <v>25</v>
      </c>
    </row>
    <row r="10637" spans="1:14" x14ac:dyDescent="0.25">
      <c r="A10637" t="s">
        <v>44</v>
      </c>
      <c r="B10637" t="s">
        <v>15</v>
      </c>
      <c r="C10637" t="s">
        <v>15</v>
      </c>
      <c r="D10637" t="s">
        <v>33</v>
      </c>
      <c r="E10637" t="s">
        <v>22</v>
      </c>
      <c r="F10637" t="s">
        <v>15</v>
      </c>
      <c r="G10637" s="1" t="str">
        <f t="shared" ref="G10637:M10646" si="2378">"X"</f>
        <v>X</v>
      </c>
      <c r="H10637" s="1" t="str">
        <f t="shared" si="2378"/>
        <v>X</v>
      </c>
      <c r="I10637" s="1" t="str">
        <f t="shared" si="2378"/>
        <v>X</v>
      </c>
      <c r="J10637" s="1" t="str">
        <f t="shared" si="2378"/>
        <v>X</v>
      </c>
      <c r="K10637" s="1" t="str">
        <f t="shared" si="2378"/>
        <v>X</v>
      </c>
      <c r="L10637" s="1" t="str">
        <f t="shared" si="2378"/>
        <v>X</v>
      </c>
      <c r="M10637" s="1" t="str">
        <f t="shared" si="2378"/>
        <v>X</v>
      </c>
      <c r="N10637" t="s">
        <v>27</v>
      </c>
    </row>
    <row r="10638" spans="1:14" x14ac:dyDescent="0.25">
      <c r="A10638" t="s">
        <v>44</v>
      </c>
      <c r="B10638" t="s">
        <v>15</v>
      </c>
      <c r="C10638" t="s">
        <v>15</v>
      </c>
      <c r="D10638" t="s">
        <v>33</v>
      </c>
      <c r="E10638" t="s">
        <v>22</v>
      </c>
      <c r="F10638" t="s">
        <v>17</v>
      </c>
      <c r="G10638" s="1" t="str">
        <f t="shared" si="2378"/>
        <v>X</v>
      </c>
      <c r="H10638" s="1" t="str">
        <f t="shared" si="2378"/>
        <v>X</v>
      </c>
      <c r="I10638" s="1" t="str">
        <f t="shared" si="2378"/>
        <v>X</v>
      </c>
      <c r="J10638" s="1" t="str">
        <f t="shared" si="2378"/>
        <v>X</v>
      </c>
      <c r="K10638" s="1" t="str">
        <f t="shared" si="2378"/>
        <v>X</v>
      </c>
      <c r="L10638" s="1" t="str">
        <f t="shared" si="2378"/>
        <v>X</v>
      </c>
      <c r="M10638" s="1" t="str">
        <f t="shared" si="2378"/>
        <v>X</v>
      </c>
      <c r="N10638" t="s">
        <v>27</v>
      </c>
    </row>
    <row r="10639" spans="1:14" x14ac:dyDescent="0.25">
      <c r="A10639" t="s">
        <v>44</v>
      </c>
      <c r="B10639" t="s">
        <v>15</v>
      </c>
      <c r="C10639" t="s">
        <v>15</v>
      </c>
      <c r="D10639" t="s">
        <v>33</v>
      </c>
      <c r="E10639" t="s">
        <v>22</v>
      </c>
      <c r="F10639" t="s">
        <v>18</v>
      </c>
      <c r="G10639" s="1" t="str">
        <f t="shared" si="2378"/>
        <v>X</v>
      </c>
      <c r="H10639" s="1" t="str">
        <f t="shared" si="2378"/>
        <v>X</v>
      </c>
      <c r="I10639" s="1" t="str">
        <f t="shared" si="2378"/>
        <v>X</v>
      </c>
      <c r="J10639" s="1" t="str">
        <f t="shared" si="2378"/>
        <v>X</v>
      </c>
      <c r="K10639" s="1" t="str">
        <f t="shared" si="2378"/>
        <v>X</v>
      </c>
      <c r="L10639" s="1" t="str">
        <f t="shared" si="2378"/>
        <v>X</v>
      </c>
      <c r="M10639" s="1" t="str">
        <f t="shared" si="2378"/>
        <v>X</v>
      </c>
      <c r="N10639" t="s">
        <v>27</v>
      </c>
    </row>
    <row r="10640" spans="1:14" x14ac:dyDescent="0.25">
      <c r="A10640" t="s">
        <v>44</v>
      </c>
      <c r="B10640" t="s">
        <v>15</v>
      </c>
      <c r="C10640" t="s">
        <v>15</v>
      </c>
      <c r="D10640" t="s">
        <v>33</v>
      </c>
      <c r="E10640" t="s">
        <v>22</v>
      </c>
      <c r="F10640" t="s">
        <v>19</v>
      </c>
      <c r="G10640" s="1" t="str">
        <f t="shared" si="2378"/>
        <v>X</v>
      </c>
      <c r="H10640" s="1" t="str">
        <f t="shared" si="2378"/>
        <v>X</v>
      </c>
      <c r="I10640" s="1" t="str">
        <f t="shared" si="2378"/>
        <v>X</v>
      </c>
      <c r="J10640" s="1" t="str">
        <f t="shared" si="2378"/>
        <v>X</v>
      </c>
      <c r="K10640" s="1" t="str">
        <f t="shared" si="2378"/>
        <v>X</v>
      </c>
      <c r="L10640" s="1" t="str">
        <f t="shared" si="2378"/>
        <v>X</v>
      </c>
      <c r="M10640" s="1" t="str">
        <f t="shared" si="2378"/>
        <v>X</v>
      </c>
      <c r="N10640" t="s">
        <v>27</v>
      </c>
    </row>
    <row r="10641" spans="1:14" x14ac:dyDescent="0.25">
      <c r="A10641" t="s">
        <v>44</v>
      </c>
      <c r="B10641" t="s">
        <v>15</v>
      </c>
      <c r="C10641" t="s">
        <v>15</v>
      </c>
      <c r="D10641" t="s">
        <v>33</v>
      </c>
      <c r="E10641" t="s">
        <v>22</v>
      </c>
      <c r="F10641" t="s">
        <v>20</v>
      </c>
      <c r="G10641" s="1" t="str">
        <f t="shared" si="2378"/>
        <v>X</v>
      </c>
      <c r="H10641" s="1" t="str">
        <f t="shared" si="2378"/>
        <v>X</v>
      </c>
      <c r="I10641" s="1" t="str">
        <f t="shared" si="2378"/>
        <v>X</v>
      </c>
      <c r="J10641" s="1" t="str">
        <f t="shared" si="2378"/>
        <v>X</v>
      </c>
      <c r="K10641" s="1" t="str">
        <f t="shared" si="2378"/>
        <v>X</v>
      </c>
      <c r="L10641" s="1" t="str">
        <f t="shared" si="2378"/>
        <v>X</v>
      </c>
      <c r="M10641" s="1" t="str">
        <f t="shared" si="2378"/>
        <v>X</v>
      </c>
      <c r="N10641" t="s">
        <v>27</v>
      </c>
    </row>
    <row r="10642" spans="1:14" x14ac:dyDescent="0.25">
      <c r="A10642" t="s">
        <v>44</v>
      </c>
      <c r="B10642" t="s">
        <v>15</v>
      </c>
      <c r="C10642" t="s">
        <v>15</v>
      </c>
      <c r="D10642" t="s">
        <v>33</v>
      </c>
      <c r="E10642" t="s">
        <v>23</v>
      </c>
      <c r="F10642" t="s">
        <v>15</v>
      </c>
      <c r="G10642" s="1" t="str">
        <f t="shared" si="2378"/>
        <v>X</v>
      </c>
      <c r="H10642" s="1" t="str">
        <f t="shared" si="2378"/>
        <v>X</v>
      </c>
      <c r="I10642" s="1" t="str">
        <f t="shared" si="2378"/>
        <v>X</v>
      </c>
      <c r="J10642" s="1" t="str">
        <f t="shared" si="2378"/>
        <v>X</v>
      </c>
      <c r="K10642" s="1" t="str">
        <f t="shared" si="2378"/>
        <v>X</v>
      </c>
      <c r="L10642" s="1" t="str">
        <f t="shared" si="2378"/>
        <v>X</v>
      </c>
      <c r="M10642" s="1" t="str">
        <f t="shared" si="2378"/>
        <v>X</v>
      </c>
      <c r="N10642" t="s">
        <v>27</v>
      </c>
    </row>
    <row r="10643" spans="1:14" x14ac:dyDescent="0.25">
      <c r="A10643" t="s">
        <v>44</v>
      </c>
      <c r="B10643" t="s">
        <v>15</v>
      </c>
      <c r="C10643" t="s">
        <v>15</v>
      </c>
      <c r="D10643" t="s">
        <v>33</v>
      </c>
      <c r="E10643" t="s">
        <v>23</v>
      </c>
      <c r="F10643" t="s">
        <v>17</v>
      </c>
      <c r="G10643" s="1" t="str">
        <f t="shared" si="2378"/>
        <v>X</v>
      </c>
      <c r="H10643" s="1" t="str">
        <f t="shared" si="2378"/>
        <v>X</v>
      </c>
      <c r="I10643" s="1" t="str">
        <f t="shared" si="2378"/>
        <v>X</v>
      </c>
      <c r="J10643" s="1" t="str">
        <f t="shared" si="2378"/>
        <v>X</v>
      </c>
      <c r="K10643" s="1" t="str">
        <f t="shared" si="2378"/>
        <v>X</v>
      </c>
      <c r="L10643" s="1" t="str">
        <f t="shared" si="2378"/>
        <v>X</v>
      </c>
      <c r="M10643" s="1" t="str">
        <f t="shared" si="2378"/>
        <v>X</v>
      </c>
      <c r="N10643" t="s">
        <v>27</v>
      </c>
    </row>
    <row r="10644" spans="1:14" x14ac:dyDescent="0.25">
      <c r="A10644" t="s">
        <v>44</v>
      </c>
      <c r="B10644" t="s">
        <v>15</v>
      </c>
      <c r="C10644" t="s">
        <v>15</v>
      </c>
      <c r="D10644" t="s">
        <v>33</v>
      </c>
      <c r="E10644" t="s">
        <v>23</v>
      </c>
      <c r="F10644" t="s">
        <v>18</v>
      </c>
      <c r="G10644" s="1" t="str">
        <f t="shared" si="2378"/>
        <v>X</v>
      </c>
      <c r="H10644" s="1" t="str">
        <f t="shared" si="2378"/>
        <v>X</v>
      </c>
      <c r="I10644" s="1" t="str">
        <f t="shared" si="2378"/>
        <v>X</v>
      </c>
      <c r="J10644" s="1" t="str">
        <f t="shared" si="2378"/>
        <v>X</v>
      </c>
      <c r="K10644" s="1" t="str">
        <f t="shared" si="2378"/>
        <v>X</v>
      </c>
      <c r="L10644" s="1" t="str">
        <f t="shared" si="2378"/>
        <v>X</v>
      </c>
      <c r="M10644" s="1" t="str">
        <f t="shared" si="2378"/>
        <v>X</v>
      </c>
      <c r="N10644" t="s">
        <v>27</v>
      </c>
    </row>
    <row r="10645" spans="1:14" x14ac:dyDescent="0.25">
      <c r="A10645" t="s">
        <v>44</v>
      </c>
      <c r="B10645" t="s">
        <v>15</v>
      </c>
      <c r="C10645" t="s">
        <v>15</v>
      </c>
      <c r="D10645" t="s">
        <v>33</v>
      </c>
      <c r="E10645" t="s">
        <v>23</v>
      </c>
      <c r="F10645" t="s">
        <v>19</v>
      </c>
      <c r="G10645" s="1" t="str">
        <f t="shared" si="2378"/>
        <v>X</v>
      </c>
      <c r="H10645" s="1" t="str">
        <f t="shared" si="2378"/>
        <v>X</v>
      </c>
      <c r="I10645" s="1" t="str">
        <f t="shared" si="2378"/>
        <v>X</v>
      </c>
      <c r="J10645" s="1" t="str">
        <f t="shared" si="2378"/>
        <v>X</v>
      </c>
      <c r="K10645" s="1" t="str">
        <f t="shared" si="2378"/>
        <v>X</v>
      </c>
      <c r="L10645" s="1" t="str">
        <f t="shared" si="2378"/>
        <v>X</v>
      </c>
      <c r="M10645" s="1" t="str">
        <f t="shared" si="2378"/>
        <v>X</v>
      </c>
      <c r="N10645" t="s">
        <v>27</v>
      </c>
    </row>
    <row r="10646" spans="1:14" x14ac:dyDescent="0.25">
      <c r="A10646" t="s">
        <v>44</v>
      </c>
      <c r="B10646" t="s">
        <v>15</v>
      </c>
      <c r="C10646" t="s">
        <v>15</v>
      </c>
      <c r="D10646" t="s">
        <v>33</v>
      </c>
      <c r="E10646" t="s">
        <v>23</v>
      </c>
      <c r="F10646" t="s">
        <v>20</v>
      </c>
      <c r="G10646" s="1" t="str">
        <f t="shared" si="2378"/>
        <v>X</v>
      </c>
      <c r="H10646" s="1" t="str">
        <f t="shared" si="2378"/>
        <v>X</v>
      </c>
      <c r="I10646" s="1" t="str">
        <f t="shared" si="2378"/>
        <v>X</v>
      </c>
      <c r="J10646" s="1" t="str">
        <f t="shared" si="2378"/>
        <v>X</v>
      </c>
      <c r="K10646" s="1" t="str">
        <f t="shared" si="2378"/>
        <v>X</v>
      </c>
      <c r="L10646" s="1" t="str">
        <f t="shared" si="2378"/>
        <v>X</v>
      </c>
      <c r="M10646" s="1" t="str">
        <f t="shared" si="2378"/>
        <v>X</v>
      </c>
      <c r="N10646" t="s">
        <v>27</v>
      </c>
    </row>
    <row r="10647" spans="1:14" x14ac:dyDescent="0.25">
      <c r="A10647" t="s">
        <v>44</v>
      </c>
      <c r="B10647" t="s">
        <v>15</v>
      </c>
      <c r="C10647" t="s">
        <v>15</v>
      </c>
      <c r="D10647" t="s">
        <v>33</v>
      </c>
      <c r="E10647" t="s">
        <v>26</v>
      </c>
      <c r="F10647" t="s">
        <v>15</v>
      </c>
      <c r="G10647" s="1" t="str">
        <f t="shared" ref="G10647:M10651" si="2379">"..."</f>
        <v>...</v>
      </c>
      <c r="H10647" s="1" t="str">
        <f t="shared" si="2379"/>
        <v>...</v>
      </c>
      <c r="I10647" s="1" t="str">
        <f t="shared" si="2379"/>
        <v>...</v>
      </c>
      <c r="J10647" s="1" t="str">
        <f t="shared" si="2379"/>
        <v>...</v>
      </c>
      <c r="K10647" s="1" t="str">
        <f t="shared" si="2379"/>
        <v>...</v>
      </c>
      <c r="L10647" s="1" t="str">
        <f t="shared" si="2379"/>
        <v>...</v>
      </c>
      <c r="M10647" s="1" t="str">
        <f t="shared" si="2379"/>
        <v>...</v>
      </c>
      <c r="N10647" t="s">
        <v>30</v>
      </c>
    </row>
    <row r="10648" spans="1:14" x14ac:dyDescent="0.25">
      <c r="A10648" t="s">
        <v>44</v>
      </c>
      <c r="B10648" t="s">
        <v>15</v>
      </c>
      <c r="C10648" t="s">
        <v>15</v>
      </c>
      <c r="D10648" t="s">
        <v>33</v>
      </c>
      <c r="E10648" t="s">
        <v>26</v>
      </c>
      <c r="F10648" t="s">
        <v>17</v>
      </c>
      <c r="G10648" s="1" t="str">
        <f t="shared" si="2379"/>
        <v>...</v>
      </c>
      <c r="H10648" s="1" t="str">
        <f t="shared" si="2379"/>
        <v>...</v>
      </c>
      <c r="I10648" s="1" t="str">
        <f t="shared" si="2379"/>
        <v>...</v>
      </c>
      <c r="J10648" s="1" t="str">
        <f t="shared" si="2379"/>
        <v>...</v>
      </c>
      <c r="K10648" s="1" t="str">
        <f t="shared" si="2379"/>
        <v>...</v>
      </c>
      <c r="L10648" s="1" t="str">
        <f t="shared" si="2379"/>
        <v>...</v>
      </c>
      <c r="M10648" s="1" t="str">
        <f t="shared" si="2379"/>
        <v>...</v>
      </c>
      <c r="N10648" t="s">
        <v>30</v>
      </c>
    </row>
    <row r="10649" spans="1:14" x14ac:dyDescent="0.25">
      <c r="A10649" t="s">
        <v>44</v>
      </c>
      <c r="B10649" t="s">
        <v>15</v>
      </c>
      <c r="C10649" t="s">
        <v>15</v>
      </c>
      <c r="D10649" t="s">
        <v>33</v>
      </c>
      <c r="E10649" t="s">
        <v>26</v>
      </c>
      <c r="F10649" t="s">
        <v>18</v>
      </c>
      <c r="G10649" s="1" t="str">
        <f t="shared" si="2379"/>
        <v>...</v>
      </c>
      <c r="H10649" s="1" t="str">
        <f t="shared" si="2379"/>
        <v>...</v>
      </c>
      <c r="I10649" s="1" t="str">
        <f t="shared" si="2379"/>
        <v>...</v>
      </c>
      <c r="J10649" s="1" t="str">
        <f t="shared" si="2379"/>
        <v>...</v>
      </c>
      <c r="K10649" s="1" t="str">
        <f t="shared" si="2379"/>
        <v>...</v>
      </c>
      <c r="L10649" s="1" t="str">
        <f t="shared" si="2379"/>
        <v>...</v>
      </c>
      <c r="M10649" s="1" t="str">
        <f t="shared" si="2379"/>
        <v>...</v>
      </c>
      <c r="N10649" t="s">
        <v>30</v>
      </c>
    </row>
    <row r="10650" spans="1:14" x14ac:dyDescent="0.25">
      <c r="A10650" t="s">
        <v>44</v>
      </c>
      <c r="B10650" t="s">
        <v>15</v>
      </c>
      <c r="C10650" t="s">
        <v>15</v>
      </c>
      <c r="D10650" t="s">
        <v>33</v>
      </c>
      <c r="E10650" t="s">
        <v>26</v>
      </c>
      <c r="F10650" t="s">
        <v>19</v>
      </c>
      <c r="G10650" s="1" t="str">
        <f t="shared" si="2379"/>
        <v>...</v>
      </c>
      <c r="H10650" s="1" t="str">
        <f t="shared" si="2379"/>
        <v>...</v>
      </c>
      <c r="I10650" s="1" t="str">
        <f t="shared" si="2379"/>
        <v>...</v>
      </c>
      <c r="J10650" s="1" t="str">
        <f t="shared" si="2379"/>
        <v>...</v>
      </c>
      <c r="K10650" s="1" t="str">
        <f t="shared" si="2379"/>
        <v>...</v>
      </c>
      <c r="L10650" s="1" t="str">
        <f t="shared" si="2379"/>
        <v>...</v>
      </c>
      <c r="M10650" s="1" t="str">
        <f t="shared" si="2379"/>
        <v>...</v>
      </c>
      <c r="N10650" t="s">
        <v>30</v>
      </c>
    </row>
    <row r="10651" spans="1:14" x14ac:dyDescent="0.25">
      <c r="A10651" t="s">
        <v>44</v>
      </c>
      <c r="B10651" t="s">
        <v>15</v>
      </c>
      <c r="C10651" t="s">
        <v>15</v>
      </c>
      <c r="D10651" t="s">
        <v>33</v>
      </c>
      <c r="E10651" t="s">
        <v>26</v>
      </c>
      <c r="F10651" t="s">
        <v>20</v>
      </c>
      <c r="G10651" s="1" t="str">
        <f t="shared" si="2379"/>
        <v>...</v>
      </c>
      <c r="H10651" s="1" t="str">
        <f t="shared" si="2379"/>
        <v>...</v>
      </c>
      <c r="I10651" s="1" t="str">
        <f t="shared" si="2379"/>
        <v>...</v>
      </c>
      <c r="J10651" s="1" t="str">
        <f t="shared" si="2379"/>
        <v>...</v>
      </c>
      <c r="K10651" s="1" t="str">
        <f t="shared" si="2379"/>
        <v>...</v>
      </c>
      <c r="L10651" s="1" t="str">
        <f t="shared" si="2379"/>
        <v>...</v>
      </c>
      <c r="M10651" s="1" t="str">
        <f t="shared" si="2379"/>
        <v>...</v>
      </c>
      <c r="N10651" t="s">
        <v>30</v>
      </c>
    </row>
    <row r="10652" spans="1:14" x14ac:dyDescent="0.25">
      <c r="A10652" t="s">
        <v>44</v>
      </c>
      <c r="B10652" t="s">
        <v>15</v>
      </c>
      <c r="C10652" t="s">
        <v>15</v>
      </c>
      <c r="D10652" t="s">
        <v>34</v>
      </c>
      <c r="E10652" t="s">
        <v>15</v>
      </c>
      <c r="F10652" t="s">
        <v>15</v>
      </c>
      <c r="G10652" s="2">
        <f>VALUE(924.53)</f>
        <v>924.53</v>
      </c>
      <c r="H10652" s="3">
        <f>VALUE(729.42)</f>
        <v>729.42</v>
      </c>
      <c r="I10652" s="1">
        <f>VALUE(3071)</f>
        <v>3071</v>
      </c>
      <c r="J10652" s="1">
        <f>VALUE(3618)</f>
        <v>3618</v>
      </c>
      <c r="K10652" s="6">
        <f>VALUE(4331)</f>
        <v>4331</v>
      </c>
      <c r="L10652" s="1">
        <f>VALUE(5377)</f>
        <v>5377</v>
      </c>
      <c r="M10652" s="8">
        <f>VALUE(6277)</f>
        <v>6277</v>
      </c>
      <c r="N10652" t="s">
        <v>25</v>
      </c>
    </row>
    <row r="10653" spans="1:14" x14ac:dyDescent="0.25">
      <c r="A10653" t="s">
        <v>44</v>
      </c>
      <c r="B10653" t="s">
        <v>15</v>
      </c>
      <c r="C10653" t="s">
        <v>15</v>
      </c>
      <c r="D10653" t="s">
        <v>34</v>
      </c>
      <c r="E10653" t="s">
        <v>15</v>
      </c>
      <c r="F10653" t="s">
        <v>17</v>
      </c>
      <c r="G10653" s="1" t="str">
        <f t="shared" ref="G10653:M10655" si="2380">"X"</f>
        <v>X</v>
      </c>
      <c r="H10653" s="1" t="str">
        <f t="shared" si="2380"/>
        <v>X</v>
      </c>
      <c r="I10653" s="1" t="str">
        <f t="shared" si="2380"/>
        <v>X</v>
      </c>
      <c r="J10653" s="1" t="str">
        <f t="shared" si="2380"/>
        <v>X</v>
      </c>
      <c r="K10653" s="1" t="str">
        <f t="shared" si="2380"/>
        <v>X</v>
      </c>
      <c r="L10653" s="1" t="str">
        <f t="shared" si="2380"/>
        <v>X</v>
      </c>
      <c r="M10653" s="1" t="str">
        <f t="shared" si="2380"/>
        <v>X</v>
      </c>
      <c r="N10653" t="s">
        <v>27</v>
      </c>
    </row>
    <row r="10654" spans="1:14" x14ac:dyDescent="0.25">
      <c r="A10654" t="s">
        <v>44</v>
      </c>
      <c r="B10654" t="s">
        <v>15</v>
      </c>
      <c r="C10654" t="s">
        <v>15</v>
      </c>
      <c r="D10654" t="s">
        <v>34</v>
      </c>
      <c r="E10654" t="s">
        <v>15</v>
      </c>
      <c r="F10654" t="s">
        <v>18</v>
      </c>
      <c r="G10654" s="1" t="str">
        <f t="shared" si="2380"/>
        <v>X</v>
      </c>
      <c r="H10654" s="1" t="str">
        <f t="shared" si="2380"/>
        <v>X</v>
      </c>
      <c r="I10654" s="1" t="str">
        <f t="shared" si="2380"/>
        <v>X</v>
      </c>
      <c r="J10654" s="1" t="str">
        <f t="shared" si="2380"/>
        <v>X</v>
      </c>
      <c r="K10654" s="1" t="str">
        <f t="shared" si="2380"/>
        <v>X</v>
      </c>
      <c r="L10654" s="1" t="str">
        <f t="shared" si="2380"/>
        <v>X</v>
      </c>
      <c r="M10654" s="1" t="str">
        <f t="shared" si="2380"/>
        <v>X</v>
      </c>
      <c r="N10654" t="s">
        <v>27</v>
      </c>
    </row>
    <row r="10655" spans="1:14" x14ac:dyDescent="0.25">
      <c r="A10655" t="s">
        <v>44</v>
      </c>
      <c r="B10655" t="s">
        <v>15</v>
      </c>
      <c r="C10655" t="s">
        <v>15</v>
      </c>
      <c r="D10655" t="s">
        <v>34</v>
      </c>
      <c r="E10655" t="s">
        <v>15</v>
      </c>
      <c r="F10655" t="s">
        <v>19</v>
      </c>
      <c r="G10655" s="1" t="str">
        <f t="shared" si="2380"/>
        <v>X</v>
      </c>
      <c r="H10655" s="1" t="str">
        <f t="shared" si="2380"/>
        <v>X</v>
      </c>
      <c r="I10655" s="1" t="str">
        <f t="shared" si="2380"/>
        <v>X</v>
      </c>
      <c r="J10655" s="1" t="str">
        <f t="shared" si="2380"/>
        <v>X</v>
      </c>
      <c r="K10655" s="1" t="str">
        <f t="shared" si="2380"/>
        <v>X</v>
      </c>
      <c r="L10655" s="1" t="str">
        <f t="shared" si="2380"/>
        <v>X</v>
      </c>
      <c r="M10655" s="1" t="str">
        <f t="shared" si="2380"/>
        <v>X</v>
      </c>
      <c r="N10655" t="s">
        <v>27</v>
      </c>
    </row>
    <row r="10656" spans="1:14" x14ac:dyDescent="0.25">
      <c r="A10656" t="s">
        <v>44</v>
      </c>
      <c r="B10656" t="s">
        <v>15</v>
      </c>
      <c r="C10656" t="s">
        <v>15</v>
      </c>
      <c r="D10656" t="s">
        <v>34</v>
      </c>
      <c r="E10656" t="s">
        <v>15</v>
      </c>
      <c r="F10656" t="s">
        <v>20</v>
      </c>
      <c r="G10656" s="2">
        <f>VALUE(719.43)</f>
        <v>719.43</v>
      </c>
      <c r="H10656" s="3">
        <f>VALUE(566.54)</f>
        <v>566.54</v>
      </c>
      <c r="I10656" s="1">
        <f>VALUE(3071)</f>
        <v>3071</v>
      </c>
      <c r="J10656" s="1">
        <f>VALUE(3565)</f>
        <v>3565</v>
      </c>
      <c r="K10656" s="1">
        <f>VALUE(4305)</f>
        <v>4305</v>
      </c>
      <c r="L10656" s="7">
        <f>VALUE(4978)</f>
        <v>4978</v>
      </c>
      <c r="M10656" s="8">
        <f>VALUE(5711)</f>
        <v>5711</v>
      </c>
      <c r="N10656" t="s">
        <v>25</v>
      </c>
    </row>
    <row r="10657" spans="1:14" x14ac:dyDescent="0.25">
      <c r="A10657" t="s">
        <v>44</v>
      </c>
      <c r="B10657" t="s">
        <v>15</v>
      </c>
      <c r="C10657" t="s">
        <v>15</v>
      </c>
      <c r="D10657" t="s">
        <v>34</v>
      </c>
      <c r="E10657" t="s">
        <v>21</v>
      </c>
      <c r="F10657" t="s">
        <v>15</v>
      </c>
      <c r="G10657" s="2">
        <f>VALUE(235.63)</f>
        <v>235.63</v>
      </c>
      <c r="H10657" s="3">
        <f>VALUE(192.86)</f>
        <v>192.86</v>
      </c>
      <c r="I10657" s="1">
        <f>VALUE(3670)</f>
        <v>3670</v>
      </c>
      <c r="J10657" s="5">
        <f>VALUE(4547)</f>
        <v>4547</v>
      </c>
      <c r="K10657" s="1">
        <f>VALUE(5095)</f>
        <v>5095</v>
      </c>
      <c r="L10657" s="7">
        <f>VALUE(5553)</f>
        <v>5553</v>
      </c>
      <c r="M10657" s="8">
        <f>VALUE(7165)</f>
        <v>7165</v>
      </c>
      <c r="N10657" t="s">
        <v>25</v>
      </c>
    </row>
    <row r="10658" spans="1:14" x14ac:dyDescent="0.25">
      <c r="A10658" t="s">
        <v>44</v>
      </c>
      <c r="B10658" t="s">
        <v>15</v>
      </c>
      <c r="C10658" t="s">
        <v>15</v>
      </c>
      <c r="D10658" t="s">
        <v>34</v>
      </c>
      <c r="E10658" t="s">
        <v>21</v>
      </c>
      <c r="F10658" t="s">
        <v>17</v>
      </c>
      <c r="G10658" s="1" t="str">
        <f t="shared" ref="G10658:M10661" si="2381">"X"</f>
        <v>X</v>
      </c>
      <c r="H10658" s="1" t="str">
        <f t="shared" si="2381"/>
        <v>X</v>
      </c>
      <c r="I10658" s="1" t="str">
        <f t="shared" si="2381"/>
        <v>X</v>
      </c>
      <c r="J10658" s="1" t="str">
        <f t="shared" si="2381"/>
        <v>X</v>
      </c>
      <c r="K10658" s="1" t="str">
        <f t="shared" si="2381"/>
        <v>X</v>
      </c>
      <c r="L10658" s="1" t="str">
        <f t="shared" si="2381"/>
        <v>X</v>
      </c>
      <c r="M10658" s="1" t="str">
        <f t="shared" si="2381"/>
        <v>X</v>
      </c>
      <c r="N10658" t="s">
        <v>27</v>
      </c>
    </row>
    <row r="10659" spans="1:14" x14ac:dyDescent="0.25">
      <c r="A10659" t="s">
        <v>44</v>
      </c>
      <c r="B10659" t="s">
        <v>15</v>
      </c>
      <c r="C10659" t="s">
        <v>15</v>
      </c>
      <c r="D10659" t="s">
        <v>34</v>
      </c>
      <c r="E10659" t="s">
        <v>21</v>
      </c>
      <c r="F10659" t="s">
        <v>18</v>
      </c>
      <c r="G10659" s="1" t="str">
        <f t="shared" si="2381"/>
        <v>X</v>
      </c>
      <c r="H10659" s="1" t="str">
        <f t="shared" si="2381"/>
        <v>X</v>
      </c>
      <c r="I10659" s="1" t="str">
        <f t="shared" si="2381"/>
        <v>X</v>
      </c>
      <c r="J10659" s="1" t="str">
        <f t="shared" si="2381"/>
        <v>X</v>
      </c>
      <c r="K10659" s="1" t="str">
        <f t="shared" si="2381"/>
        <v>X</v>
      </c>
      <c r="L10659" s="1" t="str">
        <f t="shared" si="2381"/>
        <v>X</v>
      </c>
      <c r="M10659" s="1" t="str">
        <f t="shared" si="2381"/>
        <v>X</v>
      </c>
      <c r="N10659" t="s">
        <v>27</v>
      </c>
    </row>
    <row r="10660" spans="1:14" x14ac:dyDescent="0.25">
      <c r="A10660" t="s">
        <v>44</v>
      </c>
      <c r="B10660" t="s">
        <v>15</v>
      </c>
      <c r="C10660" t="s">
        <v>15</v>
      </c>
      <c r="D10660" t="s">
        <v>34</v>
      </c>
      <c r="E10660" t="s">
        <v>21</v>
      </c>
      <c r="F10660" t="s">
        <v>19</v>
      </c>
      <c r="G10660" s="1" t="str">
        <f t="shared" si="2381"/>
        <v>X</v>
      </c>
      <c r="H10660" s="1" t="str">
        <f t="shared" si="2381"/>
        <v>X</v>
      </c>
      <c r="I10660" s="1" t="str">
        <f t="shared" si="2381"/>
        <v>X</v>
      </c>
      <c r="J10660" s="1" t="str">
        <f t="shared" si="2381"/>
        <v>X</v>
      </c>
      <c r="K10660" s="1" t="str">
        <f t="shared" si="2381"/>
        <v>X</v>
      </c>
      <c r="L10660" s="1" t="str">
        <f t="shared" si="2381"/>
        <v>X</v>
      </c>
      <c r="M10660" s="1" t="str">
        <f t="shared" si="2381"/>
        <v>X</v>
      </c>
      <c r="N10660" t="s">
        <v>27</v>
      </c>
    </row>
    <row r="10661" spans="1:14" x14ac:dyDescent="0.25">
      <c r="A10661" t="s">
        <v>44</v>
      </c>
      <c r="B10661" t="s">
        <v>15</v>
      </c>
      <c r="C10661" t="s">
        <v>15</v>
      </c>
      <c r="D10661" t="s">
        <v>34</v>
      </c>
      <c r="E10661" t="s">
        <v>21</v>
      </c>
      <c r="F10661" t="s">
        <v>20</v>
      </c>
      <c r="G10661" s="1" t="str">
        <f t="shared" si="2381"/>
        <v>X</v>
      </c>
      <c r="H10661" s="1" t="str">
        <f t="shared" si="2381"/>
        <v>X</v>
      </c>
      <c r="I10661" s="1" t="str">
        <f t="shared" si="2381"/>
        <v>X</v>
      </c>
      <c r="J10661" s="1" t="str">
        <f t="shared" si="2381"/>
        <v>X</v>
      </c>
      <c r="K10661" s="1" t="str">
        <f t="shared" si="2381"/>
        <v>X</v>
      </c>
      <c r="L10661" s="1" t="str">
        <f t="shared" si="2381"/>
        <v>X</v>
      </c>
      <c r="M10661" s="1" t="str">
        <f t="shared" si="2381"/>
        <v>X</v>
      </c>
      <c r="N10661" t="s">
        <v>27</v>
      </c>
    </row>
    <row r="10662" spans="1:14" x14ac:dyDescent="0.25">
      <c r="A10662" t="s">
        <v>44</v>
      </c>
      <c r="B10662" t="s">
        <v>15</v>
      </c>
      <c r="C10662" t="s">
        <v>15</v>
      </c>
      <c r="D10662" t="s">
        <v>34</v>
      </c>
      <c r="E10662" t="s">
        <v>22</v>
      </c>
      <c r="F10662" t="s">
        <v>15</v>
      </c>
      <c r="G10662" s="2">
        <f>VALUE(256.16)</f>
        <v>256.16000000000003</v>
      </c>
      <c r="H10662" s="3">
        <f>VALUE(207.5)</f>
        <v>207.5</v>
      </c>
      <c r="I10662" s="4">
        <f>VALUE(2611)</f>
        <v>2611</v>
      </c>
      <c r="J10662" s="1">
        <f>VALUE(3968)</f>
        <v>3968</v>
      </c>
      <c r="K10662" s="1">
        <f>VALUE(4964)</f>
        <v>4964</v>
      </c>
      <c r="L10662" s="1">
        <f>VALUE(5580)</f>
        <v>5580</v>
      </c>
      <c r="M10662" s="8">
        <f>VALUE(6774)</f>
        <v>6774</v>
      </c>
      <c r="N10662" t="s">
        <v>25</v>
      </c>
    </row>
    <row r="10663" spans="1:14" x14ac:dyDescent="0.25">
      <c r="A10663" t="s">
        <v>44</v>
      </c>
      <c r="B10663" t="s">
        <v>15</v>
      </c>
      <c r="C10663" t="s">
        <v>15</v>
      </c>
      <c r="D10663" t="s">
        <v>34</v>
      </c>
      <c r="E10663" t="s">
        <v>22</v>
      </c>
      <c r="F10663" t="s">
        <v>17</v>
      </c>
      <c r="G10663" s="1" t="str">
        <f t="shared" ref="G10663:M10666" si="2382">"X"</f>
        <v>X</v>
      </c>
      <c r="H10663" s="1" t="str">
        <f t="shared" si="2382"/>
        <v>X</v>
      </c>
      <c r="I10663" s="1" t="str">
        <f t="shared" si="2382"/>
        <v>X</v>
      </c>
      <c r="J10663" s="1" t="str">
        <f t="shared" si="2382"/>
        <v>X</v>
      </c>
      <c r="K10663" s="1" t="str">
        <f t="shared" si="2382"/>
        <v>X</v>
      </c>
      <c r="L10663" s="1" t="str">
        <f t="shared" si="2382"/>
        <v>X</v>
      </c>
      <c r="M10663" s="1" t="str">
        <f t="shared" si="2382"/>
        <v>X</v>
      </c>
      <c r="N10663" t="s">
        <v>27</v>
      </c>
    </row>
    <row r="10664" spans="1:14" x14ac:dyDescent="0.25">
      <c r="A10664" t="s">
        <v>44</v>
      </c>
      <c r="B10664" t="s">
        <v>15</v>
      </c>
      <c r="C10664" t="s">
        <v>15</v>
      </c>
      <c r="D10664" t="s">
        <v>34</v>
      </c>
      <c r="E10664" t="s">
        <v>22</v>
      </c>
      <c r="F10664" t="s">
        <v>18</v>
      </c>
      <c r="G10664" s="1" t="str">
        <f t="shared" si="2382"/>
        <v>X</v>
      </c>
      <c r="H10664" s="1" t="str">
        <f t="shared" si="2382"/>
        <v>X</v>
      </c>
      <c r="I10664" s="1" t="str">
        <f t="shared" si="2382"/>
        <v>X</v>
      </c>
      <c r="J10664" s="1" t="str">
        <f t="shared" si="2382"/>
        <v>X</v>
      </c>
      <c r="K10664" s="1" t="str">
        <f t="shared" si="2382"/>
        <v>X</v>
      </c>
      <c r="L10664" s="1" t="str">
        <f t="shared" si="2382"/>
        <v>X</v>
      </c>
      <c r="M10664" s="1" t="str">
        <f t="shared" si="2382"/>
        <v>X</v>
      </c>
      <c r="N10664" t="s">
        <v>27</v>
      </c>
    </row>
    <row r="10665" spans="1:14" x14ac:dyDescent="0.25">
      <c r="A10665" t="s">
        <v>44</v>
      </c>
      <c r="B10665" t="s">
        <v>15</v>
      </c>
      <c r="C10665" t="s">
        <v>15</v>
      </c>
      <c r="D10665" t="s">
        <v>34</v>
      </c>
      <c r="E10665" t="s">
        <v>22</v>
      </c>
      <c r="F10665" t="s">
        <v>19</v>
      </c>
      <c r="G10665" s="1" t="str">
        <f t="shared" si="2382"/>
        <v>X</v>
      </c>
      <c r="H10665" s="1" t="str">
        <f t="shared" si="2382"/>
        <v>X</v>
      </c>
      <c r="I10665" s="1" t="str">
        <f t="shared" si="2382"/>
        <v>X</v>
      </c>
      <c r="J10665" s="1" t="str">
        <f t="shared" si="2382"/>
        <v>X</v>
      </c>
      <c r="K10665" s="1" t="str">
        <f t="shared" si="2382"/>
        <v>X</v>
      </c>
      <c r="L10665" s="1" t="str">
        <f t="shared" si="2382"/>
        <v>X</v>
      </c>
      <c r="M10665" s="1" t="str">
        <f t="shared" si="2382"/>
        <v>X</v>
      </c>
      <c r="N10665" t="s">
        <v>27</v>
      </c>
    </row>
    <row r="10666" spans="1:14" x14ac:dyDescent="0.25">
      <c r="A10666" t="s">
        <v>44</v>
      </c>
      <c r="B10666" t="s">
        <v>15</v>
      </c>
      <c r="C10666" t="s">
        <v>15</v>
      </c>
      <c r="D10666" t="s">
        <v>34</v>
      </c>
      <c r="E10666" t="s">
        <v>22</v>
      </c>
      <c r="F10666" t="s">
        <v>20</v>
      </c>
      <c r="G10666" s="1" t="str">
        <f t="shared" si="2382"/>
        <v>X</v>
      </c>
      <c r="H10666" s="1" t="str">
        <f t="shared" si="2382"/>
        <v>X</v>
      </c>
      <c r="I10666" s="1" t="str">
        <f t="shared" si="2382"/>
        <v>X</v>
      </c>
      <c r="J10666" s="1" t="str">
        <f t="shared" si="2382"/>
        <v>X</v>
      </c>
      <c r="K10666" s="1" t="str">
        <f t="shared" si="2382"/>
        <v>X</v>
      </c>
      <c r="L10666" s="1" t="str">
        <f t="shared" si="2382"/>
        <v>X</v>
      </c>
      <c r="M10666" s="1" t="str">
        <f t="shared" si="2382"/>
        <v>X</v>
      </c>
      <c r="N10666" t="s">
        <v>27</v>
      </c>
    </row>
    <row r="10667" spans="1:14" x14ac:dyDescent="0.25">
      <c r="A10667" t="s">
        <v>44</v>
      </c>
      <c r="B10667" t="s">
        <v>15</v>
      </c>
      <c r="C10667" t="s">
        <v>15</v>
      </c>
      <c r="D10667" t="s">
        <v>34</v>
      </c>
      <c r="E10667" t="s">
        <v>23</v>
      </c>
      <c r="F10667" t="s">
        <v>15</v>
      </c>
      <c r="G10667" s="2">
        <f>VALUE(432.74)</f>
        <v>432.74</v>
      </c>
      <c r="H10667" s="3">
        <f>VALUE(329.06)</f>
        <v>329.06</v>
      </c>
      <c r="I10667" s="1">
        <f>VALUE(3071)</f>
        <v>3071</v>
      </c>
      <c r="J10667" s="1">
        <f>VALUE(3438)</f>
        <v>3438</v>
      </c>
      <c r="K10667" s="6">
        <f>VALUE(3996)</f>
        <v>3996</v>
      </c>
      <c r="L10667" s="7">
        <f>VALUE(4323)</f>
        <v>4323</v>
      </c>
      <c r="M10667" s="8">
        <f>VALUE(5095)</f>
        <v>5095</v>
      </c>
      <c r="N10667" t="s">
        <v>25</v>
      </c>
    </row>
    <row r="10668" spans="1:14" x14ac:dyDescent="0.25">
      <c r="A10668" t="s">
        <v>44</v>
      </c>
      <c r="B10668" t="s">
        <v>15</v>
      </c>
      <c r="C10668" t="s">
        <v>15</v>
      </c>
      <c r="D10668" t="s">
        <v>34</v>
      </c>
      <c r="E10668" t="s">
        <v>23</v>
      </c>
      <c r="F10668" t="s">
        <v>17</v>
      </c>
      <c r="G10668" s="1" t="str">
        <f t="shared" ref="G10668:M10670" si="2383">"X"</f>
        <v>X</v>
      </c>
      <c r="H10668" s="1" t="str">
        <f t="shared" si="2383"/>
        <v>X</v>
      </c>
      <c r="I10668" s="1" t="str">
        <f t="shared" si="2383"/>
        <v>X</v>
      </c>
      <c r="J10668" s="1" t="str">
        <f t="shared" si="2383"/>
        <v>X</v>
      </c>
      <c r="K10668" s="1" t="str">
        <f t="shared" si="2383"/>
        <v>X</v>
      </c>
      <c r="L10668" s="1" t="str">
        <f t="shared" si="2383"/>
        <v>X</v>
      </c>
      <c r="M10668" s="1" t="str">
        <f t="shared" si="2383"/>
        <v>X</v>
      </c>
      <c r="N10668" t="s">
        <v>27</v>
      </c>
    </row>
    <row r="10669" spans="1:14" x14ac:dyDescent="0.25">
      <c r="A10669" t="s">
        <v>44</v>
      </c>
      <c r="B10669" t="s">
        <v>15</v>
      </c>
      <c r="C10669" t="s">
        <v>15</v>
      </c>
      <c r="D10669" t="s">
        <v>34</v>
      </c>
      <c r="E10669" t="s">
        <v>23</v>
      </c>
      <c r="F10669" t="s">
        <v>18</v>
      </c>
      <c r="G10669" s="1" t="str">
        <f t="shared" si="2383"/>
        <v>X</v>
      </c>
      <c r="H10669" s="1" t="str">
        <f t="shared" si="2383"/>
        <v>X</v>
      </c>
      <c r="I10669" s="1" t="str">
        <f t="shared" si="2383"/>
        <v>X</v>
      </c>
      <c r="J10669" s="1" t="str">
        <f t="shared" si="2383"/>
        <v>X</v>
      </c>
      <c r="K10669" s="1" t="str">
        <f t="shared" si="2383"/>
        <v>X</v>
      </c>
      <c r="L10669" s="1" t="str">
        <f t="shared" si="2383"/>
        <v>X</v>
      </c>
      <c r="M10669" s="1" t="str">
        <f t="shared" si="2383"/>
        <v>X</v>
      </c>
      <c r="N10669" t="s">
        <v>27</v>
      </c>
    </row>
    <row r="10670" spans="1:14" x14ac:dyDescent="0.25">
      <c r="A10670" t="s">
        <v>44</v>
      </c>
      <c r="B10670" t="s">
        <v>15</v>
      </c>
      <c r="C10670" t="s">
        <v>15</v>
      </c>
      <c r="D10670" t="s">
        <v>34</v>
      </c>
      <c r="E10670" t="s">
        <v>23</v>
      </c>
      <c r="F10670" t="s">
        <v>19</v>
      </c>
      <c r="G10670" s="1" t="str">
        <f t="shared" si="2383"/>
        <v>X</v>
      </c>
      <c r="H10670" s="1" t="str">
        <f t="shared" si="2383"/>
        <v>X</v>
      </c>
      <c r="I10670" s="1" t="str">
        <f t="shared" si="2383"/>
        <v>X</v>
      </c>
      <c r="J10670" s="1" t="str">
        <f t="shared" si="2383"/>
        <v>X</v>
      </c>
      <c r="K10670" s="1" t="str">
        <f t="shared" si="2383"/>
        <v>X</v>
      </c>
      <c r="L10670" s="1" t="str">
        <f t="shared" si="2383"/>
        <v>X</v>
      </c>
      <c r="M10670" s="1" t="str">
        <f t="shared" si="2383"/>
        <v>X</v>
      </c>
      <c r="N10670" t="s">
        <v>27</v>
      </c>
    </row>
    <row r="10671" spans="1:14" x14ac:dyDescent="0.25">
      <c r="A10671" t="s">
        <v>44</v>
      </c>
      <c r="B10671" t="s">
        <v>15</v>
      </c>
      <c r="C10671" t="s">
        <v>15</v>
      </c>
      <c r="D10671" t="s">
        <v>34</v>
      </c>
      <c r="E10671" t="s">
        <v>23</v>
      </c>
      <c r="F10671" t="s">
        <v>20</v>
      </c>
      <c r="G10671" s="2">
        <f>VALUE(405.37)</f>
        <v>405.37</v>
      </c>
      <c r="H10671" s="3">
        <f>VALUE(307.68)</f>
        <v>307.68</v>
      </c>
      <c r="I10671" s="1">
        <f>VALUE(3049)</f>
        <v>3049</v>
      </c>
      <c r="J10671" s="1">
        <f>VALUE(3422)</f>
        <v>3422</v>
      </c>
      <c r="K10671" s="1">
        <f>VALUE(3950)</f>
        <v>3950</v>
      </c>
      <c r="L10671" s="7">
        <f>VALUE(4323)</f>
        <v>4323</v>
      </c>
      <c r="M10671" s="8">
        <f>VALUE(5095)</f>
        <v>5095</v>
      </c>
      <c r="N10671" t="s">
        <v>25</v>
      </c>
    </row>
    <row r="10672" spans="1:14" x14ac:dyDescent="0.25">
      <c r="A10672" t="s">
        <v>44</v>
      </c>
      <c r="B10672" t="s">
        <v>15</v>
      </c>
      <c r="C10672" t="s">
        <v>15</v>
      </c>
      <c r="D10672" t="s">
        <v>34</v>
      </c>
      <c r="E10672" t="s">
        <v>26</v>
      </c>
      <c r="F10672" t="s">
        <v>15</v>
      </c>
      <c r="G10672" s="1" t="str">
        <f t="shared" ref="G10672:M10676" si="2384">"..."</f>
        <v>...</v>
      </c>
      <c r="H10672" s="1" t="str">
        <f t="shared" si="2384"/>
        <v>...</v>
      </c>
      <c r="I10672" s="1" t="str">
        <f t="shared" si="2384"/>
        <v>...</v>
      </c>
      <c r="J10672" s="1" t="str">
        <f t="shared" si="2384"/>
        <v>...</v>
      </c>
      <c r="K10672" s="1" t="str">
        <f t="shared" si="2384"/>
        <v>...</v>
      </c>
      <c r="L10672" s="1" t="str">
        <f t="shared" si="2384"/>
        <v>...</v>
      </c>
      <c r="M10672" s="1" t="str">
        <f t="shared" si="2384"/>
        <v>...</v>
      </c>
      <c r="N10672" t="s">
        <v>30</v>
      </c>
    </row>
    <row r="10673" spans="1:14" x14ac:dyDescent="0.25">
      <c r="A10673" t="s">
        <v>44</v>
      </c>
      <c r="B10673" t="s">
        <v>15</v>
      </c>
      <c r="C10673" t="s">
        <v>15</v>
      </c>
      <c r="D10673" t="s">
        <v>34</v>
      </c>
      <c r="E10673" t="s">
        <v>26</v>
      </c>
      <c r="F10673" t="s">
        <v>17</v>
      </c>
      <c r="G10673" s="1" t="str">
        <f t="shared" si="2384"/>
        <v>...</v>
      </c>
      <c r="H10673" s="1" t="str">
        <f t="shared" si="2384"/>
        <v>...</v>
      </c>
      <c r="I10673" s="1" t="str">
        <f t="shared" si="2384"/>
        <v>...</v>
      </c>
      <c r="J10673" s="1" t="str">
        <f t="shared" si="2384"/>
        <v>...</v>
      </c>
      <c r="K10673" s="1" t="str">
        <f t="shared" si="2384"/>
        <v>...</v>
      </c>
      <c r="L10673" s="1" t="str">
        <f t="shared" si="2384"/>
        <v>...</v>
      </c>
      <c r="M10673" s="1" t="str">
        <f t="shared" si="2384"/>
        <v>...</v>
      </c>
      <c r="N10673" t="s">
        <v>30</v>
      </c>
    </row>
    <row r="10674" spans="1:14" x14ac:dyDescent="0.25">
      <c r="A10674" t="s">
        <v>44</v>
      </c>
      <c r="B10674" t="s">
        <v>15</v>
      </c>
      <c r="C10674" t="s">
        <v>15</v>
      </c>
      <c r="D10674" t="s">
        <v>34</v>
      </c>
      <c r="E10674" t="s">
        <v>26</v>
      </c>
      <c r="F10674" t="s">
        <v>18</v>
      </c>
      <c r="G10674" s="1" t="str">
        <f t="shared" si="2384"/>
        <v>...</v>
      </c>
      <c r="H10674" s="1" t="str">
        <f t="shared" si="2384"/>
        <v>...</v>
      </c>
      <c r="I10674" s="1" t="str">
        <f t="shared" si="2384"/>
        <v>...</v>
      </c>
      <c r="J10674" s="1" t="str">
        <f t="shared" si="2384"/>
        <v>...</v>
      </c>
      <c r="K10674" s="1" t="str">
        <f t="shared" si="2384"/>
        <v>...</v>
      </c>
      <c r="L10674" s="1" t="str">
        <f t="shared" si="2384"/>
        <v>...</v>
      </c>
      <c r="M10674" s="1" t="str">
        <f t="shared" si="2384"/>
        <v>...</v>
      </c>
      <c r="N10674" t="s">
        <v>30</v>
      </c>
    </row>
    <row r="10675" spans="1:14" x14ac:dyDescent="0.25">
      <c r="A10675" t="s">
        <v>44</v>
      </c>
      <c r="B10675" t="s">
        <v>15</v>
      </c>
      <c r="C10675" t="s">
        <v>15</v>
      </c>
      <c r="D10675" t="s">
        <v>34</v>
      </c>
      <c r="E10675" t="s">
        <v>26</v>
      </c>
      <c r="F10675" t="s">
        <v>19</v>
      </c>
      <c r="G10675" s="1" t="str">
        <f t="shared" si="2384"/>
        <v>...</v>
      </c>
      <c r="H10675" s="1" t="str">
        <f t="shared" si="2384"/>
        <v>...</v>
      </c>
      <c r="I10675" s="1" t="str">
        <f t="shared" si="2384"/>
        <v>...</v>
      </c>
      <c r="J10675" s="1" t="str">
        <f t="shared" si="2384"/>
        <v>...</v>
      </c>
      <c r="K10675" s="1" t="str">
        <f t="shared" si="2384"/>
        <v>...</v>
      </c>
      <c r="L10675" s="1" t="str">
        <f t="shared" si="2384"/>
        <v>...</v>
      </c>
      <c r="M10675" s="1" t="str">
        <f t="shared" si="2384"/>
        <v>...</v>
      </c>
      <c r="N10675" t="s">
        <v>30</v>
      </c>
    </row>
    <row r="10676" spans="1:14" x14ac:dyDescent="0.25">
      <c r="A10676" t="s">
        <v>44</v>
      </c>
      <c r="B10676" t="s">
        <v>15</v>
      </c>
      <c r="C10676" t="s">
        <v>15</v>
      </c>
      <c r="D10676" t="s">
        <v>34</v>
      </c>
      <c r="E10676" t="s">
        <v>26</v>
      </c>
      <c r="F10676" t="s">
        <v>20</v>
      </c>
      <c r="G10676" s="1" t="str">
        <f t="shared" si="2384"/>
        <v>...</v>
      </c>
      <c r="H10676" s="1" t="str">
        <f t="shared" si="2384"/>
        <v>...</v>
      </c>
      <c r="I10676" s="1" t="str">
        <f t="shared" si="2384"/>
        <v>...</v>
      </c>
      <c r="J10676" s="1" t="str">
        <f t="shared" si="2384"/>
        <v>...</v>
      </c>
      <c r="K10676" s="1" t="str">
        <f t="shared" si="2384"/>
        <v>...</v>
      </c>
      <c r="L10676" s="1" t="str">
        <f t="shared" si="2384"/>
        <v>...</v>
      </c>
      <c r="M10676" s="1" t="str">
        <f t="shared" si="2384"/>
        <v>...</v>
      </c>
      <c r="N10676" t="s">
        <v>30</v>
      </c>
    </row>
    <row r="10677" spans="1:14" x14ac:dyDescent="0.25">
      <c r="A10677" t="s">
        <v>44</v>
      </c>
      <c r="B10677" t="s">
        <v>15</v>
      </c>
      <c r="C10677" t="s">
        <v>35</v>
      </c>
      <c r="D10677" t="s">
        <v>15</v>
      </c>
      <c r="E10677" t="s">
        <v>15</v>
      </c>
      <c r="F10677" t="s">
        <v>15</v>
      </c>
      <c r="G10677" s="1">
        <f>VALUE(5313.1)</f>
        <v>5313.1</v>
      </c>
      <c r="H10677" s="1">
        <f>VALUE(4515.14)</f>
        <v>4515.1400000000003</v>
      </c>
      <c r="I10677" s="1">
        <f>VALUE(2969)</f>
        <v>2969</v>
      </c>
      <c r="J10677" s="1">
        <f>VALUE(3426)</f>
        <v>3426</v>
      </c>
      <c r="K10677" s="1">
        <f>VALUE(3923)</f>
        <v>3923</v>
      </c>
      <c r="L10677" s="1">
        <f>VALUE(4602)</f>
        <v>4602</v>
      </c>
      <c r="M10677" s="1">
        <f>VALUE(5394)</f>
        <v>5394</v>
      </c>
      <c r="N10677" t="s">
        <v>16</v>
      </c>
    </row>
    <row r="10678" spans="1:14" x14ac:dyDescent="0.25">
      <c r="A10678" t="s">
        <v>44</v>
      </c>
      <c r="B10678" t="s">
        <v>15</v>
      </c>
      <c r="C10678" t="s">
        <v>35</v>
      </c>
      <c r="D10678" t="s">
        <v>15</v>
      </c>
      <c r="E10678" t="s">
        <v>15</v>
      </c>
      <c r="F10678" t="s">
        <v>17</v>
      </c>
      <c r="G10678" s="1" t="str">
        <f t="shared" ref="G10678:M10679" si="2385">"X"</f>
        <v>X</v>
      </c>
      <c r="H10678" s="1" t="str">
        <f t="shared" si="2385"/>
        <v>X</v>
      </c>
      <c r="I10678" s="1" t="str">
        <f t="shared" si="2385"/>
        <v>X</v>
      </c>
      <c r="J10678" s="1" t="str">
        <f t="shared" si="2385"/>
        <v>X</v>
      </c>
      <c r="K10678" s="1" t="str">
        <f t="shared" si="2385"/>
        <v>X</v>
      </c>
      <c r="L10678" s="1" t="str">
        <f t="shared" si="2385"/>
        <v>X</v>
      </c>
      <c r="M10678" s="1" t="str">
        <f t="shared" si="2385"/>
        <v>X</v>
      </c>
      <c r="N10678" t="s">
        <v>27</v>
      </c>
    </row>
    <row r="10679" spans="1:14" x14ac:dyDescent="0.25">
      <c r="A10679" t="s">
        <v>44</v>
      </c>
      <c r="B10679" t="s">
        <v>15</v>
      </c>
      <c r="C10679" t="s">
        <v>35</v>
      </c>
      <c r="D10679" t="s">
        <v>15</v>
      </c>
      <c r="E10679" t="s">
        <v>15</v>
      </c>
      <c r="F10679" t="s">
        <v>18</v>
      </c>
      <c r="G10679" s="1" t="str">
        <f t="shared" si="2385"/>
        <v>X</v>
      </c>
      <c r="H10679" s="1" t="str">
        <f t="shared" si="2385"/>
        <v>X</v>
      </c>
      <c r="I10679" s="1" t="str">
        <f t="shared" si="2385"/>
        <v>X</v>
      </c>
      <c r="J10679" s="1" t="str">
        <f t="shared" si="2385"/>
        <v>X</v>
      </c>
      <c r="K10679" s="1" t="str">
        <f t="shared" si="2385"/>
        <v>X</v>
      </c>
      <c r="L10679" s="1" t="str">
        <f t="shared" si="2385"/>
        <v>X</v>
      </c>
      <c r="M10679" s="1" t="str">
        <f t="shared" si="2385"/>
        <v>X</v>
      </c>
      <c r="N10679" t="s">
        <v>27</v>
      </c>
    </row>
    <row r="10680" spans="1:14" x14ac:dyDescent="0.25">
      <c r="A10680" t="s">
        <v>44</v>
      </c>
      <c r="B10680" t="s">
        <v>15</v>
      </c>
      <c r="C10680" t="s">
        <v>35</v>
      </c>
      <c r="D10680" t="s">
        <v>15</v>
      </c>
      <c r="E10680" t="s">
        <v>15</v>
      </c>
      <c r="F10680" t="s">
        <v>19</v>
      </c>
      <c r="G10680" s="2">
        <f>VALUE(545.83)</f>
        <v>545.83000000000004</v>
      </c>
      <c r="H10680" s="3">
        <f>VALUE(491.2)</f>
        <v>491.2</v>
      </c>
      <c r="I10680" s="4">
        <f>VALUE(3713)</f>
        <v>3713</v>
      </c>
      <c r="J10680" s="1">
        <f>VALUE(4000)</f>
        <v>4000</v>
      </c>
      <c r="K10680" s="6">
        <f>VALUE(4341)</f>
        <v>4341</v>
      </c>
      <c r="L10680" s="1">
        <f>VALUE(4982)</f>
        <v>4982</v>
      </c>
      <c r="M10680" s="1">
        <f>VALUE(5454)</f>
        <v>5454</v>
      </c>
      <c r="N10680" t="s">
        <v>25</v>
      </c>
    </row>
    <row r="10681" spans="1:14" x14ac:dyDescent="0.25">
      <c r="A10681" t="s">
        <v>44</v>
      </c>
      <c r="B10681" t="s">
        <v>15</v>
      </c>
      <c r="C10681" t="s">
        <v>35</v>
      </c>
      <c r="D10681" t="s">
        <v>15</v>
      </c>
      <c r="E10681" t="s">
        <v>15</v>
      </c>
      <c r="F10681" t="s">
        <v>20</v>
      </c>
      <c r="G10681" s="1">
        <f>VALUE(4560.81)</f>
        <v>4560.8100000000004</v>
      </c>
      <c r="H10681" s="1">
        <f>VALUE(3834.41)</f>
        <v>3834.41</v>
      </c>
      <c r="I10681" s="4">
        <f>VALUE(2930)</f>
        <v>2930</v>
      </c>
      <c r="J10681" s="1">
        <f>VALUE(3380)</f>
        <v>3380</v>
      </c>
      <c r="K10681" s="1">
        <f>VALUE(3816)</f>
        <v>3816</v>
      </c>
      <c r="L10681" s="1">
        <f>VALUE(4485)</f>
        <v>4485</v>
      </c>
      <c r="M10681" s="1">
        <f>VALUE(5303)</f>
        <v>5303</v>
      </c>
      <c r="N10681" t="s">
        <v>25</v>
      </c>
    </row>
    <row r="10682" spans="1:14" x14ac:dyDescent="0.25">
      <c r="A10682" t="s">
        <v>44</v>
      </c>
      <c r="B10682" t="s">
        <v>15</v>
      </c>
      <c r="C10682" t="s">
        <v>35</v>
      </c>
      <c r="D10682" t="s">
        <v>15</v>
      </c>
      <c r="E10682" t="s">
        <v>21</v>
      </c>
      <c r="F10682" t="s">
        <v>15</v>
      </c>
      <c r="G10682" s="2">
        <f>VALUE(482.98)</f>
        <v>482.98</v>
      </c>
      <c r="H10682" s="3">
        <f>VALUE(417.57)</f>
        <v>417.57</v>
      </c>
      <c r="I10682" s="4">
        <f>VALUE(3396)</f>
        <v>3396</v>
      </c>
      <c r="J10682" s="1">
        <f>VALUE(4031)</f>
        <v>4031</v>
      </c>
      <c r="K10682" s="1">
        <f>VALUE(4392)</f>
        <v>4392</v>
      </c>
      <c r="L10682" s="1">
        <f>VALUE(5437)</f>
        <v>5437</v>
      </c>
      <c r="M10682" s="1">
        <f>VALUE(5930)</f>
        <v>5930</v>
      </c>
      <c r="N10682" t="s">
        <v>25</v>
      </c>
    </row>
    <row r="10683" spans="1:14" x14ac:dyDescent="0.25">
      <c r="A10683" t="s">
        <v>44</v>
      </c>
      <c r="B10683" t="s">
        <v>15</v>
      </c>
      <c r="C10683" t="s">
        <v>35</v>
      </c>
      <c r="D10683" t="s">
        <v>15</v>
      </c>
      <c r="E10683" t="s">
        <v>21</v>
      </c>
      <c r="F10683" t="s">
        <v>17</v>
      </c>
      <c r="G10683" s="1" t="str">
        <f t="shared" ref="G10683:M10685" si="2386">"X"</f>
        <v>X</v>
      </c>
      <c r="H10683" s="1" t="str">
        <f t="shared" si="2386"/>
        <v>X</v>
      </c>
      <c r="I10683" s="1" t="str">
        <f t="shared" si="2386"/>
        <v>X</v>
      </c>
      <c r="J10683" s="1" t="str">
        <f t="shared" si="2386"/>
        <v>X</v>
      </c>
      <c r="K10683" s="1" t="str">
        <f t="shared" si="2386"/>
        <v>X</v>
      </c>
      <c r="L10683" s="1" t="str">
        <f t="shared" si="2386"/>
        <v>X</v>
      </c>
      <c r="M10683" s="1" t="str">
        <f t="shared" si="2386"/>
        <v>X</v>
      </c>
      <c r="N10683" t="s">
        <v>27</v>
      </c>
    </row>
    <row r="10684" spans="1:14" x14ac:dyDescent="0.25">
      <c r="A10684" t="s">
        <v>44</v>
      </c>
      <c r="B10684" t="s">
        <v>15</v>
      </c>
      <c r="C10684" t="s">
        <v>35</v>
      </c>
      <c r="D10684" t="s">
        <v>15</v>
      </c>
      <c r="E10684" t="s">
        <v>21</v>
      </c>
      <c r="F10684" t="s">
        <v>18</v>
      </c>
      <c r="G10684" s="1" t="str">
        <f t="shared" si="2386"/>
        <v>X</v>
      </c>
      <c r="H10684" s="1" t="str">
        <f t="shared" si="2386"/>
        <v>X</v>
      </c>
      <c r="I10684" s="1" t="str">
        <f t="shared" si="2386"/>
        <v>X</v>
      </c>
      <c r="J10684" s="1" t="str">
        <f t="shared" si="2386"/>
        <v>X</v>
      </c>
      <c r="K10684" s="1" t="str">
        <f t="shared" si="2386"/>
        <v>X</v>
      </c>
      <c r="L10684" s="1" t="str">
        <f t="shared" si="2386"/>
        <v>X</v>
      </c>
      <c r="M10684" s="1" t="str">
        <f t="shared" si="2386"/>
        <v>X</v>
      </c>
      <c r="N10684" t="s">
        <v>27</v>
      </c>
    </row>
    <row r="10685" spans="1:14" x14ac:dyDescent="0.25">
      <c r="A10685" t="s">
        <v>44</v>
      </c>
      <c r="B10685" t="s">
        <v>15</v>
      </c>
      <c r="C10685" t="s">
        <v>35</v>
      </c>
      <c r="D10685" t="s">
        <v>15</v>
      </c>
      <c r="E10685" t="s">
        <v>21</v>
      </c>
      <c r="F10685" t="s">
        <v>19</v>
      </c>
      <c r="G10685" s="1" t="str">
        <f t="shared" si="2386"/>
        <v>X</v>
      </c>
      <c r="H10685" s="1" t="str">
        <f t="shared" si="2386"/>
        <v>X</v>
      </c>
      <c r="I10685" s="1" t="str">
        <f t="shared" si="2386"/>
        <v>X</v>
      </c>
      <c r="J10685" s="1" t="str">
        <f t="shared" si="2386"/>
        <v>X</v>
      </c>
      <c r="K10685" s="1" t="str">
        <f t="shared" si="2386"/>
        <v>X</v>
      </c>
      <c r="L10685" s="1" t="str">
        <f t="shared" si="2386"/>
        <v>X</v>
      </c>
      <c r="M10685" s="1" t="str">
        <f t="shared" si="2386"/>
        <v>X</v>
      </c>
      <c r="N10685" t="s">
        <v>27</v>
      </c>
    </row>
    <row r="10686" spans="1:14" x14ac:dyDescent="0.25">
      <c r="A10686" t="s">
        <v>44</v>
      </c>
      <c r="B10686" t="s">
        <v>15</v>
      </c>
      <c r="C10686" t="s">
        <v>35</v>
      </c>
      <c r="D10686" t="s">
        <v>15</v>
      </c>
      <c r="E10686" t="s">
        <v>21</v>
      </c>
      <c r="F10686" t="s">
        <v>20</v>
      </c>
      <c r="G10686" s="2">
        <f>VALUE(348.24)</f>
        <v>348.24</v>
      </c>
      <c r="H10686" s="3">
        <f>VALUE(297.84)</f>
        <v>297.83999999999997</v>
      </c>
      <c r="I10686" s="4">
        <f>VALUE(3174)</f>
        <v>3174</v>
      </c>
      <c r="J10686" s="1">
        <f>VALUE(3938)</f>
        <v>3938</v>
      </c>
      <c r="K10686" s="1">
        <f>VALUE(4383)</f>
        <v>4383</v>
      </c>
      <c r="L10686" s="1">
        <f>VALUE(5329)</f>
        <v>5329</v>
      </c>
      <c r="M10686" s="1">
        <f>VALUE(5930)</f>
        <v>5930</v>
      </c>
      <c r="N10686" t="s">
        <v>25</v>
      </c>
    </row>
    <row r="10687" spans="1:14" x14ac:dyDescent="0.25">
      <c r="A10687" t="s">
        <v>44</v>
      </c>
      <c r="B10687" t="s">
        <v>15</v>
      </c>
      <c r="C10687" t="s">
        <v>35</v>
      </c>
      <c r="D10687" t="s">
        <v>15</v>
      </c>
      <c r="E10687" t="s">
        <v>22</v>
      </c>
      <c r="F10687" t="s">
        <v>15</v>
      </c>
      <c r="G10687" s="2">
        <f>VALUE(3336.41)</f>
        <v>3336.41</v>
      </c>
      <c r="H10687" s="3">
        <f>VALUE(2956.6)</f>
        <v>2956.6</v>
      </c>
      <c r="I10687" s="1">
        <f>VALUE(3200)</f>
        <v>3200</v>
      </c>
      <c r="J10687" s="1">
        <f>VALUE(3500)</f>
        <v>3500</v>
      </c>
      <c r="K10687" s="1">
        <f>VALUE(4023)</f>
        <v>4023</v>
      </c>
      <c r="L10687" s="1">
        <f>VALUE(4602)</f>
        <v>4602</v>
      </c>
      <c r="M10687" s="1">
        <f>VALUE(5155)</f>
        <v>5155</v>
      </c>
      <c r="N10687" t="s">
        <v>25</v>
      </c>
    </row>
    <row r="10688" spans="1:14" x14ac:dyDescent="0.25">
      <c r="A10688" t="s">
        <v>44</v>
      </c>
      <c r="B10688" t="s">
        <v>15</v>
      </c>
      <c r="C10688" t="s">
        <v>35</v>
      </c>
      <c r="D10688" t="s">
        <v>15</v>
      </c>
      <c r="E10688" t="s">
        <v>22</v>
      </c>
      <c r="F10688" t="s">
        <v>17</v>
      </c>
      <c r="G10688" s="1" t="str">
        <f t="shared" ref="G10688:M10689" si="2387">"X"</f>
        <v>X</v>
      </c>
      <c r="H10688" s="1" t="str">
        <f t="shared" si="2387"/>
        <v>X</v>
      </c>
      <c r="I10688" s="1" t="str">
        <f t="shared" si="2387"/>
        <v>X</v>
      </c>
      <c r="J10688" s="1" t="str">
        <f t="shared" si="2387"/>
        <v>X</v>
      </c>
      <c r="K10688" s="1" t="str">
        <f t="shared" si="2387"/>
        <v>X</v>
      </c>
      <c r="L10688" s="1" t="str">
        <f t="shared" si="2387"/>
        <v>X</v>
      </c>
      <c r="M10688" s="1" t="str">
        <f t="shared" si="2387"/>
        <v>X</v>
      </c>
      <c r="N10688" t="s">
        <v>27</v>
      </c>
    </row>
    <row r="10689" spans="1:14" x14ac:dyDescent="0.25">
      <c r="A10689" t="s">
        <v>44</v>
      </c>
      <c r="B10689" t="s">
        <v>15</v>
      </c>
      <c r="C10689" t="s">
        <v>35</v>
      </c>
      <c r="D10689" t="s">
        <v>15</v>
      </c>
      <c r="E10689" t="s">
        <v>22</v>
      </c>
      <c r="F10689" t="s">
        <v>18</v>
      </c>
      <c r="G10689" s="1" t="str">
        <f t="shared" si="2387"/>
        <v>X</v>
      </c>
      <c r="H10689" s="1" t="str">
        <f t="shared" si="2387"/>
        <v>X</v>
      </c>
      <c r="I10689" s="1" t="str">
        <f t="shared" si="2387"/>
        <v>X</v>
      </c>
      <c r="J10689" s="1" t="str">
        <f t="shared" si="2387"/>
        <v>X</v>
      </c>
      <c r="K10689" s="1" t="str">
        <f t="shared" si="2387"/>
        <v>X</v>
      </c>
      <c r="L10689" s="1" t="str">
        <f t="shared" si="2387"/>
        <v>X</v>
      </c>
      <c r="M10689" s="1" t="str">
        <f t="shared" si="2387"/>
        <v>X</v>
      </c>
      <c r="N10689" t="s">
        <v>27</v>
      </c>
    </row>
    <row r="10690" spans="1:14" x14ac:dyDescent="0.25">
      <c r="A10690" t="s">
        <v>44</v>
      </c>
      <c r="B10690" t="s">
        <v>15</v>
      </c>
      <c r="C10690" t="s">
        <v>35</v>
      </c>
      <c r="D10690" t="s">
        <v>15</v>
      </c>
      <c r="E10690" t="s">
        <v>22</v>
      </c>
      <c r="F10690" t="s">
        <v>19</v>
      </c>
      <c r="G10690" s="2">
        <f>VALUE(469.49)</f>
        <v>469.49</v>
      </c>
      <c r="H10690" s="3">
        <f>VALUE(422.73)</f>
        <v>422.73</v>
      </c>
      <c r="I10690" s="4">
        <f>VALUE(3713)</f>
        <v>3713</v>
      </c>
      <c r="J10690" s="5">
        <f>VALUE(4043)</f>
        <v>4043</v>
      </c>
      <c r="K10690" s="6">
        <f>VALUE(4360)</f>
        <v>4360</v>
      </c>
      <c r="L10690" s="7">
        <f>VALUE(4954)</f>
        <v>4954</v>
      </c>
      <c r="M10690" s="1">
        <f>VALUE(5454)</f>
        <v>5454</v>
      </c>
      <c r="N10690" t="s">
        <v>25</v>
      </c>
    </row>
    <row r="10691" spans="1:14" x14ac:dyDescent="0.25">
      <c r="A10691" t="s">
        <v>44</v>
      </c>
      <c r="B10691" t="s">
        <v>15</v>
      </c>
      <c r="C10691" t="s">
        <v>35</v>
      </c>
      <c r="D10691" t="s">
        <v>15</v>
      </c>
      <c r="E10691" t="s">
        <v>22</v>
      </c>
      <c r="F10691" t="s">
        <v>20</v>
      </c>
      <c r="G10691" s="2">
        <f>VALUE(2767.59)</f>
        <v>2767.59</v>
      </c>
      <c r="H10691" s="3">
        <f>VALUE(2439.65)</f>
        <v>2439.65</v>
      </c>
      <c r="I10691" s="1">
        <f>VALUE(3144)</f>
        <v>3144</v>
      </c>
      <c r="J10691" s="1">
        <f>VALUE(3466)</f>
        <v>3466</v>
      </c>
      <c r="K10691" s="1">
        <f>VALUE(3913)</f>
        <v>3913</v>
      </c>
      <c r="L10691" s="1">
        <f>VALUE(4500)</f>
        <v>4500</v>
      </c>
      <c r="M10691" s="1">
        <f>VALUE(5067)</f>
        <v>5067</v>
      </c>
      <c r="N10691" t="s">
        <v>25</v>
      </c>
    </row>
    <row r="10692" spans="1:14" x14ac:dyDescent="0.25">
      <c r="A10692" t="s">
        <v>44</v>
      </c>
      <c r="B10692" t="s">
        <v>15</v>
      </c>
      <c r="C10692" t="s">
        <v>35</v>
      </c>
      <c r="D10692" t="s">
        <v>15</v>
      </c>
      <c r="E10692" t="s">
        <v>23</v>
      </c>
      <c r="F10692" t="s">
        <v>15</v>
      </c>
      <c r="G10692" s="2">
        <f>VALUE(1445.85)</f>
        <v>1445.85</v>
      </c>
      <c r="H10692" s="3">
        <f>VALUE(1101.98)</f>
        <v>1101.98</v>
      </c>
      <c r="I10692" s="1">
        <f>VALUE(2454)</f>
        <v>2454</v>
      </c>
      <c r="J10692" s="1">
        <f>VALUE(3147)</f>
        <v>3147</v>
      </c>
      <c r="K10692" s="1">
        <f>VALUE(3508)</f>
        <v>3508</v>
      </c>
      <c r="L10692" s="1">
        <f>VALUE(4120)</f>
        <v>4120</v>
      </c>
      <c r="M10692" s="8">
        <f>VALUE(6484)</f>
        <v>6484</v>
      </c>
      <c r="N10692" t="s">
        <v>25</v>
      </c>
    </row>
    <row r="10693" spans="1:14" x14ac:dyDescent="0.25">
      <c r="A10693" t="s">
        <v>44</v>
      </c>
      <c r="B10693" t="s">
        <v>15</v>
      </c>
      <c r="C10693" t="s">
        <v>35</v>
      </c>
      <c r="D10693" t="s">
        <v>15</v>
      </c>
      <c r="E10693" t="s">
        <v>23</v>
      </c>
      <c r="F10693" t="s">
        <v>17</v>
      </c>
      <c r="G10693" s="1" t="str">
        <f t="shared" ref="G10693:M10695" si="2388">"X"</f>
        <v>X</v>
      </c>
      <c r="H10693" s="1" t="str">
        <f t="shared" si="2388"/>
        <v>X</v>
      </c>
      <c r="I10693" s="1" t="str">
        <f t="shared" si="2388"/>
        <v>X</v>
      </c>
      <c r="J10693" s="1" t="str">
        <f t="shared" si="2388"/>
        <v>X</v>
      </c>
      <c r="K10693" s="1" t="str">
        <f t="shared" si="2388"/>
        <v>X</v>
      </c>
      <c r="L10693" s="1" t="str">
        <f t="shared" si="2388"/>
        <v>X</v>
      </c>
      <c r="M10693" s="1" t="str">
        <f t="shared" si="2388"/>
        <v>X</v>
      </c>
      <c r="N10693" t="s">
        <v>27</v>
      </c>
    </row>
    <row r="10694" spans="1:14" x14ac:dyDescent="0.25">
      <c r="A10694" t="s">
        <v>44</v>
      </c>
      <c r="B10694" t="s">
        <v>15</v>
      </c>
      <c r="C10694" t="s">
        <v>35</v>
      </c>
      <c r="D10694" t="s">
        <v>15</v>
      </c>
      <c r="E10694" t="s">
        <v>23</v>
      </c>
      <c r="F10694" t="s">
        <v>18</v>
      </c>
      <c r="G10694" s="1" t="str">
        <f t="shared" si="2388"/>
        <v>X</v>
      </c>
      <c r="H10694" s="1" t="str">
        <f t="shared" si="2388"/>
        <v>X</v>
      </c>
      <c r="I10694" s="1" t="str">
        <f t="shared" si="2388"/>
        <v>X</v>
      </c>
      <c r="J10694" s="1" t="str">
        <f t="shared" si="2388"/>
        <v>X</v>
      </c>
      <c r="K10694" s="1" t="str">
        <f t="shared" si="2388"/>
        <v>X</v>
      </c>
      <c r="L10694" s="1" t="str">
        <f t="shared" si="2388"/>
        <v>X</v>
      </c>
      <c r="M10694" s="1" t="str">
        <f t="shared" si="2388"/>
        <v>X</v>
      </c>
      <c r="N10694" t="s">
        <v>27</v>
      </c>
    </row>
    <row r="10695" spans="1:14" x14ac:dyDescent="0.25">
      <c r="A10695" t="s">
        <v>44</v>
      </c>
      <c r="B10695" t="s">
        <v>15</v>
      </c>
      <c r="C10695" t="s">
        <v>35</v>
      </c>
      <c r="D10695" t="s">
        <v>15</v>
      </c>
      <c r="E10695" t="s">
        <v>23</v>
      </c>
      <c r="F10695" t="s">
        <v>19</v>
      </c>
      <c r="G10695" s="1" t="str">
        <f t="shared" si="2388"/>
        <v>X</v>
      </c>
      <c r="H10695" s="1" t="str">
        <f t="shared" si="2388"/>
        <v>X</v>
      </c>
      <c r="I10695" s="1" t="str">
        <f t="shared" si="2388"/>
        <v>X</v>
      </c>
      <c r="J10695" s="1" t="str">
        <f t="shared" si="2388"/>
        <v>X</v>
      </c>
      <c r="K10695" s="1" t="str">
        <f t="shared" si="2388"/>
        <v>X</v>
      </c>
      <c r="L10695" s="1" t="str">
        <f t="shared" si="2388"/>
        <v>X</v>
      </c>
      <c r="M10695" s="1" t="str">
        <f t="shared" si="2388"/>
        <v>X</v>
      </c>
      <c r="N10695" t="s">
        <v>27</v>
      </c>
    </row>
    <row r="10696" spans="1:14" x14ac:dyDescent="0.25">
      <c r="A10696" t="s">
        <v>44</v>
      </c>
      <c r="B10696" t="s">
        <v>15</v>
      </c>
      <c r="C10696" t="s">
        <v>35</v>
      </c>
      <c r="D10696" t="s">
        <v>15</v>
      </c>
      <c r="E10696" t="s">
        <v>23</v>
      </c>
      <c r="F10696" t="s">
        <v>20</v>
      </c>
      <c r="G10696" s="2">
        <f>VALUE(1401.53)</f>
        <v>1401.53</v>
      </c>
      <c r="H10696" s="3">
        <f>VALUE(1061.72)</f>
        <v>1061.72</v>
      </c>
      <c r="I10696" s="1">
        <f>VALUE(2454)</f>
        <v>2454</v>
      </c>
      <c r="J10696" s="1">
        <f>VALUE(3147)</f>
        <v>3147</v>
      </c>
      <c r="K10696" s="1">
        <f>VALUE(3505)</f>
        <v>3505</v>
      </c>
      <c r="L10696" s="1">
        <f>VALUE(4119)</f>
        <v>4119</v>
      </c>
      <c r="M10696" s="8">
        <f>VALUE(6664)</f>
        <v>6664</v>
      </c>
      <c r="N10696" t="s">
        <v>25</v>
      </c>
    </row>
    <row r="10697" spans="1:14" x14ac:dyDescent="0.25">
      <c r="A10697" t="s">
        <v>44</v>
      </c>
      <c r="B10697" t="s">
        <v>15</v>
      </c>
      <c r="C10697" t="s">
        <v>35</v>
      </c>
      <c r="D10697" t="s">
        <v>15</v>
      </c>
      <c r="E10697" t="s">
        <v>26</v>
      </c>
      <c r="F10697" t="s">
        <v>15</v>
      </c>
      <c r="G10697" s="1" t="str">
        <f t="shared" ref="G10697:M10697" si="2389">"X"</f>
        <v>X</v>
      </c>
      <c r="H10697" s="1" t="str">
        <f t="shared" si="2389"/>
        <v>X</v>
      </c>
      <c r="I10697" s="1" t="str">
        <f t="shared" si="2389"/>
        <v>X</v>
      </c>
      <c r="J10697" s="1" t="str">
        <f t="shared" si="2389"/>
        <v>X</v>
      </c>
      <c r="K10697" s="1" t="str">
        <f t="shared" si="2389"/>
        <v>X</v>
      </c>
      <c r="L10697" s="1" t="str">
        <f t="shared" si="2389"/>
        <v>X</v>
      </c>
      <c r="M10697" s="1" t="str">
        <f t="shared" si="2389"/>
        <v>X</v>
      </c>
      <c r="N10697" t="s">
        <v>27</v>
      </c>
    </row>
    <row r="10698" spans="1:14" x14ac:dyDescent="0.25">
      <c r="A10698" t="s">
        <v>44</v>
      </c>
      <c r="B10698" t="s">
        <v>15</v>
      </c>
      <c r="C10698" t="s">
        <v>35</v>
      </c>
      <c r="D10698" t="s">
        <v>15</v>
      </c>
      <c r="E10698" t="s">
        <v>26</v>
      </c>
      <c r="F10698" t="s">
        <v>17</v>
      </c>
      <c r="G10698" s="1" t="str">
        <f t="shared" ref="G10698:M10698" si="2390">"..."</f>
        <v>...</v>
      </c>
      <c r="H10698" s="1" t="str">
        <f t="shared" si="2390"/>
        <v>...</v>
      </c>
      <c r="I10698" s="1" t="str">
        <f t="shared" si="2390"/>
        <v>...</v>
      </c>
      <c r="J10698" s="1" t="str">
        <f t="shared" si="2390"/>
        <v>...</v>
      </c>
      <c r="K10698" s="1" t="str">
        <f t="shared" si="2390"/>
        <v>...</v>
      </c>
      <c r="L10698" s="1" t="str">
        <f t="shared" si="2390"/>
        <v>...</v>
      </c>
      <c r="M10698" s="1" t="str">
        <f t="shared" si="2390"/>
        <v>...</v>
      </c>
      <c r="N10698" t="s">
        <v>30</v>
      </c>
    </row>
    <row r="10699" spans="1:14" x14ac:dyDescent="0.25">
      <c r="A10699" t="s">
        <v>44</v>
      </c>
      <c r="B10699" t="s">
        <v>15</v>
      </c>
      <c r="C10699" t="s">
        <v>35</v>
      </c>
      <c r="D10699" t="s">
        <v>15</v>
      </c>
      <c r="E10699" t="s">
        <v>26</v>
      </c>
      <c r="F10699" t="s">
        <v>18</v>
      </c>
      <c r="G10699" s="1" t="str">
        <f t="shared" ref="G10699:M10701" si="2391">"X"</f>
        <v>X</v>
      </c>
      <c r="H10699" s="1" t="str">
        <f t="shared" si="2391"/>
        <v>X</v>
      </c>
      <c r="I10699" s="1" t="str">
        <f t="shared" si="2391"/>
        <v>X</v>
      </c>
      <c r="J10699" s="1" t="str">
        <f t="shared" si="2391"/>
        <v>X</v>
      </c>
      <c r="K10699" s="1" t="str">
        <f t="shared" si="2391"/>
        <v>X</v>
      </c>
      <c r="L10699" s="1" t="str">
        <f t="shared" si="2391"/>
        <v>X</v>
      </c>
      <c r="M10699" s="1" t="str">
        <f t="shared" si="2391"/>
        <v>X</v>
      </c>
      <c r="N10699" t="s">
        <v>27</v>
      </c>
    </row>
    <row r="10700" spans="1:14" x14ac:dyDescent="0.25">
      <c r="A10700" t="s">
        <v>44</v>
      </c>
      <c r="B10700" t="s">
        <v>15</v>
      </c>
      <c r="C10700" t="s">
        <v>35</v>
      </c>
      <c r="D10700" t="s">
        <v>15</v>
      </c>
      <c r="E10700" t="s">
        <v>26</v>
      </c>
      <c r="F10700" t="s">
        <v>19</v>
      </c>
      <c r="G10700" s="1" t="str">
        <f t="shared" si="2391"/>
        <v>X</v>
      </c>
      <c r="H10700" s="1" t="str">
        <f t="shared" si="2391"/>
        <v>X</v>
      </c>
      <c r="I10700" s="1" t="str">
        <f t="shared" si="2391"/>
        <v>X</v>
      </c>
      <c r="J10700" s="1" t="str">
        <f t="shared" si="2391"/>
        <v>X</v>
      </c>
      <c r="K10700" s="1" t="str">
        <f t="shared" si="2391"/>
        <v>X</v>
      </c>
      <c r="L10700" s="1" t="str">
        <f t="shared" si="2391"/>
        <v>X</v>
      </c>
      <c r="M10700" s="1" t="str">
        <f t="shared" si="2391"/>
        <v>X</v>
      </c>
      <c r="N10700" t="s">
        <v>27</v>
      </c>
    </row>
    <row r="10701" spans="1:14" x14ac:dyDescent="0.25">
      <c r="A10701" t="s">
        <v>44</v>
      </c>
      <c r="B10701" t="s">
        <v>15</v>
      </c>
      <c r="C10701" t="s">
        <v>35</v>
      </c>
      <c r="D10701" t="s">
        <v>15</v>
      </c>
      <c r="E10701" t="s">
        <v>26</v>
      </c>
      <c r="F10701" t="s">
        <v>20</v>
      </c>
      <c r="G10701" s="1" t="str">
        <f t="shared" si="2391"/>
        <v>X</v>
      </c>
      <c r="H10701" s="1" t="str">
        <f t="shared" si="2391"/>
        <v>X</v>
      </c>
      <c r="I10701" s="1" t="str">
        <f t="shared" si="2391"/>
        <v>X</v>
      </c>
      <c r="J10701" s="1" t="str">
        <f t="shared" si="2391"/>
        <v>X</v>
      </c>
      <c r="K10701" s="1" t="str">
        <f t="shared" si="2391"/>
        <v>X</v>
      </c>
      <c r="L10701" s="1" t="str">
        <f t="shared" si="2391"/>
        <v>X</v>
      </c>
      <c r="M10701" s="1" t="str">
        <f t="shared" si="2391"/>
        <v>X</v>
      </c>
      <c r="N10701" t="s">
        <v>27</v>
      </c>
    </row>
    <row r="10702" spans="1:14" x14ac:dyDescent="0.25">
      <c r="A10702" t="s">
        <v>44</v>
      </c>
      <c r="B10702" t="s">
        <v>15</v>
      </c>
      <c r="C10702" t="s">
        <v>35</v>
      </c>
      <c r="D10702" t="s">
        <v>28</v>
      </c>
      <c r="E10702" t="s">
        <v>15</v>
      </c>
      <c r="F10702" t="s">
        <v>15</v>
      </c>
      <c r="G10702" s="2">
        <f>VALUE(2506.57)</f>
        <v>2506.5700000000002</v>
      </c>
      <c r="H10702" s="3">
        <f>VALUE(2141.59)</f>
        <v>2141.59</v>
      </c>
      <c r="I10702" s="1">
        <f>VALUE(3200)</f>
        <v>3200</v>
      </c>
      <c r="J10702" s="1">
        <f>VALUE(3693)</f>
        <v>3693</v>
      </c>
      <c r="K10702" s="1">
        <f>VALUE(4140)</f>
        <v>4140</v>
      </c>
      <c r="L10702" s="1">
        <f>VALUE(4812)</f>
        <v>4812</v>
      </c>
      <c r="M10702" s="1">
        <f>VALUE(5406)</f>
        <v>5406</v>
      </c>
      <c r="N10702" t="s">
        <v>25</v>
      </c>
    </row>
    <row r="10703" spans="1:14" x14ac:dyDescent="0.25">
      <c r="A10703" t="s">
        <v>44</v>
      </c>
      <c r="B10703" t="s">
        <v>15</v>
      </c>
      <c r="C10703" t="s">
        <v>35</v>
      </c>
      <c r="D10703" t="s">
        <v>28</v>
      </c>
      <c r="E10703" t="s">
        <v>15</v>
      </c>
      <c r="F10703" t="s">
        <v>17</v>
      </c>
      <c r="G10703" s="1" t="str">
        <f t="shared" ref="G10703:M10704" si="2392">"X"</f>
        <v>X</v>
      </c>
      <c r="H10703" s="1" t="str">
        <f t="shared" si="2392"/>
        <v>X</v>
      </c>
      <c r="I10703" s="1" t="str">
        <f t="shared" si="2392"/>
        <v>X</v>
      </c>
      <c r="J10703" s="1" t="str">
        <f t="shared" si="2392"/>
        <v>X</v>
      </c>
      <c r="K10703" s="1" t="str">
        <f t="shared" si="2392"/>
        <v>X</v>
      </c>
      <c r="L10703" s="1" t="str">
        <f t="shared" si="2392"/>
        <v>X</v>
      </c>
      <c r="M10703" s="1" t="str">
        <f t="shared" si="2392"/>
        <v>X</v>
      </c>
      <c r="N10703" t="s">
        <v>27</v>
      </c>
    </row>
    <row r="10704" spans="1:14" x14ac:dyDescent="0.25">
      <c r="A10704" t="s">
        <v>44</v>
      </c>
      <c r="B10704" t="s">
        <v>15</v>
      </c>
      <c r="C10704" t="s">
        <v>35</v>
      </c>
      <c r="D10704" t="s">
        <v>28</v>
      </c>
      <c r="E10704" t="s">
        <v>15</v>
      </c>
      <c r="F10704" t="s">
        <v>18</v>
      </c>
      <c r="G10704" s="1" t="str">
        <f t="shared" si="2392"/>
        <v>X</v>
      </c>
      <c r="H10704" s="1" t="str">
        <f t="shared" si="2392"/>
        <v>X</v>
      </c>
      <c r="I10704" s="1" t="str">
        <f t="shared" si="2392"/>
        <v>X</v>
      </c>
      <c r="J10704" s="1" t="str">
        <f t="shared" si="2392"/>
        <v>X</v>
      </c>
      <c r="K10704" s="1" t="str">
        <f t="shared" si="2392"/>
        <v>X</v>
      </c>
      <c r="L10704" s="1" t="str">
        <f t="shared" si="2392"/>
        <v>X</v>
      </c>
      <c r="M10704" s="1" t="str">
        <f t="shared" si="2392"/>
        <v>X</v>
      </c>
      <c r="N10704" t="s">
        <v>27</v>
      </c>
    </row>
    <row r="10705" spans="1:14" x14ac:dyDescent="0.25">
      <c r="A10705" t="s">
        <v>44</v>
      </c>
      <c r="B10705" t="s">
        <v>15</v>
      </c>
      <c r="C10705" t="s">
        <v>35</v>
      </c>
      <c r="D10705" t="s">
        <v>28</v>
      </c>
      <c r="E10705" t="s">
        <v>15</v>
      </c>
      <c r="F10705" t="s">
        <v>19</v>
      </c>
      <c r="G10705" s="2">
        <f>VALUE(338.42)</f>
        <v>338.42</v>
      </c>
      <c r="H10705" s="3">
        <f>VALUE(309.22)</f>
        <v>309.22000000000003</v>
      </c>
      <c r="I10705" s="4">
        <f>VALUE(3713)</f>
        <v>3713</v>
      </c>
      <c r="J10705" s="5">
        <f>VALUE(3761)</f>
        <v>3761</v>
      </c>
      <c r="K10705" s="6">
        <f>VALUE(4116)</f>
        <v>4116</v>
      </c>
      <c r="L10705" s="7">
        <f>VALUE(4901)</f>
        <v>4901</v>
      </c>
      <c r="M10705" s="1">
        <f>VALUE(5437)</f>
        <v>5437</v>
      </c>
      <c r="N10705" t="s">
        <v>25</v>
      </c>
    </row>
    <row r="10706" spans="1:14" x14ac:dyDescent="0.25">
      <c r="A10706" t="s">
        <v>44</v>
      </c>
      <c r="B10706" t="s">
        <v>15</v>
      </c>
      <c r="C10706" t="s">
        <v>35</v>
      </c>
      <c r="D10706" t="s">
        <v>28</v>
      </c>
      <c r="E10706" t="s">
        <v>15</v>
      </c>
      <c r="F10706" t="s">
        <v>20</v>
      </c>
      <c r="G10706" s="2">
        <f>VALUE(2023.36)</f>
        <v>2023.36</v>
      </c>
      <c r="H10706" s="3">
        <f>VALUE(1693.94)</f>
        <v>1693.94</v>
      </c>
      <c r="I10706" s="4">
        <f>VALUE(3000)</f>
        <v>3000</v>
      </c>
      <c r="J10706" s="1">
        <f>VALUE(3593)</f>
        <v>3593</v>
      </c>
      <c r="K10706" s="1">
        <f>VALUE(4133)</f>
        <v>4133</v>
      </c>
      <c r="L10706" s="1">
        <f>VALUE(4744)</f>
        <v>4744</v>
      </c>
      <c r="M10706" s="1">
        <f>VALUE(5332)</f>
        <v>5332</v>
      </c>
      <c r="N10706" t="s">
        <v>25</v>
      </c>
    </row>
    <row r="10707" spans="1:14" x14ac:dyDescent="0.25">
      <c r="A10707" t="s">
        <v>44</v>
      </c>
      <c r="B10707" t="s">
        <v>15</v>
      </c>
      <c r="C10707" t="s">
        <v>35</v>
      </c>
      <c r="D10707" t="s">
        <v>28</v>
      </c>
      <c r="E10707" t="s">
        <v>21</v>
      </c>
      <c r="F10707" t="s">
        <v>15</v>
      </c>
      <c r="G10707" s="2">
        <f>VALUE(280.95)</f>
        <v>280.95</v>
      </c>
      <c r="H10707" s="3">
        <f>VALUE(237.95)</f>
        <v>237.95</v>
      </c>
      <c r="I10707" s="1">
        <f>VALUE(3920)</f>
        <v>3920</v>
      </c>
      <c r="J10707" s="1">
        <f>VALUE(4137)</f>
        <v>4137</v>
      </c>
      <c r="K10707" s="1">
        <f>VALUE(4941)</f>
        <v>4941</v>
      </c>
      <c r="L10707" s="1">
        <f>VALUE(5506)</f>
        <v>5506</v>
      </c>
      <c r="M10707" s="1">
        <f>VALUE(5930)</f>
        <v>5930</v>
      </c>
      <c r="N10707" t="s">
        <v>25</v>
      </c>
    </row>
    <row r="10708" spans="1:14" x14ac:dyDescent="0.25">
      <c r="A10708" t="s">
        <v>44</v>
      </c>
      <c r="B10708" t="s">
        <v>15</v>
      </c>
      <c r="C10708" t="s">
        <v>35</v>
      </c>
      <c r="D10708" t="s">
        <v>28</v>
      </c>
      <c r="E10708" t="s">
        <v>21</v>
      </c>
      <c r="F10708" t="s">
        <v>17</v>
      </c>
      <c r="G10708" s="1" t="str">
        <f t="shared" ref="G10708:M10711" si="2393">"X"</f>
        <v>X</v>
      </c>
      <c r="H10708" s="1" t="str">
        <f t="shared" si="2393"/>
        <v>X</v>
      </c>
      <c r="I10708" s="1" t="str">
        <f t="shared" si="2393"/>
        <v>X</v>
      </c>
      <c r="J10708" s="1" t="str">
        <f t="shared" si="2393"/>
        <v>X</v>
      </c>
      <c r="K10708" s="1" t="str">
        <f t="shared" si="2393"/>
        <v>X</v>
      </c>
      <c r="L10708" s="1" t="str">
        <f t="shared" si="2393"/>
        <v>X</v>
      </c>
      <c r="M10708" s="1" t="str">
        <f t="shared" si="2393"/>
        <v>X</v>
      </c>
      <c r="N10708" t="s">
        <v>27</v>
      </c>
    </row>
    <row r="10709" spans="1:14" x14ac:dyDescent="0.25">
      <c r="A10709" t="s">
        <v>44</v>
      </c>
      <c r="B10709" t="s">
        <v>15</v>
      </c>
      <c r="C10709" t="s">
        <v>35</v>
      </c>
      <c r="D10709" t="s">
        <v>28</v>
      </c>
      <c r="E10709" t="s">
        <v>21</v>
      </c>
      <c r="F10709" t="s">
        <v>18</v>
      </c>
      <c r="G10709" s="1" t="str">
        <f t="shared" si="2393"/>
        <v>X</v>
      </c>
      <c r="H10709" s="1" t="str">
        <f t="shared" si="2393"/>
        <v>X</v>
      </c>
      <c r="I10709" s="1" t="str">
        <f t="shared" si="2393"/>
        <v>X</v>
      </c>
      <c r="J10709" s="1" t="str">
        <f t="shared" si="2393"/>
        <v>X</v>
      </c>
      <c r="K10709" s="1" t="str">
        <f t="shared" si="2393"/>
        <v>X</v>
      </c>
      <c r="L10709" s="1" t="str">
        <f t="shared" si="2393"/>
        <v>X</v>
      </c>
      <c r="M10709" s="1" t="str">
        <f t="shared" si="2393"/>
        <v>X</v>
      </c>
      <c r="N10709" t="s">
        <v>27</v>
      </c>
    </row>
    <row r="10710" spans="1:14" x14ac:dyDescent="0.25">
      <c r="A10710" t="s">
        <v>44</v>
      </c>
      <c r="B10710" t="s">
        <v>15</v>
      </c>
      <c r="C10710" t="s">
        <v>35</v>
      </c>
      <c r="D10710" t="s">
        <v>28</v>
      </c>
      <c r="E10710" t="s">
        <v>21</v>
      </c>
      <c r="F10710" t="s">
        <v>19</v>
      </c>
      <c r="G10710" s="1" t="str">
        <f t="shared" si="2393"/>
        <v>X</v>
      </c>
      <c r="H10710" s="1" t="str">
        <f t="shared" si="2393"/>
        <v>X</v>
      </c>
      <c r="I10710" s="1" t="str">
        <f t="shared" si="2393"/>
        <v>X</v>
      </c>
      <c r="J10710" s="1" t="str">
        <f t="shared" si="2393"/>
        <v>X</v>
      </c>
      <c r="K10710" s="1" t="str">
        <f t="shared" si="2393"/>
        <v>X</v>
      </c>
      <c r="L10710" s="1" t="str">
        <f t="shared" si="2393"/>
        <v>X</v>
      </c>
      <c r="M10710" s="1" t="str">
        <f t="shared" si="2393"/>
        <v>X</v>
      </c>
      <c r="N10710" t="s">
        <v>27</v>
      </c>
    </row>
    <row r="10711" spans="1:14" x14ac:dyDescent="0.25">
      <c r="A10711" t="s">
        <v>44</v>
      </c>
      <c r="B10711" t="s">
        <v>15</v>
      </c>
      <c r="C10711" t="s">
        <v>35</v>
      </c>
      <c r="D10711" t="s">
        <v>28</v>
      </c>
      <c r="E10711" t="s">
        <v>21</v>
      </c>
      <c r="F10711" t="s">
        <v>20</v>
      </c>
      <c r="G10711" s="1" t="str">
        <f t="shared" si="2393"/>
        <v>X</v>
      </c>
      <c r="H10711" s="1" t="str">
        <f t="shared" si="2393"/>
        <v>X</v>
      </c>
      <c r="I10711" s="1" t="str">
        <f t="shared" si="2393"/>
        <v>X</v>
      </c>
      <c r="J10711" s="1" t="str">
        <f t="shared" si="2393"/>
        <v>X</v>
      </c>
      <c r="K10711" s="1" t="str">
        <f t="shared" si="2393"/>
        <v>X</v>
      </c>
      <c r="L10711" s="1" t="str">
        <f t="shared" si="2393"/>
        <v>X</v>
      </c>
      <c r="M10711" s="1" t="str">
        <f t="shared" si="2393"/>
        <v>X</v>
      </c>
      <c r="N10711" t="s">
        <v>27</v>
      </c>
    </row>
    <row r="10712" spans="1:14" x14ac:dyDescent="0.25">
      <c r="A10712" t="s">
        <v>44</v>
      </c>
      <c r="B10712" t="s">
        <v>15</v>
      </c>
      <c r="C10712" t="s">
        <v>35</v>
      </c>
      <c r="D10712" t="s">
        <v>28</v>
      </c>
      <c r="E10712" t="s">
        <v>22</v>
      </c>
      <c r="F10712" t="s">
        <v>15</v>
      </c>
      <c r="G10712" s="2">
        <f>VALUE(1938.96)</f>
        <v>1938.96</v>
      </c>
      <c r="H10712" s="3">
        <f>VALUE(1721.67)</f>
        <v>1721.67</v>
      </c>
      <c r="I10712" s="4">
        <f>VALUE(3253)</f>
        <v>3253</v>
      </c>
      <c r="J10712" s="1">
        <f>VALUE(3629)</f>
        <v>3629</v>
      </c>
      <c r="K10712" s="1">
        <f>VALUE(4100)</f>
        <v>4100</v>
      </c>
      <c r="L10712" s="1">
        <f>VALUE(4737)</f>
        <v>4737</v>
      </c>
      <c r="M10712" s="1">
        <f>VALUE(5198)</f>
        <v>5198</v>
      </c>
      <c r="N10712" t="s">
        <v>25</v>
      </c>
    </row>
    <row r="10713" spans="1:14" x14ac:dyDescent="0.25">
      <c r="A10713" t="s">
        <v>44</v>
      </c>
      <c r="B10713" t="s">
        <v>15</v>
      </c>
      <c r="C10713" t="s">
        <v>35</v>
      </c>
      <c r="D10713" t="s">
        <v>28</v>
      </c>
      <c r="E10713" t="s">
        <v>22</v>
      </c>
      <c r="F10713" t="s">
        <v>17</v>
      </c>
      <c r="G10713" s="1" t="str">
        <f t="shared" ref="G10713:M10714" si="2394">"X"</f>
        <v>X</v>
      </c>
      <c r="H10713" s="1" t="str">
        <f t="shared" si="2394"/>
        <v>X</v>
      </c>
      <c r="I10713" s="1" t="str">
        <f t="shared" si="2394"/>
        <v>X</v>
      </c>
      <c r="J10713" s="1" t="str">
        <f t="shared" si="2394"/>
        <v>X</v>
      </c>
      <c r="K10713" s="1" t="str">
        <f t="shared" si="2394"/>
        <v>X</v>
      </c>
      <c r="L10713" s="1" t="str">
        <f t="shared" si="2394"/>
        <v>X</v>
      </c>
      <c r="M10713" s="1" t="str">
        <f t="shared" si="2394"/>
        <v>X</v>
      </c>
      <c r="N10713" t="s">
        <v>27</v>
      </c>
    </row>
    <row r="10714" spans="1:14" x14ac:dyDescent="0.25">
      <c r="A10714" t="s">
        <v>44</v>
      </c>
      <c r="B10714" t="s">
        <v>15</v>
      </c>
      <c r="C10714" t="s">
        <v>35</v>
      </c>
      <c r="D10714" t="s">
        <v>28</v>
      </c>
      <c r="E10714" t="s">
        <v>22</v>
      </c>
      <c r="F10714" t="s">
        <v>18</v>
      </c>
      <c r="G10714" s="1" t="str">
        <f t="shared" si="2394"/>
        <v>X</v>
      </c>
      <c r="H10714" s="1" t="str">
        <f t="shared" si="2394"/>
        <v>X</v>
      </c>
      <c r="I10714" s="1" t="str">
        <f t="shared" si="2394"/>
        <v>X</v>
      </c>
      <c r="J10714" s="1" t="str">
        <f t="shared" si="2394"/>
        <v>X</v>
      </c>
      <c r="K10714" s="1" t="str">
        <f t="shared" si="2394"/>
        <v>X</v>
      </c>
      <c r="L10714" s="1" t="str">
        <f t="shared" si="2394"/>
        <v>X</v>
      </c>
      <c r="M10714" s="1" t="str">
        <f t="shared" si="2394"/>
        <v>X</v>
      </c>
      <c r="N10714" t="s">
        <v>27</v>
      </c>
    </row>
    <row r="10715" spans="1:14" x14ac:dyDescent="0.25">
      <c r="A10715" t="s">
        <v>44</v>
      </c>
      <c r="B10715" t="s">
        <v>15</v>
      </c>
      <c r="C10715" t="s">
        <v>35</v>
      </c>
      <c r="D10715" t="s">
        <v>28</v>
      </c>
      <c r="E10715" t="s">
        <v>22</v>
      </c>
      <c r="F10715" t="s">
        <v>19</v>
      </c>
      <c r="G10715" s="2">
        <f>VALUE(306)</f>
        <v>306</v>
      </c>
      <c r="H10715" s="3">
        <f>VALUE(280.3)</f>
        <v>280.3</v>
      </c>
      <c r="I10715" s="4">
        <f>VALUE(3713)</f>
        <v>3713</v>
      </c>
      <c r="J10715" s="5">
        <f>VALUE(3713)</f>
        <v>3713</v>
      </c>
      <c r="K10715" s="6">
        <f>VALUE(4094)</f>
        <v>4094</v>
      </c>
      <c r="L10715" s="7">
        <f>VALUE(4901)</f>
        <v>4901</v>
      </c>
      <c r="M10715" s="8">
        <f>VALUE(5204)</f>
        <v>5204</v>
      </c>
      <c r="N10715" t="s">
        <v>24</v>
      </c>
    </row>
    <row r="10716" spans="1:14" x14ac:dyDescent="0.25">
      <c r="A10716" t="s">
        <v>44</v>
      </c>
      <c r="B10716" t="s">
        <v>15</v>
      </c>
      <c r="C10716" t="s">
        <v>35</v>
      </c>
      <c r="D10716" t="s">
        <v>28</v>
      </c>
      <c r="E10716" t="s">
        <v>22</v>
      </c>
      <c r="F10716" t="s">
        <v>20</v>
      </c>
      <c r="G10716" s="2">
        <f>VALUE(1569.04)</f>
        <v>1569.04</v>
      </c>
      <c r="H10716" s="3">
        <f>VALUE(1376.28)</f>
        <v>1376.28</v>
      </c>
      <c r="I10716" s="4">
        <f>VALUE(3111)</f>
        <v>3111</v>
      </c>
      <c r="J10716" s="1">
        <f>VALUE(3583)</f>
        <v>3583</v>
      </c>
      <c r="K10716" s="1">
        <f>VALUE(4120)</f>
        <v>4120</v>
      </c>
      <c r="L10716" s="1">
        <f>VALUE(4705)</f>
        <v>4705</v>
      </c>
      <c r="M10716" s="1">
        <f>VALUE(5163)</f>
        <v>5163</v>
      </c>
      <c r="N10716" t="s">
        <v>25</v>
      </c>
    </row>
    <row r="10717" spans="1:14" x14ac:dyDescent="0.25">
      <c r="A10717" t="s">
        <v>44</v>
      </c>
      <c r="B10717" t="s">
        <v>15</v>
      </c>
      <c r="C10717" t="s">
        <v>35</v>
      </c>
      <c r="D10717" t="s">
        <v>28</v>
      </c>
      <c r="E10717" t="s">
        <v>23</v>
      </c>
      <c r="F10717" t="s">
        <v>15</v>
      </c>
      <c r="G10717" s="2">
        <f>VALUE(256.79)</f>
        <v>256.79000000000002</v>
      </c>
      <c r="H10717" s="3">
        <f>VALUE(158.1)</f>
        <v>158.1</v>
      </c>
      <c r="I10717" s="4">
        <f>VALUE(2410)</f>
        <v>2410</v>
      </c>
      <c r="J10717" s="5">
        <f>VALUE(3039)</f>
        <v>3039</v>
      </c>
      <c r="K10717" s="1">
        <f>VALUE(4061)</f>
        <v>4061</v>
      </c>
      <c r="L10717" s="7">
        <f>VALUE(4353)</f>
        <v>4353</v>
      </c>
      <c r="M10717" s="8">
        <f>VALUE(6664)</f>
        <v>6664</v>
      </c>
      <c r="N10717" t="s">
        <v>25</v>
      </c>
    </row>
    <row r="10718" spans="1:14" x14ac:dyDescent="0.25">
      <c r="A10718" t="s">
        <v>44</v>
      </c>
      <c r="B10718" t="s">
        <v>15</v>
      </c>
      <c r="C10718" t="s">
        <v>35</v>
      </c>
      <c r="D10718" t="s">
        <v>28</v>
      </c>
      <c r="E10718" t="s">
        <v>23</v>
      </c>
      <c r="F10718" t="s">
        <v>17</v>
      </c>
      <c r="G10718" s="1" t="str">
        <f t="shared" ref="G10718:M10718" si="2395">"..."</f>
        <v>...</v>
      </c>
      <c r="H10718" s="1" t="str">
        <f t="shared" si="2395"/>
        <v>...</v>
      </c>
      <c r="I10718" s="1" t="str">
        <f t="shared" si="2395"/>
        <v>...</v>
      </c>
      <c r="J10718" s="1" t="str">
        <f t="shared" si="2395"/>
        <v>...</v>
      </c>
      <c r="K10718" s="1" t="str">
        <f t="shared" si="2395"/>
        <v>...</v>
      </c>
      <c r="L10718" s="1" t="str">
        <f t="shared" si="2395"/>
        <v>...</v>
      </c>
      <c r="M10718" s="1" t="str">
        <f t="shared" si="2395"/>
        <v>...</v>
      </c>
      <c r="N10718" t="s">
        <v>30</v>
      </c>
    </row>
    <row r="10719" spans="1:14" x14ac:dyDescent="0.25">
      <c r="A10719" t="s">
        <v>44</v>
      </c>
      <c r="B10719" t="s">
        <v>15</v>
      </c>
      <c r="C10719" t="s">
        <v>35</v>
      </c>
      <c r="D10719" t="s">
        <v>28</v>
      </c>
      <c r="E10719" t="s">
        <v>23</v>
      </c>
      <c r="F10719" t="s">
        <v>18</v>
      </c>
      <c r="G10719" s="1" t="str">
        <f t="shared" ref="G10719:M10720" si="2396">"X"</f>
        <v>X</v>
      </c>
      <c r="H10719" s="1" t="str">
        <f t="shared" si="2396"/>
        <v>X</v>
      </c>
      <c r="I10719" s="1" t="str">
        <f t="shared" si="2396"/>
        <v>X</v>
      </c>
      <c r="J10719" s="1" t="str">
        <f t="shared" si="2396"/>
        <v>X</v>
      </c>
      <c r="K10719" s="1" t="str">
        <f t="shared" si="2396"/>
        <v>X</v>
      </c>
      <c r="L10719" s="1" t="str">
        <f t="shared" si="2396"/>
        <v>X</v>
      </c>
      <c r="M10719" s="1" t="str">
        <f t="shared" si="2396"/>
        <v>X</v>
      </c>
      <c r="N10719" t="s">
        <v>27</v>
      </c>
    </row>
    <row r="10720" spans="1:14" x14ac:dyDescent="0.25">
      <c r="A10720" t="s">
        <v>44</v>
      </c>
      <c r="B10720" t="s">
        <v>15</v>
      </c>
      <c r="C10720" t="s">
        <v>35</v>
      </c>
      <c r="D10720" t="s">
        <v>28</v>
      </c>
      <c r="E10720" t="s">
        <v>23</v>
      </c>
      <c r="F10720" t="s">
        <v>19</v>
      </c>
      <c r="G10720" s="1" t="str">
        <f t="shared" si="2396"/>
        <v>X</v>
      </c>
      <c r="H10720" s="1" t="str">
        <f t="shared" si="2396"/>
        <v>X</v>
      </c>
      <c r="I10720" s="1" t="str">
        <f t="shared" si="2396"/>
        <v>X</v>
      </c>
      <c r="J10720" s="1" t="str">
        <f t="shared" si="2396"/>
        <v>X</v>
      </c>
      <c r="K10720" s="1" t="str">
        <f t="shared" si="2396"/>
        <v>X</v>
      </c>
      <c r="L10720" s="1" t="str">
        <f t="shared" si="2396"/>
        <v>X</v>
      </c>
      <c r="M10720" s="1" t="str">
        <f t="shared" si="2396"/>
        <v>X</v>
      </c>
      <c r="N10720" t="s">
        <v>27</v>
      </c>
    </row>
    <row r="10721" spans="1:14" x14ac:dyDescent="0.25">
      <c r="A10721" t="s">
        <v>44</v>
      </c>
      <c r="B10721" t="s">
        <v>15</v>
      </c>
      <c r="C10721" t="s">
        <v>35</v>
      </c>
      <c r="D10721" t="s">
        <v>28</v>
      </c>
      <c r="E10721" t="s">
        <v>23</v>
      </c>
      <c r="F10721" t="s">
        <v>20</v>
      </c>
      <c r="G10721" s="2">
        <f>VALUE(252.96)</f>
        <v>252.96</v>
      </c>
      <c r="H10721" s="3">
        <f>VALUE(155.08)</f>
        <v>155.08000000000001</v>
      </c>
      <c r="I10721" s="4">
        <f>VALUE(2410)</f>
        <v>2410</v>
      </c>
      <c r="J10721" s="5">
        <f>VALUE(3000)</f>
        <v>3000</v>
      </c>
      <c r="K10721" s="1">
        <f>VALUE(4061)</f>
        <v>4061</v>
      </c>
      <c r="L10721" s="7">
        <f>VALUE(4330)</f>
        <v>4330</v>
      </c>
      <c r="M10721" s="8">
        <f>VALUE(6664)</f>
        <v>6664</v>
      </c>
      <c r="N10721" t="s">
        <v>25</v>
      </c>
    </row>
    <row r="10722" spans="1:14" x14ac:dyDescent="0.25">
      <c r="A10722" t="s">
        <v>44</v>
      </c>
      <c r="B10722" t="s">
        <v>15</v>
      </c>
      <c r="C10722" t="s">
        <v>35</v>
      </c>
      <c r="D10722" t="s">
        <v>28</v>
      </c>
      <c r="E10722" t="s">
        <v>26</v>
      </c>
      <c r="F10722" t="s">
        <v>15</v>
      </c>
      <c r="G10722" s="1" t="str">
        <f t="shared" ref="G10722:M10722" si="2397">"X"</f>
        <v>X</v>
      </c>
      <c r="H10722" s="1" t="str">
        <f t="shared" si="2397"/>
        <v>X</v>
      </c>
      <c r="I10722" s="1" t="str">
        <f t="shared" si="2397"/>
        <v>X</v>
      </c>
      <c r="J10722" s="1" t="str">
        <f t="shared" si="2397"/>
        <v>X</v>
      </c>
      <c r="K10722" s="1" t="str">
        <f t="shared" si="2397"/>
        <v>X</v>
      </c>
      <c r="L10722" s="1" t="str">
        <f t="shared" si="2397"/>
        <v>X</v>
      </c>
      <c r="M10722" s="1" t="str">
        <f t="shared" si="2397"/>
        <v>X</v>
      </c>
      <c r="N10722" t="s">
        <v>27</v>
      </c>
    </row>
    <row r="10723" spans="1:14" x14ac:dyDescent="0.25">
      <c r="A10723" t="s">
        <v>44</v>
      </c>
      <c r="B10723" t="s">
        <v>15</v>
      </c>
      <c r="C10723" t="s">
        <v>35</v>
      </c>
      <c r="D10723" t="s">
        <v>28</v>
      </c>
      <c r="E10723" t="s">
        <v>26</v>
      </c>
      <c r="F10723" t="s">
        <v>17</v>
      </c>
      <c r="G10723" s="1" t="str">
        <f t="shared" ref="G10723:M10723" si="2398">"..."</f>
        <v>...</v>
      </c>
      <c r="H10723" s="1" t="str">
        <f t="shared" si="2398"/>
        <v>...</v>
      </c>
      <c r="I10723" s="1" t="str">
        <f t="shared" si="2398"/>
        <v>...</v>
      </c>
      <c r="J10723" s="1" t="str">
        <f t="shared" si="2398"/>
        <v>...</v>
      </c>
      <c r="K10723" s="1" t="str">
        <f t="shared" si="2398"/>
        <v>...</v>
      </c>
      <c r="L10723" s="1" t="str">
        <f t="shared" si="2398"/>
        <v>...</v>
      </c>
      <c r="M10723" s="1" t="str">
        <f t="shared" si="2398"/>
        <v>...</v>
      </c>
      <c r="N10723" t="s">
        <v>30</v>
      </c>
    </row>
    <row r="10724" spans="1:14" x14ac:dyDescent="0.25">
      <c r="A10724" t="s">
        <v>44</v>
      </c>
      <c r="B10724" t="s">
        <v>15</v>
      </c>
      <c r="C10724" t="s">
        <v>35</v>
      </c>
      <c r="D10724" t="s">
        <v>28</v>
      </c>
      <c r="E10724" t="s">
        <v>26</v>
      </c>
      <c r="F10724" t="s">
        <v>18</v>
      </c>
      <c r="G10724" s="1" t="str">
        <f t="shared" ref="G10724:M10724" si="2399">"X"</f>
        <v>X</v>
      </c>
      <c r="H10724" s="1" t="str">
        <f t="shared" si="2399"/>
        <v>X</v>
      </c>
      <c r="I10724" s="1" t="str">
        <f t="shared" si="2399"/>
        <v>X</v>
      </c>
      <c r="J10724" s="1" t="str">
        <f t="shared" si="2399"/>
        <v>X</v>
      </c>
      <c r="K10724" s="1" t="str">
        <f t="shared" si="2399"/>
        <v>X</v>
      </c>
      <c r="L10724" s="1" t="str">
        <f t="shared" si="2399"/>
        <v>X</v>
      </c>
      <c r="M10724" s="1" t="str">
        <f t="shared" si="2399"/>
        <v>X</v>
      </c>
      <c r="N10724" t="s">
        <v>27</v>
      </c>
    </row>
    <row r="10725" spans="1:14" x14ac:dyDescent="0.25">
      <c r="A10725" t="s">
        <v>44</v>
      </c>
      <c r="B10725" t="s">
        <v>15</v>
      </c>
      <c r="C10725" t="s">
        <v>35</v>
      </c>
      <c r="D10725" t="s">
        <v>28</v>
      </c>
      <c r="E10725" t="s">
        <v>26</v>
      </c>
      <c r="F10725" t="s">
        <v>19</v>
      </c>
      <c r="G10725" s="1" t="str">
        <f t="shared" ref="G10725:M10725" si="2400">"..."</f>
        <v>...</v>
      </c>
      <c r="H10725" s="1" t="str">
        <f t="shared" si="2400"/>
        <v>...</v>
      </c>
      <c r="I10725" s="1" t="str">
        <f t="shared" si="2400"/>
        <v>...</v>
      </c>
      <c r="J10725" s="1" t="str">
        <f t="shared" si="2400"/>
        <v>...</v>
      </c>
      <c r="K10725" s="1" t="str">
        <f t="shared" si="2400"/>
        <v>...</v>
      </c>
      <c r="L10725" s="1" t="str">
        <f t="shared" si="2400"/>
        <v>...</v>
      </c>
      <c r="M10725" s="1" t="str">
        <f t="shared" si="2400"/>
        <v>...</v>
      </c>
      <c r="N10725" t="s">
        <v>30</v>
      </c>
    </row>
    <row r="10726" spans="1:14" x14ac:dyDescent="0.25">
      <c r="A10726" t="s">
        <v>44</v>
      </c>
      <c r="B10726" t="s">
        <v>15</v>
      </c>
      <c r="C10726" t="s">
        <v>35</v>
      </c>
      <c r="D10726" t="s">
        <v>28</v>
      </c>
      <c r="E10726" t="s">
        <v>26</v>
      </c>
      <c r="F10726" t="s">
        <v>20</v>
      </c>
      <c r="G10726" s="1" t="str">
        <f t="shared" ref="G10726:M10726" si="2401">"X"</f>
        <v>X</v>
      </c>
      <c r="H10726" s="1" t="str">
        <f t="shared" si="2401"/>
        <v>X</v>
      </c>
      <c r="I10726" s="1" t="str">
        <f t="shared" si="2401"/>
        <v>X</v>
      </c>
      <c r="J10726" s="1" t="str">
        <f t="shared" si="2401"/>
        <v>X</v>
      </c>
      <c r="K10726" s="1" t="str">
        <f t="shared" si="2401"/>
        <v>X</v>
      </c>
      <c r="L10726" s="1" t="str">
        <f t="shared" si="2401"/>
        <v>X</v>
      </c>
      <c r="M10726" s="1" t="str">
        <f t="shared" si="2401"/>
        <v>X</v>
      </c>
      <c r="N10726" t="s">
        <v>27</v>
      </c>
    </row>
    <row r="10727" spans="1:14" x14ac:dyDescent="0.25">
      <c r="A10727" t="s">
        <v>44</v>
      </c>
      <c r="B10727" t="s">
        <v>15</v>
      </c>
      <c r="C10727" t="s">
        <v>35</v>
      </c>
      <c r="D10727" t="s">
        <v>29</v>
      </c>
      <c r="E10727" t="s">
        <v>15</v>
      </c>
      <c r="F10727" t="s">
        <v>15</v>
      </c>
      <c r="G10727" s="2">
        <f>VALUE(321.58)</f>
        <v>321.58</v>
      </c>
      <c r="H10727" s="3">
        <f>VALUE(300.1)</f>
        <v>300.10000000000002</v>
      </c>
      <c r="I10727" s="1">
        <f>VALUE(3505)</f>
        <v>3505</v>
      </c>
      <c r="J10727" s="1">
        <f>VALUE(3733)</f>
        <v>3733</v>
      </c>
      <c r="K10727" s="1">
        <f>VALUE(4243)</f>
        <v>4243</v>
      </c>
      <c r="L10727" s="1">
        <f>VALUE(4765)</f>
        <v>4765</v>
      </c>
      <c r="M10727" s="1">
        <f>VALUE(5155)</f>
        <v>5155</v>
      </c>
      <c r="N10727" t="s">
        <v>25</v>
      </c>
    </row>
    <row r="10728" spans="1:14" x14ac:dyDescent="0.25">
      <c r="A10728" t="s">
        <v>44</v>
      </c>
      <c r="B10728" t="s">
        <v>15</v>
      </c>
      <c r="C10728" t="s">
        <v>35</v>
      </c>
      <c r="D10728" t="s">
        <v>29</v>
      </c>
      <c r="E10728" t="s">
        <v>15</v>
      </c>
      <c r="F10728" t="s">
        <v>17</v>
      </c>
      <c r="G10728" s="1" t="str">
        <f t="shared" ref="G10728:M10730" si="2402">"X"</f>
        <v>X</v>
      </c>
      <c r="H10728" s="1" t="str">
        <f t="shared" si="2402"/>
        <v>X</v>
      </c>
      <c r="I10728" s="1" t="str">
        <f t="shared" si="2402"/>
        <v>X</v>
      </c>
      <c r="J10728" s="1" t="str">
        <f t="shared" si="2402"/>
        <v>X</v>
      </c>
      <c r="K10728" s="1" t="str">
        <f t="shared" si="2402"/>
        <v>X</v>
      </c>
      <c r="L10728" s="1" t="str">
        <f t="shared" si="2402"/>
        <v>X</v>
      </c>
      <c r="M10728" s="1" t="str">
        <f t="shared" si="2402"/>
        <v>X</v>
      </c>
      <c r="N10728" t="s">
        <v>27</v>
      </c>
    </row>
    <row r="10729" spans="1:14" x14ac:dyDescent="0.25">
      <c r="A10729" t="s">
        <v>44</v>
      </c>
      <c r="B10729" t="s">
        <v>15</v>
      </c>
      <c r="C10729" t="s">
        <v>35</v>
      </c>
      <c r="D10729" t="s">
        <v>29</v>
      </c>
      <c r="E10729" t="s">
        <v>15</v>
      </c>
      <c r="F10729" t="s">
        <v>18</v>
      </c>
      <c r="G10729" s="1" t="str">
        <f t="shared" si="2402"/>
        <v>X</v>
      </c>
      <c r="H10729" s="1" t="str">
        <f t="shared" si="2402"/>
        <v>X</v>
      </c>
      <c r="I10729" s="1" t="str">
        <f t="shared" si="2402"/>
        <v>X</v>
      </c>
      <c r="J10729" s="1" t="str">
        <f t="shared" si="2402"/>
        <v>X</v>
      </c>
      <c r="K10729" s="1" t="str">
        <f t="shared" si="2402"/>
        <v>X</v>
      </c>
      <c r="L10729" s="1" t="str">
        <f t="shared" si="2402"/>
        <v>X</v>
      </c>
      <c r="M10729" s="1" t="str">
        <f t="shared" si="2402"/>
        <v>X</v>
      </c>
      <c r="N10729" t="s">
        <v>27</v>
      </c>
    </row>
    <row r="10730" spans="1:14" x14ac:dyDescent="0.25">
      <c r="A10730" t="s">
        <v>44</v>
      </c>
      <c r="B10730" t="s">
        <v>15</v>
      </c>
      <c r="C10730" t="s">
        <v>35</v>
      </c>
      <c r="D10730" t="s">
        <v>29</v>
      </c>
      <c r="E10730" t="s">
        <v>15</v>
      </c>
      <c r="F10730" t="s">
        <v>19</v>
      </c>
      <c r="G10730" s="1" t="str">
        <f t="shared" si="2402"/>
        <v>X</v>
      </c>
      <c r="H10730" s="1" t="str">
        <f t="shared" si="2402"/>
        <v>X</v>
      </c>
      <c r="I10730" s="1" t="str">
        <f t="shared" si="2402"/>
        <v>X</v>
      </c>
      <c r="J10730" s="1" t="str">
        <f t="shared" si="2402"/>
        <v>X</v>
      </c>
      <c r="K10730" s="1" t="str">
        <f t="shared" si="2402"/>
        <v>X</v>
      </c>
      <c r="L10730" s="1" t="str">
        <f t="shared" si="2402"/>
        <v>X</v>
      </c>
      <c r="M10730" s="1" t="str">
        <f t="shared" si="2402"/>
        <v>X</v>
      </c>
      <c r="N10730" t="s">
        <v>27</v>
      </c>
    </row>
    <row r="10731" spans="1:14" x14ac:dyDescent="0.25">
      <c r="A10731" t="s">
        <v>44</v>
      </c>
      <c r="B10731" t="s">
        <v>15</v>
      </c>
      <c r="C10731" t="s">
        <v>35</v>
      </c>
      <c r="D10731" t="s">
        <v>29</v>
      </c>
      <c r="E10731" t="s">
        <v>15</v>
      </c>
      <c r="F10731" t="s">
        <v>20</v>
      </c>
      <c r="G10731" s="2">
        <f>VALUE(261.05)</f>
        <v>261.05</v>
      </c>
      <c r="H10731" s="3">
        <f>VALUE(245.85)</f>
        <v>245.85</v>
      </c>
      <c r="I10731" s="1">
        <f>VALUE(3405)</f>
        <v>3405</v>
      </c>
      <c r="J10731" s="1">
        <f>VALUE(3727)</f>
        <v>3727</v>
      </c>
      <c r="K10731" s="1">
        <f>VALUE(4243)</f>
        <v>4243</v>
      </c>
      <c r="L10731" s="1">
        <f>VALUE(4824)</f>
        <v>4824</v>
      </c>
      <c r="M10731" s="1">
        <f>VALUE(5155)</f>
        <v>5155</v>
      </c>
      <c r="N10731" t="s">
        <v>25</v>
      </c>
    </row>
    <row r="10732" spans="1:14" x14ac:dyDescent="0.25">
      <c r="A10732" t="s">
        <v>44</v>
      </c>
      <c r="B10732" t="s">
        <v>15</v>
      </c>
      <c r="C10732" t="s">
        <v>35</v>
      </c>
      <c r="D10732" t="s">
        <v>29</v>
      </c>
      <c r="E10732" t="s">
        <v>21</v>
      </c>
      <c r="F10732" t="s">
        <v>15</v>
      </c>
      <c r="G10732" s="1" t="str">
        <f t="shared" ref="G10732:M10733" si="2403">"X"</f>
        <v>X</v>
      </c>
      <c r="H10732" s="1" t="str">
        <f t="shared" si="2403"/>
        <v>X</v>
      </c>
      <c r="I10732" s="1" t="str">
        <f t="shared" si="2403"/>
        <v>X</v>
      </c>
      <c r="J10732" s="1" t="str">
        <f t="shared" si="2403"/>
        <v>X</v>
      </c>
      <c r="K10732" s="1" t="str">
        <f t="shared" si="2403"/>
        <v>X</v>
      </c>
      <c r="L10732" s="1" t="str">
        <f t="shared" si="2403"/>
        <v>X</v>
      </c>
      <c r="M10732" s="1" t="str">
        <f t="shared" si="2403"/>
        <v>X</v>
      </c>
      <c r="N10732" t="s">
        <v>27</v>
      </c>
    </row>
    <row r="10733" spans="1:14" x14ac:dyDescent="0.25">
      <c r="A10733" t="s">
        <v>44</v>
      </c>
      <c r="B10733" t="s">
        <v>15</v>
      </c>
      <c r="C10733" t="s">
        <v>35</v>
      </c>
      <c r="D10733" t="s">
        <v>29</v>
      </c>
      <c r="E10733" t="s">
        <v>21</v>
      </c>
      <c r="F10733" t="s">
        <v>17</v>
      </c>
      <c r="G10733" s="1" t="str">
        <f t="shared" si="2403"/>
        <v>X</v>
      </c>
      <c r="H10733" s="1" t="str">
        <f t="shared" si="2403"/>
        <v>X</v>
      </c>
      <c r="I10733" s="1" t="str">
        <f t="shared" si="2403"/>
        <v>X</v>
      </c>
      <c r="J10733" s="1" t="str">
        <f t="shared" si="2403"/>
        <v>X</v>
      </c>
      <c r="K10733" s="1" t="str">
        <f t="shared" si="2403"/>
        <v>X</v>
      </c>
      <c r="L10733" s="1" t="str">
        <f t="shared" si="2403"/>
        <v>X</v>
      </c>
      <c r="M10733" s="1" t="str">
        <f t="shared" si="2403"/>
        <v>X</v>
      </c>
      <c r="N10733" t="s">
        <v>27</v>
      </c>
    </row>
    <row r="10734" spans="1:14" x14ac:dyDescent="0.25">
      <c r="A10734" t="s">
        <v>44</v>
      </c>
      <c r="B10734" t="s">
        <v>15</v>
      </c>
      <c r="C10734" t="s">
        <v>35</v>
      </c>
      <c r="D10734" t="s">
        <v>29</v>
      </c>
      <c r="E10734" t="s">
        <v>21</v>
      </c>
      <c r="F10734" t="s">
        <v>18</v>
      </c>
      <c r="G10734" s="1" t="str">
        <f t="shared" ref="G10734:M10734" si="2404">"..."</f>
        <v>...</v>
      </c>
      <c r="H10734" s="1" t="str">
        <f t="shared" si="2404"/>
        <v>...</v>
      </c>
      <c r="I10734" s="1" t="str">
        <f t="shared" si="2404"/>
        <v>...</v>
      </c>
      <c r="J10734" s="1" t="str">
        <f t="shared" si="2404"/>
        <v>...</v>
      </c>
      <c r="K10734" s="1" t="str">
        <f t="shared" si="2404"/>
        <v>...</v>
      </c>
      <c r="L10734" s="1" t="str">
        <f t="shared" si="2404"/>
        <v>...</v>
      </c>
      <c r="M10734" s="1" t="str">
        <f t="shared" si="2404"/>
        <v>...</v>
      </c>
      <c r="N10734" t="s">
        <v>30</v>
      </c>
    </row>
    <row r="10735" spans="1:14" x14ac:dyDescent="0.25">
      <c r="A10735" t="s">
        <v>44</v>
      </c>
      <c r="B10735" t="s">
        <v>15</v>
      </c>
      <c r="C10735" t="s">
        <v>35</v>
      </c>
      <c r="D10735" t="s">
        <v>29</v>
      </c>
      <c r="E10735" t="s">
        <v>21</v>
      </c>
      <c r="F10735" t="s">
        <v>19</v>
      </c>
      <c r="G10735" s="1" t="str">
        <f t="shared" ref="G10735:M10736" si="2405">"X"</f>
        <v>X</v>
      </c>
      <c r="H10735" s="1" t="str">
        <f t="shared" si="2405"/>
        <v>X</v>
      </c>
      <c r="I10735" s="1" t="str">
        <f t="shared" si="2405"/>
        <v>X</v>
      </c>
      <c r="J10735" s="1" t="str">
        <f t="shared" si="2405"/>
        <v>X</v>
      </c>
      <c r="K10735" s="1" t="str">
        <f t="shared" si="2405"/>
        <v>X</v>
      </c>
      <c r="L10735" s="1" t="str">
        <f t="shared" si="2405"/>
        <v>X</v>
      </c>
      <c r="M10735" s="1" t="str">
        <f t="shared" si="2405"/>
        <v>X</v>
      </c>
      <c r="N10735" t="s">
        <v>27</v>
      </c>
    </row>
    <row r="10736" spans="1:14" x14ac:dyDescent="0.25">
      <c r="A10736" t="s">
        <v>44</v>
      </c>
      <c r="B10736" t="s">
        <v>15</v>
      </c>
      <c r="C10736" t="s">
        <v>35</v>
      </c>
      <c r="D10736" t="s">
        <v>29</v>
      </c>
      <c r="E10736" t="s">
        <v>21</v>
      </c>
      <c r="F10736" t="s">
        <v>20</v>
      </c>
      <c r="G10736" s="1" t="str">
        <f t="shared" si="2405"/>
        <v>X</v>
      </c>
      <c r="H10736" s="1" t="str">
        <f t="shared" si="2405"/>
        <v>X</v>
      </c>
      <c r="I10736" s="1" t="str">
        <f t="shared" si="2405"/>
        <v>X</v>
      </c>
      <c r="J10736" s="1" t="str">
        <f t="shared" si="2405"/>
        <v>X</v>
      </c>
      <c r="K10736" s="1" t="str">
        <f t="shared" si="2405"/>
        <v>X</v>
      </c>
      <c r="L10736" s="1" t="str">
        <f t="shared" si="2405"/>
        <v>X</v>
      </c>
      <c r="M10736" s="1" t="str">
        <f t="shared" si="2405"/>
        <v>X</v>
      </c>
      <c r="N10736" t="s">
        <v>27</v>
      </c>
    </row>
    <row r="10737" spans="1:14" x14ac:dyDescent="0.25">
      <c r="A10737" t="s">
        <v>44</v>
      </c>
      <c r="B10737" t="s">
        <v>15</v>
      </c>
      <c r="C10737" t="s">
        <v>35</v>
      </c>
      <c r="D10737" t="s">
        <v>29</v>
      </c>
      <c r="E10737" t="s">
        <v>22</v>
      </c>
      <c r="F10737" t="s">
        <v>15</v>
      </c>
      <c r="G10737" s="2">
        <f>VALUE(259.39)</f>
        <v>259.39</v>
      </c>
      <c r="H10737" s="3">
        <f>VALUE(253.55)</f>
        <v>253.55</v>
      </c>
      <c r="I10737" s="4">
        <f>VALUE(3670)</f>
        <v>3670</v>
      </c>
      <c r="J10737" s="1">
        <f>VALUE(3733)</f>
        <v>3733</v>
      </c>
      <c r="K10737" s="1">
        <f>VALUE(4243)</f>
        <v>4243</v>
      </c>
      <c r="L10737" s="1">
        <f>VALUE(4765)</f>
        <v>4765</v>
      </c>
      <c r="M10737" s="1">
        <f>VALUE(4958)</f>
        <v>4958</v>
      </c>
      <c r="N10737" t="s">
        <v>25</v>
      </c>
    </row>
    <row r="10738" spans="1:14" x14ac:dyDescent="0.25">
      <c r="A10738" t="s">
        <v>44</v>
      </c>
      <c r="B10738" t="s">
        <v>15</v>
      </c>
      <c r="C10738" t="s">
        <v>35</v>
      </c>
      <c r="D10738" t="s">
        <v>29</v>
      </c>
      <c r="E10738" t="s">
        <v>22</v>
      </c>
      <c r="F10738" t="s">
        <v>17</v>
      </c>
      <c r="G10738" s="1" t="str">
        <f t="shared" ref="G10738:M10738" si="2406">"..."</f>
        <v>...</v>
      </c>
      <c r="H10738" s="1" t="str">
        <f t="shared" si="2406"/>
        <v>...</v>
      </c>
      <c r="I10738" s="1" t="str">
        <f t="shared" si="2406"/>
        <v>...</v>
      </c>
      <c r="J10738" s="1" t="str">
        <f t="shared" si="2406"/>
        <v>...</v>
      </c>
      <c r="K10738" s="1" t="str">
        <f t="shared" si="2406"/>
        <v>...</v>
      </c>
      <c r="L10738" s="1" t="str">
        <f t="shared" si="2406"/>
        <v>...</v>
      </c>
      <c r="M10738" s="1" t="str">
        <f t="shared" si="2406"/>
        <v>...</v>
      </c>
      <c r="N10738" t="s">
        <v>30</v>
      </c>
    </row>
    <row r="10739" spans="1:14" x14ac:dyDescent="0.25">
      <c r="A10739" t="s">
        <v>44</v>
      </c>
      <c r="B10739" t="s">
        <v>15</v>
      </c>
      <c r="C10739" t="s">
        <v>35</v>
      </c>
      <c r="D10739" t="s">
        <v>29</v>
      </c>
      <c r="E10739" t="s">
        <v>22</v>
      </c>
      <c r="F10739" t="s">
        <v>18</v>
      </c>
      <c r="G10739" s="1" t="str">
        <f t="shared" ref="G10739:M10740" si="2407">"X"</f>
        <v>X</v>
      </c>
      <c r="H10739" s="1" t="str">
        <f t="shared" si="2407"/>
        <v>X</v>
      </c>
      <c r="I10739" s="1" t="str">
        <f t="shared" si="2407"/>
        <v>X</v>
      </c>
      <c r="J10739" s="1" t="str">
        <f t="shared" si="2407"/>
        <v>X</v>
      </c>
      <c r="K10739" s="1" t="str">
        <f t="shared" si="2407"/>
        <v>X</v>
      </c>
      <c r="L10739" s="1" t="str">
        <f t="shared" si="2407"/>
        <v>X</v>
      </c>
      <c r="M10739" s="1" t="str">
        <f t="shared" si="2407"/>
        <v>X</v>
      </c>
      <c r="N10739" t="s">
        <v>27</v>
      </c>
    </row>
    <row r="10740" spans="1:14" x14ac:dyDescent="0.25">
      <c r="A10740" t="s">
        <v>44</v>
      </c>
      <c r="B10740" t="s">
        <v>15</v>
      </c>
      <c r="C10740" t="s">
        <v>35</v>
      </c>
      <c r="D10740" t="s">
        <v>29</v>
      </c>
      <c r="E10740" t="s">
        <v>22</v>
      </c>
      <c r="F10740" t="s">
        <v>19</v>
      </c>
      <c r="G10740" s="1" t="str">
        <f t="shared" si="2407"/>
        <v>X</v>
      </c>
      <c r="H10740" s="1" t="str">
        <f t="shared" si="2407"/>
        <v>X</v>
      </c>
      <c r="I10740" s="1" t="str">
        <f t="shared" si="2407"/>
        <v>X</v>
      </c>
      <c r="J10740" s="1" t="str">
        <f t="shared" si="2407"/>
        <v>X</v>
      </c>
      <c r="K10740" s="1" t="str">
        <f t="shared" si="2407"/>
        <v>X</v>
      </c>
      <c r="L10740" s="1" t="str">
        <f t="shared" si="2407"/>
        <v>X</v>
      </c>
      <c r="M10740" s="1" t="str">
        <f t="shared" si="2407"/>
        <v>X</v>
      </c>
      <c r="N10740" t="s">
        <v>27</v>
      </c>
    </row>
    <row r="10741" spans="1:14" x14ac:dyDescent="0.25">
      <c r="A10741" t="s">
        <v>44</v>
      </c>
      <c r="B10741" t="s">
        <v>15</v>
      </c>
      <c r="C10741" t="s">
        <v>35</v>
      </c>
      <c r="D10741" t="s">
        <v>29</v>
      </c>
      <c r="E10741" t="s">
        <v>22</v>
      </c>
      <c r="F10741" t="s">
        <v>20</v>
      </c>
      <c r="G10741" s="2">
        <f>VALUE(204.05)</f>
        <v>204.05</v>
      </c>
      <c r="H10741" s="3">
        <f>VALUE(203.44)</f>
        <v>203.44</v>
      </c>
      <c r="I10741" s="1">
        <f>VALUE(3514)</f>
        <v>3514</v>
      </c>
      <c r="J10741" s="5">
        <f>VALUE(3791)</f>
        <v>3791</v>
      </c>
      <c r="K10741" s="1">
        <f>VALUE(4243)</f>
        <v>4243</v>
      </c>
      <c r="L10741" s="1">
        <f>VALUE(4866)</f>
        <v>4866</v>
      </c>
      <c r="M10741" s="1">
        <f>VALUE(5148)</f>
        <v>5148</v>
      </c>
      <c r="N10741" t="s">
        <v>25</v>
      </c>
    </row>
    <row r="10742" spans="1:14" x14ac:dyDescent="0.25">
      <c r="A10742" t="s">
        <v>44</v>
      </c>
      <c r="B10742" t="s">
        <v>15</v>
      </c>
      <c r="C10742" t="s">
        <v>35</v>
      </c>
      <c r="D10742" t="s">
        <v>29</v>
      </c>
      <c r="E10742" t="s">
        <v>23</v>
      </c>
      <c r="F10742" t="s">
        <v>15</v>
      </c>
      <c r="G10742" s="1" t="str">
        <f t="shared" ref="G10742:M10742" si="2408">"X"</f>
        <v>X</v>
      </c>
      <c r="H10742" s="1" t="str">
        <f t="shared" si="2408"/>
        <v>X</v>
      </c>
      <c r="I10742" s="1" t="str">
        <f t="shared" si="2408"/>
        <v>X</v>
      </c>
      <c r="J10742" s="1" t="str">
        <f t="shared" si="2408"/>
        <v>X</v>
      </c>
      <c r="K10742" s="1" t="str">
        <f t="shared" si="2408"/>
        <v>X</v>
      </c>
      <c r="L10742" s="1" t="str">
        <f t="shared" si="2408"/>
        <v>X</v>
      </c>
      <c r="M10742" s="1" t="str">
        <f t="shared" si="2408"/>
        <v>X</v>
      </c>
      <c r="N10742" t="s">
        <v>27</v>
      </c>
    </row>
    <row r="10743" spans="1:14" x14ac:dyDescent="0.25">
      <c r="A10743" t="s">
        <v>44</v>
      </c>
      <c r="B10743" t="s">
        <v>15</v>
      </c>
      <c r="C10743" t="s">
        <v>35</v>
      </c>
      <c r="D10743" t="s">
        <v>29</v>
      </c>
      <c r="E10743" t="s">
        <v>23</v>
      </c>
      <c r="F10743" t="s">
        <v>17</v>
      </c>
      <c r="G10743" s="1" t="str">
        <f t="shared" ref="G10743:M10745" si="2409">"..."</f>
        <v>...</v>
      </c>
      <c r="H10743" s="1" t="str">
        <f t="shared" si="2409"/>
        <v>...</v>
      </c>
      <c r="I10743" s="1" t="str">
        <f t="shared" si="2409"/>
        <v>...</v>
      </c>
      <c r="J10743" s="1" t="str">
        <f t="shared" si="2409"/>
        <v>...</v>
      </c>
      <c r="K10743" s="1" t="str">
        <f t="shared" si="2409"/>
        <v>...</v>
      </c>
      <c r="L10743" s="1" t="str">
        <f t="shared" si="2409"/>
        <v>...</v>
      </c>
      <c r="M10743" s="1" t="str">
        <f t="shared" si="2409"/>
        <v>...</v>
      </c>
      <c r="N10743" t="s">
        <v>30</v>
      </c>
    </row>
    <row r="10744" spans="1:14" x14ac:dyDescent="0.25">
      <c r="A10744" t="s">
        <v>44</v>
      </c>
      <c r="B10744" t="s">
        <v>15</v>
      </c>
      <c r="C10744" t="s">
        <v>35</v>
      </c>
      <c r="D10744" t="s">
        <v>29</v>
      </c>
      <c r="E10744" t="s">
        <v>23</v>
      </c>
      <c r="F10744" t="s">
        <v>18</v>
      </c>
      <c r="G10744" s="1" t="str">
        <f t="shared" si="2409"/>
        <v>...</v>
      </c>
      <c r="H10744" s="1" t="str">
        <f t="shared" si="2409"/>
        <v>...</v>
      </c>
      <c r="I10744" s="1" t="str">
        <f t="shared" si="2409"/>
        <v>...</v>
      </c>
      <c r="J10744" s="1" t="str">
        <f t="shared" si="2409"/>
        <v>...</v>
      </c>
      <c r="K10744" s="1" t="str">
        <f t="shared" si="2409"/>
        <v>...</v>
      </c>
      <c r="L10744" s="1" t="str">
        <f t="shared" si="2409"/>
        <v>...</v>
      </c>
      <c r="M10744" s="1" t="str">
        <f t="shared" si="2409"/>
        <v>...</v>
      </c>
      <c r="N10744" t="s">
        <v>30</v>
      </c>
    </row>
    <row r="10745" spans="1:14" x14ac:dyDescent="0.25">
      <c r="A10745" t="s">
        <v>44</v>
      </c>
      <c r="B10745" t="s">
        <v>15</v>
      </c>
      <c r="C10745" t="s">
        <v>35</v>
      </c>
      <c r="D10745" t="s">
        <v>29</v>
      </c>
      <c r="E10745" t="s">
        <v>23</v>
      </c>
      <c r="F10745" t="s">
        <v>19</v>
      </c>
      <c r="G10745" s="1" t="str">
        <f t="shared" si="2409"/>
        <v>...</v>
      </c>
      <c r="H10745" s="1" t="str">
        <f t="shared" si="2409"/>
        <v>...</v>
      </c>
      <c r="I10745" s="1" t="str">
        <f t="shared" si="2409"/>
        <v>...</v>
      </c>
      <c r="J10745" s="1" t="str">
        <f t="shared" si="2409"/>
        <v>...</v>
      </c>
      <c r="K10745" s="1" t="str">
        <f t="shared" si="2409"/>
        <v>...</v>
      </c>
      <c r="L10745" s="1" t="str">
        <f t="shared" si="2409"/>
        <v>...</v>
      </c>
      <c r="M10745" s="1" t="str">
        <f t="shared" si="2409"/>
        <v>...</v>
      </c>
      <c r="N10745" t="s">
        <v>30</v>
      </c>
    </row>
    <row r="10746" spans="1:14" x14ac:dyDescent="0.25">
      <c r="A10746" t="s">
        <v>44</v>
      </c>
      <c r="B10746" t="s">
        <v>15</v>
      </c>
      <c r="C10746" t="s">
        <v>35</v>
      </c>
      <c r="D10746" t="s">
        <v>29</v>
      </c>
      <c r="E10746" t="s">
        <v>23</v>
      </c>
      <c r="F10746" t="s">
        <v>20</v>
      </c>
      <c r="G10746" s="1" t="str">
        <f t="shared" ref="G10746:M10747" si="2410">"X"</f>
        <v>X</v>
      </c>
      <c r="H10746" s="1" t="str">
        <f t="shared" si="2410"/>
        <v>X</v>
      </c>
      <c r="I10746" s="1" t="str">
        <f t="shared" si="2410"/>
        <v>X</v>
      </c>
      <c r="J10746" s="1" t="str">
        <f t="shared" si="2410"/>
        <v>X</v>
      </c>
      <c r="K10746" s="1" t="str">
        <f t="shared" si="2410"/>
        <v>X</v>
      </c>
      <c r="L10746" s="1" t="str">
        <f t="shared" si="2410"/>
        <v>X</v>
      </c>
      <c r="M10746" s="1" t="str">
        <f t="shared" si="2410"/>
        <v>X</v>
      </c>
      <c r="N10746" t="s">
        <v>27</v>
      </c>
    </row>
    <row r="10747" spans="1:14" x14ac:dyDescent="0.25">
      <c r="A10747" t="s">
        <v>44</v>
      </c>
      <c r="B10747" t="s">
        <v>15</v>
      </c>
      <c r="C10747" t="s">
        <v>35</v>
      </c>
      <c r="D10747" t="s">
        <v>29</v>
      </c>
      <c r="E10747" t="s">
        <v>26</v>
      </c>
      <c r="F10747" t="s">
        <v>15</v>
      </c>
      <c r="G10747" s="1" t="str">
        <f t="shared" si="2410"/>
        <v>X</v>
      </c>
      <c r="H10747" s="1" t="str">
        <f t="shared" si="2410"/>
        <v>X</v>
      </c>
      <c r="I10747" s="1" t="str">
        <f t="shared" si="2410"/>
        <v>X</v>
      </c>
      <c r="J10747" s="1" t="str">
        <f t="shared" si="2410"/>
        <v>X</v>
      </c>
      <c r="K10747" s="1" t="str">
        <f t="shared" si="2410"/>
        <v>X</v>
      </c>
      <c r="L10747" s="1" t="str">
        <f t="shared" si="2410"/>
        <v>X</v>
      </c>
      <c r="M10747" s="1" t="str">
        <f t="shared" si="2410"/>
        <v>X</v>
      </c>
      <c r="N10747" t="s">
        <v>27</v>
      </c>
    </row>
    <row r="10748" spans="1:14" x14ac:dyDescent="0.25">
      <c r="A10748" t="s">
        <v>44</v>
      </c>
      <c r="B10748" t="s">
        <v>15</v>
      </c>
      <c r="C10748" t="s">
        <v>35</v>
      </c>
      <c r="D10748" t="s">
        <v>29</v>
      </c>
      <c r="E10748" t="s">
        <v>26</v>
      </c>
      <c r="F10748" t="s">
        <v>17</v>
      </c>
      <c r="G10748" s="1" t="str">
        <f t="shared" ref="G10748:M10749" si="2411">"..."</f>
        <v>...</v>
      </c>
      <c r="H10748" s="1" t="str">
        <f t="shared" si="2411"/>
        <v>...</v>
      </c>
      <c r="I10748" s="1" t="str">
        <f t="shared" si="2411"/>
        <v>...</v>
      </c>
      <c r="J10748" s="1" t="str">
        <f t="shared" si="2411"/>
        <v>...</v>
      </c>
      <c r="K10748" s="1" t="str">
        <f t="shared" si="2411"/>
        <v>...</v>
      </c>
      <c r="L10748" s="1" t="str">
        <f t="shared" si="2411"/>
        <v>...</v>
      </c>
      <c r="M10748" s="1" t="str">
        <f t="shared" si="2411"/>
        <v>...</v>
      </c>
      <c r="N10748" t="s">
        <v>30</v>
      </c>
    </row>
    <row r="10749" spans="1:14" x14ac:dyDescent="0.25">
      <c r="A10749" t="s">
        <v>44</v>
      </c>
      <c r="B10749" t="s">
        <v>15</v>
      </c>
      <c r="C10749" t="s">
        <v>35</v>
      </c>
      <c r="D10749" t="s">
        <v>29</v>
      </c>
      <c r="E10749" t="s">
        <v>26</v>
      </c>
      <c r="F10749" t="s">
        <v>18</v>
      </c>
      <c r="G10749" s="1" t="str">
        <f t="shared" si="2411"/>
        <v>...</v>
      </c>
      <c r="H10749" s="1" t="str">
        <f t="shared" si="2411"/>
        <v>...</v>
      </c>
      <c r="I10749" s="1" t="str">
        <f t="shared" si="2411"/>
        <v>...</v>
      </c>
      <c r="J10749" s="1" t="str">
        <f t="shared" si="2411"/>
        <v>...</v>
      </c>
      <c r="K10749" s="1" t="str">
        <f t="shared" si="2411"/>
        <v>...</v>
      </c>
      <c r="L10749" s="1" t="str">
        <f t="shared" si="2411"/>
        <v>...</v>
      </c>
      <c r="M10749" s="1" t="str">
        <f t="shared" si="2411"/>
        <v>...</v>
      </c>
      <c r="N10749" t="s">
        <v>30</v>
      </c>
    </row>
    <row r="10750" spans="1:14" x14ac:dyDescent="0.25">
      <c r="A10750" t="s">
        <v>44</v>
      </c>
      <c r="B10750" t="s">
        <v>15</v>
      </c>
      <c r="C10750" t="s">
        <v>35</v>
      </c>
      <c r="D10750" t="s">
        <v>29</v>
      </c>
      <c r="E10750" t="s">
        <v>26</v>
      </c>
      <c r="F10750" t="s">
        <v>19</v>
      </c>
      <c r="G10750" s="1" t="str">
        <f t="shared" ref="G10750:M10751" si="2412">"X"</f>
        <v>X</v>
      </c>
      <c r="H10750" s="1" t="str">
        <f t="shared" si="2412"/>
        <v>X</v>
      </c>
      <c r="I10750" s="1" t="str">
        <f t="shared" si="2412"/>
        <v>X</v>
      </c>
      <c r="J10750" s="1" t="str">
        <f t="shared" si="2412"/>
        <v>X</v>
      </c>
      <c r="K10750" s="1" t="str">
        <f t="shared" si="2412"/>
        <v>X</v>
      </c>
      <c r="L10750" s="1" t="str">
        <f t="shared" si="2412"/>
        <v>X</v>
      </c>
      <c r="M10750" s="1" t="str">
        <f t="shared" si="2412"/>
        <v>X</v>
      </c>
      <c r="N10750" t="s">
        <v>27</v>
      </c>
    </row>
    <row r="10751" spans="1:14" x14ac:dyDescent="0.25">
      <c r="A10751" t="s">
        <v>44</v>
      </c>
      <c r="B10751" t="s">
        <v>15</v>
      </c>
      <c r="C10751" t="s">
        <v>35</v>
      </c>
      <c r="D10751" t="s">
        <v>29</v>
      </c>
      <c r="E10751" t="s">
        <v>26</v>
      </c>
      <c r="F10751" t="s">
        <v>20</v>
      </c>
      <c r="G10751" s="1" t="str">
        <f t="shared" si="2412"/>
        <v>X</v>
      </c>
      <c r="H10751" s="1" t="str">
        <f t="shared" si="2412"/>
        <v>X</v>
      </c>
      <c r="I10751" s="1" t="str">
        <f t="shared" si="2412"/>
        <v>X</v>
      </c>
      <c r="J10751" s="1" t="str">
        <f t="shared" si="2412"/>
        <v>X</v>
      </c>
      <c r="K10751" s="1" t="str">
        <f t="shared" si="2412"/>
        <v>X</v>
      </c>
      <c r="L10751" s="1" t="str">
        <f t="shared" si="2412"/>
        <v>X</v>
      </c>
      <c r="M10751" s="1" t="str">
        <f t="shared" si="2412"/>
        <v>X</v>
      </c>
      <c r="N10751" t="s">
        <v>27</v>
      </c>
    </row>
    <row r="10752" spans="1:14" x14ac:dyDescent="0.25">
      <c r="A10752" t="s">
        <v>44</v>
      </c>
      <c r="B10752" t="s">
        <v>15</v>
      </c>
      <c r="C10752" t="s">
        <v>35</v>
      </c>
      <c r="D10752" t="s">
        <v>31</v>
      </c>
      <c r="E10752" t="s">
        <v>15</v>
      </c>
      <c r="F10752" t="s">
        <v>15</v>
      </c>
      <c r="G10752" s="2">
        <f>VALUE(417.31)</f>
        <v>417.31</v>
      </c>
      <c r="H10752" s="3">
        <f>VALUE(363.29)</f>
        <v>363.29</v>
      </c>
      <c r="I10752" s="1">
        <f>VALUE(3375)</f>
        <v>3375</v>
      </c>
      <c r="J10752" s="1">
        <f>VALUE(3568)</f>
        <v>3568</v>
      </c>
      <c r="K10752" s="1">
        <f>VALUE(4268)</f>
        <v>4268</v>
      </c>
      <c r="L10752" s="7">
        <f>VALUE(5145)</f>
        <v>5145</v>
      </c>
      <c r="M10752" s="1">
        <f>VALUE(8692)</f>
        <v>8692</v>
      </c>
      <c r="N10752" t="s">
        <v>25</v>
      </c>
    </row>
    <row r="10753" spans="1:14" x14ac:dyDescent="0.25">
      <c r="A10753" t="s">
        <v>44</v>
      </c>
      <c r="B10753" t="s">
        <v>15</v>
      </c>
      <c r="C10753" t="s">
        <v>35</v>
      </c>
      <c r="D10753" t="s">
        <v>31</v>
      </c>
      <c r="E10753" t="s">
        <v>15</v>
      </c>
      <c r="F10753" t="s">
        <v>17</v>
      </c>
      <c r="G10753" s="1" t="str">
        <f t="shared" ref="G10753:M10755" si="2413">"X"</f>
        <v>X</v>
      </c>
      <c r="H10753" s="1" t="str">
        <f t="shared" si="2413"/>
        <v>X</v>
      </c>
      <c r="I10753" s="1" t="str">
        <f t="shared" si="2413"/>
        <v>X</v>
      </c>
      <c r="J10753" s="1" t="str">
        <f t="shared" si="2413"/>
        <v>X</v>
      </c>
      <c r="K10753" s="1" t="str">
        <f t="shared" si="2413"/>
        <v>X</v>
      </c>
      <c r="L10753" s="1" t="str">
        <f t="shared" si="2413"/>
        <v>X</v>
      </c>
      <c r="M10753" s="1" t="str">
        <f t="shared" si="2413"/>
        <v>X</v>
      </c>
      <c r="N10753" t="s">
        <v>27</v>
      </c>
    </row>
    <row r="10754" spans="1:14" x14ac:dyDescent="0.25">
      <c r="A10754" t="s">
        <v>44</v>
      </c>
      <c r="B10754" t="s">
        <v>15</v>
      </c>
      <c r="C10754" t="s">
        <v>35</v>
      </c>
      <c r="D10754" t="s">
        <v>31</v>
      </c>
      <c r="E10754" t="s">
        <v>15</v>
      </c>
      <c r="F10754" t="s">
        <v>18</v>
      </c>
      <c r="G10754" s="1" t="str">
        <f t="shared" si="2413"/>
        <v>X</v>
      </c>
      <c r="H10754" s="1" t="str">
        <f t="shared" si="2413"/>
        <v>X</v>
      </c>
      <c r="I10754" s="1" t="str">
        <f t="shared" si="2413"/>
        <v>X</v>
      </c>
      <c r="J10754" s="1" t="str">
        <f t="shared" si="2413"/>
        <v>X</v>
      </c>
      <c r="K10754" s="1" t="str">
        <f t="shared" si="2413"/>
        <v>X</v>
      </c>
      <c r="L10754" s="1" t="str">
        <f t="shared" si="2413"/>
        <v>X</v>
      </c>
      <c r="M10754" s="1" t="str">
        <f t="shared" si="2413"/>
        <v>X</v>
      </c>
      <c r="N10754" t="s">
        <v>27</v>
      </c>
    </row>
    <row r="10755" spans="1:14" x14ac:dyDescent="0.25">
      <c r="A10755" t="s">
        <v>44</v>
      </c>
      <c r="B10755" t="s">
        <v>15</v>
      </c>
      <c r="C10755" t="s">
        <v>35</v>
      </c>
      <c r="D10755" t="s">
        <v>31</v>
      </c>
      <c r="E10755" t="s">
        <v>15</v>
      </c>
      <c r="F10755" t="s">
        <v>19</v>
      </c>
      <c r="G10755" s="1" t="str">
        <f t="shared" si="2413"/>
        <v>X</v>
      </c>
      <c r="H10755" s="1" t="str">
        <f t="shared" si="2413"/>
        <v>X</v>
      </c>
      <c r="I10755" s="1" t="str">
        <f t="shared" si="2413"/>
        <v>X</v>
      </c>
      <c r="J10755" s="1" t="str">
        <f t="shared" si="2413"/>
        <v>X</v>
      </c>
      <c r="K10755" s="1" t="str">
        <f t="shared" si="2413"/>
        <v>X</v>
      </c>
      <c r="L10755" s="1" t="str">
        <f t="shared" si="2413"/>
        <v>X</v>
      </c>
      <c r="M10755" s="1" t="str">
        <f t="shared" si="2413"/>
        <v>X</v>
      </c>
      <c r="N10755" t="s">
        <v>27</v>
      </c>
    </row>
    <row r="10756" spans="1:14" x14ac:dyDescent="0.25">
      <c r="A10756" t="s">
        <v>44</v>
      </c>
      <c r="B10756" t="s">
        <v>15</v>
      </c>
      <c r="C10756" t="s">
        <v>35</v>
      </c>
      <c r="D10756" t="s">
        <v>31</v>
      </c>
      <c r="E10756" t="s">
        <v>15</v>
      </c>
      <c r="F10756" t="s">
        <v>20</v>
      </c>
      <c r="G10756" s="2">
        <f>VALUE(370.09)</f>
        <v>370.09</v>
      </c>
      <c r="H10756" s="3">
        <f>VALUE(323.94)</f>
        <v>323.94</v>
      </c>
      <c r="I10756" s="1">
        <f>VALUE(3432)</f>
        <v>3432</v>
      </c>
      <c r="J10756" s="5">
        <f>VALUE(3568)</f>
        <v>3568</v>
      </c>
      <c r="K10756" s="6">
        <f>VALUE(4268)</f>
        <v>4268</v>
      </c>
      <c r="L10756" s="7">
        <f>VALUE(5261)</f>
        <v>5261</v>
      </c>
      <c r="M10756" s="1">
        <f>VALUE(8692)</f>
        <v>8692</v>
      </c>
      <c r="N10756" t="s">
        <v>25</v>
      </c>
    </row>
    <row r="10757" spans="1:14" x14ac:dyDescent="0.25">
      <c r="A10757" t="s">
        <v>44</v>
      </c>
      <c r="B10757" t="s">
        <v>15</v>
      </c>
      <c r="C10757" t="s">
        <v>35</v>
      </c>
      <c r="D10757" t="s">
        <v>31</v>
      </c>
      <c r="E10757" t="s">
        <v>21</v>
      </c>
      <c r="F10757" t="s">
        <v>15</v>
      </c>
      <c r="G10757" s="1" t="str">
        <f t="shared" ref="G10757:M10757" si="2414">"X"</f>
        <v>X</v>
      </c>
      <c r="H10757" s="1" t="str">
        <f t="shared" si="2414"/>
        <v>X</v>
      </c>
      <c r="I10757" s="1" t="str">
        <f t="shared" si="2414"/>
        <v>X</v>
      </c>
      <c r="J10757" s="1" t="str">
        <f t="shared" si="2414"/>
        <v>X</v>
      </c>
      <c r="K10757" s="1" t="str">
        <f t="shared" si="2414"/>
        <v>X</v>
      </c>
      <c r="L10757" s="1" t="str">
        <f t="shared" si="2414"/>
        <v>X</v>
      </c>
      <c r="M10757" s="1" t="str">
        <f t="shared" si="2414"/>
        <v>X</v>
      </c>
      <c r="N10757" t="s">
        <v>27</v>
      </c>
    </row>
    <row r="10758" spans="1:14" x14ac:dyDescent="0.25">
      <c r="A10758" t="s">
        <v>44</v>
      </c>
      <c r="B10758" t="s">
        <v>15</v>
      </c>
      <c r="C10758" t="s">
        <v>35</v>
      </c>
      <c r="D10758" t="s">
        <v>31</v>
      </c>
      <c r="E10758" t="s">
        <v>21</v>
      </c>
      <c r="F10758" t="s">
        <v>17</v>
      </c>
      <c r="G10758" s="1" t="str">
        <f t="shared" ref="G10758:M10758" si="2415">"..."</f>
        <v>...</v>
      </c>
      <c r="H10758" s="1" t="str">
        <f t="shared" si="2415"/>
        <v>...</v>
      </c>
      <c r="I10758" s="1" t="str">
        <f t="shared" si="2415"/>
        <v>...</v>
      </c>
      <c r="J10758" s="1" t="str">
        <f t="shared" si="2415"/>
        <v>...</v>
      </c>
      <c r="K10758" s="1" t="str">
        <f t="shared" si="2415"/>
        <v>...</v>
      </c>
      <c r="L10758" s="1" t="str">
        <f t="shared" si="2415"/>
        <v>...</v>
      </c>
      <c r="M10758" s="1" t="str">
        <f t="shared" si="2415"/>
        <v>...</v>
      </c>
      <c r="N10758" t="s">
        <v>30</v>
      </c>
    </row>
    <row r="10759" spans="1:14" x14ac:dyDescent="0.25">
      <c r="A10759" t="s">
        <v>44</v>
      </c>
      <c r="B10759" t="s">
        <v>15</v>
      </c>
      <c r="C10759" t="s">
        <v>35</v>
      </c>
      <c r="D10759" t="s">
        <v>31</v>
      </c>
      <c r="E10759" t="s">
        <v>21</v>
      </c>
      <c r="F10759" t="s">
        <v>18</v>
      </c>
      <c r="G10759" s="1" t="str">
        <f t="shared" ref="G10759:M10759" si="2416">"X"</f>
        <v>X</v>
      </c>
      <c r="H10759" s="1" t="str">
        <f t="shared" si="2416"/>
        <v>X</v>
      </c>
      <c r="I10759" s="1" t="str">
        <f t="shared" si="2416"/>
        <v>X</v>
      </c>
      <c r="J10759" s="1" t="str">
        <f t="shared" si="2416"/>
        <v>X</v>
      </c>
      <c r="K10759" s="1" t="str">
        <f t="shared" si="2416"/>
        <v>X</v>
      </c>
      <c r="L10759" s="1" t="str">
        <f t="shared" si="2416"/>
        <v>X</v>
      </c>
      <c r="M10759" s="1" t="str">
        <f t="shared" si="2416"/>
        <v>X</v>
      </c>
      <c r="N10759" t="s">
        <v>27</v>
      </c>
    </row>
    <row r="10760" spans="1:14" x14ac:dyDescent="0.25">
      <c r="A10760" t="s">
        <v>44</v>
      </c>
      <c r="B10760" t="s">
        <v>15</v>
      </c>
      <c r="C10760" t="s">
        <v>35</v>
      </c>
      <c r="D10760" t="s">
        <v>31</v>
      </c>
      <c r="E10760" t="s">
        <v>21</v>
      </c>
      <c r="F10760" t="s">
        <v>19</v>
      </c>
      <c r="G10760" s="1" t="str">
        <f t="shared" ref="G10760:M10760" si="2417">"..."</f>
        <v>...</v>
      </c>
      <c r="H10760" s="1" t="str">
        <f t="shared" si="2417"/>
        <v>...</v>
      </c>
      <c r="I10760" s="1" t="str">
        <f t="shared" si="2417"/>
        <v>...</v>
      </c>
      <c r="J10760" s="1" t="str">
        <f t="shared" si="2417"/>
        <v>...</v>
      </c>
      <c r="K10760" s="1" t="str">
        <f t="shared" si="2417"/>
        <v>...</v>
      </c>
      <c r="L10760" s="1" t="str">
        <f t="shared" si="2417"/>
        <v>...</v>
      </c>
      <c r="M10760" s="1" t="str">
        <f t="shared" si="2417"/>
        <v>...</v>
      </c>
      <c r="N10760" t="s">
        <v>30</v>
      </c>
    </row>
    <row r="10761" spans="1:14" x14ac:dyDescent="0.25">
      <c r="A10761" t="s">
        <v>44</v>
      </c>
      <c r="B10761" t="s">
        <v>15</v>
      </c>
      <c r="C10761" t="s">
        <v>35</v>
      </c>
      <c r="D10761" t="s">
        <v>31</v>
      </c>
      <c r="E10761" t="s">
        <v>21</v>
      </c>
      <c r="F10761" t="s">
        <v>20</v>
      </c>
      <c r="G10761" s="1" t="str">
        <f t="shared" ref="G10761:M10762" si="2418">"X"</f>
        <v>X</v>
      </c>
      <c r="H10761" s="1" t="str">
        <f t="shared" si="2418"/>
        <v>X</v>
      </c>
      <c r="I10761" s="1" t="str">
        <f t="shared" si="2418"/>
        <v>X</v>
      </c>
      <c r="J10761" s="1" t="str">
        <f t="shared" si="2418"/>
        <v>X</v>
      </c>
      <c r="K10761" s="1" t="str">
        <f t="shared" si="2418"/>
        <v>X</v>
      </c>
      <c r="L10761" s="1" t="str">
        <f t="shared" si="2418"/>
        <v>X</v>
      </c>
      <c r="M10761" s="1" t="str">
        <f t="shared" si="2418"/>
        <v>X</v>
      </c>
      <c r="N10761" t="s">
        <v>27</v>
      </c>
    </row>
    <row r="10762" spans="1:14" x14ac:dyDescent="0.25">
      <c r="A10762" t="s">
        <v>44</v>
      </c>
      <c r="B10762" t="s">
        <v>15</v>
      </c>
      <c r="C10762" t="s">
        <v>35</v>
      </c>
      <c r="D10762" t="s">
        <v>31</v>
      </c>
      <c r="E10762" t="s">
        <v>22</v>
      </c>
      <c r="F10762" t="s">
        <v>15</v>
      </c>
      <c r="G10762" s="1" t="str">
        <f t="shared" si="2418"/>
        <v>X</v>
      </c>
      <c r="H10762" s="1" t="str">
        <f t="shared" si="2418"/>
        <v>X</v>
      </c>
      <c r="I10762" s="1" t="str">
        <f t="shared" si="2418"/>
        <v>X</v>
      </c>
      <c r="J10762" s="1" t="str">
        <f t="shared" si="2418"/>
        <v>X</v>
      </c>
      <c r="K10762" s="1" t="str">
        <f t="shared" si="2418"/>
        <v>X</v>
      </c>
      <c r="L10762" s="1" t="str">
        <f t="shared" si="2418"/>
        <v>X</v>
      </c>
      <c r="M10762" s="1" t="str">
        <f t="shared" si="2418"/>
        <v>X</v>
      </c>
      <c r="N10762" t="s">
        <v>27</v>
      </c>
    </row>
    <row r="10763" spans="1:14" x14ac:dyDescent="0.25">
      <c r="A10763" t="s">
        <v>44</v>
      </c>
      <c r="B10763" t="s">
        <v>15</v>
      </c>
      <c r="C10763" t="s">
        <v>35</v>
      </c>
      <c r="D10763" t="s">
        <v>31</v>
      </c>
      <c r="E10763" t="s">
        <v>22</v>
      </c>
      <c r="F10763" t="s">
        <v>17</v>
      </c>
      <c r="G10763" s="1" t="str">
        <f t="shared" ref="G10763:M10763" si="2419">"..."</f>
        <v>...</v>
      </c>
      <c r="H10763" s="1" t="str">
        <f t="shared" si="2419"/>
        <v>...</v>
      </c>
      <c r="I10763" s="1" t="str">
        <f t="shared" si="2419"/>
        <v>...</v>
      </c>
      <c r="J10763" s="1" t="str">
        <f t="shared" si="2419"/>
        <v>...</v>
      </c>
      <c r="K10763" s="1" t="str">
        <f t="shared" si="2419"/>
        <v>...</v>
      </c>
      <c r="L10763" s="1" t="str">
        <f t="shared" si="2419"/>
        <v>...</v>
      </c>
      <c r="M10763" s="1" t="str">
        <f t="shared" si="2419"/>
        <v>...</v>
      </c>
      <c r="N10763" t="s">
        <v>30</v>
      </c>
    </row>
    <row r="10764" spans="1:14" x14ac:dyDescent="0.25">
      <c r="A10764" t="s">
        <v>44</v>
      </c>
      <c r="B10764" t="s">
        <v>15</v>
      </c>
      <c r="C10764" t="s">
        <v>35</v>
      </c>
      <c r="D10764" t="s">
        <v>31</v>
      </c>
      <c r="E10764" t="s">
        <v>22</v>
      </c>
      <c r="F10764" t="s">
        <v>18</v>
      </c>
      <c r="G10764" s="1" t="str">
        <f t="shared" ref="G10764:M10772" si="2420">"X"</f>
        <v>X</v>
      </c>
      <c r="H10764" s="1" t="str">
        <f t="shared" si="2420"/>
        <v>X</v>
      </c>
      <c r="I10764" s="1" t="str">
        <f t="shared" si="2420"/>
        <v>X</v>
      </c>
      <c r="J10764" s="1" t="str">
        <f t="shared" si="2420"/>
        <v>X</v>
      </c>
      <c r="K10764" s="1" t="str">
        <f t="shared" si="2420"/>
        <v>X</v>
      </c>
      <c r="L10764" s="1" t="str">
        <f t="shared" si="2420"/>
        <v>X</v>
      </c>
      <c r="M10764" s="1" t="str">
        <f t="shared" si="2420"/>
        <v>X</v>
      </c>
      <c r="N10764" t="s">
        <v>27</v>
      </c>
    </row>
    <row r="10765" spans="1:14" x14ac:dyDescent="0.25">
      <c r="A10765" t="s">
        <v>44</v>
      </c>
      <c r="B10765" t="s">
        <v>15</v>
      </c>
      <c r="C10765" t="s">
        <v>35</v>
      </c>
      <c r="D10765" t="s">
        <v>31</v>
      </c>
      <c r="E10765" t="s">
        <v>22</v>
      </c>
      <c r="F10765" t="s">
        <v>19</v>
      </c>
      <c r="G10765" s="1" t="str">
        <f t="shared" si="2420"/>
        <v>X</v>
      </c>
      <c r="H10765" s="1" t="str">
        <f t="shared" si="2420"/>
        <v>X</v>
      </c>
      <c r="I10765" s="1" t="str">
        <f t="shared" si="2420"/>
        <v>X</v>
      </c>
      <c r="J10765" s="1" t="str">
        <f t="shared" si="2420"/>
        <v>X</v>
      </c>
      <c r="K10765" s="1" t="str">
        <f t="shared" si="2420"/>
        <v>X</v>
      </c>
      <c r="L10765" s="1" t="str">
        <f t="shared" si="2420"/>
        <v>X</v>
      </c>
      <c r="M10765" s="1" t="str">
        <f t="shared" si="2420"/>
        <v>X</v>
      </c>
      <c r="N10765" t="s">
        <v>27</v>
      </c>
    </row>
    <row r="10766" spans="1:14" x14ac:dyDescent="0.25">
      <c r="A10766" t="s">
        <v>44</v>
      </c>
      <c r="B10766" t="s">
        <v>15</v>
      </c>
      <c r="C10766" t="s">
        <v>35</v>
      </c>
      <c r="D10766" t="s">
        <v>31</v>
      </c>
      <c r="E10766" t="s">
        <v>22</v>
      </c>
      <c r="F10766" t="s">
        <v>20</v>
      </c>
      <c r="G10766" s="1" t="str">
        <f t="shared" si="2420"/>
        <v>X</v>
      </c>
      <c r="H10766" s="1" t="str">
        <f t="shared" si="2420"/>
        <v>X</v>
      </c>
      <c r="I10766" s="1" t="str">
        <f t="shared" si="2420"/>
        <v>X</v>
      </c>
      <c r="J10766" s="1" t="str">
        <f t="shared" si="2420"/>
        <v>X</v>
      </c>
      <c r="K10766" s="1" t="str">
        <f t="shared" si="2420"/>
        <v>X</v>
      </c>
      <c r="L10766" s="1" t="str">
        <f t="shared" si="2420"/>
        <v>X</v>
      </c>
      <c r="M10766" s="1" t="str">
        <f t="shared" si="2420"/>
        <v>X</v>
      </c>
      <c r="N10766" t="s">
        <v>27</v>
      </c>
    </row>
    <row r="10767" spans="1:14" x14ac:dyDescent="0.25">
      <c r="A10767" t="s">
        <v>44</v>
      </c>
      <c r="B10767" t="s">
        <v>15</v>
      </c>
      <c r="C10767" t="s">
        <v>35</v>
      </c>
      <c r="D10767" t="s">
        <v>31</v>
      </c>
      <c r="E10767" t="s">
        <v>23</v>
      </c>
      <c r="F10767" t="s">
        <v>15</v>
      </c>
      <c r="G10767" s="1" t="str">
        <f t="shared" si="2420"/>
        <v>X</v>
      </c>
      <c r="H10767" s="1" t="str">
        <f t="shared" si="2420"/>
        <v>X</v>
      </c>
      <c r="I10767" s="1" t="str">
        <f t="shared" si="2420"/>
        <v>X</v>
      </c>
      <c r="J10767" s="1" t="str">
        <f t="shared" si="2420"/>
        <v>X</v>
      </c>
      <c r="K10767" s="1" t="str">
        <f t="shared" si="2420"/>
        <v>X</v>
      </c>
      <c r="L10767" s="1" t="str">
        <f t="shared" si="2420"/>
        <v>X</v>
      </c>
      <c r="M10767" s="1" t="str">
        <f t="shared" si="2420"/>
        <v>X</v>
      </c>
      <c r="N10767" t="s">
        <v>27</v>
      </c>
    </row>
    <row r="10768" spans="1:14" x14ac:dyDescent="0.25">
      <c r="A10768" t="s">
        <v>44</v>
      </c>
      <c r="B10768" t="s">
        <v>15</v>
      </c>
      <c r="C10768" t="s">
        <v>35</v>
      </c>
      <c r="D10768" t="s">
        <v>31</v>
      </c>
      <c r="E10768" t="s">
        <v>23</v>
      </c>
      <c r="F10768" t="s">
        <v>17</v>
      </c>
      <c r="G10768" s="1" t="str">
        <f t="shared" si="2420"/>
        <v>X</v>
      </c>
      <c r="H10768" s="1" t="str">
        <f t="shared" si="2420"/>
        <v>X</v>
      </c>
      <c r="I10768" s="1" t="str">
        <f t="shared" si="2420"/>
        <v>X</v>
      </c>
      <c r="J10768" s="1" t="str">
        <f t="shared" si="2420"/>
        <v>X</v>
      </c>
      <c r="K10768" s="1" t="str">
        <f t="shared" si="2420"/>
        <v>X</v>
      </c>
      <c r="L10768" s="1" t="str">
        <f t="shared" si="2420"/>
        <v>X</v>
      </c>
      <c r="M10768" s="1" t="str">
        <f t="shared" si="2420"/>
        <v>X</v>
      </c>
      <c r="N10768" t="s">
        <v>27</v>
      </c>
    </row>
    <row r="10769" spans="1:14" x14ac:dyDescent="0.25">
      <c r="A10769" t="s">
        <v>44</v>
      </c>
      <c r="B10769" t="s">
        <v>15</v>
      </c>
      <c r="C10769" t="s">
        <v>35</v>
      </c>
      <c r="D10769" t="s">
        <v>31</v>
      </c>
      <c r="E10769" t="s">
        <v>23</v>
      </c>
      <c r="F10769" t="s">
        <v>18</v>
      </c>
      <c r="G10769" s="1" t="str">
        <f t="shared" si="2420"/>
        <v>X</v>
      </c>
      <c r="H10769" s="1" t="str">
        <f t="shared" si="2420"/>
        <v>X</v>
      </c>
      <c r="I10769" s="1" t="str">
        <f t="shared" si="2420"/>
        <v>X</v>
      </c>
      <c r="J10769" s="1" t="str">
        <f t="shared" si="2420"/>
        <v>X</v>
      </c>
      <c r="K10769" s="1" t="str">
        <f t="shared" si="2420"/>
        <v>X</v>
      </c>
      <c r="L10769" s="1" t="str">
        <f t="shared" si="2420"/>
        <v>X</v>
      </c>
      <c r="M10769" s="1" t="str">
        <f t="shared" si="2420"/>
        <v>X</v>
      </c>
      <c r="N10769" t="s">
        <v>27</v>
      </c>
    </row>
    <row r="10770" spans="1:14" x14ac:dyDescent="0.25">
      <c r="A10770" t="s">
        <v>44</v>
      </c>
      <c r="B10770" t="s">
        <v>15</v>
      </c>
      <c r="C10770" t="s">
        <v>35</v>
      </c>
      <c r="D10770" t="s">
        <v>31</v>
      </c>
      <c r="E10770" t="s">
        <v>23</v>
      </c>
      <c r="F10770" t="s">
        <v>19</v>
      </c>
      <c r="G10770" s="1" t="str">
        <f t="shared" si="2420"/>
        <v>X</v>
      </c>
      <c r="H10770" s="1" t="str">
        <f t="shared" si="2420"/>
        <v>X</v>
      </c>
      <c r="I10770" s="1" t="str">
        <f t="shared" si="2420"/>
        <v>X</v>
      </c>
      <c r="J10770" s="1" t="str">
        <f t="shared" si="2420"/>
        <v>X</v>
      </c>
      <c r="K10770" s="1" t="str">
        <f t="shared" si="2420"/>
        <v>X</v>
      </c>
      <c r="L10770" s="1" t="str">
        <f t="shared" si="2420"/>
        <v>X</v>
      </c>
      <c r="M10770" s="1" t="str">
        <f t="shared" si="2420"/>
        <v>X</v>
      </c>
      <c r="N10770" t="s">
        <v>27</v>
      </c>
    </row>
    <row r="10771" spans="1:14" x14ac:dyDescent="0.25">
      <c r="A10771" t="s">
        <v>44</v>
      </c>
      <c r="B10771" t="s">
        <v>15</v>
      </c>
      <c r="C10771" t="s">
        <v>35</v>
      </c>
      <c r="D10771" t="s">
        <v>31</v>
      </c>
      <c r="E10771" t="s">
        <v>23</v>
      </c>
      <c r="F10771" t="s">
        <v>20</v>
      </c>
      <c r="G10771" s="1" t="str">
        <f t="shared" si="2420"/>
        <v>X</v>
      </c>
      <c r="H10771" s="1" t="str">
        <f t="shared" si="2420"/>
        <v>X</v>
      </c>
      <c r="I10771" s="1" t="str">
        <f t="shared" si="2420"/>
        <v>X</v>
      </c>
      <c r="J10771" s="1" t="str">
        <f t="shared" si="2420"/>
        <v>X</v>
      </c>
      <c r="K10771" s="1" t="str">
        <f t="shared" si="2420"/>
        <v>X</v>
      </c>
      <c r="L10771" s="1" t="str">
        <f t="shared" si="2420"/>
        <v>X</v>
      </c>
      <c r="M10771" s="1" t="str">
        <f t="shared" si="2420"/>
        <v>X</v>
      </c>
      <c r="N10771" t="s">
        <v>27</v>
      </c>
    </row>
    <row r="10772" spans="1:14" x14ac:dyDescent="0.25">
      <c r="A10772" t="s">
        <v>44</v>
      </c>
      <c r="B10772" t="s">
        <v>15</v>
      </c>
      <c r="C10772" t="s">
        <v>35</v>
      </c>
      <c r="D10772" t="s">
        <v>31</v>
      </c>
      <c r="E10772" t="s">
        <v>26</v>
      </c>
      <c r="F10772" t="s">
        <v>15</v>
      </c>
      <c r="G10772" s="1" t="str">
        <f t="shared" si="2420"/>
        <v>X</v>
      </c>
      <c r="H10772" s="1" t="str">
        <f t="shared" si="2420"/>
        <v>X</v>
      </c>
      <c r="I10772" s="1" t="str">
        <f t="shared" si="2420"/>
        <v>X</v>
      </c>
      <c r="J10772" s="1" t="str">
        <f t="shared" si="2420"/>
        <v>X</v>
      </c>
      <c r="K10772" s="1" t="str">
        <f t="shared" si="2420"/>
        <v>X</v>
      </c>
      <c r="L10772" s="1" t="str">
        <f t="shared" si="2420"/>
        <v>X</v>
      </c>
      <c r="M10772" s="1" t="str">
        <f t="shared" si="2420"/>
        <v>X</v>
      </c>
      <c r="N10772" t="s">
        <v>27</v>
      </c>
    </row>
    <row r="10773" spans="1:14" x14ac:dyDescent="0.25">
      <c r="A10773" t="s">
        <v>44</v>
      </c>
      <c r="B10773" t="s">
        <v>15</v>
      </c>
      <c r="C10773" t="s">
        <v>35</v>
      </c>
      <c r="D10773" t="s">
        <v>31</v>
      </c>
      <c r="E10773" t="s">
        <v>26</v>
      </c>
      <c r="F10773" t="s">
        <v>17</v>
      </c>
      <c r="G10773" s="1" t="str">
        <f t="shared" ref="G10773:M10775" si="2421">"..."</f>
        <v>...</v>
      </c>
      <c r="H10773" s="1" t="str">
        <f t="shared" si="2421"/>
        <v>...</v>
      </c>
      <c r="I10773" s="1" t="str">
        <f t="shared" si="2421"/>
        <v>...</v>
      </c>
      <c r="J10773" s="1" t="str">
        <f t="shared" si="2421"/>
        <v>...</v>
      </c>
      <c r="K10773" s="1" t="str">
        <f t="shared" si="2421"/>
        <v>...</v>
      </c>
      <c r="L10773" s="1" t="str">
        <f t="shared" si="2421"/>
        <v>...</v>
      </c>
      <c r="M10773" s="1" t="str">
        <f t="shared" si="2421"/>
        <v>...</v>
      </c>
      <c r="N10773" t="s">
        <v>30</v>
      </c>
    </row>
    <row r="10774" spans="1:14" x14ac:dyDescent="0.25">
      <c r="A10774" t="s">
        <v>44</v>
      </c>
      <c r="B10774" t="s">
        <v>15</v>
      </c>
      <c r="C10774" t="s">
        <v>35</v>
      </c>
      <c r="D10774" t="s">
        <v>31</v>
      </c>
      <c r="E10774" t="s">
        <v>26</v>
      </c>
      <c r="F10774" t="s">
        <v>18</v>
      </c>
      <c r="G10774" s="1" t="str">
        <f t="shared" si="2421"/>
        <v>...</v>
      </c>
      <c r="H10774" s="1" t="str">
        <f t="shared" si="2421"/>
        <v>...</v>
      </c>
      <c r="I10774" s="1" t="str">
        <f t="shared" si="2421"/>
        <v>...</v>
      </c>
      <c r="J10774" s="1" t="str">
        <f t="shared" si="2421"/>
        <v>...</v>
      </c>
      <c r="K10774" s="1" t="str">
        <f t="shared" si="2421"/>
        <v>...</v>
      </c>
      <c r="L10774" s="1" t="str">
        <f t="shared" si="2421"/>
        <v>...</v>
      </c>
      <c r="M10774" s="1" t="str">
        <f t="shared" si="2421"/>
        <v>...</v>
      </c>
      <c r="N10774" t="s">
        <v>30</v>
      </c>
    </row>
    <row r="10775" spans="1:14" x14ac:dyDescent="0.25">
      <c r="A10775" t="s">
        <v>44</v>
      </c>
      <c r="B10775" t="s">
        <v>15</v>
      </c>
      <c r="C10775" t="s">
        <v>35</v>
      </c>
      <c r="D10775" t="s">
        <v>31</v>
      </c>
      <c r="E10775" t="s">
        <v>26</v>
      </c>
      <c r="F10775" t="s">
        <v>19</v>
      </c>
      <c r="G10775" s="1" t="str">
        <f t="shared" si="2421"/>
        <v>...</v>
      </c>
      <c r="H10775" s="1" t="str">
        <f t="shared" si="2421"/>
        <v>...</v>
      </c>
      <c r="I10775" s="1" t="str">
        <f t="shared" si="2421"/>
        <v>...</v>
      </c>
      <c r="J10775" s="1" t="str">
        <f t="shared" si="2421"/>
        <v>...</v>
      </c>
      <c r="K10775" s="1" t="str">
        <f t="shared" si="2421"/>
        <v>...</v>
      </c>
      <c r="L10775" s="1" t="str">
        <f t="shared" si="2421"/>
        <v>...</v>
      </c>
      <c r="M10775" s="1" t="str">
        <f t="shared" si="2421"/>
        <v>...</v>
      </c>
      <c r="N10775" t="s">
        <v>30</v>
      </c>
    </row>
    <row r="10776" spans="1:14" x14ac:dyDescent="0.25">
      <c r="A10776" t="s">
        <v>44</v>
      </c>
      <c r="B10776" t="s">
        <v>15</v>
      </c>
      <c r="C10776" t="s">
        <v>35</v>
      </c>
      <c r="D10776" t="s">
        <v>31</v>
      </c>
      <c r="E10776" t="s">
        <v>26</v>
      </c>
      <c r="F10776" t="s">
        <v>20</v>
      </c>
      <c r="G10776" s="1" t="str">
        <f t="shared" ref="G10776:M10776" si="2422">"X"</f>
        <v>X</v>
      </c>
      <c r="H10776" s="1" t="str">
        <f t="shared" si="2422"/>
        <v>X</v>
      </c>
      <c r="I10776" s="1" t="str">
        <f t="shared" si="2422"/>
        <v>X</v>
      </c>
      <c r="J10776" s="1" t="str">
        <f t="shared" si="2422"/>
        <v>X</v>
      </c>
      <c r="K10776" s="1" t="str">
        <f t="shared" si="2422"/>
        <v>X</v>
      </c>
      <c r="L10776" s="1" t="str">
        <f t="shared" si="2422"/>
        <v>X</v>
      </c>
      <c r="M10776" s="1" t="str">
        <f t="shared" si="2422"/>
        <v>X</v>
      </c>
      <c r="N10776" t="s">
        <v>27</v>
      </c>
    </row>
    <row r="10777" spans="1:14" x14ac:dyDescent="0.25">
      <c r="A10777" t="s">
        <v>44</v>
      </c>
      <c r="B10777" t="s">
        <v>15</v>
      </c>
      <c r="C10777" t="s">
        <v>35</v>
      </c>
      <c r="D10777" t="s">
        <v>32</v>
      </c>
      <c r="E10777" t="s">
        <v>15</v>
      </c>
      <c r="F10777" t="s">
        <v>15</v>
      </c>
      <c r="G10777" s="2">
        <f>VALUE(1948.01)</f>
        <v>1948.01</v>
      </c>
      <c r="H10777" s="3">
        <f>VALUE(1616.45)</f>
        <v>1616.45</v>
      </c>
      <c r="I10777" s="4">
        <f>VALUE(2487)</f>
        <v>2487</v>
      </c>
      <c r="J10777" s="1">
        <f>VALUE(3211)</f>
        <v>3211</v>
      </c>
      <c r="K10777" s="1">
        <f>VALUE(3491)</f>
        <v>3491</v>
      </c>
      <c r="L10777" s="1">
        <f>VALUE(4088)</f>
        <v>4088</v>
      </c>
      <c r="M10777" s="1">
        <f>VALUE(5066)</f>
        <v>5066</v>
      </c>
      <c r="N10777" t="s">
        <v>25</v>
      </c>
    </row>
    <row r="10778" spans="1:14" x14ac:dyDescent="0.25">
      <c r="A10778" t="s">
        <v>44</v>
      </c>
      <c r="B10778" t="s">
        <v>15</v>
      </c>
      <c r="C10778" t="s">
        <v>35</v>
      </c>
      <c r="D10778" t="s">
        <v>32</v>
      </c>
      <c r="E10778" t="s">
        <v>15</v>
      </c>
      <c r="F10778" t="s">
        <v>17</v>
      </c>
      <c r="G10778" s="1" t="str">
        <f t="shared" ref="G10778:M10780" si="2423">"X"</f>
        <v>X</v>
      </c>
      <c r="H10778" s="1" t="str">
        <f t="shared" si="2423"/>
        <v>X</v>
      </c>
      <c r="I10778" s="1" t="str">
        <f t="shared" si="2423"/>
        <v>X</v>
      </c>
      <c r="J10778" s="1" t="str">
        <f t="shared" si="2423"/>
        <v>X</v>
      </c>
      <c r="K10778" s="1" t="str">
        <f t="shared" si="2423"/>
        <v>X</v>
      </c>
      <c r="L10778" s="1" t="str">
        <f t="shared" si="2423"/>
        <v>X</v>
      </c>
      <c r="M10778" s="1" t="str">
        <f t="shared" si="2423"/>
        <v>X</v>
      </c>
      <c r="N10778" t="s">
        <v>27</v>
      </c>
    </row>
    <row r="10779" spans="1:14" x14ac:dyDescent="0.25">
      <c r="A10779" t="s">
        <v>44</v>
      </c>
      <c r="B10779" t="s">
        <v>15</v>
      </c>
      <c r="C10779" t="s">
        <v>35</v>
      </c>
      <c r="D10779" t="s">
        <v>32</v>
      </c>
      <c r="E10779" t="s">
        <v>15</v>
      </c>
      <c r="F10779" t="s">
        <v>18</v>
      </c>
      <c r="G10779" s="1" t="str">
        <f t="shared" si="2423"/>
        <v>X</v>
      </c>
      <c r="H10779" s="1" t="str">
        <f t="shared" si="2423"/>
        <v>X</v>
      </c>
      <c r="I10779" s="1" t="str">
        <f t="shared" si="2423"/>
        <v>X</v>
      </c>
      <c r="J10779" s="1" t="str">
        <f t="shared" si="2423"/>
        <v>X</v>
      </c>
      <c r="K10779" s="1" t="str">
        <f t="shared" si="2423"/>
        <v>X</v>
      </c>
      <c r="L10779" s="1" t="str">
        <f t="shared" si="2423"/>
        <v>X</v>
      </c>
      <c r="M10779" s="1" t="str">
        <f t="shared" si="2423"/>
        <v>X</v>
      </c>
      <c r="N10779" t="s">
        <v>27</v>
      </c>
    </row>
    <row r="10780" spans="1:14" x14ac:dyDescent="0.25">
      <c r="A10780" t="s">
        <v>44</v>
      </c>
      <c r="B10780" t="s">
        <v>15</v>
      </c>
      <c r="C10780" t="s">
        <v>35</v>
      </c>
      <c r="D10780" t="s">
        <v>32</v>
      </c>
      <c r="E10780" t="s">
        <v>15</v>
      </c>
      <c r="F10780" t="s">
        <v>19</v>
      </c>
      <c r="G10780" s="1" t="str">
        <f t="shared" si="2423"/>
        <v>X</v>
      </c>
      <c r="H10780" s="1" t="str">
        <f t="shared" si="2423"/>
        <v>X</v>
      </c>
      <c r="I10780" s="1" t="str">
        <f t="shared" si="2423"/>
        <v>X</v>
      </c>
      <c r="J10780" s="1" t="str">
        <f t="shared" si="2423"/>
        <v>X</v>
      </c>
      <c r="K10780" s="1" t="str">
        <f t="shared" si="2423"/>
        <v>X</v>
      </c>
      <c r="L10780" s="1" t="str">
        <f t="shared" si="2423"/>
        <v>X</v>
      </c>
      <c r="M10780" s="1" t="str">
        <f t="shared" si="2423"/>
        <v>X</v>
      </c>
      <c r="N10780" t="s">
        <v>27</v>
      </c>
    </row>
    <row r="10781" spans="1:14" x14ac:dyDescent="0.25">
      <c r="A10781" t="s">
        <v>44</v>
      </c>
      <c r="B10781" t="s">
        <v>15</v>
      </c>
      <c r="C10781" t="s">
        <v>35</v>
      </c>
      <c r="D10781" t="s">
        <v>32</v>
      </c>
      <c r="E10781" t="s">
        <v>15</v>
      </c>
      <c r="F10781" t="s">
        <v>20</v>
      </c>
      <c r="G10781" s="2">
        <f>VALUE(1793.24)</f>
        <v>1793.24</v>
      </c>
      <c r="H10781" s="3">
        <f>VALUE(1483.29)</f>
        <v>1483.29</v>
      </c>
      <c r="I10781" s="4">
        <f>VALUE(2454)</f>
        <v>2454</v>
      </c>
      <c r="J10781" s="1">
        <f>VALUE(3204)</f>
        <v>3204</v>
      </c>
      <c r="K10781" s="1">
        <f>VALUE(3452)</f>
        <v>3452</v>
      </c>
      <c r="L10781" s="1">
        <f>VALUE(3899)</f>
        <v>3899</v>
      </c>
      <c r="M10781" s="8">
        <f>VALUE(4786)</f>
        <v>4786</v>
      </c>
      <c r="N10781" t="s">
        <v>25</v>
      </c>
    </row>
    <row r="10782" spans="1:14" x14ac:dyDescent="0.25">
      <c r="A10782" t="s">
        <v>44</v>
      </c>
      <c r="B10782" t="s">
        <v>15</v>
      </c>
      <c r="C10782" t="s">
        <v>35</v>
      </c>
      <c r="D10782" t="s">
        <v>32</v>
      </c>
      <c r="E10782" t="s">
        <v>21</v>
      </c>
      <c r="F10782" t="s">
        <v>15</v>
      </c>
      <c r="G10782" s="1" t="str">
        <f t="shared" ref="G10782:M10786" si="2424">"X"</f>
        <v>X</v>
      </c>
      <c r="H10782" s="1" t="str">
        <f t="shared" si="2424"/>
        <v>X</v>
      </c>
      <c r="I10782" s="1" t="str">
        <f t="shared" si="2424"/>
        <v>X</v>
      </c>
      <c r="J10782" s="1" t="str">
        <f t="shared" si="2424"/>
        <v>X</v>
      </c>
      <c r="K10782" s="1" t="str">
        <f t="shared" si="2424"/>
        <v>X</v>
      </c>
      <c r="L10782" s="1" t="str">
        <f t="shared" si="2424"/>
        <v>X</v>
      </c>
      <c r="M10782" s="1" t="str">
        <f t="shared" si="2424"/>
        <v>X</v>
      </c>
      <c r="N10782" t="s">
        <v>27</v>
      </c>
    </row>
    <row r="10783" spans="1:14" x14ac:dyDescent="0.25">
      <c r="A10783" t="s">
        <v>44</v>
      </c>
      <c r="B10783" t="s">
        <v>15</v>
      </c>
      <c r="C10783" t="s">
        <v>35</v>
      </c>
      <c r="D10783" t="s">
        <v>32</v>
      </c>
      <c r="E10783" t="s">
        <v>21</v>
      </c>
      <c r="F10783" t="s">
        <v>17</v>
      </c>
      <c r="G10783" s="1" t="str">
        <f t="shared" si="2424"/>
        <v>X</v>
      </c>
      <c r="H10783" s="1" t="str">
        <f t="shared" si="2424"/>
        <v>X</v>
      </c>
      <c r="I10783" s="1" t="str">
        <f t="shared" si="2424"/>
        <v>X</v>
      </c>
      <c r="J10783" s="1" t="str">
        <f t="shared" si="2424"/>
        <v>X</v>
      </c>
      <c r="K10783" s="1" t="str">
        <f t="shared" si="2424"/>
        <v>X</v>
      </c>
      <c r="L10783" s="1" t="str">
        <f t="shared" si="2424"/>
        <v>X</v>
      </c>
      <c r="M10783" s="1" t="str">
        <f t="shared" si="2424"/>
        <v>X</v>
      </c>
      <c r="N10783" t="s">
        <v>27</v>
      </c>
    </row>
    <row r="10784" spans="1:14" x14ac:dyDescent="0.25">
      <c r="A10784" t="s">
        <v>44</v>
      </c>
      <c r="B10784" t="s">
        <v>15</v>
      </c>
      <c r="C10784" t="s">
        <v>35</v>
      </c>
      <c r="D10784" t="s">
        <v>32</v>
      </c>
      <c r="E10784" t="s">
        <v>21</v>
      </c>
      <c r="F10784" t="s">
        <v>18</v>
      </c>
      <c r="G10784" s="1" t="str">
        <f t="shared" si="2424"/>
        <v>X</v>
      </c>
      <c r="H10784" s="1" t="str">
        <f t="shared" si="2424"/>
        <v>X</v>
      </c>
      <c r="I10784" s="1" t="str">
        <f t="shared" si="2424"/>
        <v>X</v>
      </c>
      <c r="J10784" s="1" t="str">
        <f t="shared" si="2424"/>
        <v>X</v>
      </c>
      <c r="K10784" s="1" t="str">
        <f t="shared" si="2424"/>
        <v>X</v>
      </c>
      <c r="L10784" s="1" t="str">
        <f t="shared" si="2424"/>
        <v>X</v>
      </c>
      <c r="M10784" s="1" t="str">
        <f t="shared" si="2424"/>
        <v>X</v>
      </c>
      <c r="N10784" t="s">
        <v>27</v>
      </c>
    </row>
    <row r="10785" spans="1:14" x14ac:dyDescent="0.25">
      <c r="A10785" t="s">
        <v>44</v>
      </c>
      <c r="B10785" t="s">
        <v>15</v>
      </c>
      <c r="C10785" t="s">
        <v>35</v>
      </c>
      <c r="D10785" t="s">
        <v>32</v>
      </c>
      <c r="E10785" t="s">
        <v>21</v>
      </c>
      <c r="F10785" t="s">
        <v>19</v>
      </c>
      <c r="G10785" s="1" t="str">
        <f t="shared" si="2424"/>
        <v>X</v>
      </c>
      <c r="H10785" s="1" t="str">
        <f t="shared" si="2424"/>
        <v>X</v>
      </c>
      <c r="I10785" s="1" t="str">
        <f t="shared" si="2424"/>
        <v>X</v>
      </c>
      <c r="J10785" s="1" t="str">
        <f t="shared" si="2424"/>
        <v>X</v>
      </c>
      <c r="K10785" s="1" t="str">
        <f t="shared" si="2424"/>
        <v>X</v>
      </c>
      <c r="L10785" s="1" t="str">
        <f t="shared" si="2424"/>
        <v>X</v>
      </c>
      <c r="M10785" s="1" t="str">
        <f t="shared" si="2424"/>
        <v>X</v>
      </c>
      <c r="N10785" t="s">
        <v>27</v>
      </c>
    </row>
    <row r="10786" spans="1:14" x14ac:dyDescent="0.25">
      <c r="A10786" t="s">
        <v>44</v>
      </c>
      <c r="B10786" t="s">
        <v>15</v>
      </c>
      <c r="C10786" t="s">
        <v>35</v>
      </c>
      <c r="D10786" t="s">
        <v>32</v>
      </c>
      <c r="E10786" t="s">
        <v>21</v>
      </c>
      <c r="F10786" t="s">
        <v>20</v>
      </c>
      <c r="G10786" s="1" t="str">
        <f t="shared" si="2424"/>
        <v>X</v>
      </c>
      <c r="H10786" s="1" t="str">
        <f t="shared" si="2424"/>
        <v>X</v>
      </c>
      <c r="I10786" s="1" t="str">
        <f t="shared" si="2424"/>
        <v>X</v>
      </c>
      <c r="J10786" s="1" t="str">
        <f t="shared" si="2424"/>
        <v>X</v>
      </c>
      <c r="K10786" s="1" t="str">
        <f t="shared" si="2424"/>
        <v>X</v>
      </c>
      <c r="L10786" s="1" t="str">
        <f t="shared" si="2424"/>
        <v>X</v>
      </c>
      <c r="M10786" s="1" t="str">
        <f t="shared" si="2424"/>
        <v>X</v>
      </c>
      <c r="N10786" t="s">
        <v>27</v>
      </c>
    </row>
    <row r="10787" spans="1:14" x14ac:dyDescent="0.25">
      <c r="A10787" t="s">
        <v>44</v>
      </c>
      <c r="B10787" t="s">
        <v>15</v>
      </c>
      <c r="C10787" t="s">
        <v>35</v>
      </c>
      <c r="D10787" t="s">
        <v>32</v>
      </c>
      <c r="E10787" t="s">
        <v>22</v>
      </c>
      <c r="F10787" t="s">
        <v>15</v>
      </c>
      <c r="G10787" s="2">
        <f>VALUE(933.47)</f>
        <v>933.47</v>
      </c>
      <c r="H10787" s="3">
        <f>VALUE(806.16)</f>
        <v>806.16</v>
      </c>
      <c r="I10787" s="4">
        <f>VALUE(3144)</f>
        <v>3144</v>
      </c>
      <c r="J10787" s="1">
        <f>VALUE(3274)</f>
        <v>3274</v>
      </c>
      <c r="K10787" s="1">
        <f>VALUE(3596)</f>
        <v>3596</v>
      </c>
      <c r="L10787" s="7">
        <f>VALUE(4228)</f>
        <v>4228</v>
      </c>
      <c r="M10787" s="8">
        <f>VALUE(5273)</f>
        <v>5273</v>
      </c>
      <c r="N10787" t="s">
        <v>25</v>
      </c>
    </row>
    <row r="10788" spans="1:14" x14ac:dyDescent="0.25">
      <c r="A10788" t="s">
        <v>44</v>
      </c>
      <c r="B10788" t="s">
        <v>15</v>
      </c>
      <c r="C10788" t="s">
        <v>35</v>
      </c>
      <c r="D10788" t="s">
        <v>32</v>
      </c>
      <c r="E10788" t="s">
        <v>22</v>
      </c>
      <c r="F10788" t="s">
        <v>17</v>
      </c>
      <c r="G10788" s="1" t="str">
        <f t="shared" ref="G10788:M10788" si="2425">"..."</f>
        <v>...</v>
      </c>
      <c r="H10788" s="1" t="str">
        <f t="shared" si="2425"/>
        <v>...</v>
      </c>
      <c r="I10788" s="1" t="str">
        <f t="shared" si="2425"/>
        <v>...</v>
      </c>
      <c r="J10788" s="1" t="str">
        <f t="shared" si="2425"/>
        <v>...</v>
      </c>
      <c r="K10788" s="1" t="str">
        <f t="shared" si="2425"/>
        <v>...</v>
      </c>
      <c r="L10788" s="1" t="str">
        <f t="shared" si="2425"/>
        <v>...</v>
      </c>
      <c r="M10788" s="1" t="str">
        <f t="shared" si="2425"/>
        <v>...</v>
      </c>
      <c r="N10788" t="s">
        <v>30</v>
      </c>
    </row>
    <row r="10789" spans="1:14" x14ac:dyDescent="0.25">
      <c r="A10789" t="s">
        <v>44</v>
      </c>
      <c r="B10789" t="s">
        <v>15</v>
      </c>
      <c r="C10789" t="s">
        <v>35</v>
      </c>
      <c r="D10789" t="s">
        <v>32</v>
      </c>
      <c r="E10789" t="s">
        <v>22</v>
      </c>
      <c r="F10789" t="s">
        <v>18</v>
      </c>
      <c r="G10789" s="1" t="str">
        <f t="shared" ref="G10789:M10790" si="2426">"X"</f>
        <v>X</v>
      </c>
      <c r="H10789" s="1" t="str">
        <f t="shared" si="2426"/>
        <v>X</v>
      </c>
      <c r="I10789" s="1" t="str">
        <f t="shared" si="2426"/>
        <v>X</v>
      </c>
      <c r="J10789" s="1" t="str">
        <f t="shared" si="2426"/>
        <v>X</v>
      </c>
      <c r="K10789" s="1" t="str">
        <f t="shared" si="2426"/>
        <v>X</v>
      </c>
      <c r="L10789" s="1" t="str">
        <f t="shared" si="2426"/>
        <v>X</v>
      </c>
      <c r="M10789" s="1" t="str">
        <f t="shared" si="2426"/>
        <v>X</v>
      </c>
      <c r="N10789" t="s">
        <v>27</v>
      </c>
    </row>
    <row r="10790" spans="1:14" x14ac:dyDescent="0.25">
      <c r="A10790" t="s">
        <v>44</v>
      </c>
      <c r="B10790" t="s">
        <v>15</v>
      </c>
      <c r="C10790" t="s">
        <v>35</v>
      </c>
      <c r="D10790" t="s">
        <v>32</v>
      </c>
      <c r="E10790" t="s">
        <v>22</v>
      </c>
      <c r="F10790" t="s">
        <v>19</v>
      </c>
      <c r="G10790" s="1" t="str">
        <f t="shared" si="2426"/>
        <v>X</v>
      </c>
      <c r="H10790" s="1" t="str">
        <f t="shared" si="2426"/>
        <v>X</v>
      </c>
      <c r="I10790" s="1" t="str">
        <f t="shared" si="2426"/>
        <v>X</v>
      </c>
      <c r="J10790" s="1" t="str">
        <f t="shared" si="2426"/>
        <v>X</v>
      </c>
      <c r="K10790" s="1" t="str">
        <f t="shared" si="2426"/>
        <v>X</v>
      </c>
      <c r="L10790" s="1" t="str">
        <f t="shared" si="2426"/>
        <v>X</v>
      </c>
      <c r="M10790" s="1" t="str">
        <f t="shared" si="2426"/>
        <v>X</v>
      </c>
      <c r="N10790" t="s">
        <v>27</v>
      </c>
    </row>
    <row r="10791" spans="1:14" x14ac:dyDescent="0.25">
      <c r="A10791" t="s">
        <v>44</v>
      </c>
      <c r="B10791" t="s">
        <v>15</v>
      </c>
      <c r="C10791" t="s">
        <v>35</v>
      </c>
      <c r="D10791" t="s">
        <v>32</v>
      </c>
      <c r="E10791" t="s">
        <v>22</v>
      </c>
      <c r="F10791" t="s">
        <v>20</v>
      </c>
      <c r="G10791" s="2">
        <f>VALUE(803.09)</f>
        <v>803.09</v>
      </c>
      <c r="H10791" s="3">
        <f>VALUE(696.35)</f>
        <v>696.35</v>
      </c>
      <c r="I10791" s="4">
        <f>VALUE(3144)</f>
        <v>3144</v>
      </c>
      <c r="J10791" s="1">
        <f>VALUE(3244)</f>
        <v>3244</v>
      </c>
      <c r="K10791" s="1">
        <f>VALUE(3491)</f>
        <v>3491</v>
      </c>
      <c r="L10791" s="1">
        <f>VALUE(3987)</f>
        <v>3987</v>
      </c>
      <c r="M10791" s="1">
        <f>VALUE(4677)</f>
        <v>4677</v>
      </c>
      <c r="N10791" t="s">
        <v>25</v>
      </c>
    </row>
    <row r="10792" spans="1:14" x14ac:dyDescent="0.25">
      <c r="A10792" t="s">
        <v>44</v>
      </c>
      <c r="B10792" t="s">
        <v>15</v>
      </c>
      <c r="C10792" t="s">
        <v>35</v>
      </c>
      <c r="D10792" t="s">
        <v>32</v>
      </c>
      <c r="E10792" t="s">
        <v>23</v>
      </c>
      <c r="F10792" t="s">
        <v>15</v>
      </c>
      <c r="G10792" s="2">
        <f>VALUE(894.86)</f>
        <v>894.86</v>
      </c>
      <c r="H10792" s="3">
        <f>VALUE(693.29)</f>
        <v>693.29</v>
      </c>
      <c r="I10792" s="1">
        <f>VALUE(2454)</f>
        <v>2454</v>
      </c>
      <c r="J10792" s="1">
        <f>VALUE(3023)</f>
        <v>3023</v>
      </c>
      <c r="K10792" s="1">
        <f>VALUE(3309)</f>
        <v>3309</v>
      </c>
      <c r="L10792" s="1">
        <f>VALUE(3676)</f>
        <v>3676</v>
      </c>
      <c r="M10792" s="8">
        <f>VALUE(4902)</f>
        <v>4902</v>
      </c>
      <c r="N10792" t="s">
        <v>25</v>
      </c>
    </row>
    <row r="10793" spans="1:14" x14ac:dyDescent="0.25">
      <c r="A10793" t="s">
        <v>44</v>
      </c>
      <c r="B10793" t="s">
        <v>15</v>
      </c>
      <c r="C10793" t="s">
        <v>35</v>
      </c>
      <c r="D10793" t="s">
        <v>32</v>
      </c>
      <c r="E10793" t="s">
        <v>23</v>
      </c>
      <c r="F10793" t="s">
        <v>17</v>
      </c>
      <c r="G10793" s="1" t="str">
        <f t="shared" ref="G10793:M10793" si="2427">"..."</f>
        <v>...</v>
      </c>
      <c r="H10793" s="1" t="str">
        <f t="shared" si="2427"/>
        <v>...</v>
      </c>
      <c r="I10793" s="1" t="str">
        <f t="shared" si="2427"/>
        <v>...</v>
      </c>
      <c r="J10793" s="1" t="str">
        <f t="shared" si="2427"/>
        <v>...</v>
      </c>
      <c r="K10793" s="1" t="str">
        <f t="shared" si="2427"/>
        <v>...</v>
      </c>
      <c r="L10793" s="1" t="str">
        <f t="shared" si="2427"/>
        <v>...</v>
      </c>
      <c r="M10793" s="1" t="str">
        <f t="shared" si="2427"/>
        <v>...</v>
      </c>
      <c r="N10793" t="s">
        <v>30</v>
      </c>
    </row>
    <row r="10794" spans="1:14" x14ac:dyDescent="0.25">
      <c r="A10794" t="s">
        <v>44</v>
      </c>
      <c r="B10794" t="s">
        <v>15</v>
      </c>
      <c r="C10794" t="s">
        <v>35</v>
      </c>
      <c r="D10794" t="s">
        <v>32</v>
      </c>
      <c r="E10794" t="s">
        <v>23</v>
      </c>
      <c r="F10794" t="s">
        <v>18</v>
      </c>
      <c r="G10794" s="1" t="str">
        <f t="shared" ref="G10794:M10795" si="2428">"X"</f>
        <v>X</v>
      </c>
      <c r="H10794" s="1" t="str">
        <f t="shared" si="2428"/>
        <v>X</v>
      </c>
      <c r="I10794" s="1" t="str">
        <f t="shared" si="2428"/>
        <v>X</v>
      </c>
      <c r="J10794" s="1" t="str">
        <f t="shared" si="2428"/>
        <v>X</v>
      </c>
      <c r="K10794" s="1" t="str">
        <f t="shared" si="2428"/>
        <v>X</v>
      </c>
      <c r="L10794" s="1" t="str">
        <f t="shared" si="2428"/>
        <v>X</v>
      </c>
      <c r="M10794" s="1" t="str">
        <f t="shared" si="2428"/>
        <v>X</v>
      </c>
      <c r="N10794" t="s">
        <v>27</v>
      </c>
    </row>
    <row r="10795" spans="1:14" x14ac:dyDescent="0.25">
      <c r="A10795" t="s">
        <v>44</v>
      </c>
      <c r="B10795" t="s">
        <v>15</v>
      </c>
      <c r="C10795" t="s">
        <v>35</v>
      </c>
      <c r="D10795" t="s">
        <v>32</v>
      </c>
      <c r="E10795" t="s">
        <v>23</v>
      </c>
      <c r="F10795" t="s">
        <v>19</v>
      </c>
      <c r="G10795" s="1" t="str">
        <f t="shared" si="2428"/>
        <v>X</v>
      </c>
      <c r="H10795" s="1" t="str">
        <f t="shared" si="2428"/>
        <v>X</v>
      </c>
      <c r="I10795" s="1" t="str">
        <f t="shared" si="2428"/>
        <v>X</v>
      </c>
      <c r="J10795" s="1" t="str">
        <f t="shared" si="2428"/>
        <v>X</v>
      </c>
      <c r="K10795" s="1" t="str">
        <f t="shared" si="2428"/>
        <v>X</v>
      </c>
      <c r="L10795" s="1" t="str">
        <f t="shared" si="2428"/>
        <v>X</v>
      </c>
      <c r="M10795" s="1" t="str">
        <f t="shared" si="2428"/>
        <v>X</v>
      </c>
      <c r="N10795" t="s">
        <v>27</v>
      </c>
    </row>
    <row r="10796" spans="1:14" x14ac:dyDescent="0.25">
      <c r="A10796" t="s">
        <v>44</v>
      </c>
      <c r="B10796" t="s">
        <v>15</v>
      </c>
      <c r="C10796" t="s">
        <v>35</v>
      </c>
      <c r="D10796" t="s">
        <v>32</v>
      </c>
      <c r="E10796" t="s">
        <v>23</v>
      </c>
      <c r="F10796" t="s">
        <v>20</v>
      </c>
      <c r="G10796" s="2">
        <f>VALUE(885.54)</f>
        <v>885.54</v>
      </c>
      <c r="H10796" s="3">
        <f>VALUE(684.72)</f>
        <v>684.72</v>
      </c>
      <c r="I10796" s="1">
        <f>VALUE(2454)</f>
        <v>2454</v>
      </c>
      <c r="J10796" s="5">
        <f>VALUE(3029)</f>
        <v>3029</v>
      </c>
      <c r="K10796" s="1">
        <f>VALUE(3309)</f>
        <v>3309</v>
      </c>
      <c r="L10796" s="1">
        <f>VALUE(3678)</f>
        <v>3678</v>
      </c>
      <c r="M10796" s="8">
        <f>VALUE(4902)</f>
        <v>4902</v>
      </c>
      <c r="N10796" t="s">
        <v>25</v>
      </c>
    </row>
    <row r="10797" spans="1:14" x14ac:dyDescent="0.25">
      <c r="A10797" t="s">
        <v>44</v>
      </c>
      <c r="B10797" t="s">
        <v>15</v>
      </c>
      <c r="C10797" t="s">
        <v>35</v>
      </c>
      <c r="D10797" t="s">
        <v>32</v>
      </c>
      <c r="E10797" t="s">
        <v>26</v>
      </c>
      <c r="F10797" t="s">
        <v>15</v>
      </c>
      <c r="G10797" s="1" t="str">
        <f t="shared" ref="G10797:M10797" si="2429">"X"</f>
        <v>X</v>
      </c>
      <c r="H10797" s="1" t="str">
        <f t="shared" si="2429"/>
        <v>X</v>
      </c>
      <c r="I10797" s="1" t="str">
        <f t="shared" si="2429"/>
        <v>X</v>
      </c>
      <c r="J10797" s="1" t="str">
        <f t="shared" si="2429"/>
        <v>X</v>
      </c>
      <c r="K10797" s="1" t="str">
        <f t="shared" si="2429"/>
        <v>X</v>
      </c>
      <c r="L10797" s="1" t="str">
        <f t="shared" si="2429"/>
        <v>X</v>
      </c>
      <c r="M10797" s="1" t="str">
        <f t="shared" si="2429"/>
        <v>X</v>
      </c>
      <c r="N10797" t="s">
        <v>27</v>
      </c>
    </row>
    <row r="10798" spans="1:14" x14ac:dyDescent="0.25">
      <c r="A10798" t="s">
        <v>44</v>
      </c>
      <c r="B10798" t="s">
        <v>15</v>
      </c>
      <c r="C10798" t="s">
        <v>35</v>
      </c>
      <c r="D10798" t="s">
        <v>32</v>
      </c>
      <c r="E10798" t="s">
        <v>26</v>
      </c>
      <c r="F10798" t="s">
        <v>17</v>
      </c>
      <c r="G10798" s="1" t="str">
        <f t="shared" ref="G10798:M10800" si="2430">"..."</f>
        <v>...</v>
      </c>
      <c r="H10798" s="1" t="str">
        <f t="shared" si="2430"/>
        <v>...</v>
      </c>
      <c r="I10798" s="1" t="str">
        <f t="shared" si="2430"/>
        <v>...</v>
      </c>
      <c r="J10798" s="1" t="str">
        <f t="shared" si="2430"/>
        <v>...</v>
      </c>
      <c r="K10798" s="1" t="str">
        <f t="shared" si="2430"/>
        <v>...</v>
      </c>
      <c r="L10798" s="1" t="str">
        <f t="shared" si="2430"/>
        <v>...</v>
      </c>
      <c r="M10798" s="1" t="str">
        <f t="shared" si="2430"/>
        <v>...</v>
      </c>
      <c r="N10798" t="s">
        <v>30</v>
      </c>
    </row>
    <row r="10799" spans="1:14" x14ac:dyDescent="0.25">
      <c r="A10799" t="s">
        <v>44</v>
      </c>
      <c r="B10799" t="s">
        <v>15</v>
      </c>
      <c r="C10799" t="s">
        <v>35</v>
      </c>
      <c r="D10799" t="s">
        <v>32</v>
      </c>
      <c r="E10799" t="s">
        <v>26</v>
      </c>
      <c r="F10799" t="s">
        <v>18</v>
      </c>
      <c r="G10799" s="1" t="str">
        <f t="shared" si="2430"/>
        <v>...</v>
      </c>
      <c r="H10799" s="1" t="str">
        <f t="shared" si="2430"/>
        <v>...</v>
      </c>
      <c r="I10799" s="1" t="str">
        <f t="shared" si="2430"/>
        <v>...</v>
      </c>
      <c r="J10799" s="1" t="str">
        <f t="shared" si="2430"/>
        <v>...</v>
      </c>
      <c r="K10799" s="1" t="str">
        <f t="shared" si="2430"/>
        <v>...</v>
      </c>
      <c r="L10799" s="1" t="str">
        <f t="shared" si="2430"/>
        <v>...</v>
      </c>
      <c r="M10799" s="1" t="str">
        <f t="shared" si="2430"/>
        <v>...</v>
      </c>
      <c r="N10799" t="s">
        <v>30</v>
      </c>
    </row>
    <row r="10800" spans="1:14" x14ac:dyDescent="0.25">
      <c r="A10800" t="s">
        <v>44</v>
      </c>
      <c r="B10800" t="s">
        <v>15</v>
      </c>
      <c r="C10800" t="s">
        <v>35</v>
      </c>
      <c r="D10800" t="s">
        <v>32</v>
      </c>
      <c r="E10800" t="s">
        <v>26</v>
      </c>
      <c r="F10800" t="s">
        <v>19</v>
      </c>
      <c r="G10800" s="1" t="str">
        <f t="shared" si="2430"/>
        <v>...</v>
      </c>
      <c r="H10800" s="1" t="str">
        <f t="shared" si="2430"/>
        <v>...</v>
      </c>
      <c r="I10800" s="1" t="str">
        <f t="shared" si="2430"/>
        <v>...</v>
      </c>
      <c r="J10800" s="1" t="str">
        <f t="shared" si="2430"/>
        <v>...</v>
      </c>
      <c r="K10800" s="1" t="str">
        <f t="shared" si="2430"/>
        <v>...</v>
      </c>
      <c r="L10800" s="1" t="str">
        <f t="shared" si="2430"/>
        <v>...</v>
      </c>
      <c r="M10800" s="1" t="str">
        <f t="shared" si="2430"/>
        <v>...</v>
      </c>
      <c r="N10800" t="s">
        <v>30</v>
      </c>
    </row>
    <row r="10801" spans="1:14" x14ac:dyDescent="0.25">
      <c r="A10801" t="s">
        <v>44</v>
      </c>
      <c r="B10801" t="s">
        <v>15</v>
      </c>
      <c r="C10801" t="s">
        <v>35</v>
      </c>
      <c r="D10801" t="s">
        <v>32</v>
      </c>
      <c r="E10801" t="s">
        <v>26</v>
      </c>
      <c r="F10801" t="s">
        <v>20</v>
      </c>
      <c r="G10801" s="1" t="str">
        <f t="shared" ref="G10801:M10802" si="2431">"X"</f>
        <v>X</v>
      </c>
      <c r="H10801" s="1" t="str">
        <f t="shared" si="2431"/>
        <v>X</v>
      </c>
      <c r="I10801" s="1" t="str">
        <f t="shared" si="2431"/>
        <v>X</v>
      </c>
      <c r="J10801" s="1" t="str">
        <f t="shared" si="2431"/>
        <v>X</v>
      </c>
      <c r="K10801" s="1" t="str">
        <f t="shared" si="2431"/>
        <v>X</v>
      </c>
      <c r="L10801" s="1" t="str">
        <f t="shared" si="2431"/>
        <v>X</v>
      </c>
      <c r="M10801" s="1" t="str">
        <f t="shared" si="2431"/>
        <v>X</v>
      </c>
      <c r="N10801" t="s">
        <v>27</v>
      </c>
    </row>
    <row r="10802" spans="1:14" x14ac:dyDescent="0.25">
      <c r="A10802" t="s">
        <v>44</v>
      </c>
      <c r="B10802" t="s">
        <v>15</v>
      </c>
      <c r="C10802" t="s">
        <v>35</v>
      </c>
      <c r="D10802" t="s">
        <v>33</v>
      </c>
      <c r="E10802" t="s">
        <v>15</v>
      </c>
      <c r="F10802" t="s">
        <v>15</v>
      </c>
      <c r="G10802" s="1" t="str">
        <f t="shared" si="2431"/>
        <v>X</v>
      </c>
      <c r="H10802" s="1" t="str">
        <f t="shared" si="2431"/>
        <v>X</v>
      </c>
      <c r="I10802" s="1" t="str">
        <f t="shared" si="2431"/>
        <v>X</v>
      </c>
      <c r="J10802" s="1" t="str">
        <f t="shared" si="2431"/>
        <v>X</v>
      </c>
      <c r="K10802" s="1" t="str">
        <f t="shared" si="2431"/>
        <v>X</v>
      </c>
      <c r="L10802" s="1" t="str">
        <f t="shared" si="2431"/>
        <v>X</v>
      </c>
      <c r="M10802" s="1" t="str">
        <f t="shared" si="2431"/>
        <v>X</v>
      </c>
      <c r="N10802" t="s">
        <v>27</v>
      </c>
    </row>
    <row r="10803" spans="1:14" x14ac:dyDescent="0.25">
      <c r="A10803" t="s">
        <v>44</v>
      </c>
      <c r="B10803" t="s">
        <v>15</v>
      </c>
      <c r="C10803" t="s">
        <v>35</v>
      </c>
      <c r="D10803" t="s">
        <v>33</v>
      </c>
      <c r="E10803" t="s">
        <v>15</v>
      </c>
      <c r="F10803" t="s">
        <v>17</v>
      </c>
      <c r="G10803" s="1" t="str">
        <f t="shared" ref="G10803:M10803" si="2432">"..."</f>
        <v>...</v>
      </c>
      <c r="H10803" s="1" t="str">
        <f t="shared" si="2432"/>
        <v>...</v>
      </c>
      <c r="I10803" s="1" t="str">
        <f t="shared" si="2432"/>
        <v>...</v>
      </c>
      <c r="J10803" s="1" t="str">
        <f t="shared" si="2432"/>
        <v>...</v>
      </c>
      <c r="K10803" s="1" t="str">
        <f t="shared" si="2432"/>
        <v>...</v>
      </c>
      <c r="L10803" s="1" t="str">
        <f t="shared" si="2432"/>
        <v>...</v>
      </c>
      <c r="M10803" s="1" t="str">
        <f t="shared" si="2432"/>
        <v>...</v>
      </c>
      <c r="N10803" t="s">
        <v>30</v>
      </c>
    </row>
    <row r="10804" spans="1:14" x14ac:dyDescent="0.25">
      <c r="A10804" t="s">
        <v>44</v>
      </c>
      <c r="B10804" t="s">
        <v>15</v>
      </c>
      <c r="C10804" t="s">
        <v>35</v>
      </c>
      <c r="D10804" t="s">
        <v>33</v>
      </c>
      <c r="E10804" t="s">
        <v>15</v>
      </c>
      <c r="F10804" t="s">
        <v>18</v>
      </c>
      <c r="G10804" s="1" t="str">
        <f t="shared" ref="G10804:M10807" si="2433">"X"</f>
        <v>X</v>
      </c>
      <c r="H10804" s="1" t="str">
        <f t="shared" si="2433"/>
        <v>X</v>
      </c>
      <c r="I10804" s="1" t="str">
        <f t="shared" si="2433"/>
        <v>X</v>
      </c>
      <c r="J10804" s="1" t="str">
        <f t="shared" si="2433"/>
        <v>X</v>
      </c>
      <c r="K10804" s="1" t="str">
        <f t="shared" si="2433"/>
        <v>X</v>
      </c>
      <c r="L10804" s="1" t="str">
        <f t="shared" si="2433"/>
        <v>X</v>
      </c>
      <c r="M10804" s="1" t="str">
        <f t="shared" si="2433"/>
        <v>X</v>
      </c>
      <c r="N10804" t="s">
        <v>27</v>
      </c>
    </row>
    <row r="10805" spans="1:14" x14ac:dyDescent="0.25">
      <c r="A10805" t="s">
        <v>44</v>
      </c>
      <c r="B10805" t="s">
        <v>15</v>
      </c>
      <c r="C10805" t="s">
        <v>35</v>
      </c>
      <c r="D10805" t="s">
        <v>33</v>
      </c>
      <c r="E10805" t="s">
        <v>15</v>
      </c>
      <c r="F10805" t="s">
        <v>19</v>
      </c>
      <c r="G10805" s="1" t="str">
        <f t="shared" si="2433"/>
        <v>X</v>
      </c>
      <c r="H10805" s="1" t="str">
        <f t="shared" si="2433"/>
        <v>X</v>
      </c>
      <c r="I10805" s="1" t="str">
        <f t="shared" si="2433"/>
        <v>X</v>
      </c>
      <c r="J10805" s="1" t="str">
        <f t="shared" si="2433"/>
        <v>X</v>
      </c>
      <c r="K10805" s="1" t="str">
        <f t="shared" si="2433"/>
        <v>X</v>
      </c>
      <c r="L10805" s="1" t="str">
        <f t="shared" si="2433"/>
        <v>X</v>
      </c>
      <c r="M10805" s="1" t="str">
        <f t="shared" si="2433"/>
        <v>X</v>
      </c>
      <c r="N10805" t="s">
        <v>27</v>
      </c>
    </row>
    <row r="10806" spans="1:14" x14ac:dyDescent="0.25">
      <c r="A10806" t="s">
        <v>44</v>
      </c>
      <c r="B10806" t="s">
        <v>15</v>
      </c>
      <c r="C10806" t="s">
        <v>35</v>
      </c>
      <c r="D10806" t="s">
        <v>33</v>
      </c>
      <c r="E10806" t="s">
        <v>15</v>
      </c>
      <c r="F10806" t="s">
        <v>20</v>
      </c>
      <c r="G10806" s="1" t="str">
        <f t="shared" si="2433"/>
        <v>X</v>
      </c>
      <c r="H10806" s="1" t="str">
        <f t="shared" si="2433"/>
        <v>X</v>
      </c>
      <c r="I10806" s="1" t="str">
        <f t="shared" si="2433"/>
        <v>X</v>
      </c>
      <c r="J10806" s="1" t="str">
        <f t="shared" si="2433"/>
        <v>X</v>
      </c>
      <c r="K10806" s="1" t="str">
        <f t="shared" si="2433"/>
        <v>X</v>
      </c>
      <c r="L10806" s="1" t="str">
        <f t="shared" si="2433"/>
        <v>X</v>
      </c>
      <c r="M10806" s="1" t="str">
        <f t="shared" si="2433"/>
        <v>X</v>
      </c>
      <c r="N10806" t="s">
        <v>27</v>
      </c>
    </row>
    <row r="10807" spans="1:14" x14ac:dyDescent="0.25">
      <c r="A10807" t="s">
        <v>44</v>
      </c>
      <c r="B10807" t="s">
        <v>15</v>
      </c>
      <c r="C10807" t="s">
        <v>35</v>
      </c>
      <c r="D10807" t="s">
        <v>33</v>
      </c>
      <c r="E10807" t="s">
        <v>21</v>
      </c>
      <c r="F10807" t="s">
        <v>15</v>
      </c>
      <c r="G10807" s="1" t="str">
        <f t="shared" si="2433"/>
        <v>X</v>
      </c>
      <c r="H10807" s="1" t="str">
        <f t="shared" si="2433"/>
        <v>X</v>
      </c>
      <c r="I10807" s="1" t="str">
        <f t="shared" si="2433"/>
        <v>X</v>
      </c>
      <c r="J10807" s="1" t="str">
        <f t="shared" si="2433"/>
        <v>X</v>
      </c>
      <c r="K10807" s="1" t="str">
        <f t="shared" si="2433"/>
        <v>X</v>
      </c>
      <c r="L10807" s="1" t="str">
        <f t="shared" si="2433"/>
        <v>X</v>
      </c>
      <c r="M10807" s="1" t="str">
        <f t="shared" si="2433"/>
        <v>X</v>
      </c>
      <c r="N10807" t="s">
        <v>27</v>
      </c>
    </row>
    <row r="10808" spans="1:14" x14ac:dyDescent="0.25">
      <c r="A10808" t="s">
        <v>44</v>
      </c>
      <c r="B10808" t="s">
        <v>15</v>
      </c>
      <c r="C10808" t="s">
        <v>35</v>
      </c>
      <c r="D10808" t="s">
        <v>33</v>
      </c>
      <c r="E10808" t="s">
        <v>21</v>
      </c>
      <c r="F10808" t="s">
        <v>17</v>
      </c>
      <c r="G10808" s="1" t="str">
        <f t="shared" ref="G10808:M10809" si="2434">"..."</f>
        <v>...</v>
      </c>
      <c r="H10808" s="1" t="str">
        <f t="shared" si="2434"/>
        <v>...</v>
      </c>
      <c r="I10808" s="1" t="str">
        <f t="shared" si="2434"/>
        <v>...</v>
      </c>
      <c r="J10808" s="1" t="str">
        <f t="shared" si="2434"/>
        <v>...</v>
      </c>
      <c r="K10808" s="1" t="str">
        <f t="shared" si="2434"/>
        <v>...</v>
      </c>
      <c r="L10808" s="1" t="str">
        <f t="shared" si="2434"/>
        <v>...</v>
      </c>
      <c r="M10808" s="1" t="str">
        <f t="shared" si="2434"/>
        <v>...</v>
      </c>
      <c r="N10808" t="s">
        <v>30</v>
      </c>
    </row>
    <row r="10809" spans="1:14" x14ac:dyDescent="0.25">
      <c r="A10809" t="s">
        <v>44</v>
      </c>
      <c r="B10809" t="s">
        <v>15</v>
      </c>
      <c r="C10809" t="s">
        <v>35</v>
      </c>
      <c r="D10809" t="s">
        <v>33</v>
      </c>
      <c r="E10809" t="s">
        <v>21</v>
      </c>
      <c r="F10809" t="s">
        <v>18</v>
      </c>
      <c r="G10809" s="1" t="str">
        <f t="shared" si="2434"/>
        <v>...</v>
      </c>
      <c r="H10809" s="1" t="str">
        <f t="shared" si="2434"/>
        <v>...</v>
      </c>
      <c r="I10809" s="1" t="str">
        <f t="shared" si="2434"/>
        <v>...</v>
      </c>
      <c r="J10809" s="1" t="str">
        <f t="shared" si="2434"/>
        <v>...</v>
      </c>
      <c r="K10809" s="1" t="str">
        <f t="shared" si="2434"/>
        <v>...</v>
      </c>
      <c r="L10809" s="1" t="str">
        <f t="shared" si="2434"/>
        <v>...</v>
      </c>
      <c r="M10809" s="1" t="str">
        <f t="shared" si="2434"/>
        <v>...</v>
      </c>
      <c r="N10809" t="s">
        <v>30</v>
      </c>
    </row>
    <row r="10810" spans="1:14" x14ac:dyDescent="0.25">
      <c r="A10810" t="s">
        <v>44</v>
      </c>
      <c r="B10810" t="s">
        <v>15</v>
      </c>
      <c r="C10810" t="s">
        <v>35</v>
      </c>
      <c r="D10810" t="s">
        <v>33</v>
      </c>
      <c r="E10810" t="s">
        <v>21</v>
      </c>
      <c r="F10810" t="s">
        <v>19</v>
      </c>
      <c r="G10810" s="1" t="str">
        <f t="shared" ref="G10810:M10812" si="2435">"X"</f>
        <v>X</v>
      </c>
      <c r="H10810" s="1" t="str">
        <f t="shared" si="2435"/>
        <v>X</v>
      </c>
      <c r="I10810" s="1" t="str">
        <f t="shared" si="2435"/>
        <v>X</v>
      </c>
      <c r="J10810" s="1" t="str">
        <f t="shared" si="2435"/>
        <v>X</v>
      </c>
      <c r="K10810" s="1" t="str">
        <f t="shared" si="2435"/>
        <v>X</v>
      </c>
      <c r="L10810" s="1" t="str">
        <f t="shared" si="2435"/>
        <v>X</v>
      </c>
      <c r="M10810" s="1" t="str">
        <f t="shared" si="2435"/>
        <v>X</v>
      </c>
      <c r="N10810" t="s">
        <v>27</v>
      </c>
    </row>
    <row r="10811" spans="1:14" x14ac:dyDescent="0.25">
      <c r="A10811" t="s">
        <v>44</v>
      </c>
      <c r="B10811" t="s">
        <v>15</v>
      </c>
      <c r="C10811" t="s">
        <v>35</v>
      </c>
      <c r="D10811" t="s">
        <v>33</v>
      </c>
      <c r="E10811" t="s">
        <v>21</v>
      </c>
      <c r="F10811" t="s">
        <v>20</v>
      </c>
      <c r="G10811" s="1" t="str">
        <f t="shared" si="2435"/>
        <v>X</v>
      </c>
      <c r="H10811" s="1" t="str">
        <f t="shared" si="2435"/>
        <v>X</v>
      </c>
      <c r="I10811" s="1" t="str">
        <f t="shared" si="2435"/>
        <v>X</v>
      </c>
      <c r="J10811" s="1" t="str">
        <f t="shared" si="2435"/>
        <v>X</v>
      </c>
      <c r="K10811" s="1" t="str">
        <f t="shared" si="2435"/>
        <v>X</v>
      </c>
      <c r="L10811" s="1" t="str">
        <f t="shared" si="2435"/>
        <v>X</v>
      </c>
      <c r="M10811" s="1" t="str">
        <f t="shared" si="2435"/>
        <v>X</v>
      </c>
      <c r="N10811" t="s">
        <v>27</v>
      </c>
    </row>
    <row r="10812" spans="1:14" x14ac:dyDescent="0.25">
      <c r="A10812" t="s">
        <v>44</v>
      </c>
      <c r="B10812" t="s">
        <v>15</v>
      </c>
      <c r="C10812" t="s">
        <v>35</v>
      </c>
      <c r="D10812" t="s">
        <v>33</v>
      </c>
      <c r="E10812" t="s">
        <v>22</v>
      </c>
      <c r="F10812" t="s">
        <v>15</v>
      </c>
      <c r="G10812" s="1" t="str">
        <f t="shared" si="2435"/>
        <v>X</v>
      </c>
      <c r="H10812" s="1" t="str">
        <f t="shared" si="2435"/>
        <v>X</v>
      </c>
      <c r="I10812" s="1" t="str">
        <f t="shared" si="2435"/>
        <v>X</v>
      </c>
      <c r="J10812" s="1" t="str">
        <f t="shared" si="2435"/>
        <v>X</v>
      </c>
      <c r="K10812" s="1" t="str">
        <f t="shared" si="2435"/>
        <v>X</v>
      </c>
      <c r="L10812" s="1" t="str">
        <f t="shared" si="2435"/>
        <v>X</v>
      </c>
      <c r="M10812" s="1" t="str">
        <f t="shared" si="2435"/>
        <v>X</v>
      </c>
      <c r="N10812" t="s">
        <v>27</v>
      </c>
    </row>
    <row r="10813" spans="1:14" x14ac:dyDescent="0.25">
      <c r="A10813" t="s">
        <v>44</v>
      </c>
      <c r="B10813" t="s">
        <v>15</v>
      </c>
      <c r="C10813" t="s">
        <v>35</v>
      </c>
      <c r="D10813" t="s">
        <v>33</v>
      </c>
      <c r="E10813" t="s">
        <v>22</v>
      </c>
      <c r="F10813" t="s">
        <v>17</v>
      </c>
      <c r="G10813" s="1" t="str">
        <f t="shared" ref="G10813:M10813" si="2436">"..."</f>
        <v>...</v>
      </c>
      <c r="H10813" s="1" t="str">
        <f t="shared" si="2436"/>
        <v>...</v>
      </c>
      <c r="I10813" s="1" t="str">
        <f t="shared" si="2436"/>
        <v>...</v>
      </c>
      <c r="J10813" s="1" t="str">
        <f t="shared" si="2436"/>
        <v>...</v>
      </c>
      <c r="K10813" s="1" t="str">
        <f t="shared" si="2436"/>
        <v>...</v>
      </c>
      <c r="L10813" s="1" t="str">
        <f t="shared" si="2436"/>
        <v>...</v>
      </c>
      <c r="M10813" s="1" t="str">
        <f t="shared" si="2436"/>
        <v>...</v>
      </c>
      <c r="N10813" t="s">
        <v>30</v>
      </c>
    </row>
    <row r="10814" spans="1:14" x14ac:dyDescent="0.25">
      <c r="A10814" t="s">
        <v>44</v>
      </c>
      <c r="B10814" t="s">
        <v>15</v>
      </c>
      <c r="C10814" t="s">
        <v>35</v>
      </c>
      <c r="D10814" t="s">
        <v>33</v>
      </c>
      <c r="E10814" t="s">
        <v>22</v>
      </c>
      <c r="F10814" t="s">
        <v>18</v>
      </c>
      <c r="G10814" s="1" t="str">
        <f t="shared" ref="G10814:M10814" si="2437">"X"</f>
        <v>X</v>
      </c>
      <c r="H10814" s="1" t="str">
        <f t="shared" si="2437"/>
        <v>X</v>
      </c>
      <c r="I10814" s="1" t="str">
        <f t="shared" si="2437"/>
        <v>X</v>
      </c>
      <c r="J10814" s="1" t="str">
        <f t="shared" si="2437"/>
        <v>X</v>
      </c>
      <c r="K10814" s="1" t="str">
        <f t="shared" si="2437"/>
        <v>X</v>
      </c>
      <c r="L10814" s="1" t="str">
        <f t="shared" si="2437"/>
        <v>X</v>
      </c>
      <c r="M10814" s="1" t="str">
        <f t="shared" si="2437"/>
        <v>X</v>
      </c>
      <c r="N10814" t="s">
        <v>27</v>
      </c>
    </row>
    <row r="10815" spans="1:14" x14ac:dyDescent="0.25">
      <c r="A10815" t="s">
        <v>44</v>
      </c>
      <c r="B10815" t="s">
        <v>15</v>
      </c>
      <c r="C10815" t="s">
        <v>35</v>
      </c>
      <c r="D10815" t="s">
        <v>33</v>
      </c>
      <c r="E10815" t="s">
        <v>22</v>
      </c>
      <c r="F10815" t="s">
        <v>19</v>
      </c>
      <c r="G10815" s="1" t="str">
        <f t="shared" ref="G10815:M10815" si="2438">"..."</f>
        <v>...</v>
      </c>
      <c r="H10815" s="1" t="str">
        <f t="shared" si="2438"/>
        <v>...</v>
      </c>
      <c r="I10815" s="1" t="str">
        <f t="shared" si="2438"/>
        <v>...</v>
      </c>
      <c r="J10815" s="1" t="str">
        <f t="shared" si="2438"/>
        <v>...</v>
      </c>
      <c r="K10815" s="1" t="str">
        <f t="shared" si="2438"/>
        <v>...</v>
      </c>
      <c r="L10815" s="1" t="str">
        <f t="shared" si="2438"/>
        <v>...</v>
      </c>
      <c r="M10815" s="1" t="str">
        <f t="shared" si="2438"/>
        <v>...</v>
      </c>
      <c r="N10815" t="s">
        <v>30</v>
      </c>
    </row>
    <row r="10816" spans="1:14" x14ac:dyDescent="0.25">
      <c r="A10816" t="s">
        <v>44</v>
      </c>
      <c r="B10816" t="s">
        <v>15</v>
      </c>
      <c r="C10816" t="s">
        <v>35</v>
      </c>
      <c r="D10816" t="s">
        <v>33</v>
      </c>
      <c r="E10816" t="s">
        <v>22</v>
      </c>
      <c r="F10816" t="s">
        <v>20</v>
      </c>
      <c r="G10816" s="1" t="str">
        <f t="shared" ref="G10816:M10817" si="2439">"X"</f>
        <v>X</v>
      </c>
      <c r="H10816" s="1" t="str">
        <f t="shared" si="2439"/>
        <v>X</v>
      </c>
      <c r="I10816" s="1" t="str">
        <f t="shared" si="2439"/>
        <v>X</v>
      </c>
      <c r="J10816" s="1" t="str">
        <f t="shared" si="2439"/>
        <v>X</v>
      </c>
      <c r="K10816" s="1" t="str">
        <f t="shared" si="2439"/>
        <v>X</v>
      </c>
      <c r="L10816" s="1" t="str">
        <f t="shared" si="2439"/>
        <v>X</v>
      </c>
      <c r="M10816" s="1" t="str">
        <f t="shared" si="2439"/>
        <v>X</v>
      </c>
      <c r="N10816" t="s">
        <v>27</v>
      </c>
    </row>
    <row r="10817" spans="1:14" x14ac:dyDescent="0.25">
      <c r="A10817" t="s">
        <v>44</v>
      </c>
      <c r="B10817" t="s">
        <v>15</v>
      </c>
      <c r="C10817" t="s">
        <v>35</v>
      </c>
      <c r="D10817" t="s">
        <v>33</v>
      </c>
      <c r="E10817" t="s">
        <v>23</v>
      </c>
      <c r="F10817" t="s">
        <v>15</v>
      </c>
      <c r="G10817" s="1" t="str">
        <f t="shared" si="2439"/>
        <v>X</v>
      </c>
      <c r="H10817" s="1" t="str">
        <f t="shared" si="2439"/>
        <v>X</v>
      </c>
      <c r="I10817" s="1" t="str">
        <f t="shared" si="2439"/>
        <v>X</v>
      </c>
      <c r="J10817" s="1" t="str">
        <f t="shared" si="2439"/>
        <v>X</v>
      </c>
      <c r="K10817" s="1" t="str">
        <f t="shared" si="2439"/>
        <v>X</v>
      </c>
      <c r="L10817" s="1" t="str">
        <f t="shared" si="2439"/>
        <v>X</v>
      </c>
      <c r="M10817" s="1" t="str">
        <f t="shared" si="2439"/>
        <v>X</v>
      </c>
      <c r="N10817" t="s">
        <v>27</v>
      </c>
    </row>
    <row r="10818" spans="1:14" x14ac:dyDescent="0.25">
      <c r="A10818" t="s">
        <v>44</v>
      </c>
      <c r="B10818" t="s">
        <v>15</v>
      </c>
      <c r="C10818" t="s">
        <v>35</v>
      </c>
      <c r="D10818" t="s">
        <v>33</v>
      </c>
      <c r="E10818" t="s">
        <v>23</v>
      </c>
      <c r="F10818" t="s">
        <v>17</v>
      </c>
      <c r="G10818" s="1" t="str">
        <f t="shared" ref="G10818:M10820" si="2440">"..."</f>
        <v>...</v>
      </c>
      <c r="H10818" s="1" t="str">
        <f t="shared" si="2440"/>
        <v>...</v>
      </c>
      <c r="I10818" s="1" t="str">
        <f t="shared" si="2440"/>
        <v>...</v>
      </c>
      <c r="J10818" s="1" t="str">
        <f t="shared" si="2440"/>
        <v>...</v>
      </c>
      <c r="K10818" s="1" t="str">
        <f t="shared" si="2440"/>
        <v>...</v>
      </c>
      <c r="L10818" s="1" t="str">
        <f t="shared" si="2440"/>
        <v>...</v>
      </c>
      <c r="M10818" s="1" t="str">
        <f t="shared" si="2440"/>
        <v>...</v>
      </c>
      <c r="N10818" t="s">
        <v>30</v>
      </c>
    </row>
    <row r="10819" spans="1:14" x14ac:dyDescent="0.25">
      <c r="A10819" t="s">
        <v>44</v>
      </c>
      <c r="B10819" t="s">
        <v>15</v>
      </c>
      <c r="C10819" t="s">
        <v>35</v>
      </c>
      <c r="D10819" t="s">
        <v>33</v>
      </c>
      <c r="E10819" t="s">
        <v>23</v>
      </c>
      <c r="F10819" t="s">
        <v>18</v>
      </c>
      <c r="G10819" s="1" t="str">
        <f t="shared" si="2440"/>
        <v>...</v>
      </c>
      <c r="H10819" s="1" t="str">
        <f t="shared" si="2440"/>
        <v>...</v>
      </c>
      <c r="I10819" s="1" t="str">
        <f t="shared" si="2440"/>
        <v>...</v>
      </c>
      <c r="J10819" s="1" t="str">
        <f t="shared" si="2440"/>
        <v>...</v>
      </c>
      <c r="K10819" s="1" t="str">
        <f t="shared" si="2440"/>
        <v>...</v>
      </c>
      <c r="L10819" s="1" t="str">
        <f t="shared" si="2440"/>
        <v>...</v>
      </c>
      <c r="M10819" s="1" t="str">
        <f t="shared" si="2440"/>
        <v>...</v>
      </c>
      <c r="N10819" t="s">
        <v>30</v>
      </c>
    </row>
    <row r="10820" spans="1:14" x14ac:dyDescent="0.25">
      <c r="A10820" t="s">
        <v>44</v>
      </c>
      <c r="B10820" t="s">
        <v>15</v>
      </c>
      <c r="C10820" t="s">
        <v>35</v>
      </c>
      <c r="D10820" t="s">
        <v>33</v>
      </c>
      <c r="E10820" t="s">
        <v>23</v>
      </c>
      <c r="F10820" t="s">
        <v>19</v>
      </c>
      <c r="G10820" s="1" t="str">
        <f t="shared" si="2440"/>
        <v>...</v>
      </c>
      <c r="H10820" s="1" t="str">
        <f t="shared" si="2440"/>
        <v>...</v>
      </c>
      <c r="I10820" s="1" t="str">
        <f t="shared" si="2440"/>
        <v>...</v>
      </c>
      <c r="J10820" s="1" t="str">
        <f t="shared" si="2440"/>
        <v>...</v>
      </c>
      <c r="K10820" s="1" t="str">
        <f t="shared" si="2440"/>
        <v>...</v>
      </c>
      <c r="L10820" s="1" t="str">
        <f t="shared" si="2440"/>
        <v>...</v>
      </c>
      <c r="M10820" s="1" t="str">
        <f t="shared" si="2440"/>
        <v>...</v>
      </c>
      <c r="N10820" t="s">
        <v>30</v>
      </c>
    </row>
    <row r="10821" spans="1:14" x14ac:dyDescent="0.25">
      <c r="A10821" t="s">
        <v>44</v>
      </c>
      <c r="B10821" t="s">
        <v>15</v>
      </c>
      <c r="C10821" t="s">
        <v>35</v>
      </c>
      <c r="D10821" t="s">
        <v>33</v>
      </c>
      <c r="E10821" t="s">
        <v>23</v>
      </c>
      <c r="F10821" t="s">
        <v>20</v>
      </c>
      <c r="G10821" s="1" t="str">
        <f t="shared" ref="G10821:M10821" si="2441">"X"</f>
        <v>X</v>
      </c>
      <c r="H10821" s="1" t="str">
        <f t="shared" si="2441"/>
        <v>X</v>
      </c>
      <c r="I10821" s="1" t="str">
        <f t="shared" si="2441"/>
        <v>X</v>
      </c>
      <c r="J10821" s="1" t="str">
        <f t="shared" si="2441"/>
        <v>X</v>
      </c>
      <c r="K10821" s="1" t="str">
        <f t="shared" si="2441"/>
        <v>X</v>
      </c>
      <c r="L10821" s="1" t="str">
        <f t="shared" si="2441"/>
        <v>X</v>
      </c>
      <c r="M10821" s="1" t="str">
        <f t="shared" si="2441"/>
        <v>X</v>
      </c>
      <c r="N10821" t="s">
        <v>27</v>
      </c>
    </row>
    <row r="10822" spans="1:14" x14ac:dyDescent="0.25">
      <c r="A10822" t="s">
        <v>44</v>
      </c>
      <c r="B10822" t="s">
        <v>15</v>
      </c>
      <c r="C10822" t="s">
        <v>35</v>
      </c>
      <c r="D10822" t="s">
        <v>33</v>
      </c>
      <c r="E10822" t="s">
        <v>26</v>
      </c>
      <c r="F10822" t="s">
        <v>15</v>
      </c>
      <c r="G10822" s="1" t="str">
        <f t="shared" ref="G10822:M10826" si="2442">"..."</f>
        <v>...</v>
      </c>
      <c r="H10822" s="1" t="str">
        <f t="shared" si="2442"/>
        <v>...</v>
      </c>
      <c r="I10822" s="1" t="str">
        <f t="shared" si="2442"/>
        <v>...</v>
      </c>
      <c r="J10822" s="1" t="str">
        <f t="shared" si="2442"/>
        <v>...</v>
      </c>
      <c r="K10822" s="1" t="str">
        <f t="shared" si="2442"/>
        <v>...</v>
      </c>
      <c r="L10822" s="1" t="str">
        <f t="shared" si="2442"/>
        <v>...</v>
      </c>
      <c r="M10822" s="1" t="str">
        <f t="shared" si="2442"/>
        <v>...</v>
      </c>
      <c r="N10822" t="s">
        <v>30</v>
      </c>
    </row>
    <row r="10823" spans="1:14" x14ac:dyDescent="0.25">
      <c r="A10823" t="s">
        <v>44</v>
      </c>
      <c r="B10823" t="s">
        <v>15</v>
      </c>
      <c r="C10823" t="s">
        <v>35</v>
      </c>
      <c r="D10823" t="s">
        <v>33</v>
      </c>
      <c r="E10823" t="s">
        <v>26</v>
      </c>
      <c r="F10823" t="s">
        <v>17</v>
      </c>
      <c r="G10823" s="1" t="str">
        <f t="shared" si="2442"/>
        <v>...</v>
      </c>
      <c r="H10823" s="1" t="str">
        <f t="shared" si="2442"/>
        <v>...</v>
      </c>
      <c r="I10823" s="1" t="str">
        <f t="shared" si="2442"/>
        <v>...</v>
      </c>
      <c r="J10823" s="1" t="str">
        <f t="shared" si="2442"/>
        <v>...</v>
      </c>
      <c r="K10823" s="1" t="str">
        <f t="shared" si="2442"/>
        <v>...</v>
      </c>
      <c r="L10823" s="1" t="str">
        <f t="shared" si="2442"/>
        <v>...</v>
      </c>
      <c r="M10823" s="1" t="str">
        <f t="shared" si="2442"/>
        <v>...</v>
      </c>
      <c r="N10823" t="s">
        <v>30</v>
      </c>
    </row>
    <row r="10824" spans="1:14" x14ac:dyDescent="0.25">
      <c r="A10824" t="s">
        <v>44</v>
      </c>
      <c r="B10824" t="s">
        <v>15</v>
      </c>
      <c r="C10824" t="s">
        <v>35</v>
      </c>
      <c r="D10824" t="s">
        <v>33</v>
      </c>
      <c r="E10824" t="s">
        <v>26</v>
      </c>
      <c r="F10824" t="s">
        <v>18</v>
      </c>
      <c r="G10824" s="1" t="str">
        <f t="shared" si="2442"/>
        <v>...</v>
      </c>
      <c r="H10824" s="1" t="str">
        <f t="shared" si="2442"/>
        <v>...</v>
      </c>
      <c r="I10824" s="1" t="str">
        <f t="shared" si="2442"/>
        <v>...</v>
      </c>
      <c r="J10824" s="1" t="str">
        <f t="shared" si="2442"/>
        <v>...</v>
      </c>
      <c r="K10824" s="1" t="str">
        <f t="shared" si="2442"/>
        <v>...</v>
      </c>
      <c r="L10824" s="1" t="str">
        <f t="shared" si="2442"/>
        <v>...</v>
      </c>
      <c r="M10824" s="1" t="str">
        <f t="shared" si="2442"/>
        <v>...</v>
      </c>
      <c r="N10824" t="s">
        <v>30</v>
      </c>
    </row>
    <row r="10825" spans="1:14" x14ac:dyDescent="0.25">
      <c r="A10825" t="s">
        <v>44</v>
      </c>
      <c r="B10825" t="s">
        <v>15</v>
      </c>
      <c r="C10825" t="s">
        <v>35</v>
      </c>
      <c r="D10825" t="s">
        <v>33</v>
      </c>
      <c r="E10825" t="s">
        <v>26</v>
      </c>
      <c r="F10825" t="s">
        <v>19</v>
      </c>
      <c r="G10825" s="1" t="str">
        <f t="shared" si="2442"/>
        <v>...</v>
      </c>
      <c r="H10825" s="1" t="str">
        <f t="shared" si="2442"/>
        <v>...</v>
      </c>
      <c r="I10825" s="1" t="str">
        <f t="shared" si="2442"/>
        <v>...</v>
      </c>
      <c r="J10825" s="1" t="str">
        <f t="shared" si="2442"/>
        <v>...</v>
      </c>
      <c r="K10825" s="1" t="str">
        <f t="shared" si="2442"/>
        <v>...</v>
      </c>
      <c r="L10825" s="1" t="str">
        <f t="shared" si="2442"/>
        <v>...</v>
      </c>
      <c r="M10825" s="1" t="str">
        <f t="shared" si="2442"/>
        <v>...</v>
      </c>
      <c r="N10825" t="s">
        <v>30</v>
      </c>
    </row>
    <row r="10826" spans="1:14" x14ac:dyDescent="0.25">
      <c r="A10826" t="s">
        <v>44</v>
      </c>
      <c r="B10826" t="s">
        <v>15</v>
      </c>
      <c r="C10826" t="s">
        <v>35</v>
      </c>
      <c r="D10826" t="s">
        <v>33</v>
      </c>
      <c r="E10826" t="s">
        <v>26</v>
      </c>
      <c r="F10826" t="s">
        <v>20</v>
      </c>
      <c r="G10826" s="1" t="str">
        <f t="shared" si="2442"/>
        <v>...</v>
      </c>
      <c r="H10826" s="1" t="str">
        <f t="shared" si="2442"/>
        <v>...</v>
      </c>
      <c r="I10826" s="1" t="str">
        <f t="shared" si="2442"/>
        <v>...</v>
      </c>
      <c r="J10826" s="1" t="str">
        <f t="shared" si="2442"/>
        <v>...</v>
      </c>
      <c r="K10826" s="1" t="str">
        <f t="shared" si="2442"/>
        <v>...</v>
      </c>
      <c r="L10826" s="1" t="str">
        <f t="shared" si="2442"/>
        <v>...</v>
      </c>
      <c r="M10826" s="1" t="str">
        <f t="shared" si="2442"/>
        <v>...</v>
      </c>
      <c r="N10826" t="s">
        <v>30</v>
      </c>
    </row>
    <row r="10827" spans="1:14" x14ac:dyDescent="0.25">
      <c r="A10827" t="s">
        <v>44</v>
      </c>
      <c r="B10827" t="s">
        <v>15</v>
      </c>
      <c r="C10827" t="s">
        <v>35</v>
      </c>
      <c r="D10827" t="s">
        <v>34</v>
      </c>
      <c r="E10827" t="s">
        <v>15</v>
      </c>
      <c r="F10827" t="s">
        <v>15</v>
      </c>
      <c r="G10827" s="1" t="str">
        <f t="shared" ref="G10827:M10827" si="2443">"X"</f>
        <v>X</v>
      </c>
      <c r="H10827" s="1" t="str">
        <f t="shared" si="2443"/>
        <v>X</v>
      </c>
      <c r="I10827" s="1" t="str">
        <f t="shared" si="2443"/>
        <v>X</v>
      </c>
      <c r="J10827" s="1" t="str">
        <f t="shared" si="2443"/>
        <v>X</v>
      </c>
      <c r="K10827" s="1" t="str">
        <f t="shared" si="2443"/>
        <v>X</v>
      </c>
      <c r="L10827" s="1" t="str">
        <f t="shared" si="2443"/>
        <v>X</v>
      </c>
      <c r="M10827" s="1" t="str">
        <f t="shared" si="2443"/>
        <v>X</v>
      </c>
      <c r="N10827" t="s">
        <v>27</v>
      </c>
    </row>
    <row r="10828" spans="1:14" x14ac:dyDescent="0.25">
      <c r="A10828" t="s">
        <v>44</v>
      </c>
      <c r="B10828" t="s">
        <v>15</v>
      </c>
      <c r="C10828" t="s">
        <v>35</v>
      </c>
      <c r="D10828" t="s">
        <v>34</v>
      </c>
      <c r="E10828" t="s">
        <v>15</v>
      </c>
      <c r="F10828" t="s">
        <v>17</v>
      </c>
      <c r="G10828" s="1" t="str">
        <f t="shared" ref="G10828:M10828" si="2444">"..."</f>
        <v>...</v>
      </c>
      <c r="H10828" s="1" t="str">
        <f t="shared" si="2444"/>
        <v>...</v>
      </c>
      <c r="I10828" s="1" t="str">
        <f t="shared" si="2444"/>
        <v>...</v>
      </c>
      <c r="J10828" s="1" t="str">
        <f t="shared" si="2444"/>
        <v>...</v>
      </c>
      <c r="K10828" s="1" t="str">
        <f t="shared" si="2444"/>
        <v>...</v>
      </c>
      <c r="L10828" s="1" t="str">
        <f t="shared" si="2444"/>
        <v>...</v>
      </c>
      <c r="M10828" s="1" t="str">
        <f t="shared" si="2444"/>
        <v>...</v>
      </c>
      <c r="N10828" t="s">
        <v>30</v>
      </c>
    </row>
    <row r="10829" spans="1:14" x14ac:dyDescent="0.25">
      <c r="A10829" t="s">
        <v>44</v>
      </c>
      <c r="B10829" t="s">
        <v>15</v>
      </c>
      <c r="C10829" t="s">
        <v>35</v>
      </c>
      <c r="D10829" t="s">
        <v>34</v>
      </c>
      <c r="E10829" t="s">
        <v>15</v>
      </c>
      <c r="F10829" t="s">
        <v>18</v>
      </c>
      <c r="G10829" s="1" t="str">
        <f t="shared" ref="G10829:M10829" si="2445">"X"</f>
        <v>X</v>
      </c>
      <c r="H10829" s="1" t="str">
        <f t="shared" si="2445"/>
        <v>X</v>
      </c>
      <c r="I10829" s="1" t="str">
        <f t="shared" si="2445"/>
        <v>X</v>
      </c>
      <c r="J10829" s="1" t="str">
        <f t="shared" si="2445"/>
        <v>X</v>
      </c>
      <c r="K10829" s="1" t="str">
        <f t="shared" si="2445"/>
        <v>X</v>
      </c>
      <c r="L10829" s="1" t="str">
        <f t="shared" si="2445"/>
        <v>X</v>
      </c>
      <c r="M10829" s="1" t="str">
        <f t="shared" si="2445"/>
        <v>X</v>
      </c>
      <c r="N10829" t="s">
        <v>27</v>
      </c>
    </row>
    <row r="10830" spans="1:14" x14ac:dyDescent="0.25">
      <c r="A10830" t="s">
        <v>44</v>
      </c>
      <c r="B10830" t="s">
        <v>15</v>
      </c>
      <c r="C10830" t="s">
        <v>35</v>
      </c>
      <c r="D10830" t="s">
        <v>34</v>
      </c>
      <c r="E10830" t="s">
        <v>15</v>
      </c>
      <c r="F10830" t="s">
        <v>19</v>
      </c>
      <c r="G10830" s="1" t="str">
        <f t="shared" ref="G10830:M10830" si="2446">"..."</f>
        <v>...</v>
      </c>
      <c r="H10830" s="1" t="str">
        <f t="shared" si="2446"/>
        <v>...</v>
      </c>
      <c r="I10830" s="1" t="str">
        <f t="shared" si="2446"/>
        <v>...</v>
      </c>
      <c r="J10830" s="1" t="str">
        <f t="shared" si="2446"/>
        <v>...</v>
      </c>
      <c r="K10830" s="1" t="str">
        <f t="shared" si="2446"/>
        <v>...</v>
      </c>
      <c r="L10830" s="1" t="str">
        <f t="shared" si="2446"/>
        <v>...</v>
      </c>
      <c r="M10830" s="1" t="str">
        <f t="shared" si="2446"/>
        <v>...</v>
      </c>
      <c r="N10830" t="s">
        <v>30</v>
      </c>
    </row>
    <row r="10831" spans="1:14" x14ac:dyDescent="0.25">
      <c r="A10831" t="s">
        <v>44</v>
      </c>
      <c r="B10831" t="s">
        <v>15</v>
      </c>
      <c r="C10831" t="s">
        <v>35</v>
      </c>
      <c r="D10831" t="s">
        <v>34</v>
      </c>
      <c r="E10831" t="s">
        <v>15</v>
      </c>
      <c r="F10831" t="s">
        <v>20</v>
      </c>
      <c r="G10831" s="1" t="str">
        <f t="shared" ref="G10831:M10832" si="2447">"X"</f>
        <v>X</v>
      </c>
      <c r="H10831" s="1" t="str">
        <f t="shared" si="2447"/>
        <v>X</v>
      </c>
      <c r="I10831" s="1" t="str">
        <f t="shared" si="2447"/>
        <v>X</v>
      </c>
      <c r="J10831" s="1" t="str">
        <f t="shared" si="2447"/>
        <v>X</v>
      </c>
      <c r="K10831" s="1" t="str">
        <f t="shared" si="2447"/>
        <v>X</v>
      </c>
      <c r="L10831" s="1" t="str">
        <f t="shared" si="2447"/>
        <v>X</v>
      </c>
      <c r="M10831" s="1" t="str">
        <f t="shared" si="2447"/>
        <v>X</v>
      </c>
      <c r="N10831" t="s">
        <v>27</v>
      </c>
    </row>
    <row r="10832" spans="1:14" x14ac:dyDescent="0.25">
      <c r="A10832" t="s">
        <v>44</v>
      </c>
      <c r="B10832" t="s">
        <v>15</v>
      </c>
      <c r="C10832" t="s">
        <v>35</v>
      </c>
      <c r="D10832" t="s">
        <v>34</v>
      </c>
      <c r="E10832" t="s">
        <v>21</v>
      </c>
      <c r="F10832" t="s">
        <v>15</v>
      </c>
      <c r="G10832" s="1" t="str">
        <f t="shared" si="2447"/>
        <v>X</v>
      </c>
      <c r="H10832" s="1" t="str">
        <f t="shared" si="2447"/>
        <v>X</v>
      </c>
      <c r="I10832" s="1" t="str">
        <f t="shared" si="2447"/>
        <v>X</v>
      </c>
      <c r="J10832" s="1" t="str">
        <f t="shared" si="2447"/>
        <v>X</v>
      </c>
      <c r="K10832" s="1" t="str">
        <f t="shared" si="2447"/>
        <v>X</v>
      </c>
      <c r="L10832" s="1" t="str">
        <f t="shared" si="2447"/>
        <v>X</v>
      </c>
      <c r="M10832" s="1" t="str">
        <f t="shared" si="2447"/>
        <v>X</v>
      </c>
      <c r="N10832" t="s">
        <v>27</v>
      </c>
    </row>
    <row r="10833" spans="1:14" x14ac:dyDescent="0.25">
      <c r="A10833" t="s">
        <v>44</v>
      </c>
      <c r="B10833" t="s">
        <v>15</v>
      </c>
      <c r="C10833" t="s">
        <v>35</v>
      </c>
      <c r="D10833" t="s">
        <v>34</v>
      </c>
      <c r="E10833" t="s">
        <v>21</v>
      </c>
      <c r="F10833" t="s">
        <v>17</v>
      </c>
      <c r="G10833" s="1" t="str">
        <f t="shared" ref="G10833:M10833" si="2448">"..."</f>
        <v>...</v>
      </c>
      <c r="H10833" s="1" t="str">
        <f t="shared" si="2448"/>
        <v>...</v>
      </c>
      <c r="I10833" s="1" t="str">
        <f t="shared" si="2448"/>
        <v>...</v>
      </c>
      <c r="J10833" s="1" t="str">
        <f t="shared" si="2448"/>
        <v>...</v>
      </c>
      <c r="K10833" s="1" t="str">
        <f t="shared" si="2448"/>
        <v>...</v>
      </c>
      <c r="L10833" s="1" t="str">
        <f t="shared" si="2448"/>
        <v>...</v>
      </c>
      <c r="M10833" s="1" t="str">
        <f t="shared" si="2448"/>
        <v>...</v>
      </c>
      <c r="N10833" t="s">
        <v>30</v>
      </c>
    </row>
    <row r="10834" spans="1:14" x14ac:dyDescent="0.25">
      <c r="A10834" t="s">
        <v>44</v>
      </c>
      <c r="B10834" t="s">
        <v>15</v>
      </c>
      <c r="C10834" t="s">
        <v>35</v>
      </c>
      <c r="D10834" t="s">
        <v>34</v>
      </c>
      <c r="E10834" t="s">
        <v>21</v>
      </c>
      <c r="F10834" t="s">
        <v>18</v>
      </c>
      <c r="G10834" s="1" t="str">
        <f t="shared" ref="G10834:M10834" si="2449">"X"</f>
        <v>X</v>
      </c>
      <c r="H10834" s="1" t="str">
        <f t="shared" si="2449"/>
        <v>X</v>
      </c>
      <c r="I10834" s="1" t="str">
        <f t="shared" si="2449"/>
        <v>X</v>
      </c>
      <c r="J10834" s="1" t="str">
        <f t="shared" si="2449"/>
        <v>X</v>
      </c>
      <c r="K10834" s="1" t="str">
        <f t="shared" si="2449"/>
        <v>X</v>
      </c>
      <c r="L10834" s="1" t="str">
        <f t="shared" si="2449"/>
        <v>X</v>
      </c>
      <c r="M10834" s="1" t="str">
        <f t="shared" si="2449"/>
        <v>X</v>
      </c>
      <c r="N10834" t="s">
        <v>27</v>
      </c>
    </row>
    <row r="10835" spans="1:14" x14ac:dyDescent="0.25">
      <c r="A10835" t="s">
        <v>44</v>
      </c>
      <c r="B10835" t="s">
        <v>15</v>
      </c>
      <c r="C10835" t="s">
        <v>35</v>
      </c>
      <c r="D10835" t="s">
        <v>34</v>
      </c>
      <c r="E10835" t="s">
        <v>21</v>
      </c>
      <c r="F10835" t="s">
        <v>19</v>
      </c>
      <c r="G10835" s="1" t="str">
        <f t="shared" ref="G10835:M10835" si="2450">"..."</f>
        <v>...</v>
      </c>
      <c r="H10835" s="1" t="str">
        <f t="shared" si="2450"/>
        <v>...</v>
      </c>
      <c r="I10835" s="1" t="str">
        <f t="shared" si="2450"/>
        <v>...</v>
      </c>
      <c r="J10835" s="1" t="str">
        <f t="shared" si="2450"/>
        <v>...</v>
      </c>
      <c r="K10835" s="1" t="str">
        <f t="shared" si="2450"/>
        <v>...</v>
      </c>
      <c r="L10835" s="1" t="str">
        <f t="shared" si="2450"/>
        <v>...</v>
      </c>
      <c r="M10835" s="1" t="str">
        <f t="shared" si="2450"/>
        <v>...</v>
      </c>
      <c r="N10835" t="s">
        <v>30</v>
      </c>
    </row>
    <row r="10836" spans="1:14" x14ac:dyDescent="0.25">
      <c r="A10836" t="s">
        <v>44</v>
      </c>
      <c r="B10836" t="s">
        <v>15</v>
      </c>
      <c r="C10836" t="s">
        <v>35</v>
      </c>
      <c r="D10836" t="s">
        <v>34</v>
      </c>
      <c r="E10836" t="s">
        <v>21</v>
      </c>
      <c r="F10836" t="s">
        <v>20</v>
      </c>
      <c r="G10836" s="1" t="str">
        <f t="shared" ref="G10836:M10837" si="2451">"X"</f>
        <v>X</v>
      </c>
      <c r="H10836" s="1" t="str">
        <f t="shared" si="2451"/>
        <v>X</v>
      </c>
      <c r="I10836" s="1" t="str">
        <f t="shared" si="2451"/>
        <v>X</v>
      </c>
      <c r="J10836" s="1" t="str">
        <f t="shared" si="2451"/>
        <v>X</v>
      </c>
      <c r="K10836" s="1" t="str">
        <f t="shared" si="2451"/>
        <v>X</v>
      </c>
      <c r="L10836" s="1" t="str">
        <f t="shared" si="2451"/>
        <v>X</v>
      </c>
      <c r="M10836" s="1" t="str">
        <f t="shared" si="2451"/>
        <v>X</v>
      </c>
      <c r="N10836" t="s">
        <v>27</v>
      </c>
    </row>
    <row r="10837" spans="1:14" x14ac:dyDescent="0.25">
      <c r="A10837" t="s">
        <v>44</v>
      </c>
      <c r="B10837" t="s">
        <v>15</v>
      </c>
      <c r="C10837" t="s">
        <v>35</v>
      </c>
      <c r="D10837" t="s">
        <v>34</v>
      </c>
      <c r="E10837" t="s">
        <v>22</v>
      </c>
      <c r="F10837" t="s">
        <v>15</v>
      </c>
      <c r="G10837" s="1" t="str">
        <f t="shared" si="2451"/>
        <v>X</v>
      </c>
      <c r="H10837" s="1" t="str">
        <f t="shared" si="2451"/>
        <v>X</v>
      </c>
      <c r="I10837" s="1" t="str">
        <f t="shared" si="2451"/>
        <v>X</v>
      </c>
      <c r="J10837" s="1" t="str">
        <f t="shared" si="2451"/>
        <v>X</v>
      </c>
      <c r="K10837" s="1" t="str">
        <f t="shared" si="2451"/>
        <v>X</v>
      </c>
      <c r="L10837" s="1" t="str">
        <f t="shared" si="2451"/>
        <v>X</v>
      </c>
      <c r="M10837" s="1" t="str">
        <f t="shared" si="2451"/>
        <v>X</v>
      </c>
      <c r="N10837" t="s">
        <v>27</v>
      </c>
    </row>
    <row r="10838" spans="1:14" x14ac:dyDescent="0.25">
      <c r="A10838" t="s">
        <v>44</v>
      </c>
      <c r="B10838" t="s">
        <v>15</v>
      </c>
      <c r="C10838" t="s">
        <v>35</v>
      </c>
      <c r="D10838" t="s">
        <v>34</v>
      </c>
      <c r="E10838" t="s">
        <v>22</v>
      </c>
      <c r="F10838" t="s">
        <v>17</v>
      </c>
      <c r="G10838" s="1" t="str">
        <f t="shared" ref="G10838:M10840" si="2452">"..."</f>
        <v>...</v>
      </c>
      <c r="H10838" s="1" t="str">
        <f t="shared" si="2452"/>
        <v>...</v>
      </c>
      <c r="I10838" s="1" t="str">
        <f t="shared" si="2452"/>
        <v>...</v>
      </c>
      <c r="J10838" s="1" t="str">
        <f t="shared" si="2452"/>
        <v>...</v>
      </c>
      <c r="K10838" s="1" t="str">
        <f t="shared" si="2452"/>
        <v>...</v>
      </c>
      <c r="L10838" s="1" t="str">
        <f t="shared" si="2452"/>
        <v>...</v>
      </c>
      <c r="M10838" s="1" t="str">
        <f t="shared" si="2452"/>
        <v>...</v>
      </c>
      <c r="N10838" t="s">
        <v>30</v>
      </c>
    </row>
    <row r="10839" spans="1:14" x14ac:dyDescent="0.25">
      <c r="A10839" t="s">
        <v>44</v>
      </c>
      <c r="B10839" t="s">
        <v>15</v>
      </c>
      <c r="C10839" t="s">
        <v>35</v>
      </c>
      <c r="D10839" t="s">
        <v>34</v>
      </c>
      <c r="E10839" t="s">
        <v>22</v>
      </c>
      <c r="F10839" t="s">
        <v>18</v>
      </c>
      <c r="G10839" s="1" t="str">
        <f t="shared" si="2452"/>
        <v>...</v>
      </c>
      <c r="H10839" s="1" t="str">
        <f t="shared" si="2452"/>
        <v>...</v>
      </c>
      <c r="I10839" s="1" t="str">
        <f t="shared" si="2452"/>
        <v>...</v>
      </c>
      <c r="J10839" s="1" t="str">
        <f t="shared" si="2452"/>
        <v>...</v>
      </c>
      <c r="K10839" s="1" t="str">
        <f t="shared" si="2452"/>
        <v>...</v>
      </c>
      <c r="L10839" s="1" t="str">
        <f t="shared" si="2452"/>
        <v>...</v>
      </c>
      <c r="M10839" s="1" t="str">
        <f t="shared" si="2452"/>
        <v>...</v>
      </c>
      <c r="N10839" t="s">
        <v>30</v>
      </c>
    </row>
    <row r="10840" spans="1:14" x14ac:dyDescent="0.25">
      <c r="A10840" t="s">
        <v>44</v>
      </c>
      <c r="B10840" t="s">
        <v>15</v>
      </c>
      <c r="C10840" t="s">
        <v>35</v>
      </c>
      <c r="D10840" t="s">
        <v>34</v>
      </c>
      <c r="E10840" t="s">
        <v>22</v>
      </c>
      <c r="F10840" t="s">
        <v>19</v>
      </c>
      <c r="G10840" s="1" t="str">
        <f t="shared" si="2452"/>
        <v>...</v>
      </c>
      <c r="H10840" s="1" t="str">
        <f t="shared" si="2452"/>
        <v>...</v>
      </c>
      <c r="I10840" s="1" t="str">
        <f t="shared" si="2452"/>
        <v>...</v>
      </c>
      <c r="J10840" s="1" t="str">
        <f t="shared" si="2452"/>
        <v>...</v>
      </c>
      <c r="K10840" s="1" t="str">
        <f t="shared" si="2452"/>
        <v>...</v>
      </c>
      <c r="L10840" s="1" t="str">
        <f t="shared" si="2452"/>
        <v>...</v>
      </c>
      <c r="M10840" s="1" t="str">
        <f t="shared" si="2452"/>
        <v>...</v>
      </c>
      <c r="N10840" t="s">
        <v>30</v>
      </c>
    </row>
    <row r="10841" spans="1:14" x14ac:dyDescent="0.25">
      <c r="A10841" t="s">
        <v>44</v>
      </c>
      <c r="B10841" t="s">
        <v>15</v>
      </c>
      <c r="C10841" t="s">
        <v>35</v>
      </c>
      <c r="D10841" t="s">
        <v>34</v>
      </c>
      <c r="E10841" t="s">
        <v>22</v>
      </c>
      <c r="F10841" t="s">
        <v>20</v>
      </c>
      <c r="G10841" s="1" t="str">
        <f t="shared" ref="G10841:M10842" si="2453">"X"</f>
        <v>X</v>
      </c>
      <c r="H10841" s="1" t="str">
        <f t="shared" si="2453"/>
        <v>X</v>
      </c>
      <c r="I10841" s="1" t="str">
        <f t="shared" si="2453"/>
        <v>X</v>
      </c>
      <c r="J10841" s="1" t="str">
        <f t="shared" si="2453"/>
        <v>X</v>
      </c>
      <c r="K10841" s="1" t="str">
        <f t="shared" si="2453"/>
        <v>X</v>
      </c>
      <c r="L10841" s="1" t="str">
        <f t="shared" si="2453"/>
        <v>X</v>
      </c>
      <c r="M10841" s="1" t="str">
        <f t="shared" si="2453"/>
        <v>X</v>
      </c>
      <c r="N10841" t="s">
        <v>27</v>
      </c>
    </row>
    <row r="10842" spans="1:14" x14ac:dyDescent="0.25">
      <c r="A10842" t="s">
        <v>44</v>
      </c>
      <c r="B10842" t="s">
        <v>15</v>
      </c>
      <c r="C10842" t="s">
        <v>35</v>
      </c>
      <c r="D10842" t="s">
        <v>34</v>
      </c>
      <c r="E10842" t="s">
        <v>23</v>
      </c>
      <c r="F10842" t="s">
        <v>15</v>
      </c>
      <c r="G10842" s="1" t="str">
        <f t="shared" si="2453"/>
        <v>X</v>
      </c>
      <c r="H10842" s="1" t="str">
        <f t="shared" si="2453"/>
        <v>X</v>
      </c>
      <c r="I10842" s="1" t="str">
        <f t="shared" si="2453"/>
        <v>X</v>
      </c>
      <c r="J10842" s="1" t="str">
        <f t="shared" si="2453"/>
        <v>X</v>
      </c>
      <c r="K10842" s="1" t="str">
        <f t="shared" si="2453"/>
        <v>X</v>
      </c>
      <c r="L10842" s="1" t="str">
        <f t="shared" si="2453"/>
        <v>X</v>
      </c>
      <c r="M10842" s="1" t="str">
        <f t="shared" si="2453"/>
        <v>X</v>
      </c>
      <c r="N10842" t="s">
        <v>27</v>
      </c>
    </row>
    <row r="10843" spans="1:14" x14ac:dyDescent="0.25">
      <c r="A10843" t="s">
        <v>44</v>
      </c>
      <c r="B10843" t="s">
        <v>15</v>
      </c>
      <c r="C10843" t="s">
        <v>35</v>
      </c>
      <c r="D10843" t="s">
        <v>34</v>
      </c>
      <c r="E10843" t="s">
        <v>23</v>
      </c>
      <c r="F10843" t="s">
        <v>17</v>
      </c>
      <c r="G10843" s="1" t="str">
        <f t="shared" ref="G10843:M10845" si="2454">"..."</f>
        <v>...</v>
      </c>
      <c r="H10843" s="1" t="str">
        <f t="shared" si="2454"/>
        <v>...</v>
      </c>
      <c r="I10843" s="1" t="str">
        <f t="shared" si="2454"/>
        <v>...</v>
      </c>
      <c r="J10843" s="1" t="str">
        <f t="shared" si="2454"/>
        <v>...</v>
      </c>
      <c r="K10843" s="1" t="str">
        <f t="shared" si="2454"/>
        <v>...</v>
      </c>
      <c r="L10843" s="1" t="str">
        <f t="shared" si="2454"/>
        <v>...</v>
      </c>
      <c r="M10843" s="1" t="str">
        <f t="shared" si="2454"/>
        <v>...</v>
      </c>
      <c r="N10843" t="s">
        <v>30</v>
      </c>
    </row>
    <row r="10844" spans="1:14" x14ac:dyDescent="0.25">
      <c r="A10844" t="s">
        <v>44</v>
      </c>
      <c r="B10844" t="s">
        <v>15</v>
      </c>
      <c r="C10844" t="s">
        <v>35</v>
      </c>
      <c r="D10844" t="s">
        <v>34</v>
      </c>
      <c r="E10844" t="s">
        <v>23</v>
      </c>
      <c r="F10844" t="s">
        <v>18</v>
      </c>
      <c r="G10844" s="1" t="str">
        <f t="shared" si="2454"/>
        <v>...</v>
      </c>
      <c r="H10844" s="1" t="str">
        <f t="shared" si="2454"/>
        <v>...</v>
      </c>
      <c r="I10844" s="1" t="str">
        <f t="shared" si="2454"/>
        <v>...</v>
      </c>
      <c r="J10844" s="1" t="str">
        <f t="shared" si="2454"/>
        <v>...</v>
      </c>
      <c r="K10844" s="1" t="str">
        <f t="shared" si="2454"/>
        <v>...</v>
      </c>
      <c r="L10844" s="1" t="str">
        <f t="shared" si="2454"/>
        <v>...</v>
      </c>
      <c r="M10844" s="1" t="str">
        <f t="shared" si="2454"/>
        <v>...</v>
      </c>
      <c r="N10844" t="s">
        <v>30</v>
      </c>
    </row>
    <row r="10845" spans="1:14" x14ac:dyDescent="0.25">
      <c r="A10845" t="s">
        <v>44</v>
      </c>
      <c r="B10845" t="s">
        <v>15</v>
      </c>
      <c r="C10845" t="s">
        <v>35</v>
      </c>
      <c r="D10845" t="s">
        <v>34</v>
      </c>
      <c r="E10845" t="s">
        <v>23</v>
      </c>
      <c r="F10845" t="s">
        <v>19</v>
      </c>
      <c r="G10845" s="1" t="str">
        <f t="shared" si="2454"/>
        <v>...</v>
      </c>
      <c r="H10845" s="1" t="str">
        <f t="shared" si="2454"/>
        <v>...</v>
      </c>
      <c r="I10845" s="1" t="str">
        <f t="shared" si="2454"/>
        <v>...</v>
      </c>
      <c r="J10845" s="1" t="str">
        <f t="shared" si="2454"/>
        <v>...</v>
      </c>
      <c r="K10845" s="1" t="str">
        <f t="shared" si="2454"/>
        <v>...</v>
      </c>
      <c r="L10845" s="1" t="str">
        <f t="shared" si="2454"/>
        <v>...</v>
      </c>
      <c r="M10845" s="1" t="str">
        <f t="shared" si="2454"/>
        <v>...</v>
      </c>
      <c r="N10845" t="s">
        <v>30</v>
      </c>
    </row>
    <row r="10846" spans="1:14" x14ac:dyDescent="0.25">
      <c r="A10846" t="s">
        <v>44</v>
      </c>
      <c r="B10846" t="s">
        <v>15</v>
      </c>
      <c r="C10846" t="s">
        <v>35</v>
      </c>
      <c r="D10846" t="s">
        <v>34</v>
      </c>
      <c r="E10846" t="s">
        <v>23</v>
      </c>
      <c r="F10846" t="s">
        <v>20</v>
      </c>
      <c r="G10846" s="1" t="str">
        <f t="shared" ref="G10846:M10846" si="2455">"X"</f>
        <v>X</v>
      </c>
      <c r="H10846" s="1" t="str">
        <f t="shared" si="2455"/>
        <v>X</v>
      </c>
      <c r="I10846" s="1" t="str">
        <f t="shared" si="2455"/>
        <v>X</v>
      </c>
      <c r="J10846" s="1" t="str">
        <f t="shared" si="2455"/>
        <v>X</v>
      </c>
      <c r="K10846" s="1" t="str">
        <f t="shared" si="2455"/>
        <v>X</v>
      </c>
      <c r="L10846" s="1" t="str">
        <f t="shared" si="2455"/>
        <v>X</v>
      </c>
      <c r="M10846" s="1" t="str">
        <f t="shared" si="2455"/>
        <v>X</v>
      </c>
      <c r="N10846" t="s">
        <v>27</v>
      </c>
    </row>
    <row r="10847" spans="1:14" x14ac:dyDescent="0.25">
      <c r="A10847" t="s">
        <v>44</v>
      </c>
      <c r="B10847" t="s">
        <v>15</v>
      </c>
      <c r="C10847" t="s">
        <v>35</v>
      </c>
      <c r="D10847" t="s">
        <v>34</v>
      </c>
      <c r="E10847" t="s">
        <v>26</v>
      </c>
      <c r="F10847" t="s">
        <v>15</v>
      </c>
      <c r="G10847" s="1" t="str">
        <f t="shared" ref="G10847:M10851" si="2456">"..."</f>
        <v>...</v>
      </c>
      <c r="H10847" s="1" t="str">
        <f t="shared" si="2456"/>
        <v>...</v>
      </c>
      <c r="I10847" s="1" t="str">
        <f t="shared" si="2456"/>
        <v>...</v>
      </c>
      <c r="J10847" s="1" t="str">
        <f t="shared" si="2456"/>
        <v>...</v>
      </c>
      <c r="K10847" s="1" t="str">
        <f t="shared" si="2456"/>
        <v>...</v>
      </c>
      <c r="L10847" s="1" t="str">
        <f t="shared" si="2456"/>
        <v>...</v>
      </c>
      <c r="M10847" s="1" t="str">
        <f t="shared" si="2456"/>
        <v>...</v>
      </c>
      <c r="N10847" t="s">
        <v>30</v>
      </c>
    </row>
    <row r="10848" spans="1:14" x14ac:dyDescent="0.25">
      <c r="A10848" t="s">
        <v>44</v>
      </c>
      <c r="B10848" t="s">
        <v>15</v>
      </c>
      <c r="C10848" t="s">
        <v>35</v>
      </c>
      <c r="D10848" t="s">
        <v>34</v>
      </c>
      <c r="E10848" t="s">
        <v>26</v>
      </c>
      <c r="F10848" t="s">
        <v>17</v>
      </c>
      <c r="G10848" s="1" t="str">
        <f t="shared" si="2456"/>
        <v>...</v>
      </c>
      <c r="H10848" s="1" t="str">
        <f t="shared" si="2456"/>
        <v>...</v>
      </c>
      <c r="I10848" s="1" t="str">
        <f t="shared" si="2456"/>
        <v>...</v>
      </c>
      <c r="J10848" s="1" t="str">
        <f t="shared" si="2456"/>
        <v>...</v>
      </c>
      <c r="K10848" s="1" t="str">
        <f t="shared" si="2456"/>
        <v>...</v>
      </c>
      <c r="L10848" s="1" t="str">
        <f t="shared" si="2456"/>
        <v>...</v>
      </c>
      <c r="M10848" s="1" t="str">
        <f t="shared" si="2456"/>
        <v>...</v>
      </c>
      <c r="N10848" t="s">
        <v>30</v>
      </c>
    </row>
    <row r="10849" spans="1:14" x14ac:dyDescent="0.25">
      <c r="A10849" t="s">
        <v>44</v>
      </c>
      <c r="B10849" t="s">
        <v>15</v>
      </c>
      <c r="C10849" t="s">
        <v>35</v>
      </c>
      <c r="D10849" t="s">
        <v>34</v>
      </c>
      <c r="E10849" t="s">
        <v>26</v>
      </c>
      <c r="F10849" t="s">
        <v>18</v>
      </c>
      <c r="G10849" s="1" t="str">
        <f t="shared" si="2456"/>
        <v>...</v>
      </c>
      <c r="H10849" s="1" t="str">
        <f t="shared" si="2456"/>
        <v>...</v>
      </c>
      <c r="I10849" s="1" t="str">
        <f t="shared" si="2456"/>
        <v>...</v>
      </c>
      <c r="J10849" s="1" t="str">
        <f t="shared" si="2456"/>
        <v>...</v>
      </c>
      <c r="K10849" s="1" t="str">
        <f t="shared" si="2456"/>
        <v>...</v>
      </c>
      <c r="L10849" s="1" t="str">
        <f t="shared" si="2456"/>
        <v>...</v>
      </c>
      <c r="M10849" s="1" t="str">
        <f t="shared" si="2456"/>
        <v>...</v>
      </c>
      <c r="N10849" t="s">
        <v>30</v>
      </c>
    </row>
    <row r="10850" spans="1:14" x14ac:dyDescent="0.25">
      <c r="A10850" t="s">
        <v>44</v>
      </c>
      <c r="B10850" t="s">
        <v>15</v>
      </c>
      <c r="C10850" t="s">
        <v>35</v>
      </c>
      <c r="D10850" t="s">
        <v>34</v>
      </c>
      <c r="E10850" t="s">
        <v>26</v>
      </c>
      <c r="F10850" t="s">
        <v>19</v>
      </c>
      <c r="G10850" s="1" t="str">
        <f t="shared" si="2456"/>
        <v>...</v>
      </c>
      <c r="H10850" s="1" t="str">
        <f t="shared" si="2456"/>
        <v>...</v>
      </c>
      <c r="I10850" s="1" t="str">
        <f t="shared" si="2456"/>
        <v>...</v>
      </c>
      <c r="J10850" s="1" t="str">
        <f t="shared" si="2456"/>
        <v>...</v>
      </c>
      <c r="K10850" s="1" t="str">
        <f t="shared" si="2456"/>
        <v>...</v>
      </c>
      <c r="L10850" s="1" t="str">
        <f t="shared" si="2456"/>
        <v>...</v>
      </c>
      <c r="M10850" s="1" t="str">
        <f t="shared" si="2456"/>
        <v>...</v>
      </c>
      <c r="N10850" t="s">
        <v>30</v>
      </c>
    </row>
    <row r="10851" spans="1:14" x14ac:dyDescent="0.25">
      <c r="A10851" t="s">
        <v>44</v>
      </c>
      <c r="B10851" t="s">
        <v>15</v>
      </c>
      <c r="C10851" t="s">
        <v>35</v>
      </c>
      <c r="D10851" t="s">
        <v>34</v>
      </c>
      <c r="E10851" t="s">
        <v>26</v>
      </c>
      <c r="F10851" t="s">
        <v>20</v>
      </c>
      <c r="G10851" s="1" t="str">
        <f t="shared" si="2456"/>
        <v>...</v>
      </c>
      <c r="H10851" s="1" t="str">
        <f t="shared" si="2456"/>
        <v>...</v>
      </c>
      <c r="I10851" s="1" t="str">
        <f t="shared" si="2456"/>
        <v>...</v>
      </c>
      <c r="J10851" s="1" t="str">
        <f t="shared" si="2456"/>
        <v>...</v>
      </c>
      <c r="K10851" s="1" t="str">
        <f t="shared" si="2456"/>
        <v>...</v>
      </c>
      <c r="L10851" s="1" t="str">
        <f t="shared" si="2456"/>
        <v>...</v>
      </c>
      <c r="M10851" s="1" t="str">
        <f t="shared" si="2456"/>
        <v>...</v>
      </c>
      <c r="N10851" t="s">
        <v>30</v>
      </c>
    </row>
    <row r="10852" spans="1:14" x14ac:dyDescent="0.25">
      <c r="A10852" t="s">
        <v>44</v>
      </c>
      <c r="B10852" t="s">
        <v>15</v>
      </c>
      <c r="C10852" t="s">
        <v>36</v>
      </c>
      <c r="D10852" t="s">
        <v>15</v>
      </c>
      <c r="E10852" t="s">
        <v>15</v>
      </c>
      <c r="F10852" t="s">
        <v>15</v>
      </c>
      <c r="G10852" s="1">
        <f>VALUE(26548.59)</f>
        <v>26548.59</v>
      </c>
      <c r="H10852" s="1">
        <f>VALUE(24046.68)</f>
        <v>24046.68</v>
      </c>
      <c r="I10852" s="1">
        <f>VALUE(3294)</f>
        <v>3294</v>
      </c>
      <c r="J10852" s="1">
        <f>VALUE(3776)</f>
        <v>3776</v>
      </c>
      <c r="K10852" s="1">
        <f>VALUE(4629)</f>
        <v>4629</v>
      </c>
      <c r="L10852" s="1">
        <f>VALUE(5580)</f>
        <v>5580</v>
      </c>
      <c r="M10852" s="1">
        <f>VALUE(6661)</f>
        <v>6661</v>
      </c>
      <c r="N10852" t="s">
        <v>16</v>
      </c>
    </row>
    <row r="10853" spans="1:14" x14ac:dyDescent="0.25">
      <c r="A10853" t="s">
        <v>44</v>
      </c>
      <c r="B10853" t="s">
        <v>15</v>
      </c>
      <c r="C10853" t="s">
        <v>36</v>
      </c>
      <c r="D10853" t="s">
        <v>15</v>
      </c>
      <c r="E10853" t="s">
        <v>15</v>
      </c>
      <c r="F10853" t="s">
        <v>17</v>
      </c>
      <c r="G10853" s="2">
        <f>VALUE(1736.22)</f>
        <v>1736.22</v>
      </c>
      <c r="H10853" s="3">
        <f>VALUE(1686.73)</f>
        <v>1686.73</v>
      </c>
      <c r="I10853" s="4">
        <f>VALUE(4023)</f>
        <v>4023</v>
      </c>
      <c r="J10853" s="1">
        <f>VALUE(4478)</f>
        <v>4478</v>
      </c>
      <c r="K10853" s="6">
        <f>VALUE(5718)</f>
        <v>5718</v>
      </c>
      <c r="L10853" s="7">
        <f>VALUE(7168)</f>
        <v>7168</v>
      </c>
      <c r="M10853" s="8">
        <f>VALUE(9580)</f>
        <v>9580</v>
      </c>
      <c r="N10853" t="s">
        <v>25</v>
      </c>
    </row>
    <row r="10854" spans="1:14" x14ac:dyDescent="0.25">
      <c r="A10854" t="s">
        <v>44</v>
      </c>
      <c r="B10854" t="s">
        <v>15</v>
      </c>
      <c r="C10854" t="s">
        <v>36</v>
      </c>
      <c r="D10854" t="s">
        <v>15</v>
      </c>
      <c r="E10854" t="s">
        <v>15</v>
      </c>
      <c r="F10854" t="s">
        <v>18</v>
      </c>
      <c r="G10854" s="2">
        <f>VALUE(1926.34)</f>
        <v>1926.34</v>
      </c>
      <c r="H10854" s="3">
        <f>VALUE(1799.77)</f>
        <v>1799.77</v>
      </c>
      <c r="I10854" s="1">
        <f>VALUE(3756)</f>
        <v>3756</v>
      </c>
      <c r="J10854" s="1">
        <f>VALUE(4549)</f>
        <v>4549</v>
      </c>
      <c r="K10854" s="1">
        <f>VALUE(5640)</f>
        <v>5640</v>
      </c>
      <c r="L10854" s="1">
        <f>VALUE(6808)</f>
        <v>6808</v>
      </c>
      <c r="M10854" s="8">
        <f>VALUE(8624)</f>
        <v>8624</v>
      </c>
      <c r="N10854" t="s">
        <v>25</v>
      </c>
    </row>
    <row r="10855" spans="1:14" x14ac:dyDescent="0.25">
      <c r="A10855" t="s">
        <v>44</v>
      </c>
      <c r="B10855" t="s">
        <v>15</v>
      </c>
      <c r="C10855" t="s">
        <v>36</v>
      </c>
      <c r="D10855" t="s">
        <v>15</v>
      </c>
      <c r="E10855" t="s">
        <v>15</v>
      </c>
      <c r="F10855" t="s">
        <v>19</v>
      </c>
      <c r="G10855" s="2">
        <f>VALUE(3189.85)</f>
        <v>3189.85</v>
      </c>
      <c r="H10855" s="3">
        <f>VALUE(2928.95)</f>
        <v>2928.95</v>
      </c>
      <c r="I10855" s="1">
        <f>VALUE(3559)</f>
        <v>3559</v>
      </c>
      <c r="J10855" s="1">
        <f>VALUE(4229)</f>
        <v>4229</v>
      </c>
      <c r="K10855" s="1">
        <f>VALUE(5003)</f>
        <v>5003</v>
      </c>
      <c r="L10855" s="1">
        <f>VALUE(5982)</f>
        <v>5982</v>
      </c>
      <c r="M10855" s="1">
        <f>VALUE(6788)</f>
        <v>6788</v>
      </c>
      <c r="N10855" t="s">
        <v>25</v>
      </c>
    </row>
    <row r="10856" spans="1:14" x14ac:dyDescent="0.25">
      <c r="A10856" t="s">
        <v>44</v>
      </c>
      <c r="B10856" t="s">
        <v>15</v>
      </c>
      <c r="C10856" t="s">
        <v>36</v>
      </c>
      <c r="D10856" t="s">
        <v>15</v>
      </c>
      <c r="E10856" t="s">
        <v>15</v>
      </c>
      <c r="F10856" t="s">
        <v>20</v>
      </c>
      <c r="G10856" s="1">
        <f>VALUE(19696.18)</f>
        <v>19696.18</v>
      </c>
      <c r="H10856" s="1">
        <f>VALUE(17631.23)</f>
        <v>17631.23</v>
      </c>
      <c r="I10856" s="1">
        <f>VALUE(3249)</f>
        <v>3249</v>
      </c>
      <c r="J10856" s="1">
        <f>VALUE(3610)</f>
        <v>3610</v>
      </c>
      <c r="K10856" s="1">
        <f>VALUE(4395)</f>
        <v>4395</v>
      </c>
      <c r="L10856" s="1">
        <f>VALUE(5274)</f>
        <v>5274</v>
      </c>
      <c r="M10856" s="1">
        <f>VALUE(6145)</f>
        <v>6145</v>
      </c>
      <c r="N10856" t="s">
        <v>16</v>
      </c>
    </row>
    <row r="10857" spans="1:14" x14ac:dyDescent="0.25">
      <c r="A10857" t="s">
        <v>44</v>
      </c>
      <c r="B10857" t="s">
        <v>15</v>
      </c>
      <c r="C10857" t="s">
        <v>36</v>
      </c>
      <c r="D10857" t="s">
        <v>15</v>
      </c>
      <c r="E10857" t="s">
        <v>21</v>
      </c>
      <c r="F10857" t="s">
        <v>15</v>
      </c>
      <c r="G10857" s="1">
        <f>VALUE(8631.4)</f>
        <v>8631.4</v>
      </c>
      <c r="H10857" s="1">
        <f>VALUE(7927.29)</f>
        <v>7927.29</v>
      </c>
      <c r="I10857" s="1">
        <f>VALUE(3537)</f>
        <v>3537</v>
      </c>
      <c r="J10857" s="1">
        <f>VALUE(4353)</f>
        <v>4353</v>
      </c>
      <c r="K10857" s="1">
        <f>VALUE(5274)</f>
        <v>5274</v>
      </c>
      <c r="L10857" s="1">
        <f>VALUE(6432)</f>
        <v>6432</v>
      </c>
      <c r="M10857" s="1">
        <f>VALUE(7758)</f>
        <v>7758</v>
      </c>
      <c r="N10857" t="s">
        <v>16</v>
      </c>
    </row>
    <row r="10858" spans="1:14" x14ac:dyDescent="0.25">
      <c r="A10858" t="s">
        <v>44</v>
      </c>
      <c r="B10858" t="s">
        <v>15</v>
      </c>
      <c r="C10858" t="s">
        <v>36</v>
      </c>
      <c r="D10858" t="s">
        <v>15</v>
      </c>
      <c r="E10858" t="s">
        <v>21</v>
      </c>
      <c r="F10858" t="s">
        <v>17</v>
      </c>
      <c r="G10858" s="2">
        <f>VALUE(937.71)</f>
        <v>937.71</v>
      </c>
      <c r="H10858" s="3">
        <f>VALUE(913.72)</f>
        <v>913.72</v>
      </c>
      <c r="I10858" s="1">
        <f>VALUE(4007)</f>
        <v>4007</v>
      </c>
      <c r="J10858" s="5">
        <f>VALUE(5199)</f>
        <v>5199</v>
      </c>
      <c r="K10858" s="1">
        <f>VALUE(6532)</f>
        <v>6532</v>
      </c>
      <c r="L10858" s="7">
        <f>VALUE(8440)</f>
        <v>8440</v>
      </c>
      <c r="M10858" s="8">
        <f>VALUE(11490)</f>
        <v>11490</v>
      </c>
      <c r="N10858" t="s">
        <v>25</v>
      </c>
    </row>
    <row r="10859" spans="1:14" x14ac:dyDescent="0.25">
      <c r="A10859" t="s">
        <v>44</v>
      </c>
      <c r="B10859" t="s">
        <v>15</v>
      </c>
      <c r="C10859" t="s">
        <v>36</v>
      </c>
      <c r="D10859" t="s">
        <v>15</v>
      </c>
      <c r="E10859" t="s">
        <v>21</v>
      </c>
      <c r="F10859" t="s">
        <v>18</v>
      </c>
      <c r="G10859" s="2">
        <f>VALUE(1091.78)</f>
        <v>1091.78</v>
      </c>
      <c r="H10859" s="3">
        <f>VALUE(990.66)</f>
        <v>990.66</v>
      </c>
      <c r="I10859" s="1">
        <f>VALUE(4207)</f>
        <v>4207</v>
      </c>
      <c r="J10859" s="1">
        <f>VALUE(5286)</f>
        <v>5286</v>
      </c>
      <c r="K10859" s="1">
        <f>VALUE(6282)</f>
        <v>6282</v>
      </c>
      <c r="L10859" s="1">
        <f>VALUE(7214)</f>
        <v>7214</v>
      </c>
      <c r="M10859" s="1">
        <f>VALUE(9240)</f>
        <v>9240</v>
      </c>
      <c r="N10859" t="s">
        <v>25</v>
      </c>
    </row>
    <row r="10860" spans="1:14" x14ac:dyDescent="0.25">
      <c r="A10860" t="s">
        <v>44</v>
      </c>
      <c r="B10860" t="s">
        <v>15</v>
      </c>
      <c r="C10860" t="s">
        <v>36</v>
      </c>
      <c r="D10860" t="s">
        <v>15</v>
      </c>
      <c r="E10860" t="s">
        <v>21</v>
      </c>
      <c r="F10860" t="s">
        <v>19</v>
      </c>
      <c r="G10860" s="2">
        <f>VALUE(1221.75)</f>
        <v>1221.75</v>
      </c>
      <c r="H10860" s="3">
        <f>VALUE(1069.92)</f>
        <v>1069.92</v>
      </c>
      <c r="I10860" s="1">
        <f>VALUE(3674)</f>
        <v>3674</v>
      </c>
      <c r="J10860" s="5">
        <f>VALUE(4611)</f>
        <v>4611</v>
      </c>
      <c r="K10860" s="1">
        <f>VALUE(5416)</f>
        <v>5416</v>
      </c>
      <c r="L10860" s="1">
        <f>VALUE(6289)</f>
        <v>6289</v>
      </c>
      <c r="M10860" s="1">
        <f>VALUE(7462)</f>
        <v>7462</v>
      </c>
      <c r="N10860" t="s">
        <v>25</v>
      </c>
    </row>
    <row r="10861" spans="1:14" x14ac:dyDescent="0.25">
      <c r="A10861" t="s">
        <v>44</v>
      </c>
      <c r="B10861" t="s">
        <v>15</v>
      </c>
      <c r="C10861" t="s">
        <v>36</v>
      </c>
      <c r="D10861" t="s">
        <v>15</v>
      </c>
      <c r="E10861" t="s">
        <v>21</v>
      </c>
      <c r="F10861" t="s">
        <v>20</v>
      </c>
      <c r="G10861" s="1">
        <f>VALUE(5380.16)</f>
        <v>5380.16</v>
      </c>
      <c r="H10861" s="1">
        <f>VALUE(4952.99)</f>
        <v>4952.99</v>
      </c>
      <c r="I10861" s="1">
        <f>VALUE(3391)</f>
        <v>3391</v>
      </c>
      <c r="J10861" s="1">
        <f>VALUE(4122)</f>
        <v>4122</v>
      </c>
      <c r="K10861" s="1">
        <f>VALUE(4900)</f>
        <v>4900</v>
      </c>
      <c r="L10861" s="1">
        <f>VALUE(5839)</f>
        <v>5839</v>
      </c>
      <c r="M10861" s="1">
        <f>VALUE(7003)</f>
        <v>7003</v>
      </c>
      <c r="N10861" t="s">
        <v>16</v>
      </c>
    </row>
    <row r="10862" spans="1:14" x14ac:dyDescent="0.25">
      <c r="A10862" t="s">
        <v>44</v>
      </c>
      <c r="B10862" t="s">
        <v>15</v>
      </c>
      <c r="C10862" t="s">
        <v>36</v>
      </c>
      <c r="D10862" t="s">
        <v>15</v>
      </c>
      <c r="E10862" t="s">
        <v>22</v>
      </c>
      <c r="F10862" t="s">
        <v>15</v>
      </c>
      <c r="G10862" s="1">
        <f>VALUE(10980.5)</f>
        <v>10980.5</v>
      </c>
      <c r="H10862" s="1">
        <f>VALUE(10220.42)</f>
        <v>10220.42</v>
      </c>
      <c r="I10862" s="1">
        <f>VALUE(3481)</f>
        <v>3481</v>
      </c>
      <c r="J10862" s="1">
        <f>VALUE(4007)</f>
        <v>4007</v>
      </c>
      <c r="K10862" s="1">
        <f>VALUE(4642)</f>
        <v>4642</v>
      </c>
      <c r="L10862" s="1">
        <f>VALUE(5395)</f>
        <v>5395</v>
      </c>
      <c r="M10862" s="1">
        <f>VALUE(6247)</f>
        <v>6247</v>
      </c>
      <c r="N10862" t="s">
        <v>16</v>
      </c>
    </row>
    <row r="10863" spans="1:14" x14ac:dyDescent="0.25">
      <c r="A10863" t="s">
        <v>44</v>
      </c>
      <c r="B10863" t="s">
        <v>15</v>
      </c>
      <c r="C10863" t="s">
        <v>36</v>
      </c>
      <c r="D10863" t="s">
        <v>15</v>
      </c>
      <c r="E10863" t="s">
        <v>22</v>
      </c>
      <c r="F10863" t="s">
        <v>17</v>
      </c>
      <c r="G10863" s="2">
        <f>VALUE(689.79)</f>
        <v>689.79</v>
      </c>
      <c r="H10863" s="3">
        <f>VALUE(675.08)</f>
        <v>675.08</v>
      </c>
      <c r="I10863" s="4">
        <f>VALUE(4180)</f>
        <v>4180</v>
      </c>
      <c r="J10863" s="5">
        <f>VALUE(4478)</f>
        <v>4478</v>
      </c>
      <c r="K10863" s="6">
        <f>VALUE(4852)</f>
        <v>4852</v>
      </c>
      <c r="L10863" s="7">
        <f>VALUE(6231)</f>
        <v>6231</v>
      </c>
      <c r="M10863" s="8">
        <f>VALUE(7180)</f>
        <v>7180</v>
      </c>
      <c r="N10863" t="s">
        <v>24</v>
      </c>
    </row>
    <row r="10864" spans="1:14" x14ac:dyDescent="0.25">
      <c r="A10864" t="s">
        <v>44</v>
      </c>
      <c r="B10864" t="s">
        <v>15</v>
      </c>
      <c r="C10864" t="s">
        <v>36</v>
      </c>
      <c r="D10864" t="s">
        <v>15</v>
      </c>
      <c r="E10864" t="s">
        <v>22</v>
      </c>
      <c r="F10864" t="s">
        <v>18</v>
      </c>
      <c r="G10864" s="2">
        <f>VALUE(650.61)</f>
        <v>650.61</v>
      </c>
      <c r="H10864" s="3">
        <f>VALUE(643.33)</f>
        <v>643.33000000000004</v>
      </c>
      <c r="I10864" s="4">
        <f>VALUE(4007)</f>
        <v>4007</v>
      </c>
      <c r="J10864" s="1">
        <f>VALUE(4377)</f>
        <v>4377</v>
      </c>
      <c r="K10864" s="1">
        <f>VALUE(5150)</f>
        <v>5150</v>
      </c>
      <c r="L10864" s="1">
        <f>VALUE(6160)</f>
        <v>6160</v>
      </c>
      <c r="M10864" s="8">
        <f>VALUE(7580)</f>
        <v>7580</v>
      </c>
      <c r="N10864" t="s">
        <v>25</v>
      </c>
    </row>
    <row r="10865" spans="1:14" x14ac:dyDescent="0.25">
      <c r="A10865" t="s">
        <v>44</v>
      </c>
      <c r="B10865" t="s">
        <v>15</v>
      </c>
      <c r="C10865" t="s">
        <v>36</v>
      </c>
      <c r="D10865" t="s">
        <v>15</v>
      </c>
      <c r="E10865" t="s">
        <v>22</v>
      </c>
      <c r="F10865" t="s">
        <v>19</v>
      </c>
      <c r="G10865" s="2">
        <f>VALUE(1620.89)</f>
        <v>1620.89</v>
      </c>
      <c r="H10865" s="3">
        <f>VALUE(1522.94)</f>
        <v>1522.94</v>
      </c>
      <c r="I10865" s="1">
        <f>VALUE(3615)</f>
        <v>3615</v>
      </c>
      <c r="J10865" s="1">
        <f>VALUE(4226)</f>
        <v>4226</v>
      </c>
      <c r="K10865" s="1">
        <f>VALUE(4808)</f>
        <v>4808</v>
      </c>
      <c r="L10865" s="1">
        <f>VALUE(5852)</f>
        <v>5852</v>
      </c>
      <c r="M10865" s="1">
        <f>VALUE(6534)</f>
        <v>6534</v>
      </c>
      <c r="N10865" t="s">
        <v>25</v>
      </c>
    </row>
    <row r="10866" spans="1:14" x14ac:dyDescent="0.25">
      <c r="A10866" t="s">
        <v>44</v>
      </c>
      <c r="B10866" t="s">
        <v>15</v>
      </c>
      <c r="C10866" t="s">
        <v>36</v>
      </c>
      <c r="D10866" t="s">
        <v>15</v>
      </c>
      <c r="E10866" t="s">
        <v>22</v>
      </c>
      <c r="F10866" t="s">
        <v>20</v>
      </c>
      <c r="G10866" s="1">
        <f>VALUE(8019.21)</f>
        <v>8019.21</v>
      </c>
      <c r="H10866" s="1">
        <f>VALUE(7379.07)</f>
        <v>7379.07</v>
      </c>
      <c r="I10866" s="1">
        <f>VALUE(3426)</f>
        <v>3426</v>
      </c>
      <c r="J10866" s="1">
        <f>VALUE(3900)</f>
        <v>3900</v>
      </c>
      <c r="K10866" s="1">
        <f>VALUE(4521)</f>
        <v>4521</v>
      </c>
      <c r="L10866" s="1">
        <f>VALUE(5259)</f>
        <v>5259</v>
      </c>
      <c r="M10866" s="1">
        <f>VALUE(5942)</f>
        <v>5942</v>
      </c>
      <c r="N10866" t="s">
        <v>16</v>
      </c>
    </row>
    <row r="10867" spans="1:14" x14ac:dyDescent="0.25">
      <c r="A10867" t="s">
        <v>44</v>
      </c>
      <c r="B10867" t="s">
        <v>15</v>
      </c>
      <c r="C10867" t="s">
        <v>36</v>
      </c>
      <c r="D10867" t="s">
        <v>15</v>
      </c>
      <c r="E10867" t="s">
        <v>23</v>
      </c>
      <c r="F10867" t="s">
        <v>15</v>
      </c>
      <c r="G10867" s="1">
        <f>VALUE(6709.34)</f>
        <v>6709.34</v>
      </c>
      <c r="H10867" s="1">
        <f>VALUE(5672.37)</f>
        <v>5672.37</v>
      </c>
      <c r="I10867" s="1">
        <f>VALUE(3094)</f>
        <v>3094</v>
      </c>
      <c r="J10867" s="1">
        <f>VALUE(3328)</f>
        <v>3328</v>
      </c>
      <c r="K10867" s="1">
        <f>VALUE(3683)</f>
        <v>3683</v>
      </c>
      <c r="L10867" s="1">
        <f>VALUE(4444)</f>
        <v>4444</v>
      </c>
      <c r="M10867" s="1">
        <f>VALUE(5322)</f>
        <v>5322</v>
      </c>
      <c r="N10867" t="s">
        <v>16</v>
      </c>
    </row>
    <row r="10868" spans="1:14" x14ac:dyDescent="0.25">
      <c r="A10868" t="s">
        <v>44</v>
      </c>
      <c r="B10868" t="s">
        <v>15</v>
      </c>
      <c r="C10868" t="s">
        <v>36</v>
      </c>
      <c r="D10868" t="s">
        <v>15</v>
      </c>
      <c r="E10868" t="s">
        <v>23</v>
      </c>
      <c r="F10868" t="s">
        <v>17</v>
      </c>
      <c r="G10868" s="1" t="str">
        <f t="shared" ref="G10868:M10869" si="2457">"X"</f>
        <v>X</v>
      </c>
      <c r="H10868" s="1" t="str">
        <f t="shared" si="2457"/>
        <v>X</v>
      </c>
      <c r="I10868" s="1" t="str">
        <f t="shared" si="2457"/>
        <v>X</v>
      </c>
      <c r="J10868" s="1" t="str">
        <f t="shared" si="2457"/>
        <v>X</v>
      </c>
      <c r="K10868" s="1" t="str">
        <f t="shared" si="2457"/>
        <v>X</v>
      </c>
      <c r="L10868" s="1" t="str">
        <f t="shared" si="2457"/>
        <v>X</v>
      </c>
      <c r="M10868" s="1" t="str">
        <f t="shared" si="2457"/>
        <v>X</v>
      </c>
      <c r="N10868" t="s">
        <v>27</v>
      </c>
    </row>
    <row r="10869" spans="1:14" x14ac:dyDescent="0.25">
      <c r="A10869" t="s">
        <v>44</v>
      </c>
      <c r="B10869" t="s">
        <v>15</v>
      </c>
      <c r="C10869" t="s">
        <v>36</v>
      </c>
      <c r="D10869" t="s">
        <v>15</v>
      </c>
      <c r="E10869" t="s">
        <v>23</v>
      </c>
      <c r="F10869" t="s">
        <v>18</v>
      </c>
      <c r="G10869" s="1" t="str">
        <f t="shared" si="2457"/>
        <v>X</v>
      </c>
      <c r="H10869" s="1" t="str">
        <f t="shared" si="2457"/>
        <v>X</v>
      </c>
      <c r="I10869" s="1" t="str">
        <f t="shared" si="2457"/>
        <v>X</v>
      </c>
      <c r="J10869" s="1" t="str">
        <f t="shared" si="2457"/>
        <v>X</v>
      </c>
      <c r="K10869" s="1" t="str">
        <f t="shared" si="2457"/>
        <v>X</v>
      </c>
      <c r="L10869" s="1" t="str">
        <f t="shared" si="2457"/>
        <v>X</v>
      </c>
      <c r="M10869" s="1" t="str">
        <f t="shared" si="2457"/>
        <v>X</v>
      </c>
      <c r="N10869" t="s">
        <v>27</v>
      </c>
    </row>
    <row r="10870" spans="1:14" x14ac:dyDescent="0.25">
      <c r="A10870" t="s">
        <v>44</v>
      </c>
      <c r="B10870" t="s">
        <v>15</v>
      </c>
      <c r="C10870" t="s">
        <v>36</v>
      </c>
      <c r="D10870" t="s">
        <v>15</v>
      </c>
      <c r="E10870" t="s">
        <v>23</v>
      </c>
      <c r="F10870" t="s">
        <v>19</v>
      </c>
      <c r="G10870" s="2">
        <f>VALUE(346.08)</f>
        <v>346.08</v>
      </c>
      <c r="H10870" s="3">
        <f>VALUE(334.89)</f>
        <v>334.89</v>
      </c>
      <c r="I10870" s="4">
        <f>VALUE(2954)</f>
        <v>2954</v>
      </c>
      <c r="J10870" s="5">
        <f>VALUE(3554)</f>
        <v>3554</v>
      </c>
      <c r="K10870" s="6">
        <f>VALUE(4523)</f>
        <v>4523</v>
      </c>
      <c r="L10870" s="1">
        <f>VALUE(5158)</f>
        <v>5158</v>
      </c>
      <c r="M10870" s="8">
        <f>VALUE(5997)</f>
        <v>5997</v>
      </c>
      <c r="N10870" t="s">
        <v>25</v>
      </c>
    </row>
    <row r="10871" spans="1:14" x14ac:dyDescent="0.25">
      <c r="A10871" t="s">
        <v>44</v>
      </c>
      <c r="B10871" t="s">
        <v>15</v>
      </c>
      <c r="C10871" t="s">
        <v>36</v>
      </c>
      <c r="D10871" t="s">
        <v>15</v>
      </c>
      <c r="E10871" t="s">
        <v>23</v>
      </c>
      <c r="F10871" t="s">
        <v>20</v>
      </c>
      <c r="G10871" s="1">
        <f>VALUE(6088.77)</f>
        <v>6088.77</v>
      </c>
      <c r="H10871" s="1">
        <f>VALUE(5092.21)</f>
        <v>5092.21</v>
      </c>
      <c r="I10871" s="1">
        <f>VALUE(3092)</f>
        <v>3092</v>
      </c>
      <c r="J10871" s="1">
        <f>VALUE(3303)</f>
        <v>3303</v>
      </c>
      <c r="K10871" s="1">
        <f>VALUE(3614)</f>
        <v>3614</v>
      </c>
      <c r="L10871" s="1">
        <f>VALUE(4358)</f>
        <v>4358</v>
      </c>
      <c r="M10871" s="1">
        <f>VALUE(5303)</f>
        <v>5303</v>
      </c>
      <c r="N10871" t="s">
        <v>16</v>
      </c>
    </row>
    <row r="10872" spans="1:14" x14ac:dyDescent="0.25">
      <c r="A10872" t="s">
        <v>44</v>
      </c>
      <c r="B10872" t="s">
        <v>15</v>
      </c>
      <c r="C10872" t="s">
        <v>36</v>
      </c>
      <c r="D10872" t="s">
        <v>15</v>
      </c>
      <c r="E10872" t="s">
        <v>26</v>
      </c>
      <c r="F10872" t="s">
        <v>15</v>
      </c>
      <c r="G10872" s="2">
        <f>VALUE(227.35)</f>
        <v>227.35</v>
      </c>
      <c r="H10872" s="3">
        <f>VALUE(226.6)</f>
        <v>226.6</v>
      </c>
      <c r="I10872" s="1">
        <f>VALUE(4144)</f>
        <v>4144</v>
      </c>
      <c r="J10872" s="1">
        <f>VALUE(4438)</f>
        <v>4438</v>
      </c>
      <c r="K10872" s="1">
        <f>VALUE(5016)</f>
        <v>5016</v>
      </c>
      <c r="L10872" s="1">
        <f>VALUE(6084)</f>
        <v>6084</v>
      </c>
      <c r="M10872" s="1">
        <f>VALUE(6929)</f>
        <v>6929</v>
      </c>
      <c r="N10872" t="s">
        <v>25</v>
      </c>
    </row>
    <row r="10873" spans="1:14" x14ac:dyDescent="0.25">
      <c r="A10873" t="s">
        <v>44</v>
      </c>
      <c r="B10873" t="s">
        <v>15</v>
      </c>
      <c r="C10873" t="s">
        <v>36</v>
      </c>
      <c r="D10873" t="s">
        <v>15</v>
      </c>
      <c r="E10873" t="s">
        <v>26</v>
      </c>
      <c r="F10873" t="s">
        <v>17</v>
      </c>
      <c r="G10873" s="1" t="str">
        <f t="shared" ref="G10873:M10875" si="2458">"X"</f>
        <v>X</v>
      </c>
      <c r="H10873" s="1" t="str">
        <f t="shared" si="2458"/>
        <v>X</v>
      </c>
      <c r="I10873" s="1" t="str">
        <f t="shared" si="2458"/>
        <v>X</v>
      </c>
      <c r="J10873" s="1" t="str">
        <f t="shared" si="2458"/>
        <v>X</v>
      </c>
      <c r="K10873" s="1" t="str">
        <f t="shared" si="2458"/>
        <v>X</v>
      </c>
      <c r="L10873" s="1" t="str">
        <f t="shared" si="2458"/>
        <v>X</v>
      </c>
      <c r="M10873" s="1" t="str">
        <f t="shared" si="2458"/>
        <v>X</v>
      </c>
      <c r="N10873" t="s">
        <v>27</v>
      </c>
    </row>
    <row r="10874" spans="1:14" x14ac:dyDescent="0.25">
      <c r="A10874" t="s">
        <v>44</v>
      </c>
      <c r="B10874" t="s">
        <v>15</v>
      </c>
      <c r="C10874" t="s">
        <v>36</v>
      </c>
      <c r="D10874" t="s">
        <v>15</v>
      </c>
      <c r="E10874" t="s">
        <v>26</v>
      </c>
      <c r="F10874" t="s">
        <v>18</v>
      </c>
      <c r="G10874" s="1" t="str">
        <f t="shared" si="2458"/>
        <v>X</v>
      </c>
      <c r="H10874" s="1" t="str">
        <f t="shared" si="2458"/>
        <v>X</v>
      </c>
      <c r="I10874" s="1" t="str">
        <f t="shared" si="2458"/>
        <v>X</v>
      </c>
      <c r="J10874" s="1" t="str">
        <f t="shared" si="2458"/>
        <v>X</v>
      </c>
      <c r="K10874" s="1" t="str">
        <f t="shared" si="2458"/>
        <v>X</v>
      </c>
      <c r="L10874" s="1" t="str">
        <f t="shared" si="2458"/>
        <v>X</v>
      </c>
      <c r="M10874" s="1" t="str">
        <f t="shared" si="2458"/>
        <v>X</v>
      </c>
      <c r="N10874" t="s">
        <v>27</v>
      </c>
    </row>
    <row r="10875" spans="1:14" x14ac:dyDescent="0.25">
      <c r="A10875" t="s">
        <v>44</v>
      </c>
      <c r="B10875" t="s">
        <v>15</v>
      </c>
      <c r="C10875" t="s">
        <v>36</v>
      </c>
      <c r="D10875" t="s">
        <v>15</v>
      </c>
      <c r="E10875" t="s">
        <v>26</v>
      </c>
      <c r="F10875" t="s">
        <v>19</v>
      </c>
      <c r="G10875" s="1" t="str">
        <f t="shared" si="2458"/>
        <v>X</v>
      </c>
      <c r="H10875" s="1" t="str">
        <f t="shared" si="2458"/>
        <v>X</v>
      </c>
      <c r="I10875" s="1" t="str">
        <f t="shared" si="2458"/>
        <v>X</v>
      </c>
      <c r="J10875" s="1" t="str">
        <f t="shared" si="2458"/>
        <v>X</v>
      </c>
      <c r="K10875" s="1" t="str">
        <f t="shared" si="2458"/>
        <v>X</v>
      </c>
      <c r="L10875" s="1" t="str">
        <f t="shared" si="2458"/>
        <v>X</v>
      </c>
      <c r="M10875" s="1" t="str">
        <f t="shared" si="2458"/>
        <v>X</v>
      </c>
      <c r="N10875" t="s">
        <v>27</v>
      </c>
    </row>
    <row r="10876" spans="1:14" x14ac:dyDescent="0.25">
      <c r="A10876" t="s">
        <v>44</v>
      </c>
      <c r="B10876" t="s">
        <v>15</v>
      </c>
      <c r="C10876" t="s">
        <v>36</v>
      </c>
      <c r="D10876" t="s">
        <v>15</v>
      </c>
      <c r="E10876" t="s">
        <v>26</v>
      </c>
      <c r="F10876" t="s">
        <v>20</v>
      </c>
      <c r="G10876" s="2">
        <f>VALUE(208.04)</f>
        <v>208.04</v>
      </c>
      <c r="H10876" s="3">
        <f>VALUE(206.96)</f>
        <v>206.96</v>
      </c>
      <c r="I10876" s="1">
        <f>VALUE(3987)</f>
        <v>3987</v>
      </c>
      <c r="J10876" s="1">
        <f>VALUE(4438)</f>
        <v>4438</v>
      </c>
      <c r="K10876" s="1">
        <f>VALUE(5007)</f>
        <v>5007</v>
      </c>
      <c r="L10876" s="1">
        <f>VALUE(5791)</f>
        <v>5791</v>
      </c>
      <c r="M10876" s="1">
        <f>VALUE(6384)</f>
        <v>6384</v>
      </c>
      <c r="N10876" t="s">
        <v>25</v>
      </c>
    </row>
    <row r="10877" spans="1:14" x14ac:dyDescent="0.25">
      <c r="A10877" t="s">
        <v>44</v>
      </c>
      <c r="B10877" t="s">
        <v>15</v>
      </c>
      <c r="C10877" t="s">
        <v>36</v>
      </c>
      <c r="D10877" t="s">
        <v>28</v>
      </c>
      <c r="E10877" t="s">
        <v>15</v>
      </c>
      <c r="F10877" t="s">
        <v>15</v>
      </c>
      <c r="G10877" s="1">
        <f>VALUE(8911.36)</f>
        <v>8911.36</v>
      </c>
      <c r="H10877" s="1">
        <f>VALUE(7989.75)</f>
        <v>7989.75</v>
      </c>
      <c r="I10877" s="1">
        <f>VALUE(3728)</f>
        <v>3728</v>
      </c>
      <c r="J10877" s="1">
        <f>VALUE(4407)</f>
        <v>4407</v>
      </c>
      <c r="K10877" s="1">
        <f>VALUE(5133)</f>
        <v>5133</v>
      </c>
      <c r="L10877" s="1">
        <f>VALUE(6072)</f>
        <v>6072</v>
      </c>
      <c r="M10877" s="1">
        <f>VALUE(7168)</f>
        <v>7168</v>
      </c>
      <c r="N10877" t="s">
        <v>16</v>
      </c>
    </row>
    <row r="10878" spans="1:14" x14ac:dyDescent="0.25">
      <c r="A10878" t="s">
        <v>44</v>
      </c>
      <c r="B10878" t="s">
        <v>15</v>
      </c>
      <c r="C10878" t="s">
        <v>36</v>
      </c>
      <c r="D10878" t="s">
        <v>28</v>
      </c>
      <c r="E10878" t="s">
        <v>15</v>
      </c>
      <c r="F10878" t="s">
        <v>17</v>
      </c>
      <c r="G10878" s="2">
        <f>VALUE(811.2)</f>
        <v>811.2</v>
      </c>
      <c r="H10878" s="3">
        <f>VALUE(773.11)</f>
        <v>773.11</v>
      </c>
      <c r="I10878" s="4">
        <f>VALUE(4083)</f>
        <v>4083</v>
      </c>
      <c r="J10878" s="5">
        <f>VALUE(4852)</f>
        <v>4852</v>
      </c>
      <c r="K10878" s="6">
        <f>VALUE(6050)</f>
        <v>6050</v>
      </c>
      <c r="L10878" s="7">
        <f>VALUE(7221)</f>
        <v>7221</v>
      </c>
      <c r="M10878" s="1">
        <f>VALUE(8728)</f>
        <v>8728</v>
      </c>
      <c r="N10878" t="s">
        <v>25</v>
      </c>
    </row>
    <row r="10879" spans="1:14" x14ac:dyDescent="0.25">
      <c r="A10879" t="s">
        <v>44</v>
      </c>
      <c r="B10879" t="s">
        <v>15</v>
      </c>
      <c r="C10879" t="s">
        <v>36</v>
      </c>
      <c r="D10879" t="s">
        <v>28</v>
      </c>
      <c r="E10879" t="s">
        <v>15</v>
      </c>
      <c r="F10879" t="s">
        <v>18</v>
      </c>
      <c r="G10879" s="2">
        <f>VALUE(886.83)</f>
        <v>886.83</v>
      </c>
      <c r="H10879" s="3">
        <f>VALUE(835.87)</f>
        <v>835.87</v>
      </c>
      <c r="I10879" s="1">
        <f>VALUE(4338)</f>
        <v>4338</v>
      </c>
      <c r="J10879" s="1">
        <f>VALUE(5082)</f>
        <v>5082</v>
      </c>
      <c r="K10879" s="1">
        <f>VALUE(5960)</f>
        <v>5960</v>
      </c>
      <c r="L10879" s="1">
        <f>VALUE(7127)</f>
        <v>7127</v>
      </c>
      <c r="M10879" s="8">
        <f>VALUE(8443)</f>
        <v>8443</v>
      </c>
      <c r="N10879" t="s">
        <v>25</v>
      </c>
    </row>
    <row r="10880" spans="1:14" x14ac:dyDescent="0.25">
      <c r="A10880" t="s">
        <v>44</v>
      </c>
      <c r="B10880" t="s">
        <v>15</v>
      </c>
      <c r="C10880" t="s">
        <v>36</v>
      </c>
      <c r="D10880" t="s">
        <v>28</v>
      </c>
      <c r="E10880" t="s">
        <v>15</v>
      </c>
      <c r="F10880" t="s">
        <v>19</v>
      </c>
      <c r="G10880" s="2">
        <f>VALUE(1278.65)</f>
        <v>1278.6500000000001</v>
      </c>
      <c r="H10880" s="3">
        <f>VALUE(1159.5)</f>
        <v>1159.5</v>
      </c>
      <c r="I10880" s="1">
        <f>VALUE(4045)</f>
        <v>4045</v>
      </c>
      <c r="J10880" s="1">
        <f>VALUE(4617)</f>
        <v>4617</v>
      </c>
      <c r="K10880" s="1">
        <f>VALUE(5230)</f>
        <v>5230</v>
      </c>
      <c r="L10880" s="1">
        <f>VALUE(6177)</f>
        <v>6177</v>
      </c>
      <c r="M10880" s="1">
        <f>VALUE(7111)</f>
        <v>7111</v>
      </c>
      <c r="N10880" t="s">
        <v>25</v>
      </c>
    </row>
    <row r="10881" spans="1:14" x14ac:dyDescent="0.25">
      <c r="A10881" t="s">
        <v>44</v>
      </c>
      <c r="B10881" t="s">
        <v>15</v>
      </c>
      <c r="C10881" t="s">
        <v>36</v>
      </c>
      <c r="D10881" t="s">
        <v>28</v>
      </c>
      <c r="E10881" t="s">
        <v>15</v>
      </c>
      <c r="F10881" t="s">
        <v>20</v>
      </c>
      <c r="G10881" s="1">
        <f>VALUE(5934.68)</f>
        <v>5934.68</v>
      </c>
      <c r="H10881" s="1">
        <f>VALUE(5221.27)</f>
        <v>5221.2700000000004</v>
      </c>
      <c r="I10881" s="1">
        <f>VALUE(3612)</f>
        <v>3612</v>
      </c>
      <c r="J10881" s="1">
        <f>VALUE(4228)</f>
        <v>4228</v>
      </c>
      <c r="K10881" s="1">
        <f>VALUE(4874)</f>
        <v>4874</v>
      </c>
      <c r="L10881" s="1">
        <f>VALUE(5710)</f>
        <v>5710</v>
      </c>
      <c r="M10881" s="1">
        <f>VALUE(6603)</f>
        <v>6603</v>
      </c>
      <c r="N10881" t="s">
        <v>16</v>
      </c>
    </row>
    <row r="10882" spans="1:14" x14ac:dyDescent="0.25">
      <c r="A10882" t="s">
        <v>44</v>
      </c>
      <c r="B10882" t="s">
        <v>15</v>
      </c>
      <c r="C10882" t="s">
        <v>36</v>
      </c>
      <c r="D10882" t="s">
        <v>28</v>
      </c>
      <c r="E10882" t="s">
        <v>21</v>
      </c>
      <c r="F10882" t="s">
        <v>15</v>
      </c>
      <c r="G10882" s="2">
        <f>VALUE(3031.24)</f>
        <v>3031.24</v>
      </c>
      <c r="H10882" s="3">
        <f>VALUE(2673.62)</f>
        <v>2673.62</v>
      </c>
      <c r="I10882" s="4">
        <f>VALUE(4008)</f>
        <v>4008</v>
      </c>
      <c r="J10882" s="1">
        <f>VALUE(4874)</f>
        <v>4874</v>
      </c>
      <c r="K10882" s="1">
        <f>VALUE(5824)</f>
        <v>5824</v>
      </c>
      <c r="L10882" s="1">
        <f>VALUE(6973)</f>
        <v>6973</v>
      </c>
      <c r="M10882" s="1">
        <f>VALUE(7978)</f>
        <v>7978</v>
      </c>
      <c r="N10882" t="s">
        <v>25</v>
      </c>
    </row>
    <row r="10883" spans="1:14" x14ac:dyDescent="0.25">
      <c r="A10883" t="s">
        <v>44</v>
      </c>
      <c r="B10883" t="s">
        <v>15</v>
      </c>
      <c r="C10883" t="s">
        <v>36</v>
      </c>
      <c r="D10883" t="s">
        <v>28</v>
      </c>
      <c r="E10883" t="s">
        <v>21</v>
      </c>
      <c r="F10883" t="s">
        <v>17</v>
      </c>
      <c r="G10883" s="2">
        <f>VALUE(385.02)</f>
        <v>385.02</v>
      </c>
      <c r="H10883" s="3">
        <f>VALUE(368.53)</f>
        <v>368.53</v>
      </c>
      <c r="I10883" s="4">
        <f>VALUE(5000)</f>
        <v>5000</v>
      </c>
      <c r="J10883" s="1">
        <f>VALUE(6050)</f>
        <v>6050</v>
      </c>
      <c r="K10883" s="1">
        <f>VALUE(7085)</f>
        <v>7085</v>
      </c>
      <c r="L10883" s="1">
        <f>VALUE(8147)</f>
        <v>8147</v>
      </c>
      <c r="M10883" s="8">
        <f>VALUE(9452)</f>
        <v>9452</v>
      </c>
      <c r="N10883" t="s">
        <v>25</v>
      </c>
    </row>
    <row r="10884" spans="1:14" x14ac:dyDescent="0.25">
      <c r="A10884" t="s">
        <v>44</v>
      </c>
      <c r="B10884" t="s">
        <v>15</v>
      </c>
      <c r="C10884" t="s">
        <v>36</v>
      </c>
      <c r="D10884" t="s">
        <v>28</v>
      </c>
      <c r="E10884" t="s">
        <v>21</v>
      </c>
      <c r="F10884" t="s">
        <v>18</v>
      </c>
      <c r="G10884" s="2">
        <f>VALUE(516.9)</f>
        <v>516.9</v>
      </c>
      <c r="H10884" s="3">
        <f>VALUE(479.31)</f>
        <v>479.31</v>
      </c>
      <c r="I10884" s="4">
        <f>VALUE(4748)</f>
        <v>4748</v>
      </c>
      <c r="J10884" s="5">
        <f>VALUE(5582)</f>
        <v>5582</v>
      </c>
      <c r="K10884" s="1">
        <f>VALUE(6282)</f>
        <v>6282</v>
      </c>
      <c r="L10884" s="1">
        <f>VALUE(7214)</f>
        <v>7214</v>
      </c>
      <c r="M10884" s="1">
        <f>VALUE(8409)</f>
        <v>8409</v>
      </c>
      <c r="N10884" t="s">
        <v>25</v>
      </c>
    </row>
    <row r="10885" spans="1:14" x14ac:dyDescent="0.25">
      <c r="A10885" t="s">
        <v>44</v>
      </c>
      <c r="B10885" t="s">
        <v>15</v>
      </c>
      <c r="C10885" t="s">
        <v>36</v>
      </c>
      <c r="D10885" t="s">
        <v>28</v>
      </c>
      <c r="E10885" t="s">
        <v>21</v>
      </c>
      <c r="F10885" t="s">
        <v>19</v>
      </c>
      <c r="G10885" s="2">
        <f>VALUE(458.49)</f>
        <v>458.49</v>
      </c>
      <c r="H10885" s="3">
        <f>VALUE(363.54)</f>
        <v>363.54</v>
      </c>
      <c r="I10885" s="1">
        <f>VALUE(4644)</f>
        <v>4644</v>
      </c>
      <c r="J10885" s="1">
        <f>VALUE(5180)</f>
        <v>5180</v>
      </c>
      <c r="K10885" s="1">
        <f>VALUE(5960)</f>
        <v>5960</v>
      </c>
      <c r="L10885" s="1">
        <f>VALUE(6903)</f>
        <v>6903</v>
      </c>
      <c r="M10885" s="1">
        <f>VALUE(7640)</f>
        <v>7640</v>
      </c>
      <c r="N10885" t="s">
        <v>25</v>
      </c>
    </row>
    <row r="10886" spans="1:14" x14ac:dyDescent="0.25">
      <c r="A10886" t="s">
        <v>44</v>
      </c>
      <c r="B10886" t="s">
        <v>15</v>
      </c>
      <c r="C10886" t="s">
        <v>36</v>
      </c>
      <c r="D10886" t="s">
        <v>28</v>
      </c>
      <c r="E10886" t="s">
        <v>21</v>
      </c>
      <c r="F10886" t="s">
        <v>20</v>
      </c>
      <c r="G10886" s="2">
        <f>VALUE(1670.83)</f>
        <v>1670.83</v>
      </c>
      <c r="H10886" s="3">
        <f>VALUE(1462.24)</f>
        <v>1462.24</v>
      </c>
      <c r="I10886" s="4">
        <f>VALUE(3551)</f>
        <v>3551</v>
      </c>
      <c r="J10886" s="1">
        <f>VALUE(4624)</f>
        <v>4624</v>
      </c>
      <c r="K10886" s="1">
        <f>VALUE(5509)</f>
        <v>5509</v>
      </c>
      <c r="L10886" s="1">
        <f>VALUE(6477)</f>
        <v>6477</v>
      </c>
      <c r="M10886" s="1">
        <f>VALUE(7279)</f>
        <v>7279</v>
      </c>
      <c r="N10886" t="s">
        <v>25</v>
      </c>
    </row>
    <row r="10887" spans="1:14" x14ac:dyDescent="0.25">
      <c r="A10887" t="s">
        <v>44</v>
      </c>
      <c r="B10887" t="s">
        <v>15</v>
      </c>
      <c r="C10887" t="s">
        <v>36</v>
      </c>
      <c r="D10887" t="s">
        <v>28</v>
      </c>
      <c r="E10887" t="s">
        <v>22</v>
      </c>
      <c r="F10887" t="s">
        <v>15</v>
      </c>
      <c r="G10887" s="1">
        <f>VALUE(5080.34)</f>
        <v>5080.34</v>
      </c>
      <c r="H10887" s="1">
        <f>VALUE(4732.57)</f>
        <v>4732.57</v>
      </c>
      <c r="I10887" s="1">
        <f>VALUE(3719)</f>
        <v>3719</v>
      </c>
      <c r="J10887" s="1">
        <f>VALUE(4285)</f>
        <v>4285</v>
      </c>
      <c r="K10887" s="1">
        <f>VALUE(4862)</f>
        <v>4862</v>
      </c>
      <c r="L10887" s="1">
        <f>VALUE(5608)</f>
        <v>5608</v>
      </c>
      <c r="M10887" s="1">
        <f>VALUE(6486)</f>
        <v>6486</v>
      </c>
      <c r="N10887" t="s">
        <v>16</v>
      </c>
    </row>
    <row r="10888" spans="1:14" x14ac:dyDescent="0.25">
      <c r="A10888" t="s">
        <v>44</v>
      </c>
      <c r="B10888" t="s">
        <v>15</v>
      </c>
      <c r="C10888" t="s">
        <v>36</v>
      </c>
      <c r="D10888" t="s">
        <v>28</v>
      </c>
      <c r="E10888" t="s">
        <v>22</v>
      </c>
      <c r="F10888" t="s">
        <v>17</v>
      </c>
      <c r="G10888" s="2">
        <f>VALUE(402.38)</f>
        <v>402.38</v>
      </c>
      <c r="H10888" s="3">
        <f>VALUE(393.09)</f>
        <v>393.09</v>
      </c>
      <c r="I10888" s="4">
        <f>VALUE(4030)</f>
        <v>4030</v>
      </c>
      <c r="J10888" s="5">
        <f>VALUE(4809)</f>
        <v>4809</v>
      </c>
      <c r="K10888" s="6">
        <f>VALUE(4852)</f>
        <v>4852</v>
      </c>
      <c r="L10888" s="7">
        <f>VALUE(6270)</f>
        <v>6270</v>
      </c>
      <c r="M10888" s="8">
        <f>VALUE(7180)</f>
        <v>7180</v>
      </c>
      <c r="N10888" t="s">
        <v>24</v>
      </c>
    </row>
    <row r="10889" spans="1:14" x14ac:dyDescent="0.25">
      <c r="A10889" t="s">
        <v>44</v>
      </c>
      <c r="B10889" t="s">
        <v>15</v>
      </c>
      <c r="C10889" t="s">
        <v>36</v>
      </c>
      <c r="D10889" t="s">
        <v>28</v>
      </c>
      <c r="E10889" t="s">
        <v>22</v>
      </c>
      <c r="F10889" t="s">
        <v>18</v>
      </c>
      <c r="G10889" s="2">
        <f>VALUE(362.18)</f>
        <v>362.18</v>
      </c>
      <c r="H10889" s="3">
        <f>VALUE(348.75)</f>
        <v>348.75</v>
      </c>
      <c r="I10889" s="4">
        <f>VALUE(4163)</f>
        <v>4163</v>
      </c>
      <c r="J10889" s="1">
        <f>VALUE(4500)</f>
        <v>4500</v>
      </c>
      <c r="K10889" s="6">
        <f>VALUE(5283)</f>
        <v>5283</v>
      </c>
      <c r="L10889" s="7">
        <f>VALUE(6794)</f>
        <v>6794</v>
      </c>
      <c r="M10889" s="8">
        <f>VALUE(8880)</f>
        <v>8880</v>
      </c>
      <c r="N10889" t="s">
        <v>25</v>
      </c>
    </row>
    <row r="10890" spans="1:14" x14ac:dyDescent="0.25">
      <c r="A10890" t="s">
        <v>44</v>
      </c>
      <c r="B10890" t="s">
        <v>15</v>
      </c>
      <c r="C10890" t="s">
        <v>36</v>
      </c>
      <c r="D10890" t="s">
        <v>28</v>
      </c>
      <c r="E10890" t="s">
        <v>22</v>
      </c>
      <c r="F10890" t="s">
        <v>19</v>
      </c>
      <c r="G10890" s="2">
        <f>VALUE(708.09)</f>
        <v>708.09</v>
      </c>
      <c r="H10890" s="3">
        <f>VALUE(682.96)</f>
        <v>682.96</v>
      </c>
      <c r="I10890" s="1">
        <f>VALUE(3940)</f>
        <v>3940</v>
      </c>
      <c r="J10890" s="1">
        <f>VALUE(4377)</f>
        <v>4377</v>
      </c>
      <c r="K10890" s="1">
        <f>VALUE(5049)</f>
        <v>5049</v>
      </c>
      <c r="L10890" s="7">
        <f>VALUE(5989)</f>
        <v>5989</v>
      </c>
      <c r="M10890" s="8">
        <f>VALUE(6595)</f>
        <v>6595</v>
      </c>
      <c r="N10890" t="s">
        <v>25</v>
      </c>
    </row>
    <row r="10891" spans="1:14" x14ac:dyDescent="0.25">
      <c r="A10891" t="s">
        <v>44</v>
      </c>
      <c r="B10891" t="s">
        <v>15</v>
      </c>
      <c r="C10891" t="s">
        <v>36</v>
      </c>
      <c r="D10891" t="s">
        <v>28</v>
      </c>
      <c r="E10891" t="s">
        <v>22</v>
      </c>
      <c r="F10891" t="s">
        <v>20</v>
      </c>
      <c r="G10891" s="1">
        <f>VALUE(3607.69)</f>
        <v>3607.69</v>
      </c>
      <c r="H10891" s="1">
        <f>VALUE(3307.77)</f>
        <v>3307.77</v>
      </c>
      <c r="I10891" s="1">
        <f>VALUE(3688)</f>
        <v>3688</v>
      </c>
      <c r="J10891" s="1">
        <f>VALUE(4207)</f>
        <v>4207</v>
      </c>
      <c r="K10891" s="1">
        <f>VALUE(4821)</f>
        <v>4821</v>
      </c>
      <c r="L10891" s="1">
        <f>VALUE(5513)</f>
        <v>5513</v>
      </c>
      <c r="M10891" s="1">
        <f>VALUE(6187)</f>
        <v>6187</v>
      </c>
      <c r="N10891" t="s">
        <v>16</v>
      </c>
    </row>
    <row r="10892" spans="1:14" x14ac:dyDescent="0.25">
      <c r="A10892" t="s">
        <v>44</v>
      </c>
      <c r="B10892" t="s">
        <v>15</v>
      </c>
      <c r="C10892" t="s">
        <v>36</v>
      </c>
      <c r="D10892" t="s">
        <v>28</v>
      </c>
      <c r="E10892" t="s">
        <v>23</v>
      </c>
      <c r="F10892" t="s">
        <v>15</v>
      </c>
      <c r="G10892" s="2">
        <f>VALUE(750.21)</f>
        <v>750.21</v>
      </c>
      <c r="H10892" s="3">
        <f>VALUE(533.74)</f>
        <v>533.74</v>
      </c>
      <c r="I10892" s="4">
        <f>VALUE(3407)</f>
        <v>3407</v>
      </c>
      <c r="J10892" s="1">
        <f>VALUE(3785)</f>
        <v>3785</v>
      </c>
      <c r="K10892" s="1">
        <f>VALUE(4500)</f>
        <v>4500</v>
      </c>
      <c r="L10892" s="1">
        <f>VALUE(5158)</f>
        <v>5158</v>
      </c>
      <c r="M10892" s="8">
        <f>VALUE(5751)</f>
        <v>5751</v>
      </c>
      <c r="N10892" t="s">
        <v>25</v>
      </c>
    </row>
    <row r="10893" spans="1:14" x14ac:dyDescent="0.25">
      <c r="A10893" t="s">
        <v>44</v>
      </c>
      <c r="B10893" t="s">
        <v>15</v>
      </c>
      <c r="C10893" t="s">
        <v>36</v>
      </c>
      <c r="D10893" t="s">
        <v>28</v>
      </c>
      <c r="E10893" t="s">
        <v>23</v>
      </c>
      <c r="F10893" t="s">
        <v>17</v>
      </c>
      <c r="G10893" s="1" t="str">
        <f t="shared" ref="G10893:M10895" si="2459">"X"</f>
        <v>X</v>
      </c>
      <c r="H10893" s="1" t="str">
        <f t="shared" si="2459"/>
        <v>X</v>
      </c>
      <c r="I10893" s="1" t="str">
        <f t="shared" si="2459"/>
        <v>X</v>
      </c>
      <c r="J10893" s="1" t="str">
        <f t="shared" si="2459"/>
        <v>X</v>
      </c>
      <c r="K10893" s="1" t="str">
        <f t="shared" si="2459"/>
        <v>X</v>
      </c>
      <c r="L10893" s="1" t="str">
        <f t="shared" si="2459"/>
        <v>X</v>
      </c>
      <c r="M10893" s="1" t="str">
        <f t="shared" si="2459"/>
        <v>X</v>
      </c>
      <c r="N10893" t="s">
        <v>27</v>
      </c>
    </row>
    <row r="10894" spans="1:14" x14ac:dyDescent="0.25">
      <c r="A10894" t="s">
        <v>44</v>
      </c>
      <c r="B10894" t="s">
        <v>15</v>
      </c>
      <c r="C10894" t="s">
        <v>36</v>
      </c>
      <c r="D10894" t="s">
        <v>28</v>
      </c>
      <c r="E10894" t="s">
        <v>23</v>
      </c>
      <c r="F10894" t="s">
        <v>18</v>
      </c>
      <c r="G10894" s="1" t="str">
        <f t="shared" si="2459"/>
        <v>X</v>
      </c>
      <c r="H10894" s="1" t="str">
        <f t="shared" si="2459"/>
        <v>X</v>
      </c>
      <c r="I10894" s="1" t="str">
        <f t="shared" si="2459"/>
        <v>X</v>
      </c>
      <c r="J10894" s="1" t="str">
        <f t="shared" si="2459"/>
        <v>X</v>
      </c>
      <c r="K10894" s="1" t="str">
        <f t="shared" si="2459"/>
        <v>X</v>
      </c>
      <c r="L10894" s="1" t="str">
        <f t="shared" si="2459"/>
        <v>X</v>
      </c>
      <c r="M10894" s="1" t="str">
        <f t="shared" si="2459"/>
        <v>X</v>
      </c>
      <c r="N10894" t="s">
        <v>27</v>
      </c>
    </row>
    <row r="10895" spans="1:14" x14ac:dyDescent="0.25">
      <c r="A10895" t="s">
        <v>44</v>
      </c>
      <c r="B10895" t="s">
        <v>15</v>
      </c>
      <c r="C10895" t="s">
        <v>36</v>
      </c>
      <c r="D10895" t="s">
        <v>28</v>
      </c>
      <c r="E10895" t="s">
        <v>23</v>
      </c>
      <c r="F10895" t="s">
        <v>19</v>
      </c>
      <c r="G10895" s="1" t="str">
        <f t="shared" si="2459"/>
        <v>X</v>
      </c>
      <c r="H10895" s="1" t="str">
        <f t="shared" si="2459"/>
        <v>X</v>
      </c>
      <c r="I10895" s="1" t="str">
        <f t="shared" si="2459"/>
        <v>X</v>
      </c>
      <c r="J10895" s="1" t="str">
        <f t="shared" si="2459"/>
        <v>X</v>
      </c>
      <c r="K10895" s="1" t="str">
        <f t="shared" si="2459"/>
        <v>X</v>
      </c>
      <c r="L10895" s="1" t="str">
        <f t="shared" si="2459"/>
        <v>X</v>
      </c>
      <c r="M10895" s="1" t="str">
        <f t="shared" si="2459"/>
        <v>X</v>
      </c>
      <c r="N10895" t="s">
        <v>27</v>
      </c>
    </row>
    <row r="10896" spans="1:14" x14ac:dyDescent="0.25">
      <c r="A10896" t="s">
        <v>44</v>
      </c>
      <c r="B10896" t="s">
        <v>15</v>
      </c>
      <c r="C10896" t="s">
        <v>36</v>
      </c>
      <c r="D10896" t="s">
        <v>28</v>
      </c>
      <c r="E10896" t="s">
        <v>23</v>
      </c>
      <c r="F10896" t="s">
        <v>20</v>
      </c>
      <c r="G10896" s="2">
        <f>VALUE(609.97)</f>
        <v>609.97</v>
      </c>
      <c r="H10896" s="3">
        <f>VALUE(404.82)</f>
        <v>404.82</v>
      </c>
      <c r="I10896" s="1">
        <f>VALUE(3350)</f>
        <v>3350</v>
      </c>
      <c r="J10896" s="1">
        <f>VALUE(3731)</f>
        <v>3731</v>
      </c>
      <c r="K10896" s="1">
        <f>VALUE(4290)</f>
        <v>4290</v>
      </c>
      <c r="L10896" s="1">
        <f>VALUE(4805)</f>
        <v>4805</v>
      </c>
      <c r="M10896" s="8">
        <f>VALUE(5419)</f>
        <v>5419</v>
      </c>
      <c r="N10896" t="s">
        <v>25</v>
      </c>
    </row>
    <row r="10897" spans="1:14" x14ac:dyDescent="0.25">
      <c r="A10897" t="s">
        <v>44</v>
      </c>
      <c r="B10897" t="s">
        <v>15</v>
      </c>
      <c r="C10897" t="s">
        <v>36</v>
      </c>
      <c r="D10897" t="s">
        <v>28</v>
      </c>
      <c r="E10897" t="s">
        <v>26</v>
      </c>
      <c r="F10897" t="s">
        <v>15</v>
      </c>
      <c r="G10897" s="1" t="str">
        <f t="shared" ref="G10897:M10897" si="2460">"X"</f>
        <v>X</v>
      </c>
      <c r="H10897" s="1" t="str">
        <f t="shared" si="2460"/>
        <v>X</v>
      </c>
      <c r="I10897" s="1" t="str">
        <f t="shared" si="2460"/>
        <v>X</v>
      </c>
      <c r="J10897" s="1" t="str">
        <f t="shared" si="2460"/>
        <v>X</v>
      </c>
      <c r="K10897" s="1" t="str">
        <f t="shared" si="2460"/>
        <v>X</v>
      </c>
      <c r="L10897" s="1" t="str">
        <f t="shared" si="2460"/>
        <v>X</v>
      </c>
      <c r="M10897" s="1" t="str">
        <f t="shared" si="2460"/>
        <v>X</v>
      </c>
      <c r="N10897" t="s">
        <v>27</v>
      </c>
    </row>
    <row r="10898" spans="1:14" x14ac:dyDescent="0.25">
      <c r="A10898" t="s">
        <v>44</v>
      </c>
      <c r="B10898" t="s">
        <v>15</v>
      </c>
      <c r="C10898" t="s">
        <v>36</v>
      </c>
      <c r="D10898" t="s">
        <v>28</v>
      </c>
      <c r="E10898" t="s">
        <v>26</v>
      </c>
      <c r="F10898" t="s">
        <v>17</v>
      </c>
      <c r="G10898" s="1" t="str">
        <f t="shared" ref="G10898:M10898" si="2461">"..."</f>
        <v>...</v>
      </c>
      <c r="H10898" s="1" t="str">
        <f t="shared" si="2461"/>
        <v>...</v>
      </c>
      <c r="I10898" s="1" t="str">
        <f t="shared" si="2461"/>
        <v>...</v>
      </c>
      <c r="J10898" s="1" t="str">
        <f t="shared" si="2461"/>
        <v>...</v>
      </c>
      <c r="K10898" s="1" t="str">
        <f t="shared" si="2461"/>
        <v>...</v>
      </c>
      <c r="L10898" s="1" t="str">
        <f t="shared" si="2461"/>
        <v>...</v>
      </c>
      <c r="M10898" s="1" t="str">
        <f t="shared" si="2461"/>
        <v>...</v>
      </c>
      <c r="N10898" t="s">
        <v>30</v>
      </c>
    </row>
    <row r="10899" spans="1:14" x14ac:dyDescent="0.25">
      <c r="A10899" t="s">
        <v>44</v>
      </c>
      <c r="B10899" t="s">
        <v>15</v>
      </c>
      <c r="C10899" t="s">
        <v>36</v>
      </c>
      <c r="D10899" t="s">
        <v>28</v>
      </c>
      <c r="E10899" t="s">
        <v>26</v>
      </c>
      <c r="F10899" t="s">
        <v>18</v>
      </c>
      <c r="G10899" s="1" t="str">
        <f t="shared" ref="G10899:M10899" si="2462">"X"</f>
        <v>X</v>
      </c>
      <c r="H10899" s="1" t="str">
        <f t="shared" si="2462"/>
        <v>X</v>
      </c>
      <c r="I10899" s="1" t="str">
        <f t="shared" si="2462"/>
        <v>X</v>
      </c>
      <c r="J10899" s="1" t="str">
        <f t="shared" si="2462"/>
        <v>X</v>
      </c>
      <c r="K10899" s="1" t="str">
        <f t="shared" si="2462"/>
        <v>X</v>
      </c>
      <c r="L10899" s="1" t="str">
        <f t="shared" si="2462"/>
        <v>X</v>
      </c>
      <c r="M10899" s="1" t="str">
        <f t="shared" si="2462"/>
        <v>X</v>
      </c>
      <c r="N10899" t="s">
        <v>27</v>
      </c>
    </row>
    <row r="10900" spans="1:14" x14ac:dyDescent="0.25">
      <c r="A10900" t="s">
        <v>44</v>
      </c>
      <c r="B10900" t="s">
        <v>15</v>
      </c>
      <c r="C10900" t="s">
        <v>36</v>
      </c>
      <c r="D10900" t="s">
        <v>28</v>
      </c>
      <c r="E10900" t="s">
        <v>26</v>
      </c>
      <c r="F10900" t="s">
        <v>19</v>
      </c>
      <c r="G10900" s="1" t="str">
        <f t="shared" ref="G10900:M10900" si="2463">"..."</f>
        <v>...</v>
      </c>
      <c r="H10900" s="1" t="str">
        <f t="shared" si="2463"/>
        <v>...</v>
      </c>
      <c r="I10900" s="1" t="str">
        <f t="shared" si="2463"/>
        <v>...</v>
      </c>
      <c r="J10900" s="1" t="str">
        <f t="shared" si="2463"/>
        <v>...</v>
      </c>
      <c r="K10900" s="1" t="str">
        <f t="shared" si="2463"/>
        <v>...</v>
      </c>
      <c r="L10900" s="1" t="str">
        <f t="shared" si="2463"/>
        <v>...</v>
      </c>
      <c r="M10900" s="1" t="str">
        <f t="shared" si="2463"/>
        <v>...</v>
      </c>
      <c r="N10900" t="s">
        <v>30</v>
      </c>
    </row>
    <row r="10901" spans="1:14" x14ac:dyDescent="0.25">
      <c r="A10901" t="s">
        <v>44</v>
      </c>
      <c r="B10901" t="s">
        <v>15</v>
      </c>
      <c r="C10901" t="s">
        <v>36</v>
      </c>
      <c r="D10901" t="s">
        <v>28</v>
      </c>
      <c r="E10901" t="s">
        <v>26</v>
      </c>
      <c r="F10901" t="s">
        <v>20</v>
      </c>
      <c r="G10901" s="1" t="str">
        <f t="shared" ref="G10901:M10901" si="2464">"X"</f>
        <v>X</v>
      </c>
      <c r="H10901" s="1" t="str">
        <f t="shared" si="2464"/>
        <v>X</v>
      </c>
      <c r="I10901" s="1" t="str">
        <f t="shared" si="2464"/>
        <v>X</v>
      </c>
      <c r="J10901" s="1" t="str">
        <f t="shared" si="2464"/>
        <v>X</v>
      </c>
      <c r="K10901" s="1" t="str">
        <f t="shared" si="2464"/>
        <v>X</v>
      </c>
      <c r="L10901" s="1" t="str">
        <f t="shared" si="2464"/>
        <v>X</v>
      </c>
      <c r="M10901" s="1" t="str">
        <f t="shared" si="2464"/>
        <v>X</v>
      </c>
      <c r="N10901" t="s">
        <v>27</v>
      </c>
    </row>
    <row r="10902" spans="1:14" x14ac:dyDescent="0.25">
      <c r="A10902" t="s">
        <v>44</v>
      </c>
      <c r="B10902" t="s">
        <v>15</v>
      </c>
      <c r="C10902" t="s">
        <v>36</v>
      </c>
      <c r="D10902" t="s">
        <v>29</v>
      </c>
      <c r="E10902" t="s">
        <v>15</v>
      </c>
      <c r="F10902" t="s">
        <v>15</v>
      </c>
      <c r="G10902" s="2">
        <f>VALUE(2155.05)</f>
        <v>2155.0500000000002</v>
      </c>
      <c r="H10902" s="3">
        <f>VALUE(1894.59)</f>
        <v>1894.59</v>
      </c>
      <c r="I10902" s="1">
        <f>VALUE(3688)</f>
        <v>3688</v>
      </c>
      <c r="J10902" s="1">
        <f>VALUE(4226)</f>
        <v>4226</v>
      </c>
      <c r="K10902" s="1">
        <f>VALUE(4970)</f>
        <v>4970</v>
      </c>
      <c r="L10902" s="1">
        <f>VALUE(5907)</f>
        <v>5907</v>
      </c>
      <c r="M10902" s="1">
        <f>VALUE(6877)</f>
        <v>6877</v>
      </c>
      <c r="N10902" t="s">
        <v>25</v>
      </c>
    </row>
    <row r="10903" spans="1:14" x14ac:dyDescent="0.25">
      <c r="A10903" t="s">
        <v>44</v>
      </c>
      <c r="B10903" t="s">
        <v>15</v>
      </c>
      <c r="C10903" t="s">
        <v>36</v>
      </c>
      <c r="D10903" t="s">
        <v>29</v>
      </c>
      <c r="E10903" t="s">
        <v>15</v>
      </c>
      <c r="F10903" t="s">
        <v>17</v>
      </c>
      <c r="G10903" s="1" t="str">
        <f t="shared" ref="G10903:M10904" si="2465">"X"</f>
        <v>X</v>
      </c>
      <c r="H10903" s="1" t="str">
        <f t="shared" si="2465"/>
        <v>X</v>
      </c>
      <c r="I10903" s="1" t="str">
        <f t="shared" si="2465"/>
        <v>X</v>
      </c>
      <c r="J10903" s="1" t="str">
        <f t="shared" si="2465"/>
        <v>X</v>
      </c>
      <c r="K10903" s="1" t="str">
        <f t="shared" si="2465"/>
        <v>X</v>
      </c>
      <c r="L10903" s="1" t="str">
        <f t="shared" si="2465"/>
        <v>X</v>
      </c>
      <c r="M10903" s="1" t="str">
        <f t="shared" si="2465"/>
        <v>X</v>
      </c>
      <c r="N10903" t="s">
        <v>27</v>
      </c>
    </row>
    <row r="10904" spans="1:14" x14ac:dyDescent="0.25">
      <c r="A10904" t="s">
        <v>44</v>
      </c>
      <c r="B10904" t="s">
        <v>15</v>
      </c>
      <c r="C10904" t="s">
        <v>36</v>
      </c>
      <c r="D10904" t="s">
        <v>29</v>
      </c>
      <c r="E10904" t="s">
        <v>15</v>
      </c>
      <c r="F10904" t="s">
        <v>18</v>
      </c>
      <c r="G10904" s="1" t="str">
        <f t="shared" si="2465"/>
        <v>X</v>
      </c>
      <c r="H10904" s="1" t="str">
        <f t="shared" si="2465"/>
        <v>X</v>
      </c>
      <c r="I10904" s="1" t="str">
        <f t="shared" si="2465"/>
        <v>X</v>
      </c>
      <c r="J10904" s="1" t="str">
        <f t="shared" si="2465"/>
        <v>X</v>
      </c>
      <c r="K10904" s="1" t="str">
        <f t="shared" si="2465"/>
        <v>X</v>
      </c>
      <c r="L10904" s="1" t="str">
        <f t="shared" si="2465"/>
        <v>X</v>
      </c>
      <c r="M10904" s="1" t="str">
        <f t="shared" si="2465"/>
        <v>X</v>
      </c>
      <c r="N10904" t="s">
        <v>27</v>
      </c>
    </row>
    <row r="10905" spans="1:14" x14ac:dyDescent="0.25">
      <c r="A10905" t="s">
        <v>44</v>
      </c>
      <c r="B10905" t="s">
        <v>15</v>
      </c>
      <c r="C10905" t="s">
        <v>36</v>
      </c>
      <c r="D10905" t="s">
        <v>29</v>
      </c>
      <c r="E10905" t="s">
        <v>15</v>
      </c>
      <c r="F10905" t="s">
        <v>19</v>
      </c>
      <c r="G10905" s="2">
        <f>VALUE(294.66)</f>
        <v>294.66000000000003</v>
      </c>
      <c r="H10905" s="3">
        <f>VALUE(277.39)</f>
        <v>277.39</v>
      </c>
      <c r="I10905" s="4">
        <f>VALUE(4027)</f>
        <v>4027</v>
      </c>
      <c r="J10905" s="5">
        <f>VALUE(4721)</f>
        <v>4721</v>
      </c>
      <c r="K10905" s="1">
        <f>VALUE(5204)</f>
        <v>5204</v>
      </c>
      <c r="L10905" s="7">
        <f>VALUE(6243)</f>
        <v>6243</v>
      </c>
      <c r="M10905" s="1">
        <f>VALUE(6977)</f>
        <v>6977</v>
      </c>
      <c r="N10905" t="s">
        <v>25</v>
      </c>
    </row>
    <row r="10906" spans="1:14" x14ac:dyDescent="0.25">
      <c r="A10906" t="s">
        <v>44</v>
      </c>
      <c r="B10906" t="s">
        <v>15</v>
      </c>
      <c r="C10906" t="s">
        <v>36</v>
      </c>
      <c r="D10906" t="s">
        <v>29</v>
      </c>
      <c r="E10906" t="s">
        <v>15</v>
      </c>
      <c r="F10906" t="s">
        <v>20</v>
      </c>
      <c r="G10906" s="2">
        <f>VALUE(1535.57)</f>
        <v>1535.57</v>
      </c>
      <c r="H10906" s="3">
        <f>VALUE(1313.33)</f>
        <v>1313.33</v>
      </c>
      <c r="I10906" s="1">
        <f>VALUE(3610)</f>
        <v>3610</v>
      </c>
      <c r="J10906" s="1">
        <f>VALUE(4155)</f>
        <v>4155</v>
      </c>
      <c r="K10906" s="1">
        <f>VALUE(4777)</f>
        <v>4777</v>
      </c>
      <c r="L10906" s="1">
        <f>VALUE(5605)</f>
        <v>5605</v>
      </c>
      <c r="M10906" s="1">
        <f>VALUE(6184)</f>
        <v>6184</v>
      </c>
      <c r="N10906" t="s">
        <v>25</v>
      </c>
    </row>
    <row r="10907" spans="1:14" x14ac:dyDescent="0.25">
      <c r="A10907" t="s">
        <v>44</v>
      </c>
      <c r="B10907" t="s">
        <v>15</v>
      </c>
      <c r="C10907" t="s">
        <v>36</v>
      </c>
      <c r="D10907" t="s">
        <v>29</v>
      </c>
      <c r="E10907" t="s">
        <v>21</v>
      </c>
      <c r="F10907" t="s">
        <v>15</v>
      </c>
      <c r="G10907" s="2">
        <f>VALUE(450.79)</f>
        <v>450.79</v>
      </c>
      <c r="H10907" s="3">
        <f>VALUE(401.22)</f>
        <v>401.22</v>
      </c>
      <c r="I10907" s="1">
        <f>VALUE(4543)</f>
        <v>4543</v>
      </c>
      <c r="J10907" s="5">
        <f>VALUE(5068)</f>
        <v>5068</v>
      </c>
      <c r="K10907" s="1">
        <f>VALUE(6117)</f>
        <v>6117</v>
      </c>
      <c r="L10907" s="7">
        <f>VALUE(7431)</f>
        <v>7431</v>
      </c>
      <c r="M10907" s="8">
        <f>VALUE(11247)</f>
        <v>11247</v>
      </c>
      <c r="N10907" t="s">
        <v>25</v>
      </c>
    </row>
    <row r="10908" spans="1:14" x14ac:dyDescent="0.25">
      <c r="A10908" t="s">
        <v>44</v>
      </c>
      <c r="B10908" t="s">
        <v>15</v>
      </c>
      <c r="C10908" t="s">
        <v>36</v>
      </c>
      <c r="D10908" t="s">
        <v>29</v>
      </c>
      <c r="E10908" t="s">
        <v>21</v>
      </c>
      <c r="F10908" t="s">
        <v>17</v>
      </c>
      <c r="G10908" s="1" t="str">
        <f t="shared" ref="G10908:M10910" si="2466">"X"</f>
        <v>X</v>
      </c>
      <c r="H10908" s="1" t="str">
        <f t="shared" si="2466"/>
        <v>X</v>
      </c>
      <c r="I10908" s="1" t="str">
        <f t="shared" si="2466"/>
        <v>X</v>
      </c>
      <c r="J10908" s="1" t="str">
        <f t="shared" si="2466"/>
        <v>X</v>
      </c>
      <c r="K10908" s="1" t="str">
        <f t="shared" si="2466"/>
        <v>X</v>
      </c>
      <c r="L10908" s="1" t="str">
        <f t="shared" si="2466"/>
        <v>X</v>
      </c>
      <c r="M10908" s="1" t="str">
        <f t="shared" si="2466"/>
        <v>X</v>
      </c>
      <c r="N10908" t="s">
        <v>27</v>
      </c>
    </row>
    <row r="10909" spans="1:14" x14ac:dyDescent="0.25">
      <c r="A10909" t="s">
        <v>44</v>
      </c>
      <c r="B10909" t="s">
        <v>15</v>
      </c>
      <c r="C10909" t="s">
        <v>36</v>
      </c>
      <c r="D10909" t="s">
        <v>29</v>
      </c>
      <c r="E10909" t="s">
        <v>21</v>
      </c>
      <c r="F10909" t="s">
        <v>18</v>
      </c>
      <c r="G10909" s="1" t="str">
        <f t="shared" si="2466"/>
        <v>X</v>
      </c>
      <c r="H10909" s="1" t="str">
        <f t="shared" si="2466"/>
        <v>X</v>
      </c>
      <c r="I10909" s="1" t="str">
        <f t="shared" si="2466"/>
        <v>X</v>
      </c>
      <c r="J10909" s="1" t="str">
        <f t="shared" si="2466"/>
        <v>X</v>
      </c>
      <c r="K10909" s="1" t="str">
        <f t="shared" si="2466"/>
        <v>X</v>
      </c>
      <c r="L10909" s="1" t="str">
        <f t="shared" si="2466"/>
        <v>X</v>
      </c>
      <c r="M10909" s="1" t="str">
        <f t="shared" si="2466"/>
        <v>X</v>
      </c>
      <c r="N10909" t="s">
        <v>27</v>
      </c>
    </row>
    <row r="10910" spans="1:14" x14ac:dyDescent="0.25">
      <c r="A10910" t="s">
        <v>44</v>
      </c>
      <c r="B10910" t="s">
        <v>15</v>
      </c>
      <c r="C10910" t="s">
        <v>36</v>
      </c>
      <c r="D10910" t="s">
        <v>29</v>
      </c>
      <c r="E10910" t="s">
        <v>21</v>
      </c>
      <c r="F10910" t="s">
        <v>19</v>
      </c>
      <c r="G10910" s="1" t="str">
        <f t="shared" si="2466"/>
        <v>X</v>
      </c>
      <c r="H10910" s="1" t="str">
        <f t="shared" si="2466"/>
        <v>X</v>
      </c>
      <c r="I10910" s="1" t="str">
        <f t="shared" si="2466"/>
        <v>X</v>
      </c>
      <c r="J10910" s="1" t="str">
        <f t="shared" si="2466"/>
        <v>X</v>
      </c>
      <c r="K10910" s="1" t="str">
        <f t="shared" si="2466"/>
        <v>X</v>
      </c>
      <c r="L10910" s="1" t="str">
        <f t="shared" si="2466"/>
        <v>X</v>
      </c>
      <c r="M10910" s="1" t="str">
        <f t="shared" si="2466"/>
        <v>X</v>
      </c>
      <c r="N10910" t="s">
        <v>27</v>
      </c>
    </row>
    <row r="10911" spans="1:14" x14ac:dyDescent="0.25">
      <c r="A10911" t="s">
        <v>44</v>
      </c>
      <c r="B10911" t="s">
        <v>15</v>
      </c>
      <c r="C10911" t="s">
        <v>36</v>
      </c>
      <c r="D10911" t="s">
        <v>29</v>
      </c>
      <c r="E10911" t="s">
        <v>21</v>
      </c>
      <c r="F10911" t="s">
        <v>20</v>
      </c>
      <c r="G10911" s="2">
        <f>VALUE(235.25)</f>
        <v>235.25</v>
      </c>
      <c r="H10911" s="3">
        <f>VALUE(199.48)</f>
        <v>199.48</v>
      </c>
      <c r="I10911" s="1">
        <f>VALUE(4264)</f>
        <v>4264</v>
      </c>
      <c r="J10911" s="1">
        <f>VALUE(4736)</f>
        <v>4736</v>
      </c>
      <c r="K10911" s="1">
        <f>VALUE(5794)</f>
        <v>5794</v>
      </c>
      <c r="L10911" s="1">
        <f>VALUE(6623)</f>
        <v>6623</v>
      </c>
      <c r="M10911" s="8">
        <f>VALUE(8215)</f>
        <v>8215</v>
      </c>
      <c r="N10911" t="s">
        <v>25</v>
      </c>
    </row>
    <row r="10912" spans="1:14" x14ac:dyDescent="0.25">
      <c r="A10912" t="s">
        <v>44</v>
      </c>
      <c r="B10912" t="s">
        <v>15</v>
      </c>
      <c r="C10912" t="s">
        <v>36</v>
      </c>
      <c r="D10912" t="s">
        <v>29</v>
      </c>
      <c r="E10912" t="s">
        <v>22</v>
      </c>
      <c r="F10912" t="s">
        <v>15</v>
      </c>
      <c r="G10912" s="2">
        <f>VALUE(985.63)</f>
        <v>985.63</v>
      </c>
      <c r="H10912" s="3">
        <f>VALUE(931.96)</f>
        <v>931.96</v>
      </c>
      <c r="I10912" s="1">
        <f>VALUE(3851)</f>
        <v>3851</v>
      </c>
      <c r="J10912" s="1">
        <f>VALUE(4332)</f>
        <v>4332</v>
      </c>
      <c r="K10912" s="1">
        <f>VALUE(4904)</f>
        <v>4904</v>
      </c>
      <c r="L10912" s="1">
        <f>VALUE(5649)</f>
        <v>5649</v>
      </c>
      <c r="M10912" s="1">
        <f>VALUE(6205)</f>
        <v>6205</v>
      </c>
      <c r="N10912" t="s">
        <v>25</v>
      </c>
    </row>
    <row r="10913" spans="1:14" x14ac:dyDescent="0.25">
      <c r="A10913" t="s">
        <v>44</v>
      </c>
      <c r="B10913" t="s">
        <v>15</v>
      </c>
      <c r="C10913" t="s">
        <v>36</v>
      </c>
      <c r="D10913" t="s">
        <v>29</v>
      </c>
      <c r="E10913" t="s">
        <v>22</v>
      </c>
      <c r="F10913" t="s">
        <v>17</v>
      </c>
      <c r="G10913" s="1" t="str">
        <f t="shared" ref="G10913:M10915" si="2467">"X"</f>
        <v>X</v>
      </c>
      <c r="H10913" s="1" t="str">
        <f t="shared" si="2467"/>
        <v>X</v>
      </c>
      <c r="I10913" s="1" t="str">
        <f t="shared" si="2467"/>
        <v>X</v>
      </c>
      <c r="J10913" s="1" t="str">
        <f t="shared" si="2467"/>
        <v>X</v>
      </c>
      <c r="K10913" s="1" t="str">
        <f t="shared" si="2467"/>
        <v>X</v>
      </c>
      <c r="L10913" s="1" t="str">
        <f t="shared" si="2467"/>
        <v>X</v>
      </c>
      <c r="M10913" s="1" t="str">
        <f t="shared" si="2467"/>
        <v>X</v>
      </c>
      <c r="N10913" t="s">
        <v>27</v>
      </c>
    </row>
    <row r="10914" spans="1:14" x14ac:dyDescent="0.25">
      <c r="A10914" t="s">
        <v>44</v>
      </c>
      <c r="B10914" t="s">
        <v>15</v>
      </c>
      <c r="C10914" t="s">
        <v>36</v>
      </c>
      <c r="D10914" t="s">
        <v>29</v>
      </c>
      <c r="E10914" t="s">
        <v>22</v>
      </c>
      <c r="F10914" t="s">
        <v>18</v>
      </c>
      <c r="G10914" s="1" t="str">
        <f t="shared" si="2467"/>
        <v>X</v>
      </c>
      <c r="H10914" s="1" t="str">
        <f t="shared" si="2467"/>
        <v>X</v>
      </c>
      <c r="I10914" s="1" t="str">
        <f t="shared" si="2467"/>
        <v>X</v>
      </c>
      <c r="J10914" s="1" t="str">
        <f t="shared" si="2467"/>
        <v>X</v>
      </c>
      <c r="K10914" s="1" t="str">
        <f t="shared" si="2467"/>
        <v>X</v>
      </c>
      <c r="L10914" s="1" t="str">
        <f t="shared" si="2467"/>
        <v>X</v>
      </c>
      <c r="M10914" s="1" t="str">
        <f t="shared" si="2467"/>
        <v>X</v>
      </c>
      <c r="N10914" t="s">
        <v>27</v>
      </c>
    </row>
    <row r="10915" spans="1:14" x14ac:dyDescent="0.25">
      <c r="A10915" t="s">
        <v>44</v>
      </c>
      <c r="B10915" t="s">
        <v>15</v>
      </c>
      <c r="C10915" t="s">
        <v>36</v>
      </c>
      <c r="D10915" t="s">
        <v>29</v>
      </c>
      <c r="E10915" t="s">
        <v>22</v>
      </c>
      <c r="F10915" t="s">
        <v>19</v>
      </c>
      <c r="G10915" s="1" t="str">
        <f t="shared" si="2467"/>
        <v>X</v>
      </c>
      <c r="H10915" s="1" t="str">
        <f t="shared" si="2467"/>
        <v>X</v>
      </c>
      <c r="I10915" s="1" t="str">
        <f t="shared" si="2467"/>
        <v>X</v>
      </c>
      <c r="J10915" s="1" t="str">
        <f t="shared" si="2467"/>
        <v>X</v>
      </c>
      <c r="K10915" s="1" t="str">
        <f t="shared" si="2467"/>
        <v>X</v>
      </c>
      <c r="L10915" s="1" t="str">
        <f t="shared" si="2467"/>
        <v>X</v>
      </c>
      <c r="M10915" s="1" t="str">
        <f t="shared" si="2467"/>
        <v>X</v>
      </c>
      <c r="N10915" t="s">
        <v>27</v>
      </c>
    </row>
    <row r="10916" spans="1:14" x14ac:dyDescent="0.25">
      <c r="A10916" t="s">
        <v>44</v>
      </c>
      <c r="B10916" t="s">
        <v>15</v>
      </c>
      <c r="C10916" t="s">
        <v>36</v>
      </c>
      <c r="D10916" t="s">
        <v>29</v>
      </c>
      <c r="E10916" t="s">
        <v>22</v>
      </c>
      <c r="F10916" t="s">
        <v>20</v>
      </c>
      <c r="G10916" s="2">
        <f>VALUE(716.4)</f>
        <v>716.4</v>
      </c>
      <c r="H10916" s="3">
        <f>VALUE(670.02)</f>
        <v>670.02</v>
      </c>
      <c r="I10916" s="1">
        <f>VALUE(3743)</f>
        <v>3743</v>
      </c>
      <c r="J10916" s="1">
        <f>VALUE(4223)</f>
        <v>4223</v>
      </c>
      <c r="K10916" s="1">
        <f>VALUE(4867)</f>
        <v>4867</v>
      </c>
      <c r="L10916" s="1">
        <f>VALUE(5545)</f>
        <v>5545</v>
      </c>
      <c r="M10916" s="1">
        <f>VALUE(5976)</f>
        <v>5976</v>
      </c>
      <c r="N10916" t="s">
        <v>25</v>
      </c>
    </row>
    <row r="10917" spans="1:14" x14ac:dyDescent="0.25">
      <c r="A10917" t="s">
        <v>44</v>
      </c>
      <c r="B10917" t="s">
        <v>15</v>
      </c>
      <c r="C10917" t="s">
        <v>36</v>
      </c>
      <c r="D10917" t="s">
        <v>29</v>
      </c>
      <c r="E10917" t="s">
        <v>23</v>
      </c>
      <c r="F10917" t="s">
        <v>15</v>
      </c>
      <c r="G10917" s="2">
        <f>VALUE(668.44)</f>
        <v>668.44</v>
      </c>
      <c r="H10917" s="3">
        <f>VALUE(510.37)</f>
        <v>510.37</v>
      </c>
      <c r="I10917" s="1">
        <f>VALUE(3401)</f>
        <v>3401</v>
      </c>
      <c r="J10917" s="1">
        <f>VALUE(3755)</f>
        <v>3755</v>
      </c>
      <c r="K10917" s="1">
        <f>VALUE(4265)</f>
        <v>4265</v>
      </c>
      <c r="L10917" s="1">
        <f>VALUE(4970)</f>
        <v>4970</v>
      </c>
      <c r="M10917" s="8">
        <f>VALUE(6052)</f>
        <v>6052</v>
      </c>
      <c r="N10917" t="s">
        <v>25</v>
      </c>
    </row>
    <row r="10918" spans="1:14" x14ac:dyDescent="0.25">
      <c r="A10918" t="s">
        <v>44</v>
      </c>
      <c r="B10918" t="s">
        <v>15</v>
      </c>
      <c r="C10918" t="s">
        <v>36</v>
      </c>
      <c r="D10918" t="s">
        <v>29</v>
      </c>
      <c r="E10918" t="s">
        <v>23</v>
      </c>
      <c r="F10918" t="s">
        <v>17</v>
      </c>
      <c r="G10918" s="1" t="str">
        <f t="shared" ref="G10918:M10920" si="2468">"X"</f>
        <v>X</v>
      </c>
      <c r="H10918" s="1" t="str">
        <f t="shared" si="2468"/>
        <v>X</v>
      </c>
      <c r="I10918" s="1" t="str">
        <f t="shared" si="2468"/>
        <v>X</v>
      </c>
      <c r="J10918" s="1" t="str">
        <f t="shared" si="2468"/>
        <v>X</v>
      </c>
      <c r="K10918" s="1" t="str">
        <f t="shared" si="2468"/>
        <v>X</v>
      </c>
      <c r="L10918" s="1" t="str">
        <f t="shared" si="2468"/>
        <v>X</v>
      </c>
      <c r="M10918" s="1" t="str">
        <f t="shared" si="2468"/>
        <v>X</v>
      </c>
      <c r="N10918" t="s">
        <v>27</v>
      </c>
    </row>
    <row r="10919" spans="1:14" x14ac:dyDescent="0.25">
      <c r="A10919" t="s">
        <v>44</v>
      </c>
      <c r="B10919" t="s">
        <v>15</v>
      </c>
      <c r="C10919" t="s">
        <v>36</v>
      </c>
      <c r="D10919" t="s">
        <v>29</v>
      </c>
      <c r="E10919" t="s">
        <v>23</v>
      </c>
      <c r="F10919" t="s">
        <v>18</v>
      </c>
      <c r="G10919" s="1" t="str">
        <f t="shared" si="2468"/>
        <v>X</v>
      </c>
      <c r="H10919" s="1" t="str">
        <f t="shared" si="2468"/>
        <v>X</v>
      </c>
      <c r="I10919" s="1" t="str">
        <f t="shared" si="2468"/>
        <v>X</v>
      </c>
      <c r="J10919" s="1" t="str">
        <f t="shared" si="2468"/>
        <v>X</v>
      </c>
      <c r="K10919" s="1" t="str">
        <f t="shared" si="2468"/>
        <v>X</v>
      </c>
      <c r="L10919" s="1" t="str">
        <f t="shared" si="2468"/>
        <v>X</v>
      </c>
      <c r="M10919" s="1" t="str">
        <f t="shared" si="2468"/>
        <v>X</v>
      </c>
      <c r="N10919" t="s">
        <v>27</v>
      </c>
    </row>
    <row r="10920" spans="1:14" x14ac:dyDescent="0.25">
      <c r="A10920" t="s">
        <v>44</v>
      </c>
      <c r="B10920" t="s">
        <v>15</v>
      </c>
      <c r="C10920" t="s">
        <v>36</v>
      </c>
      <c r="D10920" t="s">
        <v>29</v>
      </c>
      <c r="E10920" t="s">
        <v>23</v>
      </c>
      <c r="F10920" t="s">
        <v>19</v>
      </c>
      <c r="G10920" s="1" t="str">
        <f t="shared" si="2468"/>
        <v>X</v>
      </c>
      <c r="H10920" s="1" t="str">
        <f t="shared" si="2468"/>
        <v>X</v>
      </c>
      <c r="I10920" s="1" t="str">
        <f t="shared" si="2468"/>
        <v>X</v>
      </c>
      <c r="J10920" s="1" t="str">
        <f t="shared" si="2468"/>
        <v>X</v>
      </c>
      <c r="K10920" s="1" t="str">
        <f t="shared" si="2468"/>
        <v>X</v>
      </c>
      <c r="L10920" s="1" t="str">
        <f t="shared" si="2468"/>
        <v>X</v>
      </c>
      <c r="M10920" s="1" t="str">
        <f t="shared" si="2468"/>
        <v>X</v>
      </c>
      <c r="N10920" t="s">
        <v>27</v>
      </c>
    </row>
    <row r="10921" spans="1:14" x14ac:dyDescent="0.25">
      <c r="A10921" t="s">
        <v>44</v>
      </c>
      <c r="B10921" t="s">
        <v>15</v>
      </c>
      <c r="C10921" t="s">
        <v>36</v>
      </c>
      <c r="D10921" t="s">
        <v>29</v>
      </c>
      <c r="E10921" t="s">
        <v>23</v>
      </c>
      <c r="F10921" t="s">
        <v>20</v>
      </c>
      <c r="G10921" s="2">
        <f>VALUE(534.86)</f>
        <v>534.86</v>
      </c>
      <c r="H10921" s="3">
        <f>VALUE(393.99)</f>
        <v>393.99</v>
      </c>
      <c r="I10921" s="1">
        <f>VALUE(3363)</f>
        <v>3363</v>
      </c>
      <c r="J10921" s="1">
        <f>VALUE(3717)</f>
        <v>3717</v>
      </c>
      <c r="K10921" s="1">
        <f>VALUE(4281)</f>
        <v>4281</v>
      </c>
      <c r="L10921" s="1">
        <f>VALUE(4970)</f>
        <v>4970</v>
      </c>
      <c r="M10921" s="8">
        <f>VALUE(5935)</f>
        <v>5935</v>
      </c>
      <c r="N10921" t="s">
        <v>25</v>
      </c>
    </row>
    <row r="10922" spans="1:14" x14ac:dyDescent="0.25">
      <c r="A10922" t="s">
        <v>44</v>
      </c>
      <c r="B10922" t="s">
        <v>15</v>
      </c>
      <c r="C10922" t="s">
        <v>36</v>
      </c>
      <c r="D10922" t="s">
        <v>29</v>
      </c>
      <c r="E10922" t="s">
        <v>26</v>
      </c>
      <c r="F10922" t="s">
        <v>15</v>
      </c>
      <c r="G10922" s="1" t="str">
        <f t="shared" ref="G10922:M10922" si="2469">"X"</f>
        <v>X</v>
      </c>
      <c r="H10922" s="1" t="str">
        <f t="shared" si="2469"/>
        <v>X</v>
      </c>
      <c r="I10922" s="1" t="str">
        <f t="shared" si="2469"/>
        <v>X</v>
      </c>
      <c r="J10922" s="1" t="str">
        <f t="shared" si="2469"/>
        <v>X</v>
      </c>
      <c r="K10922" s="1" t="str">
        <f t="shared" si="2469"/>
        <v>X</v>
      </c>
      <c r="L10922" s="1" t="str">
        <f t="shared" si="2469"/>
        <v>X</v>
      </c>
      <c r="M10922" s="1" t="str">
        <f t="shared" si="2469"/>
        <v>X</v>
      </c>
      <c r="N10922" t="s">
        <v>27</v>
      </c>
    </row>
    <row r="10923" spans="1:14" x14ac:dyDescent="0.25">
      <c r="A10923" t="s">
        <v>44</v>
      </c>
      <c r="B10923" t="s">
        <v>15</v>
      </c>
      <c r="C10923" t="s">
        <v>36</v>
      </c>
      <c r="D10923" t="s">
        <v>29</v>
      </c>
      <c r="E10923" t="s">
        <v>26</v>
      </c>
      <c r="F10923" t="s">
        <v>17</v>
      </c>
      <c r="G10923" s="1" t="str">
        <f t="shared" ref="G10923:M10924" si="2470">"..."</f>
        <v>...</v>
      </c>
      <c r="H10923" s="1" t="str">
        <f t="shared" si="2470"/>
        <v>...</v>
      </c>
      <c r="I10923" s="1" t="str">
        <f t="shared" si="2470"/>
        <v>...</v>
      </c>
      <c r="J10923" s="1" t="str">
        <f t="shared" si="2470"/>
        <v>...</v>
      </c>
      <c r="K10923" s="1" t="str">
        <f t="shared" si="2470"/>
        <v>...</v>
      </c>
      <c r="L10923" s="1" t="str">
        <f t="shared" si="2470"/>
        <v>...</v>
      </c>
      <c r="M10923" s="1" t="str">
        <f t="shared" si="2470"/>
        <v>...</v>
      </c>
      <c r="N10923" t="s">
        <v>30</v>
      </c>
    </row>
    <row r="10924" spans="1:14" x14ac:dyDescent="0.25">
      <c r="A10924" t="s">
        <v>44</v>
      </c>
      <c r="B10924" t="s">
        <v>15</v>
      </c>
      <c r="C10924" t="s">
        <v>36</v>
      </c>
      <c r="D10924" t="s">
        <v>29</v>
      </c>
      <c r="E10924" t="s">
        <v>26</v>
      </c>
      <c r="F10924" t="s">
        <v>18</v>
      </c>
      <c r="G10924" s="1" t="str">
        <f t="shared" si="2470"/>
        <v>...</v>
      </c>
      <c r="H10924" s="1" t="str">
        <f t="shared" si="2470"/>
        <v>...</v>
      </c>
      <c r="I10924" s="1" t="str">
        <f t="shared" si="2470"/>
        <v>...</v>
      </c>
      <c r="J10924" s="1" t="str">
        <f t="shared" si="2470"/>
        <v>...</v>
      </c>
      <c r="K10924" s="1" t="str">
        <f t="shared" si="2470"/>
        <v>...</v>
      </c>
      <c r="L10924" s="1" t="str">
        <f t="shared" si="2470"/>
        <v>...</v>
      </c>
      <c r="M10924" s="1" t="str">
        <f t="shared" si="2470"/>
        <v>...</v>
      </c>
      <c r="N10924" t="s">
        <v>30</v>
      </c>
    </row>
    <row r="10925" spans="1:14" x14ac:dyDescent="0.25">
      <c r="A10925" t="s">
        <v>44</v>
      </c>
      <c r="B10925" t="s">
        <v>15</v>
      </c>
      <c r="C10925" t="s">
        <v>36</v>
      </c>
      <c r="D10925" t="s">
        <v>29</v>
      </c>
      <c r="E10925" t="s">
        <v>26</v>
      </c>
      <c r="F10925" t="s">
        <v>19</v>
      </c>
      <c r="G10925" s="1" t="str">
        <f t="shared" ref="G10925:M10926" si="2471">"X"</f>
        <v>X</v>
      </c>
      <c r="H10925" s="1" t="str">
        <f t="shared" si="2471"/>
        <v>X</v>
      </c>
      <c r="I10925" s="1" t="str">
        <f t="shared" si="2471"/>
        <v>X</v>
      </c>
      <c r="J10925" s="1" t="str">
        <f t="shared" si="2471"/>
        <v>X</v>
      </c>
      <c r="K10925" s="1" t="str">
        <f t="shared" si="2471"/>
        <v>X</v>
      </c>
      <c r="L10925" s="1" t="str">
        <f t="shared" si="2471"/>
        <v>X</v>
      </c>
      <c r="M10925" s="1" t="str">
        <f t="shared" si="2471"/>
        <v>X</v>
      </c>
      <c r="N10925" t="s">
        <v>27</v>
      </c>
    </row>
    <row r="10926" spans="1:14" x14ac:dyDescent="0.25">
      <c r="A10926" t="s">
        <v>44</v>
      </c>
      <c r="B10926" t="s">
        <v>15</v>
      </c>
      <c r="C10926" t="s">
        <v>36</v>
      </c>
      <c r="D10926" t="s">
        <v>29</v>
      </c>
      <c r="E10926" t="s">
        <v>26</v>
      </c>
      <c r="F10926" t="s">
        <v>20</v>
      </c>
      <c r="G10926" s="1" t="str">
        <f t="shared" si="2471"/>
        <v>X</v>
      </c>
      <c r="H10926" s="1" t="str">
        <f t="shared" si="2471"/>
        <v>X</v>
      </c>
      <c r="I10926" s="1" t="str">
        <f t="shared" si="2471"/>
        <v>X</v>
      </c>
      <c r="J10926" s="1" t="str">
        <f t="shared" si="2471"/>
        <v>X</v>
      </c>
      <c r="K10926" s="1" t="str">
        <f t="shared" si="2471"/>
        <v>X</v>
      </c>
      <c r="L10926" s="1" t="str">
        <f t="shared" si="2471"/>
        <v>X</v>
      </c>
      <c r="M10926" s="1" t="str">
        <f t="shared" si="2471"/>
        <v>X</v>
      </c>
      <c r="N10926" t="s">
        <v>27</v>
      </c>
    </row>
    <row r="10927" spans="1:14" x14ac:dyDescent="0.25">
      <c r="A10927" t="s">
        <v>44</v>
      </c>
      <c r="B10927" t="s">
        <v>15</v>
      </c>
      <c r="C10927" t="s">
        <v>36</v>
      </c>
      <c r="D10927" t="s">
        <v>31</v>
      </c>
      <c r="E10927" t="s">
        <v>15</v>
      </c>
      <c r="F10927" t="s">
        <v>15</v>
      </c>
      <c r="G10927" s="1">
        <f>VALUE(3551.43)</f>
        <v>3551.43</v>
      </c>
      <c r="H10927" s="3">
        <f>VALUE(3163.91)</f>
        <v>3163.91</v>
      </c>
      <c r="I10927" s="1">
        <f>VALUE(3435)</f>
        <v>3435</v>
      </c>
      <c r="J10927" s="1">
        <f>VALUE(3920)</f>
        <v>3920</v>
      </c>
      <c r="K10927" s="1">
        <f>VALUE(4745)</f>
        <v>4745</v>
      </c>
      <c r="L10927" s="1">
        <f>VALUE(5975)</f>
        <v>5975</v>
      </c>
      <c r="M10927" s="8">
        <f>VALUE(7341)</f>
        <v>7341</v>
      </c>
      <c r="N10927" t="s">
        <v>25</v>
      </c>
    </row>
    <row r="10928" spans="1:14" x14ac:dyDescent="0.25">
      <c r="A10928" t="s">
        <v>44</v>
      </c>
      <c r="B10928" t="s">
        <v>15</v>
      </c>
      <c r="C10928" t="s">
        <v>36</v>
      </c>
      <c r="D10928" t="s">
        <v>31</v>
      </c>
      <c r="E10928" t="s">
        <v>15</v>
      </c>
      <c r="F10928" t="s">
        <v>17</v>
      </c>
      <c r="G10928" s="1" t="str">
        <f t="shared" ref="G10928:M10928" si="2472">"X"</f>
        <v>X</v>
      </c>
      <c r="H10928" s="1" t="str">
        <f t="shared" si="2472"/>
        <v>X</v>
      </c>
      <c r="I10928" s="1" t="str">
        <f t="shared" si="2472"/>
        <v>X</v>
      </c>
      <c r="J10928" s="1" t="str">
        <f t="shared" si="2472"/>
        <v>X</v>
      </c>
      <c r="K10928" s="1" t="str">
        <f t="shared" si="2472"/>
        <v>X</v>
      </c>
      <c r="L10928" s="1" t="str">
        <f t="shared" si="2472"/>
        <v>X</v>
      </c>
      <c r="M10928" s="1" t="str">
        <f t="shared" si="2472"/>
        <v>X</v>
      </c>
      <c r="N10928" t="s">
        <v>27</v>
      </c>
    </row>
    <row r="10929" spans="1:14" x14ac:dyDescent="0.25">
      <c r="A10929" t="s">
        <v>44</v>
      </c>
      <c r="B10929" t="s">
        <v>15</v>
      </c>
      <c r="C10929" t="s">
        <v>36</v>
      </c>
      <c r="D10929" t="s">
        <v>31</v>
      </c>
      <c r="E10929" t="s">
        <v>15</v>
      </c>
      <c r="F10929" t="s">
        <v>18</v>
      </c>
      <c r="G10929" s="2">
        <f>VALUE(245.39)</f>
        <v>245.39</v>
      </c>
      <c r="H10929" s="3">
        <f>VALUE(202.4)</f>
        <v>202.4</v>
      </c>
      <c r="I10929" s="1">
        <f>VALUE(4149)</f>
        <v>4149</v>
      </c>
      <c r="J10929" s="1">
        <f>VALUE(4896)</f>
        <v>4896</v>
      </c>
      <c r="K10929" s="1">
        <f>VALUE(6455)</f>
        <v>6455</v>
      </c>
      <c r="L10929" s="7">
        <f>VALUE(8290)</f>
        <v>8290</v>
      </c>
      <c r="M10929" s="8">
        <f>VALUE(13320)</f>
        <v>13320</v>
      </c>
      <c r="N10929" t="s">
        <v>25</v>
      </c>
    </row>
    <row r="10930" spans="1:14" x14ac:dyDescent="0.25">
      <c r="A10930" t="s">
        <v>44</v>
      </c>
      <c r="B10930" t="s">
        <v>15</v>
      </c>
      <c r="C10930" t="s">
        <v>36</v>
      </c>
      <c r="D10930" t="s">
        <v>31</v>
      </c>
      <c r="E10930" t="s">
        <v>15</v>
      </c>
      <c r="F10930" t="s">
        <v>19</v>
      </c>
      <c r="G10930" s="2">
        <f>VALUE(311.5)</f>
        <v>311.5</v>
      </c>
      <c r="H10930" s="3">
        <f>VALUE(287.77)</f>
        <v>287.77</v>
      </c>
      <c r="I10930" s="1">
        <f>VALUE(3900)</f>
        <v>3900</v>
      </c>
      <c r="J10930" s="1">
        <f>VALUE(4539)</f>
        <v>4539</v>
      </c>
      <c r="K10930" s="1">
        <f>VALUE(5095)</f>
        <v>5095</v>
      </c>
      <c r="L10930" s="7">
        <f>VALUE(6249)</f>
        <v>6249</v>
      </c>
      <c r="M10930" s="1">
        <f>VALUE(7714)</f>
        <v>7714</v>
      </c>
      <c r="N10930" t="s">
        <v>25</v>
      </c>
    </row>
    <row r="10931" spans="1:14" x14ac:dyDescent="0.25">
      <c r="A10931" t="s">
        <v>44</v>
      </c>
      <c r="B10931" t="s">
        <v>15</v>
      </c>
      <c r="C10931" t="s">
        <v>36</v>
      </c>
      <c r="D10931" t="s">
        <v>31</v>
      </c>
      <c r="E10931" t="s">
        <v>15</v>
      </c>
      <c r="F10931" t="s">
        <v>20</v>
      </c>
      <c r="G10931" s="2">
        <f>VALUE(2747.13)</f>
        <v>2747.13</v>
      </c>
      <c r="H10931" s="3">
        <f>VALUE(2423.81)</f>
        <v>2423.81</v>
      </c>
      <c r="I10931" s="1">
        <f>VALUE(3388)</f>
        <v>3388</v>
      </c>
      <c r="J10931" s="1">
        <f>VALUE(3900)</f>
        <v>3900</v>
      </c>
      <c r="K10931" s="1">
        <f>VALUE(4489)</f>
        <v>4489</v>
      </c>
      <c r="L10931" s="1">
        <f>VALUE(5374)</f>
        <v>5374</v>
      </c>
      <c r="M10931" s="1">
        <f>VALUE(6610)</f>
        <v>6610</v>
      </c>
      <c r="N10931" t="s">
        <v>25</v>
      </c>
    </row>
    <row r="10932" spans="1:14" x14ac:dyDescent="0.25">
      <c r="A10932" t="s">
        <v>44</v>
      </c>
      <c r="B10932" t="s">
        <v>15</v>
      </c>
      <c r="C10932" t="s">
        <v>36</v>
      </c>
      <c r="D10932" t="s">
        <v>31</v>
      </c>
      <c r="E10932" t="s">
        <v>21</v>
      </c>
      <c r="F10932" t="s">
        <v>15</v>
      </c>
      <c r="G10932" s="2">
        <f>VALUE(1492.93)</f>
        <v>1492.93</v>
      </c>
      <c r="H10932" s="3">
        <f>VALUE(1354.82)</f>
        <v>1354.82</v>
      </c>
      <c r="I10932" s="1">
        <f>VALUE(4007)</f>
        <v>4007</v>
      </c>
      <c r="J10932" s="1">
        <f>VALUE(4770)</f>
        <v>4770</v>
      </c>
      <c r="K10932" s="1">
        <f>VALUE(5694)</f>
        <v>5694</v>
      </c>
      <c r="L10932" s="1">
        <f>VALUE(6854)</f>
        <v>6854</v>
      </c>
      <c r="M10932" s="8">
        <f>VALUE(8992)</f>
        <v>8992</v>
      </c>
      <c r="N10932" t="s">
        <v>25</v>
      </c>
    </row>
    <row r="10933" spans="1:14" x14ac:dyDescent="0.25">
      <c r="A10933" t="s">
        <v>44</v>
      </c>
      <c r="B10933" t="s">
        <v>15</v>
      </c>
      <c r="C10933" t="s">
        <v>36</v>
      </c>
      <c r="D10933" t="s">
        <v>31</v>
      </c>
      <c r="E10933" t="s">
        <v>21</v>
      </c>
      <c r="F10933" t="s">
        <v>17</v>
      </c>
      <c r="G10933" s="1" t="str">
        <f t="shared" ref="G10933:M10933" si="2473">"X"</f>
        <v>X</v>
      </c>
      <c r="H10933" s="1" t="str">
        <f t="shared" si="2473"/>
        <v>X</v>
      </c>
      <c r="I10933" s="1" t="str">
        <f t="shared" si="2473"/>
        <v>X</v>
      </c>
      <c r="J10933" s="1" t="str">
        <f t="shared" si="2473"/>
        <v>X</v>
      </c>
      <c r="K10933" s="1" t="str">
        <f t="shared" si="2473"/>
        <v>X</v>
      </c>
      <c r="L10933" s="1" t="str">
        <f t="shared" si="2473"/>
        <v>X</v>
      </c>
      <c r="M10933" s="1" t="str">
        <f t="shared" si="2473"/>
        <v>X</v>
      </c>
      <c r="N10933" t="s">
        <v>27</v>
      </c>
    </row>
    <row r="10934" spans="1:14" x14ac:dyDescent="0.25">
      <c r="A10934" t="s">
        <v>44</v>
      </c>
      <c r="B10934" t="s">
        <v>15</v>
      </c>
      <c r="C10934" t="s">
        <v>36</v>
      </c>
      <c r="D10934" t="s">
        <v>31</v>
      </c>
      <c r="E10934" t="s">
        <v>21</v>
      </c>
      <c r="F10934" t="s">
        <v>18</v>
      </c>
      <c r="G10934" s="2">
        <f>VALUE(184.04)</f>
        <v>184.04</v>
      </c>
      <c r="H10934" s="3">
        <f>VALUE(140.71)</f>
        <v>140.71</v>
      </c>
      <c r="I10934" s="4">
        <f>VALUE(4642)</f>
        <v>4642</v>
      </c>
      <c r="J10934" s="1">
        <f>VALUE(5742)</f>
        <v>5742</v>
      </c>
      <c r="K10934" s="1">
        <f>VALUE(6784)</f>
        <v>6784</v>
      </c>
      <c r="L10934" s="7">
        <f>VALUE(9268)</f>
        <v>9268</v>
      </c>
      <c r="M10934" s="8">
        <f>VALUE(15682)</f>
        <v>15682</v>
      </c>
      <c r="N10934" t="s">
        <v>25</v>
      </c>
    </row>
    <row r="10935" spans="1:14" x14ac:dyDescent="0.25">
      <c r="A10935" t="s">
        <v>44</v>
      </c>
      <c r="B10935" t="s">
        <v>15</v>
      </c>
      <c r="C10935" t="s">
        <v>36</v>
      </c>
      <c r="D10935" t="s">
        <v>31</v>
      </c>
      <c r="E10935" t="s">
        <v>21</v>
      </c>
      <c r="F10935" t="s">
        <v>19</v>
      </c>
      <c r="G10935" s="1" t="str">
        <f t="shared" ref="G10935:M10935" si="2474">"X"</f>
        <v>X</v>
      </c>
      <c r="H10935" s="1" t="str">
        <f t="shared" si="2474"/>
        <v>X</v>
      </c>
      <c r="I10935" s="1" t="str">
        <f t="shared" si="2474"/>
        <v>X</v>
      </c>
      <c r="J10935" s="1" t="str">
        <f t="shared" si="2474"/>
        <v>X</v>
      </c>
      <c r="K10935" s="1" t="str">
        <f t="shared" si="2474"/>
        <v>X</v>
      </c>
      <c r="L10935" s="1" t="str">
        <f t="shared" si="2474"/>
        <v>X</v>
      </c>
      <c r="M10935" s="1" t="str">
        <f t="shared" si="2474"/>
        <v>X</v>
      </c>
      <c r="N10935" t="s">
        <v>27</v>
      </c>
    </row>
    <row r="10936" spans="1:14" x14ac:dyDescent="0.25">
      <c r="A10936" t="s">
        <v>44</v>
      </c>
      <c r="B10936" t="s">
        <v>15</v>
      </c>
      <c r="C10936" t="s">
        <v>36</v>
      </c>
      <c r="D10936" t="s">
        <v>31</v>
      </c>
      <c r="E10936" t="s">
        <v>21</v>
      </c>
      <c r="F10936" t="s">
        <v>20</v>
      </c>
      <c r="G10936" s="2">
        <f>VALUE(970.16)</f>
        <v>970.16</v>
      </c>
      <c r="H10936" s="3">
        <f>VALUE(884.05)</f>
        <v>884.05</v>
      </c>
      <c r="I10936" s="1">
        <f>VALUE(3968)</f>
        <v>3968</v>
      </c>
      <c r="J10936" s="1">
        <f>VALUE(4672)</f>
        <v>4672</v>
      </c>
      <c r="K10936" s="1">
        <f>VALUE(5186)</f>
        <v>5186</v>
      </c>
      <c r="L10936" s="1">
        <f>VALUE(6355)</f>
        <v>6355</v>
      </c>
      <c r="M10936" s="1">
        <f>VALUE(7565)</f>
        <v>7565</v>
      </c>
      <c r="N10936" t="s">
        <v>25</v>
      </c>
    </row>
    <row r="10937" spans="1:14" x14ac:dyDescent="0.25">
      <c r="A10937" t="s">
        <v>44</v>
      </c>
      <c r="B10937" t="s">
        <v>15</v>
      </c>
      <c r="C10937" t="s">
        <v>36</v>
      </c>
      <c r="D10937" t="s">
        <v>31</v>
      </c>
      <c r="E10937" t="s">
        <v>22</v>
      </c>
      <c r="F10937" t="s">
        <v>15</v>
      </c>
      <c r="G10937" s="2">
        <f>VALUE(1066.06)</f>
        <v>1066.06</v>
      </c>
      <c r="H10937" s="3">
        <f>VALUE(1029.45)</f>
        <v>1029.45</v>
      </c>
      <c r="I10937" s="1">
        <f>VALUE(3792)</f>
        <v>3792</v>
      </c>
      <c r="J10937" s="1">
        <f>VALUE(3929)</f>
        <v>3929</v>
      </c>
      <c r="K10937" s="1">
        <f>VALUE(4489)</f>
        <v>4489</v>
      </c>
      <c r="L10937" s="1">
        <f>VALUE(5275)</f>
        <v>5275</v>
      </c>
      <c r="M10937" s="1">
        <f>VALUE(6499)</f>
        <v>6499</v>
      </c>
      <c r="N10937" t="s">
        <v>25</v>
      </c>
    </row>
    <row r="10938" spans="1:14" x14ac:dyDescent="0.25">
      <c r="A10938" t="s">
        <v>44</v>
      </c>
      <c r="B10938" t="s">
        <v>15</v>
      </c>
      <c r="C10938" t="s">
        <v>36</v>
      </c>
      <c r="D10938" t="s">
        <v>31</v>
      </c>
      <c r="E10938" t="s">
        <v>22</v>
      </c>
      <c r="F10938" t="s">
        <v>17</v>
      </c>
      <c r="G10938" s="1" t="str">
        <f t="shared" ref="G10938:M10940" si="2475">"X"</f>
        <v>X</v>
      </c>
      <c r="H10938" s="1" t="str">
        <f t="shared" si="2475"/>
        <v>X</v>
      </c>
      <c r="I10938" s="1" t="str">
        <f t="shared" si="2475"/>
        <v>X</v>
      </c>
      <c r="J10938" s="1" t="str">
        <f t="shared" si="2475"/>
        <v>X</v>
      </c>
      <c r="K10938" s="1" t="str">
        <f t="shared" si="2475"/>
        <v>X</v>
      </c>
      <c r="L10938" s="1" t="str">
        <f t="shared" si="2475"/>
        <v>X</v>
      </c>
      <c r="M10938" s="1" t="str">
        <f t="shared" si="2475"/>
        <v>X</v>
      </c>
      <c r="N10938" t="s">
        <v>27</v>
      </c>
    </row>
    <row r="10939" spans="1:14" x14ac:dyDescent="0.25">
      <c r="A10939" t="s">
        <v>44</v>
      </c>
      <c r="B10939" t="s">
        <v>15</v>
      </c>
      <c r="C10939" t="s">
        <v>36</v>
      </c>
      <c r="D10939" t="s">
        <v>31</v>
      </c>
      <c r="E10939" t="s">
        <v>22</v>
      </c>
      <c r="F10939" t="s">
        <v>18</v>
      </c>
      <c r="G10939" s="1" t="str">
        <f t="shared" si="2475"/>
        <v>X</v>
      </c>
      <c r="H10939" s="1" t="str">
        <f t="shared" si="2475"/>
        <v>X</v>
      </c>
      <c r="I10939" s="1" t="str">
        <f t="shared" si="2475"/>
        <v>X</v>
      </c>
      <c r="J10939" s="1" t="str">
        <f t="shared" si="2475"/>
        <v>X</v>
      </c>
      <c r="K10939" s="1" t="str">
        <f t="shared" si="2475"/>
        <v>X</v>
      </c>
      <c r="L10939" s="1" t="str">
        <f t="shared" si="2475"/>
        <v>X</v>
      </c>
      <c r="M10939" s="1" t="str">
        <f t="shared" si="2475"/>
        <v>X</v>
      </c>
      <c r="N10939" t="s">
        <v>27</v>
      </c>
    </row>
    <row r="10940" spans="1:14" x14ac:dyDescent="0.25">
      <c r="A10940" t="s">
        <v>44</v>
      </c>
      <c r="B10940" t="s">
        <v>15</v>
      </c>
      <c r="C10940" t="s">
        <v>36</v>
      </c>
      <c r="D10940" t="s">
        <v>31</v>
      </c>
      <c r="E10940" t="s">
        <v>22</v>
      </c>
      <c r="F10940" t="s">
        <v>19</v>
      </c>
      <c r="G10940" s="1" t="str">
        <f t="shared" si="2475"/>
        <v>X</v>
      </c>
      <c r="H10940" s="1" t="str">
        <f t="shared" si="2475"/>
        <v>X</v>
      </c>
      <c r="I10940" s="1" t="str">
        <f t="shared" si="2475"/>
        <v>X</v>
      </c>
      <c r="J10940" s="1" t="str">
        <f t="shared" si="2475"/>
        <v>X</v>
      </c>
      <c r="K10940" s="1" t="str">
        <f t="shared" si="2475"/>
        <v>X</v>
      </c>
      <c r="L10940" s="1" t="str">
        <f t="shared" si="2475"/>
        <v>X</v>
      </c>
      <c r="M10940" s="1" t="str">
        <f t="shared" si="2475"/>
        <v>X</v>
      </c>
      <c r="N10940" t="s">
        <v>27</v>
      </c>
    </row>
    <row r="10941" spans="1:14" x14ac:dyDescent="0.25">
      <c r="A10941" t="s">
        <v>44</v>
      </c>
      <c r="B10941" t="s">
        <v>15</v>
      </c>
      <c r="C10941" t="s">
        <v>36</v>
      </c>
      <c r="D10941" t="s">
        <v>31</v>
      </c>
      <c r="E10941" t="s">
        <v>22</v>
      </c>
      <c r="F10941" t="s">
        <v>20</v>
      </c>
      <c r="G10941" s="2">
        <f>VALUE(820.86)</f>
        <v>820.86</v>
      </c>
      <c r="H10941" s="3">
        <f>VALUE(796.78)</f>
        <v>796.78</v>
      </c>
      <c r="I10941" s="1">
        <f>VALUE(3722)</f>
        <v>3722</v>
      </c>
      <c r="J10941" s="1">
        <f>VALUE(3920)</f>
        <v>3920</v>
      </c>
      <c r="K10941" s="1">
        <f>VALUE(4195)</f>
        <v>4195</v>
      </c>
      <c r="L10941" s="1">
        <f>VALUE(5004)</f>
        <v>5004</v>
      </c>
      <c r="M10941" s="1">
        <f>VALUE(5548)</f>
        <v>5548</v>
      </c>
      <c r="N10941" t="s">
        <v>25</v>
      </c>
    </row>
    <row r="10942" spans="1:14" x14ac:dyDescent="0.25">
      <c r="A10942" t="s">
        <v>44</v>
      </c>
      <c r="B10942" t="s">
        <v>15</v>
      </c>
      <c r="C10942" t="s">
        <v>36</v>
      </c>
      <c r="D10942" t="s">
        <v>31</v>
      </c>
      <c r="E10942" t="s">
        <v>23</v>
      </c>
      <c r="F10942" t="s">
        <v>15</v>
      </c>
      <c r="G10942" s="2">
        <f>VALUE(977.06)</f>
        <v>977.06</v>
      </c>
      <c r="H10942" s="3">
        <f>VALUE(764.95)</f>
        <v>764.95</v>
      </c>
      <c r="I10942" s="4">
        <f>VALUE(3095)</f>
        <v>3095</v>
      </c>
      <c r="J10942" s="1">
        <f>VALUE(3388)</f>
        <v>3388</v>
      </c>
      <c r="K10942" s="1">
        <f>VALUE(3727)</f>
        <v>3727</v>
      </c>
      <c r="L10942" s="7">
        <f>VALUE(4358)</f>
        <v>4358</v>
      </c>
      <c r="M10942" s="8">
        <f>VALUE(5253)</f>
        <v>5253</v>
      </c>
      <c r="N10942" t="s">
        <v>25</v>
      </c>
    </row>
    <row r="10943" spans="1:14" x14ac:dyDescent="0.25">
      <c r="A10943" t="s">
        <v>44</v>
      </c>
      <c r="B10943" t="s">
        <v>15</v>
      </c>
      <c r="C10943" t="s">
        <v>36</v>
      </c>
      <c r="D10943" t="s">
        <v>31</v>
      </c>
      <c r="E10943" t="s">
        <v>23</v>
      </c>
      <c r="F10943" t="s">
        <v>17</v>
      </c>
      <c r="G10943" s="1" t="str">
        <f t="shared" ref="G10943:M10945" si="2476">"X"</f>
        <v>X</v>
      </c>
      <c r="H10943" s="1" t="str">
        <f t="shared" si="2476"/>
        <v>X</v>
      </c>
      <c r="I10943" s="1" t="str">
        <f t="shared" si="2476"/>
        <v>X</v>
      </c>
      <c r="J10943" s="1" t="str">
        <f t="shared" si="2476"/>
        <v>X</v>
      </c>
      <c r="K10943" s="1" t="str">
        <f t="shared" si="2476"/>
        <v>X</v>
      </c>
      <c r="L10943" s="1" t="str">
        <f t="shared" si="2476"/>
        <v>X</v>
      </c>
      <c r="M10943" s="1" t="str">
        <f t="shared" si="2476"/>
        <v>X</v>
      </c>
      <c r="N10943" t="s">
        <v>27</v>
      </c>
    </row>
    <row r="10944" spans="1:14" x14ac:dyDescent="0.25">
      <c r="A10944" t="s">
        <v>44</v>
      </c>
      <c r="B10944" t="s">
        <v>15</v>
      </c>
      <c r="C10944" t="s">
        <v>36</v>
      </c>
      <c r="D10944" t="s">
        <v>31</v>
      </c>
      <c r="E10944" t="s">
        <v>23</v>
      </c>
      <c r="F10944" t="s">
        <v>18</v>
      </c>
      <c r="G10944" s="1" t="str">
        <f t="shared" si="2476"/>
        <v>X</v>
      </c>
      <c r="H10944" s="1" t="str">
        <f t="shared" si="2476"/>
        <v>X</v>
      </c>
      <c r="I10944" s="1" t="str">
        <f t="shared" si="2476"/>
        <v>X</v>
      </c>
      <c r="J10944" s="1" t="str">
        <f t="shared" si="2476"/>
        <v>X</v>
      </c>
      <c r="K10944" s="1" t="str">
        <f t="shared" si="2476"/>
        <v>X</v>
      </c>
      <c r="L10944" s="1" t="str">
        <f t="shared" si="2476"/>
        <v>X</v>
      </c>
      <c r="M10944" s="1" t="str">
        <f t="shared" si="2476"/>
        <v>X</v>
      </c>
      <c r="N10944" t="s">
        <v>27</v>
      </c>
    </row>
    <row r="10945" spans="1:14" x14ac:dyDescent="0.25">
      <c r="A10945" t="s">
        <v>44</v>
      </c>
      <c r="B10945" t="s">
        <v>15</v>
      </c>
      <c r="C10945" t="s">
        <v>36</v>
      </c>
      <c r="D10945" t="s">
        <v>31</v>
      </c>
      <c r="E10945" t="s">
        <v>23</v>
      </c>
      <c r="F10945" t="s">
        <v>19</v>
      </c>
      <c r="G10945" s="1" t="str">
        <f t="shared" si="2476"/>
        <v>X</v>
      </c>
      <c r="H10945" s="1" t="str">
        <f t="shared" si="2476"/>
        <v>X</v>
      </c>
      <c r="I10945" s="1" t="str">
        <f t="shared" si="2476"/>
        <v>X</v>
      </c>
      <c r="J10945" s="1" t="str">
        <f t="shared" si="2476"/>
        <v>X</v>
      </c>
      <c r="K10945" s="1" t="str">
        <f t="shared" si="2476"/>
        <v>X</v>
      </c>
      <c r="L10945" s="1" t="str">
        <f t="shared" si="2476"/>
        <v>X</v>
      </c>
      <c r="M10945" s="1" t="str">
        <f t="shared" si="2476"/>
        <v>X</v>
      </c>
      <c r="N10945" t="s">
        <v>27</v>
      </c>
    </row>
    <row r="10946" spans="1:14" x14ac:dyDescent="0.25">
      <c r="A10946" t="s">
        <v>44</v>
      </c>
      <c r="B10946" t="s">
        <v>15</v>
      </c>
      <c r="C10946" t="s">
        <v>36</v>
      </c>
      <c r="D10946" t="s">
        <v>31</v>
      </c>
      <c r="E10946" t="s">
        <v>23</v>
      </c>
      <c r="F10946" t="s">
        <v>20</v>
      </c>
      <c r="G10946" s="2">
        <f>VALUE(946.35)</f>
        <v>946.35</v>
      </c>
      <c r="H10946" s="3">
        <f>VALUE(734.14)</f>
        <v>734.14</v>
      </c>
      <c r="I10946" s="4">
        <f>VALUE(3080)</f>
        <v>3080</v>
      </c>
      <c r="J10946" s="1">
        <f>VALUE(3388)</f>
        <v>3388</v>
      </c>
      <c r="K10946" s="1">
        <f>VALUE(3712)</f>
        <v>3712</v>
      </c>
      <c r="L10946" s="7">
        <f>VALUE(4358)</f>
        <v>4358</v>
      </c>
      <c r="M10946" s="8">
        <f>VALUE(5253)</f>
        <v>5253</v>
      </c>
      <c r="N10946" t="s">
        <v>25</v>
      </c>
    </row>
    <row r="10947" spans="1:14" x14ac:dyDescent="0.25">
      <c r="A10947" t="s">
        <v>44</v>
      </c>
      <c r="B10947" t="s">
        <v>15</v>
      </c>
      <c r="C10947" t="s">
        <v>36</v>
      </c>
      <c r="D10947" t="s">
        <v>31</v>
      </c>
      <c r="E10947" t="s">
        <v>26</v>
      </c>
      <c r="F10947" t="s">
        <v>15</v>
      </c>
      <c r="G10947" s="1" t="str">
        <f t="shared" ref="G10947:M10949" si="2477">"X"</f>
        <v>X</v>
      </c>
      <c r="H10947" s="1" t="str">
        <f t="shared" si="2477"/>
        <v>X</v>
      </c>
      <c r="I10947" s="1" t="str">
        <f t="shared" si="2477"/>
        <v>X</v>
      </c>
      <c r="J10947" s="1" t="str">
        <f t="shared" si="2477"/>
        <v>X</v>
      </c>
      <c r="K10947" s="1" t="str">
        <f t="shared" si="2477"/>
        <v>X</v>
      </c>
      <c r="L10947" s="1" t="str">
        <f t="shared" si="2477"/>
        <v>X</v>
      </c>
      <c r="M10947" s="1" t="str">
        <f t="shared" si="2477"/>
        <v>X</v>
      </c>
      <c r="N10947" t="s">
        <v>27</v>
      </c>
    </row>
    <row r="10948" spans="1:14" x14ac:dyDescent="0.25">
      <c r="A10948" t="s">
        <v>44</v>
      </c>
      <c r="B10948" t="s">
        <v>15</v>
      </c>
      <c r="C10948" t="s">
        <v>36</v>
      </c>
      <c r="D10948" t="s">
        <v>31</v>
      </c>
      <c r="E10948" t="s">
        <v>26</v>
      </c>
      <c r="F10948" t="s">
        <v>17</v>
      </c>
      <c r="G10948" s="1" t="str">
        <f t="shared" si="2477"/>
        <v>X</v>
      </c>
      <c r="H10948" s="1" t="str">
        <f t="shared" si="2477"/>
        <v>X</v>
      </c>
      <c r="I10948" s="1" t="str">
        <f t="shared" si="2477"/>
        <v>X</v>
      </c>
      <c r="J10948" s="1" t="str">
        <f t="shared" si="2477"/>
        <v>X</v>
      </c>
      <c r="K10948" s="1" t="str">
        <f t="shared" si="2477"/>
        <v>X</v>
      </c>
      <c r="L10948" s="1" t="str">
        <f t="shared" si="2477"/>
        <v>X</v>
      </c>
      <c r="M10948" s="1" t="str">
        <f t="shared" si="2477"/>
        <v>X</v>
      </c>
      <c r="N10948" t="s">
        <v>27</v>
      </c>
    </row>
    <row r="10949" spans="1:14" x14ac:dyDescent="0.25">
      <c r="A10949" t="s">
        <v>44</v>
      </c>
      <c r="B10949" t="s">
        <v>15</v>
      </c>
      <c r="C10949" t="s">
        <v>36</v>
      </c>
      <c r="D10949" t="s">
        <v>31</v>
      </c>
      <c r="E10949" t="s">
        <v>26</v>
      </c>
      <c r="F10949" t="s">
        <v>18</v>
      </c>
      <c r="G10949" s="1" t="str">
        <f t="shared" si="2477"/>
        <v>X</v>
      </c>
      <c r="H10949" s="1" t="str">
        <f t="shared" si="2477"/>
        <v>X</v>
      </c>
      <c r="I10949" s="1" t="str">
        <f t="shared" si="2477"/>
        <v>X</v>
      </c>
      <c r="J10949" s="1" t="str">
        <f t="shared" si="2477"/>
        <v>X</v>
      </c>
      <c r="K10949" s="1" t="str">
        <f t="shared" si="2477"/>
        <v>X</v>
      </c>
      <c r="L10949" s="1" t="str">
        <f t="shared" si="2477"/>
        <v>X</v>
      </c>
      <c r="M10949" s="1" t="str">
        <f t="shared" si="2477"/>
        <v>X</v>
      </c>
      <c r="N10949" t="s">
        <v>27</v>
      </c>
    </row>
    <row r="10950" spans="1:14" x14ac:dyDescent="0.25">
      <c r="A10950" t="s">
        <v>44</v>
      </c>
      <c r="B10950" t="s">
        <v>15</v>
      </c>
      <c r="C10950" t="s">
        <v>36</v>
      </c>
      <c r="D10950" t="s">
        <v>31</v>
      </c>
      <c r="E10950" t="s">
        <v>26</v>
      </c>
      <c r="F10950" t="s">
        <v>19</v>
      </c>
      <c r="G10950" s="1" t="str">
        <f t="shared" ref="G10950:M10950" si="2478">"..."</f>
        <v>...</v>
      </c>
      <c r="H10950" s="1" t="str">
        <f t="shared" si="2478"/>
        <v>...</v>
      </c>
      <c r="I10950" s="1" t="str">
        <f t="shared" si="2478"/>
        <v>...</v>
      </c>
      <c r="J10950" s="1" t="str">
        <f t="shared" si="2478"/>
        <v>...</v>
      </c>
      <c r="K10950" s="1" t="str">
        <f t="shared" si="2478"/>
        <v>...</v>
      </c>
      <c r="L10950" s="1" t="str">
        <f t="shared" si="2478"/>
        <v>...</v>
      </c>
      <c r="M10950" s="1" t="str">
        <f t="shared" si="2478"/>
        <v>...</v>
      </c>
      <c r="N10950" t="s">
        <v>30</v>
      </c>
    </row>
    <row r="10951" spans="1:14" x14ac:dyDescent="0.25">
      <c r="A10951" t="s">
        <v>44</v>
      </c>
      <c r="B10951" t="s">
        <v>15</v>
      </c>
      <c r="C10951" t="s">
        <v>36</v>
      </c>
      <c r="D10951" t="s">
        <v>31</v>
      </c>
      <c r="E10951" t="s">
        <v>26</v>
      </c>
      <c r="F10951" t="s">
        <v>20</v>
      </c>
      <c r="G10951" s="1" t="str">
        <f t="shared" ref="G10951:M10951" si="2479">"X"</f>
        <v>X</v>
      </c>
      <c r="H10951" s="1" t="str">
        <f t="shared" si="2479"/>
        <v>X</v>
      </c>
      <c r="I10951" s="1" t="str">
        <f t="shared" si="2479"/>
        <v>X</v>
      </c>
      <c r="J10951" s="1" t="str">
        <f t="shared" si="2479"/>
        <v>X</v>
      </c>
      <c r="K10951" s="1" t="str">
        <f t="shared" si="2479"/>
        <v>X</v>
      </c>
      <c r="L10951" s="1" t="str">
        <f t="shared" si="2479"/>
        <v>X</v>
      </c>
      <c r="M10951" s="1" t="str">
        <f t="shared" si="2479"/>
        <v>X</v>
      </c>
      <c r="N10951" t="s">
        <v>27</v>
      </c>
    </row>
    <row r="10952" spans="1:14" x14ac:dyDescent="0.25">
      <c r="A10952" t="s">
        <v>44</v>
      </c>
      <c r="B10952" t="s">
        <v>15</v>
      </c>
      <c r="C10952" t="s">
        <v>36</v>
      </c>
      <c r="D10952" t="s">
        <v>32</v>
      </c>
      <c r="E10952" t="s">
        <v>15</v>
      </c>
      <c r="F10952" t="s">
        <v>15</v>
      </c>
      <c r="G10952" s="1">
        <f>VALUE(11499.22)</f>
        <v>11499.22</v>
      </c>
      <c r="H10952" s="1">
        <f>VALUE(10632.25)</f>
        <v>10632.25</v>
      </c>
      <c r="I10952" s="1">
        <f>VALUE(3106)</f>
        <v>3106</v>
      </c>
      <c r="J10952" s="1">
        <f>VALUE(3437)</f>
        <v>3437</v>
      </c>
      <c r="K10952" s="1">
        <f>VALUE(4094)</f>
        <v>4094</v>
      </c>
      <c r="L10952" s="1">
        <f>VALUE(4943)</f>
        <v>4943</v>
      </c>
      <c r="M10952" s="1">
        <f>VALUE(5887)</f>
        <v>5887</v>
      </c>
      <c r="N10952" t="s">
        <v>16</v>
      </c>
    </row>
    <row r="10953" spans="1:14" x14ac:dyDescent="0.25">
      <c r="A10953" t="s">
        <v>44</v>
      </c>
      <c r="B10953" t="s">
        <v>15</v>
      </c>
      <c r="C10953" t="s">
        <v>36</v>
      </c>
      <c r="D10953" t="s">
        <v>32</v>
      </c>
      <c r="E10953" t="s">
        <v>15</v>
      </c>
      <c r="F10953" t="s">
        <v>17</v>
      </c>
      <c r="G10953" s="2">
        <f>VALUE(470.9)</f>
        <v>470.9</v>
      </c>
      <c r="H10953" s="3">
        <f>VALUE(454.37)</f>
        <v>454.37</v>
      </c>
      <c r="I10953" s="4">
        <f>VALUE(3864)</f>
        <v>3864</v>
      </c>
      <c r="J10953" s="5">
        <f>VALUE(4332)</f>
        <v>4332</v>
      </c>
      <c r="K10953" s="6">
        <f>VALUE(4478)</f>
        <v>4478</v>
      </c>
      <c r="L10953" s="7">
        <f>VALUE(6326)</f>
        <v>6326</v>
      </c>
      <c r="M10953" s="8">
        <f>VALUE(8364)</f>
        <v>8364</v>
      </c>
      <c r="N10953" t="s">
        <v>24</v>
      </c>
    </row>
    <row r="10954" spans="1:14" x14ac:dyDescent="0.25">
      <c r="A10954" t="s">
        <v>44</v>
      </c>
      <c r="B10954" t="s">
        <v>15</v>
      </c>
      <c r="C10954" t="s">
        <v>36</v>
      </c>
      <c r="D10954" t="s">
        <v>32</v>
      </c>
      <c r="E10954" t="s">
        <v>15</v>
      </c>
      <c r="F10954" t="s">
        <v>18</v>
      </c>
      <c r="G10954" s="2">
        <f>VALUE(600.75)</f>
        <v>600.75</v>
      </c>
      <c r="H10954" s="3">
        <f>VALUE(594.8)</f>
        <v>594.79999999999995</v>
      </c>
      <c r="I10954" s="1">
        <f>VALUE(3390)</f>
        <v>3390</v>
      </c>
      <c r="J10954" s="1">
        <f>VALUE(3861)</f>
        <v>3861</v>
      </c>
      <c r="K10954" s="1">
        <f>VALUE(4982)</f>
        <v>4982</v>
      </c>
      <c r="L10954" s="1">
        <f>VALUE(5833)</f>
        <v>5833</v>
      </c>
      <c r="M10954" s="8">
        <f>VALUE(7128)</f>
        <v>7128</v>
      </c>
      <c r="N10954" t="s">
        <v>25</v>
      </c>
    </row>
    <row r="10955" spans="1:14" x14ac:dyDescent="0.25">
      <c r="A10955" t="s">
        <v>44</v>
      </c>
      <c r="B10955" t="s">
        <v>15</v>
      </c>
      <c r="C10955" t="s">
        <v>36</v>
      </c>
      <c r="D10955" t="s">
        <v>32</v>
      </c>
      <c r="E10955" t="s">
        <v>15</v>
      </c>
      <c r="F10955" t="s">
        <v>19</v>
      </c>
      <c r="G10955" s="2">
        <f>VALUE(1270.78)</f>
        <v>1270.78</v>
      </c>
      <c r="H10955" s="3">
        <f>VALUE(1185.63)</f>
        <v>1185.6300000000001</v>
      </c>
      <c r="I10955" s="4">
        <f>VALUE(2954)</f>
        <v>2954</v>
      </c>
      <c r="J10955" s="1">
        <f>VALUE(3686)</f>
        <v>3686</v>
      </c>
      <c r="K10955" s="1">
        <f>VALUE(4574)</f>
        <v>4574</v>
      </c>
      <c r="L10955" s="1">
        <f>VALUE(5416)</f>
        <v>5416</v>
      </c>
      <c r="M10955" s="1">
        <f>VALUE(6334)</f>
        <v>6334</v>
      </c>
      <c r="N10955" t="s">
        <v>25</v>
      </c>
    </row>
    <row r="10956" spans="1:14" x14ac:dyDescent="0.25">
      <c r="A10956" t="s">
        <v>44</v>
      </c>
      <c r="B10956" t="s">
        <v>15</v>
      </c>
      <c r="C10956" t="s">
        <v>36</v>
      </c>
      <c r="D10956" t="s">
        <v>32</v>
      </c>
      <c r="E10956" t="s">
        <v>15</v>
      </c>
      <c r="F10956" t="s">
        <v>20</v>
      </c>
      <c r="G10956" s="1">
        <f>VALUE(9156.79)</f>
        <v>9156.7900000000009</v>
      </c>
      <c r="H10956" s="1">
        <f>VALUE(8397.45)</f>
        <v>8397.4500000000007</v>
      </c>
      <c r="I10956" s="1">
        <f>VALUE(3080)</f>
        <v>3080</v>
      </c>
      <c r="J10956" s="1">
        <f>VALUE(3381)</f>
        <v>3381</v>
      </c>
      <c r="K10956" s="1">
        <f>VALUE(3876)</f>
        <v>3876</v>
      </c>
      <c r="L10956" s="1">
        <f>VALUE(4781)</f>
        <v>4781</v>
      </c>
      <c r="M10956" s="1">
        <f>VALUE(5600)</f>
        <v>5600</v>
      </c>
      <c r="N10956" t="s">
        <v>16</v>
      </c>
    </row>
    <row r="10957" spans="1:14" x14ac:dyDescent="0.25">
      <c r="A10957" t="s">
        <v>44</v>
      </c>
      <c r="B10957" t="s">
        <v>15</v>
      </c>
      <c r="C10957" t="s">
        <v>36</v>
      </c>
      <c r="D10957" t="s">
        <v>32</v>
      </c>
      <c r="E10957" t="s">
        <v>21</v>
      </c>
      <c r="F10957" t="s">
        <v>15</v>
      </c>
      <c r="G10957" s="1">
        <f>VALUE(3474.96)</f>
        <v>3474.96</v>
      </c>
      <c r="H10957" s="1">
        <f>VALUE(3343.83)</f>
        <v>3343.83</v>
      </c>
      <c r="I10957" s="1">
        <f>VALUE(3130)</f>
        <v>3130</v>
      </c>
      <c r="J10957" s="1">
        <f>VALUE(3810)</f>
        <v>3810</v>
      </c>
      <c r="K10957" s="1">
        <f>VALUE(4672)</f>
        <v>4672</v>
      </c>
      <c r="L10957" s="1">
        <f>VALUE(5570)</f>
        <v>5570</v>
      </c>
      <c r="M10957" s="1">
        <f>VALUE(6620)</f>
        <v>6620</v>
      </c>
      <c r="N10957" t="s">
        <v>16</v>
      </c>
    </row>
    <row r="10958" spans="1:14" x14ac:dyDescent="0.25">
      <c r="A10958" t="s">
        <v>44</v>
      </c>
      <c r="B10958" t="s">
        <v>15</v>
      </c>
      <c r="C10958" t="s">
        <v>36</v>
      </c>
      <c r="D10958" t="s">
        <v>32</v>
      </c>
      <c r="E10958" t="s">
        <v>21</v>
      </c>
      <c r="F10958" t="s">
        <v>17</v>
      </c>
      <c r="G10958" s="2">
        <f>VALUE(272.09)</f>
        <v>272.08999999999997</v>
      </c>
      <c r="H10958" s="3">
        <f>VALUE(261.64)</f>
        <v>261.64</v>
      </c>
      <c r="I10958" s="4">
        <f>VALUE(3770)</f>
        <v>3770</v>
      </c>
      <c r="J10958" s="1">
        <f>VALUE(4332)</f>
        <v>4332</v>
      </c>
      <c r="K10958" s="6">
        <f>VALUE(5718)</f>
        <v>5718</v>
      </c>
      <c r="L10958" s="7">
        <f>VALUE(6839)</f>
        <v>6839</v>
      </c>
      <c r="M10958" s="8">
        <f>VALUE(9580)</f>
        <v>9580</v>
      </c>
      <c r="N10958" t="s">
        <v>25</v>
      </c>
    </row>
    <row r="10959" spans="1:14" x14ac:dyDescent="0.25">
      <c r="A10959" t="s">
        <v>44</v>
      </c>
      <c r="B10959" t="s">
        <v>15</v>
      </c>
      <c r="C10959" t="s">
        <v>36</v>
      </c>
      <c r="D10959" t="s">
        <v>32</v>
      </c>
      <c r="E10959" t="s">
        <v>21</v>
      </c>
      <c r="F10959" t="s">
        <v>18</v>
      </c>
      <c r="G10959" s="2">
        <f>VALUE(308.74)</f>
        <v>308.74</v>
      </c>
      <c r="H10959" s="3">
        <f>VALUE(297.08)</f>
        <v>297.08</v>
      </c>
      <c r="I10959" s="1">
        <f>VALUE(3121)</f>
        <v>3121</v>
      </c>
      <c r="J10959" s="5">
        <f>VALUE(4262)</f>
        <v>4262</v>
      </c>
      <c r="K10959" s="6">
        <f>VALUE(5650)</f>
        <v>5650</v>
      </c>
      <c r="L10959" s="7">
        <f>VALUE(6806)</f>
        <v>6806</v>
      </c>
      <c r="M10959" s="8">
        <f>VALUE(9090)</f>
        <v>9090</v>
      </c>
      <c r="N10959" t="s">
        <v>25</v>
      </c>
    </row>
    <row r="10960" spans="1:14" x14ac:dyDescent="0.25">
      <c r="A10960" t="s">
        <v>44</v>
      </c>
      <c r="B10960" t="s">
        <v>15</v>
      </c>
      <c r="C10960" t="s">
        <v>36</v>
      </c>
      <c r="D10960" t="s">
        <v>32</v>
      </c>
      <c r="E10960" t="s">
        <v>21</v>
      </c>
      <c r="F10960" t="s">
        <v>19</v>
      </c>
      <c r="G10960" s="2">
        <f>VALUE(514.44)</f>
        <v>514.44000000000005</v>
      </c>
      <c r="H10960" s="3">
        <f>VALUE(491.12)</f>
        <v>491.12</v>
      </c>
      <c r="I10960" s="4">
        <f>VALUE(3266)</f>
        <v>3266</v>
      </c>
      <c r="J10960" s="1">
        <f>VALUE(3755)</f>
        <v>3755</v>
      </c>
      <c r="K10960" s="1">
        <f>VALUE(4862)</f>
        <v>4862</v>
      </c>
      <c r="L10960" s="1">
        <f>VALUE(5582)</f>
        <v>5582</v>
      </c>
      <c r="M10960" s="1">
        <f>VALUE(6681)</f>
        <v>6681</v>
      </c>
      <c r="N10960" t="s">
        <v>25</v>
      </c>
    </row>
    <row r="10961" spans="1:14" x14ac:dyDescent="0.25">
      <c r="A10961" t="s">
        <v>44</v>
      </c>
      <c r="B10961" t="s">
        <v>15</v>
      </c>
      <c r="C10961" t="s">
        <v>36</v>
      </c>
      <c r="D10961" t="s">
        <v>32</v>
      </c>
      <c r="E10961" t="s">
        <v>21</v>
      </c>
      <c r="F10961" t="s">
        <v>20</v>
      </c>
      <c r="G10961" s="1">
        <f>VALUE(2379.69)</f>
        <v>2379.69</v>
      </c>
      <c r="H10961" s="3">
        <f>VALUE(2293.99)</f>
        <v>2293.9899999999998</v>
      </c>
      <c r="I10961" s="4">
        <f>VALUE(3100)</f>
        <v>3100</v>
      </c>
      <c r="J10961" s="1">
        <f>VALUE(3770)</f>
        <v>3770</v>
      </c>
      <c r="K10961" s="1">
        <f>VALUE(4519)</f>
        <v>4519</v>
      </c>
      <c r="L10961" s="1">
        <f>VALUE(5252)</f>
        <v>5252</v>
      </c>
      <c r="M10961" s="1">
        <f>VALUE(6057)</f>
        <v>6057</v>
      </c>
      <c r="N10961" t="s">
        <v>25</v>
      </c>
    </row>
    <row r="10962" spans="1:14" x14ac:dyDescent="0.25">
      <c r="A10962" t="s">
        <v>44</v>
      </c>
      <c r="B10962" t="s">
        <v>15</v>
      </c>
      <c r="C10962" t="s">
        <v>36</v>
      </c>
      <c r="D10962" t="s">
        <v>32</v>
      </c>
      <c r="E10962" t="s">
        <v>22</v>
      </c>
      <c r="F10962" t="s">
        <v>15</v>
      </c>
      <c r="G10962" s="2">
        <f>VALUE(3707.74)</f>
        <v>3707.74</v>
      </c>
      <c r="H10962" s="3">
        <f>VALUE(3401.56)</f>
        <v>3401.56</v>
      </c>
      <c r="I10962" s="1">
        <f>VALUE(3145)</f>
        <v>3145</v>
      </c>
      <c r="J10962" s="1">
        <f>VALUE(3568)</f>
        <v>3568</v>
      </c>
      <c r="K10962" s="1">
        <f>VALUE(4277)</f>
        <v>4277</v>
      </c>
      <c r="L10962" s="1">
        <f>VALUE(4906)</f>
        <v>4906</v>
      </c>
      <c r="M10962" s="1">
        <f>VALUE(5748)</f>
        <v>5748</v>
      </c>
      <c r="N10962" t="s">
        <v>25</v>
      </c>
    </row>
    <row r="10963" spans="1:14" x14ac:dyDescent="0.25">
      <c r="A10963" t="s">
        <v>44</v>
      </c>
      <c r="B10963" t="s">
        <v>15</v>
      </c>
      <c r="C10963" t="s">
        <v>36</v>
      </c>
      <c r="D10963" t="s">
        <v>32</v>
      </c>
      <c r="E10963" t="s">
        <v>22</v>
      </c>
      <c r="F10963" t="s">
        <v>17</v>
      </c>
      <c r="G10963" s="1" t="str">
        <f t="shared" ref="G10963:M10964" si="2480">"X"</f>
        <v>X</v>
      </c>
      <c r="H10963" s="1" t="str">
        <f t="shared" si="2480"/>
        <v>X</v>
      </c>
      <c r="I10963" s="1" t="str">
        <f t="shared" si="2480"/>
        <v>X</v>
      </c>
      <c r="J10963" s="1" t="str">
        <f t="shared" si="2480"/>
        <v>X</v>
      </c>
      <c r="K10963" s="1" t="str">
        <f t="shared" si="2480"/>
        <v>X</v>
      </c>
      <c r="L10963" s="1" t="str">
        <f t="shared" si="2480"/>
        <v>X</v>
      </c>
      <c r="M10963" s="1" t="str">
        <f t="shared" si="2480"/>
        <v>X</v>
      </c>
      <c r="N10963" t="s">
        <v>27</v>
      </c>
    </row>
    <row r="10964" spans="1:14" x14ac:dyDescent="0.25">
      <c r="A10964" t="s">
        <v>44</v>
      </c>
      <c r="B10964" t="s">
        <v>15</v>
      </c>
      <c r="C10964" t="s">
        <v>36</v>
      </c>
      <c r="D10964" t="s">
        <v>32</v>
      </c>
      <c r="E10964" t="s">
        <v>22</v>
      </c>
      <c r="F10964" t="s">
        <v>18</v>
      </c>
      <c r="G10964" s="1" t="str">
        <f t="shared" si="2480"/>
        <v>X</v>
      </c>
      <c r="H10964" s="1" t="str">
        <f t="shared" si="2480"/>
        <v>X</v>
      </c>
      <c r="I10964" s="1" t="str">
        <f t="shared" si="2480"/>
        <v>X</v>
      </c>
      <c r="J10964" s="1" t="str">
        <f t="shared" si="2480"/>
        <v>X</v>
      </c>
      <c r="K10964" s="1" t="str">
        <f t="shared" si="2480"/>
        <v>X</v>
      </c>
      <c r="L10964" s="1" t="str">
        <f t="shared" si="2480"/>
        <v>X</v>
      </c>
      <c r="M10964" s="1" t="str">
        <f t="shared" si="2480"/>
        <v>X</v>
      </c>
      <c r="N10964" t="s">
        <v>27</v>
      </c>
    </row>
    <row r="10965" spans="1:14" x14ac:dyDescent="0.25">
      <c r="A10965" t="s">
        <v>44</v>
      </c>
      <c r="B10965" t="s">
        <v>15</v>
      </c>
      <c r="C10965" t="s">
        <v>36</v>
      </c>
      <c r="D10965" t="s">
        <v>32</v>
      </c>
      <c r="E10965" t="s">
        <v>22</v>
      </c>
      <c r="F10965" t="s">
        <v>19</v>
      </c>
      <c r="G10965" s="2">
        <f>VALUE(572.94)</f>
        <v>572.94000000000005</v>
      </c>
      <c r="H10965" s="3">
        <f>VALUE(521.33)</f>
        <v>521.33000000000004</v>
      </c>
      <c r="I10965" s="4">
        <f>VALUE(3081)</f>
        <v>3081</v>
      </c>
      <c r="J10965" s="5">
        <f>VALUE(3956)</f>
        <v>3956</v>
      </c>
      <c r="K10965" s="1">
        <f>VALUE(4668)</f>
        <v>4668</v>
      </c>
      <c r="L10965" s="7">
        <f>VALUE(5593)</f>
        <v>5593</v>
      </c>
      <c r="M10965" s="1">
        <f>VALUE(6299)</f>
        <v>6299</v>
      </c>
      <c r="N10965" t="s">
        <v>25</v>
      </c>
    </row>
    <row r="10966" spans="1:14" x14ac:dyDescent="0.25">
      <c r="A10966" t="s">
        <v>44</v>
      </c>
      <c r="B10966" t="s">
        <v>15</v>
      </c>
      <c r="C10966" t="s">
        <v>36</v>
      </c>
      <c r="D10966" t="s">
        <v>32</v>
      </c>
      <c r="E10966" t="s">
        <v>22</v>
      </c>
      <c r="F10966" t="s">
        <v>20</v>
      </c>
      <c r="G10966" s="2">
        <f>VALUE(2776.35)</f>
        <v>2776.35</v>
      </c>
      <c r="H10966" s="3">
        <f>VALUE(2521.01)</f>
        <v>2521.0100000000002</v>
      </c>
      <c r="I10966" s="1">
        <f>VALUE(3119)</f>
        <v>3119</v>
      </c>
      <c r="J10966" s="1">
        <f>VALUE(3484)</f>
        <v>3484</v>
      </c>
      <c r="K10966" s="1">
        <f>VALUE(4094)</f>
        <v>4094</v>
      </c>
      <c r="L10966" s="1">
        <f>VALUE(4816)</f>
        <v>4816</v>
      </c>
      <c r="M10966" s="1">
        <f>VALUE(5467)</f>
        <v>5467</v>
      </c>
      <c r="N10966" t="s">
        <v>25</v>
      </c>
    </row>
    <row r="10967" spans="1:14" x14ac:dyDescent="0.25">
      <c r="A10967" t="s">
        <v>44</v>
      </c>
      <c r="B10967" t="s">
        <v>15</v>
      </c>
      <c r="C10967" t="s">
        <v>36</v>
      </c>
      <c r="D10967" t="s">
        <v>32</v>
      </c>
      <c r="E10967" t="s">
        <v>23</v>
      </c>
      <c r="F10967" t="s">
        <v>15</v>
      </c>
      <c r="G10967" s="1">
        <f>VALUE(4204.31)</f>
        <v>4204.3100000000004</v>
      </c>
      <c r="H10967" s="1">
        <f>VALUE(3775.81)</f>
        <v>3775.81</v>
      </c>
      <c r="I10967" s="1">
        <f>VALUE(3066)</f>
        <v>3066</v>
      </c>
      <c r="J10967" s="1">
        <f>VALUE(3274)</f>
        <v>3274</v>
      </c>
      <c r="K10967" s="1">
        <f>VALUE(3559)</f>
        <v>3559</v>
      </c>
      <c r="L10967" s="1">
        <f>VALUE(4207)</f>
        <v>4207</v>
      </c>
      <c r="M10967" s="1">
        <f>VALUE(5240)</f>
        <v>5240</v>
      </c>
      <c r="N10967" t="s">
        <v>16</v>
      </c>
    </row>
    <row r="10968" spans="1:14" x14ac:dyDescent="0.25">
      <c r="A10968" t="s">
        <v>44</v>
      </c>
      <c r="B10968" t="s">
        <v>15</v>
      </c>
      <c r="C10968" t="s">
        <v>36</v>
      </c>
      <c r="D10968" t="s">
        <v>32</v>
      </c>
      <c r="E10968" t="s">
        <v>23</v>
      </c>
      <c r="F10968" t="s">
        <v>17</v>
      </c>
      <c r="G10968" s="1" t="str">
        <f t="shared" ref="G10968:M10970" si="2481">"X"</f>
        <v>X</v>
      </c>
      <c r="H10968" s="1" t="str">
        <f t="shared" si="2481"/>
        <v>X</v>
      </c>
      <c r="I10968" s="1" t="str">
        <f t="shared" si="2481"/>
        <v>X</v>
      </c>
      <c r="J10968" s="1" t="str">
        <f t="shared" si="2481"/>
        <v>X</v>
      </c>
      <c r="K10968" s="1" t="str">
        <f t="shared" si="2481"/>
        <v>X</v>
      </c>
      <c r="L10968" s="1" t="str">
        <f t="shared" si="2481"/>
        <v>X</v>
      </c>
      <c r="M10968" s="1" t="str">
        <f t="shared" si="2481"/>
        <v>X</v>
      </c>
      <c r="N10968" t="s">
        <v>27</v>
      </c>
    </row>
    <row r="10969" spans="1:14" x14ac:dyDescent="0.25">
      <c r="A10969" t="s">
        <v>44</v>
      </c>
      <c r="B10969" t="s">
        <v>15</v>
      </c>
      <c r="C10969" t="s">
        <v>36</v>
      </c>
      <c r="D10969" t="s">
        <v>32</v>
      </c>
      <c r="E10969" t="s">
        <v>23</v>
      </c>
      <c r="F10969" t="s">
        <v>18</v>
      </c>
      <c r="G10969" s="1" t="str">
        <f t="shared" si="2481"/>
        <v>X</v>
      </c>
      <c r="H10969" s="1" t="str">
        <f t="shared" si="2481"/>
        <v>X</v>
      </c>
      <c r="I10969" s="1" t="str">
        <f t="shared" si="2481"/>
        <v>X</v>
      </c>
      <c r="J10969" s="1" t="str">
        <f t="shared" si="2481"/>
        <v>X</v>
      </c>
      <c r="K10969" s="1" t="str">
        <f t="shared" si="2481"/>
        <v>X</v>
      </c>
      <c r="L10969" s="1" t="str">
        <f t="shared" si="2481"/>
        <v>X</v>
      </c>
      <c r="M10969" s="1" t="str">
        <f t="shared" si="2481"/>
        <v>X</v>
      </c>
      <c r="N10969" t="s">
        <v>27</v>
      </c>
    </row>
    <row r="10970" spans="1:14" x14ac:dyDescent="0.25">
      <c r="A10970" t="s">
        <v>44</v>
      </c>
      <c r="B10970" t="s">
        <v>15</v>
      </c>
      <c r="C10970" t="s">
        <v>36</v>
      </c>
      <c r="D10970" t="s">
        <v>32</v>
      </c>
      <c r="E10970" t="s">
        <v>23</v>
      </c>
      <c r="F10970" t="s">
        <v>19</v>
      </c>
      <c r="G10970" s="1" t="str">
        <f t="shared" si="2481"/>
        <v>X</v>
      </c>
      <c r="H10970" s="1" t="str">
        <f t="shared" si="2481"/>
        <v>X</v>
      </c>
      <c r="I10970" s="1" t="str">
        <f t="shared" si="2481"/>
        <v>X</v>
      </c>
      <c r="J10970" s="1" t="str">
        <f t="shared" si="2481"/>
        <v>X</v>
      </c>
      <c r="K10970" s="1" t="str">
        <f t="shared" si="2481"/>
        <v>X</v>
      </c>
      <c r="L10970" s="1" t="str">
        <f t="shared" si="2481"/>
        <v>X</v>
      </c>
      <c r="M10970" s="1" t="str">
        <f t="shared" si="2481"/>
        <v>X</v>
      </c>
      <c r="N10970" t="s">
        <v>27</v>
      </c>
    </row>
    <row r="10971" spans="1:14" x14ac:dyDescent="0.25">
      <c r="A10971" t="s">
        <v>44</v>
      </c>
      <c r="B10971" t="s">
        <v>15</v>
      </c>
      <c r="C10971" t="s">
        <v>36</v>
      </c>
      <c r="D10971" t="s">
        <v>32</v>
      </c>
      <c r="E10971" t="s">
        <v>23</v>
      </c>
      <c r="F10971" t="s">
        <v>20</v>
      </c>
      <c r="G10971" s="1">
        <f>VALUE(3897.72)</f>
        <v>3897.72</v>
      </c>
      <c r="H10971" s="1">
        <f>VALUE(3480.61)</f>
        <v>3480.61</v>
      </c>
      <c r="I10971" s="1">
        <f>VALUE(3068)</f>
        <v>3068</v>
      </c>
      <c r="J10971" s="1">
        <f>VALUE(3268)</f>
        <v>3268</v>
      </c>
      <c r="K10971" s="1">
        <f>VALUE(3530)</f>
        <v>3530</v>
      </c>
      <c r="L10971" s="1">
        <f>VALUE(4181)</f>
        <v>4181</v>
      </c>
      <c r="M10971" s="1">
        <f>VALUE(5113)</f>
        <v>5113</v>
      </c>
      <c r="N10971" t="s">
        <v>16</v>
      </c>
    </row>
    <row r="10972" spans="1:14" x14ac:dyDescent="0.25">
      <c r="A10972" t="s">
        <v>44</v>
      </c>
      <c r="B10972" t="s">
        <v>15</v>
      </c>
      <c r="C10972" t="s">
        <v>36</v>
      </c>
      <c r="D10972" t="s">
        <v>32</v>
      </c>
      <c r="E10972" t="s">
        <v>26</v>
      </c>
      <c r="F10972" t="s">
        <v>15</v>
      </c>
      <c r="G10972" s="1" t="str">
        <f t="shared" ref="G10972:M10974" si="2482">"X"</f>
        <v>X</v>
      </c>
      <c r="H10972" s="1" t="str">
        <f t="shared" si="2482"/>
        <v>X</v>
      </c>
      <c r="I10972" s="1" t="str">
        <f t="shared" si="2482"/>
        <v>X</v>
      </c>
      <c r="J10972" s="1" t="str">
        <f t="shared" si="2482"/>
        <v>X</v>
      </c>
      <c r="K10972" s="1" t="str">
        <f t="shared" si="2482"/>
        <v>X</v>
      </c>
      <c r="L10972" s="1" t="str">
        <f t="shared" si="2482"/>
        <v>X</v>
      </c>
      <c r="M10972" s="1" t="str">
        <f t="shared" si="2482"/>
        <v>X</v>
      </c>
      <c r="N10972" t="s">
        <v>27</v>
      </c>
    </row>
    <row r="10973" spans="1:14" x14ac:dyDescent="0.25">
      <c r="A10973" t="s">
        <v>44</v>
      </c>
      <c r="B10973" t="s">
        <v>15</v>
      </c>
      <c r="C10973" t="s">
        <v>36</v>
      </c>
      <c r="D10973" t="s">
        <v>32</v>
      </c>
      <c r="E10973" t="s">
        <v>26</v>
      </c>
      <c r="F10973" t="s">
        <v>17</v>
      </c>
      <c r="G10973" s="1" t="str">
        <f t="shared" si="2482"/>
        <v>X</v>
      </c>
      <c r="H10973" s="1" t="str">
        <f t="shared" si="2482"/>
        <v>X</v>
      </c>
      <c r="I10973" s="1" t="str">
        <f t="shared" si="2482"/>
        <v>X</v>
      </c>
      <c r="J10973" s="1" t="str">
        <f t="shared" si="2482"/>
        <v>X</v>
      </c>
      <c r="K10973" s="1" t="str">
        <f t="shared" si="2482"/>
        <v>X</v>
      </c>
      <c r="L10973" s="1" t="str">
        <f t="shared" si="2482"/>
        <v>X</v>
      </c>
      <c r="M10973" s="1" t="str">
        <f t="shared" si="2482"/>
        <v>X</v>
      </c>
      <c r="N10973" t="s">
        <v>27</v>
      </c>
    </row>
    <row r="10974" spans="1:14" x14ac:dyDescent="0.25">
      <c r="A10974" t="s">
        <v>44</v>
      </c>
      <c r="B10974" t="s">
        <v>15</v>
      </c>
      <c r="C10974" t="s">
        <v>36</v>
      </c>
      <c r="D10974" t="s">
        <v>32</v>
      </c>
      <c r="E10974" t="s">
        <v>26</v>
      </c>
      <c r="F10974" t="s">
        <v>18</v>
      </c>
      <c r="G10974" s="1" t="str">
        <f t="shared" si="2482"/>
        <v>X</v>
      </c>
      <c r="H10974" s="1" t="str">
        <f t="shared" si="2482"/>
        <v>X</v>
      </c>
      <c r="I10974" s="1" t="str">
        <f t="shared" si="2482"/>
        <v>X</v>
      </c>
      <c r="J10974" s="1" t="str">
        <f t="shared" si="2482"/>
        <v>X</v>
      </c>
      <c r="K10974" s="1" t="str">
        <f t="shared" si="2482"/>
        <v>X</v>
      </c>
      <c r="L10974" s="1" t="str">
        <f t="shared" si="2482"/>
        <v>X</v>
      </c>
      <c r="M10974" s="1" t="str">
        <f t="shared" si="2482"/>
        <v>X</v>
      </c>
      <c r="N10974" t="s">
        <v>27</v>
      </c>
    </row>
    <row r="10975" spans="1:14" x14ac:dyDescent="0.25">
      <c r="A10975" t="s">
        <v>44</v>
      </c>
      <c r="B10975" t="s">
        <v>15</v>
      </c>
      <c r="C10975" t="s">
        <v>36</v>
      </c>
      <c r="D10975" t="s">
        <v>32</v>
      </c>
      <c r="E10975" t="s">
        <v>26</v>
      </c>
      <c r="F10975" t="s">
        <v>19</v>
      </c>
      <c r="G10975" s="1" t="str">
        <f t="shared" ref="G10975:M10975" si="2483">"..."</f>
        <v>...</v>
      </c>
      <c r="H10975" s="1" t="str">
        <f t="shared" si="2483"/>
        <v>...</v>
      </c>
      <c r="I10975" s="1" t="str">
        <f t="shared" si="2483"/>
        <v>...</v>
      </c>
      <c r="J10975" s="1" t="str">
        <f t="shared" si="2483"/>
        <v>...</v>
      </c>
      <c r="K10975" s="1" t="str">
        <f t="shared" si="2483"/>
        <v>...</v>
      </c>
      <c r="L10975" s="1" t="str">
        <f t="shared" si="2483"/>
        <v>...</v>
      </c>
      <c r="M10975" s="1" t="str">
        <f t="shared" si="2483"/>
        <v>...</v>
      </c>
      <c r="N10975" t="s">
        <v>30</v>
      </c>
    </row>
    <row r="10976" spans="1:14" x14ac:dyDescent="0.25">
      <c r="A10976" t="s">
        <v>44</v>
      </c>
      <c r="B10976" t="s">
        <v>15</v>
      </c>
      <c r="C10976" t="s">
        <v>36</v>
      </c>
      <c r="D10976" t="s">
        <v>32</v>
      </c>
      <c r="E10976" t="s">
        <v>26</v>
      </c>
      <c r="F10976" t="s">
        <v>20</v>
      </c>
      <c r="G10976" s="1" t="str">
        <f t="shared" ref="G10976:M10976" si="2484">"X"</f>
        <v>X</v>
      </c>
      <c r="H10976" s="1" t="str">
        <f t="shared" si="2484"/>
        <v>X</v>
      </c>
      <c r="I10976" s="1" t="str">
        <f t="shared" si="2484"/>
        <v>X</v>
      </c>
      <c r="J10976" s="1" t="str">
        <f t="shared" si="2484"/>
        <v>X</v>
      </c>
      <c r="K10976" s="1" t="str">
        <f t="shared" si="2484"/>
        <v>X</v>
      </c>
      <c r="L10976" s="1" t="str">
        <f t="shared" si="2484"/>
        <v>X</v>
      </c>
      <c r="M10976" s="1" t="str">
        <f t="shared" si="2484"/>
        <v>X</v>
      </c>
      <c r="N10976" t="s">
        <v>27</v>
      </c>
    </row>
    <row r="10977" spans="1:14" x14ac:dyDescent="0.25">
      <c r="A10977" t="s">
        <v>44</v>
      </c>
      <c r="B10977" t="s">
        <v>15</v>
      </c>
      <c r="C10977" t="s">
        <v>36</v>
      </c>
      <c r="D10977" t="s">
        <v>33</v>
      </c>
      <c r="E10977" t="s">
        <v>15</v>
      </c>
      <c r="F10977" t="s">
        <v>15</v>
      </c>
      <c r="G10977" s="2">
        <f>VALUE(173.26)</f>
        <v>173.26</v>
      </c>
      <c r="H10977" s="3">
        <f>VALUE(158.89)</f>
        <v>158.88999999999999</v>
      </c>
      <c r="I10977" s="1">
        <f>VALUE(3218)</f>
        <v>3218</v>
      </c>
      <c r="J10977" s="5">
        <f>VALUE(3812)</f>
        <v>3812</v>
      </c>
      <c r="K10977" s="1">
        <f>VALUE(4391)</f>
        <v>4391</v>
      </c>
      <c r="L10977" s="1">
        <f>VALUE(5025)</f>
        <v>5025</v>
      </c>
      <c r="M10977" s="8">
        <f>VALUE(6260)</f>
        <v>6260</v>
      </c>
      <c r="N10977" t="s">
        <v>25</v>
      </c>
    </row>
    <row r="10978" spans="1:14" x14ac:dyDescent="0.25">
      <c r="A10978" t="s">
        <v>44</v>
      </c>
      <c r="B10978" t="s">
        <v>15</v>
      </c>
      <c r="C10978" t="s">
        <v>36</v>
      </c>
      <c r="D10978" t="s">
        <v>33</v>
      </c>
      <c r="E10978" t="s">
        <v>15</v>
      </c>
      <c r="F10978" t="s">
        <v>17</v>
      </c>
      <c r="G10978" s="1" t="str">
        <f t="shared" ref="G10978:M10980" si="2485">"X"</f>
        <v>X</v>
      </c>
      <c r="H10978" s="1" t="str">
        <f t="shared" si="2485"/>
        <v>X</v>
      </c>
      <c r="I10978" s="1" t="str">
        <f t="shared" si="2485"/>
        <v>X</v>
      </c>
      <c r="J10978" s="1" t="str">
        <f t="shared" si="2485"/>
        <v>X</v>
      </c>
      <c r="K10978" s="1" t="str">
        <f t="shared" si="2485"/>
        <v>X</v>
      </c>
      <c r="L10978" s="1" t="str">
        <f t="shared" si="2485"/>
        <v>X</v>
      </c>
      <c r="M10978" s="1" t="str">
        <f t="shared" si="2485"/>
        <v>X</v>
      </c>
      <c r="N10978" t="s">
        <v>27</v>
      </c>
    </row>
    <row r="10979" spans="1:14" x14ac:dyDescent="0.25">
      <c r="A10979" t="s">
        <v>44</v>
      </c>
      <c r="B10979" t="s">
        <v>15</v>
      </c>
      <c r="C10979" t="s">
        <v>36</v>
      </c>
      <c r="D10979" t="s">
        <v>33</v>
      </c>
      <c r="E10979" t="s">
        <v>15</v>
      </c>
      <c r="F10979" t="s">
        <v>18</v>
      </c>
      <c r="G10979" s="1" t="str">
        <f t="shared" si="2485"/>
        <v>X</v>
      </c>
      <c r="H10979" s="1" t="str">
        <f t="shared" si="2485"/>
        <v>X</v>
      </c>
      <c r="I10979" s="1" t="str">
        <f t="shared" si="2485"/>
        <v>X</v>
      </c>
      <c r="J10979" s="1" t="str">
        <f t="shared" si="2485"/>
        <v>X</v>
      </c>
      <c r="K10979" s="1" t="str">
        <f t="shared" si="2485"/>
        <v>X</v>
      </c>
      <c r="L10979" s="1" t="str">
        <f t="shared" si="2485"/>
        <v>X</v>
      </c>
      <c r="M10979" s="1" t="str">
        <f t="shared" si="2485"/>
        <v>X</v>
      </c>
      <c r="N10979" t="s">
        <v>27</v>
      </c>
    </row>
    <row r="10980" spans="1:14" x14ac:dyDescent="0.25">
      <c r="A10980" t="s">
        <v>44</v>
      </c>
      <c r="B10980" t="s">
        <v>15</v>
      </c>
      <c r="C10980" t="s">
        <v>36</v>
      </c>
      <c r="D10980" t="s">
        <v>33</v>
      </c>
      <c r="E10980" t="s">
        <v>15</v>
      </c>
      <c r="F10980" t="s">
        <v>19</v>
      </c>
      <c r="G10980" s="1" t="str">
        <f t="shared" si="2485"/>
        <v>X</v>
      </c>
      <c r="H10980" s="1" t="str">
        <f t="shared" si="2485"/>
        <v>X</v>
      </c>
      <c r="I10980" s="1" t="str">
        <f t="shared" si="2485"/>
        <v>X</v>
      </c>
      <c r="J10980" s="1" t="str">
        <f t="shared" si="2485"/>
        <v>X</v>
      </c>
      <c r="K10980" s="1" t="str">
        <f t="shared" si="2485"/>
        <v>X</v>
      </c>
      <c r="L10980" s="1" t="str">
        <f t="shared" si="2485"/>
        <v>X</v>
      </c>
      <c r="M10980" s="1" t="str">
        <f t="shared" si="2485"/>
        <v>X</v>
      </c>
      <c r="N10980" t="s">
        <v>27</v>
      </c>
    </row>
    <row r="10981" spans="1:14" x14ac:dyDescent="0.25">
      <c r="A10981" t="s">
        <v>44</v>
      </c>
      <c r="B10981" t="s">
        <v>15</v>
      </c>
      <c r="C10981" t="s">
        <v>36</v>
      </c>
      <c r="D10981" t="s">
        <v>33</v>
      </c>
      <c r="E10981" t="s">
        <v>15</v>
      </c>
      <c r="F10981" t="s">
        <v>20</v>
      </c>
      <c r="G10981" s="2">
        <f>VALUE(114.93)</f>
        <v>114.93</v>
      </c>
      <c r="H10981" s="3">
        <f>VALUE(104.98)</f>
        <v>104.98</v>
      </c>
      <c r="I10981" s="4">
        <f>VALUE(3000)</f>
        <v>3000</v>
      </c>
      <c r="J10981" s="1">
        <f>VALUE(3409)</f>
        <v>3409</v>
      </c>
      <c r="K10981" s="1">
        <f>VALUE(4366)</f>
        <v>4366</v>
      </c>
      <c r="L10981" s="1">
        <f>VALUE(5060)</f>
        <v>5060</v>
      </c>
      <c r="M10981" s="1">
        <f>VALUE(5962)</f>
        <v>5962</v>
      </c>
      <c r="N10981" t="s">
        <v>25</v>
      </c>
    </row>
    <row r="10982" spans="1:14" x14ac:dyDescent="0.25">
      <c r="A10982" t="s">
        <v>44</v>
      </c>
      <c r="B10982" t="s">
        <v>15</v>
      </c>
      <c r="C10982" t="s">
        <v>36</v>
      </c>
      <c r="D10982" t="s">
        <v>33</v>
      </c>
      <c r="E10982" t="s">
        <v>21</v>
      </c>
      <c r="F10982" t="s">
        <v>15</v>
      </c>
      <c r="G10982" s="1" t="str">
        <f t="shared" ref="G10982:M10993" si="2486">"X"</f>
        <v>X</v>
      </c>
      <c r="H10982" s="1" t="str">
        <f t="shared" si="2486"/>
        <v>X</v>
      </c>
      <c r="I10982" s="1" t="str">
        <f t="shared" si="2486"/>
        <v>X</v>
      </c>
      <c r="J10982" s="1" t="str">
        <f t="shared" si="2486"/>
        <v>X</v>
      </c>
      <c r="K10982" s="1" t="str">
        <f t="shared" si="2486"/>
        <v>X</v>
      </c>
      <c r="L10982" s="1" t="str">
        <f t="shared" si="2486"/>
        <v>X</v>
      </c>
      <c r="M10982" s="1" t="str">
        <f t="shared" si="2486"/>
        <v>X</v>
      </c>
      <c r="N10982" t="s">
        <v>27</v>
      </c>
    </row>
    <row r="10983" spans="1:14" x14ac:dyDescent="0.25">
      <c r="A10983" t="s">
        <v>44</v>
      </c>
      <c r="B10983" t="s">
        <v>15</v>
      </c>
      <c r="C10983" t="s">
        <v>36</v>
      </c>
      <c r="D10983" t="s">
        <v>33</v>
      </c>
      <c r="E10983" t="s">
        <v>21</v>
      </c>
      <c r="F10983" t="s">
        <v>17</v>
      </c>
      <c r="G10983" s="1" t="str">
        <f t="shared" si="2486"/>
        <v>X</v>
      </c>
      <c r="H10983" s="1" t="str">
        <f t="shared" si="2486"/>
        <v>X</v>
      </c>
      <c r="I10983" s="1" t="str">
        <f t="shared" si="2486"/>
        <v>X</v>
      </c>
      <c r="J10983" s="1" t="str">
        <f t="shared" si="2486"/>
        <v>X</v>
      </c>
      <c r="K10983" s="1" t="str">
        <f t="shared" si="2486"/>
        <v>X</v>
      </c>
      <c r="L10983" s="1" t="str">
        <f t="shared" si="2486"/>
        <v>X</v>
      </c>
      <c r="M10983" s="1" t="str">
        <f t="shared" si="2486"/>
        <v>X</v>
      </c>
      <c r="N10983" t="s">
        <v>27</v>
      </c>
    </row>
    <row r="10984" spans="1:14" x14ac:dyDescent="0.25">
      <c r="A10984" t="s">
        <v>44</v>
      </c>
      <c r="B10984" t="s">
        <v>15</v>
      </c>
      <c r="C10984" t="s">
        <v>36</v>
      </c>
      <c r="D10984" t="s">
        <v>33</v>
      </c>
      <c r="E10984" t="s">
        <v>21</v>
      </c>
      <c r="F10984" t="s">
        <v>18</v>
      </c>
      <c r="G10984" s="1" t="str">
        <f t="shared" si="2486"/>
        <v>X</v>
      </c>
      <c r="H10984" s="1" t="str">
        <f t="shared" si="2486"/>
        <v>X</v>
      </c>
      <c r="I10984" s="1" t="str">
        <f t="shared" si="2486"/>
        <v>X</v>
      </c>
      <c r="J10984" s="1" t="str">
        <f t="shared" si="2486"/>
        <v>X</v>
      </c>
      <c r="K10984" s="1" t="str">
        <f t="shared" si="2486"/>
        <v>X</v>
      </c>
      <c r="L10984" s="1" t="str">
        <f t="shared" si="2486"/>
        <v>X</v>
      </c>
      <c r="M10984" s="1" t="str">
        <f t="shared" si="2486"/>
        <v>X</v>
      </c>
      <c r="N10984" t="s">
        <v>27</v>
      </c>
    </row>
    <row r="10985" spans="1:14" x14ac:dyDescent="0.25">
      <c r="A10985" t="s">
        <v>44</v>
      </c>
      <c r="B10985" t="s">
        <v>15</v>
      </c>
      <c r="C10985" t="s">
        <v>36</v>
      </c>
      <c r="D10985" t="s">
        <v>33</v>
      </c>
      <c r="E10985" t="s">
        <v>21</v>
      </c>
      <c r="F10985" t="s">
        <v>19</v>
      </c>
      <c r="G10985" s="1" t="str">
        <f t="shared" si="2486"/>
        <v>X</v>
      </c>
      <c r="H10985" s="1" t="str">
        <f t="shared" si="2486"/>
        <v>X</v>
      </c>
      <c r="I10985" s="1" t="str">
        <f t="shared" si="2486"/>
        <v>X</v>
      </c>
      <c r="J10985" s="1" t="str">
        <f t="shared" si="2486"/>
        <v>X</v>
      </c>
      <c r="K10985" s="1" t="str">
        <f t="shared" si="2486"/>
        <v>X</v>
      </c>
      <c r="L10985" s="1" t="str">
        <f t="shared" si="2486"/>
        <v>X</v>
      </c>
      <c r="M10985" s="1" t="str">
        <f t="shared" si="2486"/>
        <v>X</v>
      </c>
      <c r="N10985" t="s">
        <v>27</v>
      </c>
    </row>
    <row r="10986" spans="1:14" x14ac:dyDescent="0.25">
      <c r="A10986" t="s">
        <v>44</v>
      </c>
      <c r="B10986" t="s">
        <v>15</v>
      </c>
      <c r="C10986" t="s">
        <v>36</v>
      </c>
      <c r="D10986" t="s">
        <v>33</v>
      </c>
      <c r="E10986" t="s">
        <v>21</v>
      </c>
      <c r="F10986" t="s">
        <v>20</v>
      </c>
      <c r="G10986" s="1" t="str">
        <f t="shared" si="2486"/>
        <v>X</v>
      </c>
      <c r="H10986" s="1" t="str">
        <f t="shared" si="2486"/>
        <v>X</v>
      </c>
      <c r="I10986" s="1" t="str">
        <f t="shared" si="2486"/>
        <v>X</v>
      </c>
      <c r="J10986" s="1" t="str">
        <f t="shared" si="2486"/>
        <v>X</v>
      </c>
      <c r="K10986" s="1" t="str">
        <f t="shared" si="2486"/>
        <v>X</v>
      </c>
      <c r="L10986" s="1" t="str">
        <f t="shared" si="2486"/>
        <v>X</v>
      </c>
      <c r="M10986" s="1" t="str">
        <f t="shared" si="2486"/>
        <v>X</v>
      </c>
      <c r="N10986" t="s">
        <v>27</v>
      </c>
    </row>
    <row r="10987" spans="1:14" x14ac:dyDescent="0.25">
      <c r="A10987" t="s">
        <v>44</v>
      </c>
      <c r="B10987" t="s">
        <v>15</v>
      </c>
      <c r="C10987" t="s">
        <v>36</v>
      </c>
      <c r="D10987" t="s">
        <v>33</v>
      </c>
      <c r="E10987" t="s">
        <v>22</v>
      </c>
      <c r="F10987" t="s">
        <v>15</v>
      </c>
      <c r="G10987" s="1" t="str">
        <f t="shared" si="2486"/>
        <v>X</v>
      </c>
      <c r="H10987" s="1" t="str">
        <f t="shared" si="2486"/>
        <v>X</v>
      </c>
      <c r="I10987" s="1" t="str">
        <f t="shared" si="2486"/>
        <v>X</v>
      </c>
      <c r="J10987" s="1" t="str">
        <f t="shared" si="2486"/>
        <v>X</v>
      </c>
      <c r="K10987" s="1" t="str">
        <f t="shared" si="2486"/>
        <v>X</v>
      </c>
      <c r="L10987" s="1" t="str">
        <f t="shared" si="2486"/>
        <v>X</v>
      </c>
      <c r="M10987" s="1" t="str">
        <f t="shared" si="2486"/>
        <v>X</v>
      </c>
      <c r="N10987" t="s">
        <v>27</v>
      </c>
    </row>
    <row r="10988" spans="1:14" x14ac:dyDescent="0.25">
      <c r="A10988" t="s">
        <v>44</v>
      </c>
      <c r="B10988" t="s">
        <v>15</v>
      </c>
      <c r="C10988" t="s">
        <v>36</v>
      </c>
      <c r="D10988" t="s">
        <v>33</v>
      </c>
      <c r="E10988" t="s">
        <v>22</v>
      </c>
      <c r="F10988" t="s">
        <v>17</v>
      </c>
      <c r="G10988" s="1" t="str">
        <f t="shared" si="2486"/>
        <v>X</v>
      </c>
      <c r="H10988" s="1" t="str">
        <f t="shared" si="2486"/>
        <v>X</v>
      </c>
      <c r="I10988" s="1" t="str">
        <f t="shared" si="2486"/>
        <v>X</v>
      </c>
      <c r="J10988" s="1" t="str">
        <f t="shared" si="2486"/>
        <v>X</v>
      </c>
      <c r="K10988" s="1" t="str">
        <f t="shared" si="2486"/>
        <v>X</v>
      </c>
      <c r="L10988" s="1" t="str">
        <f t="shared" si="2486"/>
        <v>X</v>
      </c>
      <c r="M10988" s="1" t="str">
        <f t="shared" si="2486"/>
        <v>X</v>
      </c>
      <c r="N10988" t="s">
        <v>27</v>
      </c>
    </row>
    <row r="10989" spans="1:14" x14ac:dyDescent="0.25">
      <c r="A10989" t="s">
        <v>44</v>
      </c>
      <c r="B10989" t="s">
        <v>15</v>
      </c>
      <c r="C10989" t="s">
        <v>36</v>
      </c>
      <c r="D10989" t="s">
        <v>33</v>
      </c>
      <c r="E10989" t="s">
        <v>22</v>
      </c>
      <c r="F10989" t="s">
        <v>18</v>
      </c>
      <c r="G10989" s="1" t="str">
        <f t="shared" si="2486"/>
        <v>X</v>
      </c>
      <c r="H10989" s="1" t="str">
        <f t="shared" si="2486"/>
        <v>X</v>
      </c>
      <c r="I10989" s="1" t="str">
        <f t="shared" si="2486"/>
        <v>X</v>
      </c>
      <c r="J10989" s="1" t="str">
        <f t="shared" si="2486"/>
        <v>X</v>
      </c>
      <c r="K10989" s="1" t="str">
        <f t="shared" si="2486"/>
        <v>X</v>
      </c>
      <c r="L10989" s="1" t="str">
        <f t="shared" si="2486"/>
        <v>X</v>
      </c>
      <c r="M10989" s="1" t="str">
        <f t="shared" si="2486"/>
        <v>X</v>
      </c>
      <c r="N10989" t="s">
        <v>27</v>
      </c>
    </row>
    <row r="10990" spans="1:14" x14ac:dyDescent="0.25">
      <c r="A10990" t="s">
        <v>44</v>
      </c>
      <c r="B10990" t="s">
        <v>15</v>
      </c>
      <c r="C10990" t="s">
        <v>36</v>
      </c>
      <c r="D10990" t="s">
        <v>33</v>
      </c>
      <c r="E10990" t="s">
        <v>22</v>
      </c>
      <c r="F10990" t="s">
        <v>19</v>
      </c>
      <c r="G10990" s="1" t="str">
        <f t="shared" si="2486"/>
        <v>X</v>
      </c>
      <c r="H10990" s="1" t="str">
        <f t="shared" si="2486"/>
        <v>X</v>
      </c>
      <c r="I10990" s="1" t="str">
        <f t="shared" si="2486"/>
        <v>X</v>
      </c>
      <c r="J10990" s="1" t="str">
        <f t="shared" si="2486"/>
        <v>X</v>
      </c>
      <c r="K10990" s="1" t="str">
        <f t="shared" si="2486"/>
        <v>X</v>
      </c>
      <c r="L10990" s="1" t="str">
        <f t="shared" si="2486"/>
        <v>X</v>
      </c>
      <c r="M10990" s="1" t="str">
        <f t="shared" si="2486"/>
        <v>X</v>
      </c>
      <c r="N10990" t="s">
        <v>27</v>
      </c>
    </row>
    <row r="10991" spans="1:14" x14ac:dyDescent="0.25">
      <c r="A10991" t="s">
        <v>44</v>
      </c>
      <c r="B10991" t="s">
        <v>15</v>
      </c>
      <c r="C10991" t="s">
        <v>36</v>
      </c>
      <c r="D10991" t="s">
        <v>33</v>
      </c>
      <c r="E10991" t="s">
        <v>22</v>
      </c>
      <c r="F10991" t="s">
        <v>20</v>
      </c>
      <c r="G10991" s="1" t="str">
        <f t="shared" si="2486"/>
        <v>X</v>
      </c>
      <c r="H10991" s="1" t="str">
        <f t="shared" si="2486"/>
        <v>X</v>
      </c>
      <c r="I10991" s="1" t="str">
        <f t="shared" si="2486"/>
        <v>X</v>
      </c>
      <c r="J10991" s="1" t="str">
        <f t="shared" si="2486"/>
        <v>X</v>
      </c>
      <c r="K10991" s="1" t="str">
        <f t="shared" si="2486"/>
        <v>X</v>
      </c>
      <c r="L10991" s="1" t="str">
        <f t="shared" si="2486"/>
        <v>X</v>
      </c>
      <c r="M10991" s="1" t="str">
        <f t="shared" si="2486"/>
        <v>X</v>
      </c>
      <c r="N10991" t="s">
        <v>27</v>
      </c>
    </row>
    <row r="10992" spans="1:14" x14ac:dyDescent="0.25">
      <c r="A10992" t="s">
        <v>44</v>
      </c>
      <c r="B10992" t="s">
        <v>15</v>
      </c>
      <c r="C10992" t="s">
        <v>36</v>
      </c>
      <c r="D10992" t="s">
        <v>33</v>
      </c>
      <c r="E10992" t="s">
        <v>23</v>
      </c>
      <c r="F10992" t="s">
        <v>15</v>
      </c>
      <c r="G10992" s="1" t="str">
        <f t="shared" si="2486"/>
        <v>X</v>
      </c>
      <c r="H10992" s="1" t="str">
        <f t="shared" si="2486"/>
        <v>X</v>
      </c>
      <c r="I10992" s="1" t="str">
        <f t="shared" si="2486"/>
        <v>X</v>
      </c>
      <c r="J10992" s="1" t="str">
        <f t="shared" si="2486"/>
        <v>X</v>
      </c>
      <c r="K10992" s="1" t="str">
        <f t="shared" si="2486"/>
        <v>X</v>
      </c>
      <c r="L10992" s="1" t="str">
        <f t="shared" si="2486"/>
        <v>X</v>
      </c>
      <c r="M10992" s="1" t="str">
        <f t="shared" si="2486"/>
        <v>X</v>
      </c>
      <c r="N10992" t="s">
        <v>27</v>
      </c>
    </row>
    <row r="10993" spans="1:14" x14ac:dyDescent="0.25">
      <c r="A10993" t="s">
        <v>44</v>
      </c>
      <c r="B10993" t="s">
        <v>15</v>
      </c>
      <c r="C10993" t="s">
        <v>36</v>
      </c>
      <c r="D10993" t="s">
        <v>33</v>
      </c>
      <c r="E10993" t="s">
        <v>23</v>
      </c>
      <c r="F10993" t="s">
        <v>17</v>
      </c>
      <c r="G10993" s="1" t="str">
        <f t="shared" si="2486"/>
        <v>X</v>
      </c>
      <c r="H10993" s="1" t="str">
        <f t="shared" si="2486"/>
        <v>X</v>
      </c>
      <c r="I10993" s="1" t="str">
        <f t="shared" si="2486"/>
        <v>X</v>
      </c>
      <c r="J10993" s="1" t="str">
        <f t="shared" si="2486"/>
        <v>X</v>
      </c>
      <c r="K10993" s="1" t="str">
        <f t="shared" si="2486"/>
        <v>X</v>
      </c>
      <c r="L10993" s="1" t="str">
        <f t="shared" si="2486"/>
        <v>X</v>
      </c>
      <c r="M10993" s="1" t="str">
        <f t="shared" si="2486"/>
        <v>X</v>
      </c>
      <c r="N10993" t="s">
        <v>27</v>
      </c>
    </row>
    <row r="10994" spans="1:14" x14ac:dyDescent="0.25">
      <c r="A10994" t="s">
        <v>44</v>
      </c>
      <c r="B10994" t="s">
        <v>15</v>
      </c>
      <c r="C10994" t="s">
        <v>36</v>
      </c>
      <c r="D10994" t="s">
        <v>33</v>
      </c>
      <c r="E10994" t="s">
        <v>23</v>
      </c>
      <c r="F10994" t="s">
        <v>18</v>
      </c>
      <c r="G10994" s="1" t="str">
        <f t="shared" ref="G10994:M10995" si="2487">"..."</f>
        <v>...</v>
      </c>
      <c r="H10994" s="1" t="str">
        <f t="shared" si="2487"/>
        <v>...</v>
      </c>
      <c r="I10994" s="1" t="str">
        <f t="shared" si="2487"/>
        <v>...</v>
      </c>
      <c r="J10994" s="1" t="str">
        <f t="shared" si="2487"/>
        <v>...</v>
      </c>
      <c r="K10994" s="1" t="str">
        <f t="shared" si="2487"/>
        <v>...</v>
      </c>
      <c r="L10994" s="1" t="str">
        <f t="shared" si="2487"/>
        <v>...</v>
      </c>
      <c r="M10994" s="1" t="str">
        <f t="shared" si="2487"/>
        <v>...</v>
      </c>
      <c r="N10994" t="s">
        <v>30</v>
      </c>
    </row>
    <row r="10995" spans="1:14" x14ac:dyDescent="0.25">
      <c r="A10995" t="s">
        <v>44</v>
      </c>
      <c r="B10995" t="s">
        <v>15</v>
      </c>
      <c r="C10995" t="s">
        <v>36</v>
      </c>
      <c r="D10995" t="s">
        <v>33</v>
      </c>
      <c r="E10995" t="s">
        <v>23</v>
      </c>
      <c r="F10995" t="s">
        <v>19</v>
      </c>
      <c r="G10995" s="1" t="str">
        <f t="shared" si="2487"/>
        <v>...</v>
      </c>
      <c r="H10995" s="1" t="str">
        <f t="shared" si="2487"/>
        <v>...</v>
      </c>
      <c r="I10995" s="1" t="str">
        <f t="shared" si="2487"/>
        <v>...</v>
      </c>
      <c r="J10995" s="1" t="str">
        <f t="shared" si="2487"/>
        <v>...</v>
      </c>
      <c r="K10995" s="1" t="str">
        <f t="shared" si="2487"/>
        <v>...</v>
      </c>
      <c r="L10995" s="1" t="str">
        <f t="shared" si="2487"/>
        <v>...</v>
      </c>
      <c r="M10995" s="1" t="str">
        <f t="shared" si="2487"/>
        <v>...</v>
      </c>
      <c r="N10995" t="s">
        <v>30</v>
      </c>
    </row>
    <row r="10996" spans="1:14" x14ac:dyDescent="0.25">
      <c r="A10996" t="s">
        <v>44</v>
      </c>
      <c r="B10996" t="s">
        <v>15</v>
      </c>
      <c r="C10996" t="s">
        <v>36</v>
      </c>
      <c r="D10996" t="s">
        <v>33</v>
      </c>
      <c r="E10996" t="s">
        <v>23</v>
      </c>
      <c r="F10996" t="s">
        <v>20</v>
      </c>
      <c r="G10996" s="1" t="str">
        <f t="shared" ref="G10996:M10996" si="2488">"X"</f>
        <v>X</v>
      </c>
      <c r="H10996" s="1" t="str">
        <f t="shared" si="2488"/>
        <v>X</v>
      </c>
      <c r="I10996" s="1" t="str">
        <f t="shared" si="2488"/>
        <v>X</v>
      </c>
      <c r="J10996" s="1" t="str">
        <f t="shared" si="2488"/>
        <v>X</v>
      </c>
      <c r="K10996" s="1" t="str">
        <f t="shared" si="2488"/>
        <v>X</v>
      </c>
      <c r="L10996" s="1" t="str">
        <f t="shared" si="2488"/>
        <v>X</v>
      </c>
      <c r="M10996" s="1" t="str">
        <f t="shared" si="2488"/>
        <v>X</v>
      </c>
      <c r="N10996" t="s">
        <v>27</v>
      </c>
    </row>
    <row r="10997" spans="1:14" x14ac:dyDescent="0.25">
      <c r="A10997" t="s">
        <v>44</v>
      </c>
      <c r="B10997" t="s">
        <v>15</v>
      </c>
      <c r="C10997" t="s">
        <v>36</v>
      </c>
      <c r="D10997" t="s">
        <v>33</v>
      </c>
      <c r="E10997" t="s">
        <v>26</v>
      </c>
      <c r="F10997" t="s">
        <v>15</v>
      </c>
      <c r="G10997" s="1" t="str">
        <f t="shared" ref="G10997:M11001" si="2489">"..."</f>
        <v>...</v>
      </c>
      <c r="H10997" s="1" t="str">
        <f t="shared" si="2489"/>
        <v>...</v>
      </c>
      <c r="I10997" s="1" t="str">
        <f t="shared" si="2489"/>
        <v>...</v>
      </c>
      <c r="J10997" s="1" t="str">
        <f t="shared" si="2489"/>
        <v>...</v>
      </c>
      <c r="K10997" s="1" t="str">
        <f t="shared" si="2489"/>
        <v>...</v>
      </c>
      <c r="L10997" s="1" t="str">
        <f t="shared" si="2489"/>
        <v>...</v>
      </c>
      <c r="M10997" s="1" t="str">
        <f t="shared" si="2489"/>
        <v>...</v>
      </c>
      <c r="N10997" t="s">
        <v>30</v>
      </c>
    </row>
    <row r="10998" spans="1:14" x14ac:dyDescent="0.25">
      <c r="A10998" t="s">
        <v>44</v>
      </c>
      <c r="B10998" t="s">
        <v>15</v>
      </c>
      <c r="C10998" t="s">
        <v>36</v>
      </c>
      <c r="D10998" t="s">
        <v>33</v>
      </c>
      <c r="E10998" t="s">
        <v>26</v>
      </c>
      <c r="F10998" t="s">
        <v>17</v>
      </c>
      <c r="G10998" s="1" t="str">
        <f t="shared" si="2489"/>
        <v>...</v>
      </c>
      <c r="H10998" s="1" t="str">
        <f t="shared" si="2489"/>
        <v>...</v>
      </c>
      <c r="I10998" s="1" t="str">
        <f t="shared" si="2489"/>
        <v>...</v>
      </c>
      <c r="J10998" s="1" t="str">
        <f t="shared" si="2489"/>
        <v>...</v>
      </c>
      <c r="K10998" s="1" t="str">
        <f t="shared" si="2489"/>
        <v>...</v>
      </c>
      <c r="L10998" s="1" t="str">
        <f t="shared" si="2489"/>
        <v>...</v>
      </c>
      <c r="M10998" s="1" t="str">
        <f t="shared" si="2489"/>
        <v>...</v>
      </c>
      <c r="N10998" t="s">
        <v>30</v>
      </c>
    </row>
    <row r="10999" spans="1:14" x14ac:dyDescent="0.25">
      <c r="A10999" t="s">
        <v>44</v>
      </c>
      <c r="B10999" t="s">
        <v>15</v>
      </c>
      <c r="C10999" t="s">
        <v>36</v>
      </c>
      <c r="D10999" t="s">
        <v>33</v>
      </c>
      <c r="E10999" t="s">
        <v>26</v>
      </c>
      <c r="F10999" t="s">
        <v>18</v>
      </c>
      <c r="G10999" s="1" t="str">
        <f t="shared" si="2489"/>
        <v>...</v>
      </c>
      <c r="H10999" s="1" t="str">
        <f t="shared" si="2489"/>
        <v>...</v>
      </c>
      <c r="I10999" s="1" t="str">
        <f t="shared" si="2489"/>
        <v>...</v>
      </c>
      <c r="J10999" s="1" t="str">
        <f t="shared" si="2489"/>
        <v>...</v>
      </c>
      <c r="K10999" s="1" t="str">
        <f t="shared" si="2489"/>
        <v>...</v>
      </c>
      <c r="L10999" s="1" t="str">
        <f t="shared" si="2489"/>
        <v>...</v>
      </c>
      <c r="M10999" s="1" t="str">
        <f t="shared" si="2489"/>
        <v>...</v>
      </c>
      <c r="N10999" t="s">
        <v>30</v>
      </c>
    </row>
    <row r="11000" spans="1:14" x14ac:dyDescent="0.25">
      <c r="A11000" t="s">
        <v>44</v>
      </c>
      <c r="B11000" t="s">
        <v>15</v>
      </c>
      <c r="C11000" t="s">
        <v>36</v>
      </c>
      <c r="D11000" t="s">
        <v>33</v>
      </c>
      <c r="E11000" t="s">
        <v>26</v>
      </c>
      <c r="F11000" t="s">
        <v>19</v>
      </c>
      <c r="G11000" s="1" t="str">
        <f t="shared" si="2489"/>
        <v>...</v>
      </c>
      <c r="H11000" s="1" t="str">
        <f t="shared" si="2489"/>
        <v>...</v>
      </c>
      <c r="I11000" s="1" t="str">
        <f t="shared" si="2489"/>
        <v>...</v>
      </c>
      <c r="J11000" s="1" t="str">
        <f t="shared" si="2489"/>
        <v>...</v>
      </c>
      <c r="K11000" s="1" t="str">
        <f t="shared" si="2489"/>
        <v>...</v>
      </c>
      <c r="L11000" s="1" t="str">
        <f t="shared" si="2489"/>
        <v>...</v>
      </c>
      <c r="M11000" s="1" t="str">
        <f t="shared" si="2489"/>
        <v>...</v>
      </c>
      <c r="N11000" t="s">
        <v>30</v>
      </c>
    </row>
    <row r="11001" spans="1:14" x14ac:dyDescent="0.25">
      <c r="A11001" t="s">
        <v>44</v>
      </c>
      <c r="B11001" t="s">
        <v>15</v>
      </c>
      <c r="C11001" t="s">
        <v>36</v>
      </c>
      <c r="D11001" t="s">
        <v>33</v>
      </c>
      <c r="E11001" t="s">
        <v>26</v>
      </c>
      <c r="F11001" t="s">
        <v>20</v>
      </c>
      <c r="G11001" s="1" t="str">
        <f t="shared" si="2489"/>
        <v>...</v>
      </c>
      <c r="H11001" s="1" t="str">
        <f t="shared" si="2489"/>
        <v>...</v>
      </c>
      <c r="I11001" s="1" t="str">
        <f t="shared" si="2489"/>
        <v>...</v>
      </c>
      <c r="J11001" s="1" t="str">
        <f t="shared" si="2489"/>
        <v>...</v>
      </c>
      <c r="K11001" s="1" t="str">
        <f t="shared" si="2489"/>
        <v>...</v>
      </c>
      <c r="L11001" s="1" t="str">
        <f t="shared" si="2489"/>
        <v>...</v>
      </c>
      <c r="M11001" s="1" t="str">
        <f t="shared" si="2489"/>
        <v>...</v>
      </c>
      <c r="N11001" t="s">
        <v>30</v>
      </c>
    </row>
    <row r="11002" spans="1:14" x14ac:dyDescent="0.25">
      <c r="A11002" t="s">
        <v>44</v>
      </c>
      <c r="B11002" t="s">
        <v>15</v>
      </c>
      <c r="C11002" t="s">
        <v>36</v>
      </c>
      <c r="D11002" t="s">
        <v>34</v>
      </c>
      <c r="E11002" t="s">
        <v>15</v>
      </c>
      <c r="F11002" t="s">
        <v>15</v>
      </c>
      <c r="G11002" s="2">
        <f>VALUE(258.27)</f>
        <v>258.27</v>
      </c>
      <c r="H11002" s="3">
        <f>VALUE(207.29)</f>
        <v>207.29</v>
      </c>
      <c r="I11002" s="4">
        <f>VALUE(3249)</f>
        <v>3249</v>
      </c>
      <c r="J11002" s="1">
        <f>VALUE(3565)</f>
        <v>3565</v>
      </c>
      <c r="K11002" s="6">
        <f>VALUE(4470)</f>
        <v>4470</v>
      </c>
      <c r="L11002" s="1">
        <f>VALUE(5401)</f>
        <v>5401</v>
      </c>
      <c r="M11002" s="1">
        <f>VALUE(5580)</f>
        <v>5580</v>
      </c>
      <c r="N11002" t="s">
        <v>25</v>
      </c>
    </row>
    <row r="11003" spans="1:14" x14ac:dyDescent="0.25">
      <c r="A11003" t="s">
        <v>44</v>
      </c>
      <c r="B11003" t="s">
        <v>15</v>
      </c>
      <c r="C11003" t="s">
        <v>36</v>
      </c>
      <c r="D11003" t="s">
        <v>34</v>
      </c>
      <c r="E11003" t="s">
        <v>15</v>
      </c>
      <c r="F11003" t="s">
        <v>17</v>
      </c>
      <c r="G11003" s="1" t="str">
        <f t="shared" ref="G11003:M11005" si="2490">"X"</f>
        <v>X</v>
      </c>
      <c r="H11003" s="1" t="str">
        <f t="shared" si="2490"/>
        <v>X</v>
      </c>
      <c r="I11003" s="1" t="str">
        <f t="shared" si="2490"/>
        <v>X</v>
      </c>
      <c r="J11003" s="1" t="str">
        <f t="shared" si="2490"/>
        <v>X</v>
      </c>
      <c r="K11003" s="1" t="str">
        <f t="shared" si="2490"/>
        <v>X</v>
      </c>
      <c r="L11003" s="1" t="str">
        <f t="shared" si="2490"/>
        <v>X</v>
      </c>
      <c r="M11003" s="1" t="str">
        <f t="shared" si="2490"/>
        <v>X</v>
      </c>
      <c r="N11003" t="s">
        <v>27</v>
      </c>
    </row>
    <row r="11004" spans="1:14" x14ac:dyDescent="0.25">
      <c r="A11004" t="s">
        <v>44</v>
      </c>
      <c r="B11004" t="s">
        <v>15</v>
      </c>
      <c r="C11004" t="s">
        <v>36</v>
      </c>
      <c r="D11004" t="s">
        <v>34</v>
      </c>
      <c r="E11004" t="s">
        <v>15</v>
      </c>
      <c r="F11004" t="s">
        <v>18</v>
      </c>
      <c r="G11004" s="1" t="str">
        <f t="shared" si="2490"/>
        <v>X</v>
      </c>
      <c r="H11004" s="1" t="str">
        <f t="shared" si="2490"/>
        <v>X</v>
      </c>
      <c r="I11004" s="1" t="str">
        <f t="shared" si="2490"/>
        <v>X</v>
      </c>
      <c r="J11004" s="1" t="str">
        <f t="shared" si="2490"/>
        <v>X</v>
      </c>
      <c r="K11004" s="1" t="str">
        <f t="shared" si="2490"/>
        <v>X</v>
      </c>
      <c r="L11004" s="1" t="str">
        <f t="shared" si="2490"/>
        <v>X</v>
      </c>
      <c r="M11004" s="1" t="str">
        <f t="shared" si="2490"/>
        <v>X</v>
      </c>
      <c r="N11004" t="s">
        <v>27</v>
      </c>
    </row>
    <row r="11005" spans="1:14" x14ac:dyDescent="0.25">
      <c r="A11005" t="s">
        <v>44</v>
      </c>
      <c r="B11005" t="s">
        <v>15</v>
      </c>
      <c r="C11005" t="s">
        <v>36</v>
      </c>
      <c r="D11005" t="s">
        <v>34</v>
      </c>
      <c r="E11005" t="s">
        <v>15</v>
      </c>
      <c r="F11005" t="s">
        <v>19</v>
      </c>
      <c r="G11005" s="1" t="str">
        <f t="shared" si="2490"/>
        <v>X</v>
      </c>
      <c r="H11005" s="1" t="str">
        <f t="shared" si="2490"/>
        <v>X</v>
      </c>
      <c r="I11005" s="1" t="str">
        <f t="shared" si="2490"/>
        <v>X</v>
      </c>
      <c r="J11005" s="1" t="str">
        <f t="shared" si="2490"/>
        <v>X</v>
      </c>
      <c r="K11005" s="1" t="str">
        <f t="shared" si="2490"/>
        <v>X</v>
      </c>
      <c r="L11005" s="1" t="str">
        <f t="shared" si="2490"/>
        <v>X</v>
      </c>
      <c r="M11005" s="1" t="str">
        <f t="shared" si="2490"/>
        <v>X</v>
      </c>
      <c r="N11005" t="s">
        <v>27</v>
      </c>
    </row>
    <row r="11006" spans="1:14" x14ac:dyDescent="0.25">
      <c r="A11006" t="s">
        <v>44</v>
      </c>
      <c r="B11006" t="s">
        <v>15</v>
      </c>
      <c r="C11006" t="s">
        <v>36</v>
      </c>
      <c r="D11006" t="s">
        <v>34</v>
      </c>
      <c r="E11006" t="s">
        <v>15</v>
      </c>
      <c r="F11006" t="s">
        <v>20</v>
      </c>
      <c r="G11006" s="2">
        <f>VALUE(207.08)</f>
        <v>207.08</v>
      </c>
      <c r="H11006" s="3">
        <f>VALUE(170.39)</f>
        <v>170.39</v>
      </c>
      <c r="I11006" s="4">
        <f>VALUE(3219)</f>
        <v>3219</v>
      </c>
      <c r="J11006" s="1">
        <f>VALUE(3559)</f>
        <v>3559</v>
      </c>
      <c r="K11006" s="6">
        <f>VALUE(4121)</f>
        <v>4121</v>
      </c>
      <c r="L11006" s="1">
        <f>VALUE(5095)</f>
        <v>5095</v>
      </c>
      <c r="M11006" s="1">
        <f>VALUE(5401)</f>
        <v>5401</v>
      </c>
      <c r="N11006" t="s">
        <v>25</v>
      </c>
    </row>
    <row r="11007" spans="1:14" x14ac:dyDescent="0.25">
      <c r="A11007" t="s">
        <v>44</v>
      </c>
      <c r="B11007" t="s">
        <v>15</v>
      </c>
      <c r="C11007" t="s">
        <v>36</v>
      </c>
      <c r="D11007" t="s">
        <v>34</v>
      </c>
      <c r="E11007" t="s">
        <v>21</v>
      </c>
      <c r="F11007" t="s">
        <v>15</v>
      </c>
      <c r="G11007" s="1" t="str">
        <f t="shared" ref="G11007:M11007" si="2491">"X"</f>
        <v>X</v>
      </c>
      <c r="H11007" s="1" t="str">
        <f t="shared" si="2491"/>
        <v>X</v>
      </c>
      <c r="I11007" s="1" t="str">
        <f t="shared" si="2491"/>
        <v>X</v>
      </c>
      <c r="J11007" s="1" t="str">
        <f t="shared" si="2491"/>
        <v>X</v>
      </c>
      <c r="K11007" s="1" t="str">
        <f t="shared" si="2491"/>
        <v>X</v>
      </c>
      <c r="L11007" s="1" t="str">
        <f t="shared" si="2491"/>
        <v>X</v>
      </c>
      <c r="M11007" s="1" t="str">
        <f t="shared" si="2491"/>
        <v>X</v>
      </c>
      <c r="N11007" t="s">
        <v>27</v>
      </c>
    </row>
    <row r="11008" spans="1:14" x14ac:dyDescent="0.25">
      <c r="A11008" t="s">
        <v>44</v>
      </c>
      <c r="B11008" t="s">
        <v>15</v>
      </c>
      <c r="C11008" t="s">
        <v>36</v>
      </c>
      <c r="D11008" t="s">
        <v>34</v>
      </c>
      <c r="E11008" t="s">
        <v>21</v>
      </c>
      <c r="F11008" t="s">
        <v>17</v>
      </c>
      <c r="G11008" s="1" t="str">
        <f t="shared" ref="G11008:M11008" si="2492">"..."</f>
        <v>...</v>
      </c>
      <c r="H11008" s="1" t="str">
        <f t="shared" si="2492"/>
        <v>...</v>
      </c>
      <c r="I11008" s="1" t="str">
        <f t="shared" si="2492"/>
        <v>...</v>
      </c>
      <c r="J11008" s="1" t="str">
        <f t="shared" si="2492"/>
        <v>...</v>
      </c>
      <c r="K11008" s="1" t="str">
        <f t="shared" si="2492"/>
        <v>...</v>
      </c>
      <c r="L11008" s="1" t="str">
        <f t="shared" si="2492"/>
        <v>...</v>
      </c>
      <c r="M11008" s="1" t="str">
        <f t="shared" si="2492"/>
        <v>...</v>
      </c>
      <c r="N11008" t="s">
        <v>30</v>
      </c>
    </row>
    <row r="11009" spans="1:14" x14ac:dyDescent="0.25">
      <c r="A11009" t="s">
        <v>44</v>
      </c>
      <c r="B11009" t="s">
        <v>15</v>
      </c>
      <c r="C11009" t="s">
        <v>36</v>
      </c>
      <c r="D11009" t="s">
        <v>34</v>
      </c>
      <c r="E11009" t="s">
        <v>21</v>
      </c>
      <c r="F11009" t="s">
        <v>18</v>
      </c>
      <c r="G11009" s="1" t="str">
        <f t="shared" ref="G11009:M11014" si="2493">"X"</f>
        <v>X</v>
      </c>
      <c r="H11009" s="1" t="str">
        <f t="shared" si="2493"/>
        <v>X</v>
      </c>
      <c r="I11009" s="1" t="str">
        <f t="shared" si="2493"/>
        <v>X</v>
      </c>
      <c r="J11009" s="1" t="str">
        <f t="shared" si="2493"/>
        <v>X</v>
      </c>
      <c r="K11009" s="1" t="str">
        <f t="shared" si="2493"/>
        <v>X</v>
      </c>
      <c r="L11009" s="1" t="str">
        <f t="shared" si="2493"/>
        <v>X</v>
      </c>
      <c r="M11009" s="1" t="str">
        <f t="shared" si="2493"/>
        <v>X</v>
      </c>
      <c r="N11009" t="s">
        <v>27</v>
      </c>
    </row>
    <row r="11010" spans="1:14" x14ac:dyDescent="0.25">
      <c r="A11010" t="s">
        <v>44</v>
      </c>
      <c r="B11010" t="s">
        <v>15</v>
      </c>
      <c r="C11010" t="s">
        <v>36</v>
      </c>
      <c r="D11010" t="s">
        <v>34</v>
      </c>
      <c r="E11010" t="s">
        <v>21</v>
      </c>
      <c r="F11010" t="s">
        <v>19</v>
      </c>
      <c r="G11010" s="1" t="str">
        <f t="shared" si="2493"/>
        <v>X</v>
      </c>
      <c r="H11010" s="1" t="str">
        <f t="shared" si="2493"/>
        <v>X</v>
      </c>
      <c r="I11010" s="1" t="str">
        <f t="shared" si="2493"/>
        <v>X</v>
      </c>
      <c r="J11010" s="1" t="str">
        <f t="shared" si="2493"/>
        <v>X</v>
      </c>
      <c r="K11010" s="1" t="str">
        <f t="shared" si="2493"/>
        <v>X</v>
      </c>
      <c r="L11010" s="1" t="str">
        <f t="shared" si="2493"/>
        <v>X</v>
      </c>
      <c r="M11010" s="1" t="str">
        <f t="shared" si="2493"/>
        <v>X</v>
      </c>
      <c r="N11010" t="s">
        <v>27</v>
      </c>
    </row>
    <row r="11011" spans="1:14" x14ac:dyDescent="0.25">
      <c r="A11011" t="s">
        <v>44</v>
      </c>
      <c r="B11011" t="s">
        <v>15</v>
      </c>
      <c r="C11011" t="s">
        <v>36</v>
      </c>
      <c r="D11011" t="s">
        <v>34</v>
      </c>
      <c r="E11011" t="s">
        <v>21</v>
      </c>
      <c r="F11011" t="s">
        <v>20</v>
      </c>
      <c r="G11011" s="1" t="str">
        <f t="shared" si="2493"/>
        <v>X</v>
      </c>
      <c r="H11011" s="1" t="str">
        <f t="shared" si="2493"/>
        <v>X</v>
      </c>
      <c r="I11011" s="1" t="str">
        <f t="shared" si="2493"/>
        <v>X</v>
      </c>
      <c r="J11011" s="1" t="str">
        <f t="shared" si="2493"/>
        <v>X</v>
      </c>
      <c r="K11011" s="1" t="str">
        <f t="shared" si="2493"/>
        <v>X</v>
      </c>
      <c r="L11011" s="1" t="str">
        <f t="shared" si="2493"/>
        <v>X</v>
      </c>
      <c r="M11011" s="1" t="str">
        <f t="shared" si="2493"/>
        <v>X</v>
      </c>
      <c r="N11011" t="s">
        <v>27</v>
      </c>
    </row>
    <row r="11012" spans="1:14" x14ac:dyDescent="0.25">
      <c r="A11012" t="s">
        <v>44</v>
      </c>
      <c r="B11012" t="s">
        <v>15</v>
      </c>
      <c r="C11012" t="s">
        <v>36</v>
      </c>
      <c r="D11012" t="s">
        <v>34</v>
      </c>
      <c r="E11012" t="s">
        <v>22</v>
      </c>
      <c r="F11012" t="s">
        <v>15</v>
      </c>
      <c r="G11012" s="1" t="str">
        <f t="shared" si="2493"/>
        <v>X</v>
      </c>
      <c r="H11012" s="1" t="str">
        <f t="shared" si="2493"/>
        <v>X</v>
      </c>
      <c r="I11012" s="1" t="str">
        <f t="shared" si="2493"/>
        <v>X</v>
      </c>
      <c r="J11012" s="1" t="str">
        <f t="shared" si="2493"/>
        <v>X</v>
      </c>
      <c r="K11012" s="1" t="str">
        <f t="shared" si="2493"/>
        <v>X</v>
      </c>
      <c r="L11012" s="1" t="str">
        <f t="shared" si="2493"/>
        <v>X</v>
      </c>
      <c r="M11012" s="1" t="str">
        <f t="shared" si="2493"/>
        <v>X</v>
      </c>
      <c r="N11012" t="s">
        <v>27</v>
      </c>
    </row>
    <row r="11013" spans="1:14" x14ac:dyDescent="0.25">
      <c r="A11013" t="s">
        <v>44</v>
      </c>
      <c r="B11013" t="s">
        <v>15</v>
      </c>
      <c r="C11013" t="s">
        <v>36</v>
      </c>
      <c r="D11013" t="s">
        <v>34</v>
      </c>
      <c r="E11013" t="s">
        <v>22</v>
      </c>
      <c r="F11013" t="s">
        <v>17</v>
      </c>
      <c r="G11013" s="1" t="str">
        <f t="shared" si="2493"/>
        <v>X</v>
      </c>
      <c r="H11013" s="1" t="str">
        <f t="shared" si="2493"/>
        <v>X</v>
      </c>
      <c r="I11013" s="1" t="str">
        <f t="shared" si="2493"/>
        <v>X</v>
      </c>
      <c r="J11013" s="1" t="str">
        <f t="shared" si="2493"/>
        <v>X</v>
      </c>
      <c r="K11013" s="1" t="str">
        <f t="shared" si="2493"/>
        <v>X</v>
      </c>
      <c r="L11013" s="1" t="str">
        <f t="shared" si="2493"/>
        <v>X</v>
      </c>
      <c r="M11013" s="1" t="str">
        <f t="shared" si="2493"/>
        <v>X</v>
      </c>
      <c r="N11013" t="s">
        <v>27</v>
      </c>
    </row>
    <row r="11014" spans="1:14" x14ac:dyDescent="0.25">
      <c r="A11014" t="s">
        <v>44</v>
      </c>
      <c r="B11014" t="s">
        <v>15</v>
      </c>
      <c r="C11014" t="s">
        <v>36</v>
      </c>
      <c r="D11014" t="s">
        <v>34</v>
      </c>
      <c r="E11014" t="s">
        <v>22</v>
      </c>
      <c r="F11014" t="s">
        <v>18</v>
      </c>
      <c r="G11014" s="1" t="str">
        <f t="shared" si="2493"/>
        <v>X</v>
      </c>
      <c r="H11014" s="1" t="str">
        <f t="shared" si="2493"/>
        <v>X</v>
      </c>
      <c r="I11014" s="1" t="str">
        <f t="shared" si="2493"/>
        <v>X</v>
      </c>
      <c r="J11014" s="1" t="str">
        <f t="shared" si="2493"/>
        <v>X</v>
      </c>
      <c r="K11014" s="1" t="str">
        <f t="shared" si="2493"/>
        <v>X</v>
      </c>
      <c r="L11014" s="1" t="str">
        <f t="shared" si="2493"/>
        <v>X</v>
      </c>
      <c r="M11014" s="1" t="str">
        <f t="shared" si="2493"/>
        <v>X</v>
      </c>
      <c r="N11014" t="s">
        <v>27</v>
      </c>
    </row>
    <row r="11015" spans="1:14" x14ac:dyDescent="0.25">
      <c r="A11015" t="s">
        <v>44</v>
      </c>
      <c r="B11015" t="s">
        <v>15</v>
      </c>
      <c r="C11015" t="s">
        <v>36</v>
      </c>
      <c r="D11015" t="s">
        <v>34</v>
      </c>
      <c r="E11015" t="s">
        <v>22</v>
      </c>
      <c r="F11015" t="s">
        <v>19</v>
      </c>
      <c r="G11015" s="1" t="str">
        <f t="shared" ref="G11015:M11015" si="2494">"..."</f>
        <v>...</v>
      </c>
      <c r="H11015" s="1" t="str">
        <f t="shared" si="2494"/>
        <v>...</v>
      </c>
      <c r="I11015" s="1" t="str">
        <f t="shared" si="2494"/>
        <v>...</v>
      </c>
      <c r="J11015" s="1" t="str">
        <f t="shared" si="2494"/>
        <v>...</v>
      </c>
      <c r="K11015" s="1" t="str">
        <f t="shared" si="2494"/>
        <v>...</v>
      </c>
      <c r="L11015" s="1" t="str">
        <f t="shared" si="2494"/>
        <v>...</v>
      </c>
      <c r="M11015" s="1" t="str">
        <f t="shared" si="2494"/>
        <v>...</v>
      </c>
      <c r="N11015" t="s">
        <v>30</v>
      </c>
    </row>
    <row r="11016" spans="1:14" x14ac:dyDescent="0.25">
      <c r="A11016" t="s">
        <v>44</v>
      </c>
      <c r="B11016" t="s">
        <v>15</v>
      </c>
      <c r="C11016" t="s">
        <v>36</v>
      </c>
      <c r="D11016" t="s">
        <v>34</v>
      </c>
      <c r="E11016" t="s">
        <v>22</v>
      </c>
      <c r="F11016" t="s">
        <v>20</v>
      </c>
      <c r="G11016" s="1" t="str">
        <f t="shared" ref="G11016:M11017" si="2495">"X"</f>
        <v>X</v>
      </c>
      <c r="H11016" s="1" t="str">
        <f t="shared" si="2495"/>
        <v>X</v>
      </c>
      <c r="I11016" s="1" t="str">
        <f t="shared" si="2495"/>
        <v>X</v>
      </c>
      <c r="J11016" s="1" t="str">
        <f t="shared" si="2495"/>
        <v>X</v>
      </c>
      <c r="K11016" s="1" t="str">
        <f t="shared" si="2495"/>
        <v>X</v>
      </c>
      <c r="L11016" s="1" t="str">
        <f t="shared" si="2495"/>
        <v>X</v>
      </c>
      <c r="M11016" s="1" t="str">
        <f t="shared" si="2495"/>
        <v>X</v>
      </c>
      <c r="N11016" t="s">
        <v>27</v>
      </c>
    </row>
    <row r="11017" spans="1:14" x14ac:dyDescent="0.25">
      <c r="A11017" t="s">
        <v>44</v>
      </c>
      <c r="B11017" t="s">
        <v>15</v>
      </c>
      <c r="C11017" t="s">
        <v>36</v>
      </c>
      <c r="D11017" t="s">
        <v>34</v>
      </c>
      <c r="E11017" t="s">
        <v>23</v>
      </c>
      <c r="F11017" t="s">
        <v>15</v>
      </c>
      <c r="G11017" s="1" t="str">
        <f t="shared" si="2495"/>
        <v>X</v>
      </c>
      <c r="H11017" s="1" t="str">
        <f t="shared" si="2495"/>
        <v>X</v>
      </c>
      <c r="I11017" s="1" t="str">
        <f t="shared" si="2495"/>
        <v>X</v>
      </c>
      <c r="J11017" s="1" t="str">
        <f t="shared" si="2495"/>
        <v>X</v>
      </c>
      <c r="K11017" s="1" t="str">
        <f t="shared" si="2495"/>
        <v>X</v>
      </c>
      <c r="L11017" s="1" t="str">
        <f t="shared" si="2495"/>
        <v>X</v>
      </c>
      <c r="M11017" s="1" t="str">
        <f t="shared" si="2495"/>
        <v>X</v>
      </c>
      <c r="N11017" t="s">
        <v>27</v>
      </c>
    </row>
    <row r="11018" spans="1:14" x14ac:dyDescent="0.25">
      <c r="A11018" t="s">
        <v>44</v>
      </c>
      <c r="B11018" t="s">
        <v>15</v>
      </c>
      <c r="C11018" t="s">
        <v>36</v>
      </c>
      <c r="D11018" t="s">
        <v>34</v>
      </c>
      <c r="E11018" t="s">
        <v>23</v>
      </c>
      <c r="F11018" t="s">
        <v>17</v>
      </c>
      <c r="G11018" s="1" t="str">
        <f t="shared" ref="G11018:M11019" si="2496">"..."</f>
        <v>...</v>
      </c>
      <c r="H11018" s="1" t="str">
        <f t="shared" si="2496"/>
        <v>...</v>
      </c>
      <c r="I11018" s="1" t="str">
        <f t="shared" si="2496"/>
        <v>...</v>
      </c>
      <c r="J11018" s="1" t="str">
        <f t="shared" si="2496"/>
        <v>...</v>
      </c>
      <c r="K11018" s="1" t="str">
        <f t="shared" si="2496"/>
        <v>...</v>
      </c>
      <c r="L11018" s="1" t="str">
        <f t="shared" si="2496"/>
        <v>...</v>
      </c>
      <c r="M11018" s="1" t="str">
        <f t="shared" si="2496"/>
        <v>...</v>
      </c>
      <c r="N11018" t="s">
        <v>30</v>
      </c>
    </row>
    <row r="11019" spans="1:14" x14ac:dyDescent="0.25">
      <c r="A11019" t="s">
        <v>44</v>
      </c>
      <c r="B11019" t="s">
        <v>15</v>
      </c>
      <c r="C11019" t="s">
        <v>36</v>
      </c>
      <c r="D11019" t="s">
        <v>34</v>
      </c>
      <c r="E11019" t="s">
        <v>23</v>
      </c>
      <c r="F11019" t="s">
        <v>18</v>
      </c>
      <c r="G11019" s="1" t="str">
        <f t="shared" si="2496"/>
        <v>...</v>
      </c>
      <c r="H11019" s="1" t="str">
        <f t="shared" si="2496"/>
        <v>...</v>
      </c>
      <c r="I11019" s="1" t="str">
        <f t="shared" si="2496"/>
        <v>...</v>
      </c>
      <c r="J11019" s="1" t="str">
        <f t="shared" si="2496"/>
        <v>...</v>
      </c>
      <c r="K11019" s="1" t="str">
        <f t="shared" si="2496"/>
        <v>...</v>
      </c>
      <c r="L11019" s="1" t="str">
        <f t="shared" si="2496"/>
        <v>...</v>
      </c>
      <c r="M11019" s="1" t="str">
        <f t="shared" si="2496"/>
        <v>...</v>
      </c>
      <c r="N11019" t="s">
        <v>30</v>
      </c>
    </row>
    <row r="11020" spans="1:14" x14ac:dyDescent="0.25">
      <c r="A11020" t="s">
        <v>44</v>
      </c>
      <c r="B11020" t="s">
        <v>15</v>
      </c>
      <c r="C11020" t="s">
        <v>36</v>
      </c>
      <c r="D11020" t="s">
        <v>34</v>
      </c>
      <c r="E11020" t="s">
        <v>23</v>
      </c>
      <c r="F11020" t="s">
        <v>19</v>
      </c>
      <c r="G11020" s="1" t="str">
        <f t="shared" ref="G11020:M11021" si="2497">"X"</f>
        <v>X</v>
      </c>
      <c r="H11020" s="1" t="str">
        <f t="shared" si="2497"/>
        <v>X</v>
      </c>
      <c r="I11020" s="1" t="str">
        <f t="shared" si="2497"/>
        <v>X</v>
      </c>
      <c r="J11020" s="1" t="str">
        <f t="shared" si="2497"/>
        <v>X</v>
      </c>
      <c r="K11020" s="1" t="str">
        <f t="shared" si="2497"/>
        <v>X</v>
      </c>
      <c r="L11020" s="1" t="str">
        <f t="shared" si="2497"/>
        <v>X</v>
      </c>
      <c r="M11020" s="1" t="str">
        <f t="shared" si="2497"/>
        <v>X</v>
      </c>
      <c r="N11020" t="s">
        <v>27</v>
      </c>
    </row>
    <row r="11021" spans="1:14" x14ac:dyDescent="0.25">
      <c r="A11021" t="s">
        <v>44</v>
      </c>
      <c r="B11021" t="s">
        <v>15</v>
      </c>
      <c r="C11021" t="s">
        <v>36</v>
      </c>
      <c r="D11021" t="s">
        <v>34</v>
      </c>
      <c r="E11021" t="s">
        <v>23</v>
      </c>
      <c r="F11021" t="s">
        <v>20</v>
      </c>
      <c r="G11021" s="1" t="str">
        <f t="shared" si="2497"/>
        <v>X</v>
      </c>
      <c r="H11021" s="1" t="str">
        <f t="shared" si="2497"/>
        <v>X</v>
      </c>
      <c r="I11021" s="1" t="str">
        <f t="shared" si="2497"/>
        <v>X</v>
      </c>
      <c r="J11021" s="1" t="str">
        <f t="shared" si="2497"/>
        <v>X</v>
      </c>
      <c r="K11021" s="1" t="str">
        <f t="shared" si="2497"/>
        <v>X</v>
      </c>
      <c r="L11021" s="1" t="str">
        <f t="shared" si="2497"/>
        <v>X</v>
      </c>
      <c r="M11021" s="1" t="str">
        <f t="shared" si="2497"/>
        <v>X</v>
      </c>
      <c r="N11021" t="s">
        <v>27</v>
      </c>
    </row>
    <row r="11022" spans="1:14" x14ac:dyDescent="0.25">
      <c r="A11022" t="s">
        <v>44</v>
      </c>
      <c r="B11022" t="s">
        <v>15</v>
      </c>
      <c r="C11022" t="s">
        <v>36</v>
      </c>
      <c r="D11022" t="s">
        <v>34</v>
      </c>
      <c r="E11022" t="s">
        <v>26</v>
      </c>
      <c r="F11022" t="s">
        <v>15</v>
      </c>
      <c r="G11022" s="1" t="str">
        <f t="shared" ref="G11022:M11026" si="2498">"..."</f>
        <v>...</v>
      </c>
      <c r="H11022" s="1" t="str">
        <f t="shared" si="2498"/>
        <v>...</v>
      </c>
      <c r="I11022" s="1" t="str">
        <f t="shared" si="2498"/>
        <v>...</v>
      </c>
      <c r="J11022" s="1" t="str">
        <f t="shared" si="2498"/>
        <v>...</v>
      </c>
      <c r="K11022" s="1" t="str">
        <f t="shared" si="2498"/>
        <v>...</v>
      </c>
      <c r="L11022" s="1" t="str">
        <f t="shared" si="2498"/>
        <v>...</v>
      </c>
      <c r="M11022" s="1" t="str">
        <f t="shared" si="2498"/>
        <v>...</v>
      </c>
      <c r="N11022" t="s">
        <v>30</v>
      </c>
    </row>
    <row r="11023" spans="1:14" x14ac:dyDescent="0.25">
      <c r="A11023" t="s">
        <v>44</v>
      </c>
      <c r="B11023" t="s">
        <v>15</v>
      </c>
      <c r="C11023" t="s">
        <v>36</v>
      </c>
      <c r="D11023" t="s">
        <v>34</v>
      </c>
      <c r="E11023" t="s">
        <v>26</v>
      </c>
      <c r="F11023" t="s">
        <v>17</v>
      </c>
      <c r="G11023" s="1" t="str">
        <f t="shared" si="2498"/>
        <v>...</v>
      </c>
      <c r="H11023" s="1" t="str">
        <f t="shared" si="2498"/>
        <v>...</v>
      </c>
      <c r="I11023" s="1" t="str">
        <f t="shared" si="2498"/>
        <v>...</v>
      </c>
      <c r="J11023" s="1" t="str">
        <f t="shared" si="2498"/>
        <v>...</v>
      </c>
      <c r="K11023" s="1" t="str">
        <f t="shared" si="2498"/>
        <v>...</v>
      </c>
      <c r="L11023" s="1" t="str">
        <f t="shared" si="2498"/>
        <v>...</v>
      </c>
      <c r="M11023" s="1" t="str">
        <f t="shared" si="2498"/>
        <v>...</v>
      </c>
      <c r="N11023" t="s">
        <v>30</v>
      </c>
    </row>
    <row r="11024" spans="1:14" x14ac:dyDescent="0.25">
      <c r="A11024" t="s">
        <v>44</v>
      </c>
      <c r="B11024" t="s">
        <v>15</v>
      </c>
      <c r="C11024" t="s">
        <v>36</v>
      </c>
      <c r="D11024" t="s">
        <v>34</v>
      </c>
      <c r="E11024" t="s">
        <v>26</v>
      </c>
      <c r="F11024" t="s">
        <v>18</v>
      </c>
      <c r="G11024" s="1" t="str">
        <f t="shared" si="2498"/>
        <v>...</v>
      </c>
      <c r="H11024" s="1" t="str">
        <f t="shared" si="2498"/>
        <v>...</v>
      </c>
      <c r="I11024" s="1" t="str">
        <f t="shared" si="2498"/>
        <v>...</v>
      </c>
      <c r="J11024" s="1" t="str">
        <f t="shared" si="2498"/>
        <v>...</v>
      </c>
      <c r="K11024" s="1" t="str">
        <f t="shared" si="2498"/>
        <v>...</v>
      </c>
      <c r="L11024" s="1" t="str">
        <f t="shared" si="2498"/>
        <v>...</v>
      </c>
      <c r="M11024" s="1" t="str">
        <f t="shared" si="2498"/>
        <v>...</v>
      </c>
      <c r="N11024" t="s">
        <v>30</v>
      </c>
    </row>
    <row r="11025" spans="1:14" x14ac:dyDescent="0.25">
      <c r="A11025" t="s">
        <v>44</v>
      </c>
      <c r="B11025" t="s">
        <v>15</v>
      </c>
      <c r="C11025" t="s">
        <v>36</v>
      </c>
      <c r="D11025" t="s">
        <v>34</v>
      </c>
      <c r="E11025" t="s">
        <v>26</v>
      </c>
      <c r="F11025" t="s">
        <v>19</v>
      </c>
      <c r="G11025" s="1" t="str">
        <f t="shared" si="2498"/>
        <v>...</v>
      </c>
      <c r="H11025" s="1" t="str">
        <f t="shared" si="2498"/>
        <v>...</v>
      </c>
      <c r="I11025" s="1" t="str">
        <f t="shared" si="2498"/>
        <v>...</v>
      </c>
      <c r="J11025" s="1" t="str">
        <f t="shared" si="2498"/>
        <v>...</v>
      </c>
      <c r="K11025" s="1" t="str">
        <f t="shared" si="2498"/>
        <v>...</v>
      </c>
      <c r="L11025" s="1" t="str">
        <f t="shared" si="2498"/>
        <v>...</v>
      </c>
      <c r="M11025" s="1" t="str">
        <f t="shared" si="2498"/>
        <v>...</v>
      </c>
      <c r="N11025" t="s">
        <v>30</v>
      </c>
    </row>
    <row r="11026" spans="1:14" x14ac:dyDescent="0.25">
      <c r="A11026" t="s">
        <v>44</v>
      </c>
      <c r="B11026" t="s">
        <v>15</v>
      </c>
      <c r="C11026" t="s">
        <v>36</v>
      </c>
      <c r="D11026" t="s">
        <v>34</v>
      </c>
      <c r="E11026" t="s">
        <v>26</v>
      </c>
      <c r="F11026" t="s">
        <v>20</v>
      </c>
      <c r="G11026" s="1" t="str">
        <f t="shared" si="2498"/>
        <v>...</v>
      </c>
      <c r="H11026" s="1" t="str">
        <f t="shared" si="2498"/>
        <v>...</v>
      </c>
      <c r="I11026" s="1" t="str">
        <f t="shared" si="2498"/>
        <v>...</v>
      </c>
      <c r="J11026" s="1" t="str">
        <f t="shared" si="2498"/>
        <v>...</v>
      </c>
      <c r="K11026" s="1" t="str">
        <f t="shared" si="2498"/>
        <v>...</v>
      </c>
      <c r="L11026" s="1" t="str">
        <f t="shared" si="2498"/>
        <v>...</v>
      </c>
      <c r="M11026" s="1" t="str">
        <f t="shared" si="2498"/>
        <v>...</v>
      </c>
      <c r="N11026" t="s">
        <v>30</v>
      </c>
    </row>
    <row r="11027" spans="1:14" x14ac:dyDescent="0.25">
      <c r="A11027" t="s">
        <v>44</v>
      </c>
      <c r="B11027" t="s">
        <v>15</v>
      </c>
      <c r="C11027" t="s">
        <v>37</v>
      </c>
      <c r="D11027" t="s">
        <v>15</v>
      </c>
      <c r="E11027" t="s">
        <v>15</v>
      </c>
      <c r="F11027" t="s">
        <v>15</v>
      </c>
      <c r="G11027" s="1">
        <f>VALUE(56132.93)</f>
        <v>56132.93</v>
      </c>
      <c r="H11027" s="1">
        <f>VALUE(48617.94)</f>
        <v>48617.94</v>
      </c>
      <c r="I11027" s="1">
        <f>VALUE(3514)</f>
        <v>3514</v>
      </c>
      <c r="J11027" s="1">
        <f>VALUE(4308)</f>
        <v>4308</v>
      </c>
      <c r="K11027" s="1">
        <f>VALUE(5463)</f>
        <v>5463</v>
      </c>
      <c r="L11027" s="1">
        <f>VALUE(6908)</f>
        <v>6908</v>
      </c>
      <c r="M11027" s="1">
        <f>VALUE(9455)</f>
        <v>9455</v>
      </c>
      <c r="N11027" t="s">
        <v>16</v>
      </c>
    </row>
    <row r="11028" spans="1:14" x14ac:dyDescent="0.25">
      <c r="A11028" t="s">
        <v>44</v>
      </c>
      <c r="B11028" t="s">
        <v>15</v>
      </c>
      <c r="C11028" t="s">
        <v>37</v>
      </c>
      <c r="D11028" t="s">
        <v>15</v>
      </c>
      <c r="E11028" t="s">
        <v>15</v>
      </c>
      <c r="F11028" t="s">
        <v>17</v>
      </c>
      <c r="G11028" s="1">
        <f>VALUE(8394.05)</f>
        <v>8394.0499999999993</v>
      </c>
      <c r="H11028" s="1">
        <f>VALUE(7915.08)</f>
        <v>7915.08</v>
      </c>
      <c r="I11028" s="1">
        <f>VALUE(4893)</f>
        <v>4893</v>
      </c>
      <c r="J11028" s="1">
        <f>VALUE(6241)</f>
        <v>6241</v>
      </c>
      <c r="K11028" s="1">
        <f>VALUE(8243)</f>
        <v>8243</v>
      </c>
      <c r="L11028" s="1">
        <f>VALUE(11317)</f>
        <v>11317</v>
      </c>
      <c r="M11028" s="1">
        <f>VALUE(16221)</f>
        <v>16221</v>
      </c>
      <c r="N11028" t="s">
        <v>16</v>
      </c>
    </row>
    <row r="11029" spans="1:14" x14ac:dyDescent="0.25">
      <c r="A11029" t="s">
        <v>44</v>
      </c>
      <c r="B11029" t="s">
        <v>15</v>
      </c>
      <c r="C11029" t="s">
        <v>37</v>
      </c>
      <c r="D11029" t="s">
        <v>15</v>
      </c>
      <c r="E11029" t="s">
        <v>15</v>
      </c>
      <c r="F11029" t="s">
        <v>18</v>
      </c>
      <c r="G11029" s="1">
        <f>VALUE(5699.15)</f>
        <v>5699.15</v>
      </c>
      <c r="H11029" s="1">
        <f>VALUE(5199.44)</f>
        <v>5199.4399999999996</v>
      </c>
      <c r="I11029" s="1">
        <f>VALUE(4760)</f>
        <v>4760</v>
      </c>
      <c r="J11029" s="1">
        <f>VALUE(5500)</f>
        <v>5500</v>
      </c>
      <c r="K11029" s="1">
        <f>VALUE(6808)</f>
        <v>6808</v>
      </c>
      <c r="L11029" s="1">
        <f>VALUE(8853)</f>
        <v>8853</v>
      </c>
      <c r="M11029" s="1">
        <f>VALUE(11214)</f>
        <v>11214</v>
      </c>
      <c r="N11029" t="s">
        <v>16</v>
      </c>
    </row>
    <row r="11030" spans="1:14" x14ac:dyDescent="0.25">
      <c r="A11030" t="s">
        <v>44</v>
      </c>
      <c r="B11030" t="s">
        <v>15</v>
      </c>
      <c r="C11030" t="s">
        <v>37</v>
      </c>
      <c r="D11030" t="s">
        <v>15</v>
      </c>
      <c r="E11030" t="s">
        <v>15</v>
      </c>
      <c r="F11030" t="s">
        <v>19</v>
      </c>
      <c r="G11030" s="1">
        <f>VALUE(6545.24)</f>
        <v>6545.24</v>
      </c>
      <c r="H11030" s="1">
        <f>VALUE(5961.61)</f>
        <v>5961.61</v>
      </c>
      <c r="I11030" s="1">
        <f>VALUE(3914)</f>
        <v>3914</v>
      </c>
      <c r="J11030" s="1">
        <f>VALUE(4793)</f>
        <v>4793</v>
      </c>
      <c r="K11030" s="1">
        <f>VALUE(5925)</f>
        <v>5925</v>
      </c>
      <c r="L11030" s="1">
        <f>VALUE(6899)</f>
        <v>6899</v>
      </c>
      <c r="M11030" s="1">
        <f>VALUE(8070)</f>
        <v>8070</v>
      </c>
      <c r="N11030" t="s">
        <v>16</v>
      </c>
    </row>
    <row r="11031" spans="1:14" x14ac:dyDescent="0.25">
      <c r="A11031" t="s">
        <v>44</v>
      </c>
      <c r="B11031" t="s">
        <v>15</v>
      </c>
      <c r="C11031" t="s">
        <v>37</v>
      </c>
      <c r="D11031" t="s">
        <v>15</v>
      </c>
      <c r="E11031" t="s">
        <v>15</v>
      </c>
      <c r="F11031" t="s">
        <v>20</v>
      </c>
      <c r="G11031" s="1">
        <f>VALUE(35494.49)</f>
        <v>35494.49</v>
      </c>
      <c r="H11031" s="1">
        <f>VALUE(29541.81)</f>
        <v>29541.81</v>
      </c>
      <c r="I11031" s="1">
        <f>VALUE(3356)</f>
        <v>3356</v>
      </c>
      <c r="J11031" s="1">
        <f>VALUE(3921)</f>
        <v>3921</v>
      </c>
      <c r="K11031" s="1">
        <f>VALUE(4811)</f>
        <v>4811</v>
      </c>
      <c r="L11031" s="1">
        <f>VALUE(5874)</f>
        <v>5874</v>
      </c>
      <c r="M11031" s="1">
        <f>VALUE(6909)</f>
        <v>6909</v>
      </c>
      <c r="N11031" t="s">
        <v>16</v>
      </c>
    </row>
    <row r="11032" spans="1:14" x14ac:dyDescent="0.25">
      <c r="A11032" t="s">
        <v>44</v>
      </c>
      <c r="B11032" t="s">
        <v>15</v>
      </c>
      <c r="C11032" t="s">
        <v>37</v>
      </c>
      <c r="D11032" t="s">
        <v>15</v>
      </c>
      <c r="E11032" t="s">
        <v>21</v>
      </c>
      <c r="F11032" t="s">
        <v>15</v>
      </c>
      <c r="G11032" s="1">
        <f>VALUE(14820.78)</f>
        <v>14820.78</v>
      </c>
      <c r="H11032" s="1">
        <f>VALUE(13143.35)</f>
        <v>13143.35</v>
      </c>
      <c r="I11032" s="1">
        <f>VALUE(4784)</f>
        <v>4784</v>
      </c>
      <c r="J11032" s="1">
        <f>VALUE(5870)</f>
        <v>5870</v>
      </c>
      <c r="K11032" s="1">
        <f>VALUE(7478)</f>
        <v>7478</v>
      </c>
      <c r="L11032" s="1">
        <f>VALUE(9888)</f>
        <v>9888</v>
      </c>
      <c r="M11032" s="1">
        <f>VALUE(13462)</f>
        <v>13462</v>
      </c>
      <c r="N11032" t="s">
        <v>16</v>
      </c>
    </row>
    <row r="11033" spans="1:14" x14ac:dyDescent="0.25">
      <c r="A11033" t="s">
        <v>44</v>
      </c>
      <c r="B11033" t="s">
        <v>15</v>
      </c>
      <c r="C11033" t="s">
        <v>37</v>
      </c>
      <c r="D11033" t="s">
        <v>15</v>
      </c>
      <c r="E11033" t="s">
        <v>21</v>
      </c>
      <c r="F11033" t="s">
        <v>17</v>
      </c>
      <c r="G11033" s="2">
        <f>VALUE(5007.42)</f>
        <v>5007.42</v>
      </c>
      <c r="H11033" s="3">
        <f>VALUE(4670.92)</f>
        <v>4670.92</v>
      </c>
      <c r="I11033" s="1">
        <f>VALUE(5750)</f>
        <v>5750</v>
      </c>
      <c r="J11033" s="1">
        <f>VALUE(7200)</f>
        <v>7200</v>
      </c>
      <c r="K11033" s="1">
        <f>VALUE(9630)</f>
        <v>9630</v>
      </c>
      <c r="L11033" s="1">
        <f>VALUE(13028)</f>
        <v>13028</v>
      </c>
      <c r="M11033" s="1">
        <f>VALUE(17694)</f>
        <v>17694</v>
      </c>
      <c r="N11033" t="s">
        <v>25</v>
      </c>
    </row>
    <row r="11034" spans="1:14" x14ac:dyDescent="0.25">
      <c r="A11034" t="s">
        <v>44</v>
      </c>
      <c r="B11034" t="s">
        <v>15</v>
      </c>
      <c r="C11034" t="s">
        <v>37</v>
      </c>
      <c r="D11034" t="s">
        <v>15</v>
      </c>
      <c r="E11034" t="s">
        <v>21</v>
      </c>
      <c r="F11034" t="s">
        <v>18</v>
      </c>
      <c r="G11034" s="2">
        <f>VALUE(2616.67)</f>
        <v>2616.67</v>
      </c>
      <c r="H11034" s="3">
        <f>VALUE(2418.69)</f>
        <v>2418.69</v>
      </c>
      <c r="I11034" s="1">
        <f>VALUE(5435)</f>
        <v>5435</v>
      </c>
      <c r="J11034" s="5">
        <f>VALUE(6486)</f>
        <v>6486</v>
      </c>
      <c r="K11034" s="1">
        <f>VALUE(8133)</f>
        <v>8133</v>
      </c>
      <c r="L11034" s="1">
        <f>VALUE(10350)</f>
        <v>10350</v>
      </c>
      <c r="M11034" s="1">
        <f>VALUE(12410)</f>
        <v>12410</v>
      </c>
      <c r="N11034" t="s">
        <v>25</v>
      </c>
    </row>
    <row r="11035" spans="1:14" x14ac:dyDescent="0.25">
      <c r="A11035" t="s">
        <v>44</v>
      </c>
      <c r="B11035" t="s">
        <v>15</v>
      </c>
      <c r="C11035" t="s">
        <v>37</v>
      </c>
      <c r="D11035" t="s">
        <v>15</v>
      </c>
      <c r="E11035" t="s">
        <v>21</v>
      </c>
      <c r="F11035" t="s">
        <v>19</v>
      </c>
      <c r="G11035" s="2">
        <f>VALUE(1783.52)</f>
        <v>1783.52</v>
      </c>
      <c r="H11035" s="3">
        <f>VALUE(1591.98)</f>
        <v>1591.98</v>
      </c>
      <c r="I11035" s="4">
        <f>VALUE(4484)</f>
        <v>4484</v>
      </c>
      <c r="J11035" s="1">
        <f>VALUE(5714)</f>
        <v>5714</v>
      </c>
      <c r="K11035" s="1">
        <f>VALUE(6980)</f>
        <v>6980</v>
      </c>
      <c r="L11035" s="1">
        <f>VALUE(7950)</f>
        <v>7950</v>
      </c>
      <c r="M11035" s="1">
        <f>VALUE(9524)</f>
        <v>9524</v>
      </c>
      <c r="N11035" t="s">
        <v>25</v>
      </c>
    </row>
    <row r="11036" spans="1:14" x14ac:dyDescent="0.25">
      <c r="A11036" t="s">
        <v>44</v>
      </c>
      <c r="B11036" t="s">
        <v>15</v>
      </c>
      <c r="C11036" t="s">
        <v>37</v>
      </c>
      <c r="D11036" t="s">
        <v>15</v>
      </c>
      <c r="E11036" t="s">
        <v>21</v>
      </c>
      <c r="F11036" t="s">
        <v>20</v>
      </c>
      <c r="G11036" s="1">
        <f>VALUE(5413.17)</f>
        <v>5413.17</v>
      </c>
      <c r="H11036" s="1">
        <f>VALUE(4461.76)</f>
        <v>4461.76</v>
      </c>
      <c r="I11036" s="1">
        <f>VALUE(4132)</f>
        <v>4132</v>
      </c>
      <c r="J11036" s="1">
        <f>VALUE(5095)</f>
        <v>5095</v>
      </c>
      <c r="K11036" s="1">
        <f>VALUE(6203)</f>
        <v>6203</v>
      </c>
      <c r="L11036" s="1">
        <f>VALUE(7469)</f>
        <v>7469</v>
      </c>
      <c r="M11036" s="1">
        <f>VALUE(8830)</f>
        <v>8830</v>
      </c>
      <c r="N11036" t="s">
        <v>16</v>
      </c>
    </row>
    <row r="11037" spans="1:14" x14ac:dyDescent="0.25">
      <c r="A11037" t="s">
        <v>44</v>
      </c>
      <c r="B11037" t="s">
        <v>15</v>
      </c>
      <c r="C11037" t="s">
        <v>37</v>
      </c>
      <c r="D11037" t="s">
        <v>15</v>
      </c>
      <c r="E11037" t="s">
        <v>22</v>
      </c>
      <c r="F11037" t="s">
        <v>15</v>
      </c>
      <c r="G11037" s="1">
        <f>VALUE(22581.09)</f>
        <v>22581.09</v>
      </c>
      <c r="H11037" s="1">
        <f>VALUE(19831.57)</f>
        <v>19831.57</v>
      </c>
      <c r="I11037" s="1">
        <f>VALUE(3893)</f>
        <v>3893</v>
      </c>
      <c r="J11037" s="1">
        <f>VALUE(4585)</f>
        <v>4585</v>
      </c>
      <c r="K11037" s="1">
        <f>VALUE(5503)</f>
        <v>5503</v>
      </c>
      <c r="L11037" s="1">
        <f>VALUE(6510)</f>
        <v>6510</v>
      </c>
      <c r="M11037" s="1">
        <f>VALUE(7972)</f>
        <v>7972</v>
      </c>
      <c r="N11037" t="s">
        <v>16</v>
      </c>
    </row>
    <row r="11038" spans="1:14" x14ac:dyDescent="0.25">
      <c r="A11038" t="s">
        <v>44</v>
      </c>
      <c r="B11038" t="s">
        <v>15</v>
      </c>
      <c r="C11038" t="s">
        <v>37</v>
      </c>
      <c r="D11038" t="s">
        <v>15</v>
      </c>
      <c r="E11038" t="s">
        <v>22</v>
      </c>
      <c r="F11038" t="s">
        <v>17</v>
      </c>
      <c r="G11038" s="2">
        <f>VALUE(3029.31)</f>
        <v>3029.31</v>
      </c>
      <c r="H11038" s="3">
        <f>VALUE(2919.09)</f>
        <v>2919.09</v>
      </c>
      <c r="I11038" s="4">
        <f>VALUE(4489)</f>
        <v>4489</v>
      </c>
      <c r="J11038" s="5">
        <f>VALUE(5363)</f>
        <v>5363</v>
      </c>
      <c r="K11038" s="1">
        <f>VALUE(6748)</f>
        <v>6748</v>
      </c>
      <c r="L11038" s="1">
        <f>VALUE(8644)</f>
        <v>8644</v>
      </c>
      <c r="M11038" s="8">
        <f>VALUE(12496)</f>
        <v>12496</v>
      </c>
      <c r="N11038" t="s">
        <v>25</v>
      </c>
    </row>
    <row r="11039" spans="1:14" x14ac:dyDescent="0.25">
      <c r="A11039" t="s">
        <v>44</v>
      </c>
      <c r="B11039" t="s">
        <v>15</v>
      </c>
      <c r="C11039" t="s">
        <v>37</v>
      </c>
      <c r="D11039" t="s">
        <v>15</v>
      </c>
      <c r="E11039" t="s">
        <v>22</v>
      </c>
      <c r="F11039" t="s">
        <v>18</v>
      </c>
      <c r="G11039" s="2">
        <f>VALUE(2273.89)</f>
        <v>2273.89</v>
      </c>
      <c r="H11039" s="1">
        <f>VALUE(2014.9)</f>
        <v>2014.9</v>
      </c>
      <c r="I11039" s="1">
        <f>VALUE(4569)</f>
        <v>4569</v>
      </c>
      <c r="J11039" s="1">
        <f>VALUE(5277)</f>
        <v>5277</v>
      </c>
      <c r="K11039" s="1">
        <f>VALUE(6326)</f>
        <v>6326</v>
      </c>
      <c r="L11039" s="1">
        <f>VALUE(7678)</f>
        <v>7678</v>
      </c>
      <c r="M11039" s="1">
        <f>VALUE(9707)</f>
        <v>9707</v>
      </c>
      <c r="N11039" t="s">
        <v>25</v>
      </c>
    </row>
    <row r="11040" spans="1:14" x14ac:dyDescent="0.25">
      <c r="A11040" t="s">
        <v>44</v>
      </c>
      <c r="B11040" t="s">
        <v>15</v>
      </c>
      <c r="C11040" t="s">
        <v>37</v>
      </c>
      <c r="D11040" t="s">
        <v>15</v>
      </c>
      <c r="E11040" t="s">
        <v>22</v>
      </c>
      <c r="F11040" t="s">
        <v>19</v>
      </c>
      <c r="G11040" s="1">
        <f>VALUE(3366.77)</f>
        <v>3366.77</v>
      </c>
      <c r="H11040" s="1">
        <f>VALUE(3020.45)</f>
        <v>3020.45</v>
      </c>
      <c r="I11040" s="1">
        <f>VALUE(4240)</f>
        <v>4240</v>
      </c>
      <c r="J11040" s="1">
        <f>VALUE(4843)</f>
        <v>4843</v>
      </c>
      <c r="K11040" s="1">
        <f>VALUE(5854)</f>
        <v>5854</v>
      </c>
      <c r="L11040" s="1">
        <f>VALUE(6572)</f>
        <v>6572</v>
      </c>
      <c r="M11040" s="1">
        <f>VALUE(7634)</f>
        <v>7634</v>
      </c>
      <c r="N11040" t="s">
        <v>16</v>
      </c>
    </row>
    <row r="11041" spans="1:14" x14ac:dyDescent="0.25">
      <c r="A11041" t="s">
        <v>44</v>
      </c>
      <c r="B11041" t="s">
        <v>15</v>
      </c>
      <c r="C11041" t="s">
        <v>37</v>
      </c>
      <c r="D11041" t="s">
        <v>15</v>
      </c>
      <c r="E11041" t="s">
        <v>22</v>
      </c>
      <c r="F11041" t="s">
        <v>20</v>
      </c>
      <c r="G11041" s="1">
        <f>VALUE(13911.12)</f>
        <v>13911.12</v>
      </c>
      <c r="H11041" s="1">
        <f>VALUE(11877.13)</f>
        <v>11877.13</v>
      </c>
      <c r="I11041" s="1">
        <f>VALUE(3755)</f>
        <v>3755</v>
      </c>
      <c r="J11041" s="1">
        <f>VALUE(4338)</f>
        <v>4338</v>
      </c>
      <c r="K11041" s="1">
        <f>VALUE(5199)</f>
        <v>5199</v>
      </c>
      <c r="L11041" s="1">
        <f>VALUE(5999)</f>
        <v>5999</v>
      </c>
      <c r="M11041" s="1">
        <f>VALUE(6780)</f>
        <v>6780</v>
      </c>
      <c r="N11041" t="s">
        <v>16</v>
      </c>
    </row>
    <row r="11042" spans="1:14" x14ac:dyDescent="0.25">
      <c r="A11042" t="s">
        <v>44</v>
      </c>
      <c r="B11042" t="s">
        <v>15</v>
      </c>
      <c r="C11042" t="s">
        <v>37</v>
      </c>
      <c r="D11042" t="s">
        <v>15</v>
      </c>
      <c r="E11042" t="s">
        <v>23</v>
      </c>
      <c r="F11042" t="s">
        <v>15</v>
      </c>
      <c r="G11042" s="1">
        <f>VALUE(18186.96)</f>
        <v>18186.96</v>
      </c>
      <c r="H11042" s="1">
        <f>VALUE(15153.98)</f>
        <v>15153.98</v>
      </c>
      <c r="I11042" s="1">
        <f>VALUE(3207)</f>
        <v>3207</v>
      </c>
      <c r="J11042" s="1">
        <f>VALUE(3559)</f>
        <v>3559</v>
      </c>
      <c r="K11042" s="1">
        <f>VALUE(4280)</f>
        <v>4280</v>
      </c>
      <c r="L11042" s="1">
        <f>VALUE(5273)</f>
        <v>5273</v>
      </c>
      <c r="M11042" s="1">
        <f>VALUE(6173)</f>
        <v>6173</v>
      </c>
      <c r="N11042" t="s">
        <v>16</v>
      </c>
    </row>
    <row r="11043" spans="1:14" x14ac:dyDescent="0.25">
      <c r="A11043" t="s">
        <v>44</v>
      </c>
      <c r="B11043" t="s">
        <v>15</v>
      </c>
      <c r="C11043" t="s">
        <v>37</v>
      </c>
      <c r="D11043" t="s">
        <v>15</v>
      </c>
      <c r="E11043" t="s">
        <v>23</v>
      </c>
      <c r="F11043" t="s">
        <v>17</v>
      </c>
      <c r="G11043" s="2">
        <f>VALUE(300.6)</f>
        <v>300.60000000000002</v>
      </c>
      <c r="H11043" s="3">
        <f>VALUE(283.46)</f>
        <v>283.45999999999998</v>
      </c>
      <c r="I11043" s="4">
        <f>VALUE(4000)</f>
        <v>4000</v>
      </c>
      <c r="J11043" s="5">
        <f>VALUE(5176)</f>
        <v>5176</v>
      </c>
      <c r="K11043" s="6">
        <f>VALUE(5977)</f>
        <v>5977</v>
      </c>
      <c r="L11043" s="7">
        <f>VALUE(6632)</f>
        <v>6632</v>
      </c>
      <c r="M11043" s="8">
        <f>VALUE(8447)</f>
        <v>8447</v>
      </c>
      <c r="N11043" t="s">
        <v>24</v>
      </c>
    </row>
    <row r="11044" spans="1:14" x14ac:dyDescent="0.25">
      <c r="A11044" t="s">
        <v>44</v>
      </c>
      <c r="B11044" t="s">
        <v>15</v>
      </c>
      <c r="C11044" t="s">
        <v>37</v>
      </c>
      <c r="D11044" t="s">
        <v>15</v>
      </c>
      <c r="E11044" t="s">
        <v>23</v>
      </c>
      <c r="F11044" t="s">
        <v>18</v>
      </c>
      <c r="G11044" s="2">
        <f>VALUE(691.04)</f>
        <v>691.04</v>
      </c>
      <c r="H11044" s="3">
        <f>VALUE(660.7)</f>
        <v>660.7</v>
      </c>
      <c r="I11044" s="4">
        <f>VALUE(3786)</f>
        <v>3786</v>
      </c>
      <c r="J11044" s="5">
        <f>VALUE(4766)</f>
        <v>4766</v>
      </c>
      <c r="K11044" s="6">
        <f>VALUE(5461)</f>
        <v>5461</v>
      </c>
      <c r="L11044" s="1">
        <f>VALUE(5961)</f>
        <v>5961</v>
      </c>
      <c r="M11044" s="1">
        <f>VALUE(6532)</f>
        <v>6532</v>
      </c>
      <c r="N11044" t="s">
        <v>25</v>
      </c>
    </row>
    <row r="11045" spans="1:14" x14ac:dyDescent="0.25">
      <c r="A11045" t="s">
        <v>44</v>
      </c>
      <c r="B11045" t="s">
        <v>15</v>
      </c>
      <c r="C11045" t="s">
        <v>37</v>
      </c>
      <c r="D11045" t="s">
        <v>15</v>
      </c>
      <c r="E11045" t="s">
        <v>23</v>
      </c>
      <c r="F11045" t="s">
        <v>19</v>
      </c>
      <c r="G11045" s="2">
        <f>VALUE(1376.53)</f>
        <v>1376.53</v>
      </c>
      <c r="H11045" s="3">
        <f>VALUE(1329.74)</f>
        <v>1329.74</v>
      </c>
      <c r="I11045" s="4">
        <f>VALUE(3277)</f>
        <v>3277</v>
      </c>
      <c r="J11045" s="5">
        <f>VALUE(4064)</f>
        <v>4064</v>
      </c>
      <c r="K11045" s="1">
        <f>VALUE(5015)</f>
        <v>5015</v>
      </c>
      <c r="L11045" s="1">
        <f>VALUE(6096)</f>
        <v>6096</v>
      </c>
      <c r="M11045" s="8">
        <f>VALUE(6793)</f>
        <v>6793</v>
      </c>
      <c r="N11045" t="s">
        <v>25</v>
      </c>
    </row>
    <row r="11046" spans="1:14" x14ac:dyDescent="0.25">
      <c r="A11046" t="s">
        <v>44</v>
      </c>
      <c r="B11046" t="s">
        <v>15</v>
      </c>
      <c r="C11046" t="s">
        <v>37</v>
      </c>
      <c r="D11046" t="s">
        <v>15</v>
      </c>
      <c r="E11046" t="s">
        <v>23</v>
      </c>
      <c r="F11046" t="s">
        <v>20</v>
      </c>
      <c r="G11046" s="1">
        <f>VALUE(15818.79)</f>
        <v>15818.79</v>
      </c>
      <c r="H11046" s="1">
        <f>VALUE(12880.08)</f>
        <v>12880.08</v>
      </c>
      <c r="I11046" s="1">
        <f>VALUE(3163)</f>
        <v>3163</v>
      </c>
      <c r="J11046" s="1">
        <f>VALUE(3514)</f>
        <v>3514</v>
      </c>
      <c r="K11046" s="1">
        <f>VALUE(4154)</f>
        <v>4154</v>
      </c>
      <c r="L11046" s="1">
        <f>VALUE(4991)</f>
        <v>4991</v>
      </c>
      <c r="M11046" s="1">
        <f>VALUE(5897)</f>
        <v>5897</v>
      </c>
      <c r="N11046" t="s">
        <v>16</v>
      </c>
    </row>
    <row r="11047" spans="1:14" x14ac:dyDescent="0.25">
      <c r="A11047" t="s">
        <v>44</v>
      </c>
      <c r="B11047" t="s">
        <v>15</v>
      </c>
      <c r="C11047" t="s">
        <v>37</v>
      </c>
      <c r="D11047" t="s">
        <v>15</v>
      </c>
      <c r="E11047" t="s">
        <v>26</v>
      </c>
      <c r="F11047" t="s">
        <v>15</v>
      </c>
      <c r="G11047" s="2">
        <f>VALUE(544.1)</f>
        <v>544.1</v>
      </c>
      <c r="H11047" s="3">
        <f>VALUE(489.04)</f>
        <v>489.04</v>
      </c>
      <c r="I11047" s="1">
        <f>VALUE(3758)</f>
        <v>3758</v>
      </c>
      <c r="J11047" s="5">
        <f>VALUE(4772)</f>
        <v>4772</v>
      </c>
      <c r="K11047" s="6">
        <f>VALUE(5601)</f>
        <v>5601</v>
      </c>
      <c r="L11047" s="1">
        <f>VALUE(7077)</f>
        <v>7077</v>
      </c>
      <c r="M11047" s="1">
        <f>VALUE(9038)</f>
        <v>9038</v>
      </c>
      <c r="N11047" t="s">
        <v>25</v>
      </c>
    </row>
    <row r="11048" spans="1:14" x14ac:dyDescent="0.25">
      <c r="A11048" t="s">
        <v>44</v>
      </c>
      <c r="B11048" t="s">
        <v>15</v>
      </c>
      <c r="C11048" t="s">
        <v>37</v>
      </c>
      <c r="D11048" t="s">
        <v>15</v>
      </c>
      <c r="E11048" t="s">
        <v>26</v>
      </c>
      <c r="F11048" t="s">
        <v>17</v>
      </c>
      <c r="G11048" s="1" t="str">
        <f t="shared" ref="G11048:M11050" si="2499">"X"</f>
        <v>X</v>
      </c>
      <c r="H11048" s="1" t="str">
        <f t="shared" si="2499"/>
        <v>X</v>
      </c>
      <c r="I11048" s="1" t="str">
        <f t="shared" si="2499"/>
        <v>X</v>
      </c>
      <c r="J11048" s="1" t="str">
        <f t="shared" si="2499"/>
        <v>X</v>
      </c>
      <c r="K11048" s="1" t="str">
        <f t="shared" si="2499"/>
        <v>X</v>
      </c>
      <c r="L11048" s="1" t="str">
        <f t="shared" si="2499"/>
        <v>X</v>
      </c>
      <c r="M11048" s="1" t="str">
        <f t="shared" si="2499"/>
        <v>X</v>
      </c>
      <c r="N11048" t="s">
        <v>27</v>
      </c>
    </row>
    <row r="11049" spans="1:14" x14ac:dyDescent="0.25">
      <c r="A11049" t="s">
        <v>44</v>
      </c>
      <c r="B11049" t="s">
        <v>15</v>
      </c>
      <c r="C11049" t="s">
        <v>37</v>
      </c>
      <c r="D11049" t="s">
        <v>15</v>
      </c>
      <c r="E11049" t="s">
        <v>26</v>
      </c>
      <c r="F11049" t="s">
        <v>18</v>
      </c>
      <c r="G11049" s="1" t="str">
        <f t="shared" si="2499"/>
        <v>X</v>
      </c>
      <c r="H11049" s="1" t="str">
        <f t="shared" si="2499"/>
        <v>X</v>
      </c>
      <c r="I11049" s="1" t="str">
        <f t="shared" si="2499"/>
        <v>X</v>
      </c>
      <c r="J11049" s="1" t="str">
        <f t="shared" si="2499"/>
        <v>X</v>
      </c>
      <c r="K11049" s="1" t="str">
        <f t="shared" si="2499"/>
        <v>X</v>
      </c>
      <c r="L11049" s="1" t="str">
        <f t="shared" si="2499"/>
        <v>X</v>
      </c>
      <c r="M11049" s="1" t="str">
        <f t="shared" si="2499"/>
        <v>X</v>
      </c>
      <c r="N11049" t="s">
        <v>27</v>
      </c>
    </row>
    <row r="11050" spans="1:14" x14ac:dyDescent="0.25">
      <c r="A11050" t="s">
        <v>44</v>
      </c>
      <c r="B11050" t="s">
        <v>15</v>
      </c>
      <c r="C11050" t="s">
        <v>37</v>
      </c>
      <c r="D11050" t="s">
        <v>15</v>
      </c>
      <c r="E11050" t="s">
        <v>26</v>
      </c>
      <c r="F11050" t="s">
        <v>19</v>
      </c>
      <c r="G11050" s="1" t="str">
        <f t="shared" si="2499"/>
        <v>X</v>
      </c>
      <c r="H11050" s="1" t="str">
        <f t="shared" si="2499"/>
        <v>X</v>
      </c>
      <c r="I11050" s="1" t="str">
        <f t="shared" si="2499"/>
        <v>X</v>
      </c>
      <c r="J11050" s="1" t="str">
        <f t="shared" si="2499"/>
        <v>X</v>
      </c>
      <c r="K11050" s="1" t="str">
        <f t="shared" si="2499"/>
        <v>X</v>
      </c>
      <c r="L11050" s="1" t="str">
        <f t="shared" si="2499"/>
        <v>X</v>
      </c>
      <c r="M11050" s="1" t="str">
        <f t="shared" si="2499"/>
        <v>X</v>
      </c>
      <c r="N11050" t="s">
        <v>27</v>
      </c>
    </row>
    <row r="11051" spans="1:14" x14ac:dyDescent="0.25">
      <c r="A11051" t="s">
        <v>44</v>
      </c>
      <c r="B11051" t="s">
        <v>15</v>
      </c>
      <c r="C11051" t="s">
        <v>37</v>
      </c>
      <c r="D11051" t="s">
        <v>15</v>
      </c>
      <c r="E11051" t="s">
        <v>26</v>
      </c>
      <c r="F11051" t="s">
        <v>20</v>
      </c>
      <c r="G11051" s="2">
        <f>VALUE(351.41)</f>
        <v>351.41</v>
      </c>
      <c r="H11051" s="3">
        <f>VALUE(322.84)</f>
        <v>322.83999999999997</v>
      </c>
      <c r="I11051" s="1">
        <f>VALUE(3514)</f>
        <v>3514</v>
      </c>
      <c r="J11051" s="5">
        <f>VALUE(4224)</f>
        <v>4224</v>
      </c>
      <c r="K11051" s="6">
        <f>VALUE(5437)</f>
        <v>5437</v>
      </c>
      <c r="L11051" s="1">
        <f>VALUE(6450)</f>
        <v>6450</v>
      </c>
      <c r="M11051" s="1">
        <f>VALUE(8031)</f>
        <v>8031</v>
      </c>
      <c r="N11051" t="s">
        <v>25</v>
      </c>
    </row>
    <row r="11052" spans="1:14" x14ac:dyDescent="0.25">
      <c r="A11052" t="s">
        <v>44</v>
      </c>
      <c r="B11052" t="s">
        <v>15</v>
      </c>
      <c r="C11052" t="s">
        <v>37</v>
      </c>
      <c r="D11052" t="s">
        <v>28</v>
      </c>
      <c r="E11052" t="s">
        <v>15</v>
      </c>
      <c r="F11052" t="s">
        <v>15</v>
      </c>
      <c r="G11052" s="1">
        <f>VALUE(19754.02)</f>
        <v>19754.02</v>
      </c>
      <c r="H11052" s="1">
        <f>VALUE(16059.6)</f>
        <v>16059.6</v>
      </c>
      <c r="I11052" s="1">
        <f>VALUE(4226)</f>
        <v>4226</v>
      </c>
      <c r="J11052" s="1">
        <f>VALUE(5175)</f>
        <v>5175</v>
      </c>
      <c r="K11052" s="1">
        <f>VALUE(6272)</f>
        <v>6272</v>
      </c>
      <c r="L11052" s="1">
        <f>VALUE(8042)</f>
        <v>8042</v>
      </c>
      <c r="M11052" s="1">
        <f>VALUE(11001)</f>
        <v>11001</v>
      </c>
      <c r="N11052" t="s">
        <v>16</v>
      </c>
    </row>
    <row r="11053" spans="1:14" x14ac:dyDescent="0.25">
      <c r="A11053" t="s">
        <v>44</v>
      </c>
      <c r="B11053" t="s">
        <v>15</v>
      </c>
      <c r="C11053" t="s">
        <v>37</v>
      </c>
      <c r="D11053" t="s">
        <v>28</v>
      </c>
      <c r="E11053" t="s">
        <v>15</v>
      </c>
      <c r="F11053" t="s">
        <v>17</v>
      </c>
      <c r="G11053" s="2">
        <f>VALUE(4663.2)</f>
        <v>4663.2</v>
      </c>
      <c r="H11053" s="3">
        <f>VALUE(4323.79)</f>
        <v>4323.79</v>
      </c>
      <c r="I11053" s="4">
        <f>VALUE(5176)</f>
        <v>5176</v>
      </c>
      <c r="J11053" s="1">
        <f>VALUE(6427)</f>
        <v>6427</v>
      </c>
      <c r="K11053" s="1">
        <f>VALUE(8406)</f>
        <v>8406</v>
      </c>
      <c r="L11053" s="1">
        <f>VALUE(11340)</f>
        <v>11340</v>
      </c>
      <c r="M11053" s="8">
        <f>VALUE(15866)</f>
        <v>15866</v>
      </c>
      <c r="N11053" t="s">
        <v>25</v>
      </c>
    </row>
    <row r="11054" spans="1:14" x14ac:dyDescent="0.25">
      <c r="A11054" t="s">
        <v>44</v>
      </c>
      <c r="B11054" t="s">
        <v>15</v>
      </c>
      <c r="C11054" t="s">
        <v>37</v>
      </c>
      <c r="D11054" t="s">
        <v>28</v>
      </c>
      <c r="E11054" t="s">
        <v>15</v>
      </c>
      <c r="F11054" t="s">
        <v>18</v>
      </c>
      <c r="G11054" s="2">
        <f>VALUE(2470.6)</f>
        <v>2470.6</v>
      </c>
      <c r="H11054" s="1">
        <f>VALUE(2100.2)</f>
        <v>2100.1999999999998</v>
      </c>
      <c r="I11054" s="1">
        <f>VALUE(5133)</f>
        <v>5133</v>
      </c>
      <c r="J11054" s="1">
        <f>VALUE(6108)</f>
        <v>6108</v>
      </c>
      <c r="K11054" s="1">
        <f>VALUE(7507)</f>
        <v>7507</v>
      </c>
      <c r="L11054" s="1">
        <f>VALUE(9601)</f>
        <v>9601</v>
      </c>
      <c r="M11054" s="1">
        <f>VALUE(11662)</f>
        <v>11662</v>
      </c>
      <c r="N11054" t="s">
        <v>25</v>
      </c>
    </row>
    <row r="11055" spans="1:14" x14ac:dyDescent="0.25">
      <c r="A11055" t="s">
        <v>44</v>
      </c>
      <c r="B11055" t="s">
        <v>15</v>
      </c>
      <c r="C11055" t="s">
        <v>37</v>
      </c>
      <c r="D11055" t="s">
        <v>28</v>
      </c>
      <c r="E11055" t="s">
        <v>15</v>
      </c>
      <c r="F11055" t="s">
        <v>19</v>
      </c>
      <c r="G11055" s="2">
        <f>VALUE(2377.82)</f>
        <v>2377.8200000000002</v>
      </c>
      <c r="H11055" s="3">
        <f>VALUE(2017)</f>
        <v>2017</v>
      </c>
      <c r="I11055" s="1">
        <f>VALUE(4466)</f>
        <v>4466</v>
      </c>
      <c r="J11055" s="1">
        <f>VALUE(5449)</f>
        <v>5449</v>
      </c>
      <c r="K11055" s="1">
        <f>VALUE(6221)</f>
        <v>6221</v>
      </c>
      <c r="L11055" s="1">
        <f>VALUE(7238)</f>
        <v>7238</v>
      </c>
      <c r="M11055" s="1">
        <f>VALUE(8649)</f>
        <v>8649</v>
      </c>
      <c r="N11055" t="s">
        <v>25</v>
      </c>
    </row>
    <row r="11056" spans="1:14" x14ac:dyDescent="0.25">
      <c r="A11056" t="s">
        <v>44</v>
      </c>
      <c r="B11056" t="s">
        <v>15</v>
      </c>
      <c r="C11056" t="s">
        <v>37</v>
      </c>
      <c r="D11056" t="s">
        <v>28</v>
      </c>
      <c r="E11056" t="s">
        <v>15</v>
      </c>
      <c r="F11056" t="s">
        <v>20</v>
      </c>
      <c r="G11056" s="1">
        <f>VALUE(10242.4)</f>
        <v>10242.4</v>
      </c>
      <c r="H11056" s="1">
        <f>VALUE(7618.61)</f>
        <v>7618.61</v>
      </c>
      <c r="I11056" s="1">
        <f>VALUE(3939)</f>
        <v>3939</v>
      </c>
      <c r="J11056" s="1">
        <f>VALUE(4608)</f>
        <v>4608</v>
      </c>
      <c r="K11056" s="1">
        <f>VALUE(5536)</f>
        <v>5536</v>
      </c>
      <c r="L11056" s="1">
        <f>VALUE(6406)</f>
        <v>6406</v>
      </c>
      <c r="M11056" s="1">
        <f>VALUE(7589)</f>
        <v>7589</v>
      </c>
      <c r="N11056" t="s">
        <v>16</v>
      </c>
    </row>
    <row r="11057" spans="1:14" x14ac:dyDescent="0.25">
      <c r="A11057" t="s">
        <v>44</v>
      </c>
      <c r="B11057" t="s">
        <v>15</v>
      </c>
      <c r="C11057" t="s">
        <v>37</v>
      </c>
      <c r="D11057" t="s">
        <v>28</v>
      </c>
      <c r="E11057" t="s">
        <v>21</v>
      </c>
      <c r="F11057" t="s">
        <v>15</v>
      </c>
      <c r="G11057" s="1">
        <f>VALUE(6160.46)</f>
        <v>6160.46</v>
      </c>
      <c r="H11057" s="1">
        <f>VALUE(5160.42)</f>
        <v>5160.42</v>
      </c>
      <c r="I11057" s="1">
        <f>VALUE(5504)</f>
        <v>5504</v>
      </c>
      <c r="J11057" s="1">
        <f>VALUE(6575)</f>
        <v>6575</v>
      </c>
      <c r="K11057" s="1">
        <f>VALUE(8142)</f>
        <v>8142</v>
      </c>
      <c r="L11057" s="1">
        <f>VALUE(10713)</f>
        <v>10713</v>
      </c>
      <c r="M11057" s="1">
        <f>VALUE(14244)</f>
        <v>14244</v>
      </c>
      <c r="N11057" t="s">
        <v>16</v>
      </c>
    </row>
    <row r="11058" spans="1:14" x14ac:dyDescent="0.25">
      <c r="A11058" t="s">
        <v>44</v>
      </c>
      <c r="B11058" t="s">
        <v>15</v>
      </c>
      <c r="C11058" t="s">
        <v>37</v>
      </c>
      <c r="D11058" t="s">
        <v>28</v>
      </c>
      <c r="E11058" t="s">
        <v>21</v>
      </c>
      <c r="F11058" t="s">
        <v>17</v>
      </c>
      <c r="G11058" s="2">
        <f>VALUE(2610.82)</f>
        <v>2610.8200000000002</v>
      </c>
      <c r="H11058" s="3">
        <f>VALUE(2385.25)</f>
        <v>2385.25</v>
      </c>
      <c r="I11058" s="1">
        <f>VALUE(5974)</f>
        <v>5974</v>
      </c>
      <c r="J11058" s="1">
        <f>VALUE(7582)</f>
        <v>7582</v>
      </c>
      <c r="K11058" s="6">
        <f>VALUE(9318)</f>
        <v>9318</v>
      </c>
      <c r="L11058" s="7">
        <f>VALUE(12997)</f>
        <v>12997</v>
      </c>
      <c r="M11058" s="1">
        <f>VALUE(17048)</f>
        <v>17048</v>
      </c>
      <c r="N11058" t="s">
        <v>25</v>
      </c>
    </row>
    <row r="11059" spans="1:14" x14ac:dyDescent="0.25">
      <c r="A11059" t="s">
        <v>44</v>
      </c>
      <c r="B11059" t="s">
        <v>15</v>
      </c>
      <c r="C11059" t="s">
        <v>37</v>
      </c>
      <c r="D11059" t="s">
        <v>28</v>
      </c>
      <c r="E11059" t="s">
        <v>21</v>
      </c>
      <c r="F11059" t="s">
        <v>18</v>
      </c>
      <c r="G11059" s="2">
        <f>VALUE(1075.88)</f>
        <v>1075.8800000000001</v>
      </c>
      <c r="H11059" s="3">
        <f>VALUE(954.15)</f>
        <v>954.15</v>
      </c>
      <c r="I11059" s="1">
        <f>VALUE(6316)</f>
        <v>6316</v>
      </c>
      <c r="J11059" s="1">
        <f>VALUE(7136)</f>
        <v>7136</v>
      </c>
      <c r="K11059" s="1">
        <f>VALUE(8569)</f>
        <v>8569</v>
      </c>
      <c r="L11059" s="1">
        <f>VALUE(10760)</f>
        <v>10760</v>
      </c>
      <c r="M11059" s="1">
        <f>VALUE(12425)</f>
        <v>12425</v>
      </c>
      <c r="N11059" t="s">
        <v>25</v>
      </c>
    </row>
    <row r="11060" spans="1:14" x14ac:dyDescent="0.25">
      <c r="A11060" t="s">
        <v>44</v>
      </c>
      <c r="B11060" t="s">
        <v>15</v>
      </c>
      <c r="C11060" t="s">
        <v>37</v>
      </c>
      <c r="D11060" t="s">
        <v>28</v>
      </c>
      <c r="E11060" t="s">
        <v>21</v>
      </c>
      <c r="F11060" t="s">
        <v>19</v>
      </c>
      <c r="G11060" s="2">
        <f>VALUE(636.25)</f>
        <v>636.25</v>
      </c>
      <c r="H11060" s="3">
        <f>VALUE(530.43)</f>
        <v>530.42999999999995</v>
      </c>
      <c r="I11060" s="4">
        <f>VALUE(5436)</f>
        <v>5436</v>
      </c>
      <c r="J11060" s="1">
        <f>VALUE(6158)</f>
        <v>6158</v>
      </c>
      <c r="K11060" s="1">
        <f>VALUE(7379)</f>
        <v>7379</v>
      </c>
      <c r="L11060" s="1">
        <f>VALUE(8600)</f>
        <v>8600</v>
      </c>
      <c r="M11060" s="1">
        <f>VALUE(9549)</f>
        <v>9549</v>
      </c>
      <c r="N11060" t="s">
        <v>25</v>
      </c>
    </row>
    <row r="11061" spans="1:14" x14ac:dyDescent="0.25">
      <c r="A11061" t="s">
        <v>44</v>
      </c>
      <c r="B11061" t="s">
        <v>15</v>
      </c>
      <c r="C11061" t="s">
        <v>37</v>
      </c>
      <c r="D11061" t="s">
        <v>28</v>
      </c>
      <c r="E11061" t="s">
        <v>21</v>
      </c>
      <c r="F11061" t="s">
        <v>20</v>
      </c>
      <c r="G11061" s="2">
        <f>VALUE(1837.51)</f>
        <v>1837.51</v>
      </c>
      <c r="H11061" s="3">
        <f>VALUE(1290.59)</f>
        <v>1290.5899999999999</v>
      </c>
      <c r="I11061" s="1">
        <f>VALUE(4941)</f>
        <v>4941</v>
      </c>
      <c r="J11061" s="1">
        <f>VALUE(5877)</f>
        <v>5877</v>
      </c>
      <c r="K11061" s="1">
        <f>VALUE(6824)</f>
        <v>6824</v>
      </c>
      <c r="L11061" s="1">
        <f>VALUE(8067)</f>
        <v>8067</v>
      </c>
      <c r="M11061" s="1">
        <f>VALUE(9709)</f>
        <v>9709</v>
      </c>
      <c r="N11061" t="s">
        <v>25</v>
      </c>
    </row>
    <row r="11062" spans="1:14" x14ac:dyDescent="0.25">
      <c r="A11062" t="s">
        <v>44</v>
      </c>
      <c r="B11062" t="s">
        <v>15</v>
      </c>
      <c r="C11062" t="s">
        <v>37</v>
      </c>
      <c r="D11062" t="s">
        <v>28</v>
      </c>
      <c r="E11062" t="s">
        <v>22</v>
      </c>
      <c r="F11062" t="s">
        <v>15</v>
      </c>
      <c r="G11062" s="1">
        <f>VALUE(11078.65)</f>
        <v>11078.65</v>
      </c>
      <c r="H11062" s="1">
        <f>VALUE(9144.98)</f>
        <v>9144.98</v>
      </c>
      <c r="I11062" s="1">
        <f>VALUE(4225)</f>
        <v>4225</v>
      </c>
      <c r="J11062" s="1">
        <f>VALUE(5040)</f>
        <v>5040</v>
      </c>
      <c r="K11062" s="1">
        <f>VALUE(5950)</f>
        <v>5950</v>
      </c>
      <c r="L11062" s="1">
        <f>VALUE(6913)</f>
        <v>6913</v>
      </c>
      <c r="M11062" s="1">
        <f>VALUE(8665)</f>
        <v>8665</v>
      </c>
      <c r="N11062" t="s">
        <v>16</v>
      </c>
    </row>
    <row r="11063" spans="1:14" x14ac:dyDescent="0.25">
      <c r="A11063" t="s">
        <v>44</v>
      </c>
      <c r="B11063" t="s">
        <v>15</v>
      </c>
      <c r="C11063" t="s">
        <v>37</v>
      </c>
      <c r="D11063" t="s">
        <v>28</v>
      </c>
      <c r="E11063" t="s">
        <v>22</v>
      </c>
      <c r="F11063" t="s">
        <v>17</v>
      </c>
      <c r="G11063" s="2">
        <f>VALUE(1880.86)</f>
        <v>1880.86</v>
      </c>
      <c r="H11063" s="3">
        <f>VALUE(1780.07)</f>
        <v>1780.07</v>
      </c>
      <c r="I11063" s="4">
        <f>VALUE(4489)</f>
        <v>4489</v>
      </c>
      <c r="J11063" s="5">
        <f>VALUE(5893)</f>
        <v>5893</v>
      </c>
      <c r="K11063" s="6">
        <f>VALUE(6932)</f>
        <v>6932</v>
      </c>
      <c r="L11063" s="7">
        <f>VALUE(8830)</f>
        <v>8830</v>
      </c>
      <c r="M11063" s="8">
        <f>VALUE(13079)</f>
        <v>13079</v>
      </c>
      <c r="N11063" t="s">
        <v>24</v>
      </c>
    </row>
    <row r="11064" spans="1:14" x14ac:dyDescent="0.25">
      <c r="A11064" t="s">
        <v>44</v>
      </c>
      <c r="B11064" t="s">
        <v>15</v>
      </c>
      <c r="C11064" t="s">
        <v>37</v>
      </c>
      <c r="D11064" t="s">
        <v>28</v>
      </c>
      <c r="E11064" t="s">
        <v>22</v>
      </c>
      <c r="F11064" t="s">
        <v>18</v>
      </c>
      <c r="G11064" s="2">
        <f>VALUE(1300.12)</f>
        <v>1300.1199999999999</v>
      </c>
      <c r="H11064" s="3">
        <f>VALUE(1075.88)</f>
        <v>1075.8800000000001</v>
      </c>
      <c r="I11064" s="4">
        <f>VALUE(4766)</f>
        <v>4766</v>
      </c>
      <c r="J11064" s="1">
        <f>VALUE(5654)</f>
        <v>5654</v>
      </c>
      <c r="K11064" s="1">
        <f>VALUE(6712)</f>
        <v>6712</v>
      </c>
      <c r="L11064" s="1">
        <f>VALUE(8164)</f>
        <v>8164</v>
      </c>
      <c r="M11064" s="1">
        <f>VALUE(10160)</f>
        <v>10160</v>
      </c>
      <c r="N11064" t="s">
        <v>25</v>
      </c>
    </row>
    <row r="11065" spans="1:14" x14ac:dyDescent="0.25">
      <c r="A11065" t="s">
        <v>44</v>
      </c>
      <c r="B11065" t="s">
        <v>15</v>
      </c>
      <c r="C11065" t="s">
        <v>37</v>
      </c>
      <c r="D11065" t="s">
        <v>28</v>
      </c>
      <c r="E11065" t="s">
        <v>22</v>
      </c>
      <c r="F11065" t="s">
        <v>19</v>
      </c>
      <c r="G11065" s="2">
        <f>VALUE(1515.91)</f>
        <v>1515.91</v>
      </c>
      <c r="H11065" s="3">
        <f>VALUE(1279.56)</f>
        <v>1279.56</v>
      </c>
      <c r="I11065" s="1">
        <f>VALUE(4526)</f>
        <v>4526</v>
      </c>
      <c r="J11065" s="1">
        <f>VALUE(5260)</f>
        <v>5260</v>
      </c>
      <c r="K11065" s="1">
        <f>VALUE(6135)</f>
        <v>6135</v>
      </c>
      <c r="L11065" s="1">
        <f>VALUE(6791)</f>
        <v>6791</v>
      </c>
      <c r="M11065" s="1">
        <f>VALUE(7805)</f>
        <v>7805</v>
      </c>
      <c r="N11065" t="s">
        <v>25</v>
      </c>
    </row>
    <row r="11066" spans="1:14" x14ac:dyDescent="0.25">
      <c r="A11066" t="s">
        <v>44</v>
      </c>
      <c r="B11066" t="s">
        <v>15</v>
      </c>
      <c r="C11066" t="s">
        <v>37</v>
      </c>
      <c r="D11066" t="s">
        <v>28</v>
      </c>
      <c r="E11066" t="s">
        <v>22</v>
      </c>
      <c r="F11066" t="s">
        <v>20</v>
      </c>
      <c r="G11066" s="1">
        <f>VALUE(6381.76)</f>
        <v>6381.76</v>
      </c>
      <c r="H11066" s="1">
        <f>VALUE(5009.47)</f>
        <v>5009.47</v>
      </c>
      <c r="I11066" s="1">
        <f>VALUE(4030)</f>
        <v>4030</v>
      </c>
      <c r="J11066" s="1">
        <f>VALUE(4706)</f>
        <v>4706</v>
      </c>
      <c r="K11066" s="1">
        <f>VALUE(5536)</f>
        <v>5536</v>
      </c>
      <c r="L11066" s="1">
        <f>VALUE(6291)</f>
        <v>6291</v>
      </c>
      <c r="M11066" s="1">
        <f>VALUE(7081)</f>
        <v>7081</v>
      </c>
      <c r="N11066" t="s">
        <v>16</v>
      </c>
    </row>
    <row r="11067" spans="1:14" x14ac:dyDescent="0.25">
      <c r="A11067" t="s">
        <v>44</v>
      </c>
      <c r="B11067" t="s">
        <v>15</v>
      </c>
      <c r="C11067" t="s">
        <v>37</v>
      </c>
      <c r="D11067" t="s">
        <v>28</v>
      </c>
      <c r="E11067" t="s">
        <v>23</v>
      </c>
      <c r="F11067" t="s">
        <v>15</v>
      </c>
      <c r="G11067" s="2">
        <f>VALUE(2320.74)</f>
        <v>2320.7399999999998</v>
      </c>
      <c r="H11067" s="3">
        <f>VALUE(1616.92)</f>
        <v>1616.92</v>
      </c>
      <c r="I11067" s="1">
        <f>VALUE(3465)</f>
        <v>3465</v>
      </c>
      <c r="J11067" s="1">
        <f>VALUE(4012)</f>
        <v>4012</v>
      </c>
      <c r="K11067" s="1">
        <f>VALUE(4587)</f>
        <v>4587</v>
      </c>
      <c r="L11067" s="1">
        <f>VALUE(5618)</f>
        <v>5618</v>
      </c>
      <c r="M11067" s="1">
        <f>VALUE(6488)</f>
        <v>6488</v>
      </c>
      <c r="N11067" t="s">
        <v>25</v>
      </c>
    </row>
    <row r="11068" spans="1:14" x14ac:dyDescent="0.25">
      <c r="A11068" t="s">
        <v>44</v>
      </c>
      <c r="B11068" t="s">
        <v>15</v>
      </c>
      <c r="C11068" t="s">
        <v>37</v>
      </c>
      <c r="D11068" t="s">
        <v>28</v>
      </c>
      <c r="E11068" t="s">
        <v>23</v>
      </c>
      <c r="F11068" t="s">
        <v>17</v>
      </c>
      <c r="G11068" s="1" t="str">
        <f t="shared" ref="G11068:M11070" si="2500">"X"</f>
        <v>X</v>
      </c>
      <c r="H11068" s="1" t="str">
        <f t="shared" si="2500"/>
        <v>X</v>
      </c>
      <c r="I11068" s="1" t="str">
        <f t="shared" si="2500"/>
        <v>X</v>
      </c>
      <c r="J11068" s="1" t="str">
        <f t="shared" si="2500"/>
        <v>X</v>
      </c>
      <c r="K11068" s="1" t="str">
        <f t="shared" si="2500"/>
        <v>X</v>
      </c>
      <c r="L11068" s="1" t="str">
        <f t="shared" si="2500"/>
        <v>X</v>
      </c>
      <c r="M11068" s="1" t="str">
        <f t="shared" si="2500"/>
        <v>X</v>
      </c>
      <c r="N11068" t="s">
        <v>27</v>
      </c>
    </row>
    <row r="11069" spans="1:14" x14ac:dyDescent="0.25">
      <c r="A11069" t="s">
        <v>44</v>
      </c>
      <c r="B11069" t="s">
        <v>15</v>
      </c>
      <c r="C11069" t="s">
        <v>37</v>
      </c>
      <c r="D11069" t="s">
        <v>28</v>
      </c>
      <c r="E11069" t="s">
        <v>23</v>
      </c>
      <c r="F11069" t="s">
        <v>18</v>
      </c>
      <c r="G11069" s="1" t="str">
        <f t="shared" si="2500"/>
        <v>X</v>
      </c>
      <c r="H11069" s="1" t="str">
        <f t="shared" si="2500"/>
        <v>X</v>
      </c>
      <c r="I11069" s="1" t="str">
        <f t="shared" si="2500"/>
        <v>X</v>
      </c>
      <c r="J11069" s="1" t="str">
        <f t="shared" si="2500"/>
        <v>X</v>
      </c>
      <c r="K11069" s="1" t="str">
        <f t="shared" si="2500"/>
        <v>X</v>
      </c>
      <c r="L11069" s="1" t="str">
        <f t="shared" si="2500"/>
        <v>X</v>
      </c>
      <c r="M11069" s="1" t="str">
        <f t="shared" si="2500"/>
        <v>X</v>
      </c>
      <c r="N11069" t="s">
        <v>27</v>
      </c>
    </row>
    <row r="11070" spans="1:14" x14ac:dyDescent="0.25">
      <c r="A11070" t="s">
        <v>44</v>
      </c>
      <c r="B11070" t="s">
        <v>15</v>
      </c>
      <c r="C11070" t="s">
        <v>37</v>
      </c>
      <c r="D11070" t="s">
        <v>28</v>
      </c>
      <c r="E11070" t="s">
        <v>23</v>
      </c>
      <c r="F11070" t="s">
        <v>19</v>
      </c>
      <c r="G11070" s="1" t="str">
        <f t="shared" si="2500"/>
        <v>X</v>
      </c>
      <c r="H11070" s="1" t="str">
        <f t="shared" si="2500"/>
        <v>X</v>
      </c>
      <c r="I11070" s="1" t="str">
        <f t="shared" si="2500"/>
        <v>X</v>
      </c>
      <c r="J11070" s="1" t="str">
        <f t="shared" si="2500"/>
        <v>X</v>
      </c>
      <c r="K11070" s="1" t="str">
        <f t="shared" si="2500"/>
        <v>X</v>
      </c>
      <c r="L11070" s="1" t="str">
        <f t="shared" si="2500"/>
        <v>X</v>
      </c>
      <c r="M11070" s="1" t="str">
        <f t="shared" si="2500"/>
        <v>X</v>
      </c>
      <c r="N11070" t="s">
        <v>27</v>
      </c>
    </row>
    <row r="11071" spans="1:14" x14ac:dyDescent="0.25">
      <c r="A11071" t="s">
        <v>44</v>
      </c>
      <c r="B11071" t="s">
        <v>15</v>
      </c>
      <c r="C11071" t="s">
        <v>37</v>
      </c>
      <c r="D11071" t="s">
        <v>28</v>
      </c>
      <c r="E11071" t="s">
        <v>23</v>
      </c>
      <c r="F11071" t="s">
        <v>20</v>
      </c>
      <c r="G11071" s="2">
        <f>VALUE(1904.64)</f>
        <v>1904.64</v>
      </c>
      <c r="H11071" s="3">
        <f>VALUE(1229.5)</f>
        <v>1229.5</v>
      </c>
      <c r="I11071" s="1">
        <f>VALUE(3436)</f>
        <v>3436</v>
      </c>
      <c r="J11071" s="1">
        <f>VALUE(3980)</f>
        <v>3980</v>
      </c>
      <c r="K11071" s="1">
        <f>VALUE(4510)</f>
        <v>4510</v>
      </c>
      <c r="L11071" s="1">
        <f>VALUE(5278)</f>
        <v>5278</v>
      </c>
      <c r="M11071" s="1">
        <f>VALUE(6190)</f>
        <v>6190</v>
      </c>
      <c r="N11071" t="s">
        <v>25</v>
      </c>
    </row>
    <row r="11072" spans="1:14" x14ac:dyDescent="0.25">
      <c r="A11072" t="s">
        <v>44</v>
      </c>
      <c r="B11072" t="s">
        <v>15</v>
      </c>
      <c r="C11072" t="s">
        <v>37</v>
      </c>
      <c r="D11072" t="s">
        <v>28</v>
      </c>
      <c r="E11072" t="s">
        <v>26</v>
      </c>
      <c r="F11072" t="s">
        <v>15</v>
      </c>
      <c r="G11072" s="2">
        <f>VALUE(194.17)</f>
        <v>194.17</v>
      </c>
      <c r="H11072" s="3">
        <f>VALUE(137.28)</f>
        <v>137.28</v>
      </c>
      <c r="I11072" s="1">
        <f>VALUE(3998)</f>
        <v>3998</v>
      </c>
      <c r="J11072" s="1">
        <f>VALUE(4992)</f>
        <v>4992</v>
      </c>
      <c r="K11072" s="1">
        <f>VALUE(6167)</f>
        <v>6167</v>
      </c>
      <c r="L11072" s="1">
        <f>VALUE(8381)</f>
        <v>8381</v>
      </c>
      <c r="M11072" s="1">
        <f>VALUE(10741)</f>
        <v>10741</v>
      </c>
      <c r="N11072" t="s">
        <v>25</v>
      </c>
    </row>
    <row r="11073" spans="1:14" x14ac:dyDescent="0.25">
      <c r="A11073" t="s">
        <v>44</v>
      </c>
      <c r="B11073" t="s">
        <v>15</v>
      </c>
      <c r="C11073" t="s">
        <v>37</v>
      </c>
      <c r="D11073" t="s">
        <v>28</v>
      </c>
      <c r="E11073" t="s">
        <v>26</v>
      </c>
      <c r="F11073" t="s">
        <v>17</v>
      </c>
      <c r="G11073" s="1" t="str">
        <f t="shared" ref="G11073:M11076" si="2501">"X"</f>
        <v>X</v>
      </c>
      <c r="H11073" s="1" t="str">
        <f t="shared" si="2501"/>
        <v>X</v>
      </c>
      <c r="I11073" s="1" t="str">
        <f t="shared" si="2501"/>
        <v>X</v>
      </c>
      <c r="J11073" s="1" t="str">
        <f t="shared" si="2501"/>
        <v>X</v>
      </c>
      <c r="K11073" s="1" t="str">
        <f t="shared" si="2501"/>
        <v>X</v>
      </c>
      <c r="L11073" s="1" t="str">
        <f t="shared" si="2501"/>
        <v>X</v>
      </c>
      <c r="M11073" s="1" t="str">
        <f t="shared" si="2501"/>
        <v>X</v>
      </c>
      <c r="N11073" t="s">
        <v>27</v>
      </c>
    </row>
    <row r="11074" spans="1:14" x14ac:dyDescent="0.25">
      <c r="A11074" t="s">
        <v>44</v>
      </c>
      <c r="B11074" t="s">
        <v>15</v>
      </c>
      <c r="C11074" t="s">
        <v>37</v>
      </c>
      <c r="D11074" t="s">
        <v>28</v>
      </c>
      <c r="E11074" t="s">
        <v>26</v>
      </c>
      <c r="F11074" t="s">
        <v>18</v>
      </c>
      <c r="G11074" s="1" t="str">
        <f t="shared" si="2501"/>
        <v>X</v>
      </c>
      <c r="H11074" s="1" t="str">
        <f t="shared" si="2501"/>
        <v>X</v>
      </c>
      <c r="I11074" s="1" t="str">
        <f t="shared" si="2501"/>
        <v>X</v>
      </c>
      <c r="J11074" s="1" t="str">
        <f t="shared" si="2501"/>
        <v>X</v>
      </c>
      <c r="K11074" s="1" t="str">
        <f t="shared" si="2501"/>
        <v>X</v>
      </c>
      <c r="L11074" s="1" t="str">
        <f t="shared" si="2501"/>
        <v>X</v>
      </c>
      <c r="M11074" s="1" t="str">
        <f t="shared" si="2501"/>
        <v>X</v>
      </c>
      <c r="N11074" t="s">
        <v>27</v>
      </c>
    </row>
    <row r="11075" spans="1:14" x14ac:dyDescent="0.25">
      <c r="A11075" t="s">
        <v>44</v>
      </c>
      <c r="B11075" t="s">
        <v>15</v>
      </c>
      <c r="C11075" t="s">
        <v>37</v>
      </c>
      <c r="D11075" t="s">
        <v>28</v>
      </c>
      <c r="E11075" t="s">
        <v>26</v>
      </c>
      <c r="F11075" t="s">
        <v>19</v>
      </c>
      <c r="G11075" s="1" t="str">
        <f t="shared" si="2501"/>
        <v>X</v>
      </c>
      <c r="H11075" s="1" t="str">
        <f t="shared" si="2501"/>
        <v>X</v>
      </c>
      <c r="I11075" s="1" t="str">
        <f t="shared" si="2501"/>
        <v>X</v>
      </c>
      <c r="J11075" s="1" t="str">
        <f t="shared" si="2501"/>
        <v>X</v>
      </c>
      <c r="K11075" s="1" t="str">
        <f t="shared" si="2501"/>
        <v>X</v>
      </c>
      <c r="L11075" s="1" t="str">
        <f t="shared" si="2501"/>
        <v>X</v>
      </c>
      <c r="M11075" s="1" t="str">
        <f t="shared" si="2501"/>
        <v>X</v>
      </c>
      <c r="N11075" t="s">
        <v>27</v>
      </c>
    </row>
    <row r="11076" spans="1:14" x14ac:dyDescent="0.25">
      <c r="A11076" t="s">
        <v>44</v>
      </c>
      <c r="B11076" t="s">
        <v>15</v>
      </c>
      <c r="C11076" t="s">
        <v>37</v>
      </c>
      <c r="D11076" t="s">
        <v>28</v>
      </c>
      <c r="E11076" t="s">
        <v>26</v>
      </c>
      <c r="F11076" t="s">
        <v>20</v>
      </c>
      <c r="G11076" s="1" t="str">
        <f t="shared" si="2501"/>
        <v>X</v>
      </c>
      <c r="H11076" s="1" t="str">
        <f t="shared" si="2501"/>
        <v>X</v>
      </c>
      <c r="I11076" s="1" t="str">
        <f t="shared" si="2501"/>
        <v>X</v>
      </c>
      <c r="J11076" s="1" t="str">
        <f t="shared" si="2501"/>
        <v>X</v>
      </c>
      <c r="K11076" s="1" t="str">
        <f t="shared" si="2501"/>
        <v>X</v>
      </c>
      <c r="L11076" s="1" t="str">
        <f t="shared" si="2501"/>
        <v>X</v>
      </c>
      <c r="M11076" s="1" t="str">
        <f t="shared" si="2501"/>
        <v>X</v>
      </c>
      <c r="N11076" t="s">
        <v>27</v>
      </c>
    </row>
    <row r="11077" spans="1:14" x14ac:dyDescent="0.25">
      <c r="A11077" t="s">
        <v>44</v>
      </c>
      <c r="B11077" t="s">
        <v>15</v>
      </c>
      <c r="C11077" t="s">
        <v>37</v>
      </c>
      <c r="D11077" t="s">
        <v>29</v>
      </c>
      <c r="E11077" t="s">
        <v>15</v>
      </c>
      <c r="F11077" t="s">
        <v>15</v>
      </c>
      <c r="G11077" s="1">
        <f>VALUE(7727.04)</f>
        <v>7727.04</v>
      </c>
      <c r="H11077" s="1">
        <f>VALUE(6783.9)</f>
        <v>6783.9</v>
      </c>
      <c r="I11077" s="1">
        <f>VALUE(3559)</f>
        <v>3559</v>
      </c>
      <c r="J11077" s="1">
        <f>VALUE(4404)</f>
        <v>4404</v>
      </c>
      <c r="K11077" s="1">
        <f>VALUE(5463)</f>
        <v>5463</v>
      </c>
      <c r="L11077" s="1">
        <f>VALUE(7257)</f>
        <v>7257</v>
      </c>
      <c r="M11077" s="1">
        <f>VALUE(10653)</f>
        <v>10653</v>
      </c>
      <c r="N11077" t="s">
        <v>16</v>
      </c>
    </row>
    <row r="11078" spans="1:14" x14ac:dyDescent="0.25">
      <c r="A11078" t="s">
        <v>44</v>
      </c>
      <c r="B11078" t="s">
        <v>15</v>
      </c>
      <c r="C11078" t="s">
        <v>37</v>
      </c>
      <c r="D11078" t="s">
        <v>29</v>
      </c>
      <c r="E11078" t="s">
        <v>15</v>
      </c>
      <c r="F11078" t="s">
        <v>17</v>
      </c>
      <c r="G11078" s="2">
        <f>VALUE(1326.46)</f>
        <v>1326.46</v>
      </c>
      <c r="H11078" s="3">
        <f>VALUE(1319.93)</f>
        <v>1319.93</v>
      </c>
      <c r="I11078" s="4">
        <f>VALUE(3935)</f>
        <v>3935</v>
      </c>
      <c r="J11078" s="5">
        <f>VALUE(6065)</f>
        <v>6065</v>
      </c>
      <c r="K11078" s="6">
        <f>VALUE(8790)</f>
        <v>8790</v>
      </c>
      <c r="L11078" s="7">
        <f>VALUE(11489)</f>
        <v>11489</v>
      </c>
      <c r="M11078" s="8">
        <f>VALUE(16570)</f>
        <v>16570</v>
      </c>
      <c r="N11078" t="s">
        <v>24</v>
      </c>
    </row>
    <row r="11079" spans="1:14" x14ac:dyDescent="0.25">
      <c r="A11079" t="s">
        <v>44</v>
      </c>
      <c r="B11079" t="s">
        <v>15</v>
      </c>
      <c r="C11079" t="s">
        <v>37</v>
      </c>
      <c r="D11079" t="s">
        <v>29</v>
      </c>
      <c r="E11079" t="s">
        <v>15</v>
      </c>
      <c r="F11079" t="s">
        <v>18</v>
      </c>
      <c r="G11079" s="2">
        <f>VALUE(718.6)</f>
        <v>718.6</v>
      </c>
      <c r="H11079" s="3">
        <f>VALUE(675.29)</f>
        <v>675.29</v>
      </c>
      <c r="I11079" s="1">
        <f>VALUE(5024)</f>
        <v>5024</v>
      </c>
      <c r="J11079" s="5">
        <f>VALUE(5838)</f>
        <v>5838</v>
      </c>
      <c r="K11079" s="1">
        <f>VALUE(7265)</f>
        <v>7265</v>
      </c>
      <c r="L11079" s="1">
        <f>VALUE(9531)</f>
        <v>9531</v>
      </c>
      <c r="M11079" s="1">
        <f>VALUE(11491)</f>
        <v>11491</v>
      </c>
      <c r="N11079" t="s">
        <v>25</v>
      </c>
    </row>
    <row r="11080" spans="1:14" x14ac:dyDescent="0.25">
      <c r="A11080" t="s">
        <v>44</v>
      </c>
      <c r="B11080" t="s">
        <v>15</v>
      </c>
      <c r="C11080" t="s">
        <v>37</v>
      </c>
      <c r="D11080" t="s">
        <v>29</v>
      </c>
      <c r="E11080" t="s">
        <v>15</v>
      </c>
      <c r="F11080" t="s">
        <v>19</v>
      </c>
      <c r="G11080" s="2">
        <f>VALUE(894.64)</f>
        <v>894.64</v>
      </c>
      <c r="H11080" s="3">
        <f>VALUE(811.2)</f>
        <v>811.2</v>
      </c>
      <c r="I11080" s="4">
        <f>VALUE(3834)</f>
        <v>3834</v>
      </c>
      <c r="J11080" s="5">
        <f>VALUE(4561)</f>
        <v>4561</v>
      </c>
      <c r="K11080" s="6">
        <f>VALUE(5941)</f>
        <v>5941</v>
      </c>
      <c r="L11080" s="7">
        <f>VALUE(6809)</f>
        <v>6809</v>
      </c>
      <c r="M11080" s="1">
        <f>VALUE(8333)</f>
        <v>8333</v>
      </c>
      <c r="N11080" t="s">
        <v>25</v>
      </c>
    </row>
    <row r="11081" spans="1:14" x14ac:dyDescent="0.25">
      <c r="A11081" t="s">
        <v>44</v>
      </c>
      <c r="B11081" t="s">
        <v>15</v>
      </c>
      <c r="C11081" t="s">
        <v>37</v>
      </c>
      <c r="D11081" t="s">
        <v>29</v>
      </c>
      <c r="E11081" t="s">
        <v>15</v>
      </c>
      <c r="F11081" t="s">
        <v>20</v>
      </c>
      <c r="G11081" s="1">
        <f>VALUE(4787.34)</f>
        <v>4787.34</v>
      </c>
      <c r="H11081" s="1">
        <f>VALUE(3977.48)</f>
        <v>3977.48</v>
      </c>
      <c r="I11081" s="1">
        <f>VALUE(3514)</f>
        <v>3514</v>
      </c>
      <c r="J11081" s="1">
        <f>VALUE(4077)</f>
        <v>4077</v>
      </c>
      <c r="K11081" s="1">
        <f>VALUE(4824)</f>
        <v>4824</v>
      </c>
      <c r="L11081" s="1">
        <f>VALUE(5882)</f>
        <v>5882</v>
      </c>
      <c r="M11081" s="1">
        <f>VALUE(7204)</f>
        <v>7204</v>
      </c>
      <c r="N11081" t="s">
        <v>16</v>
      </c>
    </row>
    <row r="11082" spans="1:14" x14ac:dyDescent="0.25">
      <c r="A11082" t="s">
        <v>44</v>
      </c>
      <c r="B11082" t="s">
        <v>15</v>
      </c>
      <c r="C11082" t="s">
        <v>37</v>
      </c>
      <c r="D11082" t="s">
        <v>29</v>
      </c>
      <c r="E11082" t="s">
        <v>21</v>
      </c>
      <c r="F11082" t="s">
        <v>15</v>
      </c>
      <c r="G11082" s="2">
        <f>VALUE(1958.2)</f>
        <v>1958.2</v>
      </c>
      <c r="H11082" s="3">
        <f>VALUE(1793.76)</f>
        <v>1793.76</v>
      </c>
      <c r="I11082" s="4">
        <f>VALUE(4961)</f>
        <v>4961</v>
      </c>
      <c r="J11082" s="5">
        <f>VALUE(6800)</f>
        <v>6800</v>
      </c>
      <c r="K11082" s="6">
        <f>VALUE(8420)</f>
        <v>8420</v>
      </c>
      <c r="L11082" s="7">
        <f>VALUE(11158)</f>
        <v>11158</v>
      </c>
      <c r="M11082" s="8">
        <f>VALUE(15687)</f>
        <v>15687</v>
      </c>
      <c r="N11082" t="s">
        <v>24</v>
      </c>
    </row>
    <row r="11083" spans="1:14" x14ac:dyDescent="0.25">
      <c r="A11083" t="s">
        <v>44</v>
      </c>
      <c r="B11083" t="s">
        <v>15</v>
      </c>
      <c r="C11083" t="s">
        <v>37</v>
      </c>
      <c r="D11083" t="s">
        <v>29</v>
      </c>
      <c r="E11083" t="s">
        <v>21</v>
      </c>
      <c r="F11083" t="s">
        <v>17</v>
      </c>
      <c r="G11083" s="2">
        <f>VALUE(888.46)</f>
        <v>888.46</v>
      </c>
      <c r="H11083" s="3">
        <f>VALUE(878.6)</f>
        <v>878.6</v>
      </c>
      <c r="I11083" s="4">
        <f>VALUE(5681)</f>
        <v>5681</v>
      </c>
      <c r="J11083" s="5">
        <f>VALUE(6800)</f>
        <v>6800</v>
      </c>
      <c r="K11083" s="1">
        <f>VALUE(10379)</f>
        <v>10379</v>
      </c>
      <c r="L11083" s="7">
        <f>VALUE(13620)</f>
        <v>13620</v>
      </c>
      <c r="M11083" s="8">
        <f>VALUE(17742)</f>
        <v>17742</v>
      </c>
      <c r="N11083" t="s">
        <v>25</v>
      </c>
    </row>
    <row r="11084" spans="1:14" x14ac:dyDescent="0.25">
      <c r="A11084" t="s">
        <v>44</v>
      </c>
      <c r="B11084" t="s">
        <v>15</v>
      </c>
      <c r="C11084" t="s">
        <v>37</v>
      </c>
      <c r="D11084" t="s">
        <v>29</v>
      </c>
      <c r="E11084" t="s">
        <v>21</v>
      </c>
      <c r="F11084" t="s">
        <v>18</v>
      </c>
      <c r="G11084" s="2">
        <f>VALUE(335.6)</f>
        <v>335.6</v>
      </c>
      <c r="H11084" s="3">
        <f>VALUE(308.01)</f>
        <v>308.01</v>
      </c>
      <c r="I11084" s="4">
        <f>VALUE(6778)</f>
        <v>6778</v>
      </c>
      <c r="J11084" s="1">
        <f>VALUE(7608)</f>
        <v>7608</v>
      </c>
      <c r="K11084" s="1">
        <f>VALUE(9244)</f>
        <v>9244</v>
      </c>
      <c r="L11084" s="1">
        <f>VALUE(10778)</f>
        <v>10778</v>
      </c>
      <c r="M11084" s="8">
        <f>VALUE(13388)</f>
        <v>13388</v>
      </c>
      <c r="N11084" t="s">
        <v>25</v>
      </c>
    </row>
    <row r="11085" spans="1:14" x14ac:dyDescent="0.25">
      <c r="A11085" t="s">
        <v>44</v>
      </c>
      <c r="B11085" t="s">
        <v>15</v>
      </c>
      <c r="C11085" t="s">
        <v>37</v>
      </c>
      <c r="D11085" t="s">
        <v>29</v>
      </c>
      <c r="E11085" t="s">
        <v>21</v>
      </c>
      <c r="F11085" t="s">
        <v>19</v>
      </c>
      <c r="G11085" s="2">
        <f>VALUE(169.46)</f>
        <v>169.46</v>
      </c>
      <c r="H11085" s="3">
        <f>VALUE(153.06)</f>
        <v>153.06</v>
      </c>
      <c r="I11085" s="1">
        <f>VALUE(5952)</f>
        <v>5952</v>
      </c>
      <c r="J11085" s="1">
        <f>VALUE(6712)</f>
        <v>6712</v>
      </c>
      <c r="K11085" s="1">
        <f>VALUE(7768)</f>
        <v>7768</v>
      </c>
      <c r="L11085" s="7">
        <f>VALUE(8456)</f>
        <v>8456</v>
      </c>
      <c r="M11085" s="8">
        <f>VALUE(11905)</f>
        <v>11905</v>
      </c>
      <c r="N11085" t="s">
        <v>25</v>
      </c>
    </row>
    <row r="11086" spans="1:14" x14ac:dyDescent="0.25">
      <c r="A11086" t="s">
        <v>44</v>
      </c>
      <c r="B11086" t="s">
        <v>15</v>
      </c>
      <c r="C11086" t="s">
        <v>37</v>
      </c>
      <c r="D11086" t="s">
        <v>29</v>
      </c>
      <c r="E11086" t="s">
        <v>21</v>
      </c>
      <c r="F11086" t="s">
        <v>20</v>
      </c>
      <c r="G11086" s="2">
        <f>VALUE(564.68)</f>
        <v>564.67999999999995</v>
      </c>
      <c r="H11086" s="3">
        <f>VALUE(454.09)</f>
        <v>454.09</v>
      </c>
      <c r="I11086" s="1">
        <f>VALUE(4625)</f>
        <v>4625</v>
      </c>
      <c r="J11086" s="1">
        <f>VALUE(5310)</f>
        <v>5310</v>
      </c>
      <c r="K11086" s="1">
        <f>VALUE(6962)</f>
        <v>6962</v>
      </c>
      <c r="L11086" s="1">
        <f>VALUE(8210)</f>
        <v>8210</v>
      </c>
      <c r="M11086" s="1">
        <f>VALUE(9828)</f>
        <v>9828</v>
      </c>
      <c r="N11086" t="s">
        <v>25</v>
      </c>
    </row>
    <row r="11087" spans="1:14" x14ac:dyDescent="0.25">
      <c r="A11087" t="s">
        <v>44</v>
      </c>
      <c r="B11087" t="s">
        <v>15</v>
      </c>
      <c r="C11087" t="s">
        <v>37</v>
      </c>
      <c r="D11087" t="s">
        <v>29</v>
      </c>
      <c r="E11087" t="s">
        <v>22</v>
      </c>
      <c r="F11087" t="s">
        <v>15</v>
      </c>
      <c r="G11087" s="2">
        <f>VALUE(2911.97)</f>
        <v>2911.97</v>
      </c>
      <c r="H11087" s="3">
        <f>VALUE(2686.61)</f>
        <v>2686.61</v>
      </c>
      <c r="I11087" s="4">
        <f>VALUE(3935)</f>
        <v>3935</v>
      </c>
      <c r="J11087" s="1">
        <f>VALUE(4727)</f>
        <v>4727</v>
      </c>
      <c r="K11087" s="1">
        <f>VALUE(5486)</f>
        <v>5486</v>
      </c>
      <c r="L11087" s="1">
        <f>VALUE(6573)</f>
        <v>6573</v>
      </c>
      <c r="M11087" s="1">
        <f>VALUE(7909)</f>
        <v>7909</v>
      </c>
      <c r="N11087" t="s">
        <v>25</v>
      </c>
    </row>
    <row r="11088" spans="1:14" x14ac:dyDescent="0.25">
      <c r="A11088" t="s">
        <v>44</v>
      </c>
      <c r="B11088" t="s">
        <v>15</v>
      </c>
      <c r="C11088" t="s">
        <v>37</v>
      </c>
      <c r="D11088" t="s">
        <v>29</v>
      </c>
      <c r="E11088" t="s">
        <v>22</v>
      </c>
      <c r="F11088" t="s">
        <v>17</v>
      </c>
      <c r="G11088" s="2">
        <f>VALUE(368.69)</f>
        <v>368.69</v>
      </c>
      <c r="H11088" s="3">
        <f>VALUE(389.58)</f>
        <v>389.58</v>
      </c>
      <c r="I11088" s="1">
        <f>VALUE(3333)</f>
        <v>3333</v>
      </c>
      <c r="J11088" s="1">
        <f>VALUE(4549)</f>
        <v>4549</v>
      </c>
      <c r="K11088" s="6">
        <f>VALUE(5762)</f>
        <v>5762</v>
      </c>
      <c r="L11088" s="1">
        <f>VALUE(8644)</f>
        <v>8644</v>
      </c>
      <c r="M11088" s="1">
        <f>VALUE(11158)</f>
        <v>11158</v>
      </c>
      <c r="N11088" t="s">
        <v>25</v>
      </c>
    </row>
    <row r="11089" spans="1:14" x14ac:dyDescent="0.25">
      <c r="A11089" t="s">
        <v>44</v>
      </c>
      <c r="B11089" t="s">
        <v>15</v>
      </c>
      <c r="C11089" t="s">
        <v>37</v>
      </c>
      <c r="D11089" t="s">
        <v>29</v>
      </c>
      <c r="E11089" t="s">
        <v>22</v>
      </c>
      <c r="F11089" t="s">
        <v>18</v>
      </c>
      <c r="G11089" s="2">
        <f>VALUE(264.77)</f>
        <v>264.77</v>
      </c>
      <c r="H11089" s="3">
        <f>VALUE(252.04)</f>
        <v>252.04</v>
      </c>
      <c r="I11089" s="1">
        <f>VALUE(4843)</f>
        <v>4843</v>
      </c>
      <c r="J11089" s="1">
        <f>VALUE(5764)</f>
        <v>5764</v>
      </c>
      <c r="K11089" s="1">
        <f>VALUE(6380)</f>
        <v>6380</v>
      </c>
      <c r="L11089" s="1">
        <f>VALUE(7415)</f>
        <v>7415</v>
      </c>
      <c r="M11089" s="8">
        <f>VALUE(8972)</f>
        <v>8972</v>
      </c>
      <c r="N11089" t="s">
        <v>25</v>
      </c>
    </row>
    <row r="11090" spans="1:14" x14ac:dyDescent="0.25">
      <c r="A11090" t="s">
        <v>44</v>
      </c>
      <c r="B11090" t="s">
        <v>15</v>
      </c>
      <c r="C11090" t="s">
        <v>37</v>
      </c>
      <c r="D11090" t="s">
        <v>29</v>
      </c>
      <c r="E11090" t="s">
        <v>22</v>
      </c>
      <c r="F11090" t="s">
        <v>19</v>
      </c>
      <c r="G11090" s="2">
        <f>VALUE(495.44)</f>
        <v>495.44</v>
      </c>
      <c r="H11090" s="3">
        <f>VALUE(427.85)</f>
        <v>427.85</v>
      </c>
      <c r="I11090" s="4">
        <f>VALUE(4360)</f>
        <v>4360</v>
      </c>
      <c r="J11090" s="5">
        <f>VALUE(4977)</f>
        <v>4977</v>
      </c>
      <c r="K11090" s="1">
        <f>VALUE(5971)</f>
        <v>5971</v>
      </c>
      <c r="L11090" s="7">
        <f>VALUE(6488)</f>
        <v>6488</v>
      </c>
      <c r="M11090" s="8">
        <f>VALUE(7892)</f>
        <v>7892</v>
      </c>
      <c r="N11090" t="s">
        <v>25</v>
      </c>
    </row>
    <row r="11091" spans="1:14" x14ac:dyDescent="0.25">
      <c r="A11091" t="s">
        <v>44</v>
      </c>
      <c r="B11091" t="s">
        <v>15</v>
      </c>
      <c r="C11091" t="s">
        <v>37</v>
      </c>
      <c r="D11091" t="s">
        <v>29</v>
      </c>
      <c r="E11091" t="s">
        <v>22</v>
      </c>
      <c r="F11091" t="s">
        <v>20</v>
      </c>
      <c r="G11091" s="2">
        <f>VALUE(1783.07)</f>
        <v>1783.07</v>
      </c>
      <c r="H11091" s="3">
        <f>VALUE(1617.14)</f>
        <v>1617.14</v>
      </c>
      <c r="I11091" s="4">
        <f>VALUE(3920)</f>
        <v>3920</v>
      </c>
      <c r="J11091" s="1">
        <f>VALUE(4558)</f>
        <v>4558</v>
      </c>
      <c r="K11091" s="1">
        <f>VALUE(5238)</f>
        <v>5238</v>
      </c>
      <c r="L11091" s="1">
        <f>VALUE(6206)</f>
        <v>6206</v>
      </c>
      <c r="M11091" s="1">
        <f>VALUE(7075)</f>
        <v>7075</v>
      </c>
      <c r="N11091" t="s">
        <v>25</v>
      </c>
    </row>
    <row r="11092" spans="1:14" x14ac:dyDescent="0.25">
      <c r="A11092" t="s">
        <v>44</v>
      </c>
      <c r="B11092" t="s">
        <v>15</v>
      </c>
      <c r="C11092" t="s">
        <v>37</v>
      </c>
      <c r="D11092" t="s">
        <v>29</v>
      </c>
      <c r="E11092" t="s">
        <v>23</v>
      </c>
      <c r="F11092" t="s">
        <v>15</v>
      </c>
      <c r="G11092" s="2">
        <f>VALUE(2811.99)</f>
        <v>2811.99</v>
      </c>
      <c r="H11092" s="3">
        <f>VALUE(2257.46)</f>
        <v>2257.46</v>
      </c>
      <c r="I11092" s="1">
        <f>VALUE(3397)</f>
        <v>3397</v>
      </c>
      <c r="J11092" s="1">
        <f>VALUE(3695)</f>
        <v>3695</v>
      </c>
      <c r="K11092" s="1">
        <f>VALUE(4426)</f>
        <v>4426</v>
      </c>
      <c r="L11092" s="1">
        <f>VALUE(5306)</f>
        <v>5306</v>
      </c>
      <c r="M11092" s="1">
        <f>VALUE(6057)</f>
        <v>6057</v>
      </c>
      <c r="N11092" t="s">
        <v>25</v>
      </c>
    </row>
    <row r="11093" spans="1:14" x14ac:dyDescent="0.25">
      <c r="A11093" t="s">
        <v>44</v>
      </c>
      <c r="B11093" t="s">
        <v>15</v>
      </c>
      <c r="C11093" t="s">
        <v>37</v>
      </c>
      <c r="D11093" t="s">
        <v>29</v>
      </c>
      <c r="E11093" t="s">
        <v>23</v>
      </c>
      <c r="F11093" t="s">
        <v>17</v>
      </c>
      <c r="G11093" s="1" t="str">
        <f t="shared" ref="G11093:M11094" si="2502">"X"</f>
        <v>X</v>
      </c>
      <c r="H11093" s="1" t="str">
        <f t="shared" si="2502"/>
        <v>X</v>
      </c>
      <c r="I11093" s="1" t="str">
        <f t="shared" si="2502"/>
        <v>X</v>
      </c>
      <c r="J11093" s="1" t="str">
        <f t="shared" si="2502"/>
        <v>X</v>
      </c>
      <c r="K11093" s="1" t="str">
        <f t="shared" si="2502"/>
        <v>X</v>
      </c>
      <c r="L11093" s="1" t="str">
        <f t="shared" si="2502"/>
        <v>X</v>
      </c>
      <c r="M11093" s="1" t="str">
        <f t="shared" si="2502"/>
        <v>X</v>
      </c>
      <c r="N11093" t="s">
        <v>27</v>
      </c>
    </row>
    <row r="11094" spans="1:14" x14ac:dyDescent="0.25">
      <c r="A11094" t="s">
        <v>44</v>
      </c>
      <c r="B11094" t="s">
        <v>15</v>
      </c>
      <c r="C11094" t="s">
        <v>37</v>
      </c>
      <c r="D11094" t="s">
        <v>29</v>
      </c>
      <c r="E11094" t="s">
        <v>23</v>
      </c>
      <c r="F11094" t="s">
        <v>18</v>
      </c>
      <c r="G11094" s="1" t="str">
        <f t="shared" si="2502"/>
        <v>X</v>
      </c>
      <c r="H11094" s="1" t="str">
        <f t="shared" si="2502"/>
        <v>X</v>
      </c>
      <c r="I11094" s="1" t="str">
        <f t="shared" si="2502"/>
        <v>X</v>
      </c>
      <c r="J11094" s="1" t="str">
        <f t="shared" si="2502"/>
        <v>X</v>
      </c>
      <c r="K11094" s="1" t="str">
        <f t="shared" si="2502"/>
        <v>X</v>
      </c>
      <c r="L11094" s="1" t="str">
        <f t="shared" si="2502"/>
        <v>X</v>
      </c>
      <c r="M11094" s="1" t="str">
        <f t="shared" si="2502"/>
        <v>X</v>
      </c>
      <c r="N11094" t="s">
        <v>27</v>
      </c>
    </row>
    <row r="11095" spans="1:14" x14ac:dyDescent="0.25">
      <c r="A11095" t="s">
        <v>44</v>
      </c>
      <c r="B11095" t="s">
        <v>15</v>
      </c>
      <c r="C11095" t="s">
        <v>37</v>
      </c>
      <c r="D11095" t="s">
        <v>29</v>
      </c>
      <c r="E11095" t="s">
        <v>23</v>
      </c>
      <c r="F11095" t="s">
        <v>19</v>
      </c>
      <c r="G11095" s="2">
        <f>VALUE(227.18)</f>
        <v>227.18</v>
      </c>
      <c r="H11095" s="3">
        <f>VALUE(227.57)</f>
        <v>227.57</v>
      </c>
      <c r="I11095" s="1">
        <f>VALUE(3241)</f>
        <v>3241</v>
      </c>
      <c r="J11095" s="5">
        <f>VALUE(3771)</f>
        <v>3771</v>
      </c>
      <c r="K11095" s="1">
        <f>VALUE(4502)</f>
        <v>4502</v>
      </c>
      <c r="L11095" s="7">
        <f>VALUE(5374)</f>
        <v>5374</v>
      </c>
      <c r="M11095" s="1">
        <f>VALUE(6602)</f>
        <v>6602</v>
      </c>
      <c r="N11095" t="s">
        <v>25</v>
      </c>
    </row>
    <row r="11096" spans="1:14" x14ac:dyDescent="0.25">
      <c r="A11096" t="s">
        <v>44</v>
      </c>
      <c r="B11096" t="s">
        <v>15</v>
      </c>
      <c r="C11096" t="s">
        <v>37</v>
      </c>
      <c r="D11096" t="s">
        <v>29</v>
      </c>
      <c r="E11096" t="s">
        <v>23</v>
      </c>
      <c r="F11096" t="s">
        <v>20</v>
      </c>
      <c r="G11096" s="2">
        <f>VALUE(2406.88)</f>
        <v>2406.88</v>
      </c>
      <c r="H11096" s="3">
        <f>VALUE(1872.64)</f>
        <v>1872.64</v>
      </c>
      <c r="I11096" s="1">
        <f>VALUE(3428)</f>
        <v>3428</v>
      </c>
      <c r="J11096" s="1">
        <f>VALUE(3678)</f>
        <v>3678</v>
      </c>
      <c r="K11096" s="1">
        <f>VALUE(4286)</f>
        <v>4286</v>
      </c>
      <c r="L11096" s="1">
        <f>VALUE(5158)</f>
        <v>5158</v>
      </c>
      <c r="M11096" s="1">
        <f>VALUE(5845)</f>
        <v>5845</v>
      </c>
      <c r="N11096" t="s">
        <v>25</v>
      </c>
    </row>
    <row r="11097" spans="1:14" x14ac:dyDescent="0.25">
      <c r="A11097" t="s">
        <v>44</v>
      </c>
      <c r="B11097" t="s">
        <v>15</v>
      </c>
      <c r="C11097" t="s">
        <v>37</v>
      </c>
      <c r="D11097" t="s">
        <v>29</v>
      </c>
      <c r="E11097" t="s">
        <v>26</v>
      </c>
      <c r="F11097" t="s">
        <v>15</v>
      </c>
      <c r="G11097" s="1" t="str">
        <f t="shared" ref="G11097:M11101" si="2503">"X"</f>
        <v>X</v>
      </c>
      <c r="H11097" s="1" t="str">
        <f t="shared" si="2503"/>
        <v>X</v>
      </c>
      <c r="I11097" s="1" t="str">
        <f t="shared" si="2503"/>
        <v>X</v>
      </c>
      <c r="J11097" s="1" t="str">
        <f t="shared" si="2503"/>
        <v>X</v>
      </c>
      <c r="K11097" s="1" t="str">
        <f t="shared" si="2503"/>
        <v>X</v>
      </c>
      <c r="L11097" s="1" t="str">
        <f t="shared" si="2503"/>
        <v>X</v>
      </c>
      <c r="M11097" s="1" t="str">
        <f t="shared" si="2503"/>
        <v>X</v>
      </c>
      <c r="N11097" t="s">
        <v>27</v>
      </c>
    </row>
    <row r="11098" spans="1:14" x14ac:dyDescent="0.25">
      <c r="A11098" t="s">
        <v>44</v>
      </c>
      <c r="B11098" t="s">
        <v>15</v>
      </c>
      <c r="C11098" t="s">
        <v>37</v>
      </c>
      <c r="D11098" t="s">
        <v>29</v>
      </c>
      <c r="E11098" t="s">
        <v>26</v>
      </c>
      <c r="F11098" t="s">
        <v>17</v>
      </c>
      <c r="G11098" s="1" t="str">
        <f t="shared" si="2503"/>
        <v>X</v>
      </c>
      <c r="H11098" s="1" t="str">
        <f t="shared" si="2503"/>
        <v>X</v>
      </c>
      <c r="I11098" s="1" t="str">
        <f t="shared" si="2503"/>
        <v>X</v>
      </c>
      <c r="J11098" s="1" t="str">
        <f t="shared" si="2503"/>
        <v>X</v>
      </c>
      <c r="K11098" s="1" t="str">
        <f t="shared" si="2503"/>
        <v>X</v>
      </c>
      <c r="L11098" s="1" t="str">
        <f t="shared" si="2503"/>
        <v>X</v>
      </c>
      <c r="M11098" s="1" t="str">
        <f t="shared" si="2503"/>
        <v>X</v>
      </c>
      <c r="N11098" t="s">
        <v>27</v>
      </c>
    </row>
    <row r="11099" spans="1:14" x14ac:dyDescent="0.25">
      <c r="A11099" t="s">
        <v>44</v>
      </c>
      <c r="B11099" t="s">
        <v>15</v>
      </c>
      <c r="C11099" t="s">
        <v>37</v>
      </c>
      <c r="D11099" t="s">
        <v>29</v>
      </c>
      <c r="E11099" t="s">
        <v>26</v>
      </c>
      <c r="F11099" t="s">
        <v>18</v>
      </c>
      <c r="G11099" s="1" t="str">
        <f t="shared" si="2503"/>
        <v>X</v>
      </c>
      <c r="H11099" s="1" t="str">
        <f t="shared" si="2503"/>
        <v>X</v>
      </c>
      <c r="I11099" s="1" t="str">
        <f t="shared" si="2503"/>
        <v>X</v>
      </c>
      <c r="J11099" s="1" t="str">
        <f t="shared" si="2503"/>
        <v>X</v>
      </c>
      <c r="K11099" s="1" t="str">
        <f t="shared" si="2503"/>
        <v>X</v>
      </c>
      <c r="L11099" s="1" t="str">
        <f t="shared" si="2503"/>
        <v>X</v>
      </c>
      <c r="M11099" s="1" t="str">
        <f t="shared" si="2503"/>
        <v>X</v>
      </c>
      <c r="N11099" t="s">
        <v>27</v>
      </c>
    </row>
    <row r="11100" spans="1:14" x14ac:dyDescent="0.25">
      <c r="A11100" t="s">
        <v>44</v>
      </c>
      <c r="B11100" t="s">
        <v>15</v>
      </c>
      <c r="C11100" t="s">
        <v>37</v>
      </c>
      <c r="D11100" t="s">
        <v>29</v>
      </c>
      <c r="E11100" t="s">
        <v>26</v>
      </c>
      <c r="F11100" t="s">
        <v>19</v>
      </c>
      <c r="G11100" s="1" t="str">
        <f t="shared" si="2503"/>
        <v>X</v>
      </c>
      <c r="H11100" s="1" t="str">
        <f t="shared" si="2503"/>
        <v>X</v>
      </c>
      <c r="I11100" s="1" t="str">
        <f t="shared" si="2503"/>
        <v>X</v>
      </c>
      <c r="J11100" s="1" t="str">
        <f t="shared" si="2503"/>
        <v>X</v>
      </c>
      <c r="K11100" s="1" t="str">
        <f t="shared" si="2503"/>
        <v>X</v>
      </c>
      <c r="L11100" s="1" t="str">
        <f t="shared" si="2503"/>
        <v>X</v>
      </c>
      <c r="M11100" s="1" t="str">
        <f t="shared" si="2503"/>
        <v>X</v>
      </c>
      <c r="N11100" t="s">
        <v>27</v>
      </c>
    </row>
    <row r="11101" spans="1:14" x14ac:dyDescent="0.25">
      <c r="A11101" t="s">
        <v>44</v>
      </c>
      <c r="B11101" t="s">
        <v>15</v>
      </c>
      <c r="C11101" t="s">
        <v>37</v>
      </c>
      <c r="D11101" t="s">
        <v>29</v>
      </c>
      <c r="E11101" t="s">
        <v>26</v>
      </c>
      <c r="F11101" t="s">
        <v>20</v>
      </c>
      <c r="G11101" s="1" t="str">
        <f t="shared" si="2503"/>
        <v>X</v>
      </c>
      <c r="H11101" s="1" t="str">
        <f t="shared" si="2503"/>
        <v>X</v>
      </c>
      <c r="I11101" s="1" t="str">
        <f t="shared" si="2503"/>
        <v>X</v>
      </c>
      <c r="J11101" s="1" t="str">
        <f t="shared" si="2503"/>
        <v>X</v>
      </c>
      <c r="K11101" s="1" t="str">
        <f t="shared" si="2503"/>
        <v>X</v>
      </c>
      <c r="L11101" s="1" t="str">
        <f t="shared" si="2503"/>
        <v>X</v>
      </c>
      <c r="M11101" s="1" t="str">
        <f t="shared" si="2503"/>
        <v>X</v>
      </c>
      <c r="N11101" t="s">
        <v>27</v>
      </c>
    </row>
    <row r="11102" spans="1:14" x14ac:dyDescent="0.25">
      <c r="A11102" t="s">
        <v>44</v>
      </c>
      <c r="B11102" t="s">
        <v>15</v>
      </c>
      <c r="C11102" t="s">
        <v>37</v>
      </c>
      <c r="D11102" t="s">
        <v>31</v>
      </c>
      <c r="E11102" t="s">
        <v>15</v>
      </c>
      <c r="F11102" t="s">
        <v>15</v>
      </c>
      <c r="G11102" s="2">
        <f>VALUE(4687.84)</f>
        <v>4687.84</v>
      </c>
      <c r="H11102" s="1">
        <f>VALUE(3904.03)</f>
        <v>3904.03</v>
      </c>
      <c r="I11102" s="1">
        <f>VALUE(3550)</f>
        <v>3550</v>
      </c>
      <c r="J11102" s="1">
        <f>VALUE(4287)</f>
        <v>4287</v>
      </c>
      <c r="K11102" s="1">
        <f>VALUE(5533)</f>
        <v>5533</v>
      </c>
      <c r="L11102" s="1">
        <f>VALUE(7381)</f>
        <v>7381</v>
      </c>
      <c r="M11102" s="8">
        <f>VALUE(10859)</f>
        <v>10859</v>
      </c>
      <c r="N11102" t="s">
        <v>25</v>
      </c>
    </row>
    <row r="11103" spans="1:14" x14ac:dyDescent="0.25">
      <c r="A11103" t="s">
        <v>44</v>
      </c>
      <c r="B11103" t="s">
        <v>15</v>
      </c>
      <c r="C11103" t="s">
        <v>37</v>
      </c>
      <c r="D11103" t="s">
        <v>31</v>
      </c>
      <c r="E11103" t="s">
        <v>15</v>
      </c>
      <c r="F11103" t="s">
        <v>17</v>
      </c>
      <c r="G11103" s="2">
        <f>VALUE(793.04)</f>
        <v>793.04</v>
      </c>
      <c r="H11103" s="3">
        <f>VALUE(769.63)</f>
        <v>769.63</v>
      </c>
      <c r="I11103" s="4">
        <f>VALUE(4421)</f>
        <v>4421</v>
      </c>
      <c r="J11103" s="5">
        <f>VALUE(6191)</f>
        <v>6191</v>
      </c>
      <c r="K11103" s="6">
        <f>VALUE(8183)</f>
        <v>8183</v>
      </c>
      <c r="L11103" s="7">
        <f>VALUE(11893)</f>
        <v>11893</v>
      </c>
      <c r="M11103" s="8">
        <f>VALUE(17580)</f>
        <v>17580</v>
      </c>
      <c r="N11103" t="s">
        <v>24</v>
      </c>
    </row>
    <row r="11104" spans="1:14" x14ac:dyDescent="0.25">
      <c r="A11104" t="s">
        <v>44</v>
      </c>
      <c r="B11104" t="s">
        <v>15</v>
      </c>
      <c r="C11104" t="s">
        <v>37</v>
      </c>
      <c r="D11104" t="s">
        <v>31</v>
      </c>
      <c r="E11104" t="s">
        <v>15</v>
      </c>
      <c r="F11104" t="s">
        <v>18</v>
      </c>
      <c r="G11104" s="2">
        <f>VALUE(457.99)</f>
        <v>457.99</v>
      </c>
      <c r="H11104" s="3">
        <f>VALUE(424.31)</f>
        <v>424.31</v>
      </c>
      <c r="I11104" s="1">
        <f>VALUE(4950)</f>
        <v>4950</v>
      </c>
      <c r="J11104" s="1">
        <f>VALUE(6065)</f>
        <v>6065</v>
      </c>
      <c r="K11104" s="1">
        <f>VALUE(7843)</f>
        <v>7843</v>
      </c>
      <c r="L11104" s="7">
        <f>VALUE(10356)</f>
        <v>10356</v>
      </c>
      <c r="M11104" s="8">
        <f>VALUE(13937)</f>
        <v>13937</v>
      </c>
      <c r="N11104" t="s">
        <v>25</v>
      </c>
    </row>
    <row r="11105" spans="1:14" x14ac:dyDescent="0.25">
      <c r="A11105" t="s">
        <v>44</v>
      </c>
      <c r="B11105" t="s">
        <v>15</v>
      </c>
      <c r="C11105" t="s">
        <v>37</v>
      </c>
      <c r="D11105" t="s">
        <v>31</v>
      </c>
      <c r="E11105" t="s">
        <v>15</v>
      </c>
      <c r="F11105" t="s">
        <v>19</v>
      </c>
      <c r="G11105" s="2">
        <f>VALUE(473.94)</f>
        <v>473.94</v>
      </c>
      <c r="H11105" s="3">
        <f>VALUE(463.09)</f>
        <v>463.09</v>
      </c>
      <c r="I11105" s="1">
        <f>VALUE(4473)</f>
        <v>4473</v>
      </c>
      <c r="J11105" s="5">
        <f>VALUE(5068)</f>
        <v>5068</v>
      </c>
      <c r="K11105" s="1">
        <f>VALUE(6013)</f>
        <v>6013</v>
      </c>
      <c r="L11105" s="7">
        <f>VALUE(7026)</f>
        <v>7026</v>
      </c>
      <c r="M11105" s="8">
        <f>VALUE(9562)</f>
        <v>9562</v>
      </c>
      <c r="N11105" t="s">
        <v>25</v>
      </c>
    </row>
    <row r="11106" spans="1:14" x14ac:dyDescent="0.25">
      <c r="A11106" t="s">
        <v>44</v>
      </c>
      <c r="B11106" t="s">
        <v>15</v>
      </c>
      <c r="C11106" t="s">
        <v>37</v>
      </c>
      <c r="D11106" t="s">
        <v>31</v>
      </c>
      <c r="E11106" t="s">
        <v>15</v>
      </c>
      <c r="F11106" t="s">
        <v>20</v>
      </c>
      <c r="G11106" s="2">
        <f>VALUE(2962.87)</f>
        <v>2962.87</v>
      </c>
      <c r="H11106" s="3">
        <f>VALUE(2247)</f>
        <v>2247</v>
      </c>
      <c r="I11106" s="1">
        <f>VALUE(3428)</f>
        <v>3428</v>
      </c>
      <c r="J11106" s="1">
        <f>VALUE(3920)</f>
        <v>3920</v>
      </c>
      <c r="K11106" s="1">
        <f>VALUE(4762)</f>
        <v>4762</v>
      </c>
      <c r="L11106" s="1">
        <f>VALUE(5777)</f>
        <v>5777</v>
      </c>
      <c r="M11106" s="1">
        <f>VALUE(6999)</f>
        <v>6999</v>
      </c>
      <c r="N11106" t="s">
        <v>25</v>
      </c>
    </row>
    <row r="11107" spans="1:14" x14ac:dyDescent="0.25">
      <c r="A11107" t="s">
        <v>44</v>
      </c>
      <c r="B11107" t="s">
        <v>15</v>
      </c>
      <c r="C11107" t="s">
        <v>37</v>
      </c>
      <c r="D11107" t="s">
        <v>31</v>
      </c>
      <c r="E11107" t="s">
        <v>21</v>
      </c>
      <c r="F11107" t="s">
        <v>15</v>
      </c>
      <c r="G11107" s="2">
        <f>VALUE(1353.32)</f>
        <v>1353.32</v>
      </c>
      <c r="H11107" s="3">
        <f>VALUE(1283.72)</f>
        <v>1283.72</v>
      </c>
      <c r="I11107" s="1">
        <f>VALUE(4957)</f>
        <v>4957</v>
      </c>
      <c r="J11107" s="1">
        <f>VALUE(5977)</f>
        <v>5977</v>
      </c>
      <c r="K11107" s="6">
        <f>VALUE(8030)</f>
        <v>8030</v>
      </c>
      <c r="L11107" s="7">
        <f>VALUE(10398)</f>
        <v>10398</v>
      </c>
      <c r="M11107" s="8">
        <f>VALUE(15682)</f>
        <v>15682</v>
      </c>
      <c r="N11107" t="s">
        <v>25</v>
      </c>
    </row>
    <row r="11108" spans="1:14" x14ac:dyDescent="0.25">
      <c r="A11108" t="s">
        <v>44</v>
      </c>
      <c r="B11108" t="s">
        <v>15</v>
      </c>
      <c r="C11108" t="s">
        <v>37</v>
      </c>
      <c r="D11108" t="s">
        <v>31</v>
      </c>
      <c r="E11108" t="s">
        <v>21</v>
      </c>
      <c r="F11108" t="s">
        <v>17</v>
      </c>
      <c r="G11108" s="2">
        <f>VALUE(484.45)</f>
        <v>484.45</v>
      </c>
      <c r="H11108" s="3">
        <f>VALUE(477.24)</f>
        <v>477.24</v>
      </c>
      <c r="I11108" s="4">
        <f>VALUE(5713)</f>
        <v>5713</v>
      </c>
      <c r="J11108" s="5">
        <f>VALUE(7855)</f>
        <v>7855</v>
      </c>
      <c r="K11108" s="6">
        <f>VALUE(9653)</f>
        <v>9653</v>
      </c>
      <c r="L11108" s="7">
        <f>VALUE(13087)</f>
        <v>13087</v>
      </c>
      <c r="M11108" s="8">
        <f>VALUE(23882)</f>
        <v>23882</v>
      </c>
      <c r="N11108" t="s">
        <v>24</v>
      </c>
    </row>
    <row r="11109" spans="1:14" x14ac:dyDescent="0.25">
      <c r="A11109" t="s">
        <v>44</v>
      </c>
      <c r="B11109" t="s">
        <v>15</v>
      </c>
      <c r="C11109" t="s">
        <v>37</v>
      </c>
      <c r="D11109" t="s">
        <v>31</v>
      </c>
      <c r="E11109" t="s">
        <v>21</v>
      </c>
      <c r="F11109" t="s">
        <v>18</v>
      </c>
      <c r="G11109" s="2">
        <f>VALUE(315.36)</f>
        <v>315.36</v>
      </c>
      <c r="H11109" s="3">
        <f>VALUE(295.13)</f>
        <v>295.13</v>
      </c>
      <c r="I11109" s="4">
        <f>VALUE(5137)</f>
        <v>5137</v>
      </c>
      <c r="J11109" s="1">
        <f>VALUE(7014)</f>
        <v>7014</v>
      </c>
      <c r="K11109" s="6">
        <f>VALUE(8904)</f>
        <v>8904</v>
      </c>
      <c r="L11109" s="7">
        <f>VALUE(11432)</f>
        <v>11432</v>
      </c>
      <c r="M11109" s="8">
        <f>VALUE(15682)</f>
        <v>15682</v>
      </c>
      <c r="N11109" t="s">
        <v>25</v>
      </c>
    </row>
    <row r="11110" spans="1:14" x14ac:dyDescent="0.25">
      <c r="A11110" t="s">
        <v>44</v>
      </c>
      <c r="B11110" t="s">
        <v>15</v>
      </c>
      <c r="C11110" t="s">
        <v>37</v>
      </c>
      <c r="D11110" t="s">
        <v>31</v>
      </c>
      <c r="E11110" t="s">
        <v>21</v>
      </c>
      <c r="F11110" t="s">
        <v>19</v>
      </c>
      <c r="G11110" s="1" t="str">
        <f t="shared" ref="G11110:M11110" si="2504">"X"</f>
        <v>X</v>
      </c>
      <c r="H11110" s="1" t="str">
        <f t="shared" si="2504"/>
        <v>X</v>
      </c>
      <c r="I11110" s="1" t="str">
        <f t="shared" si="2504"/>
        <v>X</v>
      </c>
      <c r="J11110" s="1" t="str">
        <f t="shared" si="2504"/>
        <v>X</v>
      </c>
      <c r="K11110" s="1" t="str">
        <f t="shared" si="2504"/>
        <v>X</v>
      </c>
      <c r="L11110" s="1" t="str">
        <f t="shared" si="2504"/>
        <v>X</v>
      </c>
      <c r="M11110" s="1" t="str">
        <f t="shared" si="2504"/>
        <v>X</v>
      </c>
      <c r="N11110" t="s">
        <v>27</v>
      </c>
    </row>
    <row r="11111" spans="1:14" x14ac:dyDescent="0.25">
      <c r="A11111" t="s">
        <v>44</v>
      </c>
      <c r="B11111" t="s">
        <v>15</v>
      </c>
      <c r="C11111" t="s">
        <v>37</v>
      </c>
      <c r="D11111" t="s">
        <v>31</v>
      </c>
      <c r="E11111" t="s">
        <v>21</v>
      </c>
      <c r="F11111" t="s">
        <v>20</v>
      </c>
      <c r="G11111" s="2">
        <f>VALUE(435.46)</f>
        <v>435.46</v>
      </c>
      <c r="H11111" s="3">
        <f>VALUE(397.49)</f>
        <v>397.49</v>
      </c>
      <c r="I11111" s="1">
        <f>VALUE(4646)</f>
        <v>4646</v>
      </c>
      <c r="J11111" s="1">
        <f>VALUE(5476)</f>
        <v>5476</v>
      </c>
      <c r="K11111" s="1">
        <f>VALUE(6350)</f>
        <v>6350</v>
      </c>
      <c r="L11111" s="7">
        <f>VALUE(7754)</f>
        <v>7754</v>
      </c>
      <c r="M11111" s="1">
        <f>VALUE(9917)</f>
        <v>9917</v>
      </c>
      <c r="N11111" t="s">
        <v>25</v>
      </c>
    </row>
    <row r="11112" spans="1:14" x14ac:dyDescent="0.25">
      <c r="A11112" t="s">
        <v>44</v>
      </c>
      <c r="B11112" t="s">
        <v>15</v>
      </c>
      <c r="C11112" t="s">
        <v>37</v>
      </c>
      <c r="D11112" t="s">
        <v>31</v>
      </c>
      <c r="E11112" t="s">
        <v>22</v>
      </c>
      <c r="F11112" t="s">
        <v>15</v>
      </c>
      <c r="G11112" s="2">
        <f>VALUE(1271.64)</f>
        <v>1271.6400000000001</v>
      </c>
      <c r="H11112" s="3">
        <f>VALUE(1159.27)</f>
        <v>1159.27</v>
      </c>
      <c r="I11112" s="4">
        <f>VALUE(3824)</f>
        <v>3824</v>
      </c>
      <c r="J11112" s="1">
        <f>VALUE(4407)</f>
        <v>4407</v>
      </c>
      <c r="K11112" s="1">
        <f>VALUE(5286)</f>
        <v>5286</v>
      </c>
      <c r="L11112" s="1">
        <f>VALUE(6847)</f>
        <v>6847</v>
      </c>
      <c r="M11112" s="8">
        <f>VALUE(8672)</f>
        <v>8672</v>
      </c>
      <c r="N11112" t="s">
        <v>25</v>
      </c>
    </row>
    <row r="11113" spans="1:14" x14ac:dyDescent="0.25">
      <c r="A11113" t="s">
        <v>44</v>
      </c>
      <c r="B11113" t="s">
        <v>15</v>
      </c>
      <c r="C11113" t="s">
        <v>37</v>
      </c>
      <c r="D11113" t="s">
        <v>31</v>
      </c>
      <c r="E11113" t="s">
        <v>22</v>
      </c>
      <c r="F11113" t="s">
        <v>17</v>
      </c>
      <c r="G11113" s="1" t="str">
        <f t="shared" ref="G11113:M11113" si="2505">"X"</f>
        <v>X</v>
      </c>
      <c r="H11113" s="1" t="str">
        <f t="shared" si="2505"/>
        <v>X</v>
      </c>
      <c r="I11113" s="1" t="str">
        <f t="shared" si="2505"/>
        <v>X</v>
      </c>
      <c r="J11113" s="1" t="str">
        <f t="shared" si="2505"/>
        <v>X</v>
      </c>
      <c r="K11113" s="1" t="str">
        <f t="shared" si="2505"/>
        <v>X</v>
      </c>
      <c r="L11113" s="1" t="str">
        <f t="shared" si="2505"/>
        <v>X</v>
      </c>
      <c r="M11113" s="1" t="str">
        <f t="shared" si="2505"/>
        <v>X</v>
      </c>
      <c r="N11113" t="s">
        <v>27</v>
      </c>
    </row>
    <row r="11114" spans="1:14" x14ac:dyDescent="0.25">
      <c r="A11114" t="s">
        <v>44</v>
      </c>
      <c r="B11114" t="s">
        <v>15</v>
      </c>
      <c r="C11114" t="s">
        <v>37</v>
      </c>
      <c r="D11114" t="s">
        <v>31</v>
      </c>
      <c r="E11114" t="s">
        <v>22</v>
      </c>
      <c r="F11114" t="s">
        <v>18</v>
      </c>
      <c r="G11114" s="2">
        <f>VALUE(122.05)</f>
        <v>122.05</v>
      </c>
      <c r="H11114" s="3">
        <f>VALUE(113.07)</f>
        <v>113.07</v>
      </c>
      <c r="I11114" s="1">
        <f>VALUE(4784)</f>
        <v>4784</v>
      </c>
      <c r="J11114" s="1">
        <f>VALUE(5533)</f>
        <v>5533</v>
      </c>
      <c r="K11114" s="1">
        <f>VALUE(6670)</f>
        <v>6670</v>
      </c>
      <c r="L11114" s="1">
        <f>VALUE(8120)</f>
        <v>8120</v>
      </c>
      <c r="M11114" s="1">
        <f>VALUE(9336)</f>
        <v>9336</v>
      </c>
      <c r="N11114" t="s">
        <v>25</v>
      </c>
    </row>
    <row r="11115" spans="1:14" x14ac:dyDescent="0.25">
      <c r="A11115" t="s">
        <v>44</v>
      </c>
      <c r="B11115" t="s">
        <v>15</v>
      </c>
      <c r="C11115" t="s">
        <v>37</v>
      </c>
      <c r="D11115" t="s">
        <v>31</v>
      </c>
      <c r="E11115" t="s">
        <v>22</v>
      </c>
      <c r="F11115" t="s">
        <v>19</v>
      </c>
      <c r="G11115" s="1" t="str">
        <f t="shared" ref="G11115:M11115" si="2506">"X"</f>
        <v>X</v>
      </c>
      <c r="H11115" s="1" t="str">
        <f t="shared" si="2506"/>
        <v>X</v>
      </c>
      <c r="I11115" s="1" t="str">
        <f t="shared" si="2506"/>
        <v>X</v>
      </c>
      <c r="J11115" s="1" t="str">
        <f t="shared" si="2506"/>
        <v>X</v>
      </c>
      <c r="K11115" s="1" t="str">
        <f t="shared" si="2506"/>
        <v>X</v>
      </c>
      <c r="L11115" s="1" t="str">
        <f t="shared" si="2506"/>
        <v>X</v>
      </c>
      <c r="M11115" s="1" t="str">
        <f t="shared" si="2506"/>
        <v>X</v>
      </c>
      <c r="N11115" t="s">
        <v>27</v>
      </c>
    </row>
    <row r="11116" spans="1:14" x14ac:dyDescent="0.25">
      <c r="A11116" t="s">
        <v>44</v>
      </c>
      <c r="B11116" t="s">
        <v>15</v>
      </c>
      <c r="C11116" t="s">
        <v>37</v>
      </c>
      <c r="D11116" t="s">
        <v>31</v>
      </c>
      <c r="E11116" t="s">
        <v>22</v>
      </c>
      <c r="F11116" t="s">
        <v>20</v>
      </c>
      <c r="G11116" s="2">
        <f>VALUE(687.3)</f>
        <v>687.3</v>
      </c>
      <c r="H11116" s="3">
        <f>VALUE(596.77)</f>
        <v>596.77</v>
      </c>
      <c r="I11116" s="4">
        <f>VALUE(3486)</f>
        <v>3486</v>
      </c>
      <c r="J11116" s="1">
        <f>VALUE(3953)</f>
        <v>3953</v>
      </c>
      <c r="K11116" s="1">
        <f>VALUE(4879)</f>
        <v>4879</v>
      </c>
      <c r="L11116" s="1">
        <f>VALUE(5598)</f>
        <v>5598</v>
      </c>
      <c r="M11116" s="1">
        <f>VALUE(6380)</f>
        <v>6380</v>
      </c>
      <c r="N11116" t="s">
        <v>25</v>
      </c>
    </row>
    <row r="11117" spans="1:14" x14ac:dyDescent="0.25">
      <c r="A11117" t="s">
        <v>44</v>
      </c>
      <c r="B11117" t="s">
        <v>15</v>
      </c>
      <c r="C11117" t="s">
        <v>37</v>
      </c>
      <c r="D11117" t="s">
        <v>31</v>
      </c>
      <c r="E11117" t="s">
        <v>23</v>
      </c>
      <c r="F11117" t="s">
        <v>15</v>
      </c>
      <c r="G11117" s="2">
        <f>VALUE(2022.99)</f>
        <v>2022.99</v>
      </c>
      <c r="H11117" s="3">
        <f>VALUE(1419.9)</f>
        <v>1419.9</v>
      </c>
      <c r="I11117" s="1">
        <f>VALUE(3301)</f>
        <v>3301</v>
      </c>
      <c r="J11117" s="1">
        <f>VALUE(3754)</f>
        <v>3754</v>
      </c>
      <c r="K11117" s="1">
        <f>VALUE(4520)</f>
        <v>4520</v>
      </c>
      <c r="L11117" s="7">
        <f>VALUE(5589)</f>
        <v>5589</v>
      </c>
      <c r="M11117" s="1">
        <f>VALUE(6243)</f>
        <v>6243</v>
      </c>
      <c r="N11117" t="s">
        <v>25</v>
      </c>
    </row>
    <row r="11118" spans="1:14" x14ac:dyDescent="0.25">
      <c r="A11118" t="s">
        <v>44</v>
      </c>
      <c r="B11118" t="s">
        <v>15</v>
      </c>
      <c r="C11118" t="s">
        <v>37</v>
      </c>
      <c r="D11118" t="s">
        <v>31</v>
      </c>
      <c r="E11118" t="s">
        <v>23</v>
      </c>
      <c r="F11118" t="s">
        <v>17</v>
      </c>
      <c r="G11118" s="1" t="str">
        <f t="shared" ref="G11118:M11120" si="2507">"X"</f>
        <v>X</v>
      </c>
      <c r="H11118" s="1" t="str">
        <f t="shared" si="2507"/>
        <v>X</v>
      </c>
      <c r="I11118" s="1" t="str">
        <f t="shared" si="2507"/>
        <v>X</v>
      </c>
      <c r="J11118" s="1" t="str">
        <f t="shared" si="2507"/>
        <v>X</v>
      </c>
      <c r="K11118" s="1" t="str">
        <f t="shared" si="2507"/>
        <v>X</v>
      </c>
      <c r="L11118" s="1" t="str">
        <f t="shared" si="2507"/>
        <v>X</v>
      </c>
      <c r="M11118" s="1" t="str">
        <f t="shared" si="2507"/>
        <v>X</v>
      </c>
      <c r="N11118" t="s">
        <v>27</v>
      </c>
    </row>
    <row r="11119" spans="1:14" x14ac:dyDescent="0.25">
      <c r="A11119" t="s">
        <v>44</v>
      </c>
      <c r="B11119" t="s">
        <v>15</v>
      </c>
      <c r="C11119" t="s">
        <v>37</v>
      </c>
      <c r="D11119" t="s">
        <v>31</v>
      </c>
      <c r="E11119" t="s">
        <v>23</v>
      </c>
      <c r="F11119" t="s">
        <v>18</v>
      </c>
      <c r="G11119" s="1" t="str">
        <f t="shared" si="2507"/>
        <v>X</v>
      </c>
      <c r="H11119" s="1" t="str">
        <f t="shared" si="2507"/>
        <v>X</v>
      </c>
      <c r="I11119" s="1" t="str">
        <f t="shared" si="2507"/>
        <v>X</v>
      </c>
      <c r="J11119" s="1" t="str">
        <f t="shared" si="2507"/>
        <v>X</v>
      </c>
      <c r="K11119" s="1" t="str">
        <f t="shared" si="2507"/>
        <v>X</v>
      </c>
      <c r="L11119" s="1" t="str">
        <f t="shared" si="2507"/>
        <v>X</v>
      </c>
      <c r="M11119" s="1" t="str">
        <f t="shared" si="2507"/>
        <v>X</v>
      </c>
      <c r="N11119" t="s">
        <v>27</v>
      </c>
    </row>
    <row r="11120" spans="1:14" x14ac:dyDescent="0.25">
      <c r="A11120" t="s">
        <v>44</v>
      </c>
      <c r="B11120" t="s">
        <v>15</v>
      </c>
      <c r="C11120" t="s">
        <v>37</v>
      </c>
      <c r="D11120" t="s">
        <v>31</v>
      </c>
      <c r="E11120" t="s">
        <v>23</v>
      </c>
      <c r="F11120" t="s">
        <v>19</v>
      </c>
      <c r="G11120" s="1" t="str">
        <f t="shared" si="2507"/>
        <v>X</v>
      </c>
      <c r="H11120" s="1" t="str">
        <f t="shared" si="2507"/>
        <v>X</v>
      </c>
      <c r="I11120" s="1" t="str">
        <f t="shared" si="2507"/>
        <v>X</v>
      </c>
      <c r="J11120" s="1" t="str">
        <f t="shared" si="2507"/>
        <v>X</v>
      </c>
      <c r="K11120" s="1" t="str">
        <f t="shared" si="2507"/>
        <v>X</v>
      </c>
      <c r="L11120" s="1" t="str">
        <f t="shared" si="2507"/>
        <v>X</v>
      </c>
      <c r="M11120" s="1" t="str">
        <f t="shared" si="2507"/>
        <v>X</v>
      </c>
      <c r="N11120" t="s">
        <v>27</v>
      </c>
    </row>
    <row r="11121" spans="1:14" x14ac:dyDescent="0.25">
      <c r="A11121" t="s">
        <v>44</v>
      </c>
      <c r="B11121" t="s">
        <v>15</v>
      </c>
      <c r="C11121" t="s">
        <v>37</v>
      </c>
      <c r="D11121" t="s">
        <v>31</v>
      </c>
      <c r="E11121" t="s">
        <v>23</v>
      </c>
      <c r="F11121" t="s">
        <v>20</v>
      </c>
      <c r="G11121" s="2">
        <f>VALUE(1806.98)</f>
        <v>1806.98</v>
      </c>
      <c r="H11121" s="3">
        <f>VALUE(1218.36)</f>
        <v>1218.3599999999999</v>
      </c>
      <c r="I11121" s="1">
        <f>VALUE(3218)</f>
        <v>3218</v>
      </c>
      <c r="J11121" s="1">
        <f>VALUE(3612)</f>
        <v>3612</v>
      </c>
      <c r="K11121" s="1">
        <f>VALUE(4285)</f>
        <v>4285</v>
      </c>
      <c r="L11121" s="7">
        <f>VALUE(5078)</f>
        <v>5078</v>
      </c>
      <c r="M11121" s="1">
        <f>VALUE(6173)</f>
        <v>6173</v>
      </c>
      <c r="N11121" t="s">
        <v>25</v>
      </c>
    </row>
    <row r="11122" spans="1:14" x14ac:dyDescent="0.25">
      <c r="A11122" t="s">
        <v>44</v>
      </c>
      <c r="B11122" t="s">
        <v>15</v>
      </c>
      <c r="C11122" t="s">
        <v>37</v>
      </c>
      <c r="D11122" t="s">
        <v>31</v>
      </c>
      <c r="E11122" t="s">
        <v>26</v>
      </c>
      <c r="F11122" t="s">
        <v>15</v>
      </c>
      <c r="G11122" s="1" t="str">
        <f t="shared" ref="G11122:M11124" si="2508">"X"</f>
        <v>X</v>
      </c>
      <c r="H11122" s="1" t="str">
        <f t="shared" si="2508"/>
        <v>X</v>
      </c>
      <c r="I11122" s="1" t="str">
        <f t="shared" si="2508"/>
        <v>X</v>
      </c>
      <c r="J11122" s="1" t="str">
        <f t="shared" si="2508"/>
        <v>X</v>
      </c>
      <c r="K11122" s="1" t="str">
        <f t="shared" si="2508"/>
        <v>X</v>
      </c>
      <c r="L11122" s="1" t="str">
        <f t="shared" si="2508"/>
        <v>X</v>
      </c>
      <c r="M11122" s="1" t="str">
        <f t="shared" si="2508"/>
        <v>X</v>
      </c>
      <c r="N11122" t="s">
        <v>27</v>
      </c>
    </row>
    <row r="11123" spans="1:14" x14ac:dyDescent="0.25">
      <c r="A11123" t="s">
        <v>44</v>
      </c>
      <c r="B11123" t="s">
        <v>15</v>
      </c>
      <c r="C11123" t="s">
        <v>37</v>
      </c>
      <c r="D11123" t="s">
        <v>31</v>
      </c>
      <c r="E11123" t="s">
        <v>26</v>
      </c>
      <c r="F11123" t="s">
        <v>17</v>
      </c>
      <c r="G11123" s="1" t="str">
        <f t="shared" si="2508"/>
        <v>X</v>
      </c>
      <c r="H11123" s="1" t="str">
        <f t="shared" si="2508"/>
        <v>X</v>
      </c>
      <c r="I11123" s="1" t="str">
        <f t="shared" si="2508"/>
        <v>X</v>
      </c>
      <c r="J11123" s="1" t="str">
        <f t="shared" si="2508"/>
        <v>X</v>
      </c>
      <c r="K11123" s="1" t="str">
        <f t="shared" si="2508"/>
        <v>X</v>
      </c>
      <c r="L11123" s="1" t="str">
        <f t="shared" si="2508"/>
        <v>X</v>
      </c>
      <c r="M11123" s="1" t="str">
        <f t="shared" si="2508"/>
        <v>X</v>
      </c>
      <c r="N11123" t="s">
        <v>27</v>
      </c>
    </row>
    <row r="11124" spans="1:14" x14ac:dyDescent="0.25">
      <c r="A11124" t="s">
        <v>44</v>
      </c>
      <c r="B11124" t="s">
        <v>15</v>
      </c>
      <c r="C11124" t="s">
        <v>37</v>
      </c>
      <c r="D11124" t="s">
        <v>31</v>
      </c>
      <c r="E11124" t="s">
        <v>26</v>
      </c>
      <c r="F11124" t="s">
        <v>18</v>
      </c>
      <c r="G11124" s="1" t="str">
        <f t="shared" si="2508"/>
        <v>X</v>
      </c>
      <c r="H11124" s="1" t="str">
        <f t="shared" si="2508"/>
        <v>X</v>
      </c>
      <c r="I11124" s="1" t="str">
        <f t="shared" si="2508"/>
        <v>X</v>
      </c>
      <c r="J11124" s="1" t="str">
        <f t="shared" si="2508"/>
        <v>X</v>
      </c>
      <c r="K11124" s="1" t="str">
        <f t="shared" si="2508"/>
        <v>X</v>
      </c>
      <c r="L11124" s="1" t="str">
        <f t="shared" si="2508"/>
        <v>X</v>
      </c>
      <c r="M11124" s="1" t="str">
        <f t="shared" si="2508"/>
        <v>X</v>
      </c>
      <c r="N11124" t="s">
        <v>27</v>
      </c>
    </row>
    <row r="11125" spans="1:14" x14ac:dyDescent="0.25">
      <c r="A11125" t="s">
        <v>44</v>
      </c>
      <c r="B11125" t="s">
        <v>15</v>
      </c>
      <c r="C11125" t="s">
        <v>37</v>
      </c>
      <c r="D11125" t="s">
        <v>31</v>
      </c>
      <c r="E11125" t="s">
        <v>26</v>
      </c>
      <c r="F11125" t="s">
        <v>19</v>
      </c>
      <c r="G11125" s="1" t="str">
        <f t="shared" ref="G11125:M11125" si="2509">"..."</f>
        <v>...</v>
      </c>
      <c r="H11125" s="1" t="str">
        <f t="shared" si="2509"/>
        <v>...</v>
      </c>
      <c r="I11125" s="1" t="str">
        <f t="shared" si="2509"/>
        <v>...</v>
      </c>
      <c r="J11125" s="1" t="str">
        <f t="shared" si="2509"/>
        <v>...</v>
      </c>
      <c r="K11125" s="1" t="str">
        <f t="shared" si="2509"/>
        <v>...</v>
      </c>
      <c r="L11125" s="1" t="str">
        <f t="shared" si="2509"/>
        <v>...</v>
      </c>
      <c r="M11125" s="1" t="str">
        <f t="shared" si="2509"/>
        <v>...</v>
      </c>
      <c r="N11125" t="s">
        <v>30</v>
      </c>
    </row>
    <row r="11126" spans="1:14" x14ac:dyDescent="0.25">
      <c r="A11126" t="s">
        <v>44</v>
      </c>
      <c r="B11126" t="s">
        <v>15</v>
      </c>
      <c r="C11126" t="s">
        <v>37</v>
      </c>
      <c r="D11126" t="s">
        <v>31</v>
      </c>
      <c r="E11126" t="s">
        <v>26</v>
      </c>
      <c r="F11126" t="s">
        <v>20</v>
      </c>
      <c r="G11126" s="1" t="str">
        <f t="shared" ref="G11126:M11126" si="2510">"X"</f>
        <v>X</v>
      </c>
      <c r="H11126" s="1" t="str">
        <f t="shared" si="2510"/>
        <v>X</v>
      </c>
      <c r="I11126" s="1" t="str">
        <f t="shared" si="2510"/>
        <v>X</v>
      </c>
      <c r="J11126" s="1" t="str">
        <f t="shared" si="2510"/>
        <v>X</v>
      </c>
      <c r="K11126" s="1" t="str">
        <f t="shared" si="2510"/>
        <v>X</v>
      </c>
      <c r="L11126" s="1" t="str">
        <f t="shared" si="2510"/>
        <v>X</v>
      </c>
      <c r="M11126" s="1" t="str">
        <f t="shared" si="2510"/>
        <v>X</v>
      </c>
      <c r="N11126" t="s">
        <v>27</v>
      </c>
    </row>
    <row r="11127" spans="1:14" x14ac:dyDescent="0.25">
      <c r="A11127" t="s">
        <v>44</v>
      </c>
      <c r="B11127" t="s">
        <v>15</v>
      </c>
      <c r="C11127" t="s">
        <v>37</v>
      </c>
      <c r="D11127" t="s">
        <v>32</v>
      </c>
      <c r="E11127" t="s">
        <v>15</v>
      </c>
      <c r="F11127" t="s">
        <v>15</v>
      </c>
      <c r="G11127" s="1">
        <f>VALUE(23338.92)</f>
        <v>23338.92</v>
      </c>
      <c r="H11127" s="1">
        <f>VALUE(21343.98)</f>
        <v>21343.98</v>
      </c>
      <c r="I11127" s="1">
        <f>VALUE(3291)</f>
        <v>3291</v>
      </c>
      <c r="J11127" s="1">
        <f>VALUE(3887)</f>
        <v>3887</v>
      </c>
      <c r="K11127" s="1">
        <f>VALUE(4867)</f>
        <v>4867</v>
      </c>
      <c r="L11127" s="1">
        <f>VALUE(5991)</f>
        <v>5991</v>
      </c>
      <c r="M11127" s="1">
        <f>VALUE(7434)</f>
        <v>7434</v>
      </c>
      <c r="N11127" t="s">
        <v>16</v>
      </c>
    </row>
    <row r="11128" spans="1:14" x14ac:dyDescent="0.25">
      <c r="A11128" t="s">
        <v>44</v>
      </c>
      <c r="B11128" t="s">
        <v>15</v>
      </c>
      <c r="C11128" t="s">
        <v>37</v>
      </c>
      <c r="D11128" t="s">
        <v>32</v>
      </c>
      <c r="E11128" t="s">
        <v>15</v>
      </c>
      <c r="F11128" t="s">
        <v>17</v>
      </c>
      <c r="G11128" s="2">
        <f>VALUE(1585.08)</f>
        <v>1585.08</v>
      </c>
      <c r="H11128" s="3">
        <f>VALUE(1478.51)</f>
        <v>1478.51</v>
      </c>
      <c r="I11128" s="1">
        <f>VALUE(4893)</f>
        <v>4893</v>
      </c>
      <c r="J11128" s="1">
        <f>VALUE(5934)</f>
        <v>5934</v>
      </c>
      <c r="K11128" s="1">
        <f>VALUE(7582)</f>
        <v>7582</v>
      </c>
      <c r="L11128" s="7">
        <f>VALUE(10566)</f>
        <v>10566</v>
      </c>
      <c r="M11128" s="8">
        <f>VALUE(16121)</f>
        <v>16121</v>
      </c>
      <c r="N11128" t="s">
        <v>25</v>
      </c>
    </row>
    <row r="11129" spans="1:14" x14ac:dyDescent="0.25">
      <c r="A11129" t="s">
        <v>44</v>
      </c>
      <c r="B11129" t="s">
        <v>15</v>
      </c>
      <c r="C11129" t="s">
        <v>37</v>
      </c>
      <c r="D11129" t="s">
        <v>32</v>
      </c>
      <c r="E11129" t="s">
        <v>15</v>
      </c>
      <c r="F11129" t="s">
        <v>18</v>
      </c>
      <c r="G11129" s="2">
        <f>VALUE(1984.75)</f>
        <v>1984.75</v>
      </c>
      <c r="H11129" s="3">
        <f>VALUE(1934.31)</f>
        <v>1934.31</v>
      </c>
      <c r="I11129" s="4">
        <f>VALUE(4281)</f>
        <v>4281</v>
      </c>
      <c r="J11129" s="1">
        <f>VALUE(5158)</f>
        <v>5158</v>
      </c>
      <c r="K11129" s="1">
        <f>VALUE(5649)</f>
        <v>5649</v>
      </c>
      <c r="L11129" s="7">
        <f>VALUE(7437)</f>
        <v>7437</v>
      </c>
      <c r="M11129" s="1">
        <f>VALUE(9572)</f>
        <v>9572</v>
      </c>
      <c r="N11129" t="s">
        <v>25</v>
      </c>
    </row>
    <row r="11130" spans="1:14" x14ac:dyDescent="0.25">
      <c r="A11130" t="s">
        <v>44</v>
      </c>
      <c r="B11130" t="s">
        <v>15</v>
      </c>
      <c r="C11130" t="s">
        <v>37</v>
      </c>
      <c r="D11130" t="s">
        <v>32</v>
      </c>
      <c r="E11130" t="s">
        <v>15</v>
      </c>
      <c r="F11130" t="s">
        <v>19</v>
      </c>
      <c r="G11130" s="1">
        <f>VALUE(2734.24)</f>
        <v>2734.24</v>
      </c>
      <c r="H11130" s="1">
        <f>VALUE(2610.51)</f>
        <v>2610.5100000000002</v>
      </c>
      <c r="I11130" s="1">
        <f>VALUE(3610)</f>
        <v>3610</v>
      </c>
      <c r="J11130" s="1">
        <f>VALUE(4437)</f>
        <v>4437</v>
      </c>
      <c r="K11130" s="1">
        <f>VALUE(5549)</f>
        <v>5549</v>
      </c>
      <c r="L11130" s="1">
        <f>VALUE(6654)</f>
        <v>6654</v>
      </c>
      <c r="M11130" s="1">
        <f>VALUE(7566)</f>
        <v>7566</v>
      </c>
      <c r="N11130" t="s">
        <v>16</v>
      </c>
    </row>
    <row r="11131" spans="1:14" x14ac:dyDescent="0.25">
      <c r="A11131" t="s">
        <v>44</v>
      </c>
      <c r="B11131" t="s">
        <v>15</v>
      </c>
      <c r="C11131" t="s">
        <v>37</v>
      </c>
      <c r="D11131" t="s">
        <v>32</v>
      </c>
      <c r="E11131" t="s">
        <v>15</v>
      </c>
      <c r="F11131" t="s">
        <v>20</v>
      </c>
      <c r="G11131" s="1">
        <f>VALUE(17034.85)</f>
        <v>17034.849999999999</v>
      </c>
      <c r="H11131" s="1">
        <f>VALUE(15320.65)</f>
        <v>15320.65</v>
      </c>
      <c r="I11131" s="1">
        <f>VALUE(3237)</f>
        <v>3237</v>
      </c>
      <c r="J11131" s="1">
        <f>VALUE(3676)</f>
        <v>3676</v>
      </c>
      <c r="K11131" s="1">
        <f>VALUE(4486)</f>
        <v>4486</v>
      </c>
      <c r="L11131" s="1">
        <f>VALUE(5482)</f>
        <v>5482</v>
      </c>
      <c r="M11131" s="1">
        <f>VALUE(6457)</f>
        <v>6457</v>
      </c>
      <c r="N11131" t="s">
        <v>16</v>
      </c>
    </row>
    <row r="11132" spans="1:14" x14ac:dyDescent="0.25">
      <c r="A11132" t="s">
        <v>44</v>
      </c>
      <c r="B11132" t="s">
        <v>15</v>
      </c>
      <c r="C11132" t="s">
        <v>37</v>
      </c>
      <c r="D11132" t="s">
        <v>32</v>
      </c>
      <c r="E11132" t="s">
        <v>21</v>
      </c>
      <c r="F11132" t="s">
        <v>15</v>
      </c>
      <c r="G11132" s="1">
        <f>VALUE(5191.59)</f>
        <v>5191.59</v>
      </c>
      <c r="H11132" s="1">
        <f>VALUE(4749.8)</f>
        <v>4749.8</v>
      </c>
      <c r="I11132" s="1">
        <f>VALUE(4104)</f>
        <v>4104</v>
      </c>
      <c r="J11132" s="1">
        <f>VALUE(5189)</f>
        <v>5189</v>
      </c>
      <c r="K11132" s="1">
        <f>VALUE(6566)</f>
        <v>6566</v>
      </c>
      <c r="L11132" s="1">
        <f>VALUE(8113)</f>
        <v>8113</v>
      </c>
      <c r="M11132" s="8">
        <f>VALUE(10461)</f>
        <v>10461</v>
      </c>
      <c r="N11132" t="s">
        <v>25</v>
      </c>
    </row>
    <row r="11133" spans="1:14" x14ac:dyDescent="0.25">
      <c r="A11133" t="s">
        <v>44</v>
      </c>
      <c r="B11133" t="s">
        <v>15</v>
      </c>
      <c r="C11133" t="s">
        <v>37</v>
      </c>
      <c r="D11133" t="s">
        <v>32</v>
      </c>
      <c r="E11133" t="s">
        <v>21</v>
      </c>
      <c r="F11133" t="s">
        <v>17</v>
      </c>
      <c r="G11133" s="2">
        <f>VALUE(1005.75)</f>
        <v>1005.75</v>
      </c>
      <c r="H11133" s="3">
        <f>VALUE(913.93)</f>
        <v>913.93</v>
      </c>
      <c r="I11133" s="1">
        <f>VALUE(5838)</f>
        <v>5838</v>
      </c>
      <c r="J11133" s="1">
        <f>VALUE(7081)</f>
        <v>7081</v>
      </c>
      <c r="K11133" s="6">
        <f>VALUE(9146)</f>
        <v>9146</v>
      </c>
      <c r="L11133" s="7">
        <f>VALUE(12540)</f>
        <v>12540</v>
      </c>
      <c r="M11133" s="8">
        <f>VALUE(18483)</f>
        <v>18483</v>
      </c>
      <c r="N11133" t="s">
        <v>25</v>
      </c>
    </row>
    <row r="11134" spans="1:14" x14ac:dyDescent="0.25">
      <c r="A11134" t="s">
        <v>44</v>
      </c>
      <c r="B11134" t="s">
        <v>15</v>
      </c>
      <c r="C11134" t="s">
        <v>37</v>
      </c>
      <c r="D11134" t="s">
        <v>32</v>
      </c>
      <c r="E11134" t="s">
        <v>21</v>
      </c>
      <c r="F11134" t="s">
        <v>18</v>
      </c>
      <c r="G11134" s="2">
        <f>VALUE(853.77)</f>
        <v>853.77</v>
      </c>
      <c r="H11134" s="3">
        <f>VALUE(823.66)</f>
        <v>823.66</v>
      </c>
      <c r="I11134" s="4">
        <f>VALUE(4894)</f>
        <v>4894</v>
      </c>
      <c r="J11134" s="5">
        <f>VALUE(5500)</f>
        <v>5500</v>
      </c>
      <c r="K11134" s="6">
        <f>VALUE(6853)</f>
        <v>6853</v>
      </c>
      <c r="L11134" s="7">
        <f>VALUE(8760)</f>
        <v>8760</v>
      </c>
      <c r="M11134" s="1">
        <f>VALUE(10495)</f>
        <v>10495</v>
      </c>
      <c r="N11134" t="s">
        <v>25</v>
      </c>
    </row>
    <row r="11135" spans="1:14" x14ac:dyDescent="0.25">
      <c r="A11135" t="s">
        <v>44</v>
      </c>
      <c r="B11135" t="s">
        <v>15</v>
      </c>
      <c r="C11135" t="s">
        <v>37</v>
      </c>
      <c r="D11135" t="s">
        <v>32</v>
      </c>
      <c r="E11135" t="s">
        <v>21</v>
      </c>
      <c r="F11135" t="s">
        <v>19</v>
      </c>
      <c r="G11135" s="2">
        <f>VALUE(846.55)</f>
        <v>846.55</v>
      </c>
      <c r="H11135" s="3">
        <f>VALUE(781.69)</f>
        <v>781.69</v>
      </c>
      <c r="I11135" s="4">
        <f>VALUE(4083)</f>
        <v>4083</v>
      </c>
      <c r="J11135" s="5">
        <f>VALUE(5307)</f>
        <v>5307</v>
      </c>
      <c r="K11135" s="1">
        <f>VALUE(6643)</f>
        <v>6643</v>
      </c>
      <c r="L11135" s="1">
        <f>VALUE(7248)</f>
        <v>7248</v>
      </c>
      <c r="M11135" s="8">
        <f>VALUE(8346)</f>
        <v>8346</v>
      </c>
      <c r="N11135" t="s">
        <v>25</v>
      </c>
    </row>
    <row r="11136" spans="1:14" x14ac:dyDescent="0.25">
      <c r="A11136" t="s">
        <v>44</v>
      </c>
      <c r="B11136" t="s">
        <v>15</v>
      </c>
      <c r="C11136" t="s">
        <v>37</v>
      </c>
      <c r="D11136" t="s">
        <v>32</v>
      </c>
      <c r="E11136" t="s">
        <v>21</v>
      </c>
      <c r="F11136" t="s">
        <v>20</v>
      </c>
      <c r="G11136" s="2">
        <f>VALUE(2485.52)</f>
        <v>2485.52</v>
      </c>
      <c r="H11136" s="3">
        <f>VALUE(2230.52)</f>
        <v>2230.52</v>
      </c>
      <c r="I11136" s="1">
        <f>VALUE(3831)</f>
        <v>3831</v>
      </c>
      <c r="J11136" s="1">
        <f>VALUE(4725)</f>
        <v>4725</v>
      </c>
      <c r="K11136" s="1">
        <f>VALUE(5702)</f>
        <v>5702</v>
      </c>
      <c r="L11136" s="1">
        <f>VALUE(6705)</f>
        <v>6705</v>
      </c>
      <c r="M11136" s="1">
        <f>VALUE(8182)</f>
        <v>8182</v>
      </c>
      <c r="N11136" t="s">
        <v>25</v>
      </c>
    </row>
    <row r="11137" spans="1:14" x14ac:dyDescent="0.25">
      <c r="A11137" t="s">
        <v>44</v>
      </c>
      <c r="B11137" t="s">
        <v>15</v>
      </c>
      <c r="C11137" t="s">
        <v>37</v>
      </c>
      <c r="D11137" t="s">
        <v>32</v>
      </c>
      <c r="E11137" t="s">
        <v>22</v>
      </c>
      <c r="F11137" t="s">
        <v>15</v>
      </c>
      <c r="G11137" s="1">
        <f>VALUE(7169.2)</f>
        <v>7169.2</v>
      </c>
      <c r="H11137" s="1">
        <f>VALUE(6712.75)</f>
        <v>6712.75</v>
      </c>
      <c r="I11137" s="1">
        <f>VALUE(3648)</f>
        <v>3648</v>
      </c>
      <c r="J11137" s="1">
        <f>VALUE(4246)</f>
        <v>4246</v>
      </c>
      <c r="K11137" s="1">
        <f>VALUE(5041)</f>
        <v>5041</v>
      </c>
      <c r="L11137" s="1">
        <f>VALUE(5854)</f>
        <v>5854</v>
      </c>
      <c r="M11137" s="1">
        <f>VALUE(6896)</f>
        <v>6896</v>
      </c>
      <c r="N11137" t="s">
        <v>16</v>
      </c>
    </row>
    <row r="11138" spans="1:14" x14ac:dyDescent="0.25">
      <c r="A11138" t="s">
        <v>44</v>
      </c>
      <c r="B11138" t="s">
        <v>15</v>
      </c>
      <c r="C11138" t="s">
        <v>37</v>
      </c>
      <c r="D11138" t="s">
        <v>32</v>
      </c>
      <c r="E11138" t="s">
        <v>22</v>
      </c>
      <c r="F11138" t="s">
        <v>17</v>
      </c>
      <c r="G11138" s="2">
        <f>VALUE(479.91)</f>
        <v>479.91</v>
      </c>
      <c r="H11138" s="3">
        <f>VALUE(465.43)</f>
        <v>465.43</v>
      </c>
      <c r="I11138" s="4">
        <f>VALUE(4606)</f>
        <v>4606</v>
      </c>
      <c r="J11138" s="1">
        <f>VALUE(5191)</f>
        <v>5191</v>
      </c>
      <c r="K11138" s="1">
        <f>VALUE(6065)</f>
        <v>6065</v>
      </c>
      <c r="L11138" s="1">
        <f>VALUE(7772)</f>
        <v>7772</v>
      </c>
      <c r="M11138" s="8">
        <f>VALUE(10667)</f>
        <v>10667</v>
      </c>
      <c r="N11138" t="s">
        <v>25</v>
      </c>
    </row>
    <row r="11139" spans="1:14" x14ac:dyDescent="0.25">
      <c r="A11139" t="s">
        <v>44</v>
      </c>
      <c r="B11139" t="s">
        <v>15</v>
      </c>
      <c r="C11139" t="s">
        <v>37</v>
      </c>
      <c r="D11139" t="s">
        <v>32</v>
      </c>
      <c r="E11139" t="s">
        <v>22</v>
      </c>
      <c r="F11139" t="s">
        <v>18</v>
      </c>
      <c r="G11139" s="2">
        <f>VALUE(574.64)</f>
        <v>574.64</v>
      </c>
      <c r="H11139" s="3">
        <f>VALUE(561.6)</f>
        <v>561.6</v>
      </c>
      <c r="I11139" s="1">
        <f>VALUE(4281)</f>
        <v>4281</v>
      </c>
      <c r="J11139" s="1">
        <f>VALUE(4853)</f>
        <v>4853</v>
      </c>
      <c r="K11139" s="1">
        <f>VALUE(5542)</f>
        <v>5542</v>
      </c>
      <c r="L11139" s="1">
        <f>VALUE(6914)</f>
        <v>6914</v>
      </c>
      <c r="M11139" s="1">
        <f>VALUE(8665)</f>
        <v>8665</v>
      </c>
      <c r="N11139" t="s">
        <v>25</v>
      </c>
    </row>
    <row r="11140" spans="1:14" x14ac:dyDescent="0.25">
      <c r="A11140" t="s">
        <v>44</v>
      </c>
      <c r="B11140" t="s">
        <v>15</v>
      </c>
      <c r="C11140" t="s">
        <v>37</v>
      </c>
      <c r="D11140" t="s">
        <v>32</v>
      </c>
      <c r="E11140" t="s">
        <v>22</v>
      </c>
      <c r="F11140" t="s">
        <v>19</v>
      </c>
      <c r="G11140" s="2">
        <f>VALUE(1143.23)</f>
        <v>1143.23</v>
      </c>
      <c r="H11140" s="3">
        <f>VALUE(1101.81)</f>
        <v>1101.81</v>
      </c>
      <c r="I11140" s="1">
        <f>VALUE(3869)</f>
        <v>3869</v>
      </c>
      <c r="J11140" s="1">
        <f>VALUE(4581)</f>
        <v>4581</v>
      </c>
      <c r="K11140" s="1">
        <f>VALUE(5423)</f>
        <v>5423</v>
      </c>
      <c r="L11140" s="1">
        <f>VALUE(6155)</f>
        <v>6155</v>
      </c>
      <c r="M11140" s="1">
        <f>VALUE(6936)</f>
        <v>6936</v>
      </c>
      <c r="N11140" t="s">
        <v>25</v>
      </c>
    </row>
    <row r="11141" spans="1:14" x14ac:dyDescent="0.25">
      <c r="A11141" t="s">
        <v>44</v>
      </c>
      <c r="B11141" t="s">
        <v>15</v>
      </c>
      <c r="C11141" t="s">
        <v>37</v>
      </c>
      <c r="D11141" t="s">
        <v>32</v>
      </c>
      <c r="E11141" t="s">
        <v>22</v>
      </c>
      <c r="F11141" t="s">
        <v>20</v>
      </c>
      <c r="G11141" s="1">
        <f>VALUE(4971.42)</f>
        <v>4971.42</v>
      </c>
      <c r="H11141" s="1">
        <f>VALUE(4583.91)</f>
        <v>4583.91</v>
      </c>
      <c r="I11141" s="1">
        <f>VALUE(3554)</f>
        <v>3554</v>
      </c>
      <c r="J11141" s="1">
        <f>VALUE(4042)</f>
        <v>4042</v>
      </c>
      <c r="K11141" s="1">
        <f>VALUE(4792)</f>
        <v>4792</v>
      </c>
      <c r="L11141" s="1">
        <f>VALUE(5528)</f>
        <v>5528</v>
      </c>
      <c r="M11141" s="1">
        <f>VALUE(6263)</f>
        <v>6263</v>
      </c>
      <c r="N11141" t="s">
        <v>16</v>
      </c>
    </row>
    <row r="11142" spans="1:14" x14ac:dyDescent="0.25">
      <c r="A11142" t="s">
        <v>44</v>
      </c>
      <c r="B11142" t="s">
        <v>15</v>
      </c>
      <c r="C11142" t="s">
        <v>37</v>
      </c>
      <c r="D11142" t="s">
        <v>32</v>
      </c>
      <c r="E11142" t="s">
        <v>23</v>
      </c>
      <c r="F11142" t="s">
        <v>15</v>
      </c>
      <c r="G11142" s="1">
        <f>VALUE(10712.97)</f>
        <v>10712.97</v>
      </c>
      <c r="H11142" s="1">
        <f>VALUE(9616.88)</f>
        <v>9616.8799999999992</v>
      </c>
      <c r="I11142" s="1">
        <f>VALUE(3141)</f>
        <v>3141</v>
      </c>
      <c r="J11142" s="1">
        <f>VALUE(3469)</f>
        <v>3469</v>
      </c>
      <c r="K11142" s="1">
        <f>VALUE(4157)</f>
        <v>4157</v>
      </c>
      <c r="L11142" s="1">
        <f>VALUE(5164)</f>
        <v>5164</v>
      </c>
      <c r="M11142" s="1">
        <f>VALUE(6038)</f>
        <v>6038</v>
      </c>
      <c r="N11142" t="s">
        <v>16</v>
      </c>
    </row>
    <row r="11143" spans="1:14" x14ac:dyDescent="0.25">
      <c r="A11143" t="s">
        <v>44</v>
      </c>
      <c r="B11143" t="s">
        <v>15</v>
      </c>
      <c r="C11143" t="s">
        <v>37</v>
      </c>
      <c r="D11143" t="s">
        <v>32</v>
      </c>
      <c r="E11143" t="s">
        <v>23</v>
      </c>
      <c r="F11143" t="s">
        <v>17</v>
      </c>
      <c r="G11143" s="1" t="str">
        <f t="shared" ref="G11143:M11143" si="2511">"X"</f>
        <v>X</v>
      </c>
      <c r="H11143" s="1" t="str">
        <f t="shared" si="2511"/>
        <v>X</v>
      </c>
      <c r="I11143" s="1" t="str">
        <f t="shared" si="2511"/>
        <v>X</v>
      </c>
      <c r="J11143" s="1" t="str">
        <f t="shared" si="2511"/>
        <v>X</v>
      </c>
      <c r="K11143" s="1" t="str">
        <f t="shared" si="2511"/>
        <v>X</v>
      </c>
      <c r="L11143" s="1" t="str">
        <f t="shared" si="2511"/>
        <v>X</v>
      </c>
      <c r="M11143" s="1" t="str">
        <f t="shared" si="2511"/>
        <v>X</v>
      </c>
      <c r="N11143" t="s">
        <v>27</v>
      </c>
    </row>
    <row r="11144" spans="1:14" x14ac:dyDescent="0.25">
      <c r="A11144" t="s">
        <v>44</v>
      </c>
      <c r="B11144" t="s">
        <v>15</v>
      </c>
      <c r="C11144" t="s">
        <v>37</v>
      </c>
      <c r="D11144" t="s">
        <v>32</v>
      </c>
      <c r="E11144" t="s">
        <v>23</v>
      </c>
      <c r="F11144" t="s">
        <v>18</v>
      </c>
      <c r="G11144" s="2">
        <f>VALUE(478.81)</f>
        <v>478.81</v>
      </c>
      <c r="H11144" s="3">
        <f>VALUE(471.52)</f>
        <v>471.52</v>
      </c>
      <c r="I11144" s="4">
        <f>VALUE(3763)</f>
        <v>3763</v>
      </c>
      <c r="J11144" s="5">
        <f>VALUE(4766)</f>
        <v>4766</v>
      </c>
      <c r="K11144" s="6">
        <f>VALUE(5582)</f>
        <v>5582</v>
      </c>
      <c r="L11144" s="1">
        <f>VALUE(5961)</f>
        <v>5961</v>
      </c>
      <c r="M11144" s="1">
        <f>VALUE(6288)</f>
        <v>6288</v>
      </c>
      <c r="N11144" t="s">
        <v>25</v>
      </c>
    </row>
    <row r="11145" spans="1:14" x14ac:dyDescent="0.25">
      <c r="A11145" t="s">
        <v>44</v>
      </c>
      <c r="B11145" t="s">
        <v>15</v>
      </c>
      <c r="C11145" t="s">
        <v>37</v>
      </c>
      <c r="D11145" t="s">
        <v>32</v>
      </c>
      <c r="E11145" t="s">
        <v>23</v>
      </c>
      <c r="F11145" t="s">
        <v>19</v>
      </c>
      <c r="G11145" s="2">
        <f>VALUE(735.19)</f>
        <v>735.19</v>
      </c>
      <c r="H11145" s="3">
        <f>VALUE(717.2)</f>
        <v>717.2</v>
      </c>
      <c r="I11145" s="1">
        <f>VALUE(3271)</f>
        <v>3271</v>
      </c>
      <c r="J11145" s="5">
        <f>VALUE(4042)</f>
        <v>4042</v>
      </c>
      <c r="K11145" s="1">
        <f>VALUE(4857)</f>
        <v>4857</v>
      </c>
      <c r="L11145" s="7">
        <f>VALUE(6124)</f>
        <v>6124</v>
      </c>
      <c r="M11145" s="8">
        <f>VALUE(7021)</f>
        <v>7021</v>
      </c>
      <c r="N11145" t="s">
        <v>25</v>
      </c>
    </row>
    <row r="11146" spans="1:14" x14ac:dyDescent="0.25">
      <c r="A11146" t="s">
        <v>44</v>
      </c>
      <c r="B11146" t="s">
        <v>15</v>
      </c>
      <c r="C11146" t="s">
        <v>37</v>
      </c>
      <c r="D11146" t="s">
        <v>32</v>
      </c>
      <c r="E11146" t="s">
        <v>23</v>
      </c>
      <c r="F11146" t="s">
        <v>20</v>
      </c>
      <c r="G11146" s="1">
        <f>VALUE(9410.83)</f>
        <v>9410.83</v>
      </c>
      <c r="H11146" s="1">
        <f>VALUE(8340.42)</f>
        <v>8340.42</v>
      </c>
      <c r="I11146" s="1">
        <f>VALUE(3095)</f>
        <v>3095</v>
      </c>
      <c r="J11146" s="1">
        <f>VALUE(3423)</f>
        <v>3423</v>
      </c>
      <c r="K11146" s="1">
        <f>VALUE(4007)</f>
        <v>4007</v>
      </c>
      <c r="L11146" s="1">
        <f>VALUE(4911)</f>
        <v>4911</v>
      </c>
      <c r="M11146" s="1">
        <f>VALUE(5854)</f>
        <v>5854</v>
      </c>
      <c r="N11146" t="s">
        <v>16</v>
      </c>
    </row>
    <row r="11147" spans="1:14" x14ac:dyDescent="0.25">
      <c r="A11147" t="s">
        <v>44</v>
      </c>
      <c r="B11147" t="s">
        <v>15</v>
      </c>
      <c r="C11147" t="s">
        <v>37</v>
      </c>
      <c r="D11147" t="s">
        <v>32</v>
      </c>
      <c r="E11147" t="s">
        <v>26</v>
      </c>
      <c r="F11147" t="s">
        <v>15</v>
      </c>
      <c r="G11147" s="2">
        <f>VALUE(265.16)</f>
        <v>265.16000000000003</v>
      </c>
      <c r="H11147" s="3">
        <f>VALUE(264.55)</f>
        <v>264.55</v>
      </c>
      <c r="I11147" s="4">
        <f>VALUE(4224)</f>
        <v>4224</v>
      </c>
      <c r="J11147" s="5">
        <f>VALUE(4968)</f>
        <v>4968</v>
      </c>
      <c r="K11147" s="6">
        <f>VALUE(5601)</f>
        <v>5601</v>
      </c>
      <c r="L11147" s="7">
        <f>VALUE(6450)</f>
        <v>6450</v>
      </c>
      <c r="M11147" s="1">
        <f>VALUE(8214)</f>
        <v>8214</v>
      </c>
      <c r="N11147" t="s">
        <v>25</v>
      </c>
    </row>
    <row r="11148" spans="1:14" x14ac:dyDescent="0.25">
      <c r="A11148" t="s">
        <v>44</v>
      </c>
      <c r="B11148" t="s">
        <v>15</v>
      </c>
      <c r="C11148" t="s">
        <v>37</v>
      </c>
      <c r="D11148" t="s">
        <v>32</v>
      </c>
      <c r="E11148" t="s">
        <v>26</v>
      </c>
      <c r="F11148" t="s">
        <v>17</v>
      </c>
      <c r="G11148" s="1" t="str">
        <f t="shared" ref="G11148:M11150" si="2512">"X"</f>
        <v>X</v>
      </c>
      <c r="H11148" s="1" t="str">
        <f t="shared" si="2512"/>
        <v>X</v>
      </c>
      <c r="I11148" s="1" t="str">
        <f t="shared" si="2512"/>
        <v>X</v>
      </c>
      <c r="J11148" s="1" t="str">
        <f t="shared" si="2512"/>
        <v>X</v>
      </c>
      <c r="K11148" s="1" t="str">
        <f t="shared" si="2512"/>
        <v>X</v>
      </c>
      <c r="L11148" s="1" t="str">
        <f t="shared" si="2512"/>
        <v>X</v>
      </c>
      <c r="M11148" s="1" t="str">
        <f t="shared" si="2512"/>
        <v>X</v>
      </c>
      <c r="N11148" t="s">
        <v>27</v>
      </c>
    </row>
    <row r="11149" spans="1:14" x14ac:dyDescent="0.25">
      <c r="A11149" t="s">
        <v>44</v>
      </c>
      <c r="B11149" t="s">
        <v>15</v>
      </c>
      <c r="C11149" t="s">
        <v>37</v>
      </c>
      <c r="D11149" t="s">
        <v>32</v>
      </c>
      <c r="E11149" t="s">
        <v>26</v>
      </c>
      <c r="F11149" t="s">
        <v>18</v>
      </c>
      <c r="G11149" s="1" t="str">
        <f t="shared" si="2512"/>
        <v>X</v>
      </c>
      <c r="H11149" s="1" t="str">
        <f t="shared" si="2512"/>
        <v>X</v>
      </c>
      <c r="I11149" s="1" t="str">
        <f t="shared" si="2512"/>
        <v>X</v>
      </c>
      <c r="J11149" s="1" t="str">
        <f t="shared" si="2512"/>
        <v>X</v>
      </c>
      <c r="K11149" s="1" t="str">
        <f t="shared" si="2512"/>
        <v>X</v>
      </c>
      <c r="L11149" s="1" t="str">
        <f t="shared" si="2512"/>
        <v>X</v>
      </c>
      <c r="M11149" s="1" t="str">
        <f t="shared" si="2512"/>
        <v>X</v>
      </c>
      <c r="N11149" t="s">
        <v>27</v>
      </c>
    </row>
    <row r="11150" spans="1:14" x14ac:dyDescent="0.25">
      <c r="A11150" t="s">
        <v>44</v>
      </c>
      <c r="B11150" t="s">
        <v>15</v>
      </c>
      <c r="C11150" t="s">
        <v>37</v>
      </c>
      <c r="D11150" t="s">
        <v>32</v>
      </c>
      <c r="E11150" t="s">
        <v>26</v>
      </c>
      <c r="F11150" t="s">
        <v>19</v>
      </c>
      <c r="G11150" s="1" t="str">
        <f t="shared" si="2512"/>
        <v>X</v>
      </c>
      <c r="H11150" s="1" t="str">
        <f t="shared" si="2512"/>
        <v>X</v>
      </c>
      <c r="I11150" s="1" t="str">
        <f t="shared" si="2512"/>
        <v>X</v>
      </c>
      <c r="J11150" s="1" t="str">
        <f t="shared" si="2512"/>
        <v>X</v>
      </c>
      <c r="K11150" s="1" t="str">
        <f t="shared" si="2512"/>
        <v>X</v>
      </c>
      <c r="L11150" s="1" t="str">
        <f t="shared" si="2512"/>
        <v>X</v>
      </c>
      <c r="M11150" s="1" t="str">
        <f t="shared" si="2512"/>
        <v>X</v>
      </c>
      <c r="N11150" t="s">
        <v>27</v>
      </c>
    </row>
    <row r="11151" spans="1:14" x14ac:dyDescent="0.25">
      <c r="A11151" t="s">
        <v>44</v>
      </c>
      <c r="B11151" t="s">
        <v>15</v>
      </c>
      <c r="C11151" t="s">
        <v>37</v>
      </c>
      <c r="D11151" t="s">
        <v>32</v>
      </c>
      <c r="E11151" t="s">
        <v>26</v>
      </c>
      <c r="F11151" t="s">
        <v>20</v>
      </c>
      <c r="G11151" s="2">
        <f>VALUE(167.08)</f>
        <v>167.08</v>
      </c>
      <c r="H11151" s="3">
        <f>VALUE(165.8)</f>
        <v>165.8</v>
      </c>
      <c r="I11151" s="4">
        <f>VALUE(4224)</f>
        <v>4224</v>
      </c>
      <c r="J11151" s="5">
        <f>VALUE(4298)</f>
        <v>4298</v>
      </c>
      <c r="K11151" s="6">
        <f>VALUE(5729)</f>
        <v>5729</v>
      </c>
      <c r="L11151" s="7">
        <f>VALUE(6450)</f>
        <v>6450</v>
      </c>
      <c r="M11151" s="8">
        <f>VALUE(7763)</f>
        <v>7763</v>
      </c>
      <c r="N11151" t="s">
        <v>24</v>
      </c>
    </row>
    <row r="11152" spans="1:14" x14ac:dyDescent="0.25">
      <c r="A11152" t="s">
        <v>44</v>
      </c>
      <c r="B11152" t="s">
        <v>15</v>
      </c>
      <c r="C11152" t="s">
        <v>37</v>
      </c>
      <c r="D11152" t="s">
        <v>33</v>
      </c>
      <c r="E11152" t="s">
        <v>15</v>
      </c>
      <c r="F11152" t="s">
        <v>15</v>
      </c>
      <c r="G11152" s="1" t="str">
        <f t="shared" ref="G11152:M11162" si="2513">"X"</f>
        <v>X</v>
      </c>
      <c r="H11152" s="1" t="str">
        <f t="shared" si="2513"/>
        <v>X</v>
      </c>
      <c r="I11152" s="1" t="str">
        <f t="shared" si="2513"/>
        <v>X</v>
      </c>
      <c r="J11152" s="1" t="str">
        <f t="shared" si="2513"/>
        <v>X</v>
      </c>
      <c r="K11152" s="1" t="str">
        <f t="shared" si="2513"/>
        <v>X</v>
      </c>
      <c r="L11152" s="1" t="str">
        <f t="shared" si="2513"/>
        <v>X</v>
      </c>
      <c r="M11152" s="1" t="str">
        <f t="shared" si="2513"/>
        <v>X</v>
      </c>
      <c r="N11152" t="s">
        <v>27</v>
      </c>
    </row>
    <row r="11153" spans="1:14" x14ac:dyDescent="0.25">
      <c r="A11153" t="s">
        <v>44</v>
      </c>
      <c r="B11153" t="s">
        <v>15</v>
      </c>
      <c r="C11153" t="s">
        <v>37</v>
      </c>
      <c r="D11153" t="s">
        <v>33</v>
      </c>
      <c r="E11153" t="s">
        <v>15</v>
      </c>
      <c r="F11153" t="s">
        <v>17</v>
      </c>
      <c r="G11153" s="1" t="str">
        <f t="shared" si="2513"/>
        <v>X</v>
      </c>
      <c r="H11153" s="1" t="str">
        <f t="shared" si="2513"/>
        <v>X</v>
      </c>
      <c r="I11153" s="1" t="str">
        <f t="shared" si="2513"/>
        <v>X</v>
      </c>
      <c r="J11153" s="1" t="str">
        <f t="shared" si="2513"/>
        <v>X</v>
      </c>
      <c r="K11153" s="1" t="str">
        <f t="shared" si="2513"/>
        <v>X</v>
      </c>
      <c r="L11153" s="1" t="str">
        <f t="shared" si="2513"/>
        <v>X</v>
      </c>
      <c r="M11153" s="1" t="str">
        <f t="shared" si="2513"/>
        <v>X</v>
      </c>
      <c r="N11153" t="s">
        <v>27</v>
      </c>
    </row>
    <row r="11154" spans="1:14" x14ac:dyDescent="0.25">
      <c r="A11154" t="s">
        <v>44</v>
      </c>
      <c r="B11154" t="s">
        <v>15</v>
      </c>
      <c r="C11154" t="s">
        <v>37</v>
      </c>
      <c r="D11154" t="s">
        <v>33</v>
      </c>
      <c r="E11154" t="s">
        <v>15</v>
      </c>
      <c r="F11154" t="s">
        <v>18</v>
      </c>
      <c r="G11154" s="1" t="str">
        <f t="shared" si="2513"/>
        <v>X</v>
      </c>
      <c r="H11154" s="1" t="str">
        <f t="shared" si="2513"/>
        <v>X</v>
      </c>
      <c r="I11154" s="1" t="str">
        <f t="shared" si="2513"/>
        <v>X</v>
      </c>
      <c r="J11154" s="1" t="str">
        <f t="shared" si="2513"/>
        <v>X</v>
      </c>
      <c r="K11154" s="1" t="str">
        <f t="shared" si="2513"/>
        <v>X</v>
      </c>
      <c r="L11154" s="1" t="str">
        <f t="shared" si="2513"/>
        <v>X</v>
      </c>
      <c r="M11154" s="1" t="str">
        <f t="shared" si="2513"/>
        <v>X</v>
      </c>
      <c r="N11154" t="s">
        <v>27</v>
      </c>
    </row>
    <row r="11155" spans="1:14" x14ac:dyDescent="0.25">
      <c r="A11155" t="s">
        <v>44</v>
      </c>
      <c r="B11155" t="s">
        <v>15</v>
      </c>
      <c r="C11155" t="s">
        <v>37</v>
      </c>
      <c r="D11155" t="s">
        <v>33</v>
      </c>
      <c r="E11155" t="s">
        <v>15</v>
      </c>
      <c r="F11155" t="s">
        <v>19</v>
      </c>
      <c r="G11155" s="1" t="str">
        <f t="shared" si="2513"/>
        <v>X</v>
      </c>
      <c r="H11155" s="1" t="str">
        <f t="shared" si="2513"/>
        <v>X</v>
      </c>
      <c r="I11155" s="1" t="str">
        <f t="shared" si="2513"/>
        <v>X</v>
      </c>
      <c r="J11155" s="1" t="str">
        <f t="shared" si="2513"/>
        <v>X</v>
      </c>
      <c r="K11155" s="1" t="str">
        <f t="shared" si="2513"/>
        <v>X</v>
      </c>
      <c r="L11155" s="1" t="str">
        <f t="shared" si="2513"/>
        <v>X</v>
      </c>
      <c r="M11155" s="1" t="str">
        <f t="shared" si="2513"/>
        <v>X</v>
      </c>
      <c r="N11155" t="s">
        <v>27</v>
      </c>
    </row>
    <row r="11156" spans="1:14" x14ac:dyDescent="0.25">
      <c r="A11156" t="s">
        <v>44</v>
      </c>
      <c r="B11156" t="s">
        <v>15</v>
      </c>
      <c r="C11156" t="s">
        <v>37</v>
      </c>
      <c r="D11156" t="s">
        <v>33</v>
      </c>
      <c r="E11156" t="s">
        <v>15</v>
      </c>
      <c r="F11156" t="s">
        <v>20</v>
      </c>
      <c r="G11156" s="1" t="str">
        <f t="shared" si="2513"/>
        <v>X</v>
      </c>
      <c r="H11156" s="1" t="str">
        <f t="shared" si="2513"/>
        <v>X</v>
      </c>
      <c r="I11156" s="1" t="str">
        <f t="shared" si="2513"/>
        <v>X</v>
      </c>
      <c r="J11156" s="1" t="str">
        <f t="shared" si="2513"/>
        <v>X</v>
      </c>
      <c r="K11156" s="1" t="str">
        <f t="shared" si="2513"/>
        <v>X</v>
      </c>
      <c r="L11156" s="1" t="str">
        <f t="shared" si="2513"/>
        <v>X</v>
      </c>
      <c r="M11156" s="1" t="str">
        <f t="shared" si="2513"/>
        <v>X</v>
      </c>
      <c r="N11156" t="s">
        <v>27</v>
      </c>
    </row>
    <row r="11157" spans="1:14" x14ac:dyDescent="0.25">
      <c r="A11157" t="s">
        <v>44</v>
      </c>
      <c r="B11157" t="s">
        <v>15</v>
      </c>
      <c r="C11157" t="s">
        <v>37</v>
      </c>
      <c r="D11157" t="s">
        <v>33</v>
      </c>
      <c r="E11157" t="s">
        <v>21</v>
      </c>
      <c r="F11157" t="s">
        <v>15</v>
      </c>
      <c r="G11157" s="1" t="str">
        <f t="shared" si="2513"/>
        <v>X</v>
      </c>
      <c r="H11157" s="1" t="str">
        <f t="shared" si="2513"/>
        <v>X</v>
      </c>
      <c r="I11157" s="1" t="str">
        <f t="shared" si="2513"/>
        <v>X</v>
      </c>
      <c r="J11157" s="1" t="str">
        <f t="shared" si="2513"/>
        <v>X</v>
      </c>
      <c r="K11157" s="1" t="str">
        <f t="shared" si="2513"/>
        <v>X</v>
      </c>
      <c r="L11157" s="1" t="str">
        <f t="shared" si="2513"/>
        <v>X</v>
      </c>
      <c r="M11157" s="1" t="str">
        <f t="shared" si="2513"/>
        <v>X</v>
      </c>
      <c r="N11157" t="s">
        <v>27</v>
      </c>
    </row>
    <row r="11158" spans="1:14" x14ac:dyDescent="0.25">
      <c r="A11158" t="s">
        <v>44</v>
      </c>
      <c r="B11158" t="s">
        <v>15</v>
      </c>
      <c r="C11158" t="s">
        <v>37</v>
      </c>
      <c r="D11158" t="s">
        <v>33</v>
      </c>
      <c r="E11158" t="s">
        <v>21</v>
      </c>
      <c r="F11158" t="s">
        <v>17</v>
      </c>
      <c r="G11158" s="1" t="str">
        <f t="shared" si="2513"/>
        <v>X</v>
      </c>
      <c r="H11158" s="1" t="str">
        <f t="shared" si="2513"/>
        <v>X</v>
      </c>
      <c r="I11158" s="1" t="str">
        <f t="shared" si="2513"/>
        <v>X</v>
      </c>
      <c r="J11158" s="1" t="str">
        <f t="shared" si="2513"/>
        <v>X</v>
      </c>
      <c r="K11158" s="1" t="str">
        <f t="shared" si="2513"/>
        <v>X</v>
      </c>
      <c r="L11158" s="1" t="str">
        <f t="shared" si="2513"/>
        <v>X</v>
      </c>
      <c r="M11158" s="1" t="str">
        <f t="shared" si="2513"/>
        <v>X</v>
      </c>
      <c r="N11158" t="s">
        <v>27</v>
      </c>
    </row>
    <row r="11159" spans="1:14" x14ac:dyDescent="0.25">
      <c r="A11159" t="s">
        <v>44</v>
      </c>
      <c r="B11159" t="s">
        <v>15</v>
      </c>
      <c r="C11159" t="s">
        <v>37</v>
      </c>
      <c r="D11159" t="s">
        <v>33</v>
      </c>
      <c r="E11159" t="s">
        <v>21</v>
      </c>
      <c r="F11159" t="s">
        <v>18</v>
      </c>
      <c r="G11159" s="1" t="str">
        <f t="shared" si="2513"/>
        <v>X</v>
      </c>
      <c r="H11159" s="1" t="str">
        <f t="shared" si="2513"/>
        <v>X</v>
      </c>
      <c r="I11159" s="1" t="str">
        <f t="shared" si="2513"/>
        <v>X</v>
      </c>
      <c r="J11159" s="1" t="str">
        <f t="shared" si="2513"/>
        <v>X</v>
      </c>
      <c r="K11159" s="1" t="str">
        <f t="shared" si="2513"/>
        <v>X</v>
      </c>
      <c r="L11159" s="1" t="str">
        <f t="shared" si="2513"/>
        <v>X</v>
      </c>
      <c r="M11159" s="1" t="str">
        <f t="shared" si="2513"/>
        <v>X</v>
      </c>
      <c r="N11159" t="s">
        <v>27</v>
      </c>
    </row>
    <row r="11160" spans="1:14" x14ac:dyDescent="0.25">
      <c r="A11160" t="s">
        <v>44</v>
      </c>
      <c r="B11160" t="s">
        <v>15</v>
      </c>
      <c r="C11160" t="s">
        <v>37</v>
      </c>
      <c r="D11160" t="s">
        <v>33</v>
      </c>
      <c r="E11160" t="s">
        <v>21</v>
      </c>
      <c r="F11160" t="s">
        <v>19</v>
      </c>
      <c r="G11160" s="1" t="str">
        <f t="shared" si="2513"/>
        <v>X</v>
      </c>
      <c r="H11160" s="1" t="str">
        <f t="shared" si="2513"/>
        <v>X</v>
      </c>
      <c r="I11160" s="1" t="str">
        <f t="shared" si="2513"/>
        <v>X</v>
      </c>
      <c r="J11160" s="1" t="str">
        <f t="shared" si="2513"/>
        <v>X</v>
      </c>
      <c r="K11160" s="1" t="str">
        <f t="shared" si="2513"/>
        <v>X</v>
      </c>
      <c r="L11160" s="1" t="str">
        <f t="shared" si="2513"/>
        <v>X</v>
      </c>
      <c r="M11160" s="1" t="str">
        <f t="shared" si="2513"/>
        <v>X</v>
      </c>
      <c r="N11160" t="s">
        <v>27</v>
      </c>
    </row>
    <row r="11161" spans="1:14" x14ac:dyDescent="0.25">
      <c r="A11161" t="s">
        <v>44</v>
      </c>
      <c r="B11161" t="s">
        <v>15</v>
      </c>
      <c r="C11161" t="s">
        <v>37</v>
      </c>
      <c r="D11161" t="s">
        <v>33</v>
      </c>
      <c r="E11161" t="s">
        <v>21</v>
      </c>
      <c r="F11161" t="s">
        <v>20</v>
      </c>
      <c r="G11161" s="1" t="str">
        <f t="shared" si="2513"/>
        <v>X</v>
      </c>
      <c r="H11161" s="1" t="str">
        <f t="shared" si="2513"/>
        <v>X</v>
      </c>
      <c r="I11161" s="1" t="str">
        <f t="shared" si="2513"/>
        <v>X</v>
      </c>
      <c r="J11161" s="1" t="str">
        <f t="shared" si="2513"/>
        <v>X</v>
      </c>
      <c r="K11161" s="1" t="str">
        <f t="shared" si="2513"/>
        <v>X</v>
      </c>
      <c r="L11161" s="1" t="str">
        <f t="shared" si="2513"/>
        <v>X</v>
      </c>
      <c r="M11161" s="1" t="str">
        <f t="shared" si="2513"/>
        <v>X</v>
      </c>
      <c r="N11161" t="s">
        <v>27</v>
      </c>
    </row>
    <row r="11162" spans="1:14" x14ac:dyDescent="0.25">
      <c r="A11162" t="s">
        <v>44</v>
      </c>
      <c r="B11162" t="s">
        <v>15</v>
      </c>
      <c r="C11162" t="s">
        <v>37</v>
      </c>
      <c r="D11162" t="s">
        <v>33</v>
      </c>
      <c r="E11162" t="s">
        <v>22</v>
      </c>
      <c r="F11162" t="s">
        <v>15</v>
      </c>
      <c r="G11162" s="1" t="str">
        <f t="shared" si="2513"/>
        <v>X</v>
      </c>
      <c r="H11162" s="1" t="str">
        <f t="shared" si="2513"/>
        <v>X</v>
      </c>
      <c r="I11162" s="1" t="str">
        <f t="shared" si="2513"/>
        <v>X</v>
      </c>
      <c r="J11162" s="1" t="str">
        <f t="shared" si="2513"/>
        <v>X</v>
      </c>
      <c r="K11162" s="1" t="str">
        <f t="shared" si="2513"/>
        <v>X</v>
      </c>
      <c r="L11162" s="1" t="str">
        <f t="shared" si="2513"/>
        <v>X</v>
      </c>
      <c r="M11162" s="1" t="str">
        <f t="shared" si="2513"/>
        <v>X</v>
      </c>
      <c r="N11162" t="s">
        <v>27</v>
      </c>
    </row>
    <row r="11163" spans="1:14" x14ac:dyDescent="0.25">
      <c r="A11163" t="s">
        <v>44</v>
      </c>
      <c r="B11163" t="s">
        <v>15</v>
      </c>
      <c r="C11163" t="s">
        <v>37</v>
      </c>
      <c r="D11163" t="s">
        <v>33</v>
      </c>
      <c r="E11163" t="s">
        <v>22</v>
      </c>
      <c r="F11163" t="s">
        <v>17</v>
      </c>
      <c r="G11163" s="1" t="str">
        <f t="shared" ref="G11163:M11163" si="2514">"..."</f>
        <v>...</v>
      </c>
      <c r="H11163" s="1" t="str">
        <f t="shared" si="2514"/>
        <v>...</v>
      </c>
      <c r="I11163" s="1" t="str">
        <f t="shared" si="2514"/>
        <v>...</v>
      </c>
      <c r="J11163" s="1" t="str">
        <f t="shared" si="2514"/>
        <v>...</v>
      </c>
      <c r="K11163" s="1" t="str">
        <f t="shared" si="2514"/>
        <v>...</v>
      </c>
      <c r="L11163" s="1" t="str">
        <f t="shared" si="2514"/>
        <v>...</v>
      </c>
      <c r="M11163" s="1" t="str">
        <f t="shared" si="2514"/>
        <v>...</v>
      </c>
      <c r="N11163" t="s">
        <v>30</v>
      </c>
    </row>
    <row r="11164" spans="1:14" x14ac:dyDescent="0.25">
      <c r="A11164" t="s">
        <v>44</v>
      </c>
      <c r="B11164" t="s">
        <v>15</v>
      </c>
      <c r="C11164" t="s">
        <v>37</v>
      </c>
      <c r="D11164" t="s">
        <v>33</v>
      </c>
      <c r="E11164" t="s">
        <v>22</v>
      </c>
      <c r="F11164" t="s">
        <v>18</v>
      </c>
      <c r="G11164" s="1" t="str">
        <f t="shared" ref="G11164:M11167" si="2515">"X"</f>
        <v>X</v>
      </c>
      <c r="H11164" s="1" t="str">
        <f t="shared" si="2515"/>
        <v>X</v>
      </c>
      <c r="I11164" s="1" t="str">
        <f t="shared" si="2515"/>
        <v>X</v>
      </c>
      <c r="J11164" s="1" t="str">
        <f t="shared" si="2515"/>
        <v>X</v>
      </c>
      <c r="K11164" s="1" t="str">
        <f t="shared" si="2515"/>
        <v>X</v>
      </c>
      <c r="L11164" s="1" t="str">
        <f t="shared" si="2515"/>
        <v>X</v>
      </c>
      <c r="M11164" s="1" t="str">
        <f t="shared" si="2515"/>
        <v>X</v>
      </c>
      <c r="N11164" t="s">
        <v>27</v>
      </c>
    </row>
    <row r="11165" spans="1:14" x14ac:dyDescent="0.25">
      <c r="A11165" t="s">
        <v>44</v>
      </c>
      <c r="B11165" t="s">
        <v>15</v>
      </c>
      <c r="C11165" t="s">
        <v>37</v>
      </c>
      <c r="D11165" t="s">
        <v>33</v>
      </c>
      <c r="E11165" t="s">
        <v>22</v>
      </c>
      <c r="F11165" t="s">
        <v>19</v>
      </c>
      <c r="G11165" s="1" t="str">
        <f t="shared" si="2515"/>
        <v>X</v>
      </c>
      <c r="H11165" s="1" t="str">
        <f t="shared" si="2515"/>
        <v>X</v>
      </c>
      <c r="I11165" s="1" t="str">
        <f t="shared" si="2515"/>
        <v>X</v>
      </c>
      <c r="J11165" s="1" t="str">
        <f t="shared" si="2515"/>
        <v>X</v>
      </c>
      <c r="K11165" s="1" t="str">
        <f t="shared" si="2515"/>
        <v>X</v>
      </c>
      <c r="L11165" s="1" t="str">
        <f t="shared" si="2515"/>
        <v>X</v>
      </c>
      <c r="M11165" s="1" t="str">
        <f t="shared" si="2515"/>
        <v>X</v>
      </c>
      <c r="N11165" t="s">
        <v>27</v>
      </c>
    </row>
    <row r="11166" spans="1:14" x14ac:dyDescent="0.25">
      <c r="A11166" t="s">
        <v>44</v>
      </c>
      <c r="B11166" t="s">
        <v>15</v>
      </c>
      <c r="C11166" t="s">
        <v>37</v>
      </c>
      <c r="D11166" t="s">
        <v>33</v>
      </c>
      <c r="E11166" t="s">
        <v>22</v>
      </c>
      <c r="F11166" t="s">
        <v>20</v>
      </c>
      <c r="G11166" s="1" t="str">
        <f t="shared" si="2515"/>
        <v>X</v>
      </c>
      <c r="H11166" s="1" t="str">
        <f t="shared" si="2515"/>
        <v>X</v>
      </c>
      <c r="I11166" s="1" t="str">
        <f t="shared" si="2515"/>
        <v>X</v>
      </c>
      <c r="J11166" s="1" t="str">
        <f t="shared" si="2515"/>
        <v>X</v>
      </c>
      <c r="K11166" s="1" t="str">
        <f t="shared" si="2515"/>
        <v>X</v>
      </c>
      <c r="L11166" s="1" t="str">
        <f t="shared" si="2515"/>
        <v>X</v>
      </c>
      <c r="M11166" s="1" t="str">
        <f t="shared" si="2515"/>
        <v>X</v>
      </c>
      <c r="N11166" t="s">
        <v>27</v>
      </c>
    </row>
    <row r="11167" spans="1:14" x14ac:dyDescent="0.25">
      <c r="A11167" t="s">
        <v>44</v>
      </c>
      <c r="B11167" t="s">
        <v>15</v>
      </c>
      <c r="C11167" t="s">
        <v>37</v>
      </c>
      <c r="D11167" t="s">
        <v>33</v>
      </c>
      <c r="E11167" t="s">
        <v>23</v>
      </c>
      <c r="F11167" t="s">
        <v>15</v>
      </c>
      <c r="G11167" s="1" t="str">
        <f t="shared" si="2515"/>
        <v>X</v>
      </c>
      <c r="H11167" s="1" t="str">
        <f t="shared" si="2515"/>
        <v>X</v>
      </c>
      <c r="I11167" s="1" t="str">
        <f t="shared" si="2515"/>
        <v>X</v>
      </c>
      <c r="J11167" s="1" t="str">
        <f t="shared" si="2515"/>
        <v>X</v>
      </c>
      <c r="K11167" s="1" t="str">
        <f t="shared" si="2515"/>
        <v>X</v>
      </c>
      <c r="L11167" s="1" t="str">
        <f t="shared" si="2515"/>
        <v>X</v>
      </c>
      <c r="M11167" s="1" t="str">
        <f t="shared" si="2515"/>
        <v>X</v>
      </c>
      <c r="N11167" t="s">
        <v>27</v>
      </c>
    </row>
    <row r="11168" spans="1:14" x14ac:dyDescent="0.25">
      <c r="A11168" t="s">
        <v>44</v>
      </c>
      <c r="B11168" t="s">
        <v>15</v>
      </c>
      <c r="C11168" t="s">
        <v>37</v>
      </c>
      <c r="D11168" t="s">
        <v>33</v>
      </c>
      <c r="E11168" t="s">
        <v>23</v>
      </c>
      <c r="F11168" t="s">
        <v>17</v>
      </c>
      <c r="G11168" s="1" t="str">
        <f t="shared" ref="G11168:M11168" si="2516">"..."</f>
        <v>...</v>
      </c>
      <c r="H11168" s="1" t="str">
        <f t="shared" si="2516"/>
        <v>...</v>
      </c>
      <c r="I11168" s="1" t="str">
        <f t="shared" si="2516"/>
        <v>...</v>
      </c>
      <c r="J11168" s="1" t="str">
        <f t="shared" si="2516"/>
        <v>...</v>
      </c>
      <c r="K11168" s="1" t="str">
        <f t="shared" si="2516"/>
        <v>...</v>
      </c>
      <c r="L11168" s="1" t="str">
        <f t="shared" si="2516"/>
        <v>...</v>
      </c>
      <c r="M11168" s="1" t="str">
        <f t="shared" si="2516"/>
        <v>...</v>
      </c>
      <c r="N11168" t="s">
        <v>30</v>
      </c>
    </row>
    <row r="11169" spans="1:14" x14ac:dyDescent="0.25">
      <c r="A11169" t="s">
        <v>44</v>
      </c>
      <c r="B11169" t="s">
        <v>15</v>
      </c>
      <c r="C11169" t="s">
        <v>37</v>
      </c>
      <c r="D11169" t="s">
        <v>33</v>
      </c>
      <c r="E11169" t="s">
        <v>23</v>
      </c>
      <c r="F11169" t="s">
        <v>18</v>
      </c>
      <c r="G11169" s="1" t="str">
        <f t="shared" ref="G11169:M11171" si="2517">"X"</f>
        <v>X</v>
      </c>
      <c r="H11169" s="1" t="str">
        <f t="shared" si="2517"/>
        <v>X</v>
      </c>
      <c r="I11169" s="1" t="str">
        <f t="shared" si="2517"/>
        <v>X</v>
      </c>
      <c r="J11169" s="1" t="str">
        <f t="shared" si="2517"/>
        <v>X</v>
      </c>
      <c r="K11169" s="1" t="str">
        <f t="shared" si="2517"/>
        <v>X</v>
      </c>
      <c r="L11169" s="1" t="str">
        <f t="shared" si="2517"/>
        <v>X</v>
      </c>
      <c r="M11169" s="1" t="str">
        <f t="shared" si="2517"/>
        <v>X</v>
      </c>
      <c r="N11169" t="s">
        <v>27</v>
      </c>
    </row>
    <row r="11170" spans="1:14" x14ac:dyDescent="0.25">
      <c r="A11170" t="s">
        <v>44</v>
      </c>
      <c r="B11170" t="s">
        <v>15</v>
      </c>
      <c r="C11170" t="s">
        <v>37</v>
      </c>
      <c r="D11170" t="s">
        <v>33</v>
      </c>
      <c r="E11170" t="s">
        <v>23</v>
      </c>
      <c r="F11170" t="s">
        <v>19</v>
      </c>
      <c r="G11170" s="1" t="str">
        <f t="shared" si="2517"/>
        <v>X</v>
      </c>
      <c r="H11170" s="1" t="str">
        <f t="shared" si="2517"/>
        <v>X</v>
      </c>
      <c r="I11170" s="1" t="str">
        <f t="shared" si="2517"/>
        <v>X</v>
      </c>
      <c r="J11170" s="1" t="str">
        <f t="shared" si="2517"/>
        <v>X</v>
      </c>
      <c r="K11170" s="1" t="str">
        <f t="shared" si="2517"/>
        <v>X</v>
      </c>
      <c r="L11170" s="1" t="str">
        <f t="shared" si="2517"/>
        <v>X</v>
      </c>
      <c r="M11170" s="1" t="str">
        <f t="shared" si="2517"/>
        <v>X</v>
      </c>
      <c r="N11170" t="s">
        <v>27</v>
      </c>
    </row>
    <row r="11171" spans="1:14" x14ac:dyDescent="0.25">
      <c r="A11171" t="s">
        <v>44</v>
      </c>
      <c r="B11171" t="s">
        <v>15</v>
      </c>
      <c r="C11171" t="s">
        <v>37</v>
      </c>
      <c r="D11171" t="s">
        <v>33</v>
      </c>
      <c r="E11171" t="s">
        <v>23</v>
      </c>
      <c r="F11171" t="s">
        <v>20</v>
      </c>
      <c r="G11171" s="1" t="str">
        <f t="shared" si="2517"/>
        <v>X</v>
      </c>
      <c r="H11171" s="1" t="str">
        <f t="shared" si="2517"/>
        <v>X</v>
      </c>
      <c r="I11171" s="1" t="str">
        <f t="shared" si="2517"/>
        <v>X</v>
      </c>
      <c r="J11171" s="1" t="str">
        <f t="shared" si="2517"/>
        <v>X</v>
      </c>
      <c r="K11171" s="1" t="str">
        <f t="shared" si="2517"/>
        <v>X</v>
      </c>
      <c r="L11171" s="1" t="str">
        <f t="shared" si="2517"/>
        <v>X</v>
      </c>
      <c r="M11171" s="1" t="str">
        <f t="shared" si="2517"/>
        <v>X</v>
      </c>
      <c r="N11171" t="s">
        <v>27</v>
      </c>
    </row>
    <row r="11172" spans="1:14" x14ac:dyDescent="0.25">
      <c r="A11172" t="s">
        <v>44</v>
      </c>
      <c r="B11172" t="s">
        <v>15</v>
      </c>
      <c r="C11172" t="s">
        <v>37</v>
      </c>
      <c r="D11172" t="s">
        <v>33</v>
      </c>
      <c r="E11172" t="s">
        <v>26</v>
      </c>
      <c r="F11172" t="s">
        <v>15</v>
      </c>
      <c r="G11172" s="1" t="str">
        <f t="shared" ref="G11172:M11176" si="2518">"..."</f>
        <v>...</v>
      </c>
      <c r="H11172" s="1" t="str">
        <f t="shared" si="2518"/>
        <v>...</v>
      </c>
      <c r="I11172" s="1" t="str">
        <f t="shared" si="2518"/>
        <v>...</v>
      </c>
      <c r="J11172" s="1" t="str">
        <f t="shared" si="2518"/>
        <v>...</v>
      </c>
      <c r="K11172" s="1" t="str">
        <f t="shared" si="2518"/>
        <v>...</v>
      </c>
      <c r="L11172" s="1" t="str">
        <f t="shared" si="2518"/>
        <v>...</v>
      </c>
      <c r="M11172" s="1" t="str">
        <f t="shared" si="2518"/>
        <v>...</v>
      </c>
      <c r="N11172" t="s">
        <v>30</v>
      </c>
    </row>
    <row r="11173" spans="1:14" x14ac:dyDescent="0.25">
      <c r="A11173" t="s">
        <v>44</v>
      </c>
      <c r="B11173" t="s">
        <v>15</v>
      </c>
      <c r="C11173" t="s">
        <v>37</v>
      </c>
      <c r="D11173" t="s">
        <v>33</v>
      </c>
      <c r="E11173" t="s">
        <v>26</v>
      </c>
      <c r="F11173" t="s">
        <v>17</v>
      </c>
      <c r="G11173" s="1" t="str">
        <f t="shared" si="2518"/>
        <v>...</v>
      </c>
      <c r="H11173" s="1" t="str">
        <f t="shared" si="2518"/>
        <v>...</v>
      </c>
      <c r="I11173" s="1" t="str">
        <f t="shared" si="2518"/>
        <v>...</v>
      </c>
      <c r="J11173" s="1" t="str">
        <f t="shared" si="2518"/>
        <v>...</v>
      </c>
      <c r="K11173" s="1" t="str">
        <f t="shared" si="2518"/>
        <v>...</v>
      </c>
      <c r="L11173" s="1" t="str">
        <f t="shared" si="2518"/>
        <v>...</v>
      </c>
      <c r="M11173" s="1" t="str">
        <f t="shared" si="2518"/>
        <v>...</v>
      </c>
      <c r="N11173" t="s">
        <v>30</v>
      </c>
    </row>
    <row r="11174" spans="1:14" x14ac:dyDescent="0.25">
      <c r="A11174" t="s">
        <v>44</v>
      </c>
      <c r="B11174" t="s">
        <v>15</v>
      </c>
      <c r="C11174" t="s">
        <v>37</v>
      </c>
      <c r="D11174" t="s">
        <v>33</v>
      </c>
      <c r="E11174" t="s">
        <v>26</v>
      </c>
      <c r="F11174" t="s">
        <v>18</v>
      </c>
      <c r="G11174" s="1" t="str">
        <f t="shared" si="2518"/>
        <v>...</v>
      </c>
      <c r="H11174" s="1" t="str">
        <f t="shared" si="2518"/>
        <v>...</v>
      </c>
      <c r="I11174" s="1" t="str">
        <f t="shared" si="2518"/>
        <v>...</v>
      </c>
      <c r="J11174" s="1" t="str">
        <f t="shared" si="2518"/>
        <v>...</v>
      </c>
      <c r="K11174" s="1" t="str">
        <f t="shared" si="2518"/>
        <v>...</v>
      </c>
      <c r="L11174" s="1" t="str">
        <f t="shared" si="2518"/>
        <v>...</v>
      </c>
      <c r="M11174" s="1" t="str">
        <f t="shared" si="2518"/>
        <v>...</v>
      </c>
      <c r="N11174" t="s">
        <v>30</v>
      </c>
    </row>
    <row r="11175" spans="1:14" x14ac:dyDescent="0.25">
      <c r="A11175" t="s">
        <v>44</v>
      </c>
      <c r="B11175" t="s">
        <v>15</v>
      </c>
      <c r="C11175" t="s">
        <v>37</v>
      </c>
      <c r="D11175" t="s">
        <v>33</v>
      </c>
      <c r="E11175" t="s">
        <v>26</v>
      </c>
      <c r="F11175" t="s">
        <v>19</v>
      </c>
      <c r="G11175" s="1" t="str">
        <f t="shared" si="2518"/>
        <v>...</v>
      </c>
      <c r="H11175" s="1" t="str">
        <f t="shared" si="2518"/>
        <v>...</v>
      </c>
      <c r="I11175" s="1" t="str">
        <f t="shared" si="2518"/>
        <v>...</v>
      </c>
      <c r="J11175" s="1" t="str">
        <f t="shared" si="2518"/>
        <v>...</v>
      </c>
      <c r="K11175" s="1" t="str">
        <f t="shared" si="2518"/>
        <v>...</v>
      </c>
      <c r="L11175" s="1" t="str">
        <f t="shared" si="2518"/>
        <v>...</v>
      </c>
      <c r="M11175" s="1" t="str">
        <f t="shared" si="2518"/>
        <v>...</v>
      </c>
      <c r="N11175" t="s">
        <v>30</v>
      </c>
    </row>
    <row r="11176" spans="1:14" x14ac:dyDescent="0.25">
      <c r="A11176" t="s">
        <v>44</v>
      </c>
      <c r="B11176" t="s">
        <v>15</v>
      </c>
      <c r="C11176" t="s">
        <v>37</v>
      </c>
      <c r="D11176" t="s">
        <v>33</v>
      </c>
      <c r="E11176" t="s">
        <v>26</v>
      </c>
      <c r="F11176" t="s">
        <v>20</v>
      </c>
      <c r="G11176" s="1" t="str">
        <f t="shared" si="2518"/>
        <v>...</v>
      </c>
      <c r="H11176" s="1" t="str">
        <f t="shared" si="2518"/>
        <v>...</v>
      </c>
      <c r="I11176" s="1" t="str">
        <f t="shared" si="2518"/>
        <v>...</v>
      </c>
      <c r="J11176" s="1" t="str">
        <f t="shared" si="2518"/>
        <v>...</v>
      </c>
      <c r="K11176" s="1" t="str">
        <f t="shared" si="2518"/>
        <v>...</v>
      </c>
      <c r="L11176" s="1" t="str">
        <f t="shared" si="2518"/>
        <v>...</v>
      </c>
      <c r="M11176" s="1" t="str">
        <f t="shared" si="2518"/>
        <v>...</v>
      </c>
      <c r="N11176" t="s">
        <v>30</v>
      </c>
    </row>
    <row r="11177" spans="1:14" x14ac:dyDescent="0.25">
      <c r="A11177" t="s">
        <v>44</v>
      </c>
      <c r="B11177" t="s">
        <v>15</v>
      </c>
      <c r="C11177" t="s">
        <v>37</v>
      </c>
      <c r="D11177" t="s">
        <v>34</v>
      </c>
      <c r="E11177" t="s">
        <v>15</v>
      </c>
      <c r="F11177" t="s">
        <v>15</v>
      </c>
      <c r="G11177" s="2">
        <f>VALUE(463.25)</f>
        <v>463.25</v>
      </c>
      <c r="H11177" s="3">
        <f>VALUE(380.13)</f>
        <v>380.13</v>
      </c>
      <c r="I11177" s="1">
        <f>VALUE(3071)</f>
        <v>3071</v>
      </c>
      <c r="J11177" s="5">
        <f>VALUE(3640)</f>
        <v>3640</v>
      </c>
      <c r="K11177" s="6">
        <f>VALUE(4323)</f>
        <v>4323</v>
      </c>
      <c r="L11177" s="7">
        <f>VALUE(5341)</f>
        <v>5341</v>
      </c>
      <c r="M11177" s="8">
        <f>VALUE(6360)</f>
        <v>6360</v>
      </c>
      <c r="N11177" t="s">
        <v>25</v>
      </c>
    </row>
    <row r="11178" spans="1:14" x14ac:dyDescent="0.25">
      <c r="A11178" t="s">
        <v>44</v>
      </c>
      <c r="B11178" t="s">
        <v>15</v>
      </c>
      <c r="C11178" t="s">
        <v>37</v>
      </c>
      <c r="D11178" t="s">
        <v>34</v>
      </c>
      <c r="E11178" t="s">
        <v>15</v>
      </c>
      <c r="F11178" t="s">
        <v>17</v>
      </c>
      <c r="G11178" s="1" t="str">
        <f t="shared" ref="G11178:M11180" si="2519">"X"</f>
        <v>X</v>
      </c>
      <c r="H11178" s="1" t="str">
        <f t="shared" si="2519"/>
        <v>X</v>
      </c>
      <c r="I11178" s="1" t="str">
        <f t="shared" si="2519"/>
        <v>X</v>
      </c>
      <c r="J11178" s="1" t="str">
        <f t="shared" si="2519"/>
        <v>X</v>
      </c>
      <c r="K11178" s="1" t="str">
        <f t="shared" si="2519"/>
        <v>X</v>
      </c>
      <c r="L11178" s="1" t="str">
        <f t="shared" si="2519"/>
        <v>X</v>
      </c>
      <c r="M11178" s="1" t="str">
        <f t="shared" si="2519"/>
        <v>X</v>
      </c>
      <c r="N11178" t="s">
        <v>27</v>
      </c>
    </row>
    <row r="11179" spans="1:14" x14ac:dyDescent="0.25">
      <c r="A11179" t="s">
        <v>44</v>
      </c>
      <c r="B11179" t="s">
        <v>15</v>
      </c>
      <c r="C11179" t="s">
        <v>37</v>
      </c>
      <c r="D11179" t="s">
        <v>34</v>
      </c>
      <c r="E11179" t="s">
        <v>15</v>
      </c>
      <c r="F11179" t="s">
        <v>18</v>
      </c>
      <c r="G11179" s="1" t="str">
        <f t="shared" si="2519"/>
        <v>X</v>
      </c>
      <c r="H11179" s="1" t="str">
        <f t="shared" si="2519"/>
        <v>X</v>
      </c>
      <c r="I11179" s="1" t="str">
        <f t="shared" si="2519"/>
        <v>X</v>
      </c>
      <c r="J11179" s="1" t="str">
        <f t="shared" si="2519"/>
        <v>X</v>
      </c>
      <c r="K11179" s="1" t="str">
        <f t="shared" si="2519"/>
        <v>X</v>
      </c>
      <c r="L11179" s="1" t="str">
        <f t="shared" si="2519"/>
        <v>X</v>
      </c>
      <c r="M11179" s="1" t="str">
        <f t="shared" si="2519"/>
        <v>X</v>
      </c>
      <c r="N11179" t="s">
        <v>27</v>
      </c>
    </row>
    <row r="11180" spans="1:14" x14ac:dyDescent="0.25">
      <c r="A11180" t="s">
        <v>44</v>
      </c>
      <c r="B11180" t="s">
        <v>15</v>
      </c>
      <c r="C11180" t="s">
        <v>37</v>
      </c>
      <c r="D11180" t="s">
        <v>34</v>
      </c>
      <c r="E11180" t="s">
        <v>15</v>
      </c>
      <c r="F11180" t="s">
        <v>19</v>
      </c>
      <c r="G11180" s="1" t="str">
        <f t="shared" si="2519"/>
        <v>X</v>
      </c>
      <c r="H11180" s="1" t="str">
        <f t="shared" si="2519"/>
        <v>X</v>
      </c>
      <c r="I11180" s="1" t="str">
        <f t="shared" si="2519"/>
        <v>X</v>
      </c>
      <c r="J11180" s="1" t="str">
        <f t="shared" si="2519"/>
        <v>X</v>
      </c>
      <c r="K11180" s="1" t="str">
        <f t="shared" si="2519"/>
        <v>X</v>
      </c>
      <c r="L11180" s="1" t="str">
        <f t="shared" si="2519"/>
        <v>X</v>
      </c>
      <c r="M11180" s="1" t="str">
        <f t="shared" si="2519"/>
        <v>X</v>
      </c>
      <c r="N11180" t="s">
        <v>27</v>
      </c>
    </row>
    <row r="11181" spans="1:14" x14ac:dyDescent="0.25">
      <c r="A11181" t="s">
        <v>44</v>
      </c>
      <c r="B11181" t="s">
        <v>15</v>
      </c>
      <c r="C11181" t="s">
        <v>37</v>
      </c>
      <c r="D11181" t="s">
        <v>34</v>
      </c>
      <c r="E11181" t="s">
        <v>15</v>
      </c>
      <c r="F11181" t="s">
        <v>20</v>
      </c>
      <c r="G11181" s="2">
        <f>VALUE(357.68)</f>
        <v>357.68</v>
      </c>
      <c r="H11181" s="3">
        <f>VALUE(283.84)</f>
        <v>283.83999999999997</v>
      </c>
      <c r="I11181" s="1">
        <f>VALUE(3182)</f>
        <v>3182</v>
      </c>
      <c r="J11181" s="1">
        <f>VALUE(3640)</f>
        <v>3640</v>
      </c>
      <c r="K11181" s="1">
        <f>VALUE(4195)</f>
        <v>4195</v>
      </c>
      <c r="L11181" s="1">
        <f>VALUE(4964)</f>
        <v>4964</v>
      </c>
      <c r="M11181" s="8">
        <f>VALUE(6189)</f>
        <v>6189</v>
      </c>
      <c r="N11181" t="s">
        <v>25</v>
      </c>
    </row>
    <row r="11182" spans="1:14" x14ac:dyDescent="0.25">
      <c r="A11182" t="s">
        <v>44</v>
      </c>
      <c r="B11182" t="s">
        <v>15</v>
      </c>
      <c r="C11182" t="s">
        <v>37</v>
      </c>
      <c r="D11182" t="s">
        <v>34</v>
      </c>
      <c r="E11182" t="s">
        <v>21</v>
      </c>
      <c r="F11182" t="s">
        <v>15</v>
      </c>
      <c r="G11182" s="1" t="str">
        <f t="shared" ref="G11182:M11196" si="2520">"X"</f>
        <v>X</v>
      </c>
      <c r="H11182" s="1" t="str">
        <f t="shared" si="2520"/>
        <v>X</v>
      </c>
      <c r="I11182" s="1" t="str">
        <f t="shared" si="2520"/>
        <v>X</v>
      </c>
      <c r="J11182" s="1" t="str">
        <f t="shared" si="2520"/>
        <v>X</v>
      </c>
      <c r="K11182" s="1" t="str">
        <f t="shared" si="2520"/>
        <v>X</v>
      </c>
      <c r="L11182" s="1" t="str">
        <f t="shared" si="2520"/>
        <v>X</v>
      </c>
      <c r="M11182" s="1" t="str">
        <f t="shared" si="2520"/>
        <v>X</v>
      </c>
      <c r="N11182" t="s">
        <v>27</v>
      </c>
    </row>
    <row r="11183" spans="1:14" x14ac:dyDescent="0.25">
      <c r="A11183" t="s">
        <v>44</v>
      </c>
      <c r="B11183" t="s">
        <v>15</v>
      </c>
      <c r="C11183" t="s">
        <v>37</v>
      </c>
      <c r="D11183" t="s">
        <v>34</v>
      </c>
      <c r="E11183" t="s">
        <v>21</v>
      </c>
      <c r="F11183" t="s">
        <v>17</v>
      </c>
      <c r="G11183" s="1" t="str">
        <f t="shared" si="2520"/>
        <v>X</v>
      </c>
      <c r="H11183" s="1" t="str">
        <f t="shared" si="2520"/>
        <v>X</v>
      </c>
      <c r="I11183" s="1" t="str">
        <f t="shared" si="2520"/>
        <v>X</v>
      </c>
      <c r="J11183" s="1" t="str">
        <f t="shared" si="2520"/>
        <v>X</v>
      </c>
      <c r="K11183" s="1" t="str">
        <f t="shared" si="2520"/>
        <v>X</v>
      </c>
      <c r="L11183" s="1" t="str">
        <f t="shared" si="2520"/>
        <v>X</v>
      </c>
      <c r="M11183" s="1" t="str">
        <f t="shared" si="2520"/>
        <v>X</v>
      </c>
      <c r="N11183" t="s">
        <v>27</v>
      </c>
    </row>
    <row r="11184" spans="1:14" x14ac:dyDescent="0.25">
      <c r="A11184" t="s">
        <v>44</v>
      </c>
      <c r="B11184" t="s">
        <v>15</v>
      </c>
      <c r="C11184" t="s">
        <v>37</v>
      </c>
      <c r="D11184" t="s">
        <v>34</v>
      </c>
      <c r="E11184" t="s">
        <v>21</v>
      </c>
      <c r="F11184" t="s">
        <v>18</v>
      </c>
      <c r="G11184" s="1" t="str">
        <f t="shared" si="2520"/>
        <v>X</v>
      </c>
      <c r="H11184" s="1" t="str">
        <f t="shared" si="2520"/>
        <v>X</v>
      </c>
      <c r="I11184" s="1" t="str">
        <f t="shared" si="2520"/>
        <v>X</v>
      </c>
      <c r="J11184" s="1" t="str">
        <f t="shared" si="2520"/>
        <v>X</v>
      </c>
      <c r="K11184" s="1" t="str">
        <f t="shared" si="2520"/>
        <v>X</v>
      </c>
      <c r="L11184" s="1" t="str">
        <f t="shared" si="2520"/>
        <v>X</v>
      </c>
      <c r="M11184" s="1" t="str">
        <f t="shared" si="2520"/>
        <v>X</v>
      </c>
      <c r="N11184" t="s">
        <v>27</v>
      </c>
    </row>
    <row r="11185" spans="1:14" x14ac:dyDescent="0.25">
      <c r="A11185" t="s">
        <v>44</v>
      </c>
      <c r="B11185" t="s">
        <v>15</v>
      </c>
      <c r="C11185" t="s">
        <v>37</v>
      </c>
      <c r="D11185" t="s">
        <v>34</v>
      </c>
      <c r="E11185" t="s">
        <v>21</v>
      </c>
      <c r="F11185" t="s">
        <v>19</v>
      </c>
      <c r="G11185" s="1" t="str">
        <f t="shared" si="2520"/>
        <v>X</v>
      </c>
      <c r="H11185" s="1" t="str">
        <f t="shared" si="2520"/>
        <v>X</v>
      </c>
      <c r="I11185" s="1" t="str">
        <f t="shared" si="2520"/>
        <v>X</v>
      </c>
      <c r="J11185" s="1" t="str">
        <f t="shared" si="2520"/>
        <v>X</v>
      </c>
      <c r="K11185" s="1" t="str">
        <f t="shared" si="2520"/>
        <v>X</v>
      </c>
      <c r="L11185" s="1" t="str">
        <f t="shared" si="2520"/>
        <v>X</v>
      </c>
      <c r="M11185" s="1" t="str">
        <f t="shared" si="2520"/>
        <v>X</v>
      </c>
      <c r="N11185" t="s">
        <v>27</v>
      </c>
    </row>
    <row r="11186" spans="1:14" x14ac:dyDescent="0.25">
      <c r="A11186" t="s">
        <v>44</v>
      </c>
      <c r="B11186" t="s">
        <v>15</v>
      </c>
      <c r="C11186" t="s">
        <v>37</v>
      </c>
      <c r="D11186" t="s">
        <v>34</v>
      </c>
      <c r="E11186" t="s">
        <v>21</v>
      </c>
      <c r="F11186" t="s">
        <v>20</v>
      </c>
      <c r="G11186" s="1" t="str">
        <f t="shared" si="2520"/>
        <v>X</v>
      </c>
      <c r="H11186" s="1" t="str">
        <f t="shared" si="2520"/>
        <v>X</v>
      </c>
      <c r="I11186" s="1" t="str">
        <f t="shared" si="2520"/>
        <v>X</v>
      </c>
      <c r="J11186" s="1" t="str">
        <f t="shared" si="2520"/>
        <v>X</v>
      </c>
      <c r="K11186" s="1" t="str">
        <f t="shared" si="2520"/>
        <v>X</v>
      </c>
      <c r="L11186" s="1" t="str">
        <f t="shared" si="2520"/>
        <v>X</v>
      </c>
      <c r="M11186" s="1" t="str">
        <f t="shared" si="2520"/>
        <v>X</v>
      </c>
      <c r="N11186" t="s">
        <v>27</v>
      </c>
    </row>
    <row r="11187" spans="1:14" x14ac:dyDescent="0.25">
      <c r="A11187" t="s">
        <v>44</v>
      </c>
      <c r="B11187" t="s">
        <v>15</v>
      </c>
      <c r="C11187" t="s">
        <v>37</v>
      </c>
      <c r="D11187" t="s">
        <v>34</v>
      </c>
      <c r="E11187" t="s">
        <v>22</v>
      </c>
      <c r="F11187" t="s">
        <v>15</v>
      </c>
      <c r="G11187" s="1" t="str">
        <f t="shared" si="2520"/>
        <v>X</v>
      </c>
      <c r="H11187" s="1" t="str">
        <f t="shared" si="2520"/>
        <v>X</v>
      </c>
      <c r="I11187" s="1" t="str">
        <f t="shared" si="2520"/>
        <v>X</v>
      </c>
      <c r="J11187" s="1" t="str">
        <f t="shared" si="2520"/>
        <v>X</v>
      </c>
      <c r="K11187" s="1" t="str">
        <f t="shared" si="2520"/>
        <v>X</v>
      </c>
      <c r="L11187" s="1" t="str">
        <f t="shared" si="2520"/>
        <v>X</v>
      </c>
      <c r="M11187" s="1" t="str">
        <f t="shared" si="2520"/>
        <v>X</v>
      </c>
      <c r="N11187" t="s">
        <v>27</v>
      </c>
    </row>
    <row r="11188" spans="1:14" x14ac:dyDescent="0.25">
      <c r="A11188" t="s">
        <v>44</v>
      </c>
      <c r="B11188" t="s">
        <v>15</v>
      </c>
      <c r="C11188" t="s">
        <v>37</v>
      </c>
      <c r="D11188" t="s">
        <v>34</v>
      </c>
      <c r="E11188" t="s">
        <v>22</v>
      </c>
      <c r="F11188" t="s">
        <v>17</v>
      </c>
      <c r="G11188" s="1" t="str">
        <f t="shared" si="2520"/>
        <v>X</v>
      </c>
      <c r="H11188" s="1" t="str">
        <f t="shared" si="2520"/>
        <v>X</v>
      </c>
      <c r="I11188" s="1" t="str">
        <f t="shared" si="2520"/>
        <v>X</v>
      </c>
      <c r="J11188" s="1" t="str">
        <f t="shared" si="2520"/>
        <v>X</v>
      </c>
      <c r="K11188" s="1" t="str">
        <f t="shared" si="2520"/>
        <v>X</v>
      </c>
      <c r="L11188" s="1" t="str">
        <f t="shared" si="2520"/>
        <v>X</v>
      </c>
      <c r="M11188" s="1" t="str">
        <f t="shared" si="2520"/>
        <v>X</v>
      </c>
      <c r="N11188" t="s">
        <v>27</v>
      </c>
    </row>
    <row r="11189" spans="1:14" x14ac:dyDescent="0.25">
      <c r="A11189" t="s">
        <v>44</v>
      </c>
      <c r="B11189" t="s">
        <v>15</v>
      </c>
      <c r="C11189" t="s">
        <v>37</v>
      </c>
      <c r="D11189" t="s">
        <v>34</v>
      </c>
      <c r="E11189" t="s">
        <v>22</v>
      </c>
      <c r="F11189" t="s">
        <v>18</v>
      </c>
      <c r="G11189" s="1" t="str">
        <f t="shared" si="2520"/>
        <v>X</v>
      </c>
      <c r="H11189" s="1" t="str">
        <f t="shared" si="2520"/>
        <v>X</v>
      </c>
      <c r="I11189" s="1" t="str">
        <f t="shared" si="2520"/>
        <v>X</v>
      </c>
      <c r="J11189" s="1" t="str">
        <f t="shared" si="2520"/>
        <v>X</v>
      </c>
      <c r="K11189" s="1" t="str">
        <f t="shared" si="2520"/>
        <v>X</v>
      </c>
      <c r="L11189" s="1" t="str">
        <f t="shared" si="2520"/>
        <v>X</v>
      </c>
      <c r="M11189" s="1" t="str">
        <f t="shared" si="2520"/>
        <v>X</v>
      </c>
      <c r="N11189" t="s">
        <v>27</v>
      </c>
    </row>
    <row r="11190" spans="1:14" x14ac:dyDescent="0.25">
      <c r="A11190" t="s">
        <v>44</v>
      </c>
      <c r="B11190" t="s">
        <v>15</v>
      </c>
      <c r="C11190" t="s">
        <v>37</v>
      </c>
      <c r="D11190" t="s">
        <v>34</v>
      </c>
      <c r="E11190" t="s">
        <v>22</v>
      </c>
      <c r="F11190" t="s">
        <v>19</v>
      </c>
      <c r="G11190" s="1" t="str">
        <f t="shared" si="2520"/>
        <v>X</v>
      </c>
      <c r="H11190" s="1" t="str">
        <f t="shared" si="2520"/>
        <v>X</v>
      </c>
      <c r="I11190" s="1" t="str">
        <f t="shared" si="2520"/>
        <v>X</v>
      </c>
      <c r="J11190" s="1" t="str">
        <f t="shared" si="2520"/>
        <v>X</v>
      </c>
      <c r="K11190" s="1" t="str">
        <f t="shared" si="2520"/>
        <v>X</v>
      </c>
      <c r="L11190" s="1" t="str">
        <f t="shared" si="2520"/>
        <v>X</v>
      </c>
      <c r="M11190" s="1" t="str">
        <f t="shared" si="2520"/>
        <v>X</v>
      </c>
      <c r="N11190" t="s">
        <v>27</v>
      </c>
    </row>
    <row r="11191" spans="1:14" x14ac:dyDescent="0.25">
      <c r="A11191" t="s">
        <v>44</v>
      </c>
      <c r="B11191" t="s">
        <v>15</v>
      </c>
      <c r="C11191" t="s">
        <v>37</v>
      </c>
      <c r="D11191" t="s">
        <v>34</v>
      </c>
      <c r="E11191" t="s">
        <v>22</v>
      </c>
      <c r="F11191" t="s">
        <v>20</v>
      </c>
      <c r="G11191" s="1" t="str">
        <f t="shared" si="2520"/>
        <v>X</v>
      </c>
      <c r="H11191" s="1" t="str">
        <f t="shared" si="2520"/>
        <v>X</v>
      </c>
      <c r="I11191" s="1" t="str">
        <f t="shared" si="2520"/>
        <v>X</v>
      </c>
      <c r="J11191" s="1" t="str">
        <f t="shared" si="2520"/>
        <v>X</v>
      </c>
      <c r="K11191" s="1" t="str">
        <f t="shared" si="2520"/>
        <v>X</v>
      </c>
      <c r="L11191" s="1" t="str">
        <f t="shared" si="2520"/>
        <v>X</v>
      </c>
      <c r="M11191" s="1" t="str">
        <f t="shared" si="2520"/>
        <v>X</v>
      </c>
      <c r="N11191" t="s">
        <v>27</v>
      </c>
    </row>
    <row r="11192" spans="1:14" x14ac:dyDescent="0.25">
      <c r="A11192" t="s">
        <v>44</v>
      </c>
      <c r="B11192" t="s">
        <v>15</v>
      </c>
      <c r="C11192" t="s">
        <v>37</v>
      </c>
      <c r="D11192" t="s">
        <v>34</v>
      </c>
      <c r="E11192" t="s">
        <v>23</v>
      </c>
      <c r="F11192" t="s">
        <v>15</v>
      </c>
      <c r="G11192" s="1" t="str">
        <f t="shared" si="2520"/>
        <v>X</v>
      </c>
      <c r="H11192" s="1" t="str">
        <f t="shared" si="2520"/>
        <v>X</v>
      </c>
      <c r="I11192" s="1" t="str">
        <f t="shared" si="2520"/>
        <v>X</v>
      </c>
      <c r="J11192" s="1" t="str">
        <f t="shared" si="2520"/>
        <v>X</v>
      </c>
      <c r="K11192" s="1" t="str">
        <f t="shared" si="2520"/>
        <v>X</v>
      </c>
      <c r="L11192" s="1" t="str">
        <f t="shared" si="2520"/>
        <v>X</v>
      </c>
      <c r="M11192" s="1" t="str">
        <f t="shared" si="2520"/>
        <v>X</v>
      </c>
      <c r="N11192" t="s">
        <v>27</v>
      </c>
    </row>
    <row r="11193" spans="1:14" x14ac:dyDescent="0.25">
      <c r="A11193" t="s">
        <v>44</v>
      </c>
      <c r="B11193" t="s">
        <v>15</v>
      </c>
      <c r="C11193" t="s">
        <v>37</v>
      </c>
      <c r="D11193" t="s">
        <v>34</v>
      </c>
      <c r="E11193" t="s">
        <v>23</v>
      </c>
      <c r="F11193" t="s">
        <v>17</v>
      </c>
      <c r="G11193" s="1" t="str">
        <f t="shared" si="2520"/>
        <v>X</v>
      </c>
      <c r="H11193" s="1" t="str">
        <f t="shared" si="2520"/>
        <v>X</v>
      </c>
      <c r="I11193" s="1" t="str">
        <f t="shared" si="2520"/>
        <v>X</v>
      </c>
      <c r="J11193" s="1" t="str">
        <f t="shared" si="2520"/>
        <v>X</v>
      </c>
      <c r="K11193" s="1" t="str">
        <f t="shared" si="2520"/>
        <v>X</v>
      </c>
      <c r="L11193" s="1" t="str">
        <f t="shared" si="2520"/>
        <v>X</v>
      </c>
      <c r="M11193" s="1" t="str">
        <f t="shared" si="2520"/>
        <v>X</v>
      </c>
      <c r="N11193" t="s">
        <v>27</v>
      </c>
    </row>
    <row r="11194" spans="1:14" x14ac:dyDescent="0.25">
      <c r="A11194" t="s">
        <v>44</v>
      </c>
      <c r="B11194" t="s">
        <v>15</v>
      </c>
      <c r="C11194" t="s">
        <v>37</v>
      </c>
      <c r="D11194" t="s">
        <v>34</v>
      </c>
      <c r="E11194" t="s">
        <v>23</v>
      </c>
      <c r="F11194" t="s">
        <v>18</v>
      </c>
      <c r="G11194" s="1" t="str">
        <f t="shared" si="2520"/>
        <v>X</v>
      </c>
      <c r="H11194" s="1" t="str">
        <f t="shared" si="2520"/>
        <v>X</v>
      </c>
      <c r="I11194" s="1" t="str">
        <f t="shared" si="2520"/>
        <v>X</v>
      </c>
      <c r="J11194" s="1" t="str">
        <f t="shared" si="2520"/>
        <v>X</v>
      </c>
      <c r="K11194" s="1" t="str">
        <f t="shared" si="2520"/>
        <v>X</v>
      </c>
      <c r="L11194" s="1" t="str">
        <f t="shared" si="2520"/>
        <v>X</v>
      </c>
      <c r="M11194" s="1" t="str">
        <f t="shared" si="2520"/>
        <v>X</v>
      </c>
      <c r="N11194" t="s">
        <v>27</v>
      </c>
    </row>
    <row r="11195" spans="1:14" x14ac:dyDescent="0.25">
      <c r="A11195" t="s">
        <v>44</v>
      </c>
      <c r="B11195" t="s">
        <v>15</v>
      </c>
      <c r="C11195" t="s">
        <v>37</v>
      </c>
      <c r="D11195" t="s">
        <v>34</v>
      </c>
      <c r="E11195" t="s">
        <v>23</v>
      </c>
      <c r="F11195" t="s">
        <v>19</v>
      </c>
      <c r="G11195" s="1" t="str">
        <f t="shared" si="2520"/>
        <v>X</v>
      </c>
      <c r="H11195" s="1" t="str">
        <f t="shared" si="2520"/>
        <v>X</v>
      </c>
      <c r="I11195" s="1" t="str">
        <f t="shared" si="2520"/>
        <v>X</v>
      </c>
      <c r="J11195" s="1" t="str">
        <f t="shared" si="2520"/>
        <v>X</v>
      </c>
      <c r="K11195" s="1" t="str">
        <f t="shared" si="2520"/>
        <v>X</v>
      </c>
      <c r="L11195" s="1" t="str">
        <f t="shared" si="2520"/>
        <v>X</v>
      </c>
      <c r="M11195" s="1" t="str">
        <f t="shared" si="2520"/>
        <v>X</v>
      </c>
      <c r="N11195" t="s">
        <v>27</v>
      </c>
    </row>
    <row r="11196" spans="1:14" x14ac:dyDescent="0.25">
      <c r="A11196" t="s">
        <v>44</v>
      </c>
      <c r="B11196" t="s">
        <v>15</v>
      </c>
      <c r="C11196" t="s">
        <v>37</v>
      </c>
      <c r="D11196" t="s">
        <v>34</v>
      </c>
      <c r="E11196" t="s">
        <v>23</v>
      </c>
      <c r="F11196" t="s">
        <v>20</v>
      </c>
      <c r="G11196" s="1" t="str">
        <f t="shared" si="2520"/>
        <v>X</v>
      </c>
      <c r="H11196" s="1" t="str">
        <f t="shared" si="2520"/>
        <v>X</v>
      </c>
      <c r="I11196" s="1" t="str">
        <f t="shared" si="2520"/>
        <v>X</v>
      </c>
      <c r="J11196" s="1" t="str">
        <f t="shared" si="2520"/>
        <v>X</v>
      </c>
      <c r="K11196" s="1" t="str">
        <f t="shared" si="2520"/>
        <v>X</v>
      </c>
      <c r="L11196" s="1" t="str">
        <f t="shared" si="2520"/>
        <v>X</v>
      </c>
      <c r="M11196" s="1" t="str">
        <f t="shared" si="2520"/>
        <v>X</v>
      </c>
      <c r="N11196" t="s">
        <v>27</v>
      </c>
    </row>
    <row r="11197" spans="1:14" x14ac:dyDescent="0.25">
      <c r="A11197" t="s">
        <v>44</v>
      </c>
      <c r="B11197" t="s">
        <v>15</v>
      </c>
      <c r="C11197" t="s">
        <v>37</v>
      </c>
      <c r="D11197" t="s">
        <v>34</v>
      </c>
      <c r="E11197" t="s">
        <v>26</v>
      </c>
      <c r="F11197" t="s">
        <v>15</v>
      </c>
      <c r="G11197" s="1" t="str">
        <f t="shared" ref="G11197:M11201" si="2521">"..."</f>
        <v>...</v>
      </c>
      <c r="H11197" s="1" t="str">
        <f t="shared" si="2521"/>
        <v>...</v>
      </c>
      <c r="I11197" s="1" t="str">
        <f t="shared" si="2521"/>
        <v>...</v>
      </c>
      <c r="J11197" s="1" t="str">
        <f t="shared" si="2521"/>
        <v>...</v>
      </c>
      <c r="K11197" s="1" t="str">
        <f t="shared" si="2521"/>
        <v>...</v>
      </c>
      <c r="L11197" s="1" t="str">
        <f t="shared" si="2521"/>
        <v>...</v>
      </c>
      <c r="M11197" s="1" t="str">
        <f t="shared" si="2521"/>
        <v>...</v>
      </c>
      <c r="N11197" t="s">
        <v>30</v>
      </c>
    </row>
    <row r="11198" spans="1:14" x14ac:dyDescent="0.25">
      <c r="A11198" t="s">
        <v>44</v>
      </c>
      <c r="B11198" t="s">
        <v>15</v>
      </c>
      <c r="C11198" t="s">
        <v>37</v>
      </c>
      <c r="D11198" t="s">
        <v>34</v>
      </c>
      <c r="E11198" t="s">
        <v>26</v>
      </c>
      <c r="F11198" t="s">
        <v>17</v>
      </c>
      <c r="G11198" s="1" t="str">
        <f t="shared" si="2521"/>
        <v>...</v>
      </c>
      <c r="H11198" s="1" t="str">
        <f t="shared" si="2521"/>
        <v>...</v>
      </c>
      <c r="I11198" s="1" t="str">
        <f t="shared" si="2521"/>
        <v>...</v>
      </c>
      <c r="J11198" s="1" t="str">
        <f t="shared" si="2521"/>
        <v>...</v>
      </c>
      <c r="K11198" s="1" t="str">
        <f t="shared" si="2521"/>
        <v>...</v>
      </c>
      <c r="L11198" s="1" t="str">
        <f t="shared" si="2521"/>
        <v>...</v>
      </c>
      <c r="M11198" s="1" t="str">
        <f t="shared" si="2521"/>
        <v>...</v>
      </c>
      <c r="N11198" t="s">
        <v>30</v>
      </c>
    </row>
    <row r="11199" spans="1:14" x14ac:dyDescent="0.25">
      <c r="A11199" t="s">
        <v>44</v>
      </c>
      <c r="B11199" t="s">
        <v>15</v>
      </c>
      <c r="C11199" t="s">
        <v>37</v>
      </c>
      <c r="D11199" t="s">
        <v>34</v>
      </c>
      <c r="E11199" t="s">
        <v>26</v>
      </c>
      <c r="F11199" t="s">
        <v>18</v>
      </c>
      <c r="G11199" s="1" t="str">
        <f t="shared" si="2521"/>
        <v>...</v>
      </c>
      <c r="H11199" s="1" t="str">
        <f t="shared" si="2521"/>
        <v>...</v>
      </c>
      <c r="I11199" s="1" t="str">
        <f t="shared" si="2521"/>
        <v>...</v>
      </c>
      <c r="J11199" s="1" t="str">
        <f t="shared" si="2521"/>
        <v>...</v>
      </c>
      <c r="K11199" s="1" t="str">
        <f t="shared" si="2521"/>
        <v>...</v>
      </c>
      <c r="L11199" s="1" t="str">
        <f t="shared" si="2521"/>
        <v>...</v>
      </c>
      <c r="M11199" s="1" t="str">
        <f t="shared" si="2521"/>
        <v>...</v>
      </c>
      <c r="N11199" t="s">
        <v>30</v>
      </c>
    </row>
    <row r="11200" spans="1:14" x14ac:dyDescent="0.25">
      <c r="A11200" t="s">
        <v>44</v>
      </c>
      <c r="B11200" t="s">
        <v>15</v>
      </c>
      <c r="C11200" t="s">
        <v>37</v>
      </c>
      <c r="D11200" t="s">
        <v>34</v>
      </c>
      <c r="E11200" t="s">
        <v>26</v>
      </c>
      <c r="F11200" t="s">
        <v>19</v>
      </c>
      <c r="G11200" s="1" t="str">
        <f t="shared" si="2521"/>
        <v>...</v>
      </c>
      <c r="H11200" s="1" t="str">
        <f t="shared" si="2521"/>
        <v>...</v>
      </c>
      <c r="I11200" s="1" t="str">
        <f t="shared" si="2521"/>
        <v>...</v>
      </c>
      <c r="J11200" s="1" t="str">
        <f t="shared" si="2521"/>
        <v>...</v>
      </c>
      <c r="K11200" s="1" t="str">
        <f t="shared" si="2521"/>
        <v>...</v>
      </c>
      <c r="L11200" s="1" t="str">
        <f t="shared" si="2521"/>
        <v>...</v>
      </c>
      <c r="M11200" s="1" t="str">
        <f t="shared" si="2521"/>
        <v>...</v>
      </c>
      <c r="N11200" t="s">
        <v>30</v>
      </c>
    </row>
    <row r="11201" spans="1:14" x14ac:dyDescent="0.25">
      <c r="A11201" t="s">
        <v>44</v>
      </c>
      <c r="B11201" t="s">
        <v>15</v>
      </c>
      <c r="C11201" t="s">
        <v>37</v>
      </c>
      <c r="D11201" t="s">
        <v>34</v>
      </c>
      <c r="E11201" t="s">
        <v>26</v>
      </c>
      <c r="F11201" t="s">
        <v>20</v>
      </c>
      <c r="G11201" s="1" t="str">
        <f t="shared" si="2521"/>
        <v>...</v>
      </c>
      <c r="H11201" s="1" t="str">
        <f t="shared" si="2521"/>
        <v>...</v>
      </c>
      <c r="I11201" s="1" t="str">
        <f t="shared" si="2521"/>
        <v>...</v>
      </c>
      <c r="J11201" s="1" t="str">
        <f t="shared" si="2521"/>
        <v>...</v>
      </c>
      <c r="K11201" s="1" t="str">
        <f t="shared" si="2521"/>
        <v>...</v>
      </c>
      <c r="L11201" s="1" t="str">
        <f t="shared" si="2521"/>
        <v>...</v>
      </c>
      <c r="M11201" s="1" t="str">
        <f t="shared" si="2521"/>
        <v>...</v>
      </c>
      <c r="N11201" t="s">
        <v>30</v>
      </c>
    </row>
    <row r="11202" spans="1:14" x14ac:dyDescent="0.25">
      <c r="A11202" t="s">
        <v>44</v>
      </c>
      <c r="B11202" t="s">
        <v>15</v>
      </c>
      <c r="C11202" t="s">
        <v>38</v>
      </c>
      <c r="D11202" t="s">
        <v>15</v>
      </c>
      <c r="E11202" t="s">
        <v>15</v>
      </c>
      <c r="F11202" t="s">
        <v>15</v>
      </c>
      <c r="G11202" s="1">
        <f>VALUE(38491.86)</f>
        <v>38491.86</v>
      </c>
      <c r="H11202" s="1">
        <f>VALUE(31650.09)</f>
        <v>31650.09</v>
      </c>
      <c r="I11202" s="1">
        <f>VALUE(3691)</f>
        <v>3691</v>
      </c>
      <c r="J11202" s="1">
        <f>VALUE(4577)</f>
        <v>4577</v>
      </c>
      <c r="K11202" s="1">
        <f>VALUE(5844)</f>
        <v>5844</v>
      </c>
      <c r="L11202" s="1">
        <f>VALUE(7526)</f>
        <v>7526</v>
      </c>
      <c r="M11202" s="1">
        <f>VALUE(11137)</f>
        <v>11137</v>
      </c>
      <c r="N11202" t="s">
        <v>16</v>
      </c>
    </row>
    <row r="11203" spans="1:14" x14ac:dyDescent="0.25">
      <c r="A11203" t="s">
        <v>44</v>
      </c>
      <c r="B11203" t="s">
        <v>15</v>
      </c>
      <c r="C11203" t="s">
        <v>38</v>
      </c>
      <c r="D11203" t="s">
        <v>15</v>
      </c>
      <c r="E11203" t="s">
        <v>15</v>
      </c>
      <c r="F11203" t="s">
        <v>17</v>
      </c>
      <c r="G11203" s="1">
        <f>VALUE(7544.46)</f>
        <v>7544.46</v>
      </c>
      <c r="H11203" s="1">
        <f>VALUE(6952.86)</f>
        <v>6952.86</v>
      </c>
      <c r="I11203" s="4">
        <f>VALUE(5158)</f>
        <v>5158</v>
      </c>
      <c r="J11203" s="1">
        <f>VALUE(6700)</f>
        <v>6700</v>
      </c>
      <c r="K11203" s="1">
        <f>VALUE(9507)</f>
        <v>9507</v>
      </c>
      <c r="L11203" s="1">
        <f>VALUE(13380)</f>
        <v>13380</v>
      </c>
      <c r="M11203" s="1">
        <f>VALUE(18558)</f>
        <v>18558</v>
      </c>
      <c r="N11203" t="s">
        <v>25</v>
      </c>
    </row>
    <row r="11204" spans="1:14" x14ac:dyDescent="0.25">
      <c r="A11204" t="s">
        <v>44</v>
      </c>
      <c r="B11204" t="s">
        <v>15</v>
      </c>
      <c r="C11204" t="s">
        <v>38</v>
      </c>
      <c r="D11204" t="s">
        <v>15</v>
      </c>
      <c r="E11204" t="s">
        <v>15</v>
      </c>
      <c r="F11204" t="s">
        <v>18</v>
      </c>
      <c r="G11204" s="1">
        <f>VALUE(3346.22)</f>
        <v>3346.22</v>
      </c>
      <c r="H11204" s="1">
        <f>VALUE(2828.12)</f>
        <v>2828.12</v>
      </c>
      <c r="I11204" s="1">
        <f>VALUE(4246)</f>
        <v>4246</v>
      </c>
      <c r="J11204" s="1">
        <f>VALUE(5492)</f>
        <v>5492</v>
      </c>
      <c r="K11204" s="1">
        <f>VALUE(6797)</f>
        <v>6797</v>
      </c>
      <c r="L11204" s="1">
        <f>VALUE(8721)</f>
        <v>8721</v>
      </c>
      <c r="M11204" s="1">
        <f>VALUE(10950)</f>
        <v>10950</v>
      </c>
      <c r="N11204" t="s">
        <v>16</v>
      </c>
    </row>
    <row r="11205" spans="1:14" x14ac:dyDescent="0.25">
      <c r="A11205" t="s">
        <v>44</v>
      </c>
      <c r="B11205" t="s">
        <v>15</v>
      </c>
      <c r="C11205" t="s">
        <v>38</v>
      </c>
      <c r="D11205" t="s">
        <v>15</v>
      </c>
      <c r="E11205" t="s">
        <v>15</v>
      </c>
      <c r="F11205" t="s">
        <v>19</v>
      </c>
      <c r="G11205" s="1">
        <f>VALUE(3972.31)</f>
        <v>3972.31</v>
      </c>
      <c r="H11205" s="1">
        <f>VALUE(3499.1)</f>
        <v>3499.1</v>
      </c>
      <c r="I11205" s="1">
        <f>VALUE(4215)</f>
        <v>4215</v>
      </c>
      <c r="J11205" s="1">
        <f>VALUE(5117)</f>
        <v>5117</v>
      </c>
      <c r="K11205" s="1">
        <f>VALUE(6258)</f>
        <v>6258</v>
      </c>
      <c r="L11205" s="1">
        <f>VALUE(7324)</f>
        <v>7324</v>
      </c>
      <c r="M11205" s="1">
        <f>VALUE(8611)</f>
        <v>8611</v>
      </c>
      <c r="N11205" t="s">
        <v>16</v>
      </c>
    </row>
    <row r="11206" spans="1:14" x14ac:dyDescent="0.25">
      <c r="A11206" t="s">
        <v>44</v>
      </c>
      <c r="B11206" t="s">
        <v>15</v>
      </c>
      <c r="C11206" t="s">
        <v>38</v>
      </c>
      <c r="D11206" t="s">
        <v>15</v>
      </c>
      <c r="E11206" t="s">
        <v>15</v>
      </c>
      <c r="F11206" t="s">
        <v>20</v>
      </c>
      <c r="G11206" s="1">
        <f>VALUE(23628.87)</f>
        <v>23628.87</v>
      </c>
      <c r="H11206" s="1">
        <f>VALUE(18370.01)</f>
        <v>18370.009999999998</v>
      </c>
      <c r="I11206" s="1">
        <f>VALUE(3491)</f>
        <v>3491</v>
      </c>
      <c r="J11206" s="1">
        <f>VALUE(4159)</f>
        <v>4159</v>
      </c>
      <c r="K11206" s="1">
        <f>VALUE(5210)</f>
        <v>5210</v>
      </c>
      <c r="L11206" s="1">
        <f>VALUE(6117)</f>
        <v>6117</v>
      </c>
      <c r="M11206" s="1">
        <f>VALUE(7292)</f>
        <v>7292</v>
      </c>
      <c r="N11206" t="s">
        <v>16</v>
      </c>
    </row>
    <row r="11207" spans="1:14" x14ac:dyDescent="0.25">
      <c r="A11207" t="s">
        <v>44</v>
      </c>
      <c r="B11207" t="s">
        <v>15</v>
      </c>
      <c r="C11207" t="s">
        <v>38</v>
      </c>
      <c r="D11207" t="s">
        <v>15</v>
      </c>
      <c r="E11207" t="s">
        <v>21</v>
      </c>
      <c r="F11207" t="s">
        <v>15</v>
      </c>
      <c r="G11207" s="1">
        <f>VALUE(7469.27)</f>
        <v>7469.27</v>
      </c>
      <c r="H11207" s="1">
        <f>VALUE(6301.43)</f>
        <v>6301.43</v>
      </c>
      <c r="I11207" s="1">
        <f>VALUE(5205)</f>
        <v>5205</v>
      </c>
      <c r="J11207" s="1">
        <f>VALUE(6700)</f>
        <v>6700</v>
      </c>
      <c r="K11207" s="1">
        <f>VALUE(8886)</f>
        <v>8886</v>
      </c>
      <c r="L11207" s="1">
        <f>VALUE(12672)</f>
        <v>12672</v>
      </c>
      <c r="M11207" s="1">
        <f>VALUE(17770)</f>
        <v>17770</v>
      </c>
      <c r="N11207" t="s">
        <v>16</v>
      </c>
    </row>
    <row r="11208" spans="1:14" x14ac:dyDescent="0.25">
      <c r="A11208" t="s">
        <v>44</v>
      </c>
      <c r="B11208" t="s">
        <v>15</v>
      </c>
      <c r="C11208" t="s">
        <v>38</v>
      </c>
      <c r="D11208" t="s">
        <v>15</v>
      </c>
      <c r="E11208" t="s">
        <v>21</v>
      </c>
      <c r="F11208" t="s">
        <v>17</v>
      </c>
      <c r="G11208" s="2">
        <f>VALUE(3661.17)</f>
        <v>3661.17</v>
      </c>
      <c r="H11208" s="3">
        <f>VALUE(3330.07)</f>
        <v>3330.07</v>
      </c>
      <c r="I11208" s="4">
        <f>VALUE(6353)</f>
        <v>6353</v>
      </c>
      <c r="J11208" s="1">
        <f>VALUE(8796)</f>
        <v>8796</v>
      </c>
      <c r="K11208" s="1">
        <f>VALUE(11618)</f>
        <v>11618</v>
      </c>
      <c r="L11208" s="1">
        <f>VALUE(16299)</f>
        <v>16299</v>
      </c>
      <c r="M11208" s="1">
        <f>VALUE(21650)</f>
        <v>21650</v>
      </c>
      <c r="N11208" t="s">
        <v>25</v>
      </c>
    </row>
    <row r="11209" spans="1:14" x14ac:dyDescent="0.25">
      <c r="A11209" t="s">
        <v>44</v>
      </c>
      <c r="B11209" t="s">
        <v>15</v>
      </c>
      <c r="C11209" t="s">
        <v>38</v>
      </c>
      <c r="D11209" t="s">
        <v>15</v>
      </c>
      <c r="E11209" t="s">
        <v>21</v>
      </c>
      <c r="F11209" t="s">
        <v>18</v>
      </c>
      <c r="G11209" s="2">
        <f>VALUE(1016.94)</f>
        <v>1016.94</v>
      </c>
      <c r="H11209" s="3">
        <f>VALUE(782.85)</f>
        <v>782.85</v>
      </c>
      <c r="I11209" s="4">
        <f>VALUE(5330)</f>
        <v>5330</v>
      </c>
      <c r="J11209" s="1">
        <f>VALUE(6393)</f>
        <v>6393</v>
      </c>
      <c r="K11209" s="1">
        <f>VALUE(8204)</f>
        <v>8204</v>
      </c>
      <c r="L11209" s="1">
        <f>VALUE(10480)</f>
        <v>10480</v>
      </c>
      <c r="M11209" s="1">
        <f>VALUE(13000)</f>
        <v>13000</v>
      </c>
      <c r="N11209" t="s">
        <v>25</v>
      </c>
    </row>
    <row r="11210" spans="1:14" x14ac:dyDescent="0.25">
      <c r="A11210" t="s">
        <v>44</v>
      </c>
      <c r="B11210" t="s">
        <v>15</v>
      </c>
      <c r="C11210" t="s">
        <v>38</v>
      </c>
      <c r="D11210" t="s">
        <v>15</v>
      </c>
      <c r="E11210" t="s">
        <v>21</v>
      </c>
      <c r="F11210" t="s">
        <v>19</v>
      </c>
      <c r="G11210" s="2">
        <f>VALUE(613.51)</f>
        <v>613.51</v>
      </c>
      <c r="H11210" s="3">
        <f>VALUE(535.26)</f>
        <v>535.26</v>
      </c>
      <c r="I11210" s="1">
        <f>VALUE(5091)</f>
        <v>5091</v>
      </c>
      <c r="J11210" s="1">
        <f>VALUE(6554)</f>
        <v>6554</v>
      </c>
      <c r="K11210" s="1">
        <f>VALUE(7484)</f>
        <v>7484</v>
      </c>
      <c r="L11210" s="1">
        <f>VALUE(8811)</f>
        <v>8811</v>
      </c>
      <c r="M11210" s="1">
        <f>VALUE(11553)</f>
        <v>11553</v>
      </c>
      <c r="N11210" t="s">
        <v>25</v>
      </c>
    </row>
    <row r="11211" spans="1:14" x14ac:dyDescent="0.25">
      <c r="A11211" t="s">
        <v>44</v>
      </c>
      <c r="B11211" t="s">
        <v>15</v>
      </c>
      <c r="C11211" t="s">
        <v>38</v>
      </c>
      <c r="D11211" t="s">
        <v>15</v>
      </c>
      <c r="E11211" t="s">
        <v>21</v>
      </c>
      <c r="F11211" t="s">
        <v>20</v>
      </c>
      <c r="G11211" s="2">
        <f>VALUE(2177.65)</f>
        <v>2177.65</v>
      </c>
      <c r="H11211" s="3">
        <f>VALUE(1653.25)</f>
        <v>1653.25</v>
      </c>
      <c r="I11211" s="1">
        <f>VALUE(4357)</f>
        <v>4357</v>
      </c>
      <c r="J11211" s="1">
        <f>VALUE(5699)</f>
        <v>5699</v>
      </c>
      <c r="K11211" s="1">
        <f>VALUE(6932)</f>
        <v>6932</v>
      </c>
      <c r="L11211" s="1">
        <f>VALUE(8039)</f>
        <v>8039</v>
      </c>
      <c r="M11211" s="8">
        <f>VALUE(9672)</f>
        <v>9672</v>
      </c>
      <c r="N11211" t="s">
        <v>25</v>
      </c>
    </row>
    <row r="11212" spans="1:14" x14ac:dyDescent="0.25">
      <c r="A11212" t="s">
        <v>44</v>
      </c>
      <c r="B11212" t="s">
        <v>15</v>
      </c>
      <c r="C11212" t="s">
        <v>38</v>
      </c>
      <c r="D11212" t="s">
        <v>15</v>
      </c>
      <c r="E11212" t="s">
        <v>22</v>
      </c>
      <c r="F11212" t="s">
        <v>15</v>
      </c>
      <c r="G11212" s="1">
        <f>VALUE(15558.52)</f>
        <v>15558.52</v>
      </c>
      <c r="H11212" s="1">
        <f>VALUE(13226.35)</f>
        <v>13226.35</v>
      </c>
      <c r="I11212" s="1">
        <f>VALUE(4279)</f>
        <v>4279</v>
      </c>
      <c r="J11212" s="1">
        <f>VALUE(5237)</f>
        <v>5237</v>
      </c>
      <c r="K11212" s="1">
        <f>VALUE(6190)</f>
        <v>6190</v>
      </c>
      <c r="L11212" s="1">
        <f>VALUE(7410)</f>
        <v>7410</v>
      </c>
      <c r="M11212" s="1">
        <f>VALUE(9605)</f>
        <v>9605</v>
      </c>
      <c r="N11212" t="s">
        <v>16</v>
      </c>
    </row>
    <row r="11213" spans="1:14" x14ac:dyDescent="0.25">
      <c r="A11213" t="s">
        <v>44</v>
      </c>
      <c r="B11213" t="s">
        <v>15</v>
      </c>
      <c r="C11213" t="s">
        <v>38</v>
      </c>
      <c r="D11213" t="s">
        <v>15</v>
      </c>
      <c r="E11213" t="s">
        <v>22</v>
      </c>
      <c r="F11213" t="s">
        <v>17</v>
      </c>
      <c r="G11213" s="2">
        <f>VALUE(2985.9)</f>
        <v>2985.9</v>
      </c>
      <c r="H11213" s="3">
        <f>VALUE(2802.83)</f>
        <v>2802.83</v>
      </c>
      <c r="I11213" s="4">
        <f>VALUE(5158)</f>
        <v>5158</v>
      </c>
      <c r="J11213" s="1">
        <f>VALUE(6265)</f>
        <v>6265</v>
      </c>
      <c r="K11213" s="1">
        <f>VALUE(7750)</f>
        <v>7750</v>
      </c>
      <c r="L11213" s="1">
        <f>VALUE(10398)</f>
        <v>10398</v>
      </c>
      <c r="M11213" s="1">
        <f>VALUE(14824)</f>
        <v>14824</v>
      </c>
      <c r="N11213" t="s">
        <v>25</v>
      </c>
    </row>
    <row r="11214" spans="1:14" x14ac:dyDescent="0.25">
      <c r="A11214" t="s">
        <v>44</v>
      </c>
      <c r="B11214" t="s">
        <v>15</v>
      </c>
      <c r="C11214" t="s">
        <v>38</v>
      </c>
      <c r="D11214" t="s">
        <v>15</v>
      </c>
      <c r="E11214" t="s">
        <v>22</v>
      </c>
      <c r="F11214" t="s">
        <v>18</v>
      </c>
      <c r="G11214" s="2">
        <f>VALUE(1753.07)</f>
        <v>1753.07</v>
      </c>
      <c r="H11214" s="3">
        <f>VALUE(1536.39)</f>
        <v>1536.39</v>
      </c>
      <c r="I11214" s="4">
        <f>VALUE(4654)</f>
        <v>4654</v>
      </c>
      <c r="J11214" s="1">
        <f>VALUE(5777)</f>
        <v>5777</v>
      </c>
      <c r="K11214" s="1">
        <f>VALUE(6797)</f>
        <v>6797</v>
      </c>
      <c r="L11214" s="1">
        <f>VALUE(8237)</f>
        <v>8237</v>
      </c>
      <c r="M11214" s="1">
        <f>VALUE(10172)</f>
        <v>10172</v>
      </c>
      <c r="N11214" t="s">
        <v>25</v>
      </c>
    </row>
    <row r="11215" spans="1:14" x14ac:dyDescent="0.25">
      <c r="A11215" t="s">
        <v>44</v>
      </c>
      <c r="B11215" t="s">
        <v>15</v>
      </c>
      <c r="C11215" t="s">
        <v>38</v>
      </c>
      <c r="D11215" t="s">
        <v>15</v>
      </c>
      <c r="E11215" t="s">
        <v>22</v>
      </c>
      <c r="F11215" t="s">
        <v>19</v>
      </c>
      <c r="G11215" s="2">
        <f>VALUE(2370.92)</f>
        <v>2370.92</v>
      </c>
      <c r="H11215" s="3">
        <f>VALUE(2114.65)</f>
        <v>2114.65</v>
      </c>
      <c r="I11215" s="1">
        <f>VALUE(4429)</f>
        <v>4429</v>
      </c>
      <c r="J11215" s="1">
        <f>VALUE(5412)</f>
        <v>5412</v>
      </c>
      <c r="K11215" s="1">
        <f>VALUE(6340)</f>
        <v>6340</v>
      </c>
      <c r="L11215" s="1">
        <f>VALUE(7254)</f>
        <v>7254</v>
      </c>
      <c r="M11215" s="1">
        <f>VALUE(8259)</f>
        <v>8259</v>
      </c>
      <c r="N11215" t="s">
        <v>25</v>
      </c>
    </row>
    <row r="11216" spans="1:14" x14ac:dyDescent="0.25">
      <c r="A11216" t="s">
        <v>44</v>
      </c>
      <c r="B11216" t="s">
        <v>15</v>
      </c>
      <c r="C11216" t="s">
        <v>38</v>
      </c>
      <c r="D11216" t="s">
        <v>15</v>
      </c>
      <c r="E11216" t="s">
        <v>22</v>
      </c>
      <c r="F11216" t="s">
        <v>20</v>
      </c>
      <c r="G11216" s="1">
        <f>VALUE(8448.63)</f>
        <v>8448.6299999999992</v>
      </c>
      <c r="H11216" s="1">
        <f>VALUE(6772.48)</f>
        <v>6772.48</v>
      </c>
      <c r="I11216" s="1">
        <f>VALUE(4156)</f>
        <v>4156</v>
      </c>
      <c r="J11216" s="1">
        <f>VALUE(4921)</f>
        <v>4921</v>
      </c>
      <c r="K11216" s="1">
        <f>VALUE(5673)</f>
        <v>5673</v>
      </c>
      <c r="L11216" s="1">
        <f>VALUE(6501)</f>
        <v>6501</v>
      </c>
      <c r="M11216" s="1">
        <f>VALUE(7486)</f>
        <v>7486</v>
      </c>
      <c r="N11216" t="s">
        <v>16</v>
      </c>
    </row>
    <row r="11217" spans="1:14" x14ac:dyDescent="0.25">
      <c r="A11217" t="s">
        <v>44</v>
      </c>
      <c r="B11217" t="s">
        <v>15</v>
      </c>
      <c r="C11217" t="s">
        <v>38</v>
      </c>
      <c r="D11217" t="s">
        <v>15</v>
      </c>
      <c r="E11217" t="s">
        <v>23</v>
      </c>
      <c r="F11217" t="s">
        <v>15</v>
      </c>
      <c r="G11217" s="1">
        <f>VALUE(14853.05)</f>
        <v>14853.05</v>
      </c>
      <c r="H11217" s="1">
        <f>VALUE(11538.21)</f>
        <v>11538.21</v>
      </c>
      <c r="I11217" s="1">
        <f>VALUE(3281)</f>
        <v>3281</v>
      </c>
      <c r="J11217" s="1">
        <f>VALUE(3790)</f>
        <v>3790</v>
      </c>
      <c r="K11217" s="1">
        <f>VALUE(4601)</f>
        <v>4601</v>
      </c>
      <c r="L11217" s="1">
        <f>VALUE(5590)</f>
        <v>5590</v>
      </c>
      <c r="M11217" s="1">
        <f>VALUE(6376)</f>
        <v>6376</v>
      </c>
      <c r="N11217" t="s">
        <v>16</v>
      </c>
    </row>
    <row r="11218" spans="1:14" x14ac:dyDescent="0.25">
      <c r="A11218" t="s">
        <v>44</v>
      </c>
      <c r="B11218" t="s">
        <v>15</v>
      </c>
      <c r="C11218" t="s">
        <v>38</v>
      </c>
      <c r="D11218" t="s">
        <v>15</v>
      </c>
      <c r="E11218" t="s">
        <v>23</v>
      </c>
      <c r="F11218" t="s">
        <v>17</v>
      </c>
      <c r="G11218" s="2">
        <f>VALUE(711.86)</f>
        <v>711.86</v>
      </c>
      <c r="H11218" s="3">
        <f>VALUE(644.05)</f>
        <v>644.04999999999995</v>
      </c>
      <c r="I11218" s="4">
        <f>VALUE(3699)</f>
        <v>3699</v>
      </c>
      <c r="J11218" s="5">
        <f>VALUE(4128)</f>
        <v>4128</v>
      </c>
      <c r="K11218" s="6">
        <f>VALUE(5957)</f>
        <v>5957</v>
      </c>
      <c r="L11218" s="7">
        <f>VALUE(7040)</f>
        <v>7040</v>
      </c>
      <c r="M11218" s="8">
        <f>VALUE(9800)</f>
        <v>9800</v>
      </c>
      <c r="N11218" t="s">
        <v>24</v>
      </c>
    </row>
    <row r="11219" spans="1:14" x14ac:dyDescent="0.25">
      <c r="A11219" t="s">
        <v>44</v>
      </c>
      <c r="B11219" t="s">
        <v>15</v>
      </c>
      <c r="C11219" t="s">
        <v>38</v>
      </c>
      <c r="D11219" t="s">
        <v>15</v>
      </c>
      <c r="E11219" t="s">
        <v>23</v>
      </c>
      <c r="F11219" t="s">
        <v>18</v>
      </c>
      <c r="G11219" s="2">
        <f>VALUE(539.08)</f>
        <v>539.08000000000004</v>
      </c>
      <c r="H11219" s="3">
        <f>VALUE(471.75)</f>
        <v>471.75</v>
      </c>
      <c r="I11219" s="1">
        <f>VALUE(3823)</f>
        <v>3823</v>
      </c>
      <c r="J11219" s="1">
        <f>VALUE(4230)</f>
        <v>4230</v>
      </c>
      <c r="K11219" s="6">
        <f>VALUE(4885)</f>
        <v>4885</v>
      </c>
      <c r="L11219" s="1">
        <f>VALUE(5982)</f>
        <v>5982</v>
      </c>
      <c r="M11219" s="8">
        <f>VALUE(6916)</f>
        <v>6916</v>
      </c>
      <c r="N11219" t="s">
        <v>25</v>
      </c>
    </row>
    <row r="11220" spans="1:14" x14ac:dyDescent="0.25">
      <c r="A11220" t="s">
        <v>44</v>
      </c>
      <c r="B11220" t="s">
        <v>15</v>
      </c>
      <c r="C11220" t="s">
        <v>38</v>
      </c>
      <c r="D11220" t="s">
        <v>15</v>
      </c>
      <c r="E11220" t="s">
        <v>23</v>
      </c>
      <c r="F11220" t="s">
        <v>19</v>
      </c>
      <c r="G11220" s="2">
        <f>VALUE(976.47)</f>
        <v>976.47</v>
      </c>
      <c r="H11220" s="3">
        <f>VALUE(837.94)</f>
        <v>837.94</v>
      </c>
      <c r="I11220" s="4">
        <f>VALUE(3500)</f>
        <v>3500</v>
      </c>
      <c r="J11220" s="1">
        <f>VALUE(4460)</f>
        <v>4460</v>
      </c>
      <c r="K11220" s="1">
        <f>VALUE(5308)</f>
        <v>5308</v>
      </c>
      <c r="L11220" s="1">
        <f>VALUE(6325)</f>
        <v>6325</v>
      </c>
      <c r="M11220" s="1">
        <f>VALUE(7208)</f>
        <v>7208</v>
      </c>
      <c r="N11220" t="s">
        <v>25</v>
      </c>
    </row>
    <row r="11221" spans="1:14" x14ac:dyDescent="0.25">
      <c r="A11221" t="s">
        <v>44</v>
      </c>
      <c r="B11221" t="s">
        <v>15</v>
      </c>
      <c r="C11221" t="s">
        <v>38</v>
      </c>
      <c r="D11221" t="s">
        <v>15</v>
      </c>
      <c r="E11221" t="s">
        <v>23</v>
      </c>
      <c r="F11221" t="s">
        <v>20</v>
      </c>
      <c r="G11221" s="1">
        <f>VALUE(12625.64)</f>
        <v>12625.64</v>
      </c>
      <c r="H11221" s="1">
        <f>VALUE(9584.47)</f>
        <v>9584.4699999999993</v>
      </c>
      <c r="I11221" s="1">
        <f>VALUE(3242)</f>
        <v>3242</v>
      </c>
      <c r="J11221" s="1">
        <f>VALUE(3727)</f>
        <v>3727</v>
      </c>
      <c r="K11221" s="1">
        <f>VALUE(4526)</f>
        <v>4526</v>
      </c>
      <c r="L11221" s="1">
        <f>VALUE(5460)</f>
        <v>5460</v>
      </c>
      <c r="M11221" s="1">
        <f>VALUE(6161)</f>
        <v>6161</v>
      </c>
      <c r="N11221" t="s">
        <v>16</v>
      </c>
    </row>
    <row r="11222" spans="1:14" x14ac:dyDescent="0.25">
      <c r="A11222" t="s">
        <v>44</v>
      </c>
      <c r="B11222" t="s">
        <v>15</v>
      </c>
      <c r="C11222" t="s">
        <v>38</v>
      </c>
      <c r="D11222" t="s">
        <v>15</v>
      </c>
      <c r="E11222" t="s">
        <v>26</v>
      </c>
      <c r="F11222" t="s">
        <v>15</v>
      </c>
      <c r="G11222" s="2">
        <f>VALUE(611.02)</f>
        <v>611.02</v>
      </c>
      <c r="H11222" s="3">
        <f>VALUE(584.1)</f>
        <v>584.1</v>
      </c>
      <c r="I11222" s="1">
        <f>VALUE(5339)</f>
        <v>5339</v>
      </c>
      <c r="J11222" s="5">
        <f>VALUE(5804)</f>
        <v>5804</v>
      </c>
      <c r="K11222" s="1">
        <f>VALUE(7221)</f>
        <v>7221</v>
      </c>
      <c r="L11222" s="7">
        <f>VALUE(9517)</f>
        <v>9517</v>
      </c>
      <c r="M11222" s="8">
        <f>VALUE(15467)</f>
        <v>15467</v>
      </c>
      <c r="N11222" t="s">
        <v>25</v>
      </c>
    </row>
    <row r="11223" spans="1:14" x14ac:dyDescent="0.25">
      <c r="A11223" t="s">
        <v>44</v>
      </c>
      <c r="B11223" t="s">
        <v>15</v>
      </c>
      <c r="C11223" t="s">
        <v>38</v>
      </c>
      <c r="D11223" t="s">
        <v>15</v>
      </c>
      <c r="E11223" t="s">
        <v>26</v>
      </c>
      <c r="F11223" t="s">
        <v>17</v>
      </c>
      <c r="G11223" s="1" t="str">
        <f t="shared" ref="G11223:M11225" si="2522">"X"</f>
        <v>X</v>
      </c>
      <c r="H11223" s="1" t="str">
        <f t="shared" si="2522"/>
        <v>X</v>
      </c>
      <c r="I11223" s="1" t="str">
        <f t="shared" si="2522"/>
        <v>X</v>
      </c>
      <c r="J11223" s="1" t="str">
        <f t="shared" si="2522"/>
        <v>X</v>
      </c>
      <c r="K11223" s="1" t="str">
        <f t="shared" si="2522"/>
        <v>X</v>
      </c>
      <c r="L11223" s="1" t="str">
        <f t="shared" si="2522"/>
        <v>X</v>
      </c>
      <c r="M11223" s="1" t="str">
        <f t="shared" si="2522"/>
        <v>X</v>
      </c>
      <c r="N11223" t="s">
        <v>27</v>
      </c>
    </row>
    <row r="11224" spans="1:14" x14ac:dyDescent="0.25">
      <c r="A11224" t="s">
        <v>44</v>
      </c>
      <c r="B11224" t="s">
        <v>15</v>
      </c>
      <c r="C11224" t="s">
        <v>38</v>
      </c>
      <c r="D11224" t="s">
        <v>15</v>
      </c>
      <c r="E11224" t="s">
        <v>26</v>
      </c>
      <c r="F11224" t="s">
        <v>18</v>
      </c>
      <c r="G11224" s="1" t="str">
        <f t="shared" si="2522"/>
        <v>X</v>
      </c>
      <c r="H11224" s="1" t="str">
        <f t="shared" si="2522"/>
        <v>X</v>
      </c>
      <c r="I11224" s="1" t="str">
        <f t="shared" si="2522"/>
        <v>X</v>
      </c>
      <c r="J11224" s="1" t="str">
        <f t="shared" si="2522"/>
        <v>X</v>
      </c>
      <c r="K11224" s="1" t="str">
        <f t="shared" si="2522"/>
        <v>X</v>
      </c>
      <c r="L11224" s="1" t="str">
        <f t="shared" si="2522"/>
        <v>X</v>
      </c>
      <c r="M11224" s="1" t="str">
        <f t="shared" si="2522"/>
        <v>X</v>
      </c>
      <c r="N11224" t="s">
        <v>27</v>
      </c>
    </row>
    <row r="11225" spans="1:14" x14ac:dyDescent="0.25">
      <c r="A11225" t="s">
        <v>44</v>
      </c>
      <c r="B11225" t="s">
        <v>15</v>
      </c>
      <c r="C11225" t="s">
        <v>38</v>
      </c>
      <c r="D11225" t="s">
        <v>15</v>
      </c>
      <c r="E11225" t="s">
        <v>26</v>
      </c>
      <c r="F11225" t="s">
        <v>19</v>
      </c>
      <c r="G11225" s="1" t="str">
        <f t="shared" si="2522"/>
        <v>X</v>
      </c>
      <c r="H11225" s="1" t="str">
        <f t="shared" si="2522"/>
        <v>X</v>
      </c>
      <c r="I11225" s="1" t="str">
        <f t="shared" si="2522"/>
        <v>X</v>
      </c>
      <c r="J11225" s="1" t="str">
        <f t="shared" si="2522"/>
        <v>X</v>
      </c>
      <c r="K11225" s="1" t="str">
        <f t="shared" si="2522"/>
        <v>X</v>
      </c>
      <c r="L11225" s="1" t="str">
        <f t="shared" si="2522"/>
        <v>X</v>
      </c>
      <c r="M11225" s="1" t="str">
        <f t="shared" si="2522"/>
        <v>X</v>
      </c>
      <c r="N11225" t="s">
        <v>27</v>
      </c>
    </row>
    <row r="11226" spans="1:14" x14ac:dyDescent="0.25">
      <c r="A11226" t="s">
        <v>44</v>
      </c>
      <c r="B11226" t="s">
        <v>15</v>
      </c>
      <c r="C11226" t="s">
        <v>38</v>
      </c>
      <c r="D11226" t="s">
        <v>15</v>
      </c>
      <c r="E11226" t="s">
        <v>26</v>
      </c>
      <c r="F11226" t="s">
        <v>20</v>
      </c>
      <c r="G11226" s="2">
        <f>VALUE(376.95)</f>
        <v>376.95</v>
      </c>
      <c r="H11226" s="3">
        <f>VALUE(359.81)</f>
        <v>359.81</v>
      </c>
      <c r="I11226" s="1">
        <f>VALUE(5301)</f>
        <v>5301</v>
      </c>
      <c r="J11226" s="1">
        <f>VALUE(5634)</f>
        <v>5634</v>
      </c>
      <c r="K11226" s="1">
        <f>VALUE(6493)</f>
        <v>6493</v>
      </c>
      <c r="L11226" s="1">
        <f>VALUE(7871)</f>
        <v>7871</v>
      </c>
      <c r="M11226" s="1">
        <f>VALUE(9253)</f>
        <v>9253</v>
      </c>
      <c r="N11226" t="s">
        <v>25</v>
      </c>
    </row>
    <row r="11227" spans="1:14" x14ac:dyDescent="0.25">
      <c r="A11227" t="s">
        <v>44</v>
      </c>
      <c r="B11227" t="s">
        <v>15</v>
      </c>
      <c r="C11227" t="s">
        <v>38</v>
      </c>
      <c r="D11227" t="s">
        <v>28</v>
      </c>
      <c r="E11227" t="s">
        <v>15</v>
      </c>
      <c r="F11227" t="s">
        <v>15</v>
      </c>
      <c r="G11227" s="1">
        <f>VALUE(17915.7)</f>
        <v>17915.7</v>
      </c>
      <c r="H11227" s="1">
        <f>VALUE(14290.83)</f>
        <v>14290.83</v>
      </c>
      <c r="I11227" s="1">
        <f>VALUE(4230)</f>
        <v>4230</v>
      </c>
      <c r="J11227" s="1">
        <f>VALUE(5273)</f>
        <v>5273</v>
      </c>
      <c r="K11227" s="1">
        <f>VALUE(6505)</f>
        <v>6505</v>
      </c>
      <c r="L11227" s="1">
        <f>VALUE(8730)</f>
        <v>8730</v>
      </c>
      <c r="M11227" s="1">
        <f>VALUE(12520)</f>
        <v>12520</v>
      </c>
      <c r="N11227" t="s">
        <v>16</v>
      </c>
    </row>
    <row r="11228" spans="1:14" x14ac:dyDescent="0.25">
      <c r="A11228" t="s">
        <v>44</v>
      </c>
      <c r="B11228" t="s">
        <v>15</v>
      </c>
      <c r="C11228" t="s">
        <v>38</v>
      </c>
      <c r="D11228" t="s">
        <v>28</v>
      </c>
      <c r="E11228" t="s">
        <v>15</v>
      </c>
      <c r="F11228" t="s">
        <v>17</v>
      </c>
      <c r="G11228" s="1">
        <f>VALUE(4928.22)</f>
        <v>4928.22</v>
      </c>
      <c r="H11228" s="1">
        <f>VALUE(4518.69)</f>
        <v>4518.6899999999996</v>
      </c>
      <c r="I11228" s="4">
        <f>VALUE(5222)</f>
        <v>5222</v>
      </c>
      <c r="J11228" s="1">
        <f>VALUE(6816)</f>
        <v>6816</v>
      </c>
      <c r="K11228" s="1">
        <f>VALUE(9587)</f>
        <v>9587</v>
      </c>
      <c r="L11228" s="1">
        <f>VALUE(12908)</f>
        <v>12908</v>
      </c>
      <c r="M11228" s="1">
        <f>VALUE(17930)</f>
        <v>17930</v>
      </c>
      <c r="N11228" t="s">
        <v>25</v>
      </c>
    </row>
    <row r="11229" spans="1:14" x14ac:dyDescent="0.25">
      <c r="A11229" t="s">
        <v>44</v>
      </c>
      <c r="B11229" t="s">
        <v>15</v>
      </c>
      <c r="C11229" t="s">
        <v>38</v>
      </c>
      <c r="D11229" t="s">
        <v>28</v>
      </c>
      <c r="E11229" t="s">
        <v>15</v>
      </c>
      <c r="F11229" t="s">
        <v>18</v>
      </c>
      <c r="G11229" s="2">
        <f>VALUE(1916.41)</f>
        <v>1916.41</v>
      </c>
      <c r="H11229" s="3">
        <f>VALUE(1571.65)</f>
        <v>1571.65</v>
      </c>
      <c r="I11229" s="4">
        <f>VALUE(4249)</f>
        <v>4249</v>
      </c>
      <c r="J11229" s="1">
        <f>VALUE(5879)</f>
        <v>5879</v>
      </c>
      <c r="K11229" s="1">
        <f>VALUE(7022)</f>
        <v>7022</v>
      </c>
      <c r="L11229" s="1">
        <f>VALUE(9030)</f>
        <v>9030</v>
      </c>
      <c r="M11229" s="1">
        <f>VALUE(11412)</f>
        <v>11412</v>
      </c>
      <c r="N11229" t="s">
        <v>25</v>
      </c>
    </row>
    <row r="11230" spans="1:14" x14ac:dyDescent="0.25">
      <c r="A11230" t="s">
        <v>44</v>
      </c>
      <c r="B11230" t="s">
        <v>15</v>
      </c>
      <c r="C11230" t="s">
        <v>38</v>
      </c>
      <c r="D11230" t="s">
        <v>28</v>
      </c>
      <c r="E11230" t="s">
        <v>15</v>
      </c>
      <c r="F11230" t="s">
        <v>19</v>
      </c>
      <c r="G11230" s="2">
        <f>VALUE(2054.53)</f>
        <v>2054.5300000000002</v>
      </c>
      <c r="H11230" s="3">
        <f>VALUE(1644.41)</f>
        <v>1644.41</v>
      </c>
      <c r="I11230" s="4">
        <f>VALUE(4332)</f>
        <v>4332</v>
      </c>
      <c r="J11230" s="1">
        <f>VALUE(5308)</f>
        <v>5308</v>
      </c>
      <c r="K11230" s="1">
        <f>VALUE(6501)</f>
        <v>6501</v>
      </c>
      <c r="L11230" s="1">
        <f>VALUE(7561)</f>
        <v>7561</v>
      </c>
      <c r="M11230" s="1">
        <f>VALUE(9000)</f>
        <v>9000</v>
      </c>
      <c r="N11230" t="s">
        <v>25</v>
      </c>
    </row>
    <row r="11231" spans="1:14" x14ac:dyDescent="0.25">
      <c r="A11231" t="s">
        <v>44</v>
      </c>
      <c r="B11231" t="s">
        <v>15</v>
      </c>
      <c r="C11231" t="s">
        <v>38</v>
      </c>
      <c r="D11231" t="s">
        <v>28</v>
      </c>
      <c r="E11231" t="s">
        <v>15</v>
      </c>
      <c r="F11231" t="s">
        <v>20</v>
      </c>
      <c r="G11231" s="1">
        <f>VALUE(9016.54)</f>
        <v>9016.5400000000009</v>
      </c>
      <c r="H11231" s="1">
        <f>VALUE(6556.08)</f>
        <v>6556.08</v>
      </c>
      <c r="I11231" s="1">
        <f>VALUE(4000)</f>
        <v>4000</v>
      </c>
      <c r="J11231" s="1">
        <f>VALUE(4792)</f>
        <v>4792</v>
      </c>
      <c r="K11231" s="1">
        <f>VALUE(5696)</f>
        <v>5696</v>
      </c>
      <c r="L11231" s="1">
        <f>VALUE(6626)</f>
        <v>6626</v>
      </c>
      <c r="M11231" s="1">
        <f>VALUE(7881)</f>
        <v>7881</v>
      </c>
      <c r="N11231" t="s">
        <v>16</v>
      </c>
    </row>
    <row r="11232" spans="1:14" x14ac:dyDescent="0.25">
      <c r="A11232" t="s">
        <v>44</v>
      </c>
      <c r="B11232" t="s">
        <v>15</v>
      </c>
      <c r="C11232" t="s">
        <v>38</v>
      </c>
      <c r="D11232" t="s">
        <v>28</v>
      </c>
      <c r="E11232" t="s">
        <v>21</v>
      </c>
      <c r="F11232" t="s">
        <v>15</v>
      </c>
      <c r="G11232" s="1">
        <f>VALUE(4242.76)</f>
        <v>4242.76</v>
      </c>
      <c r="H11232" s="1">
        <f>VALUE(3531.02)</f>
        <v>3531.02</v>
      </c>
      <c r="I11232" s="4">
        <f>VALUE(5490)</f>
        <v>5490</v>
      </c>
      <c r="J11232" s="1">
        <f>VALUE(7141)</f>
        <v>7141</v>
      </c>
      <c r="K11232" s="1">
        <f>VALUE(9689)</f>
        <v>9689</v>
      </c>
      <c r="L11232" s="1">
        <f>VALUE(12586)</f>
        <v>12586</v>
      </c>
      <c r="M11232" s="1">
        <f>VALUE(17574)</f>
        <v>17574</v>
      </c>
      <c r="N11232" t="s">
        <v>25</v>
      </c>
    </row>
    <row r="11233" spans="1:14" x14ac:dyDescent="0.25">
      <c r="A11233" t="s">
        <v>44</v>
      </c>
      <c r="B11233" t="s">
        <v>15</v>
      </c>
      <c r="C11233" t="s">
        <v>38</v>
      </c>
      <c r="D11233" t="s">
        <v>28</v>
      </c>
      <c r="E11233" t="s">
        <v>21</v>
      </c>
      <c r="F11233" t="s">
        <v>17</v>
      </c>
      <c r="G11233" s="2">
        <f>VALUE(2365.81)</f>
        <v>2365.81</v>
      </c>
      <c r="H11233" s="3">
        <f>VALUE(2144.54)</f>
        <v>2144.54</v>
      </c>
      <c r="I11233" s="4">
        <f>VALUE(6499)</f>
        <v>6499</v>
      </c>
      <c r="J11233" s="1">
        <f>VALUE(9031)</f>
        <v>9031</v>
      </c>
      <c r="K11233" s="1">
        <f>VALUE(11310)</f>
        <v>11310</v>
      </c>
      <c r="L11233" s="1">
        <f>VALUE(14975)</f>
        <v>14975</v>
      </c>
      <c r="M11233" s="8">
        <f>VALUE(20833)</f>
        <v>20833</v>
      </c>
      <c r="N11233" t="s">
        <v>25</v>
      </c>
    </row>
    <row r="11234" spans="1:14" x14ac:dyDescent="0.25">
      <c r="A11234" t="s">
        <v>44</v>
      </c>
      <c r="B11234" t="s">
        <v>15</v>
      </c>
      <c r="C11234" t="s">
        <v>38</v>
      </c>
      <c r="D11234" t="s">
        <v>28</v>
      </c>
      <c r="E11234" t="s">
        <v>21</v>
      </c>
      <c r="F11234" t="s">
        <v>18</v>
      </c>
      <c r="G11234" s="2">
        <f>VALUE(504.26)</f>
        <v>504.26</v>
      </c>
      <c r="H11234" s="3">
        <f>VALUE(361.55)</f>
        <v>361.55</v>
      </c>
      <c r="I11234" s="4">
        <f>VALUE(5984)</f>
        <v>5984</v>
      </c>
      <c r="J11234" s="1">
        <f>VALUE(7302)</f>
        <v>7302</v>
      </c>
      <c r="K11234" s="1">
        <f>VALUE(9070)</f>
        <v>9070</v>
      </c>
      <c r="L11234" s="1">
        <f>VALUE(10792)</f>
        <v>10792</v>
      </c>
      <c r="M11234" s="8">
        <f>VALUE(12620)</f>
        <v>12620</v>
      </c>
      <c r="N11234" t="s">
        <v>25</v>
      </c>
    </row>
    <row r="11235" spans="1:14" x14ac:dyDescent="0.25">
      <c r="A11235" t="s">
        <v>44</v>
      </c>
      <c r="B11235" t="s">
        <v>15</v>
      </c>
      <c r="C11235" t="s">
        <v>38</v>
      </c>
      <c r="D11235" t="s">
        <v>28</v>
      </c>
      <c r="E11235" t="s">
        <v>21</v>
      </c>
      <c r="F11235" t="s">
        <v>19</v>
      </c>
      <c r="G11235" s="2">
        <f>VALUE(318.78)</f>
        <v>318.77999999999997</v>
      </c>
      <c r="H11235" s="3">
        <f>VALUE(255.83)</f>
        <v>255.83</v>
      </c>
      <c r="I11235" s="1">
        <f>VALUE(5745)</f>
        <v>5745</v>
      </c>
      <c r="J11235" s="1">
        <f>VALUE(6705)</f>
        <v>6705</v>
      </c>
      <c r="K11235" s="1">
        <f>VALUE(7855)</f>
        <v>7855</v>
      </c>
      <c r="L11235" s="1">
        <f>VALUE(9128)</f>
        <v>9128</v>
      </c>
      <c r="M11235" s="1">
        <f>VALUE(12748)</f>
        <v>12748</v>
      </c>
      <c r="N11235" t="s">
        <v>25</v>
      </c>
    </row>
    <row r="11236" spans="1:14" x14ac:dyDescent="0.25">
      <c r="A11236" t="s">
        <v>44</v>
      </c>
      <c r="B11236" t="s">
        <v>15</v>
      </c>
      <c r="C11236" t="s">
        <v>38</v>
      </c>
      <c r="D11236" t="s">
        <v>28</v>
      </c>
      <c r="E11236" t="s">
        <v>21</v>
      </c>
      <c r="F11236" t="s">
        <v>20</v>
      </c>
      <c r="G11236" s="2">
        <f>VALUE(1053.91)</f>
        <v>1053.9100000000001</v>
      </c>
      <c r="H11236" s="3">
        <f>VALUE(769.1)</f>
        <v>769.1</v>
      </c>
      <c r="I11236" s="1">
        <f>VALUE(4705)</f>
        <v>4705</v>
      </c>
      <c r="J11236" s="1">
        <f>VALUE(5831)</f>
        <v>5831</v>
      </c>
      <c r="K11236" s="6">
        <f>VALUE(6583)</f>
        <v>6583</v>
      </c>
      <c r="L11236" s="1">
        <f>VALUE(8480)</f>
        <v>8480</v>
      </c>
      <c r="M11236" s="8">
        <f>VALUE(10664)</f>
        <v>10664</v>
      </c>
      <c r="N11236" t="s">
        <v>25</v>
      </c>
    </row>
    <row r="11237" spans="1:14" x14ac:dyDescent="0.25">
      <c r="A11237" t="s">
        <v>44</v>
      </c>
      <c r="B11237" t="s">
        <v>15</v>
      </c>
      <c r="C11237" t="s">
        <v>38</v>
      </c>
      <c r="D11237" t="s">
        <v>28</v>
      </c>
      <c r="E11237" t="s">
        <v>22</v>
      </c>
      <c r="F11237" t="s">
        <v>15</v>
      </c>
      <c r="G11237" s="1">
        <f>VALUE(9967.73)</f>
        <v>9967.73</v>
      </c>
      <c r="H11237" s="1">
        <f>VALUE(8195.2)</f>
        <v>8195.2000000000007</v>
      </c>
      <c r="I11237" s="1">
        <f>VALUE(4444)</f>
        <v>4444</v>
      </c>
      <c r="J11237" s="1">
        <f>VALUE(5464)</f>
        <v>5464</v>
      </c>
      <c r="K11237" s="1">
        <f>VALUE(6451)</f>
        <v>6451</v>
      </c>
      <c r="L11237" s="1">
        <f>VALUE(7679)</f>
        <v>7679</v>
      </c>
      <c r="M11237" s="1">
        <f>VALUE(10161)</f>
        <v>10161</v>
      </c>
      <c r="N11237" t="s">
        <v>16</v>
      </c>
    </row>
    <row r="11238" spans="1:14" x14ac:dyDescent="0.25">
      <c r="A11238" t="s">
        <v>44</v>
      </c>
      <c r="B11238" t="s">
        <v>15</v>
      </c>
      <c r="C11238" t="s">
        <v>38</v>
      </c>
      <c r="D11238" t="s">
        <v>28</v>
      </c>
      <c r="E11238" t="s">
        <v>22</v>
      </c>
      <c r="F11238" t="s">
        <v>17</v>
      </c>
      <c r="G11238" s="2">
        <f>VALUE(2118.51)</f>
        <v>2118.5100000000002</v>
      </c>
      <c r="H11238" s="3">
        <f>VALUE(1992.95)</f>
        <v>1992.95</v>
      </c>
      <c r="I11238" s="4">
        <f>VALUE(5222)</f>
        <v>5222</v>
      </c>
      <c r="J11238" s="1">
        <f>VALUE(6265)</f>
        <v>6265</v>
      </c>
      <c r="K11238" s="6">
        <f>VALUE(7831)</f>
        <v>7831</v>
      </c>
      <c r="L11238" s="1">
        <f>VALUE(10906)</f>
        <v>10906</v>
      </c>
      <c r="M11238" s="8">
        <f>VALUE(15001)</f>
        <v>15001</v>
      </c>
      <c r="N11238" t="s">
        <v>25</v>
      </c>
    </row>
    <row r="11239" spans="1:14" x14ac:dyDescent="0.25">
      <c r="A11239" t="s">
        <v>44</v>
      </c>
      <c r="B11239" t="s">
        <v>15</v>
      </c>
      <c r="C11239" t="s">
        <v>38</v>
      </c>
      <c r="D11239" t="s">
        <v>28</v>
      </c>
      <c r="E11239" t="s">
        <v>22</v>
      </c>
      <c r="F11239" t="s">
        <v>18</v>
      </c>
      <c r="G11239" s="2">
        <f>VALUE(1187.87)</f>
        <v>1187.8699999999999</v>
      </c>
      <c r="H11239" s="3">
        <f>VALUE(1028.21)</f>
        <v>1028.21</v>
      </c>
      <c r="I11239" s="4">
        <f>VALUE(4971)</f>
        <v>4971</v>
      </c>
      <c r="J11239" s="1">
        <f>VALUE(6069)</f>
        <v>6069</v>
      </c>
      <c r="K11239" s="1">
        <f>VALUE(6820)</f>
        <v>6820</v>
      </c>
      <c r="L11239" s="1">
        <f>VALUE(8647)</f>
        <v>8647</v>
      </c>
      <c r="M11239" s="1">
        <f>VALUE(10520)</f>
        <v>10520</v>
      </c>
      <c r="N11239" t="s">
        <v>25</v>
      </c>
    </row>
    <row r="11240" spans="1:14" x14ac:dyDescent="0.25">
      <c r="A11240" t="s">
        <v>44</v>
      </c>
      <c r="B11240" t="s">
        <v>15</v>
      </c>
      <c r="C11240" t="s">
        <v>38</v>
      </c>
      <c r="D11240" t="s">
        <v>28</v>
      </c>
      <c r="E11240" t="s">
        <v>22</v>
      </c>
      <c r="F11240" t="s">
        <v>19</v>
      </c>
      <c r="G11240" s="2">
        <f>VALUE(1416.83)</f>
        <v>1416.83</v>
      </c>
      <c r="H11240" s="3">
        <f>VALUE(1182.68)</f>
        <v>1182.68</v>
      </c>
      <c r="I11240" s="1">
        <f>VALUE(4511)</f>
        <v>4511</v>
      </c>
      <c r="J11240" s="1">
        <f>VALUE(5415)</f>
        <v>5415</v>
      </c>
      <c r="K11240" s="1">
        <f>VALUE(6501)</f>
        <v>6501</v>
      </c>
      <c r="L11240" s="1">
        <f>VALUE(7394)</f>
        <v>7394</v>
      </c>
      <c r="M11240" s="1">
        <f>VALUE(8448)</f>
        <v>8448</v>
      </c>
      <c r="N11240" t="s">
        <v>25</v>
      </c>
    </row>
    <row r="11241" spans="1:14" x14ac:dyDescent="0.25">
      <c r="A11241" t="s">
        <v>44</v>
      </c>
      <c r="B11241" t="s">
        <v>15</v>
      </c>
      <c r="C11241" t="s">
        <v>38</v>
      </c>
      <c r="D11241" t="s">
        <v>28</v>
      </c>
      <c r="E11241" t="s">
        <v>22</v>
      </c>
      <c r="F11241" t="s">
        <v>20</v>
      </c>
      <c r="G11241" s="1">
        <f>VALUE(5244.52)</f>
        <v>5244.52</v>
      </c>
      <c r="H11241" s="1">
        <f>VALUE(3991.36)</f>
        <v>3991.36</v>
      </c>
      <c r="I11241" s="1">
        <f>VALUE(4337)</f>
        <v>4337</v>
      </c>
      <c r="J11241" s="1">
        <f>VALUE(5156)</f>
        <v>5156</v>
      </c>
      <c r="K11241" s="1">
        <f>VALUE(5908)</f>
        <v>5908</v>
      </c>
      <c r="L11241" s="1">
        <f>VALUE(6756)</f>
        <v>6756</v>
      </c>
      <c r="M11241" s="1">
        <f>VALUE(7699)</f>
        <v>7699</v>
      </c>
      <c r="N11241" t="s">
        <v>16</v>
      </c>
    </row>
    <row r="11242" spans="1:14" x14ac:dyDescent="0.25">
      <c r="A11242" t="s">
        <v>44</v>
      </c>
      <c r="B11242" t="s">
        <v>15</v>
      </c>
      <c r="C11242" t="s">
        <v>38</v>
      </c>
      <c r="D11242" t="s">
        <v>28</v>
      </c>
      <c r="E11242" t="s">
        <v>23</v>
      </c>
      <c r="F11242" t="s">
        <v>15</v>
      </c>
      <c r="G11242" s="2">
        <f>VALUE(3408.48)</f>
        <v>3408.48</v>
      </c>
      <c r="H11242" s="3">
        <f>VALUE(2275.32)</f>
        <v>2275.3200000000002</v>
      </c>
      <c r="I11242" s="1">
        <f>VALUE(3536)</f>
        <v>3536</v>
      </c>
      <c r="J11242" s="1">
        <f>VALUE(4083)</f>
        <v>4083</v>
      </c>
      <c r="K11242" s="1">
        <f>VALUE(4696)</f>
        <v>4696</v>
      </c>
      <c r="L11242" s="1">
        <f>VALUE(5574)</f>
        <v>5574</v>
      </c>
      <c r="M11242" s="1">
        <f>VALUE(6372)</f>
        <v>6372</v>
      </c>
      <c r="N11242" t="s">
        <v>25</v>
      </c>
    </row>
    <row r="11243" spans="1:14" x14ac:dyDescent="0.25">
      <c r="A11243" t="s">
        <v>44</v>
      </c>
      <c r="B11243" t="s">
        <v>15</v>
      </c>
      <c r="C11243" t="s">
        <v>38</v>
      </c>
      <c r="D11243" t="s">
        <v>28</v>
      </c>
      <c r="E11243" t="s">
        <v>23</v>
      </c>
      <c r="F11243" t="s">
        <v>17</v>
      </c>
      <c r="G11243" s="1" t="str">
        <f t="shared" ref="G11243:M11244" si="2523">"X"</f>
        <v>X</v>
      </c>
      <c r="H11243" s="1" t="str">
        <f t="shared" si="2523"/>
        <v>X</v>
      </c>
      <c r="I11243" s="1" t="str">
        <f t="shared" si="2523"/>
        <v>X</v>
      </c>
      <c r="J11243" s="1" t="str">
        <f t="shared" si="2523"/>
        <v>X</v>
      </c>
      <c r="K11243" s="1" t="str">
        <f t="shared" si="2523"/>
        <v>X</v>
      </c>
      <c r="L11243" s="1" t="str">
        <f t="shared" si="2523"/>
        <v>X</v>
      </c>
      <c r="M11243" s="1" t="str">
        <f t="shared" si="2523"/>
        <v>X</v>
      </c>
      <c r="N11243" t="s">
        <v>27</v>
      </c>
    </row>
    <row r="11244" spans="1:14" x14ac:dyDescent="0.25">
      <c r="A11244" t="s">
        <v>44</v>
      </c>
      <c r="B11244" t="s">
        <v>15</v>
      </c>
      <c r="C11244" t="s">
        <v>38</v>
      </c>
      <c r="D11244" t="s">
        <v>28</v>
      </c>
      <c r="E11244" t="s">
        <v>23</v>
      </c>
      <c r="F11244" t="s">
        <v>18</v>
      </c>
      <c r="G11244" s="1" t="str">
        <f t="shared" si="2523"/>
        <v>X</v>
      </c>
      <c r="H11244" s="1" t="str">
        <f t="shared" si="2523"/>
        <v>X</v>
      </c>
      <c r="I11244" s="1" t="str">
        <f t="shared" si="2523"/>
        <v>X</v>
      </c>
      <c r="J11244" s="1" t="str">
        <f t="shared" si="2523"/>
        <v>X</v>
      </c>
      <c r="K11244" s="1" t="str">
        <f t="shared" si="2523"/>
        <v>X</v>
      </c>
      <c r="L11244" s="1" t="str">
        <f t="shared" si="2523"/>
        <v>X</v>
      </c>
      <c r="M11244" s="1" t="str">
        <f t="shared" si="2523"/>
        <v>X</v>
      </c>
      <c r="N11244" t="s">
        <v>27</v>
      </c>
    </row>
    <row r="11245" spans="1:14" x14ac:dyDescent="0.25">
      <c r="A11245" t="s">
        <v>44</v>
      </c>
      <c r="B11245" t="s">
        <v>15</v>
      </c>
      <c r="C11245" t="s">
        <v>38</v>
      </c>
      <c r="D11245" t="s">
        <v>28</v>
      </c>
      <c r="E11245" t="s">
        <v>23</v>
      </c>
      <c r="F11245" t="s">
        <v>19</v>
      </c>
      <c r="G11245" s="2">
        <f>VALUE(312.63)</f>
        <v>312.63</v>
      </c>
      <c r="H11245" s="3">
        <f>VALUE(200.09)</f>
        <v>200.09</v>
      </c>
      <c r="I11245" s="4">
        <f>VALUE(3744)</f>
        <v>3744</v>
      </c>
      <c r="J11245" s="5">
        <f>VALUE(4000)</f>
        <v>4000</v>
      </c>
      <c r="K11245" s="6">
        <f>VALUE(4750)</f>
        <v>4750</v>
      </c>
      <c r="L11245" s="7">
        <f>VALUE(5860)</f>
        <v>5860</v>
      </c>
      <c r="M11245" s="8">
        <f>VALUE(7442)</f>
        <v>7442</v>
      </c>
      <c r="N11245" t="s">
        <v>24</v>
      </c>
    </row>
    <row r="11246" spans="1:14" x14ac:dyDescent="0.25">
      <c r="A11246" t="s">
        <v>44</v>
      </c>
      <c r="B11246" t="s">
        <v>15</v>
      </c>
      <c r="C11246" t="s">
        <v>38</v>
      </c>
      <c r="D11246" t="s">
        <v>28</v>
      </c>
      <c r="E11246" t="s">
        <v>23</v>
      </c>
      <c r="F11246" t="s">
        <v>20</v>
      </c>
      <c r="G11246" s="2">
        <f>VALUE(2520.29)</f>
        <v>2520.29</v>
      </c>
      <c r="H11246" s="3">
        <f>VALUE(1605.85)</f>
        <v>1605.85</v>
      </c>
      <c r="I11246" s="1">
        <f>VALUE(3467)</f>
        <v>3467</v>
      </c>
      <c r="J11246" s="1">
        <f>VALUE(4000)</f>
        <v>4000</v>
      </c>
      <c r="K11246" s="1">
        <f>VALUE(4667)</f>
        <v>4667</v>
      </c>
      <c r="L11246" s="1">
        <f>VALUE(5363)</f>
        <v>5363</v>
      </c>
      <c r="M11246" s="1">
        <f>VALUE(6104)</f>
        <v>6104</v>
      </c>
      <c r="N11246" t="s">
        <v>25</v>
      </c>
    </row>
    <row r="11247" spans="1:14" x14ac:dyDescent="0.25">
      <c r="A11247" t="s">
        <v>44</v>
      </c>
      <c r="B11247" t="s">
        <v>15</v>
      </c>
      <c r="C11247" t="s">
        <v>38</v>
      </c>
      <c r="D11247" t="s">
        <v>28</v>
      </c>
      <c r="E11247" t="s">
        <v>26</v>
      </c>
      <c r="F11247" t="s">
        <v>15</v>
      </c>
      <c r="G11247" s="2">
        <f>VALUE(296.73)</f>
        <v>296.73</v>
      </c>
      <c r="H11247" s="3">
        <f>VALUE(289.29)</f>
        <v>289.29000000000002</v>
      </c>
      <c r="I11247" s="1">
        <f>VALUE(5433)</f>
        <v>5433</v>
      </c>
      <c r="J11247" s="1">
        <f>VALUE(6137)</f>
        <v>6137</v>
      </c>
      <c r="K11247" s="1">
        <f>VALUE(7770)</f>
        <v>7770</v>
      </c>
      <c r="L11247" s="1">
        <f>VALUE(9370)</f>
        <v>9370</v>
      </c>
      <c r="M11247" s="1">
        <f>VALUE(14306)</f>
        <v>14306</v>
      </c>
      <c r="N11247" t="s">
        <v>25</v>
      </c>
    </row>
    <row r="11248" spans="1:14" x14ac:dyDescent="0.25">
      <c r="A11248" t="s">
        <v>44</v>
      </c>
      <c r="B11248" t="s">
        <v>15</v>
      </c>
      <c r="C11248" t="s">
        <v>38</v>
      </c>
      <c r="D11248" t="s">
        <v>28</v>
      </c>
      <c r="E11248" t="s">
        <v>26</v>
      </c>
      <c r="F11248" t="s">
        <v>17</v>
      </c>
      <c r="G11248" s="1" t="str">
        <f t="shared" ref="G11248:M11250" si="2524">"X"</f>
        <v>X</v>
      </c>
      <c r="H11248" s="1" t="str">
        <f t="shared" si="2524"/>
        <v>X</v>
      </c>
      <c r="I11248" s="1" t="str">
        <f t="shared" si="2524"/>
        <v>X</v>
      </c>
      <c r="J11248" s="1" t="str">
        <f t="shared" si="2524"/>
        <v>X</v>
      </c>
      <c r="K11248" s="1" t="str">
        <f t="shared" si="2524"/>
        <v>X</v>
      </c>
      <c r="L11248" s="1" t="str">
        <f t="shared" si="2524"/>
        <v>X</v>
      </c>
      <c r="M11248" s="1" t="str">
        <f t="shared" si="2524"/>
        <v>X</v>
      </c>
      <c r="N11248" t="s">
        <v>27</v>
      </c>
    </row>
    <row r="11249" spans="1:14" x14ac:dyDescent="0.25">
      <c r="A11249" t="s">
        <v>44</v>
      </c>
      <c r="B11249" t="s">
        <v>15</v>
      </c>
      <c r="C11249" t="s">
        <v>38</v>
      </c>
      <c r="D11249" t="s">
        <v>28</v>
      </c>
      <c r="E11249" t="s">
        <v>26</v>
      </c>
      <c r="F11249" t="s">
        <v>18</v>
      </c>
      <c r="G11249" s="1" t="str">
        <f t="shared" si="2524"/>
        <v>X</v>
      </c>
      <c r="H11249" s="1" t="str">
        <f t="shared" si="2524"/>
        <v>X</v>
      </c>
      <c r="I11249" s="1" t="str">
        <f t="shared" si="2524"/>
        <v>X</v>
      </c>
      <c r="J11249" s="1" t="str">
        <f t="shared" si="2524"/>
        <v>X</v>
      </c>
      <c r="K11249" s="1" t="str">
        <f t="shared" si="2524"/>
        <v>X</v>
      </c>
      <c r="L11249" s="1" t="str">
        <f t="shared" si="2524"/>
        <v>X</v>
      </c>
      <c r="M11249" s="1" t="str">
        <f t="shared" si="2524"/>
        <v>X</v>
      </c>
      <c r="N11249" t="s">
        <v>27</v>
      </c>
    </row>
    <row r="11250" spans="1:14" x14ac:dyDescent="0.25">
      <c r="A11250" t="s">
        <v>44</v>
      </c>
      <c r="B11250" t="s">
        <v>15</v>
      </c>
      <c r="C11250" t="s">
        <v>38</v>
      </c>
      <c r="D11250" t="s">
        <v>28</v>
      </c>
      <c r="E11250" t="s">
        <v>26</v>
      </c>
      <c r="F11250" t="s">
        <v>19</v>
      </c>
      <c r="G11250" s="1" t="str">
        <f t="shared" si="2524"/>
        <v>X</v>
      </c>
      <c r="H11250" s="1" t="str">
        <f t="shared" si="2524"/>
        <v>X</v>
      </c>
      <c r="I11250" s="1" t="str">
        <f t="shared" si="2524"/>
        <v>X</v>
      </c>
      <c r="J11250" s="1" t="str">
        <f t="shared" si="2524"/>
        <v>X</v>
      </c>
      <c r="K11250" s="1" t="str">
        <f t="shared" si="2524"/>
        <v>X</v>
      </c>
      <c r="L11250" s="1" t="str">
        <f t="shared" si="2524"/>
        <v>X</v>
      </c>
      <c r="M11250" s="1" t="str">
        <f t="shared" si="2524"/>
        <v>X</v>
      </c>
      <c r="N11250" t="s">
        <v>27</v>
      </c>
    </row>
    <row r="11251" spans="1:14" x14ac:dyDescent="0.25">
      <c r="A11251" t="s">
        <v>44</v>
      </c>
      <c r="B11251" t="s">
        <v>15</v>
      </c>
      <c r="C11251" t="s">
        <v>38</v>
      </c>
      <c r="D11251" t="s">
        <v>28</v>
      </c>
      <c r="E11251" t="s">
        <v>26</v>
      </c>
      <c r="F11251" t="s">
        <v>20</v>
      </c>
      <c r="G11251" s="2">
        <f>VALUE(197.82)</f>
        <v>197.82</v>
      </c>
      <c r="H11251" s="3">
        <f>VALUE(189.77)</f>
        <v>189.77</v>
      </c>
      <c r="I11251" s="1">
        <f>VALUE(5344)</f>
        <v>5344</v>
      </c>
      <c r="J11251" s="1">
        <f>VALUE(5745)</f>
        <v>5745</v>
      </c>
      <c r="K11251" s="1">
        <f>VALUE(6547)</f>
        <v>6547</v>
      </c>
      <c r="L11251" s="1">
        <f>VALUE(8069)</f>
        <v>8069</v>
      </c>
      <c r="M11251" s="1">
        <f>VALUE(9253)</f>
        <v>9253</v>
      </c>
      <c r="N11251" t="s">
        <v>25</v>
      </c>
    </row>
    <row r="11252" spans="1:14" x14ac:dyDescent="0.25">
      <c r="A11252" t="s">
        <v>44</v>
      </c>
      <c r="B11252" t="s">
        <v>15</v>
      </c>
      <c r="C11252" t="s">
        <v>38</v>
      </c>
      <c r="D11252" t="s">
        <v>29</v>
      </c>
      <c r="E11252" t="s">
        <v>15</v>
      </c>
      <c r="F11252" t="s">
        <v>15</v>
      </c>
      <c r="G11252" s="1">
        <f>VALUE(6261.27)</f>
        <v>6261.27</v>
      </c>
      <c r="H11252" s="1">
        <f>VALUE(5135.42)</f>
        <v>5135.42</v>
      </c>
      <c r="I11252" s="1">
        <f>VALUE(3785)</f>
        <v>3785</v>
      </c>
      <c r="J11252" s="1">
        <f>VALUE(4549)</f>
        <v>4549</v>
      </c>
      <c r="K11252" s="1">
        <f>VALUE(5652)</f>
        <v>5652</v>
      </c>
      <c r="L11252" s="1">
        <f>VALUE(7082)</f>
        <v>7082</v>
      </c>
      <c r="M11252" s="1">
        <f>VALUE(9995)</f>
        <v>9995</v>
      </c>
      <c r="N11252" t="s">
        <v>16</v>
      </c>
    </row>
    <row r="11253" spans="1:14" x14ac:dyDescent="0.25">
      <c r="A11253" t="s">
        <v>44</v>
      </c>
      <c r="B11253" t="s">
        <v>15</v>
      </c>
      <c r="C11253" t="s">
        <v>38</v>
      </c>
      <c r="D11253" t="s">
        <v>29</v>
      </c>
      <c r="E11253" t="s">
        <v>15</v>
      </c>
      <c r="F11253" t="s">
        <v>17</v>
      </c>
      <c r="G11253" s="2">
        <f>VALUE(948.37)</f>
        <v>948.37</v>
      </c>
      <c r="H11253" s="3">
        <f>VALUE(922.86)</f>
        <v>922.86</v>
      </c>
      <c r="I11253" s="4">
        <f>VALUE(5359)</f>
        <v>5359</v>
      </c>
      <c r="J11253" s="1">
        <f>VALUE(6470)</f>
        <v>6470</v>
      </c>
      <c r="K11253" s="6">
        <f>VALUE(8622)</f>
        <v>8622</v>
      </c>
      <c r="L11253" s="7">
        <f>VALUE(11902)</f>
        <v>11902</v>
      </c>
      <c r="M11253" s="8">
        <f>VALUE(18085)</f>
        <v>18085</v>
      </c>
      <c r="N11253" t="s">
        <v>25</v>
      </c>
    </row>
    <row r="11254" spans="1:14" x14ac:dyDescent="0.25">
      <c r="A11254" t="s">
        <v>44</v>
      </c>
      <c r="B11254" t="s">
        <v>15</v>
      </c>
      <c r="C11254" t="s">
        <v>38</v>
      </c>
      <c r="D11254" t="s">
        <v>29</v>
      </c>
      <c r="E11254" t="s">
        <v>15</v>
      </c>
      <c r="F11254" t="s">
        <v>18</v>
      </c>
      <c r="G11254" s="2">
        <f>VALUE(555.24)</f>
        <v>555.24</v>
      </c>
      <c r="H11254" s="3">
        <f>VALUE(447.57)</f>
        <v>447.57</v>
      </c>
      <c r="I11254" s="4">
        <f>VALUE(5142)</f>
        <v>5142</v>
      </c>
      <c r="J11254" s="1">
        <f>VALUE(5657)</f>
        <v>5657</v>
      </c>
      <c r="K11254" s="1">
        <f>VALUE(6976)</f>
        <v>6976</v>
      </c>
      <c r="L11254" s="7">
        <f>VALUE(8605)</f>
        <v>8605</v>
      </c>
      <c r="M11254" s="8">
        <f>VALUE(12094)</f>
        <v>12094</v>
      </c>
      <c r="N11254" t="s">
        <v>25</v>
      </c>
    </row>
    <row r="11255" spans="1:14" x14ac:dyDescent="0.25">
      <c r="A11255" t="s">
        <v>44</v>
      </c>
      <c r="B11255" t="s">
        <v>15</v>
      </c>
      <c r="C11255" t="s">
        <v>38</v>
      </c>
      <c r="D11255" t="s">
        <v>29</v>
      </c>
      <c r="E11255" t="s">
        <v>15</v>
      </c>
      <c r="F11255" t="s">
        <v>19</v>
      </c>
      <c r="G11255" s="2">
        <f>VALUE(544.91)</f>
        <v>544.91</v>
      </c>
      <c r="H11255" s="3">
        <f>VALUE(529.98)</f>
        <v>529.98</v>
      </c>
      <c r="I11255" s="1">
        <f>VALUE(4369)</f>
        <v>4369</v>
      </c>
      <c r="J11255" s="5">
        <f>VALUE(5316)</f>
        <v>5316</v>
      </c>
      <c r="K11255" s="1">
        <f>VALUE(5849)</f>
        <v>5849</v>
      </c>
      <c r="L11255" s="1">
        <f>VALUE(7312)</f>
        <v>7312</v>
      </c>
      <c r="M11255" s="8">
        <f>VALUE(9454)</f>
        <v>9454</v>
      </c>
      <c r="N11255" t="s">
        <v>25</v>
      </c>
    </row>
    <row r="11256" spans="1:14" x14ac:dyDescent="0.25">
      <c r="A11256" t="s">
        <v>44</v>
      </c>
      <c r="B11256" t="s">
        <v>15</v>
      </c>
      <c r="C11256" t="s">
        <v>38</v>
      </c>
      <c r="D11256" t="s">
        <v>29</v>
      </c>
      <c r="E11256" t="s">
        <v>15</v>
      </c>
      <c r="F11256" t="s">
        <v>20</v>
      </c>
      <c r="G11256" s="2">
        <f>VALUE(4212.75)</f>
        <v>4212.75</v>
      </c>
      <c r="H11256" s="3">
        <f>VALUE(3235.01)</f>
        <v>3235.01</v>
      </c>
      <c r="I11256" s="1">
        <f>VALUE(3640)</f>
        <v>3640</v>
      </c>
      <c r="J11256" s="1">
        <f>VALUE(4178)</f>
        <v>4178</v>
      </c>
      <c r="K11256" s="1">
        <f>VALUE(5100)</f>
        <v>5100</v>
      </c>
      <c r="L11256" s="1">
        <f>VALUE(6110)</f>
        <v>6110</v>
      </c>
      <c r="M11256" s="1">
        <f>VALUE(7150)</f>
        <v>7150</v>
      </c>
      <c r="N11256" t="s">
        <v>25</v>
      </c>
    </row>
    <row r="11257" spans="1:14" x14ac:dyDescent="0.25">
      <c r="A11257" t="s">
        <v>44</v>
      </c>
      <c r="B11257" t="s">
        <v>15</v>
      </c>
      <c r="C11257" t="s">
        <v>38</v>
      </c>
      <c r="D11257" t="s">
        <v>29</v>
      </c>
      <c r="E11257" t="s">
        <v>21</v>
      </c>
      <c r="F11257" t="s">
        <v>15</v>
      </c>
      <c r="G11257" s="2">
        <f>VALUE(965.07)</f>
        <v>965.07</v>
      </c>
      <c r="H11257" s="3">
        <f>VALUE(821.8)</f>
        <v>821.8</v>
      </c>
      <c r="I11257" s="4">
        <f>VALUE(6149)</f>
        <v>6149</v>
      </c>
      <c r="J11257" s="5">
        <f>VALUE(6976)</f>
        <v>6976</v>
      </c>
      <c r="K11257" s="6">
        <f>VALUE(8204)</f>
        <v>8204</v>
      </c>
      <c r="L11257" s="7">
        <f>VALUE(13450)</f>
        <v>13450</v>
      </c>
      <c r="M11257" s="8">
        <f>VALUE(18031)</f>
        <v>18031</v>
      </c>
      <c r="N11257" t="s">
        <v>24</v>
      </c>
    </row>
    <row r="11258" spans="1:14" x14ac:dyDescent="0.25">
      <c r="A11258" t="s">
        <v>44</v>
      </c>
      <c r="B11258" t="s">
        <v>15</v>
      </c>
      <c r="C11258" t="s">
        <v>38</v>
      </c>
      <c r="D11258" t="s">
        <v>29</v>
      </c>
      <c r="E11258" t="s">
        <v>21</v>
      </c>
      <c r="F11258" t="s">
        <v>17</v>
      </c>
      <c r="G11258" s="2">
        <f>VALUE(359.31)</f>
        <v>359.31</v>
      </c>
      <c r="H11258" s="3">
        <f>VALUE(333.86)</f>
        <v>333.86</v>
      </c>
      <c r="I11258" s="4">
        <f>VALUE(6353)</f>
        <v>6353</v>
      </c>
      <c r="J11258" s="5">
        <f>VALUE(7770)</f>
        <v>7770</v>
      </c>
      <c r="K11258" s="6">
        <f>VALUE(12431)</f>
        <v>12431</v>
      </c>
      <c r="L11258" s="7">
        <f>VALUE(16578)</f>
        <v>16578</v>
      </c>
      <c r="M11258" s="8">
        <f>VALUE(23410)</f>
        <v>23410</v>
      </c>
      <c r="N11258" t="s">
        <v>24</v>
      </c>
    </row>
    <row r="11259" spans="1:14" x14ac:dyDescent="0.25">
      <c r="A11259" t="s">
        <v>44</v>
      </c>
      <c r="B11259" t="s">
        <v>15</v>
      </c>
      <c r="C11259" t="s">
        <v>38</v>
      </c>
      <c r="D11259" t="s">
        <v>29</v>
      </c>
      <c r="E11259" t="s">
        <v>21</v>
      </c>
      <c r="F11259" t="s">
        <v>18</v>
      </c>
      <c r="G11259" s="1" t="str">
        <f t="shared" ref="G11259:M11260" si="2525">"X"</f>
        <v>X</v>
      </c>
      <c r="H11259" s="1" t="str">
        <f t="shared" si="2525"/>
        <v>X</v>
      </c>
      <c r="I11259" s="1" t="str">
        <f t="shared" si="2525"/>
        <v>X</v>
      </c>
      <c r="J11259" s="1" t="str">
        <f t="shared" si="2525"/>
        <v>X</v>
      </c>
      <c r="K11259" s="1" t="str">
        <f t="shared" si="2525"/>
        <v>X</v>
      </c>
      <c r="L11259" s="1" t="str">
        <f t="shared" si="2525"/>
        <v>X</v>
      </c>
      <c r="M11259" s="1" t="str">
        <f t="shared" si="2525"/>
        <v>X</v>
      </c>
      <c r="N11259" t="s">
        <v>27</v>
      </c>
    </row>
    <row r="11260" spans="1:14" x14ac:dyDescent="0.25">
      <c r="A11260" t="s">
        <v>44</v>
      </c>
      <c r="B11260" t="s">
        <v>15</v>
      </c>
      <c r="C11260" t="s">
        <v>38</v>
      </c>
      <c r="D11260" t="s">
        <v>29</v>
      </c>
      <c r="E11260" t="s">
        <v>21</v>
      </c>
      <c r="F11260" t="s">
        <v>19</v>
      </c>
      <c r="G11260" s="1" t="str">
        <f t="shared" si="2525"/>
        <v>X</v>
      </c>
      <c r="H11260" s="1" t="str">
        <f t="shared" si="2525"/>
        <v>X</v>
      </c>
      <c r="I11260" s="1" t="str">
        <f t="shared" si="2525"/>
        <v>X</v>
      </c>
      <c r="J11260" s="1" t="str">
        <f t="shared" si="2525"/>
        <v>X</v>
      </c>
      <c r="K11260" s="1" t="str">
        <f t="shared" si="2525"/>
        <v>X</v>
      </c>
      <c r="L11260" s="1" t="str">
        <f t="shared" si="2525"/>
        <v>X</v>
      </c>
      <c r="M11260" s="1" t="str">
        <f t="shared" si="2525"/>
        <v>X</v>
      </c>
      <c r="N11260" t="s">
        <v>27</v>
      </c>
    </row>
    <row r="11261" spans="1:14" x14ac:dyDescent="0.25">
      <c r="A11261" t="s">
        <v>44</v>
      </c>
      <c r="B11261" t="s">
        <v>15</v>
      </c>
      <c r="C11261" t="s">
        <v>38</v>
      </c>
      <c r="D11261" t="s">
        <v>29</v>
      </c>
      <c r="E11261" t="s">
        <v>21</v>
      </c>
      <c r="F11261" t="s">
        <v>20</v>
      </c>
      <c r="G11261" s="2">
        <f>VALUE(323.72)</f>
        <v>323.72000000000003</v>
      </c>
      <c r="H11261" s="3">
        <f>VALUE(267.45)</f>
        <v>267.45</v>
      </c>
      <c r="I11261" s="4">
        <f>VALUE(5950)</f>
        <v>5950</v>
      </c>
      <c r="J11261" s="1">
        <f>VALUE(6965)</f>
        <v>6965</v>
      </c>
      <c r="K11261" s="1">
        <f>VALUE(7499)</f>
        <v>7499</v>
      </c>
      <c r="L11261" s="1">
        <f>VALUE(7798)</f>
        <v>7798</v>
      </c>
      <c r="M11261" s="1">
        <f>VALUE(9301)</f>
        <v>9301</v>
      </c>
      <c r="N11261" t="s">
        <v>25</v>
      </c>
    </row>
    <row r="11262" spans="1:14" x14ac:dyDescent="0.25">
      <c r="A11262" t="s">
        <v>44</v>
      </c>
      <c r="B11262" t="s">
        <v>15</v>
      </c>
      <c r="C11262" t="s">
        <v>38</v>
      </c>
      <c r="D11262" t="s">
        <v>29</v>
      </c>
      <c r="E11262" t="s">
        <v>22</v>
      </c>
      <c r="F11262" t="s">
        <v>15</v>
      </c>
      <c r="G11262" s="2">
        <f>VALUE(1980.48)</f>
        <v>1980.48</v>
      </c>
      <c r="H11262" s="3">
        <f>VALUE(1786.32)</f>
        <v>1786.32</v>
      </c>
      <c r="I11262" s="1">
        <f>VALUE(4364)</f>
        <v>4364</v>
      </c>
      <c r="J11262" s="1">
        <f>VALUE(5222)</f>
        <v>5222</v>
      </c>
      <c r="K11262" s="1">
        <f>VALUE(5983)</f>
        <v>5983</v>
      </c>
      <c r="L11262" s="1">
        <f>VALUE(7221)</f>
        <v>7221</v>
      </c>
      <c r="M11262" s="8">
        <f>VALUE(9965)</f>
        <v>9965</v>
      </c>
      <c r="N11262" t="s">
        <v>25</v>
      </c>
    </row>
    <row r="11263" spans="1:14" x14ac:dyDescent="0.25">
      <c r="A11263" t="s">
        <v>44</v>
      </c>
      <c r="B11263" t="s">
        <v>15</v>
      </c>
      <c r="C11263" t="s">
        <v>38</v>
      </c>
      <c r="D11263" t="s">
        <v>29</v>
      </c>
      <c r="E11263" t="s">
        <v>22</v>
      </c>
      <c r="F11263" t="s">
        <v>17</v>
      </c>
      <c r="G11263" s="2">
        <f>VALUE(388.57)</f>
        <v>388.57</v>
      </c>
      <c r="H11263" s="3">
        <f>VALUE(390.43)</f>
        <v>390.43</v>
      </c>
      <c r="I11263" s="4">
        <f>VALUE(5149)</f>
        <v>5149</v>
      </c>
      <c r="J11263" s="5">
        <f>VALUE(6399)</f>
        <v>6399</v>
      </c>
      <c r="K11263" s="6">
        <f>VALUE(7845)</f>
        <v>7845</v>
      </c>
      <c r="L11263" s="1">
        <f>VALUE(9995)</f>
        <v>9995</v>
      </c>
      <c r="M11263" s="8">
        <f>VALUE(11417)</f>
        <v>11417</v>
      </c>
      <c r="N11263" t="s">
        <v>25</v>
      </c>
    </row>
    <row r="11264" spans="1:14" x14ac:dyDescent="0.25">
      <c r="A11264" t="s">
        <v>44</v>
      </c>
      <c r="B11264" t="s">
        <v>15</v>
      </c>
      <c r="C11264" t="s">
        <v>38</v>
      </c>
      <c r="D11264" t="s">
        <v>29</v>
      </c>
      <c r="E11264" t="s">
        <v>22</v>
      </c>
      <c r="F11264" t="s">
        <v>18</v>
      </c>
      <c r="G11264" s="2">
        <f>VALUE(231)</f>
        <v>231</v>
      </c>
      <c r="H11264" s="3">
        <f>VALUE(207.59)</f>
        <v>207.59</v>
      </c>
      <c r="I11264" s="4">
        <f>VALUE(5142)</f>
        <v>5142</v>
      </c>
      <c r="J11264" s="1">
        <f>VALUE(5368)</f>
        <v>5368</v>
      </c>
      <c r="K11264" s="1">
        <f>VALUE(6608)</f>
        <v>6608</v>
      </c>
      <c r="L11264" s="1">
        <f>VALUE(8005)</f>
        <v>8005</v>
      </c>
      <c r="M11264" s="1">
        <f>VALUE(9500)</f>
        <v>9500</v>
      </c>
      <c r="N11264" t="s">
        <v>25</v>
      </c>
    </row>
    <row r="11265" spans="1:14" x14ac:dyDescent="0.25">
      <c r="A11265" t="s">
        <v>44</v>
      </c>
      <c r="B11265" t="s">
        <v>15</v>
      </c>
      <c r="C11265" t="s">
        <v>38</v>
      </c>
      <c r="D11265" t="s">
        <v>29</v>
      </c>
      <c r="E11265" t="s">
        <v>22</v>
      </c>
      <c r="F11265" t="s">
        <v>19</v>
      </c>
      <c r="G11265" s="2">
        <f>VALUE(284.64)</f>
        <v>284.64</v>
      </c>
      <c r="H11265" s="3">
        <f>VALUE(282.46)</f>
        <v>282.45999999999998</v>
      </c>
      <c r="I11265" s="1">
        <f>VALUE(4681)</f>
        <v>4681</v>
      </c>
      <c r="J11265" s="1">
        <f>VALUE(5461)</f>
        <v>5461</v>
      </c>
      <c r="K11265" s="1">
        <f>VALUE(5805)</f>
        <v>5805</v>
      </c>
      <c r="L11265" s="7">
        <f>VALUE(6933)</f>
        <v>6933</v>
      </c>
      <c r="M11265" s="8">
        <f>VALUE(9454)</f>
        <v>9454</v>
      </c>
      <c r="N11265" t="s">
        <v>25</v>
      </c>
    </row>
    <row r="11266" spans="1:14" x14ac:dyDescent="0.25">
      <c r="A11266" t="s">
        <v>44</v>
      </c>
      <c r="B11266" t="s">
        <v>15</v>
      </c>
      <c r="C11266" t="s">
        <v>38</v>
      </c>
      <c r="D11266" t="s">
        <v>29</v>
      </c>
      <c r="E11266" t="s">
        <v>22</v>
      </c>
      <c r="F11266" t="s">
        <v>20</v>
      </c>
      <c r="G11266" s="2">
        <f>VALUE(1076.27)</f>
        <v>1076.27</v>
      </c>
      <c r="H11266" s="3">
        <f>VALUE(905.84)</f>
        <v>905.84</v>
      </c>
      <c r="I11266" s="1">
        <f>VALUE(4247)</f>
        <v>4247</v>
      </c>
      <c r="J11266" s="1">
        <f>VALUE(4695)</f>
        <v>4695</v>
      </c>
      <c r="K11266" s="1">
        <f>VALUE(5546)</f>
        <v>5546</v>
      </c>
      <c r="L11266" s="1">
        <f>VALUE(6359)</f>
        <v>6359</v>
      </c>
      <c r="M11266" s="1">
        <f>VALUE(7082)</f>
        <v>7082</v>
      </c>
      <c r="N11266" t="s">
        <v>25</v>
      </c>
    </row>
    <row r="11267" spans="1:14" x14ac:dyDescent="0.25">
      <c r="A11267" t="s">
        <v>44</v>
      </c>
      <c r="B11267" t="s">
        <v>15</v>
      </c>
      <c r="C11267" t="s">
        <v>38</v>
      </c>
      <c r="D11267" t="s">
        <v>29</v>
      </c>
      <c r="E11267" t="s">
        <v>23</v>
      </c>
      <c r="F11267" t="s">
        <v>15</v>
      </c>
      <c r="G11267" s="2">
        <f>VALUE(3229.2)</f>
        <v>3229.2</v>
      </c>
      <c r="H11267" s="3">
        <f>VALUE(2448.92)</f>
        <v>2448.92</v>
      </c>
      <c r="I11267" s="1">
        <f>VALUE(3521)</f>
        <v>3521</v>
      </c>
      <c r="J11267" s="1">
        <f>VALUE(3962)</f>
        <v>3962</v>
      </c>
      <c r="K11267" s="1">
        <f>VALUE(4781)</f>
        <v>4781</v>
      </c>
      <c r="L11267" s="1">
        <f>VALUE(5819)</f>
        <v>5819</v>
      </c>
      <c r="M11267" s="1">
        <f>VALUE(6730)</f>
        <v>6730</v>
      </c>
      <c r="N11267" t="s">
        <v>25</v>
      </c>
    </row>
    <row r="11268" spans="1:14" x14ac:dyDescent="0.25">
      <c r="A11268" t="s">
        <v>44</v>
      </c>
      <c r="B11268" t="s">
        <v>15</v>
      </c>
      <c r="C11268" t="s">
        <v>38</v>
      </c>
      <c r="D11268" t="s">
        <v>29</v>
      </c>
      <c r="E11268" t="s">
        <v>23</v>
      </c>
      <c r="F11268" t="s">
        <v>17</v>
      </c>
      <c r="G11268" s="1" t="str">
        <f t="shared" ref="G11268:M11269" si="2526">"X"</f>
        <v>X</v>
      </c>
      <c r="H11268" s="1" t="str">
        <f t="shared" si="2526"/>
        <v>X</v>
      </c>
      <c r="I11268" s="1" t="str">
        <f t="shared" si="2526"/>
        <v>X</v>
      </c>
      <c r="J11268" s="1" t="str">
        <f t="shared" si="2526"/>
        <v>X</v>
      </c>
      <c r="K11268" s="1" t="str">
        <f t="shared" si="2526"/>
        <v>X</v>
      </c>
      <c r="L11268" s="1" t="str">
        <f t="shared" si="2526"/>
        <v>X</v>
      </c>
      <c r="M11268" s="1" t="str">
        <f t="shared" si="2526"/>
        <v>X</v>
      </c>
      <c r="N11268" t="s">
        <v>27</v>
      </c>
    </row>
    <row r="11269" spans="1:14" x14ac:dyDescent="0.25">
      <c r="A11269" t="s">
        <v>44</v>
      </c>
      <c r="B11269" t="s">
        <v>15</v>
      </c>
      <c r="C11269" t="s">
        <v>38</v>
      </c>
      <c r="D11269" t="s">
        <v>29</v>
      </c>
      <c r="E11269" t="s">
        <v>23</v>
      </c>
      <c r="F11269" t="s">
        <v>18</v>
      </c>
      <c r="G11269" s="1" t="str">
        <f t="shared" si="2526"/>
        <v>X</v>
      </c>
      <c r="H11269" s="1" t="str">
        <f t="shared" si="2526"/>
        <v>X</v>
      </c>
      <c r="I11269" s="1" t="str">
        <f t="shared" si="2526"/>
        <v>X</v>
      </c>
      <c r="J11269" s="1" t="str">
        <f t="shared" si="2526"/>
        <v>X</v>
      </c>
      <c r="K11269" s="1" t="str">
        <f t="shared" si="2526"/>
        <v>X</v>
      </c>
      <c r="L11269" s="1" t="str">
        <f t="shared" si="2526"/>
        <v>X</v>
      </c>
      <c r="M11269" s="1" t="str">
        <f t="shared" si="2526"/>
        <v>X</v>
      </c>
      <c r="N11269" t="s">
        <v>27</v>
      </c>
    </row>
    <row r="11270" spans="1:14" x14ac:dyDescent="0.25">
      <c r="A11270" t="s">
        <v>44</v>
      </c>
      <c r="B11270" t="s">
        <v>15</v>
      </c>
      <c r="C11270" t="s">
        <v>38</v>
      </c>
      <c r="D11270" t="s">
        <v>29</v>
      </c>
      <c r="E11270" t="s">
        <v>23</v>
      </c>
      <c r="F11270" t="s">
        <v>19</v>
      </c>
      <c r="G11270" s="2">
        <f>VALUE(182.11)</f>
        <v>182.11</v>
      </c>
      <c r="H11270" s="3">
        <f>VALUE(170.8)</f>
        <v>170.8</v>
      </c>
      <c r="I11270" s="4">
        <f>VALUE(3238)</f>
        <v>3238</v>
      </c>
      <c r="J11270" s="1">
        <f>VALUE(4465)</f>
        <v>4465</v>
      </c>
      <c r="K11270" s="1">
        <f>VALUE(5198)</f>
        <v>5198</v>
      </c>
      <c r="L11270" s="1">
        <f>VALUE(6325)</f>
        <v>6325</v>
      </c>
      <c r="M11270" s="8">
        <f>VALUE(7287)</f>
        <v>7287</v>
      </c>
      <c r="N11270" t="s">
        <v>25</v>
      </c>
    </row>
    <row r="11271" spans="1:14" x14ac:dyDescent="0.25">
      <c r="A11271" t="s">
        <v>44</v>
      </c>
      <c r="B11271" t="s">
        <v>15</v>
      </c>
      <c r="C11271" t="s">
        <v>38</v>
      </c>
      <c r="D11271" t="s">
        <v>29</v>
      </c>
      <c r="E11271" t="s">
        <v>23</v>
      </c>
      <c r="F11271" t="s">
        <v>20</v>
      </c>
      <c r="G11271" s="2">
        <f>VALUE(2769.24)</f>
        <v>2769.24</v>
      </c>
      <c r="H11271" s="3">
        <f>VALUE(2027.91)</f>
        <v>2027.91</v>
      </c>
      <c r="I11271" s="1">
        <f>VALUE(3514)</f>
        <v>3514</v>
      </c>
      <c r="J11271" s="1">
        <f>VALUE(3931)</f>
        <v>3931</v>
      </c>
      <c r="K11271" s="1">
        <f>VALUE(4620)</f>
        <v>4620</v>
      </c>
      <c r="L11271" s="1">
        <f>VALUE(5547)</f>
        <v>5547</v>
      </c>
      <c r="M11271" s="1">
        <f>VALUE(6282)</f>
        <v>6282</v>
      </c>
      <c r="N11271" t="s">
        <v>25</v>
      </c>
    </row>
    <row r="11272" spans="1:14" x14ac:dyDescent="0.25">
      <c r="A11272" t="s">
        <v>44</v>
      </c>
      <c r="B11272" t="s">
        <v>15</v>
      </c>
      <c r="C11272" t="s">
        <v>38</v>
      </c>
      <c r="D11272" t="s">
        <v>29</v>
      </c>
      <c r="E11272" t="s">
        <v>26</v>
      </c>
      <c r="F11272" t="s">
        <v>15</v>
      </c>
      <c r="G11272" s="1" t="str">
        <f t="shared" ref="G11272:M11276" si="2527">"X"</f>
        <v>X</v>
      </c>
      <c r="H11272" s="1" t="str">
        <f t="shared" si="2527"/>
        <v>X</v>
      </c>
      <c r="I11272" s="1" t="str">
        <f t="shared" si="2527"/>
        <v>X</v>
      </c>
      <c r="J11272" s="1" t="str">
        <f t="shared" si="2527"/>
        <v>X</v>
      </c>
      <c r="K11272" s="1" t="str">
        <f t="shared" si="2527"/>
        <v>X</v>
      </c>
      <c r="L11272" s="1" t="str">
        <f t="shared" si="2527"/>
        <v>X</v>
      </c>
      <c r="M11272" s="1" t="str">
        <f t="shared" si="2527"/>
        <v>X</v>
      </c>
      <c r="N11272" t="s">
        <v>27</v>
      </c>
    </row>
    <row r="11273" spans="1:14" x14ac:dyDescent="0.25">
      <c r="A11273" t="s">
        <v>44</v>
      </c>
      <c r="B11273" t="s">
        <v>15</v>
      </c>
      <c r="C11273" t="s">
        <v>38</v>
      </c>
      <c r="D11273" t="s">
        <v>29</v>
      </c>
      <c r="E11273" t="s">
        <v>26</v>
      </c>
      <c r="F11273" t="s">
        <v>17</v>
      </c>
      <c r="G11273" s="1" t="str">
        <f t="shared" si="2527"/>
        <v>X</v>
      </c>
      <c r="H11273" s="1" t="str">
        <f t="shared" si="2527"/>
        <v>X</v>
      </c>
      <c r="I11273" s="1" t="str">
        <f t="shared" si="2527"/>
        <v>X</v>
      </c>
      <c r="J11273" s="1" t="str">
        <f t="shared" si="2527"/>
        <v>X</v>
      </c>
      <c r="K11273" s="1" t="str">
        <f t="shared" si="2527"/>
        <v>X</v>
      </c>
      <c r="L11273" s="1" t="str">
        <f t="shared" si="2527"/>
        <v>X</v>
      </c>
      <c r="M11273" s="1" t="str">
        <f t="shared" si="2527"/>
        <v>X</v>
      </c>
      <c r="N11273" t="s">
        <v>27</v>
      </c>
    </row>
    <row r="11274" spans="1:14" x14ac:dyDescent="0.25">
      <c r="A11274" t="s">
        <v>44</v>
      </c>
      <c r="B11274" t="s">
        <v>15</v>
      </c>
      <c r="C11274" t="s">
        <v>38</v>
      </c>
      <c r="D11274" t="s">
        <v>29</v>
      </c>
      <c r="E11274" t="s">
        <v>26</v>
      </c>
      <c r="F11274" t="s">
        <v>18</v>
      </c>
      <c r="G11274" s="1" t="str">
        <f t="shared" si="2527"/>
        <v>X</v>
      </c>
      <c r="H11274" s="1" t="str">
        <f t="shared" si="2527"/>
        <v>X</v>
      </c>
      <c r="I11274" s="1" t="str">
        <f t="shared" si="2527"/>
        <v>X</v>
      </c>
      <c r="J11274" s="1" t="str">
        <f t="shared" si="2527"/>
        <v>X</v>
      </c>
      <c r="K11274" s="1" t="str">
        <f t="shared" si="2527"/>
        <v>X</v>
      </c>
      <c r="L11274" s="1" t="str">
        <f t="shared" si="2527"/>
        <v>X</v>
      </c>
      <c r="M11274" s="1" t="str">
        <f t="shared" si="2527"/>
        <v>X</v>
      </c>
      <c r="N11274" t="s">
        <v>27</v>
      </c>
    </row>
    <row r="11275" spans="1:14" x14ac:dyDescent="0.25">
      <c r="A11275" t="s">
        <v>44</v>
      </c>
      <c r="B11275" t="s">
        <v>15</v>
      </c>
      <c r="C11275" t="s">
        <v>38</v>
      </c>
      <c r="D11275" t="s">
        <v>29</v>
      </c>
      <c r="E11275" t="s">
        <v>26</v>
      </c>
      <c r="F11275" t="s">
        <v>19</v>
      </c>
      <c r="G11275" s="1" t="str">
        <f t="shared" si="2527"/>
        <v>X</v>
      </c>
      <c r="H11275" s="1" t="str">
        <f t="shared" si="2527"/>
        <v>X</v>
      </c>
      <c r="I11275" s="1" t="str">
        <f t="shared" si="2527"/>
        <v>X</v>
      </c>
      <c r="J11275" s="1" t="str">
        <f t="shared" si="2527"/>
        <v>X</v>
      </c>
      <c r="K11275" s="1" t="str">
        <f t="shared" si="2527"/>
        <v>X</v>
      </c>
      <c r="L11275" s="1" t="str">
        <f t="shared" si="2527"/>
        <v>X</v>
      </c>
      <c r="M11275" s="1" t="str">
        <f t="shared" si="2527"/>
        <v>X</v>
      </c>
      <c r="N11275" t="s">
        <v>27</v>
      </c>
    </row>
    <row r="11276" spans="1:14" x14ac:dyDescent="0.25">
      <c r="A11276" t="s">
        <v>44</v>
      </c>
      <c r="B11276" t="s">
        <v>15</v>
      </c>
      <c r="C11276" t="s">
        <v>38</v>
      </c>
      <c r="D11276" t="s">
        <v>29</v>
      </c>
      <c r="E11276" t="s">
        <v>26</v>
      </c>
      <c r="F11276" t="s">
        <v>20</v>
      </c>
      <c r="G11276" s="1" t="str">
        <f t="shared" si="2527"/>
        <v>X</v>
      </c>
      <c r="H11276" s="1" t="str">
        <f t="shared" si="2527"/>
        <v>X</v>
      </c>
      <c r="I11276" s="1" t="str">
        <f t="shared" si="2527"/>
        <v>X</v>
      </c>
      <c r="J11276" s="1" t="str">
        <f t="shared" si="2527"/>
        <v>X</v>
      </c>
      <c r="K11276" s="1" t="str">
        <f t="shared" si="2527"/>
        <v>X</v>
      </c>
      <c r="L11276" s="1" t="str">
        <f t="shared" si="2527"/>
        <v>X</v>
      </c>
      <c r="M11276" s="1" t="str">
        <f t="shared" si="2527"/>
        <v>X</v>
      </c>
      <c r="N11276" t="s">
        <v>27</v>
      </c>
    </row>
    <row r="11277" spans="1:14" x14ac:dyDescent="0.25">
      <c r="A11277" t="s">
        <v>44</v>
      </c>
      <c r="B11277" t="s">
        <v>15</v>
      </c>
      <c r="C11277" t="s">
        <v>38</v>
      </c>
      <c r="D11277" t="s">
        <v>31</v>
      </c>
      <c r="E11277" t="s">
        <v>15</v>
      </c>
      <c r="F11277" t="s">
        <v>15</v>
      </c>
      <c r="G11277" s="2">
        <f>VALUE(1395.17)</f>
        <v>1395.17</v>
      </c>
      <c r="H11277" s="3">
        <f>VALUE(1109.01)</f>
        <v>1109.01</v>
      </c>
      <c r="I11277" s="1">
        <f>VALUE(3553)</f>
        <v>3553</v>
      </c>
      <c r="J11277" s="5">
        <f>VALUE(4250)</f>
        <v>4250</v>
      </c>
      <c r="K11277" s="6">
        <f>VALUE(5904)</f>
        <v>5904</v>
      </c>
      <c r="L11277" s="7">
        <f>VALUE(10238)</f>
        <v>10238</v>
      </c>
      <c r="M11277" s="8">
        <f>VALUE(17580)</f>
        <v>17580</v>
      </c>
      <c r="N11277" t="s">
        <v>25</v>
      </c>
    </row>
    <row r="11278" spans="1:14" x14ac:dyDescent="0.25">
      <c r="A11278" t="s">
        <v>44</v>
      </c>
      <c r="B11278" t="s">
        <v>15</v>
      </c>
      <c r="C11278" t="s">
        <v>38</v>
      </c>
      <c r="D11278" t="s">
        <v>31</v>
      </c>
      <c r="E11278" t="s">
        <v>15</v>
      </c>
      <c r="F11278" t="s">
        <v>17</v>
      </c>
      <c r="G11278" s="2">
        <f>VALUE(414.61)</f>
        <v>414.61</v>
      </c>
      <c r="H11278" s="3">
        <f>VALUE(417.08)</f>
        <v>417.08</v>
      </c>
      <c r="I11278" s="4">
        <f>VALUE(4126)</f>
        <v>4126</v>
      </c>
      <c r="J11278" s="5">
        <f>VALUE(5890)</f>
        <v>5890</v>
      </c>
      <c r="K11278" s="6">
        <f>VALUE(11618)</f>
        <v>11618</v>
      </c>
      <c r="L11278" s="7">
        <f>VALUE(17580)</f>
        <v>17580</v>
      </c>
      <c r="M11278" s="8">
        <f>VALUE(22516)</f>
        <v>22516</v>
      </c>
      <c r="N11278" t="s">
        <v>24</v>
      </c>
    </row>
    <row r="11279" spans="1:14" x14ac:dyDescent="0.25">
      <c r="A11279" t="s">
        <v>44</v>
      </c>
      <c r="B11279" t="s">
        <v>15</v>
      </c>
      <c r="C11279" t="s">
        <v>38</v>
      </c>
      <c r="D11279" t="s">
        <v>31</v>
      </c>
      <c r="E11279" t="s">
        <v>15</v>
      </c>
      <c r="F11279" t="s">
        <v>18</v>
      </c>
      <c r="G11279" s="1" t="str">
        <f t="shared" ref="G11279:M11280" si="2528">"X"</f>
        <v>X</v>
      </c>
      <c r="H11279" s="1" t="str">
        <f t="shared" si="2528"/>
        <v>X</v>
      </c>
      <c r="I11279" s="1" t="str">
        <f t="shared" si="2528"/>
        <v>X</v>
      </c>
      <c r="J11279" s="1" t="str">
        <f t="shared" si="2528"/>
        <v>X</v>
      </c>
      <c r="K11279" s="1" t="str">
        <f t="shared" si="2528"/>
        <v>X</v>
      </c>
      <c r="L11279" s="1" t="str">
        <f t="shared" si="2528"/>
        <v>X</v>
      </c>
      <c r="M11279" s="1" t="str">
        <f t="shared" si="2528"/>
        <v>X</v>
      </c>
      <c r="N11279" t="s">
        <v>27</v>
      </c>
    </row>
    <row r="11280" spans="1:14" x14ac:dyDescent="0.25">
      <c r="A11280" t="s">
        <v>44</v>
      </c>
      <c r="B11280" t="s">
        <v>15</v>
      </c>
      <c r="C11280" t="s">
        <v>38</v>
      </c>
      <c r="D11280" t="s">
        <v>31</v>
      </c>
      <c r="E11280" t="s">
        <v>15</v>
      </c>
      <c r="F11280" t="s">
        <v>19</v>
      </c>
      <c r="G11280" s="1" t="str">
        <f t="shared" si="2528"/>
        <v>X</v>
      </c>
      <c r="H11280" s="1" t="str">
        <f t="shared" si="2528"/>
        <v>X</v>
      </c>
      <c r="I11280" s="1" t="str">
        <f t="shared" si="2528"/>
        <v>X</v>
      </c>
      <c r="J11280" s="1" t="str">
        <f t="shared" si="2528"/>
        <v>X</v>
      </c>
      <c r="K11280" s="1" t="str">
        <f t="shared" si="2528"/>
        <v>X</v>
      </c>
      <c r="L11280" s="1" t="str">
        <f t="shared" si="2528"/>
        <v>X</v>
      </c>
      <c r="M11280" s="1" t="str">
        <f t="shared" si="2528"/>
        <v>X</v>
      </c>
      <c r="N11280" t="s">
        <v>27</v>
      </c>
    </row>
    <row r="11281" spans="1:14" x14ac:dyDescent="0.25">
      <c r="A11281" t="s">
        <v>44</v>
      </c>
      <c r="B11281" t="s">
        <v>15</v>
      </c>
      <c r="C11281" t="s">
        <v>38</v>
      </c>
      <c r="D11281" t="s">
        <v>31</v>
      </c>
      <c r="E11281" t="s">
        <v>15</v>
      </c>
      <c r="F11281" t="s">
        <v>20</v>
      </c>
      <c r="G11281" s="2">
        <f>VALUE(811.96)</f>
        <v>811.96</v>
      </c>
      <c r="H11281" s="3">
        <f>VALUE(541.98)</f>
        <v>541.98</v>
      </c>
      <c r="I11281" s="1">
        <f>VALUE(3370)</f>
        <v>3370</v>
      </c>
      <c r="J11281" s="5">
        <f>VALUE(3786)</f>
        <v>3786</v>
      </c>
      <c r="K11281" s="6">
        <f>VALUE(4459)</f>
        <v>4459</v>
      </c>
      <c r="L11281" s="7">
        <f>VALUE(5849)</f>
        <v>5849</v>
      </c>
      <c r="M11281" s="8">
        <f>VALUE(7790)</f>
        <v>7790</v>
      </c>
      <c r="N11281" t="s">
        <v>25</v>
      </c>
    </row>
    <row r="11282" spans="1:14" x14ac:dyDescent="0.25">
      <c r="A11282" t="s">
        <v>44</v>
      </c>
      <c r="B11282" t="s">
        <v>15</v>
      </c>
      <c r="C11282" t="s">
        <v>38</v>
      </c>
      <c r="D11282" t="s">
        <v>31</v>
      </c>
      <c r="E11282" t="s">
        <v>21</v>
      </c>
      <c r="F11282" t="s">
        <v>15</v>
      </c>
      <c r="G11282" s="2">
        <f>VALUE(465.22)</f>
        <v>465.22</v>
      </c>
      <c r="H11282" s="3">
        <f>VALUE(450.86)</f>
        <v>450.86</v>
      </c>
      <c r="I11282" s="4">
        <f>VALUE(5098)</f>
        <v>5098</v>
      </c>
      <c r="J11282" s="5">
        <f>VALUE(7115)</f>
        <v>7115</v>
      </c>
      <c r="K11282" s="6">
        <f>VALUE(11331)</f>
        <v>11331</v>
      </c>
      <c r="L11282" s="7">
        <f>VALUE(17410)</f>
        <v>17410</v>
      </c>
      <c r="M11282" s="8">
        <f>VALUE(20704)</f>
        <v>20704</v>
      </c>
      <c r="N11282" t="s">
        <v>24</v>
      </c>
    </row>
    <row r="11283" spans="1:14" x14ac:dyDescent="0.25">
      <c r="A11283" t="s">
        <v>44</v>
      </c>
      <c r="B11283" t="s">
        <v>15</v>
      </c>
      <c r="C11283" t="s">
        <v>38</v>
      </c>
      <c r="D11283" t="s">
        <v>31</v>
      </c>
      <c r="E11283" t="s">
        <v>21</v>
      </c>
      <c r="F11283" t="s">
        <v>17</v>
      </c>
      <c r="G11283" s="2">
        <f>VALUE(315.47)</f>
        <v>315.47000000000003</v>
      </c>
      <c r="H11283" s="3">
        <f>VALUE(314.79)</f>
        <v>314.79000000000002</v>
      </c>
      <c r="I11283" s="4">
        <f>VALUE(5890)</f>
        <v>5890</v>
      </c>
      <c r="J11283" s="5">
        <f>VALUE(8796)</f>
        <v>8796</v>
      </c>
      <c r="K11283" s="6">
        <f>VALUE(12773)</f>
        <v>12773</v>
      </c>
      <c r="L11283" s="1">
        <f>VALUE(18685)</f>
        <v>18685</v>
      </c>
      <c r="M11283" s="8">
        <f>VALUE(26240)</f>
        <v>26240</v>
      </c>
      <c r="N11283" t="s">
        <v>25</v>
      </c>
    </row>
    <row r="11284" spans="1:14" x14ac:dyDescent="0.25">
      <c r="A11284" t="s">
        <v>44</v>
      </c>
      <c r="B11284" t="s">
        <v>15</v>
      </c>
      <c r="C11284" t="s">
        <v>38</v>
      </c>
      <c r="D11284" t="s">
        <v>31</v>
      </c>
      <c r="E11284" t="s">
        <v>21</v>
      </c>
      <c r="F11284" t="s">
        <v>18</v>
      </c>
      <c r="G11284" s="1" t="str">
        <f t="shared" ref="G11284:M11286" si="2529">"X"</f>
        <v>X</v>
      </c>
      <c r="H11284" s="1" t="str">
        <f t="shared" si="2529"/>
        <v>X</v>
      </c>
      <c r="I11284" s="1" t="str">
        <f t="shared" si="2529"/>
        <v>X</v>
      </c>
      <c r="J11284" s="1" t="str">
        <f t="shared" si="2529"/>
        <v>X</v>
      </c>
      <c r="K11284" s="1" t="str">
        <f t="shared" si="2529"/>
        <v>X</v>
      </c>
      <c r="L11284" s="1" t="str">
        <f t="shared" si="2529"/>
        <v>X</v>
      </c>
      <c r="M11284" s="1" t="str">
        <f t="shared" si="2529"/>
        <v>X</v>
      </c>
      <c r="N11284" t="s">
        <v>27</v>
      </c>
    </row>
    <row r="11285" spans="1:14" x14ac:dyDescent="0.25">
      <c r="A11285" t="s">
        <v>44</v>
      </c>
      <c r="B11285" t="s">
        <v>15</v>
      </c>
      <c r="C11285" t="s">
        <v>38</v>
      </c>
      <c r="D11285" t="s">
        <v>31</v>
      </c>
      <c r="E11285" t="s">
        <v>21</v>
      </c>
      <c r="F11285" t="s">
        <v>19</v>
      </c>
      <c r="G11285" s="1" t="str">
        <f t="shared" si="2529"/>
        <v>X</v>
      </c>
      <c r="H11285" s="1" t="str">
        <f t="shared" si="2529"/>
        <v>X</v>
      </c>
      <c r="I11285" s="1" t="str">
        <f t="shared" si="2529"/>
        <v>X</v>
      </c>
      <c r="J11285" s="1" t="str">
        <f t="shared" si="2529"/>
        <v>X</v>
      </c>
      <c r="K11285" s="1" t="str">
        <f t="shared" si="2529"/>
        <v>X</v>
      </c>
      <c r="L11285" s="1" t="str">
        <f t="shared" si="2529"/>
        <v>X</v>
      </c>
      <c r="M11285" s="1" t="str">
        <f t="shared" si="2529"/>
        <v>X</v>
      </c>
      <c r="N11285" t="s">
        <v>27</v>
      </c>
    </row>
    <row r="11286" spans="1:14" x14ac:dyDescent="0.25">
      <c r="A11286" t="s">
        <v>44</v>
      </c>
      <c r="B11286" t="s">
        <v>15</v>
      </c>
      <c r="C11286" t="s">
        <v>38</v>
      </c>
      <c r="D11286" t="s">
        <v>31</v>
      </c>
      <c r="E11286" t="s">
        <v>21</v>
      </c>
      <c r="F11286" t="s">
        <v>20</v>
      </c>
      <c r="G11286" s="1" t="str">
        <f t="shared" si="2529"/>
        <v>X</v>
      </c>
      <c r="H11286" s="1" t="str">
        <f t="shared" si="2529"/>
        <v>X</v>
      </c>
      <c r="I11286" s="1" t="str">
        <f t="shared" si="2529"/>
        <v>X</v>
      </c>
      <c r="J11286" s="1" t="str">
        <f t="shared" si="2529"/>
        <v>X</v>
      </c>
      <c r="K11286" s="1" t="str">
        <f t="shared" si="2529"/>
        <v>X</v>
      </c>
      <c r="L11286" s="1" t="str">
        <f t="shared" si="2529"/>
        <v>X</v>
      </c>
      <c r="M11286" s="1" t="str">
        <f t="shared" si="2529"/>
        <v>X</v>
      </c>
      <c r="N11286" t="s">
        <v>27</v>
      </c>
    </row>
    <row r="11287" spans="1:14" x14ac:dyDescent="0.25">
      <c r="A11287" t="s">
        <v>44</v>
      </c>
      <c r="B11287" t="s">
        <v>15</v>
      </c>
      <c r="C11287" t="s">
        <v>38</v>
      </c>
      <c r="D11287" t="s">
        <v>31</v>
      </c>
      <c r="E11287" t="s">
        <v>22</v>
      </c>
      <c r="F11287" t="s">
        <v>15</v>
      </c>
      <c r="G11287" s="2">
        <f>VALUE(194.5)</f>
        <v>194.5</v>
      </c>
      <c r="H11287" s="3">
        <f>VALUE(156.75)</f>
        <v>156.75</v>
      </c>
      <c r="I11287" s="4">
        <f>VALUE(3556)</f>
        <v>3556</v>
      </c>
      <c r="J11287" s="5">
        <f>VALUE(4635)</f>
        <v>4635</v>
      </c>
      <c r="K11287" s="1">
        <f>VALUE(5954)</f>
        <v>5954</v>
      </c>
      <c r="L11287" s="1">
        <f>VALUE(8312)</f>
        <v>8312</v>
      </c>
      <c r="M11287" s="8">
        <f>VALUE(12875)</f>
        <v>12875</v>
      </c>
      <c r="N11287" t="s">
        <v>25</v>
      </c>
    </row>
    <row r="11288" spans="1:14" x14ac:dyDescent="0.25">
      <c r="A11288" t="s">
        <v>44</v>
      </c>
      <c r="B11288" t="s">
        <v>15</v>
      </c>
      <c r="C11288" t="s">
        <v>38</v>
      </c>
      <c r="D11288" t="s">
        <v>31</v>
      </c>
      <c r="E11288" t="s">
        <v>22</v>
      </c>
      <c r="F11288" t="s">
        <v>17</v>
      </c>
      <c r="G11288" s="1" t="str">
        <f t="shared" ref="G11288:M11291" si="2530">"X"</f>
        <v>X</v>
      </c>
      <c r="H11288" s="1" t="str">
        <f t="shared" si="2530"/>
        <v>X</v>
      </c>
      <c r="I11288" s="1" t="str">
        <f t="shared" si="2530"/>
        <v>X</v>
      </c>
      <c r="J11288" s="1" t="str">
        <f t="shared" si="2530"/>
        <v>X</v>
      </c>
      <c r="K11288" s="1" t="str">
        <f t="shared" si="2530"/>
        <v>X</v>
      </c>
      <c r="L11288" s="1" t="str">
        <f t="shared" si="2530"/>
        <v>X</v>
      </c>
      <c r="M11288" s="1" t="str">
        <f t="shared" si="2530"/>
        <v>X</v>
      </c>
      <c r="N11288" t="s">
        <v>27</v>
      </c>
    </row>
    <row r="11289" spans="1:14" x14ac:dyDescent="0.25">
      <c r="A11289" t="s">
        <v>44</v>
      </c>
      <c r="B11289" t="s">
        <v>15</v>
      </c>
      <c r="C11289" t="s">
        <v>38</v>
      </c>
      <c r="D11289" t="s">
        <v>31</v>
      </c>
      <c r="E11289" t="s">
        <v>22</v>
      </c>
      <c r="F11289" t="s">
        <v>18</v>
      </c>
      <c r="G11289" s="1" t="str">
        <f t="shared" si="2530"/>
        <v>X</v>
      </c>
      <c r="H11289" s="1" t="str">
        <f t="shared" si="2530"/>
        <v>X</v>
      </c>
      <c r="I11289" s="1" t="str">
        <f t="shared" si="2530"/>
        <v>X</v>
      </c>
      <c r="J11289" s="1" t="str">
        <f t="shared" si="2530"/>
        <v>X</v>
      </c>
      <c r="K11289" s="1" t="str">
        <f t="shared" si="2530"/>
        <v>X</v>
      </c>
      <c r="L11289" s="1" t="str">
        <f t="shared" si="2530"/>
        <v>X</v>
      </c>
      <c r="M11289" s="1" t="str">
        <f t="shared" si="2530"/>
        <v>X</v>
      </c>
      <c r="N11289" t="s">
        <v>27</v>
      </c>
    </row>
    <row r="11290" spans="1:14" x14ac:dyDescent="0.25">
      <c r="A11290" t="s">
        <v>44</v>
      </c>
      <c r="B11290" t="s">
        <v>15</v>
      </c>
      <c r="C11290" t="s">
        <v>38</v>
      </c>
      <c r="D11290" t="s">
        <v>31</v>
      </c>
      <c r="E11290" t="s">
        <v>22</v>
      </c>
      <c r="F11290" t="s">
        <v>19</v>
      </c>
      <c r="G11290" s="1" t="str">
        <f t="shared" si="2530"/>
        <v>X</v>
      </c>
      <c r="H11290" s="1" t="str">
        <f t="shared" si="2530"/>
        <v>X</v>
      </c>
      <c r="I11290" s="1" t="str">
        <f t="shared" si="2530"/>
        <v>X</v>
      </c>
      <c r="J11290" s="1" t="str">
        <f t="shared" si="2530"/>
        <v>X</v>
      </c>
      <c r="K11290" s="1" t="str">
        <f t="shared" si="2530"/>
        <v>X</v>
      </c>
      <c r="L11290" s="1" t="str">
        <f t="shared" si="2530"/>
        <v>X</v>
      </c>
      <c r="M11290" s="1" t="str">
        <f t="shared" si="2530"/>
        <v>X</v>
      </c>
      <c r="N11290" t="s">
        <v>27</v>
      </c>
    </row>
    <row r="11291" spans="1:14" x14ac:dyDescent="0.25">
      <c r="A11291" t="s">
        <v>44</v>
      </c>
      <c r="B11291" t="s">
        <v>15</v>
      </c>
      <c r="C11291" t="s">
        <v>38</v>
      </c>
      <c r="D11291" t="s">
        <v>31</v>
      </c>
      <c r="E11291" t="s">
        <v>22</v>
      </c>
      <c r="F11291" t="s">
        <v>20</v>
      </c>
      <c r="G11291" s="1" t="str">
        <f t="shared" si="2530"/>
        <v>X</v>
      </c>
      <c r="H11291" s="1" t="str">
        <f t="shared" si="2530"/>
        <v>X</v>
      </c>
      <c r="I11291" s="1" t="str">
        <f t="shared" si="2530"/>
        <v>X</v>
      </c>
      <c r="J11291" s="1" t="str">
        <f t="shared" si="2530"/>
        <v>X</v>
      </c>
      <c r="K11291" s="1" t="str">
        <f t="shared" si="2530"/>
        <v>X</v>
      </c>
      <c r="L11291" s="1" t="str">
        <f t="shared" si="2530"/>
        <v>X</v>
      </c>
      <c r="M11291" s="1" t="str">
        <f t="shared" si="2530"/>
        <v>X</v>
      </c>
      <c r="N11291" t="s">
        <v>27</v>
      </c>
    </row>
    <row r="11292" spans="1:14" x14ac:dyDescent="0.25">
      <c r="A11292" t="s">
        <v>44</v>
      </c>
      <c r="B11292" t="s">
        <v>15</v>
      </c>
      <c r="C11292" t="s">
        <v>38</v>
      </c>
      <c r="D11292" t="s">
        <v>31</v>
      </c>
      <c r="E11292" t="s">
        <v>23</v>
      </c>
      <c r="F11292" t="s">
        <v>15</v>
      </c>
      <c r="G11292" s="2">
        <f>VALUE(725.2)</f>
        <v>725.2</v>
      </c>
      <c r="H11292" s="3">
        <f>VALUE(491.15)</f>
        <v>491.15</v>
      </c>
      <c r="I11292" s="1">
        <f>VALUE(3443)</f>
        <v>3443</v>
      </c>
      <c r="J11292" s="5">
        <f>VALUE(3560)</f>
        <v>3560</v>
      </c>
      <c r="K11292" s="6">
        <f>VALUE(4265)</f>
        <v>4265</v>
      </c>
      <c r="L11292" s="7">
        <f>VALUE(5748)</f>
        <v>5748</v>
      </c>
      <c r="M11292" s="8">
        <f>VALUE(6828)</f>
        <v>6828</v>
      </c>
      <c r="N11292" t="s">
        <v>25</v>
      </c>
    </row>
    <row r="11293" spans="1:14" x14ac:dyDescent="0.25">
      <c r="A11293" t="s">
        <v>44</v>
      </c>
      <c r="B11293" t="s">
        <v>15</v>
      </c>
      <c r="C11293" t="s">
        <v>38</v>
      </c>
      <c r="D11293" t="s">
        <v>31</v>
      </c>
      <c r="E11293" t="s">
        <v>23</v>
      </c>
      <c r="F11293" t="s">
        <v>17</v>
      </c>
      <c r="G11293" s="1" t="str">
        <f t="shared" ref="G11293:M11295" si="2531">"X"</f>
        <v>X</v>
      </c>
      <c r="H11293" s="1" t="str">
        <f t="shared" si="2531"/>
        <v>X</v>
      </c>
      <c r="I11293" s="1" t="str">
        <f t="shared" si="2531"/>
        <v>X</v>
      </c>
      <c r="J11293" s="1" t="str">
        <f t="shared" si="2531"/>
        <v>X</v>
      </c>
      <c r="K11293" s="1" t="str">
        <f t="shared" si="2531"/>
        <v>X</v>
      </c>
      <c r="L11293" s="1" t="str">
        <f t="shared" si="2531"/>
        <v>X</v>
      </c>
      <c r="M11293" s="1" t="str">
        <f t="shared" si="2531"/>
        <v>X</v>
      </c>
      <c r="N11293" t="s">
        <v>27</v>
      </c>
    </row>
    <row r="11294" spans="1:14" x14ac:dyDescent="0.25">
      <c r="A11294" t="s">
        <v>44</v>
      </c>
      <c r="B11294" t="s">
        <v>15</v>
      </c>
      <c r="C11294" t="s">
        <v>38</v>
      </c>
      <c r="D11294" t="s">
        <v>31</v>
      </c>
      <c r="E11294" t="s">
        <v>23</v>
      </c>
      <c r="F11294" t="s">
        <v>18</v>
      </c>
      <c r="G11294" s="1" t="str">
        <f t="shared" si="2531"/>
        <v>X</v>
      </c>
      <c r="H11294" s="1" t="str">
        <f t="shared" si="2531"/>
        <v>X</v>
      </c>
      <c r="I11294" s="1" t="str">
        <f t="shared" si="2531"/>
        <v>X</v>
      </c>
      <c r="J11294" s="1" t="str">
        <f t="shared" si="2531"/>
        <v>X</v>
      </c>
      <c r="K11294" s="1" t="str">
        <f t="shared" si="2531"/>
        <v>X</v>
      </c>
      <c r="L11294" s="1" t="str">
        <f t="shared" si="2531"/>
        <v>X</v>
      </c>
      <c r="M11294" s="1" t="str">
        <f t="shared" si="2531"/>
        <v>X</v>
      </c>
      <c r="N11294" t="s">
        <v>27</v>
      </c>
    </row>
    <row r="11295" spans="1:14" x14ac:dyDescent="0.25">
      <c r="A11295" t="s">
        <v>44</v>
      </c>
      <c r="B11295" t="s">
        <v>15</v>
      </c>
      <c r="C11295" t="s">
        <v>38</v>
      </c>
      <c r="D11295" t="s">
        <v>31</v>
      </c>
      <c r="E11295" t="s">
        <v>23</v>
      </c>
      <c r="F11295" t="s">
        <v>19</v>
      </c>
      <c r="G11295" s="1" t="str">
        <f t="shared" si="2531"/>
        <v>X</v>
      </c>
      <c r="H11295" s="1" t="str">
        <f t="shared" si="2531"/>
        <v>X</v>
      </c>
      <c r="I11295" s="1" t="str">
        <f t="shared" si="2531"/>
        <v>X</v>
      </c>
      <c r="J11295" s="1" t="str">
        <f t="shared" si="2531"/>
        <v>X</v>
      </c>
      <c r="K11295" s="1" t="str">
        <f t="shared" si="2531"/>
        <v>X</v>
      </c>
      <c r="L11295" s="1" t="str">
        <f t="shared" si="2531"/>
        <v>X</v>
      </c>
      <c r="M11295" s="1" t="str">
        <f t="shared" si="2531"/>
        <v>X</v>
      </c>
      <c r="N11295" t="s">
        <v>27</v>
      </c>
    </row>
    <row r="11296" spans="1:14" x14ac:dyDescent="0.25">
      <c r="A11296" t="s">
        <v>44</v>
      </c>
      <c r="B11296" t="s">
        <v>15</v>
      </c>
      <c r="C11296" t="s">
        <v>38</v>
      </c>
      <c r="D11296" t="s">
        <v>31</v>
      </c>
      <c r="E11296" t="s">
        <v>23</v>
      </c>
      <c r="F11296" t="s">
        <v>20</v>
      </c>
      <c r="G11296" s="2">
        <f>VALUE(631.24)</f>
        <v>631.24</v>
      </c>
      <c r="H11296" s="3">
        <f>VALUE(399.02)</f>
        <v>399.02</v>
      </c>
      <c r="I11296" s="1">
        <f>VALUE(3292)</f>
        <v>3292</v>
      </c>
      <c r="J11296" s="5">
        <f>VALUE(3560)</f>
        <v>3560</v>
      </c>
      <c r="K11296" s="6">
        <f>VALUE(4384)</f>
        <v>4384</v>
      </c>
      <c r="L11296" s="7">
        <f>VALUE(5217)</f>
        <v>5217</v>
      </c>
      <c r="M11296" s="8">
        <f>VALUE(6072)</f>
        <v>6072</v>
      </c>
      <c r="N11296" t="s">
        <v>25</v>
      </c>
    </row>
    <row r="11297" spans="1:14" x14ac:dyDescent="0.25">
      <c r="A11297" t="s">
        <v>44</v>
      </c>
      <c r="B11297" t="s">
        <v>15</v>
      </c>
      <c r="C11297" t="s">
        <v>38</v>
      </c>
      <c r="D11297" t="s">
        <v>31</v>
      </c>
      <c r="E11297" t="s">
        <v>26</v>
      </c>
      <c r="F11297" t="s">
        <v>15</v>
      </c>
      <c r="G11297" s="1" t="str">
        <f t="shared" ref="G11297:M11299" si="2532">"X"</f>
        <v>X</v>
      </c>
      <c r="H11297" s="1" t="str">
        <f t="shared" si="2532"/>
        <v>X</v>
      </c>
      <c r="I11297" s="1" t="str">
        <f t="shared" si="2532"/>
        <v>X</v>
      </c>
      <c r="J11297" s="1" t="str">
        <f t="shared" si="2532"/>
        <v>X</v>
      </c>
      <c r="K11297" s="1" t="str">
        <f t="shared" si="2532"/>
        <v>X</v>
      </c>
      <c r="L11297" s="1" t="str">
        <f t="shared" si="2532"/>
        <v>X</v>
      </c>
      <c r="M11297" s="1" t="str">
        <f t="shared" si="2532"/>
        <v>X</v>
      </c>
      <c r="N11297" t="s">
        <v>27</v>
      </c>
    </row>
    <row r="11298" spans="1:14" x14ac:dyDescent="0.25">
      <c r="A11298" t="s">
        <v>44</v>
      </c>
      <c r="B11298" t="s">
        <v>15</v>
      </c>
      <c r="C11298" t="s">
        <v>38</v>
      </c>
      <c r="D11298" t="s">
        <v>31</v>
      </c>
      <c r="E11298" t="s">
        <v>26</v>
      </c>
      <c r="F11298" t="s">
        <v>17</v>
      </c>
      <c r="G11298" s="1" t="str">
        <f t="shared" si="2532"/>
        <v>X</v>
      </c>
      <c r="H11298" s="1" t="str">
        <f t="shared" si="2532"/>
        <v>X</v>
      </c>
      <c r="I11298" s="1" t="str">
        <f t="shared" si="2532"/>
        <v>X</v>
      </c>
      <c r="J11298" s="1" t="str">
        <f t="shared" si="2532"/>
        <v>X</v>
      </c>
      <c r="K11298" s="1" t="str">
        <f t="shared" si="2532"/>
        <v>X</v>
      </c>
      <c r="L11298" s="1" t="str">
        <f t="shared" si="2532"/>
        <v>X</v>
      </c>
      <c r="M11298" s="1" t="str">
        <f t="shared" si="2532"/>
        <v>X</v>
      </c>
      <c r="N11298" t="s">
        <v>27</v>
      </c>
    </row>
    <row r="11299" spans="1:14" x14ac:dyDescent="0.25">
      <c r="A11299" t="s">
        <v>44</v>
      </c>
      <c r="B11299" t="s">
        <v>15</v>
      </c>
      <c r="C11299" t="s">
        <v>38</v>
      </c>
      <c r="D11299" t="s">
        <v>31</v>
      </c>
      <c r="E11299" t="s">
        <v>26</v>
      </c>
      <c r="F11299" t="s">
        <v>18</v>
      </c>
      <c r="G11299" s="1" t="str">
        <f t="shared" si="2532"/>
        <v>X</v>
      </c>
      <c r="H11299" s="1" t="str">
        <f t="shared" si="2532"/>
        <v>X</v>
      </c>
      <c r="I11299" s="1" t="str">
        <f t="shared" si="2532"/>
        <v>X</v>
      </c>
      <c r="J11299" s="1" t="str">
        <f t="shared" si="2532"/>
        <v>X</v>
      </c>
      <c r="K11299" s="1" t="str">
        <f t="shared" si="2532"/>
        <v>X</v>
      </c>
      <c r="L11299" s="1" t="str">
        <f t="shared" si="2532"/>
        <v>X</v>
      </c>
      <c r="M11299" s="1" t="str">
        <f t="shared" si="2532"/>
        <v>X</v>
      </c>
      <c r="N11299" t="s">
        <v>27</v>
      </c>
    </row>
    <row r="11300" spans="1:14" x14ac:dyDescent="0.25">
      <c r="A11300" t="s">
        <v>44</v>
      </c>
      <c r="B11300" t="s">
        <v>15</v>
      </c>
      <c r="C11300" t="s">
        <v>38</v>
      </c>
      <c r="D11300" t="s">
        <v>31</v>
      </c>
      <c r="E11300" t="s">
        <v>26</v>
      </c>
      <c r="F11300" t="s">
        <v>19</v>
      </c>
      <c r="G11300" s="1" t="str">
        <f t="shared" ref="G11300:M11300" si="2533">"..."</f>
        <v>...</v>
      </c>
      <c r="H11300" s="1" t="str">
        <f t="shared" si="2533"/>
        <v>...</v>
      </c>
      <c r="I11300" s="1" t="str">
        <f t="shared" si="2533"/>
        <v>...</v>
      </c>
      <c r="J11300" s="1" t="str">
        <f t="shared" si="2533"/>
        <v>...</v>
      </c>
      <c r="K11300" s="1" t="str">
        <f t="shared" si="2533"/>
        <v>...</v>
      </c>
      <c r="L11300" s="1" t="str">
        <f t="shared" si="2533"/>
        <v>...</v>
      </c>
      <c r="M11300" s="1" t="str">
        <f t="shared" si="2533"/>
        <v>...</v>
      </c>
      <c r="N11300" t="s">
        <v>30</v>
      </c>
    </row>
    <row r="11301" spans="1:14" x14ac:dyDescent="0.25">
      <c r="A11301" t="s">
        <v>44</v>
      </c>
      <c r="B11301" t="s">
        <v>15</v>
      </c>
      <c r="C11301" t="s">
        <v>38</v>
      </c>
      <c r="D11301" t="s">
        <v>31</v>
      </c>
      <c r="E11301" t="s">
        <v>26</v>
      </c>
      <c r="F11301" t="s">
        <v>20</v>
      </c>
      <c r="G11301" s="1" t="str">
        <f t="shared" ref="G11301:M11301" si="2534">"X"</f>
        <v>X</v>
      </c>
      <c r="H11301" s="1" t="str">
        <f t="shared" si="2534"/>
        <v>X</v>
      </c>
      <c r="I11301" s="1" t="str">
        <f t="shared" si="2534"/>
        <v>X</v>
      </c>
      <c r="J11301" s="1" t="str">
        <f t="shared" si="2534"/>
        <v>X</v>
      </c>
      <c r="K11301" s="1" t="str">
        <f t="shared" si="2534"/>
        <v>X</v>
      </c>
      <c r="L11301" s="1" t="str">
        <f t="shared" si="2534"/>
        <v>X</v>
      </c>
      <c r="M11301" s="1" t="str">
        <f t="shared" si="2534"/>
        <v>X</v>
      </c>
      <c r="N11301" t="s">
        <v>27</v>
      </c>
    </row>
    <row r="11302" spans="1:14" x14ac:dyDescent="0.25">
      <c r="A11302" t="s">
        <v>44</v>
      </c>
      <c r="B11302" t="s">
        <v>15</v>
      </c>
      <c r="C11302" t="s">
        <v>38</v>
      </c>
      <c r="D11302" t="s">
        <v>32</v>
      </c>
      <c r="E11302" t="s">
        <v>15</v>
      </c>
      <c r="F11302" t="s">
        <v>15</v>
      </c>
      <c r="G11302" s="1">
        <f>VALUE(12612.14)</f>
        <v>12612.14</v>
      </c>
      <c r="H11302" s="1">
        <f>VALUE(10851.31)</f>
        <v>10851.31</v>
      </c>
      <c r="I11302" s="1">
        <f>VALUE(3352)</f>
        <v>3352</v>
      </c>
      <c r="J11302" s="1">
        <f>VALUE(4044)</f>
        <v>4044</v>
      </c>
      <c r="K11302" s="1">
        <f>VALUE(5144)</f>
        <v>5144</v>
      </c>
      <c r="L11302" s="1">
        <f>VALUE(6250)</f>
        <v>6250</v>
      </c>
      <c r="M11302" s="1">
        <f>VALUE(7820)</f>
        <v>7820</v>
      </c>
      <c r="N11302" t="s">
        <v>16</v>
      </c>
    </row>
    <row r="11303" spans="1:14" x14ac:dyDescent="0.25">
      <c r="A11303" t="s">
        <v>44</v>
      </c>
      <c r="B11303" t="s">
        <v>15</v>
      </c>
      <c r="C11303" t="s">
        <v>38</v>
      </c>
      <c r="D11303" t="s">
        <v>32</v>
      </c>
      <c r="E11303" t="s">
        <v>15</v>
      </c>
      <c r="F11303" t="s">
        <v>17</v>
      </c>
      <c r="G11303" s="2">
        <f>VALUE(1118.41)</f>
        <v>1118.4100000000001</v>
      </c>
      <c r="H11303" s="3">
        <f>VALUE(986.66)</f>
        <v>986.66</v>
      </c>
      <c r="I11303" s="4">
        <f>VALUE(4661)</f>
        <v>4661</v>
      </c>
      <c r="J11303" s="5">
        <f>VALUE(6379)</f>
        <v>6379</v>
      </c>
      <c r="K11303" s="6">
        <f>VALUE(8502)</f>
        <v>8502</v>
      </c>
      <c r="L11303" s="7">
        <f>VALUE(14272)</f>
        <v>14272</v>
      </c>
      <c r="M11303" s="8">
        <f>VALUE(18017)</f>
        <v>18017</v>
      </c>
      <c r="N11303" t="s">
        <v>24</v>
      </c>
    </row>
    <row r="11304" spans="1:14" x14ac:dyDescent="0.25">
      <c r="A11304" t="s">
        <v>44</v>
      </c>
      <c r="B11304" t="s">
        <v>15</v>
      </c>
      <c r="C11304" t="s">
        <v>38</v>
      </c>
      <c r="D11304" t="s">
        <v>32</v>
      </c>
      <c r="E11304" t="s">
        <v>15</v>
      </c>
      <c r="F11304" t="s">
        <v>18</v>
      </c>
      <c r="G11304" s="2">
        <f>VALUE(766.98)</f>
        <v>766.98</v>
      </c>
      <c r="H11304" s="3">
        <f>VALUE(723.72)</f>
        <v>723.72</v>
      </c>
      <c r="I11304" s="4">
        <f>VALUE(3958)</f>
        <v>3958</v>
      </c>
      <c r="J11304" s="1">
        <f>VALUE(4794)</f>
        <v>4794</v>
      </c>
      <c r="K11304" s="1">
        <f>VALUE(5988)</f>
        <v>5988</v>
      </c>
      <c r="L11304" s="1">
        <f>VALUE(7381)</f>
        <v>7381</v>
      </c>
      <c r="M11304" s="1">
        <f>VALUE(9444)</f>
        <v>9444</v>
      </c>
      <c r="N11304" t="s">
        <v>25</v>
      </c>
    </row>
    <row r="11305" spans="1:14" x14ac:dyDescent="0.25">
      <c r="A11305" t="s">
        <v>44</v>
      </c>
      <c r="B11305" t="s">
        <v>15</v>
      </c>
      <c r="C11305" t="s">
        <v>38</v>
      </c>
      <c r="D11305" t="s">
        <v>32</v>
      </c>
      <c r="E11305" t="s">
        <v>15</v>
      </c>
      <c r="F11305" t="s">
        <v>19</v>
      </c>
      <c r="G11305" s="2">
        <f>VALUE(1289.01)</f>
        <v>1289.01</v>
      </c>
      <c r="H11305" s="3">
        <f>VALUE(1237.79)</f>
        <v>1237.79</v>
      </c>
      <c r="I11305" s="1">
        <f>VALUE(4017)</f>
        <v>4017</v>
      </c>
      <c r="J11305" s="1">
        <f>VALUE(4887)</f>
        <v>4887</v>
      </c>
      <c r="K11305" s="1">
        <f>VALUE(5874)</f>
        <v>5874</v>
      </c>
      <c r="L11305" s="1">
        <f>VALUE(6833)</f>
        <v>6833</v>
      </c>
      <c r="M11305" s="1">
        <f>VALUE(7916)</f>
        <v>7916</v>
      </c>
      <c r="N11305" t="s">
        <v>25</v>
      </c>
    </row>
    <row r="11306" spans="1:14" x14ac:dyDescent="0.25">
      <c r="A11306" t="s">
        <v>44</v>
      </c>
      <c r="B11306" t="s">
        <v>15</v>
      </c>
      <c r="C11306" t="s">
        <v>38</v>
      </c>
      <c r="D11306" t="s">
        <v>32</v>
      </c>
      <c r="E11306" t="s">
        <v>15</v>
      </c>
      <c r="F11306" t="s">
        <v>20</v>
      </c>
      <c r="G11306" s="1">
        <f>VALUE(9437.74)</f>
        <v>9437.74</v>
      </c>
      <c r="H11306" s="1">
        <f>VALUE(7903.14)</f>
        <v>7903.14</v>
      </c>
      <c r="I11306" s="1">
        <f>VALUE(3232)</f>
        <v>3232</v>
      </c>
      <c r="J11306" s="1">
        <f>VALUE(3810)</f>
        <v>3810</v>
      </c>
      <c r="K11306" s="1">
        <f>VALUE(4773)</f>
        <v>4773</v>
      </c>
      <c r="L11306" s="1">
        <f>VALUE(5719)</f>
        <v>5719</v>
      </c>
      <c r="M11306" s="1">
        <f>VALUE(6670)</f>
        <v>6670</v>
      </c>
      <c r="N11306" t="s">
        <v>16</v>
      </c>
    </row>
    <row r="11307" spans="1:14" x14ac:dyDescent="0.25">
      <c r="A11307" t="s">
        <v>44</v>
      </c>
      <c r="B11307" t="s">
        <v>15</v>
      </c>
      <c r="C11307" t="s">
        <v>38</v>
      </c>
      <c r="D11307" t="s">
        <v>32</v>
      </c>
      <c r="E11307" t="s">
        <v>21</v>
      </c>
      <c r="F11307" t="s">
        <v>15</v>
      </c>
      <c r="G11307" s="2">
        <f>VALUE(1643.72)</f>
        <v>1643.72</v>
      </c>
      <c r="H11307" s="3">
        <f>VALUE(1377.48)</f>
        <v>1377.48</v>
      </c>
      <c r="I11307" s="4">
        <f>VALUE(4332)</f>
        <v>4332</v>
      </c>
      <c r="J11307" s="1">
        <f>VALUE(5784)</f>
        <v>5784</v>
      </c>
      <c r="K11307" s="1">
        <f>VALUE(7351)</f>
        <v>7351</v>
      </c>
      <c r="L11307" s="7">
        <f>VALUE(10128)</f>
        <v>10128</v>
      </c>
      <c r="M11307" s="8">
        <f>VALUE(16247)</f>
        <v>16247</v>
      </c>
      <c r="N11307" t="s">
        <v>25</v>
      </c>
    </row>
    <row r="11308" spans="1:14" x14ac:dyDescent="0.25">
      <c r="A11308" t="s">
        <v>44</v>
      </c>
      <c r="B11308" t="s">
        <v>15</v>
      </c>
      <c r="C11308" t="s">
        <v>38</v>
      </c>
      <c r="D11308" t="s">
        <v>32</v>
      </c>
      <c r="E11308" t="s">
        <v>21</v>
      </c>
      <c r="F11308" t="s">
        <v>17</v>
      </c>
      <c r="G11308" s="2">
        <f>VALUE(489.84)</f>
        <v>489.84</v>
      </c>
      <c r="H11308" s="3">
        <f>VALUE(433.42)</f>
        <v>433.42</v>
      </c>
      <c r="I11308" s="4">
        <f>VALUE(6498)</f>
        <v>6498</v>
      </c>
      <c r="J11308" s="5">
        <f>VALUE(8106)</f>
        <v>8106</v>
      </c>
      <c r="K11308" s="6">
        <f>VALUE(12389)</f>
        <v>12389</v>
      </c>
      <c r="L11308" s="7">
        <f>VALUE(17550)</f>
        <v>17550</v>
      </c>
      <c r="M11308" s="8">
        <f>VALUE(22053)</f>
        <v>22053</v>
      </c>
      <c r="N11308" t="s">
        <v>24</v>
      </c>
    </row>
    <row r="11309" spans="1:14" x14ac:dyDescent="0.25">
      <c r="A11309" t="s">
        <v>44</v>
      </c>
      <c r="B11309" t="s">
        <v>15</v>
      </c>
      <c r="C11309" t="s">
        <v>38</v>
      </c>
      <c r="D11309" t="s">
        <v>32</v>
      </c>
      <c r="E11309" t="s">
        <v>21</v>
      </c>
      <c r="F11309" t="s">
        <v>18</v>
      </c>
      <c r="G11309" s="2">
        <f>VALUE(256.28)</f>
        <v>256.27999999999997</v>
      </c>
      <c r="H11309" s="3">
        <f>VALUE(230.44)</f>
        <v>230.44</v>
      </c>
      <c r="I11309" s="4">
        <f>VALUE(3403)</f>
        <v>3403</v>
      </c>
      <c r="J11309" s="1">
        <f>VALUE(5784)</f>
        <v>5784</v>
      </c>
      <c r="K11309" s="1">
        <f>VALUE(6393)</f>
        <v>6393</v>
      </c>
      <c r="L11309" s="7">
        <f>VALUE(8330)</f>
        <v>8330</v>
      </c>
      <c r="M11309" s="8">
        <f>VALUE(10962)</f>
        <v>10962</v>
      </c>
      <c r="N11309" t="s">
        <v>25</v>
      </c>
    </row>
    <row r="11310" spans="1:14" x14ac:dyDescent="0.25">
      <c r="A11310" t="s">
        <v>44</v>
      </c>
      <c r="B11310" t="s">
        <v>15</v>
      </c>
      <c r="C11310" t="s">
        <v>38</v>
      </c>
      <c r="D11310" t="s">
        <v>32</v>
      </c>
      <c r="E11310" t="s">
        <v>21</v>
      </c>
      <c r="F11310" t="s">
        <v>19</v>
      </c>
      <c r="G11310" s="2">
        <f>VALUE(178.8)</f>
        <v>178.8</v>
      </c>
      <c r="H11310" s="3">
        <f>VALUE(162.86)</f>
        <v>162.86000000000001</v>
      </c>
      <c r="I11310" s="4">
        <f>VALUE(4017)</f>
        <v>4017</v>
      </c>
      <c r="J11310" s="5">
        <f>VALUE(5091)</f>
        <v>5091</v>
      </c>
      <c r="K11310" s="1">
        <f>VALUE(6978)</f>
        <v>6978</v>
      </c>
      <c r="L11310" s="7">
        <f>VALUE(7677)</f>
        <v>7677</v>
      </c>
      <c r="M11310" s="1">
        <f>VALUE(9728)</f>
        <v>9728</v>
      </c>
      <c r="N11310" t="s">
        <v>25</v>
      </c>
    </row>
    <row r="11311" spans="1:14" x14ac:dyDescent="0.25">
      <c r="A11311" t="s">
        <v>44</v>
      </c>
      <c r="B11311" t="s">
        <v>15</v>
      </c>
      <c r="C11311" t="s">
        <v>38</v>
      </c>
      <c r="D11311" t="s">
        <v>32</v>
      </c>
      <c r="E11311" t="s">
        <v>21</v>
      </c>
      <c r="F11311" t="s">
        <v>20</v>
      </c>
      <c r="G11311" s="2">
        <f>VALUE(718.8)</f>
        <v>718.8</v>
      </c>
      <c r="H11311" s="3">
        <f>VALUE(550.76)</f>
        <v>550.76</v>
      </c>
      <c r="I11311" s="4">
        <f>VALUE(3938)</f>
        <v>3938</v>
      </c>
      <c r="J11311" s="5">
        <f>VALUE(4803)</f>
        <v>4803</v>
      </c>
      <c r="K11311" s="6">
        <f>VALUE(6596)</f>
        <v>6596</v>
      </c>
      <c r="L11311" s="1">
        <f>VALUE(7799)</f>
        <v>7799</v>
      </c>
      <c r="M11311" s="8">
        <f>VALUE(8457)</f>
        <v>8457</v>
      </c>
      <c r="N11311" t="s">
        <v>25</v>
      </c>
    </row>
    <row r="11312" spans="1:14" x14ac:dyDescent="0.25">
      <c r="A11312" t="s">
        <v>44</v>
      </c>
      <c r="B11312" t="s">
        <v>15</v>
      </c>
      <c r="C11312" t="s">
        <v>38</v>
      </c>
      <c r="D11312" t="s">
        <v>32</v>
      </c>
      <c r="E11312" t="s">
        <v>22</v>
      </c>
      <c r="F11312" t="s">
        <v>15</v>
      </c>
      <c r="G11312" s="1">
        <f>VALUE(3383.33)</f>
        <v>3383.33</v>
      </c>
      <c r="H11312" s="1">
        <f>VALUE(3058.1)</f>
        <v>3058.1</v>
      </c>
      <c r="I11312" s="1">
        <f>VALUE(3986)</f>
        <v>3986</v>
      </c>
      <c r="J11312" s="1">
        <f>VALUE(4712)</f>
        <v>4712</v>
      </c>
      <c r="K11312" s="1">
        <f>VALUE(5632)</f>
        <v>5632</v>
      </c>
      <c r="L11312" s="1">
        <f>VALUE(6839)</f>
        <v>6839</v>
      </c>
      <c r="M11312" s="1">
        <f>VALUE(7916)</f>
        <v>7916</v>
      </c>
      <c r="N11312" t="s">
        <v>16</v>
      </c>
    </row>
    <row r="11313" spans="1:14" x14ac:dyDescent="0.25">
      <c r="A11313" t="s">
        <v>44</v>
      </c>
      <c r="B11313" t="s">
        <v>15</v>
      </c>
      <c r="C11313" t="s">
        <v>38</v>
      </c>
      <c r="D11313" t="s">
        <v>32</v>
      </c>
      <c r="E11313" t="s">
        <v>22</v>
      </c>
      <c r="F11313" t="s">
        <v>17</v>
      </c>
      <c r="G11313" s="2">
        <f>VALUE(441.45)</f>
        <v>441.45</v>
      </c>
      <c r="H11313" s="3">
        <f>VALUE(380.85)</f>
        <v>380.85</v>
      </c>
      <c r="I11313" s="1">
        <f>VALUE(4549)</f>
        <v>4549</v>
      </c>
      <c r="J11313" s="5">
        <f>VALUE(6123)</f>
        <v>6123</v>
      </c>
      <c r="K11313" s="1">
        <f>VALUE(7076)</f>
        <v>7076</v>
      </c>
      <c r="L11313" s="7">
        <f>VALUE(9853)</f>
        <v>9853</v>
      </c>
      <c r="M11313" s="8">
        <f>VALUE(13512)</f>
        <v>13512</v>
      </c>
      <c r="N11313" t="s">
        <v>25</v>
      </c>
    </row>
    <row r="11314" spans="1:14" x14ac:dyDescent="0.25">
      <c r="A11314" t="s">
        <v>44</v>
      </c>
      <c r="B11314" t="s">
        <v>15</v>
      </c>
      <c r="C11314" t="s">
        <v>38</v>
      </c>
      <c r="D11314" t="s">
        <v>32</v>
      </c>
      <c r="E11314" t="s">
        <v>22</v>
      </c>
      <c r="F11314" t="s">
        <v>18</v>
      </c>
      <c r="G11314" s="2">
        <f>VALUE(286.6)</f>
        <v>286.60000000000002</v>
      </c>
      <c r="H11314" s="3">
        <f>VALUE(265.85)</f>
        <v>265.85000000000002</v>
      </c>
      <c r="I11314" s="4">
        <f>VALUE(4256)</f>
        <v>4256</v>
      </c>
      <c r="J11314" s="1">
        <f>VALUE(5169)</f>
        <v>5169</v>
      </c>
      <c r="K11314" s="6">
        <f>VALUE(6240)</f>
        <v>6240</v>
      </c>
      <c r="L11314" s="1">
        <f>VALUE(7777)</f>
        <v>7777</v>
      </c>
      <c r="M11314" s="8">
        <f>VALUE(8968)</f>
        <v>8968</v>
      </c>
      <c r="N11314" t="s">
        <v>25</v>
      </c>
    </row>
    <row r="11315" spans="1:14" x14ac:dyDescent="0.25">
      <c r="A11315" t="s">
        <v>44</v>
      </c>
      <c r="B11315" t="s">
        <v>15</v>
      </c>
      <c r="C11315" t="s">
        <v>38</v>
      </c>
      <c r="D11315" t="s">
        <v>32</v>
      </c>
      <c r="E11315" t="s">
        <v>22</v>
      </c>
      <c r="F11315" t="s">
        <v>19</v>
      </c>
      <c r="G11315" s="2">
        <f>VALUE(652.53)</f>
        <v>652.53</v>
      </c>
      <c r="H11315" s="3">
        <f>VALUE(631.98)</f>
        <v>631.98</v>
      </c>
      <c r="I11315" s="4">
        <f>VALUE(4193)</f>
        <v>4193</v>
      </c>
      <c r="J11315" s="5">
        <f>VALUE(5263)</f>
        <v>5263</v>
      </c>
      <c r="K11315" s="1">
        <f>VALUE(6173)</f>
        <v>6173</v>
      </c>
      <c r="L11315" s="7">
        <f>VALUE(6927)</f>
        <v>6927</v>
      </c>
      <c r="M11315" s="1">
        <f>VALUE(7916)</f>
        <v>7916</v>
      </c>
      <c r="N11315" t="s">
        <v>25</v>
      </c>
    </row>
    <row r="11316" spans="1:14" x14ac:dyDescent="0.25">
      <c r="A11316" t="s">
        <v>44</v>
      </c>
      <c r="B11316" t="s">
        <v>15</v>
      </c>
      <c r="C11316" t="s">
        <v>38</v>
      </c>
      <c r="D11316" t="s">
        <v>32</v>
      </c>
      <c r="E11316" t="s">
        <v>22</v>
      </c>
      <c r="F11316" t="s">
        <v>20</v>
      </c>
      <c r="G11316" s="1">
        <f>VALUE(2002.75)</f>
        <v>2002.75</v>
      </c>
      <c r="H11316" s="1">
        <f>VALUE(1779.42)</f>
        <v>1779.42</v>
      </c>
      <c r="I11316" s="1">
        <f>VALUE(3810)</f>
        <v>3810</v>
      </c>
      <c r="J11316" s="1">
        <f>VALUE(4429)</f>
        <v>4429</v>
      </c>
      <c r="K11316" s="1">
        <f>VALUE(5362)</f>
        <v>5362</v>
      </c>
      <c r="L11316" s="1">
        <f>VALUE(6092)</f>
        <v>6092</v>
      </c>
      <c r="M11316" s="1">
        <f>VALUE(7137)</f>
        <v>7137</v>
      </c>
      <c r="N11316" t="s">
        <v>16</v>
      </c>
    </row>
    <row r="11317" spans="1:14" x14ac:dyDescent="0.25">
      <c r="A11317" t="s">
        <v>44</v>
      </c>
      <c r="B11317" t="s">
        <v>15</v>
      </c>
      <c r="C11317" t="s">
        <v>38</v>
      </c>
      <c r="D11317" t="s">
        <v>32</v>
      </c>
      <c r="E11317" t="s">
        <v>23</v>
      </c>
      <c r="F11317" t="s">
        <v>15</v>
      </c>
      <c r="G11317" s="1">
        <f>VALUE(7367.57)</f>
        <v>7367.57</v>
      </c>
      <c r="H11317" s="1">
        <f>VALUE(6209.55)</f>
        <v>6209.55</v>
      </c>
      <c r="I11317" s="1">
        <f>VALUE(3177)</f>
        <v>3177</v>
      </c>
      <c r="J11317" s="1">
        <f>VALUE(3670)</f>
        <v>3670</v>
      </c>
      <c r="K11317" s="1">
        <f>VALUE(4541)</f>
        <v>4541</v>
      </c>
      <c r="L11317" s="1">
        <f>VALUE(5555)</f>
        <v>5555</v>
      </c>
      <c r="M11317" s="1">
        <f>VALUE(6236)</f>
        <v>6236</v>
      </c>
      <c r="N11317" t="s">
        <v>16</v>
      </c>
    </row>
    <row r="11318" spans="1:14" x14ac:dyDescent="0.25">
      <c r="A11318" t="s">
        <v>44</v>
      </c>
      <c r="B11318" t="s">
        <v>15</v>
      </c>
      <c r="C11318" t="s">
        <v>38</v>
      </c>
      <c r="D11318" t="s">
        <v>32</v>
      </c>
      <c r="E11318" t="s">
        <v>23</v>
      </c>
      <c r="F11318" t="s">
        <v>17</v>
      </c>
      <c r="G11318" s="1" t="str">
        <f t="shared" ref="G11318:M11319" si="2535">"X"</f>
        <v>X</v>
      </c>
      <c r="H11318" s="1" t="str">
        <f t="shared" si="2535"/>
        <v>X</v>
      </c>
      <c r="I11318" s="1" t="str">
        <f t="shared" si="2535"/>
        <v>X</v>
      </c>
      <c r="J11318" s="1" t="str">
        <f t="shared" si="2535"/>
        <v>X</v>
      </c>
      <c r="K11318" s="1" t="str">
        <f t="shared" si="2535"/>
        <v>X</v>
      </c>
      <c r="L11318" s="1" t="str">
        <f t="shared" si="2535"/>
        <v>X</v>
      </c>
      <c r="M11318" s="1" t="str">
        <f t="shared" si="2535"/>
        <v>X</v>
      </c>
      <c r="N11318" t="s">
        <v>27</v>
      </c>
    </row>
    <row r="11319" spans="1:14" x14ac:dyDescent="0.25">
      <c r="A11319" t="s">
        <v>44</v>
      </c>
      <c r="B11319" t="s">
        <v>15</v>
      </c>
      <c r="C11319" t="s">
        <v>38</v>
      </c>
      <c r="D11319" t="s">
        <v>32</v>
      </c>
      <c r="E11319" t="s">
        <v>23</v>
      </c>
      <c r="F11319" t="s">
        <v>18</v>
      </c>
      <c r="G11319" s="1" t="str">
        <f t="shared" si="2535"/>
        <v>X</v>
      </c>
      <c r="H11319" s="1" t="str">
        <f t="shared" si="2535"/>
        <v>X</v>
      </c>
      <c r="I11319" s="1" t="str">
        <f t="shared" si="2535"/>
        <v>X</v>
      </c>
      <c r="J11319" s="1" t="str">
        <f t="shared" si="2535"/>
        <v>X</v>
      </c>
      <c r="K11319" s="1" t="str">
        <f t="shared" si="2535"/>
        <v>X</v>
      </c>
      <c r="L11319" s="1" t="str">
        <f t="shared" si="2535"/>
        <v>X</v>
      </c>
      <c r="M11319" s="1" t="str">
        <f t="shared" si="2535"/>
        <v>X</v>
      </c>
      <c r="N11319" t="s">
        <v>27</v>
      </c>
    </row>
    <row r="11320" spans="1:14" x14ac:dyDescent="0.25">
      <c r="A11320" t="s">
        <v>44</v>
      </c>
      <c r="B11320" t="s">
        <v>15</v>
      </c>
      <c r="C11320" t="s">
        <v>38</v>
      </c>
      <c r="D11320" t="s">
        <v>32</v>
      </c>
      <c r="E11320" t="s">
        <v>23</v>
      </c>
      <c r="F11320" t="s">
        <v>19</v>
      </c>
      <c r="G11320" s="2">
        <f>VALUE(457.68)</f>
        <v>457.68</v>
      </c>
      <c r="H11320" s="3">
        <f>VALUE(442.95)</f>
        <v>442.95</v>
      </c>
      <c r="I11320" s="1">
        <f>VALUE(3466)</f>
        <v>3466</v>
      </c>
      <c r="J11320" s="1">
        <f>VALUE(4597)</f>
        <v>4597</v>
      </c>
      <c r="K11320" s="1">
        <f>VALUE(5386)</f>
        <v>5386</v>
      </c>
      <c r="L11320" s="1">
        <f>VALUE(6320)</f>
        <v>6320</v>
      </c>
      <c r="M11320" s="1">
        <f>VALUE(7120)</f>
        <v>7120</v>
      </c>
      <c r="N11320" t="s">
        <v>25</v>
      </c>
    </row>
    <row r="11321" spans="1:14" x14ac:dyDescent="0.25">
      <c r="A11321" t="s">
        <v>44</v>
      </c>
      <c r="B11321" t="s">
        <v>15</v>
      </c>
      <c r="C11321" t="s">
        <v>38</v>
      </c>
      <c r="D11321" t="s">
        <v>32</v>
      </c>
      <c r="E11321" t="s">
        <v>23</v>
      </c>
      <c r="F11321" t="s">
        <v>20</v>
      </c>
      <c r="G11321" s="1">
        <f>VALUE(6582.27)</f>
        <v>6582.27</v>
      </c>
      <c r="H11321" s="1">
        <f>VALUE(5438.42)</f>
        <v>5438.42</v>
      </c>
      <c r="I11321" s="1">
        <f>VALUE(3158)</f>
        <v>3158</v>
      </c>
      <c r="J11321" s="1">
        <f>VALUE(3629)</f>
        <v>3629</v>
      </c>
      <c r="K11321" s="1">
        <f>VALUE(4447)</f>
        <v>4447</v>
      </c>
      <c r="L11321" s="1">
        <f>VALUE(5424)</f>
        <v>5424</v>
      </c>
      <c r="M11321" s="1">
        <f>VALUE(6102)</f>
        <v>6102</v>
      </c>
      <c r="N11321" t="s">
        <v>16</v>
      </c>
    </row>
    <row r="11322" spans="1:14" x14ac:dyDescent="0.25">
      <c r="A11322" t="s">
        <v>44</v>
      </c>
      <c r="B11322" t="s">
        <v>15</v>
      </c>
      <c r="C11322" t="s">
        <v>38</v>
      </c>
      <c r="D11322" t="s">
        <v>32</v>
      </c>
      <c r="E11322" t="s">
        <v>26</v>
      </c>
      <c r="F11322" t="s">
        <v>15</v>
      </c>
      <c r="G11322" s="2">
        <f>VALUE(217.52)</f>
        <v>217.52</v>
      </c>
      <c r="H11322" s="3">
        <f>VALUE(206.18)</f>
        <v>206.18</v>
      </c>
      <c r="I11322" s="4">
        <f>VALUE(4971)</f>
        <v>4971</v>
      </c>
      <c r="J11322" s="1">
        <f>VALUE(5634)</f>
        <v>5634</v>
      </c>
      <c r="K11322" s="6">
        <f>VALUE(7135)</f>
        <v>7135</v>
      </c>
      <c r="L11322" s="7">
        <f>VALUE(10243)</f>
        <v>10243</v>
      </c>
      <c r="M11322" s="1">
        <f>VALUE(15467)</f>
        <v>15467</v>
      </c>
      <c r="N11322" t="s">
        <v>25</v>
      </c>
    </row>
    <row r="11323" spans="1:14" x14ac:dyDescent="0.25">
      <c r="A11323" t="s">
        <v>44</v>
      </c>
      <c r="B11323" t="s">
        <v>15</v>
      </c>
      <c r="C11323" t="s">
        <v>38</v>
      </c>
      <c r="D11323" t="s">
        <v>32</v>
      </c>
      <c r="E11323" t="s">
        <v>26</v>
      </c>
      <c r="F11323" t="s">
        <v>17</v>
      </c>
      <c r="G11323" s="1" t="str">
        <f t="shared" ref="G11323:M11324" si="2536">"X"</f>
        <v>X</v>
      </c>
      <c r="H11323" s="1" t="str">
        <f t="shared" si="2536"/>
        <v>X</v>
      </c>
      <c r="I11323" s="1" t="str">
        <f t="shared" si="2536"/>
        <v>X</v>
      </c>
      <c r="J11323" s="1" t="str">
        <f t="shared" si="2536"/>
        <v>X</v>
      </c>
      <c r="K11323" s="1" t="str">
        <f t="shared" si="2536"/>
        <v>X</v>
      </c>
      <c r="L11323" s="1" t="str">
        <f t="shared" si="2536"/>
        <v>X</v>
      </c>
      <c r="M11323" s="1" t="str">
        <f t="shared" si="2536"/>
        <v>X</v>
      </c>
      <c r="N11323" t="s">
        <v>27</v>
      </c>
    </row>
    <row r="11324" spans="1:14" x14ac:dyDescent="0.25">
      <c r="A11324" t="s">
        <v>44</v>
      </c>
      <c r="B11324" t="s">
        <v>15</v>
      </c>
      <c r="C11324" t="s">
        <v>38</v>
      </c>
      <c r="D11324" t="s">
        <v>32</v>
      </c>
      <c r="E11324" t="s">
        <v>26</v>
      </c>
      <c r="F11324" t="s">
        <v>18</v>
      </c>
      <c r="G11324" s="1" t="str">
        <f t="shared" si="2536"/>
        <v>X</v>
      </c>
      <c r="H11324" s="1" t="str">
        <f t="shared" si="2536"/>
        <v>X</v>
      </c>
      <c r="I11324" s="1" t="str">
        <f t="shared" si="2536"/>
        <v>X</v>
      </c>
      <c r="J11324" s="1" t="str">
        <f t="shared" si="2536"/>
        <v>X</v>
      </c>
      <c r="K11324" s="1" t="str">
        <f t="shared" si="2536"/>
        <v>X</v>
      </c>
      <c r="L11324" s="1" t="str">
        <f t="shared" si="2536"/>
        <v>X</v>
      </c>
      <c r="M11324" s="1" t="str">
        <f t="shared" si="2536"/>
        <v>X</v>
      </c>
      <c r="N11324" t="s">
        <v>27</v>
      </c>
    </row>
    <row r="11325" spans="1:14" x14ac:dyDescent="0.25">
      <c r="A11325" t="s">
        <v>44</v>
      </c>
      <c r="B11325" t="s">
        <v>15</v>
      </c>
      <c r="C11325" t="s">
        <v>38</v>
      </c>
      <c r="D11325" t="s">
        <v>32</v>
      </c>
      <c r="E11325" t="s">
        <v>26</v>
      </c>
      <c r="F11325" t="s">
        <v>19</v>
      </c>
      <c r="G11325" s="1" t="str">
        <f t="shared" ref="G11325:M11325" si="2537">"..."</f>
        <v>...</v>
      </c>
      <c r="H11325" s="1" t="str">
        <f t="shared" si="2537"/>
        <v>...</v>
      </c>
      <c r="I11325" s="1" t="str">
        <f t="shared" si="2537"/>
        <v>...</v>
      </c>
      <c r="J11325" s="1" t="str">
        <f t="shared" si="2537"/>
        <v>...</v>
      </c>
      <c r="K11325" s="1" t="str">
        <f t="shared" si="2537"/>
        <v>...</v>
      </c>
      <c r="L11325" s="1" t="str">
        <f t="shared" si="2537"/>
        <v>...</v>
      </c>
      <c r="M11325" s="1" t="str">
        <f t="shared" si="2537"/>
        <v>...</v>
      </c>
      <c r="N11325" t="s">
        <v>30</v>
      </c>
    </row>
    <row r="11326" spans="1:14" x14ac:dyDescent="0.25">
      <c r="A11326" t="s">
        <v>44</v>
      </c>
      <c r="B11326" t="s">
        <v>15</v>
      </c>
      <c r="C11326" t="s">
        <v>38</v>
      </c>
      <c r="D11326" t="s">
        <v>32</v>
      </c>
      <c r="E11326" t="s">
        <v>26</v>
      </c>
      <c r="F11326" t="s">
        <v>20</v>
      </c>
      <c r="G11326" s="1" t="str">
        <f t="shared" ref="G11326:M11329" si="2538">"X"</f>
        <v>X</v>
      </c>
      <c r="H11326" s="1" t="str">
        <f t="shared" si="2538"/>
        <v>X</v>
      </c>
      <c r="I11326" s="1" t="str">
        <f t="shared" si="2538"/>
        <v>X</v>
      </c>
      <c r="J11326" s="1" t="str">
        <f t="shared" si="2538"/>
        <v>X</v>
      </c>
      <c r="K11326" s="1" t="str">
        <f t="shared" si="2538"/>
        <v>X</v>
      </c>
      <c r="L11326" s="1" t="str">
        <f t="shared" si="2538"/>
        <v>X</v>
      </c>
      <c r="M11326" s="1" t="str">
        <f t="shared" si="2538"/>
        <v>X</v>
      </c>
      <c r="N11326" t="s">
        <v>27</v>
      </c>
    </row>
    <row r="11327" spans="1:14" x14ac:dyDescent="0.25">
      <c r="A11327" t="s">
        <v>44</v>
      </c>
      <c r="B11327" t="s">
        <v>15</v>
      </c>
      <c r="C11327" t="s">
        <v>38</v>
      </c>
      <c r="D11327" t="s">
        <v>33</v>
      </c>
      <c r="E11327" t="s">
        <v>15</v>
      </c>
      <c r="F11327" t="s">
        <v>15</v>
      </c>
      <c r="G11327" s="1" t="str">
        <f t="shared" si="2538"/>
        <v>X</v>
      </c>
      <c r="H11327" s="1" t="str">
        <f t="shared" si="2538"/>
        <v>X</v>
      </c>
      <c r="I11327" s="1" t="str">
        <f t="shared" si="2538"/>
        <v>X</v>
      </c>
      <c r="J11327" s="1" t="str">
        <f t="shared" si="2538"/>
        <v>X</v>
      </c>
      <c r="K11327" s="1" t="str">
        <f t="shared" si="2538"/>
        <v>X</v>
      </c>
      <c r="L11327" s="1" t="str">
        <f t="shared" si="2538"/>
        <v>X</v>
      </c>
      <c r="M11327" s="1" t="str">
        <f t="shared" si="2538"/>
        <v>X</v>
      </c>
      <c r="N11327" t="s">
        <v>27</v>
      </c>
    </row>
    <row r="11328" spans="1:14" x14ac:dyDescent="0.25">
      <c r="A11328" t="s">
        <v>44</v>
      </c>
      <c r="B11328" t="s">
        <v>15</v>
      </c>
      <c r="C11328" t="s">
        <v>38</v>
      </c>
      <c r="D11328" t="s">
        <v>33</v>
      </c>
      <c r="E11328" t="s">
        <v>15</v>
      </c>
      <c r="F11328" t="s">
        <v>17</v>
      </c>
      <c r="G11328" s="1" t="str">
        <f t="shared" si="2538"/>
        <v>X</v>
      </c>
      <c r="H11328" s="1" t="str">
        <f t="shared" si="2538"/>
        <v>X</v>
      </c>
      <c r="I11328" s="1" t="str">
        <f t="shared" si="2538"/>
        <v>X</v>
      </c>
      <c r="J11328" s="1" t="str">
        <f t="shared" si="2538"/>
        <v>X</v>
      </c>
      <c r="K11328" s="1" t="str">
        <f t="shared" si="2538"/>
        <v>X</v>
      </c>
      <c r="L11328" s="1" t="str">
        <f t="shared" si="2538"/>
        <v>X</v>
      </c>
      <c r="M11328" s="1" t="str">
        <f t="shared" si="2538"/>
        <v>X</v>
      </c>
      <c r="N11328" t="s">
        <v>27</v>
      </c>
    </row>
    <row r="11329" spans="1:14" x14ac:dyDescent="0.25">
      <c r="A11329" t="s">
        <v>44</v>
      </c>
      <c r="B11329" t="s">
        <v>15</v>
      </c>
      <c r="C11329" t="s">
        <v>38</v>
      </c>
      <c r="D11329" t="s">
        <v>33</v>
      </c>
      <c r="E11329" t="s">
        <v>15</v>
      </c>
      <c r="F11329" t="s">
        <v>18</v>
      </c>
      <c r="G11329" s="1" t="str">
        <f t="shared" si="2538"/>
        <v>X</v>
      </c>
      <c r="H11329" s="1" t="str">
        <f t="shared" si="2538"/>
        <v>X</v>
      </c>
      <c r="I11329" s="1" t="str">
        <f t="shared" si="2538"/>
        <v>X</v>
      </c>
      <c r="J11329" s="1" t="str">
        <f t="shared" si="2538"/>
        <v>X</v>
      </c>
      <c r="K11329" s="1" t="str">
        <f t="shared" si="2538"/>
        <v>X</v>
      </c>
      <c r="L11329" s="1" t="str">
        <f t="shared" si="2538"/>
        <v>X</v>
      </c>
      <c r="M11329" s="1" t="str">
        <f t="shared" si="2538"/>
        <v>X</v>
      </c>
      <c r="N11329" t="s">
        <v>27</v>
      </c>
    </row>
    <row r="11330" spans="1:14" x14ac:dyDescent="0.25">
      <c r="A11330" t="s">
        <v>44</v>
      </c>
      <c r="B11330" t="s">
        <v>15</v>
      </c>
      <c r="C11330" t="s">
        <v>38</v>
      </c>
      <c r="D11330" t="s">
        <v>33</v>
      </c>
      <c r="E11330" t="s">
        <v>15</v>
      </c>
      <c r="F11330" t="s">
        <v>19</v>
      </c>
      <c r="G11330" s="1" t="str">
        <f t="shared" ref="G11330:M11330" si="2539">"..."</f>
        <v>...</v>
      </c>
      <c r="H11330" s="1" t="str">
        <f t="shared" si="2539"/>
        <v>...</v>
      </c>
      <c r="I11330" s="1" t="str">
        <f t="shared" si="2539"/>
        <v>...</v>
      </c>
      <c r="J11330" s="1" t="str">
        <f t="shared" si="2539"/>
        <v>...</v>
      </c>
      <c r="K11330" s="1" t="str">
        <f t="shared" si="2539"/>
        <v>...</v>
      </c>
      <c r="L11330" s="1" t="str">
        <f t="shared" si="2539"/>
        <v>...</v>
      </c>
      <c r="M11330" s="1" t="str">
        <f t="shared" si="2539"/>
        <v>...</v>
      </c>
      <c r="N11330" t="s">
        <v>30</v>
      </c>
    </row>
    <row r="11331" spans="1:14" x14ac:dyDescent="0.25">
      <c r="A11331" t="s">
        <v>44</v>
      </c>
      <c r="B11331" t="s">
        <v>15</v>
      </c>
      <c r="C11331" t="s">
        <v>38</v>
      </c>
      <c r="D11331" t="s">
        <v>33</v>
      </c>
      <c r="E11331" t="s">
        <v>15</v>
      </c>
      <c r="F11331" t="s">
        <v>20</v>
      </c>
      <c r="G11331" s="1" t="str">
        <f t="shared" ref="G11331:M11334" si="2540">"X"</f>
        <v>X</v>
      </c>
      <c r="H11331" s="1" t="str">
        <f t="shared" si="2540"/>
        <v>X</v>
      </c>
      <c r="I11331" s="1" t="str">
        <f t="shared" si="2540"/>
        <v>X</v>
      </c>
      <c r="J11331" s="1" t="str">
        <f t="shared" si="2540"/>
        <v>X</v>
      </c>
      <c r="K11331" s="1" t="str">
        <f t="shared" si="2540"/>
        <v>X</v>
      </c>
      <c r="L11331" s="1" t="str">
        <f t="shared" si="2540"/>
        <v>X</v>
      </c>
      <c r="M11331" s="1" t="str">
        <f t="shared" si="2540"/>
        <v>X</v>
      </c>
      <c r="N11331" t="s">
        <v>27</v>
      </c>
    </row>
    <row r="11332" spans="1:14" x14ac:dyDescent="0.25">
      <c r="A11332" t="s">
        <v>44</v>
      </c>
      <c r="B11332" t="s">
        <v>15</v>
      </c>
      <c r="C11332" t="s">
        <v>38</v>
      </c>
      <c r="D11332" t="s">
        <v>33</v>
      </c>
      <c r="E11332" t="s">
        <v>21</v>
      </c>
      <c r="F11332" t="s">
        <v>15</v>
      </c>
      <c r="G11332" s="1" t="str">
        <f t="shared" si="2540"/>
        <v>X</v>
      </c>
      <c r="H11332" s="1" t="str">
        <f t="shared" si="2540"/>
        <v>X</v>
      </c>
      <c r="I11332" s="1" t="str">
        <f t="shared" si="2540"/>
        <v>X</v>
      </c>
      <c r="J11332" s="1" t="str">
        <f t="shared" si="2540"/>
        <v>X</v>
      </c>
      <c r="K11332" s="1" t="str">
        <f t="shared" si="2540"/>
        <v>X</v>
      </c>
      <c r="L11332" s="1" t="str">
        <f t="shared" si="2540"/>
        <v>X</v>
      </c>
      <c r="M11332" s="1" t="str">
        <f t="shared" si="2540"/>
        <v>X</v>
      </c>
      <c r="N11332" t="s">
        <v>27</v>
      </c>
    </row>
    <row r="11333" spans="1:14" x14ac:dyDescent="0.25">
      <c r="A11333" t="s">
        <v>44</v>
      </c>
      <c r="B11333" t="s">
        <v>15</v>
      </c>
      <c r="C11333" t="s">
        <v>38</v>
      </c>
      <c r="D11333" t="s">
        <v>33</v>
      </c>
      <c r="E11333" t="s">
        <v>21</v>
      </c>
      <c r="F11333" t="s">
        <v>17</v>
      </c>
      <c r="G11333" s="1" t="str">
        <f t="shared" si="2540"/>
        <v>X</v>
      </c>
      <c r="H11333" s="1" t="str">
        <f t="shared" si="2540"/>
        <v>X</v>
      </c>
      <c r="I11333" s="1" t="str">
        <f t="shared" si="2540"/>
        <v>X</v>
      </c>
      <c r="J11333" s="1" t="str">
        <f t="shared" si="2540"/>
        <v>X</v>
      </c>
      <c r="K11333" s="1" t="str">
        <f t="shared" si="2540"/>
        <v>X</v>
      </c>
      <c r="L11333" s="1" t="str">
        <f t="shared" si="2540"/>
        <v>X</v>
      </c>
      <c r="M11333" s="1" t="str">
        <f t="shared" si="2540"/>
        <v>X</v>
      </c>
      <c r="N11333" t="s">
        <v>27</v>
      </c>
    </row>
    <row r="11334" spans="1:14" x14ac:dyDescent="0.25">
      <c r="A11334" t="s">
        <v>44</v>
      </c>
      <c r="B11334" t="s">
        <v>15</v>
      </c>
      <c r="C11334" t="s">
        <v>38</v>
      </c>
      <c r="D11334" t="s">
        <v>33</v>
      </c>
      <c r="E11334" t="s">
        <v>21</v>
      </c>
      <c r="F11334" t="s">
        <v>18</v>
      </c>
      <c r="G11334" s="1" t="str">
        <f t="shared" si="2540"/>
        <v>X</v>
      </c>
      <c r="H11334" s="1" t="str">
        <f t="shared" si="2540"/>
        <v>X</v>
      </c>
      <c r="I11334" s="1" t="str">
        <f t="shared" si="2540"/>
        <v>X</v>
      </c>
      <c r="J11334" s="1" t="str">
        <f t="shared" si="2540"/>
        <v>X</v>
      </c>
      <c r="K11334" s="1" t="str">
        <f t="shared" si="2540"/>
        <v>X</v>
      </c>
      <c r="L11334" s="1" t="str">
        <f t="shared" si="2540"/>
        <v>X</v>
      </c>
      <c r="M11334" s="1" t="str">
        <f t="shared" si="2540"/>
        <v>X</v>
      </c>
      <c r="N11334" t="s">
        <v>27</v>
      </c>
    </row>
    <row r="11335" spans="1:14" x14ac:dyDescent="0.25">
      <c r="A11335" t="s">
        <v>44</v>
      </c>
      <c r="B11335" t="s">
        <v>15</v>
      </c>
      <c r="C11335" t="s">
        <v>38</v>
      </c>
      <c r="D11335" t="s">
        <v>33</v>
      </c>
      <c r="E11335" t="s">
        <v>21</v>
      </c>
      <c r="F11335" t="s">
        <v>19</v>
      </c>
      <c r="G11335" s="1" t="str">
        <f t="shared" ref="G11335:M11335" si="2541">"..."</f>
        <v>...</v>
      </c>
      <c r="H11335" s="1" t="str">
        <f t="shared" si="2541"/>
        <v>...</v>
      </c>
      <c r="I11335" s="1" t="str">
        <f t="shared" si="2541"/>
        <v>...</v>
      </c>
      <c r="J11335" s="1" t="str">
        <f t="shared" si="2541"/>
        <v>...</v>
      </c>
      <c r="K11335" s="1" t="str">
        <f t="shared" si="2541"/>
        <v>...</v>
      </c>
      <c r="L11335" s="1" t="str">
        <f t="shared" si="2541"/>
        <v>...</v>
      </c>
      <c r="M11335" s="1" t="str">
        <f t="shared" si="2541"/>
        <v>...</v>
      </c>
      <c r="N11335" t="s">
        <v>30</v>
      </c>
    </row>
    <row r="11336" spans="1:14" x14ac:dyDescent="0.25">
      <c r="A11336" t="s">
        <v>44</v>
      </c>
      <c r="B11336" t="s">
        <v>15</v>
      </c>
      <c r="C11336" t="s">
        <v>38</v>
      </c>
      <c r="D11336" t="s">
        <v>33</v>
      </c>
      <c r="E11336" t="s">
        <v>21</v>
      </c>
      <c r="F11336" t="s">
        <v>20</v>
      </c>
      <c r="G11336" s="1" t="str">
        <f t="shared" ref="G11336:M11339" si="2542">"X"</f>
        <v>X</v>
      </c>
      <c r="H11336" s="1" t="str">
        <f t="shared" si="2542"/>
        <v>X</v>
      </c>
      <c r="I11336" s="1" t="str">
        <f t="shared" si="2542"/>
        <v>X</v>
      </c>
      <c r="J11336" s="1" t="str">
        <f t="shared" si="2542"/>
        <v>X</v>
      </c>
      <c r="K11336" s="1" t="str">
        <f t="shared" si="2542"/>
        <v>X</v>
      </c>
      <c r="L11336" s="1" t="str">
        <f t="shared" si="2542"/>
        <v>X</v>
      </c>
      <c r="M11336" s="1" t="str">
        <f t="shared" si="2542"/>
        <v>X</v>
      </c>
      <c r="N11336" t="s">
        <v>27</v>
      </c>
    </row>
    <row r="11337" spans="1:14" x14ac:dyDescent="0.25">
      <c r="A11337" t="s">
        <v>44</v>
      </c>
      <c r="B11337" t="s">
        <v>15</v>
      </c>
      <c r="C11337" t="s">
        <v>38</v>
      </c>
      <c r="D11337" t="s">
        <v>33</v>
      </c>
      <c r="E11337" t="s">
        <v>22</v>
      </c>
      <c r="F11337" t="s">
        <v>15</v>
      </c>
      <c r="G11337" s="1" t="str">
        <f t="shared" si="2542"/>
        <v>X</v>
      </c>
      <c r="H11337" s="1" t="str">
        <f t="shared" si="2542"/>
        <v>X</v>
      </c>
      <c r="I11337" s="1" t="str">
        <f t="shared" si="2542"/>
        <v>X</v>
      </c>
      <c r="J11337" s="1" t="str">
        <f t="shared" si="2542"/>
        <v>X</v>
      </c>
      <c r="K11337" s="1" t="str">
        <f t="shared" si="2542"/>
        <v>X</v>
      </c>
      <c r="L11337" s="1" t="str">
        <f t="shared" si="2542"/>
        <v>X</v>
      </c>
      <c r="M11337" s="1" t="str">
        <f t="shared" si="2542"/>
        <v>X</v>
      </c>
      <c r="N11337" t="s">
        <v>27</v>
      </c>
    </row>
    <row r="11338" spans="1:14" x14ac:dyDescent="0.25">
      <c r="A11338" t="s">
        <v>44</v>
      </c>
      <c r="B11338" t="s">
        <v>15</v>
      </c>
      <c r="C11338" t="s">
        <v>38</v>
      </c>
      <c r="D11338" t="s">
        <v>33</v>
      </c>
      <c r="E11338" t="s">
        <v>22</v>
      </c>
      <c r="F11338" t="s">
        <v>17</v>
      </c>
      <c r="G11338" s="1" t="str">
        <f t="shared" si="2542"/>
        <v>X</v>
      </c>
      <c r="H11338" s="1" t="str">
        <f t="shared" si="2542"/>
        <v>X</v>
      </c>
      <c r="I11338" s="1" t="str">
        <f t="shared" si="2542"/>
        <v>X</v>
      </c>
      <c r="J11338" s="1" t="str">
        <f t="shared" si="2542"/>
        <v>X</v>
      </c>
      <c r="K11338" s="1" t="str">
        <f t="shared" si="2542"/>
        <v>X</v>
      </c>
      <c r="L11338" s="1" t="str">
        <f t="shared" si="2542"/>
        <v>X</v>
      </c>
      <c r="M11338" s="1" t="str">
        <f t="shared" si="2542"/>
        <v>X</v>
      </c>
      <c r="N11338" t="s">
        <v>27</v>
      </c>
    </row>
    <row r="11339" spans="1:14" x14ac:dyDescent="0.25">
      <c r="A11339" t="s">
        <v>44</v>
      </c>
      <c r="B11339" t="s">
        <v>15</v>
      </c>
      <c r="C11339" t="s">
        <v>38</v>
      </c>
      <c r="D11339" t="s">
        <v>33</v>
      </c>
      <c r="E11339" t="s">
        <v>22</v>
      </c>
      <c r="F11339" t="s">
        <v>18</v>
      </c>
      <c r="G11339" s="1" t="str">
        <f t="shared" si="2542"/>
        <v>X</v>
      </c>
      <c r="H11339" s="1" t="str">
        <f t="shared" si="2542"/>
        <v>X</v>
      </c>
      <c r="I11339" s="1" t="str">
        <f t="shared" si="2542"/>
        <v>X</v>
      </c>
      <c r="J11339" s="1" t="str">
        <f t="shared" si="2542"/>
        <v>X</v>
      </c>
      <c r="K11339" s="1" t="str">
        <f t="shared" si="2542"/>
        <v>X</v>
      </c>
      <c r="L11339" s="1" t="str">
        <f t="shared" si="2542"/>
        <v>X</v>
      </c>
      <c r="M11339" s="1" t="str">
        <f t="shared" si="2542"/>
        <v>X</v>
      </c>
      <c r="N11339" t="s">
        <v>27</v>
      </c>
    </row>
    <row r="11340" spans="1:14" x14ac:dyDescent="0.25">
      <c r="A11340" t="s">
        <v>44</v>
      </c>
      <c r="B11340" t="s">
        <v>15</v>
      </c>
      <c r="C11340" t="s">
        <v>38</v>
      </c>
      <c r="D11340" t="s">
        <v>33</v>
      </c>
      <c r="E11340" t="s">
        <v>22</v>
      </c>
      <c r="F11340" t="s">
        <v>19</v>
      </c>
      <c r="G11340" s="1" t="str">
        <f t="shared" ref="G11340:M11340" si="2543">"..."</f>
        <v>...</v>
      </c>
      <c r="H11340" s="1" t="str">
        <f t="shared" si="2543"/>
        <v>...</v>
      </c>
      <c r="I11340" s="1" t="str">
        <f t="shared" si="2543"/>
        <v>...</v>
      </c>
      <c r="J11340" s="1" t="str">
        <f t="shared" si="2543"/>
        <v>...</v>
      </c>
      <c r="K11340" s="1" t="str">
        <f t="shared" si="2543"/>
        <v>...</v>
      </c>
      <c r="L11340" s="1" t="str">
        <f t="shared" si="2543"/>
        <v>...</v>
      </c>
      <c r="M11340" s="1" t="str">
        <f t="shared" si="2543"/>
        <v>...</v>
      </c>
      <c r="N11340" t="s">
        <v>30</v>
      </c>
    </row>
    <row r="11341" spans="1:14" x14ac:dyDescent="0.25">
      <c r="A11341" t="s">
        <v>44</v>
      </c>
      <c r="B11341" t="s">
        <v>15</v>
      </c>
      <c r="C11341" t="s">
        <v>38</v>
      </c>
      <c r="D11341" t="s">
        <v>33</v>
      </c>
      <c r="E11341" t="s">
        <v>22</v>
      </c>
      <c r="F11341" t="s">
        <v>20</v>
      </c>
      <c r="G11341" s="1" t="str">
        <f t="shared" ref="G11341:M11342" si="2544">"X"</f>
        <v>X</v>
      </c>
      <c r="H11341" s="1" t="str">
        <f t="shared" si="2544"/>
        <v>X</v>
      </c>
      <c r="I11341" s="1" t="str">
        <f t="shared" si="2544"/>
        <v>X</v>
      </c>
      <c r="J11341" s="1" t="str">
        <f t="shared" si="2544"/>
        <v>X</v>
      </c>
      <c r="K11341" s="1" t="str">
        <f t="shared" si="2544"/>
        <v>X</v>
      </c>
      <c r="L11341" s="1" t="str">
        <f t="shared" si="2544"/>
        <v>X</v>
      </c>
      <c r="M11341" s="1" t="str">
        <f t="shared" si="2544"/>
        <v>X</v>
      </c>
      <c r="N11341" t="s">
        <v>27</v>
      </c>
    </row>
    <row r="11342" spans="1:14" x14ac:dyDescent="0.25">
      <c r="A11342" t="s">
        <v>44</v>
      </c>
      <c r="B11342" t="s">
        <v>15</v>
      </c>
      <c r="C11342" t="s">
        <v>38</v>
      </c>
      <c r="D11342" t="s">
        <v>33</v>
      </c>
      <c r="E11342" t="s">
        <v>23</v>
      </c>
      <c r="F11342" t="s">
        <v>15</v>
      </c>
      <c r="G11342" s="1" t="str">
        <f t="shared" si="2544"/>
        <v>X</v>
      </c>
      <c r="H11342" s="1" t="str">
        <f t="shared" si="2544"/>
        <v>X</v>
      </c>
      <c r="I11342" s="1" t="str">
        <f t="shared" si="2544"/>
        <v>X</v>
      </c>
      <c r="J11342" s="1" t="str">
        <f t="shared" si="2544"/>
        <v>X</v>
      </c>
      <c r="K11342" s="1" t="str">
        <f t="shared" si="2544"/>
        <v>X</v>
      </c>
      <c r="L11342" s="1" t="str">
        <f t="shared" si="2544"/>
        <v>X</v>
      </c>
      <c r="M11342" s="1" t="str">
        <f t="shared" si="2544"/>
        <v>X</v>
      </c>
      <c r="N11342" t="s">
        <v>27</v>
      </c>
    </row>
    <row r="11343" spans="1:14" x14ac:dyDescent="0.25">
      <c r="A11343" t="s">
        <v>44</v>
      </c>
      <c r="B11343" t="s">
        <v>15</v>
      </c>
      <c r="C11343" t="s">
        <v>38</v>
      </c>
      <c r="D11343" t="s">
        <v>33</v>
      </c>
      <c r="E11343" t="s">
        <v>23</v>
      </c>
      <c r="F11343" t="s">
        <v>17</v>
      </c>
      <c r="G11343" s="1" t="str">
        <f t="shared" ref="G11343:M11345" si="2545">"..."</f>
        <v>...</v>
      </c>
      <c r="H11343" s="1" t="str">
        <f t="shared" si="2545"/>
        <v>...</v>
      </c>
      <c r="I11343" s="1" t="str">
        <f t="shared" si="2545"/>
        <v>...</v>
      </c>
      <c r="J11343" s="1" t="str">
        <f t="shared" si="2545"/>
        <v>...</v>
      </c>
      <c r="K11343" s="1" t="str">
        <f t="shared" si="2545"/>
        <v>...</v>
      </c>
      <c r="L11343" s="1" t="str">
        <f t="shared" si="2545"/>
        <v>...</v>
      </c>
      <c r="M11343" s="1" t="str">
        <f t="shared" si="2545"/>
        <v>...</v>
      </c>
      <c r="N11343" t="s">
        <v>30</v>
      </c>
    </row>
    <row r="11344" spans="1:14" x14ac:dyDescent="0.25">
      <c r="A11344" t="s">
        <v>44</v>
      </c>
      <c r="B11344" t="s">
        <v>15</v>
      </c>
      <c r="C11344" t="s">
        <v>38</v>
      </c>
      <c r="D11344" t="s">
        <v>33</v>
      </c>
      <c r="E11344" t="s">
        <v>23</v>
      </c>
      <c r="F11344" t="s">
        <v>18</v>
      </c>
      <c r="G11344" s="1" t="str">
        <f t="shared" si="2545"/>
        <v>...</v>
      </c>
      <c r="H11344" s="1" t="str">
        <f t="shared" si="2545"/>
        <v>...</v>
      </c>
      <c r="I11344" s="1" t="str">
        <f t="shared" si="2545"/>
        <v>...</v>
      </c>
      <c r="J11344" s="1" t="str">
        <f t="shared" si="2545"/>
        <v>...</v>
      </c>
      <c r="K11344" s="1" t="str">
        <f t="shared" si="2545"/>
        <v>...</v>
      </c>
      <c r="L11344" s="1" t="str">
        <f t="shared" si="2545"/>
        <v>...</v>
      </c>
      <c r="M11344" s="1" t="str">
        <f t="shared" si="2545"/>
        <v>...</v>
      </c>
      <c r="N11344" t="s">
        <v>30</v>
      </c>
    </row>
    <row r="11345" spans="1:14" x14ac:dyDescent="0.25">
      <c r="A11345" t="s">
        <v>44</v>
      </c>
      <c r="B11345" t="s">
        <v>15</v>
      </c>
      <c r="C11345" t="s">
        <v>38</v>
      </c>
      <c r="D11345" t="s">
        <v>33</v>
      </c>
      <c r="E11345" t="s">
        <v>23</v>
      </c>
      <c r="F11345" t="s">
        <v>19</v>
      </c>
      <c r="G11345" s="1" t="str">
        <f t="shared" si="2545"/>
        <v>...</v>
      </c>
      <c r="H11345" s="1" t="str">
        <f t="shared" si="2545"/>
        <v>...</v>
      </c>
      <c r="I11345" s="1" t="str">
        <f t="shared" si="2545"/>
        <v>...</v>
      </c>
      <c r="J11345" s="1" t="str">
        <f t="shared" si="2545"/>
        <v>...</v>
      </c>
      <c r="K11345" s="1" t="str">
        <f t="shared" si="2545"/>
        <v>...</v>
      </c>
      <c r="L11345" s="1" t="str">
        <f t="shared" si="2545"/>
        <v>...</v>
      </c>
      <c r="M11345" s="1" t="str">
        <f t="shared" si="2545"/>
        <v>...</v>
      </c>
      <c r="N11345" t="s">
        <v>30</v>
      </c>
    </row>
    <row r="11346" spans="1:14" x14ac:dyDescent="0.25">
      <c r="A11346" t="s">
        <v>44</v>
      </c>
      <c r="B11346" t="s">
        <v>15</v>
      </c>
      <c r="C11346" t="s">
        <v>38</v>
      </c>
      <c r="D11346" t="s">
        <v>33</v>
      </c>
      <c r="E11346" t="s">
        <v>23</v>
      </c>
      <c r="F11346" t="s">
        <v>20</v>
      </c>
      <c r="G11346" s="1" t="str">
        <f t="shared" ref="G11346:M11346" si="2546">"X"</f>
        <v>X</v>
      </c>
      <c r="H11346" s="1" t="str">
        <f t="shared" si="2546"/>
        <v>X</v>
      </c>
      <c r="I11346" s="1" t="str">
        <f t="shared" si="2546"/>
        <v>X</v>
      </c>
      <c r="J11346" s="1" t="str">
        <f t="shared" si="2546"/>
        <v>X</v>
      </c>
      <c r="K11346" s="1" t="str">
        <f t="shared" si="2546"/>
        <v>X</v>
      </c>
      <c r="L11346" s="1" t="str">
        <f t="shared" si="2546"/>
        <v>X</v>
      </c>
      <c r="M11346" s="1" t="str">
        <f t="shared" si="2546"/>
        <v>X</v>
      </c>
      <c r="N11346" t="s">
        <v>27</v>
      </c>
    </row>
    <row r="11347" spans="1:14" x14ac:dyDescent="0.25">
      <c r="A11347" t="s">
        <v>44</v>
      </c>
      <c r="B11347" t="s">
        <v>15</v>
      </c>
      <c r="C11347" t="s">
        <v>38</v>
      </c>
      <c r="D11347" t="s">
        <v>33</v>
      </c>
      <c r="E11347" t="s">
        <v>26</v>
      </c>
      <c r="F11347" t="s">
        <v>15</v>
      </c>
      <c r="G11347" s="1" t="str">
        <f t="shared" ref="G11347:M11351" si="2547">"..."</f>
        <v>...</v>
      </c>
      <c r="H11347" s="1" t="str">
        <f t="shared" si="2547"/>
        <v>...</v>
      </c>
      <c r="I11347" s="1" t="str">
        <f t="shared" si="2547"/>
        <v>...</v>
      </c>
      <c r="J11347" s="1" t="str">
        <f t="shared" si="2547"/>
        <v>...</v>
      </c>
      <c r="K11347" s="1" t="str">
        <f t="shared" si="2547"/>
        <v>...</v>
      </c>
      <c r="L11347" s="1" t="str">
        <f t="shared" si="2547"/>
        <v>...</v>
      </c>
      <c r="M11347" s="1" t="str">
        <f t="shared" si="2547"/>
        <v>...</v>
      </c>
      <c r="N11347" t="s">
        <v>30</v>
      </c>
    </row>
    <row r="11348" spans="1:14" x14ac:dyDescent="0.25">
      <c r="A11348" t="s">
        <v>44</v>
      </c>
      <c r="B11348" t="s">
        <v>15</v>
      </c>
      <c r="C11348" t="s">
        <v>38</v>
      </c>
      <c r="D11348" t="s">
        <v>33</v>
      </c>
      <c r="E11348" t="s">
        <v>26</v>
      </c>
      <c r="F11348" t="s">
        <v>17</v>
      </c>
      <c r="G11348" s="1" t="str">
        <f t="shared" si="2547"/>
        <v>...</v>
      </c>
      <c r="H11348" s="1" t="str">
        <f t="shared" si="2547"/>
        <v>...</v>
      </c>
      <c r="I11348" s="1" t="str">
        <f t="shared" si="2547"/>
        <v>...</v>
      </c>
      <c r="J11348" s="1" t="str">
        <f t="shared" si="2547"/>
        <v>...</v>
      </c>
      <c r="K11348" s="1" t="str">
        <f t="shared" si="2547"/>
        <v>...</v>
      </c>
      <c r="L11348" s="1" t="str">
        <f t="shared" si="2547"/>
        <v>...</v>
      </c>
      <c r="M11348" s="1" t="str">
        <f t="shared" si="2547"/>
        <v>...</v>
      </c>
      <c r="N11348" t="s">
        <v>30</v>
      </c>
    </row>
    <row r="11349" spans="1:14" x14ac:dyDescent="0.25">
      <c r="A11349" t="s">
        <v>44</v>
      </c>
      <c r="B11349" t="s">
        <v>15</v>
      </c>
      <c r="C11349" t="s">
        <v>38</v>
      </c>
      <c r="D11349" t="s">
        <v>33</v>
      </c>
      <c r="E11349" t="s">
        <v>26</v>
      </c>
      <c r="F11349" t="s">
        <v>18</v>
      </c>
      <c r="G11349" s="1" t="str">
        <f t="shared" si="2547"/>
        <v>...</v>
      </c>
      <c r="H11349" s="1" t="str">
        <f t="shared" si="2547"/>
        <v>...</v>
      </c>
      <c r="I11349" s="1" t="str">
        <f t="shared" si="2547"/>
        <v>...</v>
      </c>
      <c r="J11349" s="1" t="str">
        <f t="shared" si="2547"/>
        <v>...</v>
      </c>
      <c r="K11349" s="1" t="str">
        <f t="shared" si="2547"/>
        <v>...</v>
      </c>
      <c r="L11349" s="1" t="str">
        <f t="shared" si="2547"/>
        <v>...</v>
      </c>
      <c r="M11349" s="1" t="str">
        <f t="shared" si="2547"/>
        <v>...</v>
      </c>
      <c r="N11349" t="s">
        <v>30</v>
      </c>
    </row>
    <row r="11350" spans="1:14" x14ac:dyDescent="0.25">
      <c r="A11350" t="s">
        <v>44</v>
      </c>
      <c r="B11350" t="s">
        <v>15</v>
      </c>
      <c r="C11350" t="s">
        <v>38</v>
      </c>
      <c r="D11350" t="s">
        <v>33</v>
      </c>
      <c r="E11350" t="s">
        <v>26</v>
      </c>
      <c r="F11350" t="s">
        <v>19</v>
      </c>
      <c r="G11350" s="1" t="str">
        <f t="shared" si="2547"/>
        <v>...</v>
      </c>
      <c r="H11350" s="1" t="str">
        <f t="shared" si="2547"/>
        <v>...</v>
      </c>
      <c r="I11350" s="1" t="str">
        <f t="shared" si="2547"/>
        <v>...</v>
      </c>
      <c r="J11350" s="1" t="str">
        <f t="shared" si="2547"/>
        <v>...</v>
      </c>
      <c r="K11350" s="1" t="str">
        <f t="shared" si="2547"/>
        <v>...</v>
      </c>
      <c r="L11350" s="1" t="str">
        <f t="shared" si="2547"/>
        <v>...</v>
      </c>
      <c r="M11350" s="1" t="str">
        <f t="shared" si="2547"/>
        <v>...</v>
      </c>
      <c r="N11350" t="s">
        <v>30</v>
      </c>
    </row>
    <row r="11351" spans="1:14" x14ac:dyDescent="0.25">
      <c r="A11351" t="s">
        <v>44</v>
      </c>
      <c r="B11351" t="s">
        <v>15</v>
      </c>
      <c r="C11351" t="s">
        <v>38</v>
      </c>
      <c r="D11351" t="s">
        <v>33</v>
      </c>
      <c r="E11351" t="s">
        <v>26</v>
      </c>
      <c r="F11351" t="s">
        <v>20</v>
      </c>
      <c r="G11351" s="1" t="str">
        <f t="shared" si="2547"/>
        <v>...</v>
      </c>
      <c r="H11351" s="1" t="str">
        <f t="shared" si="2547"/>
        <v>...</v>
      </c>
      <c r="I11351" s="1" t="str">
        <f t="shared" si="2547"/>
        <v>...</v>
      </c>
      <c r="J11351" s="1" t="str">
        <f t="shared" si="2547"/>
        <v>...</v>
      </c>
      <c r="K11351" s="1" t="str">
        <f t="shared" si="2547"/>
        <v>...</v>
      </c>
      <c r="L11351" s="1" t="str">
        <f t="shared" si="2547"/>
        <v>...</v>
      </c>
      <c r="M11351" s="1" t="str">
        <f t="shared" si="2547"/>
        <v>...</v>
      </c>
      <c r="N11351" t="s">
        <v>30</v>
      </c>
    </row>
    <row r="11352" spans="1:14" x14ac:dyDescent="0.25">
      <c r="A11352" t="s">
        <v>44</v>
      </c>
      <c r="B11352" t="s">
        <v>15</v>
      </c>
      <c r="C11352" t="s">
        <v>38</v>
      </c>
      <c r="D11352" t="s">
        <v>34</v>
      </c>
      <c r="E11352" t="s">
        <v>15</v>
      </c>
      <c r="F11352" t="s">
        <v>15</v>
      </c>
      <c r="G11352" s="1" t="str">
        <f t="shared" ref="G11352:M11359" si="2548">"X"</f>
        <v>X</v>
      </c>
      <c r="H11352" s="1" t="str">
        <f t="shared" si="2548"/>
        <v>X</v>
      </c>
      <c r="I11352" s="1" t="str">
        <f t="shared" si="2548"/>
        <v>X</v>
      </c>
      <c r="J11352" s="1" t="str">
        <f t="shared" si="2548"/>
        <v>X</v>
      </c>
      <c r="K11352" s="1" t="str">
        <f t="shared" si="2548"/>
        <v>X</v>
      </c>
      <c r="L11352" s="1" t="str">
        <f t="shared" si="2548"/>
        <v>X</v>
      </c>
      <c r="M11352" s="1" t="str">
        <f t="shared" si="2548"/>
        <v>X</v>
      </c>
      <c r="N11352" t="s">
        <v>27</v>
      </c>
    </row>
    <row r="11353" spans="1:14" x14ac:dyDescent="0.25">
      <c r="A11353" t="s">
        <v>44</v>
      </c>
      <c r="B11353" t="s">
        <v>15</v>
      </c>
      <c r="C11353" t="s">
        <v>38</v>
      </c>
      <c r="D11353" t="s">
        <v>34</v>
      </c>
      <c r="E11353" t="s">
        <v>15</v>
      </c>
      <c r="F11353" t="s">
        <v>17</v>
      </c>
      <c r="G11353" s="1" t="str">
        <f t="shared" si="2548"/>
        <v>X</v>
      </c>
      <c r="H11353" s="1" t="str">
        <f t="shared" si="2548"/>
        <v>X</v>
      </c>
      <c r="I11353" s="1" t="str">
        <f t="shared" si="2548"/>
        <v>X</v>
      </c>
      <c r="J11353" s="1" t="str">
        <f t="shared" si="2548"/>
        <v>X</v>
      </c>
      <c r="K11353" s="1" t="str">
        <f t="shared" si="2548"/>
        <v>X</v>
      </c>
      <c r="L11353" s="1" t="str">
        <f t="shared" si="2548"/>
        <v>X</v>
      </c>
      <c r="M11353" s="1" t="str">
        <f t="shared" si="2548"/>
        <v>X</v>
      </c>
      <c r="N11353" t="s">
        <v>27</v>
      </c>
    </row>
    <row r="11354" spans="1:14" x14ac:dyDescent="0.25">
      <c r="A11354" t="s">
        <v>44</v>
      </c>
      <c r="B11354" t="s">
        <v>15</v>
      </c>
      <c r="C11354" t="s">
        <v>38</v>
      </c>
      <c r="D11354" t="s">
        <v>34</v>
      </c>
      <c r="E11354" t="s">
        <v>15</v>
      </c>
      <c r="F11354" t="s">
        <v>18</v>
      </c>
      <c r="G11354" s="1" t="str">
        <f t="shared" si="2548"/>
        <v>X</v>
      </c>
      <c r="H11354" s="1" t="str">
        <f t="shared" si="2548"/>
        <v>X</v>
      </c>
      <c r="I11354" s="1" t="str">
        <f t="shared" si="2548"/>
        <v>X</v>
      </c>
      <c r="J11354" s="1" t="str">
        <f t="shared" si="2548"/>
        <v>X</v>
      </c>
      <c r="K11354" s="1" t="str">
        <f t="shared" si="2548"/>
        <v>X</v>
      </c>
      <c r="L11354" s="1" t="str">
        <f t="shared" si="2548"/>
        <v>X</v>
      </c>
      <c r="M11354" s="1" t="str">
        <f t="shared" si="2548"/>
        <v>X</v>
      </c>
      <c r="N11354" t="s">
        <v>27</v>
      </c>
    </row>
    <row r="11355" spans="1:14" x14ac:dyDescent="0.25">
      <c r="A11355" t="s">
        <v>44</v>
      </c>
      <c r="B11355" t="s">
        <v>15</v>
      </c>
      <c r="C11355" t="s">
        <v>38</v>
      </c>
      <c r="D11355" t="s">
        <v>34</v>
      </c>
      <c r="E11355" t="s">
        <v>15</v>
      </c>
      <c r="F11355" t="s">
        <v>19</v>
      </c>
      <c r="G11355" s="1" t="str">
        <f t="shared" si="2548"/>
        <v>X</v>
      </c>
      <c r="H11355" s="1" t="str">
        <f t="shared" si="2548"/>
        <v>X</v>
      </c>
      <c r="I11355" s="1" t="str">
        <f t="shared" si="2548"/>
        <v>X</v>
      </c>
      <c r="J11355" s="1" t="str">
        <f t="shared" si="2548"/>
        <v>X</v>
      </c>
      <c r="K11355" s="1" t="str">
        <f t="shared" si="2548"/>
        <v>X</v>
      </c>
      <c r="L11355" s="1" t="str">
        <f t="shared" si="2548"/>
        <v>X</v>
      </c>
      <c r="M11355" s="1" t="str">
        <f t="shared" si="2548"/>
        <v>X</v>
      </c>
      <c r="N11355" t="s">
        <v>27</v>
      </c>
    </row>
    <row r="11356" spans="1:14" x14ac:dyDescent="0.25">
      <c r="A11356" t="s">
        <v>44</v>
      </c>
      <c r="B11356" t="s">
        <v>15</v>
      </c>
      <c r="C11356" t="s">
        <v>38</v>
      </c>
      <c r="D11356" t="s">
        <v>34</v>
      </c>
      <c r="E11356" t="s">
        <v>15</v>
      </c>
      <c r="F11356" t="s">
        <v>20</v>
      </c>
      <c r="G11356" s="1" t="str">
        <f t="shared" si="2548"/>
        <v>X</v>
      </c>
      <c r="H11356" s="1" t="str">
        <f t="shared" si="2548"/>
        <v>X</v>
      </c>
      <c r="I11356" s="1" t="str">
        <f t="shared" si="2548"/>
        <v>X</v>
      </c>
      <c r="J11356" s="1" t="str">
        <f t="shared" si="2548"/>
        <v>X</v>
      </c>
      <c r="K11356" s="1" t="str">
        <f t="shared" si="2548"/>
        <v>X</v>
      </c>
      <c r="L11356" s="1" t="str">
        <f t="shared" si="2548"/>
        <v>X</v>
      </c>
      <c r="M11356" s="1" t="str">
        <f t="shared" si="2548"/>
        <v>X</v>
      </c>
      <c r="N11356" t="s">
        <v>27</v>
      </c>
    </row>
    <row r="11357" spans="1:14" x14ac:dyDescent="0.25">
      <c r="A11357" t="s">
        <v>44</v>
      </c>
      <c r="B11357" t="s">
        <v>15</v>
      </c>
      <c r="C11357" t="s">
        <v>38</v>
      </c>
      <c r="D11357" t="s">
        <v>34</v>
      </c>
      <c r="E11357" t="s">
        <v>21</v>
      </c>
      <c r="F11357" t="s">
        <v>15</v>
      </c>
      <c r="G11357" s="1" t="str">
        <f t="shared" si="2548"/>
        <v>X</v>
      </c>
      <c r="H11357" s="1" t="str">
        <f t="shared" si="2548"/>
        <v>X</v>
      </c>
      <c r="I11357" s="1" t="str">
        <f t="shared" si="2548"/>
        <v>X</v>
      </c>
      <c r="J11357" s="1" t="str">
        <f t="shared" si="2548"/>
        <v>X</v>
      </c>
      <c r="K11357" s="1" t="str">
        <f t="shared" si="2548"/>
        <v>X</v>
      </c>
      <c r="L11357" s="1" t="str">
        <f t="shared" si="2548"/>
        <v>X</v>
      </c>
      <c r="M11357" s="1" t="str">
        <f t="shared" si="2548"/>
        <v>X</v>
      </c>
      <c r="N11357" t="s">
        <v>27</v>
      </c>
    </row>
    <row r="11358" spans="1:14" x14ac:dyDescent="0.25">
      <c r="A11358" t="s">
        <v>44</v>
      </c>
      <c r="B11358" t="s">
        <v>15</v>
      </c>
      <c r="C11358" t="s">
        <v>38</v>
      </c>
      <c r="D11358" t="s">
        <v>34</v>
      </c>
      <c r="E11358" t="s">
        <v>21</v>
      </c>
      <c r="F11358" t="s">
        <v>17</v>
      </c>
      <c r="G11358" s="1" t="str">
        <f t="shared" si="2548"/>
        <v>X</v>
      </c>
      <c r="H11358" s="1" t="str">
        <f t="shared" si="2548"/>
        <v>X</v>
      </c>
      <c r="I11358" s="1" t="str">
        <f t="shared" si="2548"/>
        <v>X</v>
      </c>
      <c r="J11358" s="1" t="str">
        <f t="shared" si="2548"/>
        <v>X</v>
      </c>
      <c r="K11358" s="1" t="str">
        <f t="shared" si="2548"/>
        <v>X</v>
      </c>
      <c r="L11358" s="1" t="str">
        <f t="shared" si="2548"/>
        <v>X</v>
      </c>
      <c r="M11358" s="1" t="str">
        <f t="shared" si="2548"/>
        <v>X</v>
      </c>
      <c r="N11358" t="s">
        <v>27</v>
      </c>
    </row>
    <row r="11359" spans="1:14" x14ac:dyDescent="0.25">
      <c r="A11359" t="s">
        <v>44</v>
      </c>
      <c r="B11359" t="s">
        <v>15</v>
      </c>
      <c r="C11359" t="s">
        <v>38</v>
      </c>
      <c r="D11359" t="s">
        <v>34</v>
      </c>
      <c r="E11359" t="s">
        <v>21</v>
      </c>
      <c r="F11359" t="s">
        <v>18</v>
      </c>
      <c r="G11359" s="1" t="str">
        <f t="shared" si="2548"/>
        <v>X</v>
      </c>
      <c r="H11359" s="1" t="str">
        <f t="shared" si="2548"/>
        <v>X</v>
      </c>
      <c r="I11359" s="1" t="str">
        <f t="shared" si="2548"/>
        <v>X</v>
      </c>
      <c r="J11359" s="1" t="str">
        <f t="shared" si="2548"/>
        <v>X</v>
      </c>
      <c r="K11359" s="1" t="str">
        <f t="shared" si="2548"/>
        <v>X</v>
      </c>
      <c r="L11359" s="1" t="str">
        <f t="shared" si="2548"/>
        <v>X</v>
      </c>
      <c r="M11359" s="1" t="str">
        <f t="shared" si="2548"/>
        <v>X</v>
      </c>
      <c r="N11359" t="s">
        <v>27</v>
      </c>
    </row>
    <row r="11360" spans="1:14" x14ac:dyDescent="0.25">
      <c r="A11360" t="s">
        <v>44</v>
      </c>
      <c r="B11360" t="s">
        <v>15</v>
      </c>
      <c r="C11360" t="s">
        <v>38</v>
      </c>
      <c r="D11360" t="s">
        <v>34</v>
      </c>
      <c r="E11360" t="s">
        <v>21</v>
      </c>
      <c r="F11360" t="s">
        <v>19</v>
      </c>
      <c r="G11360" s="1" t="str">
        <f t="shared" ref="G11360:M11360" si="2549">"..."</f>
        <v>...</v>
      </c>
      <c r="H11360" s="1" t="str">
        <f t="shared" si="2549"/>
        <v>...</v>
      </c>
      <c r="I11360" s="1" t="str">
        <f t="shared" si="2549"/>
        <v>...</v>
      </c>
      <c r="J11360" s="1" t="str">
        <f t="shared" si="2549"/>
        <v>...</v>
      </c>
      <c r="K11360" s="1" t="str">
        <f t="shared" si="2549"/>
        <v>...</v>
      </c>
      <c r="L11360" s="1" t="str">
        <f t="shared" si="2549"/>
        <v>...</v>
      </c>
      <c r="M11360" s="1" t="str">
        <f t="shared" si="2549"/>
        <v>...</v>
      </c>
      <c r="N11360" t="s">
        <v>30</v>
      </c>
    </row>
    <row r="11361" spans="1:14" x14ac:dyDescent="0.25">
      <c r="A11361" t="s">
        <v>44</v>
      </c>
      <c r="B11361" t="s">
        <v>15</v>
      </c>
      <c r="C11361" t="s">
        <v>38</v>
      </c>
      <c r="D11361" t="s">
        <v>34</v>
      </c>
      <c r="E11361" t="s">
        <v>21</v>
      </c>
      <c r="F11361" t="s">
        <v>20</v>
      </c>
      <c r="G11361" s="1" t="str">
        <f t="shared" ref="G11361:M11362" si="2550">"X"</f>
        <v>X</v>
      </c>
      <c r="H11361" s="1" t="str">
        <f t="shared" si="2550"/>
        <v>X</v>
      </c>
      <c r="I11361" s="1" t="str">
        <f t="shared" si="2550"/>
        <v>X</v>
      </c>
      <c r="J11361" s="1" t="str">
        <f t="shared" si="2550"/>
        <v>X</v>
      </c>
      <c r="K11361" s="1" t="str">
        <f t="shared" si="2550"/>
        <v>X</v>
      </c>
      <c r="L11361" s="1" t="str">
        <f t="shared" si="2550"/>
        <v>X</v>
      </c>
      <c r="M11361" s="1" t="str">
        <f t="shared" si="2550"/>
        <v>X</v>
      </c>
      <c r="N11361" t="s">
        <v>27</v>
      </c>
    </row>
    <row r="11362" spans="1:14" x14ac:dyDescent="0.25">
      <c r="A11362" t="s">
        <v>44</v>
      </c>
      <c r="B11362" t="s">
        <v>15</v>
      </c>
      <c r="C11362" t="s">
        <v>38</v>
      </c>
      <c r="D11362" t="s">
        <v>34</v>
      </c>
      <c r="E11362" t="s">
        <v>22</v>
      </c>
      <c r="F11362" t="s">
        <v>15</v>
      </c>
      <c r="G11362" s="1" t="str">
        <f t="shared" si="2550"/>
        <v>X</v>
      </c>
      <c r="H11362" s="1" t="str">
        <f t="shared" si="2550"/>
        <v>X</v>
      </c>
      <c r="I11362" s="1" t="str">
        <f t="shared" si="2550"/>
        <v>X</v>
      </c>
      <c r="J11362" s="1" t="str">
        <f t="shared" si="2550"/>
        <v>X</v>
      </c>
      <c r="K11362" s="1" t="str">
        <f t="shared" si="2550"/>
        <v>X</v>
      </c>
      <c r="L11362" s="1" t="str">
        <f t="shared" si="2550"/>
        <v>X</v>
      </c>
      <c r="M11362" s="1" t="str">
        <f t="shared" si="2550"/>
        <v>X</v>
      </c>
      <c r="N11362" t="s">
        <v>27</v>
      </c>
    </row>
    <row r="11363" spans="1:14" x14ac:dyDescent="0.25">
      <c r="A11363" t="s">
        <v>44</v>
      </c>
      <c r="B11363" t="s">
        <v>15</v>
      </c>
      <c r="C11363" t="s">
        <v>38</v>
      </c>
      <c r="D11363" t="s">
        <v>34</v>
      </c>
      <c r="E11363" t="s">
        <v>22</v>
      </c>
      <c r="F11363" t="s">
        <v>17</v>
      </c>
      <c r="G11363" s="1" t="str">
        <f t="shared" ref="G11363:M11364" si="2551">"..."</f>
        <v>...</v>
      </c>
      <c r="H11363" s="1" t="str">
        <f t="shared" si="2551"/>
        <v>...</v>
      </c>
      <c r="I11363" s="1" t="str">
        <f t="shared" si="2551"/>
        <v>...</v>
      </c>
      <c r="J11363" s="1" t="str">
        <f t="shared" si="2551"/>
        <v>...</v>
      </c>
      <c r="K11363" s="1" t="str">
        <f t="shared" si="2551"/>
        <v>...</v>
      </c>
      <c r="L11363" s="1" t="str">
        <f t="shared" si="2551"/>
        <v>...</v>
      </c>
      <c r="M11363" s="1" t="str">
        <f t="shared" si="2551"/>
        <v>...</v>
      </c>
      <c r="N11363" t="s">
        <v>30</v>
      </c>
    </row>
    <row r="11364" spans="1:14" x14ac:dyDescent="0.25">
      <c r="A11364" t="s">
        <v>44</v>
      </c>
      <c r="B11364" t="s">
        <v>15</v>
      </c>
      <c r="C11364" t="s">
        <v>38</v>
      </c>
      <c r="D11364" t="s">
        <v>34</v>
      </c>
      <c r="E11364" t="s">
        <v>22</v>
      </c>
      <c r="F11364" t="s">
        <v>18</v>
      </c>
      <c r="G11364" s="1" t="str">
        <f t="shared" si="2551"/>
        <v>...</v>
      </c>
      <c r="H11364" s="1" t="str">
        <f t="shared" si="2551"/>
        <v>...</v>
      </c>
      <c r="I11364" s="1" t="str">
        <f t="shared" si="2551"/>
        <v>...</v>
      </c>
      <c r="J11364" s="1" t="str">
        <f t="shared" si="2551"/>
        <v>...</v>
      </c>
      <c r="K11364" s="1" t="str">
        <f t="shared" si="2551"/>
        <v>...</v>
      </c>
      <c r="L11364" s="1" t="str">
        <f t="shared" si="2551"/>
        <v>...</v>
      </c>
      <c r="M11364" s="1" t="str">
        <f t="shared" si="2551"/>
        <v>...</v>
      </c>
      <c r="N11364" t="s">
        <v>30</v>
      </c>
    </row>
    <row r="11365" spans="1:14" x14ac:dyDescent="0.25">
      <c r="A11365" t="s">
        <v>44</v>
      </c>
      <c r="B11365" t="s">
        <v>15</v>
      </c>
      <c r="C11365" t="s">
        <v>38</v>
      </c>
      <c r="D11365" t="s">
        <v>34</v>
      </c>
      <c r="E11365" t="s">
        <v>22</v>
      </c>
      <c r="F11365" t="s">
        <v>19</v>
      </c>
      <c r="G11365" s="1" t="str">
        <f t="shared" ref="G11365:M11367" si="2552">"X"</f>
        <v>X</v>
      </c>
      <c r="H11365" s="1" t="str">
        <f t="shared" si="2552"/>
        <v>X</v>
      </c>
      <c r="I11365" s="1" t="str">
        <f t="shared" si="2552"/>
        <v>X</v>
      </c>
      <c r="J11365" s="1" t="str">
        <f t="shared" si="2552"/>
        <v>X</v>
      </c>
      <c r="K11365" s="1" t="str">
        <f t="shared" si="2552"/>
        <v>X</v>
      </c>
      <c r="L11365" s="1" t="str">
        <f t="shared" si="2552"/>
        <v>X</v>
      </c>
      <c r="M11365" s="1" t="str">
        <f t="shared" si="2552"/>
        <v>X</v>
      </c>
      <c r="N11365" t="s">
        <v>27</v>
      </c>
    </row>
    <row r="11366" spans="1:14" x14ac:dyDescent="0.25">
      <c r="A11366" t="s">
        <v>44</v>
      </c>
      <c r="B11366" t="s">
        <v>15</v>
      </c>
      <c r="C11366" t="s">
        <v>38</v>
      </c>
      <c r="D11366" t="s">
        <v>34</v>
      </c>
      <c r="E11366" t="s">
        <v>22</v>
      </c>
      <c r="F11366" t="s">
        <v>20</v>
      </c>
      <c r="G11366" s="1" t="str">
        <f t="shared" si="2552"/>
        <v>X</v>
      </c>
      <c r="H11366" s="1" t="str">
        <f t="shared" si="2552"/>
        <v>X</v>
      </c>
      <c r="I11366" s="1" t="str">
        <f t="shared" si="2552"/>
        <v>X</v>
      </c>
      <c r="J11366" s="1" t="str">
        <f t="shared" si="2552"/>
        <v>X</v>
      </c>
      <c r="K11366" s="1" t="str">
        <f t="shared" si="2552"/>
        <v>X</v>
      </c>
      <c r="L11366" s="1" t="str">
        <f t="shared" si="2552"/>
        <v>X</v>
      </c>
      <c r="M11366" s="1" t="str">
        <f t="shared" si="2552"/>
        <v>X</v>
      </c>
      <c r="N11366" t="s">
        <v>27</v>
      </c>
    </row>
    <row r="11367" spans="1:14" x14ac:dyDescent="0.25">
      <c r="A11367" t="s">
        <v>44</v>
      </c>
      <c r="B11367" t="s">
        <v>15</v>
      </c>
      <c r="C11367" t="s">
        <v>38</v>
      </c>
      <c r="D11367" t="s">
        <v>34</v>
      </c>
      <c r="E11367" t="s">
        <v>23</v>
      </c>
      <c r="F11367" t="s">
        <v>15</v>
      </c>
      <c r="G11367" s="1" t="str">
        <f t="shared" si="2552"/>
        <v>X</v>
      </c>
      <c r="H11367" s="1" t="str">
        <f t="shared" si="2552"/>
        <v>X</v>
      </c>
      <c r="I11367" s="1" t="str">
        <f t="shared" si="2552"/>
        <v>X</v>
      </c>
      <c r="J11367" s="1" t="str">
        <f t="shared" si="2552"/>
        <v>X</v>
      </c>
      <c r="K11367" s="1" t="str">
        <f t="shared" si="2552"/>
        <v>X</v>
      </c>
      <c r="L11367" s="1" t="str">
        <f t="shared" si="2552"/>
        <v>X</v>
      </c>
      <c r="M11367" s="1" t="str">
        <f t="shared" si="2552"/>
        <v>X</v>
      </c>
      <c r="N11367" t="s">
        <v>27</v>
      </c>
    </row>
    <row r="11368" spans="1:14" x14ac:dyDescent="0.25">
      <c r="A11368" t="s">
        <v>44</v>
      </c>
      <c r="B11368" t="s">
        <v>15</v>
      </c>
      <c r="C11368" t="s">
        <v>38</v>
      </c>
      <c r="D11368" t="s">
        <v>34</v>
      </c>
      <c r="E11368" t="s">
        <v>23</v>
      </c>
      <c r="F11368" t="s">
        <v>17</v>
      </c>
      <c r="G11368" s="1" t="str">
        <f t="shared" ref="G11368:M11370" si="2553">"..."</f>
        <v>...</v>
      </c>
      <c r="H11368" s="1" t="str">
        <f t="shared" si="2553"/>
        <v>...</v>
      </c>
      <c r="I11368" s="1" t="str">
        <f t="shared" si="2553"/>
        <v>...</v>
      </c>
      <c r="J11368" s="1" t="str">
        <f t="shared" si="2553"/>
        <v>...</v>
      </c>
      <c r="K11368" s="1" t="str">
        <f t="shared" si="2553"/>
        <v>...</v>
      </c>
      <c r="L11368" s="1" t="str">
        <f t="shared" si="2553"/>
        <v>...</v>
      </c>
      <c r="M11368" s="1" t="str">
        <f t="shared" si="2553"/>
        <v>...</v>
      </c>
      <c r="N11368" t="s">
        <v>30</v>
      </c>
    </row>
    <row r="11369" spans="1:14" x14ac:dyDescent="0.25">
      <c r="A11369" t="s">
        <v>44</v>
      </c>
      <c r="B11369" t="s">
        <v>15</v>
      </c>
      <c r="C11369" t="s">
        <v>38</v>
      </c>
      <c r="D11369" t="s">
        <v>34</v>
      </c>
      <c r="E11369" t="s">
        <v>23</v>
      </c>
      <c r="F11369" t="s">
        <v>18</v>
      </c>
      <c r="G11369" s="1" t="str">
        <f t="shared" si="2553"/>
        <v>...</v>
      </c>
      <c r="H11369" s="1" t="str">
        <f t="shared" si="2553"/>
        <v>...</v>
      </c>
      <c r="I11369" s="1" t="str">
        <f t="shared" si="2553"/>
        <v>...</v>
      </c>
      <c r="J11369" s="1" t="str">
        <f t="shared" si="2553"/>
        <v>...</v>
      </c>
      <c r="K11369" s="1" t="str">
        <f t="shared" si="2553"/>
        <v>...</v>
      </c>
      <c r="L11369" s="1" t="str">
        <f t="shared" si="2553"/>
        <v>...</v>
      </c>
      <c r="M11369" s="1" t="str">
        <f t="shared" si="2553"/>
        <v>...</v>
      </c>
      <c r="N11369" t="s">
        <v>30</v>
      </c>
    </row>
    <row r="11370" spans="1:14" x14ac:dyDescent="0.25">
      <c r="A11370" t="s">
        <v>44</v>
      </c>
      <c r="B11370" t="s">
        <v>15</v>
      </c>
      <c r="C11370" t="s">
        <v>38</v>
      </c>
      <c r="D11370" t="s">
        <v>34</v>
      </c>
      <c r="E11370" t="s">
        <v>23</v>
      </c>
      <c r="F11370" t="s">
        <v>19</v>
      </c>
      <c r="G11370" s="1" t="str">
        <f t="shared" si="2553"/>
        <v>...</v>
      </c>
      <c r="H11370" s="1" t="str">
        <f t="shared" si="2553"/>
        <v>...</v>
      </c>
      <c r="I11370" s="1" t="str">
        <f t="shared" si="2553"/>
        <v>...</v>
      </c>
      <c r="J11370" s="1" t="str">
        <f t="shared" si="2553"/>
        <v>...</v>
      </c>
      <c r="K11370" s="1" t="str">
        <f t="shared" si="2553"/>
        <v>...</v>
      </c>
      <c r="L11370" s="1" t="str">
        <f t="shared" si="2553"/>
        <v>...</v>
      </c>
      <c r="M11370" s="1" t="str">
        <f t="shared" si="2553"/>
        <v>...</v>
      </c>
      <c r="N11370" t="s">
        <v>30</v>
      </c>
    </row>
    <row r="11371" spans="1:14" x14ac:dyDescent="0.25">
      <c r="A11371" t="s">
        <v>44</v>
      </c>
      <c r="B11371" t="s">
        <v>15</v>
      </c>
      <c r="C11371" t="s">
        <v>38</v>
      </c>
      <c r="D11371" t="s">
        <v>34</v>
      </c>
      <c r="E11371" t="s">
        <v>23</v>
      </c>
      <c r="F11371" t="s">
        <v>20</v>
      </c>
      <c r="G11371" s="1" t="str">
        <f t="shared" ref="G11371:M11371" si="2554">"X"</f>
        <v>X</v>
      </c>
      <c r="H11371" s="1" t="str">
        <f t="shared" si="2554"/>
        <v>X</v>
      </c>
      <c r="I11371" s="1" t="str">
        <f t="shared" si="2554"/>
        <v>X</v>
      </c>
      <c r="J11371" s="1" t="str">
        <f t="shared" si="2554"/>
        <v>X</v>
      </c>
      <c r="K11371" s="1" t="str">
        <f t="shared" si="2554"/>
        <v>X</v>
      </c>
      <c r="L11371" s="1" t="str">
        <f t="shared" si="2554"/>
        <v>X</v>
      </c>
      <c r="M11371" s="1" t="str">
        <f t="shared" si="2554"/>
        <v>X</v>
      </c>
      <c r="N11371" t="s">
        <v>27</v>
      </c>
    </row>
    <row r="11372" spans="1:14" x14ac:dyDescent="0.25">
      <c r="A11372" t="s">
        <v>44</v>
      </c>
      <c r="B11372" t="s">
        <v>15</v>
      </c>
      <c r="C11372" t="s">
        <v>38</v>
      </c>
      <c r="D11372" t="s">
        <v>34</v>
      </c>
      <c r="E11372" t="s">
        <v>26</v>
      </c>
      <c r="F11372" t="s">
        <v>15</v>
      </c>
      <c r="G11372" s="1" t="str">
        <f t="shared" ref="G11372:M11376" si="2555">"..."</f>
        <v>...</v>
      </c>
      <c r="H11372" s="1" t="str">
        <f t="shared" si="2555"/>
        <v>...</v>
      </c>
      <c r="I11372" s="1" t="str">
        <f t="shared" si="2555"/>
        <v>...</v>
      </c>
      <c r="J11372" s="1" t="str">
        <f t="shared" si="2555"/>
        <v>...</v>
      </c>
      <c r="K11372" s="1" t="str">
        <f t="shared" si="2555"/>
        <v>...</v>
      </c>
      <c r="L11372" s="1" t="str">
        <f t="shared" si="2555"/>
        <v>...</v>
      </c>
      <c r="M11372" s="1" t="str">
        <f t="shared" si="2555"/>
        <v>...</v>
      </c>
      <c r="N11372" t="s">
        <v>30</v>
      </c>
    </row>
    <row r="11373" spans="1:14" x14ac:dyDescent="0.25">
      <c r="A11373" t="s">
        <v>44</v>
      </c>
      <c r="B11373" t="s">
        <v>15</v>
      </c>
      <c r="C11373" t="s">
        <v>38</v>
      </c>
      <c r="D11373" t="s">
        <v>34</v>
      </c>
      <c r="E11373" t="s">
        <v>26</v>
      </c>
      <c r="F11373" t="s">
        <v>17</v>
      </c>
      <c r="G11373" s="1" t="str">
        <f t="shared" si="2555"/>
        <v>...</v>
      </c>
      <c r="H11373" s="1" t="str">
        <f t="shared" si="2555"/>
        <v>...</v>
      </c>
      <c r="I11373" s="1" t="str">
        <f t="shared" si="2555"/>
        <v>...</v>
      </c>
      <c r="J11373" s="1" t="str">
        <f t="shared" si="2555"/>
        <v>...</v>
      </c>
      <c r="K11373" s="1" t="str">
        <f t="shared" si="2555"/>
        <v>...</v>
      </c>
      <c r="L11373" s="1" t="str">
        <f t="shared" si="2555"/>
        <v>...</v>
      </c>
      <c r="M11373" s="1" t="str">
        <f t="shared" si="2555"/>
        <v>...</v>
      </c>
      <c r="N11373" t="s">
        <v>30</v>
      </c>
    </row>
    <row r="11374" spans="1:14" x14ac:dyDescent="0.25">
      <c r="A11374" t="s">
        <v>44</v>
      </c>
      <c r="B11374" t="s">
        <v>15</v>
      </c>
      <c r="C11374" t="s">
        <v>38</v>
      </c>
      <c r="D11374" t="s">
        <v>34</v>
      </c>
      <c r="E11374" t="s">
        <v>26</v>
      </c>
      <c r="F11374" t="s">
        <v>18</v>
      </c>
      <c r="G11374" s="1" t="str">
        <f t="shared" si="2555"/>
        <v>...</v>
      </c>
      <c r="H11374" s="1" t="str">
        <f t="shared" si="2555"/>
        <v>...</v>
      </c>
      <c r="I11374" s="1" t="str">
        <f t="shared" si="2555"/>
        <v>...</v>
      </c>
      <c r="J11374" s="1" t="str">
        <f t="shared" si="2555"/>
        <v>...</v>
      </c>
      <c r="K11374" s="1" t="str">
        <f t="shared" si="2555"/>
        <v>...</v>
      </c>
      <c r="L11374" s="1" t="str">
        <f t="shared" si="2555"/>
        <v>...</v>
      </c>
      <c r="M11374" s="1" t="str">
        <f t="shared" si="2555"/>
        <v>...</v>
      </c>
      <c r="N11374" t="s">
        <v>30</v>
      </c>
    </row>
    <row r="11375" spans="1:14" x14ac:dyDescent="0.25">
      <c r="A11375" t="s">
        <v>44</v>
      </c>
      <c r="B11375" t="s">
        <v>15</v>
      </c>
      <c r="C11375" t="s">
        <v>38</v>
      </c>
      <c r="D11375" t="s">
        <v>34</v>
      </c>
      <c r="E11375" t="s">
        <v>26</v>
      </c>
      <c r="F11375" t="s">
        <v>19</v>
      </c>
      <c r="G11375" s="1" t="str">
        <f t="shared" si="2555"/>
        <v>...</v>
      </c>
      <c r="H11375" s="1" t="str">
        <f t="shared" si="2555"/>
        <v>...</v>
      </c>
      <c r="I11375" s="1" t="str">
        <f t="shared" si="2555"/>
        <v>...</v>
      </c>
      <c r="J11375" s="1" t="str">
        <f t="shared" si="2555"/>
        <v>...</v>
      </c>
      <c r="K11375" s="1" t="str">
        <f t="shared" si="2555"/>
        <v>...</v>
      </c>
      <c r="L11375" s="1" t="str">
        <f t="shared" si="2555"/>
        <v>...</v>
      </c>
      <c r="M11375" s="1" t="str">
        <f t="shared" si="2555"/>
        <v>...</v>
      </c>
      <c r="N11375" t="s">
        <v>30</v>
      </c>
    </row>
    <row r="11376" spans="1:14" x14ac:dyDescent="0.25">
      <c r="A11376" t="s">
        <v>44</v>
      </c>
      <c r="B11376" t="s">
        <v>15</v>
      </c>
      <c r="C11376" t="s">
        <v>38</v>
      </c>
      <c r="D11376" t="s">
        <v>34</v>
      </c>
      <c r="E11376" t="s">
        <v>26</v>
      </c>
      <c r="F11376" t="s">
        <v>20</v>
      </c>
      <c r="G11376" s="1" t="str">
        <f t="shared" si="2555"/>
        <v>...</v>
      </c>
      <c r="H11376" s="1" t="str">
        <f t="shared" si="2555"/>
        <v>...</v>
      </c>
      <c r="I11376" s="1" t="str">
        <f t="shared" si="2555"/>
        <v>...</v>
      </c>
      <c r="J11376" s="1" t="str">
        <f t="shared" si="2555"/>
        <v>...</v>
      </c>
      <c r="K11376" s="1" t="str">
        <f t="shared" si="2555"/>
        <v>...</v>
      </c>
      <c r="L11376" s="1" t="str">
        <f t="shared" si="2555"/>
        <v>...</v>
      </c>
      <c r="M11376" s="1" t="str">
        <f t="shared" si="2555"/>
        <v>...</v>
      </c>
      <c r="N11376" t="s">
        <v>30</v>
      </c>
    </row>
    <row r="11377" spans="1:14" x14ac:dyDescent="0.25">
      <c r="A11377" t="s">
        <v>44</v>
      </c>
      <c r="B11377" t="s">
        <v>39</v>
      </c>
      <c r="C11377" t="s">
        <v>15</v>
      </c>
      <c r="D11377" t="s">
        <v>15</v>
      </c>
      <c r="E11377" t="s">
        <v>15</v>
      </c>
      <c r="F11377" t="s">
        <v>15</v>
      </c>
      <c r="G11377" s="1">
        <f>VALUE(73759.54)</f>
        <v>73759.539999999994</v>
      </c>
      <c r="H11377" s="1">
        <f>VALUE(69866.44)</f>
        <v>69866.44</v>
      </c>
      <c r="I11377" s="1">
        <f>VALUE(3703)</f>
        <v>3703</v>
      </c>
      <c r="J11377" s="1">
        <f>VALUE(4456)</f>
        <v>4456</v>
      </c>
      <c r="K11377" s="1">
        <f>VALUE(5550)</f>
        <v>5550</v>
      </c>
      <c r="L11377" s="1">
        <f>VALUE(7014)</f>
        <v>7014</v>
      </c>
      <c r="M11377" s="1">
        <f>VALUE(10075)</f>
        <v>10075</v>
      </c>
      <c r="N11377" t="s">
        <v>16</v>
      </c>
    </row>
    <row r="11378" spans="1:14" x14ac:dyDescent="0.25">
      <c r="A11378" t="s">
        <v>44</v>
      </c>
      <c r="B11378" t="s">
        <v>39</v>
      </c>
      <c r="C11378" t="s">
        <v>15</v>
      </c>
      <c r="D11378" t="s">
        <v>15</v>
      </c>
      <c r="E11378" t="s">
        <v>15</v>
      </c>
      <c r="F11378" t="s">
        <v>17</v>
      </c>
      <c r="G11378" s="1">
        <f>VALUE(12904.9)</f>
        <v>12904.9</v>
      </c>
      <c r="H11378" s="1">
        <f>VALUE(12481.31)</f>
        <v>12481.31</v>
      </c>
      <c r="I11378" s="4">
        <f>VALUE(5000)</f>
        <v>5000</v>
      </c>
      <c r="J11378" s="1">
        <f>VALUE(6529)</f>
        <v>6529</v>
      </c>
      <c r="K11378" s="1">
        <f>VALUE(9053)</f>
        <v>9053</v>
      </c>
      <c r="L11378" s="1">
        <f>VALUE(12672)</f>
        <v>12672</v>
      </c>
      <c r="M11378" s="1">
        <f>VALUE(17580)</f>
        <v>17580</v>
      </c>
      <c r="N11378" t="s">
        <v>25</v>
      </c>
    </row>
    <row r="11379" spans="1:14" x14ac:dyDescent="0.25">
      <c r="A11379" t="s">
        <v>44</v>
      </c>
      <c r="B11379" t="s">
        <v>39</v>
      </c>
      <c r="C11379" t="s">
        <v>15</v>
      </c>
      <c r="D11379" t="s">
        <v>15</v>
      </c>
      <c r="E11379" t="s">
        <v>15</v>
      </c>
      <c r="F11379" t="s">
        <v>18</v>
      </c>
      <c r="G11379" s="1">
        <f>VALUE(6920.4)</f>
        <v>6920.4</v>
      </c>
      <c r="H11379" s="1">
        <f>VALUE(6667.04)</f>
        <v>6667.04</v>
      </c>
      <c r="I11379" s="1">
        <f>VALUE(4449)</f>
        <v>4449</v>
      </c>
      <c r="J11379" s="1">
        <f>VALUE(5419)</f>
        <v>5419</v>
      </c>
      <c r="K11379" s="1">
        <f>VALUE(6568)</f>
        <v>6568</v>
      </c>
      <c r="L11379" s="1">
        <f>VALUE(8760)</f>
        <v>8760</v>
      </c>
      <c r="M11379" s="1">
        <f>VALUE(11308)</f>
        <v>11308</v>
      </c>
      <c r="N11379" t="s">
        <v>16</v>
      </c>
    </row>
    <row r="11380" spans="1:14" x14ac:dyDescent="0.25">
      <c r="A11380" t="s">
        <v>44</v>
      </c>
      <c r="B11380" t="s">
        <v>39</v>
      </c>
      <c r="C11380" t="s">
        <v>15</v>
      </c>
      <c r="D11380" t="s">
        <v>15</v>
      </c>
      <c r="E11380" t="s">
        <v>15</v>
      </c>
      <c r="F11380" t="s">
        <v>19</v>
      </c>
      <c r="G11380" s="1">
        <f>VALUE(8691.9)</f>
        <v>8691.9</v>
      </c>
      <c r="H11380" s="1">
        <f>VALUE(8410.24)</f>
        <v>8410.24</v>
      </c>
      <c r="I11380" s="1">
        <f>VALUE(4102)</f>
        <v>4102</v>
      </c>
      <c r="J11380" s="1">
        <f>VALUE(4954)</f>
        <v>4954</v>
      </c>
      <c r="K11380" s="1">
        <f>VALUE(5936)</f>
        <v>5936</v>
      </c>
      <c r="L11380" s="1">
        <f>VALUE(6932)</f>
        <v>6932</v>
      </c>
      <c r="M11380" s="1">
        <f>VALUE(8224)</f>
        <v>8224</v>
      </c>
      <c r="N11380" t="s">
        <v>16</v>
      </c>
    </row>
    <row r="11381" spans="1:14" x14ac:dyDescent="0.25">
      <c r="A11381" t="s">
        <v>44</v>
      </c>
      <c r="B11381" t="s">
        <v>39</v>
      </c>
      <c r="C11381" t="s">
        <v>15</v>
      </c>
      <c r="D11381" t="s">
        <v>15</v>
      </c>
      <c r="E11381" t="s">
        <v>15</v>
      </c>
      <c r="F11381" t="s">
        <v>20</v>
      </c>
      <c r="G11381" s="1">
        <f>VALUE(45242.34)</f>
        <v>45242.34</v>
      </c>
      <c r="H11381" s="1">
        <f>VALUE(42307.85)</f>
        <v>42307.85</v>
      </c>
      <c r="I11381" s="1">
        <f>VALUE(3506)</f>
        <v>3506</v>
      </c>
      <c r="J11381" s="1">
        <f>VALUE(4109)</f>
        <v>4109</v>
      </c>
      <c r="K11381" s="1">
        <f>VALUE(4982)</f>
        <v>4982</v>
      </c>
      <c r="L11381" s="1">
        <f>VALUE(5942)</f>
        <v>5942</v>
      </c>
      <c r="M11381" s="1">
        <f>VALUE(6948)</f>
        <v>6948</v>
      </c>
      <c r="N11381" t="s">
        <v>16</v>
      </c>
    </row>
    <row r="11382" spans="1:14" x14ac:dyDescent="0.25">
      <c r="A11382" t="s">
        <v>44</v>
      </c>
      <c r="B11382" t="s">
        <v>39</v>
      </c>
      <c r="C11382" t="s">
        <v>15</v>
      </c>
      <c r="D11382" t="s">
        <v>15</v>
      </c>
      <c r="E11382" t="s">
        <v>21</v>
      </c>
      <c r="F11382" t="s">
        <v>15</v>
      </c>
      <c r="G11382" s="1">
        <f>VALUE(18726.96)</f>
        <v>18726.96</v>
      </c>
      <c r="H11382" s="1">
        <f>VALUE(17658.92)</f>
        <v>17658.919999999998</v>
      </c>
      <c r="I11382" s="1">
        <f>VALUE(4421)</f>
        <v>4421</v>
      </c>
      <c r="J11382" s="1">
        <f>VALUE(5655)</f>
        <v>5655</v>
      </c>
      <c r="K11382" s="1">
        <f>VALUE(7612)</f>
        <v>7612</v>
      </c>
      <c r="L11382" s="1">
        <f>VALUE(10690)</f>
        <v>10690</v>
      </c>
      <c r="M11382" s="1">
        <f>VALUE(15453)</f>
        <v>15453</v>
      </c>
      <c r="N11382" t="s">
        <v>16</v>
      </c>
    </row>
    <row r="11383" spans="1:14" x14ac:dyDescent="0.25">
      <c r="A11383" t="s">
        <v>44</v>
      </c>
      <c r="B11383" t="s">
        <v>39</v>
      </c>
      <c r="C11383" t="s">
        <v>15</v>
      </c>
      <c r="D11383" t="s">
        <v>15</v>
      </c>
      <c r="E11383" t="s">
        <v>21</v>
      </c>
      <c r="F11383" t="s">
        <v>17</v>
      </c>
      <c r="G11383" s="1">
        <f>VALUE(7114.51)</f>
        <v>7114.51</v>
      </c>
      <c r="H11383" s="1">
        <f>VALUE(6806.72)</f>
        <v>6806.72</v>
      </c>
      <c r="I11383" s="1">
        <f>VALUE(6250)</f>
        <v>6250</v>
      </c>
      <c r="J11383" s="1">
        <f>VALUE(8173)</f>
        <v>8173</v>
      </c>
      <c r="K11383" s="1">
        <f>VALUE(10831)</f>
        <v>10831</v>
      </c>
      <c r="L11383" s="1">
        <f>VALUE(14790)</f>
        <v>14790</v>
      </c>
      <c r="M11383" s="1">
        <f>VALUE(19826)</f>
        <v>19826</v>
      </c>
      <c r="N11383" t="s">
        <v>16</v>
      </c>
    </row>
    <row r="11384" spans="1:14" x14ac:dyDescent="0.25">
      <c r="A11384" t="s">
        <v>44</v>
      </c>
      <c r="B11384" t="s">
        <v>39</v>
      </c>
      <c r="C11384" t="s">
        <v>15</v>
      </c>
      <c r="D11384" t="s">
        <v>15</v>
      </c>
      <c r="E11384" t="s">
        <v>21</v>
      </c>
      <c r="F11384" t="s">
        <v>18</v>
      </c>
      <c r="G11384" s="1">
        <f>VALUE(2938.27)</f>
        <v>2938.27</v>
      </c>
      <c r="H11384" s="1">
        <f>VALUE(2737.38)</f>
        <v>2737.38</v>
      </c>
      <c r="I11384" s="1">
        <f>VALUE(5238)</f>
        <v>5238</v>
      </c>
      <c r="J11384" s="1">
        <f>VALUE(6290)</f>
        <v>6290</v>
      </c>
      <c r="K11384" s="1">
        <f>VALUE(8050)</f>
        <v>8050</v>
      </c>
      <c r="L11384" s="1">
        <f>VALUE(10480)</f>
        <v>10480</v>
      </c>
      <c r="M11384" s="1">
        <f>VALUE(12770)</f>
        <v>12770</v>
      </c>
      <c r="N11384" t="s">
        <v>16</v>
      </c>
    </row>
    <row r="11385" spans="1:14" x14ac:dyDescent="0.25">
      <c r="A11385" t="s">
        <v>44</v>
      </c>
      <c r="B11385" t="s">
        <v>39</v>
      </c>
      <c r="C11385" t="s">
        <v>15</v>
      </c>
      <c r="D11385" t="s">
        <v>15</v>
      </c>
      <c r="E11385" t="s">
        <v>21</v>
      </c>
      <c r="F11385" t="s">
        <v>19</v>
      </c>
      <c r="G11385" s="1">
        <f>VALUE(2065.22)</f>
        <v>2065.2199999999998</v>
      </c>
      <c r="H11385" s="1">
        <f>VALUE(1942.04)</f>
        <v>1942.04</v>
      </c>
      <c r="I11385" s="4">
        <f>VALUE(4063)</f>
        <v>4063</v>
      </c>
      <c r="J11385" s="1">
        <f>VALUE(5457)</f>
        <v>5457</v>
      </c>
      <c r="K11385" s="1">
        <f>VALUE(6786)</f>
        <v>6786</v>
      </c>
      <c r="L11385" s="1">
        <f>VALUE(8052)</f>
        <v>8052</v>
      </c>
      <c r="M11385" s="8">
        <f>VALUE(9524)</f>
        <v>9524</v>
      </c>
      <c r="N11385" t="s">
        <v>25</v>
      </c>
    </row>
    <row r="11386" spans="1:14" x14ac:dyDescent="0.25">
      <c r="A11386" t="s">
        <v>44</v>
      </c>
      <c r="B11386" t="s">
        <v>39</v>
      </c>
      <c r="C11386" t="s">
        <v>15</v>
      </c>
      <c r="D11386" t="s">
        <v>15</v>
      </c>
      <c r="E11386" t="s">
        <v>21</v>
      </c>
      <c r="F11386" t="s">
        <v>20</v>
      </c>
      <c r="G11386" s="1">
        <f>VALUE(6608.96)</f>
        <v>6608.96</v>
      </c>
      <c r="H11386" s="1">
        <f>VALUE(6172.78)</f>
        <v>6172.78</v>
      </c>
      <c r="I11386" s="1">
        <f>VALUE(3849)</f>
        <v>3849</v>
      </c>
      <c r="J11386" s="1">
        <f>VALUE(4721)</f>
        <v>4721</v>
      </c>
      <c r="K11386" s="1">
        <f>VALUE(5833)</f>
        <v>5833</v>
      </c>
      <c r="L11386" s="1">
        <f>VALUE(7239)</f>
        <v>7239</v>
      </c>
      <c r="M11386" s="1">
        <f>VALUE(8665)</f>
        <v>8665</v>
      </c>
      <c r="N11386" t="s">
        <v>16</v>
      </c>
    </row>
    <row r="11387" spans="1:14" x14ac:dyDescent="0.25">
      <c r="A11387" t="s">
        <v>44</v>
      </c>
      <c r="B11387" t="s">
        <v>39</v>
      </c>
      <c r="C11387" t="s">
        <v>15</v>
      </c>
      <c r="D11387" t="s">
        <v>15</v>
      </c>
      <c r="E11387" t="s">
        <v>22</v>
      </c>
      <c r="F11387" t="s">
        <v>15</v>
      </c>
      <c r="G11387" s="1">
        <f>VALUE(30679.56)</f>
        <v>30679.56</v>
      </c>
      <c r="H11387" s="1">
        <f>VALUE(29686.61)</f>
        <v>29686.61</v>
      </c>
      <c r="I11387" s="1">
        <f>VALUE(3834)</f>
        <v>3834</v>
      </c>
      <c r="J11387" s="1">
        <f>VALUE(4558)</f>
        <v>4558</v>
      </c>
      <c r="K11387" s="1">
        <f>VALUE(5524)</f>
        <v>5524</v>
      </c>
      <c r="L11387" s="1">
        <f>VALUE(6626)</f>
        <v>6626</v>
      </c>
      <c r="M11387" s="1">
        <f>VALUE(8357)</f>
        <v>8357</v>
      </c>
      <c r="N11387" t="s">
        <v>16</v>
      </c>
    </row>
    <row r="11388" spans="1:14" x14ac:dyDescent="0.25">
      <c r="A11388" t="s">
        <v>44</v>
      </c>
      <c r="B11388" t="s">
        <v>39</v>
      </c>
      <c r="C11388" t="s">
        <v>15</v>
      </c>
      <c r="D11388" t="s">
        <v>15</v>
      </c>
      <c r="E11388" t="s">
        <v>22</v>
      </c>
      <c r="F11388" t="s">
        <v>17</v>
      </c>
      <c r="G11388" s="2">
        <f>VALUE(4738.37)</f>
        <v>4738.37</v>
      </c>
      <c r="H11388" s="3">
        <f>VALUE(4704.45)</f>
        <v>4704.45</v>
      </c>
      <c r="I11388" s="4">
        <f>VALUE(4489)</f>
        <v>4489</v>
      </c>
      <c r="J11388" s="1">
        <f>VALUE(5913)</f>
        <v>5913</v>
      </c>
      <c r="K11388" s="1">
        <f>VALUE(7323)</f>
        <v>7323</v>
      </c>
      <c r="L11388" s="1">
        <f>VALUE(9995)</f>
        <v>9995</v>
      </c>
      <c r="M11388" s="1">
        <f>VALUE(13788)</f>
        <v>13788</v>
      </c>
      <c r="N11388" t="s">
        <v>25</v>
      </c>
    </row>
    <row r="11389" spans="1:14" x14ac:dyDescent="0.25">
      <c r="A11389" t="s">
        <v>44</v>
      </c>
      <c r="B11389" t="s">
        <v>39</v>
      </c>
      <c r="C11389" t="s">
        <v>15</v>
      </c>
      <c r="D11389" t="s">
        <v>15</v>
      </c>
      <c r="E11389" t="s">
        <v>22</v>
      </c>
      <c r="F11389" t="s">
        <v>18</v>
      </c>
      <c r="G11389" s="1">
        <f>VALUE(2867.8)</f>
        <v>2867.8</v>
      </c>
      <c r="H11389" s="1">
        <f>VALUE(2818.06)</f>
        <v>2818.06</v>
      </c>
      <c r="I11389" s="1">
        <f>VALUE(4500)</f>
        <v>4500</v>
      </c>
      <c r="J11389" s="1">
        <f>VALUE(5309)</f>
        <v>5309</v>
      </c>
      <c r="K11389" s="1">
        <f>VALUE(6307)</f>
        <v>6307</v>
      </c>
      <c r="L11389" s="1">
        <f>VALUE(7680)</f>
        <v>7680</v>
      </c>
      <c r="M11389" s="1">
        <f>VALUE(10018)</f>
        <v>10018</v>
      </c>
      <c r="N11389" t="s">
        <v>16</v>
      </c>
    </row>
    <row r="11390" spans="1:14" x14ac:dyDescent="0.25">
      <c r="A11390" t="s">
        <v>44</v>
      </c>
      <c r="B11390" t="s">
        <v>39</v>
      </c>
      <c r="C11390" t="s">
        <v>15</v>
      </c>
      <c r="D11390" t="s">
        <v>15</v>
      </c>
      <c r="E11390" t="s">
        <v>22</v>
      </c>
      <c r="F11390" t="s">
        <v>19</v>
      </c>
      <c r="G11390" s="1">
        <f>VALUE(4761.93)</f>
        <v>4761.93</v>
      </c>
      <c r="H11390" s="1">
        <f>VALUE(4617.54)</f>
        <v>4617.54</v>
      </c>
      <c r="I11390" s="1">
        <f>VALUE(4263)</f>
        <v>4263</v>
      </c>
      <c r="J11390" s="1">
        <f>VALUE(4986)</f>
        <v>4986</v>
      </c>
      <c r="K11390" s="1">
        <f>VALUE(5873)</f>
        <v>5873</v>
      </c>
      <c r="L11390" s="1">
        <f>VALUE(6772)</f>
        <v>6772</v>
      </c>
      <c r="M11390" s="1">
        <f>VALUE(7889)</f>
        <v>7889</v>
      </c>
      <c r="N11390" t="s">
        <v>16</v>
      </c>
    </row>
    <row r="11391" spans="1:14" x14ac:dyDescent="0.25">
      <c r="A11391" t="s">
        <v>44</v>
      </c>
      <c r="B11391" t="s">
        <v>39</v>
      </c>
      <c r="C11391" t="s">
        <v>15</v>
      </c>
      <c r="D11391" t="s">
        <v>15</v>
      </c>
      <c r="E11391" t="s">
        <v>22</v>
      </c>
      <c r="F11391" t="s">
        <v>20</v>
      </c>
      <c r="G11391" s="1">
        <f>VALUE(18311.46)</f>
        <v>18311.46</v>
      </c>
      <c r="H11391" s="1">
        <f>VALUE(17546.56)</f>
        <v>17546.560000000001</v>
      </c>
      <c r="I11391" s="1">
        <f>VALUE(3670)</f>
        <v>3670</v>
      </c>
      <c r="J11391" s="1">
        <f>VALUE(4258)</f>
        <v>4258</v>
      </c>
      <c r="K11391" s="1">
        <f>VALUE(5149)</f>
        <v>5149</v>
      </c>
      <c r="L11391" s="1">
        <f>VALUE(5990)</f>
        <v>5990</v>
      </c>
      <c r="M11391" s="1">
        <f>VALUE(6775)</f>
        <v>6775</v>
      </c>
      <c r="N11391" t="s">
        <v>16</v>
      </c>
    </row>
    <row r="11392" spans="1:14" x14ac:dyDescent="0.25">
      <c r="A11392" t="s">
        <v>44</v>
      </c>
      <c r="B11392" t="s">
        <v>39</v>
      </c>
      <c r="C11392" t="s">
        <v>15</v>
      </c>
      <c r="D11392" t="s">
        <v>15</v>
      </c>
      <c r="E11392" t="s">
        <v>23</v>
      </c>
      <c r="F11392" t="s">
        <v>15</v>
      </c>
      <c r="G11392" s="1">
        <f>VALUE(23217.03)</f>
        <v>23217.03</v>
      </c>
      <c r="H11392" s="1">
        <f>VALUE(21423.79)</f>
        <v>21423.79</v>
      </c>
      <c r="I11392" s="1">
        <f>VALUE(3423)</f>
        <v>3423</v>
      </c>
      <c r="J11392" s="1">
        <f>VALUE(3914)</f>
        <v>3914</v>
      </c>
      <c r="K11392" s="1">
        <f>VALUE(4732)</f>
        <v>4732</v>
      </c>
      <c r="L11392" s="1">
        <f>VALUE(5660)</f>
        <v>5660</v>
      </c>
      <c r="M11392" s="1">
        <f>VALUE(6417)</f>
        <v>6417</v>
      </c>
      <c r="N11392" t="s">
        <v>16</v>
      </c>
    </row>
    <row r="11393" spans="1:14" x14ac:dyDescent="0.25">
      <c r="A11393" t="s">
        <v>44</v>
      </c>
      <c r="B11393" t="s">
        <v>39</v>
      </c>
      <c r="C11393" t="s">
        <v>15</v>
      </c>
      <c r="D11393" t="s">
        <v>15</v>
      </c>
      <c r="E11393" t="s">
        <v>23</v>
      </c>
      <c r="F11393" t="s">
        <v>17</v>
      </c>
      <c r="G11393" s="2">
        <f>VALUE(811.22)</f>
        <v>811.22</v>
      </c>
      <c r="H11393" s="3">
        <f>VALUE(754.2)</f>
        <v>754.2</v>
      </c>
      <c r="I11393" s="1">
        <f>VALUE(3810)</f>
        <v>3810</v>
      </c>
      <c r="J11393" s="5">
        <f>VALUE(4130)</f>
        <v>4130</v>
      </c>
      <c r="K11393" s="1">
        <f>VALUE(5686)</f>
        <v>5686</v>
      </c>
      <c r="L11393" s="7">
        <f>VALUE(7040)</f>
        <v>7040</v>
      </c>
      <c r="M11393" s="8">
        <f>VALUE(9298)</f>
        <v>9298</v>
      </c>
      <c r="N11393" t="s">
        <v>25</v>
      </c>
    </row>
    <row r="11394" spans="1:14" x14ac:dyDescent="0.25">
      <c r="A11394" t="s">
        <v>44</v>
      </c>
      <c r="B11394" t="s">
        <v>39</v>
      </c>
      <c r="C11394" t="s">
        <v>15</v>
      </c>
      <c r="D11394" t="s">
        <v>15</v>
      </c>
      <c r="E11394" t="s">
        <v>23</v>
      </c>
      <c r="F11394" t="s">
        <v>18</v>
      </c>
      <c r="G11394" s="2">
        <f>VALUE(1016.97)</f>
        <v>1016.97</v>
      </c>
      <c r="H11394" s="3">
        <f>VALUE(1014.11)</f>
        <v>1014.11</v>
      </c>
      <c r="I11394" s="1">
        <f>VALUE(3861)</f>
        <v>3861</v>
      </c>
      <c r="J11394" s="5">
        <f>VALUE(4411)</f>
        <v>4411</v>
      </c>
      <c r="K11394" s="6">
        <f>VALUE(5340)</f>
        <v>5340</v>
      </c>
      <c r="L11394" s="1">
        <f>VALUE(5961)</f>
        <v>5961</v>
      </c>
      <c r="M11394" s="1">
        <f>VALUE(6552)</f>
        <v>6552</v>
      </c>
      <c r="N11394" t="s">
        <v>25</v>
      </c>
    </row>
    <row r="11395" spans="1:14" x14ac:dyDescent="0.25">
      <c r="A11395" t="s">
        <v>44</v>
      </c>
      <c r="B11395" t="s">
        <v>39</v>
      </c>
      <c r="C11395" t="s">
        <v>15</v>
      </c>
      <c r="D11395" t="s">
        <v>15</v>
      </c>
      <c r="E11395" t="s">
        <v>23</v>
      </c>
      <c r="F11395" t="s">
        <v>19</v>
      </c>
      <c r="G11395" s="2">
        <f>VALUE(1833.79)</f>
        <v>1833.79</v>
      </c>
      <c r="H11395" s="3">
        <f>VALUE(1818.77)</f>
        <v>1818.77</v>
      </c>
      <c r="I11395" s="4">
        <f>VALUE(3581)</f>
        <v>3581</v>
      </c>
      <c r="J11395" s="1">
        <f>VALUE(4618)</f>
        <v>4618</v>
      </c>
      <c r="K11395" s="1">
        <f>VALUE(5389)</f>
        <v>5389</v>
      </c>
      <c r="L11395" s="1">
        <f>VALUE(6276)</f>
        <v>6276</v>
      </c>
      <c r="M11395" s="8">
        <f>VALUE(7061)</f>
        <v>7061</v>
      </c>
      <c r="N11395" t="s">
        <v>25</v>
      </c>
    </row>
    <row r="11396" spans="1:14" x14ac:dyDescent="0.25">
      <c r="A11396" t="s">
        <v>44</v>
      </c>
      <c r="B11396" t="s">
        <v>39</v>
      </c>
      <c r="C11396" t="s">
        <v>15</v>
      </c>
      <c r="D11396" t="s">
        <v>15</v>
      </c>
      <c r="E11396" t="s">
        <v>23</v>
      </c>
      <c r="F11396" t="s">
        <v>20</v>
      </c>
      <c r="G11396" s="1">
        <f>VALUE(19555.05)</f>
        <v>19555.05</v>
      </c>
      <c r="H11396" s="1">
        <f>VALUE(17836.71)</f>
        <v>17836.71</v>
      </c>
      <c r="I11396" s="1">
        <f>VALUE(3384)</f>
        <v>3384</v>
      </c>
      <c r="J11396" s="1">
        <f>VALUE(3846)</f>
        <v>3846</v>
      </c>
      <c r="K11396" s="1">
        <f>VALUE(4590)</f>
        <v>4590</v>
      </c>
      <c r="L11396" s="1">
        <f>VALUE(5505)</f>
        <v>5505</v>
      </c>
      <c r="M11396" s="1">
        <f>VALUE(6223)</f>
        <v>6223</v>
      </c>
      <c r="N11396" t="s">
        <v>16</v>
      </c>
    </row>
    <row r="11397" spans="1:14" x14ac:dyDescent="0.25">
      <c r="A11397" t="s">
        <v>44</v>
      </c>
      <c r="B11397" t="s">
        <v>39</v>
      </c>
      <c r="C11397" t="s">
        <v>15</v>
      </c>
      <c r="D11397" t="s">
        <v>15</v>
      </c>
      <c r="E11397" t="s">
        <v>26</v>
      </c>
      <c r="F11397" t="s">
        <v>15</v>
      </c>
      <c r="G11397" s="2">
        <f>VALUE(1135.99)</f>
        <v>1135.99</v>
      </c>
      <c r="H11397" s="3">
        <f>VALUE(1097.12)</f>
        <v>1097.1199999999999</v>
      </c>
      <c r="I11397" s="4">
        <f>VALUE(4438)</f>
        <v>4438</v>
      </c>
      <c r="J11397" s="1">
        <f>VALUE(5362)</f>
        <v>5362</v>
      </c>
      <c r="K11397" s="1">
        <f>VALUE(6312)</f>
        <v>6312</v>
      </c>
      <c r="L11397" s="1">
        <f>VALUE(8137)</f>
        <v>8137</v>
      </c>
      <c r="M11397" s="8">
        <f>VALUE(11942)</f>
        <v>11942</v>
      </c>
      <c r="N11397" t="s">
        <v>25</v>
      </c>
    </row>
    <row r="11398" spans="1:14" x14ac:dyDescent="0.25">
      <c r="A11398" t="s">
        <v>44</v>
      </c>
      <c r="B11398" t="s">
        <v>39</v>
      </c>
      <c r="C11398" t="s">
        <v>15</v>
      </c>
      <c r="D11398" t="s">
        <v>15</v>
      </c>
      <c r="E11398" t="s">
        <v>26</v>
      </c>
      <c r="F11398" t="s">
        <v>17</v>
      </c>
      <c r="G11398" s="2">
        <f>VALUE(240.8)</f>
        <v>240.8</v>
      </c>
      <c r="H11398" s="3">
        <f>VALUE(215.94)</f>
        <v>215.94</v>
      </c>
      <c r="I11398" s="4">
        <f>VALUE(7219)</f>
        <v>7219</v>
      </c>
      <c r="J11398" s="5">
        <f>VALUE(8123)</f>
        <v>8123</v>
      </c>
      <c r="K11398" s="6">
        <f>VALUE(11816)</f>
        <v>11816</v>
      </c>
      <c r="L11398" s="7">
        <f>VALUE(15467)</f>
        <v>15467</v>
      </c>
      <c r="M11398" s="1">
        <f>VALUE(15940)</f>
        <v>15940</v>
      </c>
      <c r="N11398" t="s">
        <v>25</v>
      </c>
    </row>
    <row r="11399" spans="1:14" x14ac:dyDescent="0.25">
      <c r="A11399" t="s">
        <v>44</v>
      </c>
      <c r="B11399" t="s">
        <v>39</v>
      </c>
      <c r="C11399" t="s">
        <v>15</v>
      </c>
      <c r="D11399" t="s">
        <v>15</v>
      </c>
      <c r="E11399" t="s">
        <v>26</v>
      </c>
      <c r="F11399" t="s">
        <v>18</v>
      </c>
      <c r="G11399" s="1" t="str">
        <f t="shared" ref="G11399:M11400" si="2556">"X"</f>
        <v>X</v>
      </c>
      <c r="H11399" s="1" t="str">
        <f t="shared" si="2556"/>
        <v>X</v>
      </c>
      <c r="I11399" s="1" t="str">
        <f t="shared" si="2556"/>
        <v>X</v>
      </c>
      <c r="J11399" s="1" t="str">
        <f t="shared" si="2556"/>
        <v>X</v>
      </c>
      <c r="K11399" s="1" t="str">
        <f t="shared" si="2556"/>
        <v>X</v>
      </c>
      <c r="L11399" s="1" t="str">
        <f t="shared" si="2556"/>
        <v>X</v>
      </c>
      <c r="M11399" s="1" t="str">
        <f t="shared" si="2556"/>
        <v>X</v>
      </c>
      <c r="N11399" t="s">
        <v>27</v>
      </c>
    </row>
    <row r="11400" spans="1:14" x14ac:dyDescent="0.25">
      <c r="A11400" t="s">
        <v>44</v>
      </c>
      <c r="B11400" t="s">
        <v>39</v>
      </c>
      <c r="C11400" t="s">
        <v>15</v>
      </c>
      <c r="D11400" t="s">
        <v>15</v>
      </c>
      <c r="E11400" t="s">
        <v>26</v>
      </c>
      <c r="F11400" t="s">
        <v>19</v>
      </c>
      <c r="G11400" s="1" t="str">
        <f t="shared" si="2556"/>
        <v>X</v>
      </c>
      <c r="H11400" s="1" t="str">
        <f t="shared" si="2556"/>
        <v>X</v>
      </c>
      <c r="I11400" s="1" t="str">
        <f t="shared" si="2556"/>
        <v>X</v>
      </c>
      <c r="J11400" s="1" t="str">
        <f t="shared" si="2556"/>
        <v>X</v>
      </c>
      <c r="K11400" s="1" t="str">
        <f t="shared" si="2556"/>
        <v>X</v>
      </c>
      <c r="L11400" s="1" t="str">
        <f t="shared" si="2556"/>
        <v>X</v>
      </c>
      <c r="M11400" s="1" t="str">
        <f t="shared" si="2556"/>
        <v>X</v>
      </c>
      <c r="N11400" t="s">
        <v>27</v>
      </c>
    </row>
    <row r="11401" spans="1:14" x14ac:dyDescent="0.25">
      <c r="A11401" t="s">
        <v>44</v>
      </c>
      <c r="B11401" t="s">
        <v>39</v>
      </c>
      <c r="C11401" t="s">
        <v>15</v>
      </c>
      <c r="D11401" t="s">
        <v>15</v>
      </c>
      <c r="E11401" t="s">
        <v>26</v>
      </c>
      <c r="F11401" t="s">
        <v>20</v>
      </c>
      <c r="G11401" s="2">
        <f>VALUE(766.87)</f>
        <v>766.87</v>
      </c>
      <c r="H11401" s="3">
        <f>VALUE(751.8)</f>
        <v>751.8</v>
      </c>
      <c r="I11401" s="4">
        <f>VALUE(4224)</f>
        <v>4224</v>
      </c>
      <c r="J11401" s="1">
        <f>VALUE(5013)</f>
        <v>5013</v>
      </c>
      <c r="K11401" s="1">
        <f>VALUE(5804)</f>
        <v>5804</v>
      </c>
      <c r="L11401" s="1">
        <f>VALUE(6727)</f>
        <v>6727</v>
      </c>
      <c r="M11401" s="1">
        <f>VALUE(8083)</f>
        <v>8083</v>
      </c>
      <c r="N11401" t="s">
        <v>25</v>
      </c>
    </row>
    <row r="11402" spans="1:14" x14ac:dyDescent="0.25">
      <c r="A11402" t="s">
        <v>44</v>
      </c>
      <c r="B11402" t="s">
        <v>39</v>
      </c>
      <c r="C11402" t="s">
        <v>15</v>
      </c>
      <c r="D11402" t="s">
        <v>28</v>
      </c>
      <c r="E11402" t="s">
        <v>15</v>
      </c>
      <c r="F11402" t="s">
        <v>15</v>
      </c>
      <c r="G11402" s="1">
        <f>VALUE(25394.35)</f>
        <v>25394.35</v>
      </c>
      <c r="H11402" s="1">
        <f>VALUE(24051.7)</f>
        <v>24051.7</v>
      </c>
      <c r="I11402" s="1">
        <f>VALUE(4289)</f>
        <v>4289</v>
      </c>
      <c r="J11402" s="1">
        <f>VALUE(5216)</f>
        <v>5216</v>
      </c>
      <c r="K11402" s="1">
        <f>VALUE(6312)</f>
        <v>6312</v>
      </c>
      <c r="L11402" s="1">
        <f>VALUE(8562)</f>
        <v>8562</v>
      </c>
      <c r="M11402" s="1">
        <f>VALUE(12154)</f>
        <v>12154</v>
      </c>
      <c r="N11402" t="s">
        <v>16</v>
      </c>
    </row>
    <row r="11403" spans="1:14" x14ac:dyDescent="0.25">
      <c r="A11403" t="s">
        <v>44</v>
      </c>
      <c r="B11403" t="s">
        <v>39</v>
      </c>
      <c r="C11403" t="s">
        <v>15</v>
      </c>
      <c r="D11403" t="s">
        <v>28</v>
      </c>
      <c r="E11403" t="s">
        <v>15</v>
      </c>
      <c r="F11403" t="s">
        <v>17</v>
      </c>
      <c r="G11403" s="1">
        <f>VALUE(7377.35)</f>
        <v>7377.35</v>
      </c>
      <c r="H11403" s="1">
        <f>VALUE(7173.85)</f>
        <v>7173.85</v>
      </c>
      <c r="I11403" s="4">
        <f>VALUE(5399)</f>
        <v>5399</v>
      </c>
      <c r="J11403" s="1">
        <f>VALUE(6932)</f>
        <v>6932</v>
      </c>
      <c r="K11403" s="1">
        <f>VALUE(9230)</f>
        <v>9230</v>
      </c>
      <c r="L11403" s="1">
        <f>VALUE(12672)</f>
        <v>12672</v>
      </c>
      <c r="M11403" s="1">
        <f>VALUE(17551)</f>
        <v>17551</v>
      </c>
      <c r="N11403" t="s">
        <v>25</v>
      </c>
    </row>
    <row r="11404" spans="1:14" x14ac:dyDescent="0.25">
      <c r="A11404" t="s">
        <v>44</v>
      </c>
      <c r="B11404" t="s">
        <v>39</v>
      </c>
      <c r="C11404" t="s">
        <v>15</v>
      </c>
      <c r="D11404" t="s">
        <v>28</v>
      </c>
      <c r="E11404" t="s">
        <v>15</v>
      </c>
      <c r="F11404" t="s">
        <v>18</v>
      </c>
      <c r="G11404" s="1">
        <f>VALUE(3014.27)</f>
        <v>3014.27</v>
      </c>
      <c r="H11404" s="1">
        <f>VALUE(2871.75)</f>
        <v>2871.75</v>
      </c>
      <c r="I11404" s="4">
        <f>VALUE(4865)</f>
        <v>4865</v>
      </c>
      <c r="J11404" s="1">
        <f>VALUE(5879)</f>
        <v>5879</v>
      </c>
      <c r="K11404" s="1">
        <f>VALUE(7136)</f>
        <v>7136</v>
      </c>
      <c r="L11404" s="1">
        <f>VALUE(9522)</f>
        <v>9522</v>
      </c>
      <c r="M11404" s="1">
        <f>VALUE(11964)</f>
        <v>11964</v>
      </c>
      <c r="N11404" t="s">
        <v>25</v>
      </c>
    </row>
    <row r="11405" spans="1:14" x14ac:dyDescent="0.25">
      <c r="A11405" t="s">
        <v>44</v>
      </c>
      <c r="B11405" t="s">
        <v>39</v>
      </c>
      <c r="C11405" t="s">
        <v>15</v>
      </c>
      <c r="D11405" t="s">
        <v>28</v>
      </c>
      <c r="E11405" t="s">
        <v>15</v>
      </c>
      <c r="F11405" t="s">
        <v>19</v>
      </c>
      <c r="G11405" s="2">
        <f>VALUE(3038.69)</f>
        <v>3038.69</v>
      </c>
      <c r="H11405" s="3">
        <f>VALUE(2923.08)</f>
        <v>2923.08</v>
      </c>
      <c r="I11405" s="4">
        <f>VALUE(4613)</f>
        <v>4613</v>
      </c>
      <c r="J11405" s="1">
        <f>VALUE(5337)</f>
        <v>5337</v>
      </c>
      <c r="K11405" s="1">
        <f>VALUE(6212)</f>
        <v>6212</v>
      </c>
      <c r="L11405" s="1">
        <f>VALUE(7238)</f>
        <v>7238</v>
      </c>
      <c r="M11405" s="1">
        <f>VALUE(8675)</f>
        <v>8675</v>
      </c>
      <c r="N11405" t="s">
        <v>25</v>
      </c>
    </row>
    <row r="11406" spans="1:14" x14ac:dyDescent="0.25">
      <c r="A11406" t="s">
        <v>44</v>
      </c>
      <c r="B11406" t="s">
        <v>39</v>
      </c>
      <c r="C11406" t="s">
        <v>15</v>
      </c>
      <c r="D11406" t="s">
        <v>28</v>
      </c>
      <c r="E11406" t="s">
        <v>15</v>
      </c>
      <c r="F11406" t="s">
        <v>20</v>
      </c>
      <c r="G11406" s="1">
        <f>VALUE(11964.04)</f>
        <v>11964.04</v>
      </c>
      <c r="H11406" s="1">
        <f>VALUE(11083.02)</f>
        <v>11083.02</v>
      </c>
      <c r="I11406" s="1">
        <f>VALUE(3959)</f>
        <v>3959</v>
      </c>
      <c r="J11406" s="1">
        <f>VALUE(4646)</f>
        <v>4646</v>
      </c>
      <c r="K11406" s="1">
        <f>VALUE(5521)</f>
        <v>5521</v>
      </c>
      <c r="L11406" s="1">
        <f>VALUE(6392)</f>
        <v>6392</v>
      </c>
      <c r="M11406" s="1">
        <f>VALUE(7505)</f>
        <v>7505</v>
      </c>
      <c r="N11406" t="s">
        <v>16</v>
      </c>
    </row>
    <row r="11407" spans="1:14" x14ac:dyDescent="0.25">
      <c r="A11407" t="s">
        <v>44</v>
      </c>
      <c r="B11407" t="s">
        <v>39</v>
      </c>
      <c r="C11407" t="s">
        <v>15</v>
      </c>
      <c r="D11407" t="s">
        <v>28</v>
      </c>
      <c r="E11407" t="s">
        <v>21</v>
      </c>
      <c r="F11407" t="s">
        <v>15</v>
      </c>
      <c r="G11407" s="1">
        <f>VALUE(8002.6)</f>
        <v>8002.6</v>
      </c>
      <c r="H11407" s="1">
        <f>VALUE(7519.2)</f>
        <v>7519.2</v>
      </c>
      <c r="I11407" s="1">
        <f>VALUE(5407)</f>
        <v>5407</v>
      </c>
      <c r="J11407" s="1">
        <f>VALUE(6532)</f>
        <v>6532</v>
      </c>
      <c r="K11407" s="1">
        <f>VALUE(8664)</f>
        <v>8664</v>
      </c>
      <c r="L11407" s="1">
        <f>VALUE(11498)</f>
        <v>11498</v>
      </c>
      <c r="M11407" s="1">
        <f>VALUE(16247)</f>
        <v>16247</v>
      </c>
      <c r="N11407" t="s">
        <v>16</v>
      </c>
    </row>
    <row r="11408" spans="1:14" x14ac:dyDescent="0.25">
      <c r="A11408" t="s">
        <v>44</v>
      </c>
      <c r="B11408" t="s">
        <v>39</v>
      </c>
      <c r="C11408" t="s">
        <v>15</v>
      </c>
      <c r="D11408" t="s">
        <v>28</v>
      </c>
      <c r="E11408" t="s">
        <v>21</v>
      </c>
      <c r="F11408" t="s">
        <v>17</v>
      </c>
      <c r="G11408" s="1">
        <f>VALUE(3979.36)</f>
        <v>3979.36</v>
      </c>
      <c r="H11408" s="1">
        <f>VALUE(3836.35)</f>
        <v>3836.35</v>
      </c>
      <c r="I11408" s="1">
        <f>VALUE(6499)</f>
        <v>6499</v>
      </c>
      <c r="J11408" s="1">
        <f>VALUE(8455)</f>
        <v>8455</v>
      </c>
      <c r="K11408" s="1">
        <f>VALUE(10815)</f>
        <v>10815</v>
      </c>
      <c r="L11408" s="1">
        <f>VALUE(14244)</f>
        <v>14244</v>
      </c>
      <c r="M11408" s="1">
        <f>VALUE(19264)</f>
        <v>19264</v>
      </c>
      <c r="N11408" t="s">
        <v>16</v>
      </c>
    </row>
    <row r="11409" spans="1:14" x14ac:dyDescent="0.25">
      <c r="A11409" t="s">
        <v>44</v>
      </c>
      <c r="B11409" t="s">
        <v>39</v>
      </c>
      <c r="C11409" t="s">
        <v>15</v>
      </c>
      <c r="D11409" t="s">
        <v>28</v>
      </c>
      <c r="E11409" t="s">
        <v>21</v>
      </c>
      <c r="F11409" t="s">
        <v>18</v>
      </c>
      <c r="G11409" s="2">
        <f>VALUE(1319.11)</f>
        <v>1319.11</v>
      </c>
      <c r="H11409" s="3">
        <f>VALUE(1213.66)</f>
        <v>1213.6600000000001</v>
      </c>
      <c r="I11409" s="4">
        <f>VALUE(5582)</f>
        <v>5582</v>
      </c>
      <c r="J11409" s="1">
        <f>VALUE(6628)</f>
        <v>6628</v>
      </c>
      <c r="K11409" s="1">
        <f>VALUE(8409)</f>
        <v>8409</v>
      </c>
      <c r="L11409" s="1">
        <f>VALUE(10601)</f>
        <v>10601</v>
      </c>
      <c r="M11409" s="1">
        <f>VALUE(12425)</f>
        <v>12425</v>
      </c>
      <c r="N11409" t="s">
        <v>25</v>
      </c>
    </row>
    <row r="11410" spans="1:14" x14ac:dyDescent="0.25">
      <c r="A11410" t="s">
        <v>44</v>
      </c>
      <c r="B11410" t="s">
        <v>39</v>
      </c>
      <c r="C11410" t="s">
        <v>15</v>
      </c>
      <c r="D11410" t="s">
        <v>28</v>
      </c>
      <c r="E11410" t="s">
        <v>21</v>
      </c>
      <c r="F11410" t="s">
        <v>19</v>
      </c>
      <c r="G11410" s="2">
        <f>VALUE(765.92)</f>
        <v>765.92</v>
      </c>
      <c r="H11410" s="3">
        <f>VALUE(700.97)</f>
        <v>700.97</v>
      </c>
      <c r="I11410" s="1">
        <f>VALUE(5436)</f>
        <v>5436</v>
      </c>
      <c r="J11410" s="1">
        <f>VALUE(6019)</f>
        <v>6019</v>
      </c>
      <c r="K11410" s="1">
        <f>VALUE(7227)</f>
        <v>7227</v>
      </c>
      <c r="L11410" s="1">
        <f>VALUE(8480)</f>
        <v>8480</v>
      </c>
      <c r="M11410" s="8">
        <f>VALUE(9549)</f>
        <v>9549</v>
      </c>
      <c r="N11410" t="s">
        <v>25</v>
      </c>
    </row>
    <row r="11411" spans="1:14" x14ac:dyDescent="0.25">
      <c r="A11411" t="s">
        <v>44</v>
      </c>
      <c r="B11411" t="s">
        <v>39</v>
      </c>
      <c r="C11411" t="s">
        <v>15</v>
      </c>
      <c r="D11411" t="s">
        <v>28</v>
      </c>
      <c r="E11411" t="s">
        <v>21</v>
      </c>
      <c r="F11411" t="s">
        <v>20</v>
      </c>
      <c r="G11411" s="2">
        <f>VALUE(1938.21)</f>
        <v>1938.21</v>
      </c>
      <c r="H11411" s="3">
        <f>VALUE(1768.22)</f>
        <v>1768.22</v>
      </c>
      <c r="I11411" s="4">
        <f>VALUE(4383)</f>
        <v>4383</v>
      </c>
      <c r="J11411" s="1">
        <f>VALUE(5485)</f>
        <v>5485</v>
      </c>
      <c r="K11411" s="1">
        <f>VALUE(6262)</f>
        <v>6262</v>
      </c>
      <c r="L11411" s="1">
        <f>VALUE(7852)</f>
        <v>7852</v>
      </c>
      <c r="M11411" s="1">
        <f>VALUE(9709)</f>
        <v>9709</v>
      </c>
      <c r="N11411" t="s">
        <v>25</v>
      </c>
    </row>
    <row r="11412" spans="1:14" x14ac:dyDescent="0.25">
      <c r="A11412" t="s">
        <v>44</v>
      </c>
      <c r="B11412" t="s">
        <v>39</v>
      </c>
      <c r="C11412" t="s">
        <v>15</v>
      </c>
      <c r="D11412" t="s">
        <v>28</v>
      </c>
      <c r="E11412" t="s">
        <v>22</v>
      </c>
      <c r="F11412" t="s">
        <v>15</v>
      </c>
      <c r="G11412" s="1">
        <f>VALUE(14245.51)</f>
        <v>14245.51</v>
      </c>
      <c r="H11412" s="1">
        <f>VALUE(13786.77)</f>
        <v>13786.77</v>
      </c>
      <c r="I11412" s="1">
        <f>VALUE(4231)</f>
        <v>4231</v>
      </c>
      <c r="J11412" s="1">
        <f>VALUE(5090)</f>
        <v>5090</v>
      </c>
      <c r="K11412" s="1">
        <f>VALUE(6011)</f>
        <v>6011</v>
      </c>
      <c r="L11412" s="1">
        <f>VALUE(7151)</f>
        <v>7151</v>
      </c>
      <c r="M11412" s="1">
        <f>VALUE(9337)</f>
        <v>9337</v>
      </c>
      <c r="N11412" t="s">
        <v>16</v>
      </c>
    </row>
    <row r="11413" spans="1:14" x14ac:dyDescent="0.25">
      <c r="A11413" t="s">
        <v>44</v>
      </c>
      <c r="B11413" t="s">
        <v>39</v>
      </c>
      <c r="C11413" t="s">
        <v>15</v>
      </c>
      <c r="D11413" t="s">
        <v>28</v>
      </c>
      <c r="E11413" t="s">
        <v>22</v>
      </c>
      <c r="F11413" t="s">
        <v>17</v>
      </c>
      <c r="G11413" s="2">
        <f>VALUE(2995.77)</f>
        <v>2995.77</v>
      </c>
      <c r="H11413" s="3">
        <f>VALUE(2991.21)</f>
        <v>2991.21</v>
      </c>
      <c r="I11413" s="4">
        <f>VALUE(5091)</f>
        <v>5091</v>
      </c>
      <c r="J11413" s="1">
        <f>VALUE(6241)</f>
        <v>6241</v>
      </c>
      <c r="K11413" s="1">
        <f>VALUE(7630)</f>
        <v>7630</v>
      </c>
      <c r="L11413" s="7">
        <f>VALUE(10315)</f>
        <v>10315</v>
      </c>
      <c r="M11413" s="8">
        <f>VALUE(13961)</f>
        <v>13961</v>
      </c>
      <c r="N11413" t="s">
        <v>25</v>
      </c>
    </row>
    <row r="11414" spans="1:14" x14ac:dyDescent="0.25">
      <c r="A11414" t="s">
        <v>44</v>
      </c>
      <c r="B11414" t="s">
        <v>39</v>
      </c>
      <c r="C11414" t="s">
        <v>15</v>
      </c>
      <c r="D11414" t="s">
        <v>28</v>
      </c>
      <c r="E11414" t="s">
        <v>22</v>
      </c>
      <c r="F11414" t="s">
        <v>18</v>
      </c>
      <c r="G11414" s="2">
        <f>VALUE(1518.52)</f>
        <v>1518.52</v>
      </c>
      <c r="H11414" s="3">
        <f>VALUE(1484.01)</f>
        <v>1484.01</v>
      </c>
      <c r="I11414" s="1">
        <f>VALUE(4875)</f>
        <v>4875</v>
      </c>
      <c r="J11414" s="1">
        <f>VALUE(5753)</f>
        <v>5753</v>
      </c>
      <c r="K11414" s="1">
        <f>VALUE(6613)</f>
        <v>6613</v>
      </c>
      <c r="L11414" s="1">
        <f>VALUE(8429)</f>
        <v>8429</v>
      </c>
      <c r="M11414" s="1">
        <f>VALUE(10950)</f>
        <v>10950</v>
      </c>
      <c r="N11414" t="s">
        <v>25</v>
      </c>
    </row>
    <row r="11415" spans="1:14" x14ac:dyDescent="0.25">
      <c r="A11415" t="s">
        <v>44</v>
      </c>
      <c r="B11415" t="s">
        <v>39</v>
      </c>
      <c r="C11415" t="s">
        <v>15</v>
      </c>
      <c r="D11415" t="s">
        <v>28</v>
      </c>
      <c r="E11415" t="s">
        <v>22</v>
      </c>
      <c r="F11415" t="s">
        <v>19</v>
      </c>
      <c r="G11415" s="2">
        <f>VALUE(1977.02)</f>
        <v>1977.02</v>
      </c>
      <c r="H11415" s="3">
        <f>VALUE(1918.68)</f>
        <v>1918.68</v>
      </c>
      <c r="I11415" s="4">
        <f>VALUE(4388)</f>
        <v>4388</v>
      </c>
      <c r="J11415" s="1">
        <f>VALUE(5158)</f>
        <v>5158</v>
      </c>
      <c r="K11415" s="1">
        <f>VALUE(6186)</f>
        <v>6186</v>
      </c>
      <c r="L11415" s="1">
        <f>VALUE(6932)</f>
        <v>6932</v>
      </c>
      <c r="M11415" s="1">
        <f>VALUE(8157)</f>
        <v>8157</v>
      </c>
      <c r="N11415" t="s">
        <v>25</v>
      </c>
    </row>
    <row r="11416" spans="1:14" x14ac:dyDescent="0.25">
      <c r="A11416" t="s">
        <v>44</v>
      </c>
      <c r="B11416" t="s">
        <v>39</v>
      </c>
      <c r="C11416" t="s">
        <v>15</v>
      </c>
      <c r="D11416" t="s">
        <v>28</v>
      </c>
      <c r="E11416" t="s">
        <v>22</v>
      </c>
      <c r="F11416" t="s">
        <v>20</v>
      </c>
      <c r="G11416" s="1">
        <f>VALUE(7754.2)</f>
        <v>7754.2</v>
      </c>
      <c r="H11416" s="1">
        <f>VALUE(7392.87)</f>
        <v>7392.87</v>
      </c>
      <c r="I11416" s="1">
        <f>VALUE(3980)</f>
        <v>3980</v>
      </c>
      <c r="J11416" s="1">
        <f>VALUE(4691)</f>
        <v>4691</v>
      </c>
      <c r="K11416" s="1">
        <f>VALUE(5493)</f>
        <v>5493</v>
      </c>
      <c r="L11416" s="1">
        <f>VALUE(6293)</f>
        <v>6293</v>
      </c>
      <c r="M11416" s="1">
        <f>VALUE(7141)</f>
        <v>7141</v>
      </c>
      <c r="N11416" t="s">
        <v>16</v>
      </c>
    </row>
    <row r="11417" spans="1:14" x14ac:dyDescent="0.25">
      <c r="A11417" t="s">
        <v>44</v>
      </c>
      <c r="B11417" t="s">
        <v>39</v>
      </c>
      <c r="C11417" t="s">
        <v>15</v>
      </c>
      <c r="D11417" t="s">
        <v>28</v>
      </c>
      <c r="E11417" t="s">
        <v>23</v>
      </c>
      <c r="F11417" t="s">
        <v>15</v>
      </c>
      <c r="G11417" s="2">
        <f>VALUE(2718.17)</f>
        <v>2718.17</v>
      </c>
      <c r="H11417" s="3">
        <f>VALUE(2346.26)</f>
        <v>2346.2600000000002</v>
      </c>
      <c r="I11417" s="1">
        <f>VALUE(3721)</f>
        <v>3721</v>
      </c>
      <c r="J11417" s="1">
        <f>VALUE(4230)</f>
        <v>4230</v>
      </c>
      <c r="K11417" s="1">
        <f>VALUE(5031)</f>
        <v>5031</v>
      </c>
      <c r="L11417" s="1">
        <f>VALUE(5957)</f>
        <v>5957</v>
      </c>
      <c r="M11417" s="8">
        <f>VALUE(6664)</f>
        <v>6664</v>
      </c>
      <c r="N11417" t="s">
        <v>25</v>
      </c>
    </row>
    <row r="11418" spans="1:14" x14ac:dyDescent="0.25">
      <c r="A11418" t="s">
        <v>44</v>
      </c>
      <c r="B11418" t="s">
        <v>39</v>
      </c>
      <c r="C11418" t="s">
        <v>15</v>
      </c>
      <c r="D11418" t="s">
        <v>28</v>
      </c>
      <c r="E11418" t="s">
        <v>23</v>
      </c>
      <c r="F11418" t="s">
        <v>17</v>
      </c>
      <c r="G11418" s="1" t="str">
        <f t="shared" ref="G11418:M11419" si="2557">"X"</f>
        <v>X</v>
      </c>
      <c r="H11418" s="1" t="str">
        <f t="shared" si="2557"/>
        <v>X</v>
      </c>
      <c r="I11418" s="1" t="str">
        <f t="shared" si="2557"/>
        <v>X</v>
      </c>
      <c r="J11418" s="1" t="str">
        <f t="shared" si="2557"/>
        <v>X</v>
      </c>
      <c r="K11418" s="1" t="str">
        <f t="shared" si="2557"/>
        <v>X</v>
      </c>
      <c r="L11418" s="1" t="str">
        <f t="shared" si="2557"/>
        <v>X</v>
      </c>
      <c r="M11418" s="1" t="str">
        <f t="shared" si="2557"/>
        <v>X</v>
      </c>
      <c r="N11418" t="s">
        <v>27</v>
      </c>
    </row>
    <row r="11419" spans="1:14" x14ac:dyDescent="0.25">
      <c r="A11419" t="s">
        <v>44</v>
      </c>
      <c r="B11419" t="s">
        <v>39</v>
      </c>
      <c r="C11419" t="s">
        <v>15</v>
      </c>
      <c r="D11419" t="s">
        <v>28</v>
      </c>
      <c r="E11419" t="s">
        <v>23</v>
      </c>
      <c r="F11419" t="s">
        <v>18</v>
      </c>
      <c r="G11419" s="1" t="str">
        <f t="shared" si="2557"/>
        <v>X</v>
      </c>
      <c r="H11419" s="1" t="str">
        <f t="shared" si="2557"/>
        <v>X</v>
      </c>
      <c r="I11419" s="1" t="str">
        <f t="shared" si="2557"/>
        <v>X</v>
      </c>
      <c r="J11419" s="1" t="str">
        <f t="shared" si="2557"/>
        <v>X</v>
      </c>
      <c r="K11419" s="1" t="str">
        <f t="shared" si="2557"/>
        <v>X</v>
      </c>
      <c r="L11419" s="1" t="str">
        <f t="shared" si="2557"/>
        <v>X</v>
      </c>
      <c r="M11419" s="1" t="str">
        <f t="shared" si="2557"/>
        <v>X</v>
      </c>
      <c r="N11419" t="s">
        <v>27</v>
      </c>
    </row>
    <row r="11420" spans="1:14" x14ac:dyDescent="0.25">
      <c r="A11420" t="s">
        <v>44</v>
      </c>
      <c r="B11420" t="s">
        <v>39</v>
      </c>
      <c r="C11420" t="s">
        <v>15</v>
      </c>
      <c r="D11420" t="s">
        <v>28</v>
      </c>
      <c r="E11420" t="s">
        <v>23</v>
      </c>
      <c r="F11420" t="s">
        <v>19</v>
      </c>
      <c r="G11420" s="2">
        <f>VALUE(282.87)</f>
        <v>282.87</v>
      </c>
      <c r="H11420" s="3">
        <f>VALUE(290.71)</f>
        <v>290.70999999999998</v>
      </c>
      <c r="I11420" s="4">
        <f>VALUE(4250)</f>
        <v>4250</v>
      </c>
      <c r="J11420" s="5">
        <f>VALUE(5158)</f>
        <v>5158</v>
      </c>
      <c r="K11420" s="1">
        <f>VALUE(5564)</f>
        <v>5564</v>
      </c>
      <c r="L11420" s="1">
        <f>VALUE(6096)</f>
        <v>6096</v>
      </c>
      <c r="M11420" s="8">
        <f>VALUE(6666)</f>
        <v>6666</v>
      </c>
      <c r="N11420" t="s">
        <v>25</v>
      </c>
    </row>
    <row r="11421" spans="1:14" x14ac:dyDescent="0.25">
      <c r="A11421" t="s">
        <v>44</v>
      </c>
      <c r="B11421" t="s">
        <v>39</v>
      </c>
      <c r="C11421" t="s">
        <v>15</v>
      </c>
      <c r="D11421" t="s">
        <v>28</v>
      </c>
      <c r="E11421" t="s">
        <v>23</v>
      </c>
      <c r="F11421" t="s">
        <v>20</v>
      </c>
      <c r="G11421" s="2">
        <f>VALUE(1997.93)</f>
        <v>1997.93</v>
      </c>
      <c r="H11421" s="3">
        <f>VALUE(1662.26)</f>
        <v>1662.26</v>
      </c>
      <c r="I11421" s="1">
        <f>VALUE(3620)</f>
        <v>3620</v>
      </c>
      <c r="J11421" s="1">
        <f>VALUE(4128)</f>
        <v>4128</v>
      </c>
      <c r="K11421" s="1">
        <f>VALUE(4852)</f>
        <v>4852</v>
      </c>
      <c r="L11421" s="1">
        <f>VALUE(5577)</f>
        <v>5577</v>
      </c>
      <c r="M11421" s="1">
        <f>VALUE(6409)</f>
        <v>6409</v>
      </c>
      <c r="N11421" t="s">
        <v>25</v>
      </c>
    </row>
    <row r="11422" spans="1:14" x14ac:dyDescent="0.25">
      <c r="A11422" t="s">
        <v>44</v>
      </c>
      <c r="B11422" t="s">
        <v>39</v>
      </c>
      <c r="C11422" t="s">
        <v>15</v>
      </c>
      <c r="D11422" t="s">
        <v>28</v>
      </c>
      <c r="E11422" t="s">
        <v>26</v>
      </c>
      <c r="F11422" t="s">
        <v>15</v>
      </c>
      <c r="G11422" s="2">
        <f>VALUE(428.07)</f>
        <v>428.07</v>
      </c>
      <c r="H11422" s="3">
        <f>VALUE(399.47)</f>
        <v>399.47</v>
      </c>
      <c r="I11422" s="1">
        <f>VALUE(4955)</f>
        <v>4955</v>
      </c>
      <c r="J11422" s="1">
        <f>VALUE(5650)</f>
        <v>5650</v>
      </c>
      <c r="K11422" s="1">
        <f>VALUE(6915)</f>
        <v>6915</v>
      </c>
      <c r="L11422" s="1">
        <f>VALUE(9324)</f>
        <v>9324</v>
      </c>
      <c r="M11422" s="1">
        <f>VALUE(12657)</f>
        <v>12657</v>
      </c>
      <c r="N11422" t="s">
        <v>25</v>
      </c>
    </row>
    <row r="11423" spans="1:14" x14ac:dyDescent="0.25">
      <c r="A11423" t="s">
        <v>44</v>
      </c>
      <c r="B11423" t="s">
        <v>39</v>
      </c>
      <c r="C11423" t="s">
        <v>15</v>
      </c>
      <c r="D11423" t="s">
        <v>28</v>
      </c>
      <c r="E11423" t="s">
        <v>26</v>
      </c>
      <c r="F11423" t="s">
        <v>17</v>
      </c>
      <c r="G11423" s="1" t="str">
        <f t="shared" ref="G11423:M11425" si="2558">"X"</f>
        <v>X</v>
      </c>
      <c r="H11423" s="1" t="str">
        <f t="shared" si="2558"/>
        <v>X</v>
      </c>
      <c r="I11423" s="1" t="str">
        <f t="shared" si="2558"/>
        <v>X</v>
      </c>
      <c r="J11423" s="1" t="str">
        <f t="shared" si="2558"/>
        <v>X</v>
      </c>
      <c r="K11423" s="1" t="str">
        <f t="shared" si="2558"/>
        <v>X</v>
      </c>
      <c r="L11423" s="1" t="str">
        <f t="shared" si="2558"/>
        <v>X</v>
      </c>
      <c r="M11423" s="1" t="str">
        <f t="shared" si="2558"/>
        <v>X</v>
      </c>
      <c r="N11423" t="s">
        <v>27</v>
      </c>
    </row>
    <row r="11424" spans="1:14" x14ac:dyDescent="0.25">
      <c r="A11424" t="s">
        <v>44</v>
      </c>
      <c r="B11424" t="s">
        <v>39</v>
      </c>
      <c r="C11424" t="s">
        <v>15</v>
      </c>
      <c r="D11424" t="s">
        <v>28</v>
      </c>
      <c r="E11424" t="s">
        <v>26</v>
      </c>
      <c r="F11424" t="s">
        <v>18</v>
      </c>
      <c r="G11424" s="1" t="str">
        <f t="shared" si="2558"/>
        <v>X</v>
      </c>
      <c r="H11424" s="1" t="str">
        <f t="shared" si="2558"/>
        <v>X</v>
      </c>
      <c r="I11424" s="1" t="str">
        <f t="shared" si="2558"/>
        <v>X</v>
      </c>
      <c r="J11424" s="1" t="str">
        <f t="shared" si="2558"/>
        <v>X</v>
      </c>
      <c r="K11424" s="1" t="str">
        <f t="shared" si="2558"/>
        <v>X</v>
      </c>
      <c r="L11424" s="1" t="str">
        <f t="shared" si="2558"/>
        <v>X</v>
      </c>
      <c r="M11424" s="1" t="str">
        <f t="shared" si="2558"/>
        <v>X</v>
      </c>
      <c r="N11424" t="s">
        <v>27</v>
      </c>
    </row>
    <row r="11425" spans="1:14" x14ac:dyDescent="0.25">
      <c r="A11425" t="s">
        <v>44</v>
      </c>
      <c r="B11425" t="s">
        <v>39</v>
      </c>
      <c r="C11425" t="s">
        <v>15</v>
      </c>
      <c r="D11425" t="s">
        <v>28</v>
      </c>
      <c r="E11425" t="s">
        <v>26</v>
      </c>
      <c r="F11425" t="s">
        <v>19</v>
      </c>
      <c r="G11425" s="1" t="str">
        <f t="shared" si="2558"/>
        <v>X</v>
      </c>
      <c r="H11425" s="1" t="str">
        <f t="shared" si="2558"/>
        <v>X</v>
      </c>
      <c r="I11425" s="1" t="str">
        <f t="shared" si="2558"/>
        <v>X</v>
      </c>
      <c r="J11425" s="1" t="str">
        <f t="shared" si="2558"/>
        <v>X</v>
      </c>
      <c r="K11425" s="1" t="str">
        <f t="shared" si="2558"/>
        <v>X</v>
      </c>
      <c r="L11425" s="1" t="str">
        <f t="shared" si="2558"/>
        <v>X</v>
      </c>
      <c r="M11425" s="1" t="str">
        <f t="shared" si="2558"/>
        <v>X</v>
      </c>
      <c r="N11425" t="s">
        <v>27</v>
      </c>
    </row>
    <row r="11426" spans="1:14" x14ac:dyDescent="0.25">
      <c r="A11426" t="s">
        <v>44</v>
      </c>
      <c r="B11426" t="s">
        <v>39</v>
      </c>
      <c r="C11426" t="s">
        <v>15</v>
      </c>
      <c r="D11426" t="s">
        <v>28</v>
      </c>
      <c r="E11426" t="s">
        <v>26</v>
      </c>
      <c r="F11426" t="s">
        <v>20</v>
      </c>
      <c r="G11426" s="2">
        <f>VALUE(273.7)</f>
        <v>273.7</v>
      </c>
      <c r="H11426" s="3">
        <f>VALUE(259.67)</f>
        <v>259.67</v>
      </c>
      <c r="I11426" s="1">
        <f>VALUE(4621)</f>
        <v>4621</v>
      </c>
      <c r="J11426" s="1">
        <f>VALUE(5389)</f>
        <v>5389</v>
      </c>
      <c r="K11426" s="1">
        <f>VALUE(6120)</f>
        <v>6120</v>
      </c>
      <c r="L11426" s="1">
        <f>VALUE(7091)</f>
        <v>7091</v>
      </c>
      <c r="M11426" s="1">
        <f>VALUE(8465)</f>
        <v>8465</v>
      </c>
      <c r="N11426" t="s">
        <v>25</v>
      </c>
    </row>
    <row r="11427" spans="1:14" x14ac:dyDescent="0.25">
      <c r="A11427" t="s">
        <v>44</v>
      </c>
      <c r="B11427" t="s">
        <v>39</v>
      </c>
      <c r="C11427" t="s">
        <v>15</v>
      </c>
      <c r="D11427" t="s">
        <v>29</v>
      </c>
      <c r="E11427" t="s">
        <v>15</v>
      </c>
      <c r="F11427" t="s">
        <v>15</v>
      </c>
      <c r="G11427" s="1">
        <f>VALUE(9994.53)</f>
        <v>9994.5300000000007</v>
      </c>
      <c r="H11427" s="1">
        <f>VALUE(9637.07)</f>
        <v>9637.07</v>
      </c>
      <c r="I11427" s="1">
        <f>VALUE(3988)</f>
        <v>3988</v>
      </c>
      <c r="J11427" s="1">
        <f>VALUE(4762)</f>
        <v>4762</v>
      </c>
      <c r="K11427" s="1">
        <f>VALUE(5794)</f>
        <v>5794</v>
      </c>
      <c r="L11427" s="1">
        <f>VALUE(7288)</f>
        <v>7288</v>
      </c>
      <c r="M11427" s="1">
        <f>VALUE(10346)</f>
        <v>10346</v>
      </c>
      <c r="N11427" t="s">
        <v>16</v>
      </c>
    </row>
    <row r="11428" spans="1:14" x14ac:dyDescent="0.25">
      <c r="A11428" t="s">
        <v>44</v>
      </c>
      <c r="B11428" t="s">
        <v>39</v>
      </c>
      <c r="C11428" t="s">
        <v>15</v>
      </c>
      <c r="D11428" t="s">
        <v>29</v>
      </c>
      <c r="E11428" t="s">
        <v>15</v>
      </c>
      <c r="F11428" t="s">
        <v>17</v>
      </c>
      <c r="G11428" s="2">
        <f>VALUE(1917.6)</f>
        <v>1917.6</v>
      </c>
      <c r="H11428" s="3">
        <f>VALUE(1912.06)</f>
        <v>1912.06</v>
      </c>
      <c r="I11428" s="4">
        <f>VALUE(4533)</f>
        <v>4533</v>
      </c>
      <c r="J11428" s="5">
        <f>VALUE(6273)</f>
        <v>6273</v>
      </c>
      <c r="K11428" s="6">
        <f>VALUE(9165)</f>
        <v>9165</v>
      </c>
      <c r="L11428" s="7">
        <f>VALUE(11902)</f>
        <v>11902</v>
      </c>
      <c r="M11428" s="8">
        <f>VALUE(17276)</f>
        <v>17276</v>
      </c>
      <c r="N11428" t="s">
        <v>24</v>
      </c>
    </row>
    <row r="11429" spans="1:14" x14ac:dyDescent="0.25">
      <c r="A11429" t="s">
        <v>44</v>
      </c>
      <c r="B11429" t="s">
        <v>39</v>
      </c>
      <c r="C11429" t="s">
        <v>15</v>
      </c>
      <c r="D11429" t="s">
        <v>29</v>
      </c>
      <c r="E11429" t="s">
        <v>15</v>
      </c>
      <c r="F11429" t="s">
        <v>18</v>
      </c>
      <c r="G11429" s="2">
        <f>VALUE(974.38)</f>
        <v>974.38</v>
      </c>
      <c r="H11429" s="3">
        <f>VALUE(919.93)</f>
        <v>919.93</v>
      </c>
      <c r="I11429" s="4">
        <f>VALUE(5091)</f>
        <v>5091</v>
      </c>
      <c r="J11429" s="1">
        <f>VALUE(5725)</f>
        <v>5725</v>
      </c>
      <c r="K11429" s="1">
        <f>VALUE(7034)</f>
        <v>7034</v>
      </c>
      <c r="L11429" s="7">
        <f>VALUE(8983)</f>
        <v>8983</v>
      </c>
      <c r="M11429" s="1">
        <f>VALUE(11981)</f>
        <v>11981</v>
      </c>
      <c r="N11429" t="s">
        <v>25</v>
      </c>
    </row>
    <row r="11430" spans="1:14" x14ac:dyDescent="0.25">
      <c r="A11430" t="s">
        <v>44</v>
      </c>
      <c r="B11430" t="s">
        <v>39</v>
      </c>
      <c r="C11430" t="s">
        <v>15</v>
      </c>
      <c r="D11430" t="s">
        <v>29</v>
      </c>
      <c r="E11430" t="s">
        <v>15</v>
      </c>
      <c r="F11430" t="s">
        <v>19</v>
      </c>
      <c r="G11430" s="2">
        <f>VALUE(1216.8)</f>
        <v>1216.8</v>
      </c>
      <c r="H11430" s="3">
        <f>VALUE(1188.61)</f>
        <v>1188.6099999999999</v>
      </c>
      <c r="I11430" s="4">
        <f>VALUE(4193)</f>
        <v>4193</v>
      </c>
      <c r="J11430" s="1">
        <f>VALUE(4910)</f>
        <v>4910</v>
      </c>
      <c r="K11430" s="1">
        <f>VALUE(5971)</f>
        <v>5971</v>
      </c>
      <c r="L11430" s="7">
        <f>VALUE(6977)</f>
        <v>6977</v>
      </c>
      <c r="M11430" s="1">
        <f>VALUE(8649)</f>
        <v>8649</v>
      </c>
      <c r="N11430" t="s">
        <v>25</v>
      </c>
    </row>
    <row r="11431" spans="1:14" x14ac:dyDescent="0.25">
      <c r="A11431" t="s">
        <v>44</v>
      </c>
      <c r="B11431" t="s">
        <v>39</v>
      </c>
      <c r="C11431" t="s">
        <v>15</v>
      </c>
      <c r="D11431" t="s">
        <v>29</v>
      </c>
      <c r="E11431" t="s">
        <v>15</v>
      </c>
      <c r="F11431" t="s">
        <v>20</v>
      </c>
      <c r="G11431" s="1">
        <f>VALUE(5885.75)</f>
        <v>5885.75</v>
      </c>
      <c r="H11431" s="1">
        <f>VALUE(5616.47)</f>
        <v>5616.47</v>
      </c>
      <c r="I11431" s="1">
        <f>VALUE(3837)</f>
        <v>3837</v>
      </c>
      <c r="J11431" s="1">
        <f>VALUE(4495)</f>
        <v>4495</v>
      </c>
      <c r="K11431" s="1">
        <f>VALUE(5293)</f>
        <v>5293</v>
      </c>
      <c r="L11431" s="1">
        <f>VALUE(6148)</f>
        <v>6148</v>
      </c>
      <c r="M11431" s="1">
        <f>VALUE(7197)</f>
        <v>7197</v>
      </c>
      <c r="N11431" t="s">
        <v>16</v>
      </c>
    </row>
    <row r="11432" spans="1:14" x14ac:dyDescent="0.25">
      <c r="A11432" t="s">
        <v>44</v>
      </c>
      <c r="B11432" t="s">
        <v>39</v>
      </c>
      <c r="C11432" t="s">
        <v>15</v>
      </c>
      <c r="D11432" t="s">
        <v>29</v>
      </c>
      <c r="E11432" t="s">
        <v>21</v>
      </c>
      <c r="F11432" t="s">
        <v>15</v>
      </c>
      <c r="G11432" s="2">
        <f>VALUE(2274.65)</f>
        <v>2274.65</v>
      </c>
      <c r="H11432" s="3">
        <f>VALUE(2137.7)</f>
        <v>2137.6999999999998</v>
      </c>
      <c r="I11432" s="4">
        <f>VALUE(5452)</f>
        <v>5452</v>
      </c>
      <c r="J11432" s="1">
        <f>VALUE(6965)</f>
        <v>6965</v>
      </c>
      <c r="K11432" s="6">
        <f>VALUE(8767)</f>
        <v>8767</v>
      </c>
      <c r="L11432" s="7">
        <f>VALUE(11905)</f>
        <v>11905</v>
      </c>
      <c r="M11432" s="1">
        <f>VALUE(16900)</f>
        <v>16900</v>
      </c>
      <c r="N11432" t="s">
        <v>25</v>
      </c>
    </row>
    <row r="11433" spans="1:14" x14ac:dyDescent="0.25">
      <c r="A11433" t="s">
        <v>44</v>
      </c>
      <c r="B11433" t="s">
        <v>39</v>
      </c>
      <c r="C11433" t="s">
        <v>15</v>
      </c>
      <c r="D11433" t="s">
        <v>29</v>
      </c>
      <c r="E11433" t="s">
        <v>21</v>
      </c>
      <c r="F11433" t="s">
        <v>17</v>
      </c>
      <c r="G11433" s="2">
        <f>VALUE(990.56)</f>
        <v>990.56</v>
      </c>
      <c r="H11433" s="3">
        <f>VALUE(968.73)</f>
        <v>968.73</v>
      </c>
      <c r="I11433" s="4">
        <f>VALUE(6147)</f>
        <v>6147</v>
      </c>
      <c r="J11433" s="5">
        <f>VALUE(9175)</f>
        <v>9175</v>
      </c>
      <c r="K11433" s="6">
        <f>VALUE(11158)</f>
        <v>11158</v>
      </c>
      <c r="L11433" s="7">
        <f>VALUE(15687)</f>
        <v>15687</v>
      </c>
      <c r="M11433" s="8">
        <f>VALUE(20125)</f>
        <v>20125</v>
      </c>
      <c r="N11433" t="s">
        <v>24</v>
      </c>
    </row>
    <row r="11434" spans="1:14" x14ac:dyDescent="0.25">
      <c r="A11434" t="s">
        <v>44</v>
      </c>
      <c r="B11434" t="s">
        <v>39</v>
      </c>
      <c r="C11434" t="s">
        <v>15</v>
      </c>
      <c r="D11434" t="s">
        <v>29</v>
      </c>
      <c r="E11434" t="s">
        <v>21</v>
      </c>
      <c r="F11434" t="s">
        <v>18</v>
      </c>
      <c r="G11434" s="2">
        <f>VALUE(407.13)</f>
        <v>407.13</v>
      </c>
      <c r="H11434" s="3">
        <f>VALUE(354.22)</f>
        <v>354.22</v>
      </c>
      <c r="I11434" s="1">
        <f>VALUE(6666)</f>
        <v>6666</v>
      </c>
      <c r="J11434" s="1">
        <f>VALUE(7851)</f>
        <v>7851</v>
      </c>
      <c r="K11434" s="1">
        <f>VALUE(9120)</f>
        <v>9120</v>
      </c>
      <c r="L11434" s="1">
        <f>VALUE(11348)</f>
        <v>11348</v>
      </c>
      <c r="M11434" s="8">
        <f>VALUE(15280)</f>
        <v>15280</v>
      </c>
      <c r="N11434" t="s">
        <v>25</v>
      </c>
    </row>
    <row r="11435" spans="1:14" x14ac:dyDescent="0.25">
      <c r="A11435" t="s">
        <v>44</v>
      </c>
      <c r="B11435" t="s">
        <v>39</v>
      </c>
      <c r="C11435" t="s">
        <v>15</v>
      </c>
      <c r="D11435" t="s">
        <v>29</v>
      </c>
      <c r="E11435" t="s">
        <v>21</v>
      </c>
      <c r="F11435" t="s">
        <v>19</v>
      </c>
      <c r="G11435" s="2">
        <f>VALUE(212.18)</f>
        <v>212.18</v>
      </c>
      <c r="H11435" s="3">
        <f>VALUE(198.3)</f>
        <v>198.3</v>
      </c>
      <c r="I11435" s="4">
        <f>VALUE(5952)</f>
        <v>5952</v>
      </c>
      <c r="J11435" s="1">
        <f>VALUE(6733)</f>
        <v>6733</v>
      </c>
      <c r="K11435" s="1">
        <f>VALUE(7823)</f>
        <v>7823</v>
      </c>
      <c r="L11435" s="7">
        <f>VALUE(8711)</f>
        <v>8711</v>
      </c>
      <c r="M11435" s="8">
        <f>VALUE(14107)</f>
        <v>14107</v>
      </c>
      <c r="N11435" t="s">
        <v>25</v>
      </c>
    </row>
    <row r="11436" spans="1:14" x14ac:dyDescent="0.25">
      <c r="A11436" t="s">
        <v>44</v>
      </c>
      <c r="B11436" t="s">
        <v>39</v>
      </c>
      <c r="C11436" t="s">
        <v>15</v>
      </c>
      <c r="D11436" t="s">
        <v>29</v>
      </c>
      <c r="E11436" t="s">
        <v>21</v>
      </c>
      <c r="F11436" t="s">
        <v>20</v>
      </c>
      <c r="G11436" s="2">
        <f>VALUE(664.78)</f>
        <v>664.78</v>
      </c>
      <c r="H11436" s="3">
        <f>VALUE(616.45)</f>
        <v>616.45000000000005</v>
      </c>
      <c r="I11436" s="1">
        <f>VALUE(4672)</f>
        <v>4672</v>
      </c>
      <c r="J11436" s="5">
        <f>VALUE(5605)</f>
        <v>5605</v>
      </c>
      <c r="K11436" s="1">
        <f>VALUE(6965)</f>
        <v>6965</v>
      </c>
      <c r="L11436" s="1">
        <f>VALUE(7840)</f>
        <v>7840</v>
      </c>
      <c r="M11436" s="1">
        <f>VALUE(9524)</f>
        <v>9524</v>
      </c>
      <c r="N11436" t="s">
        <v>25</v>
      </c>
    </row>
    <row r="11437" spans="1:14" x14ac:dyDescent="0.25">
      <c r="A11437" t="s">
        <v>44</v>
      </c>
      <c r="B11437" t="s">
        <v>39</v>
      </c>
      <c r="C11437" t="s">
        <v>15</v>
      </c>
      <c r="D11437" t="s">
        <v>29</v>
      </c>
      <c r="E11437" t="s">
        <v>22</v>
      </c>
      <c r="F11437" t="s">
        <v>15</v>
      </c>
      <c r="G11437" s="2">
        <f>VALUE(3975.91)</f>
        <v>3975.91</v>
      </c>
      <c r="H11437" s="3">
        <f>VALUE(3955.66)</f>
        <v>3955.66</v>
      </c>
      <c r="I11437" s="1">
        <f>VALUE(4223)</f>
        <v>4223</v>
      </c>
      <c r="J11437" s="1">
        <f>VALUE(4766)</f>
        <v>4766</v>
      </c>
      <c r="K11437" s="1">
        <f>VALUE(5764)</f>
        <v>5764</v>
      </c>
      <c r="L11437" s="1">
        <f>VALUE(6629)</f>
        <v>6629</v>
      </c>
      <c r="M11437" s="1">
        <f>VALUE(8611)</f>
        <v>8611</v>
      </c>
      <c r="N11437" t="s">
        <v>25</v>
      </c>
    </row>
    <row r="11438" spans="1:14" x14ac:dyDescent="0.25">
      <c r="A11438" t="s">
        <v>44</v>
      </c>
      <c r="B11438" t="s">
        <v>39</v>
      </c>
      <c r="C11438" t="s">
        <v>15</v>
      </c>
      <c r="D11438" t="s">
        <v>29</v>
      </c>
      <c r="E11438" t="s">
        <v>22</v>
      </c>
      <c r="F11438" t="s">
        <v>17</v>
      </c>
      <c r="G11438" s="2">
        <f>VALUE(623.28)</f>
        <v>623.28</v>
      </c>
      <c r="H11438" s="3">
        <f>VALUE(654.89)</f>
        <v>654.89</v>
      </c>
      <c r="I11438" s="4">
        <f>VALUE(4276)</f>
        <v>4276</v>
      </c>
      <c r="J11438" s="5">
        <f>VALUE(5333)</f>
        <v>5333</v>
      </c>
      <c r="K11438" s="6">
        <f>VALUE(7012)</f>
        <v>7012</v>
      </c>
      <c r="L11438" s="7">
        <f>VALUE(9995)</f>
        <v>9995</v>
      </c>
      <c r="M11438" s="8">
        <f>VALUE(11007)</f>
        <v>11007</v>
      </c>
      <c r="N11438" t="s">
        <v>24</v>
      </c>
    </row>
    <row r="11439" spans="1:14" x14ac:dyDescent="0.25">
      <c r="A11439" t="s">
        <v>44</v>
      </c>
      <c r="B11439" t="s">
        <v>39</v>
      </c>
      <c r="C11439" t="s">
        <v>15</v>
      </c>
      <c r="D11439" t="s">
        <v>29</v>
      </c>
      <c r="E11439" t="s">
        <v>22</v>
      </c>
      <c r="F11439" t="s">
        <v>18</v>
      </c>
      <c r="G11439" s="2">
        <f>VALUE(394.91)</f>
        <v>394.91</v>
      </c>
      <c r="H11439" s="3">
        <f>VALUE(388.04)</f>
        <v>388.04</v>
      </c>
      <c r="I11439" s="1">
        <f>VALUE(5048)</f>
        <v>5048</v>
      </c>
      <c r="J11439" s="1">
        <f>VALUE(5592)</f>
        <v>5592</v>
      </c>
      <c r="K11439" s="1">
        <f>VALUE(6191)</f>
        <v>6191</v>
      </c>
      <c r="L11439" s="1">
        <f>VALUE(7257)</f>
        <v>7257</v>
      </c>
      <c r="M11439" s="8">
        <f>VALUE(8972)</f>
        <v>8972</v>
      </c>
      <c r="N11439" t="s">
        <v>25</v>
      </c>
    </row>
    <row r="11440" spans="1:14" x14ac:dyDescent="0.25">
      <c r="A11440" t="s">
        <v>44</v>
      </c>
      <c r="B11440" t="s">
        <v>39</v>
      </c>
      <c r="C11440" t="s">
        <v>15</v>
      </c>
      <c r="D11440" t="s">
        <v>29</v>
      </c>
      <c r="E11440" t="s">
        <v>22</v>
      </c>
      <c r="F11440" t="s">
        <v>19</v>
      </c>
      <c r="G11440" s="2">
        <f>VALUE(664.25)</f>
        <v>664.25</v>
      </c>
      <c r="H11440" s="3">
        <f>VALUE(648.81)</f>
        <v>648.80999999999995</v>
      </c>
      <c r="I11440" s="1">
        <f>VALUE(4371)</f>
        <v>4371</v>
      </c>
      <c r="J11440" s="5">
        <f>VALUE(5208)</f>
        <v>5208</v>
      </c>
      <c r="K11440" s="1">
        <f>VALUE(5849)</f>
        <v>5849</v>
      </c>
      <c r="L11440" s="7">
        <f>VALUE(6744)</f>
        <v>6744</v>
      </c>
      <c r="M11440" s="8">
        <f>VALUE(8224)</f>
        <v>8224</v>
      </c>
      <c r="N11440" t="s">
        <v>25</v>
      </c>
    </row>
    <row r="11441" spans="1:14" x14ac:dyDescent="0.25">
      <c r="A11441" t="s">
        <v>44</v>
      </c>
      <c r="B11441" t="s">
        <v>39</v>
      </c>
      <c r="C11441" t="s">
        <v>15</v>
      </c>
      <c r="D11441" t="s">
        <v>29</v>
      </c>
      <c r="E11441" t="s">
        <v>22</v>
      </c>
      <c r="F11441" t="s">
        <v>20</v>
      </c>
      <c r="G11441" s="2">
        <f>VALUE(2293.47)</f>
        <v>2293.4699999999998</v>
      </c>
      <c r="H11441" s="3">
        <f>VALUE(2263.92)</f>
        <v>2263.92</v>
      </c>
      <c r="I11441" s="1">
        <f>VALUE(4064)</f>
        <v>4064</v>
      </c>
      <c r="J11441" s="1">
        <f>VALUE(4739)</f>
        <v>4739</v>
      </c>
      <c r="K11441" s="1">
        <f>VALUE(5375)</f>
        <v>5375</v>
      </c>
      <c r="L11441" s="1">
        <f>VALUE(6247)</f>
        <v>6247</v>
      </c>
      <c r="M11441" s="1">
        <f>VALUE(6907)</f>
        <v>6907</v>
      </c>
      <c r="N11441" t="s">
        <v>25</v>
      </c>
    </row>
    <row r="11442" spans="1:14" x14ac:dyDescent="0.25">
      <c r="A11442" t="s">
        <v>44</v>
      </c>
      <c r="B11442" t="s">
        <v>39</v>
      </c>
      <c r="C11442" t="s">
        <v>15</v>
      </c>
      <c r="D11442" t="s">
        <v>29</v>
      </c>
      <c r="E11442" t="s">
        <v>23</v>
      </c>
      <c r="F11442" t="s">
        <v>15</v>
      </c>
      <c r="G11442" s="2">
        <f>VALUE(3579.94)</f>
        <v>3579.94</v>
      </c>
      <c r="H11442" s="3">
        <f>VALUE(3377.38)</f>
        <v>3377.38</v>
      </c>
      <c r="I11442" s="1">
        <f>VALUE(3678)</f>
        <v>3678</v>
      </c>
      <c r="J11442" s="1">
        <f>VALUE(4223)</f>
        <v>4223</v>
      </c>
      <c r="K11442" s="1">
        <f>VALUE(5016)</f>
        <v>5016</v>
      </c>
      <c r="L11442" s="1">
        <f>VALUE(5899)</f>
        <v>5899</v>
      </c>
      <c r="M11442" s="1">
        <f>VALUE(6709)</f>
        <v>6709</v>
      </c>
      <c r="N11442" t="s">
        <v>25</v>
      </c>
    </row>
    <row r="11443" spans="1:14" x14ac:dyDescent="0.25">
      <c r="A11443" t="s">
        <v>44</v>
      </c>
      <c r="B11443" t="s">
        <v>39</v>
      </c>
      <c r="C11443" t="s">
        <v>15</v>
      </c>
      <c r="D11443" t="s">
        <v>29</v>
      </c>
      <c r="E11443" t="s">
        <v>23</v>
      </c>
      <c r="F11443" t="s">
        <v>17</v>
      </c>
      <c r="G11443" s="1" t="str">
        <f t="shared" ref="G11443:M11444" si="2559">"X"</f>
        <v>X</v>
      </c>
      <c r="H11443" s="1" t="str">
        <f t="shared" si="2559"/>
        <v>X</v>
      </c>
      <c r="I11443" s="1" t="str">
        <f t="shared" si="2559"/>
        <v>X</v>
      </c>
      <c r="J11443" s="1" t="str">
        <f t="shared" si="2559"/>
        <v>X</v>
      </c>
      <c r="K11443" s="1" t="str">
        <f t="shared" si="2559"/>
        <v>X</v>
      </c>
      <c r="L11443" s="1" t="str">
        <f t="shared" si="2559"/>
        <v>X</v>
      </c>
      <c r="M11443" s="1" t="str">
        <f t="shared" si="2559"/>
        <v>X</v>
      </c>
      <c r="N11443" t="s">
        <v>27</v>
      </c>
    </row>
    <row r="11444" spans="1:14" x14ac:dyDescent="0.25">
      <c r="A11444" t="s">
        <v>44</v>
      </c>
      <c r="B11444" t="s">
        <v>39</v>
      </c>
      <c r="C11444" t="s">
        <v>15</v>
      </c>
      <c r="D11444" t="s">
        <v>29</v>
      </c>
      <c r="E11444" t="s">
        <v>23</v>
      </c>
      <c r="F11444" t="s">
        <v>18</v>
      </c>
      <c r="G11444" s="1" t="str">
        <f t="shared" si="2559"/>
        <v>X</v>
      </c>
      <c r="H11444" s="1" t="str">
        <f t="shared" si="2559"/>
        <v>X</v>
      </c>
      <c r="I11444" s="1" t="str">
        <f t="shared" si="2559"/>
        <v>X</v>
      </c>
      <c r="J11444" s="1" t="str">
        <f t="shared" si="2559"/>
        <v>X</v>
      </c>
      <c r="K11444" s="1" t="str">
        <f t="shared" si="2559"/>
        <v>X</v>
      </c>
      <c r="L11444" s="1" t="str">
        <f t="shared" si="2559"/>
        <v>X</v>
      </c>
      <c r="M11444" s="1" t="str">
        <f t="shared" si="2559"/>
        <v>X</v>
      </c>
      <c r="N11444" t="s">
        <v>27</v>
      </c>
    </row>
    <row r="11445" spans="1:14" x14ac:dyDescent="0.25">
      <c r="A11445" t="s">
        <v>44</v>
      </c>
      <c r="B11445" t="s">
        <v>39</v>
      </c>
      <c r="C11445" t="s">
        <v>15</v>
      </c>
      <c r="D11445" t="s">
        <v>29</v>
      </c>
      <c r="E11445" t="s">
        <v>23</v>
      </c>
      <c r="F11445" t="s">
        <v>19</v>
      </c>
      <c r="G11445" s="2">
        <f>VALUE(331.56)</f>
        <v>331.56</v>
      </c>
      <c r="H11445" s="3">
        <f>VALUE(332.14)</f>
        <v>332.14</v>
      </c>
      <c r="I11445" s="1">
        <f>VALUE(3241)</f>
        <v>3241</v>
      </c>
      <c r="J11445" s="5">
        <f>VALUE(3988)</f>
        <v>3988</v>
      </c>
      <c r="K11445" s="1">
        <f>VALUE(5125)</f>
        <v>5125</v>
      </c>
      <c r="L11445" s="1">
        <f>VALUE(6325)</f>
        <v>6325</v>
      </c>
      <c r="M11445" s="1">
        <f>VALUE(6977)</f>
        <v>6977</v>
      </c>
      <c r="N11445" t="s">
        <v>25</v>
      </c>
    </row>
    <row r="11446" spans="1:14" x14ac:dyDescent="0.25">
      <c r="A11446" t="s">
        <v>44</v>
      </c>
      <c r="B11446" t="s">
        <v>39</v>
      </c>
      <c r="C11446" t="s">
        <v>15</v>
      </c>
      <c r="D11446" t="s">
        <v>29</v>
      </c>
      <c r="E11446" t="s">
        <v>23</v>
      </c>
      <c r="F11446" t="s">
        <v>20</v>
      </c>
      <c r="G11446" s="2">
        <f>VALUE(2819.77)</f>
        <v>2819.77</v>
      </c>
      <c r="H11446" s="3">
        <f>VALUE(2628)</f>
        <v>2628</v>
      </c>
      <c r="I11446" s="1">
        <f>VALUE(3678)</f>
        <v>3678</v>
      </c>
      <c r="J11446" s="1">
        <f>VALUE(4180)</f>
        <v>4180</v>
      </c>
      <c r="K11446" s="1">
        <f>VALUE(4961)</f>
        <v>4961</v>
      </c>
      <c r="L11446" s="1">
        <f>VALUE(5743)</f>
        <v>5743</v>
      </c>
      <c r="M11446" s="1">
        <f>VALUE(6478)</f>
        <v>6478</v>
      </c>
      <c r="N11446" t="s">
        <v>25</v>
      </c>
    </row>
    <row r="11447" spans="1:14" x14ac:dyDescent="0.25">
      <c r="A11447" t="s">
        <v>44</v>
      </c>
      <c r="B11447" t="s">
        <v>39</v>
      </c>
      <c r="C11447" t="s">
        <v>15</v>
      </c>
      <c r="D11447" t="s">
        <v>29</v>
      </c>
      <c r="E11447" t="s">
        <v>26</v>
      </c>
      <c r="F11447" t="s">
        <v>15</v>
      </c>
      <c r="G11447" s="1" t="str">
        <f t="shared" ref="G11447:M11451" si="2560">"X"</f>
        <v>X</v>
      </c>
      <c r="H11447" s="1" t="str">
        <f t="shared" si="2560"/>
        <v>X</v>
      </c>
      <c r="I11447" s="1" t="str">
        <f t="shared" si="2560"/>
        <v>X</v>
      </c>
      <c r="J11447" s="1" t="str">
        <f t="shared" si="2560"/>
        <v>X</v>
      </c>
      <c r="K11447" s="1" t="str">
        <f t="shared" si="2560"/>
        <v>X</v>
      </c>
      <c r="L11447" s="1" t="str">
        <f t="shared" si="2560"/>
        <v>X</v>
      </c>
      <c r="M11447" s="1" t="str">
        <f t="shared" si="2560"/>
        <v>X</v>
      </c>
      <c r="N11447" t="s">
        <v>27</v>
      </c>
    </row>
    <row r="11448" spans="1:14" x14ac:dyDescent="0.25">
      <c r="A11448" t="s">
        <v>44</v>
      </c>
      <c r="B11448" t="s">
        <v>39</v>
      </c>
      <c r="C11448" t="s">
        <v>15</v>
      </c>
      <c r="D11448" t="s">
        <v>29</v>
      </c>
      <c r="E11448" t="s">
        <v>26</v>
      </c>
      <c r="F11448" t="s">
        <v>17</v>
      </c>
      <c r="G11448" s="1" t="str">
        <f t="shared" si="2560"/>
        <v>X</v>
      </c>
      <c r="H11448" s="1" t="str">
        <f t="shared" si="2560"/>
        <v>X</v>
      </c>
      <c r="I11448" s="1" t="str">
        <f t="shared" si="2560"/>
        <v>X</v>
      </c>
      <c r="J11448" s="1" t="str">
        <f t="shared" si="2560"/>
        <v>X</v>
      </c>
      <c r="K11448" s="1" t="str">
        <f t="shared" si="2560"/>
        <v>X</v>
      </c>
      <c r="L11448" s="1" t="str">
        <f t="shared" si="2560"/>
        <v>X</v>
      </c>
      <c r="M11448" s="1" t="str">
        <f t="shared" si="2560"/>
        <v>X</v>
      </c>
      <c r="N11448" t="s">
        <v>27</v>
      </c>
    </row>
    <row r="11449" spans="1:14" x14ac:dyDescent="0.25">
      <c r="A11449" t="s">
        <v>44</v>
      </c>
      <c r="B11449" t="s">
        <v>39</v>
      </c>
      <c r="C11449" t="s">
        <v>15</v>
      </c>
      <c r="D11449" t="s">
        <v>29</v>
      </c>
      <c r="E11449" t="s">
        <v>26</v>
      </c>
      <c r="F11449" t="s">
        <v>18</v>
      </c>
      <c r="G11449" s="1" t="str">
        <f t="shared" si="2560"/>
        <v>X</v>
      </c>
      <c r="H11449" s="1" t="str">
        <f t="shared" si="2560"/>
        <v>X</v>
      </c>
      <c r="I11449" s="1" t="str">
        <f t="shared" si="2560"/>
        <v>X</v>
      </c>
      <c r="J11449" s="1" t="str">
        <f t="shared" si="2560"/>
        <v>X</v>
      </c>
      <c r="K11449" s="1" t="str">
        <f t="shared" si="2560"/>
        <v>X</v>
      </c>
      <c r="L11449" s="1" t="str">
        <f t="shared" si="2560"/>
        <v>X</v>
      </c>
      <c r="M11449" s="1" t="str">
        <f t="shared" si="2560"/>
        <v>X</v>
      </c>
      <c r="N11449" t="s">
        <v>27</v>
      </c>
    </row>
    <row r="11450" spans="1:14" x14ac:dyDescent="0.25">
      <c r="A11450" t="s">
        <v>44</v>
      </c>
      <c r="B11450" t="s">
        <v>39</v>
      </c>
      <c r="C11450" t="s">
        <v>15</v>
      </c>
      <c r="D11450" t="s">
        <v>29</v>
      </c>
      <c r="E11450" t="s">
        <v>26</v>
      </c>
      <c r="F11450" t="s">
        <v>19</v>
      </c>
      <c r="G11450" s="1" t="str">
        <f t="shared" si="2560"/>
        <v>X</v>
      </c>
      <c r="H11450" s="1" t="str">
        <f t="shared" si="2560"/>
        <v>X</v>
      </c>
      <c r="I11450" s="1" t="str">
        <f t="shared" si="2560"/>
        <v>X</v>
      </c>
      <c r="J11450" s="1" t="str">
        <f t="shared" si="2560"/>
        <v>X</v>
      </c>
      <c r="K11450" s="1" t="str">
        <f t="shared" si="2560"/>
        <v>X</v>
      </c>
      <c r="L11450" s="1" t="str">
        <f t="shared" si="2560"/>
        <v>X</v>
      </c>
      <c r="M11450" s="1" t="str">
        <f t="shared" si="2560"/>
        <v>X</v>
      </c>
      <c r="N11450" t="s">
        <v>27</v>
      </c>
    </row>
    <row r="11451" spans="1:14" x14ac:dyDescent="0.25">
      <c r="A11451" t="s">
        <v>44</v>
      </c>
      <c r="B11451" t="s">
        <v>39</v>
      </c>
      <c r="C11451" t="s">
        <v>15</v>
      </c>
      <c r="D11451" t="s">
        <v>29</v>
      </c>
      <c r="E11451" t="s">
        <v>26</v>
      </c>
      <c r="F11451" t="s">
        <v>20</v>
      </c>
      <c r="G11451" s="1" t="str">
        <f t="shared" si="2560"/>
        <v>X</v>
      </c>
      <c r="H11451" s="1" t="str">
        <f t="shared" si="2560"/>
        <v>X</v>
      </c>
      <c r="I11451" s="1" t="str">
        <f t="shared" si="2560"/>
        <v>X</v>
      </c>
      <c r="J11451" s="1" t="str">
        <f t="shared" si="2560"/>
        <v>X</v>
      </c>
      <c r="K11451" s="1" t="str">
        <f t="shared" si="2560"/>
        <v>X</v>
      </c>
      <c r="L11451" s="1" t="str">
        <f t="shared" si="2560"/>
        <v>X</v>
      </c>
      <c r="M11451" s="1" t="str">
        <f t="shared" si="2560"/>
        <v>X</v>
      </c>
      <c r="N11451" t="s">
        <v>27</v>
      </c>
    </row>
    <row r="11452" spans="1:14" x14ac:dyDescent="0.25">
      <c r="A11452" t="s">
        <v>44</v>
      </c>
      <c r="B11452" t="s">
        <v>39</v>
      </c>
      <c r="C11452" t="s">
        <v>15</v>
      </c>
      <c r="D11452" t="s">
        <v>31</v>
      </c>
      <c r="E11452" t="s">
        <v>15</v>
      </c>
      <c r="F11452" t="s">
        <v>15</v>
      </c>
      <c r="G11452" s="1">
        <f>VALUE(6055.43)</f>
        <v>6055.43</v>
      </c>
      <c r="H11452" s="1">
        <f>VALUE(5598.98)</f>
        <v>5598.98</v>
      </c>
      <c r="I11452" s="1">
        <f>VALUE(3627)</f>
        <v>3627</v>
      </c>
      <c r="J11452" s="1">
        <f>VALUE(4350)</f>
        <v>4350</v>
      </c>
      <c r="K11452" s="1">
        <f>VALUE(5378)</f>
        <v>5378</v>
      </c>
      <c r="L11452" s="7">
        <f>VALUE(7365)</f>
        <v>7365</v>
      </c>
      <c r="M11452" s="8">
        <f>VALUE(11828)</f>
        <v>11828</v>
      </c>
      <c r="N11452" t="s">
        <v>25</v>
      </c>
    </row>
    <row r="11453" spans="1:14" x14ac:dyDescent="0.25">
      <c r="A11453" t="s">
        <v>44</v>
      </c>
      <c r="B11453" t="s">
        <v>39</v>
      </c>
      <c r="C11453" t="s">
        <v>15</v>
      </c>
      <c r="D11453" t="s">
        <v>31</v>
      </c>
      <c r="E11453" t="s">
        <v>15</v>
      </c>
      <c r="F11453" t="s">
        <v>17</v>
      </c>
      <c r="G11453" s="2">
        <f>VALUE(1112.93)</f>
        <v>1112.93</v>
      </c>
      <c r="H11453" s="3">
        <f>VALUE(1113.42)</f>
        <v>1113.42</v>
      </c>
      <c r="I11453" s="4">
        <f>VALUE(4421)</f>
        <v>4421</v>
      </c>
      <c r="J11453" s="5">
        <f>VALUE(6499)</f>
        <v>6499</v>
      </c>
      <c r="K11453" s="6">
        <f>VALUE(9000)</f>
        <v>9000</v>
      </c>
      <c r="L11453" s="7">
        <f>VALUE(13735)</f>
        <v>13735</v>
      </c>
      <c r="M11453" s="8">
        <f>VALUE(18685)</f>
        <v>18685</v>
      </c>
      <c r="N11453" t="s">
        <v>24</v>
      </c>
    </row>
    <row r="11454" spans="1:14" x14ac:dyDescent="0.25">
      <c r="A11454" t="s">
        <v>44</v>
      </c>
      <c r="B11454" t="s">
        <v>39</v>
      </c>
      <c r="C11454" t="s">
        <v>15</v>
      </c>
      <c r="D11454" t="s">
        <v>31</v>
      </c>
      <c r="E11454" t="s">
        <v>15</v>
      </c>
      <c r="F11454" t="s">
        <v>18</v>
      </c>
      <c r="G11454" s="2">
        <f>VALUE(461.21)</f>
        <v>461.21</v>
      </c>
      <c r="H11454" s="3">
        <f>VALUE(425.81)</f>
        <v>425.81</v>
      </c>
      <c r="I11454" s="4">
        <f>VALUE(4630)</f>
        <v>4630</v>
      </c>
      <c r="J11454" s="1">
        <f>VALUE(5535)</f>
        <v>5535</v>
      </c>
      <c r="K11454" s="1">
        <f>VALUE(7583)</f>
        <v>7583</v>
      </c>
      <c r="L11454" s="7">
        <f>VALUE(11432)</f>
        <v>11432</v>
      </c>
      <c r="M11454" s="8">
        <f>VALUE(15682)</f>
        <v>15682</v>
      </c>
      <c r="N11454" t="s">
        <v>25</v>
      </c>
    </row>
    <row r="11455" spans="1:14" x14ac:dyDescent="0.25">
      <c r="A11455" t="s">
        <v>44</v>
      </c>
      <c r="B11455" t="s">
        <v>39</v>
      </c>
      <c r="C11455" t="s">
        <v>15</v>
      </c>
      <c r="D11455" t="s">
        <v>31</v>
      </c>
      <c r="E11455" t="s">
        <v>15</v>
      </c>
      <c r="F11455" t="s">
        <v>19</v>
      </c>
      <c r="G11455" s="2">
        <f>VALUE(643.63)</f>
        <v>643.63</v>
      </c>
      <c r="H11455" s="3">
        <f>VALUE(634.56)</f>
        <v>634.55999999999995</v>
      </c>
      <c r="I11455" s="1">
        <f>VALUE(4407)</f>
        <v>4407</v>
      </c>
      <c r="J11455" s="1">
        <f>VALUE(5014)</f>
        <v>5014</v>
      </c>
      <c r="K11455" s="1">
        <f>VALUE(6013)</f>
        <v>6013</v>
      </c>
      <c r="L11455" s="7">
        <f>VALUE(7002)</f>
        <v>7002</v>
      </c>
      <c r="M11455" s="8">
        <f>VALUE(8352)</f>
        <v>8352</v>
      </c>
      <c r="N11455" t="s">
        <v>25</v>
      </c>
    </row>
    <row r="11456" spans="1:14" x14ac:dyDescent="0.25">
      <c r="A11456" t="s">
        <v>44</v>
      </c>
      <c r="B11456" t="s">
        <v>39</v>
      </c>
      <c r="C11456" t="s">
        <v>15</v>
      </c>
      <c r="D11456" t="s">
        <v>31</v>
      </c>
      <c r="E11456" t="s">
        <v>15</v>
      </c>
      <c r="F11456" t="s">
        <v>20</v>
      </c>
      <c r="G11456" s="2">
        <f>VALUE(3837.66)</f>
        <v>3837.66</v>
      </c>
      <c r="H11456" s="1">
        <f>VALUE(3425.19)</f>
        <v>3425.19</v>
      </c>
      <c r="I11456" s="1">
        <f>VALUE(3490)</f>
        <v>3490</v>
      </c>
      <c r="J11456" s="1">
        <f>VALUE(3964)</f>
        <v>3964</v>
      </c>
      <c r="K11456" s="1">
        <f>VALUE(4785)</f>
        <v>4785</v>
      </c>
      <c r="L11456" s="1">
        <f>VALUE(5908)</f>
        <v>5908</v>
      </c>
      <c r="M11456" s="8">
        <f>VALUE(7262)</f>
        <v>7262</v>
      </c>
      <c r="N11456" t="s">
        <v>25</v>
      </c>
    </row>
    <row r="11457" spans="1:14" x14ac:dyDescent="0.25">
      <c r="A11457" t="s">
        <v>44</v>
      </c>
      <c r="B11457" t="s">
        <v>39</v>
      </c>
      <c r="C11457" t="s">
        <v>15</v>
      </c>
      <c r="D11457" t="s">
        <v>31</v>
      </c>
      <c r="E11457" t="s">
        <v>21</v>
      </c>
      <c r="F11457" t="s">
        <v>15</v>
      </c>
      <c r="G11457" s="2">
        <f>VALUE(1958.48)</f>
        <v>1958.48</v>
      </c>
      <c r="H11457" s="3">
        <f>VALUE(1918.15)</f>
        <v>1918.15</v>
      </c>
      <c r="I11457" s="1">
        <f>VALUE(4706)</f>
        <v>4706</v>
      </c>
      <c r="J11457" s="1">
        <f>VALUE(5600)</f>
        <v>5600</v>
      </c>
      <c r="K11457" s="6">
        <f>VALUE(7662)</f>
        <v>7662</v>
      </c>
      <c r="L11457" s="7">
        <f>VALUE(11092)</f>
        <v>11092</v>
      </c>
      <c r="M11457" s="8">
        <f>VALUE(17500)</f>
        <v>17500</v>
      </c>
      <c r="N11457" t="s">
        <v>25</v>
      </c>
    </row>
    <row r="11458" spans="1:14" x14ac:dyDescent="0.25">
      <c r="A11458" t="s">
        <v>44</v>
      </c>
      <c r="B11458" t="s">
        <v>39</v>
      </c>
      <c r="C11458" t="s">
        <v>15</v>
      </c>
      <c r="D11458" t="s">
        <v>31</v>
      </c>
      <c r="E11458" t="s">
        <v>21</v>
      </c>
      <c r="F11458" t="s">
        <v>17</v>
      </c>
      <c r="G11458" s="2">
        <f>VALUE(711.3)</f>
        <v>711.3</v>
      </c>
      <c r="H11458" s="3">
        <f>VALUE(720.29)</f>
        <v>720.29</v>
      </c>
      <c r="I11458" s="4">
        <f>VALUE(6500)</f>
        <v>6500</v>
      </c>
      <c r="J11458" s="5">
        <f>VALUE(8040)</f>
        <v>8040</v>
      </c>
      <c r="K11458" s="6">
        <f>VALUE(10398)</f>
        <v>10398</v>
      </c>
      <c r="L11458" s="7">
        <f>VALUE(15997)</f>
        <v>15997</v>
      </c>
      <c r="M11458" s="8">
        <f>VALUE(23882)</f>
        <v>23882</v>
      </c>
      <c r="N11458" t="s">
        <v>24</v>
      </c>
    </row>
    <row r="11459" spans="1:14" x14ac:dyDescent="0.25">
      <c r="A11459" t="s">
        <v>44</v>
      </c>
      <c r="B11459" t="s">
        <v>39</v>
      </c>
      <c r="C11459" t="s">
        <v>15</v>
      </c>
      <c r="D11459" t="s">
        <v>31</v>
      </c>
      <c r="E11459" t="s">
        <v>21</v>
      </c>
      <c r="F11459" t="s">
        <v>18</v>
      </c>
      <c r="G11459" s="2">
        <f>VALUE(296.52)</f>
        <v>296.52</v>
      </c>
      <c r="H11459" s="3">
        <f>VALUE(273.56)</f>
        <v>273.56</v>
      </c>
      <c r="I11459" s="1">
        <f>VALUE(4950)</f>
        <v>4950</v>
      </c>
      <c r="J11459" s="5">
        <f>VALUE(6348)</f>
        <v>6348</v>
      </c>
      <c r="K11459" s="6">
        <f>VALUE(9121)</f>
        <v>9121</v>
      </c>
      <c r="L11459" s="1">
        <f>VALUE(13320)</f>
        <v>13320</v>
      </c>
      <c r="M11459" s="8">
        <f>VALUE(16449)</f>
        <v>16449</v>
      </c>
      <c r="N11459" t="s">
        <v>25</v>
      </c>
    </row>
    <row r="11460" spans="1:14" x14ac:dyDescent="0.25">
      <c r="A11460" t="s">
        <v>44</v>
      </c>
      <c r="B11460" t="s">
        <v>39</v>
      </c>
      <c r="C11460" t="s">
        <v>15</v>
      </c>
      <c r="D11460" t="s">
        <v>31</v>
      </c>
      <c r="E11460" t="s">
        <v>21</v>
      </c>
      <c r="F11460" t="s">
        <v>19</v>
      </c>
      <c r="G11460" s="2">
        <f>VALUE(183.05)</f>
        <v>183.05</v>
      </c>
      <c r="H11460" s="3">
        <f>VALUE(177.6)</f>
        <v>177.6</v>
      </c>
      <c r="I11460" s="1">
        <f>VALUE(5000)</f>
        <v>5000</v>
      </c>
      <c r="J11460" s="1">
        <f>VALUE(5477)</f>
        <v>5477</v>
      </c>
      <c r="K11460" s="1">
        <f>VALUE(6243)</f>
        <v>6243</v>
      </c>
      <c r="L11460" s="1">
        <f>VALUE(8030)</f>
        <v>8030</v>
      </c>
      <c r="M11460" s="8">
        <f>VALUE(10666)</f>
        <v>10666</v>
      </c>
      <c r="N11460" t="s">
        <v>25</v>
      </c>
    </row>
    <row r="11461" spans="1:14" x14ac:dyDescent="0.25">
      <c r="A11461" t="s">
        <v>44</v>
      </c>
      <c r="B11461" t="s">
        <v>39</v>
      </c>
      <c r="C11461" t="s">
        <v>15</v>
      </c>
      <c r="D11461" t="s">
        <v>31</v>
      </c>
      <c r="E11461" t="s">
        <v>21</v>
      </c>
      <c r="F11461" t="s">
        <v>20</v>
      </c>
      <c r="G11461" s="2">
        <f>VALUE(767.61)</f>
        <v>767.61</v>
      </c>
      <c r="H11461" s="3">
        <f>VALUE(746.7)</f>
        <v>746.7</v>
      </c>
      <c r="I11461" s="1">
        <f>VALUE(4286)</f>
        <v>4286</v>
      </c>
      <c r="J11461" s="1">
        <f>VALUE(4815)</f>
        <v>4815</v>
      </c>
      <c r="K11461" s="1">
        <f>VALUE(5880)</f>
        <v>5880</v>
      </c>
      <c r="L11461" s="1">
        <f>VALUE(7247)</f>
        <v>7247</v>
      </c>
      <c r="M11461" s="1">
        <f>VALUE(9846)</f>
        <v>9846</v>
      </c>
      <c r="N11461" t="s">
        <v>25</v>
      </c>
    </row>
    <row r="11462" spans="1:14" x14ac:dyDescent="0.25">
      <c r="A11462" t="s">
        <v>44</v>
      </c>
      <c r="B11462" t="s">
        <v>39</v>
      </c>
      <c r="C11462" t="s">
        <v>15</v>
      </c>
      <c r="D11462" t="s">
        <v>31</v>
      </c>
      <c r="E11462" t="s">
        <v>22</v>
      </c>
      <c r="F11462" t="s">
        <v>15</v>
      </c>
      <c r="G11462" s="2">
        <f>VALUE(1672.1)</f>
        <v>1672.1</v>
      </c>
      <c r="H11462" s="3">
        <f>VALUE(1616.85)</f>
        <v>1616.85</v>
      </c>
      <c r="I11462" s="1">
        <f>VALUE(3796)</f>
        <v>3796</v>
      </c>
      <c r="J11462" s="1">
        <f>VALUE(4195)</f>
        <v>4195</v>
      </c>
      <c r="K11462" s="1">
        <f>VALUE(5067)</f>
        <v>5067</v>
      </c>
      <c r="L11462" s="1">
        <f>VALUE(6493)</f>
        <v>6493</v>
      </c>
      <c r="M11462" s="8">
        <f>VALUE(8220)</f>
        <v>8220</v>
      </c>
      <c r="N11462" t="s">
        <v>25</v>
      </c>
    </row>
    <row r="11463" spans="1:14" x14ac:dyDescent="0.25">
      <c r="A11463" t="s">
        <v>44</v>
      </c>
      <c r="B11463" t="s">
        <v>39</v>
      </c>
      <c r="C11463" t="s">
        <v>15</v>
      </c>
      <c r="D11463" t="s">
        <v>31</v>
      </c>
      <c r="E11463" t="s">
        <v>22</v>
      </c>
      <c r="F11463" t="s">
        <v>17</v>
      </c>
      <c r="G11463" s="1" t="str">
        <f t="shared" ref="G11463:M11463" si="2561">"X"</f>
        <v>X</v>
      </c>
      <c r="H11463" s="1" t="str">
        <f t="shared" si="2561"/>
        <v>X</v>
      </c>
      <c r="I11463" s="1" t="str">
        <f t="shared" si="2561"/>
        <v>X</v>
      </c>
      <c r="J11463" s="1" t="str">
        <f t="shared" si="2561"/>
        <v>X</v>
      </c>
      <c r="K11463" s="1" t="str">
        <f t="shared" si="2561"/>
        <v>X</v>
      </c>
      <c r="L11463" s="1" t="str">
        <f t="shared" si="2561"/>
        <v>X</v>
      </c>
      <c r="M11463" s="1" t="str">
        <f t="shared" si="2561"/>
        <v>X</v>
      </c>
      <c r="N11463" t="s">
        <v>27</v>
      </c>
    </row>
    <row r="11464" spans="1:14" x14ac:dyDescent="0.25">
      <c r="A11464" t="s">
        <v>44</v>
      </c>
      <c r="B11464" t="s">
        <v>39</v>
      </c>
      <c r="C11464" t="s">
        <v>15</v>
      </c>
      <c r="D11464" t="s">
        <v>31</v>
      </c>
      <c r="E11464" t="s">
        <v>22</v>
      </c>
      <c r="F11464" t="s">
        <v>18</v>
      </c>
      <c r="G11464" s="2">
        <f>VALUE(136.93)</f>
        <v>136.93</v>
      </c>
      <c r="H11464" s="3">
        <f>VALUE(124.98)</f>
        <v>124.98</v>
      </c>
      <c r="I11464" s="1">
        <f>VALUE(4567)</f>
        <v>4567</v>
      </c>
      <c r="J11464" s="1">
        <f>VALUE(5066)</f>
        <v>5066</v>
      </c>
      <c r="K11464" s="1">
        <f>VALUE(6455)</f>
        <v>6455</v>
      </c>
      <c r="L11464" s="1">
        <f>VALUE(8194)</f>
        <v>8194</v>
      </c>
      <c r="M11464" s="1">
        <f>VALUE(9422)</f>
        <v>9422</v>
      </c>
      <c r="N11464" t="s">
        <v>25</v>
      </c>
    </row>
    <row r="11465" spans="1:14" x14ac:dyDescent="0.25">
      <c r="A11465" t="s">
        <v>44</v>
      </c>
      <c r="B11465" t="s">
        <v>39</v>
      </c>
      <c r="C11465" t="s">
        <v>15</v>
      </c>
      <c r="D11465" t="s">
        <v>31</v>
      </c>
      <c r="E11465" t="s">
        <v>22</v>
      </c>
      <c r="F11465" t="s">
        <v>19</v>
      </c>
      <c r="G11465" s="2">
        <f>VALUE(236.45)</f>
        <v>236.45</v>
      </c>
      <c r="H11465" s="3">
        <f>VALUE(241.57)</f>
        <v>241.57</v>
      </c>
      <c r="I11465" s="1">
        <f>VALUE(4331)</f>
        <v>4331</v>
      </c>
      <c r="J11465" s="1">
        <f>VALUE(4843)</f>
        <v>4843</v>
      </c>
      <c r="K11465" s="6">
        <f>VALUE(5829)</f>
        <v>5829</v>
      </c>
      <c r="L11465" s="7">
        <f>VALUE(7026)</f>
        <v>7026</v>
      </c>
      <c r="M11465" s="8">
        <f>VALUE(13290)</f>
        <v>13290</v>
      </c>
      <c r="N11465" t="s">
        <v>25</v>
      </c>
    </row>
    <row r="11466" spans="1:14" x14ac:dyDescent="0.25">
      <c r="A11466" t="s">
        <v>44</v>
      </c>
      <c r="B11466" t="s">
        <v>39</v>
      </c>
      <c r="C11466" t="s">
        <v>15</v>
      </c>
      <c r="D11466" t="s">
        <v>31</v>
      </c>
      <c r="E11466" t="s">
        <v>22</v>
      </c>
      <c r="F11466" t="s">
        <v>20</v>
      </c>
      <c r="G11466" s="2">
        <f>VALUE(982.71)</f>
        <v>982.71</v>
      </c>
      <c r="H11466" s="3">
        <f>VALUE(945.06)</f>
        <v>945.06</v>
      </c>
      <c r="I11466" s="1">
        <f>VALUE(3568)</f>
        <v>3568</v>
      </c>
      <c r="J11466" s="1">
        <f>VALUE(3953)</f>
        <v>3953</v>
      </c>
      <c r="K11466" s="1">
        <f>VALUE(4633)</f>
        <v>4633</v>
      </c>
      <c r="L11466" s="1">
        <f>VALUE(5293)</f>
        <v>5293</v>
      </c>
      <c r="M11466" s="1">
        <f>VALUE(6283)</f>
        <v>6283</v>
      </c>
      <c r="N11466" t="s">
        <v>25</v>
      </c>
    </row>
    <row r="11467" spans="1:14" x14ac:dyDescent="0.25">
      <c r="A11467" t="s">
        <v>44</v>
      </c>
      <c r="B11467" t="s">
        <v>39</v>
      </c>
      <c r="C11467" t="s">
        <v>15</v>
      </c>
      <c r="D11467" t="s">
        <v>31</v>
      </c>
      <c r="E11467" t="s">
        <v>23</v>
      </c>
      <c r="F11467" t="s">
        <v>15</v>
      </c>
      <c r="G11467" s="2">
        <f>VALUE(2388.78)</f>
        <v>2388.7800000000002</v>
      </c>
      <c r="H11467" s="3">
        <f>VALUE(2027.78)</f>
        <v>2027.78</v>
      </c>
      <c r="I11467" s="1">
        <f>VALUE(3436)</f>
        <v>3436</v>
      </c>
      <c r="J11467" s="1">
        <f>VALUE(3902)</f>
        <v>3902</v>
      </c>
      <c r="K11467" s="1">
        <f>VALUE(4590)</f>
        <v>4590</v>
      </c>
      <c r="L11467" s="7">
        <f>VALUE(5824)</f>
        <v>5824</v>
      </c>
      <c r="M11467" s="8">
        <f>VALUE(6635)</f>
        <v>6635</v>
      </c>
      <c r="N11467" t="s">
        <v>25</v>
      </c>
    </row>
    <row r="11468" spans="1:14" x14ac:dyDescent="0.25">
      <c r="A11468" t="s">
        <v>44</v>
      </c>
      <c r="B11468" t="s">
        <v>39</v>
      </c>
      <c r="C11468" t="s">
        <v>15</v>
      </c>
      <c r="D11468" t="s">
        <v>31</v>
      </c>
      <c r="E11468" t="s">
        <v>23</v>
      </c>
      <c r="F11468" t="s">
        <v>17</v>
      </c>
      <c r="G11468" s="1" t="str">
        <f t="shared" ref="G11468:M11470" si="2562">"X"</f>
        <v>X</v>
      </c>
      <c r="H11468" s="1" t="str">
        <f t="shared" si="2562"/>
        <v>X</v>
      </c>
      <c r="I11468" s="1" t="str">
        <f t="shared" si="2562"/>
        <v>X</v>
      </c>
      <c r="J11468" s="1" t="str">
        <f t="shared" si="2562"/>
        <v>X</v>
      </c>
      <c r="K11468" s="1" t="str">
        <f t="shared" si="2562"/>
        <v>X</v>
      </c>
      <c r="L11468" s="1" t="str">
        <f t="shared" si="2562"/>
        <v>X</v>
      </c>
      <c r="M11468" s="1" t="str">
        <f t="shared" si="2562"/>
        <v>X</v>
      </c>
      <c r="N11468" t="s">
        <v>27</v>
      </c>
    </row>
    <row r="11469" spans="1:14" x14ac:dyDescent="0.25">
      <c r="A11469" t="s">
        <v>44</v>
      </c>
      <c r="B11469" t="s">
        <v>39</v>
      </c>
      <c r="C11469" t="s">
        <v>15</v>
      </c>
      <c r="D11469" t="s">
        <v>31</v>
      </c>
      <c r="E11469" t="s">
        <v>23</v>
      </c>
      <c r="F11469" t="s">
        <v>18</v>
      </c>
      <c r="G11469" s="1" t="str">
        <f t="shared" si="2562"/>
        <v>X</v>
      </c>
      <c r="H11469" s="1" t="str">
        <f t="shared" si="2562"/>
        <v>X</v>
      </c>
      <c r="I11469" s="1" t="str">
        <f t="shared" si="2562"/>
        <v>X</v>
      </c>
      <c r="J11469" s="1" t="str">
        <f t="shared" si="2562"/>
        <v>X</v>
      </c>
      <c r="K11469" s="1" t="str">
        <f t="shared" si="2562"/>
        <v>X</v>
      </c>
      <c r="L11469" s="1" t="str">
        <f t="shared" si="2562"/>
        <v>X</v>
      </c>
      <c r="M11469" s="1" t="str">
        <f t="shared" si="2562"/>
        <v>X</v>
      </c>
      <c r="N11469" t="s">
        <v>27</v>
      </c>
    </row>
    <row r="11470" spans="1:14" x14ac:dyDescent="0.25">
      <c r="A11470" t="s">
        <v>44</v>
      </c>
      <c r="B11470" t="s">
        <v>39</v>
      </c>
      <c r="C11470" t="s">
        <v>15</v>
      </c>
      <c r="D11470" t="s">
        <v>31</v>
      </c>
      <c r="E11470" t="s">
        <v>23</v>
      </c>
      <c r="F11470" t="s">
        <v>19</v>
      </c>
      <c r="G11470" s="1" t="str">
        <f t="shared" si="2562"/>
        <v>X</v>
      </c>
      <c r="H11470" s="1" t="str">
        <f t="shared" si="2562"/>
        <v>X</v>
      </c>
      <c r="I11470" s="1" t="str">
        <f t="shared" si="2562"/>
        <v>X</v>
      </c>
      <c r="J11470" s="1" t="str">
        <f t="shared" si="2562"/>
        <v>X</v>
      </c>
      <c r="K11470" s="1" t="str">
        <f t="shared" si="2562"/>
        <v>X</v>
      </c>
      <c r="L11470" s="1" t="str">
        <f t="shared" si="2562"/>
        <v>X</v>
      </c>
      <c r="M11470" s="1" t="str">
        <f t="shared" si="2562"/>
        <v>X</v>
      </c>
      <c r="N11470" t="s">
        <v>27</v>
      </c>
    </row>
    <row r="11471" spans="1:14" x14ac:dyDescent="0.25">
      <c r="A11471" t="s">
        <v>44</v>
      </c>
      <c r="B11471" t="s">
        <v>39</v>
      </c>
      <c r="C11471" t="s">
        <v>15</v>
      </c>
      <c r="D11471" t="s">
        <v>31</v>
      </c>
      <c r="E11471" t="s">
        <v>23</v>
      </c>
      <c r="F11471" t="s">
        <v>20</v>
      </c>
      <c r="G11471" s="2">
        <f>VALUE(2069.21)</f>
        <v>2069.21</v>
      </c>
      <c r="H11471" s="3">
        <f>VALUE(1715.3)</f>
        <v>1715.3</v>
      </c>
      <c r="I11471" s="1">
        <f>VALUE(3388)</f>
        <v>3388</v>
      </c>
      <c r="J11471" s="1">
        <f>VALUE(3811)</f>
        <v>3811</v>
      </c>
      <c r="K11471" s="1">
        <f>VALUE(4470)</f>
        <v>4470</v>
      </c>
      <c r="L11471" s="7">
        <f>VALUE(5654)</f>
        <v>5654</v>
      </c>
      <c r="M11471" s="8">
        <f>VALUE(6464)</f>
        <v>6464</v>
      </c>
      <c r="N11471" t="s">
        <v>25</v>
      </c>
    </row>
    <row r="11472" spans="1:14" x14ac:dyDescent="0.25">
      <c r="A11472" t="s">
        <v>44</v>
      </c>
      <c r="B11472" t="s">
        <v>39</v>
      </c>
      <c r="C11472" t="s">
        <v>15</v>
      </c>
      <c r="D11472" t="s">
        <v>31</v>
      </c>
      <c r="E11472" t="s">
        <v>26</v>
      </c>
      <c r="F11472" t="s">
        <v>15</v>
      </c>
      <c r="G11472" s="1" t="str">
        <f t="shared" ref="G11472:M11474" si="2563">"X"</f>
        <v>X</v>
      </c>
      <c r="H11472" s="1" t="str">
        <f t="shared" si="2563"/>
        <v>X</v>
      </c>
      <c r="I11472" s="1" t="str">
        <f t="shared" si="2563"/>
        <v>X</v>
      </c>
      <c r="J11472" s="1" t="str">
        <f t="shared" si="2563"/>
        <v>X</v>
      </c>
      <c r="K11472" s="1" t="str">
        <f t="shared" si="2563"/>
        <v>X</v>
      </c>
      <c r="L11472" s="1" t="str">
        <f t="shared" si="2563"/>
        <v>X</v>
      </c>
      <c r="M11472" s="1" t="str">
        <f t="shared" si="2563"/>
        <v>X</v>
      </c>
      <c r="N11472" t="s">
        <v>27</v>
      </c>
    </row>
    <row r="11473" spans="1:14" x14ac:dyDescent="0.25">
      <c r="A11473" t="s">
        <v>44</v>
      </c>
      <c r="B11473" t="s">
        <v>39</v>
      </c>
      <c r="C11473" t="s">
        <v>15</v>
      </c>
      <c r="D11473" t="s">
        <v>31</v>
      </c>
      <c r="E11473" t="s">
        <v>26</v>
      </c>
      <c r="F11473" t="s">
        <v>17</v>
      </c>
      <c r="G11473" s="1" t="str">
        <f t="shared" si="2563"/>
        <v>X</v>
      </c>
      <c r="H11473" s="1" t="str">
        <f t="shared" si="2563"/>
        <v>X</v>
      </c>
      <c r="I11473" s="1" t="str">
        <f t="shared" si="2563"/>
        <v>X</v>
      </c>
      <c r="J11473" s="1" t="str">
        <f t="shared" si="2563"/>
        <v>X</v>
      </c>
      <c r="K11473" s="1" t="str">
        <f t="shared" si="2563"/>
        <v>X</v>
      </c>
      <c r="L11473" s="1" t="str">
        <f t="shared" si="2563"/>
        <v>X</v>
      </c>
      <c r="M11473" s="1" t="str">
        <f t="shared" si="2563"/>
        <v>X</v>
      </c>
      <c r="N11473" t="s">
        <v>27</v>
      </c>
    </row>
    <row r="11474" spans="1:14" x14ac:dyDescent="0.25">
      <c r="A11474" t="s">
        <v>44</v>
      </c>
      <c r="B11474" t="s">
        <v>39</v>
      </c>
      <c r="C11474" t="s">
        <v>15</v>
      </c>
      <c r="D11474" t="s">
        <v>31</v>
      </c>
      <c r="E11474" t="s">
        <v>26</v>
      </c>
      <c r="F11474" t="s">
        <v>18</v>
      </c>
      <c r="G11474" s="1" t="str">
        <f t="shared" si="2563"/>
        <v>X</v>
      </c>
      <c r="H11474" s="1" t="str">
        <f t="shared" si="2563"/>
        <v>X</v>
      </c>
      <c r="I11474" s="1" t="str">
        <f t="shared" si="2563"/>
        <v>X</v>
      </c>
      <c r="J11474" s="1" t="str">
        <f t="shared" si="2563"/>
        <v>X</v>
      </c>
      <c r="K11474" s="1" t="str">
        <f t="shared" si="2563"/>
        <v>X</v>
      </c>
      <c r="L11474" s="1" t="str">
        <f t="shared" si="2563"/>
        <v>X</v>
      </c>
      <c r="M11474" s="1" t="str">
        <f t="shared" si="2563"/>
        <v>X</v>
      </c>
      <c r="N11474" t="s">
        <v>27</v>
      </c>
    </row>
    <row r="11475" spans="1:14" x14ac:dyDescent="0.25">
      <c r="A11475" t="s">
        <v>44</v>
      </c>
      <c r="B11475" t="s">
        <v>39</v>
      </c>
      <c r="C11475" t="s">
        <v>15</v>
      </c>
      <c r="D11475" t="s">
        <v>31</v>
      </c>
      <c r="E11475" t="s">
        <v>26</v>
      </c>
      <c r="F11475" t="s">
        <v>19</v>
      </c>
      <c r="G11475" s="1" t="str">
        <f t="shared" ref="G11475:M11475" si="2564">"..."</f>
        <v>...</v>
      </c>
      <c r="H11475" s="1" t="str">
        <f t="shared" si="2564"/>
        <v>...</v>
      </c>
      <c r="I11475" s="1" t="str">
        <f t="shared" si="2564"/>
        <v>...</v>
      </c>
      <c r="J11475" s="1" t="str">
        <f t="shared" si="2564"/>
        <v>...</v>
      </c>
      <c r="K11475" s="1" t="str">
        <f t="shared" si="2564"/>
        <v>...</v>
      </c>
      <c r="L11475" s="1" t="str">
        <f t="shared" si="2564"/>
        <v>...</v>
      </c>
      <c r="M11475" s="1" t="str">
        <f t="shared" si="2564"/>
        <v>...</v>
      </c>
      <c r="N11475" t="s">
        <v>30</v>
      </c>
    </row>
    <row r="11476" spans="1:14" x14ac:dyDescent="0.25">
      <c r="A11476" t="s">
        <v>44</v>
      </c>
      <c r="B11476" t="s">
        <v>39</v>
      </c>
      <c r="C11476" t="s">
        <v>15</v>
      </c>
      <c r="D11476" t="s">
        <v>31</v>
      </c>
      <c r="E11476" t="s">
        <v>26</v>
      </c>
      <c r="F11476" t="s">
        <v>20</v>
      </c>
      <c r="G11476" s="1" t="str">
        <f t="shared" ref="G11476:M11476" si="2565">"X"</f>
        <v>X</v>
      </c>
      <c r="H11476" s="1" t="str">
        <f t="shared" si="2565"/>
        <v>X</v>
      </c>
      <c r="I11476" s="1" t="str">
        <f t="shared" si="2565"/>
        <v>X</v>
      </c>
      <c r="J11476" s="1" t="str">
        <f t="shared" si="2565"/>
        <v>X</v>
      </c>
      <c r="K11476" s="1" t="str">
        <f t="shared" si="2565"/>
        <v>X</v>
      </c>
      <c r="L11476" s="1" t="str">
        <f t="shared" si="2565"/>
        <v>X</v>
      </c>
      <c r="M11476" s="1" t="str">
        <f t="shared" si="2565"/>
        <v>X</v>
      </c>
      <c r="N11476" t="s">
        <v>27</v>
      </c>
    </row>
    <row r="11477" spans="1:14" x14ac:dyDescent="0.25">
      <c r="A11477" t="s">
        <v>44</v>
      </c>
      <c r="B11477" t="s">
        <v>39</v>
      </c>
      <c r="C11477" t="s">
        <v>15</v>
      </c>
      <c r="D11477" t="s">
        <v>32</v>
      </c>
      <c r="E11477" t="s">
        <v>15</v>
      </c>
      <c r="F11477" t="s">
        <v>15</v>
      </c>
      <c r="G11477" s="1">
        <f>VALUE(31328.25)</f>
        <v>31328.25</v>
      </c>
      <c r="H11477" s="1">
        <f>VALUE(29746.29)</f>
        <v>29746.29</v>
      </c>
      <c r="I11477" s="1">
        <f>VALUE(3451)</f>
        <v>3451</v>
      </c>
      <c r="J11477" s="1">
        <f>VALUE(4033)</f>
        <v>4033</v>
      </c>
      <c r="K11477" s="1">
        <f>VALUE(4967)</f>
        <v>4967</v>
      </c>
      <c r="L11477" s="1">
        <f>VALUE(5999)</f>
        <v>5999</v>
      </c>
      <c r="M11477" s="1">
        <f>VALUE(7388)</f>
        <v>7388</v>
      </c>
      <c r="N11477" t="s">
        <v>16</v>
      </c>
    </row>
    <row r="11478" spans="1:14" x14ac:dyDescent="0.25">
      <c r="A11478" t="s">
        <v>44</v>
      </c>
      <c r="B11478" t="s">
        <v>39</v>
      </c>
      <c r="C11478" t="s">
        <v>15</v>
      </c>
      <c r="D11478" t="s">
        <v>32</v>
      </c>
      <c r="E11478" t="s">
        <v>15</v>
      </c>
      <c r="F11478" t="s">
        <v>17</v>
      </c>
      <c r="G11478" s="2">
        <f>VALUE(2305.28)</f>
        <v>2305.2800000000002</v>
      </c>
      <c r="H11478" s="3">
        <f>VALUE(2117)</f>
        <v>2117</v>
      </c>
      <c r="I11478" s="4">
        <f>VALUE(4478)</f>
        <v>4478</v>
      </c>
      <c r="J11478" s="5">
        <f>VALUE(5733)</f>
        <v>5733</v>
      </c>
      <c r="K11478" s="6">
        <f>VALUE(7852)</f>
        <v>7852</v>
      </c>
      <c r="L11478" s="7">
        <f>VALUE(12091)</f>
        <v>12091</v>
      </c>
      <c r="M11478" s="8">
        <f>VALUE(17312)</f>
        <v>17312</v>
      </c>
      <c r="N11478" t="s">
        <v>24</v>
      </c>
    </row>
    <row r="11479" spans="1:14" x14ac:dyDescent="0.25">
      <c r="A11479" t="s">
        <v>44</v>
      </c>
      <c r="B11479" t="s">
        <v>39</v>
      </c>
      <c r="C11479" t="s">
        <v>15</v>
      </c>
      <c r="D11479" t="s">
        <v>32</v>
      </c>
      <c r="E11479" t="s">
        <v>15</v>
      </c>
      <c r="F11479" t="s">
        <v>18</v>
      </c>
      <c r="G11479" s="2">
        <f>VALUE(2403.39)</f>
        <v>2403.39</v>
      </c>
      <c r="H11479" s="3">
        <f>VALUE(2386.38)</f>
        <v>2386.38</v>
      </c>
      <c r="I11479" s="1">
        <f>VALUE(4032)</f>
        <v>4032</v>
      </c>
      <c r="J11479" s="1">
        <f>VALUE(4910)</f>
        <v>4910</v>
      </c>
      <c r="K11479" s="1">
        <f>VALUE(5740)</f>
        <v>5740</v>
      </c>
      <c r="L11479" s="7">
        <f>VALUE(7143)</f>
        <v>7143</v>
      </c>
      <c r="M11479" s="1">
        <f>VALUE(9471)</f>
        <v>9471</v>
      </c>
      <c r="N11479" t="s">
        <v>25</v>
      </c>
    </row>
    <row r="11480" spans="1:14" x14ac:dyDescent="0.25">
      <c r="A11480" t="s">
        <v>44</v>
      </c>
      <c r="B11480" t="s">
        <v>39</v>
      </c>
      <c r="C11480" t="s">
        <v>15</v>
      </c>
      <c r="D11480" t="s">
        <v>32</v>
      </c>
      <c r="E11480" t="s">
        <v>15</v>
      </c>
      <c r="F11480" t="s">
        <v>19</v>
      </c>
      <c r="G11480" s="1">
        <f>VALUE(3732.1)</f>
        <v>3732.1</v>
      </c>
      <c r="H11480" s="1">
        <f>VALUE(3610.38)</f>
        <v>3610.38</v>
      </c>
      <c r="I11480" s="1">
        <f>VALUE(3848)</f>
        <v>3848</v>
      </c>
      <c r="J11480" s="1">
        <f>VALUE(4642)</f>
        <v>4642</v>
      </c>
      <c r="K11480" s="1">
        <f>VALUE(5559)</f>
        <v>5559</v>
      </c>
      <c r="L11480" s="1">
        <f>VALUE(6654)</f>
        <v>6654</v>
      </c>
      <c r="M11480" s="1">
        <f>VALUE(7731)</f>
        <v>7731</v>
      </c>
      <c r="N11480" t="s">
        <v>16</v>
      </c>
    </row>
    <row r="11481" spans="1:14" x14ac:dyDescent="0.25">
      <c r="A11481" t="s">
        <v>44</v>
      </c>
      <c r="B11481" t="s">
        <v>39</v>
      </c>
      <c r="C11481" t="s">
        <v>15</v>
      </c>
      <c r="D11481" t="s">
        <v>32</v>
      </c>
      <c r="E11481" t="s">
        <v>15</v>
      </c>
      <c r="F11481" t="s">
        <v>20</v>
      </c>
      <c r="G11481" s="1">
        <f>VALUE(22887.48)</f>
        <v>22887.48</v>
      </c>
      <c r="H11481" s="1">
        <f>VALUE(21632.53)</f>
        <v>21632.53</v>
      </c>
      <c r="I11481" s="1">
        <f>VALUE(3367)</f>
        <v>3367</v>
      </c>
      <c r="J11481" s="1">
        <f>VALUE(3854)</f>
        <v>3854</v>
      </c>
      <c r="K11481" s="1">
        <f>VALUE(4655)</f>
        <v>4655</v>
      </c>
      <c r="L11481" s="1">
        <f>VALUE(5577)</f>
        <v>5577</v>
      </c>
      <c r="M11481" s="1">
        <f>VALUE(6408)</f>
        <v>6408</v>
      </c>
      <c r="N11481" t="s">
        <v>16</v>
      </c>
    </row>
    <row r="11482" spans="1:14" x14ac:dyDescent="0.25">
      <c r="A11482" t="s">
        <v>44</v>
      </c>
      <c r="B11482" t="s">
        <v>39</v>
      </c>
      <c r="C11482" t="s">
        <v>15</v>
      </c>
      <c r="D11482" t="s">
        <v>32</v>
      </c>
      <c r="E11482" t="s">
        <v>21</v>
      </c>
      <c r="F11482" t="s">
        <v>15</v>
      </c>
      <c r="G11482" s="1">
        <f>VALUE(6138.51)</f>
        <v>6138.51</v>
      </c>
      <c r="H11482" s="1">
        <f>VALUE(5767.32)</f>
        <v>5767.32</v>
      </c>
      <c r="I11482" s="1">
        <f>VALUE(3790)</f>
        <v>3790</v>
      </c>
      <c r="J11482" s="1">
        <f>VALUE(4722)</f>
        <v>4722</v>
      </c>
      <c r="K11482" s="1">
        <f>VALUE(6076)</f>
        <v>6076</v>
      </c>
      <c r="L11482" s="1">
        <f>VALUE(8160)</f>
        <v>8160</v>
      </c>
      <c r="M11482" s="8">
        <f>VALUE(11166)</f>
        <v>11166</v>
      </c>
      <c r="N11482" t="s">
        <v>25</v>
      </c>
    </row>
    <row r="11483" spans="1:14" x14ac:dyDescent="0.25">
      <c r="A11483" t="s">
        <v>44</v>
      </c>
      <c r="B11483" t="s">
        <v>39</v>
      </c>
      <c r="C11483" t="s">
        <v>15</v>
      </c>
      <c r="D11483" t="s">
        <v>32</v>
      </c>
      <c r="E11483" t="s">
        <v>21</v>
      </c>
      <c r="F11483" t="s">
        <v>17</v>
      </c>
      <c r="G11483" s="2">
        <f>VALUE(1273.02)</f>
        <v>1273.02</v>
      </c>
      <c r="H11483" s="3">
        <f>VALUE(1146.96)</f>
        <v>1146.96</v>
      </c>
      <c r="I11483" s="4">
        <f>VALUE(5695)</f>
        <v>5695</v>
      </c>
      <c r="J11483" s="5">
        <f>VALUE(6976)</f>
        <v>6976</v>
      </c>
      <c r="K11483" s="6">
        <f>VALUE(9604)</f>
        <v>9604</v>
      </c>
      <c r="L11483" s="7">
        <f>VALUE(14397)</f>
        <v>14397</v>
      </c>
      <c r="M11483" s="8">
        <f>VALUE(21300)</f>
        <v>21300</v>
      </c>
      <c r="N11483" t="s">
        <v>24</v>
      </c>
    </row>
    <row r="11484" spans="1:14" x14ac:dyDescent="0.25">
      <c r="A11484" t="s">
        <v>44</v>
      </c>
      <c r="B11484" t="s">
        <v>39</v>
      </c>
      <c r="C11484" t="s">
        <v>15</v>
      </c>
      <c r="D11484" t="s">
        <v>32</v>
      </c>
      <c r="E11484" t="s">
        <v>21</v>
      </c>
      <c r="F11484" t="s">
        <v>18</v>
      </c>
      <c r="G11484" s="2">
        <f>VALUE(880.11)</f>
        <v>880.11</v>
      </c>
      <c r="H11484" s="3">
        <f>VALUE(859.39)</f>
        <v>859.39</v>
      </c>
      <c r="I11484" s="4">
        <f>VALUE(4624)</f>
        <v>4624</v>
      </c>
      <c r="J11484" s="1">
        <f>VALUE(5615)</f>
        <v>5615</v>
      </c>
      <c r="K11484" s="6">
        <f>VALUE(6870)</f>
        <v>6870</v>
      </c>
      <c r="L11484" s="1">
        <f>VALUE(9156)</f>
        <v>9156</v>
      </c>
      <c r="M11484" s="1">
        <f>VALUE(10653)</f>
        <v>10653</v>
      </c>
      <c r="N11484" t="s">
        <v>25</v>
      </c>
    </row>
    <row r="11485" spans="1:14" x14ac:dyDescent="0.25">
      <c r="A11485" t="s">
        <v>44</v>
      </c>
      <c r="B11485" t="s">
        <v>39</v>
      </c>
      <c r="C11485" t="s">
        <v>15</v>
      </c>
      <c r="D11485" t="s">
        <v>32</v>
      </c>
      <c r="E11485" t="s">
        <v>21</v>
      </c>
      <c r="F11485" t="s">
        <v>19</v>
      </c>
      <c r="G11485" s="2">
        <f>VALUE(890.6)</f>
        <v>890.6</v>
      </c>
      <c r="H11485" s="3">
        <f>VALUE(853.53)</f>
        <v>853.53</v>
      </c>
      <c r="I11485" s="4">
        <f>VALUE(3474)</f>
        <v>3474</v>
      </c>
      <c r="J11485" s="5">
        <f>VALUE(4260)</f>
        <v>4260</v>
      </c>
      <c r="K11485" s="6">
        <f>VALUE(5956)</f>
        <v>5956</v>
      </c>
      <c r="L11485" s="1">
        <f>VALUE(7248)</f>
        <v>7248</v>
      </c>
      <c r="M11485" s="8">
        <f>VALUE(8567)</f>
        <v>8567</v>
      </c>
      <c r="N11485" t="s">
        <v>25</v>
      </c>
    </row>
    <row r="11486" spans="1:14" x14ac:dyDescent="0.25">
      <c r="A11486" t="s">
        <v>44</v>
      </c>
      <c r="B11486" t="s">
        <v>39</v>
      </c>
      <c r="C11486" t="s">
        <v>15</v>
      </c>
      <c r="D11486" t="s">
        <v>32</v>
      </c>
      <c r="E11486" t="s">
        <v>21</v>
      </c>
      <c r="F11486" t="s">
        <v>20</v>
      </c>
      <c r="G11486" s="2">
        <f>VALUE(3094.78)</f>
        <v>3094.78</v>
      </c>
      <c r="H11486" s="3">
        <f>VALUE(2907.44)</f>
        <v>2907.44</v>
      </c>
      <c r="I11486" s="1">
        <f>VALUE(3586)</f>
        <v>3586</v>
      </c>
      <c r="J11486" s="1">
        <f>VALUE(4285)</f>
        <v>4285</v>
      </c>
      <c r="K11486" s="1">
        <f>VALUE(5252)</f>
        <v>5252</v>
      </c>
      <c r="L11486" s="1">
        <f>VALUE(6529)</f>
        <v>6529</v>
      </c>
      <c r="M11486" s="1">
        <f>VALUE(7844)</f>
        <v>7844</v>
      </c>
      <c r="N11486" t="s">
        <v>25</v>
      </c>
    </row>
    <row r="11487" spans="1:14" x14ac:dyDescent="0.25">
      <c r="A11487" t="s">
        <v>44</v>
      </c>
      <c r="B11487" t="s">
        <v>39</v>
      </c>
      <c r="C11487" t="s">
        <v>15</v>
      </c>
      <c r="D11487" t="s">
        <v>32</v>
      </c>
      <c r="E11487" t="s">
        <v>22</v>
      </c>
      <c r="F11487" t="s">
        <v>15</v>
      </c>
      <c r="G11487" s="1">
        <f>VALUE(10549.8)</f>
        <v>10549.8</v>
      </c>
      <c r="H11487" s="1">
        <f>VALUE(10132.22)</f>
        <v>10132.219999999999</v>
      </c>
      <c r="I11487" s="1">
        <f>VALUE(3513)</f>
        <v>3513</v>
      </c>
      <c r="J11487" s="1">
        <f>VALUE(4120)</f>
        <v>4120</v>
      </c>
      <c r="K11487" s="1">
        <f>VALUE(4977)</f>
        <v>4977</v>
      </c>
      <c r="L11487" s="1">
        <f>VALUE(5868)</f>
        <v>5868</v>
      </c>
      <c r="M11487" s="1">
        <f>VALUE(6977)</f>
        <v>6977</v>
      </c>
      <c r="N11487" t="s">
        <v>16</v>
      </c>
    </row>
    <row r="11488" spans="1:14" x14ac:dyDescent="0.25">
      <c r="A11488" t="s">
        <v>44</v>
      </c>
      <c r="B11488" t="s">
        <v>39</v>
      </c>
      <c r="C11488" t="s">
        <v>15</v>
      </c>
      <c r="D11488" t="s">
        <v>32</v>
      </c>
      <c r="E11488" t="s">
        <v>22</v>
      </c>
      <c r="F11488" t="s">
        <v>17</v>
      </c>
      <c r="G11488" s="2">
        <f>VALUE(777.44)</f>
        <v>777.44</v>
      </c>
      <c r="H11488" s="3">
        <f>VALUE(727.24)</f>
        <v>727.24</v>
      </c>
      <c r="I11488" s="4">
        <f>VALUE(4478)</f>
        <v>4478</v>
      </c>
      <c r="J11488" s="5">
        <f>VALUE(4801)</f>
        <v>4801</v>
      </c>
      <c r="K11488" s="6">
        <f>VALUE(6379)</f>
        <v>6379</v>
      </c>
      <c r="L11488" s="7">
        <f>VALUE(8192)</f>
        <v>8192</v>
      </c>
      <c r="M11488" s="8">
        <f>VALUE(11748)</f>
        <v>11748</v>
      </c>
      <c r="N11488" t="s">
        <v>24</v>
      </c>
    </row>
    <row r="11489" spans="1:14" x14ac:dyDescent="0.25">
      <c r="A11489" t="s">
        <v>44</v>
      </c>
      <c r="B11489" t="s">
        <v>39</v>
      </c>
      <c r="C11489" t="s">
        <v>15</v>
      </c>
      <c r="D11489" t="s">
        <v>32</v>
      </c>
      <c r="E11489" t="s">
        <v>22</v>
      </c>
      <c r="F11489" t="s">
        <v>18</v>
      </c>
      <c r="G11489" s="2">
        <f>VALUE(802.19)</f>
        <v>802.19</v>
      </c>
      <c r="H11489" s="3">
        <f>VALUE(807.24)</f>
        <v>807.24</v>
      </c>
      <c r="I11489" s="4">
        <f>VALUE(4091)</f>
        <v>4091</v>
      </c>
      <c r="J11489" s="5">
        <f>VALUE(4785)</f>
        <v>4785</v>
      </c>
      <c r="K11489" s="1">
        <f>VALUE(5355)</f>
        <v>5355</v>
      </c>
      <c r="L11489" s="1">
        <f>VALUE(6808)</f>
        <v>6808</v>
      </c>
      <c r="M11489" s="1">
        <f>VALUE(8330)</f>
        <v>8330</v>
      </c>
      <c r="N11489" t="s">
        <v>25</v>
      </c>
    </row>
    <row r="11490" spans="1:14" x14ac:dyDescent="0.25">
      <c r="A11490" t="s">
        <v>44</v>
      </c>
      <c r="B11490" t="s">
        <v>39</v>
      </c>
      <c r="C11490" t="s">
        <v>15</v>
      </c>
      <c r="D11490" t="s">
        <v>32</v>
      </c>
      <c r="E11490" t="s">
        <v>22</v>
      </c>
      <c r="F11490" t="s">
        <v>19</v>
      </c>
      <c r="G11490" s="2">
        <f>VALUE(1850.82)</f>
        <v>1850.82</v>
      </c>
      <c r="H11490" s="3">
        <f>VALUE(1779.02)</f>
        <v>1779.02</v>
      </c>
      <c r="I11490" s="1">
        <f>VALUE(4047)</f>
        <v>4047</v>
      </c>
      <c r="J11490" s="1">
        <f>VALUE(4795)</f>
        <v>4795</v>
      </c>
      <c r="K11490" s="1">
        <f>VALUE(5593)</f>
        <v>5593</v>
      </c>
      <c r="L11490" s="1">
        <f>VALUE(6547)</f>
        <v>6547</v>
      </c>
      <c r="M11490" s="1">
        <f>VALUE(7499)</f>
        <v>7499</v>
      </c>
      <c r="N11490" t="s">
        <v>25</v>
      </c>
    </row>
    <row r="11491" spans="1:14" x14ac:dyDescent="0.25">
      <c r="A11491" t="s">
        <v>44</v>
      </c>
      <c r="B11491" t="s">
        <v>39</v>
      </c>
      <c r="C11491" t="s">
        <v>15</v>
      </c>
      <c r="D11491" t="s">
        <v>32</v>
      </c>
      <c r="E11491" t="s">
        <v>22</v>
      </c>
      <c r="F11491" t="s">
        <v>20</v>
      </c>
      <c r="G11491" s="1">
        <f>VALUE(7119.35)</f>
        <v>7119.35</v>
      </c>
      <c r="H11491" s="1">
        <f>VALUE(6818.72)</f>
        <v>6818.72</v>
      </c>
      <c r="I11491" s="1">
        <f>VALUE(3380)</f>
        <v>3380</v>
      </c>
      <c r="J11491" s="1">
        <f>VALUE(3900)</f>
        <v>3900</v>
      </c>
      <c r="K11491" s="1">
        <f>VALUE(4628)</f>
        <v>4628</v>
      </c>
      <c r="L11491" s="1">
        <f>VALUE(5474)</f>
        <v>5474</v>
      </c>
      <c r="M11491" s="1">
        <f>VALUE(6247)</f>
        <v>6247</v>
      </c>
      <c r="N11491" t="s">
        <v>16</v>
      </c>
    </row>
    <row r="11492" spans="1:14" x14ac:dyDescent="0.25">
      <c r="A11492" t="s">
        <v>44</v>
      </c>
      <c r="B11492" t="s">
        <v>39</v>
      </c>
      <c r="C11492" t="s">
        <v>15</v>
      </c>
      <c r="D11492" t="s">
        <v>32</v>
      </c>
      <c r="E11492" t="s">
        <v>23</v>
      </c>
      <c r="F11492" t="s">
        <v>15</v>
      </c>
      <c r="G11492" s="1">
        <f>VALUE(14132.12)</f>
        <v>14132.12</v>
      </c>
      <c r="H11492" s="1">
        <f>VALUE(13351.63)</f>
        <v>13351.63</v>
      </c>
      <c r="I11492" s="1">
        <f>VALUE(3348)</f>
        <v>3348</v>
      </c>
      <c r="J11492" s="1">
        <f>VALUE(3813)</f>
        <v>3813</v>
      </c>
      <c r="K11492" s="1">
        <f>VALUE(4628)</f>
        <v>4628</v>
      </c>
      <c r="L11492" s="1">
        <f>VALUE(5576)</f>
        <v>5576</v>
      </c>
      <c r="M11492" s="1">
        <f>VALUE(6281)</f>
        <v>6281</v>
      </c>
      <c r="N11492" t="s">
        <v>16</v>
      </c>
    </row>
    <row r="11493" spans="1:14" x14ac:dyDescent="0.25">
      <c r="A11493" t="s">
        <v>44</v>
      </c>
      <c r="B11493" t="s">
        <v>39</v>
      </c>
      <c r="C11493" t="s">
        <v>15</v>
      </c>
      <c r="D11493" t="s">
        <v>32</v>
      </c>
      <c r="E11493" t="s">
        <v>23</v>
      </c>
      <c r="F11493" t="s">
        <v>17</v>
      </c>
      <c r="G11493" s="1" t="str">
        <f t="shared" ref="G11493:M11493" si="2566">"X"</f>
        <v>X</v>
      </c>
      <c r="H11493" s="1" t="str">
        <f t="shared" si="2566"/>
        <v>X</v>
      </c>
      <c r="I11493" s="1" t="str">
        <f t="shared" si="2566"/>
        <v>X</v>
      </c>
      <c r="J11493" s="1" t="str">
        <f t="shared" si="2566"/>
        <v>X</v>
      </c>
      <c r="K11493" s="1" t="str">
        <f t="shared" si="2566"/>
        <v>X</v>
      </c>
      <c r="L11493" s="1" t="str">
        <f t="shared" si="2566"/>
        <v>X</v>
      </c>
      <c r="M11493" s="1" t="str">
        <f t="shared" si="2566"/>
        <v>X</v>
      </c>
      <c r="N11493" t="s">
        <v>27</v>
      </c>
    </row>
    <row r="11494" spans="1:14" x14ac:dyDescent="0.25">
      <c r="A11494" t="s">
        <v>44</v>
      </c>
      <c r="B11494" t="s">
        <v>39</v>
      </c>
      <c r="C11494" t="s">
        <v>15</v>
      </c>
      <c r="D11494" t="s">
        <v>32</v>
      </c>
      <c r="E11494" t="s">
        <v>23</v>
      </c>
      <c r="F11494" t="s">
        <v>18</v>
      </c>
      <c r="G11494" s="2">
        <f>VALUE(674.06)</f>
        <v>674.06</v>
      </c>
      <c r="H11494" s="3">
        <f>VALUE(672.72)</f>
        <v>672.72</v>
      </c>
      <c r="I11494" s="1">
        <f>VALUE(3786)</f>
        <v>3786</v>
      </c>
      <c r="J11494" s="5">
        <f>VALUE(4657)</f>
        <v>4657</v>
      </c>
      <c r="K11494" s="6">
        <f>VALUE(5506)</f>
        <v>5506</v>
      </c>
      <c r="L11494" s="1">
        <f>VALUE(5963)</f>
        <v>5963</v>
      </c>
      <c r="M11494" s="1">
        <f>VALUE(6376)</f>
        <v>6376</v>
      </c>
      <c r="N11494" t="s">
        <v>25</v>
      </c>
    </row>
    <row r="11495" spans="1:14" x14ac:dyDescent="0.25">
      <c r="A11495" t="s">
        <v>44</v>
      </c>
      <c r="B11495" t="s">
        <v>39</v>
      </c>
      <c r="C11495" t="s">
        <v>15</v>
      </c>
      <c r="D11495" t="s">
        <v>32</v>
      </c>
      <c r="E11495" t="s">
        <v>23</v>
      </c>
      <c r="F11495" t="s">
        <v>19</v>
      </c>
      <c r="G11495" s="2">
        <f>VALUE(981.41)</f>
        <v>981.41</v>
      </c>
      <c r="H11495" s="3">
        <f>VALUE(968.02)</f>
        <v>968.02</v>
      </c>
      <c r="I11495" s="1">
        <f>VALUE(3764)</f>
        <v>3764</v>
      </c>
      <c r="J11495" s="1">
        <f>VALUE(4528)</f>
        <v>4528</v>
      </c>
      <c r="K11495" s="6">
        <f>VALUE(5298)</f>
        <v>5298</v>
      </c>
      <c r="L11495" s="1">
        <f>VALUE(6334)</f>
        <v>6334</v>
      </c>
      <c r="M11495" s="8">
        <f>VALUE(7460)</f>
        <v>7460</v>
      </c>
      <c r="N11495" t="s">
        <v>25</v>
      </c>
    </row>
    <row r="11496" spans="1:14" x14ac:dyDescent="0.25">
      <c r="A11496" t="s">
        <v>44</v>
      </c>
      <c r="B11496" t="s">
        <v>39</v>
      </c>
      <c r="C11496" t="s">
        <v>15</v>
      </c>
      <c r="D11496" t="s">
        <v>32</v>
      </c>
      <c r="E11496" t="s">
        <v>23</v>
      </c>
      <c r="F11496" t="s">
        <v>20</v>
      </c>
      <c r="G11496" s="1">
        <f>VALUE(12306.04)</f>
        <v>12306.04</v>
      </c>
      <c r="H11496" s="1">
        <f>VALUE(11540.47)</f>
        <v>11540.47</v>
      </c>
      <c r="I11496" s="1">
        <f>VALUE(3301)</f>
        <v>3301</v>
      </c>
      <c r="J11496" s="1">
        <f>VALUE(3751)</f>
        <v>3751</v>
      </c>
      <c r="K11496" s="1">
        <f>VALUE(4534)</f>
        <v>4534</v>
      </c>
      <c r="L11496" s="1">
        <f>VALUE(5442)</f>
        <v>5442</v>
      </c>
      <c r="M11496" s="1">
        <f>VALUE(6161)</f>
        <v>6161</v>
      </c>
      <c r="N11496" t="s">
        <v>16</v>
      </c>
    </row>
    <row r="11497" spans="1:14" x14ac:dyDescent="0.25">
      <c r="A11497" t="s">
        <v>44</v>
      </c>
      <c r="B11497" t="s">
        <v>39</v>
      </c>
      <c r="C11497" t="s">
        <v>15</v>
      </c>
      <c r="D11497" t="s">
        <v>32</v>
      </c>
      <c r="E11497" t="s">
        <v>26</v>
      </c>
      <c r="F11497" t="s">
        <v>15</v>
      </c>
      <c r="G11497" s="2">
        <f>VALUE(507.82)</f>
        <v>507.82</v>
      </c>
      <c r="H11497" s="3">
        <f>VALUE(495.12)</f>
        <v>495.12</v>
      </c>
      <c r="I11497" s="4">
        <f>VALUE(4224)</f>
        <v>4224</v>
      </c>
      <c r="J11497" s="5">
        <f>VALUE(5007)</f>
        <v>5007</v>
      </c>
      <c r="K11497" s="1">
        <f>VALUE(6084)</f>
        <v>6084</v>
      </c>
      <c r="L11497" s="7">
        <f>VALUE(7572)</f>
        <v>7572</v>
      </c>
      <c r="M11497" s="8">
        <f>VALUE(15467)</f>
        <v>15467</v>
      </c>
      <c r="N11497" t="s">
        <v>25</v>
      </c>
    </row>
    <row r="11498" spans="1:14" x14ac:dyDescent="0.25">
      <c r="A11498" t="s">
        <v>44</v>
      </c>
      <c r="B11498" t="s">
        <v>39</v>
      </c>
      <c r="C11498" t="s">
        <v>15</v>
      </c>
      <c r="D11498" t="s">
        <v>32</v>
      </c>
      <c r="E11498" t="s">
        <v>26</v>
      </c>
      <c r="F11498" t="s">
        <v>17</v>
      </c>
      <c r="G11498" s="1" t="str">
        <f t="shared" ref="G11498:M11500" si="2567">"X"</f>
        <v>X</v>
      </c>
      <c r="H11498" s="1" t="str">
        <f t="shared" si="2567"/>
        <v>X</v>
      </c>
      <c r="I11498" s="1" t="str">
        <f t="shared" si="2567"/>
        <v>X</v>
      </c>
      <c r="J11498" s="1" t="str">
        <f t="shared" si="2567"/>
        <v>X</v>
      </c>
      <c r="K11498" s="1" t="str">
        <f t="shared" si="2567"/>
        <v>X</v>
      </c>
      <c r="L11498" s="1" t="str">
        <f t="shared" si="2567"/>
        <v>X</v>
      </c>
      <c r="M11498" s="1" t="str">
        <f t="shared" si="2567"/>
        <v>X</v>
      </c>
      <c r="N11498" t="s">
        <v>27</v>
      </c>
    </row>
    <row r="11499" spans="1:14" x14ac:dyDescent="0.25">
      <c r="A11499" t="s">
        <v>44</v>
      </c>
      <c r="B11499" t="s">
        <v>39</v>
      </c>
      <c r="C11499" t="s">
        <v>15</v>
      </c>
      <c r="D11499" t="s">
        <v>32</v>
      </c>
      <c r="E11499" t="s">
        <v>26</v>
      </c>
      <c r="F11499" t="s">
        <v>18</v>
      </c>
      <c r="G11499" s="1" t="str">
        <f t="shared" si="2567"/>
        <v>X</v>
      </c>
      <c r="H11499" s="1" t="str">
        <f t="shared" si="2567"/>
        <v>X</v>
      </c>
      <c r="I11499" s="1" t="str">
        <f t="shared" si="2567"/>
        <v>X</v>
      </c>
      <c r="J11499" s="1" t="str">
        <f t="shared" si="2567"/>
        <v>X</v>
      </c>
      <c r="K11499" s="1" t="str">
        <f t="shared" si="2567"/>
        <v>X</v>
      </c>
      <c r="L11499" s="1" t="str">
        <f t="shared" si="2567"/>
        <v>X</v>
      </c>
      <c r="M11499" s="1" t="str">
        <f t="shared" si="2567"/>
        <v>X</v>
      </c>
      <c r="N11499" t="s">
        <v>27</v>
      </c>
    </row>
    <row r="11500" spans="1:14" x14ac:dyDescent="0.25">
      <c r="A11500" t="s">
        <v>44</v>
      </c>
      <c r="B11500" t="s">
        <v>39</v>
      </c>
      <c r="C11500" t="s">
        <v>15</v>
      </c>
      <c r="D11500" t="s">
        <v>32</v>
      </c>
      <c r="E11500" t="s">
        <v>26</v>
      </c>
      <c r="F11500" t="s">
        <v>19</v>
      </c>
      <c r="G11500" s="1" t="str">
        <f t="shared" si="2567"/>
        <v>X</v>
      </c>
      <c r="H11500" s="1" t="str">
        <f t="shared" si="2567"/>
        <v>X</v>
      </c>
      <c r="I11500" s="1" t="str">
        <f t="shared" si="2567"/>
        <v>X</v>
      </c>
      <c r="J11500" s="1" t="str">
        <f t="shared" si="2567"/>
        <v>X</v>
      </c>
      <c r="K11500" s="1" t="str">
        <f t="shared" si="2567"/>
        <v>X</v>
      </c>
      <c r="L11500" s="1" t="str">
        <f t="shared" si="2567"/>
        <v>X</v>
      </c>
      <c r="M11500" s="1" t="str">
        <f t="shared" si="2567"/>
        <v>X</v>
      </c>
      <c r="N11500" t="s">
        <v>27</v>
      </c>
    </row>
    <row r="11501" spans="1:14" x14ac:dyDescent="0.25">
      <c r="A11501" t="s">
        <v>44</v>
      </c>
      <c r="B11501" t="s">
        <v>39</v>
      </c>
      <c r="C11501" t="s">
        <v>15</v>
      </c>
      <c r="D11501" t="s">
        <v>32</v>
      </c>
      <c r="E11501" t="s">
        <v>26</v>
      </c>
      <c r="F11501" t="s">
        <v>20</v>
      </c>
      <c r="G11501" s="2">
        <f>VALUE(367.31)</f>
        <v>367.31</v>
      </c>
      <c r="H11501" s="3">
        <f>VALUE(365.9)</f>
        <v>365.9</v>
      </c>
      <c r="I11501" s="4">
        <f>VALUE(4216)</f>
        <v>4216</v>
      </c>
      <c r="J11501" s="5">
        <f>VALUE(4743)</f>
        <v>4743</v>
      </c>
      <c r="K11501" s="6">
        <f>VALUE(5804)</f>
        <v>5804</v>
      </c>
      <c r="L11501" s="7">
        <f>VALUE(6450)</f>
        <v>6450</v>
      </c>
      <c r="M11501" s="1">
        <f>VALUE(7763)</f>
        <v>7763</v>
      </c>
      <c r="N11501" t="s">
        <v>25</v>
      </c>
    </row>
    <row r="11502" spans="1:14" x14ac:dyDescent="0.25">
      <c r="A11502" t="s">
        <v>44</v>
      </c>
      <c r="B11502" t="s">
        <v>39</v>
      </c>
      <c r="C11502" t="s">
        <v>15</v>
      </c>
      <c r="D11502" t="s">
        <v>33</v>
      </c>
      <c r="E11502" t="s">
        <v>15</v>
      </c>
      <c r="F11502" t="s">
        <v>15</v>
      </c>
      <c r="G11502" s="2">
        <f>VALUE(369.08)</f>
        <v>369.08</v>
      </c>
      <c r="H11502" s="3">
        <f>VALUE(340.72)</f>
        <v>340.72</v>
      </c>
      <c r="I11502" s="4">
        <f>VALUE(3303)</f>
        <v>3303</v>
      </c>
      <c r="J11502" s="5">
        <f>VALUE(4052)</f>
        <v>4052</v>
      </c>
      <c r="K11502" s="6">
        <f>VALUE(5295)</f>
        <v>5295</v>
      </c>
      <c r="L11502" s="7">
        <f>VALUE(14981)</f>
        <v>14981</v>
      </c>
      <c r="M11502" s="1">
        <f>VALUE(16299)</f>
        <v>16299</v>
      </c>
      <c r="N11502" t="s">
        <v>25</v>
      </c>
    </row>
    <row r="11503" spans="1:14" x14ac:dyDescent="0.25">
      <c r="A11503" t="s">
        <v>44</v>
      </c>
      <c r="B11503" t="s">
        <v>39</v>
      </c>
      <c r="C11503" t="s">
        <v>15</v>
      </c>
      <c r="D11503" t="s">
        <v>33</v>
      </c>
      <c r="E11503" t="s">
        <v>15</v>
      </c>
      <c r="F11503" t="s">
        <v>17</v>
      </c>
      <c r="G11503" s="1" t="str">
        <f t="shared" ref="G11503:M11505" si="2568">"X"</f>
        <v>X</v>
      </c>
      <c r="H11503" s="1" t="str">
        <f t="shared" si="2568"/>
        <v>X</v>
      </c>
      <c r="I11503" s="1" t="str">
        <f t="shared" si="2568"/>
        <v>X</v>
      </c>
      <c r="J11503" s="1" t="str">
        <f t="shared" si="2568"/>
        <v>X</v>
      </c>
      <c r="K11503" s="1" t="str">
        <f t="shared" si="2568"/>
        <v>X</v>
      </c>
      <c r="L11503" s="1" t="str">
        <f t="shared" si="2568"/>
        <v>X</v>
      </c>
      <c r="M11503" s="1" t="str">
        <f t="shared" si="2568"/>
        <v>X</v>
      </c>
      <c r="N11503" t="s">
        <v>27</v>
      </c>
    </row>
    <row r="11504" spans="1:14" x14ac:dyDescent="0.25">
      <c r="A11504" t="s">
        <v>44</v>
      </c>
      <c r="B11504" t="s">
        <v>39</v>
      </c>
      <c r="C11504" t="s">
        <v>15</v>
      </c>
      <c r="D11504" t="s">
        <v>33</v>
      </c>
      <c r="E11504" t="s">
        <v>15</v>
      </c>
      <c r="F11504" t="s">
        <v>18</v>
      </c>
      <c r="G11504" s="1" t="str">
        <f t="shared" si="2568"/>
        <v>X</v>
      </c>
      <c r="H11504" s="1" t="str">
        <f t="shared" si="2568"/>
        <v>X</v>
      </c>
      <c r="I11504" s="1" t="str">
        <f t="shared" si="2568"/>
        <v>X</v>
      </c>
      <c r="J11504" s="1" t="str">
        <f t="shared" si="2568"/>
        <v>X</v>
      </c>
      <c r="K11504" s="1" t="str">
        <f t="shared" si="2568"/>
        <v>X</v>
      </c>
      <c r="L11504" s="1" t="str">
        <f t="shared" si="2568"/>
        <v>X</v>
      </c>
      <c r="M11504" s="1" t="str">
        <f t="shared" si="2568"/>
        <v>X</v>
      </c>
      <c r="N11504" t="s">
        <v>27</v>
      </c>
    </row>
    <row r="11505" spans="1:14" x14ac:dyDescent="0.25">
      <c r="A11505" t="s">
        <v>44</v>
      </c>
      <c r="B11505" t="s">
        <v>39</v>
      </c>
      <c r="C11505" t="s">
        <v>15</v>
      </c>
      <c r="D11505" t="s">
        <v>33</v>
      </c>
      <c r="E11505" t="s">
        <v>15</v>
      </c>
      <c r="F11505" t="s">
        <v>19</v>
      </c>
      <c r="G11505" s="1" t="str">
        <f t="shared" si="2568"/>
        <v>X</v>
      </c>
      <c r="H11505" s="1" t="str">
        <f t="shared" si="2568"/>
        <v>X</v>
      </c>
      <c r="I11505" s="1" t="str">
        <f t="shared" si="2568"/>
        <v>X</v>
      </c>
      <c r="J11505" s="1" t="str">
        <f t="shared" si="2568"/>
        <v>X</v>
      </c>
      <c r="K11505" s="1" t="str">
        <f t="shared" si="2568"/>
        <v>X</v>
      </c>
      <c r="L11505" s="1" t="str">
        <f t="shared" si="2568"/>
        <v>X</v>
      </c>
      <c r="M11505" s="1" t="str">
        <f t="shared" si="2568"/>
        <v>X</v>
      </c>
      <c r="N11505" t="s">
        <v>27</v>
      </c>
    </row>
    <row r="11506" spans="1:14" x14ac:dyDescent="0.25">
      <c r="A11506" t="s">
        <v>44</v>
      </c>
      <c r="B11506" t="s">
        <v>39</v>
      </c>
      <c r="C11506" t="s">
        <v>15</v>
      </c>
      <c r="D11506" t="s">
        <v>33</v>
      </c>
      <c r="E11506" t="s">
        <v>15</v>
      </c>
      <c r="F11506" t="s">
        <v>20</v>
      </c>
      <c r="G11506" s="2">
        <f>VALUE(184.79)</f>
        <v>184.79</v>
      </c>
      <c r="H11506" s="3">
        <f>VALUE(166.33)</f>
        <v>166.33</v>
      </c>
      <c r="I11506" s="4">
        <f>VALUE(3000)</f>
        <v>3000</v>
      </c>
      <c r="J11506" s="5">
        <f>VALUE(3409)</f>
        <v>3409</v>
      </c>
      <c r="K11506" s="6">
        <f>VALUE(4585)</f>
        <v>4585</v>
      </c>
      <c r="L11506" s="7">
        <f>VALUE(5394)</f>
        <v>5394</v>
      </c>
      <c r="M11506" s="1">
        <f>VALUE(6393)</f>
        <v>6393</v>
      </c>
      <c r="N11506" t="s">
        <v>25</v>
      </c>
    </row>
    <row r="11507" spans="1:14" x14ac:dyDescent="0.25">
      <c r="A11507" t="s">
        <v>44</v>
      </c>
      <c r="B11507" t="s">
        <v>39</v>
      </c>
      <c r="C11507" t="s">
        <v>15</v>
      </c>
      <c r="D11507" t="s">
        <v>33</v>
      </c>
      <c r="E11507" t="s">
        <v>21</v>
      </c>
      <c r="F11507" t="s">
        <v>15</v>
      </c>
      <c r="G11507" s="1" t="str">
        <f t="shared" ref="G11507:M11518" si="2569">"X"</f>
        <v>X</v>
      </c>
      <c r="H11507" s="1" t="str">
        <f t="shared" si="2569"/>
        <v>X</v>
      </c>
      <c r="I11507" s="1" t="str">
        <f t="shared" si="2569"/>
        <v>X</v>
      </c>
      <c r="J11507" s="1" t="str">
        <f t="shared" si="2569"/>
        <v>X</v>
      </c>
      <c r="K11507" s="1" t="str">
        <f t="shared" si="2569"/>
        <v>X</v>
      </c>
      <c r="L11507" s="1" t="str">
        <f t="shared" si="2569"/>
        <v>X</v>
      </c>
      <c r="M11507" s="1" t="str">
        <f t="shared" si="2569"/>
        <v>X</v>
      </c>
      <c r="N11507" t="s">
        <v>27</v>
      </c>
    </row>
    <row r="11508" spans="1:14" x14ac:dyDescent="0.25">
      <c r="A11508" t="s">
        <v>44</v>
      </c>
      <c r="B11508" t="s">
        <v>39</v>
      </c>
      <c r="C11508" t="s">
        <v>15</v>
      </c>
      <c r="D11508" t="s">
        <v>33</v>
      </c>
      <c r="E11508" t="s">
        <v>21</v>
      </c>
      <c r="F11508" t="s">
        <v>17</v>
      </c>
      <c r="G11508" s="1" t="str">
        <f t="shared" si="2569"/>
        <v>X</v>
      </c>
      <c r="H11508" s="1" t="str">
        <f t="shared" si="2569"/>
        <v>X</v>
      </c>
      <c r="I11508" s="1" t="str">
        <f t="shared" si="2569"/>
        <v>X</v>
      </c>
      <c r="J11508" s="1" t="str">
        <f t="shared" si="2569"/>
        <v>X</v>
      </c>
      <c r="K11508" s="1" t="str">
        <f t="shared" si="2569"/>
        <v>X</v>
      </c>
      <c r="L11508" s="1" t="str">
        <f t="shared" si="2569"/>
        <v>X</v>
      </c>
      <c r="M11508" s="1" t="str">
        <f t="shared" si="2569"/>
        <v>X</v>
      </c>
      <c r="N11508" t="s">
        <v>27</v>
      </c>
    </row>
    <row r="11509" spans="1:14" x14ac:dyDescent="0.25">
      <c r="A11509" t="s">
        <v>44</v>
      </c>
      <c r="B11509" t="s">
        <v>39</v>
      </c>
      <c r="C11509" t="s">
        <v>15</v>
      </c>
      <c r="D11509" t="s">
        <v>33</v>
      </c>
      <c r="E11509" t="s">
        <v>21</v>
      </c>
      <c r="F11509" t="s">
        <v>18</v>
      </c>
      <c r="G11509" s="1" t="str">
        <f t="shared" si="2569"/>
        <v>X</v>
      </c>
      <c r="H11509" s="1" t="str">
        <f t="shared" si="2569"/>
        <v>X</v>
      </c>
      <c r="I11509" s="1" t="str">
        <f t="shared" si="2569"/>
        <v>X</v>
      </c>
      <c r="J11509" s="1" t="str">
        <f t="shared" si="2569"/>
        <v>X</v>
      </c>
      <c r="K11509" s="1" t="str">
        <f t="shared" si="2569"/>
        <v>X</v>
      </c>
      <c r="L11509" s="1" t="str">
        <f t="shared" si="2569"/>
        <v>X</v>
      </c>
      <c r="M11509" s="1" t="str">
        <f t="shared" si="2569"/>
        <v>X</v>
      </c>
      <c r="N11509" t="s">
        <v>27</v>
      </c>
    </row>
    <row r="11510" spans="1:14" x14ac:dyDescent="0.25">
      <c r="A11510" t="s">
        <v>44</v>
      </c>
      <c r="B11510" t="s">
        <v>39</v>
      </c>
      <c r="C11510" t="s">
        <v>15</v>
      </c>
      <c r="D11510" t="s">
        <v>33</v>
      </c>
      <c r="E11510" t="s">
        <v>21</v>
      </c>
      <c r="F11510" t="s">
        <v>19</v>
      </c>
      <c r="G11510" s="1" t="str">
        <f t="shared" si="2569"/>
        <v>X</v>
      </c>
      <c r="H11510" s="1" t="str">
        <f t="shared" si="2569"/>
        <v>X</v>
      </c>
      <c r="I11510" s="1" t="str">
        <f t="shared" si="2569"/>
        <v>X</v>
      </c>
      <c r="J11510" s="1" t="str">
        <f t="shared" si="2569"/>
        <v>X</v>
      </c>
      <c r="K11510" s="1" t="str">
        <f t="shared" si="2569"/>
        <v>X</v>
      </c>
      <c r="L11510" s="1" t="str">
        <f t="shared" si="2569"/>
        <v>X</v>
      </c>
      <c r="M11510" s="1" t="str">
        <f t="shared" si="2569"/>
        <v>X</v>
      </c>
      <c r="N11510" t="s">
        <v>27</v>
      </c>
    </row>
    <row r="11511" spans="1:14" x14ac:dyDescent="0.25">
      <c r="A11511" t="s">
        <v>44</v>
      </c>
      <c r="B11511" t="s">
        <v>39</v>
      </c>
      <c r="C11511" t="s">
        <v>15</v>
      </c>
      <c r="D11511" t="s">
        <v>33</v>
      </c>
      <c r="E11511" t="s">
        <v>21</v>
      </c>
      <c r="F11511" t="s">
        <v>20</v>
      </c>
      <c r="G11511" s="1" t="str">
        <f t="shared" si="2569"/>
        <v>X</v>
      </c>
      <c r="H11511" s="1" t="str">
        <f t="shared" si="2569"/>
        <v>X</v>
      </c>
      <c r="I11511" s="1" t="str">
        <f t="shared" si="2569"/>
        <v>X</v>
      </c>
      <c r="J11511" s="1" t="str">
        <f t="shared" si="2569"/>
        <v>X</v>
      </c>
      <c r="K11511" s="1" t="str">
        <f t="shared" si="2569"/>
        <v>X</v>
      </c>
      <c r="L11511" s="1" t="str">
        <f t="shared" si="2569"/>
        <v>X</v>
      </c>
      <c r="M11511" s="1" t="str">
        <f t="shared" si="2569"/>
        <v>X</v>
      </c>
      <c r="N11511" t="s">
        <v>27</v>
      </c>
    </row>
    <row r="11512" spans="1:14" x14ac:dyDescent="0.25">
      <c r="A11512" t="s">
        <v>44</v>
      </c>
      <c r="B11512" t="s">
        <v>39</v>
      </c>
      <c r="C11512" t="s">
        <v>15</v>
      </c>
      <c r="D11512" t="s">
        <v>33</v>
      </c>
      <c r="E11512" t="s">
        <v>22</v>
      </c>
      <c r="F11512" t="s">
        <v>15</v>
      </c>
      <c r="G11512" s="1" t="str">
        <f t="shared" si="2569"/>
        <v>X</v>
      </c>
      <c r="H11512" s="1" t="str">
        <f t="shared" si="2569"/>
        <v>X</v>
      </c>
      <c r="I11512" s="1" t="str">
        <f t="shared" si="2569"/>
        <v>X</v>
      </c>
      <c r="J11512" s="1" t="str">
        <f t="shared" si="2569"/>
        <v>X</v>
      </c>
      <c r="K11512" s="1" t="str">
        <f t="shared" si="2569"/>
        <v>X</v>
      </c>
      <c r="L11512" s="1" t="str">
        <f t="shared" si="2569"/>
        <v>X</v>
      </c>
      <c r="M11512" s="1" t="str">
        <f t="shared" si="2569"/>
        <v>X</v>
      </c>
      <c r="N11512" t="s">
        <v>27</v>
      </c>
    </row>
    <row r="11513" spans="1:14" x14ac:dyDescent="0.25">
      <c r="A11513" t="s">
        <v>44</v>
      </c>
      <c r="B11513" t="s">
        <v>39</v>
      </c>
      <c r="C11513" t="s">
        <v>15</v>
      </c>
      <c r="D11513" t="s">
        <v>33</v>
      </c>
      <c r="E11513" t="s">
        <v>22</v>
      </c>
      <c r="F11513" t="s">
        <v>17</v>
      </c>
      <c r="G11513" s="1" t="str">
        <f t="shared" si="2569"/>
        <v>X</v>
      </c>
      <c r="H11513" s="1" t="str">
        <f t="shared" si="2569"/>
        <v>X</v>
      </c>
      <c r="I11513" s="1" t="str">
        <f t="shared" si="2569"/>
        <v>X</v>
      </c>
      <c r="J11513" s="1" t="str">
        <f t="shared" si="2569"/>
        <v>X</v>
      </c>
      <c r="K11513" s="1" t="str">
        <f t="shared" si="2569"/>
        <v>X</v>
      </c>
      <c r="L11513" s="1" t="str">
        <f t="shared" si="2569"/>
        <v>X</v>
      </c>
      <c r="M11513" s="1" t="str">
        <f t="shared" si="2569"/>
        <v>X</v>
      </c>
      <c r="N11513" t="s">
        <v>27</v>
      </c>
    </row>
    <row r="11514" spans="1:14" x14ac:dyDescent="0.25">
      <c r="A11514" t="s">
        <v>44</v>
      </c>
      <c r="B11514" t="s">
        <v>39</v>
      </c>
      <c r="C11514" t="s">
        <v>15</v>
      </c>
      <c r="D11514" t="s">
        <v>33</v>
      </c>
      <c r="E11514" t="s">
        <v>22</v>
      </c>
      <c r="F11514" t="s">
        <v>18</v>
      </c>
      <c r="G11514" s="1" t="str">
        <f t="shared" si="2569"/>
        <v>X</v>
      </c>
      <c r="H11514" s="1" t="str">
        <f t="shared" si="2569"/>
        <v>X</v>
      </c>
      <c r="I11514" s="1" t="str">
        <f t="shared" si="2569"/>
        <v>X</v>
      </c>
      <c r="J11514" s="1" t="str">
        <f t="shared" si="2569"/>
        <v>X</v>
      </c>
      <c r="K11514" s="1" t="str">
        <f t="shared" si="2569"/>
        <v>X</v>
      </c>
      <c r="L11514" s="1" t="str">
        <f t="shared" si="2569"/>
        <v>X</v>
      </c>
      <c r="M11514" s="1" t="str">
        <f t="shared" si="2569"/>
        <v>X</v>
      </c>
      <c r="N11514" t="s">
        <v>27</v>
      </c>
    </row>
    <row r="11515" spans="1:14" x14ac:dyDescent="0.25">
      <c r="A11515" t="s">
        <v>44</v>
      </c>
      <c r="B11515" t="s">
        <v>39</v>
      </c>
      <c r="C11515" t="s">
        <v>15</v>
      </c>
      <c r="D11515" t="s">
        <v>33</v>
      </c>
      <c r="E11515" t="s">
        <v>22</v>
      </c>
      <c r="F11515" t="s">
        <v>19</v>
      </c>
      <c r="G11515" s="1" t="str">
        <f t="shared" si="2569"/>
        <v>X</v>
      </c>
      <c r="H11515" s="1" t="str">
        <f t="shared" si="2569"/>
        <v>X</v>
      </c>
      <c r="I11515" s="1" t="str">
        <f t="shared" si="2569"/>
        <v>X</v>
      </c>
      <c r="J11515" s="1" t="str">
        <f t="shared" si="2569"/>
        <v>X</v>
      </c>
      <c r="K11515" s="1" t="str">
        <f t="shared" si="2569"/>
        <v>X</v>
      </c>
      <c r="L11515" s="1" t="str">
        <f t="shared" si="2569"/>
        <v>X</v>
      </c>
      <c r="M11515" s="1" t="str">
        <f t="shared" si="2569"/>
        <v>X</v>
      </c>
      <c r="N11515" t="s">
        <v>27</v>
      </c>
    </row>
    <row r="11516" spans="1:14" x14ac:dyDescent="0.25">
      <c r="A11516" t="s">
        <v>44</v>
      </c>
      <c r="B11516" t="s">
        <v>39</v>
      </c>
      <c r="C11516" t="s">
        <v>15</v>
      </c>
      <c r="D11516" t="s">
        <v>33</v>
      </c>
      <c r="E11516" t="s">
        <v>22</v>
      </c>
      <c r="F11516" t="s">
        <v>20</v>
      </c>
      <c r="G11516" s="1" t="str">
        <f t="shared" si="2569"/>
        <v>X</v>
      </c>
      <c r="H11516" s="1" t="str">
        <f t="shared" si="2569"/>
        <v>X</v>
      </c>
      <c r="I11516" s="1" t="str">
        <f t="shared" si="2569"/>
        <v>X</v>
      </c>
      <c r="J11516" s="1" t="str">
        <f t="shared" si="2569"/>
        <v>X</v>
      </c>
      <c r="K11516" s="1" t="str">
        <f t="shared" si="2569"/>
        <v>X</v>
      </c>
      <c r="L11516" s="1" t="str">
        <f t="shared" si="2569"/>
        <v>X</v>
      </c>
      <c r="M11516" s="1" t="str">
        <f t="shared" si="2569"/>
        <v>X</v>
      </c>
      <c r="N11516" t="s">
        <v>27</v>
      </c>
    </row>
    <row r="11517" spans="1:14" x14ac:dyDescent="0.25">
      <c r="A11517" t="s">
        <v>44</v>
      </c>
      <c r="B11517" t="s">
        <v>39</v>
      </c>
      <c r="C11517" t="s">
        <v>15</v>
      </c>
      <c r="D11517" t="s">
        <v>33</v>
      </c>
      <c r="E11517" t="s">
        <v>23</v>
      </c>
      <c r="F11517" t="s">
        <v>15</v>
      </c>
      <c r="G11517" s="1" t="str">
        <f t="shared" si="2569"/>
        <v>X</v>
      </c>
      <c r="H11517" s="1" t="str">
        <f t="shared" si="2569"/>
        <v>X</v>
      </c>
      <c r="I11517" s="1" t="str">
        <f t="shared" si="2569"/>
        <v>X</v>
      </c>
      <c r="J11517" s="1" t="str">
        <f t="shared" si="2569"/>
        <v>X</v>
      </c>
      <c r="K11517" s="1" t="str">
        <f t="shared" si="2569"/>
        <v>X</v>
      </c>
      <c r="L11517" s="1" t="str">
        <f t="shared" si="2569"/>
        <v>X</v>
      </c>
      <c r="M11517" s="1" t="str">
        <f t="shared" si="2569"/>
        <v>X</v>
      </c>
      <c r="N11517" t="s">
        <v>27</v>
      </c>
    </row>
    <row r="11518" spans="1:14" x14ac:dyDescent="0.25">
      <c r="A11518" t="s">
        <v>44</v>
      </c>
      <c r="B11518" t="s">
        <v>39</v>
      </c>
      <c r="C11518" t="s">
        <v>15</v>
      </c>
      <c r="D11518" t="s">
        <v>33</v>
      </c>
      <c r="E11518" t="s">
        <v>23</v>
      </c>
      <c r="F11518" t="s">
        <v>17</v>
      </c>
      <c r="G11518" s="1" t="str">
        <f t="shared" si="2569"/>
        <v>X</v>
      </c>
      <c r="H11518" s="1" t="str">
        <f t="shared" si="2569"/>
        <v>X</v>
      </c>
      <c r="I11518" s="1" t="str">
        <f t="shared" si="2569"/>
        <v>X</v>
      </c>
      <c r="J11518" s="1" t="str">
        <f t="shared" si="2569"/>
        <v>X</v>
      </c>
      <c r="K11518" s="1" t="str">
        <f t="shared" si="2569"/>
        <v>X</v>
      </c>
      <c r="L11518" s="1" t="str">
        <f t="shared" si="2569"/>
        <v>X</v>
      </c>
      <c r="M11518" s="1" t="str">
        <f t="shared" si="2569"/>
        <v>X</v>
      </c>
      <c r="N11518" t="s">
        <v>27</v>
      </c>
    </row>
    <row r="11519" spans="1:14" x14ac:dyDescent="0.25">
      <c r="A11519" t="s">
        <v>44</v>
      </c>
      <c r="B11519" t="s">
        <v>39</v>
      </c>
      <c r="C11519" t="s">
        <v>15</v>
      </c>
      <c r="D11519" t="s">
        <v>33</v>
      </c>
      <c r="E11519" t="s">
        <v>23</v>
      </c>
      <c r="F11519" t="s">
        <v>18</v>
      </c>
      <c r="G11519" s="1" t="str">
        <f t="shared" ref="G11519:M11519" si="2570">"..."</f>
        <v>...</v>
      </c>
      <c r="H11519" s="1" t="str">
        <f t="shared" si="2570"/>
        <v>...</v>
      </c>
      <c r="I11519" s="1" t="str">
        <f t="shared" si="2570"/>
        <v>...</v>
      </c>
      <c r="J11519" s="1" t="str">
        <f t="shared" si="2570"/>
        <v>...</v>
      </c>
      <c r="K11519" s="1" t="str">
        <f t="shared" si="2570"/>
        <v>...</v>
      </c>
      <c r="L11519" s="1" t="str">
        <f t="shared" si="2570"/>
        <v>...</v>
      </c>
      <c r="M11519" s="1" t="str">
        <f t="shared" si="2570"/>
        <v>...</v>
      </c>
      <c r="N11519" t="s">
        <v>30</v>
      </c>
    </row>
    <row r="11520" spans="1:14" x14ac:dyDescent="0.25">
      <c r="A11520" t="s">
        <v>44</v>
      </c>
      <c r="B11520" t="s">
        <v>39</v>
      </c>
      <c r="C11520" t="s">
        <v>15</v>
      </c>
      <c r="D11520" t="s">
        <v>33</v>
      </c>
      <c r="E11520" t="s">
        <v>23</v>
      </c>
      <c r="F11520" t="s">
        <v>19</v>
      </c>
      <c r="G11520" s="1" t="str">
        <f t="shared" ref="G11520:M11521" si="2571">"X"</f>
        <v>X</v>
      </c>
      <c r="H11520" s="1" t="str">
        <f t="shared" si="2571"/>
        <v>X</v>
      </c>
      <c r="I11520" s="1" t="str">
        <f t="shared" si="2571"/>
        <v>X</v>
      </c>
      <c r="J11520" s="1" t="str">
        <f t="shared" si="2571"/>
        <v>X</v>
      </c>
      <c r="K11520" s="1" t="str">
        <f t="shared" si="2571"/>
        <v>X</v>
      </c>
      <c r="L11520" s="1" t="str">
        <f t="shared" si="2571"/>
        <v>X</v>
      </c>
      <c r="M11520" s="1" t="str">
        <f t="shared" si="2571"/>
        <v>X</v>
      </c>
      <c r="N11520" t="s">
        <v>27</v>
      </c>
    </row>
    <row r="11521" spans="1:14" x14ac:dyDescent="0.25">
      <c r="A11521" t="s">
        <v>44</v>
      </c>
      <c r="B11521" t="s">
        <v>39</v>
      </c>
      <c r="C11521" t="s">
        <v>15</v>
      </c>
      <c r="D11521" t="s">
        <v>33</v>
      </c>
      <c r="E11521" t="s">
        <v>23</v>
      </c>
      <c r="F11521" t="s">
        <v>20</v>
      </c>
      <c r="G11521" s="1" t="str">
        <f t="shared" si="2571"/>
        <v>X</v>
      </c>
      <c r="H11521" s="1" t="str">
        <f t="shared" si="2571"/>
        <v>X</v>
      </c>
      <c r="I11521" s="1" t="str">
        <f t="shared" si="2571"/>
        <v>X</v>
      </c>
      <c r="J11521" s="1" t="str">
        <f t="shared" si="2571"/>
        <v>X</v>
      </c>
      <c r="K11521" s="1" t="str">
        <f t="shared" si="2571"/>
        <v>X</v>
      </c>
      <c r="L11521" s="1" t="str">
        <f t="shared" si="2571"/>
        <v>X</v>
      </c>
      <c r="M11521" s="1" t="str">
        <f t="shared" si="2571"/>
        <v>X</v>
      </c>
      <c r="N11521" t="s">
        <v>27</v>
      </c>
    </row>
    <row r="11522" spans="1:14" x14ac:dyDescent="0.25">
      <c r="A11522" t="s">
        <v>44</v>
      </c>
      <c r="B11522" t="s">
        <v>39</v>
      </c>
      <c r="C11522" t="s">
        <v>15</v>
      </c>
      <c r="D11522" t="s">
        <v>33</v>
      </c>
      <c r="E11522" t="s">
        <v>26</v>
      </c>
      <c r="F11522" t="s">
        <v>15</v>
      </c>
      <c r="G11522" s="1" t="str">
        <f t="shared" ref="G11522:M11526" si="2572">"..."</f>
        <v>...</v>
      </c>
      <c r="H11522" s="1" t="str">
        <f t="shared" si="2572"/>
        <v>...</v>
      </c>
      <c r="I11522" s="1" t="str">
        <f t="shared" si="2572"/>
        <v>...</v>
      </c>
      <c r="J11522" s="1" t="str">
        <f t="shared" si="2572"/>
        <v>...</v>
      </c>
      <c r="K11522" s="1" t="str">
        <f t="shared" si="2572"/>
        <v>...</v>
      </c>
      <c r="L11522" s="1" t="str">
        <f t="shared" si="2572"/>
        <v>...</v>
      </c>
      <c r="M11522" s="1" t="str">
        <f t="shared" si="2572"/>
        <v>...</v>
      </c>
      <c r="N11522" t="s">
        <v>30</v>
      </c>
    </row>
    <row r="11523" spans="1:14" x14ac:dyDescent="0.25">
      <c r="A11523" t="s">
        <v>44</v>
      </c>
      <c r="B11523" t="s">
        <v>39</v>
      </c>
      <c r="C11523" t="s">
        <v>15</v>
      </c>
      <c r="D11523" t="s">
        <v>33</v>
      </c>
      <c r="E11523" t="s">
        <v>26</v>
      </c>
      <c r="F11523" t="s">
        <v>17</v>
      </c>
      <c r="G11523" s="1" t="str">
        <f t="shared" si="2572"/>
        <v>...</v>
      </c>
      <c r="H11523" s="1" t="str">
        <f t="shared" si="2572"/>
        <v>...</v>
      </c>
      <c r="I11523" s="1" t="str">
        <f t="shared" si="2572"/>
        <v>...</v>
      </c>
      <c r="J11523" s="1" t="str">
        <f t="shared" si="2572"/>
        <v>...</v>
      </c>
      <c r="K11523" s="1" t="str">
        <f t="shared" si="2572"/>
        <v>...</v>
      </c>
      <c r="L11523" s="1" t="str">
        <f t="shared" si="2572"/>
        <v>...</v>
      </c>
      <c r="M11523" s="1" t="str">
        <f t="shared" si="2572"/>
        <v>...</v>
      </c>
      <c r="N11523" t="s">
        <v>30</v>
      </c>
    </row>
    <row r="11524" spans="1:14" x14ac:dyDescent="0.25">
      <c r="A11524" t="s">
        <v>44</v>
      </c>
      <c r="B11524" t="s">
        <v>39</v>
      </c>
      <c r="C11524" t="s">
        <v>15</v>
      </c>
      <c r="D11524" t="s">
        <v>33</v>
      </c>
      <c r="E11524" t="s">
        <v>26</v>
      </c>
      <c r="F11524" t="s">
        <v>18</v>
      </c>
      <c r="G11524" s="1" t="str">
        <f t="shared" si="2572"/>
        <v>...</v>
      </c>
      <c r="H11524" s="1" t="str">
        <f t="shared" si="2572"/>
        <v>...</v>
      </c>
      <c r="I11524" s="1" t="str">
        <f t="shared" si="2572"/>
        <v>...</v>
      </c>
      <c r="J11524" s="1" t="str">
        <f t="shared" si="2572"/>
        <v>...</v>
      </c>
      <c r="K11524" s="1" t="str">
        <f t="shared" si="2572"/>
        <v>...</v>
      </c>
      <c r="L11524" s="1" t="str">
        <f t="shared" si="2572"/>
        <v>...</v>
      </c>
      <c r="M11524" s="1" t="str">
        <f t="shared" si="2572"/>
        <v>...</v>
      </c>
      <c r="N11524" t="s">
        <v>30</v>
      </c>
    </row>
    <row r="11525" spans="1:14" x14ac:dyDescent="0.25">
      <c r="A11525" t="s">
        <v>44</v>
      </c>
      <c r="B11525" t="s">
        <v>39</v>
      </c>
      <c r="C11525" t="s">
        <v>15</v>
      </c>
      <c r="D11525" t="s">
        <v>33</v>
      </c>
      <c r="E11525" t="s">
        <v>26</v>
      </c>
      <c r="F11525" t="s">
        <v>19</v>
      </c>
      <c r="G11525" s="1" t="str">
        <f t="shared" si="2572"/>
        <v>...</v>
      </c>
      <c r="H11525" s="1" t="str">
        <f t="shared" si="2572"/>
        <v>...</v>
      </c>
      <c r="I11525" s="1" t="str">
        <f t="shared" si="2572"/>
        <v>...</v>
      </c>
      <c r="J11525" s="1" t="str">
        <f t="shared" si="2572"/>
        <v>...</v>
      </c>
      <c r="K11525" s="1" t="str">
        <f t="shared" si="2572"/>
        <v>...</v>
      </c>
      <c r="L11525" s="1" t="str">
        <f t="shared" si="2572"/>
        <v>...</v>
      </c>
      <c r="M11525" s="1" t="str">
        <f t="shared" si="2572"/>
        <v>...</v>
      </c>
      <c r="N11525" t="s">
        <v>30</v>
      </c>
    </row>
    <row r="11526" spans="1:14" x14ac:dyDescent="0.25">
      <c r="A11526" t="s">
        <v>44</v>
      </c>
      <c r="B11526" t="s">
        <v>39</v>
      </c>
      <c r="C11526" t="s">
        <v>15</v>
      </c>
      <c r="D11526" t="s">
        <v>33</v>
      </c>
      <c r="E11526" t="s">
        <v>26</v>
      </c>
      <c r="F11526" t="s">
        <v>20</v>
      </c>
      <c r="G11526" s="1" t="str">
        <f t="shared" si="2572"/>
        <v>...</v>
      </c>
      <c r="H11526" s="1" t="str">
        <f t="shared" si="2572"/>
        <v>...</v>
      </c>
      <c r="I11526" s="1" t="str">
        <f t="shared" si="2572"/>
        <v>...</v>
      </c>
      <c r="J11526" s="1" t="str">
        <f t="shared" si="2572"/>
        <v>...</v>
      </c>
      <c r="K11526" s="1" t="str">
        <f t="shared" si="2572"/>
        <v>...</v>
      </c>
      <c r="L11526" s="1" t="str">
        <f t="shared" si="2572"/>
        <v>...</v>
      </c>
      <c r="M11526" s="1" t="str">
        <f t="shared" si="2572"/>
        <v>...</v>
      </c>
      <c r="N11526" t="s">
        <v>30</v>
      </c>
    </row>
    <row r="11527" spans="1:14" x14ac:dyDescent="0.25">
      <c r="A11527" t="s">
        <v>44</v>
      </c>
      <c r="B11527" t="s">
        <v>39</v>
      </c>
      <c r="C11527" t="s">
        <v>15</v>
      </c>
      <c r="D11527" t="s">
        <v>34</v>
      </c>
      <c r="E11527" t="s">
        <v>15</v>
      </c>
      <c r="F11527" t="s">
        <v>15</v>
      </c>
      <c r="G11527" s="2">
        <f>VALUE(617.9)</f>
        <v>617.9</v>
      </c>
      <c r="H11527" s="3">
        <f>VALUE(491.68)</f>
        <v>491.68</v>
      </c>
      <c r="I11527" s="4">
        <f>VALUE(3465)</f>
        <v>3465</v>
      </c>
      <c r="J11527" s="1">
        <f>VALUE(4015)</f>
        <v>4015</v>
      </c>
      <c r="K11527" s="1">
        <f>VALUE(4658)</f>
        <v>4658</v>
      </c>
      <c r="L11527" s="1">
        <f>VALUE(5401)</f>
        <v>5401</v>
      </c>
      <c r="M11527" s="8">
        <f>VALUE(6520)</f>
        <v>6520</v>
      </c>
      <c r="N11527" t="s">
        <v>25</v>
      </c>
    </row>
    <row r="11528" spans="1:14" x14ac:dyDescent="0.25">
      <c r="A11528" t="s">
        <v>44</v>
      </c>
      <c r="B11528" t="s">
        <v>39</v>
      </c>
      <c r="C11528" t="s">
        <v>15</v>
      </c>
      <c r="D11528" t="s">
        <v>34</v>
      </c>
      <c r="E11528" t="s">
        <v>15</v>
      </c>
      <c r="F11528" t="s">
        <v>17</v>
      </c>
      <c r="G11528" s="1" t="str">
        <f t="shared" ref="G11528:M11530" si="2573">"X"</f>
        <v>X</v>
      </c>
      <c r="H11528" s="1" t="str">
        <f t="shared" si="2573"/>
        <v>X</v>
      </c>
      <c r="I11528" s="1" t="str">
        <f t="shared" si="2573"/>
        <v>X</v>
      </c>
      <c r="J11528" s="1" t="str">
        <f t="shared" si="2573"/>
        <v>X</v>
      </c>
      <c r="K11528" s="1" t="str">
        <f t="shared" si="2573"/>
        <v>X</v>
      </c>
      <c r="L11528" s="1" t="str">
        <f t="shared" si="2573"/>
        <v>X</v>
      </c>
      <c r="M11528" s="1" t="str">
        <f t="shared" si="2573"/>
        <v>X</v>
      </c>
      <c r="N11528" t="s">
        <v>27</v>
      </c>
    </row>
    <row r="11529" spans="1:14" x14ac:dyDescent="0.25">
      <c r="A11529" t="s">
        <v>44</v>
      </c>
      <c r="B11529" t="s">
        <v>39</v>
      </c>
      <c r="C11529" t="s">
        <v>15</v>
      </c>
      <c r="D11529" t="s">
        <v>34</v>
      </c>
      <c r="E11529" t="s">
        <v>15</v>
      </c>
      <c r="F11529" t="s">
        <v>18</v>
      </c>
      <c r="G11529" s="1" t="str">
        <f t="shared" si="2573"/>
        <v>X</v>
      </c>
      <c r="H11529" s="1" t="str">
        <f t="shared" si="2573"/>
        <v>X</v>
      </c>
      <c r="I11529" s="1" t="str">
        <f t="shared" si="2573"/>
        <v>X</v>
      </c>
      <c r="J11529" s="1" t="str">
        <f t="shared" si="2573"/>
        <v>X</v>
      </c>
      <c r="K11529" s="1" t="str">
        <f t="shared" si="2573"/>
        <v>X</v>
      </c>
      <c r="L11529" s="1" t="str">
        <f t="shared" si="2573"/>
        <v>X</v>
      </c>
      <c r="M11529" s="1" t="str">
        <f t="shared" si="2573"/>
        <v>X</v>
      </c>
      <c r="N11529" t="s">
        <v>27</v>
      </c>
    </row>
    <row r="11530" spans="1:14" x14ac:dyDescent="0.25">
      <c r="A11530" t="s">
        <v>44</v>
      </c>
      <c r="B11530" t="s">
        <v>39</v>
      </c>
      <c r="C11530" t="s">
        <v>15</v>
      </c>
      <c r="D11530" t="s">
        <v>34</v>
      </c>
      <c r="E11530" t="s">
        <v>15</v>
      </c>
      <c r="F11530" t="s">
        <v>19</v>
      </c>
      <c r="G11530" s="1" t="str">
        <f t="shared" si="2573"/>
        <v>X</v>
      </c>
      <c r="H11530" s="1" t="str">
        <f t="shared" si="2573"/>
        <v>X</v>
      </c>
      <c r="I11530" s="1" t="str">
        <f t="shared" si="2573"/>
        <v>X</v>
      </c>
      <c r="J11530" s="1" t="str">
        <f t="shared" si="2573"/>
        <v>X</v>
      </c>
      <c r="K11530" s="1" t="str">
        <f t="shared" si="2573"/>
        <v>X</v>
      </c>
      <c r="L11530" s="1" t="str">
        <f t="shared" si="2573"/>
        <v>X</v>
      </c>
      <c r="M11530" s="1" t="str">
        <f t="shared" si="2573"/>
        <v>X</v>
      </c>
      <c r="N11530" t="s">
        <v>27</v>
      </c>
    </row>
    <row r="11531" spans="1:14" x14ac:dyDescent="0.25">
      <c r="A11531" t="s">
        <v>44</v>
      </c>
      <c r="B11531" t="s">
        <v>39</v>
      </c>
      <c r="C11531" t="s">
        <v>15</v>
      </c>
      <c r="D11531" t="s">
        <v>34</v>
      </c>
      <c r="E11531" t="s">
        <v>15</v>
      </c>
      <c r="F11531" t="s">
        <v>20</v>
      </c>
      <c r="G11531" s="2">
        <f>VALUE(482.62)</f>
        <v>482.62</v>
      </c>
      <c r="H11531" s="3">
        <f>VALUE(384.31)</f>
        <v>384.31</v>
      </c>
      <c r="I11531" s="4">
        <f>VALUE(3219)</f>
        <v>3219</v>
      </c>
      <c r="J11531" s="5">
        <f>VALUE(3918)</f>
        <v>3918</v>
      </c>
      <c r="K11531" s="6">
        <f>VALUE(4323)</f>
        <v>4323</v>
      </c>
      <c r="L11531" s="7">
        <f>VALUE(5095)</f>
        <v>5095</v>
      </c>
      <c r="M11531" s="8">
        <f>VALUE(5956)</f>
        <v>5956</v>
      </c>
      <c r="N11531" t="s">
        <v>24</v>
      </c>
    </row>
    <row r="11532" spans="1:14" x14ac:dyDescent="0.25">
      <c r="A11532" t="s">
        <v>44</v>
      </c>
      <c r="B11532" t="s">
        <v>39</v>
      </c>
      <c r="C11532" t="s">
        <v>15</v>
      </c>
      <c r="D11532" t="s">
        <v>34</v>
      </c>
      <c r="E11532" t="s">
        <v>21</v>
      </c>
      <c r="F11532" t="s">
        <v>15</v>
      </c>
      <c r="G11532" s="1" t="str">
        <f t="shared" ref="G11532:M11546" si="2574">"X"</f>
        <v>X</v>
      </c>
      <c r="H11532" s="1" t="str">
        <f t="shared" si="2574"/>
        <v>X</v>
      </c>
      <c r="I11532" s="1" t="str">
        <f t="shared" si="2574"/>
        <v>X</v>
      </c>
      <c r="J11532" s="1" t="str">
        <f t="shared" si="2574"/>
        <v>X</v>
      </c>
      <c r="K11532" s="1" t="str">
        <f t="shared" si="2574"/>
        <v>X</v>
      </c>
      <c r="L11532" s="1" t="str">
        <f t="shared" si="2574"/>
        <v>X</v>
      </c>
      <c r="M11532" s="1" t="str">
        <f t="shared" si="2574"/>
        <v>X</v>
      </c>
      <c r="N11532" t="s">
        <v>27</v>
      </c>
    </row>
    <row r="11533" spans="1:14" x14ac:dyDescent="0.25">
      <c r="A11533" t="s">
        <v>44</v>
      </c>
      <c r="B11533" t="s">
        <v>39</v>
      </c>
      <c r="C11533" t="s">
        <v>15</v>
      </c>
      <c r="D11533" t="s">
        <v>34</v>
      </c>
      <c r="E11533" t="s">
        <v>21</v>
      </c>
      <c r="F11533" t="s">
        <v>17</v>
      </c>
      <c r="G11533" s="1" t="str">
        <f t="shared" si="2574"/>
        <v>X</v>
      </c>
      <c r="H11533" s="1" t="str">
        <f t="shared" si="2574"/>
        <v>X</v>
      </c>
      <c r="I11533" s="1" t="str">
        <f t="shared" si="2574"/>
        <v>X</v>
      </c>
      <c r="J11533" s="1" t="str">
        <f t="shared" si="2574"/>
        <v>X</v>
      </c>
      <c r="K11533" s="1" t="str">
        <f t="shared" si="2574"/>
        <v>X</v>
      </c>
      <c r="L11533" s="1" t="str">
        <f t="shared" si="2574"/>
        <v>X</v>
      </c>
      <c r="M11533" s="1" t="str">
        <f t="shared" si="2574"/>
        <v>X</v>
      </c>
      <c r="N11533" t="s">
        <v>27</v>
      </c>
    </row>
    <row r="11534" spans="1:14" x14ac:dyDescent="0.25">
      <c r="A11534" t="s">
        <v>44</v>
      </c>
      <c r="B11534" t="s">
        <v>39</v>
      </c>
      <c r="C11534" t="s">
        <v>15</v>
      </c>
      <c r="D11534" t="s">
        <v>34</v>
      </c>
      <c r="E11534" t="s">
        <v>21</v>
      </c>
      <c r="F11534" t="s">
        <v>18</v>
      </c>
      <c r="G11534" s="1" t="str">
        <f t="shared" si="2574"/>
        <v>X</v>
      </c>
      <c r="H11534" s="1" t="str">
        <f t="shared" si="2574"/>
        <v>X</v>
      </c>
      <c r="I11534" s="1" t="str">
        <f t="shared" si="2574"/>
        <v>X</v>
      </c>
      <c r="J11534" s="1" t="str">
        <f t="shared" si="2574"/>
        <v>X</v>
      </c>
      <c r="K11534" s="1" t="str">
        <f t="shared" si="2574"/>
        <v>X</v>
      </c>
      <c r="L11534" s="1" t="str">
        <f t="shared" si="2574"/>
        <v>X</v>
      </c>
      <c r="M11534" s="1" t="str">
        <f t="shared" si="2574"/>
        <v>X</v>
      </c>
      <c r="N11534" t="s">
        <v>27</v>
      </c>
    </row>
    <row r="11535" spans="1:14" x14ac:dyDescent="0.25">
      <c r="A11535" t="s">
        <v>44</v>
      </c>
      <c r="B11535" t="s">
        <v>39</v>
      </c>
      <c r="C11535" t="s">
        <v>15</v>
      </c>
      <c r="D11535" t="s">
        <v>34</v>
      </c>
      <c r="E11535" t="s">
        <v>21</v>
      </c>
      <c r="F11535" t="s">
        <v>19</v>
      </c>
      <c r="G11535" s="1" t="str">
        <f t="shared" si="2574"/>
        <v>X</v>
      </c>
      <c r="H11535" s="1" t="str">
        <f t="shared" si="2574"/>
        <v>X</v>
      </c>
      <c r="I11535" s="1" t="str">
        <f t="shared" si="2574"/>
        <v>X</v>
      </c>
      <c r="J11535" s="1" t="str">
        <f t="shared" si="2574"/>
        <v>X</v>
      </c>
      <c r="K11535" s="1" t="str">
        <f t="shared" si="2574"/>
        <v>X</v>
      </c>
      <c r="L11535" s="1" t="str">
        <f t="shared" si="2574"/>
        <v>X</v>
      </c>
      <c r="M11535" s="1" t="str">
        <f t="shared" si="2574"/>
        <v>X</v>
      </c>
      <c r="N11535" t="s">
        <v>27</v>
      </c>
    </row>
    <row r="11536" spans="1:14" x14ac:dyDescent="0.25">
      <c r="A11536" t="s">
        <v>44</v>
      </c>
      <c r="B11536" t="s">
        <v>39</v>
      </c>
      <c r="C11536" t="s">
        <v>15</v>
      </c>
      <c r="D11536" t="s">
        <v>34</v>
      </c>
      <c r="E11536" t="s">
        <v>21</v>
      </c>
      <c r="F11536" t="s">
        <v>20</v>
      </c>
      <c r="G11536" s="1" t="str">
        <f t="shared" si="2574"/>
        <v>X</v>
      </c>
      <c r="H11536" s="1" t="str">
        <f t="shared" si="2574"/>
        <v>X</v>
      </c>
      <c r="I11536" s="1" t="str">
        <f t="shared" si="2574"/>
        <v>X</v>
      </c>
      <c r="J11536" s="1" t="str">
        <f t="shared" si="2574"/>
        <v>X</v>
      </c>
      <c r="K11536" s="1" t="str">
        <f t="shared" si="2574"/>
        <v>X</v>
      </c>
      <c r="L11536" s="1" t="str">
        <f t="shared" si="2574"/>
        <v>X</v>
      </c>
      <c r="M11536" s="1" t="str">
        <f t="shared" si="2574"/>
        <v>X</v>
      </c>
      <c r="N11536" t="s">
        <v>27</v>
      </c>
    </row>
    <row r="11537" spans="1:14" x14ac:dyDescent="0.25">
      <c r="A11537" t="s">
        <v>44</v>
      </c>
      <c r="B11537" t="s">
        <v>39</v>
      </c>
      <c r="C11537" t="s">
        <v>15</v>
      </c>
      <c r="D11537" t="s">
        <v>34</v>
      </c>
      <c r="E11537" t="s">
        <v>22</v>
      </c>
      <c r="F11537" t="s">
        <v>15</v>
      </c>
      <c r="G11537" s="1" t="str">
        <f t="shared" si="2574"/>
        <v>X</v>
      </c>
      <c r="H11537" s="1" t="str">
        <f t="shared" si="2574"/>
        <v>X</v>
      </c>
      <c r="I11537" s="1" t="str">
        <f t="shared" si="2574"/>
        <v>X</v>
      </c>
      <c r="J11537" s="1" t="str">
        <f t="shared" si="2574"/>
        <v>X</v>
      </c>
      <c r="K11537" s="1" t="str">
        <f t="shared" si="2574"/>
        <v>X</v>
      </c>
      <c r="L11537" s="1" t="str">
        <f t="shared" si="2574"/>
        <v>X</v>
      </c>
      <c r="M11537" s="1" t="str">
        <f t="shared" si="2574"/>
        <v>X</v>
      </c>
      <c r="N11537" t="s">
        <v>27</v>
      </c>
    </row>
    <row r="11538" spans="1:14" x14ac:dyDescent="0.25">
      <c r="A11538" t="s">
        <v>44</v>
      </c>
      <c r="B11538" t="s">
        <v>39</v>
      </c>
      <c r="C11538" t="s">
        <v>15</v>
      </c>
      <c r="D11538" t="s">
        <v>34</v>
      </c>
      <c r="E11538" t="s">
        <v>22</v>
      </c>
      <c r="F11538" t="s">
        <v>17</v>
      </c>
      <c r="G11538" s="1" t="str">
        <f t="shared" si="2574"/>
        <v>X</v>
      </c>
      <c r="H11538" s="1" t="str">
        <f t="shared" si="2574"/>
        <v>X</v>
      </c>
      <c r="I11538" s="1" t="str">
        <f t="shared" si="2574"/>
        <v>X</v>
      </c>
      <c r="J11538" s="1" t="str">
        <f t="shared" si="2574"/>
        <v>X</v>
      </c>
      <c r="K11538" s="1" t="str">
        <f t="shared" si="2574"/>
        <v>X</v>
      </c>
      <c r="L11538" s="1" t="str">
        <f t="shared" si="2574"/>
        <v>X</v>
      </c>
      <c r="M11538" s="1" t="str">
        <f t="shared" si="2574"/>
        <v>X</v>
      </c>
      <c r="N11538" t="s">
        <v>27</v>
      </c>
    </row>
    <row r="11539" spans="1:14" x14ac:dyDescent="0.25">
      <c r="A11539" t="s">
        <v>44</v>
      </c>
      <c r="B11539" t="s">
        <v>39</v>
      </c>
      <c r="C11539" t="s">
        <v>15</v>
      </c>
      <c r="D11539" t="s">
        <v>34</v>
      </c>
      <c r="E11539" t="s">
        <v>22</v>
      </c>
      <c r="F11539" t="s">
        <v>18</v>
      </c>
      <c r="G11539" s="1" t="str">
        <f t="shared" si="2574"/>
        <v>X</v>
      </c>
      <c r="H11539" s="1" t="str">
        <f t="shared" si="2574"/>
        <v>X</v>
      </c>
      <c r="I11539" s="1" t="str">
        <f t="shared" si="2574"/>
        <v>X</v>
      </c>
      <c r="J11539" s="1" t="str">
        <f t="shared" si="2574"/>
        <v>X</v>
      </c>
      <c r="K11539" s="1" t="str">
        <f t="shared" si="2574"/>
        <v>X</v>
      </c>
      <c r="L11539" s="1" t="str">
        <f t="shared" si="2574"/>
        <v>X</v>
      </c>
      <c r="M11539" s="1" t="str">
        <f t="shared" si="2574"/>
        <v>X</v>
      </c>
      <c r="N11539" t="s">
        <v>27</v>
      </c>
    </row>
    <row r="11540" spans="1:14" x14ac:dyDescent="0.25">
      <c r="A11540" t="s">
        <v>44</v>
      </c>
      <c r="B11540" t="s">
        <v>39</v>
      </c>
      <c r="C11540" t="s">
        <v>15</v>
      </c>
      <c r="D11540" t="s">
        <v>34</v>
      </c>
      <c r="E11540" t="s">
        <v>22</v>
      </c>
      <c r="F11540" t="s">
        <v>19</v>
      </c>
      <c r="G11540" s="1" t="str">
        <f t="shared" si="2574"/>
        <v>X</v>
      </c>
      <c r="H11540" s="1" t="str">
        <f t="shared" si="2574"/>
        <v>X</v>
      </c>
      <c r="I11540" s="1" t="str">
        <f t="shared" si="2574"/>
        <v>X</v>
      </c>
      <c r="J11540" s="1" t="str">
        <f t="shared" si="2574"/>
        <v>X</v>
      </c>
      <c r="K11540" s="1" t="str">
        <f t="shared" si="2574"/>
        <v>X</v>
      </c>
      <c r="L11540" s="1" t="str">
        <f t="shared" si="2574"/>
        <v>X</v>
      </c>
      <c r="M11540" s="1" t="str">
        <f t="shared" si="2574"/>
        <v>X</v>
      </c>
      <c r="N11540" t="s">
        <v>27</v>
      </c>
    </row>
    <row r="11541" spans="1:14" x14ac:dyDescent="0.25">
      <c r="A11541" t="s">
        <v>44</v>
      </c>
      <c r="B11541" t="s">
        <v>39</v>
      </c>
      <c r="C11541" t="s">
        <v>15</v>
      </c>
      <c r="D11541" t="s">
        <v>34</v>
      </c>
      <c r="E11541" t="s">
        <v>22</v>
      </c>
      <c r="F11541" t="s">
        <v>20</v>
      </c>
      <c r="G11541" s="1" t="str">
        <f t="shared" si="2574"/>
        <v>X</v>
      </c>
      <c r="H11541" s="1" t="str">
        <f t="shared" si="2574"/>
        <v>X</v>
      </c>
      <c r="I11541" s="1" t="str">
        <f t="shared" si="2574"/>
        <v>X</v>
      </c>
      <c r="J11541" s="1" t="str">
        <f t="shared" si="2574"/>
        <v>X</v>
      </c>
      <c r="K11541" s="1" t="str">
        <f t="shared" si="2574"/>
        <v>X</v>
      </c>
      <c r="L11541" s="1" t="str">
        <f t="shared" si="2574"/>
        <v>X</v>
      </c>
      <c r="M11541" s="1" t="str">
        <f t="shared" si="2574"/>
        <v>X</v>
      </c>
      <c r="N11541" t="s">
        <v>27</v>
      </c>
    </row>
    <row r="11542" spans="1:14" x14ac:dyDescent="0.25">
      <c r="A11542" t="s">
        <v>44</v>
      </c>
      <c r="B11542" t="s">
        <v>39</v>
      </c>
      <c r="C11542" t="s">
        <v>15</v>
      </c>
      <c r="D11542" t="s">
        <v>34</v>
      </c>
      <c r="E11542" t="s">
        <v>23</v>
      </c>
      <c r="F11542" t="s">
        <v>15</v>
      </c>
      <c r="G11542" s="1" t="str">
        <f t="shared" si="2574"/>
        <v>X</v>
      </c>
      <c r="H11542" s="1" t="str">
        <f t="shared" si="2574"/>
        <v>X</v>
      </c>
      <c r="I11542" s="1" t="str">
        <f t="shared" si="2574"/>
        <v>X</v>
      </c>
      <c r="J11542" s="1" t="str">
        <f t="shared" si="2574"/>
        <v>X</v>
      </c>
      <c r="K11542" s="1" t="str">
        <f t="shared" si="2574"/>
        <v>X</v>
      </c>
      <c r="L11542" s="1" t="str">
        <f t="shared" si="2574"/>
        <v>X</v>
      </c>
      <c r="M11542" s="1" t="str">
        <f t="shared" si="2574"/>
        <v>X</v>
      </c>
      <c r="N11542" t="s">
        <v>27</v>
      </c>
    </row>
    <row r="11543" spans="1:14" x14ac:dyDescent="0.25">
      <c r="A11543" t="s">
        <v>44</v>
      </c>
      <c r="B11543" t="s">
        <v>39</v>
      </c>
      <c r="C11543" t="s">
        <v>15</v>
      </c>
      <c r="D11543" t="s">
        <v>34</v>
      </c>
      <c r="E11543" t="s">
        <v>23</v>
      </c>
      <c r="F11543" t="s">
        <v>17</v>
      </c>
      <c r="G11543" s="1" t="str">
        <f t="shared" si="2574"/>
        <v>X</v>
      </c>
      <c r="H11543" s="1" t="str">
        <f t="shared" si="2574"/>
        <v>X</v>
      </c>
      <c r="I11543" s="1" t="str">
        <f t="shared" si="2574"/>
        <v>X</v>
      </c>
      <c r="J11543" s="1" t="str">
        <f t="shared" si="2574"/>
        <v>X</v>
      </c>
      <c r="K11543" s="1" t="str">
        <f t="shared" si="2574"/>
        <v>X</v>
      </c>
      <c r="L11543" s="1" t="str">
        <f t="shared" si="2574"/>
        <v>X</v>
      </c>
      <c r="M11543" s="1" t="str">
        <f t="shared" si="2574"/>
        <v>X</v>
      </c>
      <c r="N11543" t="s">
        <v>27</v>
      </c>
    </row>
    <row r="11544" spans="1:14" x14ac:dyDescent="0.25">
      <c r="A11544" t="s">
        <v>44</v>
      </c>
      <c r="B11544" t="s">
        <v>39</v>
      </c>
      <c r="C11544" t="s">
        <v>15</v>
      </c>
      <c r="D11544" t="s">
        <v>34</v>
      </c>
      <c r="E11544" t="s">
        <v>23</v>
      </c>
      <c r="F11544" t="s">
        <v>18</v>
      </c>
      <c r="G11544" s="1" t="str">
        <f t="shared" si="2574"/>
        <v>X</v>
      </c>
      <c r="H11544" s="1" t="str">
        <f t="shared" si="2574"/>
        <v>X</v>
      </c>
      <c r="I11544" s="1" t="str">
        <f t="shared" si="2574"/>
        <v>X</v>
      </c>
      <c r="J11544" s="1" t="str">
        <f t="shared" si="2574"/>
        <v>X</v>
      </c>
      <c r="K11544" s="1" t="str">
        <f t="shared" si="2574"/>
        <v>X</v>
      </c>
      <c r="L11544" s="1" t="str">
        <f t="shared" si="2574"/>
        <v>X</v>
      </c>
      <c r="M11544" s="1" t="str">
        <f t="shared" si="2574"/>
        <v>X</v>
      </c>
      <c r="N11544" t="s">
        <v>27</v>
      </c>
    </row>
    <row r="11545" spans="1:14" x14ac:dyDescent="0.25">
      <c r="A11545" t="s">
        <v>44</v>
      </c>
      <c r="B11545" t="s">
        <v>39</v>
      </c>
      <c r="C11545" t="s">
        <v>15</v>
      </c>
      <c r="D11545" t="s">
        <v>34</v>
      </c>
      <c r="E11545" t="s">
        <v>23</v>
      </c>
      <c r="F11545" t="s">
        <v>19</v>
      </c>
      <c r="G11545" s="1" t="str">
        <f t="shared" si="2574"/>
        <v>X</v>
      </c>
      <c r="H11545" s="1" t="str">
        <f t="shared" si="2574"/>
        <v>X</v>
      </c>
      <c r="I11545" s="1" t="str">
        <f t="shared" si="2574"/>
        <v>X</v>
      </c>
      <c r="J11545" s="1" t="str">
        <f t="shared" si="2574"/>
        <v>X</v>
      </c>
      <c r="K11545" s="1" t="str">
        <f t="shared" si="2574"/>
        <v>X</v>
      </c>
      <c r="L11545" s="1" t="str">
        <f t="shared" si="2574"/>
        <v>X</v>
      </c>
      <c r="M11545" s="1" t="str">
        <f t="shared" si="2574"/>
        <v>X</v>
      </c>
      <c r="N11545" t="s">
        <v>27</v>
      </c>
    </row>
    <row r="11546" spans="1:14" x14ac:dyDescent="0.25">
      <c r="A11546" t="s">
        <v>44</v>
      </c>
      <c r="B11546" t="s">
        <v>39</v>
      </c>
      <c r="C11546" t="s">
        <v>15</v>
      </c>
      <c r="D11546" t="s">
        <v>34</v>
      </c>
      <c r="E11546" t="s">
        <v>23</v>
      </c>
      <c r="F11546" t="s">
        <v>20</v>
      </c>
      <c r="G11546" s="1" t="str">
        <f t="shared" si="2574"/>
        <v>X</v>
      </c>
      <c r="H11546" s="1" t="str">
        <f t="shared" si="2574"/>
        <v>X</v>
      </c>
      <c r="I11546" s="1" t="str">
        <f t="shared" si="2574"/>
        <v>X</v>
      </c>
      <c r="J11546" s="1" t="str">
        <f t="shared" si="2574"/>
        <v>X</v>
      </c>
      <c r="K11546" s="1" t="str">
        <f t="shared" si="2574"/>
        <v>X</v>
      </c>
      <c r="L11546" s="1" t="str">
        <f t="shared" si="2574"/>
        <v>X</v>
      </c>
      <c r="M11546" s="1" t="str">
        <f t="shared" si="2574"/>
        <v>X</v>
      </c>
      <c r="N11546" t="s">
        <v>27</v>
      </c>
    </row>
    <row r="11547" spans="1:14" x14ac:dyDescent="0.25">
      <c r="A11547" t="s">
        <v>44</v>
      </c>
      <c r="B11547" t="s">
        <v>39</v>
      </c>
      <c r="C11547" t="s">
        <v>15</v>
      </c>
      <c r="D11547" t="s">
        <v>34</v>
      </c>
      <c r="E11547" t="s">
        <v>26</v>
      </c>
      <c r="F11547" t="s">
        <v>15</v>
      </c>
      <c r="G11547" s="1" t="str">
        <f t="shared" ref="G11547:M11551" si="2575">"..."</f>
        <v>...</v>
      </c>
      <c r="H11547" s="1" t="str">
        <f t="shared" si="2575"/>
        <v>...</v>
      </c>
      <c r="I11547" s="1" t="str">
        <f t="shared" si="2575"/>
        <v>...</v>
      </c>
      <c r="J11547" s="1" t="str">
        <f t="shared" si="2575"/>
        <v>...</v>
      </c>
      <c r="K11547" s="1" t="str">
        <f t="shared" si="2575"/>
        <v>...</v>
      </c>
      <c r="L11547" s="1" t="str">
        <f t="shared" si="2575"/>
        <v>...</v>
      </c>
      <c r="M11547" s="1" t="str">
        <f t="shared" si="2575"/>
        <v>...</v>
      </c>
      <c r="N11547" t="s">
        <v>30</v>
      </c>
    </row>
    <row r="11548" spans="1:14" x14ac:dyDescent="0.25">
      <c r="A11548" t="s">
        <v>44</v>
      </c>
      <c r="B11548" t="s">
        <v>39</v>
      </c>
      <c r="C11548" t="s">
        <v>15</v>
      </c>
      <c r="D11548" t="s">
        <v>34</v>
      </c>
      <c r="E11548" t="s">
        <v>26</v>
      </c>
      <c r="F11548" t="s">
        <v>17</v>
      </c>
      <c r="G11548" s="1" t="str">
        <f t="shared" si="2575"/>
        <v>...</v>
      </c>
      <c r="H11548" s="1" t="str">
        <f t="shared" si="2575"/>
        <v>...</v>
      </c>
      <c r="I11548" s="1" t="str">
        <f t="shared" si="2575"/>
        <v>...</v>
      </c>
      <c r="J11548" s="1" t="str">
        <f t="shared" si="2575"/>
        <v>...</v>
      </c>
      <c r="K11548" s="1" t="str">
        <f t="shared" si="2575"/>
        <v>...</v>
      </c>
      <c r="L11548" s="1" t="str">
        <f t="shared" si="2575"/>
        <v>...</v>
      </c>
      <c r="M11548" s="1" t="str">
        <f t="shared" si="2575"/>
        <v>...</v>
      </c>
      <c r="N11548" t="s">
        <v>30</v>
      </c>
    </row>
    <row r="11549" spans="1:14" x14ac:dyDescent="0.25">
      <c r="A11549" t="s">
        <v>44</v>
      </c>
      <c r="B11549" t="s">
        <v>39</v>
      </c>
      <c r="C11549" t="s">
        <v>15</v>
      </c>
      <c r="D11549" t="s">
        <v>34</v>
      </c>
      <c r="E11549" t="s">
        <v>26</v>
      </c>
      <c r="F11549" t="s">
        <v>18</v>
      </c>
      <c r="G11549" s="1" t="str">
        <f t="shared" si="2575"/>
        <v>...</v>
      </c>
      <c r="H11549" s="1" t="str">
        <f t="shared" si="2575"/>
        <v>...</v>
      </c>
      <c r="I11549" s="1" t="str">
        <f t="shared" si="2575"/>
        <v>...</v>
      </c>
      <c r="J11549" s="1" t="str">
        <f t="shared" si="2575"/>
        <v>...</v>
      </c>
      <c r="K11549" s="1" t="str">
        <f t="shared" si="2575"/>
        <v>...</v>
      </c>
      <c r="L11549" s="1" t="str">
        <f t="shared" si="2575"/>
        <v>...</v>
      </c>
      <c r="M11549" s="1" t="str">
        <f t="shared" si="2575"/>
        <v>...</v>
      </c>
      <c r="N11549" t="s">
        <v>30</v>
      </c>
    </row>
    <row r="11550" spans="1:14" x14ac:dyDescent="0.25">
      <c r="A11550" t="s">
        <v>44</v>
      </c>
      <c r="B11550" t="s">
        <v>39</v>
      </c>
      <c r="C11550" t="s">
        <v>15</v>
      </c>
      <c r="D11550" t="s">
        <v>34</v>
      </c>
      <c r="E11550" t="s">
        <v>26</v>
      </c>
      <c r="F11550" t="s">
        <v>19</v>
      </c>
      <c r="G11550" s="1" t="str">
        <f t="shared" si="2575"/>
        <v>...</v>
      </c>
      <c r="H11550" s="1" t="str">
        <f t="shared" si="2575"/>
        <v>...</v>
      </c>
      <c r="I11550" s="1" t="str">
        <f t="shared" si="2575"/>
        <v>...</v>
      </c>
      <c r="J11550" s="1" t="str">
        <f t="shared" si="2575"/>
        <v>...</v>
      </c>
      <c r="K11550" s="1" t="str">
        <f t="shared" si="2575"/>
        <v>...</v>
      </c>
      <c r="L11550" s="1" t="str">
        <f t="shared" si="2575"/>
        <v>...</v>
      </c>
      <c r="M11550" s="1" t="str">
        <f t="shared" si="2575"/>
        <v>...</v>
      </c>
      <c r="N11550" t="s">
        <v>30</v>
      </c>
    </row>
    <row r="11551" spans="1:14" x14ac:dyDescent="0.25">
      <c r="A11551" t="s">
        <v>44</v>
      </c>
      <c r="B11551" t="s">
        <v>39</v>
      </c>
      <c r="C11551" t="s">
        <v>15</v>
      </c>
      <c r="D11551" t="s">
        <v>34</v>
      </c>
      <c r="E11551" t="s">
        <v>26</v>
      </c>
      <c r="F11551" t="s">
        <v>20</v>
      </c>
      <c r="G11551" s="1" t="str">
        <f t="shared" si="2575"/>
        <v>...</v>
      </c>
      <c r="H11551" s="1" t="str">
        <f t="shared" si="2575"/>
        <v>...</v>
      </c>
      <c r="I11551" s="1" t="str">
        <f t="shared" si="2575"/>
        <v>...</v>
      </c>
      <c r="J11551" s="1" t="str">
        <f t="shared" si="2575"/>
        <v>...</v>
      </c>
      <c r="K11551" s="1" t="str">
        <f t="shared" si="2575"/>
        <v>...</v>
      </c>
      <c r="L11551" s="1" t="str">
        <f t="shared" si="2575"/>
        <v>...</v>
      </c>
      <c r="M11551" s="1" t="str">
        <f t="shared" si="2575"/>
        <v>...</v>
      </c>
      <c r="N11551" t="s">
        <v>30</v>
      </c>
    </row>
    <row r="11552" spans="1:14" x14ac:dyDescent="0.25">
      <c r="A11552" t="s">
        <v>44</v>
      </c>
      <c r="B11552" t="s">
        <v>39</v>
      </c>
      <c r="C11552" t="s">
        <v>35</v>
      </c>
      <c r="D11552" t="s">
        <v>15</v>
      </c>
      <c r="E11552" t="s">
        <v>15</v>
      </c>
      <c r="F11552" t="s">
        <v>15</v>
      </c>
      <c r="G11552" s="2">
        <f>VALUE(3068.24)</f>
        <v>3068.24</v>
      </c>
      <c r="H11552" s="3">
        <f>VALUE(2802.49)</f>
        <v>2802.49</v>
      </c>
      <c r="I11552" s="4">
        <f>VALUE(2930)</f>
        <v>2930</v>
      </c>
      <c r="J11552" s="1">
        <f>VALUE(3428)</f>
        <v>3428</v>
      </c>
      <c r="K11552" s="1">
        <f>VALUE(4000)</f>
        <v>4000</v>
      </c>
      <c r="L11552" s="1">
        <f>VALUE(4764)</f>
        <v>4764</v>
      </c>
      <c r="M11552" s="8">
        <f>VALUE(5442)</f>
        <v>5442</v>
      </c>
      <c r="N11552" t="s">
        <v>25</v>
      </c>
    </row>
    <row r="11553" spans="1:14" x14ac:dyDescent="0.25">
      <c r="A11553" t="s">
        <v>44</v>
      </c>
      <c r="B11553" t="s">
        <v>39</v>
      </c>
      <c r="C11553" t="s">
        <v>35</v>
      </c>
      <c r="D11553" t="s">
        <v>15</v>
      </c>
      <c r="E11553" t="s">
        <v>15</v>
      </c>
      <c r="F11553" t="s">
        <v>17</v>
      </c>
      <c r="G11553" s="1" t="str">
        <f t="shared" ref="G11553:M11554" si="2576">"X"</f>
        <v>X</v>
      </c>
      <c r="H11553" s="1" t="str">
        <f t="shared" si="2576"/>
        <v>X</v>
      </c>
      <c r="I11553" s="1" t="str">
        <f t="shared" si="2576"/>
        <v>X</v>
      </c>
      <c r="J11553" s="1" t="str">
        <f t="shared" si="2576"/>
        <v>X</v>
      </c>
      <c r="K11553" s="1" t="str">
        <f t="shared" si="2576"/>
        <v>X</v>
      </c>
      <c r="L11553" s="1" t="str">
        <f t="shared" si="2576"/>
        <v>X</v>
      </c>
      <c r="M11553" s="1" t="str">
        <f t="shared" si="2576"/>
        <v>X</v>
      </c>
      <c r="N11553" t="s">
        <v>27</v>
      </c>
    </row>
    <row r="11554" spans="1:14" x14ac:dyDescent="0.25">
      <c r="A11554" t="s">
        <v>44</v>
      </c>
      <c r="B11554" t="s">
        <v>39</v>
      </c>
      <c r="C11554" t="s">
        <v>35</v>
      </c>
      <c r="D11554" t="s">
        <v>15</v>
      </c>
      <c r="E11554" t="s">
        <v>15</v>
      </c>
      <c r="F11554" t="s">
        <v>18</v>
      </c>
      <c r="G11554" s="1" t="str">
        <f t="shared" si="2576"/>
        <v>X</v>
      </c>
      <c r="H11554" s="1" t="str">
        <f t="shared" si="2576"/>
        <v>X</v>
      </c>
      <c r="I11554" s="1" t="str">
        <f t="shared" si="2576"/>
        <v>X</v>
      </c>
      <c r="J11554" s="1" t="str">
        <f t="shared" si="2576"/>
        <v>X</v>
      </c>
      <c r="K11554" s="1" t="str">
        <f t="shared" si="2576"/>
        <v>X</v>
      </c>
      <c r="L11554" s="1" t="str">
        <f t="shared" si="2576"/>
        <v>X</v>
      </c>
      <c r="M11554" s="1" t="str">
        <f t="shared" si="2576"/>
        <v>X</v>
      </c>
      <c r="N11554" t="s">
        <v>27</v>
      </c>
    </row>
    <row r="11555" spans="1:14" x14ac:dyDescent="0.25">
      <c r="A11555" t="s">
        <v>44</v>
      </c>
      <c r="B11555" t="s">
        <v>39</v>
      </c>
      <c r="C11555" t="s">
        <v>35</v>
      </c>
      <c r="D11555" t="s">
        <v>15</v>
      </c>
      <c r="E11555" t="s">
        <v>15</v>
      </c>
      <c r="F11555" t="s">
        <v>19</v>
      </c>
      <c r="G11555" s="2">
        <f>VALUE(331.67)</f>
        <v>331.67</v>
      </c>
      <c r="H11555" s="3">
        <f>VALUE(310.87)</f>
        <v>310.87</v>
      </c>
      <c r="I11555" s="1">
        <f>VALUE(3713)</f>
        <v>3713</v>
      </c>
      <c r="J11555" s="1">
        <f>VALUE(4013)</f>
        <v>4013</v>
      </c>
      <c r="K11555" s="1">
        <f>VALUE(4536)</f>
        <v>4536</v>
      </c>
      <c r="L11555" s="1">
        <f>VALUE(5159)</f>
        <v>5159</v>
      </c>
      <c r="M11555" s="1">
        <f>VALUE(5463)</f>
        <v>5463</v>
      </c>
      <c r="N11555" t="s">
        <v>25</v>
      </c>
    </row>
    <row r="11556" spans="1:14" x14ac:dyDescent="0.25">
      <c r="A11556" t="s">
        <v>44</v>
      </c>
      <c r="B11556" t="s">
        <v>39</v>
      </c>
      <c r="C11556" t="s">
        <v>35</v>
      </c>
      <c r="D11556" t="s">
        <v>15</v>
      </c>
      <c r="E11556" t="s">
        <v>15</v>
      </c>
      <c r="F11556" t="s">
        <v>20</v>
      </c>
      <c r="G11556" s="2">
        <f>VALUE(2630)</f>
        <v>2630</v>
      </c>
      <c r="H11556" s="3">
        <f>VALUE(2383.67)</f>
        <v>2383.67</v>
      </c>
      <c r="I11556" s="4">
        <f>VALUE(2889)</f>
        <v>2889</v>
      </c>
      <c r="J11556" s="1">
        <f>VALUE(3380)</f>
        <v>3380</v>
      </c>
      <c r="K11556" s="1">
        <f>VALUE(3920)</f>
        <v>3920</v>
      </c>
      <c r="L11556" s="1">
        <f>VALUE(4567)</f>
        <v>4567</v>
      </c>
      <c r="M11556" s="8">
        <f>VALUE(5419)</f>
        <v>5419</v>
      </c>
      <c r="N11556" t="s">
        <v>25</v>
      </c>
    </row>
    <row r="11557" spans="1:14" x14ac:dyDescent="0.25">
      <c r="A11557" t="s">
        <v>44</v>
      </c>
      <c r="B11557" t="s">
        <v>39</v>
      </c>
      <c r="C11557" t="s">
        <v>35</v>
      </c>
      <c r="D11557" t="s">
        <v>15</v>
      </c>
      <c r="E11557" t="s">
        <v>21</v>
      </c>
      <c r="F11557" t="s">
        <v>15</v>
      </c>
      <c r="G11557" s="2">
        <f>VALUE(248.96)</f>
        <v>248.96</v>
      </c>
      <c r="H11557" s="3">
        <f>VALUE(239.01)</f>
        <v>239.01</v>
      </c>
      <c r="I11557" s="4">
        <f>VALUE(3396)</f>
        <v>3396</v>
      </c>
      <c r="J11557" s="1">
        <f>VALUE(3938)</f>
        <v>3938</v>
      </c>
      <c r="K11557" s="1">
        <f>VALUE(4333)</f>
        <v>4333</v>
      </c>
      <c r="L11557" s="7">
        <f>VALUE(5143)</f>
        <v>5143</v>
      </c>
      <c r="M11557" s="1">
        <f>VALUE(5843)</f>
        <v>5843</v>
      </c>
      <c r="N11557" t="s">
        <v>25</v>
      </c>
    </row>
    <row r="11558" spans="1:14" x14ac:dyDescent="0.25">
      <c r="A11558" t="s">
        <v>44</v>
      </c>
      <c r="B11558" t="s">
        <v>39</v>
      </c>
      <c r="C11558" t="s">
        <v>35</v>
      </c>
      <c r="D11558" t="s">
        <v>15</v>
      </c>
      <c r="E11558" t="s">
        <v>21</v>
      </c>
      <c r="F11558" t="s">
        <v>17</v>
      </c>
      <c r="G11558" s="1" t="str">
        <f t="shared" ref="G11558:M11561" si="2577">"X"</f>
        <v>X</v>
      </c>
      <c r="H11558" s="1" t="str">
        <f t="shared" si="2577"/>
        <v>X</v>
      </c>
      <c r="I11558" s="1" t="str">
        <f t="shared" si="2577"/>
        <v>X</v>
      </c>
      <c r="J11558" s="1" t="str">
        <f t="shared" si="2577"/>
        <v>X</v>
      </c>
      <c r="K11558" s="1" t="str">
        <f t="shared" si="2577"/>
        <v>X</v>
      </c>
      <c r="L11558" s="1" t="str">
        <f t="shared" si="2577"/>
        <v>X</v>
      </c>
      <c r="M11558" s="1" t="str">
        <f t="shared" si="2577"/>
        <v>X</v>
      </c>
      <c r="N11558" t="s">
        <v>27</v>
      </c>
    </row>
    <row r="11559" spans="1:14" x14ac:dyDescent="0.25">
      <c r="A11559" t="s">
        <v>44</v>
      </c>
      <c r="B11559" t="s">
        <v>39</v>
      </c>
      <c r="C11559" t="s">
        <v>35</v>
      </c>
      <c r="D11559" t="s">
        <v>15</v>
      </c>
      <c r="E11559" t="s">
        <v>21</v>
      </c>
      <c r="F11559" t="s">
        <v>18</v>
      </c>
      <c r="G11559" s="1" t="str">
        <f t="shared" si="2577"/>
        <v>X</v>
      </c>
      <c r="H11559" s="1" t="str">
        <f t="shared" si="2577"/>
        <v>X</v>
      </c>
      <c r="I11559" s="1" t="str">
        <f t="shared" si="2577"/>
        <v>X</v>
      </c>
      <c r="J11559" s="1" t="str">
        <f t="shared" si="2577"/>
        <v>X</v>
      </c>
      <c r="K11559" s="1" t="str">
        <f t="shared" si="2577"/>
        <v>X</v>
      </c>
      <c r="L11559" s="1" t="str">
        <f t="shared" si="2577"/>
        <v>X</v>
      </c>
      <c r="M11559" s="1" t="str">
        <f t="shared" si="2577"/>
        <v>X</v>
      </c>
      <c r="N11559" t="s">
        <v>27</v>
      </c>
    </row>
    <row r="11560" spans="1:14" x14ac:dyDescent="0.25">
      <c r="A11560" t="s">
        <v>44</v>
      </c>
      <c r="B11560" t="s">
        <v>39</v>
      </c>
      <c r="C11560" t="s">
        <v>35</v>
      </c>
      <c r="D11560" t="s">
        <v>15</v>
      </c>
      <c r="E11560" t="s">
        <v>21</v>
      </c>
      <c r="F11560" t="s">
        <v>19</v>
      </c>
      <c r="G11560" s="1" t="str">
        <f t="shared" si="2577"/>
        <v>X</v>
      </c>
      <c r="H11560" s="1" t="str">
        <f t="shared" si="2577"/>
        <v>X</v>
      </c>
      <c r="I11560" s="1" t="str">
        <f t="shared" si="2577"/>
        <v>X</v>
      </c>
      <c r="J11560" s="1" t="str">
        <f t="shared" si="2577"/>
        <v>X</v>
      </c>
      <c r="K11560" s="1" t="str">
        <f t="shared" si="2577"/>
        <v>X</v>
      </c>
      <c r="L11560" s="1" t="str">
        <f t="shared" si="2577"/>
        <v>X</v>
      </c>
      <c r="M11560" s="1" t="str">
        <f t="shared" si="2577"/>
        <v>X</v>
      </c>
      <c r="N11560" t="s">
        <v>27</v>
      </c>
    </row>
    <row r="11561" spans="1:14" x14ac:dyDescent="0.25">
      <c r="A11561" t="s">
        <v>44</v>
      </c>
      <c r="B11561" t="s">
        <v>39</v>
      </c>
      <c r="C11561" t="s">
        <v>35</v>
      </c>
      <c r="D11561" t="s">
        <v>15</v>
      </c>
      <c r="E11561" t="s">
        <v>21</v>
      </c>
      <c r="F11561" t="s">
        <v>20</v>
      </c>
      <c r="G11561" s="1" t="str">
        <f t="shared" si="2577"/>
        <v>X</v>
      </c>
      <c r="H11561" s="1" t="str">
        <f t="shared" si="2577"/>
        <v>X</v>
      </c>
      <c r="I11561" s="1" t="str">
        <f t="shared" si="2577"/>
        <v>X</v>
      </c>
      <c r="J11561" s="1" t="str">
        <f t="shared" si="2577"/>
        <v>X</v>
      </c>
      <c r="K11561" s="1" t="str">
        <f t="shared" si="2577"/>
        <v>X</v>
      </c>
      <c r="L11561" s="1" t="str">
        <f t="shared" si="2577"/>
        <v>X</v>
      </c>
      <c r="M11561" s="1" t="str">
        <f t="shared" si="2577"/>
        <v>X</v>
      </c>
      <c r="N11561" t="s">
        <v>27</v>
      </c>
    </row>
    <row r="11562" spans="1:14" x14ac:dyDescent="0.25">
      <c r="A11562" t="s">
        <v>44</v>
      </c>
      <c r="B11562" t="s">
        <v>39</v>
      </c>
      <c r="C11562" t="s">
        <v>35</v>
      </c>
      <c r="D11562" t="s">
        <v>15</v>
      </c>
      <c r="E11562" t="s">
        <v>22</v>
      </c>
      <c r="F11562" t="s">
        <v>15</v>
      </c>
      <c r="G11562" s="2">
        <f>VALUE(2036.48)</f>
        <v>2036.48</v>
      </c>
      <c r="H11562" s="3">
        <f>VALUE(1894.54)</f>
        <v>1894.54</v>
      </c>
      <c r="I11562" s="1">
        <f>VALUE(3144)</f>
        <v>3144</v>
      </c>
      <c r="J11562" s="1">
        <f>VALUE(3491)</f>
        <v>3491</v>
      </c>
      <c r="K11562" s="1">
        <f>VALUE(4034)</f>
        <v>4034</v>
      </c>
      <c r="L11562" s="1">
        <f>VALUE(4739)</f>
        <v>4739</v>
      </c>
      <c r="M11562" s="1">
        <f>VALUE(5291)</f>
        <v>5291</v>
      </c>
      <c r="N11562" t="s">
        <v>25</v>
      </c>
    </row>
    <row r="11563" spans="1:14" x14ac:dyDescent="0.25">
      <c r="A11563" t="s">
        <v>44</v>
      </c>
      <c r="B11563" t="s">
        <v>39</v>
      </c>
      <c r="C11563" t="s">
        <v>35</v>
      </c>
      <c r="D11563" t="s">
        <v>15</v>
      </c>
      <c r="E11563" t="s">
        <v>22</v>
      </c>
      <c r="F11563" t="s">
        <v>17</v>
      </c>
      <c r="G11563" s="1" t="str">
        <f t="shared" ref="G11563:M11565" si="2578">"X"</f>
        <v>X</v>
      </c>
      <c r="H11563" s="1" t="str">
        <f t="shared" si="2578"/>
        <v>X</v>
      </c>
      <c r="I11563" s="1" t="str">
        <f t="shared" si="2578"/>
        <v>X</v>
      </c>
      <c r="J11563" s="1" t="str">
        <f t="shared" si="2578"/>
        <v>X</v>
      </c>
      <c r="K11563" s="1" t="str">
        <f t="shared" si="2578"/>
        <v>X</v>
      </c>
      <c r="L11563" s="1" t="str">
        <f t="shared" si="2578"/>
        <v>X</v>
      </c>
      <c r="M11563" s="1" t="str">
        <f t="shared" si="2578"/>
        <v>X</v>
      </c>
      <c r="N11563" t="s">
        <v>27</v>
      </c>
    </row>
    <row r="11564" spans="1:14" x14ac:dyDescent="0.25">
      <c r="A11564" t="s">
        <v>44</v>
      </c>
      <c r="B11564" t="s">
        <v>39</v>
      </c>
      <c r="C11564" t="s">
        <v>35</v>
      </c>
      <c r="D11564" t="s">
        <v>15</v>
      </c>
      <c r="E11564" t="s">
        <v>22</v>
      </c>
      <c r="F11564" t="s">
        <v>18</v>
      </c>
      <c r="G11564" s="1" t="str">
        <f t="shared" si="2578"/>
        <v>X</v>
      </c>
      <c r="H11564" s="1" t="str">
        <f t="shared" si="2578"/>
        <v>X</v>
      </c>
      <c r="I11564" s="1" t="str">
        <f t="shared" si="2578"/>
        <v>X</v>
      </c>
      <c r="J11564" s="1" t="str">
        <f t="shared" si="2578"/>
        <v>X</v>
      </c>
      <c r="K11564" s="1" t="str">
        <f t="shared" si="2578"/>
        <v>X</v>
      </c>
      <c r="L11564" s="1" t="str">
        <f t="shared" si="2578"/>
        <v>X</v>
      </c>
      <c r="M11564" s="1" t="str">
        <f t="shared" si="2578"/>
        <v>X</v>
      </c>
      <c r="N11564" t="s">
        <v>27</v>
      </c>
    </row>
    <row r="11565" spans="1:14" x14ac:dyDescent="0.25">
      <c r="A11565" t="s">
        <v>44</v>
      </c>
      <c r="B11565" t="s">
        <v>39</v>
      </c>
      <c r="C11565" t="s">
        <v>35</v>
      </c>
      <c r="D11565" t="s">
        <v>15</v>
      </c>
      <c r="E11565" t="s">
        <v>22</v>
      </c>
      <c r="F11565" t="s">
        <v>19</v>
      </c>
      <c r="G11565" s="1" t="str">
        <f t="shared" si="2578"/>
        <v>X</v>
      </c>
      <c r="H11565" s="1" t="str">
        <f t="shared" si="2578"/>
        <v>X</v>
      </c>
      <c r="I11565" s="1" t="str">
        <f t="shared" si="2578"/>
        <v>X</v>
      </c>
      <c r="J11565" s="1" t="str">
        <f t="shared" si="2578"/>
        <v>X</v>
      </c>
      <c r="K11565" s="1" t="str">
        <f t="shared" si="2578"/>
        <v>X</v>
      </c>
      <c r="L11565" s="1" t="str">
        <f t="shared" si="2578"/>
        <v>X</v>
      </c>
      <c r="M11565" s="1" t="str">
        <f t="shared" si="2578"/>
        <v>X</v>
      </c>
      <c r="N11565" t="s">
        <v>27</v>
      </c>
    </row>
    <row r="11566" spans="1:14" x14ac:dyDescent="0.25">
      <c r="A11566" t="s">
        <v>44</v>
      </c>
      <c r="B11566" t="s">
        <v>39</v>
      </c>
      <c r="C11566" t="s">
        <v>35</v>
      </c>
      <c r="D11566" t="s">
        <v>15</v>
      </c>
      <c r="E11566" t="s">
        <v>22</v>
      </c>
      <c r="F11566" t="s">
        <v>20</v>
      </c>
      <c r="G11566" s="2">
        <f>VALUE(1677.87)</f>
        <v>1677.87</v>
      </c>
      <c r="H11566" s="3">
        <f>VALUE(1553.69)</f>
        <v>1553.69</v>
      </c>
      <c r="I11566" s="1">
        <f>VALUE(3046)</f>
        <v>3046</v>
      </c>
      <c r="J11566" s="1">
        <f>VALUE(3404)</f>
        <v>3404</v>
      </c>
      <c r="K11566" s="1">
        <f>VALUE(3887)</f>
        <v>3887</v>
      </c>
      <c r="L11566" s="1">
        <f>VALUE(4539)</f>
        <v>4539</v>
      </c>
      <c r="M11566" s="1">
        <f>VALUE(5087)</f>
        <v>5087</v>
      </c>
      <c r="N11566" t="s">
        <v>25</v>
      </c>
    </row>
    <row r="11567" spans="1:14" x14ac:dyDescent="0.25">
      <c r="A11567" t="s">
        <v>44</v>
      </c>
      <c r="B11567" t="s">
        <v>39</v>
      </c>
      <c r="C11567" t="s">
        <v>35</v>
      </c>
      <c r="D11567" t="s">
        <v>15</v>
      </c>
      <c r="E11567" t="s">
        <v>23</v>
      </c>
      <c r="F11567" t="s">
        <v>15</v>
      </c>
      <c r="G11567" s="2">
        <f>VALUE(763.36)</f>
        <v>763.36</v>
      </c>
      <c r="H11567" s="3">
        <f>VALUE(650.31)</f>
        <v>650.30999999999995</v>
      </c>
      <c r="I11567" s="1">
        <f>VALUE(2454)</f>
        <v>2454</v>
      </c>
      <c r="J11567" s="5">
        <f>VALUE(3000)</f>
        <v>3000</v>
      </c>
      <c r="K11567" s="1">
        <f>VALUE(3709)</f>
        <v>3709</v>
      </c>
      <c r="L11567" s="7">
        <f>VALUE(4902)</f>
        <v>4902</v>
      </c>
      <c r="M11567" s="8">
        <f>VALUE(8692)</f>
        <v>8692</v>
      </c>
      <c r="N11567" t="s">
        <v>25</v>
      </c>
    </row>
    <row r="11568" spans="1:14" x14ac:dyDescent="0.25">
      <c r="A11568" t="s">
        <v>44</v>
      </c>
      <c r="B11568" t="s">
        <v>39</v>
      </c>
      <c r="C11568" t="s">
        <v>35</v>
      </c>
      <c r="D11568" t="s">
        <v>15</v>
      </c>
      <c r="E11568" t="s">
        <v>23</v>
      </c>
      <c r="F11568" t="s">
        <v>17</v>
      </c>
      <c r="G11568" s="1" t="str">
        <f t="shared" ref="G11568:M11570" si="2579">"X"</f>
        <v>X</v>
      </c>
      <c r="H11568" s="1" t="str">
        <f t="shared" si="2579"/>
        <v>X</v>
      </c>
      <c r="I11568" s="1" t="str">
        <f t="shared" si="2579"/>
        <v>X</v>
      </c>
      <c r="J11568" s="1" t="str">
        <f t="shared" si="2579"/>
        <v>X</v>
      </c>
      <c r="K11568" s="1" t="str">
        <f t="shared" si="2579"/>
        <v>X</v>
      </c>
      <c r="L11568" s="1" t="str">
        <f t="shared" si="2579"/>
        <v>X</v>
      </c>
      <c r="M11568" s="1" t="str">
        <f t="shared" si="2579"/>
        <v>X</v>
      </c>
      <c r="N11568" t="s">
        <v>27</v>
      </c>
    </row>
    <row r="11569" spans="1:14" x14ac:dyDescent="0.25">
      <c r="A11569" t="s">
        <v>44</v>
      </c>
      <c r="B11569" t="s">
        <v>39</v>
      </c>
      <c r="C11569" t="s">
        <v>35</v>
      </c>
      <c r="D11569" t="s">
        <v>15</v>
      </c>
      <c r="E11569" t="s">
        <v>23</v>
      </c>
      <c r="F11569" t="s">
        <v>18</v>
      </c>
      <c r="G11569" s="1" t="str">
        <f t="shared" si="2579"/>
        <v>X</v>
      </c>
      <c r="H11569" s="1" t="str">
        <f t="shared" si="2579"/>
        <v>X</v>
      </c>
      <c r="I11569" s="1" t="str">
        <f t="shared" si="2579"/>
        <v>X</v>
      </c>
      <c r="J11569" s="1" t="str">
        <f t="shared" si="2579"/>
        <v>X</v>
      </c>
      <c r="K11569" s="1" t="str">
        <f t="shared" si="2579"/>
        <v>X</v>
      </c>
      <c r="L11569" s="1" t="str">
        <f t="shared" si="2579"/>
        <v>X</v>
      </c>
      <c r="M11569" s="1" t="str">
        <f t="shared" si="2579"/>
        <v>X</v>
      </c>
      <c r="N11569" t="s">
        <v>27</v>
      </c>
    </row>
    <row r="11570" spans="1:14" x14ac:dyDescent="0.25">
      <c r="A11570" t="s">
        <v>44</v>
      </c>
      <c r="B11570" t="s">
        <v>39</v>
      </c>
      <c r="C11570" t="s">
        <v>35</v>
      </c>
      <c r="D11570" t="s">
        <v>15</v>
      </c>
      <c r="E11570" t="s">
        <v>23</v>
      </c>
      <c r="F11570" t="s">
        <v>19</v>
      </c>
      <c r="G11570" s="1" t="str">
        <f t="shared" si="2579"/>
        <v>X</v>
      </c>
      <c r="H11570" s="1" t="str">
        <f t="shared" si="2579"/>
        <v>X</v>
      </c>
      <c r="I11570" s="1" t="str">
        <f t="shared" si="2579"/>
        <v>X</v>
      </c>
      <c r="J11570" s="1" t="str">
        <f t="shared" si="2579"/>
        <v>X</v>
      </c>
      <c r="K11570" s="1" t="str">
        <f t="shared" si="2579"/>
        <v>X</v>
      </c>
      <c r="L11570" s="1" t="str">
        <f t="shared" si="2579"/>
        <v>X</v>
      </c>
      <c r="M11570" s="1" t="str">
        <f t="shared" si="2579"/>
        <v>X</v>
      </c>
      <c r="N11570" t="s">
        <v>27</v>
      </c>
    </row>
    <row r="11571" spans="1:14" x14ac:dyDescent="0.25">
      <c r="A11571" t="s">
        <v>44</v>
      </c>
      <c r="B11571" t="s">
        <v>39</v>
      </c>
      <c r="C11571" t="s">
        <v>35</v>
      </c>
      <c r="D11571" t="s">
        <v>15</v>
      </c>
      <c r="E11571" t="s">
        <v>23</v>
      </c>
      <c r="F11571" t="s">
        <v>20</v>
      </c>
      <c r="G11571" s="2">
        <f>VALUE(740.84)</f>
        <v>740.84</v>
      </c>
      <c r="H11571" s="3">
        <f>VALUE(627.86)</f>
        <v>627.86</v>
      </c>
      <c r="I11571" s="1">
        <f>VALUE(2454)</f>
        <v>2454</v>
      </c>
      <c r="J11571" s="5">
        <f>VALUE(3000)</f>
        <v>3000</v>
      </c>
      <c r="K11571" s="1">
        <f>VALUE(3709)</f>
        <v>3709</v>
      </c>
      <c r="L11571" s="7">
        <f>VALUE(4902)</f>
        <v>4902</v>
      </c>
      <c r="M11571" s="8">
        <f>VALUE(8692)</f>
        <v>8692</v>
      </c>
      <c r="N11571" t="s">
        <v>25</v>
      </c>
    </row>
    <row r="11572" spans="1:14" x14ac:dyDescent="0.25">
      <c r="A11572" t="s">
        <v>44</v>
      </c>
      <c r="B11572" t="s">
        <v>39</v>
      </c>
      <c r="C11572" t="s">
        <v>35</v>
      </c>
      <c r="D11572" t="s">
        <v>15</v>
      </c>
      <c r="E11572" t="s">
        <v>26</v>
      </c>
      <c r="F11572" t="s">
        <v>15</v>
      </c>
      <c r="G11572" s="1" t="str">
        <f t="shared" ref="G11572:M11572" si="2580">"X"</f>
        <v>X</v>
      </c>
      <c r="H11572" s="1" t="str">
        <f t="shared" si="2580"/>
        <v>X</v>
      </c>
      <c r="I11572" s="1" t="str">
        <f t="shared" si="2580"/>
        <v>X</v>
      </c>
      <c r="J11572" s="1" t="str">
        <f t="shared" si="2580"/>
        <v>X</v>
      </c>
      <c r="K11572" s="1" t="str">
        <f t="shared" si="2580"/>
        <v>X</v>
      </c>
      <c r="L11572" s="1" t="str">
        <f t="shared" si="2580"/>
        <v>X</v>
      </c>
      <c r="M11572" s="1" t="str">
        <f t="shared" si="2580"/>
        <v>X</v>
      </c>
      <c r="N11572" t="s">
        <v>27</v>
      </c>
    </row>
    <row r="11573" spans="1:14" x14ac:dyDescent="0.25">
      <c r="A11573" t="s">
        <v>44</v>
      </c>
      <c r="B11573" t="s">
        <v>39</v>
      </c>
      <c r="C11573" t="s">
        <v>35</v>
      </c>
      <c r="D11573" t="s">
        <v>15</v>
      </c>
      <c r="E11573" t="s">
        <v>26</v>
      </c>
      <c r="F11573" t="s">
        <v>17</v>
      </c>
      <c r="G11573" s="1" t="str">
        <f t="shared" ref="G11573:M11573" si="2581">"..."</f>
        <v>...</v>
      </c>
      <c r="H11573" s="1" t="str">
        <f t="shared" si="2581"/>
        <v>...</v>
      </c>
      <c r="I11573" s="1" t="str">
        <f t="shared" si="2581"/>
        <v>...</v>
      </c>
      <c r="J11573" s="1" t="str">
        <f t="shared" si="2581"/>
        <v>...</v>
      </c>
      <c r="K11573" s="1" t="str">
        <f t="shared" si="2581"/>
        <v>...</v>
      </c>
      <c r="L11573" s="1" t="str">
        <f t="shared" si="2581"/>
        <v>...</v>
      </c>
      <c r="M11573" s="1" t="str">
        <f t="shared" si="2581"/>
        <v>...</v>
      </c>
      <c r="N11573" t="s">
        <v>30</v>
      </c>
    </row>
    <row r="11574" spans="1:14" x14ac:dyDescent="0.25">
      <c r="A11574" t="s">
        <v>44</v>
      </c>
      <c r="B11574" t="s">
        <v>39</v>
      </c>
      <c r="C11574" t="s">
        <v>35</v>
      </c>
      <c r="D11574" t="s">
        <v>15</v>
      </c>
      <c r="E11574" t="s">
        <v>26</v>
      </c>
      <c r="F11574" t="s">
        <v>18</v>
      </c>
      <c r="G11574" s="1" t="str">
        <f t="shared" ref="G11574:M11574" si="2582">"X"</f>
        <v>X</v>
      </c>
      <c r="H11574" s="1" t="str">
        <f t="shared" si="2582"/>
        <v>X</v>
      </c>
      <c r="I11574" s="1" t="str">
        <f t="shared" si="2582"/>
        <v>X</v>
      </c>
      <c r="J11574" s="1" t="str">
        <f t="shared" si="2582"/>
        <v>X</v>
      </c>
      <c r="K11574" s="1" t="str">
        <f t="shared" si="2582"/>
        <v>X</v>
      </c>
      <c r="L11574" s="1" t="str">
        <f t="shared" si="2582"/>
        <v>X</v>
      </c>
      <c r="M11574" s="1" t="str">
        <f t="shared" si="2582"/>
        <v>X</v>
      </c>
      <c r="N11574" t="s">
        <v>27</v>
      </c>
    </row>
    <row r="11575" spans="1:14" x14ac:dyDescent="0.25">
      <c r="A11575" t="s">
        <v>44</v>
      </c>
      <c r="B11575" t="s">
        <v>39</v>
      </c>
      <c r="C11575" t="s">
        <v>35</v>
      </c>
      <c r="D11575" t="s">
        <v>15</v>
      </c>
      <c r="E11575" t="s">
        <v>26</v>
      </c>
      <c r="F11575" t="s">
        <v>19</v>
      </c>
      <c r="G11575" s="1" t="str">
        <f t="shared" ref="G11575:M11575" si="2583">"..."</f>
        <v>...</v>
      </c>
      <c r="H11575" s="1" t="str">
        <f t="shared" si="2583"/>
        <v>...</v>
      </c>
      <c r="I11575" s="1" t="str">
        <f t="shared" si="2583"/>
        <v>...</v>
      </c>
      <c r="J11575" s="1" t="str">
        <f t="shared" si="2583"/>
        <v>...</v>
      </c>
      <c r="K11575" s="1" t="str">
        <f t="shared" si="2583"/>
        <v>...</v>
      </c>
      <c r="L11575" s="1" t="str">
        <f t="shared" si="2583"/>
        <v>...</v>
      </c>
      <c r="M11575" s="1" t="str">
        <f t="shared" si="2583"/>
        <v>...</v>
      </c>
      <c r="N11575" t="s">
        <v>30</v>
      </c>
    </row>
    <row r="11576" spans="1:14" x14ac:dyDescent="0.25">
      <c r="A11576" t="s">
        <v>44</v>
      </c>
      <c r="B11576" t="s">
        <v>39</v>
      </c>
      <c r="C11576" t="s">
        <v>35</v>
      </c>
      <c r="D11576" t="s">
        <v>15</v>
      </c>
      <c r="E11576" t="s">
        <v>26</v>
      </c>
      <c r="F11576" t="s">
        <v>20</v>
      </c>
      <c r="G11576" s="1" t="str">
        <f t="shared" ref="G11576:M11576" si="2584">"X"</f>
        <v>X</v>
      </c>
      <c r="H11576" s="1" t="str">
        <f t="shared" si="2584"/>
        <v>X</v>
      </c>
      <c r="I11576" s="1" t="str">
        <f t="shared" si="2584"/>
        <v>X</v>
      </c>
      <c r="J11576" s="1" t="str">
        <f t="shared" si="2584"/>
        <v>X</v>
      </c>
      <c r="K11576" s="1" t="str">
        <f t="shared" si="2584"/>
        <v>X</v>
      </c>
      <c r="L11576" s="1" t="str">
        <f t="shared" si="2584"/>
        <v>X</v>
      </c>
      <c r="M11576" s="1" t="str">
        <f t="shared" si="2584"/>
        <v>X</v>
      </c>
      <c r="N11576" t="s">
        <v>27</v>
      </c>
    </row>
    <row r="11577" spans="1:14" x14ac:dyDescent="0.25">
      <c r="A11577" t="s">
        <v>44</v>
      </c>
      <c r="B11577" t="s">
        <v>39</v>
      </c>
      <c r="C11577" t="s">
        <v>35</v>
      </c>
      <c r="D11577" t="s">
        <v>28</v>
      </c>
      <c r="E11577" t="s">
        <v>15</v>
      </c>
      <c r="F11577" t="s">
        <v>15</v>
      </c>
      <c r="G11577" s="2">
        <f>VALUE(1279.67)</f>
        <v>1279.67</v>
      </c>
      <c r="H11577" s="3">
        <f>VALUE(1193.79)</f>
        <v>1193.79</v>
      </c>
      <c r="I11577" s="4">
        <f>VALUE(3000)</f>
        <v>3000</v>
      </c>
      <c r="J11577" s="1">
        <f>VALUE(3713)</f>
        <v>3713</v>
      </c>
      <c r="K11577" s="1">
        <f>VALUE(4278)</f>
        <v>4278</v>
      </c>
      <c r="L11577" s="1">
        <f>VALUE(4939)</f>
        <v>4939</v>
      </c>
      <c r="M11577" s="1">
        <f>VALUE(5423)</f>
        <v>5423</v>
      </c>
      <c r="N11577" t="s">
        <v>25</v>
      </c>
    </row>
    <row r="11578" spans="1:14" x14ac:dyDescent="0.25">
      <c r="A11578" t="s">
        <v>44</v>
      </c>
      <c r="B11578" t="s">
        <v>39</v>
      </c>
      <c r="C11578" t="s">
        <v>35</v>
      </c>
      <c r="D11578" t="s">
        <v>28</v>
      </c>
      <c r="E11578" t="s">
        <v>15</v>
      </c>
      <c r="F11578" t="s">
        <v>17</v>
      </c>
      <c r="G11578" s="1" t="str">
        <f t="shared" ref="G11578:M11580" si="2585">"X"</f>
        <v>X</v>
      </c>
      <c r="H11578" s="1" t="str">
        <f t="shared" si="2585"/>
        <v>X</v>
      </c>
      <c r="I11578" s="1" t="str">
        <f t="shared" si="2585"/>
        <v>X</v>
      </c>
      <c r="J11578" s="1" t="str">
        <f t="shared" si="2585"/>
        <v>X</v>
      </c>
      <c r="K11578" s="1" t="str">
        <f t="shared" si="2585"/>
        <v>X</v>
      </c>
      <c r="L11578" s="1" t="str">
        <f t="shared" si="2585"/>
        <v>X</v>
      </c>
      <c r="M11578" s="1" t="str">
        <f t="shared" si="2585"/>
        <v>X</v>
      </c>
      <c r="N11578" t="s">
        <v>27</v>
      </c>
    </row>
    <row r="11579" spans="1:14" x14ac:dyDescent="0.25">
      <c r="A11579" t="s">
        <v>44</v>
      </c>
      <c r="B11579" t="s">
        <v>39</v>
      </c>
      <c r="C11579" t="s">
        <v>35</v>
      </c>
      <c r="D11579" t="s">
        <v>28</v>
      </c>
      <c r="E11579" t="s">
        <v>15</v>
      </c>
      <c r="F11579" t="s">
        <v>18</v>
      </c>
      <c r="G11579" s="1" t="str">
        <f t="shared" si="2585"/>
        <v>X</v>
      </c>
      <c r="H11579" s="1" t="str">
        <f t="shared" si="2585"/>
        <v>X</v>
      </c>
      <c r="I11579" s="1" t="str">
        <f t="shared" si="2585"/>
        <v>X</v>
      </c>
      <c r="J11579" s="1" t="str">
        <f t="shared" si="2585"/>
        <v>X</v>
      </c>
      <c r="K11579" s="1" t="str">
        <f t="shared" si="2585"/>
        <v>X</v>
      </c>
      <c r="L11579" s="1" t="str">
        <f t="shared" si="2585"/>
        <v>X</v>
      </c>
      <c r="M11579" s="1" t="str">
        <f t="shared" si="2585"/>
        <v>X</v>
      </c>
      <c r="N11579" t="s">
        <v>27</v>
      </c>
    </row>
    <row r="11580" spans="1:14" x14ac:dyDescent="0.25">
      <c r="A11580" t="s">
        <v>44</v>
      </c>
      <c r="B11580" t="s">
        <v>39</v>
      </c>
      <c r="C11580" t="s">
        <v>35</v>
      </c>
      <c r="D11580" t="s">
        <v>28</v>
      </c>
      <c r="E11580" t="s">
        <v>15</v>
      </c>
      <c r="F11580" t="s">
        <v>19</v>
      </c>
      <c r="G11580" s="1" t="str">
        <f t="shared" si="2585"/>
        <v>X</v>
      </c>
      <c r="H11580" s="1" t="str">
        <f t="shared" si="2585"/>
        <v>X</v>
      </c>
      <c r="I11580" s="1" t="str">
        <f t="shared" si="2585"/>
        <v>X</v>
      </c>
      <c r="J11580" s="1" t="str">
        <f t="shared" si="2585"/>
        <v>X</v>
      </c>
      <c r="K11580" s="1" t="str">
        <f t="shared" si="2585"/>
        <v>X</v>
      </c>
      <c r="L11580" s="1" t="str">
        <f t="shared" si="2585"/>
        <v>X</v>
      </c>
      <c r="M11580" s="1" t="str">
        <f t="shared" si="2585"/>
        <v>X</v>
      </c>
      <c r="N11580" t="s">
        <v>27</v>
      </c>
    </row>
    <row r="11581" spans="1:14" x14ac:dyDescent="0.25">
      <c r="A11581" t="s">
        <v>44</v>
      </c>
      <c r="B11581" t="s">
        <v>39</v>
      </c>
      <c r="C11581" t="s">
        <v>35</v>
      </c>
      <c r="D11581" t="s">
        <v>28</v>
      </c>
      <c r="E11581" t="s">
        <v>15</v>
      </c>
      <c r="F11581" t="s">
        <v>20</v>
      </c>
      <c r="G11581" s="2">
        <f>VALUE(1026.24)</f>
        <v>1026.24</v>
      </c>
      <c r="H11581" s="3">
        <f>VALUE(942.32)</f>
        <v>942.32</v>
      </c>
      <c r="I11581" s="4">
        <f>VALUE(2930)</f>
        <v>2930</v>
      </c>
      <c r="J11581" s="5">
        <f>VALUE(3670)</f>
        <v>3670</v>
      </c>
      <c r="K11581" s="1">
        <f>VALUE(4277)</f>
        <v>4277</v>
      </c>
      <c r="L11581" s="1">
        <f>VALUE(4891)</f>
        <v>4891</v>
      </c>
      <c r="M11581" s="1">
        <f>VALUE(5423)</f>
        <v>5423</v>
      </c>
      <c r="N11581" t="s">
        <v>25</v>
      </c>
    </row>
    <row r="11582" spans="1:14" x14ac:dyDescent="0.25">
      <c r="A11582" t="s">
        <v>44</v>
      </c>
      <c r="B11582" t="s">
        <v>39</v>
      </c>
      <c r="C11582" t="s">
        <v>35</v>
      </c>
      <c r="D11582" t="s">
        <v>28</v>
      </c>
      <c r="E11582" t="s">
        <v>21</v>
      </c>
      <c r="F11582" t="s">
        <v>15</v>
      </c>
      <c r="G11582" s="1" t="str">
        <f t="shared" ref="G11582:M11586" si="2586">"X"</f>
        <v>X</v>
      </c>
      <c r="H11582" s="1" t="str">
        <f t="shared" si="2586"/>
        <v>X</v>
      </c>
      <c r="I11582" s="1" t="str">
        <f t="shared" si="2586"/>
        <v>X</v>
      </c>
      <c r="J11582" s="1" t="str">
        <f t="shared" si="2586"/>
        <v>X</v>
      </c>
      <c r="K11582" s="1" t="str">
        <f t="shared" si="2586"/>
        <v>X</v>
      </c>
      <c r="L11582" s="1" t="str">
        <f t="shared" si="2586"/>
        <v>X</v>
      </c>
      <c r="M11582" s="1" t="str">
        <f t="shared" si="2586"/>
        <v>X</v>
      </c>
      <c r="N11582" t="s">
        <v>27</v>
      </c>
    </row>
    <row r="11583" spans="1:14" x14ac:dyDescent="0.25">
      <c r="A11583" t="s">
        <v>44</v>
      </c>
      <c r="B11583" t="s">
        <v>39</v>
      </c>
      <c r="C11583" t="s">
        <v>35</v>
      </c>
      <c r="D11583" t="s">
        <v>28</v>
      </c>
      <c r="E11583" t="s">
        <v>21</v>
      </c>
      <c r="F11583" t="s">
        <v>17</v>
      </c>
      <c r="G11583" s="1" t="str">
        <f t="shared" si="2586"/>
        <v>X</v>
      </c>
      <c r="H11583" s="1" t="str">
        <f t="shared" si="2586"/>
        <v>X</v>
      </c>
      <c r="I11583" s="1" t="str">
        <f t="shared" si="2586"/>
        <v>X</v>
      </c>
      <c r="J11583" s="1" t="str">
        <f t="shared" si="2586"/>
        <v>X</v>
      </c>
      <c r="K11583" s="1" t="str">
        <f t="shared" si="2586"/>
        <v>X</v>
      </c>
      <c r="L11583" s="1" t="str">
        <f t="shared" si="2586"/>
        <v>X</v>
      </c>
      <c r="M11583" s="1" t="str">
        <f t="shared" si="2586"/>
        <v>X</v>
      </c>
      <c r="N11583" t="s">
        <v>27</v>
      </c>
    </row>
    <row r="11584" spans="1:14" x14ac:dyDescent="0.25">
      <c r="A11584" t="s">
        <v>44</v>
      </c>
      <c r="B11584" t="s">
        <v>39</v>
      </c>
      <c r="C11584" t="s">
        <v>35</v>
      </c>
      <c r="D11584" t="s">
        <v>28</v>
      </c>
      <c r="E11584" t="s">
        <v>21</v>
      </c>
      <c r="F11584" t="s">
        <v>18</v>
      </c>
      <c r="G11584" s="1" t="str">
        <f t="shared" si="2586"/>
        <v>X</v>
      </c>
      <c r="H11584" s="1" t="str">
        <f t="shared" si="2586"/>
        <v>X</v>
      </c>
      <c r="I11584" s="1" t="str">
        <f t="shared" si="2586"/>
        <v>X</v>
      </c>
      <c r="J11584" s="1" t="str">
        <f t="shared" si="2586"/>
        <v>X</v>
      </c>
      <c r="K11584" s="1" t="str">
        <f t="shared" si="2586"/>
        <v>X</v>
      </c>
      <c r="L11584" s="1" t="str">
        <f t="shared" si="2586"/>
        <v>X</v>
      </c>
      <c r="M11584" s="1" t="str">
        <f t="shared" si="2586"/>
        <v>X</v>
      </c>
      <c r="N11584" t="s">
        <v>27</v>
      </c>
    </row>
    <row r="11585" spans="1:14" x14ac:dyDescent="0.25">
      <c r="A11585" t="s">
        <v>44</v>
      </c>
      <c r="B11585" t="s">
        <v>39</v>
      </c>
      <c r="C11585" t="s">
        <v>35</v>
      </c>
      <c r="D11585" t="s">
        <v>28</v>
      </c>
      <c r="E11585" t="s">
        <v>21</v>
      </c>
      <c r="F11585" t="s">
        <v>19</v>
      </c>
      <c r="G11585" s="1" t="str">
        <f t="shared" si="2586"/>
        <v>X</v>
      </c>
      <c r="H11585" s="1" t="str">
        <f t="shared" si="2586"/>
        <v>X</v>
      </c>
      <c r="I11585" s="1" t="str">
        <f t="shared" si="2586"/>
        <v>X</v>
      </c>
      <c r="J11585" s="1" t="str">
        <f t="shared" si="2586"/>
        <v>X</v>
      </c>
      <c r="K11585" s="1" t="str">
        <f t="shared" si="2586"/>
        <v>X</v>
      </c>
      <c r="L11585" s="1" t="str">
        <f t="shared" si="2586"/>
        <v>X</v>
      </c>
      <c r="M11585" s="1" t="str">
        <f t="shared" si="2586"/>
        <v>X</v>
      </c>
      <c r="N11585" t="s">
        <v>27</v>
      </c>
    </row>
    <row r="11586" spans="1:14" x14ac:dyDescent="0.25">
      <c r="A11586" t="s">
        <v>44</v>
      </c>
      <c r="B11586" t="s">
        <v>39</v>
      </c>
      <c r="C11586" t="s">
        <v>35</v>
      </c>
      <c r="D11586" t="s">
        <v>28</v>
      </c>
      <c r="E11586" t="s">
        <v>21</v>
      </c>
      <c r="F11586" t="s">
        <v>20</v>
      </c>
      <c r="G11586" s="1" t="str">
        <f t="shared" si="2586"/>
        <v>X</v>
      </c>
      <c r="H11586" s="1" t="str">
        <f t="shared" si="2586"/>
        <v>X</v>
      </c>
      <c r="I11586" s="1" t="str">
        <f t="shared" si="2586"/>
        <v>X</v>
      </c>
      <c r="J11586" s="1" t="str">
        <f t="shared" si="2586"/>
        <v>X</v>
      </c>
      <c r="K11586" s="1" t="str">
        <f t="shared" si="2586"/>
        <v>X</v>
      </c>
      <c r="L11586" s="1" t="str">
        <f t="shared" si="2586"/>
        <v>X</v>
      </c>
      <c r="M11586" s="1" t="str">
        <f t="shared" si="2586"/>
        <v>X</v>
      </c>
      <c r="N11586" t="s">
        <v>27</v>
      </c>
    </row>
    <row r="11587" spans="1:14" x14ac:dyDescent="0.25">
      <c r="A11587" t="s">
        <v>44</v>
      </c>
      <c r="B11587" t="s">
        <v>39</v>
      </c>
      <c r="C11587" t="s">
        <v>35</v>
      </c>
      <c r="D11587" t="s">
        <v>28</v>
      </c>
      <c r="E11587" t="s">
        <v>22</v>
      </c>
      <c r="F11587" t="s">
        <v>15</v>
      </c>
      <c r="G11587" s="2">
        <f>VALUE(994.74)</f>
        <v>994.74</v>
      </c>
      <c r="H11587" s="3">
        <f>VALUE(948.85)</f>
        <v>948.85</v>
      </c>
      <c r="I11587" s="4">
        <f>VALUE(2930)</f>
        <v>2930</v>
      </c>
      <c r="J11587" s="1">
        <f>VALUE(3713)</f>
        <v>3713</v>
      </c>
      <c r="K11587" s="1">
        <f>VALUE(4300)</f>
        <v>4300</v>
      </c>
      <c r="L11587" s="1">
        <f>VALUE(4901)</f>
        <v>4901</v>
      </c>
      <c r="M11587" s="1">
        <f>VALUE(5394)</f>
        <v>5394</v>
      </c>
      <c r="N11587" t="s">
        <v>25</v>
      </c>
    </row>
    <row r="11588" spans="1:14" x14ac:dyDescent="0.25">
      <c r="A11588" t="s">
        <v>44</v>
      </c>
      <c r="B11588" t="s">
        <v>39</v>
      </c>
      <c r="C11588" t="s">
        <v>35</v>
      </c>
      <c r="D11588" t="s">
        <v>28</v>
      </c>
      <c r="E11588" t="s">
        <v>22</v>
      </c>
      <c r="F11588" t="s">
        <v>17</v>
      </c>
      <c r="G11588" s="1" t="str">
        <f t="shared" ref="G11588:M11590" si="2587">"X"</f>
        <v>X</v>
      </c>
      <c r="H11588" s="1" t="str">
        <f t="shared" si="2587"/>
        <v>X</v>
      </c>
      <c r="I11588" s="1" t="str">
        <f t="shared" si="2587"/>
        <v>X</v>
      </c>
      <c r="J11588" s="1" t="str">
        <f t="shared" si="2587"/>
        <v>X</v>
      </c>
      <c r="K11588" s="1" t="str">
        <f t="shared" si="2587"/>
        <v>X</v>
      </c>
      <c r="L11588" s="1" t="str">
        <f t="shared" si="2587"/>
        <v>X</v>
      </c>
      <c r="M11588" s="1" t="str">
        <f t="shared" si="2587"/>
        <v>X</v>
      </c>
      <c r="N11588" t="s">
        <v>27</v>
      </c>
    </row>
    <row r="11589" spans="1:14" x14ac:dyDescent="0.25">
      <c r="A11589" t="s">
        <v>44</v>
      </c>
      <c r="B11589" t="s">
        <v>39</v>
      </c>
      <c r="C11589" t="s">
        <v>35</v>
      </c>
      <c r="D11589" t="s">
        <v>28</v>
      </c>
      <c r="E11589" t="s">
        <v>22</v>
      </c>
      <c r="F11589" t="s">
        <v>18</v>
      </c>
      <c r="G11589" s="1" t="str">
        <f t="shared" si="2587"/>
        <v>X</v>
      </c>
      <c r="H11589" s="1" t="str">
        <f t="shared" si="2587"/>
        <v>X</v>
      </c>
      <c r="I11589" s="1" t="str">
        <f t="shared" si="2587"/>
        <v>X</v>
      </c>
      <c r="J11589" s="1" t="str">
        <f t="shared" si="2587"/>
        <v>X</v>
      </c>
      <c r="K11589" s="1" t="str">
        <f t="shared" si="2587"/>
        <v>X</v>
      </c>
      <c r="L11589" s="1" t="str">
        <f t="shared" si="2587"/>
        <v>X</v>
      </c>
      <c r="M11589" s="1" t="str">
        <f t="shared" si="2587"/>
        <v>X</v>
      </c>
      <c r="N11589" t="s">
        <v>27</v>
      </c>
    </row>
    <row r="11590" spans="1:14" x14ac:dyDescent="0.25">
      <c r="A11590" t="s">
        <v>44</v>
      </c>
      <c r="B11590" t="s">
        <v>39</v>
      </c>
      <c r="C11590" t="s">
        <v>35</v>
      </c>
      <c r="D11590" t="s">
        <v>28</v>
      </c>
      <c r="E11590" t="s">
        <v>22</v>
      </c>
      <c r="F11590" t="s">
        <v>19</v>
      </c>
      <c r="G11590" s="1" t="str">
        <f t="shared" si="2587"/>
        <v>X</v>
      </c>
      <c r="H11590" s="1" t="str">
        <f t="shared" si="2587"/>
        <v>X</v>
      </c>
      <c r="I11590" s="1" t="str">
        <f t="shared" si="2587"/>
        <v>X</v>
      </c>
      <c r="J11590" s="1" t="str">
        <f t="shared" si="2587"/>
        <v>X</v>
      </c>
      <c r="K11590" s="1" t="str">
        <f t="shared" si="2587"/>
        <v>X</v>
      </c>
      <c r="L11590" s="1" t="str">
        <f t="shared" si="2587"/>
        <v>X</v>
      </c>
      <c r="M11590" s="1" t="str">
        <f t="shared" si="2587"/>
        <v>X</v>
      </c>
      <c r="N11590" t="s">
        <v>27</v>
      </c>
    </row>
    <row r="11591" spans="1:14" x14ac:dyDescent="0.25">
      <c r="A11591" t="s">
        <v>44</v>
      </c>
      <c r="B11591" t="s">
        <v>39</v>
      </c>
      <c r="C11591" t="s">
        <v>35</v>
      </c>
      <c r="D11591" t="s">
        <v>28</v>
      </c>
      <c r="E11591" t="s">
        <v>22</v>
      </c>
      <c r="F11591" t="s">
        <v>20</v>
      </c>
      <c r="G11591" s="2">
        <f>VALUE(784.49)</f>
        <v>784.49</v>
      </c>
      <c r="H11591" s="3">
        <f>VALUE(739.65)</f>
        <v>739.65</v>
      </c>
      <c r="I11591" s="1">
        <f>VALUE(2930)</f>
        <v>2930</v>
      </c>
      <c r="J11591" s="1">
        <f>VALUE(3619)</f>
        <v>3619</v>
      </c>
      <c r="K11591" s="1">
        <f>VALUE(4325)</f>
        <v>4325</v>
      </c>
      <c r="L11591" s="1">
        <f>VALUE(4891)</f>
        <v>4891</v>
      </c>
      <c r="M11591" s="1">
        <f>VALUE(5359)</f>
        <v>5359</v>
      </c>
      <c r="N11591" t="s">
        <v>25</v>
      </c>
    </row>
    <row r="11592" spans="1:14" x14ac:dyDescent="0.25">
      <c r="A11592" t="s">
        <v>44</v>
      </c>
      <c r="B11592" t="s">
        <v>39</v>
      </c>
      <c r="C11592" t="s">
        <v>35</v>
      </c>
      <c r="D11592" t="s">
        <v>28</v>
      </c>
      <c r="E11592" t="s">
        <v>23</v>
      </c>
      <c r="F11592" t="s">
        <v>15</v>
      </c>
      <c r="G11592" s="1" t="str">
        <f t="shared" ref="G11592:M11592" si="2588">"X"</f>
        <v>X</v>
      </c>
      <c r="H11592" s="1" t="str">
        <f t="shared" si="2588"/>
        <v>X</v>
      </c>
      <c r="I11592" s="1" t="str">
        <f t="shared" si="2588"/>
        <v>X</v>
      </c>
      <c r="J11592" s="1" t="str">
        <f t="shared" si="2588"/>
        <v>X</v>
      </c>
      <c r="K11592" s="1" t="str">
        <f t="shared" si="2588"/>
        <v>X</v>
      </c>
      <c r="L11592" s="1" t="str">
        <f t="shared" si="2588"/>
        <v>X</v>
      </c>
      <c r="M11592" s="1" t="str">
        <f t="shared" si="2588"/>
        <v>X</v>
      </c>
      <c r="N11592" t="s">
        <v>27</v>
      </c>
    </row>
    <row r="11593" spans="1:14" x14ac:dyDescent="0.25">
      <c r="A11593" t="s">
        <v>44</v>
      </c>
      <c r="B11593" t="s">
        <v>39</v>
      </c>
      <c r="C11593" t="s">
        <v>35</v>
      </c>
      <c r="D11593" t="s">
        <v>28</v>
      </c>
      <c r="E11593" t="s">
        <v>23</v>
      </c>
      <c r="F11593" t="s">
        <v>17</v>
      </c>
      <c r="G11593" s="1" t="str">
        <f t="shared" ref="G11593:M11595" si="2589">"..."</f>
        <v>...</v>
      </c>
      <c r="H11593" s="1" t="str">
        <f t="shared" si="2589"/>
        <v>...</v>
      </c>
      <c r="I11593" s="1" t="str">
        <f t="shared" si="2589"/>
        <v>...</v>
      </c>
      <c r="J11593" s="1" t="str">
        <f t="shared" si="2589"/>
        <v>...</v>
      </c>
      <c r="K11593" s="1" t="str">
        <f t="shared" si="2589"/>
        <v>...</v>
      </c>
      <c r="L11593" s="1" t="str">
        <f t="shared" si="2589"/>
        <v>...</v>
      </c>
      <c r="M11593" s="1" t="str">
        <f t="shared" si="2589"/>
        <v>...</v>
      </c>
      <c r="N11593" t="s">
        <v>30</v>
      </c>
    </row>
    <row r="11594" spans="1:14" x14ac:dyDescent="0.25">
      <c r="A11594" t="s">
        <v>44</v>
      </c>
      <c r="B11594" t="s">
        <v>39</v>
      </c>
      <c r="C11594" t="s">
        <v>35</v>
      </c>
      <c r="D11594" t="s">
        <v>28</v>
      </c>
      <c r="E11594" t="s">
        <v>23</v>
      </c>
      <c r="F11594" t="s">
        <v>18</v>
      </c>
      <c r="G11594" s="1" t="str">
        <f t="shared" si="2589"/>
        <v>...</v>
      </c>
      <c r="H11594" s="1" t="str">
        <f t="shared" si="2589"/>
        <v>...</v>
      </c>
      <c r="I11594" s="1" t="str">
        <f t="shared" si="2589"/>
        <v>...</v>
      </c>
      <c r="J11594" s="1" t="str">
        <f t="shared" si="2589"/>
        <v>...</v>
      </c>
      <c r="K11594" s="1" t="str">
        <f t="shared" si="2589"/>
        <v>...</v>
      </c>
      <c r="L11594" s="1" t="str">
        <f t="shared" si="2589"/>
        <v>...</v>
      </c>
      <c r="M11594" s="1" t="str">
        <f t="shared" si="2589"/>
        <v>...</v>
      </c>
      <c r="N11594" t="s">
        <v>30</v>
      </c>
    </row>
    <row r="11595" spans="1:14" x14ac:dyDescent="0.25">
      <c r="A11595" t="s">
        <v>44</v>
      </c>
      <c r="B11595" t="s">
        <v>39</v>
      </c>
      <c r="C11595" t="s">
        <v>35</v>
      </c>
      <c r="D11595" t="s">
        <v>28</v>
      </c>
      <c r="E11595" t="s">
        <v>23</v>
      </c>
      <c r="F11595" t="s">
        <v>19</v>
      </c>
      <c r="G11595" s="1" t="str">
        <f t="shared" si="2589"/>
        <v>...</v>
      </c>
      <c r="H11595" s="1" t="str">
        <f t="shared" si="2589"/>
        <v>...</v>
      </c>
      <c r="I11595" s="1" t="str">
        <f t="shared" si="2589"/>
        <v>...</v>
      </c>
      <c r="J11595" s="1" t="str">
        <f t="shared" si="2589"/>
        <v>...</v>
      </c>
      <c r="K11595" s="1" t="str">
        <f t="shared" si="2589"/>
        <v>...</v>
      </c>
      <c r="L11595" s="1" t="str">
        <f t="shared" si="2589"/>
        <v>...</v>
      </c>
      <c r="M11595" s="1" t="str">
        <f t="shared" si="2589"/>
        <v>...</v>
      </c>
      <c r="N11595" t="s">
        <v>30</v>
      </c>
    </row>
    <row r="11596" spans="1:14" x14ac:dyDescent="0.25">
      <c r="A11596" t="s">
        <v>44</v>
      </c>
      <c r="B11596" t="s">
        <v>39</v>
      </c>
      <c r="C11596" t="s">
        <v>35</v>
      </c>
      <c r="D11596" t="s">
        <v>28</v>
      </c>
      <c r="E11596" t="s">
        <v>23</v>
      </c>
      <c r="F11596" t="s">
        <v>20</v>
      </c>
      <c r="G11596" s="1" t="str">
        <f t="shared" ref="G11596:M11597" si="2590">"X"</f>
        <v>X</v>
      </c>
      <c r="H11596" s="1" t="str">
        <f t="shared" si="2590"/>
        <v>X</v>
      </c>
      <c r="I11596" s="1" t="str">
        <f t="shared" si="2590"/>
        <v>X</v>
      </c>
      <c r="J11596" s="1" t="str">
        <f t="shared" si="2590"/>
        <v>X</v>
      </c>
      <c r="K11596" s="1" t="str">
        <f t="shared" si="2590"/>
        <v>X</v>
      </c>
      <c r="L11596" s="1" t="str">
        <f t="shared" si="2590"/>
        <v>X</v>
      </c>
      <c r="M11596" s="1" t="str">
        <f t="shared" si="2590"/>
        <v>X</v>
      </c>
      <c r="N11596" t="s">
        <v>27</v>
      </c>
    </row>
    <row r="11597" spans="1:14" x14ac:dyDescent="0.25">
      <c r="A11597" t="s">
        <v>44</v>
      </c>
      <c r="B11597" t="s">
        <v>39</v>
      </c>
      <c r="C11597" t="s">
        <v>35</v>
      </c>
      <c r="D11597" t="s">
        <v>28</v>
      </c>
      <c r="E11597" t="s">
        <v>26</v>
      </c>
      <c r="F11597" t="s">
        <v>15</v>
      </c>
      <c r="G11597" s="1" t="str">
        <f t="shared" si="2590"/>
        <v>X</v>
      </c>
      <c r="H11597" s="1" t="str">
        <f t="shared" si="2590"/>
        <v>X</v>
      </c>
      <c r="I11597" s="1" t="str">
        <f t="shared" si="2590"/>
        <v>X</v>
      </c>
      <c r="J11597" s="1" t="str">
        <f t="shared" si="2590"/>
        <v>X</v>
      </c>
      <c r="K11597" s="1" t="str">
        <f t="shared" si="2590"/>
        <v>X</v>
      </c>
      <c r="L11597" s="1" t="str">
        <f t="shared" si="2590"/>
        <v>X</v>
      </c>
      <c r="M11597" s="1" t="str">
        <f t="shared" si="2590"/>
        <v>X</v>
      </c>
      <c r="N11597" t="s">
        <v>27</v>
      </c>
    </row>
    <row r="11598" spans="1:14" x14ac:dyDescent="0.25">
      <c r="A11598" t="s">
        <v>44</v>
      </c>
      <c r="B11598" t="s">
        <v>39</v>
      </c>
      <c r="C11598" t="s">
        <v>35</v>
      </c>
      <c r="D11598" t="s">
        <v>28</v>
      </c>
      <c r="E11598" t="s">
        <v>26</v>
      </c>
      <c r="F11598" t="s">
        <v>17</v>
      </c>
      <c r="G11598" s="1" t="str">
        <f t="shared" ref="G11598:M11598" si="2591">"..."</f>
        <v>...</v>
      </c>
      <c r="H11598" s="1" t="str">
        <f t="shared" si="2591"/>
        <v>...</v>
      </c>
      <c r="I11598" s="1" t="str">
        <f t="shared" si="2591"/>
        <v>...</v>
      </c>
      <c r="J11598" s="1" t="str">
        <f t="shared" si="2591"/>
        <v>...</v>
      </c>
      <c r="K11598" s="1" t="str">
        <f t="shared" si="2591"/>
        <v>...</v>
      </c>
      <c r="L11598" s="1" t="str">
        <f t="shared" si="2591"/>
        <v>...</v>
      </c>
      <c r="M11598" s="1" t="str">
        <f t="shared" si="2591"/>
        <v>...</v>
      </c>
      <c r="N11598" t="s">
        <v>30</v>
      </c>
    </row>
    <row r="11599" spans="1:14" x14ac:dyDescent="0.25">
      <c r="A11599" t="s">
        <v>44</v>
      </c>
      <c r="B11599" t="s">
        <v>39</v>
      </c>
      <c r="C11599" t="s">
        <v>35</v>
      </c>
      <c r="D11599" t="s">
        <v>28</v>
      </c>
      <c r="E11599" t="s">
        <v>26</v>
      </c>
      <c r="F11599" t="s">
        <v>18</v>
      </c>
      <c r="G11599" s="1" t="str">
        <f t="shared" ref="G11599:M11599" si="2592">"X"</f>
        <v>X</v>
      </c>
      <c r="H11599" s="1" t="str">
        <f t="shared" si="2592"/>
        <v>X</v>
      </c>
      <c r="I11599" s="1" t="str">
        <f t="shared" si="2592"/>
        <v>X</v>
      </c>
      <c r="J11599" s="1" t="str">
        <f t="shared" si="2592"/>
        <v>X</v>
      </c>
      <c r="K11599" s="1" t="str">
        <f t="shared" si="2592"/>
        <v>X</v>
      </c>
      <c r="L11599" s="1" t="str">
        <f t="shared" si="2592"/>
        <v>X</v>
      </c>
      <c r="M11599" s="1" t="str">
        <f t="shared" si="2592"/>
        <v>X</v>
      </c>
      <c r="N11599" t="s">
        <v>27</v>
      </c>
    </row>
    <row r="11600" spans="1:14" x14ac:dyDescent="0.25">
      <c r="A11600" t="s">
        <v>44</v>
      </c>
      <c r="B11600" t="s">
        <v>39</v>
      </c>
      <c r="C11600" t="s">
        <v>35</v>
      </c>
      <c r="D11600" t="s">
        <v>28</v>
      </c>
      <c r="E11600" t="s">
        <v>26</v>
      </c>
      <c r="F11600" t="s">
        <v>19</v>
      </c>
      <c r="G11600" s="1" t="str">
        <f t="shared" ref="G11600:M11600" si="2593">"..."</f>
        <v>...</v>
      </c>
      <c r="H11600" s="1" t="str">
        <f t="shared" si="2593"/>
        <v>...</v>
      </c>
      <c r="I11600" s="1" t="str">
        <f t="shared" si="2593"/>
        <v>...</v>
      </c>
      <c r="J11600" s="1" t="str">
        <f t="shared" si="2593"/>
        <v>...</v>
      </c>
      <c r="K11600" s="1" t="str">
        <f t="shared" si="2593"/>
        <v>...</v>
      </c>
      <c r="L11600" s="1" t="str">
        <f t="shared" si="2593"/>
        <v>...</v>
      </c>
      <c r="M11600" s="1" t="str">
        <f t="shared" si="2593"/>
        <v>...</v>
      </c>
      <c r="N11600" t="s">
        <v>30</v>
      </c>
    </row>
    <row r="11601" spans="1:14" x14ac:dyDescent="0.25">
      <c r="A11601" t="s">
        <v>44</v>
      </c>
      <c r="B11601" t="s">
        <v>39</v>
      </c>
      <c r="C11601" t="s">
        <v>35</v>
      </c>
      <c r="D11601" t="s">
        <v>28</v>
      </c>
      <c r="E11601" t="s">
        <v>26</v>
      </c>
      <c r="F11601" t="s">
        <v>20</v>
      </c>
      <c r="G11601" s="1" t="str">
        <f t="shared" ref="G11601:M11608" si="2594">"X"</f>
        <v>X</v>
      </c>
      <c r="H11601" s="1" t="str">
        <f t="shared" si="2594"/>
        <v>X</v>
      </c>
      <c r="I11601" s="1" t="str">
        <f t="shared" si="2594"/>
        <v>X</v>
      </c>
      <c r="J11601" s="1" t="str">
        <f t="shared" si="2594"/>
        <v>X</v>
      </c>
      <c r="K11601" s="1" t="str">
        <f t="shared" si="2594"/>
        <v>X</v>
      </c>
      <c r="L11601" s="1" t="str">
        <f t="shared" si="2594"/>
        <v>X</v>
      </c>
      <c r="M11601" s="1" t="str">
        <f t="shared" si="2594"/>
        <v>X</v>
      </c>
      <c r="N11601" t="s">
        <v>27</v>
      </c>
    </row>
    <row r="11602" spans="1:14" x14ac:dyDescent="0.25">
      <c r="A11602" t="s">
        <v>44</v>
      </c>
      <c r="B11602" t="s">
        <v>39</v>
      </c>
      <c r="C11602" t="s">
        <v>35</v>
      </c>
      <c r="D11602" t="s">
        <v>29</v>
      </c>
      <c r="E11602" t="s">
        <v>15</v>
      </c>
      <c r="F11602" t="s">
        <v>15</v>
      </c>
      <c r="G11602" s="1" t="str">
        <f t="shared" si="2594"/>
        <v>X</v>
      </c>
      <c r="H11602" s="1" t="str">
        <f t="shared" si="2594"/>
        <v>X</v>
      </c>
      <c r="I11602" s="1" t="str">
        <f t="shared" si="2594"/>
        <v>X</v>
      </c>
      <c r="J11602" s="1" t="str">
        <f t="shared" si="2594"/>
        <v>X</v>
      </c>
      <c r="K11602" s="1" t="str">
        <f t="shared" si="2594"/>
        <v>X</v>
      </c>
      <c r="L11602" s="1" t="str">
        <f t="shared" si="2594"/>
        <v>X</v>
      </c>
      <c r="M11602" s="1" t="str">
        <f t="shared" si="2594"/>
        <v>X</v>
      </c>
      <c r="N11602" t="s">
        <v>27</v>
      </c>
    </row>
    <row r="11603" spans="1:14" x14ac:dyDescent="0.25">
      <c r="A11603" t="s">
        <v>44</v>
      </c>
      <c r="B11603" t="s">
        <v>39</v>
      </c>
      <c r="C11603" t="s">
        <v>35</v>
      </c>
      <c r="D11603" t="s">
        <v>29</v>
      </c>
      <c r="E11603" t="s">
        <v>15</v>
      </c>
      <c r="F11603" t="s">
        <v>17</v>
      </c>
      <c r="G11603" s="1" t="str">
        <f t="shared" si="2594"/>
        <v>X</v>
      </c>
      <c r="H11603" s="1" t="str">
        <f t="shared" si="2594"/>
        <v>X</v>
      </c>
      <c r="I11603" s="1" t="str">
        <f t="shared" si="2594"/>
        <v>X</v>
      </c>
      <c r="J11603" s="1" t="str">
        <f t="shared" si="2594"/>
        <v>X</v>
      </c>
      <c r="K11603" s="1" t="str">
        <f t="shared" si="2594"/>
        <v>X</v>
      </c>
      <c r="L11603" s="1" t="str">
        <f t="shared" si="2594"/>
        <v>X</v>
      </c>
      <c r="M11603" s="1" t="str">
        <f t="shared" si="2594"/>
        <v>X</v>
      </c>
      <c r="N11603" t="s">
        <v>27</v>
      </c>
    </row>
    <row r="11604" spans="1:14" x14ac:dyDescent="0.25">
      <c r="A11604" t="s">
        <v>44</v>
      </c>
      <c r="B11604" t="s">
        <v>39</v>
      </c>
      <c r="C11604" t="s">
        <v>35</v>
      </c>
      <c r="D11604" t="s">
        <v>29</v>
      </c>
      <c r="E11604" t="s">
        <v>15</v>
      </c>
      <c r="F11604" t="s">
        <v>18</v>
      </c>
      <c r="G11604" s="1" t="str">
        <f t="shared" si="2594"/>
        <v>X</v>
      </c>
      <c r="H11604" s="1" t="str">
        <f t="shared" si="2594"/>
        <v>X</v>
      </c>
      <c r="I11604" s="1" t="str">
        <f t="shared" si="2594"/>
        <v>X</v>
      </c>
      <c r="J11604" s="1" t="str">
        <f t="shared" si="2594"/>
        <v>X</v>
      </c>
      <c r="K11604" s="1" t="str">
        <f t="shared" si="2594"/>
        <v>X</v>
      </c>
      <c r="L11604" s="1" t="str">
        <f t="shared" si="2594"/>
        <v>X</v>
      </c>
      <c r="M11604" s="1" t="str">
        <f t="shared" si="2594"/>
        <v>X</v>
      </c>
      <c r="N11604" t="s">
        <v>27</v>
      </c>
    </row>
    <row r="11605" spans="1:14" x14ac:dyDescent="0.25">
      <c r="A11605" t="s">
        <v>44</v>
      </c>
      <c r="B11605" t="s">
        <v>39</v>
      </c>
      <c r="C11605" t="s">
        <v>35</v>
      </c>
      <c r="D11605" t="s">
        <v>29</v>
      </c>
      <c r="E11605" t="s">
        <v>15</v>
      </c>
      <c r="F11605" t="s">
        <v>19</v>
      </c>
      <c r="G11605" s="1" t="str">
        <f t="shared" si="2594"/>
        <v>X</v>
      </c>
      <c r="H11605" s="1" t="str">
        <f t="shared" si="2594"/>
        <v>X</v>
      </c>
      <c r="I11605" s="1" t="str">
        <f t="shared" si="2594"/>
        <v>X</v>
      </c>
      <c r="J11605" s="1" t="str">
        <f t="shared" si="2594"/>
        <v>X</v>
      </c>
      <c r="K11605" s="1" t="str">
        <f t="shared" si="2594"/>
        <v>X</v>
      </c>
      <c r="L11605" s="1" t="str">
        <f t="shared" si="2594"/>
        <v>X</v>
      </c>
      <c r="M11605" s="1" t="str">
        <f t="shared" si="2594"/>
        <v>X</v>
      </c>
      <c r="N11605" t="s">
        <v>27</v>
      </c>
    </row>
    <row r="11606" spans="1:14" x14ac:dyDescent="0.25">
      <c r="A11606" t="s">
        <v>44</v>
      </c>
      <c r="B11606" t="s">
        <v>39</v>
      </c>
      <c r="C11606" t="s">
        <v>35</v>
      </c>
      <c r="D11606" t="s">
        <v>29</v>
      </c>
      <c r="E11606" t="s">
        <v>15</v>
      </c>
      <c r="F11606" t="s">
        <v>20</v>
      </c>
      <c r="G11606" s="1" t="str">
        <f t="shared" si="2594"/>
        <v>X</v>
      </c>
      <c r="H11606" s="1" t="str">
        <f t="shared" si="2594"/>
        <v>X</v>
      </c>
      <c r="I11606" s="1" t="str">
        <f t="shared" si="2594"/>
        <v>X</v>
      </c>
      <c r="J11606" s="1" t="str">
        <f t="shared" si="2594"/>
        <v>X</v>
      </c>
      <c r="K11606" s="1" t="str">
        <f t="shared" si="2594"/>
        <v>X</v>
      </c>
      <c r="L11606" s="1" t="str">
        <f t="shared" si="2594"/>
        <v>X</v>
      </c>
      <c r="M11606" s="1" t="str">
        <f t="shared" si="2594"/>
        <v>X</v>
      </c>
      <c r="N11606" t="s">
        <v>27</v>
      </c>
    </row>
    <row r="11607" spans="1:14" x14ac:dyDescent="0.25">
      <c r="A11607" t="s">
        <v>44</v>
      </c>
      <c r="B11607" t="s">
        <v>39</v>
      </c>
      <c r="C11607" t="s">
        <v>35</v>
      </c>
      <c r="D11607" t="s">
        <v>29</v>
      </c>
      <c r="E11607" t="s">
        <v>21</v>
      </c>
      <c r="F11607" t="s">
        <v>15</v>
      </c>
      <c r="G11607" s="1" t="str">
        <f t="shared" si="2594"/>
        <v>X</v>
      </c>
      <c r="H11607" s="1" t="str">
        <f t="shared" si="2594"/>
        <v>X</v>
      </c>
      <c r="I11607" s="1" t="str">
        <f t="shared" si="2594"/>
        <v>X</v>
      </c>
      <c r="J11607" s="1" t="str">
        <f t="shared" si="2594"/>
        <v>X</v>
      </c>
      <c r="K11607" s="1" t="str">
        <f t="shared" si="2594"/>
        <v>X</v>
      </c>
      <c r="L11607" s="1" t="str">
        <f t="shared" si="2594"/>
        <v>X</v>
      </c>
      <c r="M11607" s="1" t="str">
        <f t="shared" si="2594"/>
        <v>X</v>
      </c>
      <c r="N11607" t="s">
        <v>27</v>
      </c>
    </row>
    <row r="11608" spans="1:14" x14ac:dyDescent="0.25">
      <c r="A11608" t="s">
        <v>44</v>
      </c>
      <c r="B11608" t="s">
        <v>39</v>
      </c>
      <c r="C11608" t="s">
        <v>35</v>
      </c>
      <c r="D11608" t="s">
        <v>29</v>
      </c>
      <c r="E11608" t="s">
        <v>21</v>
      </c>
      <c r="F11608" t="s">
        <v>17</v>
      </c>
      <c r="G11608" s="1" t="str">
        <f t="shared" si="2594"/>
        <v>X</v>
      </c>
      <c r="H11608" s="1" t="str">
        <f t="shared" si="2594"/>
        <v>X</v>
      </c>
      <c r="I11608" s="1" t="str">
        <f t="shared" si="2594"/>
        <v>X</v>
      </c>
      <c r="J11608" s="1" t="str">
        <f t="shared" si="2594"/>
        <v>X</v>
      </c>
      <c r="K11608" s="1" t="str">
        <f t="shared" si="2594"/>
        <v>X</v>
      </c>
      <c r="L11608" s="1" t="str">
        <f t="shared" si="2594"/>
        <v>X</v>
      </c>
      <c r="M11608" s="1" t="str">
        <f t="shared" si="2594"/>
        <v>X</v>
      </c>
      <c r="N11608" t="s">
        <v>27</v>
      </c>
    </row>
    <row r="11609" spans="1:14" x14ac:dyDescent="0.25">
      <c r="A11609" t="s">
        <v>44</v>
      </c>
      <c r="B11609" t="s">
        <v>39</v>
      </c>
      <c r="C11609" t="s">
        <v>35</v>
      </c>
      <c r="D11609" t="s">
        <v>29</v>
      </c>
      <c r="E11609" t="s">
        <v>21</v>
      </c>
      <c r="F11609" t="s">
        <v>18</v>
      </c>
      <c r="G11609" s="1" t="str">
        <f t="shared" ref="G11609:M11609" si="2595">"..."</f>
        <v>...</v>
      </c>
      <c r="H11609" s="1" t="str">
        <f t="shared" si="2595"/>
        <v>...</v>
      </c>
      <c r="I11609" s="1" t="str">
        <f t="shared" si="2595"/>
        <v>...</v>
      </c>
      <c r="J11609" s="1" t="str">
        <f t="shared" si="2595"/>
        <v>...</v>
      </c>
      <c r="K11609" s="1" t="str">
        <f t="shared" si="2595"/>
        <v>...</v>
      </c>
      <c r="L11609" s="1" t="str">
        <f t="shared" si="2595"/>
        <v>...</v>
      </c>
      <c r="M11609" s="1" t="str">
        <f t="shared" si="2595"/>
        <v>...</v>
      </c>
      <c r="N11609" t="s">
        <v>30</v>
      </c>
    </row>
    <row r="11610" spans="1:14" x14ac:dyDescent="0.25">
      <c r="A11610" t="s">
        <v>44</v>
      </c>
      <c r="B11610" t="s">
        <v>39</v>
      </c>
      <c r="C11610" t="s">
        <v>35</v>
      </c>
      <c r="D11610" t="s">
        <v>29</v>
      </c>
      <c r="E11610" t="s">
        <v>21</v>
      </c>
      <c r="F11610" t="s">
        <v>19</v>
      </c>
      <c r="G11610" s="1" t="str">
        <f t="shared" ref="G11610:M11612" si="2596">"X"</f>
        <v>X</v>
      </c>
      <c r="H11610" s="1" t="str">
        <f t="shared" si="2596"/>
        <v>X</v>
      </c>
      <c r="I11610" s="1" t="str">
        <f t="shared" si="2596"/>
        <v>X</v>
      </c>
      <c r="J11610" s="1" t="str">
        <f t="shared" si="2596"/>
        <v>X</v>
      </c>
      <c r="K11610" s="1" t="str">
        <f t="shared" si="2596"/>
        <v>X</v>
      </c>
      <c r="L11610" s="1" t="str">
        <f t="shared" si="2596"/>
        <v>X</v>
      </c>
      <c r="M11610" s="1" t="str">
        <f t="shared" si="2596"/>
        <v>X</v>
      </c>
      <c r="N11610" t="s">
        <v>27</v>
      </c>
    </row>
    <row r="11611" spans="1:14" x14ac:dyDescent="0.25">
      <c r="A11611" t="s">
        <v>44</v>
      </c>
      <c r="B11611" t="s">
        <v>39</v>
      </c>
      <c r="C11611" t="s">
        <v>35</v>
      </c>
      <c r="D11611" t="s">
        <v>29</v>
      </c>
      <c r="E11611" t="s">
        <v>21</v>
      </c>
      <c r="F11611" t="s">
        <v>20</v>
      </c>
      <c r="G11611" s="1" t="str">
        <f t="shared" si="2596"/>
        <v>X</v>
      </c>
      <c r="H11611" s="1" t="str">
        <f t="shared" si="2596"/>
        <v>X</v>
      </c>
      <c r="I11611" s="1" t="str">
        <f t="shared" si="2596"/>
        <v>X</v>
      </c>
      <c r="J11611" s="1" t="str">
        <f t="shared" si="2596"/>
        <v>X</v>
      </c>
      <c r="K11611" s="1" t="str">
        <f t="shared" si="2596"/>
        <v>X</v>
      </c>
      <c r="L11611" s="1" t="str">
        <f t="shared" si="2596"/>
        <v>X</v>
      </c>
      <c r="M11611" s="1" t="str">
        <f t="shared" si="2596"/>
        <v>X</v>
      </c>
      <c r="N11611" t="s">
        <v>27</v>
      </c>
    </row>
    <row r="11612" spans="1:14" x14ac:dyDescent="0.25">
      <c r="A11612" t="s">
        <v>44</v>
      </c>
      <c r="B11612" t="s">
        <v>39</v>
      </c>
      <c r="C11612" t="s">
        <v>35</v>
      </c>
      <c r="D11612" t="s">
        <v>29</v>
      </c>
      <c r="E11612" t="s">
        <v>22</v>
      </c>
      <c r="F11612" t="s">
        <v>15</v>
      </c>
      <c r="G11612" s="1" t="str">
        <f t="shared" si="2596"/>
        <v>X</v>
      </c>
      <c r="H11612" s="1" t="str">
        <f t="shared" si="2596"/>
        <v>X</v>
      </c>
      <c r="I11612" s="1" t="str">
        <f t="shared" si="2596"/>
        <v>X</v>
      </c>
      <c r="J11612" s="1" t="str">
        <f t="shared" si="2596"/>
        <v>X</v>
      </c>
      <c r="K11612" s="1" t="str">
        <f t="shared" si="2596"/>
        <v>X</v>
      </c>
      <c r="L11612" s="1" t="str">
        <f t="shared" si="2596"/>
        <v>X</v>
      </c>
      <c r="M11612" s="1" t="str">
        <f t="shared" si="2596"/>
        <v>X</v>
      </c>
      <c r="N11612" t="s">
        <v>27</v>
      </c>
    </row>
    <row r="11613" spans="1:14" x14ac:dyDescent="0.25">
      <c r="A11613" t="s">
        <v>44</v>
      </c>
      <c r="B11613" t="s">
        <v>39</v>
      </c>
      <c r="C11613" t="s">
        <v>35</v>
      </c>
      <c r="D11613" t="s">
        <v>29</v>
      </c>
      <c r="E11613" t="s">
        <v>22</v>
      </c>
      <c r="F11613" t="s">
        <v>17</v>
      </c>
      <c r="G11613" s="1" t="str">
        <f t="shared" ref="G11613:M11613" si="2597">"..."</f>
        <v>...</v>
      </c>
      <c r="H11613" s="1" t="str">
        <f t="shared" si="2597"/>
        <v>...</v>
      </c>
      <c r="I11613" s="1" t="str">
        <f t="shared" si="2597"/>
        <v>...</v>
      </c>
      <c r="J11613" s="1" t="str">
        <f t="shared" si="2597"/>
        <v>...</v>
      </c>
      <c r="K11613" s="1" t="str">
        <f t="shared" si="2597"/>
        <v>...</v>
      </c>
      <c r="L11613" s="1" t="str">
        <f t="shared" si="2597"/>
        <v>...</v>
      </c>
      <c r="M11613" s="1" t="str">
        <f t="shared" si="2597"/>
        <v>...</v>
      </c>
      <c r="N11613" t="s">
        <v>30</v>
      </c>
    </row>
    <row r="11614" spans="1:14" x14ac:dyDescent="0.25">
      <c r="A11614" t="s">
        <v>44</v>
      </c>
      <c r="B11614" t="s">
        <v>39</v>
      </c>
      <c r="C11614" t="s">
        <v>35</v>
      </c>
      <c r="D11614" t="s">
        <v>29</v>
      </c>
      <c r="E11614" t="s">
        <v>22</v>
      </c>
      <c r="F11614" t="s">
        <v>18</v>
      </c>
      <c r="G11614" s="1" t="str">
        <f t="shared" ref="G11614:M11617" si="2598">"X"</f>
        <v>X</v>
      </c>
      <c r="H11614" s="1" t="str">
        <f t="shared" si="2598"/>
        <v>X</v>
      </c>
      <c r="I11614" s="1" t="str">
        <f t="shared" si="2598"/>
        <v>X</v>
      </c>
      <c r="J11614" s="1" t="str">
        <f t="shared" si="2598"/>
        <v>X</v>
      </c>
      <c r="K11614" s="1" t="str">
        <f t="shared" si="2598"/>
        <v>X</v>
      </c>
      <c r="L11614" s="1" t="str">
        <f t="shared" si="2598"/>
        <v>X</v>
      </c>
      <c r="M11614" s="1" t="str">
        <f t="shared" si="2598"/>
        <v>X</v>
      </c>
      <c r="N11614" t="s">
        <v>27</v>
      </c>
    </row>
    <row r="11615" spans="1:14" x14ac:dyDescent="0.25">
      <c r="A11615" t="s">
        <v>44</v>
      </c>
      <c r="B11615" t="s">
        <v>39</v>
      </c>
      <c r="C11615" t="s">
        <v>35</v>
      </c>
      <c r="D11615" t="s">
        <v>29</v>
      </c>
      <c r="E11615" t="s">
        <v>22</v>
      </c>
      <c r="F11615" t="s">
        <v>19</v>
      </c>
      <c r="G11615" s="1" t="str">
        <f t="shared" si="2598"/>
        <v>X</v>
      </c>
      <c r="H11615" s="1" t="str">
        <f t="shared" si="2598"/>
        <v>X</v>
      </c>
      <c r="I11615" s="1" t="str">
        <f t="shared" si="2598"/>
        <v>X</v>
      </c>
      <c r="J11615" s="1" t="str">
        <f t="shared" si="2598"/>
        <v>X</v>
      </c>
      <c r="K11615" s="1" t="str">
        <f t="shared" si="2598"/>
        <v>X</v>
      </c>
      <c r="L11615" s="1" t="str">
        <f t="shared" si="2598"/>
        <v>X</v>
      </c>
      <c r="M11615" s="1" t="str">
        <f t="shared" si="2598"/>
        <v>X</v>
      </c>
      <c r="N11615" t="s">
        <v>27</v>
      </c>
    </row>
    <row r="11616" spans="1:14" x14ac:dyDescent="0.25">
      <c r="A11616" t="s">
        <v>44</v>
      </c>
      <c r="B11616" t="s">
        <v>39</v>
      </c>
      <c r="C11616" t="s">
        <v>35</v>
      </c>
      <c r="D11616" t="s">
        <v>29</v>
      </c>
      <c r="E11616" t="s">
        <v>22</v>
      </c>
      <c r="F11616" t="s">
        <v>20</v>
      </c>
      <c r="G11616" s="1" t="str">
        <f t="shared" si="2598"/>
        <v>X</v>
      </c>
      <c r="H11616" s="1" t="str">
        <f t="shared" si="2598"/>
        <v>X</v>
      </c>
      <c r="I11616" s="1" t="str">
        <f t="shared" si="2598"/>
        <v>X</v>
      </c>
      <c r="J11616" s="1" t="str">
        <f t="shared" si="2598"/>
        <v>X</v>
      </c>
      <c r="K11616" s="1" t="str">
        <f t="shared" si="2598"/>
        <v>X</v>
      </c>
      <c r="L11616" s="1" t="str">
        <f t="shared" si="2598"/>
        <v>X</v>
      </c>
      <c r="M11616" s="1" t="str">
        <f t="shared" si="2598"/>
        <v>X</v>
      </c>
      <c r="N11616" t="s">
        <v>27</v>
      </c>
    </row>
    <row r="11617" spans="1:14" x14ac:dyDescent="0.25">
      <c r="A11617" t="s">
        <v>44</v>
      </c>
      <c r="B11617" t="s">
        <v>39</v>
      </c>
      <c r="C11617" t="s">
        <v>35</v>
      </c>
      <c r="D11617" t="s">
        <v>29</v>
      </c>
      <c r="E11617" t="s">
        <v>23</v>
      </c>
      <c r="F11617" t="s">
        <v>15</v>
      </c>
      <c r="G11617" s="1" t="str">
        <f t="shared" si="2598"/>
        <v>X</v>
      </c>
      <c r="H11617" s="1" t="str">
        <f t="shared" si="2598"/>
        <v>X</v>
      </c>
      <c r="I11617" s="1" t="str">
        <f t="shared" si="2598"/>
        <v>X</v>
      </c>
      <c r="J11617" s="1" t="str">
        <f t="shared" si="2598"/>
        <v>X</v>
      </c>
      <c r="K11617" s="1" t="str">
        <f t="shared" si="2598"/>
        <v>X</v>
      </c>
      <c r="L11617" s="1" t="str">
        <f t="shared" si="2598"/>
        <v>X</v>
      </c>
      <c r="M11617" s="1" t="str">
        <f t="shared" si="2598"/>
        <v>X</v>
      </c>
      <c r="N11617" t="s">
        <v>27</v>
      </c>
    </row>
    <row r="11618" spans="1:14" x14ac:dyDescent="0.25">
      <c r="A11618" t="s">
        <v>44</v>
      </c>
      <c r="B11618" t="s">
        <v>39</v>
      </c>
      <c r="C11618" t="s">
        <v>35</v>
      </c>
      <c r="D11618" t="s">
        <v>29</v>
      </c>
      <c r="E11618" t="s">
        <v>23</v>
      </c>
      <c r="F11618" t="s">
        <v>17</v>
      </c>
      <c r="G11618" s="1" t="str">
        <f t="shared" ref="G11618:M11620" si="2599">"..."</f>
        <v>...</v>
      </c>
      <c r="H11618" s="1" t="str">
        <f t="shared" si="2599"/>
        <v>...</v>
      </c>
      <c r="I11618" s="1" t="str">
        <f t="shared" si="2599"/>
        <v>...</v>
      </c>
      <c r="J11618" s="1" t="str">
        <f t="shared" si="2599"/>
        <v>...</v>
      </c>
      <c r="K11618" s="1" t="str">
        <f t="shared" si="2599"/>
        <v>...</v>
      </c>
      <c r="L11618" s="1" t="str">
        <f t="shared" si="2599"/>
        <v>...</v>
      </c>
      <c r="M11618" s="1" t="str">
        <f t="shared" si="2599"/>
        <v>...</v>
      </c>
      <c r="N11618" t="s">
        <v>30</v>
      </c>
    </row>
    <row r="11619" spans="1:14" x14ac:dyDescent="0.25">
      <c r="A11619" t="s">
        <v>44</v>
      </c>
      <c r="B11619" t="s">
        <v>39</v>
      </c>
      <c r="C11619" t="s">
        <v>35</v>
      </c>
      <c r="D11619" t="s">
        <v>29</v>
      </c>
      <c r="E11619" t="s">
        <v>23</v>
      </c>
      <c r="F11619" t="s">
        <v>18</v>
      </c>
      <c r="G11619" s="1" t="str">
        <f t="shared" si="2599"/>
        <v>...</v>
      </c>
      <c r="H11619" s="1" t="str">
        <f t="shared" si="2599"/>
        <v>...</v>
      </c>
      <c r="I11619" s="1" t="str">
        <f t="shared" si="2599"/>
        <v>...</v>
      </c>
      <c r="J11619" s="1" t="str">
        <f t="shared" si="2599"/>
        <v>...</v>
      </c>
      <c r="K11619" s="1" t="str">
        <f t="shared" si="2599"/>
        <v>...</v>
      </c>
      <c r="L11619" s="1" t="str">
        <f t="shared" si="2599"/>
        <v>...</v>
      </c>
      <c r="M11619" s="1" t="str">
        <f t="shared" si="2599"/>
        <v>...</v>
      </c>
      <c r="N11619" t="s">
        <v>30</v>
      </c>
    </row>
    <row r="11620" spans="1:14" x14ac:dyDescent="0.25">
      <c r="A11620" t="s">
        <v>44</v>
      </c>
      <c r="B11620" t="s">
        <v>39</v>
      </c>
      <c r="C11620" t="s">
        <v>35</v>
      </c>
      <c r="D11620" t="s">
        <v>29</v>
      </c>
      <c r="E11620" t="s">
        <v>23</v>
      </c>
      <c r="F11620" t="s">
        <v>19</v>
      </c>
      <c r="G11620" s="1" t="str">
        <f t="shared" si="2599"/>
        <v>...</v>
      </c>
      <c r="H11620" s="1" t="str">
        <f t="shared" si="2599"/>
        <v>...</v>
      </c>
      <c r="I11620" s="1" t="str">
        <f t="shared" si="2599"/>
        <v>...</v>
      </c>
      <c r="J11620" s="1" t="str">
        <f t="shared" si="2599"/>
        <v>...</v>
      </c>
      <c r="K11620" s="1" t="str">
        <f t="shared" si="2599"/>
        <v>...</v>
      </c>
      <c r="L11620" s="1" t="str">
        <f t="shared" si="2599"/>
        <v>...</v>
      </c>
      <c r="M11620" s="1" t="str">
        <f t="shared" si="2599"/>
        <v>...</v>
      </c>
      <c r="N11620" t="s">
        <v>30</v>
      </c>
    </row>
    <row r="11621" spans="1:14" x14ac:dyDescent="0.25">
      <c r="A11621" t="s">
        <v>44</v>
      </c>
      <c r="B11621" t="s">
        <v>39</v>
      </c>
      <c r="C11621" t="s">
        <v>35</v>
      </c>
      <c r="D11621" t="s">
        <v>29</v>
      </c>
      <c r="E11621" t="s">
        <v>23</v>
      </c>
      <c r="F11621" t="s">
        <v>20</v>
      </c>
      <c r="G11621" s="1" t="str">
        <f t="shared" ref="G11621:M11622" si="2600">"X"</f>
        <v>X</v>
      </c>
      <c r="H11621" s="1" t="str">
        <f t="shared" si="2600"/>
        <v>X</v>
      </c>
      <c r="I11621" s="1" t="str">
        <f t="shared" si="2600"/>
        <v>X</v>
      </c>
      <c r="J11621" s="1" t="str">
        <f t="shared" si="2600"/>
        <v>X</v>
      </c>
      <c r="K11621" s="1" t="str">
        <f t="shared" si="2600"/>
        <v>X</v>
      </c>
      <c r="L11621" s="1" t="str">
        <f t="shared" si="2600"/>
        <v>X</v>
      </c>
      <c r="M11621" s="1" t="str">
        <f t="shared" si="2600"/>
        <v>X</v>
      </c>
      <c r="N11621" t="s">
        <v>27</v>
      </c>
    </row>
    <row r="11622" spans="1:14" x14ac:dyDescent="0.25">
      <c r="A11622" t="s">
        <v>44</v>
      </c>
      <c r="B11622" t="s">
        <v>39</v>
      </c>
      <c r="C11622" t="s">
        <v>35</v>
      </c>
      <c r="D11622" t="s">
        <v>29</v>
      </c>
      <c r="E11622" t="s">
        <v>26</v>
      </c>
      <c r="F11622" t="s">
        <v>15</v>
      </c>
      <c r="G11622" s="1" t="str">
        <f t="shared" si="2600"/>
        <v>X</v>
      </c>
      <c r="H11622" s="1" t="str">
        <f t="shared" si="2600"/>
        <v>X</v>
      </c>
      <c r="I11622" s="1" t="str">
        <f t="shared" si="2600"/>
        <v>X</v>
      </c>
      <c r="J11622" s="1" t="str">
        <f t="shared" si="2600"/>
        <v>X</v>
      </c>
      <c r="K11622" s="1" t="str">
        <f t="shared" si="2600"/>
        <v>X</v>
      </c>
      <c r="L11622" s="1" t="str">
        <f t="shared" si="2600"/>
        <v>X</v>
      </c>
      <c r="M11622" s="1" t="str">
        <f t="shared" si="2600"/>
        <v>X</v>
      </c>
      <c r="N11622" t="s">
        <v>27</v>
      </c>
    </row>
    <row r="11623" spans="1:14" x14ac:dyDescent="0.25">
      <c r="A11623" t="s">
        <v>44</v>
      </c>
      <c r="B11623" t="s">
        <v>39</v>
      </c>
      <c r="C11623" t="s">
        <v>35</v>
      </c>
      <c r="D11623" t="s">
        <v>29</v>
      </c>
      <c r="E11623" t="s">
        <v>26</v>
      </c>
      <c r="F11623" t="s">
        <v>17</v>
      </c>
      <c r="G11623" s="1" t="str">
        <f t="shared" ref="G11623:M11625" si="2601">"..."</f>
        <v>...</v>
      </c>
      <c r="H11623" s="1" t="str">
        <f t="shared" si="2601"/>
        <v>...</v>
      </c>
      <c r="I11623" s="1" t="str">
        <f t="shared" si="2601"/>
        <v>...</v>
      </c>
      <c r="J11623" s="1" t="str">
        <f t="shared" si="2601"/>
        <v>...</v>
      </c>
      <c r="K11623" s="1" t="str">
        <f t="shared" si="2601"/>
        <v>...</v>
      </c>
      <c r="L11623" s="1" t="str">
        <f t="shared" si="2601"/>
        <v>...</v>
      </c>
      <c r="M11623" s="1" t="str">
        <f t="shared" si="2601"/>
        <v>...</v>
      </c>
      <c r="N11623" t="s">
        <v>30</v>
      </c>
    </row>
    <row r="11624" spans="1:14" x14ac:dyDescent="0.25">
      <c r="A11624" t="s">
        <v>44</v>
      </c>
      <c r="B11624" t="s">
        <v>39</v>
      </c>
      <c r="C11624" t="s">
        <v>35</v>
      </c>
      <c r="D11624" t="s">
        <v>29</v>
      </c>
      <c r="E11624" t="s">
        <v>26</v>
      </c>
      <c r="F11624" t="s">
        <v>18</v>
      </c>
      <c r="G11624" s="1" t="str">
        <f t="shared" si="2601"/>
        <v>...</v>
      </c>
      <c r="H11624" s="1" t="str">
        <f t="shared" si="2601"/>
        <v>...</v>
      </c>
      <c r="I11624" s="1" t="str">
        <f t="shared" si="2601"/>
        <v>...</v>
      </c>
      <c r="J11624" s="1" t="str">
        <f t="shared" si="2601"/>
        <v>...</v>
      </c>
      <c r="K11624" s="1" t="str">
        <f t="shared" si="2601"/>
        <v>...</v>
      </c>
      <c r="L11624" s="1" t="str">
        <f t="shared" si="2601"/>
        <v>...</v>
      </c>
      <c r="M11624" s="1" t="str">
        <f t="shared" si="2601"/>
        <v>...</v>
      </c>
      <c r="N11624" t="s">
        <v>30</v>
      </c>
    </row>
    <row r="11625" spans="1:14" x14ac:dyDescent="0.25">
      <c r="A11625" t="s">
        <v>44</v>
      </c>
      <c r="B11625" t="s">
        <v>39</v>
      </c>
      <c r="C11625" t="s">
        <v>35</v>
      </c>
      <c r="D11625" t="s">
        <v>29</v>
      </c>
      <c r="E11625" t="s">
        <v>26</v>
      </c>
      <c r="F11625" t="s">
        <v>19</v>
      </c>
      <c r="G11625" s="1" t="str">
        <f t="shared" si="2601"/>
        <v>...</v>
      </c>
      <c r="H11625" s="1" t="str">
        <f t="shared" si="2601"/>
        <v>...</v>
      </c>
      <c r="I11625" s="1" t="str">
        <f t="shared" si="2601"/>
        <v>...</v>
      </c>
      <c r="J11625" s="1" t="str">
        <f t="shared" si="2601"/>
        <v>...</v>
      </c>
      <c r="K11625" s="1" t="str">
        <f t="shared" si="2601"/>
        <v>...</v>
      </c>
      <c r="L11625" s="1" t="str">
        <f t="shared" si="2601"/>
        <v>...</v>
      </c>
      <c r="M11625" s="1" t="str">
        <f t="shared" si="2601"/>
        <v>...</v>
      </c>
      <c r="N11625" t="s">
        <v>30</v>
      </c>
    </row>
    <row r="11626" spans="1:14" x14ac:dyDescent="0.25">
      <c r="A11626" t="s">
        <v>44</v>
      </c>
      <c r="B11626" t="s">
        <v>39</v>
      </c>
      <c r="C11626" t="s">
        <v>35</v>
      </c>
      <c r="D11626" t="s">
        <v>29</v>
      </c>
      <c r="E11626" t="s">
        <v>26</v>
      </c>
      <c r="F11626" t="s">
        <v>20</v>
      </c>
      <c r="G11626" s="1" t="str">
        <f t="shared" ref="G11626:M11632" si="2602">"X"</f>
        <v>X</v>
      </c>
      <c r="H11626" s="1" t="str">
        <f t="shared" si="2602"/>
        <v>X</v>
      </c>
      <c r="I11626" s="1" t="str">
        <f t="shared" si="2602"/>
        <v>X</v>
      </c>
      <c r="J11626" s="1" t="str">
        <f t="shared" si="2602"/>
        <v>X</v>
      </c>
      <c r="K11626" s="1" t="str">
        <f t="shared" si="2602"/>
        <v>X</v>
      </c>
      <c r="L11626" s="1" t="str">
        <f t="shared" si="2602"/>
        <v>X</v>
      </c>
      <c r="M11626" s="1" t="str">
        <f t="shared" si="2602"/>
        <v>X</v>
      </c>
      <c r="N11626" t="s">
        <v>27</v>
      </c>
    </row>
    <row r="11627" spans="1:14" x14ac:dyDescent="0.25">
      <c r="A11627" t="s">
        <v>44</v>
      </c>
      <c r="B11627" t="s">
        <v>39</v>
      </c>
      <c r="C11627" t="s">
        <v>35</v>
      </c>
      <c r="D11627" t="s">
        <v>31</v>
      </c>
      <c r="E11627" t="s">
        <v>15</v>
      </c>
      <c r="F11627" t="s">
        <v>15</v>
      </c>
      <c r="G11627" s="1" t="str">
        <f t="shared" si="2602"/>
        <v>X</v>
      </c>
      <c r="H11627" s="1" t="str">
        <f t="shared" si="2602"/>
        <v>X</v>
      </c>
      <c r="I11627" s="1" t="str">
        <f t="shared" si="2602"/>
        <v>X</v>
      </c>
      <c r="J11627" s="1" t="str">
        <f t="shared" si="2602"/>
        <v>X</v>
      </c>
      <c r="K11627" s="1" t="str">
        <f t="shared" si="2602"/>
        <v>X</v>
      </c>
      <c r="L11627" s="1" t="str">
        <f t="shared" si="2602"/>
        <v>X</v>
      </c>
      <c r="M11627" s="1" t="str">
        <f t="shared" si="2602"/>
        <v>X</v>
      </c>
      <c r="N11627" t="s">
        <v>27</v>
      </c>
    </row>
    <row r="11628" spans="1:14" x14ac:dyDescent="0.25">
      <c r="A11628" t="s">
        <v>44</v>
      </c>
      <c r="B11628" t="s">
        <v>39</v>
      </c>
      <c r="C11628" t="s">
        <v>35</v>
      </c>
      <c r="D11628" t="s">
        <v>31</v>
      </c>
      <c r="E11628" t="s">
        <v>15</v>
      </c>
      <c r="F11628" t="s">
        <v>17</v>
      </c>
      <c r="G11628" s="1" t="str">
        <f t="shared" si="2602"/>
        <v>X</v>
      </c>
      <c r="H11628" s="1" t="str">
        <f t="shared" si="2602"/>
        <v>X</v>
      </c>
      <c r="I11628" s="1" t="str">
        <f t="shared" si="2602"/>
        <v>X</v>
      </c>
      <c r="J11628" s="1" t="str">
        <f t="shared" si="2602"/>
        <v>X</v>
      </c>
      <c r="K11628" s="1" t="str">
        <f t="shared" si="2602"/>
        <v>X</v>
      </c>
      <c r="L11628" s="1" t="str">
        <f t="shared" si="2602"/>
        <v>X</v>
      </c>
      <c r="M11628" s="1" t="str">
        <f t="shared" si="2602"/>
        <v>X</v>
      </c>
      <c r="N11628" t="s">
        <v>27</v>
      </c>
    </row>
    <row r="11629" spans="1:14" x14ac:dyDescent="0.25">
      <c r="A11629" t="s">
        <v>44</v>
      </c>
      <c r="B11629" t="s">
        <v>39</v>
      </c>
      <c r="C11629" t="s">
        <v>35</v>
      </c>
      <c r="D11629" t="s">
        <v>31</v>
      </c>
      <c r="E11629" t="s">
        <v>15</v>
      </c>
      <c r="F11629" t="s">
        <v>18</v>
      </c>
      <c r="G11629" s="1" t="str">
        <f t="shared" si="2602"/>
        <v>X</v>
      </c>
      <c r="H11629" s="1" t="str">
        <f t="shared" si="2602"/>
        <v>X</v>
      </c>
      <c r="I11629" s="1" t="str">
        <f t="shared" si="2602"/>
        <v>X</v>
      </c>
      <c r="J11629" s="1" t="str">
        <f t="shared" si="2602"/>
        <v>X</v>
      </c>
      <c r="K11629" s="1" t="str">
        <f t="shared" si="2602"/>
        <v>X</v>
      </c>
      <c r="L11629" s="1" t="str">
        <f t="shared" si="2602"/>
        <v>X</v>
      </c>
      <c r="M11629" s="1" t="str">
        <f t="shared" si="2602"/>
        <v>X</v>
      </c>
      <c r="N11629" t="s">
        <v>27</v>
      </c>
    </row>
    <row r="11630" spans="1:14" x14ac:dyDescent="0.25">
      <c r="A11630" t="s">
        <v>44</v>
      </c>
      <c r="B11630" t="s">
        <v>39</v>
      </c>
      <c r="C11630" t="s">
        <v>35</v>
      </c>
      <c r="D11630" t="s">
        <v>31</v>
      </c>
      <c r="E11630" t="s">
        <v>15</v>
      </c>
      <c r="F11630" t="s">
        <v>19</v>
      </c>
      <c r="G11630" s="1" t="str">
        <f t="shared" si="2602"/>
        <v>X</v>
      </c>
      <c r="H11630" s="1" t="str">
        <f t="shared" si="2602"/>
        <v>X</v>
      </c>
      <c r="I11630" s="1" t="str">
        <f t="shared" si="2602"/>
        <v>X</v>
      </c>
      <c r="J11630" s="1" t="str">
        <f t="shared" si="2602"/>
        <v>X</v>
      </c>
      <c r="K11630" s="1" t="str">
        <f t="shared" si="2602"/>
        <v>X</v>
      </c>
      <c r="L11630" s="1" t="str">
        <f t="shared" si="2602"/>
        <v>X</v>
      </c>
      <c r="M11630" s="1" t="str">
        <f t="shared" si="2602"/>
        <v>X</v>
      </c>
      <c r="N11630" t="s">
        <v>27</v>
      </c>
    </row>
    <row r="11631" spans="1:14" x14ac:dyDescent="0.25">
      <c r="A11631" t="s">
        <v>44</v>
      </c>
      <c r="B11631" t="s">
        <v>39</v>
      </c>
      <c r="C11631" t="s">
        <v>35</v>
      </c>
      <c r="D11631" t="s">
        <v>31</v>
      </c>
      <c r="E11631" t="s">
        <v>15</v>
      </c>
      <c r="F11631" t="s">
        <v>20</v>
      </c>
      <c r="G11631" s="1" t="str">
        <f t="shared" si="2602"/>
        <v>X</v>
      </c>
      <c r="H11631" s="1" t="str">
        <f t="shared" si="2602"/>
        <v>X</v>
      </c>
      <c r="I11631" s="1" t="str">
        <f t="shared" si="2602"/>
        <v>X</v>
      </c>
      <c r="J11631" s="1" t="str">
        <f t="shared" si="2602"/>
        <v>X</v>
      </c>
      <c r="K11631" s="1" t="str">
        <f t="shared" si="2602"/>
        <v>X</v>
      </c>
      <c r="L11631" s="1" t="str">
        <f t="shared" si="2602"/>
        <v>X</v>
      </c>
      <c r="M11631" s="1" t="str">
        <f t="shared" si="2602"/>
        <v>X</v>
      </c>
      <c r="N11631" t="s">
        <v>27</v>
      </c>
    </row>
    <row r="11632" spans="1:14" x14ac:dyDescent="0.25">
      <c r="A11632" t="s">
        <v>44</v>
      </c>
      <c r="B11632" t="s">
        <v>39</v>
      </c>
      <c r="C11632" t="s">
        <v>35</v>
      </c>
      <c r="D11632" t="s">
        <v>31</v>
      </c>
      <c r="E11632" t="s">
        <v>21</v>
      </c>
      <c r="F11632" t="s">
        <v>15</v>
      </c>
      <c r="G11632" s="1" t="str">
        <f t="shared" si="2602"/>
        <v>X</v>
      </c>
      <c r="H11632" s="1" t="str">
        <f t="shared" si="2602"/>
        <v>X</v>
      </c>
      <c r="I11632" s="1" t="str">
        <f t="shared" si="2602"/>
        <v>X</v>
      </c>
      <c r="J11632" s="1" t="str">
        <f t="shared" si="2602"/>
        <v>X</v>
      </c>
      <c r="K11632" s="1" t="str">
        <f t="shared" si="2602"/>
        <v>X</v>
      </c>
      <c r="L11632" s="1" t="str">
        <f t="shared" si="2602"/>
        <v>X</v>
      </c>
      <c r="M11632" s="1" t="str">
        <f t="shared" si="2602"/>
        <v>X</v>
      </c>
      <c r="N11632" t="s">
        <v>27</v>
      </c>
    </row>
    <row r="11633" spans="1:14" x14ac:dyDescent="0.25">
      <c r="A11633" t="s">
        <v>44</v>
      </c>
      <c r="B11633" t="s">
        <v>39</v>
      </c>
      <c r="C11633" t="s">
        <v>35</v>
      </c>
      <c r="D11633" t="s">
        <v>31</v>
      </c>
      <c r="E11633" t="s">
        <v>21</v>
      </c>
      <c r="F11633" t="s">
        <v>17</v>
      </c>
      <c r="G11633" s="1" t="str">
        <f t="shared" ref="G11633:M11635" si="2603">"..."</f>
        <v>...</v>
      </c>
      <c r="H11633" s="1" t="str">
        <f t="shared" si="2603"/>
        <v>...</v>
      </c>
      <c r="I11633" s="1" t="str">
        <f t="shared" si="2603"/>
        <v>...</v>
      </c>
      <c r="J11633" s="1" t="str">
        <f t="shared" si="2603"/>
        <v>...</v>
      </c>
      <c r="K11633" s="1" t="str">
        <f t="shared" si="2603"/>
        <v>...</v>
      </c>
      <c r="L11633" s="1" t="str">
        <f t="shared" si="2603"/>
        <v>...</v>
      </c>
      <c r="M11633" s="1" t="str">
        <f t="shared" si="2603"/>
        <v>...</v>
      </c>
      <c r="N11633" t="s">
        <v>30</v>
      </c>
    </row>
    <row r="11634" spans="1:14" x14ac:dyDescent="0.25">
      <c r="A11634" t="s">
        <v>44</v>
      </c>
      <c r="B11634" t="s">
        <v>39</v>
      </c>
      <c r="C11634" t="s">
        <v>35</v>
      </c>
      <c r="D11634" t="s">
        <v>31</v>
      </c>
      <c r="E11634" t="s">
        <v>21</v>
      </c>
      <c r="F11634" t="s">
        <v>18</v>
      </c>
      <c r="G11634" s="1" t="str">
        <f t="shared" si="2603"/>
        <v>...</v>
      </c>
      <c r="H11634" s="1" t="str">
        <f t="shared" si="2603"/>
        <v>...</v>
      </c>
      <c r="I11634" s="1" t="str">
        <f t="shared" si="2603"/>
        <v>...</v>
      </c>
      <c r="J11634" s="1" t="str">
        <f t="shared" si="2603"/>
        <v>...</v>
      </c>
      <c r="K11634" s="1" t="str">
        <f t="shared" si="2603"/>
        <v>...</v>
      </c>
      <c r="L11634" s="1" t="str">
        <f t="shared" si="2603"/>
        <v>...</v>
      </c>
      <c r="M11634" s="1" t="str">
        <f t="shared" si="2603"/>
        <v>...</v>
      </c>
      <c r="N11634" t="s">
        <v>30</v>
      </c>
    </row>
    <row r="11635" spans="1:14" x14ac:dyDescent="0.25">
      <c r="A11635" t="s">
        <v>44</v>
      </c>
      <c r="B11635" t="s">
        <v>39</v>
      </c>
      <c r="C11635" t="s">
        <v>35</v>
      </c>
      <c r="D11635" t="s">
        <v>31</v>
      </c>
      <c r="E11635" t="s">
        <v>21</v>
      </c>
      <c r="F11635" t="s">
        <v>19</v>
      </c>
      <c r="G11635" s="1" t="str">
        <f t="shared" si="2603"/>
        <v>...</v>
      </c>
      <c r="H11635" s="1" t="str">
        <f t="shared" si="2603"/>
        <v>...</v>
      </c>
      <c r="I11635" s="1" t="str">
        <f t="shared" si="2603"/>
        <v>...</v>
      </c>
      <c r="J11635" s="1" t="str">
        <f t="shared" si="2603"/>
        <v>...</v>
      </c>
      <c r="K11635" s="1" t="str">
        <f t="shared" si="2603"/>
        <v>...</v>
      </c>
      <c r="L11635" s="1" t="str">
        <f t="shared" si="2603"/>
        <v>...</v>
      </c>
      <c r="M11635" s="1" t="str">
        <f t="shared" si="2603"/>
        <v>...</v>
      </c>
      <c r="N11635" t="s">
        <v>30</v>
      </c>
    </row>
    <row r="11636" spans="1:14" x14ac:dyDescent="0.25">
      <c r="A11636" t="s">
        <v>44</v>
      </c>
      <c r="B11636" t="s">
        <v>39</v>
      </c>
      <c r="C11636" t="s">
        <v>35</v>
      </c>
      <c r="D11636" t="s">
        <v>31</v>
      </c>
      <c r="E11636" t="s">
        <v>21</v>
      </c>
      <c r="F11636" t="s">
        <v>20</v>
      </c>
      <c r="G11636" s="1" t="str">
        <f t="shared" ref="G11636:M11637" si="2604">"X"</f>
        <v>X</v>
      </c>
      <c r="H11636" s="1" t="str">
        <f t="shared" si="2604"/>
        <v>X</v>
      </c>
      <c r="I11636" s="1" t="str">
        <f t="shared" si="2604"/>
        <v>X</v>
      </c>
      <c r="J11636" s="1" t="str">
        <f t="shared" si="2604"/>
        <v>X</v>
      </c>
      <c r="K11636" s="1" t="str">
        <f t="shared" si="2604"/>
        <v>X</v>
      </c>
      <c r="L11636" s="1" t="str">
        <f t="shared" si="2604"/>
        <v>X</v>
      </c>
      <c r="M11636" s="1" t="str">
        <f t="shared" si="2604"/>
        <v>X</v>
      </c>
      <c r="N11636" t="s">
        <v>27</v>
      </c>
    </row>
    <row r="11637" spans="1:14" x14ac:dyDescent="0.25">
      <c r="A11637" t="s">
        <v>44</v>
      </c>
      <c r="B11637" t="s">
        <v>39</v>
      </c>
      <c r="C11637" t="s">
        <v>35</v>
      </c>
      <c r="D11637" t="s">
        <v>31</v>
      </c>
      <c r="E11637" t="s">
        <v>22</v>
      </c>
      <c r="F11637" t="s">
        <v>15</v>
      </c>
      <c r="G11637" s="1" t="str">
        <f t="shared" si="2604"/>
        <v>X</v>
      </c>
      <c r="H11637" s="1" t="str">
        <f t="shared" si="2604"/>
        <v>X</v>
      </c>
      <c r="I11637" s="1" t="str">
        <f t="shared" si="2604"/>
        <v>X</v>
      </c>
      <c r="J11637" s="1" t="str">
        <f t="shared" si="2604"/>
        <v>X</v>
      </c>
      <c r="K11637" s="1" t="str">
        <f t="shared" si="2604"/>
        <v>X</v>
      </c>
      <c r="L11637" s="1" t="str">
        <f t="shared" si="2604"/>
        <v>X</v>
      </c>
      <c r="M11637" s="1" t="str">
        <f t="shared" si="2604"/>
        <v>X</v>
      </c>
      <c r="N11637" t="s">
        <v>27</v>
      </c>
    </row>
    <row r="11638" spans="1:14" x14ac:dyDescent="0.25">
      <c r="A11638" t="s">
        <v>44</v>
      </c>
      <c r="B11638" t="s">
        <v>39</v>
      </c>
      <c r="C11638" t="s">
        <v>35</v>
      </c>
      <c r="D11638" t="s">
        <v>31</v>
      </c>
      <c r="E11638" t="s">
        <v>22</v>
      </c>
      <c r="F11638" t="s">
        <v>17</v>
      </c>
      <c r="G11638" s="1" t="str">
        <f t="shared" ref="G11638:M11638" si="2605">"..."</f>
        <v>...</v>
      </c>
      <c r="H11638" s="1" t="str">
        <f t="shared" si="2605"/>
        <v>...</v>
      </c>
      <c r="I11638" s="1" t="str">
        <f t="shared" si="2605"/>
        <v>...</v>
      </c>
      <c r="J11638" s="1" t="str">
        <f t="shared" si="2605"/>
        <v>...</v>
      </c>
      <c r="K11638" s="1" t="str">
        <f t="shared" si="2605"/>
        <v>...</v>
      </c>
      <c r="L11638" s="1" t="str">
        <f t="shared" si="2605"/>
        <v>...</v>
      </c>
      <c r="M11638" s="1" t="str">
        <f t="shared" si="2605"/>
        <v>...</v>
      </c>
      <c r="N11638" t="s">
        <v>30</v>
      </c>
    </row>
    <row r="11639" spans="1:14" x14ac:dyDescent="0.25">
      <c r="A11639" t="s">
        <v>44</v>
      </c>
      <c r="B11639" t="s">
        <v>39</v>
      </c>
      <c r="C11639" t="s">
        <v>35</v>
      </c>
      <c r="D11639" t="s">
        <v>31</v>
      </c>
      <c r="E11639" t="s">
        <v>22</v>
      </c>
      <c r="F11639" t="s">
        <v>18</v>
      </c>
      <c r="G11639" s="1" t="str">
        <f t="shared" ref="G11639:M11639" si="2606">"X"</f>
        <v>X</v>
      </c>
      <c r="H11639" s="1" t="str">
        <f t="shared" si="2606"/>
        <v>X</v>
      </c>
      <c r="I11639" s="1" t="str">
        <f t="shared" si="2606"/>
        <v>X</v>
      </c>
      <c r="J11639" s="1" t="str">
        <f t="shared" si="2606"/>
        <v>X</v>
      </c>
      <c r="K11639" s="1" t="str">
        <f t="shared" si="2606"/>
        <v>X</v>
      </c>
      <c r="L11639" s="1" t="str">
        <f t="shared" si="2606"/>
        <v>X</v>
      </c>
      <c r="M11639" s="1" t="str">
        <f t="shared" si="2606"/>
        <v>X</v>
      </c>
      <c r="N11639" t="s">
        <v>27</v>
      </c>
    </row>
    <row r="11640" spans="1:14" x14ac:dyDescent="0.25">
      <c r="A11640" t="s">
        <v>44</v>
      </c>
      <c r="B11640" t="s">
        <v>39</v>
      </c>
      <c r="C11640" t="s">
        <v>35</v>
      </c>
      <c r="D11640" t="s">
        <v>31</v>
      </c>
      <c r="E11640" t="s">
        <v>22</v>
      </c>
      <c r="F11640" t="s">
        <v>19</v>
      </c>
      <c r="G11640" s="1" t="str">
        <f t="shared" ref="G11640:M11640" si="2607">"..."</f>
        <v>...</v>
      </c>
      <c r="H11640" s="1" t="str">
        <f t="shared" si="2607"/>
        <v>...</v>
      </c>
      <c r="I11640" s="1" t="str">
        <f t="shared" si="2607"/>
        <v>...</v>
      </c>
      <c r="J11640" s="1" t="str">
        <f t="shared" si="2607"/>
        <v>...</v>
      </c>
      <c r="K11640" s="1" t="str">
        <f t="shared" si="2607"/>
        <v>...</v>
      </c>
      <c r="L11640" s="1" t="str">
        <f t="shared" si="2607"/>
        <v>...</v>
      </c>
      <c r="M11640" s="1" t="str">
        <f t="shared" si="2607"/>
        <v>...</v>
      </c>
      <c r="N11640" t="s">
        <v>30</v>
      </c>
    </row>
    <row r="11641" spans="1:14" x14ac:dyDescent="0.25">
      <c r="A11641" t="s">
        <v>44</v>
      </c>
      <c r="B11641" t="s">
        <v>39</v>
      </c>
      <c r="C11641" t="s">
        <v>35</v>
      </c>
      <c r="D11641" t="s">
        <v>31</v>
      </c>
      <c r="E11641" t="s">
        <v>22</v>
      </c>
      <c r="F11641" t="s">
        <v>20</v>
      </c>
      <c r="G11641" s="1" t="str">
        <f t="shared" ref="G11641:M11646" si="2608">"X"</f>
        <v>X</v>
      </c>
      <c r="H11641" s="1" t="str">
        <f t="shared" si="2608"/>
        <v>X</v>
      </c>
      <c r="I11641" s="1" t="str">
        <f t="shared" si="2608"/>
        <v>X</v>
      </c>
      <c r="J11641" s="1" t="str">
        <f t="shared" si="2608"/>
        <v>X</v>
      </c>
      <c r="K11641" s="1" t="str">
        <f t="shared" si="2608"/>
        <v>X</v>
      </c>
      <c r="L11641" s="1" t="str">
        <f t="shared" si="2608"/>
        <v>X</v>
      </c>
      <c r="M11641" s="1" t="str">
        <f t="shared" si="2608"/>
        <v>X</v>
      </c>
      <c r="N11641" t="s">
        <v>27</v>
      </c>
    </row>
    <row r="11642" spans="1:14" x14ac:dyDescent="0.25">
      <c r="A11642" t="s">
        <v>44</v>
      </c>
      <c r="B11642" t="s">
        <v>39</v>
      </c>
      <c r="C11642" t="s">
        <v>35</v>
      </c>
      <c r="D11642" t="s">
        <v>31</v>
      </c>
      <c r="E11642" t="s">
        <v>23</v>
      </c>
      <c r="F11642" t="s">
        <v>15</v>
      </c>
      <c r="G11642" s="1" t="str">
        <f t="shared" si="2608"/>
        <v>X</v>
      </c>
      <c r="H11642" s="1" t="str">
        <f t="shared" si="2608"/>
        <v>X</v>
      </c>
      <c r="I11642" s="1" t="str">
        <f t="shared" si="2608"/>
        <v>X</v>
      </c>
      <c r="J11642" s="1" t="str">
        <f t="shared" si="2608"/>
        <v>X</v>
      </c>
      <c r="K11642" s="1" t="str">
        <f t="shared" si="2608"/>
        <v>X</v>
      </c>
      <c r="L11642" s="1" t="str">
        <f t="shared" si="2608"/>
        <v>X</v>
      </c>
      <c r="M11642" s="1" t="str">
        <f t="shared" si="2608"/>
        <v>X</v>
      </c>
      <c r="N11642" t="s">
        <v>27</v>
      </c>
    </row>
    <row r="11643" spans="1:14" x14ac:dyDescent="0.25">
      <c r="A11643" t="s">
        <v>44</v>
      </c>
      <c r="B11643" t="s">
        <v>39</v>
      </c>
      <c r="C11643" t="s">
        <v>35</v>
      </c>
      <c r="D11643" t="s">
        <v>31</v>
      </c>
      <c r="E11643" t="s">
        <v>23</v>
      </c>
      <c r="F11643" t="s">
        <v>17</v>
      </c>
      <c r="G11643" s="1" t="str">
        <f t="shared" si="2608"/>
        <v>X</v>
      </c>
      <c r="H11643" s="1" t="str">
        <f t="shared" si="2608"/>
        <v>X</v>
      </c>
      <c r="I11643" s="1" t="str">
        <f t="shared" si="2608"/>
        <v>X</v>
      </c>
      <c r="J11643" s="1" t="str">
        <f t="shared" si="2608"/>
        <v>X</v>
      </c>
      <c r="K11643" s="1" t="str">
        <f t="shared" si="2608"/>
        <v>X</v>
      </c>
      <c r="L11643" s="1" t="str">
        <f t="shared" si="2608"/>
        <v>X</v>
      </c>
      <c r="M11643" s="1" t="str">
        <f t="shared" si="2608"/>
        <v>X</v>
      </c>
      <c r="N11643" t="s">
        <v>27</v>
      </c>
    </row>
    <row r="11644" spans="1:14" x14ac:dyDescent="0.25">
      <c r="A11644" t="s">
        <v>44</v>
      </c>
      <c r="B11644" t="s">
        <v>39</v>
      </c>
      <c r="C11644" t="s">
        <v>35</v>
      </c>
      <c r="D11644" t="s">
        <v>31</v>
      </c>
      <c r="E11644" t="s">
        <v>23</v>
      </c>
      <c r="F11644" t="s">
        <v>18</v>
      </c>
      <c r="G11644" s="1" t="str">
        <f t="shared" si="2608"/>
        <v>X</v>
      </c>
      <c r="H11644" s="1" t="str">
        <f t="shared" si="2608"/>
        <v>X</v>
      </c>
      <c r="I11644" s="1" t="str">
        <f t="shared" si="2608"/>
        <v>X</v>
      </c>
      <c r="J11644" s="1" t="str">
        <f t="shared" si="2608"/>
        <v>X</v>
      </c>
      <c r="K11644" s="1" t="str">
        <f t="shared" si="2608"/>
        <v>X</v>
      </c>
      <c r="L11644" s="1" t="str">
        <f t="shared" si="2608"/>
        <v>X</v>
      </c>
      <c r="M11644" s="1" t="str">
        <f t="shared" si="2608"/>
        <v>X</v>
      </c>
      <c r="N11644" t="s">
        <v>27</v>
      </c>
    </row>
    <row r="11645" spans="1:14" x14ac:dyDescent="0.25">
      <c r="A11645" t="s">
        <v>44</v>
      </c>
      <c r="B11645" t="s">
        <v>39</v>
      </c>
      <c r="C11645" t="s">
        <v>35</v>
      </c>
      <c r="D11645" t="s">
        <v>31</v>
      </c>
      <c r="E11645" t="s">
        <v>23</v>
      </c>
      <c r="F11645" t="s">
        <v>19</v>
      </c>
      <c r="G11645" s="1" t="str">
        <f t="shared" si="2608"/>
        <v>X</v>
      </c>
      <c r="H11645" s="1" t="str">
        <f t="shared" si="2608"/>
        <v>X</v>
      </c>
      <c r="I11645" s="1" t="str">
        <f t="shared" si="2608"/>
        <v>X</v>
      </c>
      <c r="J11645" s="1" t="str">
        <f t="shared" si="2608"/>
        <v>X</v>
      </c>
      <c r="K11645" s="1" t="str">
        <f t="shared" si="2608"/>
        <v>X</v>
      </c>
      <c r="L11645" s="1" t="str">
        <f t="shared" si="2608"/>
        <v>X</v>
      </c>
      <c r="M11645" s="1" t="str">
        <f t="shared" si="2608"/>
        <v>X</v>
      </c>
      <c r="N11645" t="s">
        <v>27</v>
      </c>
    </row>
    <row r="11646" spans="1:14" x14ac:dyDescent="0.25">
      <c r="A11646" t="s">
        <v>44</v>
      </c>
      <c r="B11646" t="s">
        <v>39</v>
      </c>
      <c r="C11646" t="s">
        <v>35</v>
      </c>
      <c r="D11646" t="s">
        <v>31</v>
      </c>
      <c r="E11646" t="s">
        <v>23</v>
      </c>
      <c r="F11646" t="s">
        <v>20</v>
      </c>
      <c r="G11646" s="1" t="str">
        <f t="shared" si="2608"/>
        <v>X</v>
      </c>
      <c r="H11646" s="1" t="str">
        <f t="shared" si="2608"/>
        <v>X</v>
      </c>
      <c r="I11646" s="1" t="str">
        <f t="shared" si="2608"/>
        <v>X</v>
      </c>
      <c r="J11646" s="1" t="str">
        <f t="shared" si="2608"/>
        <v>X</v>
      </c>
      <c r="K11646" s="1" t="str">
        <f t="shared" si="2608"/>
        <v>X</v>
      </c>
      <c r="L11646" s="1" t="str">
        <f t="shared" si="2608"/>
        <v>X</v>
      </c>
      <c r="M11646" s="1" t="str">
        <f t="shared" si="2608"/>
        <v>X</v>
      </c>
      <c r="N11646" t="s">
        <v>27</v>
      </c>
    </row>
    <row r="11647" spans="1:14" x14ac:dyDescent="0.25">
      <c r="A11647" t="s">
        <v>44</v>
      </c>
      <c r="B11647" t="s">
        <v>39</v>
      </c>
      <c r="C11647" t="s">
        <v>35</v>
      </c>
      <c r="D11647" t="s">
        <v>31</v>
      </c>
      <c r="E11647" t="s">
        <v>26</v>
      </c>
      <c r="F11647" t="s">
        <v>15</v>
      </c>
      <c r="G11647" s="1" t="str">
        <f t="shared" ref="G11647:M11651" si="2609">"..."</f>
        <v>...</v>
      </c>
      <c r="H11647" s="1" t="str">
        <f t="shared" si="2609"/>
        <v>...</v>
      </c>
      <c r="I11647" s="1" t="str">
        <f t="shared" si="2609"/>
        <v>...</v>
      </c>
      <c r="J11647" s="1" t="str">
        <f t="shared" si="2609"/>
        <v>...</v>
      </c>
      <c r="K11647" s="1" t="str">
        <f t="shared" si="2609"/>
        <v>...</v>
      </c>
      <c r="L11647" s="1" t="str">
        <f t="shared" si="2609"/>
        <v>...</v>
      </c>
      <c r="M11647" s="1" t="str">
        <f t="shared" si="2609"/>
        <v>...</v>
      </c>
      <c r="N11647" t="s">
        <v>30</v>
      </c>
    </row>
    <row r="11648" spans="1:14" x14ac:dyDescent="0.25">
      <c r="A11648" t="s">
        <v>44</v>
      </c>
      <c r="B11648" t="s">
        <v>39</v>
      </c>
      <c r="C11648" t="s">
        <v>35</v>
      </c>
      <c r="D11648" t="s">
        <v>31</v>
      </c>
      <c r="E11648" t="s">
        <v>26</v>
      </c>
      <c r="F11648" t="s">
        <v>17</v>
      </c>
      <c r="G11648" s="1" t="str">
        <f t="shared" si="2609"/>
        <v>...</v>
      </c>
      <c r="H11648" s="1" t="str">
        <f t="shared" si="2609"/>
        <v>...</v>
      </c>
      <c r="I11648" s="1" t="str">
        <f t="shared" si="2609"/>
        <v>...</v>
      </c>
      <c r="J11648" s="1" t="str">
        <f t="shared" si="2609"/>
        <v>...</v>
      </c>
      <c r="K11648" s="1" t="str">
        <f t="shared" si="2609"/>
        <v>...</v>
      </c>
      <c r="L11648" s="1" t="str">
        <f t="shared" si="2609"/>
        <v>...</v>
      </c>
      <c r="M11648" s="1" t="str">
        <f t="shared" si="2609"/>
        <v>...</v>
      </c>
      <c r="N11648" t="s">
        <v>30</v>
      </c>
    </row>
    <row r="11649" spans="1:14" x14ac:dyDescent="0.25">
      <c r="A11649" t="s">
        <v>44</v>
      </c>
      <c r="B11649" t="s">
        <v>39</v>
      </c>
      <c r="C11649" t="s">
        <v>35</v>
      </c>
      <c r="D11649" t="s">
        <v>31</v>
      </c>
      <c r="E11649" t="s">
        <v>26</v>
      </c>
      <c r="F11649" t="s">
        <v>18</v>
      </c>
      <c r="G11649" s="1" t="str">
        <f t="shared" si="2609"/>
        <v>...</v>
      </c>
      <c r="H11649" s="1" t="str">
        <f t="shared" si="2609"/>
        <v>...</v>
      </c>
      <c r="I11649" s="1" t="str">
        <f t="shared" si="2609"/>
        <v>...</v>
      </c>
      <c r="J11649" s="1" t="str">
        <f t="shared" si="2609"/>
        <v>...</v>
      </c>
      <c r="K11649" s="1" t="str">
        <f t="shared" si="2609"/>
        <v>...</v>
      </c>
      <c r="L11649" s="1" t="str">
        <f t="shared" si="2609"/>
        <v>...</v>
      </c>
      <c r="M11649" s="1" t="str">
        <f t="shared" si="2609"/>
        <v>...</v>
      </c>
      <c r="N11649" t="s">
        <v>30</v>
      </c>
    </row>
    <row r="11650" spans="1:14" x14ac:dyDescent="0.25">
      <c r="A11650" t="s">
        <v>44</v>
      </c>
      <c r="B11650" t="s">
        <v>39</v>
      </c>
      <c r="C11650" t="s">
        <v>35</v>
      </c>
      <c r="D11650" t="s">
        <v>31</v>
      </c>
      <c r="E11650" t="s">
        <v>26</v>
      </c>
      <c r="F11650" t="s">
        <v>19</v>
      </c>
      <c r="G11650" s="1" t="str">
        <f t="shared" si="2609"/>
        <v>...</v>
      </c>
      <c r="H11650" s="1" t="str">
        <f t="shared" si="2609"/>
        <v>...</v>
      </c>
      <c r="I11650" s="1" t="str">
        <f t="shared" si="2609"/>
        <v>...</v>
      </c>
      <c r="J11650" s="1" t="str">
        <f t="shared" si="2609"/>
        <v>...</v>
      </c>
      <c r="K11650" s="1" t="str">
        <f t="shared" si="2609"/>
        <v>...</v>
      </c>
      <c r="L11650" s="1" t="str">
        <f t="shared" si="2609"/>
        <v>...</v>
      </c>
      <c r="M11650" s="1" t="str">
        <f t="shared" si="2609"/>
        <v>...</v>
      </c>
      <c r="N11650" t="s">
        <v>30</v>
      </c>
    </row>
    <row r="11651" spans="1:14" x14ac:dyDescent="0.25">
      <c r="A11651" t="s">
        <v>44</v>
      </c>
      <c r="B11651" t="s">
        <v>39</v>
      </c>
      <c r="C11651" t="s">
        <v>35</v>
      </c>
      <c r="D11651" t="s">
        <v>31</v>
      </c>
      <c r="E11651" t="s">
        <v>26</v>
      </c>
      <c r="F11651" t="s">
        <v>20</v>
      </c>
      <c r="G11651" s="1" t="str">
        <f t="shared" si="2609"/>
        <v>...</v>
      </c>
      <c r="H11651" s="1" t="str">
        <f t="shared" si="2609"/>
        <v>...</v>
      </c>
      <c r="I11651" s="1" t="str">
        <f t="shared" si="2609"/>
        <v>...</v>
      </c>
      <c r="J11651" s="1" t="str">
        <f t="shared" si="2609"/>
        <v>...</v>
      </c>
      <c r="K11651" s="1" t="str">
        <f t="shared" si="2609"/>
        <v>...</v>
      </c>
      <c r="L11651" s="1" t="str">
        <f t="shared" si="2609"/>
        <v>...</v>
      </c>
      <c r="M11651" s="1" t="str">
        <f t="shared" si="2609"/>
        <v>...</v>
      </c>
      <c r="N11651" t="s">
        <v>30</v>
      </c>
    </row>
    <row r="11652" spans="1:14" x14ac:dyDescent="0.25">
      <c r="A11652" t="s">
        <v>44</v>
      </c>
      <c r="B11652" t="s">
        <v>39</v>
      </c>
      <c r="C11652" t="s">
        <v>35</v>
      </c>
      <c r="D11652" t="s">
        <v>32</v>
      </c>
      <c r="E11652" t="s">
        <v>15</v>
      </c>
      <c r="F11652" t="s">
        <v>15</v>
      </c>
      <c r="G11652" s="2">
        <f>VALUE(1278.34)</f>
        <v>1278.3399999999999</v>
      </c>
      <c r="H11652" s="3">
        <f>VALUE(1124.12)</f>
        <v>1124.1199999999999</v>
      </c>
      <c r="I11652" s="4">
        <f>VALUE(2454)</f>
        <v>2454</v>
      </c>
      <c r="J11652" s="1">
        <f>VALUE(3236)</f>
        <v>3236</v>
      </c>
      <c r="K11652" s="1">
        <f>VALUE(3568)</f>
        <v>3568</v>
      </c>
      <c r="L11652" s="7">
        <f>VALUE(4285)</f>
        <v>4285</v>
      </c>
      <c r="M11652" s="1">
        <f>VALUE(5291)</f>
        <v>5291</v>
      </c>
      <c r="N11652" t="s">
        <v>25</v>
      </c>
    </row>
    <row r="11653" spans="1:14" x14ac:dyDescent="0.25">
      <c r="A11653" t="s">
        <v>44</v>
      </c>
      <c r="B11653" t="s">
        <v>39</v>
      </c>
      <c r="C11653" t="s">
        <v>35</v>
      </c>
      <c r="D11653" t="s">
        <v>32</v>
      </c>
      <c r="E11653" t="s">
        <v>15</v>
      </c>
      <c r="F11653" t="s">
        <v>17</v>
      </c>
      <c r="G11653" s="1" t="str">
        <f t="shared" ref="G11653:M11653" si="2610">"..."</f>
        <v>...</v>
      </c>
      <c r="H11653" s="1" t="str">
        <f t="shared" si="2610"/>
        <v>...</v>
      </c>
      <c r="I11653" s="1" t="str">
        <f t="shared" si="2610"/>
        <v>...</v>
      </c>
      <c r="J11653" s="1" t="str">
        <f t="shared" si="2610"/>
        <v>...</v>
      </c>
      <c r="K11653" s="1" t="str">
        <f t="shared" si="2610"/>
        <v>...</v>
      </c>
      <c r="L11653" s="1" t="str">
        <f t="shared" si="2610"/>
        <v>...</v>
      </c>
      <c r="M11653" s="1" t="str">
        <f t="shared" si="2610"/>
        <v>...</v>
      </c>
      <c r="N11653" t="s">
        <v>30</v>
      </c>
    </row>
    <row r="11654" spans="1:14" x14ac:dyDescent="0.25">
      <c r="A11654" t="s">
        <v>44</v>
      </c>
      <c r="B11654" t="s">
        <v>39</v>
      </c>
      <c r="C11654" t="s">
        <v>35</v>
      </c>
      <c r="D11654" t="s">
        <v>32</v>
      </c>
      <c r="E11654" t="s">
        <v>15</v>
      </c>
      <c r="F11654" t="s">
        <v>18</v>
      </c>
      <c r="G11654" s="1" t="str">
        <f t="shared" ref="G11654:M11655" si="2611">"X"</f>
        <v>X</v>
      </c>
      <c r="H11654" s="1" t="str">
        <f t="shared" si="2611"/>
        <v>X</v>
      </c>
      <c r="I11654" s="1" t="str">
        <f t="shared" si="2611"/>
        <v>X</v>
      </c>
      <c r="J11654" s="1" t="str">
        <f t="shared" si="2611"/>
        <v>X</v>
      </c>
      <c r="K11654" s="1" t="str">
        <f t="shared" si="2611"/>
        <v>X</v>
      </c>
      <c r="L11654" s="1" t="str">
        <f t="shared" si="2611"/>
        <v>X</v>
      </c>
      <c r="M11654" s="1" t="str">
        <f t="shared" si="2611"/>
        <v>X</v>
      </c>
      <c r="N11654" t="s">
        <v>27</v>
      </c>
    </row>
    <row r="11655" spans="1:14" x14ac:dyDescent="0.25">
      <c r="A11655" t="s">
        <v>44</v>
      </c>
      <c r="B11655" t="s">
        <v>39</v>
      </c>
      <c r="C11655" t="s">
        <v>35</v>
      </c>
      <c r="D11655" t="s">
        <v>32</v>
      </c>
      <c r="E11655" t="s">
        <v>15</v>
      </c>
      <c r="F11655" t="s">
        <v>19</v>
      </c>
      <c r="G11655" s="1" t="str">
        <f t="shared" si="2611"/>
        <v>X</v>
      </c>
      <c r="H11655" s="1" t="str">
        <f t="shared" si="2611"/>
        <v>X</v>
      </c>
      <c r="I11655" s="1" t="str">
        <f t="shared" si="2611"/>
        <v>X</v>
      </c>
      <c r="J11655" s="1" t="str">
        <f t="shared" si="2611"/>
        <v>X</v>
      </c>
      <c r="K11655" s="1" t="str">
        <f t="shared" si="2611"/>
        <v>X</v>
      </c>
      <c r="L11655" s="1" t="str">
        <f t="shared" si="2611"/>
        <v>X</v>
      </c>
      <c r="M11655" s="1" t="str">
        <f t="shared" si="2611"/>
        <v>X</v>
      </c>
      <c r="N11655" t="s">
        <v>27</v>
      </c>
    </row>
    <row r="11656" spans="1:14" x14ac:dyDescent="0.25">
      <c r="A11656" t="s">
        <v>44</v>
      </c>
      <c r="B11656" t="s">
        <v>39</v>
      </c>
      <c r="C11656" t="s">
        <v>35</v>
      </c>
      <c r="D11656" t="s">
        <v>32</v>
      </c>
      <c r="E11656" t="s">
        <v>15</v>
      </c>
      <c r="F11656" t="s">
        <v>20</v>
      </c>
      <c r="G11656" s="2">
        <f>VALUE(1143.07)</f>
        <v>1143.07</v>
      </c>
      <c r="H11656" s="3">
        <f>VALUE(1005.99)</f>
        <v>1005.99</v>
      </c>
      <c r="I11656" s="4">
        <f>VALUE(2454)</f>
        <v>2454</v>
      </c>
      <c r="J11656" s="5">
        <f>VALUE(3211)</f>
        <v>3211</v>
      </c>
      <c r="K11656" s="1">
        <f>VALUE(3491)</f>
        <v>3491</v>
      </c>
      <c r="L11656" s="1">
        <f>VALUE(4131)</f>
        <v>4131</v>
      </c>
      <c r="M11656" s="8">
        <f>VALUE(4925)</f>
        <v>4925</v>
      </c>
      <c r="N11656" t="s">
        <v>25</v>
      </c>
    </row>
    <row r="11657" spans="1:14" x14ac:dyDescent="0.25">
      <c r="A11657" t="s">
        <v>44</v>
      </c>
      <c r="B11657" t="s">
        <v>39</v>
      </c>
      <c r="C11657" t="s">
        <v>35</v>
      </c>
      <c r="D11657" t="s">
        <v>32</v>
      </c>
      <c r="E11657" t="s">
        <v>21</v>
      </c>
      <c r="F11657" t="s">
        <v>15</v>
      </c>
      <c r="G11657" s="1" t="str">
        <f t="shared" ref="G11657:M11657" si="2612">"X"</f>
        <v>X</v>
      </c>
      <c r="H11657" s="1" t="str">
        <f t="shared" si="2612"/>
        <v>X</v>
      </c>
      <c r="I11657" s="1" t="str">
        <f t="shared" si="2612"/>
        <v>X</v>
      </c>
      <c r="J11657" s="1" t="str">
        <f t="shared" si="2612"/>
        <v>X</v>
      </c>
      <c r="K11657" s="1" t="str">
        <f t="shared" si="2612"/>
        <v>X</v>
      </c>
      <c r="L11657" s="1" t="str">
        <f t="shared" si="2612"/>
        <v>X</v>
      </c>
      <c r="M11657" s="1" t="str">
        <f t="shared" si="2612"/>
        <v>X</v>
      </c>
      <c r="N11657" t="s">
        <v>27</v>
      </c>
    </row>
    <row r="11658" spans="1:14" x14ac:dyDescent="0.25">
      <c r="A11658" t="s">
        <v>44</v>
      </c>
      <c r="B11658" t="s">
        <v>39</v>
      </c>
      <c r="C11658" t="s">
        <v>35</v>
      </c>
      <c r="D11658" t="s">
        <v>32</v>
      </c>
      <c r="E11658" t="s">
        <v>21</v>
      </c>
      <c r="F11658" t="s">
        <v>17</v>
      </c>
      <c r="G11658" s="1" t="str">
        <f t="shared" ref="G11658:M11658" si="2613">"..."</f>
        <v>...</v>
      </c>
      <c r="H11658" s="1" t="str">
        <f t="shared" si="2613"/>
        <v>...</v>
      </c>
      <c r="I11658" s="1" t="str">
        <f t="shared" si="2613"/>
        <v>...</v>
      </c>
      <c r="J11658" s="1" t="str">
        <f t="shared" si="2613"/>
        <v>...</v>
      </c>
      <c r="K11658" s="1" t="str">
        <f t="shared" si="2613"/>
        <v>...</v>
      </c>
      <c r="L11658" s="1" t="str">
        <f t="shared" si="2613"/>
        <v>...</v>
      </c>
      <c r="M11658" s="1" t="str">
        <f t="shared" si="2613"/>
        <v>...</v>
      </c>
      <c r="N11658" t="s">
        <v>30</v>
      </c>
    </row>
    <row r="11659" spans="1:14" x14ac:dyDescent="0.25">
      <c r="A11659" t="s">
        <v>44</v>
      </c>
      <c r="B11659" t="s">
        <v>39</v>
      </c>
      <c r="C11659" t="s">
        <v>35</v>
      </c>
      <c r="D11659" t="s">
        <v>32</v>
      </c>
      <c r="E11659" t="s">
        <v>21</v>
      </c>
      <c r="F11659" t="s">
        <v>18</v>
      </c>
      <c r="G11659" s="1" t="str">
        <f t="shared" ref="G11659:M11661" si="2614">"X"</f>
        <v>X</v>
      </c>
      <c r="H11659" s="1" t="str">
        <f t="shared" si="2614"/>
        <v>X</v>
      </c>
      <c r="I11659" s="1" t="str">
        <f t="shared" si="2614"/>
        <v>X</v>
      </c>
      <c r="J11659" s="1" t="str">
        <f t="shared" si="2614"/>
        <v>X</v>
      </c>
      <c r="K11659" s="1" t="str">
        <f t="shared" si="2614"/>
        <v>X</v>
      </c>
      <c r="L11659" s="1" t="str">
        <f t="shared" si="2614"/>
        <v>X</v>
      </c>
      <c r="M11659" s="1" t="str">
        <f t="shared" si="2614"/>
        <v>X</v>
      </c>
      <c r="N11659" t="s">
        <v>27</v>
      </c>
    </row>
    <row r="11660" spans="1:14" x14ac:dyDescent="0.25">
      <c r="A11660" t="s">
        <v>44</v>
      </c>
      <c r="B11660" t="s">
        <v>39</v>
      </c>
      <c r="C11660" t="s">
        <v>35</v>
      </c>
      <c r="D11660" t="s">
        <v>32</v>
      </c>
      <c r="E11660" t="s">
        <v>21</v>
      </c>
      <c r="F11660" t="s">
        <v>19</v>
      </c>
      <c r="G11660" s="1" t="str">
        <f t="shared" si="2614"/>
        <v>X</v>
      </c>
      <c r="H11660" s="1" t="str">
        <f t="shared" si="2614"/>
        <v>X</v>
      </c>
      <c r="I11660" s="1" t="str">
        <f t="shared" si="2614"/>
        <v>X</v>
      </c>
      <c r="J11660" s="1" t="str">
        <f t="shared" si="2614"/>
        <v>X</v>
      </c>
      <c r="K11660" s="1" t="str">
        <f t="shared" si="2614"/>
        <v>X</v>
      </c>
      <c r="L11660" s="1" t="str">
        <f t="shared" si="2614"/>
        <v>X</v>
      </c>
      <c r="M11660" s="1" t="str">
        <f t="shared" si="2614"/>
        <v>X</v>
      </c>
      <c r="N11660" t="s">
        <v>27</v>
      </c>
    </row>
    <row r="11661" spans="1:14" x14ac:dyDescent="0.25">
      <c r="A11661" t="s">
        <v>44</v>
      </c>
      <c r="B11661" t="s">
        <v>39</v>
      </c>
      <c r="C11661" t="s">
        <v>35</v>
      </c>
      <c r="D11661" t="s">
        <v>32</v>
      </c>
      <c r="E11661" t="s">
        <v>21</v>
      </c>
      <c r="F11661" t="s">
        <v>20</v>
      </c>
      <c r="G11661" s="1" t="str">
        <f t="shared" si="2614"/>
        <v>X</v>
      </c>
      <c r="H11661" s="1" t="str">
        <f t="shared" si="2614"/>
        <v>X</v>
      </c>
      <c r="I11661" s="1" t="str">
        <f t="shared" si="2614"/>
        <v>X</v>
      </c>
      <c r="J11661" s="1" t="str">
        <f t="shared" si="2614"/>
        <v>X</v>
      </c>
      <c r="K11661" s="1" t="str">
        <f t="shared" si="2614"/>
        <v>X</v>
      </c>
      <c r="L11661" s="1" t="str">
        <f t="shared" si="2614"/>
        <v>X</v>
      </c>
      <c r="M11661" s="1" t="str">
        <f t="shared" si="2614"/>
        <v>X</v>
      </c>
      <c r="N11661" t="s">
        <v>27</v>
      </c>
    </row>
    <row r="11662" spans="1:14" x14ac:dyDescent="0.25">
      <c r="A11662" t="s">
        <v>44</v>
      </c>
      <c r="B11662" t="s">
        <v>39</v>
      </c>
      <c r="C11662" t="s">
        <v>35</v>
      </c>
      <c r="D11662" t="s">
        <v>32</v>
      </c>
      <c r="E11662" t="s">
        <v>22</v>
      </c>
      <c r="F11662" t="s">
        <v>15</v>
      </c>
      <c r="G11662" s="2">
        <f>VALUE(756.14)</f>
        <v>756.14</v>
      </c>
      <c r="H11662" s="3">
        <f>VALUE(684.15)</f>
        <v>684.15</v>
      </c>
      <c r="I11662" s="4">
        <f>VALUE(3144)</f>
        <v>3144</v>
      </c>
      <c r="J11662" s="1">
        <f>VALUE(3274)</f>
        <v>3274</v>
      </c>
      <c r="K11662" s="1">
        <f>VALUE(3596)</f>
        <v>3596</v>
      </c>
      <c r="L11662" s="7">
        <f>VALUE(4202)</f>
        <v>4202</v>
      </c>
      <c r="M11662" s="8">
        <f>VALUE(5291)</f>
        <v>5291</v>
      </c>
      <c r="N11662" t="s">
        <v>25</v>
      </c>
    </row>
    <row r="11663" spans="1:14" x14ac:dyDescent="0.25">
      <c r="A11663" t="s">
        <v>44</v>
      </c>
      <c r="B11663" t="s">
        <v>39</v>
      </c>
      <c r="C11663" t="s">
        <v>35</v>
      </c>
      <c r="D11663" t="s">
        <v>32</v>
      </c>
      <c r="E11663" t="s">
        <v>22</v>
      </c>
      <c r="F11663" t="s">
        <v>17</v>
      </c>
      <c r="G11663" s="1" t="str">
        <f t="shared" ref="G11663:M11663" si="2615">"..."</f>
        <v>...</v>
      </c>
      <c r="H11663" s="1" t="str">
        <f t="shared" si="2615"/>
        <v>...</v>
      </c>
      <c r="I11663" s="1" t="str">
        <f t="shared" si="2615"/>
        <v>...</v>
      </c>
      <c r="J11663" s="1" t="str">
        <f t="shared" si="2615"/>
        <v>...</v>
      </c>
      <c r="K11663" s="1" t="str">
        <f t="shared" si="2615"/>
        <v>...</v>
      </c>
      <c r="L11663" s="1" t="str">
        <f t="shared" si="2615"/>
        <v>...</v>
      </c>
      <c r="M11663" s="1" t="str">
        <f t="shared" si="2615"/>
        <v>...</v>
      </c>
      <c r="N11663" t="s">
        <v>30</v>
      </c>
    </row>
    <row r="11664" spans="1:14" x14ac:dyDescent="0.25">
      <c r="A11664" t="s">
        <v>44</v>
      </c>
      <c r="B11664" t="s">
        <v>39</v>
      </c>
      <c r="C11664" t="s">
        <v>35</v>
      </c>
      <c r="D11664" t="s">
        <v>32</v>
      </c>
      <c r="E11664" t="s">
        <v>22</v>
      </c>
      <c r="F11664" t="s">
        <v>18</v>
      </c>
      <c r="G11664" s="1" t="str">
        <f t="shared" ref="G11664:M11665" si="2616">"X"</f>
        <v>X</v>
      </c>
      <c r="H11664" s="1" t="str">
        <f t="shared" si="2616"/>
        <v>X</v>
      </c>
      <c r="I11664" s="1" t="str">
        <f t="shared" si="2616"/>
        <v>X</v>
      </c>
      <c r="J11664" s="1" t="str">
        <f t="shared" si="2616"/>
        <v>X</v>
      </c>
      <c r="K11664" s="1" t="str">
        <f t="shared" si="2616"/>
        <v>X</v>
      </c>
      <c r="L11664" s="1" t="str">
        <f t="shared" si="2616"/>
        <v>X</v>
      </c>
      <c r="M11664" s="1" t="str">
        <f t="shared" si="2616"/>
        <v>X</v>
      </c>
      <c r="N11664" t="s">
        <v>27</v>
      </c>
    </row>
    <row r="11665" spans="1:14" x14ac:dyDescent="0.25">
      <c r="A11665" t="s">
        <v>44</v>
      </c>
      <c r="B11665" t="s">
        <v>39</v>
      </c>
      <c r="C11665" t="s">
        <v>35</v>
      </c>
      <c r="D11665" t="s">
        <v>32</v>
      </c>
      <c r="E11665" t="s">
        <v>22</v>
      </c>
      <c r="F11665" t="s">
        <v>19</v>
      </c>
      <c r="G11665" s="1" t="str">
        <f t="shared" si="2616"/>
        <v>X</v>
      </c>
      <c r="H11665" s="1" t="str">
        <f t="shared" si="2616"/>
        <v>X</v>
      </c>
      <c r="I11665" s="1" t="str">
        <f t="shared" si="2616"/>
        <v>X</v>
      </c>
      <c r="J11665" s="1" t="str">
        <f t="shared" si="2616"/>
        <v>X</v>
      </c>
      <c r="K11665" s="1" t="str">
        <f t="shared" si="2616"/>
        <v>X</v>
      </c>
      <c r="L11665" s="1" t="str">
        <f t="shared" si="2616"/>
        <v>X</v>
      </c>
      <c r="M11665" s="1" t="str">
        <f t="shared" si="2616"/>
        <v>X</v>
      </c>
      <c r="N11665" t="s">
        <v>27</v>
      </c>
    </row>
    <row r="11666" spans="1:14" x14ac:dyDescent="0.25">
      <c r="A11666" t="s">
        <v>44</v>
      </c>
      <c r="B11666" t="s">
        <v>39</v>
      </c>
      <c r="C11666" t="s">
        <v>35</v>
      </c>
      <c r="D11666" t="s">
        <v>32</v>
      </c>
      <c r="E11666" t="s">
        <v>22</v>
      </c>
      <c r="F11666" t="s">
        <v>20</v>
      </c>
      <c r="G11666" s="2">
        <f>VALUE(638.65)</f>
        <v>638.65</v>
      </c>
      <c r="H11666" s="3">
        <f>VALUE(583.27)</f>
        <v>583.27</v>
      </c>
      <c r="I11666" s="4">
        <f>VALUE(3144)</f>
        <v>3144</v>
      </c>
      <c r="J11666" s="1">
        <f>VALUE(3246)</f>
        <v>3246</v>
      </c>
      <c r="K11666" s="1">
        <f>VALUE(3491)</f>
        <v>3491</v>
      </c>
      <c r="L11666" s="1">
        <f>VALUE(3991)</f>
        <v>3991</v>
      </c>
      <c r="M11666" s="8">
        <f>VALUE(4739)</f>
        <v>4739</v>
      </c>
      <c r="N11666" t="s">
        <v>25</v>
      </c>
    </row>
    <row r="11667" spans="1:14" x14ac:dyDescent="0.25">
      <c r="A11667" t="s">
        <v>44</v>
      </c>
      <c r="B11667" t="s">
        <v>39</v>
      </c>
      <c r="C11667" t="s">
        <v>35</v>
      </c>
      <c r="D11667" t="s">
        <v>32</v>
      </c>
      <c r="E11667" t="s">
        <v>23</v>
      </c>
      <c r="F11667" t="s">
        <v>15</v>
      </c>
      <c r="G11667" s="2">
        <f>VALUE(443.75)</f>
        <v>443.75</v>
      </c>
      <c r="H11667" s="3">
        <f>VALUE(363.41)</f>
        <v>363.41</v>
      </c>
      <c r="I11667" s="1">
        <f>VALUE(2270)</f>
        <v>2270</v>
      </c>
      <c r="J11667" s="5">
        <f>VALUE(2454)</f>
        <v>2454</v>
      </c>
      <c r="K11667" s="1">
        <f>VALUE(3479)</f>
        <v>3479</v>
      </c>
      <c r="L11667" s="7">
        <f>VALUE(4257)</f>
        <v>4257</v>
      </c>
      <c r="M11667" s="8">
        <f>VALUE(5419)</f>
        <v>5419</v>
      </c>
      <c r="N11667" t="s">
        <v>25</v>
      </c>
    </row>
    <row r="11668" spans="1:14" x14ac:dyDescent="0.25">
      <c r="A11668" t="s">
        <v>44</v>
      </c>
      <c r="B11668" t="s">
        <v>39</v>
      </c>
      <c r="C11668" t="s">
        <v>35</v>
      </c>
      <c r="D11668" t="s">
        <v>32</v>
      </c>
      <c r="E11668" t="s">
        <v>23</v>
      </c>
      <c r="F11668" t="s">
        <v>17</v>
      </c>
      <c r="G11668" s="1" t="str">
        <f t="shared" ref="G11668:M11669" si="2617">"..."</f>
        <v>...</v>
      </c>
      <c r="H11668" s="1" t="str">
        <f t="shared" si="2617"/>
        <v>...</v>
      </c>
      <c r="I11668" s="1" t="str">
        <f t="shared" si="2617"/>
        <v>...</v>
      </c>
      <c r="J11668" s="1" t="str">
        <f t="shared" si="2617"/>
        <v>...</v>
      </c>
      <c r="K11668" s="1" t="str">
        <f t="shared" si="2617"/>
        <v>...</v>
      </c>
      <c r="L11668" s="1" t="str">
        <f t="shared" si="2617"/>
        <v>...</v>
      </c>
      <c r="M11668" s="1" t="str">
        <f t="shared" si="2617"/>
        <v>...</v>
      </c>
      <c r="N11668" t="s">
        <v>30</v>
      </c>
    </row>
    <row r="11669" spans="1:14" x14ac:dyDescent="0.25">
      <c r="A11669" t="s">
        <v>44</v>
      </c>
      <c r="B11669" t="s">
        <v>39</v>
      </c>
      <c r="C11669" t="s">
        <v>35</v>
      </c>
      <c r="D11669" t="s">
        <v>32</v>
      </c>
      <c r="E11669" t="s">
        <v>23</v>
      </c>
      <c r="F11669" t="s">
        <v>18</v>
      </c>
      <c r="G11669" s="1" t="str">
        <f t="shared" si="2617"/>
        <v>...</v>
      </c>
      <c r="H11669" s="1" t="str">
        <f t="shared" si="2617"/>
        <v>...</v>
      </c>
      <c r="I11669" s="1" t="str">
        <f t="shared" si="2617"/>
        <v>...</v>
      </c>
      <c r="J11669" s="1" t="str">
        <f t="shared" si="2617"/>
        <v>...</v>
      </c>
      <c r="K11669" s="1" t="str">
        <f t="shared" si="2617"/>
        <v>...</v>
      </c>
      <c r="L11669" s="1" t="str">
        <f t="shared" si="2617"/>
        <v>...</v>
      </c>
      <c r="M11669" s="1" t="str">
        <f t="shared" si="2617"/>
        <v>...</v>
      </c>
      <c r="N11669" t="s">
        <v>30</v>
      </c>
    </row>
    <row r="11670" spans="1:14" x14ac:dyDescent="0.25">
      <c r="A11670" t="s">
        <v>44</v>
      </c>
      <c r="B11670" t="s">
        <v>39</v>
      </c>
      <c r="C11670" t="s">
        <v>35</v>
      </c>
      <c r="D11670" t="s">
        <v>32</v>
      </c>
      <c r="E11670" t="s">
        <v>23</v>
      </c>
      <c r="F11670" t="s">
        <v>19</v>
      </c>
      <c r="G11670" s="1" t="str">
        <f t="shared" ref="G11670:M11670" si="2618">"X"</f>
        <v>X</v>
      </c>
      <c r="H11670" s="1" t="str">
        <f t="shared" si="2618"/>
        <v>X</v>
      </c>
      <c r="I11670" s="1" t="str">
        <f t="shared" si="2618"/>
        <v>X</v>
      </c>
      <c r="J11670" s="1" t="str">
        <f t="shared" si="2618"/>
        <v>X</v>
      </c>
      <c r="K11670" s="1" t="str">
        <f t="shared" si="2618"/>
        <v>X</v>
      </c>
      <c r="L11670" s="1" t="str">
        <f t="shared" si="2618"/>
        <v>X</v>
      </c>
      <c r="M11670" s="1" t="str">
        <f t="shared" si="2618"/>
        <v>X</v>
      </c>
      <c r="N11670" t="s">
        <v>27</v>
      </c>
    </row>
    <row r="11671" spans="1:14" x14ac:dyDescent="0.25">
      <c r="A11671" t="s">
        <v>44</v>
      </c>
      <c r="B11671" t="s">
        <v>39</v>
      </c>
      <c r="C11671" t="s">
        <v>35</v>
      </c>
      <c r="D11671" t="s">
        <v>32</v>
      </c>
      <c r="E11671" t="s">
        <v>23</v>
      </c>
      <c r="F11671" t="s">
        <v>20</v>
      </c>
      <c r="G11671" s="2">
        <f>VALUE(437.1)</f>
        <v>437.1</v>
      </c>
      <c r="H11671" s="3">
        <f>VALUE(357.04)</f>
        <v>357.04</v>
      </c>
      <c r="I11671" s="1">
        <f>VALUE(2270)</f>
        <v>2270</v>
      </c>
      <c r="J11671" s="5">
        <f>VALUE(2454)</f>
        <v>2454</v>
      </c>
      <c r="K11671" s="1">
        <f>VALUE(3479)</f>
        <v>3479</v>
      </c>
      <c r="L11671" s="7">
        <f>VALUE(4257)</f>
        <v>4257</v>
      </c>
      <c r="M11671" s="8">
        <f>VALUE(5419)</f>
        <v>5419</v>
      </c>
      <c r="N11671" t="s">
        <v>25</v>
      </c>
    </row>
    <row r="11672" spans="1:14" x14ac:dyDescent="0.25">
      <c r="A11672" t="s">
        <v>44</v>
      </c>
      <c r="B11672" t="s">
        <v>39</v>
      </c>
      <c r="C11672" t="s">
        <v>35</v>
      </c>
      <c r="D11672" t="s">
        <v>32</v>
      </c>
      <c r="E11672" t="s">
        <v>26</v>
      </c>
      <c r="F11672" t="s">
        <v>15</v>
      </c>
      <c r="G11672" s="1" t="str">
        <f t="shared" ref="G11672:M11672" si="2619">"X"</f>
        <v>X</v>
      </c>
      <c r="H11672" s="1" t="str">
        <f t="shared" si="2619"/>
        <v>X</v>
      </c>
      <c r="I11672" s="1" t="str">
        <f t="shared" si="2619"/>
        <v>X</v>
      </c>
      <c r="J11672" s="1" t="str">
        <f t="shared" si="2619"/>
        <v>X</v>
      </c>
      <c r="K11672" s="1" t="str">
        <f t="shared" si="2619"/>
        <v>X</v>
      </c>
      <c r="L11672" s="1" t="str">
        <f t="shared" si="2619"/>
        <v>X</v>
      </c>
      <c r="M11672" s="1" t="str">
        <f t="shared" si="2619"/>
        <v>X</v>
      </c>
      <c r="N11672" t="s">
        <v>27</v>
      </c>
    </row>
    <row r="11673" spans="1:14" x14ac:dyDescent="0.25">
      <c r="A11673" t="s">
        <v>44</v>
      </c>
      <c r="B11673" t="s">
        <v>39</v>
      </c>
      <c r="C11673" t="s">
        <v>35</v>
      </c>
      <c r="D11673" t="s">
        <v>32</v>
      </c>
      <c r="E11673" t="s">
        <v>26</v>
      </c>
      <c r="F11673" t="s">
        <v>17</v>
      </c>
      <c r="G11673" s="1" t="str">
        <f t="shared" ref="G11673:M11675" si="2620">"..."</f>
        <v>...</v>
      </c>
      <c r="H11673" s="1" t="str">
        <f t="shared" si="2620"/>
        <v>...</v>
      </c>
      <c r="I11673" s="1" t="str">
        <f t="shared" si="2620"/>
        <v>...</v>
      </c>
      <c r="J11673" s="1" t="str">
        <f t="shared" si="2620"/>
        <v>...</v>
      </c>
      <c r="K11673" s="1" t="str">
        <f t="shared" si="2620"/>
        <v>...</v>
      </c>
      <c r="L11673" s="1" t="str">
        <f t="shared" si="2620"/>
        <v>...</v>
      </c>
      <c r="M11673" s="1" t="str">
        <f t="shared" si="2620"/>
        <v>...</v>
      </c>
      <c r="N11673" t="s">
        <v>30</v>
      </c>
    </row>
    <row r="11674" spans="1:14" x14ac:dyDescent="0.25">
      <c r="A11674" t="s">
        <v>44</v>
      </c>
      <c r="B11674" t="s">
        <v>39</v>
      </c>
      <c r="C11674" t="s">
        <v>35</v>
      </c>
      <c r="D11674" t="s">
        <v>32</v>
      </c>
      <c r="E11674" t="s">
        <v>26</v>
      </c>
      <c r="F11674" t="s">
        <v>18</v>
      </c>
      <c r="G11674" s="1" t="str">
        <f t="shared" si="2620"/>
        <v>...</v>
      </c>
      <c r="H11674" s="1" t="str">
        <f t="shared" si="2620"/>
        <v>...</v>
      </c>
      <c r="I11674" s="1" t="str">
        <f t="shared" si="2620"/>
        <v>...</v>
      </c>
      <c r="J11674" s="1" t="str">
        <f t="shared" si="2620"/>
        <v>...</v>
      </c>
      <c r="K11674" s="1" t="str">
        <f t="shared" si="2620"/>
        <v>...</v>
      </c>
      <c r="L11674" s="1" t="str">
        <f t="shared" si="2620"/>
        <v>...</v>
      </c>
      <c r="M11674" s="1" t="str">
        <f t="shared" si="2620"/>
        <v>...</v>
      </c>
      <c r="N11674" t="s">
        <v>30</v>
      </c>
    </row>
    <row r="11675" spans="1:14" x14ac:dyDescent="0.25">
      <c r="A11675" t="s">
        <v>44</v>
      </c>
      <c r="B11675" t="s">
        <v>39</v>
      </c>
      <c r="C11675" t="s">
        <v>35</v>
      </c>
      <c r="D11675" t="s">
        <v>32</v>
      </c>
      <c r="E11675" t="s">
        <v>26</v>
      </c>
      <c r="F11675" t="s">
        <v>19</v>
      </c>
      <c r="G11675" s="1" t="str">
        <f t="shared" si="2620"/>
        <v>...</v>
      </c>
      <c r="H11675" s="1" t="str">
        <f t="shared" si="2620"/>
        <v>...</v>
      </c>
      <c r="I11675" s="1" t="str">
        <f t="shared" si="2620"/>
        <v>...</v>
      </c>
      <c r="J11675" s="1" t="str">
        <f t="shared" si="2620"/>
        <v>...</v>
      </c>
      <c r="K11675" s="1" t="str">
        <f t="shared" si="2620"/>
        <v>...</v>
      </c>
      <c r="L11675" s="1" t="str">
        <f t="shared" si="2620"/>
        <v>...</v>
      </c>
      <c r="M11675" s="1" t="str">
        <f t="shared" si="2620"/>
        <v>...</v>
      </c>
      <c r="N11675" t="s">
        <v>30</v>
      </c>
    </row>
    <row r="11676" spans="1:14" x14ac:dyDescent="0.25">
      <c r="A11676" t="s">
        <v>44</v>
      </c>
      <c r="B11676" t="s">
        <v>39</v>
      </c>
      <c r="C11676" t="s">
        <v>35</v>
      </c>
      <c r="D11676" t="s">
        <v>32</v>
      </c>
      <c r="E11676" t="s">
        <v>26</v>
      </c>
      <c r="F11676" t="s">
        <v>20</v>
      </c>
      <c r="G11676" s="1" t="str">
        <f t="shared" ref="G11676:M11677" si="2621">"X"</f>
        <v>X</v>
      </c>
      <c r="H11676" s="1" t="str">
        <f t="shared" si="2621"/>
        <v>X</v>
      </c>
      <c r="I11676" s="1" t="str">
        <f t="shared" si="2621"/>
        <v>X</v>
      </c>
      <c r="J11676" s="1" t="str">
        <f t="shared" si="2621"/>
        <v>X</v>
      </c>
      <c r="K11676" s="1" t="str">
        <f t="shared" si="2621"/>
        <v>X</v>
      </c>
      <c r="L11676" s="1" t="str">
        <f t="shared" si="2621"/>
        <v>X</v>
      </c>
      <c r="M11676" s="1" t="str">
        <f t="shared" si="2621"/>
        <v>X</v>
      </c>
      <c r="N11676" t="s">
        <v>27</v>
      </c>
    </row>
    <row r="11677" spans="1:14" x14ac:dyDescent="0.25">
      <c r="A11677" t="s">
        <v>44</v>
      </c>
      <c r="B11677" t="s">
        <v>39</v>
      </c>
      <c r="C11677" t="s">
        <v>35</v>
      </c>
      <c r="D11677" t="s">
        <v>33</v>
      </c>
      <c r="E11677" t="s">
        <v>15</v>
      </c>
      <c r="F11677" t="s">
        <v>15</v>
      </c>
      <c r="G11677" s="1" t="str">
        <f t="shared" si="2621"/>
        <v>X</v>
      </c>
      <c r="H11677" s="1" t="str">
        <f t="shared" si="2621"/>
        <v>X</v>
      </c>
      <c r="I11677" s="1" t="str">
        <f t="shared" si="2621"/>
        <v>X</v>
      </c>
      <c r="J11677" s="1" t="str">
        <f t="shared" si="2621"/>
        <v>X</v>
      </c>
      <c r="K11677" s="1" t="str">
        <f t="shared" si="2621"/>
        <v>X</v>
      </c>
      <c r="L11677" s="1" t="str">
        <f t="shared" si="2621"/>
        <v>X</v>
      </c>
      <c r="M11677" s="1" t="str">
        <f t="shared" si="2621"/>
        <v>X</v>
      </c>
      <c r="N11677" t="s">
        <v>27</v>
      </c>
    </row>
    <row r="11678" spans="1:14" x14ac:dyDescent="0.25">
      <c r="A11678" t="s">
        <v>44</v>
      </c>
      <c r="B11678" t="s">
        <v>39</v>
      </c>
      <c r="C11678" t="s">
        <v>35</v>
      </c>
      <c r="D11678" t="s">
        <v>33</v>
      </c>
      <c r="E11678" t="s">
        <v>15</v>
      </c>
      <c r="F11678" t="s">
        <v>17</v>
      </c>
      <c r="G11678" s="1" t="str">
        <f t="shared" ref="G11678:M11680" si="2622">"..."</f>
        <v>...</v>
      </c>
      <c r="H11678" s="1" t="str">
        <f t="shared" si="2622"/>
        <v>...</v>
      </c>
      <c r="I11678" s="1" t="str">
        <f t="shared" si="2622"/>
        <v>...</v>
      </c>
      <c r="J11678" s="1" t="str">
        <f t="shared" si="2622"/>
        <v>...</v>
      </c>
      <c r="K11678" s="1" t="str">
        <f t="shared" si="2622"/>
        <v>...</v>
      </c>
      <c r="L11678" s="1" t="str">
        <f t="shared" si="2622"/>
        <v>...</v>
      </c>
      <c r="M11678" s="1" t="str">
        <f t="shared" si="2622"/>
        <v>...</v>
      </c>
      <c r="N11678" t="s">
        <v>30</v>
      </c>
    </row>
    <row r="11679" spans="1:14" x14ac:dyDescent="0.25">
      <c r="A11679" t="s">
        <v>44</v>
      </c>
      <c r="B11679" t="s">
        <v>39</v>
      </c>
      <c r="C11679" t="s">
        <v>35</v>
      </c>
      <c r="D11679" t="s">
        <v>33</v>
      </c>
      <c r="E11679" t="s">
        <v>15</v>
      </c>
      <c r="F11679" t="s">
        <v>18</v>
      </c>
      <c r="G11679" s="1" t="str">
        <f t="shared" si="2622"/>
        <v>...</v>
      </c>
      <c r="H11679" s="1" t="str">
        <f t="shared" si="2622"/>
        <v>...</v>
      </c>
      <c r="I11679" s="1" t="str">
        <f t="shared" si="2622"/>
        <v>...</v>
      </c>
      <c r="J11679" s="1" t="str">
        <f t="shared" si="2622"/>
        <v>...</v>
      </c>
      <c r="K11679" s="1" t="str">
        <f t="shared" si="2622"/>
        <v>...</v>
      </c>
      <c r="L11679" s="1" t="str">
        <f t="shared" si="2622"/>
        <v>...</v>
      </c>
      <c r="M11679" s="1" t="str">
        <f t="shared" si="2622"/>
        <v>...</v>
      </c>
      <c r="N11679" t="s">
        <v>30</v>
      </c>
    </row>
    <row r="11680" spans="1:14" x14ac:dyDescent="0.25">
      <c r="A11680" t="s">
        <v>44</v>
      </c>
      <c r="B11680" t="s">
        <v>39</v>
      </c>
      <c r="C11680" t="s">
        <v>35</v>
      </c>
      <c r="D11680" t="s">
        <v>33</v>
      </c>
      <c r="E11680" t="s">
        <v>15</v>
      </c>
      <c r="F11680" t="s">
        <v>19</v>
      </c>
      <c r="G11680" s="1" t="str">
        <f t="shared" si="2622"/>
        <v>...</v>
      </c>
      <c r="H11680" s="1" t="str">
        <f t="shared" si="2622"/>
        <v>...</v>
      </c>
      <c r="I11680" s="1" t="str">
        <f t="shared" si="2622"/>
        <v>...</v>
      </c>
      <c r="J11680" s="1" t="str">
        <f t="shared" si="2622"/>
        <v>...</v>
      </c>
      <c r="K11680" s="1" t="str">
        <f t="shared" si="2622"/>
        <v>...</v>
      </c>
      <c r="L11680" s="1" t="str">
        <f t="shared" si="2622"/>
        <v>...</v>
      </c>
      <c r="M11680" s="1" t="str">
        <f t="shared" si="2622"/>
        <v>...</v>
      </c>
      <c r="N11680" t="s">
        <v>30</v>
      </c>
    </row>
    <row r="11681" spans="1:14" x14ac:dyDescent="0.25">
      <c r="A11681" t="s">
        <v>44</v>
      </c>
      <c r="B11681" t="s">
        <v>39</v>
      </c>
      <c r="C11681" t="s">
        <v>35</v>
      </c>
      <c r="D11681" t="s">
        <v>33</v>
      </c>
      <c r="E11681" t="s">
        <v>15</v>
      </c>
      <c r="F11681" t="s">
        <v>20</v>
      </c>
      <c r="G11681" s="1" t="str">
        <f t="shared" ref="G11681:M11682" si="2623">"X"</f>
        <v>X</v>
      </c>
      <c r="H11681" s="1" t="str">
        <f t="shared" si="2623"/>
        <v>X</v>
      </c>
      <c r="I11681" s="1" t="str">
        <f t="shared" si="2623"/>
        <v>X</v>
      </c>
      <c r="J11681" s="1" t="str">
        <f t="shared" si="2623"/>
        <v>X</v>
      </c>
      <c r="K11681" s="1" t="str">
        <f t="shared" si="2623"/>
        <v>X</v>
      </c>
      <c r="L11681" s="1" t="str">
        <f t="shared" si="2623"/>
        <v>X</v>
      </c>
      <c r="M11681" s="1" t="str">
        <f t="shared" si="2623"/>
        <v>X</v>
      </c>
      <c r="N11681" t="s">
        <v>27</v>
      </c>
    </row>
    <row r="11682" spans="1:14" x14ac:dyDescent="0.25">
      <c r="A11682" t="s">
        <v>44</v>
      </c>
      <c r="B11682" t="s">
        <v>39</v>
      </c>
      <c r="C11682" t="s">
        <v>35</v>
      </c>
      <c r="D11682" t="s">
        <v>33</v>
      </c>
      <c r="E11682" t="s">
        <v>21</v>
      </c>
      <c r="F11682" t="s">
        <v>15</v>
      </c>
      <c r="G11682" s="1" t="str">
        <f t="shared" si="2623"/>
        <v>X</v>
      </c>
      <c r="H11682" s="1" t="str">
        <f t="shared" si="2623"/>
        <v>X</v>
      </c>
      <c r="I11682" s="1" t="str">
        <f t="shared" si="2623"/>
        <v>X</v>
      </c>
      <c r="J11682" s="1" t="str">
        <f t="shared" si="2623"/>
        <v>X</v>
      </c>
      <c r="K11682" s="1" t="str">
        <f t="shared" si="2623"/>
        <v>X</v>
      </c>
      <c r="L11682" s="1" t="str">
        <f t="shared" si="2623"/>
        <v>X</v>
      </c>
      <c r="M11682" s="1" t="str">
        <f t="shared" si="2623"/>
        <v>X</v>
      </c>
      <c r="N11682" t="s">
        <v>27</v>
      </c>
    </row>
    <row r="11683" spans="1:14" x14ac:dyDescent="0.25">
      <c r="A11683" t="s">
        <v>44</v>
      </c>
      <c r="B11683" t="s">
        <v>39</v>
      </c>
      <c r="C11683" t="s">
        <v>35</v>
      </c>
      <c r="D11683" t="s">
        <v>33</v>
      </c>
      <c r="E11683" t="s">
        <v>21</v>
      </c>
      <c r="F11683" t="s">
        <v>17</v>
      </c>
      <c r="G11683" s="1" t="str">
        <f t="shared" ref="G11683:M11685" si="2624">"..."</f>
        <v>...</v>
      </c>
      <c r="H11683" s="1" t="str">
        <f t="shared" si="2624"/>
        <v>...</v>
      </c>
      <c r="I11683" s="1" t="str">
        <f t="shared" si="2624"/>
        <v>...</v>
      </c>
      <c r="J11683" s="1" t="str">
        <f t="shared" si="2624"/>
        <v>...</v>
      </c>
      <c r="K11683" s="1" t="str">
        <f t="shared" si="2624"/>
        <v>...</v>
      </c>
      <c r="L11683" s="1" t="str">
        <f t="shared" si="2624"/>
        <v>...</v>
      </c>
      <c r="M11683" s="1" t="str">
        <f t="shared" si="2624"/>
        <v>...</v>
      </c>
      <c r="N11683" t="s">
        <v>30</v>
      </c>
    </row>
    <row r="11684" spans="1:14" x14ac:dyDescent="0.25">
      <c r="A11684" t="s">
        <v>44</v>
      </c>
      <c r="B11684" t="s">
        <v>39</v>
      </c>
      <c r="C11684" t="s">
        <v>35</v>
      </c>
      <c r="D11684" t="s">
        <v>33</v>
      </c>
      <c r="E11684" t="s">
        <v>21</v>
      </c>
      <c r="F11684" t="s">
        <v>18</v>
      </c>
      <c r="G11684" s="1" t="str">
        <f t="shared" si="2624"/>
        <v>...</v>
      </c>
      <c r="H11684" s="1" t="str">
        <f t="shared" si="2624"/>
        <v>...</v>
      </c>
      <c r="I11684" s="1" t="str">
        <f t="shared" si="2624"/>
        <v>...</v>
      </c>
      <c r="J11684" s="1" t="str">
        <f t="shared" si="2624"/>
        <v>...</v>
      </c>
      <c r="K11684" s="1" t="str">
        <f t="shared" si="2624"/>
        <v>...</v>
      </c>
      <c r="L11684" s="1" t="str">
        <f t="shared" si="2624"/>
        <v>...</v>
      </c>
      <c r="M11684" s="1" t="str">
        <f t="shared" si="2624"/>
        <v>...</v>
      </c>
      <c r="N11684" t="s">
        <v>30</v>
      </c>
    </row>
    <row r="11685" spans="1:14" x14ac:dyDescent="0.25">
      <c r="A11685" t="s">
        <v>44</v>
      </c>
      <c r="B11685" t="s">
        <v>39</v>
      </c>
      <c r="C11685" t="s">
        <v>35</v>
      </c>
      <c r="D11685" t="s">
        <v>33</v>
      </c>
      <c r="E11685" t="s">
        <v>21</v>
      </c>
      <c r="F11685" t="s">
        <v>19</v>
      </c>
      <c r="G11685" s="1" t="str">
        <f t="shared" si="2624"/>
        <v>...</v>
      </c>
      <c r="H11685" s="1" t="str">
        <f t="shared" si="2624"/>
        <v>...</v>
      </c>
      <c r="I11685" s="1" t="str">
        <f t="shared" si="2624"/>
        <v>...</v>
      </c>
      <c r="J11685" s="1" t="str">
        <f t="shared" si="2624"/>
        <v>...</v>
      </c>
      <c r="K11685" s="1" t="str">
        <f t="shared" si="2624"/>
        <v>...</v>
      </c>
      <c r="L11685" s="1" t="str">
        <f t="shared" si="2624"/>
        <v>...</v>
      </c>
      <c r="M11685" s="1" t="str">
        <f t="shared" si="2624"/>
        <v>...</v>
      </c>
      <c r="N11685" t="s">
        <v>30</v>
      </c>
    </row>
    <row r="11686" spans="1:14" x14ac:dyDescent="0.25">
      <c r="A11686" t="s">
        <v>44</v>
      </c>
      <c r="B11686" t="s">
        <v>39</v>
      </c>
      <c r="C11686" t="s">
        <v>35</v>
      </c>
      <c r="D11686" t="s">
        <v>33</v>
      </c>
      <c r="E11686" t="s">
        <v>21</v>
      </c>
      <c r="F11686" t="s">
        <v>20</v>
      </c>
      <c r="G11686" s="1" t="str">
        <f t="shared" ref="G11686:M11687" si="2625">"X"</f>
        <v>X</v>
      </c>
      <c r="H11686" s="1" t="str">
        <f t="shared" si="2625"/>
        <v>X</v>
      </c>
      <c r="I11686" s="1" t="str">
        <f t="shared" si="2625"/>
        <v>X</v>
      </c>
      <c r="J11686" s="1" t="str">
        <f t="shared" si="2625"/>
        <v>X</v>
      </c>
      <c r="K11686" s="1" t="str">
        <f t="shared" si="2625"/>
        <v>X</v>
      </c>
      <c r="L11686" s="1" t="str">
        <f t="shared" si="2625"/>
        <v>X</v>
      </c>
      <c r="M11686" s="1" t="str">
        <f t="shared" si="2625"/>
        <v>X</v>
      </c>
      <c r="N11686" t="s">
        <v>27</v>
      </c>
    </row>
    <row r="11687" spans="1:14" x14ac:dyDescent="0.25">
      <c r="A11687" t="s">
        <v>44</v>
      </c>
      <c r="B11687" t="s">
        <v>39</v>
      </c>
      <c r="C11687" t="s">
        <v>35</v>
      </c>
      <c r="D11687" t="s">
        <v>33</v>
      </c>
      <c r="E11687" t="s">
        <v>22</v>
      </c>
      <c r="F11687" t="s">
        <v>15</v>
      </c>
      <c r="G11687" s="1" t="str">
        <f t="shared" si="2625"/>
        <v>X</v>
      </c>
      <c r="H11687" s="1" t="str">
        <f t="shared" si="2625"/>
        <v>X</v>
      </c>
      <c r="I11687" s="1" t="str">
        <f t="shared" si="2625"/>
        <v>X</v>
      </c>
      <c r="J11687" s="1" t="str">
        <f t="shared" si="2625"/>
        <v>X</v>
      </c>
      <c r="K11687" s="1" t="str">
        <f t="shared" si="2625"/>
        <v>X</v>
      </c>
      <c r="L11687" s="1" t="str">
        <f t="shared" si="2625"/>
        <v>X</v>
      </c>
      <c r="M11687" s="1" t="str">
        <f t="shared" si="2625"/>
        <v>X</v>
      </c>
      <c r="N11687" t="s">
        <v>27</v>
      </c>
    </row>
    <row r="11688" spans="1:14" x14ac:dyDescent="0.25">
      <c r="A11688" t="s">
        <v>44</v>
      </c>
      <c r="B11688" t="s">
        <v>39</v>
      </c>
      <c r="C11688" t="s">
        <v>35</v>
      </c>
      <c r="D11688" t="s">
        <v>33</v>
      </c>
      <c r="E11688" t="s">
        <v>22</v>
      </c>
      <c r="F11688" t="s">
        <v>17</v>
      </c>
      <c r="G11688" s="1" t="str">
        <f t="shared" ref="G11688:M11690" si="2626">"..."</f>
        <v>...</v>
      </c>
      <c r="H11688" s="1" t="str">
        <f t="shared" si="2626"/>
        <v>...</v>
      </c>
      <c r="I11688" s="1" t="str">
        <f t="shared" si="2626"/>
        <v>...</v>
      </c>
      <c r="J11688" s="1" t="str">
        <f t="shared" si="2626"/>
        <v>...</v>
      </c>
      <c r="K11688" s="1" t="str">
        <f t="shared" si="2626"/>
        <v>...</v>
      </c>
      <c r="L11688" s="1" t="str">
        <f t="shared" si="2626"/>
        <v>...</v>
      </c>
      <c r="M11688" s="1" t="str">
        <f t="shared" si="2626"/>
        <v>...</v>
      </c>
      <c r="N11688" t="s">
        <v>30</v>
      </c>
    </row>
    <row r="11689" spans="1:14" x14ac:dyDescent="0.25">
      <c r="A11689" t="s">
        <v>44</v>
      </c>
      <c r="B11689" t="s">
        <v>39</v>
      </c>
      <c r="C11689" t="s">
        <v>35</v>
      </c>
      <c r="D11689" t="s">
        <v>33</v>
      </c>
      <c r="E11689" t="s">
        <v>22</v>
      </c>
      <c r="F11689" t="s">
        <v>18</v>
      </c>
      <c r="G11689" s="1" t="str">
        <f t="shared" si="2626"/>
        <v>...</v>
      </c>
      <c r="H11689" s="1" t="str">
        <f t="shared" si="2626"/>
        <v>...</v>
      </c>
      <c r="I11689" s="1" t="str">
        <f t="shared" si="2626"/>
        <v>...</v>
      </c>
      <c r="J11689" s="1" t="str">
        <f t="shared" si="2626"/>
        <v>...</v>
      </c>
      <c r="K11689" s="1" t="str">
        <f t="shared" si="2626"/>
        <v>...</v>
      </c>
      <c r="L11689" s="1" t="str">
        <f t="shared" si="2626"/>
        <v>...</v>
      </c>
      <c r="M11689" s="1" t="str">
        <f t="shared" si="2626"/>
        <v>...</v>
      </c>
      <c r="N11689" t="s">
        <v>30</v>
      </c>
    </row>
    <row r="11690" spans="1:14" x14ac:dyDescent="0.25">
      <c r="A11690" t="s">
        <v>44</v>
      </c>
      <c r="B11690" t="s">
        <v>39</v>
      </c>
      <c r="C11690" t="s">
        <v>35</v>
      </c>
      <c r="D11690" t="s">
        <v>33</v>
      </c>
      <c r="E11690" t="s">
        <v>22</v>
      </c>
      <c r="F11690" t="s">
        <v>19</v>
      </c>
      <c r="G11690" s="1" t="str">
        <f t="shared" si="2626"/>
        <v>...</v>
      </c>
      <c r="H11690" s="1" t="str">
        <f t="shared" si="2626"/>
        <v>...</v>
      </c>
      <c r="I11690" s="1" t="str">
        <f t="shared" si="2626"/>
        <v>...</v>
      </c>
      <c r="J11690" s="1" t="str">
        <f t="shared" si="2626"/>
        <v>...</v>
      </c>
      <c r="K11690" s="1" t="str">
        <f t="shared" si="2626"/>
        <v>...</v>
      </c>
      <c r="L11690" s="1" t="str">
        <f t="shared" si="2626"/>
        <v>...</v>
      </c>
      <c r="M11690" s="1" t="str">
        <f t="shared" si="2626"/>
        <v>...</v>
      </c>
      <c r="N11690" t="s">
        <v>30</v>
      </c>
    </row>
    <row r="11691" spans="1:14" x14ac:dyDescent="0.25">
      <c r="A11691" t="s">
        <v>44</v>
      </c>
      <c r="B11691" t="s">
        <v>39</v>
      </c>
      <c r="C11691" t="s">
        <v>35</v>
      </c>
      <c r="D11691" t="s">
        <v>33</v>
      </c>
      <c r="E11691" t="s">
        <v>22</v>
      </c>
      <c r="F11691" t="s">
        <v>20</v>
      </c>
      <c r="G11691" s="1" t="str">
        <f t="shared" ref="G11691:M11692" si="2627">"X"</f>
        <v>X</v>
      </c>
      <c r="H11691" s="1" t="str">
        <f t="shared" si="2627"/>
        <v>X</v>
      </c>
      <c r="I11691" s="1" t="str">
        <f t="shared" si="2627"/>
        <v>X</v>
      </c>
      <c r="J11691" s="1" t="str">
        <f t="shared" si="2627"/>
        <v>X</v>
      </c>
      <c r="K11691" s="1" t="str">
        <f t="shared" si="2627"/>
        <v>X</v>
      </c>
      <c r="L11691" s="1" t="str">
        <f t="shared" si="2627"/>
        <v>X</v>
      </c>
      <c r="M11691" s="1" t="str">
        <f t="shared" si="2627"/>
        <v>X</v>
      </c>
      <c r="N11691" t="s">
        <v>27</v>
      </c>
    </row>
    <row r="11692" spans="1:14" x14ac:dyDescent="0.25">
      <c r="A11692" t="s">
        <v>44</v>
      </c>
      <c r="B11692" t="s">
        <v>39</v>
      </c>
      <c r="C11692" t="s">
        <v>35</v>
      </c>
      <c r="D11692" t="s">
        <v>33</v>
      </c>
      <c r="E11692" t="s">
        <v>23</v>
      </c>
      <c r="F11692" t="s">
        <v>15</v>
      </c>
      <c r="G11692" s="1" t="str">
        <f t="shared" si="2627"/>
        <v>X</v>
      </c>
      <c r="H11692" s="1" t="str">
        <f t="shared" si="2627"/>
        <v>X</v>
      </c>
      <c r="I11692" s="1" t="str">
        <f t="shared" si="2627"/>
        <v>X</v>
      </c>
      <c r="J11692" s="1" t="str">
        <f t="shared" si="2627"/>
        <v>X</v>
      </c>
      <c r="K11692" s="1" t="str">
        <f t="shared" si="2627"/>
        <v>X</v>
      </c>
      <c r="L11692" s="1" t="str">
        <f t="shared" si="2627"/>
        <v>X</v>
      </c>
      <c r="M11692" s="1" t="str">
        <f t="shared" si="2627"/>
        <v>X</v>
      </c>
      <c r="N11692" t="s">
        <v>27</v>
      </c>
    </row>
    <row r="11693" spans="1:14" x14ac:dyDescent="0.25">
      <c r="A11693" t="s">
        <v>44</v>
      </c>
      <c r="B11693" t="s">
        <v>39</v>
      </c>
      <c r="C11693" t="s">
        <v>35</v>
      </c>
      <c r="D11693" t="s">
        <v>33</v>
      </c>
      <c r="E11693" t="s">
        <v>23</v>
      </c>
      <c r="F11693" t="s">
        <v>17</v>
      </c>
      <c r="G11693" s="1" t="str">
        <f t="shared" ref="G11693:M11695" si="2628">"..."</f>
        <v>...</v>
      </c>
      <c r="H11693" s="1" t="str">
        <f t="shared" si="2628"/>
        <v>...</v>
      </c>
      <c r="I11693" s="1" t="str">
        <f t="shared" si="2628"/>
        <v>...</v>
      </c>
      <c r="J11693" s="1" t="str">
        <f t="shared" si="2628"/>
        <v>...</v>
      </c>
      <c r="K11693" s="1" t="str">
        <f t="shared" si="2628"/>
        <v>...</v>
      </c>
      <c r="L11693" s="1" t="str">
        <f t="shared" si="2628"/>
        <v>...</v>
      </c>
      <c r="M11693" s="1" t="str">
        <f t="shared" si="2628"/>
        <v>...</v>
      </c>
      <c r="N11693" t="s">
        <v>30</v>
      </c>
    </row>
    <row r="11694" spans="1:14" x14ac:dyDescent="0.25">
      <c r="A11694" t="s">
        <v>44</v>
      </c>
      <c r="B11694" t="s">
        <v>39</v>
      </c>
      <c r="C11694" t="s">
        <v>35</v>
      </c>
      <c r="D11694" t="s">
        <v>33</v>
      </c>
      <c r="E11694" t="s">
        <v>23</v>
      </c>
      <c r="F11694" t="s">
        <v>18</v>
      </c>
      <c r="G11694" s="1" t="str">
        <f t="shared" si="2628"/>
        <v>...</v>
      </c>
      <c r="H11694" s="1" t="str">
        <f t="shared" si="2628"/>
        <v>...</v>
      </c>
      <c r="I11694" s="1" t="str">
        <f t="shared" si="2628"/>
        <v>...</v>
      </c>
      <c r="J11694" s="1" t="str">
        <f t="shared" si="2628"/>
        <v>...</v>
      </c>
      <c r="K11694" s="1" t="str">
        <f t="shared" si="2628"/>
        <v>...</v>
      </c>
      <c r="L11694" s="1" t="str">
        <f t="shared" si="2628"/>
        <v>...</v>
      </c>
      <c r="M11694" s="1" t="str">
        <f t="shared" si="2628"/>
        <v>...</v>
      </c>
      <c r="N11694" t="s">
        <v>30</v>
      </c>
    </row>
    <row r="11695" spans="1:14" x14ac:dyDescent="0.25">
      <c r="A11695" t="s">
        <v>44</v>
      </c>
      <c r="B11695" t="s">
        <v>39</v>
      </c>
      <c r="C11695" t="s">
        <v>35</v>
      </c>
      <c r="D11695" t="s">
        <v>33</v>
      </c>
      <c r="E11695" t="s">
        <v>23</v>
      </c>
      <c r="F11695" t="s">
        <v>19</v>
      </c>
      <c r="G11695" s="1" t="str">
        <f t="shared" si="2628"/>
        <v>...</v>
      </c>
      <c r="H11695" s="1" t="str">
        <f t="shared" si="2628"/>
        <v>...</v>
      </c>
      <c r="I11695" s="1" t="str">
        <f t="shared" si="2628"/>
        <v>...</v>
      </c>
      <c r="J11695" s="1" t="str">
        <f t="shared" si="2628"/>
        <v>...</v>
      </c>
      <c r="K11695" s="1" t="str">
        <f t="shared" si="2628"/>
        <v>...</v>
      </c>
      <c r="L11695" s="1" t="str">
        <f t="shared" si="2628"/>
        <v>...</v>
      </c>
      <c r="M11695" s="1" t="str">
        <f t="shared" si="2628"/>
        <v>...</v>
      </c>
      <c r="N11695" t="s">
        <v>30</v>
      </c>
    </row>
    <row r="11696" spans="1:14" x14ac:dyDescent="0.25">
      <c r="A11696" t="s">
        <v>44</v>
      </c>
      <c r="B11696" t="s">
        <v>39</v>
      </c>
      <c r="C11696" t="s">
        <v>35</v>
      </c>
      <c r="D11696" t="s">
        <v>33</v>
      </c>
      <c r="E11696" t="s">
        <v>23</v>
      </c>
      <c r="F11696" t="s">
        <v>20</v>
      </c>
      <c r="G11696" s="1" t="str">
        <f t="shared" ref="G11696:M11696" si="2629">"X"</f>
        <v>X</v>
      </c>
      <c r="H11696" s="1" t="str">
        <f t="shared" si="2629"/>
        <v>X</v>
      </c>
      <c r="I11696" s="1" t="str">
        <f t="shared" si="2629"/>
        <v>X</v>
      </c>
      <c r="J11696" s="1" t="str">
        <f t="shared" si="2629"/>
        <v>X</v>
      </c>
      <c r="K11696" s="1" t="str">
        <f t="shared" si="2629"/>
        <v>X</v>
      </c>
      <c r="L11696" s="1" t="str">
        <f t="shared" si="2629"/>
        <v>X</v>
      </c>
      <c r="M11696" s="1" t="str">
        <f t="shared" si="2629"/>
        <v>X</v>
      </c>
      <c r="N11696" t="s">
        <v>27</v>
      </c>
    </row>
    <row r="11697" spans="1:14" x14ac:dyDescent="0.25">
      <c r="A11697" t="s">
        <v>44</v>
      </c>
      <c r="B11697" t="s">
        <v>39</v>
      </c>
      <c r="C11697" t="s">
        <v>35</v>
      </c>
      <c r="D11697" t="s">
        <v>33</v>
      </c>
      <c r="E11697" t="s">
        <v>26</v>
      </c>
      <c r="F11697" t="s">
        <v>15</v>
      </c>
      <c r="G11697" s="1" t="str">
        <f t="shared" ref="G11697:M11701" si="2630">"..."</f>
        <v>...</v>
      </c>
      <c r="H11697" s="1" t="str">
        <f t="shared" si="2630"/>
        <v>...</v>
      </c>
      <c r="I11697" s="1" t="str">
        <f t="shared" si="2630"/>
        <v>...</v>
      </c>
      <c r="J11697" s="1" t="str">
        <f t="shared" si="2630"/>
        <v>...</v>
      </c>
      <c r="K11697" s="1" t="str">
        <f t="shared" si="2630"/>
        <v>...</v>
      </c>
      <c r="L11697" s="1" t="str">
        <f t="shared" si="2630"/>
        <v>...</v>
      </c>
      <c r="M11697" s="1" t="str">
        <f t="shared" si="2630"/>
        <v>...</v>
      </c>
      <c r="N11697" t="s">
        <v>30</v>
      </c>
    </row>
    <row r="11698" spans="1:14" x14ac:dyDescent="0.25">
      <c r="A11698" t="s">
        <v>44</v>
      </c>
      <c r="B11698" t="s">
        <v>39</v>
      </c>
      <c r="C11698" t="s">
        <v>35</v>
      </c>
      <c r="D11698" t="s">
        <v>33</v>
      </c>
      <c r="E11698" t="s">
        <v>26</v>
      </c>
      <c r="F11698" t="s">
        <v>17</v>
      </c>
      <c r="G11698" s="1" t="str">
        <f t="shared" si="2630"/>
        <v>...</v>
      </c>
      <c r="H11698" s="1" t="str">
        <f t="shared" si="2630"/>
        <v>...</v>
      </c>
      <c r="I11698" s="1" t="str">
        <f t="shared" si="2630"/>
        <v>...</v>
      </c>
      <c r="J11698" s="1" t="str">
        <f t="shared" si="2630"/>
        <v>...</v>
      </c>
      <c r="K11698" s="1" t="str">
        <f t="shared" si="2630"/>
        <v>...</v>
      </c>
      <c r="L11698" s="1" t="str">
        <f t="shared" si="2630"/>
        <v>...</v>
      </c>
      <c r="M11698" s="1" t="str">
        <f t="shared" si="2630"/>
        <v>...</v>
      </c>
      <c r="N11698" t="s">
        <v>30</v>
      </c>
    </row>
    <row r="11699" spans="1:14" x14ac:dyDescent="0.25">
      <c r="A11699" t="s">
        <v>44</v>
      </c>
      <c r="B11699" t="s">
        <v>39</v>
      </c>
      <c r="C11699" t="s">
        <v>35</v>
      </c>
      <c r="D11699" t="s">
        <v>33</v>
      </c>
      <c r="E11699" t="s">
        <v>26</v>
      </c>
      <c r="F11699" t="s">
        <v>18</v>
      </c>
      <c r="G11699" s="1" t="str">
        <f t="shared" si="2630"/>
        <v>...</v>
      </c>
      <c r="H11699" s="1" t="str">
        <f t="shared" si="2630"/>
        <v>...</v>
      </c>
      <c r="I11699" s="1" t="str">
        <f t="shared" si="2630"/>
        <v>...</v>
      </c>
      <c r="J11699" s="1" t="str">
        <f t="shared" si="2630"/>
        <v>...</v>
      </c>
      <c r="K11699" s="1" t="str">
        <f t="shared" si="2630"/>
        <v>...</v>
      </c>
      <c r="L11699" s="1" t="str">
        <f t="shared" si="2630"/>
        <v>...</v>
      </c>
      <c r="M11699" s="1" t="str">
        <f t="shared" si="2630"/>
        <v>...</v>
      </c>
      <c r="N11699" t="s">
        <v>30</v>
      </c>
    </row>
    <row r="11700" spans="1:14" x14ac:dyDescent="0.25">
      <c r="A11700" t="s">
        <v>44</v>
      </c>
      <c r="B11700" t="s">
        <v>39</v>
      </c>
      <c r="C11700" t="s">
        <v>35</v>
      </c>
      <c r="D11700" t="s">
        <v>33</v>
      </c>
      <c r="E11700" t="s">
        <v>26</v>
      </c>
      <c r="F11700" t="s">
        <v>19</v>
      </c>
      <c r="G11700" s="1" t="str">
        <f t="shared" si="2630"/>
        <v>...</v>
      </c>
      <c r="H11700" s="1" t="str">
        <f t="shared" si="2630"/>
        <v>...</v>
      </c>
      <c r="I11700" s="1" t="str">
        <f t="shared" si="2630"/>
        <v>...</v>
      </c>
      <c r="J11700" s="1" t="str">
        <f t="shared" si="2630"/>
        <v>...</v>
      </c>
      <c r="K11700" s="1" t="str">
        <f t="shared" si="2630"/>
        <v>...</v>
      </c>
      <c r="L11700" s="1" t="str">
        <f t="shared" si="2630"/>
        <v>...</v>
      </c>
      <c r="M11700" s="1" t="str">
        <f t="shared" si="2630"/>
        <v>...</v>
      </c>
      <c r="N11700" t="s">
        <v>30</v>
      </c>
    </row>
    <row r="11701" spans="1:14" x14ac:dyDescent="0.25">
      <c r="A11701" t="s">
        <v>44</v>
      </c>
      <c r="B11701" t="s">
        <v>39</v>
      </c>
      <c r="C11701" t="s">
        <v>35</v>
      </c>
      <c r="D11701" t="s">
        <v>33</v>
      </c>
      <c r="E11701" t="s">
        <v>26</v>
      </c>
      <c r="F11701" t="s">
        <v>20</v>
      </c>
      <c r="G11701" s="1" t="str">
        <f t="shared" si="2630"/>
        <v>...</v>
      </c>
      <c r="H11701" s="1" t="str">
        <f t="shared" si="2630"/>
        <v>...</v>
      </c>
      <c r="I11701" s="1" t="str">
        <f t="shared" si="2630"/>
        <v>...</v>
      </c>
      <c r="J11701" s="1" t="str">
        <f t="shared" si="2630"/>
        <v>...</v>
      </c>
      <c r="K11701" s="1" t="str">
        <f t="shared" si="2630"/>
        <v>...</v>
      </c>
      <c r="L11701" s="1" t="str">
        <f t="shared" si="2630"/>
        <v>...</v>
      </c>
      <c r="M11701" s="1" t="str">
        <f t="shared" si="2630"/>
        <v>...</v>
      </c>
      <c r="N11701" t="s">
        <v>30</v>
      </c>
    </row>
    <row r="11702" spans="1:14" x14ac:dyDescent="0.25">
      <c r="A11702" t="s">
        <v>44</v>
      </c>
      <c r="B11702" t="s">
        <v>39</v>
      </c>
      <c r="C11702" t="s">
        <v>35</v>
      </c>
      <c r="D11702" t="s">
        <v>34</v>
      </c>
      <c r="E11702" t="s">
        <v>15</v>
      </c>
      <c r="F11702" t="s">
        <v>15</v>
      </c>
      <c r="G11702" s="1" t="str">
        <f t="shared" ref="G11702:M11702" si="2631">"X"</f>
        <v>X</v>
      </c>
      <c r="H11702" s="1" t="str">
        <f t="shared" si="2631"/>
        <v>X</v>
      </c>
      <c r="I11702" s="1" t="str">
        <f t="shared" si="2631"/>
        <v>X</v>
      </c>
      <c r="J11702" s="1" t="str">
        <f t="shared" si="2631"/>
        <v>X</v>
      </c>
      <c r="K11702" s="1" t="str">
        <f t="shared" si="2631"/>
        <v>X</v>
      </c>
      <c r="L11702" s="1" t="str">
        <f t="shared" si="2631"/>
        <v>X</v>
      </c>
      <c r="M11702" s="1" t="str">
        <f t="shared" si="2631"/>
        <v>X</v>
      </c>
      <c r="N11702" t="s">
        <v>27</v>
      </c>
    </row>
    <row r="11703" spans="1:14" x14ac:dyDescent="0.25">
      <c r="A11703" t="s">
        <v>44</v>
      </c>
      <c r="B11703" t="s">
        <v>39</v>
      </c>
      <c r="C11703" t="s">
        <v>35</v>
      </c>
      <c r="D11703" t="s">
        <v>34</v>
      </c>
      <c r="E11703" t="s">
        <v>15</v>
      </c>
      <c r="F11703" t="s">
        <v>17</v>
      </c>
      <c r="G11703" s="1" t="str">
        <f t="shared" ref="G11703:M11705" si="2632">"..."</f>
        <v>...</v>
      </c>
      <c r="H11703" s="1" t="str">
        <f t="shared" si="2632"/>
        <v>...</v>
      </c>
      <c r="I11703" s="1" t="str">
        <f t="shared" si="2632"/>
        <v>...</v>
      </c>
      <c r="J11703" s="1" t="str">
        <f t="shared" si="2632"/>
        <v>...</v>
      </c>
      <c r="K11703" s="1" t="str">
        <f t="shared" si="2632"/>
        <v>...</v>
      </c>
      <c r="L11703" s="1" t="str">
        <f t="shared" si="2632"/>
        <v>...</v>
      </c>
      <c r="M11703" s="1" t="str">
        <f t="shared" si="2632"/>
        <v>...</v>
      </c>
      <c r="N11703" t="s">
        <v>30</v>
      </c>
    </row>
    <row r="11704" spans="1:14" x14ac:dyDescent="0.25">
      <c r="A11704" t="s">
        <v>44</v>
      </c>
      <c r="B11704" t="s">
        <v>39</v>
      </c>
      <c r="C11704" t="s">
        <v>35</v>
      </c>
      <c r="D11704" t="s">
        <v>34</v>
      </c>
      <c r="E11704" t="s">
        <v>15</v>
      </c>
      <c r="F11704" t="s">
        <v>18</v>
      </c>
      <c r="G11704" s="1" t="str">
        <f t="shared" si="2632"/>
        <v>...</v>
      </c>
      <c r="H11704" s="1" t="str">
        <f t="shared" si="2632"/>
        <v>...</v>
      </c>
      <c r="I11704" s="1" t="str">
        <f t="shared" si="2632"/>
        <v>...</v>
      </c>
      <c r="J11704" s="1" t="str">
        <f t="shared" si="2632"/>
        <v>...</v>
      </c>
      <c r="K11704" s="1" t="str">
        <f t="shared" si="2632"/>
        <v>...</v>
      </c>
      <c r="L11704" s="1" t="str">
        <f t="shared" si="2632"/>
        <v>...</v>
      </c>
      <c r="M11704" s="1" t="str">
        <f t="shared" si="2632"/>
        <v>...</v>
      </c>
      <c r="N11704" t="s">
        <v>30</v>
      </c>
    </row>
    <row r="11705" spans="1:14" x14ac:dyDescent="0.25">
      <c r="A11705" t="s">
        <v>44</v>
      </c>
      <c r="B11705" t="s">
        <v>39</v>
      </c>
      <c r="C11705" t="s">
        <v>35</v>
      </c>
      <c r="D11705" t="s">
        <v>34</v>
      </c>
      <c r="E11705" t="s">
        <v>15</v>
      </c>
      <c r="F11705" t="s">
        <v>19</v>
      </c>
      <c r="G11705" s="1" t="str">
        <f t="shared" si="2632"/>
        <v>...</v>
      </c>
      <c r="H11705" s="1" t="str">
        <f t="shared" si="2632"/>
        <v>...</v>
      </c>
      <c r="I11705" s="1" t="str">
        <f t="shared" si="2632"/>
        <v>...</v>
      </c>
      <c r="J11705" s="1" t="str">
        <f t="shared" si="2632"/>
        <v>...</v>
      </c>
      <c r="K11705" s="1" t="str">
        <f t="shared" si="2632"/>
        <v>...</v>
      </c>
      <c r="L11705" s="1" t="str">
        <f t="shared" si="2632"/>
        <v>...</v>
      </c>
      <c r="M11705" s="1" t="str">
        <f t="shared" si="2632"/>
        <v>...</v>
      </c>
      <c r="N11705" t="s">
        <v>30</v>
      </c>
    </row>
    <row r="11706" spans="1:14" x14ac:dyDescent="0.25">
      <c r="A11706" t="s">
        <v>44</v>
      </c>
      <c r="B11706" t="s">
        <v>39</v>
      </c>
      <c r="C11706" t="s">
        <v>35</v>
      </c>
      <c r="D11706" t="s">
        <v>34</v>
      </c>
      <c r="E11706" t="s">
        <v>15</v>
      </c>
      <c r="F11706" t="s">
        <v>20</v>
      </c>
      <c r="G11706" s="1" t="str">
        <f t="shared" ref="G11706:M11707" si="2633">"X"</f>
        <v>X</v>
      </c>
      <c r="H11706" s="1" t="str">
        <f t="shared" si="2633"/>
        <v>X</v>
      </c>
      <c r="I11706" s="1" t="str">
        <f t="shared" si="2633"/>
        <v>X</v>
      </c>
      <c r="J11706" s="1" t="str">
        <f t="shared" si="2633"/>
        <v>X</v>
      </c>
      <c r="K11706" s="1" t="str">
        <f t="shared" si="2633"/>
        <v>X</v>
      </c>
      <c r="L11706" s="1" t="str">
        <f t="shared" si="2633"/>
        <v>X</v>
      </c>
      <c r="M11706" s="1" t="str">
        <f t="shared" si="2633"/>
        <v>X</v>
      </c>
      <c r="N11706" t="s">
        <v>27</v>
      </c>
    </row>
    <row r="11707" spans="1:14" x14ac:dyDescent="0.25">
      <c r="A11707" t="s">
        <v>44</v>
      </c>
      <c r="B11707" t="s">
        <v>39</v>
      </c>
      <c r="C11707" t="s">
        <v>35</v>
      </c>
      <c r="D11707" t="s">
        <v>34</v>
      </c>
      <c r="E11707" t="s">
        <v>21</v>
      </c>
      <c r="F11707" t="s">
        <v>15</v>
      </c>
      <c r="G11707" s="1" t="str">
        <f t="shared" si="2633"/>
        <v>X</v>
      </c>
      <c r="H11707" s="1" t="str">
        <f t="shared" si="2633"/>
        <v>X</v>
      </c>
      <c r="I11707" s="1" t="str">
        <f t="shared" si="2633"/>
        <v>X</v>
      </c>
      <c r="J11707" s="1" t="str">
        <f t="shared" si="2633"/>
        <v>X</v>
      </c>
      <c r="K11707" s="1" t="str">
        <f t="shared" si="2633"/>
        <v>X</v>
      </c>
      <c r="L11707" s="1" t="str">
        <f t="shared" si="2633"/>
        <v>X</v>
      </c>
      <c r="M11707" s="1" t="str">
        <f t="shared" si="2633"/>
        <v>X</v>
      </c>
      <c r="N11707" t="s">
        <v>27</v>
      </c>
    </row>
    <row r="11708" spans="1:14" x14ac:dyDescent="0.25">
      <c r="A11708" t="s">
        <v>44</v>
      </c>
      <c r="B11708" t="s">
        <v>39</v>
      </c>
      <c r="C11708" t="s">
        <v>35</v>
      </c>
      <c r="D11708" t="s">
        <v>34</v>
      </c>
      <c r="E11708" t="s">
        <v>21</v>
      </c>
      <c r="F11708" t="s">
        <v>17</v>
      </c>
      <c r="G11708" s="1" t="str">
        <f t="shared" ref="G11708:M11710" si="2634">"..."</f>
        <v>...</v>
      </c>
      <c r="H11708" s="1" t="str">
        <f t="shared" si="2634"/>
        <v>...</v>
      </c>
      <c r="I11708" s="1" t="str">
        <f t="shared" si="2634"/>
        <v>...</v>
      </c>
      <c r="J11708" s="1" t="str">
        <f t="shared" si="2634"/>
        <v>...</v>
      </c>
      <c r="K11708" s="1" t="str">
        <f t="shared" si="2634"/>
        <v>...</v>
      </c>
      <c r="L11708" s="1" t="str">
        <f t="shared" si="2634"/>
        <v>...</v>
      </c>
      <c r="M11708" s="1" t="str">
        <f t="shared" si="2634"/>
        <v>...</v>
      </c>
      <c r="N11708" t="s">
        <v>30</v>
      </c>
    </row>
    <row r="11709" spans="1:14" x14ac:dyDescent="0.25">
      <c r="A11709" t="s">
        <v>44</v>
      </c>
      <c r="B11709" t="s">
        <v>39</v>
      </c>
      <c r="C11709" t="s">
        <v>35</v>
      </c>
      <c r="D11709" t="s">
        <v>34</v>
      </c>
      <c r="E11709" t="s">
        <v>21</v>
      </c>
      <c r="F11709" t="s">
        <v>18</v>
      </c>
      <c r="G11709" s="1" t="str">
        <f t="shared" si="2634"/>
        <v>...</v>
      </c>
      <c r="H11709" s="1" t="str">
        <f t="shared" si="2634"/>
        <v>...</v>
      </c>
      <c r="I11709" s="1" t="str">
        <f t="shared" si="2634"/>
        <v>...</v>
      </c>
      <c r="J11709" s="1" t="str">
        <f t="shared" si="2634"/>
        <v>...</v>
      </c>
      <c r="K11709" s="1" t="str">
        <f t="shared" si="2634"/>
        <v>...</v>
      </c>
      <c r="L11709" s="1" t="str">
        <f t="shared" si="2634"/>
        <v>...</v>
      </c>
      <c r="M11709" s="1" t="str">
        <f t="shared" si="2634"/>
        <v>...</v>
      </c>
      <c r="N11709" t="s">
        <v>30</v>
      </c>
    </row>
    <row r="11710" spans="1:14" x14ac:dyDescent="0.25">
      <c r="A11710" t="s">
        <v>44</v>
      </c>
      <c r="B11710" t="s">
        <v>39</v>
      </c>
      <c r="C11710" t="s">
        <v>35</v>
      </c>
      <c r="D11710" t="s">
        <v>34</v>
      </c>
      <c r="E11710" t="s">
        <v>21</v>
      </c>
      <c r="F11710" t="s">
        <v>19</v>
      </c>
      <c r="G11710" s="1" t="str">
        <f t="shared" si="2634"/>
        <v>...</v>
      </c>
      <c r="H11710" s="1" t="str">
        <f t="shared" si="2634"/>
        <v>...</v>
      </c>
      <c r="I11710" s="1" t="str">
        <f t="shared" si="2634"/>
        <v>...</v>
      </c>
      <c r="J11710" s="1" t="str">
        <f t="shared" si="2634"/>
        <v>...</v>
      </c>
      <c r="K11710" s="1" t="str">
        <f t="shared" si="2634"/>
        <v>...</v>
      </c>
      <c r="L11710" s="1" t="str">
        <f t="shared" si="2634"/>
        <v>...</v>
      </c>
      <c r="M11710" s="1" t="str">
        <f t="shared" si="2634"/>
        <v>...</v>
      </c>
      <c r="N11710" t="s">
        <v>30</v>
      </c>
    </row>
    <row r="11711" spans="1:14" x14ac:dyDescent="0.25">
      <c r="A11711" t="s">
        <v>44</v>
      </c>
      <c r="B11711" t="s">
        <v>39</v>
      </c>
      <c r="C11711" t="s">
        <v>35</v>
      </c>
      <c r="D11711" t="s">
        <v>34</v>
      </c>
      <c r="E11711" t="s">
        <v>21</v>
      </c>
      <c r="F11711" t="s">
        <v>20</v>
      </c>
      <c r="G11711" s="1" t="str">
        <f t="shared" ref="G11711:M11712" si="2635">"X"</f>
        <v>X</v>
      </c>
      <c r="H11711" s="1" t="str">
        <f t="shared" si="2635"/>
        <v>X</v>
      </c>
      <c r="I11711" s="1" t="str">
        <f t="shared" si="2635"/>
        <v>X</v>
      </c>
      <c r="J11711" s="1" t="str">
        <f t="shared" si="2635"/>
        <v>X</v>
      </c>
      <c r="K11711" s="1" t="str">
        <f t="shared" si="2635"/>
        <v>X</v>
      </c>
      <c r="L11711" s="1" t="str">
        <f t="shared" si="2635"/>
        <v>X</v>
      </c>
      <c r="M11711" s="1" t="str">
        <f t="shared" si="2635"/>
        <v>X</v>
      </c>
      <c r="N11711" t="s">
        <v>27</v>
      </c>
    </row>
    <row r="11712" spans="1:14" x14ac:dyDescent="0.25">
      <c r="A11712" t="s">
        <v>44</v>
      </c>
      <c r="B11712" t="s">
        <v>39</v>
      </c>
      <c r="C11712" t="s">
        <v>35</v>
      </c>
      <c r="D11712" t="s">
        <v>34</v>
      </c>
      <c r="E11712" t="s">
        <v>22</v>
      </c>
      <c r="F11712" t="s">
        <v>15</v>
      </c>
      <c r="G11712" s="1" t="str">
        <f t="shared" si="2635"/>
        <v>X</v>
      </c>
      <c r="H11712" s="1" t="str">
        <f t="shared" si="2635"/>
        <v>X</v>
      </c>
      <c r="I11712" s="1" t="str">
        <f t="shared" si="2635"/>
        <v>X</v>
      </c>
      <c r="J11712" s="1" t="str">
        <f t="shared" si="2635"/>
        <v>X</v>
      </c>
      <c r="K11712" s="1" t="str">
        <f t="shared" si="2635"/>
        <v>X</v>
      </c>
      <c r="L11712" s="1" t="str">
        <f t="shared" si="2635"/>
        <v>X</v>
      </c>
      <c r="M11712" s="1" t="str">
        <f t="shared" si="2635"/>
        <v>X</v>
      </c>
      <c r="N11712" t="s">
        <v>27</v>
      </c>
    </row>
    <row r="11713" spans="1:14" x14ac:dyDescent="0.25">
      <c r="A11713" t="s">
        <v>44</v>
      </c>
      <c r="B11713" t="s">
        <v>39</v>
      </c>
      <c r="C11713" t="s">
        <v>35</v>
      </c>
      <c r="D11713" t="s">
        <v>34</v>
      </c>
      <c r="E11713" t="s">
        <v>22</v>
      </c>
      <c r="F11713" t="s">
        <v>17</v>
      </c>
      <c r="G11713" s="1" t="str">
        <f t="shared" ref="G11713:M11715" si="2636">"..."</f>
        <v>...</v>
      </c>
      <c r="H11713" s="1" t="str">
        <f t="shared" si="2636"/>
        <v>...</v>
      </c>
      <c r="I11713" s="1" t="str">
        <f t="shared" si="2636"/>
        <v>...</v>
      </c>
      <c r="J11713" s="1" t="str">
        <f t="shared" si="2636"/>
        <v>...</v>
      </c>
      <c r="K11713" s="1" t="str">
        <f t="shared" si="2636"/>
        <v>...</v>
      </c>
      <c r="L11713" s="1" t="str">
        <f t="shared" si="2636"/>
        <v>...</v>
      </c>
      <c r="M11713" s="1" t="str">
        <f t="shared" si="2636"/>
        <v>...</v>
      </c>
      <c r="N11713" t="s">
        <v>30</v>
      </c>
    </row>
    <row r="11714" spans="1:14" x14ac:dyDescent="0.25">
      <c r="A11714" t="s">
        <v>44</v>
      </c>
      <c r="B11714" t="s">
        <v>39</v>
      </c>
      <c r="C11714" t="s">
        <v>35</v>
      </c>
      <c r="D11714" t="s">
        <v>34</v>
      </c>
      <c r="E11714" t="s">
        <v>22</v>
      </c>
      <c r="F11714" t="s">
        <v>18</v>
      </c>
      <c r="G11714" s="1" t="str">
        <f t="shared" si="2636"/>
        <v>...</v>
      </c>
      <c r="H11714" s="1" t="str">
        <f t="shared" si="2636"/>
        <v>...</v>
      </c>
      <c r="I11714" s="1" t="str">
        <f t="shared" si="2636"/>
        <v>...</v>
      </c>
      <c r="J11714" s="1" t="str">
        <f t="shared" si="2636"/>
        <v>...</v>
      </c>
      <c r="K11714" s="1" t="str">
        <f t="shared" si="2636"/>
        <v>...</v>
      </c>
      <c r="L11714" s="1" t="str">
        <f t="shared" si="2636"/>
        <v>...</v>
      </c>
      <c r="M11714" s="1" t="str">
        <f t="shared" si="2636"/>
        <v>...</v>
      </c>
      <c r="N11714" t="s">
        <v>30</v>
      </c>
    </row>
    <row r="11715" spans="1:14" x14ac:dyDescent="0.25">
      <c r="A11715" t="s">
        <v>44</v>
      </c>
      <c r="B11715" t="s">
        <v>39</v>
      </c>
      <c r="C11715" t="s">
        <v>35</v>
      </c>
      <c r="D11715" t="s">
        <v>34</v>
      </c>
      <c r="E11715" t="s">
        <v>22</v>
      </c>
      <c r="F11715" t="s">
        <v>19</v>
      </c>
      <c r="G11715" s="1" t="str">
        <f t="shared" si="2636"/>
        <v>...</v>
      </c>
      <c r="H11715" s="1" t="str">
        <f t="shared" si="2636"/>
        <v>...</v>
      </c>
      <c r="I11715" s="1" t="str">
        <f t="shared" si="2636"/>
        <v>...</v>
      </c>
      <c r="J11715" s="1" t="str">
        <f t="shared" si="2636"/>
        <v>...</v>
      </c>
      <c r="K11715" s="1" t="str">
        <f t="shared" si="2636"/>
        <v>...</v>
      </c>
      <c r="L11715" s="1" t="str">
        <f t="shared" si="2636"/>
        <v>...</v>
      </c>
      <c r="M11715" s="1" t="str">
        <f t="shared" si="2636"/>
        <v>...</v>
      </c>
      <c r="N11715" t="s">
        <v>30</v>
      </c>
    </row>
    <row r="11716" spans="1:14" x14ac:dyDescent="0.25">
      <c r="A11716" t="s">
        <v>44</v>
      </c>
      <c r="B11716" t="s">
        <v>39</v>
      </c>
      <c r="C11716" t="s">
        <v>35</v>
      </c>
      <c r="D11716" t="s">
        <v>34</v>
      </c>
      <c r="E11716" t="s">
        <v>22</v>
      </c>
      <c r="F11716" t="s">
        <v>20</v>
      </c>
      <c r="G11716" s="1" t="str">
        <f t="shared" ref="G11716:M11717" si="2637">"X"</f>
        <v>X</v>
      </c>
      <c r="H11716" s="1" t="str">
        <f t="shared" si="2637"/>
        <v>X</v>
      </c>
      <c r="I11716" s="1" t="str">
        <f t="shared" si="2637"/>
        <v>X</v>
      </c>
      <c r="J11716" s="1" t="str">
        <f t="shared" si="2637"/>
        <v>X</v>
      </c>
      <c r="K11716" s="1" t="str">
        <f t="shared" si="2637"/>
        <v>X</v>
      </c>
      <c r="L11716" s="1" t="str">
        <f t="shared" si="2637"/>
        <v>X</v>
      </c>
      <c r="M11716" s="1" t="str">
        <f t="shared" si="2637"/>
        <v>X</v>
      </c>
      <c r="N11716" t="s">
        <v>27</v>
      </c>
    </row>
    <row r="11717" spans="1:14" x14ac:dyDescent="0.25">
      <c r="A11717" t="s">
        <v>44</v>
      </c>
      <c r="B11717" t="s">
        <v>39</v>
      </c>
      <c r="C11717" t="s">
        <v>35</v>
      </c>
      <c r="D11717" t="s">
        <v>34</v>
      </c>
      <c r="E11717" t="s">
        <v>23</v>
      </c>
      <c r="F11717" t="s">
        <v>15</v>
      </c>
      <c r="G11717" s="1" t="str">
        <f t="shared" si="2637"/>
        <v>X</v>
      </c>
      <c r="H11717" s="1" t="str">
        <f t="shared" si="2637"/>
        <v>X</v>
      </c>
      <c r="I11717" s="1" t="str">
        <f t="shared" si="2637"/>
        <v>X</v>
      </c>
      <c r="J11717" s="1" t="str">
        <f t="shared" si="2637"/>
        <v>X</v>
      </c>
      <c r="K11717" s="1" t="str">
        <f t="shared" si="2637"/>
        <v>X</v>
      </c>
      <c r="L11717" s="1" t="str">
        <f t="shared" si="2637"/>
        <v>X</v>
      </c>
      <c r="M11717" s="1" t="str">
        <f t="shared" si="2637"/>
        <v>X</v>
      </c>
      <c r="N11717" t="s">
        <v>27</v>
      </c>
    </row>
    <row r="11718" spans="1:14" x14ac:dyDescent="0.25">
      <c r="A11718" t="s">
        <v>44</v>
      </c>
      <c r="B11718" t="s">
        <v>39</v>
      </c>
      <c r="C11718" t="s">
        <v>35</v>
      </c>
      <c r="D11718" t="s">
        <v>34</v>
      </c>
      <c r="E11718" t="s">
        <v>23</v>
      </c>
      <c r="F11718" t="s">
        <v>17</v>
      </c>
      <c r="G11718" s="1" t="str">
        <f t="shared" ref="G11718:M11720" si="2638">"..."</f>
        <v>...</v>
      </c>
      <c r="H11718" s="1" t="str">
        <f t="shared" si="2638"/>
        <v>...</v>
      </c>
      <c r="I11718" s="1" t="str">
        <f t="shared" si="2638"/>
        <v>...</v>
      </c>
      <c r="J11718" s="1" t="str">
        <f t="shared" si="2638"/>
        <v>...</v>
      </c>
      <c r="K11718" s="1" t="str">
        <f t="shared" si="2638"/>
        <v>...</v>
      </c>
      <c r="L11718" s="1" t="str">
        <f t="shared" si="2638"/>
        <v>...</v>
      </c>
      <c r="M11718" s="1" t="str">
        <f t="shared" si="2638"/>
        <v>...</v>
      </c>
      <c r="N11718" t="s">
        <v>30</v>
      </c>
    </row>
    <row r="11719" spans="1:14" x14ac:dyDescent="0.25">
      <c r="A11719" t="s">
        <v>44</v>
      </c>
      <c r="B11719" t="s">
        <v>39</v>
      </c>
      <c r="C11719" t="s">
        <v>35</v>
      </c>
      <c r="D11719" t="s">
        <v>34</v>
      </c>
      <c r="E11719" t="s">
        <v>23</v>
      </c>
      <c r="F11719" t="s">
        <v>18</v>
      </c>
      <c r="G11719" s="1" t="str">
        <f t="shared" si="2638"/>
        <v>...</v>
      </c>
      <c r="H11719" s="1" t="str">
        <f t="shared" si="2638"/>
        <v>...</v>
      </c>
      <c r="I11719" s="1" t="str">
        <f t="shared" si="2638"/>
        <v>...</v>
      </c>
      <c r="J11719" s="1" t="str">
        <f t="shared" si="2638"/>
        <v>...</v>
      </c>
      <c r="K11719" s="1" t="str">
        <f t="shared" si="2638"/>
        <v>...</v>
      </c>
      <c r="L11719" s="1" t="str">
        <f t="shared" si="2638"/>
        <v>...</v>
      </c>
      <c r="M11719" s="1" t="str">
        <f t="shared" si="2638"/>
        <v>...</v>
      </c>
      <c r="N11719" t="s">
        <v>30</v>
      </c>
    </row>
    <row r="11720" spans="1:14" x14ac:dyDescent="0.25">
      <c r="A11720" t="s">
        <v>44</v>
      </c>
      <c r="B11720" t="s">
        <v>39</v>
      </c>
      <c r="C11720" t="s">
        <v>35</v>
      </c>
      <c r="D11720" t="s">
        <v>34</v>
      </c>
      <c r="E11720" t="s">
        <v>23</v>
      </c>
      <c r="F11720" t="s">
        <v>19</v>
      </c>
      <c r="G11720" s="1" t="str">
        <f t="shared" si="2638"/>
        <v>...</v>
      </c>
      <c r="H11720" s="1" t="str">
        <f t="shared" si="2638"/>
        <v>...</v>
      </c>
      <c r="I11720" s="1" t="str">
        <f t="shared" si="2638"/>
        <v>...</v>
      </c>
      <c r="J11720" s="1" t="str">
        <f t="shared" si="2638"/>
        <v>...</v>
      </c>
      <c r="K11720" s="1" t="str">
        <f t="shared" si="2638"/>
        <v>...</v>
      </c>
      <c r="L11720" s="1" t="str">
        <f t="shared" si="2638"/>
        <v>...</v>
      </c>
      <c r="M11720" s="1" t="str">
        <f t="shared" si="2638"/>
        <v>...</v>
      </c>
      <c r="N11720" t="s">
        <v>30</v>
      </c>
    </row>
    <row r="11721" spans="1:14" x14ac:dyDescent="0.25">
      <c r="A11721" t="s">
        <v>44</v>
      </c>
      <c r="B11721" t="s">
        <v>39</v>
      </c>
      <c r="C11721" t="s">
        <v>35</v>
      </c>
      <c r="D11721" t="s">
        <v>34</v>
      </c>
      <c r="E11721" t="s">
        <v>23</v>
      </c>
      <c r="F11721" t="s">
        <v>20</v>
      </c>
      <c r="G11721" s="1" t="str">
        <f t="shared" ref="G11721:M11721" si="2639">"X"</f>
        <v>X</v>
      </c>
      <c r="H11721" s="1" t="str">
        <f t="shared" si="2639"/>
        <v>X</v>
      </c>
      <c r="I11721" s="1" t="str">
        <f t="shared" si="2639"/>
        <v>X</v>
      </c>
      <c r="J11721" s="1" t="str">
        <f t="shared" si="2639"/>
        <v>X</v>
      </c>
      <c r="K11721" s="1" t="str">
        <f t="shared" si="2639"/>
        <v>X</v>
      </c>
      <c r="L11721" s="1" t="str">
        <f t="shared" si="2639"/>
        <v>X</v>
      </c>
      <c r="M11721" s="1" t="str">
        <f t="shared" si="2639"/>
        <v>X</v>
      </c>
      <c r="N11721" t="s">
        <v>27</v>
      </c>
    </row>
    <row r="11722" spans="1:14" x14ac:dyDescent="0.25">
      <c r="A11722" t="s">
        <v>44</v>
      </c>
      <c r="B11722" t="s">
        <v>39</v>
      </c>
      <c r="C11722" t="s">
        <v>35</v>
      </c>
      <c r="D11722" t="s">
        <v>34</v>
      </c>
      <c r="E11722" t="s">
        <v>26</v>
      </c>
      <c r="F11722" t="s">
        <v>15</v>
      </c>
      <c r="G11722" s="1" t="str">
        <f t="shared" ref="G11722:M11726" si="2640">"..."</f>
        <v>...</v>
      </c>
      <c r="H11722" s="1" t="str">
        <f t="shared" si="2640"/>
        <v>...</v>
      </c>
      <c r="I11722" s="1" t="str">
        <f t="shared" si="2640"/>
        <v>...</v>
      </c>
      <c r="J11722" s="1" t="str">
        <f t="shared" si="2640"/>
        <v>...</v>
      </c>
      <c r="K11722" s="1" t="str">
        <f t="shared" si="2640"/>
        <v>...</v>
      </c>
      <c r="L11722" s="1" t="str">
        <f t="shared" si="2640"/>
        <v>...</v>
      </c>
      <c r="M11722" s="1" t="str">
        <f t="shared" si="2640"/>
        <v>...</v>
      </c>
      <c r="N11722" t="s">
        <v>30</v>
      </c>
    </row>
    <row r="11723" spans="1:14" x14ac:dyDescent="0.25">
      <c r="A11723" t="s">
        <v>44</v>
      </c>
      <c r="B11723" t="s">
        <v>39</v>
      </c>
      <c r="C11723" t="s">
        <v>35</v>
      </c>
      <c r="D11723" t="s">
        <v>34</v>
      </c>
      <c r="E11723" t="s">
        <v>26</v>
      </c>
      <c r="F11723" t="s">
        <v>17</v>
      </c>
      <c r="G11723" s="1" t="str">
        <f t="shared" si="2640"/>
        <v>...</v>
      </c>
      <c r="H11723" s="1" t="str">
        <f t="shared" si="2640"/>
        <v>...</v>
      </c>
      <c r="I11723" s="1" t="str">
        <f t="shared" si="2640"/>
        <v>...</v>
      </c>
      <c r="J11723" s="1" t="str">
        <f t="shared" si="2640"/>
        <v>...</v>
      </c>
      <c r="K11723" s="1" t="str">
        <f t="shared" si="2640"/>
        <v>...</v>
      </c>
      <c r="L11723" s="1" t="str">
        <f t="shared" si="2640"/>
        <v>...</v>
      </c>
      <c r="M11723" s="1" t="str">
        <f t="shared" si="2640"/>
        <v>...</v>
      </c>
      <c r="N11723" t="s">
        <v>30</v>
      </c>
    </row>
    <row r="11724" spans="1:14" x14ac:dyDescent="0.25">
      <c r="A11724" t="s">
        <v>44</v>
      </c>
      <c r="B11724" t="s">
        <v>39</v>
      </c>
      <c r="C11724" t="s">
        <v>35</v>
      </c>
      <c r="D11724" t="s">
        <v>34</v>
      </c>
      <c r="E11724" t="s">
        <v>26</v>
      </c>
      <c r="F11724" t="s">
        <v>18</v>
      </c>
      <c r="G11724" s="1" t="str">
        <f t="shared" si="2640"/>
        <v>...</v>
      </c>
      <c r="H11724" s="1" t="str">
        <f t="shared" si="2640"/>
        <v>...</v>
      </c>
      <c r="I11724" s="1" t="str">
        <f t="shared" si="2640"/>
        <v>...</v>
      </c>
      <c r="J11724" s="1" t="str">
        <f t="shared" si="2640"/>
        <v>...</v>
      </c>
      <c r="K11724" s="1" t="str">
        <f t="shared" si="2640"/>
        <v>...</v>
      </c>
      <c r="L11724" s="1" t="str">
        <f t="shared" si="2640"/>
        <v>...</v>
      </c>
      <c r="M11724" s="1" t="str">
        <f t="shared" si="2640"/>
        <v>...</v>
      </c>
      <c r="N11724" t="s">
        <v>30</v>
      </c>
    </row>
    <row r="11725" spans="1:14" x14ac:dyDescent="0.25">
      <c r="A11725" t="s">
        <v>44</v>
      </c>
      <c r="B11725" t="s">
        <v>39</v>
      </c>
      <c r="C11725" t="s">
        <v>35</v>
      </c>
      <c r="D11725" t="s">
        <v>34</v>
      </c>
      <c r="E11725" t="s">
        <v>26</v>
      </c>
      <c r="F11725" t="s">
        <v>19</v>
      </c>
      <c r="G11725" s="1" t="str">
        <f t="shared" si="2640"/>
        <v>...</v>
      </c>
      <c r="H11725" s="1" t="str">
        <f t="shared" si="2640"/>
        <v>...</v>
      </c>
      <c r="I11725" s="1" t="str">
        <f t="shared" si="2640"/>
        <v>...</v>
      </c>
      <c r="J11725" s="1" t="str">
        <f t="shared" si="2640"/>
        <v>...</v>
      </c>
      <c r="K11725" s="1" t="str">
        <f t="shared" si="2640"/>
        <v>...</v>
      </c>
      <c r="L11725" s="1" t="str">
        <f t="shared" si="2640"/>
        <v>...</v>
      </c>
      <c r="M11725" s="1" t="str">
        <f t="shared" si="2640"/>
        <v>...</v>
      </c>
      <c r="N11725" t="s">
        <v>30</v>
      </c>
    </row>
    <row r="11726" spans="1:14" x14ac:dyDescent="0.25">
      <c r="A11726" t="s">
        <v>44</v>
      </c>
      <c r="B11726" t="s">
        <v>39</v>
      </c>
      <c r="C11726" t="s">
        <v>35</v>
      </c>
      <c r="D11726" t="s">
        <v>34</v>
      </c>
      <c r="E11726" t="s">
        <v>26</v>
      </c>
      <c r="F11726" t="s">
        <v>20</v>
      </c>
      <c r="G11726" s="1" t="str">
        <f t="shared" si="2640"/>
        <v>...</v>
      </c>
      <c r="H11726" s="1" t="str">
        <f t="shared" si="2640"/>
        <v>...</v>
      </c>
      <c r="I11726" s="1" t="str">
        <f t="shared" si="2640"/>
        <v>...</v>
      </c>
      <c r="J11726" s="1" t="str">
        <f t="shared" si="2640"/>
        <v>...</v>
      </c>
      <c r="K11726" s="1" t="str">
        <f t="shared" si="2640"/>
        <v>...</v>
      </c>
      <c r="L11726" s="1" t="str">
        <f t="shared" si="2640"/>
        <v>...</v>
      </c>
      <c r="M11726" s="1" t="str">
        <f t="shared" si="2640"/>
        <v>...</v>
      </c>
      <c r="N11726" t="s">
        <v>30</v>
      </c>
    </row>
    <row r="11727" spans="1:14" x14ac:dyDescent="0.25">
      <c r="A11727" t="s">
        <v>44</v>
      </c>
      <c r="B11727" t="s">
        <v>39</v>
      </c>
      <c r="C11727" t="s">
        <v>36</v>
      </c>
      <c r="D11727" t="s">
        <v>15</v>
      </c>
      <c r="E11727" t="s">
        <v>15</v>
      </c>
      <c r="F11727" t="s">
        <v>15</v>
      </c>
      <c r="G11727" s="1">
        <f>VALUE(14551.66)</f>
        <v>14551.66</v>
      </c>
      <c r="H11727" s="1">
        <f>VALUE(13917.95)</f>
        <v>13917.95</v>
      </c>
      <c r="I11727" s="1">
        <f>VALUE(3410)</f>
        <v>3410</v>
      </c>
      <c r="J11727" s="1">
        <f>VALUE(3973)</f>
        <v>3973</v>
      </c>
      <c r="K11727" s="1">
        <f>VALUE(4809)</f>
        <v>4809</v>
      </c>
      <c r="L11727" s="1">
        <f>VALUE(5793)</f>
        <v>5793</v>
      </c>
      <c r="M11727" s="1">
        <f>VALUE(6867)</f>
        <v>6867</v>
      </c>
      <c r="N11727" t="s">
        <v>16</v>
      </c>
    </row>
    <row r="11728" spans="1:14" x14ac:dyDescent="0.25">
      <c r="A11728" t="s">
        <v>44</v>
      </c>
      <c r="B11728" t="s">
        <v>39</v>
      </c>
      <c r="C11728" t="s">
        <v>36</v>
      </c>
      <c r="D11728" t="s">
        <v>15</v>
      </c>
      <c r="E11728" t="s">
        <v>15</v>
      </c>
      <c r="F11728" t="s">
        <v>17</v>
      </c>
      <c r="G11728" s="2">
        <f>VALUE(1029.26)</f>
        <v>1029.26</v>
      </c>
      <c r="H11728" s="3">
        <f>VALUE(1021.53)</f>
        <v>1021.53</v>
      </c>
      <c r="I11728" s="4">
        <f>VALUE(4023)</f>
        <v>4023</v>
      </c>
      <c r="J11728" s="5">
        <f>VALUE(4478)</f>
        <v>4478</v>
      </c>
      <c r="K11728" s="6">
        <f>VALUE(6499)</f>
        <v>6499</v>
      </c>
      <c r="L11728" s="7">
        <f>VALUE(7884)</f>
        <v>7884</v>
      </c>
      <c r="M11728" s="8">
        <f>VALUE(10267)</f>
        <v>10267</v>
      </c>
      <c r="N11728" t="s">
        <v>24</v>
      </c>
    </row>
    <row r="11729" spans="1:14" x14ac:dyDescent="0.25">
      <c r="A11729" t="s">
        <v>44</v>
      </c>
      <c r="B11729" t="s">
        <v>39</v>
      </c>
      <c r="C11729" t="s">
        <v>36</v>
      </c>
      <c r="D11729" t="s">
        <v>15</v>
      </c>
      <c r="E11729" t="s">
        <v>15</v>
      </c>
      <c r="F11729" t="s">
        <v>18</v>
      </c>
      <c r="G11729" s="2">
        <f>VALUE(1176.75)</f>
        <v>1176.75</v>
      </c>
      <c r="H11729" s="3">
        <f>VALUE(1163.82)</f>
        <v>1163.82</v>
      </c>
      <c r="I11729" s="1">
        <f>VALUE(3916)</f>
        <v>3916</v>
      </c>
      <c r="J11729" s="1">
        <f>VALUE(4770)</f>
        <v>4770</v>
      </c>
      <c r="K11729" s="1">
        <f>VALUE(5582)</f>
        <v>5582</v>
      </c>
      <c r="L11729" s="1">
        <f>VALUE(6626)</f>
        <v>6626</v>
      </c>
      <c r="M11729" s="1">
        <f>VALUE(8688)</f>
        <v>8688</v>
      </c>
      <c r="N11729" t="s">
        <v>25</v>
      </c>
    </row>
    <row r="11730" spans="1:14" x14ac:dyDescent="0.25">
      <c r="A11730" t="s">
        <v>44</v>
      </c>
      <c r="B11730" t="s">
        <v>39</v>
      </c>
      <c r="C11730" t="s">
        <v>36</v>
      </c>
      <c r="D11730" t="s">
        <v>15</v>
      </c>
      <c r="E11730" t="s">
        <v>15</v>
      </c>
      <c r="F11730" t="s">
        <v>19</v>
      </c>
      <c r="G11730" s="2">
        <f>VALUE(1725.15)</f>
        <v>1725.15</v>
      </c>
      <c r="H11730" s="3">
        <f>VALUE(1649.58)</f>
        <v>1649.58</v>
      </c>
      <c r="I11730" s="4">
        <f>VALUE(3581)</f>
        <v>3581</v>
      </c>
      <c r="J11730" s="1">
        <f>VALUE(4488)</f>
        <v>4488</v>
      </c>
      <c r="K11730" s="1">
        <f>VALUE(5221)</f>
        <v>5221</v>
      </c>
      <c r="L11730" s="1">
        <f>VALUE(6284)</f>
        <v>6284</v>
      </c>
      <c r="M11730" s="1">
        <f>VALUE(7248)</f>
        <v>7248</v>
      </c>
      <c r="N11730" t="s">
        <v>25</v>
      </c>
    </row>
    <row r="11731" spans="1:14" x14ac:dyDescent="0.25">
      <c r="A11731" t="s">
        <v>44</v>
      </c>
      <c r="B11731" t="s">
        <v>39</v>
      </c>
      <c r="C11731" t="s">
        <v>36</v>
      </c>
      <c r="D11731" t="s">
        <v>15</v>
      </c>
      <c r="E11731" t="s">
        <v>15</v>
      </c>
      <c r="F11731" t="s">
        <v>20</v>
      </c>
      <c r="G11731" s="1">
        <f>VALUE(10620.5)</f>
        <v>10620.5</v>
      </c>
      <c r="H11731" s="1">
        <f>VALUE(10083.02)</f>
        <v>10083.02</v>
      </c>
      <c r="I11731" s="1">
        <f>VALUE(3367)</f>
        <v>3367</v>
      </c>
      <c r="J11731" s="1">
        <f>VALUE(3815)</f>
        <v>3815</v>
      </c>
      <c r="K11731" s="1">
        <f>VALUE(4633)</f>
        <v>4633</v>
      </c>
      <c r="L11731" s="1">
        <f>VALUE(5416)</f>
        <v>5416</v>
      </c>
      <c r="M11731" s="1">
        <f>VALUE(6248)</f>
        <v>6248</v>
      </c>
      <c r="N11731" t="s">
        <v>16</v>
      </c>
    </row>
    <row r="11732" spans="1:14" x14ac:dyDescent="0.25">
      <c r="A11732" t="s">
        <v>44</v>
      </c>
      <c r="B11732" t="s">
        <v>39</v>
      </c>
      <c r="C11732" t="s">
        <v>36</v>
      </c>
      <c r="D11732" t="s">
        <v>15</v>
      </c>
      <c r="E11732" t="s">
        <v>21</v>
      </c>
      <c r="F11732" t="s">
        <v>15</v>
      </c>
      <c r="G11732" s="1">
        <f>VALUE(4274.86)</f>
        <v>4274.8599999999997</v>
      </c>
      <c r="H11732" s="1">
        <f>VALUE(4156.92)</f>
        <v>4156.92</v>
      </c>
      <c r="I11732" s="1">
        <f>VALUE(3770)</f>
        <v>3770</v>
      </c>
      <c r="J11732" s="1">
        <f>VALUE(4602)</f>
        <v>4602</v>
      </c>
      <c r="K11732" s="1">
        <f>VALUE(5582)</f>
        <v>5582</v>
      </c>
      <c r="L11732" s="1">
        <f>VALUE(6746)</f>
        <v>6746</v>
      </c>
      <c r="M11732" s="1">
        <f>VALUE(8455)</f>
        <v>8455</v>
      </c>
      <c r="N11732" t="s">
        <v>16</v>
      </c>
    </row>
    <row r="11733" spans="1:14" x14ac:dyDescent="0.25">
      <c r="A11733" t="s">
        <v>44</v>
      </c>
      <c r="B11733" t="s">
        <v>39</v>
      </c>
      <c r="C11733" t="s">
        <v>36</v>
      </c>
      <c r="D11733" t="s">
        <v>15</v>
      </c>
      <c r="E11733" t="s">
        <v>21</v>
      </c>
      <c r="F11733" t="s">
        <v>17</v>
      </c>
      <c r="G11733" s="2">
        <f>VALUE(563.75)</f>
        <v>563.75</v>
      </c>
      <c r="H11733" s="3">
        <f>VALUE(565.64)</f>
        <v>565.64</v>
      </c>
      <c r="I11733" s="4">
        <f>VALUE(4006)</f>
        <v>4006</v>
      </c>
      <c r="J11733" s="5">
        <f>VALUE(5760)</f>
        <v>5760</v>
      </c>
      <c r="K11733" s="6">
        <f>VALUE(7085)</f>
        <v>7085</v>
      </c>
      <c r="L11733" s="7">
        <f>VALUE(8992)</f>
        <v>8992</v>
      </c>
      <c r="M11733" s="8">
        <f>VALUE(12497)</f>
        <v>12497</v>
      </c>
      <c r="N11733" t="s">
        <v>24</v>
      </c>
    </row>
    <row r="11734" spans="1:14" x14ac:dyDescent="0.25">
      <c r="A11734" t="s">
        <v>44</v>
      </c>
      <c r="B11734" t="s">
        <v>39</v>
      </c>
      <c r="C11734" t="s">
        <v>36</v>
      </c>
      <c r="D11734" t="s">
        <v>15</v>
      </c>
      <c r="E11734" t="s">
        <v>21</v>
      </c>
      <c r="F11734" t="s">
        <v>18</v>
      </c>
      <c r="G11734" s="2">
        <f>VALUE(628.94)</f>
        <v>628.94000000000005</v>
      </c>
      <c r="H11734" s="3">
        <f>VALUE(605.92)</f>
        <v>605.91999999999996</v>
      </c>
      <c r="I11734" s="1">
        <f>VALUE(4642)</f>
        <v>4642</v>
      </c>
      <c r="J11734" s="1">
        <f>VALUE(5286)</f>
        <v>5286</v>
      </c>
      <c r="K11734" s="1">
        <f>VALUE(6052)</f>
        <v>6052</v>
      </c>
      <c r="L11734" s="1">
        <f>VALUE(7557)</f>
        <v>7557</v>
      </c>
      <c r="M11734" s="1">
        <f>VALUE(9738)</f>
        <v>9738</v>
      </c>
      <c r="N11734" t="s">
        <v>25</v>
      </c>
    </row>
    <row r="11735" spans="1:14" x14ac:dyDescent="0.25">
      <c r="A11735" t="s">
        <v>44</v>
      </c>
      <c r="B11735" t="s">
        <v>39</v>
      </c>
      <c r="C11735" t="s">
        <v>36</v>
      </c>
      <c r="D11735" t="s">
        <v>15</v>
      </c>
      <c r="E11735" t="s">
        <v>21</v>
      </c>
      <c r="F11735" t="s">
        <v>19</v>
      </c>
      <c r="G11735" s="2">
        <f>VALUE(580.57)</f>
        <v>580.57000000000005</v>
      </c>
      <c r="H11735" s="3">
        <f>VALUE(548.98)</f>
        <v>548.98</v>
      </c>
      <c r="I11735" s="1">
        <f>VALUE(3577)</f>
        <v>3577</v>
      </c>
      <c r="J11735" s="5">
        <f>VALUE(4332)</f>
        <v>4332</v>
      </c>
      <c r="K11735" s="1">
        <f>VALUE(5632)</f>
        <v>5632</v>
      </c>
      <c r="L11735" s="1">
        <f>VALUE(6784)</f>
        <v>6784</v>
      </c>
      <c r="M11735" s="1">
        <f>VALUE(8235)</f>
        <v>8235</v>
      </c>
      <c r="N11735" t="s">
        <v>25</v>
      </c>
    </row>
    <row r="11736" spans="1:14" x14ac:dyDescent="0.25">
      <c r="A11736" t="s">
        <v>44</v>
      </c>
      <c r="B11736" t="s">
        <v>39</v>
      </c>
      <c r="C11736" t="s">
        <v>36</v>
      </c>
      <c r="D11736" t="s">
        <v>15</v>
      </c>
      <c r="E11736" t="s">
        <v>21</v>
      </c>
      <c r="F11736" t="s">
        <v>20</v>
      </c>
      <c r="G11736" s="1">
        <f>VALUE(2501.6)</f>
        <v>2501.6</v>
      </c>
      <c r="H11736" s="1">
        <f>VALUE(2436.38)</f>
        <v>2436.38</v>
      </c>
      <c r="I11736" s="1">
        <f>VALUE(3587)</f>
        <v>3587</v>
      </c>
      <c r="J11736" s="1">
        <f>VALUE(4324)</f>
        <v>4324</v>
      </c>
      <c r="K11736" s="1">
        <f>VALUE(5145)</f>
        <v>5145</v>
      </c>
      <c r="L11736" s="1">
        <f>VALUE(6053)</f>
        <v>6053</v>
      </c>
      <c r="M11736" s="1">
        <f>VALUE(7191)</f>
        <v>7191</v>
      </c>
      <c r="N11736" t="s">
        <v>16</v>
      </c>
    </row>
    <row r="11737" spans="1:14" x14ac:dyDescent="0.25">
      <c r="A11737" t="s">
        <v>44</v>
      </c>
      <c r="B11737" t="s">
        <v>39</v>
      </c>
      <c r="C11737" t="s">
        <v>36</v>
      </c>
      <c r="D11737" t="s">
        <v>15</v>
      </c>
      <c r="E11737" t="s">
        <v>22</v>
      </c>
      <c r="F11737" t="s">
        <v>15</v>
      </c>
      <c r="G11737" s="1">
        <f>VALUE(6361.31)</f>
        <v>6361.31</v>
      </c>
      <c r="H11737" s="1">
        <f>VALUE(6168.78)</f>
        <v>6168.78</v>
      </c>
      <c r="I11737" s="1">
        <f>VALUE(3597)</f>
        <v>3597</v>
      </c>
      <c r="J11737" s="1">
        <f>VALUE(4126)</f>
        <v>4126</v>
      </c>
      <c r="K11737" s="1">
        <f>VALUE(4793)</f>
        <v>4793</v>
      </c>
      <c r="L11737" s="1">
        <f>VALUE(5550)</f>
        <v>5550</v>
      </c>
      <c r="M11737" s="1">
        <f>VALUE(6394)</f>
        <v>6394</v>
      </c>
      <c r="N11737" t="s">
        <v>16</v>
      </c>
    </row>
    <row r="11738" spans="1:14" x14ac:dyDescent="0.25">
      <c r="A11738" t="s">
        <v>44</v>
      </c>
      <c r="B11738" t="s">
        <v>39</v>
      </c>
      <c r="C11738" t="s">
        <v>36</v>
      </c>
      <c r="D11738" t="s">
        <v>15</v>
      </c>
      <c r="E11738" t="s">
        <v>22</v>
      </c>
      <c r="F11738" t="s">
        <v>17</v>
      </c>
      <c r="G11738" s="2">
        <f>VALUE(356.79)</f>
        <v>356.79</v>
      </c>
      <c r="H11738" s="3">
        <f>VALUE(357.96)</f>
        <v>357.96</v>
      </c>
      <c r="I11738" s="1">
        <f>VALUE(4357)</f>
        <v>4357</v>
      </c>
      <c r="J11738" s="5">
        <f>VALUE(4478)</f>
        <v>4478</v>
      </c>
      <c r="K11738" s="6">
        <f>VALUE(5054)</f>
        <v>5054</v>
      </c>
      <c r="L11738" s="7">
        <f>VALUE(7012)</f>
        <v>7012</v>
      </c>
      <c r="M11738" s="8">
        <f>VALUE(7651)</f>
        <v>7651</v>
      </c>
      <c r="N11738" t="s">
        <v>25</v>
      </c>
    </row>
    <row r="11739" spans="1:14" x14ac:dyDescent="0.25">
      <c r="A11739" t="s">
        <v>44</v>
      </c>
      <c r="B11739" t="s">
        <v>39</v>
      </c>
      <c r="C11739" t="s">
        <v>36</v>
      </c>
      <c r="D11739" t="s">
        <v>15</v>
      </c>
      <c r="E11739" t="s">
        <v>22</v>
      </c>
      <c r="F11739" t="s">
        <v>18</v>
      </c>
      <c r="G11739" s="2">
        <f>VALUE(432.84)</f>
        <v>432.84</v>
      </c>
      <c r="H11739" s="3">
        <f>VALUE(442.9)</f>
        <v>442.9</v>
      </c>
      <c r="I11739" s="4">
        <f>VALUE(4091)</f>
        <v>4091</v>
      </c>
      <c r="J11739" s="5">
        <f>VALUE(4344)</f>
        <v>4344</v>
      </c>
      <c r="K11739" s="1">
        <f>VALUE(5174)</f>
        <v>5174</v>
      </c>
      <c r="L11739" s="1">
        <f>VALUE(5952)</f>
        <v>5952</v>
      </c>
      <c r="M11739" s="1">
        <f>VALUE(6694)</f>
        <v>6694</v>
      </c>
      <c r="N11739" t="s">
        <v>25</v>
      </c>
    </row>
    <row r="11740" spans="1:14" x14ac:dyDescent="0.25">
      <c r="A11740" t="s">
        <v>44</v>
      </c>
      <c r="B11740" t="s">
        <v>39</v>
      </c>
      <c r="C11740" t="s">
        <v>36</v>
      </c>
      <c r="D11740" t="s">
        <v>15</v>
      </c>
      <c r="E11740" t="s">
        <v>22</v>
      </c>
      <c r="F11740" t="s">
        <v>19</v>
      </c>
      <c r="G11740" s="2">
        <f>VALUE(936.62)</f>
        <v>936.62</v>
      </c>
      <c r="H11740" s="3">
        <f>VALUE(897.13)</f>
        <v>897.13</v>
      </c>
      <c r="I11740" s="1">
        <f>VALUE(3953)</f>
        <v>3953</v>
      </c>
      <c r="J11740" s="1">
        <f>VALUE(4523)</f>
        <v>4523</v>
      </c>
      <c r="K11740" s="1">
        <f>VALUE(5221)</f>
        <v>5221</v>
      </c>
      <c r="L11740" s="1">
        <f>VALUE(6284)</f>
        <v>6284</v>
      </c>
      <c r="M11740" s="1">
        <f>VALUE(6788)</f>
        <v>6788</v>
      </c>
      <c r="N11740" t="s">
        <v>25</v>
      </c>
    </row>
    <row r="11741" spans="1:14" x14ac:dyDescent="0.25">
      <c r="A11741" t="s">
        <v>44</v>
      </c>
      <c r="B11741" t="s">
        <v>39</v>
      </c>
      <c r="C11741" t="s">
        <v>36</v>
      </c>
      <c r="D11741" t="s">
        <v>15</v>
      </c>
      <c r="E11741" t="s">
        <v>22</v>
      </c>
      <c r="F11741" t="s">
        <v>20</v>
      </c>
      <c r="G11741" s="1">
        <f>VALUE(4635.06)</f>
        <v>4635.0600000000004</v>
      </c>
      <c r="H11741" s="1">
        <f>VALUE(4470.79)</f>
        <v>4470.79</v>
      </c>
      <c r="I11741" s="1">
        <f>VALUE(3514)</f>
        <v>3514</v>
      </c>
      <c r="J11741" s="1">
        <f>VALUE(4002)</f>
        <v>4002</v>
      </c>
      <c r="K11741" s="1">
        <f>VALUE(4675)</f>
        <v>4675</v>
      </c>
      <c r="L11741" s="1">
        <f>VALUE(5391)</f>
        <v>5391</v>
      </c>
      <c r="M11741" s="1">
        <f>VALUE(6080)</f>
        <v>6080</v>
      </c>
      <c r="N11741" t="s">
        <v>16</v>
      </c>
    </row>
    <row r="11742" spans="1:14" x14ac:dyDescent="0.25">
      <c r="A11742" t="s">
        <v>44</v>
      </c>
      <c r="B11742" t="s">
        <v>39</v>
      </c>
      <c r="C11742" t="s">
        <v>36</v>
      </c>
      <c r="D11742" t="s">
        <v>15</v>
      </c>
      <c r="E11742" t="s">
        <v>23</v>
      </c>
      <c r="F11742" t="s">
        <v>15</v>
      </c>
      <c r="G11742" s="2">
        <f>VALUE(3706.43)</f>
        <v>3706.43</v>
      </c>
      <c r="H11742" s="3">
        <f>VALUE(3382.1)</f>
        <v>3382.1</v>
      </c>
      <c r="I11742" s="1">
        <f>VALUE(3180)</f>
        <v>3180</v>
      </c>
      <c r="J11742" s="1">
        <f>VALUE(3497)</f>
        <v>3497</v>
      </c>
      <c r="K11742" s="1">
        <f>VALUE(4075)</f>
        <v>4075</v>
      </c>
      <c r="L11742" s="1">
        <f>VALUE(4877)</f>
        <v>4877</v>
      </c>
      <c r="M11742" s="1">
        <f>VALUE(5772)</f>
        <v>5772</v>
      </c>
      <c r="N11742" t="s">
        <v>25</v>
      </c>
    </row>
    <row r="11743" spans="1:14" x14ac:dyDescent="0.25">
      <c r="A11743" t="s">
        <v>44</v>
      </c>
      <c r="B11743" t="s">
        <v>39</v>
      </c>
      <c r="C11743" t="s">
        <v>36</v>
      </c>
      <c r="D11743" t="s">
        <v>15</v>
      </c>
      <c r="E11743" t="s">
        <v>23</v>
      </c>
      <c r="F11743" t="s">
        <v>17</v>
      </c>
      <c r="G11743" s="1" t="str">
        <f t="shared" ref="G11743:M11745" si="2641">"X"</f>
        <v>X</v>
      </c>
      <c r="H11743" s="1" t="str">
        <f t="shared" si="2641"/>
        <v>X</v>
      </c>
      <c r="I11743" s="1" t="str">
        <f t="shared" si="2641"/>
        <v>X</v>
      </c>
      <c r="J11743" s="1" t="str">
        <f t="shared" si="2641"/>
        <v>X</v>
      </c>
      <c r="K11743" s="1" t="str">
        <f t="shared" si="2641"/>
        <v>X</v>
      </c>
      <c r="L11743" s="1" t="str">
        <f t="shared" si="2641"/>
        <v>X</v>
      </c>
      <c r="M11743" s="1" t="str">
        <f t="shared" si="2641"/>
        <v>X</v>
      </c>
      <c r="N11743" t="s">
        <v>27</v>
      </c>
    </row>
    <row r="11744" spans="1:14" x14ac:dyDescent="0.25">
      <c r="A11744" t="s">
        <v>44</v>
      </c>
      <c r="B11744" t="s">
        <v>39</v>
      </c>
      <c r="C11744" t="s">
        <v>36</v>
      </c>
      <c r="D11744" t="s">
        <v>15</v>
      </c>
      <c r="E11744" t="s">
        <v>23</v>
      </c>
      <c r="F11744" t="s">
        <v>18</v>
      </c>
      <c r="G11744" s="1" t="str">
        <f t="shared" si="2641"/>
        <v>X</v>
      </c>
      <c r="H11744" s="1" t="str">
        <f t="shared" si="2641"/>
        <v>X</v>
      </c>
      <c r="I11744" s="1" t="str">
        <f t="shared" si="2641"/>
        <v>X</v>
      </c>
      <c r="J11744" s="1" t="str">
        <f t="shared" si="2641"/>
        <v>X</v>
      </c>
      <c r="K11744" s="1" t="str">
        <f t="shared" si="2641"/>
        <v>X</v>
      </c>
      <c r="L11744" s="1" t="str">
        <f t="shared" si="2641"/>
        <v>X</v>
      </c>
      <c r="M11744" s="1" t="str">
        <f t="shared" si="2641"/>
        <v>X</v>
      </c>
      <c r="N11744" t="s">
        <v>27</v>
      </c>
    </row>
    <row r="11745" spans="1:14" x14ac:dyDescent="0.25">
      <c r="A11745" t="s">
        <v>44</v>
      </c>
      <c r="B11745" t="s">
        <v>39</v>
      </c>
      <c r="C11745" t="s">
        <v>36</v>
      </c>
      <c r="D11745" t="s">
        <v>15</v>
      </c>
      <c r="E11745" t="s">
        <v>23</v>
      </c>
      <c r="F11745" t="s">
        <v>19</v>
      </c>
      <c r="G11745" s="1" t="str">
        <f t="shared" si="2641"/>
        <v>X</v>
      </c>
      <c r="H11745" s="1" t="str">
        <f t="shared" si="2641"/>
        <v>X</v>
      </c>
      <c r="I11745" s="1" t="str">
        <f t="shared" si="2641"/>
        <v>X</v>
      </c>
      <c r="J11745" s="1" t="str">
        <f t="shared" si="2641"/>
        <v>X</v>
      </c>
      <c r="K11745" s="1" t="str">
        <f t="shared" si="2641"/>
        <v>X</v>
      </c>
      <c r="L11745" s="1" t="str">
        <f t="shared" si="2641"/>
        <v>X</v>
      </c>
      <c r="M11745" s="1" t="str">
        <f t="shared" si="2641"/>
        <v>X</v>
      </c>
      <c r="N11745" t="s">
        <v>27</v>
      </c>
    </row>
    <row r="11746" spans="1:14" x14ac:dyDescent="0.25">
      <c r="A11746" t="s">
        <v>44</v>
      </c>
      <c r="B11746" t="s">
        <v>39</v>
      </c>
      <c r="C11746" t="s">
        <v>36</v>
      </c>
      <c r="D11746" t="s">
        <v>15</v>
      </c>
      <c r="E11746" t="s">
        <v>23</v>
      </c>
      <c r="F11746" t="s">
        <v>20</v>
      </c>
      <c r="G11746" s="2">
        <f>VALUE(3290.07)</f>
        <v>3290.07</v>
      </c>
      <c r="H11746" s="3">
        <f>VALUE(2981.19)</f>
        <v>2981.19</v>
      </c>
      <c r="I11746" s="1">
        <f>VALUE(3152)</f>
        <v>3152</v>
      </c>
      <c r="J11746" s="1">
        <f>VALUE(3457)</f>
        <v>3457</v>
      </c>
      <c r="K11746" s="1">
        <f>VALUE(4010)</f>
        <v>4010</v>
      </c>
      <c r="L11746" s="1">
        <f>VALUE(4805)</f>
        <v>4805</v>
      </c>
      <c r="M11746" s="1">
        <f>VALUE(5751)</f>
        <v>5751</v>
      </c>
      <c r="N11746" t="s">
        <v>25</v>
      </c>
    </row>
    <row r="11747" spans="1:14" x14ac:dyDescent="0.25">
      <c r="A11747" t="s">
        <v>44</v>
      </c>
      <c r="B11747" t="s">
        <v>39</v>
      </c>
      <c r="C11747" t="s">
        <v>36</v>
      </c>
      <c r="D11747" t="s">
        <v>15</v>
      </c>
      <c r="E11747" t="s">
        <v>26</v>
      </c>
      <c r="F11747" t="s">
        <v>15</v>
      </c>
      <c r="G11747" s="2">
        <f>VALUE(209.06)</f>
        <v>209.06</v>
      </c>
      <c r="H11747" s="3">
        <f>VALUE(210.15)</f>
        <v>210.15</v>
      </c>
      <c r="I11747" s="1">
        <f>VALUE(4154)</f>
        <v>4154</v>
      </c>
      <c r="J11747" s="1">
        <f>VALUE(4466)</f>
        <v>4466</v>
      </c>
      <c r="K11747" s="1">
        <f>VALUE(5050)</f>
        <v>5050</v>
      </c>
      <c r="L11747" s="1">
        <f>VALUE(6084)</f>
        <v>6084</v>
      </c>
      <c r="M11747" s="1">
        <f>VALUE(7088)</f>
        <v>7088</v>
      </c>
      <c r="N11747" t="s">
        <v>25</v>
      </c>
    </row>
    <row r="11748" spans="1:14" x14ac:dyDescent="0.25">
      <c r="A11748" t="s">
        <v>44</v>
      </c>
      <c r="B11748" t="s">
        <v>39</v>
      </c>
      <c r="C11748" t="s">
        <v>36</v>
      </c>
      <c r="D11748" t="s">
        <v>15</v>
      </c>
      <c r="E11748" t="s">
        <v>26</v>
      </c>
      <c r="F11748" t="s">
        <v>17</v>
      </c>
      <c r="G11748" s="1" t="str">
        <f t="shared" ref="G11748:M11750" si="2642">"X"</f>
        <v>X</v>
      </c>
      <c r="H11748" s="1" t="str">
        <f t="shared" si="2642"/>
        <v>X</v>
      </c>
      <c r="I11748" s="1" t="str">
        <f t="shared" si="2642"/>
        <v>X</v>
      </c>
      <c r="J11748" s="1" t="str">
        <f t="shared" si="2642"/>
        <v>X</v>
      </c>
      <c r="K11748" s="1" t="str">
        <f t="shared" si="2642"/>
        <v>X</v>
      </c>
      <c r="L11748" s="1" t="str">
        <f t="shared" si="2642"/>
        <v>X</v>
      </c>
      <c r="M11748" s="1" t="str">
        <f t="shared" si="2642"/>
        <v>X</v>
      </c>
      <c r="N11748" t="s">
        <v>27</v>
      </c>
    </row>
    <row r="11749" spans="1:14" x14ac:dyDescent="0.25">
      <c r="A11749" t="s">
        <v>44</v>
      </c>
      <c r="B11749" t="s">
        <v>39</v>
      </c>
      <c r="C11749" t="s">
        <v>36</v>
      </c>
      <c r="D11749" t="s">
        <v>15</v>
      </c>
      <c r="E11749" t="s">
        <v>26</v>
      </c>
      <c r="F11749" t="s">
        <v>18</v>
      </c>
      <c r="G11749" s="1" t="str">
        <f t="shared" si="2642"/>
        <v>X</v>
      </c>
      <c r="H11749" s="1" t="str">
        <f t="shared" si="2642"/>
        <v>X</v>
      </c>
      <c r="I11749" s="1" t="str">
        <f t="shared" si="2642"/>
        <v>X</v>
      </c>
      <c r="J11749" s="1" t="str">
        <f t="shared" si="2642"/>
        <v>X</v>
      </c>
      <c r="K11749" s="1" t="str">
        <f t="shared" si="2642"/>
        <v>X</v>
      </c>
      <c r="L11749" s="1" t="str">
        <f t="shared" si="2642"/>
        <v>X</v>
      </c>
      <c r="M11749" s="1" t="str">
        <f t="shared" si="2642"/>
        <v>X</v>
      </c>
      <c r="N11749" t="s">
        <v>27</v>
      </c>
    </row>
    <row r="11750" spans="1:14" x14ac:dyDescent="0.25">
      <c r="A11750" t="s">
        <v>44</v>
      </c>
      <c r="B11750" t="s">
        <v>39</v>
      </c>
      <c r="C11750" t="s">
        <v>36</v>
      </c>
      <c r="D11750" t="s">
        <v>15</v>
      </c>
      <c r="E11750" t="s">
        <v>26</v>
      </c>
      <c r="F11750" t="s">
        <v>19</v>
      </c>
      <c r="G11750" s="1" t="str">
        <f t="shared" si="2642"/>
        <v>X</v>
      </c>
      <c r="H11750" s="1" t="str">
        <f t="shared" si="2642"/>
        <v>X</v>
      </c>
      <c r="I11750" s="1" t="str">
        <f t="shared" si="2642"/>
        <v>X</v>
      </c>
      <c r="J11750" s="1" t="str">
        <f t="shared" si="2642"/>
        <v>X</v>
      </c>
      <c r="K11750" s="1" t="str">
        <f t="shared" si="2642"/>
        <v>X</v>
      </c>
      <c r="L11750" s="1" t="str">
        <f t="shared" si="2642"/>
        <v>X</v>
      </c>
      <c r="M11750" s="1" t="str">
        <f t="shared" si="2642"/>
        <v>X</v>
      </c>
      <c r="N11750" t="s">
        <v>27</v>
      </c>
    </row>
    <row r="11751" spans="1:14" x14ac:dyDescent="0.25">
      <c r="A11751" t="s">
        <v>44</v>
      </c>
      <c r="B11751" t="s">
        <v>39</v>
      </c>
      <c r="C11751" t="s">
        <v>36</v>
      </c>
      <c r="D11751" t="s">
        <v>15</v>
      </c>
      <c r="E11751" t="s">
        <v>26</v>
      </c>
      <c r="F11751" t="s">
        <v>20</v>
      </c>
      <c r="G11751" s="2">
        <f>VALUE(193.77)</f>
        <v>193.77</v>
      </c>
      <c r="H11751" s="3">
        <f>VALUE(194.66)</f>
        <v>194.66</v>
      </c>
      <c r="I11751" s="1">
        <f>VALUE(3987)</f>
        <v>3987</v>
      </c>
      <c r="J11751" s="1">
        <f>VALUE(4438)</f>
        <v>4438</v>
      </c>
      <c r="K11751" s="1">
        <f>VALUE(5016)</f>
        <v>5016</v>
      </c>
      <c r="L11751" s="1">
        <f>VALUE(5843)</f>
        <v>5843</v>
      </c>
      <c r="M11751" s="1">
        <f>VALUE(6464)</f>
        <v>6464</v>
      </c>
      <c r="N11751" t="s">
        <v>25</v>
      </c>
    </row>
    <row r="11752" spans="1:14" x14ac:dyDescent="0.25">
      <c r="A11752" t="s">
        <v>44</v>
      </c>
      <c r="B11752" t="s">
        <v>39</v>
      </c>
      <c r="C11752" t="s">
        <v>36</v>
      </c>
      <c r="D11752" t="s">
        <v>28</v>
      </c>
      <c r="E11752" t="s">
        <v>15</v>
      </c>
      <c r="F11752" t="s">
        <v>15</v>
      </c>
      <c r="G11752" s="1">
        <f>VALUE(4496.07)</f>
        <v>4496.07</v>
      </c>
      <c r="H11752" s="1">
        <f>VALUE(4305.31)</f>
        <v>4305.3100000000004</v>
      </c>
      <c r="I11752" s="1">
        <f>VALUE(3990)</f>
        <v>3990</v>
      </c>
      <c r="J11752" s="1">
        <f>VALUE(4622)</f>
        <v>4622</v>
      </c>
      <c r="K11752" s="1">
        <f>VALUE(5337)</f>
        <v>5337</v>
      </c>
      <c r="L11752" s="1">
        <f>VALUE(6247)</f>
        <v>6247</v>
      </c>
      <c r="M11752" s="1">
        <f>VALUE(7232)</f>
        <v>7232</v>
      </c>
      <c r="N11752" t="s">
        <v>16</v>
      </c>
    </row>
    <row r="11753" spans="1:14" x14ac:dyDescent="0.25">
      <c r="A11753" t="s">
        <v>44</v>
      </c>
      <c r="B11753" t="s">
        <v>39</v>
      </c>
      <c r="C11753" t="s">
        <v>36</v>
      </c>
      <c r="D11753" t="s">
        <v>28</v>
      </c>
      <c r="E11753" t="s">
        <v>15</v>
      </c>
      <c r="F11753" t="s">
        <v>17</v>
      </c>
      <c r="G11753" s="2">
        <f>VALUE(416.09)</f>
        <v>416.09</v>
      </c>
      <c r="H11753" s="3">
        <f>VALUE(408.16)</f>
        <v>408.16</v>
      </c>
      <c r="I11753" s="4">
        <f>VALUE(4100)</f>
        <v>4100</v>
      </c>
      <c r="J11753" s="1">
        <f>VALUE(5760)</f>
        <v>5760</v>
      </c>
      <c r="K11753" s="1">
        <f>VALUE(7025)</f>
        <v>7025</v>
      </c>
      <c r="L11753" s="1">
        <f>VALUE(7884)</f>
        <v>7884</v>
      </c>
      <c r="M11753" s="1">
        <f>VALUE(8887)</f>
        <v>8887</v>
      </c>
      <c r="N11753" t="s">
        <v>25</v>
      </c>
    </row>
    <row r="11754" spans="1:14" x14ac:dyDescent="0.25">
      <c r="A11754" t="s">
        <v>44</v>
      </c>
      <c r="B11754" t="s">
        <v>39</v>
      </c>
      <c r="C11754" t="s">
        <v>36</v>
      </c>
      <c r="D11754" t="s">
        <v>28</v>
      </c>
      <c r="E11754" t="s">
        <v>15</v>
      </c>
      <c r="F11754" t="s">
        <v>18</v>
      </c>
      <c r="G11754" s="2">
        <f>VALUE(497.76)</f>
        <v>497.76</v>
      </c>
      <c r="H11754" s="3">
        <f>VALUE(495.36)</f>
        <v>495.36</v>
      </c>
      <c r="I11754" s="4">
        <f>VALUE(4411)</f>
        <v>4411</v>
      </c>
      <c r="J11754" s="1">
        <f>VALUE(5155)</f>
        <v>5155</v>
      </c>
      <c r="K11754" s="6">
        <f>VALUE(5740)</f>
        <v>5740</v>
      </c>
      <c r="L11754" s="7">
        <f>VALUE(6751)</f>
        <v>6751</v>
      </c>
      <c r="M11754" s="1">
        <f>VALUE(8409)</f>
        <v>8409</v>
      </c>
      <c r="N11754" t="s">
        <v>25</v>
      </c>
    </row>
    <row r="11755" spans="1:14" x14ac:dyDescent="0.25">
      <c r="A11755" t="s">
        <v>44</v>
      </c>
      <c r="B11755" t="s">
        <v>39</v>
      </c>
      <c r="C11755" t="s">
        <v>36</v>
      </c>
      <c r="D11755" t="s">
        <v>28</v>
      </c>
      <c r="E11755" t="s">
        <v>15</v>
      </c>
      <c r="F11755" t="s">
        <v>19</v>
      </c>
      <c r="G11755" s="2">
        <f>VALUE(641.35)</f>
        <v>641.35</v>
      </c>
      <c r="H11755" s="3">
        <f>VALUE(630.5)</f>
        <v>630.5</v>
      </c>
      <c r="I11755" s="1">
        <f>VALUE(4235)</f>
        <v>4235</v>
      </c>
      <c r="J11755" s="1">
        <f>VALUE(4978)</f>
        <v>4978</v>
      </c>
      <c r="K11755" s="6">
        <f>VALUE(5457)</f>
        <v>5457</v>
      </c>
      <c r="L11755" s="1">
        <f>VALUE(6334)</f>
        <v>6334</v>
      </c>
      <c r="M11755" s="1">
        <f>VALUE(7265)</f>
        <v>7265</v>
      </c>
      <c r="N11755" t="s">
        <v>25</v>
      </c>
    </row>
    <row r="11756" spans="1:14" x14ac:dyDescent="0.25">
      <c r="A11756" t="s">
        <v>44</v>
      </c>
      <c r="B11756" t="s">
        <v>39</v>
      </c>
      <c r="C11756" t="s">
        <v>36</v>
      </c>
      <c r="D11756" t="s">
        <v>28</v>
      </c>
      <c r="E11756" t="s">
        <v>15</v>
      </c>
      <c r="F11756" t="s">
        <v>20</v>
      </c>
      <c r="G11756" s="1">
        <f>VALUE(2940.87)</f>
        <v>2940.87</v>
      </c>
      <c r="H11756" s="1">
        <f>VALUE(2771.29)</f>
        <v>2771.29</v>
      </c>
      <c r="I11756" s="1">
        <f>VALUE(3755)</f>
        <v>3755</v>
      </c>
      <c r="J11756" s="1">
        <f>VALUE(4418)</f>
        <v>4418</v>
      </c>
      <c r="K11756" s="1">
        <f>VALUE(5167)</f>
        <v>5167</v>
      </c>
      <c r="L11756" s="1">
        <f>VALUE(5831)</f>
        <v>5831</v>
      </c>
      <c r="M11756" s="1">
        <f>VALUE(6698)</f>
        <v>6698</v>
      </c>
      <c r="N11756" t="s">
        <v>16</v>
      </c>
    </row>
    <row r="11757" spans="1:14" x14ac:dyDescent="0.25">
      <c r="A11757" t="s">
        <v>44</v>
      </c>
      <c r="B11757" t="s">
        <v>39</v>
      </c>
      <c r="C11757" t="s">
        <v>36</v>
      </c>
      <c r="D11757" t="s">
        <v>28</v>
      </c>
      <c r="E11757" t="s">
        <v>21</v>
      </c>
      <c r="F11757" t="s">
        <v>15</v>
      </c>
      <c r="G11757" s="2">
        <f>VALUE(1399.37)</f>
        <v>1399.37</v>
      </c>
      <c r="H11757" s="3">
        <f>VALUE(1366.29)</f>
        <v>1366.29</v>
      </c>
      <c r="I11757" s="4">
        <f>VALUE(4437)</f>
        <v>4437</v>
      </c>
      <c r="J11757" s="1">
        <f>VALUE(5286)</f>
        <v>5286</v>
      </c>
      <c r="K11757" s="1">
        <f>VALUE(6054)</f>
        <v>6054</v>
      </c>
      <c r="L11757" s="1">
        <f>VALUE(7168)</f>
        <v>7168</v>
      </c>
      <c r="M11757" s="1">
        <f>VALUE(8455)</f>
        <v>8455</v>
      </c>
      <c r="N11757" t="s">
        <v>25</v>
      </c>
    </row>
    <row r="11758" spans="1:14" x14ac:dyDescent="0.25">
      <c r="A11758" t="s">
        <v>44</v>
      </c>
      <c r="B11758" t="s">
        <v>39</v>
      </c>
      <c r="C11758" t="s">
        <v>36</v>
      </c>
      <c r="D11758" t="s">
        <v>28</v>
      </c>
      <c r="E11758" t="s">
        <v>21</v>
      </c>
      <c r="F11758" t="s">
        <v>17</v>
      </c>
      <c r="G11758" s="2">
        <f>VALUE(265.42)</f>
        <v>265.42</v>
      </c>
      <c r="H11758" s="3">
        <f>VALUE(266.46)</f>
        <v>266.45999999999998</v>
      </c>
      <c r="I11758" s="4">
        <f>VALUE(4982)</f>
        <v>4982</v>
      </c>
      <c r="J11758" s="1">
        <f>VALUE(6190)</f>
        <v>6190</v>
      </c>
      <c r="K11758" s="1">
        <f>VALUE(7168)</f>
        <v>7168</v>
      </c>
      <c r="L11758" s="1">
        <f>VALUE(8157)</f>
        <v>8157</v>
      </c>
      <c r="M11758" s="1">
        <f>VALUE(9294)</f>
        <v>9294</v>
      </c>
      <c r="N11758" t="s">
        <v>25</v>
      </c>
    </row>
    <row r="11759" spans="1:14" x14ac:dyDescent="0.25">
      <c r="A11759" t="s">
        <v>44</v>
      </c>
      <c r="B11759" t="s">
        <v>39</v>
      </c>
      <c r="C11759" t="s">
        <v>36</v>
      </c>
      <c r="D11759" t="s">
        <v>28</v>
      </c>
      <c r="E11759" t="s">
        <v>21</v>
      </c>
      <c r="F11759" t="s">
        <v>18</v>
      </c>
      <c r="G11759" s="2">
        <f>VALUE(290.81)</f>
        <v>290.81</v>
      </c>
      <c r="H11759" s="3">
        <f>VALUE(287.75)</f>
        <v>287.75</v>
      </c>
      <c r="I11759" s="1">
        <f>VALUE(5180)</f>
        <v>5180</v>
      </c>
      <c r="J11759" s="5">
        <f>VALUE(5582)</f>
        <v>5582</v>
      </c>
      <c r="K11759" s="6">
        <f>VALUE(6042)</f>
        <v>6042</v>
      </c>
      <c r="L11759" s="1">
        <f>VALUE(7333)</f>
        <v>7333</v>
      </c>
      <c r="M11759" s="8">
        <f>VALUE(8804)</f>
        <v>8804</v>
      </c>
      <c r="N11759" t="s">
        <v>25</v>
      </c>
    </row>
    <row r="11760" spans="1:14" x14ac:dyDescent="0.25">
      <c r="A11760" t="s">
        <v>44</v>
      </c>
      <c r="B11760" t="s">
        <v>39</v>
      </c>
      <c r="C11760" t="s">
        <v>36</v>
      </c>
      <c r="D11760" t="s">
        <v>28</v>
      </c>
      <c r="E11760" t="s">
        <v>21</v>
      </c>
      <c r="F11760" t="s">
        <v>19</v>
      </c>
      <c r="G11760" s="2">
        <f>VALUE(184.14)</f>
        <v>184.14</v>
      </c>
      <c r="H11760" s="3">
        <f>VALUE(177.81)</f>
        <v>177.81</v>
      </c>
      <c r="I11760" s="1">
        <f>VALUE(4978)</f>
        <v>4978</v>
      </c>
      <c r="J11760" s="1">
        <f>VALUE(5457)</f>
        <v>5457</v>
      </c>
      <c r="K11760" s="1">
        <f>VALUE(6177)</f>
        <v>6177</v>
      </c>
      <c r="L11760" s="1">
        <f>VALUE(7165)</f>
        <v>7165</v>
      </c>
      <c r="M11760" s="1">
        <f>VALUE(8230)</f>
        <v>8230</v>
      </c>
      <c r="N11760" t="s">
        <v>25</v>
      </c>
    </row>
    <row r="11761" spans="1:14" x14ac:dyDescent="0.25">
      <c r="A11761" t="s">
        <v>44</v>
      </c>
      <c r="B11761" t="s">
        <v>39</v>
      </c>
      <c r="C11761" t="s">
        <v>36</v>
      </c>
      <c r="D11761" t="s">
        <v>28</v>
      </c>
      <c r="E11761" t="s">
        <v>21</v>
      </c>
      <c r="F11761" t="s">
        <v>20</v>
      </c>
      <c r="G11761" s="2">
        <f>VALUE(659)</f>
        <v>659</v>
      </c>
      <c r="H11761" s="3">
        <f>VALUE(634.27)</f>
        <v>634.27</v>
      </c>
      <c r="I11761" s="4">
        <f>VALUE(4000)</f>
        <v>4000</v>
      </c>
      <c r="J11761" s="1">
        <f>VALUE(4900)</f>
        <v>4900</v>
      </c>
      <c r="K11761" s="1">
        <f>VALUE(5655)</f>
        <v>5655</v>
      </c>
      <c r="L11761" s="1">
        <f>VALUE(6692)</f>
        <v>6692</v>
      </c>
      <c r="M11761" s="1">
        <f>VALUE(7459)</f>
        <v>7459</v>
      </c>
      <c r="N11761" t="s">
        <v>25</v>
      </c>
    </row>
    <row r="11762" spans="1:14" x14ac:dyDescent="0.25">
      <c r="A11762" t="s">
        <v>44</v>
      </c>
      <c r="B11762" t="s">
        <v>39</v>
      </c>
      <c r="C11762" t="s">
        <v>36</v>
      </c>
      <c r="D11762" t="s">
        <v>28</v>
      </c>
      <c r="E11762" t="s">
        <v>22</v>
      </c>
      <c r="F11762" t="s">
        <v>15</v>
      </c>
      <c r="G11762" s="2">
        <f>VALUE(2637.29)</f>
        <v>2637.29</v>
      </c>
      <c r="H11762" s="3">
        <f>VALUE(2574.98)</f>
        <v>2574.98</v>
      </c>
      <c r="I11762" s="1">
        <f>VALUE(3956)</f>
        <v>3956</v>
      </c>
      <c r="J11762" s="1">
        <f>VALUE(4430)</f>
        <v>4430</v>
      </c>
      <c r="K11762" s="1">
        <f>VALUE(5190)</f>
        <v>5190</v>
      </c>
      <c r="L11762" s="1">
        <f>VALUE(5911)</f>
        <v>5911</v>
      </c>
      <c r="M11762" s="1">
        <f>VALUE(6641)</f>
        <v>6641</v>
      </c>
      <c r="N11762" t="s">
        <v>25</v>
      </c>
    </row>
    <row r="11763" spans="1:14" x14ac:dyDescent="0.25">
      <c r="A11763" t="s">
        <v>44</v>
      </c>
      <c r="B11763" t="s">
        <v>39</v>
      </c>
      <c r="C11763" t="s">
        <v>36</v>
      </c>
      <c r="D11763" t="s">
        <v>28</v>
      </c>
      <c r="E11763" t="s">
        <v>22</v>
      </c>
      <c r="F11763" t="s">
        <v>17</v>
      </c>
      <c r="G11763" s="1" t="str">
        <f t="shared" ref="G11763:M11763" si="2643">"X"</f>
        <v>X</v>
      </c>
      <c r="H11763" s="1" t="str">
        <f t="shared" si="2643"/>
        <v>X</v>
      </c>
      <c r="I11763" s="1" t="str">
        <f t="shared" si="2643"/>
        <v>X</v>
      </c>
      <c r="J11763" s="1" t="str">
        <f t="shared" si="2643"/>
        <v>X</v>
      </c>
      <c r="K11763" s="1" t="str">
        <f t="shared" si="2643"/>
        <v>X</v>
      </c>
      <c r="L11763" s="1" t="str">
        <f t="shared" si="2643"/>
        <v>X</v>
      </c>
      <c r="M11763" s="1" t="str">
        <f t="shared" si="2643"/>
        <v>X</v>
      </c>
      <c r="N11763" t="s">
        <v>27</v>
      </c>
    </row>
    <row r="11764" spans="1:14" x14ac:dyDescent="0.25">
      <c r="A11764" t="s">
        <v>44</v>
      </c>
      <c r="B11764" t="s">
        <v>39</v>
      </c>
      <c r="C11764" t="s">
        <v>36</v>
      </c>
      <c r="D11764" t="s">
        <v>28</v>
      </c>
      <c r="E11764" t="s">
        <v>22</v>
      </c>
      <c r="F11764" t="s">
        <v>18</v>
      </c>
      <c r="G11764" s="2">
        <f>VALUE(203.57)</f>
        <v>203.57</v>
      </c>
      <c r="H11764" s="3">
        <f>VALUE(204.23)</f>
        <v>204.23</v>
      </c>
      <c r="I11764" s="4">
        <f>VALUE(4154)</f>
        <v>4154</v>
      </c>
      <c r="J11764" s="5">
        <f>VALUE(4500)</f>
        <v>4500</v>
      </c>
      <c r="K11764" s="1">
        <f>VALUE(5155)</f>
        <v>5155</v>
      </c>
      <c r="L11764" s="1">
        <f>VALUE(6317)</f>
        <v>6317</v>
      </c>
      <c r="M11764" s="1">
        <f>VALUE(7174)</f>
        <v>7174</v>
      </c>
      <c r="N11764" t="s">
        <v>25</v>
      </c>
    </row>
    <row r="11765" spans="1:14" x14ac:dyDescent="0.25">
      <c r="A11765" t="s">
        <v>44</v>
      </c>
      <c r="B11765" t="s">
        <v>39</v>
      </c>
      <c r="C11765" t="s">
        <v>36</v>
      </c>
      <c r="D11765" t="s">
        <v>28</v>
      </c>
      <c r="E11765" t="s">
        <v>22</v>
      </c>
      <c r="F11765" t="s">
        <v>19</v>
      </c>
      <c r="G11765" s="2">
        <f>VALUE(372.82)</f>
        <v>372.82</v>
      </c>
      <c r="H11765" s="3">
        <f>VALUE(364.59)</f>
        <v>364.59</v>
      </c>
      <c r="I11765" s="1">
        <f>VALUE(3990)</f>
        <v>3990</v>
      </c>
      <c r="J11765" s="1">
        <f>VALUE(4645)</f>
        <v>4645</v>
      </c>
      <c r="K11765" s="6">
        <f>VALUE(5337)</f>
        <v>5337</v>
      </c>
      <c r="L11765" s="1">
        <f>VALUE(6334)</f>
        <v>6334</v>
      </c>
      <c r="M11765" s="1">
        <f>VALUE(6894)</f>
        <v>6894</v>
      </c>
      <c r="N11765" t="s">
        <v>25</v>
      </c>
    </row>
    <row r="11766" spans="1:14" x14ac:dyDescent="0.25">
      <c r="A11766" t="s">
        <v>44</v>
      </c>
      <c r="B11766" t="s">
        <v>39</v>
      </c>
      <c r="C11766" t="s">
        <v>36</v>
      </c>
      <c r="D11766" t="s">
        <v>28</v>
      </c>
      <c r="E11766" t="s">
        <v>22</v>
      </c>
      <c r="F11766" t="s">
        <v>20</v>
      </c>
      <c r="G11766" s="2">
        <f>VALUE(1934.03)</f>
        <v>1934.03</v>
      </c>
      <c r="H11766" s="3">
        <f>VALUE(1875.95)</f>
        <v>1875.95</v>
      </c>
      <c r="I11766" s="1">
        <f>VALUE(3768)</f>
        <v>3768</v>
      </c>
      <c r="J11766" s="1">
        <f>VALUE(4414)</f>
        <v>4414</v>
      </c>
      <c r="K11766" s="1">
        <f>VALUE(5106)</f>
        <v>5106</v>
      </c>
      <c r="L11766" s="1">
        <f>VALUE(5710)</f>
        <v>5710</v>
      </c>
      <c r="M11766" s="1">
        <f>VALUE(6246)</f>
        <v>6246</v>
      </c>
      <c r="N11766" t="s">
        <v>25</v>
      </c>
    </row>
    <row r="11767" spans="1:14" x14ac:dyDescent="0.25">
      <c r="A11767" t="s">
        <v>44</v>
      </c>
      <c r="B11767" t="s">
        <v>39</v>
      </c>
      <c r="C11767" t="s">
        <v>36</v>
      </c>
      <c r="D11767" t="s">
        <v>28</v>
      </c>
      <c r="E11767" t="s">
        <v>23</v>
      </c>
      <c r="F11767" t="s">
        <v>15</v>
      </c>
      <c r="G11767" s="2">
        <f>VALUE(414.45)</f>
        <v>414.45</v>
      </c>
      <c r="H11767" s="3">
        <f>VALUE(318.83)</f>
        <v>318.83</v>
      </c>
      <c r="I11767" s="4">
        <f>VALUE(3407)</f>
        <v>3407</v>
      </c>
      <c r="J11767" s="5">
        <f>VALUE(4146)</f>
        <v>4146</v>
      </c>
      <c r="K11767" s="1">
        <f>VALUE(4805)</f>
        <v>4805</v>
      </c>
      <c r="L11767" s="7">
        <f>VALUE(5158)</f>
        <v>5158</v>
      </c>
      <c r="M11767" s="8">
        <f>VALUE(5997)</f>
        <v>5997</v>
      </c>
      <c r="N11767" t="s">
        <v>25</v>
      </c>
    </row>
    <row r="11768" spans="1:14" x14ac:dyDescent="0.25">
      <c r="A11768" t="s">
        <v>44</v>
      </c>
      <c r="B11768" t="s">
        <v>39</v>
      </c>
      <c r="C11768" t="s">
        <v>36</v>
      </c>
      <c r="D11768" t="s">
        <v>28</v>
      </c>
      <c r="E11768" t="s">
        <v>23</v>
      </c>
      <c r="F11768" t="s">
        <v>17</v>
      </c>
      <c r="G11768" s="1" t="str">
        <f t="shared" ref="G11768:M11768" si="2644">"X"</f>
        <v>X</v>
      </c>
      <c r="H11768" s="1" t="str">
        <f t="shared" si="2644"/>
        <v>X</v>
      </c>
      <c r="I11768" s="1" t="str">
        <f t="shared" si="2644"/>
        <v>X</v>
      </c>
      <c r="J11768" s="1" t="str">
        <f t="shared" si="2644"/>
        <v>X</v>
      </c>
      <c r="K11768" s="1" t="str">
        <f t="shared" si="2644"/>
        <v>X</v>
      </c>
      <c r="L11768" s="1" t="str">
        <f t="shared" si="2644"/>
        <v>X</v>
      </c>
      <c r="M11768" s="1" t="str">
        <f t="shared" si="2644"/>
        <v>X</v>
      </c>
      <c r="N11768" t="s">
        <v>27</v>
      </c>
    </row>
    <row r="11769" spans="1:14" x14ac:dyDescent="0.25">
      <c r="A11769" t="s">
        <v>44</v>
      </c>
      <c r="B11769" t="s">
        <v>39</v>
      </c>
      <c r="C11769" t="s">
        <v>36</v>
      </c>
      <c r="D11769" t="s">
        <v>28</v>
      </c>
      <c r="E11769" t="s">
        <v>23</v>
      </c>
      <c r="F11769" t="s">
        <v>18</v>
      </c>
      <c r="G11769" s="1" t="str">
        <f t="shared" ref="G11769:M11769" si="2645">"..."</f>
        <v>...</v>
      </c>
      <c r="H11769" s="1" t="str">
        <f t="shared" si="2645"/>
        <v>...</v>
      </c>
      <c r="I11769" s="1" t="str">
        <f t="shared" si="2645"/>
        <v>...</v>
      </c>
      <c r="J11769" s="1" t="str">
        <f t="shared" si="2645"/>
        <v>...</v>
      </c>
      <c r="K11769" s="1" t="str">
        <f t="shared" si="2645"/>
        <v>...</v>
      </c>
      <c r="L11769" s="1" t="str">
        <f t="shared" si="2645"/>
        <v>...</v>
      </c>
      <c r="M11769" s="1" t="str">
        <f t="shared" si="2645"/>
        <v>...</v>
      </c>
      <c r="N11769" t="s">
        <v>30</v>
      </c>
    </row>
    <row r="11770" spans="1:14" x14ac:dyDescent="0.25">
      <c r="A11770" t="s">
        <v>44</v>
      </c>
      <c r="B11770" t="s">
        <v>39</v>
      </c>
      <c r="C11770" t="s">
        <v>36</v>
      </c>
      <c r="D11770" t="s">
        <v>28</v>
      </c>
      <c r="E11770" t="s">
        <v>23</v>
      </c>
      <c r="F11770" t="s">
        <v>19</v>
      </c>
      <c r="G11770" s="1" t="str">
        <f t="shared" ref="G11770:M11770" si="2646">"X"</f>
        <v>X</v>
      </c>
      <c r="H11770" s="1" t="str">
        <f t="shared" si="2646"/>
        <v>X</v>
      </c>
      <c r="I11770" s="1" t="str">
        <f t="shared" si="2646"/>
        <v>X</v>
      </c>
      <c r="J11770" s="1" t="str">
        <f t="shared" si="2646"/>
        <v>X</v>
      </c>
      <c r="K11770" s="1" t="str">
        <f t="shared" si="2646"/>
        <v>X</v>
      </c>
      <c r="L11770" s="1" t="str">
        <f t="shared" si="2646"/>
        <v>X</v>
      </c>
      <c r="M11770" s="1" t="str">
        <f t="shared" si="2646"/>
        <v>X</v>
      </c>
      <c r="N11770" t="s">
        <v>27</v>
      </c>
    </row>
    <row r="11771" spans="1:14" x14ac:dyDescent="0.25">
      <c r="A11771" t="s">
        <v>44</v>
      </c>
      <c r="B11771" t="s">
        <v>39</v>
      </c>
      <c r="C11771" t="s">
        <v>36</v>
      </c>
      <c r="D11771" t="s">
        <v>28</v>
      </c>
      <c r="E11771" t="s">
        <v>23</v>
      </c>
      <c r="F11771" t="s">
        <v>20</v>
      </c>
      <c r="G11771" s="2">
        <f>VALUE(306.26)</f>
        <v>306.26</v>
      </c>
      <c r="H11771" s="3">
        <f>VALUE(219.24)</f>
        <v>219.24</v>
      </c>
      <c r="I11771" s="1">
        <f>VALUE(3307)</f>
        <v>3307</v>
      </c>
      <c r="J11771" s="5">
        <f>VALUE(3785)</f>
        <v>3785</v>
      </c>
      <c r="K11771" s="1">
        <f>VALUE(4550)</f>
        <v>4550</v>
      </c>
      <c r="L11771" s="1">
        <f>VALUE(4805)</f>
        <v>4805</v>
      </c>
      <c r="M11771" s="8">
        <f>VALUE(6216)</f>
        <v>6216</v>
      </c>
      <c r="N11771" t="s">
        <v>25</v>
      </c>
    </row>
    <row r="11772" spans="1:14" x14ac:dyDescent="0.25">
      <c r="A11772" t="s">
        <v>44</v>
      </c>
      <c r="B11772" t="s">
        <v>39</v>
      </c>
      <c r="C11772" t="s">
        <v>36</v>
      </c>
      <c r="D11772" t="s">
        <v>28</v>
      </c>
      <c r="E11772" t="s">
        <v>26</v>
      </c>
      <c r="F11772" t="s">
        <v>15</v>
      </c>
      <c r="G11772" s="1" t="str">
        <f t="shared" ref="G11772:M11772" si="2647">"X"</f>
        <v>X</v>
      </c>
      <c r="H11772" s="1" t="str">
        <f t="shared" si="2647"/>
        <v>X</v>
      </c>
      <c r="I11772" s="1" t="str">
        <f t="shared" si="2647"/>
        <v>X</v>
      </c>
      <c r="J11772" s="1" t="str">
        <f t="shared" si="2647"/>
        <v>X</v>
      </c>
      <c r="K11772" s="1" t="str">
        <f t="shared" si="2647"/>
        <v>X</v>
      </c>
      <c r="L11772" s="1" t="str">
        <f t="shared" si="2647"/>
        <v>X</v>
      </c>
      <c r="M11772" s="1" t="str">
        <f t="shared" si="2647"/>
        <v>X</v>
      </c>
      <c r="N11772" t="s">
        <v>27</v>
      </c>
    </row>
    <row r="11773" spans="1:14" x14ac:dyDescent="0.25">
      <c r="A11773" t="s">
        <v>44</v>
      </c>
      <c r="B11773" t="s">
        <v>39</v>
      </c>
      <c r="C11773" t="s">
        <v>36</v>
      </c>
      <c r="D11773" t="s">
        <v>28</v>
      </c>
      <c r="E11773" t="s">
        <v>26</v>
      </c>
      <c r="F11773" t="s">
        <v>17</v>
      </c>
      <c r="G11773" s="1" t="str">
        <f t="shared" ref="G11773:M11773" si="2648">"..."</f>
        <v>...</v>
      </c>
      <c r="H11773" s="1" t="str">
        <f t="shared" si="2648"/>
        <v>...</v>
      </c>
      <c r="I11773" s="1" t="str">
        <f t="shared" si="2648"/>
        <v>...</v>
      </c>
      <c r="J11773" s="1" t="str">
        <f t="shared" si="2648"/>
        <v>...</v>
      </c>
      <c r="K11773" s="1" t="str">
        <f t="shared" si="2648"/>
        <v>...</v>
      </c>
      <c r="L11773" s="1" t="str">
        <f t="shared" si="2648"/>
        <v>...</v>
      </c>
      <c r="M11773" s="1" t="str">
        <f t="shared" si="2648"/>
        <v>...</v>
      </c>
      <c r="N11773" t="s">
        <v>30</v>
      </c>
    </row>
    <row r="11774" spans="1:14" x14ac:dyDescent="0.25">
      <c r="A11774" t="s">
        <v>44</v>
      </c>
      <c r="B11774" t="s">
        <v>39</v>
      </c>
      <c r="C11774" t="s">
        <v>36</v>
      </c>
      <c r="D11774" t="s">
        <v>28</v>
      </c>
      <c r="E11774" t="s">
        <v>26</v>
      </c>
      <c r="F11774" t="s">
        <v>18</v>
      </c>
      <c r="G11774" s="1" t="str">
        <f t="shared" ref="G11774:M11774" si="2649">"X"</f>
        <v>X</v>
      </c>
      <c r="H11774" s="1" t="str">
        <f t="shared" si="2649"/>
        <v>X</v>
      </c>
      <c r="I11774" s="1" t="str">
        <f t="shared" si="2649"/>
        <v>X</v>
      </c>
      <c r="J11774" s="1" t="str">
        <f t="shared" si="2649"/>
        <v>X</v>
      </c>
      <c r="K11774" s="1" t="str">
        <f t="shared" si="2649"/>
        <v>X</v>
      </c>
      <c r="L11774" s="1" t="str">
        <f t="shared" si="2649"/>
        <v>X</v>
      </c>
      <c r="M11774" s="1" t="str">
        <f t="shared" si="2649"/>
        <v>X</v>
      </c>
      <c r="N11774" t="s">
        <v>27</v>
      </c>
    </row>
    <row r="11775" spans="1:14" x14ac:dyDescent="0.25">
      <c r="A11775" t="s">
        <v>44</v>
      </c>
      <c r="B11775" t="s">
        <v>39</v>
      </c>
      <c r="C11775" t="s">
        <v>36</v>
      </c>
      <c r="D11775" t="s">
        <v>28</v>
      </c>
      <c r="E11775" t="s">
        <v>26</v>
      </c>
      <c r="F11775" t="s">
        <v>19</v>
      </c>
      <c r="G11775" s="1" t="str">
        <f t="shared" ref="G11775:M11775" si="2650">"..."</f>
        <v>...</v>
      </c>
      <c r="H11775" s="1" t="str">
        <f t="shared" si="2650"/>
        <v>...</v>
      </c>
      <c r="I11775" s="1" t="str">
        <f t="shared" si="2650"/>
        <v>...</v>
      </c>
      <c r="J11775" s="1" t="str">
        <f t="shared" si="2650"/>
        <v>...</v>
      </c>
      <c r="K11775" s="1" t="str">
        <f t="shared" si="2650"/>
        <v>...</v>
      </c>
      <c r="L11775" s="1" t="str">
        <f t="shared" si="2650"/>
        <v>...</v>
      </c>
      <c r="M11775" s="1" t="str">
        <f t="shared" si="2650"/>
        <v>...</v>
      </c>
      <c r="N11775" t="s">
        <v>30</v>
      </c>
    </row>
    <row r="11776" spans="1:14" x14ac:dyDescent="0.25">
      <c r="A11776" t="s">
        <v>44</v>
      </c>
      <c r="B11776" t="s">
        <v>39</v>
      </c>
      <c r="C11776" t="s">
        <v>36</v>
      </c>
      <c r="D11776" t="s">
        <v>28</v>
      </c>
      <c r="E11776" t="s">
        <v>26</v>
      </c>
      <c r="F11776" t="s">
        <v>20</v>
      </c>
      <c r="G11776" s="1" t="str">
        <f t="shared" ref="G11776:M11776" si="2651">"X"</f>
        <v>X</v>
      </c>
      <c r="H11776" s="1" t="str">
        <f t="shared" si="2651"/>
        <v>X</v>
      </c>
      <c r="I11776" s="1" t="str">
        <f t="shared" si="2651"/>
        <v>X</v>
      </c>
      <c r="J11776" s="1" t="str">
        <f t="shared" si="2651"/>
        <v>X</v>
      </c>
      <c r="K11776" s="1" t="str">
        <f t="shared" si="2651"/>
        <v>X</v>
      </c>
      <c r="L11776" s="1" t="str">
        <f t="shared" si="2651"/>
        <v>X</v>
      </c>
      <c r="M11776" s="1" t="str">
        <f t="shared" si="2651"/>
        <v>X</v>
      </c>
      <c r="N11776" t="s">
        <v>27</v>
      </c>
    </row>
    <row r="11777" spans="1:14" x14ac:dyDescent="0.25">
      <c r="A11777" t="s">
        <v>44</v>
      </c>
      <c r="B11777" t="s">
        <v>39</v>
      </c>
      <c r="C11777" t="s">
        <v>36</v>
      </c>
      <c r="D11777" t="s">
        <v>29</v>
      </c>
      <c r="E11777" t="s">
        <v>15</v>
      </c>
      <c r="F11777" t="s">
        <v>15</v>
      </c>
      <c r="G11777" s="2">
        <f>VALUE(1306.55)</f>
        <v>1306.55</v>
      </c>
      <c r="H11777" s="3">
        <f>VALUE(1275.16)</f>
        <v>1275.1600000000001</v>
      </c>
      <c r="I11777" s="1">
        <f>VALUE(3874)</f>
        <v>3874</v>
      </c>
      <c r="J11777" s="1">
        <f>VALUE(4438)</f>
        <v>4438</v>
      </c>
      <c r="K11777" s="1">
        <f>VALUE(5135)</f>
        <v>5135</v>
      </c>
      <c r="L11777" s="1">
        <f>VALUE(5942)</f>
        <v>5942</v>
      </c>
      <c r="M11777" s="8">
        <f>VALUE(6977)</f>
        <v>6977</v>
      </c>
      <c r="N11777" t="s">
        <v>25</v>
      </c>
    </row>
    <row r="11778" spans="1:14" x14ac:dyDescent="0.25">
      <c r="A11778" t="s">
        <v>44</v>
      </c>
      <c r="B11778" t="s">
        <v>39</v>
      </c>
      <c r="C11778" t="s">
        <v>36</v>
      </c>
      <c r="D11778" t="s">
        <v>29</v>
      </c>
      <c r="E11778" t="s">
        <v>15</v>
      </c>
      <c r="F11778" t="s">
        <v>17</v>
      </c>
      <c r="G11778" s="1" t="str">
        <f t="shared" ref="G11778:M11780" si="2652">"X"</f>
        <v>X</v>
      </c>
      <c r="H11778" s="1" t="str">
        <f t="shared" si="2652"/>
        <v>X</v>
      </c>
      <c r="I11778" s="1" t="str">
        <f t="shared" si="2652"/>
        <v>X</v>
      </c>
      <c r="J11778" s="1" t="str">
        <f t="shared" si="2652"/>
        <v>X</v>
      </c>
      <c r="K11778" s="1" t="str">
        <f t="shared" si="2652"/>
        <v>X</v>
      </c>
      <c r="L11778" s="1" t="str">
        <f t="shared" si="2652"/>
        <v>X</v>
      </c>
      <c r="M11778" s="1" t="str">
        <f t="shared" si="2652"/>
        <v>X</v>
      </c>
      <c r="N11778" t="s">
        <v>27</v>
      </c>
    </row>
    <row r="11779" spans="1:14" x14ac:dyDescent="0.25">
      <c r="A11779" t="s">
        <v>44</v>
      </c>
      <c r="B11779" t="s">
        <v>39</v>
      </c>
      <c r="C11779" t="s">
        <v>36</v>
      </c>
      <c r="D11779" t="s">
        <v>29</v>
      </c>
      <c r="E11779" t="s">
        <v>15</v>
      </c>
      <c r="F11779" t="s">
        <v>18</v>
      </c>
      <c r="G11779" s="1" t="str">
        <f t="shared" si="2652"/>
        <v>X</v>
      </c>
      <c r="H11779" s="1" t="str">
        <f t="shared" si="2652"/>
        <v>X</v>
      </c>
      <c r="I11779" s="1" t="str">
        <f t="shared" si="2652"/>
        <v>X</v>
      </c>
      <c r="J11779" s="1" t="str">
        <f t="shared" si="2652"/>
        <v>X</v>
      </c>
      <c r="K11779" s="1" t="str">
        <f t="shared" si="2652"/>
        <v>X</v>
      </c>
      <c r="L11779" s="1" t="str">
        <f t="shared" si="2652"/>
        <v>X</v>
      </c>
      <c r="M11779" s="1" t="str">
        <f t="shared" si="2652"/>
        <v>X</v>
      </c>
      <c r="N11779" t="s">
        <v>27</v>
      </c>
    </row>
    <row r="11780" spans="1:14" x14ac:dyDescent="0.25">
      <c r="A11780" t="s">
        <v>44</v>
      </c>
      <c r="B11780" t="s">
        <v>39</v>
      </c>
      <c r="C11780" t="s">
        <v>36</v>
      </c>
      <c r="D11780" t="s">
        <v>29</v>
      </c>
      <c r="E11780" t="s">
        <v>15</v>
      </c>
      <c r="F11780" t="s">
        <v>19</v>
      </c>
      <c r="G11780" s="1" t="str">
        <f t="shared" si="2652"/>
        <v>X</v>
      </c>
      <c r="H11780" s="1" t="str">
        <f t="shared" si="2652"/>
        <v>X</v>
      </c>
      <c r="I11780" s="1" t="str">
        <f t="shared" si="2652"/>
        <v>X</v>
      </c>
      <c r="J11780" s="1" t="str">
        <f t="shared" si="2652"/>
        <v>X</v>
      </c>
      <c r="K11780" s="1" t="str">
        <f t="shared" si="2652"/>
        <v>X</v>
      </c>
      <c r="L11780" s="1" t="str">
        <f t="shared" si="2652"/>
        <v>X</v>
      </c>
      <c r="M11780" s="1" t="str">
        <f t="shared" si="2652"/>
        <v>X</v>
      </c>
      <c r="N11780" t="s">
        <v>27</v>
      </c>
    </row>
    <row r="11781" spans="1:14" x14ac:dyDescent="0.25">
      <c r="A11781" t="s">
        <v>44</v>
      </c>
      <c r="B11781" t="s">
        <v>39</v>
      </c>
      <c r="C11781" t="s">
        <v>36</v>
      </c>
      <c r="D11781" t="s">
        <v>29</v>
      </c>
      <c r="E11781" t="s">
        <v>15</v>
      </c>
      <c r="F11781" t="s">
        <v>20</v>
      </c>
      <c r="G11781" s="2">
        <f>VALUE(941.83)</f>
        <v>941.83</v>
      </c>
      <c r="H11781" s="3">
        <f>VALUE(907.58)</f>
        <v>907.58</v>
      </c>
      <c r="I11781" s="1">
        <f>VALUE(3727)</f>
        <v>3727</v>
      </c>
      <c r="J11781" s="1">
        <f>VALUE(4422)</f>
        <v>4422</v>
      </c>
      <c r="K11781" s="1">
        <f>VALUE(5006)</f>
        <v>5006</v>
      </c>
      <c r="L11781" s="1">
        <f>VALUE(5794)</f>
        <v>5794</v>
      </c>
      <c r="M11781" s="1">
        <f>VALUE(6120)</f>
        <v>6120</v>
      </c>
      <c r="N11781" t="s">
        <v>25</v>
      </c>
    </row>
    <row r="11782" spans="1:14" x14ac:dyDescent="0.25">
      <c r="A11782" t="s">
        <v>44</v>
      </c>
      <c r="B11782" t="s">
        <v>39</v>
      </c>
      <c r="C11782" t="s">
        <v>36</v>
      </c>
      <c r="D11782" t="s">
        <v>29</v>
      </c>
      <c r="E11782" t="s">
        <v>21</v>
      </c>
      <c r="F11782" t="s">
        <v>15</v>
      </c>
      <c r="G11782" s="2">
        <f>VALUE(258.76)</f>
        <v>258.76</v>
      </c>
      <c r="H11782" s="3">
        <f>VALUE(245.53)</f>
        <v>245.53</v>
      </c>
      <c r="I11782" s="1">
        <f>VALUE(4435)</f>
        <v>4435</v>
      </c>
      <c r="J11782" s="1">
        <f>VALUE(5259)</f>
        <v>5259</v>
      </c>
      <c r="K11782" s="6">
        <f>VALUE(6195)</f>
        <v>6195</v>
      </c>
      <c r="L11782" s="7">
        <f>VALUE(8215)</f>
        <v>8215</v>
      </c>
      <c r="M11782" s="1">
        <f>VALUE(13803)</f>
        <v>13803</v>
      </c>
      <c r="N11782" t="s">
        <v>25</v>
      </c>
    </row>
    <row r="11783" spans="1:14" x14ac:dyDescent="0.25">
      <c r="A11783" t="s">
        <v>44</v>
      </c>
      <c r="B11783" t="s">
        <v>39</v>
      </c>
      <c r="C11783" t="s">
        <v>36</v>
      </c>
      <c r="D11783" t="s">
        <v>29</v>
      </c>
      <c r="E11783" t="s">
        <v>21</v>
      </c>
      <c r="F11783" t="s">
        <v>17</v>
      </c>
      <c r="G11783" s="1" t="str">
        <f t="shared" ref="G11783:M11786" si="2653">"X"</f>
        <v>X</v>
      </c>
      <c r="H11783" s="1" t="str">
        <f t="shared" si="2653"/>
        <v>X</v>
      </c>
      <c r="I11783" s="1" t="str">
        <f t="shared" si="2653"/>
        <v>X</v>
      </c>
      <c r="J11783" s="1" t="str">
        <f t="shared" si="2653"/>
        <v>X</v>
      </c>
      <c r="K11783" s="1" t="str">
        <f t="shared" si="2653"/>
        <v>X</v>
      </c>
      <c r="L11783" s="1" t="str">
        <f t="shared" si="2653"/>
        <v>X</v>
      </c>
      <c r="M11783" s="1" t="str">
        <f t="shared" si="2653"/>
        <v>X</v>
      </c>
      <c r="N11783" t="s">
        <v>27</v>
      </c>
    </row>
    <row r="11784" spans="1:14" x14ac:dyDescent="0.25">
      <c r="A11784" t="s">
        <v>44</v>
      </c>
      <c r="B11784" t="s">
        <v>39</v>
      </c>
      <c r="C11784" t="s">
        <v>36</v>
      </c>
      <c r="D11784" t="s">
        <v>29</v>
      </c>
      <c r="E11784" t="s">
        <v>21</v>
      </c>
      <c r="F11784" t="s">
        <v>18</v>
      </c>
      <c r="G11784" s="1" t="str">
        <f t="shared" si="2653"/>
        <v>X</v>
      </c>
      <c r="H11784" s="1" t="str">
        <f t="shared" si="2653"/>
        <v>X</v>
      </c>
      <c r="I11784" s="1" t="str">
        <f t="shared" si="2653"/>
        <v>X</v>
      </c>
      <c r="J11784" s="1" t="str">
        <f t="shared" si="2653"/>
        <v>X</v>
      </c>
      <c r="K11784" s="1" t="str">
        <f t="shared" si="2653"/>
        <v>X</v>
      </c>
      <c r="L11784" s="1" t="str">
        <f t="shared" si="2653"/>
        <v>X</v>
      </c>
      <c r="M11784" s="1" t="str">
        <f t="shared" si="2653"/>
        <v>X</v>
      </c>
      <c r="N11784" t="s">
        <v>27</v>
      </c>
    </row>
    <row r="11785" spans="1:14" x14ac:dyDescent="0.25">
      <c r="A11785" t="s">
        <v>44</v>
      </c>
      <c r="B11785" t="s">
        <v>39</v>
      </c>
      <c r="C11785" t="s">
        <v>36</v>
      </c>
      <c r="D11785" t="s">
        <v>29</v>
      </c>
      <c r="E11785" t="s">
        <v>21</v>
      </c>
      <c r="F11785" t="s">
        <v>19</v>
      </c>
      <c r="G11785" s="1" t="str">
        <f t="shared" si="2653"/>
        <v>X</v>
      </c>
      <c r="H11785" s="1" t="str">
        <f t="shared" si="2653"/>
        <v>X</v>
      </c>
      <c r="I11785" s="1" t="str">
        <f t="shared" si="2653"/>
        <v>X</v>
      </c>
      <c r="J11785" s="1" t="str">
        <f t="shared" si="2653"/>
        <v>X</v>
      </c>
      <c r="K11785" s="1" t="str">
        <f t="shared" si="2653"/>
        <v>X</v>
      </c>
      <c r="L11785" s="1" t="str">
        <f t="shared" si="2653"/>
        <v>X</v>
      </c>
      <c r="M11785" s="1" t="str">
        <f t="shared" si="2653"/>
        <v>X</v>
      </c>
      <c r="N11785" t="s">
        <v>27</v>
      </c>
    </row>
    <row r="11786" spans="1:14" x14ac:dyDescent="0.25">
      <c r="A11786" t="s">
        <v>44</v>
      </c>
      <c r="B11786" t="s">
        <v>39</v>
      </c>
      <c r="C11786" t="s">
        <v>36</v>
      </c>
      <c r="D11786" t="s">
        <v>29</v>
      </c>
      <c r="E11786" t="s">
        <v>21</v>
      </c>
      <c r="F11786" t="s">
        <v>20</v>
      </c>
      <c r="G11786" s="1" t="str">
        <f t="shared" si="2653"/>
        <v>X</v>
      </c>
      <c r="H11786" s="1" t="str">
        <f t="shared" si="2653"/>
        <v>X</v>
      </c>
      <c r="I11786" s="1" t="str">
        <f t="shared" si="2653"/>
        <v>X</v>
      </c>
      <c r="J11786" s="1" t="str">
        <f t="shared" si="2653"/>
        <v>X</v>
      </c>
      <c r="K11786" s="1" t="str">
        <f t="shared" si="2653"/>
        <v>X</v>
      </c>
      <c r="L11786" s="1" t="str">
        <f t="shared" si="2653"/>
        <v>X</v>
      </c>
      <c r="M11786" s="1" t="str">
        <f t="shared" si="2653"/>
        <v>X</v>
      </c>
      <c r="N11786" t="s">
        <v>27</v>
      </c>
    </row>
    <row r="11787" spans="1:14" x14ac:dyDescent="0.25">
      <c r="A11787" t="s">
        <v>44</v>
      </c>
      <c r="B11787" t="s">
        <v>39</v>
      </c>
      <c r="C11787" t="s">
        <v>36</v>
      </c>
      <c r="D11787" t="s">
        <v>29</v>
      </c>
      <c r="E11787" t="s">
        <v>22</v>
      </c>
      <c r="F11787" t="s">
        <v>15</v>
      </c>
      <c r="G11787" s="2">
        <f>VALUE(617.3)</f>
        <v>617.29999999999995</v>
      </c>
      <c r="H11787" s="3">
        <f>VALUE(621.29)</f>
        <v>621.29</v>
      </c>
      <c r="I11787" s="4">
        <f>VALUE(3972)</f>
        <v>3972</v>
      </c>
      <c r="J11787" s="1">
        <f>VALUE(4533)</f>
        <v>4533</v>
      </c>
      <c r="K11787" s="1">
        <f>VALUE(5174)</f>
        <v>5174</v>
      </c>
      <c r="L11787" s="1">
        <f>VALUE(5942)</f>
        <v>5942</v>
      </c>
      <c r="M11787" s="8">
        <f>VALUE(6326)</f>
        <v>6326</v>
      </c>
      <c r="N11787" t="s">
        <v>25</v>
      </c>
    </row>
    <row r="11788" spans="1:14" x14ac:dyDescent="0.25">
      <c r="A11788" t="s">
        <v>44</v>
      </c>
      <c r="B11788" t="s">
        <v>39</v>
      </c>
      <c r="C11788" t="s">
        <v>36</v>
      </c>
      <c r="D11788" t="s">
        <v>29</v>
      </c>
      <c r="E11788" t="s">
        <v>22</v>
      </c>
      <c r="F11788" t="s">
        <v>17</v>
      </c>
      <c r="G11788" s="1" t="str">
        <f t="shared" ref="G11788:M11790" si="2654">"X"</f>
        <v>X</v>
      </c>
      <c r="H11788" s="1" t="str">
        <f t="shared" si="2654"/>
        <v>X</v>
      </c>
      <c r="I11788" s="1" t="str">
        <f t="shared" si="2654"/>
        <v>X</v>
      </c>
      <c r="J11788" s="1" t="str">
        <f t="shared" si="2654"/>
        <v>X</v>
      </c>
      <c r="K11788" s="1" t="str">
        <f t="shared" si="2654"/>
        <v>X</v>
      </c>
      <c r="L11788" s="1" t="str">
        <f t="shared" si="2654"/>
        <v>X</v>
      </c>
      <c r="M11788" s="1" t="str">
        <f t="shared" si="2654"/>
        <v>X</v>
      </c>
      <c r="N11788" t="s">
        <v>27</v>
      </c>
    </row>
    <row r="11789" spans="1:14" x14ac:dyDescent="0.25">
      <c r="A11789" t="s">
        <v>44</v>
      </c>
      <c r="B11789" t="s">
        <v>39</v>
      </c>
      <c r="C11789" t="s">
        <v>36</v>
      </c>
      <c r="D11789" t="s">
        <v>29</v>
      </c>
      <c r="E11789" t="s">
        <v>22</v>
      </c>
      <c r="F11789" t="s">
        <v>18</v>
      </c>
      <c r="G11789" s="1" t="str">
        <f t="shared" si="2654"/>
        <v>X</v>
      </c>
      <c r="H11789" s="1" t="str">
        <f t="shared" si="2654"/>
        <v>X</v>
      </c>
      <c r="I11789" s="1" t="str">
        <f t="shared" si="2654"/>
        <v>X</v>
      </c>
      <c r="J11789" s="1" t="str">
        <f t="shared" si="2654"/>
        <v>X</v>
      </c>
      <c r="K11789" s="1" t="str">
        <f t="shared" si="2654"/>
        <v>X</v>
      </c>
      <c r="L11789" s="1" t="str">
        <f t="shared" si="2654"/>
        <v>X</v>
      </c>
      <c r="M11789" s="1" t="str">
        <f t="shared" si="2654"/>
        <v>X</v>
      </c>
      <c r="N11789" t="s">
        <v>27</v>
      </c>
    </row>
    <row r="11790" spans="1:14" x14ac:dyDescent="0.25">
      <c r="A11790" t="s">
        <v>44</v>
      </c>
      <c r="B11790" t="s">
        <v>39</v>
      </c>
      <c r="C11790" t="s">
        <v>36</v>
      </c>
      <c r="D11790" t="s">
        <v>29</v>
      </c>
      <c r="E11790" t="s">
        <v>22</v>
      </c>
      <c r="F11790" t="s">
        <v>19</v>
      </c>
      <c r="G11790" s="1" t="str">
        <f t="shared" si="2654"/>
        <v>X</v>
      </c>
      <c r="H11790" s="1" t="str">
        <f t="shared" si="2654"/>
        <v>X</v>
      </c>
      <c r="I11790" s="1" t="str">
        <f t="shared" si="2654"/>
        <v>X</v>
      </c>
      <c r="J11790" s="1" t="str">
        <f t="shared" si="2654"/>
        <v>X</v>
      </c>
      <c r="K11790" s="1" t="str">
        <f t="shared" si="2654"/>
        <v>X</v>
      </c>
      <c r="L11790" s="1" t="str">
        <f t="shared" si="2654"/>
        <v>X</v>
      </c>
      <c r="M11790" s="1" t="str">
        <f t="shared" si="2654"/>
        <v>X</v>
      </c>
      <c r="N11790" t="s">
        <v>27</v>
      </c>
    </row>
    <row r="11791" spans="1:14" x14ac:dyDescent="0.25">
      <c r="A11791" t="s">
        <v>44</v>
      </c>
      <c r="B11791" t="s">
        <v>39</v>
      </c>
      <c r="C11791" t="s">
        <v>36</v>
      </c>
      <c r="D11791" t="s">
        <v>29</v>
      </c>
      <c r="E11791" t="s">
        <v>22</v>
      </c>
      <c r="F11791" t="s">
        <v>20</v>
      </c>
      <c r="G11791" s="2">
        <f>VALUE(451.61)</f>
        <v>451.61</v>
      </c>
      <c r="H11791" s="3">
        <f>VALUE(450.57)</f>
        <v>450.57</v>
      </c>
      <c r="I11791" s="4">
        <f>VALUE(3723)</f>
        <v>3723</v>
      </c>
      <c r="J11791" s="5">
        <f>VALUE(4600)</f>
        <v>4600</v>
      </c>
      <c r="K11791" s="1">
        <f>VALUE(5156)</f>
        <v>5156</v>
      </c>
      <c r="L11791" s="1">
        <f>VALUE(5825)</f>
        <v>5825</v>
      </c>
      <c r="M11791" s="1">
        <f>VALUE(6080)</f>
        <v>6080</v>
      </c>
      <c r="N11791" t="s">
        <v>25</v>
      </c>
    </row>
    <row r="11792" spans="1:14" x14ac:dyDescent="0.25">
      <c r="A11792" t="s">
        <v>44</v>
      </c>
      <c r="B11792" t="s">
        <v>39</v>
      </c>
      <c r="C11792" t="s">
        <v>36</v>
      </c>
      <c r="D11792" t="s">
        <v>29</v>
      </c>
      <c r="E11792" t="s">
        <v>23</v>
      </c>
      <c r="F11792" t="s">
        <v>15</v>
      </c>
      <c r="G11792" s="2">
        <f>VALUE(381.61)</f>
        <v>381.61</v>
      </c>
      <c r="H11792" s="3">
        <f>VALUE(357.97)</f>
        <v>357.97</v>
      </c>
      <c r="I11792" s="1">
        <f>VALUE(3610)</f>
        <v>3610</v>
      </c>
      <c r="J11792" s="5">
        <f>VALUE(4023)</f>
        <v>4023</v>
      </c>
      <c r="K11792" s="6">
        <f>VALUE(4500)</f>
        <v>4500</v>
      </c>
      <c r="L11792" s="7">
        <f>VALUE(5322)</f>
        <v>5322</v>
      </c>
      <c r="M11792" s="8">
        <f>VALUE(6120)</f>
        <v>6120</v>
      </c>
      <c r="N11792" t="s">
        <v>25</v>
      </c>
    </row>
    <row r="11793" spans="1:14" x14ac:dyDescent="0.25">
      <c r="A11793" t="s">
        <v>44</v>
      </c>
      <c r="B11793" t="s">
        <v>39</v>
      </c>
      <c r="C11793" t="s">
        <v>36</v>
      </c>
      <c r="D11793" t="s">
        <v>29</v>
      </c>
      <c r="E11793" t="s">
        <v>23</v>
      </c>
      <c r="F11793" t="s">
        <v>17</v>
      </c>
      <c r="G11793" s="1" t="str">
        <f t="shared" ref="G11793:M11795" si="2655">"X"</f>
        <v>X</v>
      </c>
      <c r="H11793" s="1" t="str">
        <f t="shared" si="2655"/>
        <v>X</v>
      </c>
      <c r="I11793" s="1" t="str">
        <f t="shared" si="2655"/>
        <v>X</v>
      </c>
      <c r="J11793" s="1" t="str">
        <f t="shared" si="2655"/>
        <v>X</v>
      </c>
      <c r="K11793" s="1" t="str">
        <f t="shared" si="2655"/>
        <v>X</v>
      </c>
      <c r="L11793" s="1" t="str">
        <f t="shared" si="2655"/>
        <v>X</v>
      </c>
      <c r="M11793" s="1" t="str">
        <f t="shared" si="2655"/>
        <v>X</v>
      </c>
      <c r="N11793" t="s">
        <v>27</v>
      </c>
    </row>
    <row r="11794" spans="1:14" x14ac:dyDescent="0.25">
      <c r="A11794" t="s">
        <v>44</v>
      </c>
      <c r="B11794" t="s">
        <v>39</v>
      </c>
      <c r="C11794" t="s">
        <v>36</v>
      </c>
      <c r="D11794" t="s">
        <v>29</v>
      </c>
      <c r="E11794" t="s">
        <v>23</v>
      </c>
      <c r="F11794" t="s">
        <v>18</v>
      </c>
      <c r="G11794" s="1" t="str">
        <f t="shared" si="2655"/>
        <v>X</v>
      </c>
      <c r="H11794" s="1" t="str">
        <f t="shared" si="2655"/>
        <v>X</v>
      </c>
      <c r="I11794" s="1" t="str">
        <f t="shared" si="2655"/>
        <v>X</v>
      </c>
      <c r="J11794" s="1" t="str">
        <f t="shared" si="2655"/>
        <v>X</v>
      </c>
      <c r="K11794" s="1" t="str">
        <f t="shared" si="2655"/>
        <v>X</v>
      </c>
      <c r="L11794" s="1" t="str">
        <f t="shared" si="2655"/>
        <v>X</v>
      </c>
      <c r="M11794" s="1" t="str">
        <f t="shared" si="2655"/>
        <v>X</v>
      </c>
      <c r="N11794" t="s">
        <v>27</v>
      </c>
    </row>
    <row r="11795" spans="1:14" x14ac:dyDescent="0.25">
      <c r="A11795" t="s">
        <v>44</v>
      </c>
      <c r="B11795" t="s">
        <v>39</v>
      </c>
      <c r="C11795" t="s">
        <v>36</v>
      </c>
      <c r="D11795" t="s">
        <v>29</v>
      </c>
      <c r="E11795" t="s">
        <v>23</v>
      </c>
      <c r="F11795" t="s">
        <v>19</v>
      </c>
      <c r="G11795" s="1" t="str">
        <f t="shared" si="2655"/>
        <v>X</v>
      </c>
      <c r="H11795" s="1" t="str">
        <f t="shared" si="2655"/>
        <v>X</v>
      </c>
      <c r="I11795" s="1" t="str">
        <f t="shared" si="2655"/>
        <v>X</v>
      </c>
      <c r="J11795" s="1" t="str">
        <f t="shared" si="2655"/>
        <v>X</v>
      </c>
      <c r="K11795" s="1" t="str">
        <f t="shared" si="2655"/>
        <v>X</v>
      </c>
      <c r="L11795" s="1" t="str">
        <f t="shared" si="2655"/>
        <v>X</v>
      </c>
      <c r="M11795" s="1" t="str">
        <f t="shared" si="2655"/>
        <v>X</v>
      </c>
      <c r="N11795" t="s">
        <v>27</v>
      </c>
    </row>
    <row r="11796" spans="1:14" x14ac:dyDescent="0.25">
      <c r="A11796" t="s">
        <v>44</v>
      </c>
      <c r="B11796" t="s">
        <v>39</v>
      </c>
      <c r="C11796" t="s">
        <v>36</v>
      </c>
      <c r="D11796" t="s">
        <v>29</v>
      </c>
      <c r="E11796" t="s">
        <v>23</v>
      </c>
      <c r="F11796" t="s">
        <v>20</v>
      </c>
      <c r="G11796" s="2">
        <f>VALUE(306.96)</f>
        <v>306.95999999999998</v>
      </c>
      <c r="H11796" s="3">
        <f>VALUE(280.24)</f>
        <v>280.24</v>
      </c>
      <c r="I11796" s="1">
        <f>VALUE(3480)</f>
        <v>3480</v>
      </c>
      <c r="J11796" s="1">
        <f>VALUE(4069)</f>
        <v>4069</v>
      </c>
      <c r="K11796" s="1">
        <f>VALUE(4736)</f>
        <v>4736</v>
      </c>
      <c r="L11796" s="7">
        <f>VALUE(5322)</f>
        <v>5322</v>
      </c>
      <c r="M11796" s="1">
        <f>VALUE(6120)</f>
        <v>6120</v>
      </c>
      <c r="N11796" t="s">
        <v>25</v>
      </c>
    </row>
    <row r="11797" spans="1:14" x14ac:dyDescent="0.25">
      <c r="A11797" t="s">
        <v>44</v>
      </c>
      <c r="B11797" t="s">
        <v>39</v>
      </c>
      <c r="C11797" t="s">
        <v>36</v>
      </c>
      <c r="D11797" t="s">
        <v>29</v>
      </c>
      <c r="E11797" t="s">
        <v>26</v>
      </c>
      <c r="F11797" t="s">
        <v>15</v>
      </c>
      <c r="G11797" s="1" t="str">
        <f t="shared" ref="G11797:M11797" si="2656">"X"</f>
        <v>X</v>
      </c>
      <c r="H11797" s="1" t="str">
        <f t="shared" si="2656"/>
        <v>X</v>
      </c>
      <c r="I11797" s="1" t="str">
        <f t="shared" si="2656"/>
        <v>X</v>
      </c>
      <c r="J11797" s="1" t="str">
        <f t="shared" si="2656"/>
        <v>X</v>
      </c>
      <c r="K11797" s="1" t="str">
        <f t="shared" si="2656"/>
        <v>X</v>
      </c>
      <c r="L11797" s="1" t="str">
        <f t="shared" si="2656"/>
        <v>X</v>
      </c>
      <c r="M11797" s="1" t="str">
        <f t="shared" si="2656"/>
        <v>X</v>
      </c>
      <c r="N11797" t="s">
        <v>27</v>
      </c>
    </row>
    <row r="11798" spans="1:14" x14ac:dyDescent="0.25">
      <c r="A11798" t="s">
        <v>44</v>
      </c>
      <c r="B11798" t="s">
        <v>39</v>
      </c>
      <c r="C11798" t="s">
        <v>36</v>
      </c>
      <c r="D11798" t="s">
        <v>29</v>
      </c>
      <c r="E11798" t="s">
        <v>26</v>
      </c>
      <c r="F11798" t="s">
        <v>17</v>
      </c>
      <c r="G11798" s="1" t="str">
        <f t="shared" ref="G11798:M11799" si="2657">"..."</f>
        <v>...</v>
      </c>
      <c r="H11798" s="1" t="str">
        <f t="shared" si="2657"/>
        <v>...</v>
      </c>
      <c r="I11798" s="1" t="str">
        <f t="shared" si="2657"/>
        <v>...</v>
      </c>
      <c r="J11798" s="1" t="str">
        <f t="shared" si="2657"/>
        <v>...</v>
      </c>
      <c r="K11798" s="1" t="str">
        <f t="shared" si="2657"/>
        <v>...</v>
      </c>
      <c r="L11798" s="1" t="str">
        <f t="shared" si="2657"/>
        <v>...</v>
      </c>
      <c r="M11798" s="1" t="str">
        <f t="shared" si="2657"/>
        <v>...</v>
      </c>
      <c r="N11798" t="s">
        <v>30</v>
      </c>
    </row>
    <row r="11799" spans="1:14" x14ac:dyDescent="0.25">
      <c r="A11799" t="s">
        <v>44</v>
      </c>
      <c r="B11799" t="s">
        <v>39</v>
      </c>
      <c r="C11799" t="s">
        <v>36</v>
      </c>
      <c r="D11799" t="s">
        <v>29</v>
      </c>
      <c r="E11799" t="s">
        <v>26</v>
      </c>
      <c r="F11799" t="s">
        <v>18</v>
      </c>
      <c r="G11799" s="1" t="str">
        <f t="shared" si="2657"/>
        <v>...</v>
      </c>
      <c r="H11799" s="1" t="str">
        <f t="shared" si="2657"/>
        <v>...</v>
      </c>
      <c r="I11799" s="1" t="str">
        <f t="shared" si="2657"/>
        <v>...</v>
      </c>
      <c r="J11799" s="1" t="str">
        <f t="shared" si="2657"/>
        <v>...</v>
      </c>
      <c r="K11799" s="1" t="str">
        <f t="shared" si="2657"/>
        <v>...</v>
      </c>
      <c r="L11799" s="1" t="str">
        <f t="shared" si="2657"/>
        <v>...</v>
      </c>
      <c r="M11799" s="1" t="str">
        <f t="shared" si="2657"/>
        <v>...</v>
      </c>
      <c r="N11799" t="s">
        <v>30</v>
      </c>
    </row>
    <row r="11800" spans="1:14" x14ac:dyDescent="0.25">
      <c r="A11800" t="s">
        <v>44</v>
      </c>
      <c r="B11800" t="s">
        <v>39</v>
      </c>
      <c r="C11800" t="s">
        <v>36</v>
      </c>
      <c r="D11800" t="s">
        <v>29</v>
      </c>
      <c r="E11800" t="s">
        <v>26</v>
      </c>
      <c r="F11800" t="s">
        <v>19</v>
      </c>
      <c r="G11800" s="1" t="str">
        <f t="shared" ref="G11800:M11801" si="2658">"X"</f>
        <v>X</v>
      </c>
      <c r="H11800" s="1" t="str">
        <f t="shared" si="2658"/>
        <v>X</v>
      </c>
      <c r="I11800" s="1" t="str">
        <f t="shared" si="2658"/>
        <v>X</v>
      </c>
      <c r="J11800" s="1" t="str">
        <f t="shared" si="2658"/>
        <v>X</v>
      </c>
      <c r="K11800" s="1" t="str">
        <f t="shared" si="2658"/>
        <v>X</v>
      </c>
      <c r="L11800" s="1" t="str">
        <f t="shared" si="2658"/>
        <v>X</v>
      </c>
      <c r="M11800" s="1" t="str">
        <f t="shared" si="2658"/>
        <v>X</v>
      </c>
      <c r="N11800" t="s">
        <v>27</v>
      </c>
    </row>
    <row r="11801" spans="1:14" x14ac:dyDescent="0.25">
      <c r="A11801" t="s">
        <v>44</v>
      </c>
      <c r="B11801" t="s">
        <v>39</v>
      </c>
      <c r="C11801" t="s">
        <v>36</v>
      </c>
      <c r="D11801" t="s">
        <v>29</v>
      </c>
      <c r="E11801" t="s">
        <v>26</v>
      </c>
      <c r="F11801" t="s">
        <v>20</v>
      </c>
      <c r="G11801" s="1" t="str">
        <f t="shared" si="2658"/>
        <v>X</v>
      </c>
      <c r="H11801" s="1" t="str">
        <f t="shared" si="2658"/>
        <v>X</v>
      </c>
      <c r="I11801" s="1" t="str">
        <f t="shared" si="2658"/>
        <v>X</v>
      </c>
      <c r="J11801" s="1" t="str">
        <f t="shared" si="2658"/>
        <v>X</v>
      </c>
      <c r="K11801" s="1" t="str">
        <f t="shared" si="2658"/>
        <v>X</v>
      </c>
      <c r="L11801" s="1" t="str">
        <f t="shared" si="2658"/>
        <v>X</v>
      </c>
      <c r="M11801" s="1" t="str">
        <f t="shared" si="2658"/>
        <v>X</v>
      </c>
      <c r="N11801" t="s">
        <v>27</v>
      </c>
    </row>
    <row r="11802" spans="1:14" x14ac:dyDescent="0.25">
      <c r="A11802" t="s">
        <v>44</v>
      </c>
      <c r="B11802" t="s">
        <v>39</v>
      </c>
      <c r="C11802" t="s">
        <v>36</v>
      </c>
      <c r="D11802" t="s">
        <v>31</v>
      </c>
      <c r="E11802" t="s">
        <v>15</v>
      </c>
      <c r="F11802" t="s">
        <v>15</v>
      </c>
      <c r="G11802" s="2">
        <f>VALUE(1992.9)</f>
        <v>1992.9</v>
      </c>
      <c r="H11802" s="3">
        <f>VALUE(1902.94)</f>
        <v>1902.94</v>
      </c>
      <c r="I11802" s="1">
        <f>VALUE(3501)</f>
        <v>3501</v>
      </c>
      <c r="J11802" s="1">
        <f>VALUE(3961)</f>
        <v>3961</v>
      </c>
      <c r="K11802" s="1">
        <f>VALUE(4814)</f>
        <v>4814</v>
      </c>
      <c r="L11802" s="1">
        <f>VALUE(6321)</f>
        <v>6321</v>
      </c>
      <c r="M11802" s="8">
        <f>VALUE(8027)</f>
        <v>8027</v>
      </c>
      <c r="N11802" t="s">
        <v>25</v>
      </c>
    </row>
    <row r="11803" spans="1:14" x14ac:dyDescent="0.25">
      <c r="A11803" t="s">
        <v>44</v>
      </c>
      <c r="B11803" t="s">
        <v>39</v>
      </c>
      <c r="C11803" t="s">
        <v>36</v>
      </c>
      <c r="D11803" t="s">
        <v>31</v>
      </c>
      <c r="E11803" t="s">
        <v>15</v>
      </c>
      <c r="F11803" t="s">
        <v>17</v>
      </c>
      <c r="G11803" s="1" t="str">
        <f t="shared" ref="G11803:M11805" si="2659">"X"</f>
        <v>X</v>
      </c>
      <c r="H11803" s="1" t="str">
        <f t="shared" si="2659"/>
        <v>X</v>
      </c>
      <c r="I11803" s="1" t="str">
        <f t="shared" si="2659"/>
        <v>X</v>
      </c>
      <c r="J11803" s="1" t="str">
        <f t="shared" si="2659"/>
        <v>X</v>
      </c>
      <c r="K11803" s="1" t="str">
        <f t="shared" si="2659"/>
        <v>X</v>
      </c>
      <c r="L11803" s="1" t="str">
        <f t="shared" si="2659"/>
        <v>X</v>
      </c>
      <c r="M11803" s="1" t="str">
        <f t="shared" si="2659"/>
        <v>X</v>
      </c>
      <c r="N11803" t="s">
        <v>27</v>
      </c>
    </row>
    <row r="11804" spans="1:14" x14ac:dyDescent="0.25">
      <c r="A11804" t="s">
        <v>44</v>
      </c>
      <c r="B11804" t="s">
        <v>39</v>
      </c>
      <c r="C11804" t="s">
        <v>36</v>
      </c>
      <c r="D11804" t="s">
        <v>31</v>
      </c>
      <c r="E11804" t="s">
        <v>15</v>
      </c>
      <c r="F11804" t="s">
        <v>18</v>
      </c>
      <c r="G11804" s="1" t="str">
        <f t="shared" si="2659"/>
        <v>X</v>
      </c>
      <c r="H11804" s="1" t="str">
        <f t="shared" si="2659"/>
        <v>X</v>
      </c>
      <c r="I11804" s="1" t="str">
        <f t="shared" si="2659"/>
        <v>X</v>
      </c>
      <c r="J11804" s="1" t="str">
        <f t="shared" si="2659"/>
        <v>X</v>
      </c>
      <c r="K11804" s="1" t="str">
        <f t="shared" si="2659"/>
        <v>X</v>
      </c>
      <c r="L11804" s="1" t="str">
        <f t="shared" si="2659"/>
        <v>X</v>
      </c>
      <c r="M11804" s="1" t="str">
        <f t="shared" si="2659"/>
        <v>X</v>
      </c>
      <c r="N11804" t="s">
        <v>27</v>
      </c>
    </row>
    <row r="11805" spans="1:14" x14ac:dyDescent="0.25">
      <c r="A11805" t="s">
        <v>44</v>
      </c>
      <c r="B11805" t="s">
        <v>39</v>
      </c>
      <c r="C11805" t="s">
        <v>36</v>
      </c>
      <c r="D11805" t="s">
        <v>31</v>
      </c>
      <c r="E11805" t="s">
        <v>15</v>
      </c>
      <c r="F11805" t="s">
        <v>19</v>
      </c>
      <c r="G11805" s="1" t="str">
        <f t="shared" si="2659"/>
        <v>X</v>
      </c>
      <c r="H11805" s="1" t="str">
        <f t="shared" si="2659"/>
        <v>X</v>
      </c>
      <c r="I11805" s="1" t="str">
        <f t="shared" si="2659"/>
        <v>X</v>
      </c>
      <c r="J11805" s="1" t="str">
        <f t="shared" si="2659"/>
        <v>X</v>
      </c>
      <c r="K11805" s="1" t="str">
        <f t="shared" si="2659"/>
        <v>X</v>
      </c>
      <c r="L11805" s="1" t="str">
        <f t="shared" si="2659"/>
        <v>X</v>
      </c>
      <c r="M11805" s="1" t="str">
        <f t="shared" si="2659"/>
        <v>X</v>
      </c>
      <c r="N11805" t="s">
        <v>27</v>
      </c>
    </row>
    <row r="11806" spans="1:14" x14ac:dyDescent="0.25">
      <c r="A11806" t="s">
        <v>44</v>
      </c>
      <c r="B11806" t="s">
        <v>39</v>
      </c>
      <c r="C11806" t="s">
        <v>36</v>
      </c>
      <c r="D11806" t="s">
        <v>31</v>
      </c>
      <c r="E11806" t="s">
        <v>15</v>
      </c>
      <c r="F11806" t="s">
        <v>20</v>
      </c>
      <c r="G11806" s="2">
        <f>VALUE(1520.37)</f>
        <v>1520.37</v>
      </c>
      <c r="H11806" s="3">
        <f>VALUE(1442.12)</f>
        <v>1442.12</v>
      </c>
      <c r="I11806" s="1">
        <f>VALUE(3406)</f>
        <v>3406</v>
      </c>
      <c r="J11806" s="1">
        <f>VALUE(3911)</f>
        <v>3911</v>
      </c>
      <c r="K11806" s="1">
        <f>VALUE(4536)</f>
        <v>4536</v>
      </c>
      <c r="L11806" s="1">
        <f>VALUE(5382)</f>
        <v>5382</v>
      </c>
      <c r="M11806" s="1">
        <f>VALUE(6746)</f>
        <v>6746</v>
      </c>
      <c r="N11806" t="s">
        <v>25</v>
      </c>
    </row>
    <row r="11807" spans="1:14" x14ac:dyDescent="0.25">
      <c r="A11807" t="s">
        <v>44</v>
      </c>
      <c r="B11807" t="s">
        <v>39</v>
      </c>
      <c r="C11807" t="s">
        <v>36</v>
      </c>
      <c r="D11807" t="s">
        <v>31</v>
      </c>
      <c r="E11807" t="s">
        <v>21</v>
      </c>
      <c r="F11807" t="s">
        <v>15</v>
      </c>
      <c r="G11807" s="2">
        <f>VALUE(784.74)</f>
        <v>784.74</v>
      </c>
      <c r="H11807" s="3">
        <f>VALUE(762.16)</f>
        <v>762.16</v>
      </c>
      <c r="I11807" s="1">
        <f>VALUE(4286)</f>
        <v>4286</v>
      </c>
      <c r="J11807" s="1">
        <f>VALUE(4893)</f>
        <v>4893</v>
      </c>
      <c r="K11807" s="1">
        <f>VALUE(6108)</f>
        <v>6108</v>
      </c>
      <c r="L11807" s="7">
        <f>VALUE(7486)</f>
        <v>7486</v>
      </c>
      <c r="M11807" s="1">
        <f>VALUE(10267)</f>
        <v>10267</v>
      </c>
      <c r="N11807" t="s">
        <v>25</v>
      </c>
    </row>
    <row r="11808" spans="1:14" x14ac:dyDescent="0.25">
      <c r="A11808" t="s">
        <v>44</v>
      </c>
      <c r="B11808" t="s">
        <v>39</v>
      </c>
      <c r="C11808" t="s">
        <v>36</v>
      </c>
      <c r="D11808" t="s">
        <v>31</v>
      </c>
      <c r="E11808" t="s">
        <v>21</v>
      </c>
      <c r="F11808" t="s">
        <v>17</v>
      </c>
      <c r="G11808" s="1" t="str">
        <f t="shared" ref="G11808:M11810" si="2660">"X"</f>
        <v>X</v>
      </c>
      <c r="H11808" s="1" t="str">
        <f t="shared" si="2660"/>
        <v>X</v>
      </c>
      <c r="I11808" s="1" t="str">
        <f t="shared" si="2660"/>
        <v>X</v>
      </c>
      <c r="J11808" s="1" t="str">
        <f t="shared" si="2660"/>
        <v>X</v>
      </c>
      <c r="K11808" s="1" t="str">
        <f t="shared" si="2660"/>
        <v>X</v>
      </c>
      <c r="L11808" s="1" t="str">
        <f t="shared" si="2660"/>
        <v>X</v>
      </c>
      <c r="M11808" s="1" t="str">
        <f t="shared" si="2660"/>
        <v>X</v>
      </c>
      <c r="N11808" t="s">
        <v>27</v>
      </c>
    </row>
    <row r="11809" spans="1:14" x14ac:dyDescent="0.25">
      <c r="A11809" t="s">
        <v>44</v>
      </c>
      <c r="B11809" t="s">
        <v>39</v>
      </c>
      <c r="C11809" t="s">
        <v>36</v>
      </c>
      <c r="D11809" t="s">
        <v>31</v>
      </c>
      <c r="E11809" t="s">
        <v>21</v>
      </c>
      <c r="F11809" t="s">
        <v>18</v>
      </c>
      <c r="G11809" s="1" t="str">
        <f t="shared" si="2660"/>
        <v>X</v>
      </c>
      <c r="H11809" s="1" t="str">
        <f t="shared" si="2660"/>
        <v>X</v>
      </c>
      <c r="I11809" s="1" t="str">
        <f t="shared" si="2660"/>
        <v>X</v>
      </c>
      <c r="J11809" s="1" t="str">
        <f t="shared" si="2660"/>
        <v>X</v>
      </c>
      <c r="K11809" s="1" t="str">
        <f t="shared" si="2660"/>
        <v>X</v>
      </c>
      <c r="L11809" s="1" t="str">
        <f t="shared" si="2660"/>
        <v>X</v>
      </c>
      <c r="M11809" s="1" t="str">
        <f t="shared" si="2660"/>
        <v>X</v>
      </c>
      <c r="N11809" t="s">
        <v>27</v>
      </c>
    </row>
    <row r="11810" spans="1:14" x14ac:dyDescent="0.25">
      <c r="A11810" t="s">
        <v>44</v>
      </c>
      <c r="B11810" t="s">
        <v>39</v>
      </c>
      <c r="C11810" t="s">
        <v>36</v>
      </c>
      <c r="D11810" t="s">
        <v>31</v>
      </c>
      <c r="E11810" t="s">
        <v>21</v>
      </c>
      <c r="F11810" t="s">
        <v>19</v>
      </c>
      <c r="G11810" s="1" t="str">
        <f t="shared" si="2660"/>
        <v>X</v>
      </c>
      <c r="H11810" s="1" t="str">
        <f t="shared" si="2660"/>
        <v>X</v>
      </c>
      <c r="I11810" s="1" t="str">
        <f t="shared" si="2660"/>
        <v>X</v>
      </c>
      <c r="J11810" s="1" t="str">
        <f t="shared" si="2660"/>
        <v>X</v>
      </c>
      <c r="K11810" s="1" t="str">
        <f t="shared" si="2660"/>
        <v>X</v>
      </c>
      <c r="L11810" s="1" t="str">
        <f t="shared" si="2660"/>
        <v>X</v>
      </c>
      <c r="M11810" s="1" t="str">
        <f t="shared" si="2660"/>
        <v>X</v>
      </c>
      <c r="N11810" t="s">
        <v>27</v>
      </c>
    </row>
    <row r="11811" spans="1:14" x14ac:dyDescent="0.25">
      <c r="A11811" t="s">
        <v>44</v>
      </c>
      <c r="B11811" t="s">
        <v>39</v>
      </c>
      <c r="C11811" t="s">
        <v>36</v>
      </c>
      <c r="D11811" t="s">
        <v>31</v>
      </c>
      <c r="E11811" t="s">
        <v>21</v>
      </c>
      <c r="F11811" t="s">
        <v>20</v>
      </c>
      <c r="G11811" s="2">
        <f>VALUE(490.79)</f>
        <v>490.79</v>
      </c>
      <c r="H11811" s="3">
        <f>VALUE(483.05)</f>
        <v>483.05</v>
      </c>
      <c r="I11811" s="1">
        <f>VALUE(3960)</f>
        <v>3960</v>
      </c>
      <c r="J11811" s="1">
        <f>VALUE(4672)</f>
        <v>4672</v>
      </c>
      <c r="K11811" s="1">
        <f>VALUE(5424)</f>
        <v>5424</v>
      </c>
      <c r="L11811" s="1">
        <f>VALUE(6746)</f>
        <v>6746</v>
      </c>
      <c r="M11811" s="1">
        <f>VALUE(8231)</f>
        <v>8231</v>
      </c>
      <c r="N11811" t="s">
        <v>25</v>
      </c>
    </row>
    <row r="11812" spans="1:14" x14ac:dyDescent="0.25">
      <c r="A11812" t="s">
        <v>44</v>
      </c>
      <c r="B11812" t="s">
        <v>39</v>
      </c>
      <c r="C11812" t="s">
        <v>36</v>
      </c>
      <c r="D11812" t="s">
        <v>31</v>
      </c>
      <c r="E11812" t="s">
        <v>22</v>
      </c>
      <c r="F11812" t="s">
        <v>15</v>
      </c>
      <c r="G11812" s="2">
        <f>VALUE(601.29)</f>
        <v>601.29</v>
      </c>
      <c r="H11812" s="3">
        <f>VALUE(608.57)</f>
        <v>608.57000000000005</v>
      </c>
      <c r="I11812" s="1">
        <f>VALUE(3860)</f>
        <v>3860</v>
      </c>
      <c r="J11812" s="1">
        <f>VALUE(4000)</f>
        <v>4000</v>
      </c>
      <c r="K11812" s="1">
        <f>VALUE(4642)</f>
        <v>4642</v>
      </c>
      <c r="L11812" s="7">
        <f>VALUE(5281)</f>
        <v>5281</v>
      </c>
      <c r="M11812" s="1">
        <f>VALUE(6499)</f>
        <v>6499</v>
      </c>
      <c r="N11812" t="s">
        <v>25</v>
      </c>
    </row>
    <row r="11813" spans="1:14" x14ac:dyDescent="0.25">
      <c r="A11813" t="s">
        <v>44</v>
      </c>
      <c r="B11813" t="s">
        <v>39</v>
      </c>
      <c r="C11813" t="s">
        <v>36</v>
      </c>
      <c r="D11813" t="s">
        <v>31</v>
      </c>
      <c r="E11813" t="s">
        <v>22</v>
      </c>
      <c r="F11813" t="s">
        <v>17</v>
      </c>
      <c r="G11813" s="1" t="str">
        <f t="shared" ref="G11813:M11815" si="2661">"X"</f>
        <v>X</v>
      </c>
      <c r="H11813" s="1" t="str">
        <f t="shared" si="2661"/>
        <v>X</v>
      </c>
      <c r="I11813" s="1" t="str">
        <f t="shared" si="2661"/>
        <v>X</v>
      </c>
      <c r="J11813" s="1" t="str">
        <f t="shared" si="2661"/>
        <v>X</v>
      </c>
      <c r="K11813" s="1" t="str">
        <f t="shared" si="2661"/>
        <v>X</v>
      </c>
      <c r="L11813" s="1" t="str">
        <f t="shared" si="2661"/>
        <v>X</v>
      </c>
      <c r="M11813" s="1" t="str">
        <f t="shared" si="2661"/>
        <v>X</v>
      </c>
      <c r="N11813" t="s">
        <v>27</v>
      </c>
    </row>
    <row r="11814" spans="1:14" x14ac:dyDescent="0.25">
      <c r="A11814" t="s">
        <v>44</v>
      </c>
      <c r="B11814" t="s">
        <v>39</v>
      </c>
      <c r="C11814" t="s">
        <v>36</v>
      </c>
      <c r="D11814" t="s">
        <v>31</v>
      </c>
      <c r="E11814" t="s">
        <v>22</v>
      </c>
      <c r="F11814" t="s">
        <v>18</v>
      </c>
      <c r="G11814" s="1" t="str">
        <f t="shared" si="2661"/>
        <v>X</v>
      </c>
      <c r="H11814" s="1" t="str">
        <f t="shared" si="2661"/>
        <v>X</v>
      </c>
      <c r="I11814" s="1" t="str">
        <f t="shared" si="2661"/>
        <v>X</v>
      </c>
      <c r="J11814" s="1" t="str">
        <f t="shared" si="2661"/>
        <v>X</v>
      </c>
      <c r="K11814" s="1" t="str">
        <f t="shared" si="2661"/>
        <v>X</v>
      </c>
      <c r="L11814" s="1" t="str">
        <f t="shared" si="2661"/>
        <v>X</v>
      </c>
      <c r="M11814" s="1" t="str">
        <f t="shared" si="2661"/>
        <v>X</v>
      </c>
      <c r="N11814" t="s">
        <v>27</v>
      </c>
    </row>
    <row r="11815" spans="1:14" x14ac:dyDescent="0.25">
      <c r="A11815" t="s">
        <v>44</v>
      </c>
      <c r="B11815" t="s">
        <v>39</v>
      </c>
      <c r="C11815" t="s">
        <v>36</v>
      </c>
      <c r="D11815" t="s">
        <v>31</v>
      </c>
      <c r="E11815" t="s">
        <v>22</v>
      </c>
      <c r="F11815" t="s">
        <v>19</v>
      </c>
      <c r="G11815" s="1" t="str">
        <f t="shared" si="2661"/>
        <v>X</v>
      </c>
      <c r="H11815" s="1" t="str">
        <f t="shared" si="2661"/>
        <v>X</v>
      </c>
      <c r="I11815" s="1" t="str">
        <f t="shared" si="2661"/>
        <v>X</v>
      </c>
      <c r="J11815" s="1" t="str">
        <f t="shared" si="2661"/>
        <v>X</v>
      </c>
      <c r="K11815" s="1" t="str">
        <f t="shared" si="2661"/>
        <v>X</v>
      </c>
      <c r="L11815" s="1" t="str">
        <f t="shared" si="2661"/>
        <v>X</v>
      </c>
      <c r="M11815" s="1" t="str">
        <f t="shared" si="2661"/>
        <v>X</v>
      </c>
      <c r="N11815" t="s">
        <v>27</v>
      </c>
    </row>
    <row r="11816" spans="1:14" x14ac:dyDescent="0.25">
      <c r="A11816" t="s">
        <v>44</v>
      </c>
      <c r="B11816" t="s">
        <v>39</v>
      </c>
      <c r="C11816" t="s">
        <v>36</v>
      </c>
      <c r="D11816" t="s">
        <v>31</v>
      </c>
      <c r="E11816" t="s">
        <v>22</v>
      </c>
      <c r="F11816" t="s">
        <v>20</v>
      </c>
      <c r="G11816" s="2">
        <f>VALUE(449.69)</f>
        <v>449.69</v>
      </c>
      <c r="H11816" s="3">
        <f>VALUE(454.37)</f>
        <v>454.37</v>
      </c>
      <c r="I11816" s="4">
        <f>VALUE(3792)</f>
        <v>3792</v>
      </c>
      <c r="J11816" s="1">
        <f>VALUE(3920)</f>
        <v>3920</v>
      </c>
      <c r="K11816" s="1">
        <f>VALUE(4289)</f>
        <v>4289</v>
      </c>
      <c r="L11816" s="1">
        <f>VALUE(4946)</f>
        <v>4946</v>
      </c>
      <c r="M11816" s="8">
        <f>VALUE(5505)</f>
        <v>5505</v>
      </c>
      <c r="N11816" t="s">
        <v>25</v>
      </c>
    </row>
    <row r="11817" spans="1:14" x14ac:dyDescent="0.25">
      <c r="A11817" t="s">
        <v>44</v>
      </c>
      <c r="B11817" t="s">
        <v>39</v>
      </c>
      <c r="C11817" t="s">
        <v>36</v>
      </c>
      <c r="D11817" t="s">
        <v>31</v>
      </c>
      <c r="E11817" t="s">
        <v>23</v>
      </c>
      <c r="F11817" t="s">
        <v>15</v>
      </c>
      <c r="G11817" s="2">
        <f>VALUE(594.11)</f>
        <v>594.11</v>
      </c>
      <c r="H11817" s="3">
        <f>VALUE(519.32)</f>
        <v>519.32000000000005</v>
      </c>
      <c r="I11817" s="4">
        <f>VALUE(3384)</f>
        <v>3384</v>
      </c>
      <c r="J11817" s="5">
        <f>VALUE(3473)</f>
        <v>3473</v>
      </c>
      <c r="K11817" s="6">
        <f>VALUE(3920)</f>
        <v>3920</v>
      </c>
      <c r="L11817" s="1">
        <f>VALUE(4618)</f>
        <v>4618</v>
      </c>
      <c r="M11817" s="8">
        <f>VALUE(5624)</f>
        <v>5624</v>
      </c>
      <c r="N11817" t="s">
        <v>25</v>
      </c>
    </row>
    <row r="11818" spans="1:14" x14ac:dyDescent="0.25">
      <c r="A11818" t="s">
        <v>44</v>
      </c>
      <c r="B11818" t="s">
        <v>39</v>
      </c>
      <c r="C11818" t="s">
        <v>36</v>
      </c>
      <c r="D11818" t="s">
        <v>31</v>
      </c>
      <c r="E11818" t="s">
        <v>23</v>
      </c>
      <c r="F11818" t="s">
        <v>17</v>
      </c>
      <c r="G11818" s="1" t="str">
        <f t="shared" ref="G11818:M11820" si="2662">"X"</f>
        <v>X</v>
      </c>
      <c r="H11818" s="1" t="str">
        <f t="shared" si="2662"/>
        <v>X</v>
      </c>
      <c r="I11818" s="1" t="str">
        <f t="shared" si="2662"/>
        <v>X</v>
      </c>
      <c r="J11818" s="1" t="str">
        <f t="shared" si="2662"/>
        <v>X</v>
      </c>
      <c r="K11818" s="1" t="str">
        <f t="shared" si="2662"/>
        <v>X</v>
      </c>
      <c r="L11818" s="1" t="str">
        <f t="shared" si="2662"/>
        <v>X</v>
      </c>
      <c r="M11818" s="1" t="str">
        <f t="shared" si="2662"/>
        <v>X</v>
      </c>
      <c r="N11818" t="s">
        <v>27</v>
      </c>
    </row>
    <row r="11819" spans="1:14" x14ac:dyDescent="0.25">
      <c r="A11819" t="s">
        <v>44</v>
      </c>
      <c r="B11819" t="s">
        <v>39</v>
      </c>
      <c r="C11819" t="s">
        <v>36</v>
      </c>
      <c r="D11819" t="s">
        <v>31</v>
      </c>
      <c r="E11819" t="s">
        <v>23</v>
      </c>
      <c r="F11819" t="s">
        <v>18</v>
      </c>
      <c r="G11819" s="1" t="str">
        <f t="shared" si="2662"/>
        <v>X</v>
      </c>
      <c r="H11819" s="1" t="str">
        <f t="shared" si="2662"/>
        <v>X</v>
      </c>
      <c r="I11819" s="1" t="str">
        <f t="shared" si="2662"/>
        <v>X</v>
      </c>
      <c r="J11819" s="1" t="str">
        <f t="shared" si="2662"/>
        <v>X</v>
      </c>
      <c r="K11819" s="1" t="str">
        <f t="shared" si="2662"/>
        <v>X</v>
      </c>
      <c r="L11819" s="1" t="str">
        <f t="shared" si="2662"/>
        <v>X</v>
      </c>
      <c r="M11819" s="1" t="str">
        <f t="shared" si="2662"/>
        <v>X</v>
      </c>
      <c r="N11819" t="s">
        <v>27</v>
      </c>
    </row>
    <row r="11820" spans="1:14" x14ac:dyDescent="0.25">
      <c r="A11820" t="s">
        <v>44</v>
      </c>
      <c r="B11820" t="s">
        <v>39</v>
      </c>
      <c r="C11820" t="s">
        <v>36</v>
      </c>
      <c r="D11820" t="s">
        <v>31</v>
      </c>
      <c r="E11820" t="s">
        <v>23</v>
      </c>
      <c r="F11820" t="s">
        <v>19</v>
      </c>
      <c r="G11820" s="1" t="str">
        <f t="shared" si="2662"/>
        <v>X</v>
      </c>
      <c r="H11820" s="1" t="str">
        <f t="shared" si="2662"/>
        <v>X</v>
      </c>
      <c r="I11820" s="1" t="str">
        <f t="shared" si="2662"/>
        <v>X</v>
      </c>
      <c r="J11820" s="1" t="str">
        <f t="shared" si="2662"/>
        <v>X</v>
      </c>
      <c r="K11820" s="1" t="str">
        <f t="shared" si="2662"/>
        <v>X</v>
      </c>
      <c r="L11820" s="1" t="str">
        <f t="shared" si="2662"/>
        <v>X</v>
      </c>
      <c r="M11820" s="1" t="str">
        <f t="shared" si="2662"/>
        <v>X</v>
      </c>
      <c r="N11820" t="s">
        <v>27</v>
      </c>
    </row>
    <row r="11821" spans="1:14" x14ac:dyDescent="0.25">
      <c r="A11821" t="s">
        <v>44</v>
      </c>
      <c r="B11821" t="s">
        <v>39</v>
      </c>
      <c r="C11821" t="s">
        <v>36</v>
      </c>
      <c r="D11821" t="s">
        <v>31</v>
      </c>
      <c r="E11821" t="s">
        <v>23</v>
      </c>
      <c r="F11821" t="s">
        <v>20</v>
      </c>
      <c r="G11821" s="2">
        <f>VALUE(571.44)</f>
        <v>571.44000000000005</v>
      </c>
      <c r="H11821" s="3">
        <f>VALUE(496.25)</f>
        <v>496.25</v>
      </c>
      <c r="I11821" s="4">
        <f>VALUE(3384)</f>
        <v>3384</v>
      </c>
      <c r="J11821" s="5">
        <f>VALUE(3473)</f>
        <v>3473</v>
      </c>
      <c r="K11821" s="6">
        <f>VALUE(3920)</f>
        <v>3920</v>
      </c>
      <c r="L11821" s="7">
        <f>VALUE(4495)</f>
        <v>4495</v>
      </c>
      <c r="M11821" s="8">
        <f>VALUE(5667)</f>
        <v>5667</v>
      </c>
      <c r="N11821" t="s">
        <v>24</v>
      </c>
    </row>
    <row r="11822" spans="1:14" x14ac:dyDescent="0.25">
      <c r="A11822" t="s">
        <v>44</v>
      </c>
      <c r="B11822" t="s">
        <v>39</v>
      </c>
      <c r="C11822" t="s">
        <v>36</v>
      </c>
      <c r="D11822" t="s">
        <v>31</v>
      </c>
      <c r="E11822" t="s">
        <v>26</v>
      </c>
      <c r="F11822" t="s">
        <v>15</v>
      </c>
      <c r="G11822" s="1" t="str">
        <f t="shared" ref="G11822:M11824" si="2663">"X"</f>
        <v>X</v>
      </c>
      <c r="H11822" s="1" t="str">
        <f t="shared" si="2663"/>
        <v>X</v>
      </c>
      <c r="I11822" s="1" t="str">
        <f t="shared" si="2663"/>
        <v>X</v>
      </c>
      <c r="J11822" s="1" t="str">
        <f t="shared" si="2663"/>
        <v>X</v>
      </c>
      <c r="K11822" s="1" t="str">
        <f t="shared" si="2663"/>
        <v>X</v>
      </c>
      <c r="L11822" s="1" t="str">
        <f t="shared" si="2663"/>
        <v>X</v>
      </c>
      <c r="M11822" s="1" t="str">
        <f t="shared" si="2663"/>
        <v>X</v>
      </c>
      <c r="N11822" t="s">
        <v>27</v>
      </c>
    </row>
    <row r="11823" spans="1:14" x14ac:dyDescent="0.25">
      <c r="A11823" t="s">
        <v>44</v>
      </c>
      <c r="B11823" t="s">
        <v>39</v>
      </c>
      <c r="C11823" t="s">
        <v>36</v>
      </c>
      <c r="D11823" t="s">
        <v>31</v>
      </c>
      <c r="E11823" t="s">
        <v>26</v>
      </c>
      <c r="F11823" t="s">
        <v>17</v>
      </c>
      <c r="G11823" s="1" t="str">
        <f t="shared" si="2663"/>
        <v>X</v>
      </c>
      <c r="H11823" s="1" t="str">
        <f t="shared" si="2663"/>
        <v>X</v>
      </c>
      <c r="I11823" s="1" t="str">
        <f t="shared" si="2663"/>
        <v>X</v>
      </c>
      <c r="J11823" s="1" t="str">
        <f t="shared" si="2663"/>
        <v>X</v>
      </c>
      <c r="K11823" s="1" t="str">
        <f t="shared" si="2663"/>
        <v>X</v>
      </c>
      <c r="L11823" s="1" t="str">
        <f t="shared" si="2663"/>
        <v>X</v>
      </c>
      <c r="M11823" s="1" t="str">
        <f t="shared" si="2663"/>
        <v>X</v>
      </c>
      <c r="N11823" t="s">
        <v>27</v>
      </c>
    </row>
    <row r="11824" spans="1:14" x14ac:dyDescent="0.25">
      <c r="A11824" t="s">
        <v>44</v>
      </c>
      <c r="B11824" t="s">
        <v>39</v>
      </c>
      <c r="C11824" t="s">
        <v>36</v>
      </c>
      <c r="D11824" t="s">
        <v>31</v>
      </c>
      <c r="E11824" t="s">
        <v>26</v>
      </c>
      <c r="F11824" t="s">
        <v>18</v>
      </c>
      <c r="G11824" s="1" t="str">
        <f t="shared" si="2663"/>
        <v>X</v>
      </c>
      <c r="H11824" s="1" t="str">
        <f t="shared" si="2663"/>
        <v>X</v>
      </c>
      <c r="I11824" s="1" t="str">
        <f t="shared" si="2663"/>
        <v>X</v>
      </c>
      <c r="J11824" s="1" t="str">
        <f t="shared" si="2663"/>
        <v>X</v>
      </c>
      <c r="K11824" s="1" t="str">
        <f t="shared" si="2663"/>
        <v>X</v>
      </c>
      <c r="L11824" s="1" t="str">
        <f t="shared" si="2663"/>
        <v>X</v>
      </c>
      <c r="M11824" s="1" t="str">
        <f t="shared" si="2663"/>
        <v>X</v>
      </c>
      <c r="N11824" t="s">
        <v>27</v>
      </c>
    </row>
    <row r="11825" spans="1:14" x14ac:dyDescent="0.25">
      <c r="A11825" t="s">
        <v>44</v>
      </c>
      <c r="B11825" t="s">
        <v>39</v>
      </c>
      <c r="C11825" t="s">
        <v>36</v>
      </c>
      <c r="D11825" t="s">
        <v>31</v>
      </c>
      <c r="E11825" t="s">
        <v>26</v>
      </c>
      <c r="F11825" t="s">
        <v>19</v>
      </c>
      <c r="G11825" s="1" t="str">
        <f t="shared" ref="G11825:M11825" si="2664">"..."</f>
        <v>...</v>
      </c>
      <c r="H11825" s="1" t="str">
        <f t="shared" si="2664"/>
        <v>...</v>
      </c>
      <c r="I11825" s="1" t="str">
        <f t="shared" si="2664"/>
        <v>...</v>
      </c>
      <c r="J11825" s="1" t="str">
        <f t="shared" si="2664"/>
        <v>...</v>
      </c>
      <c r="K11825" s="1" t="str">
        <f t="shared" si="2664"/>
        <v>...</v>
      </c>
      <c r="L11825" s="1" t="str">
        <f t="shared" si="2664"/>
        <v>...</v>
      </c>
      <c r="M11825" s="1" t="str">
        <f t="shared" si="2664"/>
        <v>...</v>
      </c>
      <c r="N11825" t="s">
        <v>30</v>
      </c>
    </row>
    <row r="11826" spans="1:14" x14ac:dyDescent="0.25">
      <c r="A11826" t="s">
        <v>44</v>
      </c>
      <c r="B11826" t="s">
        <v>39</v>
      </c>
      <c r="C11826" t="s">
        <v>36</v>
      </c>
      <c r="D11826" t="s">
        <v>31</v>
      </c>
      <c r="E11826" t="s">
        <v>26</v>
      </c>
      <c r="F11826" t="s">
        <v>20</v>
      </c>
      <c r="G11826" s="1" t="str">
        <f t="shared" ref="G11826:M11826" si="2665">"X"</f>
        <v>X</v>
      </c>
      <c r="H11826" s="1" t="str">
        <f t="shared" si="2665"/>
        <v>X</v>
      </c>
      <c r="I11826" s="1" t="str">
        <f t="shared" si="2665"/>
        <v>X</v>
      </c>
      <c r="J11826" s="1" t="str">
        <f t="shared" si="2665"/>
        <v>X</v>
      </c>
      <c r="K11826" s="1" t="str">
        <f t="shared" si="2665"/>
        <v>X</v>
      </c>
      <c r="L11826" s="1" t="str">
        <f t="shared" si="2665"/>
        <v>X</v>
      </c>
      <c r="M11826" s="1" t="str">
        <f t="shared" si="2665"/>
        <v>X</v>
      </c>
      <c r="N11826" t="s">
        <v>27</v>
      </c>
    </row>
    <row r="11827" spans="1:14" x14ac:dyDescent="0.25">
      <c r="A11827" t="s">
        <v>44</v>
      </c>
      <c r="B11827" t="s">
        <v>39</v>
      </c>
      <c r="C11827" t="s">
        <v>36</v>
      </c>
      <c r="D11827" t="s">
        <v>32</v>
      </c>
      <c r="E11827" t="s">
        <v>15</v>
      </c>
      <c r="F11827" t="s">
        <v>15</v>
      </c>
      <c r="G11827" s="1">
        <f>VALUE(6506.71)</f>
        <v>6506.71</v>
      </c>
      <c r="H11827" s="1">
        <f>VALUE(6215.29)</f>
        <v>6215.29</v>
      </c>
      <c r="I11827" s="1">
        <f>VALUE(3221)</f>
        <v>3221</v>
      </c>
      <c r="J11827" s="1">
        <f>VALUE(3591)</f>
        <v>3591</v>
      </c>
      <c r="K11827" s="1">
        <f>VALUE(4332)</f>
        <v>4332</v>
      </c>
      <c r="L11827" s="1">
        <f>VALUE(5193)</f>
        <v>5193</v>
      </c>
      <c r="M11827" s="1">
        <f>VALUE(6164)</f>
        <v>6164</v>
      </c>
      <c r="N11827" t="s">
        <v>16</v>
      </c>
    </row>
    <row r="11828" spans="1:14" x14ac:dyDescent="0.25">
      <c r="A11828" t="s">
        <v>44</v>
      </c>
      <c r="B11828" t="s">
        <v>39</v>
      </c>
      <c r="C11828" t="s">
        <v>36</v>
      </c>
      <c r="D11828" t="s">
        <v>32</v>
      </c>
      <c r="E11828" t="s">
        <v>15</v>
      </c>
      <c r="F11828" t="s">
        <v>17</v>
      </c>
      <c r="G11828" s="2">
        <f>VALUE(300.6)</f>
        <v>300.60000000000002</v>
      </c>
      <c r="H11828" s="3">
        <f>VALUE(292.42)</f>
        <v>292.42</v>
      </c>
      <c r="I11828" s="4">
        <f>VALUE(3864)</f>
        <v>3864</v>
      </c>
      <c r="J11828" s="1">
        <f>VALUE(4478)</f>
        <v>4478</v>
      </c>
      <c r="K11828" s="6">
        <f>VALUE(4478)</f>
        <v>4478</v>
      </c>
      <c r="L11828" s="7">
        <f>VALUE(6500)</f>
        <v>6500</v>
      </c>
      <c r="M11828" s="8">
        <f>VALUE(9580)</f>
        <v>9580</v>
      </c>
      <c r="N11828" t="s">
        <v>25</v>
      </c>
    </row>
    <row r="11829" spans="1:14" x14ac:dyDescent="0.25">
      <c r="A11829" t="s">
        <v>44</v>
      </c>
      <c r="B11829" t="s">
        <v>39</v>
      </c>
      <c r="C11829" t="s">
        <v>36</v>
      </c>
      <c r="D11829" t="s">
        <v>32</v>
      </c>
      <c r="E11829" t="s">
        <v>15</v>
      </c>
      <c r="F11829" t="s">
        <v>18</v>
      </c>
      <c r="G11829" s="2">
        <f>VALUE(457.6)</f>
        <v>457.6</v>
      </c>
      <c r="H11829" s="3">
        <f>VALUE(456.78)</f>
        <v>456.78</v>
      </c>
      <c r="I11829" s="4">
        <f>VALUE(3568)</f>
        <v>3568</v>
      </c>
      <c r="J11829" s="5">
        <f>VALUE(4091)</f>
        <v>4091</v>
      </c>
      <c r="K11829" s="6">
        <f>VALUE(5325)</f>
        <v>5325</v>
      </c>
      <c r="L11829" s="7">
        <f>VALUE(5866)</f>
        <v>5866</v>
      </c>
      <c r="M11829" s="8">
        <f>VALUE(7368)</f>
        <v>7368</v>
      </c>
      <c r="N11829" t="s">
        <v>24</v>
      </c>
    </row>
    <row r="11830" spans="1:14" x14ac:dyDescent="0.25">
      <c r="A11830" t="s">
        <v>44</v>
      </c>
      <c r="B11830" t="s">
        <v>39</v>
      </c>
      <c r="C11830" t="s">
        <v>36</v>
      </c>
      <c r="D11830" t="s">
        <v>32</v>
      </c>
      <c r="E11830" t="s">
        <v>15</v>
      </c>
      <c r="F11830" t="s">
        <v>19</v>
      </c>
      <c r="G11830" s="2">
        <f>VALUE(717.78)</f>
        <v>717.78</v>
      </c>
      <c r="H11830" s="3">
        <f>VALUE(661.87)</f>
        <v>661.87</v>
      </c>
      <c r="I11830" s="4">
        <f>VALUE(3249)</f>
        <v>3249</v>
      </c>
      <c r="J11830" s="1">
        <f>VALUE(3878)</f>
        <v>3878</v>
      </c>
      <c r="K11830" s="1">
        <f>VALUE(4745)</f>
        <v>4745</v>
      </c>
      <c r="L11830" s="1">
        <f>VALUE(5885)</f>
        <v>5885</v>
      </c>
      <c r="M11830" s="1">
        <f>VALUE(6613)</f>
        <v>6613</v>
      </c>
      <c r="N11830" t="s">
        <v>25</v>
      </c>
    </row>
    <row r="11831" spans="1:14" x14ac:dyDescent="0.25">
      <c r="A11831" t="s">
        <v>44</v>
      </c>
      <c r="B11831" t="s">
        <v>39</v>
      </c>
      <c r="C11831" t="s">
        <v>36</v>
      </c>
      <c r="D11831" t="s">
        <v>32</v>
      </c>
      <c r="E11831" t="s">
        <v>15</v>
      </c>
      <c r="F11831" t="s">
        <v>20</v>
      </c>
      <c r="G11831" s="1">
        <f>VALUE(5030.73)</f>
        <v>5030.7299999999996</v>
      </c>
      <c r="H11831" s="1">
        <f>VALUE(4804.22)</f>
        <v>4804.22</v>
      </c>
      <c r="I11831" s="1">
        <f>VALUE(3180)</f>
        <v>3180</v>
      </c>
      <c r="J11831" s="1">
        <f>VALUE(3528)</f>
        <v>3528</v>
      </c>
      <c r="K11831" s="1">
        <f>VALUE(4187)</f>
        <v>4187</v>
      </c>
      <c r="L11831" s="1">
        <f>VALUE(4952)</f>
        <v>4952</v>
      </c>
      <c r="M11831" s="1">
        <f>VALUE(5833)</f>
        <v>5833</v>
      </c>
      <c r="N11831" t="s">
        <v>16</v>
      </c>
    </row>
    <row r="11832" spans="1:14" x14ac:dyDescent="0.25">
      <c r="A11832" t="s">
        <v>44</v>
      </c>
      <c r="B11832" t="s">
        <v>39</v>
      </c>
      <c r="C11832" t="s">
        <v>36</v>
      </c>
      <c r="D11832" t="s">
        <v>32</v>
      </c>
      <c r="E11832" t="s">
        <v>21</v>
      </c>
      <c r="F11832" t="s">
        <v>15</v>
      </c>
      <c r="G11832" s="2">
        <f>VALUE(1733.25)</f>
        <v>1733.25</v>
      </c>
      <c r="H11832" s="3">
        <f>VALUE(1691.07)</f>
        <v>1691.07</v>
      </c>
      <c r="I11832" s="1">
        <f>VALUE(3345)</f>
        <v>3345</v>
      </c>
      <c r="J11832" s="1">
        <f>VALUE(3864)</f>
        <v>3864</v>
      </c>
      <c r="K11832" s="1">
        <f>VALUE(4821)</f>
        <v>4821</v>
      </c>
      <c r="L11832" s="1">
        <f>VALUE(5775)</f>
        <v>5775</v>
      </c>
      <c r="M11832" s="8">
        <f>VALUE(7128)</f>
        <v>7128</v>
      </c>
      <c r="N11832" t="s">
        <v>25</v>
      </c>
    </row>
    <row r="11833" spans="1:14" x14ac:dyDescent="0.25">
      <c r="A11833" t="s">
        <v>44</v>
      </c>
      <c r="B11833" t="s">
        <v>39</v>
      </c>
      <c r="C11833" t="s">
        <v>36</v>
      </c>
      <c r="D11833" t="s">
        <v>32</v>
      </c>
      <c r="E11833" t="s">
        <v>21</v>
      </c>
      <c r="F11833" t="s">
        <v>17</v>
      </c>
      <c r="G11833" s="1" t="str">
        <f t="shared" ref="G11833:M11833" si="2666">"X"</f>
        <v>X</v>
      </c>
      <c r="H11833" s="1" t="str">
        <f t="shared" si="2666"/>
        <v>X</v>
      </c>
      <c r="I11833" s="1" t="str">
        <f t="shared" si="2666"/>
        <v>X</v>
      </c>
      <c r="J11833" s="1" t="str">
        <f t="shared" si="2666"/>
        <v>X</v>
      </c>
      <c r="K11833" s="1" t="str">
        <f t="shared" si="2666"/>
        <v>X</v>
      </c>
      <c r="L11833" s="1" t="str">
        <f t="shared" si="2666"/>
        <v>X</v>
      </c>
      <c r="M11833" s="1" t="str">
        <f t="shared" si="2666"/>
        <v>X</v>
      </c>
      <c r="N11833" t="s">
        <v>27</v>
      </c>
    </row>
    <row r="11834" spans="1:14" x14ac:dyDescent="0.25">
      <c r="A11834" t="s">
        <v>44</v>
      </c>
      <c r="B11834" t="s">
        <v>39</v>
      </c>
      <c r="C11834" t="s">
        <v>36</v>
      </c>
      <c r="D11834" t="s">
        <v>32</v>
      </c>
      <c r="E11834" t="s">
        <v>21</v>
      </c>
      <c r="F11834" t="s">
        <v>18</v>
      </c>
      <c r="G11834" s="2">
        <f>VALUE(206.46)</f>
        <v>206.46</v>
      </c>
      <c r="H11834" s="3">
        <f>VALUE(199.28)</f>
        <v>199.28</v>
      </c>
      <c r="I11834" s="1">
        <f>VALUE(3121)</f>
        <v>3121</v>
      </c>
      <c r="J11834" s="1">
        <f>VALUE(5000)</f>
        <v>5000</v>
      </c>
      <c r="K11834" s="1">
        <f>VALUE(5777)</f>
        <v>5777</v>
      </c>
      <c r="L11834" s="7">
        <f>VALUE(7040)</f>
        <v>7040</v>
      </c>
      <c r="M11834" s="8">
        <f>VALUE(9240)</f>
        <v>9240</v>
      </c>
      <c r="N11834" t="s">
        <v>25</v>
      </c>
    </row>
    <row r="11835" spans="1:14" x14ac:dyDescent="0.25">
      <c r="A11835" t="s">
        <v>44</v>
      </c>
      <c r="B11835" t="s">
        <v>39</v>
      </c>
      <c r="C11835" t="s">
        <v>36</v>
      </c>
      <c r="D11835" t="s">
        <v>32</v>
      </c>
      <c r="E11835" t="s">
        <v>21</v>
      </c>
      <c r="F11835" t="s">
        <v>19</v>
      </c>
      <c r="G11835" s="2">
        <f>VALUE(243.35)</f>
        <v>243.35</v>
      </c>
      <c r="H11835" s="3">
        <f>VALUE(230.99)</f>
        <v>230.99</v>
      </c>
      <c r="I11835" s="1">
        <f>VALUE(2665)</f>
        <v>2665</v>
      </c>
      <c r="J11835" s="1">
        <f>VALUE(3577)</f>
        <v>3577</v>
      </c>
      <c r="K11835" s="1">
        <f>VALUE(4260)</f>
        <v>4260</v>
      </c>
      <c r="L11835" s="1">
        <f>VALUE(5952)</f>
        <v>5952</v>
      </c>
      <c r="M11835" s="8">
        <f>VALUE(7248)</f>
        <v>7248</v>
      </c>
      <c r="N11835" t="s">
        <v>25</v>
      </c>
    </row>
    <row r="11836" spans="1:14" x14ac:dyDescent="0.25">
      <c r="A11836" t="s">
        <v>44</v>
      </c>
      <c r="B11836" t="s">
        <v>39</v>
      </c>
      <c r="C11836" t="s">
        <v>36</v>
      </c>
      <c r="D11836" t="s">
        <v>32</v>
      </c>
      <c r="E11836" t="s">
        <v>21</v>
      </c>
      <c r="F11836" t="s">
        <v>20</v>
      </c>
      <c r="G11836" s="2">
        <f>VALUE(1152.63)</f>
        <v>1152.6300000000001</v>
      </c>
      <c r="H11836" s="3">
        <f>VALUE(1133.89)</f>
        <v>1133.8900000000001</v>
      </c>
      <c r="I11836" s="1">
        <f>VALUE(3345)</f>
        <v>3345</v>
      </c>
      <c r="J11836" s="1">
        <f>VALUE(3849)</f>
        <v>3849</v>
      </c>
      <c r="K11836" s="1">
        <f>VALUE(4722)</f>
        <v>4722</v>
      </c>
      <c r="L11836" s="1">
        <f>VALUE(5385)</f>
        <v>5385</v>
      </c>
      <c r="M11836" s="1">
        <f>VALUE(6289)</f>
        <v>6289</v>
      </c>
      <c r="N11836" t="s">
        <v>25</v>
      </c>
    </row>
    <row r="11837" spans="1:14" x14ac:dyDescent="0.25">
      <c r="A11837" t="s">
        <v>44</v>
      </c>
      <c r="B11837" t="s">
        <v>39</v>
      </c>
      <c r="C11837" t="s">
        <v>36</v>
      </c>
      <c r="D11837" t="s">
        <v>32</v>
      </c>
      <c r="E11837" t="s">
        <v>22</v>
      </c>
      <c r="F11837" t="s">
        <v>15</v>
      </c>
      <c r="G11837" s="2">
        <f>VALUE(2429.52)</f>
        <v>2429.52</v>
      </c>
      <c r="H11837" s="3">
        <f>VALUE(2291.9)</f>
        <v>2291.9</v>
      </c>
      <c r="I11837" s="1">
        <f>VALUE(3333)</f>
        <v>3333</v>
      </c>
      <c r="J11837" s="1">
        <f>VALUE(3761)</f>
        <v>3761</v>
      </c>
      <c r="K11837" s="1">
        <f>VALUE(4391)</f>
        <v>4391</v>
      </c>
      <c r="L11837" s="1">
        <f>VALUE(5077)</f>
        <v>5077</v>
      </c>
      <c r="M11837" s="1">
        <f>VALUE(5958)</f>
        <v>5958</v>
      </c>
      <c r="N11837" t="s">
        <v>25</v>
      </c>
    </row>
    <row r="11838" spans="1:14" x14ac:dyDescent="0.25">
      <c r="A11838" t="s">
        <v>44</v>
      </c>
      <c r="B11838" t="s">
        <v>39</v>
      </c>
      <c r="C11838" t="s">
        <v>36</v>
      </c>
      <c r="D11838" t="s">
        <v>32</v>
      </c>
      <c r="E11838" t="s">
        <v>22</v>
      </c>
      <c r="F11838" t="s">
        <v>17</v>
      </c>
      <c r="G11838" s="1" t="str">
        <f t="shared" ref="G11838:M11839" si="2667">"X"</f>
        <v>X</v>
      </c>
      <c r="H11838" s="1" t="str">
        <f t="shared" si="2667"/>
        <v>X</v>
      </c>
      <c r="I11838" s="1" t="str">
        <f t="shared" si="2667"/>
        <v>X</v>
      </c>
      <c r="J11838" s="1" t="str">
        <f t="shared" si="2667"/>
        <v>X</v>
      </c>
      <c r="K11838" s="1" t="str">
        <f t="shared" si="2667"/>
        <v>X</v>
      </c>
      <c r="L11838" s="1" t="str">
        <f t="shared" si="2667"/>
        <v>X</v>
      </c>
      <c r="M11838" s="1" t="str">
        <f t="shared" si="2667"/>
        <v>X</v>
      </c>
      <c r="N11838" t="s">
        <v>27</v>
      </c>
    </row>
    <row r="11839" spans="1:14" x14ac:dyDescent="0.25">
      <c r="A11839" t="s">
        <v>44</v>
      </c>
      <c r="B11839" t="s">
        <v>39</v>
      </c>
      <c r="C11839" t="s">
        <v>36</v>
      </c>
      <c r="D11839" t="s">
        <v>32</v>
      </c>
      <c r="E11839" t="s">
        <v>22</v>
      </c>
      <c r="F11839" t="s">
        <v>18</v>
      </c>
      <c r="G11839" s="1" t="str">
        <f t="shared" si="2667"/>
        <v>X</v>
      </c>
      <c r="H11839" s="1" t="str">
        <f t="shared" si="2667"/>
        <v>X</v>
      </c>
      <c r="I11839" s="1" t="str">
        <f t="shared" si="2667"/>
        <v>X</v>
      </c>
      <c r="J11839" s="1" t="str">
        <f t="shared" si="2667"/>
        <v>X</v>
      </c>
      <c r="K11839" s="1" t="str">
        <f t="shared" si="2667"/>
        <v>X</v>
      </c>
      <c r="L11839" s="1" t="str">
        <f t="shared" si="2667"/>
        <v>X</v>
      </c>
      <c r="M11839" s="1" t="str">
        <f t="shared" si="2667"/>
        <v>X</v>
      </c>
      <c r="N11839" t="s">
        <v>27</v>
      </c>
    </row>
    <row r="11840" spans="1:14" x14ac:dyDescent="0.25">
      <c r="A11840" t="s">
        <v>44</v>
      </c>
      <c r="B11840" t="s">
        <v>39</v>
      </c>
      <c r="C11840" t="s">
        <v>36</v>
      </c>
      <c r="D11840" t="s">
        <v>32</v>
      </c>
      <c r="E11840" t="s">
        <v>22</v>
      </c>
      <c r="F11840" t="s">
        <v>19</v>
      </c>
      <c r="G11840" s="2">
        <f>VALUE(387.97)</f>
        <v>387.97</v>
      </c>
      <c r="H11840" s="3">
        <f>VALUE(352.42)</f>
        <v>352.42</v>
      </c>
      <c r="I11840" s="4">
        <f>VALUE(3332)</f>
        <v>3332</v>
      </c>
      <c r="J11840" s="1">
        <f>VALUE(4237)</f>
        <v>4237</v>
      </c>
      <c r="K11840" s="1">
        <f>VALUE(5003)</f>
        <v>5003</v>
      </c>
      <c r="L11840" s="1">
        <f>VALUE(5981)</f>
        <v>5981</v>
      </c>
      <c r="M11840" s="1">
        <f>VALUE(6507)</f>
        <v>6507</v>
      </c>
      <c r="N11840" t="s">
        <v>25</v>
      </c>
    </row>
    <row r="11841" spans="1:14" x14ac:dyDescent="0.25">
      <c r="A11841" t="s">
        <v>44</v>
      </c>
      <c r="B11841" t="s">
        <v>39</v>
      </c>
      <c r="C11841" t="s">
        <v>36</v>
      </c>
      <c r="D11841" t="s">
        <v>32</v>
      </c>
      <c r="E11841" t="s">
        <v>22</v>
      </c>
      <c r="F11841" t="s">
        <v>20</v>
      </c>
      <c r="G11841" s="2">
        <f>VALUE(1742.03)</f>
        <v>1742.03</v>
      </c>
      <c r="H11841" s="3">
        <f>VALUE(1636.15)</f>
        <v>1636.15</v>
      </c>
      <c r="I11841" s="1">
        <f>VALUE(3258)</f>
        <v>3258</v>
      </c>
      <c r="J11841" s="1">
        <f>VALUE(3646)</f>
        <v>3646</v>
      </c>
      <c r="K11841" s="1">
        <f>VALUE(4218)</f>
        <v>4218</v>
      </c>
      <c r="L11841" s="1">
        <f>VALUE(4858)</f>
        <v>4858</v>
      </c>
      <c r="M11841" s="1">
        <f>VALUE(5472)</f>
        <v>5472</v>
      </c>
      <c r="N11841" t="s">
        <v>25</v>
      </c>
    </row>
    <row r="11842" spans="1:14" x14ac:dyDescent="0.25">
      <c r="A11842" t="s">
        <v>44</v>
      </c>
      <c r="B11842" t="s">
        <v>39</v>
      </c>
      <c r="C11842" t="s">
        <v>36</v>
      </c>
      <c r="D11842" t="s">
        <v>32</v>
      </c>
      <c r="E11842" t="s">
        <v>23</v>
      </c>
      <c r="F11842" t="s">
        <v>15</v>
      </c>
      <c r="G11842" s="2">
        <f>VALUE(2241.48)</f>
        <v>2241.48</v>
      </c>
      <c r="H11842" s="3">
        <f>VALUE(2130.64)</f>
        <v>2130.64</v>
      </c>
      <c r="I11842" s="1">
        <f>VALUE(3104)</f>
        <v>3104</v>
      </c>
      <c r="J11842" s="1">
        <f>VALUE(3450)</f>
        <v>3450</v>
      </c>
      <c r="K11842" s="1">
        <f>VALUE(3861)</f>
        <v>3861</v>
      </c>
      <c r="L11842" s="1">
        <f>VALUE(4748)</f>
        <v>4748</v>
      </c>
      <c r="M11842" s="1">
        <f>VALUE(5602)</f>
        <v>5602</v>
      </c>
      <c r="N11842" t="s">
        <v>25</v>
      </c>
    </row>
    <row r="11843" spans="1:14" x14ac:dyDescent="0.25">
      <c r="A11843" t="s">
        <v>44</v>
      </c>
      <c r="B11843" t="s">
        <v>39</v>
      </c>
      <c r="C11843" t="s">
        <v>36</v>
      </c>
      <c r="D11843" t="s">
        <v>32</v>
      </c>
      <c r="E11843" t="s">
        <v>23</v>
      </c>
      <c r="F11843" t="s">
        <v>17</v>
      </c>
      <c r="G11843" s="1" t="str">
        <f t="shared" ref="G11843:M11845" si="2668">"X"</f>
        <v>X</v>
      </c>
      <c r="H11843" s="1" t="str">
        <f t="shared" si="2668"/>
        <v>X</v>
      </c>
      <c r="I11843" s="1" t="str">
        <f t="shared" si="2668"/>
        <v>X</v>
      </c>
      <c r="J11843" s="1" t="str">
        <f t="shared" si="2668"/>
        <v>X</v>
      </c>
      <c r="K11843" s="1" t="str">
        <f t="shared" si="2668"/>
        <v>X</v>
      </c>
      <c r="L11843" s="1" t="str">
        <f t="shared" si="2668"/>
        <v>X</v>
      </c>
      <c r="M11843" s="1" t="str">
        <f t="shared" si="2668"/>
        <v>X</v>
      </c>
      <c r="N11843" t="s">
        <v>27</v>
      </c>
    </row>
    <row r="11844" spans="1:14" x14ac:dyDescent="0.25">
      <c r="A11844" t="s">
        <v>44</v>
      </c>
      <c r="B11844" t="s">
        <v>39</v>
      </c>
      <c r="C11844" t="s">
        <v>36</v>
      </c>
      <c r="D11844" t="s">
        <v>32</v>
      </c>
      <c r="E11844" t="s">
        <v>23</v>
      </c>
      <c r="F11844" t="s">
        <v>18</v>
      </c>
      <c r="G11844" s="1" t="str">
        <f t="shared" si="2668"/>
        <v>X</v>
      </c>
      <c r="H11844" s="1" t="str">
        <f t="shared" si="2668"/>
        <v>X</v>
      </c>
      <c r="I11844" s="1" t="str">
        <f t="shared" si="2668"/>
        <v>X</v>
      </c>
      <c r="J11844" s="1" t="str">
        <f t="shared" si="2668"/>
        <v>X</v>
      </c>
      <c r="K11844" s="1" t="str">
        <f t="shared" si="2668"/>
        <v>X</v>
      </c>
      <c r="L11844" s="1" t="str">
        <f t="shared" si="2668"/>
        <v>X</v>
      </c>
      <c r="M11844" s="1" t="str">
        <f t="shared" si="2668"/>
        <v>X</v>
      </c>
      <c r="N11844" t="s">
        <v>27</v>
      </c>
    </row>
    <row r="11845" spans="1:14" x14ac:dyDescent="0.25">
      <c r="A11845" t="s">
        <v>44</v>
      </c>
      <c r="B11845" t="s">
        <v>39</v>
      </c>
      <c r="C11845" t="s">
        <v>36</v>
      </c>
      <c r="D11845" t="s">
        <v>32</v>
      </c>
      <c r="E11845" t="s">
        <v>23</v>
      </c>
      <c r="F11845" t="s">
        <v>19</v>
      </c>
      <c r="G11845" s="1" t="str">
        <f t="shared" si="2668"/>
        <v>X</v>
      </c>
      <c r="H11845" s="1" t="str">
        <f t="shared" si="2668"/>
        <v>X</v>
      </c>
      <c r="I11845" s="1" t="str">
        <f t="shared" si="2668"/>
        <v>X</v>
      </c>
      <c r="J11845" s="1" t="str">
        <f t="shared" si="2668"/>
        <v>X</v>
      </c>
      <c r="K11845" s="1" t="str">
        <f t="shared" si="2668"/>
        <v>X</v>
      </c>
      <c r="L11845" s="1" t="str">
        <f t="shared" si="2668"/>
        <v>X</v>
      </c>
      <c r="M11845" s="1" t="str">
        <f t="shared" si="2668"/>
        <v>X</v>
      </c>
      <c r="N11845" t="s">
        <v>27</v>
      </c>
    </row>
    <row r="11846" spans="1:14" x14ac:dyDescent="0.25">
      <c r="A11846" t="s">
        <v>44</v>
      </c>
      <c r="B11846" t="s">
        <v>39</v>
      </c>
      <c r="C11846" t="s">
        <v>36</v>
      </c>
      <c r="D11846" t="s">
        <v>32</v>
      </c>
      <c r="E11846" t="s">
        <v>23</v>
      </c>
      <c r="F11846" t="s">
        <v>20</v>
      </c>
      <c r="G11846" s="2">
        <f>VALUE(2040.08)</f>
        <v>2040.08</v>
      </c>
      <c r="H11846" s="3">
        <f>VALUE(1938.97)</f>
        <v>1938.97</v>
      </c>
      <c r="I11846" s="1">
        <f>VALUE(3092)</f>
        <v>3092</v>
      </c>
      <c r="J11846" s="1">
        <f>VALUE(3426)</f>
        <v>3426</v>
      </c>
      <c r="K11846" s="1">
        <f>VALUE(3845)</f>
        <v>3845</v>
      </c>
      <c r="L11846" s="1">
        <f>VALUE(4748)</f>
        <v>4748</v>
      </c>
      <c r="M11846" s="1">
        <f>VALUE(5611)</f>
        <v>5611</v>
      </c>
      <c r="N11846" t="s">
        <v>25</v>
      </c>
    </row>
    <row r="11847" spans="1:14" x14ac:dyDescent="0.25">
      <c r="A11847" t="s">
        <v>44</v>
      </c>
      <c r="B11847" t="s">
        <v>39</v>
      </c>
      <c r="C11847" t="s">
        <v>36</v>
      </c>
      <c r="D11847" t="s">
        <v>32</v>
      </c>
      <c r="E11847" t="s">
        <v>26</v>
      </c>
      <c r="F11847" t="s">
        <v>15</v>
      </c>
      <c r="G11847" s="1" t="str">
        <f t="shared" ref="G11847:M11849" si="2669">"X"</f>
        <v>X</v>
      </c>
      <c r="H11847" s="1" t="str">
        <f t="shared" si="2669"/>
        <v>X</v>
      </c>
      <c r="I11847" s="1" t="str">
        <f t="shared" si="2669"/>
        <v>X</v>
      </c>
      <c r="J11847" s="1" t="str">
        <f t="shared" si="2669"/>
        <v>X</v>
      </c>
      <c r="K11847" s="1" t="str">
        <f t="shared" si="2669"/>
        <v>X</v>
      </c>
      <c r="L11847" s="1" t="str">
        <f t="shared" si="2669"/>
        <v>X</v>
      </c>
      <c r="M11847" s="1" t="str">
        <f t="shared" si="2669"/>
        <v>X</v>
      </c>
      <c r="N11847" t="s">
        <v>27</v>
      </c>
    </row>
    <row r="11848" spans="1:14" x14ac:dyDescent="0.25">
      <c r="A11848" t="s">
        <v>44</v>
      </c>
      <c r="B11848" t="s">
        <v>39</v>
      </c>
      <c r="C11848" t="s">
        <v>36</v>
      </c>
      <c r="D11848" t="s">
        <v>32</v>
      </c>
      <c r="E11848" t="s">
        <v>26</v>
      </c>
      <c r="F11848" t="s">
        <v>17</v>
      </c>
      <c r="G11848" s="1" t="str">
        <f t="shared" si="2669"/>
        <v>X</v>
      </c>
      <c r="H11848" s="1" t="str">
        <f t="shared" si="2669"/>
        <v>X</v>
      </c>
      <c r="I11848" s="1" t="str">
        <f t="shared" si="2669"/>
        <v>X</v>
      </c>
      <c r="J11848" s="1" t="str">
        <f t="shared" si="2669"/>
        <v>X</v>
      </c>
      <c r="K11848" s="1" t="str">
        <f t="shared" si="2669"/>
        <v>X</v>
      </c>
      <c r="L11848" s="1" t="str">
        <f t="shared" si="2669"/>
        <v>X</v>
      </c>
      <c r="M11848" s="1" t="str">
        <f t="shared" si="2669"/>
        <v>X</v>
      </c>
      <c r="N11848" t="s">
        <v>27</v>
      </c>
    </row>
    <row r="11849" spans="1:14" x14ac:dyDescent="0.25">
      <c r="A11849" t="s">
        <v>44</v>
      </c>
      <c r="B11849" t="s">
        <v>39</v>
      </c>
      <c r="C11849" t="s">
        <v>36</v>
      </c>
      <c r="D11849" t="s">
        <v>32</v>
      </c>
      <c r="E11849" t="s">
        <v>26</v>
      </c>
      <c r="F11849" t="s">
        <v>18</v>
      </c>
      <c r="G11849" s="1" t="str">
        <f t="shared" si="2669"/>
        <v>X</v>
      </c>
      <c r="H11849" s="1" t="str">
        <f t="shared" si="2669"/>
        <v>X</v>
      </c>
      <c r="I11849" s="1" t="str">
        <f t="shared" si="2669"/>
        <v>X</v>
      </c>
      <c r="J11849" s="1" t="str">
        <f t="shared" si="2669"/>
        <v>X</v>
      </c>
      <c r="K11849" s="1" t="str">
        <f t="shared" si="2669"/>
        <v>X</v>
      </c>
      <c r="L11849" s="1" t="str">
        <f t="shared" si="2669"/>
        <v>X</v>
      </c>
      <c r="M11849" s="1" t="str">
        <f t="shared" si="2669"/>
        <v>X</v>
      </c>
      <c r="N11849" t="s">
        <v>27</v>
      </c>
    </row>
    <row r="11850" spans="1:14" x14ac:dyDescent="0.25">
      <c r="A11850" t="s">
        <v>44</v>
      </c>
      <c r="B11850" t="s">
        <v>39</v>
      </c>
      <c r="C11850" t="s">
        <v>36</v>
      </c>
      <c r="D11850" t="s">
        <v>32</v>
      </c>
      <c r="E11850" t="s">
        <v>26</v>
      </c>
      <c r="F11850" t="s">
        <v>19</v>
      </c>
      <c r="G11850" s="1" t="str">
        <f t="shared" ref="G11850:M11850" si="2670">"..."</f>
        <v>...</v>
      </c>
      <c r="H11850" s="1" t="str">
        <f t="shared" si="2670"/>
        <v>...</v>
      </c>
      <c r="I11850" s="1" t="str">
        <f t="shared" si="2670"/>
        <v>...</v>
      </c>
      <c r="J11850" s="1" t="str">
        <f t="shared" si="2670"/>
        <v>...</v>
      </c>
      <c r="K11850" s="1" t="str">
        <f t="shared" si="2670"/>
        <v>...</v>
      </c>
      <c r="L11850" s="1" t="str">
        <f t="shared" si="2670"/>
        <v>...</v>
      </c>
      <c r="M11850" s="1" t="str">
        <f t="shared" si="2670"/>
        <v>...</v>
      </c>
      <c r="N11850" t="s">
        <v>30</v>
      </c>
    </row>
    <row r="11851" spans="1:14" x14ac:dyDescent="0.25">
      <c r="A11851" t="s">
        <v>44</v>
      </c>
      <c r="B11851" t="s">
        <v>39</v>
      </c>
      <c r="C11851" t="s">
        <v>36</v>
      </c>
      <c r="D11851" t="s">
        <v>32</v>
      </c>
      <c r="E11851" t="s">
        <v>26</v>
      </c>
      <c r="F11851" t="s">
        <v>20</v>
      </c>
      <c r="G11851" s="1" t="str">
        <f t="shared" ref="G11851:M11864" si="2671">"X"</f>
        <v>X</v>
      </c>
      <c r="H11851" s="1" t="str">
        <f t="shared" si="2671"/>
        <v>X</v>
      </c>
      <c r="I11851" s="1" t="str">
        <f t="shared" si="2671"/>
        <v>X</v>
      </c>
      <c r="J11851" s="1" t="str">
        <f t="shared" si="2671"/>
        <v>X</v>
      </c>
      <c r="K11851" s="1" t="str">
        <f t="shared" si="2671"/>
        <v>X</v>
      </c>
      <c r="L11851" s="1" t="str">
        <f t="shared" si="2671"/>
        <v>X</v>
      </c>
      <c r="M11851" s="1" t="str">
        <f t="shared" si="2671"/>
        <v>X</v>
      </c>
      <c r="N11851" t="s">
        <v>27</v>
      </c>
    </row>
    <row r="11852" spans="1:14" x14ac:dyDescent="0.25">
      <c r="A11852" t="s">
        <v>44</v>
      </c>
      <c r="B11852" t="s">
        <v>39</v>
      </c>
      <c r="C11852" t="s">
        <v>36</v>
      </c>
      <c r="D11852" t="s">
        <v>33</v>
      </c>
      <c r="E11852" t="s">
        <v>15</v>
      </c>
      <c r="F11852" t="s">
        <v>15</v>
      </c>
      <c r="G11852" s="1" t="str">
        <f t="shared" si="2671"/>
        <v>X</v>
      </c>
      <c r="H11852" s="1" t="str">
        <f t="shared" si="2671"/>
        <v>X</v>
      </c>
      <c r="I11852" s="1" t="str">
        <f t="shared" si="2671"/>
        <v>X</v>
      </c>
      <c r="J11852" s="1" t="str">
        <f t="shared" si="2671"/>
        <v>X</v>
      </c>
      <c r="K11852" s="1" t="str">
        <f t="shared" si="2671"/>
        <v>X</v>
      </c>
      <c r="L11852" s="1" t="str">
        <f t="shared" si="2671"/>
        <v>X</v>
      </c>
      <c r="M11852" s="1" t="str">
        <f t="shared" si="2671"/>
        <v>X</v>
      </c>
      <c r="N11852" t="s">
        <v>27</v>
      </c>
    </row>
    <row r="11853" spans="1:14" x14ac:dyDescent="0.25">
      <c r="A11853" t="s">
        <v>44</v>
      </c>
      <c r="B11853" t="s">
        <v>39</v>
      </c>
      <c r="C11853" t="s">
        <v>36</v>
      </c>
      <c r="D11853" t="s">
        <v>33</v>
      </c>
      <c r="E11853" t="s">
        <v>15</v>
      </c>
      <c r="F11853" t="s">
        <v>17</v>
      </c>
      <c r="G11853" s="1" t="str">
        <f t="shared" si="2671"/>
        <v>X</v>
      </c>
      <c r="H11853" s="1" t="str">
        <f t="shared" si="2671"/>
        <v>X</v>
      </c>
      <c r="I11853" s="1" t="str">
        <f t="shared" si="2671"/>
        <v>X</v>
      </c>
      <c r="J11853" s="1" t="str">
        <f t="shared" si="2671"/>
        <v>X</v>
      </c>
      <c r="K11853" s="1" t="str">
        <f t="shared" si="2671"/>
        <v>X</v>
      </c>
      <c r="L11853" s="1" t="str">
        <f t="shared" si="2671"/>
        <v>X</v>
      </c>
      <c r="M11853" s="1" t="str">
        <f t="shared" si="2671"/>
        <v>X</v>
      </c>
      <c r="N11853" t="s">
        <v>27</v>
      </c>
    </row>
    <row r="11854" spans="1:14" x14ac:dyDescent="0.25">
      <c r="A11854" t="s">
        <v>44</v>
      </c>
      <c r="B11854" t="s">
        <v>39</v>
      </c>
      <c r="C11854" t="s">
        <v>36</v>
      </c>
      <c r="D11854" t="s">
        <v>33</v>
      </c>
      <c r="E11854" t="s">
        <v>15</v>
      </c>
      <c r="F11854" t="s">
        <v>18</v>
      </c>
      <c r="G11854" s="1" t="str">
        <f t="shared" si="2671"/>
        <v>X</v>
      </c>
      <c r="H11854" s="1" t="str">
        <f t="shared" si="2671"/>
        <v>X</v>
      </c>
      <c r="I11854" s="1" t="str">
        <f t="shared" si="2671"/>
        <v>X</v>
      </c>
      <c r="J11854" s="1" t="str">
        <f t="shared" si="2671"/>
        <v>X</v>
      </c>
      <c r="K11854" s="1" t="str">
        <f t="shared" si="2671"/>
        <v>X</v>
      </c>
      <c r="L11854" s="1" t="str">
        <f t="shared" si="2671"/>
        <v>X</v>
      </c>
      <c r="M11854" s="1" t="str">
        <f t="shared" si="2671"/>
        <v>X</v>
      </c>
      <c r="N11854" t="s">
        <v>27</v>
      </c>
    </row>
    <row r="11855" spans="1:14" x14ac:dyDescent="0.25">
      <c r="A11855" t="s">
        <v>44</v>
      </c>
      <c r="B11855" t="s">
        <v>39</v>
      </c>
      <c r="C11855" t="s">
        <v>36</v>
      </c>
      <c r="D11855" t="s">
        <v>33</v>
      </c>
      <c r="E11855" t="s">
        <v>15</v>
      </c>
      <c r="F11855" t="s">
        <v>19</v>
      </c>
      <c r="G11855" s="1" t="str">
        <f t="shared" si="2671"/>
        <v>X</v>
      </c>
      <c r="H11855" s="1" t="str">
        <f t="shared" si="2671"/>
        <v>X</v>
      </c>
      <c r="I11855" s="1" t="str">
        <f t="shared" si="2671"/>
        <v>X</v>
      </c>
      <c r="J11855" s="1" t="str">
        <f t="shared" si="2671"/>
        <v>X</v>
      </c>
      <c r="K11855" s="1" t="str">
        <f t="shared" si="2671"/>
        <v>X</v>
      </c>
      <c r="L11855" s="1" t="str">
        <f t="shared" si="2671"/>
        <v>X</v>
      </c>
      <c r="M11855" s="1" t="str">
        <f t="shared" si="2671"/>
        <v>X</v>
      </c>
      <c r="N11855" t="s">
        <v>27</v>
      </c>
    </row>
    <row r="11856" spans="1:14" x14ac:dyDescent="0.25">
      <c r="A11856" t="s">
        <v>44</v>
      </c>
      <c r="B11856" t="s">
        <v>39</v>
      </c>
      <c r="C11856" t="s">
        <v>36</v>
      </c>
      <c r="D11856" t="s">
        <v>33</v>
      </c>
      <c r="E11856" t="s">
        <v>15</v>
      </c>
      <c r="F11856" t="s">
        <v>20</v>
      </c>
      <c r="G11856" s="1" t="str">
        <f t="shared" si="2671"/>
        <v>X</v>
      </c>
      <c r="H11856" s="1" t="str">
        <f t="shared" si="2671"/>
        <v>X</v>
      </c>
      <c r="I11856" s="1" t="str">
        <f t="shared" si="2671"/>
        <v>X</v>
      </c>
      <c r="J11856" s="1" t="str">
        <f t="shared" si="2671"/>
        <v>X</v>
      </c>
      <c r="K11856" s="1" t="str">
        <f t="shared" si="2671"/>
        <v>X</v>
      </c>
      <c r="L11856" s="1" t="str">
        <f t="shared" si="2671"/>
        <v>X</v>
      </c>
      <c r="M11856" s="1" t="str">
        <f t="shared" si="2671"/>
        <v>X</v>
      </c>
      <c r="N11856" t="s">
        <v>27</v>
      </c>
    </row>
    <row r="11857" spans="1:14" x14ac:dyDescent="0.25">
      <c r="A11857" t="s">
        <v>44</v>
      </c>
      <c r="B11857" t="s">
        <v>39</v>
      </c>
      <c r="C11857" t="s">
        <v>36</v>
      </c>
      <c r="D11857" t="s">
        <v>33</v>
      </c>
      <c r="E11857" t="s">
        <v>21</v>
      </c>
      <c r="F11857" t="s">
        <v>15</v>
      </c>
      <c r="G11857" s="1" t="str">
        <f t="shared" si="2671"/>
        <v>X</v>
      </c>
      <c r="H11857" s="1" t="str">
        <f t="shared" si="2671"/>
        <v>X</v>
      </c>
      <c r="I11857" s="1" t="str">
        <f t="shared" si="2671"/>
        <v>X</v>
      </c>
      <c r="J11857" s="1" t="str">
        <f t="shared" si="2671"/>
        <v>X</v>
      </c>
      <c r="K11857" s="1" t="str">
        <f t="shared" si="2671"/>
        <v>X</v>
      </c>
      <c r="L11857" s="1" t="str">
        <f t="shared" si="2671"/>
        <v>X</v>
      </c>
      <c r="M11857" s="1" t="str">
        <f t="shared" si="2671"/>
        <v>X</v>
      </c>
      <c r="N11857" t="s">
        <v>27</v>
      </c>
    </row>
    <row r="11858" spans="1:14" x14ac:dyDescent="0.25">
      <c r="A11858" t="s">
        <v>44</v>
      </c>
      <c r="B11858" t="s">
        <v>39</v>
      </c>
      <c r="C11858" t="s">
        <v>36</v>
      </c>
      <c r="D11858" t="s">
        <v>33</v>
      </c>
      <c r="E11858" t="s">
        <v>21</v>
      </c>
      <c r="F11858" t="s">
        <v>17</v>
      </c>
      <c r="G11858" s="1" t="str">
        <f t="shared" si="2671"/>
        <v>X</v>
      </c>
      <c r="H11858" s="1" t="str">
        <f t="shared" si="2671"/>
        <v>X</v>
      </c>
      <c r="I11858" s="1" t="str">
        <f t="shared" si="2671"/>
        <v>X</v>
      </c>
      <c r="J11858" s="1" t="str">
        <f t="shared" si="2671"/>
        <v>X</v>
      </c>
      <c r="K11858" s="1" t="str">
        <f t="shared" si="2671"/>
        <v>X</v>
      </c>
      <c r="L11858" s="1" t="str">
        <f t="shared" si="2671"/>
        <v>X</v>
      </c>
      <c r="M11858" s="1" t="str">
        <f t="shared" si="2671"/>
        <v>X</v>
      </c>
      <c r="N11858" t="s">
        <v>27</v>
      </c>
    </row>
    <row r="11859" spans="1:14" x14ac:dyDescent="0.25">
      <c r="A11859" t="s">
        <v>44</v>
      </c>
      <c r="B11859" t="s">
        <v>39</v>
      </c>
      <c r="C11859" t="s">
        <v>36</v>
      </c>
      <c r="D11859" t="s">
        <v>33</v>
      </c>
      <c r="E11859" t="s">
        <v>21</v>
      </c>
      <c r="F11859" t="s">
        <v>18</v>
      </c>
      <c r="G11859" s="1" t="str">
        <f t="shared" si="2671"/>
        <v>X</v>
      </c>
      <c r="H11859" s="1" t="str">
        <f t="shared" si="2671"/>
        <v>X</v>
      </c>
      <c r="I11859" s="1" t="str">
        <f t="shared" si="2671"/>
        <v>X</v>
      </c>
      <c r="J11859" s="1" t="str">
        <f t="shared" si="2671"/>
        <v>X</v>
      </c>
      <c r="K11859" s="1" t="str">
        <f t="shared" si="2671"/>
        <v>X</v>
      </c>
      <c r="L11859" s="1" t="str">
        <f t="shared" si="2671"/>
        <v>X</v>
      </c>
      <c r="M11859" s="1" t="str">
        <f t="shared" si="2671"/>
        <v>X</v>
      </c>
      <c r="N11859" t="s">
        <v>27</v>
      </c>
    </row>
    <row r="11860" spans="1:14" x14ac:dyDescent="0.25">
      <c r="A11860" t="s">
        <v>44</v>
      </c>
      <c r="B11860" t="s">
        <v>39</v>
      </c>
      <c r="C11860" t="s">
        <v>36</v>
      </c>
      <c r="D11860" t="s">
        <v>33</v>
      </c>
      <c r="E11860" t="s">
        <v>21</v>
      </c>
      <c r="F11860" t="s">
        <v>19</v>
      </c>
      <c r="G11860" s="1" t="str">
        <f t="shared" si="2671"/>
        <v>X</v>
      </c>
      <c r="H11860" s="1" t="str">
        <f t="shared" si="2671"/>
        <v>X</v>
      </c>
      <c r="I11860" s="1" t="str">
        <f t="shared" si="2671"/>
        <v>X</v>
      </c>
      <c r="J11860" s="1" t="str">
        <f t="shared" si="2671"/>
        <v>X</v>
      </c>
      <c r="K11860" s="1" t="str">
        <f t="shared" si="2671"/>
        <v>X</v>
      </c>
      <c r="L11860" s="1" t="str">
        <f t="shared" si="2671"/>
        <v>X</v>
      </c>
      <c r="M11860" s="1" t="str">
        <f t="shared" si="2671"/>
        <v>X</v>
      </c>
      <c r="N11860" t="s">
        <v>27</v>
      </c>
    </row>
    <row r="11861" spans="1:14" x14ac:dyDescent="0.25">
      <c r="A11861" t="s">
        <v>44</v>
      </c>
      <c r="B11861" t="s">
        <v>39</v>
      </c>
      <c r="C11861" t="s">
        <v>36</v>
      </c>
      <c r="D11861" t="s">
        <v>33</v>
      </c>
      <c r="E11861" t="s">
        <v>21</v>
      </c>
      <c r="F11861" t="s">
        <v>20</v>
      </c>
      <c r="G11861" s="1" t="str">
        <f t="shared" si="2671"/>
        <v>X</v>
      </c>
      <c r="H11861" s="1" t="str">
        <f t="shared" si="2671"/>
        <v>X</v>
      </c>
      <c r="I11861" s="1" t="str">
        <f t="shared" si="2671"/>
        <v>X</v>
      </c>
      <c r="J11861" s="1" t="str">
        <f t="shared" si="2671"/>
        <v>X</v>
      </c>
      <c r="K11861" s="1" t="str">
        <f t="shared" si="2671"/>
        <v>X</v>
      </c>
      <c r="L11861" s="1" t="str">
        <f t="shared" si="2671"/>
        <v>X</v>
      </c>
      <c r="M11861" s="1" t="str">
        <f t="shared" si="2671"/>
        <v>X</v>
      </c>
      <c r="N11861" t="s">
        <v>27</v>
      </c>
    </row>
    <row r="11862" spans="1:14" x14ac:dyDescent="0.25">
      <c r="A11862" t="s">
        <v>44</v>
      </c>
      <c r="B11862" t="s">
        <v>39</v>
      </c>
      <c r="C11862" t="s">
        <v>36</v>
      </c>
      <c r="D11862" t="s">
        <v>33</v>
      </c>
      <c r="E11862" t="s">
        <v>22</v>
      </c>
      <c r="F11862" t="s">
        <v>15</v>
      </c>
      <c r="G11862" s="1" t="str">
        <f t="shared" si="2671"/>
        <v>X</v>
      </c>
      <c r="H11862" s="1" t="str">
        <f t="shared" si="2671"/>
        <v>X</v>
      </c>
      <c r="I11862" s="1" t="str">
        <f t="shared" si="2671"/>
        <v>X</v>
      </c>
      <c r="J11862" s="1" t="str">
        <f t="shared" si="2671"/>
        <v>X</v>
      </c>
      <c r="K11862" s="1" t="str">
        <f t="shared" si="2671"/>
        <v>X</v>
      </c>
      <c r="L11862" s="1" t="str">
        <f t="shared" si="2671"/>
        <v>X</v>
      </c>
      <c r="M11862" s="1" t="str">
        <f t="shared" si="2671"/>
        <v>X</v>
      </c>
      <c r="N11862" t="s">
        <v>27</v>
      </c>
    </row>
    <row r="11863" spans="1:14" x14ac:dyDescent="0.25">
      <c r="A11863" t="s">
        <v>44</v>
      </c>
      <c r="B11863" t="s">
        <v>39</v>
      </c>
      <c r="C11863" t="s">
        <v>36</v>
      </c>
      <c r="D11863" t="s">
        <v>33</v>
      </c>
      <c r="E11863" t="s">
        <v>22</v>
      </c>
      <c r="F11863" t="s">
        <v>17</v>
      </c>
      <c r="G11863" s="1" t="str">
        <f t="shared" si="2671"/>
        <v>X</v>
      </c>
      <c r="H11863" s="1" t="str">
        <f t="shared" si="2671"/>
        <v>X</v>
      </c>
      <c r="I11863" s="1" t="str">
        <f t="shared" si="2671"/>
        <v>X</v>
      </c>
      <c r="J11863" s="1" t="str">
        <f t="shared" si="2671"/>
        <v>X</v>
      </c>
      <c r="K11863" s="1" t="str">
        <f t="shared" si="2671"/>
        <v>X</v>
      </c>
      <c r="L11863" s="1" t="str">
        <f t="shared" si="2671"/>
        <v>X</v>
      </c>
      <c r="M11863" s="1" t="str">
        <f t="shared" si="2671"/>
        <v>X</v>
      </c>
      <c r="N11863" t="s">
        <v>27</v>
      </c>
    </row>
    <row r="11864" spans="1:14" x14ac:dyDescent="0.25">
      <c r="A11864" t="s">
        <v>44</v>
      </c>
      <c r="B11864" t="s">
        <v>39</v>
      </c>
      <c r="C11864" t="s">
        <v>36</v>
      </c>
      <c r="D11864" t="s">
        <v>33</v>
      </c>
      <c r="E11864" t="s">
        <v>22</v>
      </c>
      <c r="F11864" t="s">
        <v>18</v>
      </c>
      <c r="G11864" s="1" t="str">
        <f t="shared" si="2671"/>
        <v>X</v>
      </c>
      <c r="H11864" s="1" t="str">
        <f t="shared" si="2671"/>
        <v>X</v>
      </c>
      <c r="I11864" s="1" t="str">
        <f t="shared" si="2671"/>
        <v>X</v>
      </c>
      <c r="J11864" s="1" t="str">
        <f t="shared" si="2671"/>
        <v>X</v>
      </c>
      <c r="K11864" s="1" t="str">
        <f t="shared" si="2671"/>
        <v>X</v>
      </c>
      <c r="L11864" s="1" t="str">
        <f t="shared" si="2671"/>
        <v>X</v>
      </c>
      <c r="M11864" s="1" t="str">
        <f t="shared" si="2671"/>
        <v>X</v>
      </c>
      <c r="N11864" t="s">
        <v>27</v>
      </c>
    </row>
    <row r="11865" spans="1:14" x14ac:dyDescent="0.25">
      <c r="A11865" t="s">
        <v>44</v>
      </c>
      <c r="B11865" t="s">
        <v>39</v>
      </c>
      <c r="C11865" t="s">
        <v>36</v>
      </c>
      <c r="D11865" t="s">
        <v>33</v>
      </c>
      <c r="E11865" t="s">
        <v>22</v>
      </c>
      <c r="F11865" t="s">
        <v>19</v>
      </c>
      <c r="G11865" s="1" t="str">
        <f t="shared" ref="G11865:M11865" si="2672">"..."</f>
        <v>...</v>
      </c>
      <c r="H11865" s="1" t="str">
        <f t="shared" si="2672"/>
        <v>...</v>
      </c>
      <c r="I11865" s="1" t="str">
        <f t="shared" si="2672"/>
        <v>...</v>
      </c>
      <c r="J11865" s="1" t="str">
        <f t="shared" si="2672"/>
        <v>...</v>
      </c>
      <c r="K11865" s="1" t="str">
        <f t="shared" si="2672"/>
        <v>...</v>
      </c>
      <c r="L11865" s="1" t="str">
        <f t="shared" si="2672"/>
        <v>...</v>
      </c>
      <c r="M11865" s="1" t="str">
        <f t="shared" si="2672"/>
        <v>...</v>
      </c>
      <c r="N11865" t="s">
        <v>30</v>
      </c>
    </row>
    <row r="11866" spans="1:14" x14ac:dyDescent="0.25">
      <c r="A11866" t="s">
        <v>44</v>
      </c>
      <c r="B11866" t="s">
        <v>39</v>
      </c>
      <c r="C11866" t="s">
        <v>36</v>
      </c>
      <c r="D11866" t="s">
        <v>33</v>
      </c>
      <c r="E11866" t="s">
        <v>22</v>
      </c>
      <c r="F11866" t="s">
        <v>20</v>
      </c>
      <c r="G11866" s="1" t="str">
        <f t="shared" ref="G11866:M11868" si="2673">"X"</f>
        <v>X</v>
      </c>
      <c r="H11866" s="1" t="str">
        <f t="shared" si="2673"/>
        <v>X</v>
      </c>
      <c r="I11866" s="1" t="str">
        <f t="shared" si="2673"/>
        <v>X</v>
      </c>
      <c r="J11866" s="1" t="str">
        <f t="shared" si="2673"/>
        <v>X</v>
      </c>
      <c r="K11866" s="1" t="str">
        <f t="shared" si="2673"/>
        <v>X</v>
      </c>
      <c r="L11866" s="1" t="str">
        <f t="shared" si="2673"/>
        <v>X</v>
      </c>
      <c r="M11866" s="1" t="str">
        <f t="shared" si="2673"/>
        <v>X</v>
      </c>
      <c r="N11866" t="s">
        <v>27</v>
      </c>
    </row>
    <row r="11867" spans="1:14" x14ac:dyDescent="0.25">
      <c r="A11867" t="s">
        <v>44</v>
      </c>
      <c r="B11867" t="s">
        <v>39</v>
      </c>
      <c r="C11867" t="s">
        <v>36</v>
      </c>
      <c r="D11867" t="s">
        <v>33</v>
      </c>
      <c r="E11867" t="s">
        <v>23</v>
      </c>
      <c r="F11867" t="s">
        <v>15</v>
      </c>
      <c r="G11867" s="1" t="str">
        <f t="shared" si="2673"/>
        <v>X</v>
      </c>
      <c r="H11867" s="1" t="str">
        <f t="shared" si="2673"/>
        <v>X</v>
      </c>
      <c r="I11867" s="1" t="str">
        <f t="shared" si="2673"/>
        <v>X</v>
      </c>
      <c r="J11867" s="1" t="str">
        <f t="shared" si="2673"/>
        <v>X</v>
      </c>
      <c r="K11867" s="1" t="str">
        <f t="shared" si="2673"/>
        <v>X</v>
      </c>
      <c r="L11867" s="1" t="str">
        <f t="shared" si="2673"/>
        <v>X</v>
      </c>
      <c r="M11867" s="1" t="str">
        <f t="shared" si="2673"/>
        <v>X</v>
      </c>
      <c r="N11867" t="s">
        <v>27</v>
      </c>
    </row>
    <row r="11868" spans="1:14" x14ac:dyDescent="0.25">
      <c r="A11868" t="s">
        <v>44</v>
      </c>
      <c r="B11868" t="s">
        <v>39</v>
      </c>
      <c r="C11868" t="s">
        <v>36</v>
      </c>
      <c r="D11868" t="s">
        <v>33</v>
      </c>
      <c r="E11868" t="s">
        <v>23</v>
      </c>
      <c r="F11868" t="s">
        <v>17</v>
      </c>
      <c r="G11868" s="1" t="str">
        <f t="shared" si="2673"/>
        <v>X</v>
      </c>
      <c r="H11868" s="1" t="str">
        <f t="shared" si="2673"/>
        <v>X</v>
      </c>
      <c r="I11868" s="1" t="str">
        <f t="shared" si="2673"/>
        <v>X</v>
      </c>
      <c r="J11868" s="1" t="str">
        <f t="shared" si="2673"/>
        <v>X</v>
      </c>
      <c r="K11868" s="1" t="str">
        <f t="shared" si="2673"/>
        <v>X</v>
      </c>
      <c r="L11868" s="1" t="str">
        <f t="shared" si="2673"/>
        <v>X</v>
      </c>
      <c r="M11868" s="1" t="str">
        <f t="shared" si="2673"/>
        <v>X</v>
      </c>
      <c r="N11868" t="s">
        <v>27</v>
      </c>
    </row>
    <row r="11869" spans="1:14" x14ac:dyDescent="0.25">
      <c r="A11869" t="s">
        <v>44</v>
      </c>
      <c r="B11869" t="s">
        <v>39</v>
      </c>
      <c r="C11869" t="s">
        <v>36</v>
      </c>
      <c r="D11869" t="s">
        <v>33</v>
      </c>
      <c r="E11869" t="s">
        <v>23</v>
      </c>
      <c r="F11869" t="s">
        <v>18</v>
      </c>
      <c r="G11869" s="1" t="str">
        <f t="shared" ref="G11869:M11870" si="2674">"..."</f>
        <v>...</v>
      </c>
      <c r="H11869" s="1" t="str">
        <f t="shared" si="2674"/>
        <v>...</v>
      </c>
      <c r="I11869" s="1" t="str">
        <f t="shared" si="2674"/>
        <v>...</v>
      </c>
      <c r="J11869" s="1" t="str">
        <f t="shared" si="2674"/>
        <v>...</v>
      </c>
      <c r="K11869" s="1" t="str">
        <f t="shared" si="2674"/>
        <v>...</v>
      </c>
      <c r="L11869" s="1" t="str">
        <f t="shared" si="2674"/>
        <v>...</v>
      </c>
      <c r="M11869" s="1" t="str">
        <f t="shared" si="2674"/>
        <v>...</v>
      </c>
      <c r="N11869" t="s">
        <v>30</v>
      </c>
    </row>
    <row r="11870" spans="1:14" x14ac:dyDescent="0.25">
      <c r="A11870" t="s">
        <v>44</v>
      </c>
      <c r="B11870" t="s">
        <v>39</v>
      </c>
      <c r="C11870" t="s">
        <v>36</v>
      </c>
      <c r="D11870" t="s">
        <v>33</v>
      </c>
      <c r="E11870" t="s">
        <v>23</v>
      </c>
      <c r="F11870" t="s">
        <v>19</v>
      </c>
      <c r="G11870" s="1" t="str">
        <f t="shared" si="2674"/>
        <v>...</v>
      </c>
      <c r="H11870" s="1" t="str">
        <f t="shared" si="2674"/>
        <v>...</v>
      </c>
      <c r="I11870" s="1" t="str">
        <f t="shared" si="2674"/>
        <v>...</v>
      </c>
      <c r="J11870" s="1" t="str">
        <f t="shared" si="2674"/>
        <v>...</v>
      </c>
      <c r="K11870" s="1" t="str">
        <f t="shared" si="2674"/>
        <v>...</v>
      </c>
      <c r="L11870" s="1" t="str">
        <f t="shared" si="2674"/>
        <v>...</v>
      </c>
      <c r="M11870" s="1" t="str">
        <f t="shared" si="2674"/>
        <v>...</v>
      </c>
      <c r="N11870" t="s">
        <v>30</v>
      </c>
    </row>
    <row r="11871" spans="1:14" x14ac:dyDescent="0.25">
      <c r="A11871" t="s">
        <v>44</v>
      </c>
      <c r="B11871" t="s">
        <v>39</v>
      </c>
      <c r="C11871" t="s">
        <v>36</v>
      </c>
      <c r="D11871" t="s">
        <v>33</v>
      </c>
      <c r="E11871" t="s">
        <v>23</v>
      </c>
      <c r="F11871" t="s">
        <v>20</v>
      </c>
      <c r="G11871" s="1" t="str">
        <f t="shared" ref="G11871:M11871" si="2675">"X"</f>
        <v>X</v>
      </c>
      <c r="H11871" s="1" t="str">
        <f t="shared" si="2675"/>
        <v>X</v>
      </c>
      <c r="I11871" s="1" t="str">
        <f t="shared" si="2675"/>
        <v>X</v>
      </c>
      <c r="J11871" s="1" t="str">
        <f t="shared" si="2675"/>
        <v>X</v>
      </c>
      <c r="K11871" s="1" t="str">
        <f t="shared" si="2675"/>
        <v>X</v>
      </c>
      <c r="L11871" s="1" t="str">
        <f t="shared" si="2675"/>
        <v>X</v>
      </c>
      <c r="M11871" s="1" t="str">
        <f t="shared" si="2675"/>
        <v>X</v>
      </c>
      <c r="N11871" t="s">
        <v>27</v>
      </c>
    </row>
    <row r="11872" spans="1:14" x14ac:dyDescent="0.25">
      <c r="A11872" t="s">
        <v>44</v>
      </c>
      <c r="B11872" t="s">
        <v>39</v>
      </c>
      <c r="C11872" t="s">
        <v>36</v>
      </c>
      <c r="D11872" t="s">
        <v>33</v>
      </c>
      <c r="E11872" t="s">
        <v>26</v>
      </c>
      <c r="F11872" t="s">
        <v>15</v>
      </c>
      <c r="G11872" s="1" t="str">
        <f t="shared" ref="G11872:M11876" si="2676">"..."</f>
        <v>...</v>
      </c>
      <c r="H11872" s="1" t="str">
        <f t="shared" si="2676"/>
        <v>...</v>
      </c>
      <c r="I11872" s="1" t="str">
        <f t="shared" si="2676"/>
        <v>...</v>
      </c>
      <c r="J11872" s="1" t="str">
        <f t="shared" si="2676"/>
        <v>...</v>
      </c>
      <c r="K11872" s="1" t="str">
        <f t="shared" si="2676"/>
        <v>...</v>
      </c>
      <c r="L11872" s="1" t="str">
        <f t="shared" si="2676"/>
        <v>...</v>
      </c>
      <c r="M11872" s="1" t="str">
        <f t="shared" si="2676"/>
        <v>...</v>
      </c>
      <c r="N11872" t="s">
        <v>30</v>
      </c>
    </row>
    <row r="11873" spans="1:14" x14ac:dyDescent="0.25">
      <c r="A11873" t="s">
        <v>44</v>
      </c>
      <c r="B11873" t="s">
        <v>39</v>
      </c>
      <c r="C11873" t="s">
        <v>36</v>
      </c>
      <c r="D11873" t="s">
        <v>33</v>
      </c>
      <c r="E11873" t="s">
        <v>26</v>
      </c>
      <c r="F11873" t="s">
        <v>17</v>
      </c>
      <c r="G11873" s="1" t="str">
        <f t="shared" si="2676"/>
        <v>...</v>
      </c>
      <c r="H11873" s="1" t="str">
        <f t="shared" si="2676"/>
        <v>...</v>
      </c>
      <c r="I11873" s="1" t="str">
        <f t="shared" si="2676"/>
        <v>...</v>
      </c>
      <c r="J11873" s="1" t="str">
        <f t="shared" si="2676"/>
        <v>...</v>
      </c>
      <c r="K11873" s="1" t="str">
        <f t="shared" si="2676"/>
        <v>...</v>
      </c>
      <c r="L11873" s="1" t="str">
        <f t="shared" si="2676"/>
        <v>...</v>
      </c>
      <c r="M11873" s="1" t="str">
        <f t="shared" si="2676"/>
        <v>...</v>
      </c>
      <c r="N11873" t="s">
        <v>30</v>
      </c>
    </row>
    <row r="11874" spans="1:14" x14ac:dyDescent="0.25">
      <c r="A11874" t="s">
        <v>44</v>
      </c>
      <c r="B11874" t="s">
        <v>39</v>
      </c>
      <c r="C11874" t="s">
        <v>36</v>
      </c>
      <c r="D11874" t="s">
        <v>33</v>
      </c>
      <c r="E11874" t="s">
        <v>26</v>
      </c>
      <c r="F11874" t="s">
        <v>18</v>
      </c>
      <c r="G11874" s="1" t="str">
        <f t="shared" si="2676"/>
        <v>...</v>
      </c>
      <c r="H11874" s="1" t="str">
        <f t="shared" si="2676"/>
        <v>...</v>
      </c>
      <c r="I11874" s="1" t="str">
        <f t="shared" si="2676"/>
        <v>...</v>
      </c>
      <c r="J11874" s="1" t="str">
        <f t="shared" si="2676"/>
        <v>...</v>
      </c>
      <c r="K11874" s="1" t="str">
        <f t="shared" si="2676"/>
        <v>...</v>
      </c>
      <c r="L11874" s="1" t="str">
        <f t="shared" si="2676"/>
        <v>...</v>
      </c>
      <c r="M11874" s="1" t="str">
        <f t="shared" si="2676"/>
        <v>...</v>
      </c>
      <c r="N11874" t="s">
        <v>30</v>
      </c>
    </row>
    <row r="11875" spans="1:14" x14ac:dyDescent="0.25">
      <c r="A11875" t="s">
        <v>44</v>
      </c>
      <c r="B11875" t="s">
        <v>39</v>
      </c>
      <c r="C11875" t="s">
        <v>36</v>
      </c>
      <c r="D11875" t="s">
        <v>33</v>
      </c>
      <c r="E11875" t="s">
        <v>26</v>
      </c>
      <c r="F11875" t="s">
        <v>19</v>
      </c>
      <c r="G11875" s="1" t="str">
        <f t="shared" si="2676"/>
        <v>...</v>
      </c>
      <c r="H11875" s="1" t="str">
        <f t="shared" si="2676"/>
        <v>...</v>
      </c>
      <c r="I11875" s="1" t="str">
        <f t="shared" si="2676"/>
        <v>...</v>
      </c>
      <c r="J11875" s="1" t="str">
        <f t="shared" si="2676"/>
        <v>...</v>
      </c>
      <c r="K11875" s="1" t="str">
        <f t="shared" si="2676"/>
        <v>...</v>
      </c>
      <c r="L11875" s="1" t="str">
        <f t="shared" si="2676"/>
        <v>...</v>
      </c>
      <c r="M11875" s="1" t="str">
        <f t="shared" si="2676"/>
        <v>...</v>
      </c>
      <c r="N11875" t="s">
        <v>30</v>
      </c>
    </row>
    <row r="11876" spans="1:14" x14ac:dyDescent="0.25">
      <c r="A11876" t="s">
        <v>44</v>
      </c>
      <c r="B11876" t="s">
        <v>39</v>
      </c>
      <c r="C11876" t="s">
        <v>36</v>
      </c>
      <c r="D11876" t="s">
        <v>33</v>
      </c>
      <c r="E11876" t="s">
        <v>26</v>
      </c>
      <c r="F11876" t="s">
        <v>20</v>
      </c>
      <c r="G11876" s="1" t="str">
        <f t="shared" si="2676"/>
        <v>...</v>
      </c>
      <c r="H11876" s="1" t="str">
        <f t="shared" si="2676"/>
        <v>...</v>
      </c>
      <c r="I11876" s="1" t="str">
        <f t="shared" si="2676"/>
        <v>...</v>
      </c>
      <c r="J11876" s="1" t="str">
        <f t="shared" si="2676"/>
        <v>...</v>
      </c>
      <c r="K11876" s="1" t="str">
        <f t="shared" si="2676"/>
        <v>...</v>
      </c>
      <c r="L11876" s="1" t="str">
        <f t="shared" si="2676"/>
        <v>...</v>
      </c>
      <c r="M11876" s="1" t="str">
        <f t="shared" si="2676"/>
        <v>...</v>
      </c>
      <c r="N11876" t="s">
        <v>30</v>
      </c>
    </row>
    <row r="11877" spans="1:14" x14ac:dyDescent="0.25">
      <c r="A11877" t="s">
        <v>44</v>
      </c>
      <c r="B11877" t="s">
        <v>39</v>
      </c>
      <c r="C11877" t="s">
        <v>36</v>
      </c>
      <c r="D11877" t="s">
        <v>34</v>
      </c>
      <c r="E11877" t="s">
        <v>15</v>
      </c>
      <c r="F11877" t="s">
        <v>15</v>
      </c>
      <c r="G11877" s="1" t="str">
        <f t="shared" ref="G11877:M11877" si="2677">"X"</f>
        <v>X</v>
      </c>
      <c r="H11877" s="1" t="str">
        <f t="shared" si="2677"/>
        <v>X</v>
      </c>
      <c r="I11877" s="1" t="str">
        <f t="shared" si="2677"/>
        <v>X</v>
      </c>
      <c r="J11877" s="1" t="str">
        <f t="shared" si="2677"/>
        <v>X</v>
      </c>
      <c r="K11877" s="1" t="str">
        <f t="shared" si="2677"/>
        <v>X</v>
      </c>
      <c r="L11877" s="1" t="str">
        <f t="shared" si="2677"/>
        <v>X</v>
      </c>
      <c r="M11877" s="1" t="str">
        <f t="shared" si="2677"/>
        <v>X</v>
      </c>
      <c r="N11877" t="s">
        <v>27</v>
      </c>
    </row>
    <row r="11878" spans="1:14" x14ac:dyDescent="0.25">
      <c r="A11878" t="s">
        <v>44</v>
      </c>
      <c r="B11878" t="s">
        <v>39</v>
      </c>
      <c r="C11878" t="s">
        <v>36</v>
      </c>
      <c r="D11878" t="s">
        <v>34</v>
      </c>
      <c r="E11878" t="s">
        <v>15</v>
      </c>
      <c r="F11878" t="s">
        <v>17</v>
      </c>
      <c r="G11878" s="1" t="str">
        <f t="shared" ref="G11878:M11878" si="2678">"..."</f>
        <v>...</v>
      </c>
      <c r="H11878" s="1" t="str">
        <f t="shared" si="2678"/>
        <v>...</v>
      </c>
      <c r="I11878" s="1" t="str">
        <f t="shared" si="2678"/>
        <v>...</v>
      </c>
      <c r="J11878" s="1" t="str">
        <f t="shared" si="2678"/>
        <v>...</v>
      </c>
      <c r="K11878" s="1" t="str">
        <f t="shared" si="2678"/>
        <v>...</v>
      </c>
      <c r="L11878" s="1" t="str">
        <f t="shared" si="2678"/>
        <v>...</v>
      </c>
      <c r="M11878" s="1" t="str">
        <f t="shared" si="2678"/>
        <v>...</v>
      </c>
      <c r="N11878" t="s">
        <v>30</v>
      </c>
    </row>
    <row r="11879" spans="1:14" x14ac:dyDescent="0.25">
      <c r="A11879" t="s">
        <v>44</v>
      </c>
      <c r="B11879" t="s">
        <v>39</v>
      </c>
      <c r="C11879" t="s">
        <v>36</v>
      </c>
      <c r="D11879" t="s">
        <v>34</v>
      </c>
      <c r="E11879" t="s">
        <v>15</v>
      </c>
      <c r="F11879" t="s">
        <v>18</v>
      </c>
      <c r="G11879" s="1" t="str">
        <f t="shared" ref="G11879:M11882" si="2679">"X"</f>
        <v>X</v>
      </c>
      <c r="H11879" s="1" t="str">
        <f t="shared" si="2679"/>
        <v>X</v>
      </c>
      <c r="I11879" s="1" t="str">
        <f t="shared" si="2679"/>
        <v>X</v>
      </c>
      <c r="J11879" s="1" t="str">
        <f t="shared" si="2679"/>
        <v>X</v>
      </c>
      <c r="K11879" s="1" t="str">
        <f t="shared" si="2679"/>
        <v>X</v>
      </c>
      <c r="L11879" s="1" t="str">
        <f t="shared" si="2679"/>
        <v>X</v>
      </c>
      <c r="M11879" s="1" t="str">
        <f t="shared" si="2679"/>
        <v>X</v>
      </c>
      <c r="N11879" t="s">
        <v>27</v>
      </c>
    </row>
    <row r="11880" spans="1:14" x14ac:dyDescent="0.25">
      <c r="A11880" t="s">
        <v>44</v>
      </c>
      <c r="B11880" t="s">
        <v>39</v>
      </c>
      <c r="C11880" t="s">
        <v>36</v>
      </c>
      <c r="D11880" t="s">
        <v>34</v>
      </c>
      <c r="E11880" t="s">
        <v>15</v>
      </c>
      <c r="F11880" t="s">
        <v>19</v>
      </c>
      <c r="G11880" s="1" t="str">
        <f t="shared" si="2679"/>
        <v>X</v>
      </c>
      <c r="H11880" s="1" t="str">
        <f t="shared" si="2679"/>
        <v>X</v>
      </c>
      <c r="I11880" s="1" t="str">
        <f t="shared" si="2679"/>
        <v>X</v>
      </c>
      <c r="J11880" s="1" t="str">
        <f t="shared" si="2679"/>
        <v>X</v>
      </c>
      <c r="K11880" s="1" t="str">
        <f t="shared" si="2679"/>
        <v>X</v>
      </c>
      <c r="L11880" s="1" t="str">
        <f t="shared" si="2679"/>
        <v>X</v>
      </c>
      <c r="M11880" s="1" t="str">
        <f t="shared" si="2679"/>
        <v>X</v>
      </c>
      <c r="N11880" t="s">
        <v>27</v>
      </c>
    </row>
    <row r="11881" spans="1:14" x14ac:dyDescent="0.25">
      <c r="A11881" t="s">
        <v>44</v>
      </c>
      <c r="B11881" t="s">
        <v>39</v>
      </c>
      <c r="C11881" t="s">
        <v>36</v>
      </c>
      <c r="D11881" t="s">
        <v>34</v>
      </c>
      <c r="E11881" t="s">
        <v>15</v>
      </c>
      <c r="F11881" t="s">
        <v>20</v>
      </c>
      <c r="G11881" s="1" t="str">
        <f t="shared" si="2679"/>
        <v>X</v>
      </c>
      <c r="H11881" s="1" t="str">
        <f t="shared" si="2679"/>
        <v>X</v>
      </c>
      <c r="I11881" s="1" t="str">
        <f t="shared" si="2679"/>
        <v>X</v>
      </c>
      <c r="J11881" s="1" t="str">
        <f t="shared" si="2679"/>
        <v>X</v>
      </c>
      <c r="K11881" s="1" t="str">
        <f t="shared" si="2679"/>
        <v>X</v>
      </c>
      <c r="L11881" s="1" t="str">
        <f t="shared" si="2679"/>
        <v>X</v>
      </c>
      <c r="M11881" s="1" t="str">
        <f t="shared" si="2679"/>
        <v>X</v>
      </c>
      <c r="N11881" t="s">
        <v>27</v>
      </c>
    </row>
    <row r="11882" spans="1:14" x14ac:dyDescent="0.25">
      <c r="A11882" t="s">
        <v>44</v>
      </c>
      <c r="B11882" t="s">
        <v>39</v>
      </c>
      <c r="C11882" t="s">
        <v>36</v>
      </c>
      <c r="D11882" t="s">
        <v>34</v>
      </c>
      <c r="E11882" t="s">
        <v>21</v>
      </c>
      <c r="F11882" t="s">
        <v>15</v>
      </c>
      <c r="G11882" s="1" t="str">
        <f t="shared" si="2679"/>
        <v>X</v>
      </c>
      <c r="H11882" s="1" t="str">
        <f t="shared" si="2679"/>
        <v>X</v>
      </c>
      <c r="I11882" s="1" t="str">
        <f t="shared" si="2679"/>
        <v>X</v>
      </c>
      <c r="J11882" s="1" t="str">
        <f t="shared" si="2679"/>
        <v>X</v>
      </c>
      <c r="K11882" s="1" t="str">
        <f t="shared" si="2679"/>
        <v>X</v>
      </c>
      <c r="L11882" s="1" t="str">
        <f t="shared" si="2679"/>
        <v>X</v>
      </c>
      <c r="M11882" s="1" t="str">
        <f t="shared" si="2679"/>
        <v>X</v>
      </c>
      <c r="N11882" t="s">
        <v>27</v>
      </c>
    </row>
    <row r="11883" spans="1:14" x14ac:dyDescent="0.25">
      <c r="A11883" t="s">
        <v>44</v>
      </c>
      <c r="B11883" t="s">
        <v>39</v>
      </c>
      <c r="C11883" t="s">
        <v>36</v>
      </c>
      <c r="D11883" t="s">
        <v>34</v>
      </c>
      <c r="E11883" t="s">
        <v>21</v>
      </c>
      <c r="F11883" t="s">
        <v>17</v>
      </c>
      <c r="G11883" s="1" t="str">
        <f t="shared" ref="G11883:M11883" si="2680">"..."</f>
        <v>...</v>
      </c>
      <c r="H11883" s="1" t="str">
        <f t="shared" si="2680"/>
        <v>...</v>
      </c>
      <c r="I11883" s="1" t="str">
        <f t="shared" si="2680"/>
        <v>...</v>
      </c>
      <c r="J11883" s="1" t="str">
        <f t="shared" si="2680"/>
        <v>...</v>
      </c>
      <c r="K11883" s="1" t="str">
        <f t="shared" si="2680"/>
        <v>...</v>
      </c>
      <c r="L11883" s="1" t="str">
        <f t="shared" si="2680"/>
        <v>...</v>
      </c>
      <c r="M11883" s="1" t="str">
        <f t="shared" si="2680"/>
        <v>...</v>
      </c>
      <c r="N11883" t="s">
        <v>30</v>
      </c>
    </row>
    <row r="11884" spans="1:14" x14ac:dyDescent="0.25">
      <c r="A11884" t="s">
        <v>44</v>
      </c>
      <c r="B11884" t="s">
        <v>39</v>
      </c>
      <c r="C11884" t="s">
        <v>36</v>
      </c>
      <c r="D11884" t="s">
        <v>34</v>
      </c>
      <c r="E11884" t="s">
        <v>21</v>
      </c>
      <c r="F11884" t="s">
        <v>18</v>
      </c>
      <c r="G11884" s="1" t="str">
        <f t="shared" ref="G11884:M11887" si="2681">"X"</f>
        <v>X</v>
      </c>
      <c r="H11884" s="1" t="str">
        <f t="shared" si="2681"/>
        <v>X</v>
      </c>
      <c r="I11884" s="1" t="str">
        <f t="shared" si="2681"/>
        <v>X</v>
      </c>
      <c r="J11884" s="1" t="str">
        <f t="shared" si="2681"/>
        <v>X</v>
      </c>
      <c r="K11884" s="1" t="str">
        <f t="shared" si="2681"/>
        <v>X</v>
      </c>
      <c r="L11884" s="1" t="str">
        <f t="shared" si="2681"/>
        <v>X</v>
      </c>
      <c r="M11884" s="1" t="str">
        <f t="shared" si="2681"/>
        <v>X</v>
      </c>
      <c r="N11884" t="s">
        <v>27</v>
      </c>
    </row>
    <row r="11885" spans="1:14" x14ac:dyDescent="0.25">
      <c r="A11885" t="s">
        <v>44</v>
      </c>
      <c r="B11885" t="s">
        <v>39</v>
      </c>
      <c r="C11885" t="s">
        <v>36</v>
      </c>
      <c r="D11885" t="s">
        <v>34</v>
      </c>
      <c r="E11885" t="s">
        <v>21</v>
      </c>
      <c r="F11885" t="s">
        <v>19</v>
      </c>
      <c r="G11885" s="1" t="str">
        <f t="shared" si="2681"/>
        <v>X</v>
      </c>
      <c r="H11885" s="1" t="str">
        <f t="shared" si="2681"/>
        <v>X</v>
      </c>
      <c r="I11885" s="1" t="str">
        <f t="shared" si="2681"/>
        <v>X</v>
      </c>
      <c r="J11885" s="1" t="str">
        <f t="shared" si="2681"/>
        <v>X</v>
      </c>
      <c r="K11885" s="1" t="str">
        <f t="shared" si="2681"/>
        <v>X</v>
      </c>
      <c r="L11885" s="1" t="str">
        <f t="shared" si="2681"/>
        <v>X</v>
      </c>
      <c r="M11885" s="1" t="str">
        <f t="shared" si="2681"/>
        <v>X</v>
      </c>
      <c r="N11885" t="s">
        <v>27</v>
      </c>
    </row>
    <row r="11886" spans="1:14" x14ac:dyDescent="0.25">
      <c r="A11886" t="s">
        <v>44</v>
      </c>
      <c r="B11886" t="s">
        <v>39</v>
      </c>
      <c r="C11886" t="s">
        <v>36</v>
      </c>
      <c r="D11886" t="s">
        <v>34</v>
      </c>
      <c r="E11886" t="s">
        <v>21</v>
      </c>
      <c r="F11886" t="s">
        <v>20</v>
      </c>
      <c r="G11886" s="1" t="str">
        <f t="shared" si="2681"/>
        <v>X</v>
      </c>
      <c r="H11886" s="1" t="str">
        <f t="shared" si="2681"/>
        <v>X</v>
      </c>
      <c r="I11886" s="1" t="str">
        <f t="shared" si="2681"/>
        <v>X</v>
      </c>
      <c r="J11886" s="1" t="str">
        <f t="shared" si="2681"/>
        <v>X</v>
      </c>
      <c r="K11886" s="1" t="str">
        <f t="shared" si="2681"/>
        <v>X</v>
      </c>
      <c r="L11886" s="1" t="str">
        <f t="shared" si="2681"/>
        <v>X</v>
      </c>
      <c r="M11886" s="1" t="str">
        <f t="shared" si="2681"/>
        <v>X</v>
      </c>
      <c r="N11886" t="s">
        <v>27</v>
      </c>
    </row>
    <row r="11887" spans="1:14" x14ac:dyDescent="0.25">
      <c r="A11887" t="s">
        <v>44</v>
      </c>
      <c r="B11887" t="s">
        <v>39</v>
      </c>
      <c r="C11887" t="s">
        <v>36</v>
      </c>
      <c r="D11887" t="s">
        <v>34</v>
      </c>
      <c r="E11887" t="s">
        <v>22</v>
      </c>
      <c r="F11887" t="s">
        <v>15</v>
      </c>
      <c r="G11887" s="1" t="str">
        <f t="shared" si="2681"/>
        <v>X</v>
      </c>
      <c r="H11887" s="1" t="str">
        <f t="shared" si="2681"/>
        <v>X</v>
      </c>
      <c r="I11887" s="1" t="str">
        <f t="shared" si="2681"/>
        <v>X</v>
      </c>
      <c r="J11887" s="1" t="str">
        <f t="shared" si="2681"/>
        <v>X</v>
      </c>
      <c r="K11887" s="1" t="str">
        <f t="shared" si="2681"/>
        <v>X</v>
      </c>
      <c r="L11887" s="1" t="str">
        <f t="shared" si="2681"/>
        <v>X</v>
      </c>
      <c r="M11887" s="1" t="str">
        <f t="shared" si="2681"/>
        <v>X</v>
      </c>
      <c r="N11887" t="s">
        <v>27</v>
      </c>
    </row>
    <row r="11888" spans="1:14" x14ac:dyDescent="0.25">
      <c r="A11888" t="s">
        <v>44</v>
      </c>
      <c r="B11888" t="s">
        <v>39</v>
      </c>
      <c r="C11888" t="s">
        <v>36</v>
      </c>
      <c r="D11888" t="s">
        <v>34</v>
      </c>
      <c r="E11888" t="s">
        <v>22</v>
      </c>
      <c r="F11888" t="s">
        <v>17</v>
      </c>
      <c r="G11888" s="1" t="str">
        <f t="shared" ref="G11888:M11888" si="2682">"..."</f>
        <v>...</v>
      </c>
      <c r="H11888" s="1" t="str">
        <f t="shared" si="2682"/>
        <v>...</v>
      </c>
      <c r="I11888" s="1" t="str">
        <f t="shared" si="2682"/>
        <v>...</v>
      </c>
      <c r="J11888" s="1" t="str">
        <f t="shared" si="2682"/>
        <v>...</v>
      </c>
      <c r="K11888" s="1" t="str">
        <f t="shared" si="2682"/>
        <v>...</v>
      </c>
      <c r="L11888" s="1" t="str">
        <f t="shared" si="2682"/>
        <v>...</v>
      </c>
      <c r="M11888" s="1" t="str">
        <f t="shared" si="2682"/>
        <v>...</v>
      </c>
      <c r="N11888" t="s">
        <v>30</v>
      </c>
    </row>
    <row r="11889" spans="1:14" x14ac:dyDescent="0.25">
      <c r="A11889" t="s">
        <v>44</v>
      </c>
      <c r="B11889" t="s">
        <v>39</v>
      </c>
      <c r="C11889" t="s">
        <v>36</v>
      </c>
      <c r="D11889" t="s">
        <v>34</v>
      </c>
      <c r="E11889" t="s">
        <v>22</v>
      </c>
      <c r="F11889" t="s">
        <v>18</v>
      </c>
      <c r="G11889" s="1" t="str">
        <f t="shared" ref="G11889:M11889" si="2683">"X"</f>
        <v>X</v>
      </c>
      <c r="H11889" s="1" t="str">
        <f t="shared" si="2683"/>
        <v>X</v>
      </c>
      <c r="I11889" s="1" t="str">
        <f t="shared" si="2683"/>
        <v>X</v>
      </c>
      <c r="J11889" s="1" t="str">
        <f t="shared" si="2683"/>
        <v>X</v>
      </c>
      <c r="K11889" s="1" t="str">
        <f t="shared" si="2683"/>
        <v>X</v>
      </c>
      <c r="L11889" s="1" t="str">
        <f t="shared" si="2683"/>
        <v>X</v>
      </c>
      <c r="M11889" s="1" t="str">
        <f t="shared" si="2683"/>
        <v>X</v>
      </c>
      <c r="N11889" t="s">
        <v>27</v>
      </c>
    </row>
    <row r="11890" spans="1:14" x14ac:dyDescent="0.25">
      <c r="A11890" t="s">
        <v>44</v>
      </c>
      <c r="B11890" t="s">
        <v>39</v>
      </c>
      <c r="C11890" t="s">
        <v>36</v>
      </c>
      <c r="D11890" t="s">
        <v>34</v>
      </c>
      <c r="E11890" t="s">
        <v>22</v>
      </c>
      <c r="F11890" t="s">
        <v>19</v>
      </c>
      <c r="G11890" s="1" t="str">
        <f t="shared" ref="G11890:M11890" si="2684">"..."</f>
        <v>...</v>
      </c>
      <c r="H11890" s="1" t="str">
        <f t="shared" si="2684"/>
        <v>...</v>
      </c>
      <c r="I11890" s="1" t="str">
        <f t="shared" si="2684"/>
        <v>...</v>
      </c>
      <c r="J11890" s="1" t="str">
        <f t="shared" si="2684"/>
        <v>...</v>
      </c>
      <c r="K11890" s="1" t="str">
        <f t="shared" si="2684"/>
        <v>...</v>
      </c>
      <c r="L11890" s="1" t="str">
        <f t="shared" si="2684"/>
        <v>...</v>
      </c>
      <c r="M11890" s="1" t="str">
        <f t="shared" si="2684"/>
        <v>...</v>
      </c>
      <c r="N11890" t="s">
        <v>30</v>
      </c>
    </row>
    <row r="11891" spans="1:14" x14ac:dyDescent="0.25">
      <c r="A11891" t="s">
        <v>44</v>
      </c>
      <c r="B11891" t="s">
        <v>39</v>
      </c>
      <c r="C11891" t="s">
        <v>36</v>
      </c>
      <c r="D11891" t="s">
        <v>34</v>
      </c>
      <c r="E11891" t="s">
        <v>22</v>
      </c>
      <c r="F11891" t="s">
        <v>20</v>
      </c>
      <c r="G11891" s="1" t="str">
        <f t="shared" ref="G11891:M11892" si="2685">"X"</f>
        <v>X</v>
      </c>
      <c r="H11891" s="1" t="str">
        <f t="shared" si="2685"/>
        <v>X</v>
      </c>
      <c r="I11891" s="1" t="str">
        <f t="shared" si="2685"/>
        <v>X</v>
      </c>
      <c r="J11891" s="1" t="str">
        <f t="shared" si="2685"/>
        <v>X</v>
      </c>
      <c r="K11891" s="1" t="str">
        <f t="shared" si="2685"/>
        <v>X</v>
      </c>
      <c r="L11891" s="1" t="str">
        <f t="shared" si="2685"/>
        <v>X</v>
      </c>
      <c r="M11891" s="1" t="str">
        <f t="shared" si="2685"/>
        <v>X</v>
      </c>
      <c r="N11891" t="s">
        <v>27</v>
      </c>
    </row>
    <row r="11892" spans="1:14" x14ac:dyDescent="0.25">
      <c r="A11892" t="s">
        <v>44</v>
      </c>
      <c r="B11892" t="s">
        <v>39</v>
      </c>
      <c r="C11892" t="s">
        <v>36</v>
      </c>
      <c r="D11892" t="s">
        <v>34</v>
      </c>
      <c r="E11892" t="s">
        <v>23</v>
      </c>
      <c r="F11892" t="s">
        <v>15</v>
      </c>
      <c r="G11892" s="1" t="str">
        <f t="shared" si="2685"/>
        <v>X</v>
      </c>
      <c r="H11892" s="1" t="str">
        <f t="shared" si="2685"/>
        <v>X</v>
      </c>
      <c r="I11892" s="1" t="str">
        <f t="shared" si="2685"/>
        <v>X</v>
      </c>
      <c r="J11892" s="1" t="str">
        <f t="shared" si="2685"/>
        <v>X</v>
      </c>
      <c r="K11892" s="1" t="str">
        <f t="shared" si="2685"/>
        <v>X</v>
      </c>
      <c r="L11892" s="1" t="str">
        <f t="shared" si="2685"/>
        <v>X</v>
      </c>
      <c r="M11892" s="1" t="str">
        <f t="shared" si="2685"/>
        <v>X</v>
      </c>
      <c r="N11892" t="s">
        <v>27</v>
      </c>
    </row>
    <row r="11893" spans="1:14" x14ac:dyDescent="0.25">
      <c r="A11893" t="s">
        <v>44</v>
      </c>
      <c r="B11893" t="s">
        <v>39</v>
      </c>
      <c r="C11893" t="s">
        <v>36</v>
      </c>
      <c r="D11893" t="s">
        <v>34</v>
      </c>
      <c r="E11893" t="s">
        <v>23</v>
      </c>
      <c r="F11893" t="s">
        <v>17</v>
      </c>
      <c r="G11893" s="1" t="str">
        <f t="shared" ref="G11893:M11894" si="2686">"..."</f>
        <v>...</v>
      </c>
      <c r="H11893" s="1" t="str">
        <f t="shared" si="2686"/>
        <v>...</v>
      </c>
      <c r="I11893" s="1" t="str">
        <f t="shared" si="2686"/>
        <v>...</v>
      </c>
      <c r="J11893" s="1" t="str">
        <f t="shared" si="2686"/>
        <v>...</v>
      </c>
      <c r="K11893" s="1" t="str">
        <f t="shared" si="2686"/>
        <v>...</v>
      </c>
      <c r="L11893" s="1" t="str">
        <f t="shared" si="2686"/>
        <v>...</v>
      </c>
      <c r="M11893" s="1" t="str">
        <f t="shared" si="2686"/>
        <v>...</v>
      </c>
      <c r="N11893" t="s">
        <v>30</v>
      </c>
    </row>
    <row r="11894" spans="1:14" x14ac:dyDescent="0.25">
      <c r="A11894" t="s">
        <v>44</v>
      </c>
      <c r="B11894" t="s">
        <v>39</v>
      </c>
      <c r="C11894" t="s">
        <v>36</v>
      </c>
      <c r="D11894" t="s">
        <v>34</v>
      </c>
      <c r="E11894" t="s">
        <v>23</v>
      </c>
      <c r="F11894" t="s">
        <v>18</v>
      </c>
      <c r="G11894" s="1" t="str">
        <f t="shared" si="2686"/>
        <v>...</v>
      </c>
      <c r="H11894" s="1" t="str">
        <f t="shared" si="2686"/>
        <v>...</v>
      </c>
      <c r="I11894" s="1" t="str">
        <f t="shared" si="2686"/>
        <v>...</v>
      </c>
      <c r="J11894" s="1" t="str">
        <f t="shared" si="2686"/>
        <v>...</v>
      </c>
      <c r="K11894" s="1" t="str">
        <f t="shared" si="2686"/>
        <v>...</v>
      </c>
      <c r="L11894" s="1" t="str">
        <f t="shared" si="2686"/>
        <v>...</v>
      </c>
      <c r="M11894" s="1" t="str">
        <f t="shared" si="2686"/>
        <v>...</v>
      </c>
      <c r="N11894" t="s">
        <v>30</v>
      </c>
    </row>
    <row r="11895" spans="1:14" x14ac:dyDescent="0.25">
      <c r="A11895" t="s">
        <v>44</v>
      </c>
      <c r="B11895" t="s">
        <v>39</v>
      </c>
      <c r="C11895" t="s">
        <v>36</v>
      </c>
      <c r="D11895" t="s">
        <v>34</v>
      </c>
      <c r="E11895" t="s">
        <v>23</v>
      </c>
      <c r="F11895" t="s">
        <v>19</v>
      </c>
      <c r="G11895" s="1" t="str">
        <f t="shared" ref="G11895:M11896" si="2687">"X"</f>
        <v>X</v>
      </c>
      <c r="H11895" s="1" t="str">
        <f t="shared" si="2687"/>
        <v>X</v>
      </c>
      <c r="I11895" s="1" t="str">
        <f t="shared" si="2687"/>
        <v>X</v>
      </c>
      <c r="J11895" s="1" t="str">
        <f t="shared" si="2687"/>
        <v>X</v>
      </c>
      <c r="K11895" s="1" t="str">
        <f t="shared" si="2687"/>
        <v>X</v>
      </c>
      <c r="L11895" s="1" t="str">
        <f t="shared" si="2687"/>
        <v>X</v>
      </c>
      <c r="M11895" s="1" t="str">
        <f t="shared" si="2687"/>
        <v>X</v>
      </c>
      <c r="N11895" t="s">
        <v>27</v>
      </c>
    </row>
    <row r="11896" spans="1:14" x14ac:dyDescent="0.25">
      <c r="A11896" t="s">
        <v>44</v>
      </c>
      <c r="B11896" t="s">
        <v>39</v>
      </c>
      <c r="C11896" t="s">
        <v>36</v>
      </c>
      <c r="D11896" t="s">
        <v>34</v>
      </c>
      <c r="E11896" t="s">
        <v>23</v>
      </c>
      <c r="F11896" t="s">
        <v>20</v>
      </c>
      <c r="G11896" s="1" t="str">
        <f t="shared" si="2687"/>
        <v>X</v>
      </c>
      <c r="H11896" s="1" t="str">
        <f t="shared" si="2687"/>
        <v>X</v>
      </c>
      <c r="I11896" s="1" t="str">
        <f t="shared" si="2687"/>
        <v>X</v>
      </c>
      <c r="J11896" s="1" t="str">
        <f t="shared" si="2687"/>
        <v>X</v>
      </c>
      <c r="K11896" s="1" t="str">
        <f t="shared" si="2687"/>
        <v>X</v>
      </c>
      <c r="L11896" s="1" t="str">
        <f t="shared" si="2687"/>
        <v>X</v>
      </c>
      <c r="M11896" s="1" t="str">
        <f t="shared" si="2687"/>
        <v>X</v>
      </c>
      <c r="N11896" t="s">
        <v>27</v>
      </c>
    </row>
    <row r="11897" spans="1:14" x14ac:dyDescent="0.25">
      <c r="A11897" t="s">
        <v>44</v>
      </c>
      <c r="B11897" t="s">
        <v>39</v>
      </c>
      <c r="C11897" t="s">
        <v>36</v>
      </c>
      <c r="D11897" t="s">
        <v>34</v>
      </c>
      <c r="E11897" t="s">
        <v>26</v>
      </c>
      <c r="F11897" t="s">
        <v>15</v>
      </c>
      <c r="G11897" s="1" t="str">
        <f t="shared" ref="G11897:M11901" si="2688">"..."</f>
        <v>...</v>
      </c>
      <c r="H11897" s="1" t="str">
        <f t="shared" si="2688"/>
        <v>...</v>
      </c>
      <c r="I11897" s="1" t="str">
        <f t="shared" si="2688"/>
        <v>...</v>
      </c>
      <c r="J11897" s="1" t="str">
        <f t="shared" si="2688"/>
        <v>...</v>
      </c>
      <c r="K11897" s="1" t="str">
        <f t="shared" si="2688"/>
        <v>...</v>
      </c>
      <c r="L11897" s="1" t="str">
        <f t="shared" si="2688"/>
        <v>...</v>
      </c>
      <c r="M11897" s="1" t="str">
        <f t="shared" si="2688"/>
        <v>...</v>
      </c>
      <c r="N11897" t="s">
        <v>30</v>
      </c>
    </row>
    <row r="11898" spans="1:14" x14ac:dyDescent="0.25">
      <c r="A11898" t="s">
        <v>44</v>
      </c>
      <c r="B11898" t="s">
        <v>39</v>
      </c>
      <c r="C11898" t="s">
        <v>36</v>
      </c>
      <c r="D11898" t="s">
        <v>34</v>
      </c>
      <c r="E11898" t="s">
        <v>26</v>
      </c>
      <c r="F11898" t="s">
        <v>17</v>
      </c>
      <c r="G11898" s="1" t="str">
        <f t="shared" si="2688"/>
        <v>...</v>
      </c>
      <c r="H11898" s="1" t="str">
        <f t="shared" si="2688"/>
        <v>...</v>
      </c>
      <c r="I11898" s="1" t="str">
        <f t="shared" si="2688"/>
        <v>...</v>
      </c>
      <c r="J11898" s="1" t="str">
        <f t="shared" si="2688"/>
        <v>...</v>
      </c>
      <c r="K11898" s="1" t="str">
        <f t="shared" si="2688"/>
        <v>...</v>
      </c>
      <c r="L11898" s="1" t="str">
        <f t="shared" si="2688"/>
        <v>...</v>
      </c>
      <c r="M11898" s="1" t="str">
        <f t="shared" si="2688"/>
        <v>...</v>
      </c>
      <c r="N11898" t="s">
        <v>30</v>
      </c>
    </row>
    <row r="11899" spans="1:14" x14ac:dyDescent="0.25">
      <c r="A11899" t="s">
        <v>44</v>
      </c>
      <c r="B11899" t="s">
        <v>39</v>
      </c>
      <c r="C11899" t="s">
        <v>36</v>
      </c>
      <c r="D11899" t="s">
        <v>34</v>
      </c>
      <c r="E11899" t="s">
        <v>26</v>
      </c>
      <c r="F11899" t="s">
        <v>18</v>
      </c>
      <c r="G11899" s="1" t="str">
        <f t="shared" si="2688"/>
        <v>...</v>
      </c>
      <c r="H11899" s="1" t="str">
        <f t="shared" si="2688"/>
        <v>...</v>
      </c>
      <c r="I11899" s="1" t="str">
        <f t="shared" si="2688"/>
        <v>...</v>
      </c>
      <c r="J11899" s="1" t="str">
        <f t="shared" si="2688"/>
        <v>...</v>
      </c>
      <c r="K11899" s="1" t="str">
        <f t="shared" si="2688"/>
        <v>...</v>
      </c>
      <c r="L11899" s="1" t="str">
        <f t="shared" si="2688"/>
        <v>...</v>
      </c>
      <c r="M11899" s="1" t="str">
        <f t="shared" si="2688"/>
        <v>...</v>
      </c>
      <c r="N11899" t="s">
        <v>30</v>
      </c>
    </row>
    <row r="11900" spans="1:14" x14ac:dyDescent="0.25">
      <c r="A11900" t="s">
        <v>44</v>
      </c>
      <c r="B11900" t="s">
        <v>39</v>
      </c>
      <c r="C11900" t="s">
        <v>36</v>
      </c>
      <c r="D11900" t="s">
        <v>34</v>
      </c>
      <c r="E11900" t="s">
        <v>26</v>
      </c>
      <c r="F11900" t="s">
        <v>19</v>
      </c>
      <c r="G11900" s="1" t="str">
        <f t="shared" si="2688"/>
        <v>...</v>
      </c>
      <c r="H11900" s="1" t="str">
        <f t="shared" si="2688"/>
        <v>...</v>
      </c>
      <c r="I11900" s="1" t="str">
        <f t="shared" si="2688"/>
        <v>...</v>
      </c>
      <c r="J11900" s="1" t="str">
        <f t="shared" si="2688"/>
        <v>...</v>
      </c>
      <c r="K11900" s="1" t="str">
        <f t="shared" si="2688"/>
        <v>...</v>
      </c>
      <c r="L11900" s="1" t="str">
        <f t="shared" si="2688"/>
        <v>...</v>
      </c>
      <c r="M11900" s="1" t="str">
        <f t="shared" si="2688"/>
        <v>...</v>
      </c>
      <c r="N11900" t="s">
        <v>30</v>
      </c>
    </row>
    <row r="11901" spans="1:14" x14ac:dyDescent="0.25">
      <c r="A11901" t="s">
        <v>44</v>
      </c>
      <c r="B11901" t="s">
        <v>39</v>
      </c>
      <c r="C11901" t="s">
        <v>36</v>
      </c>
      <c r="D11901" t="s">
        <v>34</v>
      </c>
      <c r="E11901" t="s">
        <v>26</v>
      </c>
      <c r="F11901" t="s">
        <v>20</v>
      </c>
      <c r="G11901" s="1" t="str">
        <f t="shared" si="2688"/>
        <v>...</v>
      </c>
      <c r="H11901" s="1" t="str">
        <f t="shared" si="2688"/>
        <v>...</v>
      </c>
      <c r="I11901" s="1" t="str">
        <f t="shared" si="2688"/>
        <v>...</v>
      </c>
      <c r="J11901" s="1" t="str">
        <f t="shared" si="2688"/>
        <v>...</v>
      </c>
      <c r="K11901" s="1" t="str">
        <f t="shared" si="2688"/>
        <v>...</v>
      </c>
      <c r="L11901" s="1" t="str">
        <f t="shared" si="2688"/>
        <v>...</v>
      </c>
      <c r="M11901" s="1" t="str">
        <f t="shared" si="2688"/>
        <v>...</v>
      </c>
      <c r="N11901" t="s">
        <v>30</v>
      </c>
    </row>
    <row r="11902" spans="1:14" x14ac:dyDescent="0.25">
      <c r="A11902" t="s">
        <v>44</v>
      </c>
      <c r="B11902" t="s">
        <v>39</v>
      </c>
      <c r="C11902" t="s">
        <v>37</v>
      </c>
      <c r="D11902" t="s">
        <v>15</v>
      </c>
      <c r="E11902" t="s">
        <v>15</v>
      </c>
      <c r="F11902" t="s">
        <v>15</v>
      </c>
      <c r="G11902" s="1">
        <f>VALUE(33207.24)</f>
        <v>33207.24</v>
      </c>
      <c r="H11902" s="1">
        <f>VALUE(31923.74)</f>
        <v>31923.74</v>
      </c>
      <c r="I11902" s="1">
        <f>VALUE(3828)</f>
        <v>3828</v>
      </c>
      <c r="J11902" s="1">
        <f>VALUE(4585)</f>
        <v>4585</v>
      </c>
      <c r="K11902" s="1">
        <f>VALUE(5673)</f>
        <v>5673</v>
      </c>
      <c r="L11902" s="1">
        <f>VALUE(7199)</f>
        <v>7199</v>
      </c>
      <c r="M11902" s="1">
        <f>VALUE(10243)</f>
        <v>10243</v>
      </c>
      <c r="N11902" t="s">
        <v>16</v>
      </c>
    </row>
    <row r="11903" spans="1:14" x14ac:dyDescent="0.25">
      <c r="A11903" t="s">
        <v>44</v>
      </c>
      <c r="B11903" t="s">
        <v>39</v>
      </c>
      <c r="C11903" t="s">
        <v>37</v>
      </c>
      <c r="D11903" t="s">
        <v>15</v>
      </c>
      <c r="E11903" t="s">
        <v>15</v>
      </c>
      <c r="F11903" t="s">
        <v>17</v>
      </c>
      <c r="G11903" s="1">
        <f>VALUE(5971.38)</f>
        <v>5971.38</v>
      </c>
      <c r="H11903" s="1">
        <f>VALUE(5870.2)</f>
        <v>5870.2</v>
      </c>
      <c r="I11903" s="4">
        <f>VALUE(5016)</f>
        <v>5016</v>
      </c>
      <c r="J11903" s="1">
        <f>VALUE(6420)</f>
        <v>6420</v>
      </c>
      <c r="K11903" s="1">
        <f>VALUE(8665)</f>
        <v>8665</v>
      </c>
      <c r="L11903" s="1">
        <f>VALUE(11929)</f>
        <v>11929</v>
      </c>
      <c r="M11903" s="1">
        <f>VALUE(16687)</f>
        <v>16687</v>
      </c>
      <c r="N11903" t="s">
        <v>25</v>
      </c>
    </row>
    <row r="11904" spans="1:14" x14ac:dyDescent="0.25">
      <c r="A11904" t="s">
        <v>44</v>
      </c>
      <c r="B11904" t="s">
        <v>39</v>
      </c>
      <c r="C11904" t="s">
        <v>37</v>
      </c>
      <c r="D11904" t="s">
        <v>15</v>
      </c>
      <c r="E11904" t="s">
        <v>15</v>
      </c>
      <c r="F11904" t="s">
        <v>18</v>
      </c>
      <c r="G11904" s="1">
        <f>VALUE(3604.1)</f>
        <v>3604.1</v>
      </c>
      <c r="H11904" s="1">
        <f>VALUE(3534.18)</f>
        <v>3534.18</v>
      </c>
      <c r="I11904" s="1">
        <f>VALUE(4902)</f>
        <v>4902</v>
      </c>
      <c r="J11904" s="1">
        <f>VALUE(5600)</f>
        <v>5600</v>
      </c>
      <c r="K11904" s="1">
        <f>VALUE(6946)</f>
        <v>6946</v>
      </c>
      <c r="L11904" s="1">
        <f>VALUE(9252)</f>
        <v>9252</v>
      </c>
      <c r="M11904" s="1">
        <f>VALUE(11627)</f>
        <v>11627</v>
      </c>
      <c r="N11904" t="s">
        <v>16</v>
      </c>
    </row>
    <row r="11905" spans="1:14" x14ac:dyDescent="0.25">
      <c r="A11905" t="s">
        <v>44</v>
      </c>
      <c r="B11905" t="s">
        <v>39</v>
      </c>
      <c r="C11905" t="s">
        <v>37</v>
      </c>
      <c r="D11905" t="s">
        <v>15</v>
      </c>
      <c r="E11905" t="s">
        <v>15</v>
      </c>
      <c r="F11905" t="s">
        <v>19</v>
      </c>
      <c r="G11905" s="1">
        <f>VALUE(4182.36)</f>
        <v>4182.3599999999997</v>
      </c>
      <c r="H11905" s="1">
        <f>VALUE(4111.03)</f>
        <v>4111.03</v>
      </c>
      <c r="I11905" s="1">
        <f>VALUE(4240)</f>
        <v>4240</v>
      </c>
      <c r="J11905" s="1">
        <f>VALUE(5084)</f>
        <v>5084</v>
      </c>
      <c r="K11905" s="1">
        <f>VALUE(6013)</f>
        <v>6013</v>
      </c>
      <c r="L11905" s="1">
        <f>VALUE(7021)</f>
        <v>7021</v>
      </c>
      <c r="M11905" s="1">
        <f>VALUE(8313)</f>
        <v>8313</v>
      </c>
      <c r="N11905" t="s">
        <v>16</v>
      </c>
    </row>
    <row r="11906" spans="1:14" x14ac:dyDescent="0.25">
      <c r="A11906" t="s">
        <v>44</v>
      </c>
      <c r="B11906" t="s">
        <v>39</v>
      </c>
      <c r="C11906" t="s">
        <v>37</v>
      </c>
      <c r="D11906" t="s">
        <v>15</v>
      </c>
      <c r="E11906" t="s">
        <v>15</v>
      </c>
      <c r="F11906" t="s">
        <v>20</v>
      </c>
      <c r="G11906" s="1">
        <f>VALUE(19449.4)</f>
        <v>19449.400000000001</v>
      </c>
      <c r="H11906" s="1">
        <f>VALUE(18408.33)</f>
        <v>18408.330000000002</v>
      </c>
      <c r="I11906" s="1">
        <f>VALUE(3614)</f>
        <v>3614</v>
      </c>
      <c r="J11906" s="1">
        <f>VALUE(4195)</f>
        <v>4195</v>
      </c>
      <c r="K11906" s="1">
        <f>VALUE(5054)</f>
        <v>5054</v>
      </c>
      <c r="L11906" s="1">
        <f>VALUE(6000)</f>
        <v>6000</v>
      </c>
      <c r="M11906" s="1">
        <f>VALUE(7031)</f>
        <v>7031</v>
      </c>
      <c r="N11906" t="s">
        <v>16</v>
      </c>
    </row>
    <row r="11907" spans="1:14" x14ac:dyDescent="0.25">
      <c r="A11907" t="s">
        <v>44</v>
      </c>
      <c r="B11907" t="s">
        <v>39</v>
      </c>
      <c r="C11907" t="s">
        <v>37</v>
      </c>
      <c r="D11907" t="s">
        <v>15</v>
      </c>
      <c r="E11907" t="s">
        <v>21</v>
      </c>
      <c r="F11907" t="s">
        <v>15</v>
      </c>
      <c r="G11907" s="1">
        <f>VALUE(8940.68)</f>
        <v>8940.68</v>
      </c>
      <c r="H11907" s="1">
        <f>VALUE(8580.83)</f>
        <v>8580.83</v>
      </c>
      <c r="I11907" s="1">
        <f>VALUE(5016)</f>
        <v>5016</v>
      </c>
      <c r="J11907" s="1">
        <f>VALUE(6250)</f>
        <v>6250</v>
      </c>
      <c r="K11907" s="1">
        <f>VALUE(8155)</f>
        <v>8155</v>
      </c>
      <c r="L11907" s="1">
        <f>VALUE(10763)</f>
        <v>10763</v>
      </c>
      <c r="M11907" s="1">
        <f>VALUE(14660)</f>
        <v>14660</v>
      </c>
      <c r="N11907" t="s">
        <v>16</v>
      </c>
    </row>
    <row r="11908" spans="1:14" x14ac:dyDescent="0.25">
      <c r="A11908" t="s">
        <v>44</v>
      </c>
      <c r="B11908" t="s">
        <v>39</v>
      </c>
      <c r="C11908" t="s">
        <v>37</v>
      </c>
      <c r="D11908" t="s">
        <v>15</v>
      </c>
      <c r="E11908" t="s">
        <v>21</v>
      </c>
      <c r="F11908" t="s">
        <v>17</v>
      </c>
      <c r="G11908" s="2">
        <f>VALUE(3549.86)</f>
        <v>3549.86</v>
      </c>
      <c r="H11908" s="3">
        <f>VALUE(3456.09)</f>
        <v>3456.09</v>
      </c>
      <c r="I11908" s="4">
        <f>VALUE(6190)</f>
        <v>6190</v>
      </c>
      <c r="J11908" s="1">
        <f>VALUE(8040)</f>
        <v>8040</v>
      </c>
      <c r="K11908" s="1">
        <f>VALUE(10243)</f>
        <v>10243</v>
      </c>
      <c r="L11908" s="1">
        <f>VALUE(13691)</f>
        <v>13691</v>
      </c>
      <c r="M11908" s="1">
        <f>VALUE(18639)</f>
        <v>18639</v>
      </c>
      <c r="N11908" t="s">
        <v>25</v>
      </c>
    </row>
    <row r="11909" spans="1:14" x14ac:dyDescent="0.25">
      <c r="A11909" t="s">
        <v>44</v>
      </c>
      <c r="B11909" t="s">
        <v>39</v>
      </c>
      <c r="C11909" t="s">
        <v>37</v>
      </c>
      <c r="D11909" t="s">
        <v>15</v>
      </c>
      <c r="E11909" t="s">
        <v>21</v>
      </c>
      <c r="F11909" t="s">
        <v>18</v>
      </c>
      <c r="G11909" s="2">
        <f>VALUE(1666.36)</f>
        <v>1666.36</v>
      </c>
      <c r="H11909" s="3">
        <f>VALUE(1604.74)</f>
        <v>1604.74</v>
      </c>
      <c r="I11909" s="1">
        <f>VALUE(5553)</f>
        <v>5553</v>
      </c>
      <c r="J11909" s="1">
        <f>VALUE(6946)</f>
        <v>6946</v>
      </c>
      <c r="K11909" s="1">
        <f>VALUE(8760)</f>
        <v>8760</v>
      </c>
      <c r="L11909" s="1">
        <f>VALUE(10801)</f>
        <v>10801</v>
      </c>
      <c r="M11909" s="1">
        <f>VALUE(13250)</f>
        <v>13250</v>
      </c>
      <c r="N11909" t="s">
        <v>25</v>
      </c>
    </row>
    <row r="11910" spans="1:14" x14ac:dyDescent="0.25">
      <c r="A11910" t="s">
        <v>44</v>
      </c>
      <c r="B11910" t="s">
        <v>39</v>
      </c>
      <c r="C11910" t="s">
        <v>37</v>
      </c>
      <c r="D11910" t="s">
        <v>15</v>
      </c>
      <c r="E11910" t="s">
        <v>21</v>
      </c>
      <c r="F11910" t="s">
        <v>19</v>
      </c>
      <c r="G11910" s="2">
        <f>VALUE(1073.09)</f>
        <v>1073.0899999999999</v>
      </c>
      <c r="H11910" s="3">
        <f>VALUE(1032.52)</f>
        <v>1032.52</v>
      </c>
      <c r="I11910" s="4">
        <f>VALUE(4762)</f>
        <v>4762</v>
      </c>
      <c r="J11910" s="1">
        <f>VALUE(5852)</f>
        <v>5852</v>
      </c>
      <c r="K11910" s="1">
        <f>VALUE(7173)</f>
        <v>7173</v>
      </c>
      <c r="L11910" s="1">
        <f>VALUE(8300)</f>
        <v>8300</v>
      </c>
      <c r="M11910" s="8">
        <f>VALUE(9798)</f>
        <v>9798</v>
      </c>
      <c r="N11910" t="s">
        <v>25</v>
      </c>
    </row>
    <row r="11911" spans="1:14" x14ac:dyDescent="0.25">
      <c r="A11911" t="s">
        <v>44</v>
      </c>
      <c r="B11911" t="s">
        <v>39</v>
      </c>
      <c r="C11911" t="s">
        <v>37</v>
      </c>
      <c r="D11911" t="s">
        <v>15</v>
      </c>
      <c r="E11911" t="s">
        <v>21</v>
      </c>
      <c r="F11911" t="s">
        <v>20</v>
      </c>
      <c r="G11911" s="1">
        <f>VALUE(2651.37)</f>
        <v>2651.37</v>
      </c>
      <c r="H11911" s="1">
        <f>VALUE(2487.48)</f>
        <v>2487.48</v>
      </c>
      <c r="I11911" s="1">
        <f>VALUE(4269)</f>
        <v>4269</v>
      </c>
      <c r="J11911" s="1">
        <f>VALUE(5166)</f>
        <v>5166</v>
      </c>
      <c r="K11911" s="1">
        <f>VALUE(6291)</f>
        <v>6291</v>
      </c>
      <c r="L11911" s="1">
        <f>VALUE(7836)</f>
        <v>7836</v>
      </c>
      <c r="M11911" s="1">
        <f>VALUE(9540)</f>
        <v>9540</v>
      </c>
      <c r="N11911" t="s">
        <v>16</v>
      </c>
    </row>
    <row r="11912" spans="1:14" x14ac:dyDescent="0.25">
      <c r="A11912" t="s">
        <v>44</v>
      </c>
      <c r="B11912" t="s">
        <v>39</v>
      </c>
      <c r="C11912" t="s">
        <v>37</v>
      </c>
      <c r="D11912" t="s">
        <v>15</v>
      </c>
      <c r="E11912" t="s">
        <v>22</v>
      </c>
      <c r="F11912" t="s">
        <v>15</v>
      </c>
      <c r="G11912" s="1">
        <f>VALUE(13173.19)</f>
        <v>13173.19</v>
      </c>
      <c r="H11912" s="1">
        <f>VALUE(12992.63)</f>
        <v>12992.63</v>
      </c>
      <c r="I11912" s="1">
        <f>VALUE(4044)</f>
        <v>4044</v>
      </c>
      <c r="J11912" s="1">
        <f>VALUE(4766)</f>
        <v>4766</v>
      </c>
      <c r="K11912" s="1">
        <f>VALUE(5622)</f>
        <v>5622</v>
      </c>
      <c r="L11912" s="1">
        <f>VALUE(6606)</f>
        <v>6606</v>
      </c>
      <c r="M11912" s="1">
        <f>VALUE(8224)</f>
        <v>8224</v>
      </c>
      <c r="N11912" t="s">
        <v>16</v>
      </c>
    </row>
    <row r="11913" spans="1:14" x14ac:dyDescent="0.25">
      <c r="A11913" t="s">
        <v>44</v>
      </c>
      <c r="B11913" t="s">
        <v>39</v>
      </c>
      <c r="C11913" t="s">
        <v>37</v>
      </c>
      <c r="D11913" t="s">
        <v>15</v>
      </c>
      <c r="E11913" t="s">
        <v>22</v>
      </c>
      <c r="F11913" t="s">
        <v>17</v>
      </c>
      <c r="G11913" s="2">
        <f>VALUE(2132.1)</f>
        <v>2132.1</v>
      </c>
      <c r="H11913" s="3">
        <f>VALUE(2150.55)</f>
        <v>2150.5500000000002</v>
      </c>
      <c r="I11913" s="4">
        <f>VALUE(4489)</f>
        <v>4489</v>
      </c>
      <c r="J11913" s="5">
        <f>VALUE(5363)</f>
        <v>5363</v>
      </c>
      <c r="K11913" s="1">
        <f>VALUE(6896)</f>
        <v>6896</v>
      </c>
      <c r="L11913" s="7">
        <f>VALUE(8806)</f>
        <v>8806</v>
      </c>
      <c r="M11913" s="8">
        <f>VALUE(13365)</f>
        <v>13365</v>
      </c>
      <c r="N11913" t="s">
        <v>25</v>
      </c>
    </row>
    <row r="11914" spans="1:14" x14ac:dyDescent="0.25">
      <c r="A11914" t="s">
        <v>44</v>
      </c>
      <c r="B11914" t="s">
        <v>39</v>
      </c>
      <c r="C11914" t="s">
        <v>37</v>
      </c>
      <c r="D11914" t="s">
        <v>15</v>
      </c>
      <c r="E11914" t="s">
        <v>22</v>
      </c>
      <c r="F11914" t="s">
        <v>18</v>
      </c>
      <c r="G11914" s="2">
        <f>VALUE(1329.51)</f>
        <v>1329.51</v>
      </c>
      <c r="H11914" s="3">
        <f>VALUE(1329.04)</f>
        <v>1329.04</v>
      </c>
      <c r="I11914" s="1">
        <f>VALUE(4849)</f>
        <v>4849</v>
      </c>
      <c r="J11914" s="1">
        <f>VALUE(5461)</f>
        <v>5461</v>
      </c>
      <c r="K11914" s="1">
        <f>VALUE(6321)</f>
        <v>6321</v>
      </c>
      <c r="L11914" s="1">
        <f>VALUE(7816)</f>
        <v>7816</v>
      </c>
      <c r="M11914" s="1">
        <f>VALUE(10166)</f>
        <v>10166</v>
      </c>
      <c r="N11914" t="s">
        <v>25</v>
      </c>
    </row>
    <row r="11915" spans="1:14" x14ac:dyDescent="0.25">
      <c r="A11915" t="s">
        <v>44</v>
      </c>
      <c r="B11915" t="s">
        <v>39</v>
      </c>
      <c r="C11915" t="s">
        <v>37</v>
      </c>
      <c r="D11915" t="s">
        <v>15</v>
      </c>
      <c r="E11915" t="s">
        <v>22</v>
      </c>
      <c r="F11915" t="s">
        <v>19</v>
      </c>
      <c r="G11915" s="2">
        <f>VALUE(2086.26)</f>
        <v>2086.2600000000002</v>
      </c>
      <c r="H11915" s="3">
        <f>VALUE(2053.05)</f>
        <v>2053.0500000000002</v>
      </c>
      <c r="I11915" s="1">
        <f>VALUE(4404)</f>
        <v>4404</v>
      </c>
      <c r="J11915" s="1">
        <f>VALUE(5159)</f>
        <v>5159</v>
      </c>
      <c r="K11915" s="1">
        <f>VALUE(5952)</f>
        <v>5952</v>
      </c>
      <c r="L11915" s="1">
        <f>VALUE(6769)</f>
        <v>6769</v>
      </c>
      <c r="M11915" s="1">
        <f>VALUE(7771)</f>
        <v>7771</v>
      </c>
      <c r="N11915" t="s">
        <v>25</v>
      </c>
    </row>
    <row r="11916" spans="1:14" x14ac:dyDescent="0.25">
      <c r="A11916" t="s">
        <v>44</v>
      </c>
      <c r="B11916" t="s">
        <v>39</v>
      </c>
      <c r="C11916" t="s">
        <v>37</v>
      </c>
      <c r="D11916" t="s">
        <v>15</v>
      </c>
      <c r="E11916" t="s">
        <v>22</v>
      </c>
      <c r="F11916" t="s">
        <v>20</v>
      </c>
      <c r="G11916" s="1">
        <f>VALUE(7625.32)</f>
        <v>7625.32</v>
      </c>
      <c r="H11916" s="1">
        <f>VALUE(7459.99)</f>
        <v>7459.99</v>
      </c>
      <c r="I11916" s="1">
        <f>VALUE(3887)</f>
        <v>3887</v>
      </c>
      <c r="J11916" s="1">
        <f>VALUE(4476)</f>
        <v>4476</v>
      </c>
      <c r="K11916" s="1">
        <f>VALUE(5268)</f>
        <v>5268</v>
      </c>
      <c r="L11916" s="1">
        <f>VALUE(6079)</f>
        <v>6079</v>
      </c>
      <c r="M11916" s="1">
        <f>VALUE(6790)</f>
        <v>6790</v>
      </c>
      <c r="N11916" t="s">
        <v>16</v>
      </c>
    </row>
    <row r="11917" spans="1:14" x14ac:dyDescent="0.25">
      <c r="A11917" t="s">
        <v>44</v>
      </c>
      <c r="B11917" t="s">
        <v>39</v>
      </c>
      <c r="C11917" t="s">
        <v>37</v>
      </c>
      <c r="D11917" t="s">
        <v>15</v>
      </c>
      <c r="E11917" t="s">
        <v>23</v>
      </c>
      <c r="F11917" t="s">
        <v>15</v>
      </c>
      <c r="G11917" s="1">
        <f>VALUE(10717.87)</f>
        <v>10717.87</v>
      </c>
      <c r="H11917" s="1">
        <f>VALUE(9997.46)</f>
        <v>9997.4599999999991</v>
      </c>
      <c r="I11917" s="1">
        <f>VALUE(3466)</f>
        <v>3466</v>
      </c>
      <c r="J11917" s="1">
        <f>VALUE(3949)</f>
        <v>3949</v>
      </c>
      <c r="K11917" s="1">
        <f>VALUE(4708)</f>
        <v>4708</v>
      </c>
      <c r="L11917" s="1">
        <f>VALUE(5650)</f>
        <v>5650</v>
      </c>
      <c r="M11917" s="1">
        <f>VALUE(6366)</f>
        <v>6366</v>
      </c>
      <c r="N11917" t="s">
        <v>16</v>
      </c>
    </row>
    <row r="11918" spans="1:14" x14ac:dyDescent="0.25">
      <c r="A11918" t="s">
        <v>44</v>
      </c>
      <c r="B11918" t="s">
        <v>39</v>
      </c>
      <c r="C11918" t="s">
        <v>37</v>
      </c>
      <c r="D11918" t="s">
        <v>15</v>
      </c>
      <c r="E11918" t="s">
        <v>23</v>
      </c>
      <c r="F11918" t="s">
        <v>17</v>
      </c>
      <c r="G11918" s="1" t="str">
        <f t="shared" ref="G11918:M11918" si="2689">"X"</f>
        <v>X</v>
      </c>
      <c r="H11918" s="1" t="str">
        <f t="shared" si="2689"/>
        <v>X</v>
      </c>
      <c r="I11918" s="1" t="str">
        <f t="shared" si="2689"/>
        <v>X</v>
      </c>
      <c r="J11918" s="1" t="str">
        <f t="shared" si="2689"/>
        <v>X</v>
      </c>
      <c r="K11918" s="1" t="str">
        <f t="shared" si="2689"/>
        <v>X</v>
      </c>
      <c r="L11918" s="1" t="str">
        <f t="shared" si="2689"/>
        <v>X</v>
      </c>
      <c r="M11918" s="1" t="str">
        <f t="shared" si="2689"/>
        <v>X</v>
      </c>
      <c r="N11918" t="s">
        <v>27</v>
      </c>
    </row>
    <row r="11919" spans="1:14" x14ac:dyDescent="0.25">
      <c r="A11919" t="s">
        <v>44</v>
      </c>
      <c r="B11919" t="s">
        <v>39</v>
      </c>
      <c r="C11919" t="s">
        <v>37</v>
      </c>
      <c r="D11919" t="s">
        <v>15</v>
      </c>
      <c r="E11919" t="s">
        <v>23</v>
      </c>
      <c r="F11919" t="s">
        <v>18</v>
      </c>
      <c r="G11919" s="2">
        <f>VALUE(558.93)</f>
        <v>558.92999999999995</v>
      </c>
      <c r="H11919" s="3">
        <f>VALUE(551.1)</f>
        <v>551.1</v>
      </c>
      <c r="I11919" s="4">
        <f>VALUE(3950)</f>
        <v>3950</v>
      </c>
      <c r="J11919" s="5">
        <f>VALUE(4877)</f>
        <v>4877</v>
      </c>
      <c r="K11919" s="6">
        <f>VALUE(5517)</f>
        <v>5517</v>
      </c>
      <c r="L11919" s="1">
        <f>VALUE(5961)</f>
        <v>5961</v>
      </c>
      <c r="M11919" s="1">
        <f>VALUE(6552)</f>
        <v>6552</v>
      </c>
      <c r="N11919" t="s">
        <v>25</v>
      </c>
    </row>
    <row r="11920" spans="1:14" x14ac:dyDescent="0.25">
      <c r="A11920" t="s">
        <v>44</v>
      </c>
      <c r="B11920" t="s">
        <v>39</v>
      </c>
      <c r="C11920" t="s">
        <v>37</v>
      </c>
      <c r="D11920" t="s">
        <v>15</v>
      </c>
      <c r="E11920" t="s">
        <v>23</v>
      </c>
      <c r="F11920" t="s">
        <v>19</v>
      </c>
      <c r="G11920" s="2">
        <f>VALUE(1004.59)</f>
        <v>1004.59</v>
      </c>
      <c r="H11920" s="3">
        <f>VALUE(1006.02)</f>
        <v>1006.02</v>
      </c>
      <c r="I11920" s="4">
        <f>VALUE(3556)</f>
        <v>3556</v>
      </c>
      <c r="J11920" s="5">
        <f>VALUE(4332)</f>
        <v>4332</v>
      </c>
      <c r="K11920" s="6">
        <f>VALUE(5446)</f>
        <v>5446</v>
      </c>
      <c r="L11920" s="1">
        <f>VALUE(6276)</f>
        <v>6276</v>
      </c>
      <c r="M11920" s="8">
        <f>VALUE(7061)</f>
        <v>7061</v>
      </c>
      <c r="N11920" t="s">
        <v>25</v>
      </c>
    </row>
    <row r="11921" spans="1:14" x14ac:dyDescent="0.25">
      <c r="A11921" t="s">
        <v>44</v>
      </c>
      <c r="B11921" t="s">
        <v>39</v>
      </c>
      <c r="C11921" t="s">
        <v>37</v>
      </c>
      <c r="D11921" t="s">
        <v>15</v>
      </c>
      <c r="E11921" t="s">
        <v>23</v>
      </c>
      <c r="F11921" t="s">
        <v>20</v>
      </c>
      <c r="G11921" s="1">
        <f>VALUE(8918.27)</f>
        <v>8918.27</v>
      </c>
      <c r="H11921" s="1">
        <f>VALUE(8215.01)</f>
        <v>8215.01</v>
      </c>
      <c r="I11921" s="1">
        <f>VALUE(3436)</f>
        <v>3436</v>
      </c>
      <c r="J11921" s="1">
        <f>VALUE(3886)</f>
        <v>3886</v>
      </c>
      <c r="K11921" s="1">
        <f>VALUE(4552)</f>
        <v>4552</v>
      </c>
      <c r="L11921" s="1">
        <f>VALUE(5455)</f>
        <v>5455</v>
      </c>
      <c r="M11921" s="1">
        <f>VALUE(6208)</f>
        <v>6208</v>
      </c>
      <c r="N11921" t="s">
        <v>16</v>
      </c>
    </row>
    <row r="11922" spans="1:14" x14ac:dyDescent="0.25">
      <c r="A11922" t="s">
        <v>44</v>
      </c>
      <c r="B11922" t="s">
        <v>39</v>
      </c>
      <c r="C11922" t="s">
        <v>37</v>
      </c>
      <c r="D11922" t="s">
        <v>15</v>
      </c>
      <c r="E11922" t="s">
        <v>26</v>
      </c>
      <c r="F11922" t="s">
        <v>15</v>
      </c>
      <c r="G11922" s="2">
        <f>VALUE(375.5)</f>
        <v>375.5</v>
      </c>
      <c r="H11922" s="3">
        <f>VALUE(352.82)</f>
        <v>352.82</v>
      </c>
      <c r="I11922" s="4">
        <f>VALUE(4224)</f>
        <v>4224</v>
      </c>
      <c r="J11922" s="5">
        <f>VALUE(5301)</f>
        <v>5301</v>
      </c>
      <c r="K11922" s="1">
        <f>VALUE(6239)</f>
        <v>6239</v>
      </c>
      <c r="L11922" s="1">
        <f>VALUE(7763)</f>
        <v>7763</v>
      </c>
      <c r="M11922" s="1">
        <f>VALUE(9634)</f>
        <v>9634</v>
      </c>
      <c r="N11922" t="s">
        <v>25</v>
      </c>
    </row>
    <row r="11923" spans="1:14" x14ac:dyDescent="0.25">
      <c r="A11923" t="s">
        <v>44</v>
      </c>
      <c r="B11923" t="s">
        <v>39</v>
      </c>
      <c r="C11923" t="s">
        <v>37</v>
      </c>
      <c r="D11923" t="s">
        <v>15</v>
      </c>
      <c r="E11923" t="s">
        <v>26</v>
      </c>
      <c r="F11923" t="s">
        <v>17</v>
      </c>
      <c r="G11923" s="1" t="str">
        <f t="shared" ref="G11923:M11925" si="2690">"X"</f>
        <v>X</v>
      </c>
      <c r="H11923" s="1" t="str">
        <f t="shared" si="2690"/>
        <v>X</v>
      </c>
      <c r="I11923" s="1" t="str">
        <f t="shared" si="2690"/>
        <v>X</v>
      </c>
      <c r="J11923" s="1" t="str">
        <f t="shared" si="2690"/>
        <v>X</v>
      </c>
      <c r="K11923" s="1" t="str">
        <f t="shared" si="2690"/>
        <v>X</v>
      </c>
      <c r="L11923" s="1" t="str">
        <f t="shared" si="2690"/>
        <v>X</v>
      </c>
      <c r="M11923" s="1" t="str">
        <f t="shared" si="2690"/>
        <v>X</v>
      </c>
      <c r="N11923" t="s">
        <v>27</v>
      </c>
    </row>
    <row r="11924" spans="1:14" x14ac:dyDescent="0.25">
      <c r="A11924" t="s">
        <v>44</v>
      </c>
      <c r="B11924" t="s">
        <v>39</v>
      </c>
      <c r="C11924" t="s">
        <v>37</v>
      </c>
      <c r="D11924" t="s">
        <v>15</v>
      </c>
      <c r="E11924" t="s">
        <v>26</v>
      </c>
      <c r="F11924" t="s">
        <v>18</v>
      </c>
      <c r="G11924" s="1" t="str">
        <f t="shared" si="2690"/>
        <v>X</v>
      </c>
      <c r="H11924" s="1" t="str">
        <f t="shared" si="2690"/>
        <v>X</v>
      </c>
      <c r="I11924" s="1" t="str">
        <f t="shared" si="2690"/>
        <v>X</v>
      </c>
      <c r="J11924" s="1" t="str">
        <f t="shared" si="2690"/>
        <v>X</v>
      </c>
      <c r="K11924" s="1" t="str">
        <f t="shared" si="2690"/>
        <v>X</v>
      </c>
      <c r="L11924" s="1" t="str">
        <f t="shared" si="2690"/>
        <v>X</v>
      </c>
      <c r="M11924" s="1" t="str">
        <f t="shared" si="2690"/>
        <v>X</v>
      </c>
      <c r="N11924" t="s">
        <v>27</v>
      </c>
    </row>
    <row r="11925" spans="1:14" x14ac:dyDescent="0.25">
      <c r="A11925" t="s">
        <v>44</v>
      </c>
      <c r="B11925" t="s">
        <v>39</v>
      </c>
      <c r="C11925" t="s">
        <v>37</v>
      </c>
      <c r="D11925" t="s">
        <v>15</v>
      </c>
      <c r="E11925" t="s">
        <v>26</v>
      </c>
      <c r="F11925" t="s">
        <v>19</v>
      </c>
      <c r="G11925" s="1" t="str">
        <f t="shared" si="2690"/>
        <v>X</v>
      </c>
      <c r="H11925" s="1" t="str">
        <f t="shared" si="2690"/>
        <v>X</v>
      </c>
      <c r="I11925" s="1" t="str">
        <f t="shared" si="2690"/>
        <v>X</v>
      </c>
      <c r="J11925" s="1" t="str">
        <f t="shared" si="2690"/>
        <v>X</v>
      </c>
      <c r="K11925" s="1" t="str">
        <f t="shared" si="2690"/>
        <v>X</v>
      </c>
      <c r="L11925" s="1" t="str">
        <f t="shared" si="2690"/>
        <v>X</v>
      </c>
      <c r="M11925" s="1" t="str">
        <f t="shared" si="2690"/>
        <v>X</v>
      </c>
      <c r="N11925" t="s">
        <v>27</v>
      </c>
    </row>
    <row r="11926" spans="1:14" x14ac:dyDescent="0.25">
      <c r="A11926" t="s">
        <v>44</v>
      </c>
      <c r="B11926" t="s">
        <v>39</v>
      </c>
      <c r="C11926" t="s">
        <v>37</v>
      </c>
      <c r="D11926" t="s">
        <v>15</v>
      </c>
      <c r="E11926" t="s">
        <v>26</v>
      </c>
      <c r="F11926" t="s">
        <v>20</v>
      </c>
      <c r="G11926" s="2">
        <f>VALUE(254.44)</f>
        <v>254.44</v>
      </c>
      <c r="H11926" s="3">
        <f>VALUE(245.85)</f>
        <v>245.85</v>
      </c>
      <c r="I11926" s="4">
        <f>VALUE(3998)</f>
        <v>3998</v>
      </c>
      <c r="J11926" s="5">
        <f>VALUE(4897)</f>
        <v>4897</v>
      </c>
      <c r="K11926" s="6">
        <f>VALUE(5916)</f>
        <v>5916</v>
      </c>
      <c r="L11926" s="7">
        <f>VALUE(6517)</f>
        <v>6517</v>
      </c>
      <c r="M11926" s="1">
        <f>VALUE(8487)</f>
        <v>8487</v>
      </c>
      <c r="N11926" t="s">
        <v>25</v>
      </c>
    </row>
    <row r="11927" spans="1:14" x14ac:dyDescent="0.25">
      <c r="A11927" t="s">
        <v>44</v>
      </c>
      <c r="B11927" t="s">
        <v>39</v>
      </c>
      <c r="C11927" t="s">
        <v>37</v>
      </c>
      <c r="D11927" t="s">
        <v>28</v>
      </c>
      <c r="E11927" t="s">
        <v>15</v>
      </c>
      <c r="F11927" t="s">
        <v>15</v>
      </c>
      <c r="G11927" s="1">
        <f>VALUE(10091.3)</f>
        <v>10091.299999999999</v>
      </c>
      <c r="H11927" s="1">
        <f>VALUE(9790.94)</f>
        <v>9790.94</v>
      </c>
      <c r="I11927" s="1">
        <f>VALUE(4582)</f>
        <v>4582</v>
      </c>
      <c r="J11927" s="1">
        <f>VALUE(5467)</f>
        <v>5467</v>
      </c>
      <c r="K11927" s="1">
        <f>VALUE(6574)</f>
        <v>6574</v>
      </c>
      <c r="L11927" s="1">
        <f>VALUE(8824)</f>
        <v>8824</v>
      </c>
      <c r="M11927" s="1">
        <f>VALUE(12204)</f>
        <v>12204</v>
      </c>
      <c r="N11927" t="s">
        <v>16</v>
      </c>
    </row>
    <row r="11928" spans="1:14" x14ac:dyDescent="0.25">
      <c r="A11928" t="s">
        <v>44</v>
      </c>
      <c r="B11928" t="s">
        <v>39</v>
      </c>
      <c r="C11928" t="s">
        <v>37</v>
      </c>
      <c r="D11928" t="s">
        <v>28</v>
      </c>
      <c r="E11928" t="s">
        <v>15</v>
      </c>
      <c r="F11928" t="s">
        <v>17</v>
      </c>
      <c r="G11928" s="2">
        <f>VALUE(3255.18)</f>
        <v>3255.18</v>
      </c>
      <c r="H11928" s="3">
        <f>VALUE(3227.69)</f>
        <v>3227.69</v>
      </c>
      <c r="I11928" s="4">
        <f>VALUE(5176)</f>
        <v>5176</v>
      </c>
      <c r="J11928" s="1">
        <f>VALUE(6529)</f>
        <v>6529</v>
      </c>
      <c r="K11928" s="1">
        <f>VALUE(8722)</f>
        <v>8722</v>
      </c>
      <c r="L11928" s="7">
        <f>VALUE(12166)</f>
        <v>12166</v>
      </c>
      <c r="M11928" s="1">
        <f>VALUE(16330)</f>
        <v>16330</v>
      </c>
      <c r="N11928" t="s">
        <v>25</v>
      </c>
    </row>
    <row r="11929" spans="1:14" x14ac:dyDescent="0.25">
      <c r="A11929" t="s">
        <v>44</v>
      </c>
      <c r="B11929" t="s">
        <v>39</v>
      </c>
      <c r="C11929" t="s">
        <v>37</v>
      </c>
      <c r="D11929" t="s">
        <v>28</v>
      </c>
      <c r="E11929" t="s">
        <v>15</v>
      </c>
      <c r="F11929" t="s">
        <v>18</v>
      </c>
      <c r="G11929" s="2">
        <f>VALUE(1364.7)</f>
        <v>1364.7</v>
      </c>
      <c r="H11929" s="3">
        <f>VALUE(1318.95)</f>
        <v>1318.95</v>
      </c>
      <c r="I11929" s="1">
        <f>VALUE(5632)</f>
        <v>5632</v>
      </c>
      <c r="J11929" s="1">
        <f>VALUE(6375)</f>
        <v>6375</v>
      </c>
      <c r="K11929" s="1">
        <f>VALUE(7678)</f>
        <v>7678</v>
      </c>
      <c r="L11929" s="1">
        <f>VALUE(10340)</f>
        <v>10340</v>
      </c>
      <c r="M11929" s="1">
        <f>VALUE(12324)</f>
        <v>12324</v>
      </c>
      <c r="N11929" t="s">
        <v>25</v>
      </c>
    </row>
    <row r="11930" spans="1:14" x14ac:dyDescent="0.25">
      <c r="A11930" t="s">
        <v>44</v>
      </c>
      <c r="B11930" t="s">
        <v>39</v>
      </c>
      <c r="C11930" t="s">
        <v>37</v>
      </c>
      <c r="D11930" t="s">
        <v>28</v>
      </c>
      <c r="E11930" t="s">
        <v>15</v>
      </c>
      <c r="F11930" t="s">
        <v>19</v>
      </c>
      <c r="G11930" s="2">
        <f>VALUE(1317.13)</f>
        <v>1317.13</v>
      </c>
      <c r="H11930" s="3">
        <f>VALUE(1301.04)</f>
        <v>1301.04</v>
      </c>
      <c r="I11930" s="4">
        <f>VALUE(4789)</f>
        <v>4789</v>
      </c>
      <c r="J11930" s="1">
        <f>VALUE(5719)</f>
        <v>5719</v>
      </c>
      <c r="K11930" s="1">
        <f>VALUE(6260)</f>
        <v>6260</v>
      </c>
      <c r="L11930" s="1">
        <f>VALUE(7441)</f>
        <v>7441</v>
      </c>
      <c r="M11930" s="1">
        <f>VALUE(8781)</f>
        <v>8781</v>
      </c>
      <c r="N11930" t="s">
        <v>25</v>
      </c>
    </row>
    <row r="11931" spans="1:14" x14ac:dyDescent="0.25">
      <c r="A11931" t="s">
        <v>44</v>
      </c>
      <c r="B11931" t="s">
        <v>39</v>
      </c>
      <c r="C11931" t="s">
        <v>37</v>
      </c>
      <c r="D11931" t="s">
        <v>28</v>
      </c>
      <c r="E11931" t="s">
        <v>15</v>
      </c>
      <c r="F11931" t="s">
        <v>20</v>
      </c>
      <c r="G11931" s="1">
        <f>VALUE(4154.29)</f>
        <v>4154.29</v>
      </c>
      <c r="H11931" s="1">
        <f>VALUE(3943.26)</f>
        <v>3943.26</v>
      </c>
      <c r="I11931" s="1">
        <f>VALUE(4111)</f>
        <v>4111</v>
      </c>
      <c r="J11931" s="1">
        <f>VALUE(4970)</f>
        <v>4970</v>
      </c>
      <c r="K11931" s="1">
        <f>VALUE(5769)</f>
        <v>5769</v>
      </c>
      <c r="L11931" s="1">
        <f>VALUE(6577)</f>
        <v>6577</v>
      </c>
      <c r="M11931" s="1">
        <f>VALUE(7825)</f>
        <v>7825</v>
      </c>
      <c r="N11931" t="s">
        <v>16</v>
      </c>
    </row>
    <row r="11932" spans="1:14" x14ac:dyDescent="0.25">
      <c r="A11932" t="s">
        <v>44</v>
      </c>
      <c r="B11932" t="s">
        <v>39</v>
      </c>
      <c r="C11932" t="s">
        <v>37</v>
      </c>
      <c r="D11932" t="s">
        <v>28</v>
      </c>
      <c r="E11932" t="s">
        <v>21</v>
      </c>
      <c r="F11932" t="s">
        <v>15</v>
      </c>
      <c r="G11932" s="1">
        <f>VALUE(3541.13)</f>
        <v>3541.13</v>
      </c>
      <c r="H11932" s="1">
        <f>VALUE(3419.12)</f>
        <v>3419.12</v>
      </c>
      <c r="I11932" s="1">
        <f>VALUE(5974)</f>
        <v>5974</v>
      </c>
      <c r="J11932" s="1">
        <f>VALUE(7241)</f>
        <v>7241</v>
      </c>
      <c r="K11932" s="1">
        <f>VALUE(8976)</f>
        <v>8976</v>
      </c>
      <c r="L11932" s="1">
        <f>VALUE(11405)</f>
        <v>11405</v>
      </c>
      <c r="M11932" s="1">
        <f>VALUE(15330)</f>
        <v>15330</v>
      </c>
      <c r="N11932" t="s">
        <v>16</v>
      </c>
    </row>
    <row r="11933" spans="1:14" x14ac:dyDescent="0.25">
      <c r="A11933" t="s">
        <v>44</v>
      </c>
      <c r="B11933" t="s">
        <v>39</v>
      </c>
      <c r="C11933" t="s">
        <v>37</v>
      </c>
      <c r="D11933" t="s">
        <v>28</v>
      </c>
      <c r="E11933" t="s">
        <v>21</v>
      </c>
      <c r="F11933" t="s">
        <v>17</v>
      </c>
      <c r="G11933" s="2">
        <f>VALUE(1780.59)</f>
        <v>1780.59</v>
      </c>
      <c r="H11933" s="3">
        <f>VALUE(1759.61)</f>
        <v>1759.61</v>
      </c>
      <c r="I11933" s="4">
        <f>VALUE(6320)</f>
        <v>6320</v>
      </c>
      <c r="J11933" s="1">
        <f>VALUE(8132)</f>
        <v>8132</v>
      </c>
      <c r="K11933" s="1">
        <f>VALUE(10290)</f>
        <v>10290</v>
      </c>
      <c r="L11933" s="1">
        <f>VALUE(13859)</f>
        <v>13859</v>
      </c>
      <c r="M11933" s="1">
        <f>VALUE(18425)</f>
        <v>18425</v>
      </c>
      <c r="N11933" t="s">
        <v>25</v>
      </c>
    </row>
    <row r="11934" spans="1:14" x14ac:dyDescent="0.25">
      <c r="A11934" t="s">
        <v>44</v>
      </c>
      <c r="B11934" t="s">
        <v>39</v>
      </c>
      <c r="C11934" t="s">
        <v>37</v>
      </c>
      <c r="D11934" t="s">
        <v>28</v>
      </c>
      <c r="E11934" t="s">
        <v>21</v>
      </c>
      <c r="F11934" t="s">
        <v>18</v>
      </c>
      <c r="G11934" s="2">
        <f>VALUE(698.26)</f>
        <v>698.26</v>
      </c>
      <c r="H11934" s="3">
        <f>VALUE(661.39)</f>
        <v>661.39</v>
      </c>
      <c r="I11934" s="1">
        <f>VALUE(6585)</f>
        <v>6585</v>
      </c>
      <c r="J11934" s="1">
        <f>VALUE(7264)</f>
        <v>7264</v>
      </c>
      <c r="K11934" s="1">
        <f>VALUE(9172)</f>
        <v>9172</v>
      </c>
      <c r="L11934" s="1">
        <f>VALUE(11013)</f>
        <v>11013</v>
      </c>
      <c r="M11934" s="1">
        <f>VALUE(12556)</f>
        <v>12556</v>
      </c>
      <c r="N11934" t="s">
        <v>25</v>
      </c>
    </row>
    <row r="11935" spans="1:14" x14ac:dyDescent="0.25">
      <c r="A11935" t="s">
        <v>44</v>
      </c>
      <c r="B11935" t="s">
        <v>39</v>
      </c>
      <c r="C11935" t="s">
        <v>37</v>
      </c>
      <c r="D11935" t="s">
        <v>28</v>
      </c>
      <c r="E11935" t="s">
        <v>21</v>
      </c>
      <c r="F11935" t="s">
        <v>19</v>
      </c>
      <c r="G11935" s="2">
        <f>VALUE(386.58)</f>
        <v>386.58</v>
      </c>
      <c r="H11935" s="3">
        <f>VALUE(367.43)</f>
        <v>367.43</v>
      </c>
      <c r="I11935" s="1">
        <f>VALUE(5570)</f>
        <v>5570</v>
      </c>
      <c r="J11935" s="5">
        <f>VALUE(6256)</f>
        <v>6256</v>
      </c>
      <c r="K11935" s="1">
        <f>VALUE(7726)</f>
        <v>7726</v>
      </c>
      <c r="L11935" s="1">
        <f>VALUE(8747)</f>
        <v>8747</v>
      </c>
      <c r="M11935" s="1">
        <f>VALUE(9918)</f>
        <v>9918</v>
      </c>
      <c r="N11935" t="s">
        <v>25</v>
      </c>
    </row>
    <row r="11936" spans="1:14" x14ac:dyDescent="0.25">
      <c r="A11936" t="s">
        <v>44</v>
      </c>
      <c r="B11936" t="s">
        <v>39</v>
      </c>
      <c r="C11936" t="s">
        <v>37</v>
      </c>
      <c r="D11936" t="s">
        <v>28</v>
      </c>
      <c r="E11936" t="s">
        <v>21</v>
      </c>
      <c r="F11936" t="s">
        <v>20</v>
      </c>
      <c r="G11936" s="2">
        <f>VALUE(675.7)</f>
        <v>675.7</v>
      </c>
      <c r="H11936" s="3">
        <f>VALUE(630.69)</f>
        <v>630.69000000000005</v>
      </c>
      <c r="I11936" s="1">
        <f>VALUE(5460)</f>
        <v>5460</v>
      </c>
      <c r="J11936" s="1">
        <f>VALUE(6023)</f>
        <v>6023</v>
      </c>
      <c r="K11936" s="1">
        <f>VALUE(7411)</f>
        <v>7411</v>
      </c>
      <c r="L11936" s="7">
        <f>VALUE(8665)</f>
        <v>8665</v>
      </c>
      <c r="M11936" s="1">
        <f>VALUE(10392)</f>
        <v>10392</v>
      </c>
      <c r="N11936" t="s">
        <v>25</v>
      </c>
    </row>
    <row r="11937" spans="1:14" x14ac:dyDescent="0.25">
      <c r="A11937" t="s">
        <v>44</v>
      </c>
      <c r="B11937" t="s">
        <v>39</v>
      </c>
      <c r="C11937" t="s">
        <v>37</v>
      </c>
      <c r="D11937" t="s">
        <v>28</v>
      </c>
      <c r="E11937" t="s">
        <v>22</v>
      </c>
      <c r="F11937" t="s">
        <v>15</v>
      </c>
      <c r="G11937" s="1">
        <f>VALUE(5485.49)</f>
        <v>5485.49</v>
      </c>
      <c r="H11937" s="1">
        <f>VALUE(5386.17)</f>
        <v>5386.17</v>
      </c>
      <c r="I11937" s="1">
        <f>VALUE(4497)</f>
        <v>4497</v>
      </c>
      <c r="J11937" s="1">
        <f>VALUE(5283)</f>
        <v>5283</v>
      </c>
      <c r="K11937" s="1">
        <f>VALUE(6076)</f>
        <v>6076</v>
      </c>
      <c r="L11937" s="1">
        <f>VALUE(7120)</f>
        <v>7120</v>
      </c>
      <c r="M11937" s="8">
        <f>VALUE(9277)</f>
        <v>9277</v>
      </c>
      <c r="N11937" t="s">
        <v>25</v>
      </c>
    </row>
    <row r="11938" spans="1:14" x14ac:dyDescent="0.25">
      <c r="A11938" t="s">
        <v>44</v>
      </c>
      <c r="B11938" t="s">
        <v>39</v>
      </c>
      <c r="C11938" t="s">
        <v>37</v>
      </c>
      <c r="D11938" t="s">
        <v>28</v>
      </c>
      <c r="E11938" t="s">
        <v>22</v>
      </c>
      <c r="F11938" t="s">
        <v>17</v>
      </c>
      <c r="G11938" s="2">
        <f>VALUE(1314.16)</f>
        <v>1314.16</v>
      </c>
      <c r="H11938" s="3">
        <f>VALUE(1319.19)</f>
        <v>1319.19</v>
      </c>
      <c r="I11938" s="4">
        <f>VALUE(4489)</f>
        <v>4489</v>
      </c>
      <c r="J11938" s="5">
        <f>VALUE(5755)</f>
        <v>5755</v>
      </c>
      <c r="K11938" s="6">
        <f>VALUE(7000)</f>
        <v>7000</v>
      </c>
      <c r="L11938" s="7">
        <f>VALUE(9565)</f>
        <v>9565</v>
      </c>
      <c r="M11938" s="1">
        <f>VALUE(13788)</f>
        <v>13788</v>
      </c>
      <c r="N11938" t="s">
        <v>25</v>
      </c>
    </row>
    <row r="11939" spans="1:14" x14ac:dyDescent="0.25">
      <c r="A11939" t="s">
        <v>44</v>
      </c>
      <c r="B11939" t="s">
        <v>39</v>
      </c>
      <c r="C11939" t="s">
        <v>37</v>
      </c>
      <c r="D11939" t="s">
        <v>28</v>
      </c>
      <c r="E11939" t="s">
        <v>22</v>
      </c>
      <c r="F11939" t="s">
        <v>18</v>
      </c>
      <c r="G11939" s="2">
        <f>VALUE(629.99)</f>
        <v>629.99</v>
      </c>
      <c r="H11939" s="3">
        <f>VALUE(620.07)</f>
        <v>620.07000000000005</v>
      </c>
      <c r="I11939" s="1">
        <f>VALUE(5212)</f>
        <v>5212</v>
      </c>
      <c r="J11939" s="1">
        <f>VALUE(5795)</f>
        <v>5795</v>
      </c>
      <c r="K11939" s="1">
        <f>VALUE(6718)</f>
        <v>6718</v>
      </c>
      <c r="L11939" s="1">
        <f>VALUE(8413)</f>
        <v>8413</v>
      </c>
      <c r="M11939" s="1">
        <f>VALUE(11044)</f>
        <v>11044</v>
      </c>
      <c r="N11939" t="s">
        <v>25</v>
      </c>
    </row>
    <row r="11940" spans="1:14" x14ac:dyDescent="0.25">
      <c r="A11940" t="s">
        <v>44</v>
      </c>
      <c r="B11940" t="s">
        <v>39</v>
      </c>
      <c r="C11940" t="s">
        <v>37</v>
      </c>
      <c r="D11940" t="s">
        <v>28</v>
      </c>
      <c r="E11940" t="s">
        <v>22</v>
      </c>
      <c r="F11940" t="s">
        <v>19</v>
      </c>
      <c r="G11940" s="2">
        <f>VALUE(805.82)</f>
        <v>805.82</v>
      </c>
      <c r="H11940" s="3">
        <f>VALUE(806.33)</f>
        <v>806.33</v>
      </c>
      <c r="I11940" s="1">
        <f>VALUE(4789)</f>
        <v>4789</v>
      </c>
      <c r="J11940" s="1">
        <f>VALUE(5673)</f>
        <v>5673</v>
      </c>
      <c r="K11940" s="1">
        <f>VALUE(6186)</f>
        <v>6186</v>
      </c>
      <c r="L11940" s="1">
        <f>VALUE(6844)</f>
        <v>6844</v>
      </c>
      <c r="M11940" s="1">
        <f>VALUE(7886)</f>
        <v>7886</v>
      </c>
      <c r="N11940" t="s">
        <v>25</v>
      </c>
    </row>
    <row r="11941" spans="1:14" x14ac:dyDescent="0.25">
      <c r="A11941" t="s">
        <v>44</v>
      </c>
      <c r="B11941" t="s">
        <v>39</v>
      </c>
      <c r="C11941" t="s">
        <v>37</v>
      </c>
      <c r="D11941" t="s">
        <v>28</v>
      </c>
      <c r="E11941" t="s">
        <v>22</v>
      </c>
      <c r="F11941" t="s">
        <v>20</v>
      </c>
      <c r="G11941" s="2">
        <f>VALUE(2735.52)</f>
        <v>2735.52</v>
      </c>
      <c r="H11941" s="1">
        <f>VALUE(2640.58)</f>
        <v>2640.58</v>
      </c>
      <c r="I11941" s="1">
        <f>VALUE(4231)</f>
        <v>4231</v>
      </c>
      <c r="J11941" s="1">
        <f>VALUE(5030)</f>
        <v>5030</v>
      </c>
      <c r="K11941" s="1">
        <f>VALUE(5685)</f>
        <v>5685</v>
      </c>
      <c r="L11941" s="1">
        <f>VALUE(6317)</f>
        <v>6317</v>
      </c>
      <c r="M11941" s="1">
        <f>VALUE(7151)</f>
        <v>7151</v>
      </c>
      <c r="N11941" t="s">
        <v>25</v>
      </c>
    </row>
    <row r="11942" spans="1:14" x14ac:dyDescent="0.25">
      <c r="A11942" t="s">
        <v>44</v>
      </c>
      <c r="B11942" t="s">
        <v>39</v>
      </c>
      <c r="C11942" t="s">
        <v>37</v>
      </c>
      <c r="D11942" t="s">
        <v>28</v>
      </c>
      <c r="E11942" t="s">
        <v>23</v>
      </c>
      <c r="F11942" t="s">
        <v>15</v>
      </c>
      <c r="G11942" s="2">
        <f>VALUE(937.12)</f>
        <v>937.12</v>
      </c>
      <c r="H11942" s="3">
        <f>VALUE(881.15)</f>
        <v>881.15</v>
      </c>
      <c r="I11942" s="1">
        <f>VALUE(3800)</f>
        <v>3800</v>
      </c>
      <c r="J11942" s="1">
        <f>VALUE(4271)</f>
        <v>4271</v>
      </c>
      <c r="K11942" s="1">
        <f>VALUE(5159)</f>
        <v>5159</v>
      </c>
      <c r="L11942" s="1">
        <f>VALUE(5977)</f>
        <v>5977</v>
      </c>
      <c r="M11942" s="8">
        <f>VALUE(6490)</f>
        <v>6490</v>
      </c>
      <c r="N11942" t="s">
        <v>25</v>
      </c>
    </row>
    <row r="11943" spans="1:14" x14ac:dyDescent="0.25">
      <c r="A11943" t="s">
        <v>44</v>
      </c>
      <c r="B11943" t="s">
        <v>39</v>
      </c>
      <c r="C11943" t="s">
        <v>37</v>
      </c>
      <c r="D11943" t="s">
        <v>28</v>
      </c>
      <c r="E11943" t="s">
        <v>23</v>
      </c>
      <c r="F11943" t="s">
        <v>17</v>
      </c>
      <c r="G11943" s="1" t="str">
        <f t="shared" ref="G11943:M11945" si="2691">"X"</f>
        <v>X</v>
      </c>
      <c r="H11943" s="1" t="str">
        <f t="shared" si="2691"/>
        <v>X</v>
      </c>
      <c r="I11943" s="1" t="str">
        <f t="shared" si="2691"/>
        <v>X</v>
      </c>
      <c r="J11943" s="1" t="str">
        <f t="shared" si="2691"/>
        <v>X</v>
      </c>
      <c r="K11943" s="1" t="str">
        <f t="shared" si="2691"/>
        <v>X</v>
      </c>
      <c r="L11943" s="1" t="str">
        <f t="shared" si="2691"/>
        <v>X</v>
      </c>
      <c r="M11943" s="1" t="str">
        <f t="shared" si="2691"/>
        <v>X</v>
      </c>
      <c r="N11943" t="s">
        <v>27</v>
      </c>
    </row>
    <row r="11944" spans="1:14" x14ac:dyDescent="0.25">
      <c r="A11944" t="s">
        <v>44</v>
      </c>
      <c r="B11944" t="s">
        <v>39</v>
      </c>
      <c r="C11944" t="s">
        <v>37</v>
      </c>
      <c r="D11944" t="s">
        <v>28</v>
      </c>
      <c r="E11944" t="s">
        <v>23</v>
      </c>
      <c r="F11944" t="s">
        <v>18</v>
      </c>
      <c r="G11944" s="1" t="str">
        <f t="shared" si="2691"/>
        <v>X</v>
      </c>
      <c r="H11944" s="1" t="str">
        <f t="shared" si="2691"/>
        <v>X</v>
      </c>
      <c r="I11944" s="1" t="str">
        <f t="shared" si="2691"/>
        <v>X</v>
      </c>
      <c r="J11944" s="1" t="str">
        <f t="shared" si="2691"/>
        <v>X</v>
      </c>
      <c r="K11944" s="1" t="str">
        <f t="shared" si="2691"/>
        <v>X</v>
      </c>
      <c r="L11944" s="1" t="str">
        <f t="shared" si="2691"/>
        <v>X</v>
      </c>
      <c r="M11944" s="1" t="str">
        <f t="shared" si="2691"/>
        <v>X</v>
      </c>
      <c r="N11944" t="s">
        <v>27</v>
      </c>
    </row>
    <row r="11945" spans="1:14" x14ac:dyDescent="0.25">
      <c r="A11945" t="s">
        <v>44</v>
      </c>
      <c r="B11945" t="s">
        <v>39</v>
      </c>
      <c r="C11945" t="s">
        <v>37</v>
      </c>
      <c r="D11945" t="s">
        <v>28</v>
      </c>
      <c r="E11945" t="s">
        <v>23</v>
      </c>
      <c r="F11945" t="s">
        <v>19</v>
      </c>
      <c r="G11945" s="1" t="str">
        <f t="shared" si="2691"/>
        <v>X</v>
      </c>
      <c r="H11945" s="1" t="str">
        <f t="shared" si="2691"/>
        <v>X</v>
      </c>
      <c r="I11945" s="1" t="str">
        <f t="shared" si="2691"/>
        <v>X</v>
      </c>
      <c r="J11945" s="1" t="str">
        <f t="shared" si="2691"/>
        <v>X</v>
      </c>
      <c r="K11945" s="1" t="str">
        <f t="shared" si="2691"/>
        <v>X</v>
      </c>
      <c r="L11945" s="1" t="str">
        <f t="shared" si="2691"/>
        <v>X</v>
      </c>
      <c r="M11945" s="1" t="str">
        <f t="shared" si="2691"/>
        <v>X</v>
      </c>
      <c r="N11945" t="s">
        <v>27</v>
      </c>
    </row>
    <row r="11946" spans="1:14" x14ac:dyDescent="0.25">
      <c r="A11946" t="s">
        <v>44</v>
      </c>
      <c r="B11946" t="s">
        <v>39</v>
      </c>
      <c r="C11946" t="s">
        <v>37</v>
      </c>
      <c r="D11946" t="s">
        <v>28</v>
      </c>
      <c r="E11946" t="s">
        <v>23</v>
      </c>
      <c r="F11946" t="s">
        <v>20</v>
      </c>
      <c r="G11946" s="2">
        <f>VALUE(668.89)</f>
        <v>668.89</v>
      </c>
      <c r="H11946" s="3">
        <f>VALUE(605.82)</f>
        <v>605.82000000000005</v>
      </c>
      <c r="I11946" s="1">
        <f>VALUE(3800)</f>
        <v>3800</v>
      </c>
      <c r="J11946" s="1">
        <f>VALUE(4178)</f>
        <v>4178</v>
      </c>
      <c r="K11946" s="1">
        <f>VALUE(4895)</f>
        <v>4895</v>
      </c>
      <c r="L11946" s="7">
        <f>VALUE(5618)</f>
        <v>5618</v>
      </c>
      <c r="M11946" s="8">
        <f>VALUE(6488)</f>
        <v>6488</v>
      </c>
      <c r="N11946" t="s">
        <v>25</v>
      </c>
    </row>
    <row r="11947" spans="1:14" x14ac:dyDescent="0.25">
      <c r="A11947" t="s">
        <v>44</v>
      </c>
      <c r="B11947" t="s">
        <v>39</v>
      </c>
      <c r="C11947" t="s">
        <v>37</v>
      </c>
      <c r="D11947" t="s">
        <v>28</v>
      </c>
      <c r="E11947" t="s">
        <v>26</v>
      </c>
      <c r="F11947" t="s">
        <v>15</v>
      </c>
      <c r="G11947" s="1" t="str">
        <f t="shared" ref="G11947:M11951" si="2692">"X"</f>
        <v>X</v>
      </c>
      <c r="H11947" s="1" t="str">
        <f t="shared" si="2692"/>
        <v>X</v>
      </c>
      <c r="I11947" s="1" t="str">
        <f t="shared" si="2692"/>
        <v>X</v>
      </c>
      <c r="J11947" s="1" t="str">
        <f t="shared" si="2692"/>
        <v>X</v>
      </c>
      <c r="K11947" s="1" t="str">
        <f t="shared" si="2692"/>
        <v>X</v>
      </c>
      <c r="L11947" s="1" t="str">
        <f t="shared" si="2692"/>
        <v>X</v>
      </c>
      <c r="M11947" s="1" t="str">
        <f t="shared" si="2692"/>
        <v>X</v>
      </c>
      <c r="N11947" t="s">
        <v>27</v>
      </c>
    </row>
    <row r="11948" spans="1:14" x14ac:dyDescent="0.25">
      <c r="A11948" t="s">
        <v>44</v>
      </c>
      <c r="B11948" t="s">
        <v>39</v>
      </c>
      <c r="C11948" t="s">
        <v>37</v>
      </c>
      <c r="D11948" t="s">
        <v>28</v>
      </c>
      <c r="E11948" t="s">
        <v>26</v>
      </c>
      <c r="F11948" t="s">
        <v>17</v>
      </c>
      <c r="G11948" s="1" t="str">
        <f t="shared" si="2692"/>
        <v>X</v>
      </c>
      <c r="H11948" s="1" t="str">
        <f t="shared" si="2692"/>
        <v>X</v>
      </c>
      <c r="I11948" s="1" t="str">
        <f t="shared" si="2692"/>
        <v>X</v>
      </c>
      <c r="J11948" s="1" t="str">
        <f t="shared" si="2692"/>
        <v>X</v>
      </c>
      <c r="K11948" s="1" t="str">
        <f t="shared" si="2692"/>
        <v>X</v>
      </c>
      <c r="L11948" s="1" t="str">
        <f t="shared" si="2692"/>
        <v>X</v>
      </c>
      <c r="M11948" s="1" t="str">
        <f t="shared" si="2692"/>
        <v>X</v>
      </c>
      <c r="N11948" t="s">
        <v>27</v>
      </c>
    </row>
    <row r="11949" spans="1:14" x14ac:dyDescent="0.25">
      <c r="A11949" t="s">
        <v>44</v>
      </c>
      <c r="B11949" t="s">
        <v>39</v>
      </c>
      <c r="C11949" t="s">
        <v>37</v>
      </c>
      <c r="D11949" t="s">
        <v>28</v>
      </c>
      <c r="E11949" t="s">
        <v>26</v>
      </c>
      <c r="F11949" t="s">
        <v>18</v>
      </c>
      <c r="G11949" s="1" t="str">
        <f t="shared" si="2692"/>
        <v>X</v>
      </c>
      <c r="H11949" s="1" t="str">
        <f t="shared" si="2692"/>
        <v>X</v>
      </c>
      <c r="I11949" s="1" t="str">
        <f t="shared" si="2692"/>
        <v>X</v>
      </c>
      <c r="J11949" s="1" t="str">
        <f t="shared" si="2692"/>
        <v>X</v>
      </c>
      <c r="K11949" s="1" t="str">
        <f t="shared" si="2692"/>
        <v>X</v>
      </c>
      <c r="L11949" s="1" t="str">
        <f t="shared" si="2692"/>
        <v>X</v>
      </c>
      <c r="M11949" s="1" t="str">
        <f t="shared" si="2692"/>
        <v>X</v>
      </c>
      <c r="N11949" t="s">
        <v>27</v>
      </c>
    </row>
    <row r="11950" spans="1:14" x14ac:dyDescent="0.25">
      <c r="A11950" t="s">
        <v>44</v>
      </c>
      <c r="B11950" t="s">
        <v>39</v>
      </c>
      <c r="C11950" t="s">
        <v>37</v>
      </c>
      <c r="D11950" t="s">
        <v>28</v>
      </c>
      <c r="E11950" t="s">
        <v>26</v>
      </c>
      <c r="F11950" t="s">
        <v>19</v>
      </c>
      <c r="G11950" s="1" t="str">
        <f t="shared" si="2692"/>
        <v>X</v>
      </c>
      <c r="H11950" s="1" t="str">
        <f t="shared" si="2692"/>
        <v>X</v>
      </c>
      <c r="I11950" s="1" t="str">
        <f t="shared" si="2692"/>
        <v>X</v>
      </c>
      <c r="J11950" s="1" t="str">
        <f t="shared" si="2692"/>
        <v>X</v>
      </c>
      <c r="K11950" s="1" t="str">
        <f t="shared" si="2692"/>
        <v>X</v>
      </c>
      <c r="L11950" s="1" t="str">
        <f t="shared" si="2692"/>
        <v>X</v>
      </c>
      <c r="M11950" s="1" t="str">
        <f t="shared" si="2692"/>
        <v>X</v>
      </c>
      <c r="N11950" t="s">
        <v>27</v>
      </c>
    </row>
    <row r="11951" spans="1:14" x14ac:dyDescent="0.25">
      <c r="A11951" t="s">
        <v>44</v>
      </c>
      <c r="B11951" t="s">
        <v>39</v>
      </c>
      <c r="C11951" t="s">
        <v>37</v>
      </c>
      <c r="D11951" t="s">
        <v>28</v>
      </c>
      <c r="E11951" t="s">
        <v>26</v>
      </c>
      <c r="F11951" t="s">
        <v>20</v>
      </c>
      <c r="G11951" s="1" t="str">
        <f t="shared" si="2692"/>
        <v>X</v>
      </c>
      <c r="H11951" s="1" t="str">
        <f t="shared" si="2692"/>
        <v>X</v>
      </c>
      <c r="I11951" s="1" t="str">
        <f t="shared" si="2692"/>
        <v>X</v>
      </c>
      <c r="J11951" s="1" t="str">
        <f t="shared" si="2692"/>
        <v>X</v>
      </c>
      <c r="K11951" s="1" t="str">
        <f t="shared" si="2692"/>
        <v>X</v>
      </c>
      <c r="L11951" s="1" t="str">
        <f t="shared" si="2692"/>
        <v>X</v>
      </c>
      <c r="M11951" s="1" t="str">
        <f t="shared" si="2692"/>
        <v>X</v>
      </c>
      <c r="N11951" t="s">
        <v>27</v>
      </c>
    </row>
    <row r="11952" spans="1:14" x14ac:dyDescent="0.25">
      <c r="A11952" t="s">
        <v>44</v>
      </c>
      <c r="B11952" t="s">
        <v>39</v>
      </c>
      <c r="C11952" t="s">
        <v>37</v>
      </c>
      <c r="D11952" t="s">
        <v>29</v>
      </c>
      <c r="E11952" t="s">
        <v>15</v>
      </c>
      <c r="F11952" t="s">
        <v>15</v>
      </c>
      <c r="G11952" s="2">
        <f>VALUE(4661.65)</f>
        <v>4661.6499999999996</v>
      </c>
      <c r="H11952" s="3">
        <f>VALUE(4581.25)</f>
        <v>4581.25</v>
      </c>
      <c r="I11952" s="1">
        <f>VALUE(3900)</f>
        <v>3900</v>
      </c>
      <c r="J11952" s="1">
        <f>VALUE(4766)</f>
        <v>4766</v>
      </c>
      <c r="K11952" s="1">
        <f>VALUE(5874)</f>
        <v>5874</v>
      </c>
      <c r="L11952" s="7">
        <f>VALUE(7811)</f>
        <v>7811</v>
      </c>
      <c r="M11952" s="1">
        <f>VALUE(11158)</f>
        <v>11158</v>
      </c>
      <c r="N11952" t="s">
        <v>25</v>
      </c>
    </row>
    <row r="11953" spans="1:14" x14ac:dyDescent="0.25">
      <c r="A11953" t="s">
        <v>44</v>
      </c>
      <c r="B11953" t="s">
        <v>39</v>
      </c>
      <c r="C11953" t="s">
        <v>37</v>
      </c>
      <c r="D11953" t="s">
        <v>29</v>
      </c>
      <c r="E11953" t="s">
        <v>15</v>
      </c>
      <c r="F11953" t="s">
        <v>17</v>
      </c>
      <c r="G11953" s="2">
        <f>VALUE(936.59)</f>
        <v>936.59</v>
      </c>
      <c r="H11953" s="3">
        <f>VALUE(945.59)</f>
        <v>945.59</v>
      </c>
      <c r="I11953" s="4">
        <f>VALUE(3500)</f>
        <v>3500</v>
      </c>
      <c r="J11953" s="5">
        <f>VALUE(6190)</f>
        <v>6190</v>
      </c>
      <c r="K11953" s="6">
        <f>VALUE(9667)</f>
        <v>9667</v>
      </c>
      <c r="L11953" s="7">
        <f>VALUE(11931)</f>
        <v>11931</v>
      </c>
      <c r="M11953" s="8">
        <f>VALUE(16704)</f>
        <v>16704</v>
      </c>
      <c r="N11953" t="s">
        <v>24</v>
      </c>
    </row>
    <row r="11954" spans="1:14" x14ac:dyDescent="0.25">
      <c r="A11954" t="s">
        <v>44</v>
      </c>
      <c r="B11954" t="s">
        <v>39</v>
      </c>
      <c r="C11954" t="s">
        <v>37</v>
      </c>
      <c r="D11954" t="s">
        <v>29</v>
      </c>
      <c r="E11954" t="s">
        <v>15</v>
      </c>
      <c r="F11954" t="s">
        <v>18</v>
      </c>
      <c r="G11954" s="2">
        <f>VALUE(533.84)</f>
        <v>533.84</v>
      </c>
      <c r="H11954" s="3">
        <f>VALUE(519.2)</f>
        <v>519.20000000000005</v>
      </c>
      <c r="I11954" s="4">
        <f>VALUE(5091)</f>
        <v>5091</v>
      </c>
      <c r="J11954" s="5">
        <f>VALUE(6069)</f>
        <v>6069</v>
      </c>
      <c r="K11954" s="1">
        <f>VALUE(7471)</f>
        <v>7471</v>
      </c>
      <c r="L11954" s="7">
        <f>VALUE(9782)</f>
        <v>9782</v>
      </c>
      <c r="M11954" s="1">
        <f>VALUE(12139)</f>
        <v>12139</v>
      </c>
      <c r="N11954" t="s">
        <v>25</v>
      </c>
    </row>
    <row r="11955" spans="1:14" x14ac:dyDescent="0.25">
      <c r="A11955" t="s">
        <v>44</v>
      </c>
      <c r="B11955" t="s">
        <v>39</v>
      </c>
      <c r="C11955" t="s">
        <v>37</v>
      </c>
      <c r="D11955" t="s">
        <v>29</v>
      </c>
      <c r="E11955" t="s">
        <v>15</v>
      </c>
      <c r="F11955" t="s">
        <v>19</v>
      </c>
      <c r="G11955" s="2">
        <f>VALUE(588.34)</f>
        <v>588.34</v>
      </c>
      <c r="H11955" s="3">
        <f>VALUE(569.39)</f>
        <v>569.39</v>
      </c>
      <c r="I11955" s="4">
        <f>VALUE(3707)</f>
        <v>3707</v>
      </c>
      <c r="J11955" s="5">
        <f>VALUE(4774)</f>
        <v>4774</v>
      </c>
      <c r="K11955" s="1">
        <f>VALUE(6040)</f>
        <v>6040</v>
      </c>
      <c r="L11955" s="1">
        <f>VALUE(7257)</f>
        <v>7257</v>
      </c>
      <c r="M11955" s="8">
        <f>VALUE(8540)</f>
        <v>8540</v>
      </c>
      <c r="N11955" t="s">
        <v>25</v>
      </c>
    </row>
    <row r="11956" spans="1:14" x14ac:dyDescent="0.25">
      <c r="A11956" t="s">
        <v>44</v>
      </c>
      <c r="B11956" t="s">
        <v>39</v>
      </c>
      <c r="C11956" t="s">
        <v>37</v>
      </c>
      <c r="D11956" t="s">
        <v>29</v>
      </c>
      <c r="E11956" t="s">
        <v>15</v>
      </c>
      <c r="F11956" t="s">
        <v>20</v>
      </c>
      <c r="G11956" s="2">
        <f>VALUE(2602.88)</f>
        <v>2602.88</v>
      </c>
      <c r="H11956" s="3">
        <f>VALUE(2547.07)</f>
        <v>2547.0700000000002</v>
      </c>
      <c r="I11956" s="1">
        <f>VALUE(3830)</f>
        <v>3830</v>
      </c>
      <c r="J11956" s="1">
        <f>VALUE(4539)</f>
        <v>4539</v>
      </c>
      <c r="K11956" s="1">
        <f>VALUE(5238)</f>
        <v>5238</v>
      </c>
      <c r="L11956" s="1">
        <f>VALUE(6206)</f>
        <v>6206</v>
      </c>
      <c r="M11956" s="1">
        <f>VALUE(7407)</f>
        <v>7407</v>
      </c>
      <c r="N11956" t="s">
        <v>25</v>
      </c>
    </row>
    <row r="11957" spans="1:14" x14ac:dyDescent="0.25">
      <c r="A11957" t="s">
        <v>44</v>
      </c>
      <c r="B11957" t="s">
        <v>39</v>
      </c>
      <c r="C11957" t="s">
        <v>37</v>
      </c>
      <c r="D11957" t="s">
        <v>29</v>
      </c>
      <c r="E11957" t="s">
        <v>21</v>
      </c>
      <c r="F11957" t="s">
        <v>15</v>
      </c>
      <c r="G11957" s="2">
        <f>VALUE(1285.23)</f>
        <v>1285.23</v>
      </c>
      <c r="H11957" s="3">
        <f>VALUE(1239.91)</f>
        <v>1239.9100000000001</v>
      </c>
      <c r="I11957" s="4">
        <f>VALUE(5502)</f>
        <v>5502</v>
      </c>
      <c r="J11957" s="5">
        <f>VALUE(7391)</f>
        <v>7391</v>
      </c>
      <c r="K11957" s="6">
        <f>VALUE(9630)</f>
        <v>9630</v>
      </c>
      <c r="L11957" s="7">
        <f>VALUE(11395)</f>
        <v>11395</v>
      </c>
      <c r="M11957" s="1">
        <f>VALUE(16490)</f>
        <v>16490</v>
      </c>
      <c r="N11957" t="s">
        <v>25</v>
      </c>
    </row>
    <row r="11958" spans="1:14" x14ac:dyDescent="0.25">
      <c r="A11958" t="s">
        <v>44</v>
      </c>
      <c r="B11958" t="s">
        <v>39</v>
      </c>
      <c r="C11958" t="s">
        <v>37</v>
      </c>
      <c r="D11958" t="s">
        <v>29</v>
      </c>
      <c r="E11958" t="s">
        <v>21</v>
      </c>
      <c r="F11958" t="s">
        <v>17</v>
      </c>
      <c r="G11958" s="2">
        <f>VALUE(633.49)</f>
        <v>633.49</v>
      </c>
      <c r="H11958" s="3">
        <f>VALUE(632.25)</f>
        <v>632.25</v>
      </c>
      <c r="I11958" s="4">
        <f>VALUE(5681)</f>
        <v>5681</v>
      </c>
      <c r="J11958" s="5">
        <f>VALUE(9630)</f>
        <v>9630</v>
      </c>
      <c r="K11958" s="6">
        <f>VALUE(11158)</f>
        <v>11158</v>
      </c>
      <c r="L11958" s="7">
        <f>VALUE(14625)</f>
        <v>14625</v>
      </c>
      <c r="M11958" s="8">
        <f>VALUE(17742)</f>
        <v>17742</v>
      </c>
      <c r="N11958" t="s">
        <v>24</v>
      </c>
    </row>
    <row r="11959" spans="1:14" x14ac:dyDescent="0.25">
      <c r="A11959" t="s">
        <v>44</v>
      </c>
      <c r="B11959" t="s">
        <v>39</v>
      </c>
      <c r="C11959" t="s">
        <v>37</v>
      </c>
      <c r="D11959" t="s">
        <v>29</v>
      </c>
      <c r="E11959" t="s">
        <v>21</v>
      </c>
      <c r="F11959" t="s">
        <v>18</v>
      </c>
      <c r="G11959" s="2">
        <f>VALUE(255.5)</f>
        <v>255.5</v>
      </c>
      <c r="H11959" s="3">
        <f>VALUE(238.39)</f>
        <v>238.39</v>
      </c>
      <c r="I11959" s="1">
        <f>VALUE(7048)</f>
        <v>7048</v>
      </c>
      <c r="J11959" s="1">
        <f>VALUE(7997)</f>
        <v>7997</v>
      </c>
      <c r="K11959" s="1">
        <f>VALUE(9543)</f>
        <v>9543</v>
      </c>
      <c r="L11959" s="1">
        <f>VALUE(11348)</f>
        <v>11348</v>
      </c>
      <c r="M11959" s="8">
        <f>VALUE(13954)</f>
        <v>13954</v>
      </c>
      <c r="N11959" t="s">
        <v>25</v>
      </c>
    </row>
    <row r="11960" spans="1:14" x14ac:dyDescent="0.25">
      <c r="A11960" t="s">
        <v>44</v>
      </c>
      <c r="B11960" t="s">
        <v>39</v>
      </c>
      <c r="C11960" t="s">
        <v>37</v>
      </c>
      <c r="D11960" t="s">
        <v>29</v>
      </c>
      <c r="E11960" t="s">
        <v>21</v>
      </c>
      <c r="F11960" t="s">
        <v>19</v>
      </c>
      <c r="G11960" s="1" t="str">
        <f t="shared" ref="G11960:M11960" si="2693">"X"</f>
        <v>X</v>
      </c>
      <c r="H11960" s="1" t="str">
        <f t="shared" si="2693"/>
        <v>X</v>
      </c>
      <c r="I11960" s="1" t="str">
        <f t="shared" si="2693"/>
        <v>X</v>
      </c>
      <c r="J11960" s="1" t="str">
        <f t="shared" si="2693"/>
        <v>X</v>
      </c>
      <c r="K11960" s="1" t="str">
        <f t="shared" si="2693"/>
        <v>X</v>
      </c>
      <c r="L11960" s="1" t="str">
        <f t="shared" si="2693"/>
        <v>X</v>
      </c>
      <c r="M11960" s="1" t="str">
        <f t="shared" si="2693"/>
        <v>X</v>
      </c>
      <c r="N11960" t="s">
        <v>27</v>
      </c>
    </row>
    <row r="11961" spans="1:14" x14ac:dyDescent="0.25">
      <c r="A11961" t="s">
        <v>44</v>
      </c>
      <c r="B11961" t="s">
        <v>39</v>
      </c>
      <c r="C11961" t="s">
        <v>37</v>
      </c>
      <c r="D11961" t="s">
        <v>29</v>
      </c>
      <c r="E11961" t="s">
        <v>21</v>
      </c>
      <c r="F11961" t="s">
        <v>20</v>
      </c>
      <c r="G11961" s="2">
        <f>VALUE(295.89)</f>
        <v>295.89</v>
      </c>
      <c r="H11961" s="3">
        <f>VALUE(272.33)</f>
        <v>272.33</v>
      </c>
      <c r="I11961" s="1">
        <f>VALUE(4824)</f>
        <v>4824</v>
      </c>
      <c r="J11961" s="1">
        <f>VALUE(5452)</f>
        <v>5452</v>
      </c>
      <c r="K11961" s="1">
        <f>VALUE(7036)</f>
        <v>7036</v>
      </c>
      <c r="L11961" s="1">
        <f>VALUE(8252)</f>
        <v>8252</v>
      </c>
      <c r="M11961" s="1">
        <f>VALUE(9828)</f>
        <v>9828</v>
      </c>
      <c r="N11961" t="s">
        <v>25</v>
      </c>
    </row>
    <row r="11962" spans="1:14" x14ac:dyDescent="0.25">
      <c r="A11962" t="s">
        <v>44</v>
      </c>
      <c r="B11962" t="s">
        <v>39</v>
      </c>
      <c r="C11962" t="s">
        <v>37</v>
      </c>
      <c r="D11962" t="s">
        <v>29</v>
      </c>
      <c r="E11962" t="s">
        <v>22</v>
      </c>
      <c r="F11962" t="s">
        <v>15</v>
      </c>
      <c r="G11962" s="2">
        <f>VALUE(1904.49)</f>
        <v>1904.49</v>
      </c>
      <c r="H11962" s="3">
        <f>VALUE(1914.18)</f>
        <v>1914.18</v>
      </c>
      <c r="I11962" s="4">
        <f>VALUE(4299)</f>
        <v>4299</v>
      </c>
      <c r="J11962" s="1">
        <f>VALUE(4785)</f>
        <v>4785</v>
      </c>
      <c r="K11962" s="1">
        <f>VALUE(5845)</f>
        <v>5845</v>
      </c>
      <c r="L11962" s="1">
        <f>VALUE(6707)</f>
        <v>6707</v>
      </c>
      <c r="M11962" s="1">
        <f>VALUE(8164)</f>
        <v>8164</v>
      </c>
      <c r="N11962" t="s">
        <v>25</v>
      </c>
    </row>
    <row r="11963" spans="1:14" x14ac:dyDescent="0.25">
      <c r="A11963" t="s">
        <v>44</v>
      </c>
      <c r="B11963" t="s">
        <v>39</v>
      </c>
      <c r="C11963" t="s">
        <v>37</v>
      </c>
      <c r="D11963" t="s">
        <v>29</v>
      </c>
      <c r="E11963" t="s">
        <v>22</v>
      </c>
      <c r="F11963" t="s">
        <v>17</v>
      </c>
      <c r="G11963" s="2">
        <f>VALUE(246.66)</f>
        <v>246.66</v>
      </c>
      <c r="H11963" s="3">
        <f>VALUE(272.72)</f>
        <v>272.72000000000003</v>
      </c>
      <c r="I11963" s="1">
        <f>VALUE(3333)</f>
        <v>3333</v>
      </c>
      <c r="J11963" s="5">
        <f>VALUE(4762)</f>
        <v>4762</v>
      </c>
      <c r="K11963" s="6">
        <f>VALUE(6622)</f>
        <v>6622</v>
      </c>
      <c r="L11963" s="1">
        <f>VALUE(8644)</f>
        <v>8644</v>
      </c>
      <c r="M11963" s="8">
        <f>VALUE(11538)</f>
        <v>11538</v>
      </c>
      <c r="N11963" t="s">
        <v>25</v>
      </c>
    </row>
    <row r="11964" spans="1:14" x14ac:dyDescent="0.25">
      <c r="A11964" t="s">
        <v>44</v>
      </c>
      <c r="B11964" t="s">
        <v>39</v>
      </c>
      <c r="C11964" t="s">
        <v>37</v>
      </c>
      <c r="D11964" t="s">
        <v>29</v>
      </c>
      <c r="E11964" t="s">
        <v>22</v>
      </c>
      <c r="F11964" t="s">
        <v>18</v>
      </c>
      <c r="G11964" s="2">
        <f>VALUE(187.08)</f>
        <v>187.08</v>
      </c>
      <c r="H11964" s="3">
        <f>VALUE(186.26)</f>
        <v>186.26</v>
      </c>
      <c r="I11964" s="1">
        <f>VALUE(5460)</f>
        <v>5460</v>
      </c>
      <c r="J11964" s="1">
        <f>VALUE(6069)</f>
        <v>6069</v>
      </c>
      <c r="K11964" s="1">
        <f>VALUE(6394)</f>
        <v>6394</v>
      </c>
      <c r="L11964" s="1">
        <f>VALUE(7610)</f>
        <v>7610</v>
      </c>
      <c r="M11964" s="1">
        <f>VALUE(10530)</f>
        <v>10530</v>
      </c>
      <c r="N11964" t="s">
        <v>25</v>
      </c>
    </row>
    <row r="11965" spans="1:14" x14ac:dyDescent="0.25">
      <c r="A11965" t="s">
        <v>44</v>
      </c>
      <c r="B11965" t="s">
        <v>39</v>
      </c>
      <c r="C11965" t="s">
        <v>37</v>
      </c>
      <c r="D11965" t="s">
        <v>29</v>
      </c>
      <c r="E11965" t="s">
        <v>22</v>
      </c>
      <c r="F11965" t="s">
        <v>19</v>
      </c>
      <c r="G11965" s="2">
        <f>VALUE(315.81)</f>
        <v>315.81</v>
      </c>
      <c r="H11965" s="3">
        <f>VALUE(294.12)</f>
        <v>294.12</v>
      </c>
      <c r="I11965" s="1">
        <f>VALUE(4371)</f>
        <v>4371</v>
      </c>
      <c r="J11965" s="5">
        <f>VALUE(5208)</f>
        <v>5208</v>
      </c>
      <c r="K11965" s="1">
        <f>VALUE(6147)</f>
        <v>6147</v>
      </c>
      <c r="L11965" s="7">
        <f>VALUE(6809)</f>
        <v>6809</v>
      </c>
      <c r="M11965" s="8">
        <f>VALUE(8463)</f>
        <v>8463</v>
      </c>
      <c r="N11965" t="s">
        <v>25</v>
      </c>
    </row>
    <row r="11966" spans="1:14" x14ac:dyDescent="0.25">
      <c r="A11966" t="s">
        <v>44</v>
      </c>
      <c r="B11966" t="s">
        <v>39</v>
      </c>
      <c r="C11966" t="s">
        <v>37</v>
      </c>
      <c r="D11966" t="s">
        <v>29</v>
      </c>
      <c r="E11966" t="s">
        <v>22</v>
      </c>
      <c r="F11966" t="s">
        <v>20</v>
      </c>
      <c r="G11966" s="2">
        <f>VALUE(1154.94)</f>
        <v>1154.94</v>
      </c>
      <c r="H11966" s="3">
        <f>VALUE(1161.08)</f>
        <v>1161.08</v>
      </c>
      <c r="I11966" s="1">
        <f>VALUE(4311)</f>
        <v>4311</v>
      </c>
      <c r="J11966" s="1">
        <f>VALUE(4766)</f>
        <v>4766</v>
      </c>
      <c r="K11966" s="1">
        <f>VALUE(5454)</f>
        <v>5454</v>
      </c>
      <c r="L11966" s="1">
        <f>VALUE(6408)</f>
        <v>6408</v>
      </c>
      <c r="M11966" s="1">
        <f>VALUE(7164)</f>
        <v>7164</v>
      </c>
      <c r="N11966" t="s">
        <v>25</v>
      </c>
    </row>
    <row r="11967" spans="1:14" x14ac:dyDescent="0.25">
      <c r="A11967" t="s">
        <v>44</v>
      </c>
      <c r="B11967" t="s">
        <v>39</v>
      </c>
      <c r="C11967" t="s">
        <v>37</v>
      </c>
      <c r="D11967" t="s">
        <v>29</v>
      </c>
      <c r="E11967" t="s">
        <v>23</v>
      </c>
      <c r="F11967" t="s">
        <v>15</v>
      </c>
      <c r="G11967" s="2">
        <f>VALUE(1429.97)</f>
        <v>1429.97</v>
      </c>
      <c r="H11967" s="3">
        <f>VALUE(1384.01)</f>
        <v>1384.01</v>
      </c>
      <c r="I11967" s="1">
        <f>VALUE(3545)</f>
        <v>3545</v>
      </c>
      <c r="J11967" s="1">
        <f>VALUE(4095)</f>
        <v>4095</v>
      </c>
      <c r="K11967" s="1">
        <f>VALUE(4850)</f>
        <v>4850</v>
      </c>
      <c r="L11967" s="1">
        <f>VALUE(5647)</f>
        <v>5647</v>
      </c>
      <c r="M11967" s="1">
        <f>VALUE(6505)</f>
        <v>6505</v>
      </c>
      <c r="N11967" t="s">
        <v>25</v>
      </c>
    </row>
    <row r="11968" spans="1:14" x14ac:dyDescent="0.25">
      <c r="A11968" t="s">
        <v>44</v>
      </c>
      <c r="B11968" t="s">
        <v>39</v>
      </c>
      <c r="C11968" t="s">
        <v>37</v>
      </c>
      <c r="D11968" t="s">
        <v>29</v>
      </c>
      <c r="E11968" t="s">
        <v>23</v>
      </c>
      <c r="F11968" t="s">
        <v>17</v>
      </c>
      <c r="G11968" s="1" t="str">
        <f t="shared" ref="G11968:M11970" si="2694">"X"</f>
        <v>X</v>
      </c>
      <c r="H11968" s="1" t="str">
        <f t="shared" si="2694"/>
        <v>X</v>
      </c>
      <c r="I11968" s="1" t="str">
        <f t="shared" si="2694"/>
        <v>X</v>
      </c>
      <c r="J11968" s="1" t="str">
        <f t="shared" si="2694"/>
        <v>X</v>
      </c>
      <c r="K11968" s="1" t="str">
        <f t="shared" si="2694"/>
        <v>X</v>
      </c>
      <c r="L11968" s="1" t="str">
        <f t="shared" si="2694"/>
        <v>X</v>
      </c>
      <c r="M11968" s="1" t="str">
        <f t="shared" si="2694"/>
        <v>X</v>
      </c>
      <c r="N11968" t="s">
        <v>27</v>
      </c>
    </row>
    <row r="11969" spans="1:14" x14ac:dyDescent="0.25">
      <c r="A11969" t="s">
        <v>44</v>
      </c>
      <c r="B11969" t="s">
        <v>39</v>
      </c>
      <c r="C11969" t="s">
        <v>37</v>
      </c>
      <c r="D11969" t="s">
        <v>29</v>
      </c>
      <c r="E11969" t="s">
        <v>23</v>
      </c>
      <c r="F11969" t="s">
        <v>18</v>
      </c>
      <c r="G11969" s="1" t="str">
        <f t="shared" si="2694"/>
        <v>X</v>
      </c>
      <c r="H11969" s="1" t="str">
        <f t="shared" si="2694"/>
        <v>X</v>
      </c>
      <c r="I11969" s="1" t="str">
        <f t="shared" si="2694"/>
        <v>X</v>
      </c>
      <c r="J11969" s="1" t="str">
        <f t="shared" si="2694"/>
        <v>X</v>
      </c>
      <c r="K11969" s="1" t="str">
        <f t="shared" si="2694"/>
        <v>X</v>
      </c>
      <c r="L11969" s="1" t="str">
        <f t="shared" si="2694"/>
        <v>X</v>
      </c>
      <c r="M11969" s="1" t="str">
        <f t="shared" si="2694"/>
        <v>X</v>
      </c>
      <c r="N11969" t="s">
        <v>27</v>
      </c>
    </row>
    <row r="11970" spans="1:14" x14ac:dyDescent="0.25">
      <c r="A11970" t="s">
        <v>44</v>
      </c>
      <c r="B11970" t="s">
        <v>39</v>
      </c>
      <c r="C11970" t="s">
        <v>37</v>
      </c>
      <c r="D11970" t="s">
        <v>29</v>
      </c>
      <c r="E11970" t="s">
        <v>23</v>
      </c>
      <c r="F11970" t="s">
        <v>19</v>
      </c>
      <c r="G11970" s="1" t="str">
        <f t="shared" si="2694"/>
        <v>X</v>
      </c>
      <c r="H11970" s="1" t="str">
        <f t="shared" si="2694"/>
        <v>X</v>
      </c>
      <c r="I11970" s="1" t="str">
        <f t="shared" si="2694"/>
        <v>X</v>
      </c>
      <c r="J11970" s="1" t="str">
        <f t="shared" si="2694"/>
        <v>X</v>
      </c>
      <c r="K11970" s="1" t="str">
        <f t="shared" si="2694"/>
        <v>X</v>
      </c>
      <c r="L11970" s="1" t="str">
        <f t="shared" si="2694"/>
        <v>X</v>
      </c>
      <c r="M11970" s="1" t="str">
        <f t="shared" si="2694"/>
        <v>X</v>
      </c>
      <c r="N11970" t="s">
        <v>27</v>
      </c>
    </row>
    <row r="11971" spans="1:14" x14ac:dyDescent="0.25">
      <c r="A11971" t="s">
        <v>44</v>
      </c>
      <c r="B11971" t="s">
        <v>39</v>
      </c>
      <c r="C11971" t="s">
        <v>37</v>
      </c>
      <c r="D11971" t="s">
        <v>29</v>
      </c>
      <c r="E11971" t="s">
        <v>23</v>
      </c>
      <c r="F11971" t="s">
        <v>20</v>
      </c>
      <c r="G11971" s="2">
        <f>VALUE(1122.26)</f>
        <v>1122.26</v>
      </c>
      <c r="H11971" s="3">
        <f>VALUE(1082.97)</f>
        <v>1082.97</v>
      </c>
      <c r="I11971" s="1">
        <f>VALUE(3662)</f>
        <v>3662</v>
      </c>
      <c r="J11971" s="1">
        <f>VALUE(4084)</f>
        <v>4084</v>
      </c>
      <c r="K11971" s="1">
        <f>VALUE(4766)</f>
        <v>4766</v>
      </c>
      <c r="L11971" s="1">
        <f>VALUE(5566)</f>
        <v>5566</v>
      </c>
      <c r="M11971" s="1">
        <f>VALUE(6171)</f>
        <v>6171</v>
      </c>
      <c r="N11971" t="s">
        <v>25</v>
      </c>
    </row>
    <row r="11972" spans="1:14" x14ac:dyDescent="0.25">
      <c r="A11972" t="s">
        <v>44</v>
      </c>
      <c r="B11972" t="s">
        <v>39</v>
      </c>
      <c r="C11972" t="s">
        <v>37</v>
      </c>
      <c r="D11972" t="s">
        <v>29</v>
      </c>
      <c r="E11972" t="s">
        <v>26</v>
      </c>
      <c r="F11972" t="s">
        <v>15</v>
      </c>
      <c r="G11972" s="1" t="str">
        <f t="shared" ref="G11972:M11976" si="2695">"X"</f>
        <v>X</v>
      </c>
      <c r="H11972" s="1" t="str">
        <f t="shared" si="2695"/>
        <v>X</v>
      </c>
      <c r="I11972" s="1" t="str">
        <f t="shared" si="2695"/>
        <v>X</v>
      </c>
      <c r="J11972" s="1" t="str">
        <f t="shared" si="2695"/>
        <v>X</v>
      </c>
      <c r="K11972" s="1" t="str">
        <f t="shared" si="2695"/>
        <v>X</v>
      </c>
      <c r="L11972" s="1" t="str">
        <f t="shared" si="2695"/>
        <v>X</v>
      </c>
      <c r="M11972" s="1" t="str">
        <f t="shared" si="2695"/>
        <v>X</v>
      </c>
      <c r="N11972" t="s">
        <v>27</v>
      </c>
    </row>
    <row r="11973" spans="1:14" x14ac:dyDescent="0.25">
      <c r="A11973" t="s">
        <v>44</v>
      </c>
      <c r="B11973" t="s">
        <v>39</v>
      </c>
      <c r="C11973" t="s">
        <v>37</v>
      </c>
      <c r="D11973" t="s">
        <v>29</v>
      </c>
      <c r="E11973" t="s">
        <v>26</v>
      </c>
      <c r="F11973" t="s">
        <v>17</v>
      </c>
      <c r="G11973" s="1" t="str">
        <f t="shared" si="2695"/>
        <v>X</v>
      </c>
      <c r="H11973" s="1" t="str">
        <f t="shared" si="2695"/>
        <v>X</v>
      </c>
      <c r="I11973" s="1" t="str">
        <f t="shared" si="2695"/>
        <v>X</v>
      </c>
      <c r="J11973" s="1" t="str">
        <f t="shared" si="2695"/>
        <v>X</v>
      </c>
      <c r="K11973" s="1" t="str">
        <f t="shared" si="2695"/>
        <v>X</v>
      </c>
      <c r="L11973" s="1" t="str">
        <f t="shared" si="2695"/>
        <v>X</v>
      </c>
      <c r="M11973" s="1" t="str">
        <f t="shared" si="2695"/>
        <v>X</v>
      </c>
      <c r="N11973" t="s">
        <v>27</v>
      </c>
    </row>
    <row r="11974" spans="1:14" x14ac:dyDescent="0.25">
      <c r="A11974" t="s">
        <v>44</v>
      </c>
      <c r="B11974" t="s">
        <v>39</v>
      </c>
      <c r="C11974" t="s">
        <v>37</v>
      </c>
      <c r="D11974" t="s">
        <v>29</v>
      </c>
      <c r="E11974" t="s">
        <v>26</v>
      </c>
      <c r="F11974" t="s">
        <v>18</v>
      </c>
      <c r="G11974" s="1" t="str">
        <f t="shared" si="2695"/>
        <v>X</v>
      </c>
      <c r="H11974" s="1" t="str">
        <f t="shared" si="2695"/>
        <v>X</v>
      </c>
      <c r="I11974" s="1" t="str">
        <f t="shared" si="2695"/>
        <v>X</v>
      </c>
      <c r="J11974" s="1" t="str">
        <f t="shared" si="2695"/>
        <v>X</v>
      </c>
      <c r="K11974" s="1" t="str">
        <f t="shared" si="2695"/>
        <v>X</v>
      </c>
      <c r="L11974" s="1" t="str">
        <f t="shared" si="2695"/>
        <v>X</v>
      </c>
      <c r="M11974" s="1" t="str">
        <f t="shared" si="2695"/>
        <v>X</v>
      </c>
      <c r="N11974" t="s">
        <v>27</v>
      </c>
    </row>
    <row r="11975" spans="1:14" x14ac:dyDescent="0.25">
      <c r="A11975" t="s">
        <v>44</v>
      </c>
      <c r="B11975" t="s">
        <v>39</v>
      </c>
      <c r="C11975" t="s">
        <v>37</v>
      </c>
      <c r="D11975" t="s">
        <v>29</v>
      </c>
      <c r="E11975" t="s">
        <v>26</v>
      </c>
      <c r="F11975" t="s">
        <v>19</v>
      </c>
      <c r="G11975" s="1" t="str">
        <f t="shared" si="2695"/>
        <v>X</v>
      </c>
      <c r="H11975" s="1" t="str">
        <f t="shared" si="2695"/>
        <v>X</v>
      </c>
      <c r="I11975" s="1" t="str">
        <f t="shared" si="2695"/>
        <v>X</v>
      </c>
      <c r="J11975" s="1" t="str">
        <f t="shared" si="2695"/>
        <v>X</v>
      </c>
      <c r="K11975" s="1" t="str">
        <f t="shared" si="2695"/>
        <v>X</v>
      </c>
      <c r="L11975" s="1" t="str">
        <f t="shared" si="2695"/>
        <v>X</v>
      </c>
      <c r="M11975" s="1" t="str">
        <f t="shared" si="2695"/>
        <v>X</v>
      </c>
      <c r="N11975" t="s">
        <v>27</v>
      </c>
    </row>
    <row r="11976" spans="1:14" x14ac:dyDescent="0.25">
      <c r="A11976" t="s">
        <v>44</v>
      </c>
      <c r="B11976" t="s">
        <v>39</v>
      </c>
      <c r="C11976" t="s">
        <v>37</v>
      </c>
      <c r="D11976" t="s">
        <v>29</v>
      </c>
      <c r="E11976" t="s">
        <v>26</v>
      </c>
      <c r="F11976" t="s">
        <v>20</v>
      </c>
      <c r="G11976" s="1" t="str">
        <f t="shared" si="2695"/>
        <v>X</v>
      </c>
      <c r="H11976" s="1" t="str">
        <f t="shared" si="2695"/>
        <v>X</v>
      </c>
      <c r="I11976" s="1" t="str">
        <f t="shared" si="2695"/>
        <v>X</v>
      </c>
      <c r="J11976" s="1" t="str">
        <f t="shared" si="2695"/>
        <v>X</v>
      </c>
      <c r="K11976" s="1" t="str">
        <f t="shared" si="2695"/>
        <v>X</v>
      </c>
      <c r="L11976" s="1" t="str">
        <f t="shared" si="2695"/>
        <v>X</v>
      </c>
      <c r="M11976" s="1" t="str">
        <f t="shared" si="2695"/>
        <v>X</v>
      </c>
      <c r="N11976" t="s">
        <v>27</v>
      </c>
    </row>
    <row r="11977" spans="1:14" x14ac:dyDescent="0.25">
      <c r="A11977" t="s">
        <v>44</v>
      </c>
      <c r="B11977" t="s">
        <v>39</v>
      </c>
      <c r="C11977" t="s">
        <v>37</v>
      </c>
      <c r="D11977" t="s">
        <v>31</v>
      </c>
      <c r="E11977" t="s">
        <v>15</v>
      </c>
      <c r="F11977" t="s">
        <v>15</v>
      </c>
      <c r="G11977" s="2">
        <f>VALUE(2849.92)</f>
        <v>2849.92</v>
      </c>
      <c r="H11977" s="3">
        <f>VALUE(2655.41)</f>
        <v>2655.41</v>
      </c>
      <c r="I11977" s="1">
        <f>VALUE(3953)</f>
        <v>3953</v>
      </c>
      <c r="J11977" s="1">
        <f>VALUE(4788)</f>
        <v>4788</v>
      </c>
      <c r="K11977" s="1">
        <f>VALUE(5865)</f>
        <v>5865</v>
      </c>
      <c r="L11977" s="7">
        <f>VALUE(7933)</f>
        <v>7933</v>
      </c>
      <c r="M11977" s="8">
        <f>VALUE(12043)</f>
        <v>12043</v>
      </c>
      <c r="N11977" t="s">
        <v>25</v>
      </c>
    </row>
    <row r="11978" spans="1:14" x14ac:dyDescent="0.25">
      <c r="A11978" t="s">
        <v>44</v>
      </c>
      <c r="B11978" t="s">
        <v>39</v>
      </c>
      <c r="C11978" t="s">
        <v>37</v>
      </c>
      <c r="D11978" t="s">
        <v>31</v>
      </c>
      <c r="E11978" t="s">
        <v>15</v>
      </c>
      <c r="F11978" t="s">
        <v>17</v>
      </c>
      <c r="G11978" s="2">
        <f>VALUE(634.41)</f>
        <v>634.41</v>
      </c>
      <c r="H11978" s="3">
        <f>VALUE(628.04)</f>
        <v>628.04</v>
      </c>
      <c r="I11978" s="4">
        <f>VALUE(5097)</f>
        <v>5097</v>
      </c>
      <c r="J11978" s="5">
        <f>VALUE(6500)</f>
        <v>6500</v>
      </c>
      <c r="K11978" s="6">
        <f>VALUE(8163)</f>
        <v>8163</v>
      </c>
      <c r="L11978" s="7">
        <f>VALUE(11914)</f>
        <v>11914</v>
      </c>
      <c r="M11978" s="8">
        <f>VALUE(17580)</f>
        <v>17580</v>
      </c>
      <c r="N11978" t="s">
        <v>24</v>
      </c>
    </row>
    <row r="11979" spans="1:14" x14ac:dyDescent="0.25">
      <c r="A11979" t="s">
        <v>44</v>
      </c>
      <c r="B11979" t="s">
        <v>39</v>
      </c>
      <c r="C11979" t="s">
        <v>37</v>
      </c>
      <c r="D11979" t="s">
        <v>31</v>
      </c>
      <c r="E11979" t="s">
        <v>15</v>
      </c>
      <c r="F11979" t="s">
        <v>18</v>
      </c>
      <c r="G11979" s="2">
        <f>VALUE(246.27)</f>
        <v>246.27</v>
      </c>
      <c r="H11979" s="3">
        <f>VALUE(240.5)</f>
        <v>240.5</v>
      </c>
      <c r="I11979" s="1">
        <f>VALUE(5123)</f>
        <v>5123</v>
      </c>
      <c r="J11979" s="5">
        <f>VALUE(6152)</f>
        <v>6152</v>
      </c>
      <c r="K11979" s="1">
        <f>VALUE(8506)</f>
        <v>8506</v>
      </c>
      <c r="L11979" s="7">
        <f>VALUE(12493)</f>
        <v>12493</v>
      </c>
      <c r="M11979" s="8">
        <f>VALUE(15682)</f>
        <v>15682</v>
      </c>
      <c r="N11979" t="s">
        <v>25</v>
      </c>
    </row>
    <row r="11980" spans="1:14" x14ac:dyDescent="0.25">
      <c r="A11980" t="s">
        <v>44</v>
      </c>
      <c r="B11980" t="s">
        <v>39</v>
      </c>
      <c r="C11980" t="s">
        <v>37</v>
      </c>
      <c r="D11980" t="s">
        <v>31</v>
      </c>
      <c r="E11980" t="s">
        <v>15</v>
      </c>
      <c r="F11980" t="s">
        <v>19</v>
      </c>
      <c r="G11980" s="2">
        <f>VALUE(405.62)</f>
        <v>405.62</v>
      </c>
      <c r="H11980" s="3">
        <f>VALUE(398.48)</f>
        <v>398.48</v>
      </c>
      <c r="I11980" s="1">
        <f>VALUE(4650)</f>
        <v>4650</v>
      </c>
      <c r="J11980" s="5">
        <f>VALUE(5068)</f>
        <v>5068</v>
      </c>
      <c r="K11980" s="1">
        <f>VALUE(6013)</f>
        <v>6013</v>
      </c>
      <c r="L11980" s="7">
        <f>VALUE(7172)</f>
        <v>7172</v>
      </c>
      <c r="M11980" s="8">
        <f>VALUE(9096)</f>
        <v>9096</v>
      </c>
      <c r="N11980" t="s">
        <v>25</v>
      </c>
    </row>
    <row r="11981" spans="1:14" x14ac:dyDescent="0.25">
      <c r="A11981" t="s">
        <v>44</v>
      </c>
      <c r="B11981" t="s">
        <v>39</v>
      </c>
      <c r="C11981" t="s">
        <v>37</v>
      </c>
      <c r="D11981" t="s">
        <v>31</v>
      </c>
      <c r="E11981" t="s">
        <v>15</v>
      </c>
      <c r="F11981" t="s">
        <v>20</v>
      </c>
      <c r="G11981" s="2">
        <f>VALUE(1563.62)</f>
        <v>1563.62</v>
      </c>
      <c r="H11981" s="3">
        <f>VALUE(1388.39)</f>
        <v>1388.39</v>
      </c>
      <c r="I11981" s="4">
        <f>VALUE(3559)</f>
        <v>3559</v>
      </c>
      <c r="J11981" s="1">
        <f>VALUE(4276)</f>
        <v>4276</v>
      </c>
      <c r="K11981" s="1">
        <f>VALUE(4951)</f>
        <v>4951</v>
      </c>
      <c r="L11981" s="1">
        <f>VALUE(6173)</f>
        <v>6173</v>
      </c>
      <c r="M11981" s="1">
        <f>VALUE(7173)</f>
        <v>7173</v>
      </c>
      <c r="N11981" t="s">
        <v>25</v>
      </c>
    </row>
    <row r="11982" spans="1:14" x14ac:dyDescent="0.25">
      <c r="A11982" t="s">
        <v>44</v>
      </c>
      <c r="B11982" t="s">
        <v>39</v>
      </c>
      <c r="C11982" t="s">
        <v>37</v>
      </c>
      <c r="D11982" t="s">
        <v>31</v>
      </c>
      <c r="E11982" t="s">
        <v>21</v>
      </c>
      <c r="F11982" t="s">
        <v>15</v>
      </c>
      <c r="G11982" s="2">
        <f>VALUE(846.19)</f>
        <v>846.19</v>
      </c>
      <c r="H11982" s="3">
        <f>VALUE(836.77)</f>
        <v>836.77</v>
      </c>
      <c r="I11982" s="1">
        <f>VALUE(5024)</f>
        <v>5024</v>
      </c>
      <c r="J11982" s="1">
        <f>VALUE(6499)</f>
        <v>6499</v>
      </c>
      <c r="K11982" s="6">
        <f>VALUE(8453)</f>
        <v>8453</v>
      </c>
      <c r="L11982" s="7">
        <f>VALUE(11380)</f>
        <v>11380</v>
      </c>
      <c r="M11982" s="8">
        <f>VALUE(16696)</f>
        <v>16696</v>
      </c>
      <c r="N11982" t="s">
        <v>25</v>
      </c>
    </row>
    <row r="11983" spans="1:14" x14ac:dyDescent="0.25">
      <c r="A11983" t="s">
        <v>44</v>
      </c>
      <c r="B11983" t="s">
        <v>39</v>
      </c>
      <c r="C11983" t="s">
        <v>37</v>
      </c>
      <c r="D11983" t="s">
        <v>31</v>
      </c>
      <c r="E11983" t="s">
        <v>21</v>
      </c>
      <c r="F11983" t="s">
        <v>17</v>
      </c>
      <c r="G11983" s="2">
        <f>VALUE(372.31)</f>
        <v>372.31</v>
      </c>
      <c r="H11983" s="3">
        <f>VALUE(377.82)</f>
        <v>377.82</v>
      </c>
      <c r="I11983" s="4">
        <f>VALUE(6500)</f>
        <v>6500</v>
      </c>
      <c r="J11983" s="5">
        <f>VALUE(8040)</f>
        <v>8040</v>
      </c>
      <c r="K11983" s="6">
        <f>VALUE(10398)</f>
        <v>10398</v>
      </c>
      <c r="L11983" s="7">
        <f>VALUE(13087)</f>
        <v>13087</v>
      </c>
      <c r="M11983" s="8">
        <f>VALUE(23882)</f>
        <v>23882</v>
      </c>
      <c r="N11983" t="s">
        <v>24</v>
      </c>
    </row>
    <row r="11984" spans="1:14" x14ac:dyDescent="0.25">
      <c r="A11984" t="s">
        <v>44</v>
      </c>
      <c r="B11984" t="s">
        <v>39</v>
      </c>
      <c r="C11984" t="s">
        <v>37</v>
      </c>
      <c r="D11984" t="s">
        <v>31</v>
      </c>
      <c r="E11984" t="s">
        <v>21</v>
      </c>
      <c r="F11984" t="s">
        <v>18</v>
      </c>
      <c r="G11984" s="2">
        <f>VALUE(166.76)</f>
        <v>166.76</v>
      </c>
      <c r="H11984" s="3">
        <f>VALUE(161.34)</f>
        <v>161.34</v>
      </c>
      <c r="I11984" s="1">
        <f>VALUE(5198)</f>
        <v>5198</v>
      </c>
      <c r="J11984" s="5">
        <f>VALUE(7457)</f>
        <v>7457</v>
      </c>
      <c r="K11984" s="6">
        <f>VALUE(10847)</f>
        <v>10847</v>
      </c>
      <c r="L11984" s="7">
        <f>VALUE(13586)</f>
        <v>13586</v>
      </c>
      <c r="M11984" s="8">
        <f>VALUE(16696)</f>
        <v>16696</v>
      </c>
      <c r="N11984" t="s">
        <v>25</v>
      </c>
    </row>
    <row r="11985" spans="1:14" x14ac:dyDescent="0.25">
      <c r="A11985" t="s">
        <v>44</v>
      </c>
      <c r="B11985" t="s">
        <v>39</v>
      </c>
      <c r="C11985" t="s">
        <v>37</v>
      </c>
      <c r="D11985" t="s">
        <v>31</v>
      </c>
      <c r="E11985" t="s">
        <v>21</v>
      </c>
      <c r="F11985" t="s">
        <v>19</v>
      </c>
      <c r="G11985" s="1" t="str">
        <f t="shared" ref="G11985:M11985" si="2696">"X"</f>
        <v>X</v>
      </c>
      <c r="H11985" s="1" t="str">
        <f t="shared" si="2696"/>
        <v>X</v>
      </c>
      <c r="I11985" s="1" t="str">
        <f t="shared" si="2696"/>
        <v>X</v>
      </c>
      <c r="J11985" s="1" t="str">
        <f t="shared" si="2696"/>
        <v>X</v>
      </c>
      <c r="K11985" s="1" t="str">
        <f t="shared" si="2696"/>
        <v>X</v>
      </c>
      <c r="L11985" s="1" t="str">
        <f t="shared" si="2696"/>
        <v>X</v>
      </c>
      <c r="M11985" s="1" t="str">
        <f t="shared" si="2696"/>
        <v>X</v>
      </c>
      <c r="N11985" t="s">
        <v>27</v>
      </c>
    </row>
    <row r="11986" spans="1:14" x14ac:dyDescent="0.25">
      <c r="A11986" t="s">
        <v>44</v>
      </c>
      <c r="B11986" t="s">
        <v>39</v>
      </c>
      <c r="C11986" t="s">
        <v>37</v>
      </c>
      <c r="D11986" t="s">
        <v>31</v>
      </c>
      <c r="E11986" t="s">
        <v>21</v>
      </c>
      <c r="F11986" t="s">
        <v>20</v>
      </c>
      <c r="G11986" s="2">
        <f>VALUE(227.23)</f>
        <v>227.23</v>
      </c>
      <c r="H11986" s="3">
        <f>VALUE(219.91)</f>
        <v>219.91</v>
      </c>
      <c r="I11986" s="1">
        <f>VALUE(4874)</f>
        <v>4874</v>
      </c>
      <c r="J11986" s="1">
        <f>VALUE(5415)</f>
        <v>5415</v>
      </c>
      <c r="K11986" s="1">
        <f>VALUE(6667)</f>
        <v>6667</v>
      </c>
      <c r="L11986" s="1">
        <f>VALUE(9083)</f>
        <v>9083</v>
      </c>
      <c r="M11986" s="1">
        <f>VALUE(10833)</f>
        <v>10833</v>
      </c>
      <c r="N11986" t="s">
        <v>25</v>
      </c>
    </row>
    <row r="11987" spans="1:14" x14ac:dyDescent="0.25">
      <c r="A11987" t="s">
        <v>44</v>
      </c>
      <c r="B11987" t="s">
        <v>39</v>
      </c>
      <c r="C11987" t="s">
        <v>37</v>
      </c>
      <c r="D11987" t="s">
        <v>31</v>
      </c>
      <c r="E11987" t="s">
        <v>22</v>
      </c>
      <c r="F11987" t="s">
        <v>15</v>
      </c>
      <c r="G11987" s="2">
        <f>VALUE(843.77)</f>
        <v>843.77</v>
      </c>
      <c r="H11987" s="3">
        <f>VALUE(819.54)</f>
        <v>819.54</v>
      </c>
      <c r="I11987" s="1">
        <f>VALUE(4092)</f>
        <v>4092</v>
      </c>
      <c r="J11987" s="1">
        <f>VALUE(4738)</f>
        <v>4738</v>
      </c>
      <c r="K11987" s="6">
        <f>VALUE(5373)</f>
        <v>5373</v>
      </c>
      <c r="L11987" s="7">
        <f>VALUE(7164)</f>
        <v>7164</v>
      </c>
      <c r="M11987" s="8">
        <f>VALUE(11538)</f>
        <v>11538</v>
      </c>
      <c r="N11987" t="s">
        <v>25</v>
      </c>
    </row>
    <row r="11988" spans="1:14" x14ac:dyDescent="0.25">
      <c r="A11988" t="s">
        <v>44</v>
      </c>
      <c r="B11988" t="s">
        <v>39</v>
      </c>
      <c r="C11988" t="s">
        <v>37</v>
      </c>
      <c r="D11988" t="s">
        <v>31</v>
      </c>
      <c r="E11988" t="s">
        <v>22</v>
      </c>
      <c r="F11988" t="s">
        <v>17</v>
      </c>
      <c r="G11988" s="1" t="str">
        <f t="shared" ref="G11988:M11990" si="2697">"X"</f>
        <v>X</v>
      </c>
      <c r="H11988" s="1" t="str">
        <f t="shared" si="2697"/>
        <v>X</v>
      </c>
      <c r="I11988" s="1" t="str">
        <f t="shared" si="2697"/>
        <v>X</v>
      </c>
      <c r="J11988" s="1" t="str">
        <f t="shared" si="2697"/>
        <v>X</v>
      </c>
      <c r="K11988" s="1" t="str">
        <f t="shared" si="2697"/>
        <v>X</v>
      </c>
      <c r="L11988" s="1" t="str">
        <f t="shared" si="2697"/>
        <v>X</v>
      </c>
      <c r="M11988" s="1" t="str">
        <f t="shared" si="2697"/>
        <v>X</v>
      </c>
      <c r="N11988" t="s">
        <v>27</v>
      </c>
    </row>
    <row r="11989" spans="1:14" x14ac:dyDescent="0.25">
      <c r="A11989" t="s">
        <v>44</v>
      </c>
      <c r="B11989" t="s">
        <v>39</v>
      </c>
      <c r="C11989" t="s">
        <v>37</v>
      </c>
      <c r="D11989" t="s">
        <v>31</v>
      </c>
      <c r="E11989" t="s">
        <v>22</v>
      </c>
      <c r="F11989" t="s">
        <v>18</v>
      </c>
      <c r="G11989" s="1" t="str">
        <f t="shared" si="2697"/>
        <v>X</v>
      </c>
      <c r="H11989" s="1" t="str">
        <f t="shared" si="2697"/>
        <v>X</v>
      </c>
      <c r="I11989" s="1" t="str">
        <f t="shared" si="2697"/>
        <v>X</v>
      </c>
      <c r="J11989" s="1" t="str">
        <f t="shared" si="2697"/>
        <v>X</v>
      </c>
      <c r="K11989" s="1" t="str">
        <f t="shared" si="2697"/>
        <v>X</v>
      </c>
      <c r="L11989" s="1" t="str">
        <f t="shared" si="2697"/>
        <v>X</v>
      </c>
      <c r="M11989" s="1" t="str">
        <f t="shared" si="2697"/>
        <v>X</v>
      </c>
      <c r="N11989" t="s">
        <v>27</v>
      </c>
    </row>
    <row r="11990" spans="1:14" x14ac:dyDescent="0.25">
      <c r="A11990" t="s">
        <v>44</v>
      </c>
      <c r="B11990" t="s">
        <v>39</v>
      </c>
      <c r="C11990" t="s">
        <v>37</v>
      </c>
      <c r="D11990" t="s">
        <v>31</v>
      </c>
      <c r="E11990" t="s">
        <v>22</v>
      </c>
      <c r="F11990" t="s">
        <v>19</v>
      </c>
      <c r="G11990" s="1" t="str">
        <f t="shared" si="2697"/>
        <v>X</v>
      </c>
      <c r="H11990" s="1" t="str">
        <f t="shared" si="2697"/>
        <v>X</v>
      </c>
      <c r="I11990" s="1" t="str">
        <f t="shared" si="2697"/>
        <v>X</v>
      </c>
      <c r="J11990" s="1" t="str">
        <f t="shared" si="2697"/>
        <v>X</v>
      </c>
      <c r="K11990" s="1" t="str">
        <f t="shared" si="2697"/>
        <v>X</v>
      </c>
      <c r="L11990" s="1" t="str">
        <f t="shared" si="2697"/>
        <v>X</v>
      </c>
      <c r="M11990" s="1" t="str">
        <f t="shared" si="2697"/>
        <v>X</v>
      </c>
      <c r="N11990" t="s">
        <v>27</v>
      </c>
    </row>
    <row r="11991" spans="1:14" x14ac:dyDescent="0.25">
      <c r="A11991" t="s">
        <v>44</v>
      </c>
      <c r="B11991" t="s">
        <v>39</v>
      </c>
      <c r="C11991" t="s">
        <v>37</v>
      </c>
      <c r="D11991" t="s">
        <v>31</v>
      </c>
      <c r="E11991" t="s">
        <v>22</v>
      </c>
      <c r="F11991" t="s">
        <v>20</v>
      </c>
      <c r="G11991" s="2">
        <f>VALUE(378.45)</f>
        <v>378.45</v>
      </c>
      <c r="H11991" s="3">
        <f>VALUE(363.2)</f>
        <v>363.2</v>
      </c>
      <c r="I11991" s="4">
        <f>VALUE(3771)</f>
        <v>3771</v>
      </c>
      <c r="J11991" s="1">
        <f>VALUE(4297)</f>
        <v>4297</v>
      </c>
      <c r="K11991" s="1">
        <f>VALUE(5067)</f>
        <v>5067</v>
      </c>
      <c r="L11991" s="1">
        <f>VALUE(5871)</f>
        <v>5871</v>
      </c>
      <c r="M11991" s="1">
        <f>VALUE(6662)</f>
        <v>6662</v>
      </c>
      <c r="N11991" t="s">
        <v>25</v>
      </c>
    </row>
    <row r="11992" spans="1:14" x14ac:dyDescent="0.25">
      <c r="A11992" t="s">
        <v>44</v>
      </c>
      <c r="B11992" t="s">
        <v>39</v>
      </c>
      <c r="C11992" t="s">
        <v>37</v>
      </c>
      <c r="D11992" t="s">
        <v>31</v>
      </c>
      <c r="E11992" t="s">
        <v>23</v>
      </c>
      <c r="F11992" t="s">
        <v>15</v>
      </c>
      <c r="G11992" s="2">
        <f>VALUE(1146.9)</f>
        <v>1146.9000000000001</v>
      </c>
      <c r="H11992" s="3">
        <f>VALUE(986.04)</f>
        <v>986.04</v>
      </c>
      <c r="I11992" s="4">
        <f>VALUE(3508)</f>
        <v>3508</v>
      </c>
      <c r="J11992" s="1">
        <f>VALUE(4164)</f>
        <v>4164</v>
      </c>
      <c r="K11992" s="6">
        <f>VALUE(4855)</f>
        <v>4855</v>
      </c>
      <c r="L11992" s="1">
        <f>VALUE(6013)</f>
        <v>6013</v>
      </c>
      <c r="M11992" s="8">
        <f>VALUE(6318)</f>
        <v>6318</v>
      </c>
      <c r="N11992" t="s">
        <v>25</v>
      </c>
    </row>
    <row r="11993" spans="1:14" x14ac:dyDescent="0.25">
      <c r="A11993" t="s">
        <v>44</v>
      </c>
      <c r="B11993" t="s">
        <v>39</v>
      </c>
      <c r="C11993" t="s">
        <v>37</v>
      </c>
      <c r="D11993" t="s">
        <v>31</v>
      </c>
      <c r="E11993" t="s">
        <v>23</v>
      </c>
      <c r="F11993" t="s">
        <v>17</v>
      </c>
      <c r="G11993" s="1" t="str">
        <f t="shared" ref="G11993:M11995" si="2698">"X"</f>
        <v>X</v>
      </c>
      <c r="H11993" s="1" t="str">
        <f t="shared" si="2698"/>
        <v>X</v>
      </c>
      <c r="I11993" s="1" t="str">
        <f t="shared" si="2698"/>
        <v>X</v>
      </c>
      <c r="J11993" s="1" t="str">
        <f t="shared" si="2698"/>
        <v>X</v>
      </c>
      <c r="K11993" s="1" t="str">
        <f t="shared" si="2698"/>
        <v>X</v>
      </c>
      <c r="L11993" s="1" t="str">
        <f t="shared" si="2698"/>
        <v>X</v>
      </c>
      <c r="M11993" s="1" t="str">
        <f t="shared" si="2698"/>
        <v>X</v>
      </c>
      <c r="N11993" t="s">
        <v>27</v>
      </c>
    </row>
    <row r="11994" spans="1:14" x14ac:dyDescent="0.25">
      <c r="A11994" t="s">
        <v>44</v>
      </c>
      <c r="B11994" t="s">
        <v>39</v>
      </c>
      <c r="C11994" t="s">
        <v>37</v>
      </c>
      <c r="D11994" t="s">
        <v>31</v>
      </c>
      <c r="E11994" t="s">
        <v>23</v>
      </c>
      <c r="F11994" t="s">
        <v>18</v>
      </c>
      <c r="G11994" s="1" t="str">
        <f t="shared" si="2698"/>
        <v>X</v>
      </c>
      <c r="H11994" s="1" t="str">
        <f t="shared" si="2698"/>
        <v>X</v>
      </c>
      <c r="I11994" s="1" t="str">
        <f t="shared" si="2698"/>
        <v>X</v>
      </c>
      <c r="J11994" s="1" t="str">
        <f t="shared" si="2698"/>
        <v>X</v>
      </c>
      <c r="K11994" s="1" t="str">
        <f t="shared" si="2698"/>
        <v>X</v>
      </c>
      <c r="L11994" s="1" t="str">
        <f t="shared" si="2698"/>
        <v>X</v>
      </c>
      <c r="M11994" s="1" t="str">
        <f t="shared" si="2698"/>
        <v>X</v>
      </c>
      <c r="N11994" t="s">
        <v>27</v>
      </c>
    </row>
    <row r="11995" spans="1:14" x14ac:dyDescent="0.25">
      <c r="A11995" t="s">
        <v>44</v>
      </c>
      <c r="B11995" t="s">
        <v>39</v>
      </c>
      <c r="C11995" t="s">
        <v>37</v>
      </c>
      <c r="D11995" t="s">
        <v>31</v>
      </c>
      <c r="E11995" t="s">
        <v>23</v>
      </c>
      <c r="F11995" t="s">
        <v>19</v>
      </c>
      <c r="G11995" s="1" t="str">
        <f t="shared" si="2698"/>
        <v>X</v>
      </c>
      <c r="H11995" s="1" t="str">
        <f t="shared" si="2698"/>
        <v>X</v>
      </c>
      <c r="I11995" s="1" t="str">
        <f t="shared" si="2698"/>
        <v>X</v>
      </c>
      <c r="J11995" s="1" t="str">
        <f t="shared" si="2698"/>
        <v>X</v>
      </c>
      <c r="K11995" s="1" t="str">
        <f t="shared" si="2698"/>
        <v>X</v>
      </c>
      <c r="L11995" s="1" t="str">
        <f t="shared" si="2698"/>
        <v>X</v>
      </c>
      <c r="M11995" s="1" t="str">
        <f t="shared" si="2698"/>
        <v>X</v>
      </c>
      <c r="N11995" t="s">
        <v>27</v>
      </c>
    </row>
    <row r="11996" spans="1:14" x14ac:dyDescent="0.25">
      <c r="A11996" t="s">
        <v>44</v>
      </c>
      <c r="B11996" t="s">
        <v>39</v>
      </c>
      <c r="C11996" t="s">
        <v>37</v>
      </c>
      <c r="D11996" t="s">
        <v>31</v>
      </c>
      <c r="E11996" t="s">
        <v>23</v>
      </c>
      <c r="F11996" t="s">
        <v>20</v>
      </c>
      <c r="G11996" s="2">
        <f>VALUE(949.95)</f>
        <v>949.95</v>
      </c>
      <c r="H11996" s="3">
        <f>VALUE(797.29)</f>
        <v>797.29</v>
      </c>
      <c r="I11996" s="4">
        <f>VALUE(3446)</f>
        <v>3446</v>
      </c>
      <c r="J11996" s="5">
        <f>VALUE(4043)</f>
        <v>4043</v>
      </c>
      <c r="K11996" s="1">
        <f>VALUE(4788)</f>
        <v>4788</v>
      </c>
      <c r="L11996" s="7">
        <f>VALUE(5711)</f>
        <v>5711</v>
      </c>
      <c r="M11996" s="8">
        <f>VALUE(6243)</f>
        <v>6243</v>
      </c>
      <c r="N11996" t="s">
        <v>25</v>
      </c>
    </row>
    <row r="11997" spans="1:14" x14ac:dyDescent="0.25">
      <c r="A11997" t="s">
        <v>44</v>
      </c>
      <c r="B11997" t="s">
        <v>39</v>
      </c>
      <c r="C11997" t="s">
        <v>37</v>
      </c>
      <c r="D11997" t="s">
        <v>31</v>
      </c>
      <c r="E11997" t="s">
        <v>26</v>
      </c>
      <c r="F11997" t="s">
        <v>15</v>
      </c>
      <c r="G11997" s="1" t="str">
        <f t="shared" ref="G11997:M11999" si="2699">"X"</f>
        <v>X</v>
      </c>
      <c r="H11997" s="1" t="str">
        <f t="shared" si="2699"/>
        <v>X</v>
      </c>
      <c r="I11997" s="1" t="str">
        <f t="shared" si="2699"/>
        <v>X</v>
      </c>
      <c r="J11997" s="1" t="str">
        <f t="shared" si="2699"/>
        <v>X</v>
      </c>
      <c r="K11997" s="1" t="str">
        <f t="shared" si="2699"/>
        <v>X</v>
      </c>
      <c r="L11997" s="1" t="str">
        <f t="shared" si="2699"/>
        <v>X</v>
      </c>
      <c r="M11997" s="1" t="str">
        <f t="shared" si="2699"/>
        <v>X</v>
      </c>
      <c r="N11997" t="s">
        <v>27</v>
      </c>
    </row>
    <row r="11998" spans="1:14" x14ac:dyDescent="0.25">
      <c r="A11998" t="s">
        <v>44</v>
      </c>
      <c r="B11998" t="s">
        <v>39</v>
      </c>
      <c r="C11998" t="s">
        <v>37</v>
      </c>
      <c r="D11998" t="s">
        <v>31</v>
      </c>
      <c r="E11998" t="s">
        <v>26</v>
      </c>
      <c r="F11998" t="s">
        <v>17</v>
      </c>
      <c r="G11998" s="1" t="str">
        <f t="shared" si="2699"/>
        <v>X</v>
      </c>
      <c r="H11998" s="1" t="str">
        <f t="shared" si="2699"/>
        <v>X</v>
      </c>
      <c r="I11998" s="1" t="str">
        <f t="shared" si="2699"/>
        <v>X</v>
      </c>
      <c r="J11998" s="1" t="str">
        <f t="shared" si="2699"/>
        <v>X</v>
      </c>
      <c r="K11998" s="1" t="str">
        <f t="shared" si="2699"/>
        <v>X</v>
      </c>
      <c r="L11998" s="1" t="str">
        <f t="shared" si="2699"/>
        <v>X</v>
      </c>
      <c r="M11998" s="1" t="str">
        <f t="shared" si="2699"/>
        <v>X</v>
      </c>
      <c r="N11998" t="s">
        <v>27</v>
      </c>
    </row>
    <row r="11999" spans="1:14" x14ac:dyDescent="0.25">
      <c r="A11999" t="s">
        <v>44</v>
      </c>
      <c r="B11999" t="s">
        <v>39</v>
      </c>
      <c r="C11999" t="s">
        <v>37</v>
      </c>
      <c r="D11999" t="s">
        <v>31</v>
      </c>
      <c r="E11999" t="s">
        <v>26</v>
      </c>
      <c r="F11999" t="s">
        <v>18</v>
      </c>
      <c r="G11999" s="1" t="str">
        <f t="shared" si="2699"/>
        <v>X</v>
      </c>
      <c r="H11999" s="1" t="str">
        <f t="shared" si="2699"/>
        <v>X</v>
      </c>
      <c r="I11999" s="1" t="str">
        <f t="shared" si="2699"/>
        <v>X</v>
      </c>
      <c r="J11999" s="1" t="str">
        <f t="shared" si="2699"/>
        <v>X</v>
      </c>
      <c r="K11999" s="1" t="str">
        <f t="shared" si="2699"/>
        <v>X</v>
      </c>
      <c r="L11999" s="1" t="str">
        <f t="shared" si="2699"/>
        <v>X</v>
      </c>
      <c r="M11999" s="1" t="str">
        <f t="shared" si="2699"/>
        <v>X</v>
      </c>
      <c r="N11999" t="s">
        <v>27</v>
      </c>
    </row>
    <row r="12000" spans="1:14" x14ac:dyDescent="0.25">
      <c r="A12000" t="s">
        <v>44</v>
      </c>
      <c r="B12000" t="s">
        <v>39</v>
      </c>
      <c r="C12000" t="s">
        <v>37</v>
      </c>
      <c r="D12000" t="s">
        <v>31</v>
      </c>
      <c r="E12000" t="s">
        <v>26</v>
      </c>
      <c r="F12000" t="s">
        <v>19</v>
      </c>
      <c r="G12000" s="1" t="str">
        <f t="shared" ref="G12000:M12000" si="2700">"..."</f>
        <v>...</v>
      </c>
      <c r="H12000" s="1" t="str">
        <f t="shared" si="2700"/>
        <v>...</v>
      </c>
      <c r="I12000" s="1" t="str">
        <f t="shared" si="2700"/>
        <v>...</v>
      </c>
      <c r="J12000" s="1" t="str">
        <f t="shared" si="2700"/>
        <v>...</v>
      </c>
      <c r="K12000" s="1" t="str">
        <f t="shared" si="2700"/>
        <v>...</v>
      </c>
      <c r="L12000" s="1" t="str">
        <f t="shared" si="2700"/>
        <v>...</v>
      </c>
      <c r="M12000" s="1" t="str">
        <f t="shared" si="2700"/>
        <v>...</v>
      </c>
      <c r="N12000" t="s">
        <v>30</v>
      </c>
    </row>
    <row r="12001" spans="1:14" x14ac:dyDescent="0.25">
      <c r="A12001" t="s">
        <v>44</v>
      </c>
      <c r="B12001" t="s">
        <v>39</v>
      </c>
      <c r="C12001" t="s">
        <v>37</v>
      </c>
      <c r="D12001" t="s">
        <v>31</v>
      </c>
      <c r="E12001" t="s">
        <v>26</v>
      </c>
      <c r="F12001" t="s">
        <v>20</v>
      </c>
      <c r="G12001" s="1" t="str">
        <f t="shared" ref="G12001:M12001" si="2701">"X"</f>
        <v>X</v>
      </c>
      <c r="H12001" s="1" t="str">
        <f t="shared" si="2701"/>
        <v>X</v>
      </c>
      <c r="I12001" s="1" t="str">
        <f t="shared" si="2701"/>
        <v>X</v>
      </c>
      <c r="J12001" s="1" t="str">
        <f t="shared" si="2701"/>
        <v>X</v>
      </c>
      <c r="K12001" s="1" t="str">
        <f t="shared" si="2701"/>
        <v>X</v>
      </c>
      <c r="L12001" s="1" t="str">
        <f t="shared" si="2701"/>
        <v>X</v>
      </c>
      <c r="M12001" s="1" t="str">
        <f t="shared" si="2701"/>
        <v>X</v>
      </c>
      <c r="N12001" t="s">
        <v>27</v>
      </c>
    </row>
    <row r="12002" spans="1:14" x14ac:dyDescent="0.25">
      <c r="A12002" t="s">
        <v>44</v>
      </c>
      <c r="B12002" t="s">
        <v>39</v>
      </c>
      <c r="C12002" t="s">
        <v>37</v>
      </c>
      <c r="D12002" t="s">
        <v>32</v>
      </c>
      <c r="E12002" t="s">
        <v>15</v>
      </c>
      <c r="F12002" t="s">
        <v>15</v>
      </c>
      <c r="G12002" s="1">
        <f>VALUE(15166.35)</f>
        <v>15166.35</v>
      </c>
      <c r="H12002" s="1">
        <f>VALUE(14532.93)</f>
        <v>14532.93</v>
      </c>
      <c r="I12002" s="1">
        <f>VALUE(3566)</f>
        <v>3566</v>
      </c>
      <c r="J12002" s="1">
        <f>VALUE(4174)</f>
        <v>4174</v>
      </c>
      <c r="K12002" s="1">
        <f>VALUE(5138)</f>
        <v>5138</v>
      </c>
      <c r="L12002" s="1">
        <f>VALUE(6159)</f>
        <v>6159</v>
      </c>
      <c r="M12002" s="1">
        <f>VALUE(7643)</f>
        <v>7643</v>
      </c>
      <c r="N12002" t="s">
        <v>16</v>
      </c>
    </row>
    <row r="12003" spans="1:14" x14ac:dyDescent="0.25">
      <c r="A12003" t="s">
        <v>44</v>
      </c>
      <c r="B12003" t="s">
        <v>39</v>
      </c>
      <c r="C12003" t="s">
        <v>37</v>
      </c>
      <c r="D12003" t="s">
        <v>32</v>
      </c>
      <c r="E12003" t="s">
        <v>15</v>
      </c>
      <c r="F12003" t="s">
        <v>17</v>
      </c>
      <c r="G12003" s="2">
        <f>VALUE(1123.84)</f>
        <v>1123.8399999999999</v>
      </c>
      <c r="H12003" s="3">
        <f>VALUE(1049)</f>
        <v>1049</v>
      </c>
      <c r="I12003" s="1">
        <f>VALUE(5158)</f>
        <v>5158</v>
      </c>
      <c r="J12003" s="1">
        <f>VALUE(6250)</f>
        <v>6250</v>
      </c>
      <c r="K12003" s="1">
        <f>VALUE(8160)</f>
        <v>8160</v>
      </c>
      <c r="L12003" s="7">
        <f>VALUE(11394)</f>
        <v>11394</v>
      </c>
      <c r="M12003" s="8">
        <f>VALUE(16505)</f>
        <v>16505</v>
      </c>
      <c r="N12003" t="s">
        <v>25</v>
      </c>
    </row>
    <row r="12004" spans="1:14" x14ac:dyDescent="0.25">
      <c r="A12004" t="s">
        <v>44</v>
      </c>
      <c r="B12004" t="s">
        <v>39</v>
      </c>
      <c r="C12004" t="s">
        <v>37</v>
      </c>
      <c r="D12004" t="s">
        <v>32</v>
      </c>
      <c r="E12004" t="s">
        <v>15</v>
      </c>
      <c r="F12004" t="s">
        <v>18</v>
      </c>
      <c r="G12004" s="2">
        <f>VALUE(1409.02)</f>
        <v>1409.02</v>
      </c>
      <c r="H12004" s="3">
        <f>VALUE(1407.29)</f>
        <v>1407.29</v>
      </c>
      <c r="I12004" s="4">
        <f>VALUE(4332)</f>
        <v>4332</v>
      </c>
      <c r="J12004" s="1">
        <f>VALUE(5158)</f>
        <v>5158</v>
      </c>
      <c r="K12004" s="1">
        <f>VALUE(5920)</f>
        <v>5920</v>
      </c>
      <c r="L12004" s="7">
        <f>VALUE(7601)</f>
        <v>7601</v>
      </c>
      <c r="M12004" s="8">
        <f>VALUE(10030)</f>
        <v>10030</v>
      </c>
      <c r="N12004" t="s">
        <v>25</v>
      </c>
    </row>
    <row r="12005" spans="1:14" x14ac:dyDescent="0.25">
      <c r="A12005" t="s">
        <v>44</v>
      </c>
      <c r="B12005" t="s">
        <v>39</v>
      </c>
      <c r="C12005" t="s">
        <v>37</v>
      </c>
      <c r="D12005" t="s">
        <v>32</v>
      </c>
      <c r="E12005" t="s">
        <v>15</v>
      </c>
      <c r="F12005" t="s">
        <v>19</v>
      </c>
      <c r="G12005" s="2">
        <f>VALUE(1835.25)</f>
        <v>1835.25</v>
      </c>
      <c r="H12005" s="3">
        <f>VALUE(1812.21)</f>
        <v>1812.21</v>
      </c>
      <c r="I12005" s="1">
        <f>VALUE(3909)</f>
        <v>3909</v>
      </c>
      <c r="J12005" s="1">
        <f>VALUE(4780)</f>
        <v>4780</v>
      </c>
      <c r="K12005" s="1">
        <f>VALUE(5700)</f>
        <v>5700</v>
      </c>
      <c r="L12005" s="1">
        <f>VALUE(6689)</f>
        <v>6689</v>
      </c>
      <c r="M12005" s="1">
        <f>VALUE(7838)</f>
        <v>7838</v>
      </c>
      <c r="N12005" t="s">
        <v>25</v>
      </c>
    </row>
    <row r="12006" spans="1:14" x14ac:dyDescent="0.25">
      <c r="A12006" t="s">
        <v>44</v>
      </c>
      <c r="B12006" t="s">
        <v>39</v>
      </c>
      <c r="C12006" t="s">
        <v>37</v>
      </c>
      <c r="D12006" t="s">
        <v>32</v>
      </c>
      <c r="E12006" t="s">
        <v>15</v>
      </c>
      <c r="F12006" t="s">
        <v>20</v>
      </c>
      <c r="G12006" s="1">
        <f>VALUE(10798.24)</f>
        <v>10798.24</v>
      </c>
      <c r="H12006" s="1">
        <f>VALUE(10264.43)</f>
        <v>10264.43</v>
      </c>
      <c r="I12006" s="1">
        <f>VALUE(3465)</f>
        <v>3465</v>
      </c>
      <c r="J12006" s="1">
        <f>VALUE(3968)</f>
        <v>3968</v>
      </c>
      <c r="K12006" s="1">
        <f>VALUE(4730)</f>
        <v>4730</v>
      </c>
      <c r="L12006" s="1">
        <f>VALUE(5625)</f>
        <v>5625</v>
      </c>
      <c r="M12006" s="1">
        <f>VALUE(6466)</f>
        <v>6466</v>
      </c>
      <c r="N12006" t="s">
        <v>16</v>
      </c>
    </row>
    <row r="12007" spans="1:14" x14ac:dyDescent="0.25">
      <c r="A12007" t="s">
        <v>44</v>
      </c>
      <c r="B12007" t="s">
        <v>39</v>
      </c>
      <c r="C12007" t="s">
        <v>37</v>
      </c>
      <c r="D12007" t="s">
        <v>32</v>
      </c>
      <c r="E12007" t="s">
        <v>21</v>
      </c>
      <c r="F12007" t="s">
        <v>15</v>
      </c>
      <c r="G12007" s="1">
        <f>VALUE(3172.23)</f>
        <v>3172.23</v>
      </c>
      <c r="H12007" s="1">
        <f>VALUE(2988.05)</f>
        <v>2988.05</v>
      </c>
      <c r="I12007" s="1">
        <f>VALUE(4083)</f>
        <v>4083</v>
      </c>
      <c r="J12007" s="1">
        <f>VALUE(5295)</f>
        <v>5295</v>
      </c>
      <c r="K12007" s="1">
        <f>VALUE(6691)</f>
        <v>6691</v>
      </c>
      <c r="L12007" s="1">
        <f>VALUE(8665)</f>
        <v>8665</v>
      </c>
      <c r="M12007" s="8">
        <f>VALUE(11665)</f>
        <v>11665</v>
      </c>
      <c r="N12007" t="s">
        <v>25</v>
      </c>
    </row>
    <row r="12008" spans="1:14" x14ac:dyDescent="0.25">
      <c r="A12008" t="s">
        <v>44</v>
      </c>
      <c r="B12008" t="s">
        <v>39</v>
      </c>
      <c r="C12008" t="s">
        <v>37</v>
      </c>
      <c r="D12008" t="s">
        <v>32</v>
      </c>
      <c r="E12008" t="s">
        <v>21</v>
      </c>
      <c r="F12008" t="s">
        <v>17</v>
      </c>
      <c r="G12008" s="2">
        <f>VALUE(750.44)</f>
        <v>750.44</v>
      </c>
      <c r="H12008" s="3">
        <f>VALUE(673.85)</f>
        <v>673.85</v>
      </c>
      <c r="I12008" s="1">
        <f>VALUE(6077)</f>
        <v>6077</v>
      </c>
      <c r="J12008" s="5">
        <f>VALUE(7081)</f>
        <v>7081</v>
      </c>
      <c r="K12008" s="1">
        <f>VALUE(9524)</f>
        <v>9524</v>
      </c>
      <c r="L12008" s="7">
        <f>VALUE(13055)</f>
        <v>13055</v>
      </c>
      <c r="M12008" s="8">
        <f>VALUE(21300)</f>
        <v>21300</v>
      </c>
      <c r="N12008" t="s">
        <v>25</v>
      </c>
    </row>
    <row r="12009" spans="1:14" x14ac:dyDescent="0.25">
      <c r="A12009" t="s">
        <v>44</v>
      </c>
      <c r="B12009" t="s">
        <v>39</v>
      </c>
      <c r="C12009" t="s">
        <v>37</v>
      </c>
      <c r="D12009" t="s">
        <v>32</v>
      </c>
      <c r="E12009" t="s">
        <v>21</v>
      </c>
      <c r="F12009" t="s">
        <v>18</v>
      </c>
      <c r="G12009" s="2">
        <f>VALUE(519.82)</f>
        <v>519.82000000000005</v>
      </c>
      <c r="H12009" s="3">
        <f>VALUE(515.96)</f>
        <v>515.96</v>
      </c>
      <c r="I12009" s="4">
        <f>VALUE(5142)</f>
        <v>5142</v>
      </c>
      <c r="J12009" s="5">
        <f>VALUE(5615)</f>
        <v>5615</v>
      </c>
      <c r="K12009" s="6">
        <f>VALUE(7813)</f>
        <v>7813</v>
      </c>
      <c r="L12009" s="1">
        <f>VALUE(9700)</f>
        <v>9700</v>
      </c>
      <c r="M12009" s="8">
        <f>VALUE(11023)</f>
        <v>11023</v>
      </c>
      <c r="N12009" t="s">
        <v>25</v>
      </c>
    </row>
    <row r="12010" spans="1:14" x14ac:dyDescent="0.25">
      <c r="A12010" t="s">
        <v>44</v>
      </c>
      <c r="B12010" t="s">
        <v>39</v>
      </c>
      <c r="C12010" t="s">
        <v>37</v>
      </c>
      <c r="D12010" t="s">
        <v>32</v>
      </c>
      <c r="E12010" t="s">
        <v>21</v>
      </c>
      <c r="F12010" t="s">
        <v>19</v>
      </c>
      <c r="G12010" s="2">
        <f>VALUE(501.35)</f>
        <v>501.35</v>
      </c>
      <c r="H12010" s="3">
        <f>VALUE(486)</f>
        <v>486</v>
      </c>
      <c r="I12010" s="4">
        <f>VALUE(3893)</f>
        <v>3893</v>
      </c>
      <c r="J12010" s="5">
        <f>VALUE(5295)</f>
        <v>5295</v>
      </c>
      <c r="K12010" s="6">
        <f>VALUE(6614)</f>
        <v>6614</v>
      </c>
      <c r="L12010" s="1">
        <f>VALUE(7493)</f>
        <v>7493</v>
      </c>
      <c r="M12010" s="8">
        <f>VALUE(9235)</f>
        <v>9235</v>
      </c>
      <c r="N12010" t="s">
        <v>25</v>
      </c>
    </row>
    <row r="12011" spans="1:14" x14ac:dyDescent="0.25">
      <c r="A12011" t="s">
        <v>44</v>
      </c>
      <c r="B12011" t="s">
        <v>39</v>
      </c>
      <c r="C12011" t="s">
        <v>37</v>
      </c>
      <c r="D12011" t="s">
        <v>32</v>
      </c>
      <c r="E12011" t="s">
        <v>21</v>
      </c>
      <c r="F12011" t="s">
        <v>20</v>
      </c>
      <c r="G12011" s="2">
        <f>VALUE(1400.62)</f>
        <v>1400.62</v>
      </c>
      <c r="H12011" s="3">
        <f>VALUE(1312.24)</f>
        <v>1312.24</v>
      </c>
      <c r="I12011" s="1">
        <f>VALUE(3826)</f>
        <v>3826</v>
      </c>
      <c r="J12011" s="1">
        <f>VALUE(4645)</f>
        <v>4645</v>
      </c>
      <c r="K12011" s="1">
        <f>VALUE(5672)</f>
        <v>5672</v>
      </c>
      <c r="L12011" s="1">
        <f>VALUE(7060)</f>
        <v>7060</v>
      </c>
      <c r="M12011" s="1">
        <f>VALUE(8330)</f>
        <v>8330</v>
      </c>
      <c r="N12011" t="s">
        <v>25</v>
      </c>
    </row>
    <row r="12012" spans="1:14" x14ac:dyDescent="0.25">
      <c r="A12012" t="s">
        <v>44</v>
      </c>
      <c r="B12012" t="s">
        <v>39</v>
      </c>
      <c r="C12012" t="s">
        <v>37</v>
      </c>
      <c r="D12012" t="s">
        <v>32</v>
      </c>
      <c r="E12012" t="s">
        <v>22</v>
      </c>
      <c r="F12012" t="s">
        <v>15</v>
      </c>
      <c r="G12012" s="1">
        <f>VALUE(4835.34)</f>
        <v>4835.34</v>
      </c>
      <c r="H12012" s="1">
        <f>VALUE(4789)</f>
        <v>4789</v>
      </c>
      <c r="I12012" s="1">
        <f>VALUE(3821)</f>
        <v>3821</v>
      </c>
      <c r="J12012" s="1">
        <f>VALUE(4332)</f>
        <v>4332</v>
      </c>
      <c r="K12012" s="1">
        <f>VALUE(5149)</f>
        <v>5149</v>
      </c>
      <c r="L12012" s="1">
        <f>VALUE(5866)</f>
        <v>5866</v>
      </c>
      <c r="M12012" s="1">
        <f>VALUE(6825)</f>
        <v>6825</v>
      </c>
      <c r="N12012" t="s">
        <v>16</v>
      </c>
    </row>
    <row r="12013" spans="1:14" x14ac:dyDescent="0.25">
      <c r="A12013" t="s">
        <v>44</v>
      </c>
      <c r="B12013" t="s">
        <v>39</v>
      </c>
      <c r="C12013" t="s">
        <v>37</v>
      </c>
      <c r="D12013" t="s">
        <v>32</v>
      </c>
      <c r="E12013" t="s">
        <v>22</v>
      </c>
      <c r="F12013" t="s">
        <v>17</v>
      </c>
      <c r="G12013" s="2">
        <f>VALUE(314.26)</f>
        <v>314.26</v>
      </c>
      <c r="H12013" s="3">
        <f>VALUE(313.88)</f>
        <v>313.88</v>
      </c>
      <c r="I12013" s="1">
        <f>VALUE(4606)</f>
        <v>4606</v>
      </c>
      <c r="J12013" s="1">
        <f>VALUE(5191)</f>
        <v>5191</v>
      </c>
      <c r="K12013" s="6">
        <f>VALUE(6310)</f>
        <v>6310</v>
      </c>
      <c r="L12013" s="1">
        <f>VALUE(7831)</f>
        <v>7831</v>
      </c>
      <c r="M12013" s="8">
        <f>VALUE(10380)</f>
        <v>10380</v>
      </c>
      <c r="N12013" t="s">
        <v>25</v>
      </c>
    </row>
    <row r="12014" spans="1:14" x14ac:dyDescent="0.25">
      <c r="A12014" t="s">
        <v>44</v>
      </c>
      <c r="B12014" t="s">
        <v>39</v>
      </c>
      <c r="C12014" t="s">
        <v>37</v>
      </c>
      <c r="D12014" t="s">
        <v>32</v>
      </c>
      <c r="E12014" t="s">
        <v>22</v>
      </c>
      <c r="F12014" t="s">
        <v>18</v>
      </c>
      <c r="G12014" s="2">
        <f>VALUE(436.87)</f>
        <v>436.87</v>
      </c>
      <c r="H12014" s="3">
        <f>VALUE(447.57)</f>
        <v>447.57</v>
      </c>
      <c r="I12014" s="1">
        <f>VALUE(4281)</f>
        <v>4281</v>
      </c>
      <c r="J12014" s="1">
        <f>VALUE(5082)</f>
        <v>5082</v>
      </c>
      <c r="K12014" s="1">
        <f>VALUE(5542)</f>
        <v>5542</v>
      </c>
      <c r="L12014" s="1">
        <f>VALUE(6808)</f>
        <v>6808</v>
      </c>
      <c r="M12014" s="1">
        <f>VALUE(8665)</f>
        <v>8665</v>
      </c>
      <c r="N12014" t="s">
        <v>25</v>
      </c>
    </row>
    <row r="12015" spans="1:14" x14ac:dyDescent="0.25">
      <c r="A12015" t="s">
        <v>44</v>
      </c>
      <c r="B12015" t="s">
        <v>39</v>
      </c>
      <c r="C12015" t="s">
        <v>37</v>
      </c>
      <c r="D12015" t="s">
        <v>32</v>
      </c>
      <c r="E12015" t="s">
        <v>22</v>
      </c>
      <c r="F12015" t="s">
        <v>19</v>
      </c>
      <c r="G12015" s="2">
        <f>VALUE(794.69)</f>
        <v>794.69</v>
      </c>
      <c r="H12015" s="3">
        <f>VALUE(784.01)</f>
        <v>784.01</v>
      </c>
      <c r="I12015" s="1">
        <f>VALUE(4241)</f>
        <v>4241</v>
      </c>
      <c r="J12015" s="1">
        <f>VALUE(4933)</f>
        <v>4933</v>
      </c>
      <c r="K12015" s="1">
        <f>VALUE(5651)</f>
        <v>5651</v>
      </c>
      <c r="L12015" s="1">
        <f>VALUE(6355)</f>
        <v>6355</v>
      </c>
      <c r="M12015" s="8">
        <f>VALUE(7109)</f>
        <v>7109</v>
      </c>
      <c r="N12015" t="s">
        <v>25</v>
      </c>
    </row>
    <row r="12016" spans="1:14" x14ac:dyDescent="0.25">
      <c r="A12016" t="s">
        <v>44</v>
      </c>
      <c r="B12016" t="s">
        <v>39</v>
      </c>
      <c r="C12016" t="s">
        <v>37</v>
      </c>
      <c r="D12016" t="s">
        <v>32</v>
      </c>
      <c r="E12016" t="s">
        <v>22</v>
      </c>
      <c r="F12016" t="s">
        <v>20</v>
      </c>
      <c r="G12016" s="1">
        <f>VALUE(3289.52)</f>
        <v>3289.52</v>
      </c>
      <c r="H12016" s="1">
        <f>VALUE(3243.54)</f>
        <v>3243.54</v>
      </c>
      <c r="I12016" s="1">
        <f>VALUE(3701)</f>
        <v>3701</v>
      </c>
      <c r="J12016" s="1">
        <f>VALUE(4116)</f>
        <v>4116</v>
      </c>
      <c r="K12016" s="1">
        <f>VALUE(4833)</f>
        <v>4833</v>
      </c>
      <c r="L12016" s="1">
        <f>VALUE(5533)</f>
        <v>5533</v>
      </c>
      <c r="M12016" s="1">
        <f>VALUE(6259)</f>
        <v>6259</v>
      </c>
      <c r="N12016" t="s">
        <v>16</v>
      </c>
    </row>
    <row r="12017" spans="1:14" x14ac:dyDescent="0.25">
      <c r="A12017" t="s">
        <v>44</v>
      </c>
      <c r="B12017" t="s">
        <v>39</v>
      </c>
      <c r="C12017" t="s">
        <v>37</v>
      </c>
      <c r="D12017" t="s">
        <v>32</v>
      </c>
      <c r="E12017" t="s">
        <v>23</v>
      </c>
      <c r="F12017" t="s">
        <v>15</v>
      </c>
      <c r="G12017" s="1">
        <f>VALUE(6965.86)</f>
        <v>6965.86</v>
      </c>
      <c r="H12017" s="1">
        <f>VALUE(6563.77)</f>
        <v>6563.77</v>
      </c>
      <c r="I12017" s="1">
        <f>VALUE(3423)</f>
        <v>3423</v>
      </c>
      <c r="J12017" s="1">
        <f>VALUE(3886)</f>
        <v>3886</v>
      </c>
      <c r="K12017" s="1">
        <f>VALUE(4600)</f>
        <v>4600</v>
      </c>
      <c r="L12017" s="1">
        <f>VALUE(5547)</f>
        <v>5547</v>
      </c>
      <c r="M12017" s="1">
        <f>VALUE(6318)</f>
        <v>6318</v>
      </c>
      <c r="N12017" t="s">
        <v>16</v>
      </c>
    </row>
    <row r="12018" spans="1:14" x14ac:dyDescent="0.25">
      <c r="A12018" t="s">
        <v>44</v>
      </c>
      <c r="B12018" t="s">
        <v>39</v>
      </c>
      <c r="C12018" t="s">
        <v>37</v>
      </c>
      <c r="D12018" t="s">
        <v>32</v>
      </c>
      <c r="E12018" t="s">
        <v>23</v>
      </c>
      <c r="F12018" t="s">
        <v>17</v>
      </c>
      <c r="G12018" s="1" t="str">
        <f t="shared" ref="G12018:M12018" si="2702">"X"</f>
        <v>X</v>
      </c>
      <c r="H12018" s="1" t="str">
        <f t="shared" si="2702"/>
        <v>X</v>
      </c>
      <c r="I12018" s="1" t="str">
        <f t="shared" si="2702"/>
        <v>X</v>
      </c>
      <c r="J12018" s="1" t="str">
        <f t="shared" si="2702"/>
        <v>X</v>
      </c>
      <c r="K12018" s="1" t="str">
        <f t="shared" si="2702"/>
        <v>X</v>
      </c>
      <c r="L12018" s="1" t="str">
        <f t="shared" si="2702"/>
        <v>X</v>
      </c>
      <c r="M12018" s="1" t="str">
        <f t="shared" si="2702"/>
        <v>X</v>
      </c>
      <c r="N12018" t="s">
        <v>27</v>
      </c>
    </row>
    <row r="12019" spans="1:14" x14ac:dyDescent="0.25">
      <c r="A12019" t="s">
        <v>44</v>
      </c>
      <c r="B12019" t="s">
        <v>39</v>
      </c>
      <c r="C12019" t="s">
        <v>37</v>
      </c>
      <c r="D12019" t="s">
        <v>32</v>
      </c>
      <c r="E12019" t="s">
        <v>23</v>
      </c>
      <c r="F12019" t="s">
        <v>18</v>
      </c>
      <c r="G12019" s="2">
        <f>VALUE(422.44)</f>
        <v>422.44</v>
      </c>
      <c r="H12019" s="3">
        <f>VALUE(413.87)</f>
        <v>413.87</v>
      </c>
      <c r="I12019" s="4">
        <f>VALUE(3950)</f>
        <v>3950</v>
      </c>
      <c r="J12019" s="5">
        <f>VALUE(4902)</f>
        <v>4902</v>
      </c>
      <c r="K12019" s="6">
        <f>VALUE(5584)</f>
        <v>5584</v>
      </c>
      <c r="L12019" s="1">
        <f>VALUE(5963)</f>
        <v>5963</v>
      </c>
      <c r="M12019" s="1">
        <f>VALUE(6288)</f>
        <v>6288</v>
      </c>
      <c r="N12019" t="s">
        <v>25</v>
      </c>
    </row>
    <row r="12020" spans="1:14" x14ac:dyDescent="0.25">
      <c r="A12020" t="s">
        <v>44</v>
      </c>
      <c r="B12020" t="s">
        <v>39</v>
      </c>
      <c r="C12020" t="s">
        <v>37</v>
      </c>
      <c r="D12020" t="s">
        <v>32</v>
      </c>
      <c r="E12020" t="s">
        <v>23</v>
      </c>
      <c r="F12020" t="s">
        <v>19</v>
      </c>
      <c r="G12020" s="2">
        <f>VALUE(529.94)</f>
        <v>529.94000000000005</v>
      </c>
      <c r="H12020" s="3">
        <f>VALUE(532.39)</f>
        <v>532.39</v>
      </c>
      <c r="I12020" s="4">
        <f>VALUE(3577)</f>
        <v>3577</v>
      </c>
      <c r="J12020" s="1">
        <f>VALUE(4332)</f>
        <v>4332</v>
      </c>
      <c r="K12020" s="6">
        <f>VALUE(5281)</f>
        <v>5281</v>
      </c>
      <c r="L12020" s="7">
        <f>VALUE(6350)</f>
        <v>6350</v>
      </c>
      <c r="M12020" s="8">
        <f>VALUE(7460)</f>
        <v>7460</v>
      </c>
      <c r="N12020" t="s">
        <v>25</v>
      </c>
    </row>
    <row r="12021" spans="1:14" x14ac:dyDescent="0.25">
      <c r="A12021" t="s">
        <v>44</v>
      </c>
      <c r="B12021" t="s">
        <v>39</v>
      </c>
      <c r="C12021" t="s">
        <v>37</v>
      </c>
      <c r="D12021" t="s">
        <v>32</v>
      </c>
      <c r="E12021" t="s">
        <v>23</v>
      </c>
      <c r="F12021" t="s">
        <v>20</v>
      </c>
      <c r="G12021" s="1">
        <f>VALUE(5965.62)</f>
        <v>5965.62</v>
      </c>
      <c r="H12021" s="1">
        <f>VALUE(5567.65)</f>
        <v>5567.65</v>
      </c>
      <c r="I12021" s="1">
        <f>VALUE(3379)</f>
        <v>3379</v>
      </c>
      <c r="J12021" s="1">
        <f>VALUE(3809)</f>
        <v>3809</v>
      </c>
      <c r="K12021" s="1">
        <f>VALUE(4511)</f>
        <v>4511</v>
      </c>
      <c r="L12021" s="1">
        <f>VALUE(5400)</f>
        <v>5400</v>
      </c>
      <c r="M12021" s="1">
        <f>VALUE(6170)</f>
        <v>6170</v>
      </c>
      <c r="N12021" t="s">
        <v>16</v>
      </c>
    </row>
    <row r="12022" spans="1:14" x14ac:dyDescent="0.25">
      <c r="A12022" t="s">
        <v>44</v>
      </c>
      <c r="B12022" t="s">
        <v>39</v>
      </c>
      <c r="C12022" t="s">
        <v>37</v>
      </c>
      <c r="D12022" t="s">
        <v>32</v>
      </c>
      <c r="E12022" t="s">
        <v>26</v>
      </c>
      <c r="F12022" t="s">
        <v>15</v>
      </c>
      <c r="G12022" s="2">
        <f>VALUE(192.92)</f>
        <v>192.92</v>
      </c>
      <c r="H12022" s="3">
        <f>VALUE(192.11)</f>
        <v>192.11</v>
      </c>
      <c r="I12022" s="4">
        <f>VALUE(4224)</f>
        <v>4224</v>
      </c>
      <c r="J12022" s="5">
        <f>VALUE(4999)</f>
        <v>4999</v>
      </c>
      <c r="K12022" s="1">
        <f>VALUE(6239)</f>
        <v>6239</v>
      </c>
      <c r="L12022" s="7">
        <f>VALUE(7201)</f>
        <v>7201</v>
      </c>
      <c r="M12022" s="1">
        <f>VALUE(8788)</f>
        <v>8788</v>
      </c>
      <c r="N12022" t="s">
        <v>25</v>
      </c>
    </row>
    <row r="12023" spans="1:14" x14ac:dyDescent="0.25">
      <c r="A12023" t="s">
        <v>44</v>
      </c>
      <c r="B12023" t="s">
        <v>39</v>
      </c>
      <c r="C12023" t="s">
        <v>37</v>
      </c>
      <c r="D12023" t="s">
        <v>32</v>
      </c>
      <c r="E12023" t="s">
        <v>26</v>
      </c>
      <c r="F12023" t="s">
        <v>17</v>
      </c>
      <c r="G12023" s="1" t="str">
        <f t="shared" ref="G12023:M12037" si="2703">"X"</f>
        <v>X</v>
      </c>
      <c r="H12023" s="1" t="str">
        <f t="shared" si="2703"/>
        <v>X</v>
      </c>
      <c r="I12023" s="1" t="str">
        <f t="shared" si="2703"/>
        <v>X</v>
      </c>
      <c r="J12023" s="1" t="str">
        <f t="shared" si="2703"/>
        <v>X</v>
      </c>
      <c r="K12023" s="1" t="str">
        <f t="shared" si="2703"/>
        <v>X</v>
      </c>
      <c r="L12023" s="1" t="str">
        <f t="shared" si="2703"/>
        <v>X</v>
      </c>
      <c r="M12023" s="1" t="str">
        <f t="shared" si="2703"/>
        <v>X</v>
      </c>
      <c r="N12023" t="s">
        <v>27</v>
      </c>
    </row>
    <row r="12024" spans="1:14" x14ac:dyDescent="0.25">
      <c r="A12024" t="s">
        <v>44</v>
      </c>
      <c r="B12024" t="s">
        <v>39</v>
      </c>
      <c r="C12024" t="s">
        <v>37</v>
      </c>
      <c r="D12024" t="s">
        <v>32</v>
      </c>
      <c r="E12024" t="s">
        <v>26</v>
      </c>
      <c r="F12024" t="s">
        <v>18</v>
      </c>
      <c r="G12024" s="1" t="str">
        <f t="shared" si="2703"/>
        <v>X</v>
      </c>
      <c r="H12024" s="1" t="str">
        <f t="shared" si="2703"/>
        <v>X</v>
      </c>
      <c r="I12024" s="1" t="str">
        <f t="shared" si="2703"/>
        <v>X</v>
      </c>
      <c r="J12024" s="1" t="str">
        <f t="shared" si="2703"/>
        <v>X</v>
      </c>
      <c r="K12024" s="1" t="str">
        <f t="shared" si="2703"/>
        <v>X</v>
      </c>
      <c r="L12024" s="1" t="str">
        <f t="shared" si="2703"/>
        <v>X</v>
      </c>
      <c r="M12024" s="1" t="str">
        <f t="shared" si="2703"/>
        <v>X</v>
      </c>
      <c r="N12024" t="s">
        <v>27</v>
      </c>
    </row>
    <row r="12025" spans="1:14" x14ac:dyDescent="0.25">
      <c r="A12025" t="s">
        <v>44</v>
      </c>
      <c r="B12025" t="s">
        <v>39</v>
      </c>
      <c r="C12025" t="s">
        <v>37</v>
      </c>
      <c r="D12025" t="s">
        <v>32</v>
      </c>
      <c r="E12025" t="s">
        <v>26</v>
      </c>
      <c r="F12025" t="s">
        <v>19</v>
      </c>
      <c r="G12025" s="1" t="str">
        <f t="shared" si="2703"/>
        <v>X</v>
      </c>
      <c r="H12025" s="1" t="str">
        <f t="shared" si="2703"/>
        <v>X</v>
      </c>
      <c r="I12025" s="1" t="str">
        <f t="shared" si="2703"/>
        <v>X</v>
      </c>
      <c r="J12025" s="1" t="str">
        <f t="shared" si="2703"/>
        <v>X</v>
      </c>
      <c r="K12025" s="1" t="str">
        <f t="shared" si="2703"/>
        <v>X</v>
      </c>
      <c r="L12025" s="1" t="str">
        <f t="shared" si="2703"/>
        <v>X</v>
      </c>
      <c r="M12025" s="1" t="str">
        <f t="shared" si="2703"/>
        <v>X</v>
      </c>
      <c r="N12025" t="s">
        <v>27</v>
      </c>
    </row>
    <row r="12026" spans="1:14" x14ac:dyDescent="0.25">
      <c r="A12026" t="s">
        <v>44</v>
      </c>
      <c r="B12026" t="s">
        <v>39</v>
      </c>
      <c r="C12026" t="s">
        <v>37</v>
      </c>
      <c r="D12026" t="s">
        <v>32</v>
      </c>
      <c r="E12026" t="s">
        <v>26</v>
      </c>
      <c r="F12026" t="s">
        <v>20</v>
      </c>
      <c r="G12026" s="1" t="str">
        <f t="shared" si="2703"/>
        <v>X</v>
      </c>
      <c r="H12026" s="1" t="str">
        <f t="shared" si="2703"/>
        <v>X</v>
      </c>
      <c r="I12026" s="1" t="str">
        <f t="shared" si="2703"/>
        <v>X</v>
      </c>
      <c r="J12026" s="1" t="str">
        <f t="shared" si="2703"/>
        <v>X</v>
      </c>
      <c r="K12026" s="1" t="str">
        <f t="shared" si="2703"/>
        <v>X</v>
      </c>
      <c r="L12026" s="1" t="str">
        <f t="shared" si="2703"/>
        <v>X</v>
      </c>
      <c r="M12026" s="1" t="str">
        <f t="shared" si="2703"/>
        <v>X</v>
      </c>
      <c r="N12026" t="s">
        <v>27</v>
      </c>
    </row>
    <row r="12027" spans="1:14" x14ac:dyDescent="0.25">
      <c r="A12027" t="s">
        <v>44</v>
      </c>
      <c r="B12027" t="s">
        <v>39</v>
      </c>
      <c r="C12027" t="s">
        <v>37</v>
      </c>
      <c r="D12027" t="s">
        <v>33</v>
      </c>
      <c r="E12027" t="s">
        <v>15</v>
      </c>
      <c r="F12027" t="s">
        <v>15</v>
      </c>
      <c r="G12027" s="1" t="str">
        <f t="shared" si="2703"/>
        <v>X</v>
      </c>
      <c r="H12027" s="1" t="str">
        <f t="shared" si="2703"/>
        <v>X</v>
      </c>
      <c r="I12027" s="1" t="str">
        <f t="shared" si="2703"/>
        <v>X</v>
      </c>
      <c r="J12027" s="1" t="str">
        <f t="shared" si="2703"/>
        <v>X</v>
      </c>
      <c r="K12027" s="1" t="str">
        <f t="shared" si="2703"/>
        <v>X</v>
      </c>
      <c r="L12027" s="1" t="str">
        <f t="shared" si="2703"/>
        <v>X</v>
      </c>
      <c r="M12027" s="1" t="str">
        <f t="shared" si="2703"/>
        <v>X</v>
      </c>
      <c r="N12027" t="s">
        <v>27</v>
      </c>
    </row>
    <row r="12028" spans="1:14" x14ac:dyDescent="0.25">
      <c r="A12028" t="s">
        <v>44</v>
      </c>
      <c r="B12028" t="s">
        <v>39</v>
      </c>
      <c r="C12028" t="s">
        <v>37</v>
      </c>
      <c r="D12028" t="s">
        <v>33</v>
      </c>
      <c r="E12028" t="s">
        <v>15</v>
      </c>
      <c r="F12028" t="s">
        <v>17</v>
      </c>
      <c r="G12028" s="1" t="str">
        <f t="shared" si="2703"/>
        <v>X</v>
      </c>
      <c r="H12028" s="1" t="str">
        <f t="shared" si="2703"/>
        <v>X</v>
      </c>
      <c r="I12028" s="1" t="str">
        <f t="shared" si="2703"/>
        <v>X</v>
      </c>
      <c r="J12028" s="1" t="str">
        <f t="shared" si="2703"/>
        <v>X</v>
      </c>
      <c r="K12028" s="1" t="str">
        <f t="shared" si="2703"/>
        <v>X</v>
      </c>
      <c r="L12028" s="1" t="str">
        <f t="shared" si="2703"/>
        <v>X</v>
      </c>
      <c r="M12028" s="1" t="str">
        <f t="shared" si="2703"/>
        <v>X</v>
      </c>
      <c r="N12028" t="s">
        <v>27</v>
      </c>
    </row>
    <row r="12029" spans="1:14" x14ac:dyDescent="0.25">
      <c r="A12029" t="s">
        <v>44</v>
      </c>
      <c r="B12029" t="s">
        <v>39</v>
      </c>
      <c r="C12029" t="s">
        <v>37</v>
      </c>
      <c r="D12029" t="s">
        <v>33</v>
      </c>
      <c r="E12029" t="s">
        <v>15</v>
      </c>
      <c r="F12029" t="s">
        <v>18</v>
      </c>
      <c r="G12029" s="1" t="str">
        <f t="shared" si="2703"/>
        <v>X</v>
      </c>
      <c r="H12029" s="1" t="str">
        <f t="shared" si="2703"/>
        <v>X</v>
      </c>
      <c r="I12029" s="1" t="str">
        <f t="shared" si="2703"/>
        <v>X</v>
      </c>
      <c r="J12029" s="1" t="str">
        <f t="shared" si="2703"/>
        <v>X</v>
      </c>
      <c r="K12029" s="1" t="str">
        <f t="shared" si="2703"/>
        <v>X</v>
      </c>
      <c r="L12029" s="1" t="str">
        <f t="shared" si="2703"/>
        <v>X</v>
      </c>
      <c r="M12029" s="1" t="str">
        <f t="shared" si="2703"/>
        <v>X</v>
      </c>
      <c r="N12029" t="s">
        <v>27</v>
      </c>
    </row>
    <row r="12030" spans="1:14" x14ac:dyDescent="0.25">
      <c r="A12030" t="s">
        <v>44</v>
      </c>
      <c r="B12030" t="s">
        <v>39</v>
      </c>
      <c r="C12030" t="s">
        <v>37</v>
      </c>
      <c r="D12030" t="s">
        <v>33</v>
      </c>
      <c r="E12030" t="s">
        <v>15</v>
      </c>
      <c r="F12030" t="s">
        <v>19</v>
      </c>
      <c r="G12030" s="1" t="str">
        <f t="shared" si="2703"/>
        <v>X</v>
      </c>
      <c r="H12030" s="1" t="str">
        <f t="shared" si="2703"/>
        <v>X</v>
      </c>
      <c r="I12030" s="1" t="str">
        <f t="shared" si="2703"/>
        <v>X</v>
      </c>
      <c r="J12030" s="1" t="str">
        <f t="shared" si="2703"/>
        <v>X</v>
      </c>
      <c r="K12030" s="1" t="str">
        <f t="shared" si="2703"/>
        <v>X</v>
      </c>
      <c r="L12030" s="1" t="str">
        <f t="shared" si="2703"/>
        <v>X</v>
      </c>
      <c r="M12030" s="1" t="str">
        <f t="shared" si="2703"/>
        <v>X</v>
      </c>
      <c r="N12030" t="s">
        <v>27</v>
      </c>
    </row>
    <row r="12031" spans="1:14" x14ac:dyDescent="0.25">
      <c r="A12031" t="s">
        <v>44</v>
      </c>
      <c r="B12031" t="s">
        <v>39</v>
      </c>
      <c r="C12031" t="s">
        <v>37</v>
      </c>
      <c r="D12031" t="s">
        <v>33</v>
      </c>
      <c r="E12031" t="s">
        <v>15</v>
      </c>
      <c r="F12031" t="s">
        <v>20</v>
      </c>
      <c r="G12031" s="1" t="str">
        <f t="shared" si="2703"/>
        <v>X</v>
      </c>
      <c r="H12031" s="1" t="str">
        <f t="shared" si="2703"/>
        <v>X</v>
      </c>
      <c r="I12031" s="1" t="str">
        <f t="shared" si="2703"/>
        <v>X</v>
      </c>
      <c r="J12031" s="1" t="str">
        <f t="shared" si="2703"/>
        <v>X</v>
      </c>
      <c r="K12031" s="1" t="str">
        <f t="shared" si="2703"/>
        <v>X</v>
      </c>
      <c r="L12031" s="1" t="str">
        <f t="shared" si="2703"/>
        <v>X</v>
      </c>
      <c r="M12031" s="1" t="str">
        <f t="shared" si="2703"/>
        <v>X</v>
      </c>
      <c r="N12031" t="s">
        <v>27</v>
      </c>
    </row>
    <row r="12032" spans="1:14" x14ac:dyDescent="0.25">
      <c r="A12032" t="s">
        <v>44</v>
      </c>
      <c r="B12032" t="s">
        <v>39</v>
      </c>
      <c r="C12032" t="s">
        <v>37</v>
      </c>
      <c r="D12032" t="s">
        <v>33</v>
      </c>
      <c r="E12032" t="s">
        <v>21</v>
      </c>
      <c r="F12032" t="s">
        <v>15</v>
      </c>
      <c r="G12032" s="1" t="str">
        <f t="shared" si="2703"/>
        <v>X</v>
      </c>
      <c r="H12032" s="1" t="str">
        <f t="shared" si="2703"/>
        <v>X</v>
      </c>
      <c r="I12032" s="1" t="str">
        <f t="shared" si="2703"/>
        <v>X</v>
      </c>
      <c r="J12032" s="1" t="str">
        <f t="shared" si="2703"/>
        <v>X</v>
      </c>
      <c r="K12032" s="1" t="str">
        <f t="shared" si="2703"/>
        <v>X</v>
      </c>
      <c r="L12032" s="1" t="str">
        <f t="shared" si="2703"/>
        <v>X</v>
      </c>
      <c r="M12032" s="1" t="str">
        <f t="shared" si="2703"/>
        <v>X</v>
      </c>
      <c r="N12032" t="s">
        <v>27</v>
      </c>
    </row>
    <row r="12033" spans="1:14" x14ac:dyDescent="0.25">
      <c r="A12033" t="s">
        <v>44</v>
      </c>
      <c r="B12033" t="s">
        <v>39</v>
      </c>
      <c r="C12033" t="s">
        <v>37</v>
      </c>
      <c r="D12033" t="s">
        <v>33</v>
      </c>
      <c r="E12033" t="s">
        <v>21</v>
      </c>
      <c r="F12033" t="s">
        <v>17</v>
      </c>
      <c r="G12033" s="1" t="str">
        <f t="shared" si="2703"/>
        <v>X</v>
      </c>
      <c r="H12033" s="1" t="str">
        <f t="shared" si="2703"/>
        <v>X</v>
      </c>
      <c r="I12033" s="1" t="str">
        <f t="shared" si="2703"/>
        <v>X</v>
      </c>
      <c r="J12033" s="1" t="str">
        <f t="shared" si="2703"/>
        <v>X</v>
      </c>
      <c r="K12033" s="1" t="str">
        <f t="shared" si="2703"/>
        <v>X</v>
      </c>
      <c r="L12033" s="1" t="str">
        <f t="shared" si="2703"/>
        <v>X</v>
      </c>
      <c r="M12033" s="1" t="str">
        <f t="shared" si="2703"/>
        <v>X</v>
      </c>
      <c r="N12033" t="s">
        <v>27</v>
      </c>
    </row>
    <row r="12034" spans="1:14" x14ac:dyDescent="0.25">
      <c r="A12034" t="s">
        <v>44</v>
      </c>
      <c r="B12034" t="s">
        <v>39</v>
      </c>
      <c r="C12034" t="s">
        <v>37</v>
      </c>
      <c r="D12034" t="s">
        <v>33</v>
      </c>
      <c r="E12034" t="s">
        <v>21</v>
      </c>
      <c r="F12034" t="s">
        <v>18</v>
      </c>
      <c r="G12034" s="1" t="str">
        <f t="shared" si="2703"/>
        <v>X</v>
      </c>
      <c r="H12034" s="1" t="str">
        <f t="shared" si="2703"/>
        <v>X</v>
      </c>
      <c r="I12034" s="1" t="str">
        <f t="shared" si="2703"/>
        <v>X</v>
      </c>
      <c r="J12034" s="1" t="str">
        <f t="shared" si="2703"/>
        <v>X</v>
      </c>
      <c r="K12034" s="1" t="str">
        <f t="shared" si="2703"/>
        <v>X</v>
      </c>
      <c r="L12034" s="1" t="str">
        <f t="shared" si="2703"/>
        <v>X</v>
      </c>
      <c r="M12034" s="1" t="str">
        <f t="shared" si="2703"/>
        <v>X</v>
      </c>
      <c r="N12034" t="s">
        <v>27</v>
      </c>
    </row>
    <row r="12035" spans="1:14" x14ac:dyDescent="0.25">
      <c r="A12035" t="s">
        <v>44</v>
      </c>
      <c r="B12035" t="s">
        <v>39</v>
      </c>
      <c r="C12035" t="s">
        <v>37</v>
      </c>
      <c r="D12035" t="s">
        <v>33</v>
      </c>
      <c r="E12035" t="s">
        <v>21</v>
      </c>
      <c r="F12035" t="s">
        <v>19</v>
      </c>
      <c r="G12035" s="1" t="str">
        <f t="shared" si="2703"/>
        <v>X</v>
      </c>
      <c r="H12035" s="1" t="str">
        <f t="shared" si="2703"/>
        <v>X</v>
      </c>
      <c r="I12035" s="1" t="str">
        <f t="shared" si="2703"/>
        <v>X</v>
      </c>
      <c r="J12035" s="1" t="str">
        <f t="shared" si="2703"/>
        <v>X</v>
      </c>
      <c r="K12035" s="1" t="str">
        <f t="shared" si="2703"/>
        <v>X</v>
      </c>
      <c r="L12035" s="1" t="str">
        <f t="shared" si="2703"/>
        <v>X</v>
      </c>
      <c r="M12035" s="1" t="str">
        <f t="shared" si="2703"/>
        <v>X</v>
      </c>
      <c r="N12035" t="s">
        <v>27</v>
      </c>
    </row>
    <row r="12036" spans="1:14" x14ac:dyDescent="0.25">
      <c r="A12036" t="s">
        <v>44</v>
      </c>
      <c r="B12036" t="s">
        <v>39</v>
      </c>
      <c r="C12036" t="s">
        <v>37</v>
      </c>
      <c r="D12036" t="s">
        <v>33</v>
      </c>
      <c r="E12036" t="s">
        <v>21</v>
      </c>
      <c r="F12036" t="s">
        <v>20</v>
      </c>
      <c r="G12036" s="1" t="str">
        <f t="shared" si="2703"/>
        <v>X</v>
      </c>
      <c r="H12036" s="1" t="str">
        <f t="shared" si="2703"/>
        <v>X</v>
      </c>
      <c r="I12036" s="1" t="str">
        <f t="shared" si="2703"/>
        <v>X</v>
      </c>
      <c r="J12036" s="1" t="str">
        <f t="shared" si="2703"/>
        <v>X</v>
      </c>
      <c r="K12036" s="1" t="str">
        <f t="shared" si="2703"/>
        <v>X</v>
      </c>
      <c r="L12036" s="1" t="str">
        <f t="shared" si="2703"/>
        <v>X</v>
      </c>
      <c r="M12036" s="1" t="str">
        <f t="shared" si="2703"/>
        <v>X</v>
      </c>
      <c r="N12036" t="s">
        <v>27</v>
      </c>
    </row>
    <row r="12037" spans="1:14" x14ac:dyDescent="0.25">
      <c r="A12037" t="s">
        <v>44</v>
      </c>
      <c r="B12037" t="s">
        <v>39</v>
      </c>
      <c r="C12037" t="s">
        <v>37</v>
      </c>
      <c r="D12037" t="s">
        <v>33</v>
      </c>
      <c r="E12037" t="s">
        <v>22</v>
      </c>
      <c r="F12037" t="s">
        <v>15</v>
      </c>
      <c r="G12037" s="1" t="str">
        <f t="shared" si="2703"/>
        <v>X</v>
      </c>
      <c r="H12037" s="1" t="str">
        <f t="shared" si="2703"/>
        <v>X</v>
      </c>
      <c r="I12037" s="1" t="str">
        <f t="shared" si="2703"/>
        <v>X</v>
      </c>
      <c r="J12037" s="1" t="str">
        <f t="shared" si="2703"/>
        <v>X</v>
      </c>
      <c r="K12037" s="1" t="str">
        <f t="shared" si="2703"/>
        <v>X</v>
      </c>
      <c r="L12037" s="1" t="str">
        <f t="shared" si="2703"/>
        <v>X</v>
      </c>
      <c r="M12037" s="1" t="str">
        <f t="shared" si="2703"/>
        <v>X</v>
      </c>
      <c r="N12037" t="s">
        <v>27</v>
      </c>
    </row>
    <row r="12038" spans="1:14" x14ac:dyDescent="0.25">
      <c r="A12038" t="s">
        <v>44</v>
      </c>
      <c r="B12038" t="s">
        <v>39</v>
      </c>
      <c r="C12038" t="s">
        <v>37</v>
      </c>
      <c r="D12038" t="s">
        <v>33</v>
      </c>
      <c r="E12038" t="s">
        <v>22</v>
      </c>
      <c r="F12038" t="s">
        <v>17</v>
      </c>
      <c r="G12038" s="1" t="str">
        <f t="shared" ref="G12038:M12038" si="2704">"..."</f>
        <v>...</v>
      </c>
      <c r="H12038" s="1" t="str">
        <f t="shared" si="2704"/>
        <v>...</v>
      </c>
      <c r="I12038" s="1" t="str">
        <f t="shared" si="2704"/>
        <v>...</v>
      </c>
      <c r="J12038" s="1" t="str">
        <f t="shared" si="2704"/>
        <v>...</v>
      </c>
      <c r="K12038" s="1" t="str">
        <f t="shared" si="2704"/>
        <v>...</v>
      </c>
      <c r="L12038" s="1" t="str">
        <f t="shared" si="2704"/>
        <v>...</v>
      </c>
      <c r="M12038" s="1" t="str">
        <f t="shared" si="2704"/>
        <v>...</v>
      </c>
      <c r="N12038" t="s">
        <v>30</v>
      </c>
    </row>
    <row r="12039" spans="1:14" x14ac:dyDescent="0.25">
      <c r="A12039" t="s">
        <v>44</v>
      </c>
      <c r="B12039" t="s">
        <v>39</v>
      </c>
      <c r="C12039" t="s">
        <v>37</v>
      </c>
      <c r="D12039" t="s">
        <v>33</v>
      </c>
      <c r="E12039" t="s">
        <v>22</v>
      </c>
      <c r="F12039" t="s">
        <v>18</v>
      </c>
      <c r="G12039" s="1" t="str">
        <f t="shared" ref="G12039:M12042" si="2705">"X"</f>
        <v>X</v>
      </c>
      <c r="H12039" s="1" t="str">
        <f t="shared" si="2705"/>
        <v>X</v>
      </c>
      <c r="I12039" s="1" t="str">
        <f t="shared" si="2705"/>
        <v>X</v>
      </c>
      <c r="J12039" s="1" t="str">
        <f t="shared" si="2705"/>
        <v>X</v>
      </c>
      <c r="K12039" s="1" t="str">
        <f t="shared" si="2705"/>
        <v>X</v>
      </c>
      <c r="L12039" s="1" t="str">
        <f t="shared" si="2705"/>
        <v>X</v>
      </c>
      <c r="M12039" s="1" t="str">
        <f t="shared" si="2705"/>
        <v>X</v>
      </c>
      <c r="N12039" t="s">
        <v>27</v>
      </c>
    </row>
    <row r="12040" spans="1:14" x14ac:dyDescent="0.25">
      <c r="A12040" t="s">
        <v>44</v>
      </c>
      <c r="B12040" t="s">
        <v>39</v>
      </c>
      <c r="C12040" t="s">
        <v>37</v>
      </c>
      <c r="D12040" t="s">
        <v>33</v>
      </c>
      <c r="E12040" t="s">
        <v>22</v>
      </c>
      <c r="F12040" t="s">
        <v>19</v>
      </c>
      <c r="G12040" s="1" t="str">
        <f t="shared" si="2705"/>
        <v>X</v>
      </c>
      <c r="H12040" s="1" t="str">
        <f t="shared" si="2705"/>
        <v>X</v>
      </c>
      <c r="I12040" s="1" t="str">
        <f t="shared" si="2705"/>
        <v>X</v>
      </c>
      <c r="J12040" s="1" t="str">
        <f t="shared" si="2705"/>
        <v>X</v>
      </c>
      <c r="K12040" s="1" t="str">
        <f t="shared" si="2705"/>
        <v>X</v>
      </c>
      <c r="L12040" s="1" t="str">
        <f t="shared" si="2705"/>
        <v>X</v>
      </c>
      <c r="M12040" s="1" t="str">
        <f t="shared" si="2705"/>
        <v>X</v>
      </c>
      <c r="N12040" t="s">
        <v>27</v>
      </c>
    </row>
    <row r="12041" spans="1:14" x14ac:dyDescent="0.25">
      <c r="A12041" t="s">
        <v>44</v>
      </c>
      <c r="B12041" t="s">
        <v>39</v>
      </c>
      <c r="C12041" t="s">
        <v>37</v>
      </c>
      <c r="D12041" t="s">
        <v>33</v>
      </c>
      <c r="E12041" t="s">
        <v>22</v>
      </c>
      <c r="F12041" t="s">
        <v>20</v>
      </c>
      <c r="G12041" s="1" t="str">
        <f t="shared" si="2705"/>
        <v>X</v>
      </c>
      <c r="H12041" s="1" t="str">
        <f t="shared" si="2705"/>
        <v>X</v>
      </c>
      <c r="I12041" s="1" t="str">
        <f t="shared" si="2705"/>
        <v>X</v>
      </c>
      <c r="J12041" s="1" t="str">
        <f t="shared" si="2705"/>
        <v>X</v>
      </c>
      <c r="K12041" s="1" t="str">
        <f t="shared" si="2705"/>
        <v>X</v>
      </c>
      <c r="L12041" s="1" t="str">
        <f t="shared" si="2705"/>
        <v>X</v>
      </c>
      <c r="M12041" s="1" t="str">
        <f t="shared" si="2705"/>
        <v>X</v>
      </c>
      <c r="N12041" t="s">
        <v>27</v>
      </c>
    </row>
    <row r="12042" spans="1:14" x14ac:dyDescent="0.25">
      <c r="A12042" t="s">
        <v>44</v>
      </c>
      <c r="B12042" t="s">
        <v>39</v>
      </c>
      <c r="C12042" t="s">
        <v>37</v>
      </c>
      <c r="D12042" t="s">
        <v>33</v>
      </c>
      <c r="E12042" t="s">
        <v>23</v>
      </c>
      <c r="F12042" t="s">
        <v>15</v>
      </c>
      <c r="G12042" s="1" t="str">
        <f t="shared" si="2705"/>
        <v>X</v>
      </c>
      <c r="H12042" s="1" t="str">
        <f t="shared" si="2705"/>
        <v>X</v>
      </c>
      <c r="I12042" s="1" t="str">
        <f t="shared" si="2705"/>
        <v>X</v>
      </c>
      <c r="J12042" s="1" t="str">
        <f t="shared" si="2705"/>
        <v>X</v>
      </c>
      <c r="K12042" s="1" t="str">
        <f t="shared" si="2705"/>
        <v>X</v>
      </c>
      <c r="L12042" s="1" t="str">
        <f t="shared" si="2705"/>
        <v>X</v>
      </c>
      <c r="M12042" s="1" t="str">
        <f t="shared" si="2705"/>
        <v>X</v>
      </c>
      <c r="N12042" t="s">
        <v>27</v>
      </c>
    </row>
    <row r="12043" spans="1:14" x14ac:dyDescent="0.25">
      <c r="A12043" t="s">
        <v>44</v>
      </c>
      <c r="B12043" t="s">
        <v>39</v>
      </c>
      <c r="C12043" t="s">
        <v>37</v>
      </c>
      <c r="D12043" t="s">
        <v>33</v>
      </c>
      <c r="E12043" t="s">
        <v>23</v>
      </c>
      <c r="F12043" t="s">
        <v>17</v>
      </c>
      <c r="G12043" s="1" t="str">
        <f t="shared" ref="G12043:M12044" si="2706">"..."</f>
        <v>...</v>
      </c>
      <c r="H12043" s="1" t="str">
        <f t="shared" si="2706"/>
        <v>...</v>
      </c>
      <c r="I12043" s="1" t="str">
        <f t="shared" si="2706"/>
        <v>...</v>
      </c>
      <c r="J12043" s="1" t="str">
        <f t="shared" si="2706"/>
        <v>...</v>
      </c>
      <c r="K12043" s="1" t="str">
        <f t="shared" si="2706"/>
        <v>...</v>
      </c>
      <c r="L12043" s="1" t="str">
        <f t="shared" si="2706"/>
        <v>...</v>
      </c>
      <c r="M12043" s="1" t="str">
        <f t="shared" si="2706"/>
        <v>...</v>
      </c>
      <c r="N12043" t="s">
        <v>30</v>
      </c>
    </row>
    <row r="12044" spans="1:14" x14ac:dyDescent="0.25">
      <c r="A12044" t="s">
        <v>44</v>
      </c>
      <c r="B12044" t="s">
        <v>39</v>
      </c>
      <c r="C12044" t="s">
        <v>37</v>
      </c>
      <c r="D12044" t="s">
        <v>33</v>
      </c>
      <c r="E12044" t="s">
        <v>23</v>
      </c>
      <c r="F12044" t="s">
        <v>18</v>
      </c>
      <c r="G12044" s="1" t="str">
        <f t="shared" si="2706"/>
        <v>...</v>
      </c>
      <c r="H12044" s="1" t="str">
        <f t="shared" si="2706"/>
        <v>...</v>
      </c>
      <c r="I12044" s="1" t="str">
        <f t="shared" si="2706"/>
        <v>...</v>
      </c>
      <c r="J12044" s="1" t="str">
        <f t="shared" si="2706"/>
        <v>...</v>
      </c>
      <c r="K12044" s="1" t="str">
        <f t="shared" si="2706"/>
        <v>...</v>
      </c>
      <c r="L12044" s="1" t="str">
        <f t="shared" si="2706"/>
        <v>...</v>
      </c>
      <c r="M12044" s="1" t="str">
        <f t="shared" si="2706"/>
        <v>...</v>
      </c>
      <c r="N12044" t="s">
        <v>30</v>
      </c>
    </row>
    <row r="12045" spans="1:14" x14ac:dyDescent="0.25">
      <c r="A12045" t="s">
        <v>44</v>
      </c>
      <c r="B12045" t="s">
        <v>39</v>
      </c>
      <c r="C12045" t="s">
        <v>37</v>
      </c>
      <c r="D12045" t="s">
        <v>33</v>
      </c>
      <c r="E12045" t="s">
        <v>23</v>
      </c>
      <c r="F12045" t="s">
        <v>19</v>
      </c>
      <c r="G12045" s="1" t="str">
        <f t="shared" ref="G12045:M12046" si="2707">"X"</f>
        <v>X</v>
      </c>
      <c r="H12045" s="1" t="str">
        <f t="shared" si="2707"/>
        <v>X</v>
      </c>
      <c r="I12045" s="1" t="str">
        <f t="shared" si="2707"/>
        <v>X</v>
      </c>
      <c r="J12045" s="1" t="str">
        <f t="shared" si="2707"/>
        <v>X</v>
      </c>
      <c r="K12045" s="1" t="str">
        <f t="shared" si="2707"/>
        <v>X</v>
      </c>
      <c r="L12045" s="1" t="str">
        <f t="shared" si="2707"/>
        <v>X</v>
      </c>
      <c r="M12045" s="1" t="str">
        <f t="shared" si="2707"/>
        <v>X</v>
      </c>
      <c r="N12045" t="s">
        <v>27</v>
      </c>
    </row>
    <row r="12046" spans="1:14" x14ac:dyDescent="0.25">
      <c r="A12046" t="s">
        <v>44</v>
      </c>
      <c r="B12046" t="s">
        <v>39</v>
      </c>
      <c r="C12046" t="s">
        <v>37</v>
      </c>
      <c r="D12046" t="s">
        <v>33</v>
      </c>
      <c r="E12046" t="s">
        <v>23</v>
      </c>
      <c r="F12046" t="s">
        <v>20</v>
      </c>
      <c r="G12046" s="1" t="str">
        <f t="shared" si="2707"/>
        <v>X</v>
      </c>
      <c r="H12046" s="1" t="str">
        <f t="shared" si="2707"/>
        <v>X</v>
      </c>
      <c r="I12046" s="1" t="str">
        <f t="shared" si="2707"/>
        <v>X</v>
      </c>
      <c r="J12046" s="1" t="str">
        <f t="shared" si="2707"/>
        <v>X</v>
      </c>
      <c r="K12046" s="1" t="str">
        <f t="shared" si="2707"/>
        <v>X</v>
      </c>
      <c r="L12046" s="1" t="str">
        <f t="shared" si="2707"/>
        <v>X</v>
      </c>
      <c r="M12046" s="1" t="str">
        <f t="shared" si="2707"/>
        <v>X</v>
      </c>
      <c r="N12046" t="s">
        <v>27</v>
      </c>
    </row>
    <row r="12047" spans="1:14" x14ac:dyDescent="0.25">
      <c r="A12047" t="s">
        <v>44</v>
      </c>
      <c r="B12047" t="s">
        <v>39</v>
      </c>
      <c r="C12047" t="s">
        <v>37</v>
      </c>
      <c r="D12047" t="s">
        <v>33</v>
      </c>
      <c r="E12047" t="s">
        <v>26</v>
      </c>
      <c r="F12047" t="s">
        <v>15</v>
      </c>
      <c r="G12047" s="1" t="str">
        <f t="shared" ref="G12047:M12051" si="2708">"..."</f>
        <v>...</v>
      </c>
      <c r="H12047" s="1" t="str">
        <f t="shared" si="2708"/>
        <v>...</v>
      </c>
      <c r="I12047" s="1" t="str">
        <f t="shared" si="2708"/>
        <v>...</v>
      </c>
      <c r="J12047" s="1" t="str">
        <f t="shared" si="2708"/>
        <v>...</v>
      </c>
      <c r="K12047" s="1" t="str">
        <f t="shared" si="2708"/>
        <v>...</v>
      </c>
      <c r="L12047" s="1" t="str">
        <f t="shared" si="2708"/>
        <v>...</v>
      </c>
      <c r="M12047" s="1" t="str">
        <f t="shared" si="2708"/>
        <v>...</v>
      </c>
      <c r="N12047" t="s">
        <v>30</v>
      </c>
    </row>
    <row r="12048" spans="1:14" x14ac:dyDescent="0.25">
      <c r="A12048" t="s">
        <v>44</v>
      </c>
      <c r="B12048" t="s">
        <v>39</v>
      </c>
      <c r="C12048" t="s">
        <v>37</v>
      </c>
      <c r="D12048" t="s">
        <v>33</v>
      </c>
      <c r="E12048" t="s">
        <v>26</v>
      </c>
      <c r="F12048" t="s">
        <v>17</v>
      </c>
      <c r="G12048" s="1" t="str">
        <f t="shared" si="2708"/>
        <v>...</v>
      </c>
      <c r="H12048" s="1" t="str">
        <f t="shared" si="2708"/>
        <v>...</v>
      </c>
      <c r="I12048" s="1" t="str">
        <f t="shared" si="2708"/>
        <v>...</v>
      </c>
      <c r="J12048" s="1" t="str">
        <f t="shared" si="2708"/>
        <v>...</v>
      </c>
      <c r="K12048" s="1" t="str">
        <f t="shared" si="2708"/>
        <v>...</v>
      </c>
      <c r="L12048" s="1" t="str">
        <f t="shared" si="2708"/>
        <v>...</v>
      </c>
      <c r="M12048" s="1" t="str">
        <f t="shared" si="2708"/>
        <v>...</v>
      </c>
      <c r="N12048" t="s">
        <v>30</v>
      </c>
    </row>
    <row r="12049" spans="1:14" x14ac:dyDescent="0.25">
      <c r="A12049" t="s">
        <v>44</v>
      </c>
      <c r="B12049" t="s">
        <v>39</v>
      </c>
      <c r="C12049" t="s">
        <v>37</v>
      </c>
      <c r="D12049" t="s">
        <v>33</v>
      </c>
      <c r="E12049" t="s">
        <v>26</v>
      </c>
      <c r="F12049" t="s">
        <v>18</v>
      </c>
      <c r="G12049" s="1" t="str">
        <f t="shared" si="2708"/>
        <v>...</v>
      </c>
      <c r="H12049" s="1" t="str">
        <f t="shared" si="2708"/>
        <v>...</v>
      </c>
      <c r="I12049" s="1" t="str">
        <f t="shared" si="2708"/>
        <v>...</v>
      </c>
      <c r="J12049" s="1" t="str">
        <f t="shared" si="2708"/>
        <v>...</v>
      </c>
      <c r="K12049" s="1" t="str">
        <f t="shared" si="2708"/>
        <v>...</v>
      </c>
      <c r="L12049" s="1" t="str">
        <f t="shared" si="2708"/>
        <v>...</v>
      </c>
      <c r="M12049" s="1" t="str">
        <f t="shared" si="2708"/>
        <v>...</v>
      </c>
      <c r="N12049" t="s">
        <v>30</v>
      </c>
    </row>
    <row r="12050" spans="1:14" x14ac:dyDescent="0.25">
      <c r="A12050" t="s">
        <v>44</v>
      </c>
      <c r="B12050" t="s">
        <v>39</v>
      </c>
      <c r="C12050" t="s">
        <v>37</v>
      </c>
      <c r="D12050" t="s">
        <v>33</v>
      </c>
      <c r="E12050" t="s">
        <v>26</v>
      </c>
      <c r="F12050" t="s">
        <v>19</v>
      </c>
      <c r="G12050" s="1" t="str">
        <f t="shared" si="2708"/>
        <v>...</v>
      </c>
      <c r="H12050" s="1" t="str">
        <f t="shared" si="2708"/>
        <v>...</v>
      </c>
      <c r="I12050" s="1" t="str">
        <f t="shared" si="2708"/>
        <v>...</v>
      </c>
      <c r="J12050" s="1" t="str">
        <f t="shared" si="2708"/>
        <v>...</v>
      </c>
      <c r="K12050" s="1" t="str">
        <f t="shared" si="2708"/>
        <v>...</v>
      </c>
      <c r="L12050" s="1" t="str">
        <f t="shared" si="2708"/>
        <v>...</v>
      </c>
      <c r="M12050" s="1" t="str">
        <f t="shared" si="2708"/>
        <v>...</v>
      </c>
      <c r="N12050" t="s">
        <v>30</v>
      </c>
    </row>
    <row r="12051" spans="1:14" x14ac:dyDescent="0.25">
      <c r="A12051" t="s">
        <v>44</v>
      </c>
      <c r="B12051" t="s">
        <v>39</v>
      </c>
      <c r="C12051" t="s">
        <v>37</v>
      </c>
      <c r="D12051" t="s">
        <v>33</v>
      </c>
      <c r="E12051" t="s">
        <v>26</v>
      </c>
      <c r="F12051" t="s">
        <v>20</v>
      </c>
      <c r="G12051" s="1" t="str">
        <f t="shared" si="2708"/>
        <v>...</v>
      </c>
      <c r="H12051" s="1" t="str">
        <f t="shared" si="2708"/>
        <v>...</v>
      </c>
      <c r="I12051" s="1" t="str">
        <f t="shared" si="2708"/>
        <v>...</v>
      </c>
      <c r="J12051" s="1" t="str">
        <f t="shared" si="2708"/>
        <v>...</v>
      </c>
      <c r="K12051" s="1" t="str">
        <f t="shared" si="2708"/>
        <v>...</v>
      </c>
      <c r="L12051" s="1" t="str">
        <f t="shared" si="2708"/>
        <v>...</v>
      </c>
      <c r="M12051" s="1" t="str">
        <f t="shared" si="2708"/>
        <v>...</v>
      </c>
      <c r="N12051" t="s">
        <v>30</v>
      </c>
    </row>
    <row r="12052" spans="1:14" x14ac:dyDescent="0.25">
      <c r="A12052" t="s">
        <v>44</v>
      </c>
      <c r="B12052" t="s">
        <v>39</v>
      </c>
      <c r="C12052" t="s">
        <v>37</v>
      </c>
      <c r="D12052" t="s">
        <v>34</v>
      </c>
      <c r="E12052" t="s">
        <v>15</v>
      </c>
      <c r="F12052" t="s">
        <v>15</v>
      </c>
      <c r="G12052" s="2">
        <f>VALUE(320.35)</f>
        <v>320.35000000000002</v>
      </c>
      <c r="H12052" s="3">
        <f>VALUE(261.52)</f>
        <v>261.52</v>
      </c>
      <c r="I12052" s="4">
        <f>VALUE(3585)</f>
        <v>3585</v>
      </c>
      <c r="J12052" s="5">
        <f>VALUE(4195)</f>
        <v>4195</v>
      </c>
      <c r="K12052" s="6">
        <f>VALUE(4846)</f>
        <v>4846</v>
      </c>
      <c r="L12052" s="7">
        <f>VALUE(5474)</f>
        <v>5474</v>
      </c>
      <c r="M12052" s="8">
        <f>VALUE(6520)</f>
        <v>6520</v>
      </c>
      <c r="N12052" t="s">
        <v>24</v>
      </c>
    </row>
    <row r="12053" spans="1:14" x14ac:dyDescent="0.25">
      <c r="A12053" t="s">
        <v>44</v>
      </c>
      <c r="B12053" t="s">
        <v>39</v>
      </c>
      <c r="C12053" t="s">
        <v>37</v>
      </c>
      <c r="D12053" t="s">
        <v>34</v>
      </c>
      <c r="E12053" t="s">
        <v>15</v>
      </c>
      <c r="F12053" t="s">
        <v>17</v>
      </c>
      <c r="G12053" s="1" t="str">
        <f t="shared" ref="G12053:M12062" si="2709">"X"</f>
        <v>X</v>
      </c>
      <c r="H12053" s="1" t="str">
        <f t="shared" si="2709"/>
        <v>X</v>
      </c>
      <c r="I12053" s="1" t="str">
        <f t="shared" si="2709"/>
        <v>X</v>
      </c>
      <c r="J12053" s="1" t="str">
        <f t="shared" si="2709"/>
        <v>X</v>
      </c>
      <c r="K12053" s="1" t="str">
        <f t="shared" si="2709"/>
        <v>X</v>
      </c>
      <c r="L12053" s="1" t="str">
        <f t="shared" si="2709"/>
        <v>X</v>
      </c>
      <c r="M12053" s="1" t="str">
        <f t="shared" si="2709"/>
        <v>X</v>
      </c>
      <c r="N12053" t="s">
        <v>27</v>
      </c>
    </row>
    <row r="12054" spans="1:14" x14ac:dyDescent="0.25">
      <c r="A12054" t="s">
        <v>44</v>
      </c>
      <c r="B12054" t="s">
        <v>39</v>
      </c>
      <c r="C12054" t="s">
        <v>37</v>
      </c>
      <c r="D12054" t="s">
        <v>34</v>
      </c>
      <c r="E12054" t="s">
        <v>15</v>
      </c>
      <c r="F12054" t="s">
        <v>18</v>
      </c>
      <c r="G12054" s="1" t="str">
        <f t="shared" si="2709"/>
        <v>X</v>
      </c>
      <c r="H12054" s="1" t="str">
        <f t="shared" si="2709"/>
        <v>X</v>
      </c>
      <c r="I12054" s="1" t="str">
        <f t="shared" si="2709"/>
        <v>X</v>
      </c>
      <c r="J12054" s="1" t="str">
        <f t="shared" si="2709"/>
        <v>X</v>
      </c>
      <c r="K12054" s="1" t="str">
        <f t="shared" si="2709"/>
        <v>X</v>
      </c>
      <c r="L12054" s="1" t="str">
        <f t="shared" si="2709"/>
        <v>X</v>
      </c>
      <c r="M12054" s="1" t="str">
        <f t="shared" si="2709"/>
        <v>X</v>
      </c>
      <c r="N12054" t="s">
        <v>27</v>
      </c>
    </row>
    <row r="12055" spans="1:14" x14ac:dyDescent="0.25">
      <c r="A12055" t="s">
        <v>44</v>
      </c>
      <c r="B12055" t="s">
        <v>39</v>
      </c>
      <c r="C12055" t="s">
        <v>37</v>
      </c>
      <c r="D12055" t="s">
        <v>34</v>
      </c>
      <c r="E12055" t="s">
        <v>15</v>
      </c>
      <c r="F12055" t="s">
        <v>19</v>
      </c>
      <c r="G12055" s="1" t="str">
        <f t="shared" si="2709"/>
        <v>X</v>
      </c>
      <c r="H12055" s="1" t="str">
        <f t="shared" si="2709"/>
        <v>X</v>
      </c>
      <c r="I12055" s="1" t="str">
        <f t="shared" si="2709"/>
        <v>X</v>
      </c>
      <c r="J12055" s="1" t="str">
        <f t="shared" si="2709"/>
        <v>X</v>
      </c>
      <c r="K12055" s="1" t="str">
        <f t="shared" si="2709"/>
        <v>X</v>
      </c>
      <c r="L12055" s="1" t="str">
        <f t="shared" si="2709"/>
        <v>X</v>
      </c>
      <c r="M12055" s="1" t="str">
        <f t="shared" si="2709"/>
        <v>X</v>
      </c>
      <c r="N12055" t="s">
        <v>27</v>
      </c>
    </row>
    <row r="12056" spans="1:14" x14ac:dyDescent="0.25">
      <c r="A12056" t="s">
        <v>44</v>
      </c>
      <c r="B12056" t="s">
        <v>39</v>
      </c>
      <c r="C12056" t="s">
        <v>37</v>
      </c>
      <c r="D12056" t="s">
        <v>34</v>
      </c>
      <c r="E12056" t="s">
        <v>15</v>
      </c>
      <c r="F12056" t="s">
        <v>20</v>
      </c>
      <c r="G12056" s="1" t="str">
        <f t="shared" si="2709"/>
        <v>X</v>
      </c>
      <c r="H12056" s="1" t="str">
        <f t="shared" si="2709"/>
        <v>X</v>
      </c>
      <c r="I12056" s="1" t="str">
        <f t="shared" si="2709"/>
        <v>X</v>
      </c>
      <c r="J12056" s="1" t="str">
        <f t="shared" si="2709"/>
        <v>X</v>
      </c>
      <c r="K12056" s="1" t="str">
        <f t="shared" si="2709"/>
        <v>X</v>
      </c>
      <c r="L12056" s="1" t="str">
        <f t="shared" si="2709"/>
        <v>X</v>
      </c>
      <c r="M12056" s="1" t="str">
        <f t="shared" si="2709"/>
        <v>X</v>
      </c>
      <c r="N12056" t="s">
        <v>27</v>
      </c>
    </row>
    <row r="12057" spans="1:14" x14ac:dyDescent="0.25">
      <c r="A12057" t="s">
        <v>44</v>
      </c>
      <c r="B12057" t="s">
        <v>39</v>
      </c>
      <c r="C12057" t="s">
        <v>37</v>
      </c>
      <c r="D12057" t="s">
        <v>34</v>
      </c>
      <c r="E12057" t="s">
        <v>21</v>
      </c>
      <c r="F12057" t="s">
        <v>15</v>
      </c>
      <c r="G12057" s="1" t="str">
        <f t="shared" si="2709"/>
        <v>X</v>
      </c>
      <c r="H12057" s="1" t="str">
        <f t="shared" si="2709"/>
        <v>X</v>
      </c>
      <c r="I12057" s="1" t="str">
        <f t="shared" si="2709"/>
        <v>X</v>
      </c>
      <c r="J12057" s="1" t="str">
        <f t="shared" si="2709"/>
        <v>X</v>
      </c>
      <c r="K12057" s="1" t="str">
        <f t="shared" si="2709"/>
        <v>X</v>
      </c>
      <c r="L12057" s="1" t="str">
        <f t="shared" si="2709"/>
        <v>X</v>
      </c>
      <c r="M12057" s="1" t="str">
        <f t="shared" si="2709"/>
        <v>X</v>
      </c>
      <c r="N12057" t="s">
        <v>27</v>
      </c>
    </row>
    <row r="12058" spans="1:14" x14ac:dyDescent="0.25">
      <c r="A12058" t="s">
        <v>44</v>
      </c>
      <c r="B12058" t="s">
        <v>39</v>
      </c>
      <c r="C12058" t="s">
        <v>37</v>
      </c>
      <c r="D12058" t="s">
        <v>34</v>
      </c>
      <c r="E12058" t="s">
        <v>21</v>
      </c>
      <c r="F12058" t="s">
        <v>17</v>
      </c>
      <c r="G12058" s="1" t="str">
        <f t="shared" si="2709"/>
        <v>X</v>
      </c>
      <c r="H12058" s="1" t="str">
        <f t="shared" si="2709"/>
        <v>X</v>
      </c>
      <c r="I12058" s="1" t="str">
        <f t="shared" si="2709"/>
        <v>X</v>
      </c>
      <c r="J12058" s="1" t="str">
        <f t="shared" si="2709"/>
        <v>X</v>
      </c>
      <c r="K12058" s="1" t="str">
        <f t="shared" si="2709"/>
        <v>X</v>
      </c>
      <c r="L12058" s="1" t="str">
        <f t="shared" si="2709"/>
        <v>X</v>
      </c>
      <c r="M12058" s="1" t="str">
        <f t="shared" si="2709"/>
        <v>X</v>
      </c>
      <c r="N12058" t="s">
        <v>27</v>
      </c>
    </row>
    <row r="12059" spans="1:14" x14ac:dyDescent="0.25">
      <c r="A12059" t="s">
        <v>44</v>
      </c>
      <c r="B12059" t="s">
        <v>39</v>
      </c>
      <c r="C12059" t="s">
        <v>37</v>
      </c>
      <c r="D12059" t="s">
        <v>34</v>
      </c>
      <c r="E12059" t="s">
        <v>21</v>
      </c>
      <c r="F12059" t="s">
        <v>18</v>
      </c>
      <c r="G12059" s="1" t="str">
        <f t="shared" si="2709"/>
        <v>X</v>
      </c>
      <c r="H12059" s="1" t="str">
        <f t="shared" si="2709"/>
        <v>X</v>
      </c>
      <c r="I12059" s="1" t="str">
        <f t="shared" si="2709"/>
        <v>X</v>
      </c>
      <c r="J12059" s="1" t="str">
        <f t="shared" si="2709"/>
        <v>X</v>
      </c>
      <c r="K12059" s="1" t="str">
        <f t="shared" si="2709"/>
        <v>X</v>
      </c>
      <c r="L12059" s="1" t="str">
        <f t="shared" si="2709"/>
        <v>X</v>
      </c>
      <c r="M12059" s="1" t="str">
        <f t="shared" si="2709"/>
        <v>X</v>
      </c>
      <c r="N12059" t="s">
        <v>27</v>
      </c>
    </row>
    <row r="12060" spans="1:14" x14ac:dyDescent="0.25">
      <c r="A12060" t="s">
        <v>44</v>
      </c>
      <c r="B12060" t="s">
        <v>39</v>
      </c>
      <c r="C12060" t="s">
        <v>37</v>
      </c>
      <c r="D12060" t="s">
        <v>34</v>
      </c>
      <c r="E12060" t="s">
        <v>21</v>
      </c>
      <c r="F12060" t="s">
        <v>19</v>
      </c>
      <c r="G12060" s="1" t="str">
        <f t="shared" si="2709"/>
        <v>X</v>
      </c>
      <c r="H12060" s="1" t="str">
        <f t="shared" si="2709"/>
        <v>X</v>
      </c>
      <c r="I12060" s="1" t="str">
        <f t="shared" si="2709"/>
        <v>X</v>
      </c>
      <c r="J12060" s="1" t="str">
        <f t="shared" si="2709"/>
        <v>X</v>
      </c>
      <c r="K12060" s="1" t="str">
        <f t="shared" si="2709"/>
        <v>X</v>
      </c>
      <c r="L12060" s="1" t="str">
        <f t="shared" si="2709"/>
        <v>X</v>
      </c>
      <c r="M12060" s="1" t="str">
        <f t="shared" si="2709"/>
        <v>X</v>
      </c>
      <c r="N12060" t="s">
        <v>27</v>
      </c>
    </row>
    <row r="12061" spans="1:14" x14ac:dyDescent="0.25">
      <c r="A12061" t="s">
        <v>44</v>
      </c>
      <c r="B12061" t="s">
        <v>39</v>
      </c>
      <c r="C12061" t="s">
        <v>37</v>
      </c>
      <c r="D12061" t="s">
        <v>34</v>
      </c>
      <c r="E12061" t="s">
        <v>21</v>
      </c>
      <c r="F12061" t="s">
        <v>20</v>
      </c>
      <c r="G12061" s="1" t="str">
        <f t="shared" si="2709"/>
        <v>X</v>
      </c>
      <c r="H12061" s="1" t="str">
        <f t="shared" si="2709"/>
        <v>X</v>
      </c>
      <c r="I12061" s="1" t="str">
        <f t="shared" si="2709"/>
        <v>X</v>
      </c>
      <c r="J12061" s="1" t="str">
        <f t="shared" si="2709"/>
        <v>X</v>
      </c>
      <c r="K12061" s="1" t="str">
        <f t="shared" si="2709"/>
        <v>X</v>
      </c>
      <c r="L12061" s="1" t="str">
        <f t="shared" si="2709"/>
        <v>X</v>
      </c>
      <c r="M12061" s="1" t="str">
        <f t="shared" si="2709"/>
        <v>X</v>
      </c>
      <c r="N12061" t="s">
        <v>27</v>
      </c>
    </row>
    <row r="12062" spans="1:14" x14ac:dyDescent="0.25">
      <c r="A12062" t="s">
        <v>44</v>
      </c>
      <c r="B12062" t="s">
        <v>39</v>
      </c>
      <c r="C12062" t="s">
        <v>37</v>
      </c>
      <c r="D12062" t="s">
        <v>34</v>
      </c>
      <c r="E12062" t="s">
        <v>22</v>
      </c>
      <c r="F12062" t="s">
        <v>15</v>
      </c>
      <c r="G12062" s="1" t="str">
        <f t="shared" si="2709"/>
        <v>X</v>
      </c>
      <c r="H12062" s="1" t="str">
        <f t="shared" si="2709"/>
        <v>X</v>
      </c>
      <c r="I12062" s="1" t="str">
        <f t="shared" si="2709"/>
        <v>X</v>
      </c>
      <c r="J12062" s="1" t="str">
        <f t="shared" si="2709"/>
        <v>X</v>
      </c>
      <c r="K12062" s="1" t="str">
        <f t="shared" si="2709"/>
        <v>X</v>
      </c>
      <c r="L12062" s="1" t="str">
        <f t="shared" si="2709"/>
        <v>X</v>
      </c>
      <c r="M12062" s="1" t="str">
        <f t="shared" si="2709"/>
        <v>X</v>
      </c>
      <c r="N12062" t="s">
        <v>27</v>
      </c>
    </row>
    <row r="12063" spans="1:14" x14ac:dyDescent="0.25">
      <c r="A12063" t="s">
        <v>44</v>
      </c>
      <c r="B12063" t="s">
        <v>39</v>
      </c>
      <c r="C12063" t="s">
        <v>37</v>
      </c>
      <c r="D12063" t="s">
        <v>34</v>
      </c>
      <c r="E12063" t="s">
        <v>22</v>
      </c>
      <c r="F12063" t="s">
        <v>17</v>
      </c>
      <c r="G12063" s="1" t="str">
        <f t="shared" ref="G12063:M12071" si="2710">"X"</f>
        <v>X</v>
      </c>
      <c r="H12063" s="1" t="str">
        <f t="shared" si="2710"/>
        <v>X</v>
      </c>
      <c r="I12063" s="1" t="str">
        <f t="shared" si="2710"/>
        <v>X</v>
      </c>
      <c r="J12063" s="1" t="str">
        <f t="shared" si="2710"/>
        <v>X</v>
      </c>
      <c r="K12063" s="1" t="str">
        <f t="shared" si="2710"/>
        <v>X</v>
      </c>
      <c r="L12063" s="1" t="str">
        <f t="shared" si="2710"/>
        <v>X</v>
      </c>
      <c r="M12063" s="1" t="str">
        <f t="shared" si="2710"/>
        <v>X</v>
      </c>
      <c r="N12063" t="s">
        <v>27</v>
      </c>
    </row>
    <row r="12064" spans="1:14" x14ac:dyDescent="0.25">
      <c r="A12064" t="s">
        <v>44</v>
      </c>
      <c r="B12064" t="s">
        <v>39</v>
      </c>
      <c r="C12064" t="s">
        <v>37</v>
      </c>
      <c r="D12064" t="s">
        <v>34</v>
      </c>
      <c r="E12064" t="s">
        <v>22</v>
      </c>
      <c r="F12064" t="s">
        <v>18</v>
      </c>
      <c r="G12064" s="1" t="str">
        <f t="shared" si="2710"/>
        <v>X</v>
      </c>
      <c r="H12064" s="1" t="str">
        <f t="shared" si="2710"/>
        <v>X</v>
      </c>
      <c r="I12064" s="1" t="str">
        <f t="shared" si="2710"/>
        <v>X</v>
      </c>
      <c r="J12064" s="1" t="str">
        <f t="shared" si="2710"/>
        <v>X</v>
      </c>
      <c r="K12064" s="1" t="str">
        <f t="shared" si="2710"/>
        <v>X</v>
      </c>
      <c r="L12064" s="1" t="str">
        <f t="shared" si="2710"/>
        <v>X</v>
      </c>
      <c r="M12064" s="1" t="str">
        <f t="shared" si="2710"/>
        <v>X</v>
      </c>
      <c r="N12064" t="s">
        <v>27</v>
      </c>
    </row>
    <row r="12065" spans="1:14" x14ac:dyDescent="0.25">
      <c r="A12065" t="s">
        <v>44</v>
      </c>
      <c r="B12065" t="s">
        <v>39</v>
      </c>
      <c r="C12065" t="s">
        <v>37</v>
      </c>
      <c r="D12065" t="s">
        <v>34</v>
      </c>
      <c r="E12065" t="s">
        <v>22</v>
      </c>
      <c r="F12065" t="s">
        <v>19</v>
      </c>
      <c r="G12065" s="1" t="str">
        <f t="shared" si="2710"/>
        <v>X</v>
      </c>
      <c r="H12065" s="1" t="str">
        <f t="shared" si="2710"/>
        <v>X</v>
      </c>
      <c r="I12065" s="1" t="str">
        <f t="shared" si="2710"/>
        <v>X</v>
      </c>
      <c r="J12065" s="1" t="str">
        <f t="shared" si="2710"/>
        <v>X</v>
      </c>
      <c r="K12065" s="1" t="str">
        <f t="shared" si="2710"/>
        <v>X</v>
      </c>
      <c r="L12065" s="1" t="str">
        <f t="shared" si="2710"/>
        <v>X</v>
      </c>
      <c r="M12065" s="1" t="str">
        <f t="shared" si="2710"/>
        <v>X</v>
      </c>
      <c r="N12065" t="s">
        <v>27</v>
      </c>
    </row>
    <row r="12066" spans="1:14" x14ac:dyDescent="0.25">
      <c r="A12066" t="s">
        <v>44</v>
      </c>
      <c r="B12066" t="s">
        <v>39</v>
      </c>
      <c r="C12066" t="s">
        <v>37</v>
      </c>
      <c r="D12066" t="s">
        <v>34</v>
      </c>
      <c r="E12066" t="s">
        <v>22</v>
      </c>
      <c r="F12066" t="s">
        <v>20</v>
      </c>
      <c r="G12066" s="1" t="str">
        <f t="shared" si="2710"/>
        <v>X</v>
      </c>
      <c r="H12066" s="1" t="str">
        <f t="shared" si="2710"/>
        <v>X</v>
      </c>
      <c r="I12066" s="1" t="str">
        <f t="shared" si="2710"/>
        <v>X</v>
      </c>
      <c r="J12066" s="1" t="str">
        <f t="shared" si="2710"/>
        <v>X</v>
      </c>
      <c r="K12066" s="1" t="str">
        <f t="shared" si="2710"/>
        <v>X</v>
      </c>
      <c r="L12066" s="1" t="str">
        <f t="shared" si="2710"/>
        <v>X</v>
      </c>
      <c r="M12066" s="1" t="str">
        <f t="shared" si="2710"/>
        <v>X</v>
      </c>
      <c r="N12066" t="s">
        <v>27</v>
      </c>
    </row>
    <row r="12067" spans="1:14" x14ac:dyDescent="0.25">
      <c r="A12067" t="s">
        <v>44</v>
      </c>
      <c r="B12067" t="s">
        <v>39</v>
      </c>
      <c r="C12067" t="s">
        <v>37</v>
      </c>
      <c r="D12067" t="s">
        <v>34</v>
      </c>
      <c r="E12067" t="s">
        <v>23</v>
      </c>
      <c r="F12067" t="s">
        <v>15</v>
      </c>
      <c r="G12067" s="1" t="str">
        <f t="shared" si="2710"/>
        <v>X</v>
      </c>
      <c r="H12067" s="1" t="str">
        <f t="shared" si="2710"/>
        <v>X</v>
      </c>
      <c r="I12067" s="1" t="str">
        <f t="shared" si="2710"/>
        <v>X</v>
      </c>
      <c r="J12067" s="1" t="str">
        <f t="shared" si="2710"/>
        <v>X</v>
      </c>
      <c r="K12067" s="1" t="str">
        <f t="shared" si="2710"/>
        <v>X</v>
      </c>
      <c r="L12067" s="1" t="str">
        <f t="shared" si="2710"/>
        <v>X</v>
      </c>
      <c r="M12067" s="1" t="str">
        <f t="shared" si="2710"/>
        <v>X</v>
      </c>
      <c r="N12067" t="s">
        <v>27</v>
      </c>
    </row>
    <row r="12068" spans="1:14" x14ac:dyDescent="0.25">
      <c r="A12068" t="s">
        <v>44</v>
      </c>
      <c r="B12068" t="s">
        <v>39</v>
      </c>
      <c r="C12068" t="s">
        <v>37</v>
      </c>
      <c r="D12068" t="s">
        <v>34</v>
      </c>
      <c r="E12068" t="s">
        <v>23</v>
      </c>
      <c r="F12068" t="s">
        <v>17</v>
      </c>
      <c r="G12068" s="1" t="str">
        <f t="shared" si="2710"/>
        <v>X</v>
      </c>
      <c r="H12068" s="1" t="str">
        <f t="shared" si="2710"/>
        <v>X</v>
      </c>
      <c r="I12068" s="1" t="str">
        <f t="shared" si="2710"/>
        <v>X</v>
      </c>
      <c r="J12068" s="1" t="str">
        <f t="shared" si="2710"/>
        <v>X</v>
      </c>
      <c r="K12068" s="1" t="str">
        <f t="shared" si="2710"/>
        <v>X</v>
      </c>
      <c r="L12068" s="1" t="str">
        <f t="shared" si="2710"/>
        <v>X</v>
      </c>
      <c r="M12068" s="1" t="str">
        <f t="shared" si="2710"/>
        <v>X</v>
      </c>
      <c r="N12068" t="s">
        <v>27</v>
      </c>
    </row>
    <row r="12069" spans="1:14" x14ac:dyDescent="0.25">
      <c r="A12069" t="s">
        <v>44</v>
      </c>
      <c r="B12069" t="s">
        <v>39</v>
      </c>
      <c r="C12069" t="s">
        <v>37</v>
      </c>
      <c r="D12069" t="s">
        <v>34</v>
      </c>
      <c r="E12069" t="s">
        <v>23</v>
      </c>
      <c r="F12069" t="s">
        <v>18</v>
      </c>
      <c r="G12069" s="1" t="str">
        <f t="shared" si="2710"/>
        <v>X</v>
      </c>
      <c r="H12069" s="1" t="str">
        <f t="shared" si="2710"/>
        <v>X</v>
      </c>
      <c r="I12069" s="1" t="str">
        <f t="shared" si="2710"/>
        <v>X</v>
      </c>
      <c r="J12069" s="1" t="str">
        <f t="shared" si="2710"/>
        <v>X</v>
      </c>
      <c r="K12069" s="1" t="str">
        <f t="shared" si="2710"/>
        <v>X</v>
      </c>
      <c r="L12069" s="1" t="str">
        <f t="shared" si="2710"/>
        <v>X</v>
      </c>
      <c r="M12069" s="1" t="str">
        <f t="shared" si="2710"/>
        <v>X</v>
      </c>
      <c r="N12069" t="s">
        <v>27</v>
      </c>
    </row>
    <row r="12070" spans="1:14" x14ac:dyDescent="0.25">
      <c r="A12070" t="s">
        <v>44</v>
      </c>
      <c r="B12070" t="s">
        <v>39</v>
      </c>
      <c r="C12070" t="s">
        <v>37</v>
      </c>
      <c r="D12070" t="s">
        <v>34</v>
      </c>
      <c r="E12070" t="s">
        <v>23</v>
      </c>
      <c r="F12070" t="s">
        <v>19</v>
      </c>
      <c r="G12070" s="1" t="str">
        <f t="shared" si="2710"/>
        <v>X</v>
      </c>
      <c r="H12070" s="1" t="str">
        <f t="shared" si="2710"/>
        <v>X</v>
      </c>
      <c r="I12070" s="1" t="str">
        <f t="shared" si="2710"/>
        <v>X</v>
      </c>
      <c r="J12070" s="1" t="str">
        <f t="shared" si="2710"/>
        <v>X</v>
      </c>
      <c r="K12070" s="1" t="str">
        <f t="shared" si="2710"/>
        <v>X</v>
      </c>
      <c r="L12070" s="1" t="str">
        <f t="shared" si="2710"/>
        <v>X</v>
      </c>
      <c r="M12070" s="1" t="str">
        <f t="shared" si="2710"/>
        <v>X</v>
      </c>
      <c r="N12070" t="s">
        <v>27</v>
      </c>
    </row>
    <row r="12071" spans="1:14" x14ac:dyDescent="0.25">
      <c r="A12071" t="s">
        <v>44</v>
      </c>
      <c r="B12071" t="s">
        <v>39</v>
      </c>
      <c r="C12071" t="s">
        <v>37</v>
      </c>
      <c r="D12071" t="s">
        <v>34</v>
      </c>
      <c r="E12071" t="s">
        <v>23</v>
      </c>
      <c r="F12071" t="s">
        <v>20</v>
      </c>
      <c r="G12071" s="1" t="str">
        <f t="shared" si="2710"/>
        <v>X</v>
      </c>
      <c r="H12071" s="1" t="str">
        <f t="shared" si="2710"/>
        <v>X</v>
      </c>
      <c r="I12071" s="1" t="str">
        <f t="shared" si="2710"/>
        <v>X</v>
      </c>
      <c r="J12071" s="1" t="str">
        <f t="shared" si="2710"/>
        <v>X</v>
      </c>
      <c r="K12071" s="1" t="str">
        <f t="shared" si="2710"/>
        <v>X</v>
      </c>
      <c r="L12071" s="1" t="str">
        <f t="shared" si="2710"/>
        <v>X</v>
      </c>
      <c r="M12071" s="1" t="str">
        <f t="shared" si="2710"/>
        <v>X</v>
      </c>
      <c r="N12071" t="s">
        <v>27</v>
      </c>
    </row>
    <row r="12072" spans="1:14" x14ac:dyDescent="0.25">
      <c r="A12072" t="s">
        <v>44</v>
      </c>
      <c r="B12072" t="s">
        <v>39</v>
      </c>
      <c r="C12072" t="s">
        <v>37</v>
      </c>
      <c r="D12072" t="s">
        <v>34</v>
      </c>
      <c r="E12072" t="s">
        <v>26</v>
      </c>
      <c r="F12072" t="s">
        <v>15</v>
      </c>
      <c r="G12072" s="1" t="str">
        <f t="shared" ref="G12072:M12076" si="2711">"..."</f>
        <v>...</v>
      </c>
      <c r="H12072" s="1" t="str">
        <f t="shared" si="2711"/>
        <v>...</v>
      </c>
      <c r="I12072" s="1" t="str">
        <f t="shared" si="2711"/>
        <v>...</v>
      </c>
      <c r="J12072" s="1" t="str">
        <f t="shared" si="2711"/>
        <v>...</v>
      </c>
      <c r="K12072" s="1" t="str">
        <f t="shared" si="2711"/>
        <v>...</v>
      </c>
      <c r="L12072" s="1" t="str">
        <f t="shared" si="2711"/>
        <v>...</v>
      </c>
      <c r="M12072" s="1" t="str">
        <f t="shared" si="2711"/>
        <v>...</v>
      </c>
      <c r="N12072" t="s">
        <v>30</v>
      </c>
    </row>
    <row r="12073" spans="1:14" x14ac:dyDescent="0.25">
      <c r="A12073" t="s">
        <v>44</v>
      </c>
      <c r="B12073" t="s">
        <v>39</v>
      </c>
      <c r="C12073" t="s">
        <v>37</v>
      </c>
      <c r="D12073" t="s">
        <v>34</v>
      </c>
      <c r="E12073" t="s">
        <v>26</v>
      </c>
      <c r="F12073" t="s">
        <v>17</v>
      </c>
      <c r="G12073" s="1" t="str">
        <f t="shared" si="2711"/>
        <v>...</v>
      </c>
      <c r="H12073" s="1" t="str">
        <f t="shared" si="2711"/>
        <v>...</v>
      </c>
      <c r="I12073" s="1" t="str">
        <f t="shared" si="2711"/>
        <v>...</v>
      </c>
      <c r="J12073" s="1" t="str">
        <f t="shared" si="2711"/>
        <v>...</v>
      </c>
      <c r="K12073" s="1" t="str">
        <f t="shared" si="2711"/>
        <v>...</v>
      </c>
      <c r="L12073" s="1" t="str">
        <f t="shared" si="2711"/>
        <v>...</v>
      </c>
      <c r="M12073" s="1" t="str">
        <f t="shared" si="2711"/>
        <v>...</v>
      </c>
      <c r="N12073" t="s">
        <v>30</v>
      </c>
    </row>
    <row r="12074" spans="1:14" x14ac:dyDescent="0.25">
      <c r="A12074" t="s">
        <v>44</v>
      </c>
      <c r="B12074" t="s">
        <v>39</v>
      </c>
      <c r="C12074" t="s">
        <v>37</v>
      </c>
      <c r="D12074" t="s">
        <v>34</v>
      </c>
      <c r="E12074" t="s">
        <v>26</v>
      </c>
      <c r="F12074" t="s">
        <v>18</v>
      </c>
      <c r="G12074" s="1" t="str">
        <f t="shared" si="2711"/>
        <v>...</v>
      </c>
      <c r="H12074" s="1" t="str">
        <f t="shared" si="2711"/>
        <v>...</v>
      </c>
      <c r="I12074" s="1" t="str">
        <f t="shared" si="2711"/>
        <v>...</v>
      </c>
      <c r="J12074" s="1" t="str">
        <f t="shared" si="2711"/>
        <v>...</v>
      </c>
      <c r="K12074" s="1" t="str">
        <f t="shared" si="2711"/>
        <v>...</v>
      </c>
      <c r="L12074" s="1" t="str">
        <f t="shared" si="2711"/>
        <v>...</v>
      </c>
      <c r="M12074" s="1" t="str">
        <f t="shared" si="2711"/>
        <v>...</v>
      </c>
      <c r="N12074" t="s">
        <v>30</v>
      </c>
    </row>
    <row r="12075" spans="1:14" x14ac:dyDescent="0.25">
      <c r="A12075" t="s">
        <v>44</v>
      </c>
      <c r="B12075" t="s">
        <v>39</v>
      </c>
      <c r="C12075" t="s">
        <v>37</v>
      </c>
      <c r="D12075" t="s">
        <v>34</v>
      </c>
      <c r="E12075" t="s">
        <v>26</v>
      </c>
      <c r="F12075" t="s">
        <v>19</v>
      </c>
      <c r="G12075" s="1" t="str">
        <f t="shared" si="2711"/>
        <v>...</v>
      </c>
      <c r="H12075" s="1" t="str">
        <f t="shared" si="2711"/>
        <v>...</v>
      </c>
      <c r="I12075" s="1" t="str">
        <f t="shared" si="2711"/>
        <v>...</v>
      </c>
      <c r="J12075" s="1" t="str">
        <f t="shared" si="2711"/>
        <v>...</v>
      </c>
      <c r="K12075" s="1" t="str">
        <f t="shared" si="2711"/>
        <v>...</v>
      </c>
      <c r="L12075" s="1" t="str">
        <f t="shared" si="2711"/>
        <v>...</v>
      </c>
      <c r="M12075" s="1" t="str">
        <f t="shared" si="2711"/>
        <v>...</v>
      </c>
      <c r="N12075" t="s">
        <v>30</v>
      </c>
    </row>
    <row r="12076" spans="1:14" x14ac:dyDescent="0.25">
      <c r="A12076" t="s">
        <v>44</v>
      </c>
      <c r="B12076" t="s">
        <v>39</v>
      </c>
      <c r="C12076" t="s">
        <v>37</v>
      </c>
      <c r="D12076" t="s">
        <v>34</v>
      </c>
      <c r="E12076" t="s">
        <v>26</v>
      </c>
      <c r="F12076" t="s">
        <v>20</v>
      </c>
      <c r="G12076" s="1" t="str">
        <f t="shared" si="2711"/>
        <v>...</v>
      </c>
      <c r="H12076" s="1" t="str">
        <f t="shared" si="2711"/>
        <v>...</v>
      </c>
      <c r="I12076" s="1" t="str">
        <f t="shared" si="2711"/>
        <v>...</v>
      </c>
      <c r="J12076" s="1" t="str">
        <f t="shared" si="2711"/>
        <v>...</v>
      </c>
      <c r="K12076" s="1" t="str">
        <f t="shared" si="2711"/>
        <v>...</v>
      </c>
      <c r="L12076" s="1" t="str">
        <f t="shared" si="2711"/>
        <v>...</v>
      </c>
      <c r="M12076" s="1" t="str">
        <f t="shared" si="2711"/>
        <v>...</v>
      </c>
      <c r="N12076" t="s">
        <v>30</v>
      </c>
    </row>
    <row r="12077" spans="1:14" x14ac:dyDescent="0.25">
      <c r="A12077" t="s">
        <v>44</v>
      </c>
      <c r="B12077" t="s">
        <v>39</v>
      </c>
      <c r="C12077" t="s">
        <v>38</v>
      </c>
      <c r="D12077" t="s">
        <v>15</v>
      </c>
      <c r="E12077" t="s">
        <v>15</v>
      </c>
      <c r="F12077" t="s">
        <v>15</v>
      </c>
      <c r="G12077" s="1">
        <f>VALUE(22932.4)</f>
        <v>22932.400000000001</v>
      </c>
      <c r="H12077" s="1">
        <f>VALUE(21222.26)</f>
        <v>21222.26</v>
      </c>
      <c r="I12077" s="1">
        <f>VALUE(4144)</f>
        <v>4144</v>
      </c>
      <c r="J12077" s="1">
        <f>VALUE(5085)</f>
        <v>5085</v>
      </c>
      <c r="K12077" s="1">
        <f>VALUE(6161)</f>
        <v>6161</v>
      </c>
      <c r="L12077" s="1">
        <f>VALUE(8069)</f>
        <v>8069</v>
      </c>
      <c r="M12077" s="1">
        <f>VALUE(12407)</f>
        <v>12407</v>
      </c>
      <c r="N12077" t="s">
        <v>16</v>
      </c>
    </row>
    <row r="12078" spans="1:14" x14ac:dyDescent="0.25">
      <c r="A12078" t="s">
        <v>44</v>
      </c>
      <c r="B12078" t="s">
        <v>39</v>
      </c>
      <c r="C12078" t="s">
        <v>38</v>
      </c>
      <c r="D12078" t="s">
        <v>15</v>
      </c>
      <c r="E12078" t="s">
        <v>15</v>
      </c>
      <c r="F12078" t="s">
        <v>17</v>
      </c>
      <c r="G12078" s="1">
        <f>VALUE(5875.26)</f>
        <v>5875.26</v>
      </c>
      <c r="H12078" s="1">
        <f>VALUE(5560.95)</f>
        <v>5560.95</v>
      </c>
      <c r="I12078" s="1">
        <f>VALUE(5913)</f>
        <v>5913</v>
      </c>
      <c r="J12078" s="1">
        <f>VALUE(7323)</f>
        <v>7323</v>
      </c>
      <c r="K12078" s="1">
        <f>VALUE(10025)</f>
        <v>10025</v>
      </c>
      <c r="L12078" s="1">
        <f>VALUE(14244)</f>
        <v>14244</v>
      </c>
      <c r="M12078" s="1">
        <f>VALUE(19022)</f>
        <v>19022</v>
      </c>
      <c r="N12078" t="s">
        <v>16</v>
      </c>
    </row>
    <row r="12079" spans="1:14" x14ac:dyDescent="0.25">
      <c r="A12079" t="s">
        <v>44</v>
      </c>
      <c r="B12079" t="s">
        <v>39</v>
      </c>
      <c r="C12079" t="s">
        <v>38</v>
      </c>
      <c r="D12079" t="s">
        <v>15</v>
      </c>
      <c r="E12079" t="s">
        <v>15</v>
      </c>
      <c r="F12079" t="s">
        <v>18</v>
      </c>
      <c r="G12079" s="2">
        <f>VALUE(2061.98)</f>
        <v>2061.98</v>
      </c>
      <c r="H12079" s="3">
        <f>VALUE(1889.72)</f>
        <v>1889.72</v>
      </c>
      <c r="I12079" s="4">
        <f>VALUE(4423)</f>
        <v>4423</v>
      </c>
      <c r="J12079" s="1">
        <f>VALUE(5690)</f>
        <v>5690</v>
      </c>
      <c r="K12079" s="1">
        <f>VALUE(6820)</f>
        <v>6820</v>
      </c>
      <c r="L12079" s="1">
        <f>VALUE(9121)</f>
        <v>9121</v>
      </c>
      <c r="M12079" s="1">
        <f>VALUE(11665)</f>
        <v>11665</v>
      </c>
      <c r="N12079" t="s">
        <v>25</v>
      </c>
    </row>
    <row r="12080" spans="1:14" x14ac:dyDescent="0.25">
      <c r="A12080" t="s">
        <v>44</v>
      </c>
      <c r="B12080" t="s">
        <v>39</v>
      </c>
      <c r="C12080" t="s">
        <v>38</v>
      </c>
      <c r="D12080" t="s">
        <v>15</v>
      </c>
      <c r="E12080" t="s">
        <v>15</v>
      </c>
      <c r="F12080" t="s">
        <v>19</v>
      </c>
      <c r="G12080" s="2">
        <f>VALUE(2452.72)</f>
        <v>2452.7199999999998</v>
      </c>
      <c r="H12080" s="3">
        <f>VALUE(2338.76)</f>
        <v>2338.7600000000002</v>
      </c>
      <c r="I12080" s="1">
        <f>VALUE(4694)</f>
        <v>4694</v>
      </c>
      <c r="J12080" s="1">
        <f>VALUE(5461)</f>
        <v>5461</v>
      </c>
      <c r="K12080" s="1">
        <f>VALUE(6393)</f>
        <v>6393</v>
      </c>
      <c r="L12080" s="1">
        <f>VALUE(7362)</f>
        <v>7362</v>
      </c>
      <c r="M12080" s="1">
        <f>VALUE(8644)</f>
        <v>8644</v>
      </c>
      <c r="N12080" t="s">
        <v>25</v>
      </c>
    </row>
    <row r="12081" spans="1:14" x14ac:dyDescent="0.25">
      <c r="A12081" t="s">
        <v>44</v>
      </c>
      <c r="B12081" t="s">
        <v>39</v>
      </c>
      <c r="C12081" t="s">
        <v>38</v>
      </c>
      <c r="D12081" t="s">
        <v>15</v>
      </c>
      <c r="E12081" t="s">
        <v>15</v>
      </c>
      <c r="F12081" t="s">
        <v>20</v>
      </c>
      <c r="G12081" s="1">
        <f>VALUE(12542.44)</f>
        <v>12542.44</v>
      </c>
      <c r="H12081" s="1">
        <f>VALUE(11432.83)</f>
        <v>11432.83</v>
      </c>
      <c r="I12081" s="1">
        <f>VALUE(3879)</f>
        <v>3879</v>
      </c>
      <c r="J12081" s="1">
        <f>VALUE(4566)</f>
        <v>4566</v>
      </c>
      <c r="K12081" s="1">
        <f>VALUE(5491)</f>
        <v>5491</v>
      </c>
      <c r="L12081" s="1">
        <f>VALUE(6270)</f>
        <v>6270</v>
      </c>
      <c r="M12081" s="1">
        <f>VALUE(7356)</f>
        <v>7356</v>
      </c>
      <c r="N12081" t="s">
        <v>16</v>
      </c>
    </row>
    <row r="12082" spans="1:14" x14ac:dyDescent="0.25">
      <c r="A12082" t="s">
        <v>44</v>
      </c>
      <c r="B12082" t="s">
        <v>39</v>
      </c>
      <c r="C12082" t="s">
        <v>38</v>
      </c>
      <c r="D12082" t="s">
        <v>15</v>
      </c>
      <c r="E12082" t="s">
        <v>21</v>
      </c>
      <c r="F12082" t="s">
        <v>15</v>
      </c>
      <c r="G12082" s="1">
        <f>VALUE(5262.46)</f>
        <v>5262.46</v>
      </c>
      <c r="H12082" s="1">
        <f>VALUE(4682.16)</f>
        <v>4682.16</v>
      </c>
      <c r="I12082" s="1">
        <f>VALUE(5852)</f>
        <v>5852</v>
      </c>
      <c r="J12082" s="1">
        <f>VALUE(7291)</f>
        <v>7291</v>
      </c>
      <c r="K12082" s="1">
        <f>VALUE(9908)</f>
        <v>9908</v>
      </c>
      <c r="L12082" s="7">
        <f>VALUE(14000)</f>
        <v>14000</v>
      </c>
      <c r="M12082" s="1">
        <f>VALUE(18685)</f>
        <v>18685</v>
      </c>
      <c r="N12082" t="s">
        <v>25</v>
      </c>
    </row>
    <row r="12083" spans="1:14" x14ac:dyDescent="0.25">
      <c r="A12083" t="s">
        <v>44</v>
      </c>
      <c r="B12083" t="s">
        <v>39</v>
      </c>
      <c r="C12083" t="s">
        <v>38</v>
      </c>
      <c r="D12083" t="s">
        <v>15</v>
      </c>
      <c r="E12083" t="s">
        <v>21</v>
      </c>
      <c r="F12083" t="s">
        <v>17</v>
      </c>
      <c r="G12083" s="2">
        <f>VALUE(2990.24)</f>
        <v>2990.24</v>
      </c>
      <c r="H12083" s="3">
        <f>VALUE(2774.24)</f>
        <v>2774.24</v>
      </c>
      <c r="I12083" s="4">
        <f>VALUE(7427)</f>
        <v>7427</v>
      </c>
      <c r="J12083" s="1">
        <f>VALUE(9689)</f>
        <v>9689</v>
      </c>
      <c r="K12083" s="1">
        <f>VALUE(12252)</f>
        <v>12252</v>
      </c>
      <c r="L12083" s="1">
        <f>VALUE(16661)</f>
        <v>16661</v>
      </c>
      <c r="M12083" s="8">
        <f>VALUE(22909)</f>
        <v>22909</v>
      </c>
      <c r="N12083" t="s">
        <v>25</v>
      </c>
    </row>
    <row r="12084" spans="1:14" x14ac:dyDescent="0.25">
      <c r="A12084" t="s">
        <v>44</v>
      </c>
      <c r="B12084" t="s">
        <v>39</v>
      </c>
      <c r="C12084" t="s">
        <v>38</v>
      </c>
      <c r="D12084" t="s">
        <v>15</v>
      </c>
      <c r="E12084" t="s">
        <v>21</v>
      </c>
      <c r="F12084" t="s">
        <v>18</v>
      </c>
      <c r="G12084" s="2">
        <f>VALUE(623.98)</f>
        <v>623.98</v>
      </c>
      <c r="H12084" s="3">
        <f>VALUE(507.8)</f>
        <v>507.8</v>
      </c>
      <c r="I12084" s="1">
        <f>VALUE(5628)</f>
        <v>5628</v>
      </c>
      <c r="J12084" s="5">
        <f>VALUE(6638)</f>
        <v>6638</v>
      </c>
      <c r="K12084" s="1">
        <f>VALUE(8789)</f>
        <v>8789</v>
      </c>
      <c r="L12084" s="1">
        <f>VALUE(10948)</f>
        <v>10948</v>
      </c>
      <c r="M12084" s="8">
        <f>VALUE(14194)</f>
        <v>14194</v>
      </c>
      <c r="N12084" t="s">
        <v>25</v>
      </c>
    </row>
    <row r="12085" spans="1:14" x14ac:dyDescent="0.25">
      <c r="A12085" t="s">
        <v>44</v>
      </c>
      <c r="B12085" t="s">
        <v>39</v>
      </c>
      <c r="C12085" t="s">
        <v>38</v>
      </c>
      <c r="D12085" t="s">
        <v>15</v>
      </c>
      <c r="E12085" t="s">
        <v>21</v>
      </c>
      <c r="F12085" t="s">
        <v>19</v>
      </c>
      <c r="G12085" s="2">
        <f>VALUE(385.94)</f>
        <v>385.94</v>
      </c>
      <c r="H12085" s="3">
        <f>VALUE(336.53)</f>
        <v>336.53</v>
      </c>
      <c r="I12085" s="4">
        <f>VALUE(5017)</f>
        <v>5017</v>
      </c>
      <c r="J12085" s="1">
        <f>VALUE(6554)</f>
        <v>6554</v>
      </c>
      <c r="K12085" s="1">
        <f>VALUE(7400)</f>
        <v>7400</v>
      </c>
      <c r="L12085" s="1">
        <f>VALUE(8811)</f>
        <v>8811</v>
      </c>
      <c r="M12085" s="1">
        <f>VALUE(11000)</f>
        <v>11000</v>
      </c>
      <c r="N12085" t="s">
        <v>25</v>
      </c>
    </row>
    <row r="12086" spans="1:14" x14ac:dyDescent="0.25">
      <c r="A12086" t="s">
        <v>44</v>
      </c>
      <c r="B12086" t="s">
        <v>39</v>
      </c>
      <c r="C12086" t="s">
        <v>38</v>
      </c>
      <c r="D12086" t="s">
        <v>15</v>
      </c>
      <c r="E12086" t="s">
        <v>21</v>
      </c>
      <c r="F12086" t="s">
        <v>20</v>
      </c>
      <c r="G12086" s="2">
        <f>VALUE(1262.3)</f>
        <v>1262.3</v>
      </c>
      <c r="H12086" s="3">
        <f>VALUE(1063.59)</f>
        <v>1063.5899999999999</v>
      </c>
      <c r="I12086" s="1">
        <f>VALUE(4780)</f>
        <v>4780</v>
      </c>
      <c r="J12086" s="1">
        <f>VALUE(5986)</f>
        <v>5986</v>
      </c>
      <c r="K12086" s="1">
        <f>VALUE(6965)</f>
        <v>6965</v>
      </c>
      <c r="L12086" s="1">
        <f>VALUE(7844)</f>
        <v>7844</v>
      </c>
      <c r="M12086" s="1">
        <f>VALUE(9958)</f>
        <v>9958</v>
      </c>
      <c r="N12086" t="s">
        <v>25</v>
      </c>
    </row>
    <row r="12087" spans="1:14" x14ac:dyDescent="0.25">
      <c r="A12087" t="s">
        <v>44</v>
      </c>
      <c r="B12087" t="s">
        <v>39</v>
      </c>
      <c r="C12087" t="s">
        <v>38</v>
      </c>
      <c r="D12087" t="s">
        <v>15</v>
      </c>
      <c r="E12087" t="s">
        <v>22</v>
      </c>
      <c r="F12087" t="s">
        <v>15</v>
      </c>
      <c r="G12087" s="1">
        <f>VALUE(9108.58)</f>
        <v>9108.58</v>
      </c>
      <c r="H12087" s="1">
        <f>VALUE(8630.66)</f>
        <v>8630.66</v>
      </c>
      <c r="I12087" s="1">
        <f>VALUE(4549)</f>
        <v>4549</v>
      </c>
      <c r="J12087" s="1">
        <f>VALUE(5467)</f>
        <v>5467</v>
      </c>
      <c r="K12087" s="1">
        <f>VALUE(6399)</f>
        <v>6399</v>
      </c>
      <c r="L12087" s="1">
        <f>VALUE(7696)</f>
        <v>7696</v>
      </c>
      <c r="M12087" s="1">
        <f>VALUE(10114)</f>
        <v>10114</v>
      </c>
      <c r="N12087" t="s">
        <v>16</v>
      </c>
    </row>
    <row r="12088" spans="1:14" x14ac:dyDescent="0.25">
      <c r="A12088" t="s">
        <v>44</v>
      </c>
      <c r="B12088" t="s">
        <v>39</v>
      </c>
      <c r="C12088" t="s">
        <v>38</v>
      </c>
      <c r="D12088" t="s">
        <v>15</v>
      </c>
      <c r="E12088" t="s">
        <v>22</v>
      </c>
      <c r="F12088" t="s">
        <v>17</v>
      </c>
      <c r="G12088" s="2">
        <f>VALUE(2238.92)</f>
        <v>2238.92</v>
      </c>
      <c r="H12088" s="3">
        <f>VALUE(2185.97)</f>
        <v>2185.9699999999998</v>
      </c>
      <c r="I12088" s="4">
        <f>VALUE(5778)</f>
        <v>5778</v>
      </c>
      <c r="J12088" s="1">
        <f>VALUE(6612)</f>
        <v>6612</v>
      </c>
      <c r="K12088" s="1">
        <f>VALUE(8195)</f>
        <v>8195</v>
      </c>
      <c r="L12088" s="1">
        <f>VALUE(10811)</f>
        <v>10811</v>
      </c>
      <c r="M12088" s="1">
        <f>VALUE(15000)</f>
        <v>15000</v>
      </c>
      <c r="N12088" t="s">
        <v>25</v>
      </c>
    </row>
    <row r="12089" spans="1:14" x14ac:dyDescent="0.25">
      <c r="A12089" t="s">
        <v>44</v>
      </c>
      <c r="B12089" t="s">
        <v>39</v>
      </c>
      <c r="C12089" t="s">
        <v>38</v>
      </c>
      <c r="D12089" t="s">
        <v>15</v>
      </c>
      <c r="E12089" t="s">
        <v>22</v>
      </c>
      <c r="F12089" t="s">
        <v>18</v>
      </c>
      <c r="G12089" s="2">
        <f>VALUE(1051.5)</f>
        <v>1051.5</v>
      </c>
      <c r="H12089" s="3">
        <f>VALUE(990.59)</f>
        <v>990.59</v>
      </c>
      <c r="I12089" s="4">
        <f>VALUE(5250)</f>
        <v>5250</v>
      </c>
      <c r="J12089" s="1">
        <f>VALUE(6022)</f>
        <v>6022</v>
      </c>
      <c r="K12089" s="1">
        <f>VALUE(6851)</f>
        <v>6851</v>
      </c>
      <c r="L12089" s="1">
        <f>VALUE(8647)</f>
        <v>8647</v>
      </c>
      <c r="M12089" s="1">
        <f>VALUE(10791)</f>
        <v>10791</v>
      </c>
      <c r="N12089" t="s">
        <v>25</v>
      </c>
    </row>
    <row r="12090" spans="1:14" x14ac:dyDescent="0.25">
      <c r="A12090" t="s">
        <v>44</v>
      </c>
      <c r="B12090" t="s">
        <v>39</v>
      </c>
      <c r="C12090" t="s">
        <v>38</v>
      </c>
      <c r="D12090" t="s">
        <v>15</v>
      </c>
      <c r="E12090" t="s">
        <v>22</v>
      </c>
      <c r="F12090" t="s">
        <v>19</v>
      </c>
      <c r="G12090" s="2">
        <f>VALUE(1444.95)</f>
        <v>1444.95</v>
      </c>
      <c r="H12090" s="3">
        <f>VALUE(1392.01)</f>
        <v>1392.01</v>
      </c>
      <c r="I12090" s="1">
        <f>VALUE(4873)</f>
        <v>4873</v>
      </c>
      <c r="J12090" s="1">
        <f>VALUE(5499)</f>
        <v>5499</v>
      </c>
      <c r="K12090" s="1">
        <f>VALUE(6501)</f>
        <v>6501</v>
      </c>
      <c r="L12090" s="1">
        <f>VALUE(7403)</f>
        <v>7403</v>
      </c>
      <c r="M12090" s="8">
        <f>VALUE(8378)</f>
        <v>8378</v>
      </c>
      <c r="N12090" t="s">
        <v>25</v>
      </c>
    </row>
    <row r="12091" spans="1:14" x14ac:dyDescent="0.25">
      <c r="A12091" t="s">
        <v>44</v>
      </c>
      <c r="B12091" t="s">
        <v>39</v>
      </c>
      <c r="C12091" t="s">
        <v>38</v>
      </c>
      <c r="D12091" t="s">
        <v>15</v>
      </c>
      <c r="E12091" t="s">
        <v>22</v>
      </c>
      <c r="F12091" t="s">
        <v>20</v>
      </c>
      <c r="G12091" s="1">
        <f>VALUE(4373.21)</f>
        <v>4373.21</v>
      </c>
      <c r="H12091" s="1">
        <f>VALUE(4062.09)</f>
        <v>4062.09</v>
      </c>
      <c r="I12091" s="1">
        <f>VALUE(4262)</f>
        <v>4262</v>
      </c>
      <c r="J12091" s="1">
        <f>VALUE(5119)</f>
        <v>5119</v>
      </c>
      <c r="K12091" s="1">
        <f>VALUE(5827)</f>
        <v>5827</v>
      </c>
      <c r="L12091" s="1">
        <f>VALUE(6571)</f>
        <v>6571</v>
      </c>
      <c r="M12091" s="1">
        <f>VALUE(7436)</f>
        <v>7436</v>
      </c>
      <c r="N12091" t="s">
        <v>16</v>
      </c>
    </row>
    <row r="12092" spans="1:14" x14ac:dyDescent="0.25">
      <c r="A12092" t="s">
        <v>44</v>
      </c>
      <c r="B12092" t="s">
        <v>39</v>
      </c>
      <c r="C12092" t="s">
        <v>38</v>
      </c>
      <c r="D12092" t="s">
        <v>15</v>
      </c>
      <c r="E12092" t="s">
        <v>23</v>
      </c>
      <c r="F12092" t="s">
        <v>15</v>
      </c>
      <c r="G12092" s="1">
        <f>VALUE(8029.37)</f>
        <v>8029.37</v>
      </c>
      <c r="H12092" s="1">
        <f>VALUE(7393.92)</f>
        <v>7393.92</v>
      </c>
      <c r="I12092" s="1">
        <f>VALUE(3736)</f>
        <v>3736</v>
      </c>
      <c r="J12092" s="1">
        <f>VALUE(4281)</f>
        <v>4281</v>
      </c>
      <c r="K12092" s="1">
        <f>VALUE(5100)</f>
        <v>5100</v>
      </c>
      <c r="L12092" s="1">
        <f>VALUE(5926)</f>
        <v>5926</v>
      </c>
      <c r="M12092" s="1">
        <f>VALUE(6654)</f>
        <v>6654</v>
      </c>
      <c r="N12092" t="s">
        <v>16</v>
      </c>
    </row>
    <row r="12093" spans="1:14" x14ac:dyDescent="0.25">
      <c r="A12093" t="s">
        <v>44</v>
      </c>
      <c r="B12093" t="s">
        <v>39</v>
      </c>
      <c r="C12093" t="s">
        <v>38</v>
      </c>
      <c r="D12093" t="s">
        <v>15</v>
      </c>
      <c r="E12093" t="s">
        <v>23</v>
      </c>
      <c r="F12093" t="s">
        <v>17</v>
      </c>
      <c r="G12093" s="2">
        <f>VALUE(462.02)</f>
        <v>462.02</v>
      </c>
      <c r="H12093" s="3">
        <f>VALUE(426.41)</f>
        <v>426.41</v>
      </c>
      <c r="I12093" s="4">
        <f>VALUE(3721)</f>
        <v>3721</v>
      </c>
      <c r="J12093" s="5">
        <f>VALUE(4319)</f>
        <v>4319</v>
      </c>
      <c r="K12093" s="6">
        <f>VALUE(6017)</f>
        <v>6017</v>
      </c>
      <c r="L12093" s="7">
        <f>VALUE(7554)</f>
        <v>7554</v>
      </c>
      <c r="M12093" s="8">
        <f>VALUE(10569)</f>
        <v>10569</v>
      </c>
      <c r="N12093" t="s">
        <v>24</v>
      </c>
    </row>
    <row r="12094" spans="1:14" x14ac:dyDescent="0.25">
      <c r="A12094" t="s">
        <v>44</v>
      </c>
      <c r="B12094" t="s">
        <v>39</v>
      </c>
      <c r="C12094" t="s">
        <v>38</v>
      </c>
      <c r="D12094" t="s">
        <v>15</v>
      </c>
      <c r="E12094" t="s">
        <v>23</v>
      </c>
      <c r="F12094" t="s">
        <v>18</v>
      </c>
      <c r="G12094" s="2">
        <f>VALUE(351.06)</f>
        <v>351.06</v>
      </c>
      <c r="H12094" s="3">
        <f>VALUE(355.89)</f>
        <v>355.89</v>
      </c>
      <c r="I12094" s="1">
        <f>VALUE(4059)</f>
        <v>4059</v>
      </c>
      <c r="J12094" s="5">
        <f>VALUE(4249)</f>
        <v>4249</v>
      </c>
      <c r="K12094" s="6">
        <f>VALUE(5140)</f>
        <v>5140</v>
      </c>
      <c r="L12094" s="1">
        <f>VALUE(6018)</f>
        <v>6018</v>
      </c>
      <c r="M12094" s="8">
        <f>VALUE(6812)</f>
        <v>6812</v>
      </c>
      <c r="N12094" t="s">
        <v>25</v>
      </c>
    </row>
    <row r="12095" spans="1:14" x14ac:dyDescent="0.25">
      <c r="A12095" t="s">
        <v>44</v>
      </c>
      <c r="B12095" t="s">
        <v>39</v>
      </c>
      <c r="C12095" t="s">
        <v>38</v>
      </c>
      <c r="D12095" t="s">
        <v>15</v>
      </c>
      <c r="E12095" t="s">
        <v>23</v>
      </c>
      <c r="F12095" t="s">
        <v>19</v>
      </c>
      <c r="G12095" s="2">
        <f>VALUE(610.42)</f>
        <v>610.41999999999996</v>
      </c>
      <c r="H12095" s="3">
        <f>VALUE(598.97)</f>
        <v>598.97</v>
      </c>
      <c r="I12095" s="1">
        <f>VALUE(4419)</f>
        <v>4419</v>
      </c>
      <c r="J12095" s="1">
        <f>VALUE(4976)</f>
        <v>4976</v>
      </c>
      <c r="K12095" s="1">
        <f>VALUE(5688)</f>
        <v>5688</v>
      </c>
      <c r="L12095" s="1">
        <f>VALUE(6506)</f>
        <v>6506</v>
      </c>
      <c r="M12095" s="1">
        <f>VALUE(7404)</f>
        <v>7404</v>
      </c>
      <c r="N12095" t="s">
        <v>25</v>
      </c>
    </row>
    <row r="12096" spans="1:14" x14ac:dyDescent="0.25">
      <c r="A12096" t="s">
        <v>44</v>
      </c>
      <c r="B12096" t="s">
        <v>39</v>
      </c>
      <c r="C12096" t="s">
        <v>38</v>
      </c>
      <c r="D12096" t="s">
        <v>15</v>
      </c>
      <c r="E12096" t="s">
        <v>23</v>
      </c>
      <c r="F12096" t="s">
        <v>20</v>
      </c>
      <c r="G12096" s="1">
        <f>VALUE(6605.87)</f>
        <v>6605.87</v>
      </c>
      <c r="H12096" s="1">
        <f>VALUE(6012.65)</f>
        <v>6012.65</v>
      </c>
      <c r="I12096" s="1">
        <f>VALUE(3700)</f>
        <v>3700</v>
      </c>
      <c r="J12096" s="1">
        <f>VALUE(4226)</f>
        <v>4226</v>
      </c>
      <c r="K12096" s="1">
        <f>VALUE(5041)</f>
        <v>5041</v>
      </c>
      <c r="L12096" s="1">
        <f>VALUE(5787)</f>
        <v>5787</v>
      </c>
      <c r="M12096" s="1">
        <f>VALUE(6362)</f>
        <v>6362</v>
      </c>
      <c r="N12096" t="s">
        <v>16</v>
      </c>
    </row>
    <row r="12097" spans="1:14" x14ac:dyDescent="0.25">
      <c r="A12097" t="s">
        <v>44</v>
      </c>
      <c r="B12097" t="s">
        <v>39</v>
      </c>
      <c r="C12097" t="s">
        <v>38</v>
      </c>
      <c r="D12097" t="s">
        <v>15</v>
      </c>
      <c r="E12097" t="s">
        <v>26</v>
      </c>
      <c r="F12097" t="s">
        <v>15</v>
      </c>
      <c r="G12097" s="2">
        <f>VALUE(531.99)</f>
        <v>531.99</v>
      </c>
      <c r="H12097" s="3">
        <f>VALUE(515.52)</f>
        <v>515.52</v>
      </c>
      <c r="I12097" s="1">
        <f>VALUE(5418)</f>
        <v>5418</v>
      </c>
      <c r="J12097" s="5">
        <f>VALUE(5835)</f>
        <v>5835</v>
      </c>
      <c r="K12097" s="1">
        <f>VALUE(7221)</f>
        <v>7221</v>
      </c>
      <c r="L12097" s="7">
        <f>VALUE(9709)</f>
        <v>9709</v>
      </c>
      <c r="M12097" s="8">
        <f>VALUE(15467)</f>
        <v>15467</v>
      </c>
      <c r="N12097" t="s">
        <v>25</v>
      </c>
    </row>
    <row r="12098" spans="1:14" x14ac:dyDescent="0.25">
      <c r="A12098" t="s">
        <v>44</v>
      </c>
      <c r="B12098" t="s">
        <v>39</v>
      </c>
      <c r="C12098" t="s">
        <v>38</v>
      </c>
      <c r="D12098" t="s">
        <v>15</v>
      </c>
      <c r="E12098" t="s">
        <v>26</v>
      </c>
      <c r="F12098" t="s">
        <v>17</v>
      </c>
      <c r="G12098" s="1" t="str">
        <f t="shared" ref="G12098:M12100" si="2712">"X"</f>
        <v>X</v>
      </c>
      <c r="H12098" s="1" t="str">
        <f t="shared" si="2712"/>
        <v>X</v>
      </c>
      <c r="I12098" s="1" t="str">
        <f t="shared" si="2712"/>
        <v>X</v>
      </c>
      <c r="J12098" s="1" t="str">
        <f t="shared" si="2712"/>
        <v>X</v>
      </c>
      <c r="K12098" s="1" t="str">
        <f t="shared" si="2712"/>
        <v>X</v>
      </c>
      <c r="L12098" s="1" t="str">
        <f t="shared" si="2712"/>
        <v>X</v>
      </c>
      <c r="M12098" s="1" t="str">
        <f t="shared" si="2712"/>
        <v>X</v>
      </c>
      <c r="N12098" t="s">
        <v>27</v>
      </c>
    </row>
    <row r="12099" spans="1:14" x14ac:dyDescent="0.25">
      <c r="A12099" t="s">
        <v>44</v>
      </c>
      <c r="B12099" t="s">
        <v>39</v>
      </c>
      <c r="C12099" t="s">
        <v>38</v>
      </c>
      <c r="D12099" t="s">
        <v>15</v>
      </c>
      <c r="E12099" t="s">
        <v>26</v>
      </c>
      <c r="F12099" t="s">
        <v>18</v>
      </c>
      <c r="G12099" s="1" t="str">
        <f t="shared" si="2712"/>
        <v>X</v>
      </c>
      <c r="H12099" s="1" t="str">
        <f t="shared" si="2712"/>
        <v>X</v>
      </c>
      <c r="I12099" s="1" t="str">
        <f t="shared" si="2712"/>
        <v>X</v>
      </c>
      <c r="J12099" s="1" t="str">
        <f t="shared" si="2712"/>
        <v>X</v>
      </c>
      <c r="K12099" s="1" t="str">
        <f t="shared" si="2712"/>
        <v>X</v>
      </c>
      <c r="L12099" s="1" t="str">
        <f t="shared" si="2712"/>
        <v>X</v>
      </c>
      <c r="M12099" s="1" t="str">
        <f t="shared" si="2712"/>
        <v>X</v>
      </c>
      <c r="N12099" t="s">
        <v>27</v>
      </c>
    </row>
    <row r="12100" spans="1:14" x14ac:dyDescent="0.25">
      <c r="A12100" t="s">
        <v>44</v>
      </c>
      <c r="B12100" t="s">
        <v>39</v>
      </c>
      <c r="C12100" t="s">
        <v>38</v>
      </c>
      <c r="D12100" t="s">
        <v>15</v>
      </c>
      <c r="E12100" t="s">
        <v>26</v>
      </c>
      <c r="F12100" t="s">
        <v>19</v>
      </c>
      <c r="G12100" s="1" t="str">
        <f t="shared" si="2712"/>
        <v>X</v>
      </c>
      <c r="H12100" s="1" t="str">
        <f t="shared" si="2712"/>
        <v>X</v>
      </c>
      <c r="I12100" s="1" t="str">
        <f t="shared" si="2712"/>
        <v>X</v>
      </c>
      <c r="J12100" s="1" t="str">
        <f t="shared" si="2712"/>
        <v>X</v>
      </c>
      <c r="K12100" s="1" t="str">
        <f t="shared" si="2712"/>
        <v>X</v>
      </c>
      <c r="L12100" s="1" t="str">
        <f t="shared" si="2712"/>
        <v>X</v>
      </c>
      <c r="M12100" s="1" t="str">
        <f t="shared" si="2712"/>
        <v>X</v>
      </c>
      <c r="N12100" t="s">
        <v>27</v>
      </c>
    </row>
    <row r="12101" spans="1:14" x14ac:dyDescent="0.25">
      <c r="A12101" t="s">
        <v>44</v>
      </c>
      <c r="B12101" t="s">
        <v>39</v>
      </c>
      <c r="C12101" t="s">
        <v>38</v>
      </c>
      <c r="D12101" t="s">
        <v>15</v>
      </c>
      <c r="E12101" t="s">
        <v>26</v>
      </c>
      <c r="F12101" t="s">
        <v>20</v>
      </c>
      <c r="G12101" s="2">
        <f>VALUE(301.06)</f>
        <v>301.06</v>
      </c>
      <c r="H12101" s="3">
        <f>VALUE(294.5)</f>
        <v>294.5</v>
      </c>
      <c r="I12101" s="1">
        <f>VALUE(5362)</f>
        <v>5362</v>
      </c>
      <c r="J12101" s="1">
        <f>VALUE(5634)</f>
        <v>5634</v>
      </c>
      <c r="K12101" s="1">
        <f>VALUE(6308)</f>
        <v>6308</v>
      </c>
      <c r="L12101" s="1">
        <f>VALUE(7419)</f>
        <v>7419</v>
      </c>
      <c r="M12101" s="1">
        <f>VALUE(8707)</f>
        <v>8707</v>
      </c>
      <c r="N12101" t="s">
        <v>25</v>
      </c>
    </row>
    <row r="12102" spans="1:14" x14ac:dyDescent="0.25">
      <c r="A12102" t="s">
        <v>44</v>
      </c>
      <c r="B12102" t="s">
        <v>39</v>
      </c>
      <c r="C12102" t="s">
        <v>38</v>
      </c>
      <c r="D12102" t="s">
        <v>28</v>
      </c>
      <c r="E12102" t="s">
        <v>15</v>
      </c>
      <c r="F12102" t="s">
        <v>15</v>
      </c>
      <c r="G12102" s="1">
        <f>VALUE(9527.31)</f>
        <v>9527.31</v>
      </c>
      <c r="H12102" s="1">
        <f>VALUE(8761.66)</f>
        <v>8761.66</v>
      </c>
      <c r="I12102" s="1">
        <f>VALUE(4970)</f>
        <v>4970</v>
      </c>
      <c r="J12102" s="1">
        <f>VALUE(5891)</f>
        <v>5891</v>
      </c>
      <c r="K12102" s="1">
        <f>VALUE(7150)</f>
        <v>7150</v>
      </c>
      <c r="L12102" s="1">
        <f>VALUE(10172)</f>
        <v>10172</v>
      </c>
      <c r="M12102" s="1">
        <f>VALUE(14244)</f>
        <v>14244</v>
      </c>
      <c r="N12102" t="s">
        <v>16</v>
      </c>
    </row>
    <row r="12103" spans="1:14" x14ac:dyDescent="0.25">
      <c r="A12103" t="s">
        <v>44</v>
      </c>
      <c r="B12103" t="s">
        <v>39</v>
      </c>
      <c r="C12103" t="s">
        <v>38</v>
      </c>
      <c r="D12103" t="s">
        <v>28</v>
      </c>
      <c r="E12103" t="s">
        <v>15</v>
      </c>
      <c r="F12103" t="s">
        <v>17</v>
      </c>
      <c r="G12103" s="2">
        <f>VALUE(3686.56)</f>
        <v>3686.56</v>
      </c>
      <c r="H12103" s="3">
        <f>VALUE(3519.07)</f>
        <v>3519.07</v>
      </c>
      <c r="I12103" s="1">
        <f>VALUE(6056)</f>
        <v>6056</v>
      </c>
      <c r="J12103" s="1">
        <f>VALUE(7582)</f>
        <v>7582</v>
      </c>
      <c r="K12103" s="1">
        <f>VALUE(10254)</f>
        <v>10254</v>
      </c>
      <c r="L12103" s="1">
        <f>VALUE(13724)</f>
        <v>13724</v>
      </c>
      <c r="M12103" s="1">
        <f>VALUE(18894)</f>
        <v>18894</v>
      </c>
      <c r="N12103" t="s">
        <v>25</v>
      </c>
    </row>
    <row r="12104" spans="1:14" x14ac:dyDescent="0.25">
      <c r="A12104" t="s">
        <v>44</v>
      </c>
      <c r="B12104" t="s">
        <v>39</v>
      </c>
      <c r="C12104" t="s">
        <v>38</v>
      </c>
      <c r="D12104" t="s">
        <v>28</v>
      </c>
      <c r="E12104" t="s">
        <v>15</v>
      </c>
      <c r="F12104" t="s">
        <v>18</v>
      </c>
      <c r="G12104" s="2">
        <f>VALUE(1092.97)</f>
        <v>1092.97</v>
      </c>
      <c r="H12104" s="3">
        <f>VALUE(996.98)</f>
        <v>996.98</v>
      </c>
      <c r="I12104" s="4">
        <f>VALUE(4809)</f>
        <v>4809</v>
      </c>
      <c r="J12104" s="5">
        <f>VALUE(6286)</f>
        <v>6286</v>
      </c>
      <c r="K12104" s="6">
        <f>VALUE(7533)</f>
        <v>7533</v>
      </c>
      <c r="L12104" s="1">
        <f>VALUE(9828)</f>
        <v>9828</v>
      </c>
      <c r="M12104" s="1">
        <f>VALUE(12343)</f>
        <v>12343</v>
      </c>
      <c r="N12104" t="s">
        <v>25</v>
      </c>
    </row>
    <row r="12105" spans="1:14" x14ac:dyDescent="0.25">
      <c r="A12105" t="s">
        <v>44</v>
      </c>
      <c r="B12105" t="s">
        <v>39</v>
      </c>
      <c r="C12105" t="s">
        <v>38</v>
      </c>
      <c r="D12105" t="s">
        <v>28</v>
      </c>
      <c r="E12105" t="s">
        <v>15</v>
      </c>
      <c r="F12105" t="s">
        <v>19</v>
      </c>
      <c r="G12105" s="2">
        <f>VALUE(905.14)</f>
        <v>905.14</v>
      </c>
      <c r="H12105" s="3">
        <f>VALUE(819.46)</f>
        <v>819.46</v>
      </c>
      <c r="I12105" s="1">
        <f>VALUE(5251)</f>
        <v>5251</v>
      </c>
      <c r="J12105" s="1">
        <f>VALUE(5918)</f>
        <v>5918</v>
      </c>
      <c r="K12105" s="1">
        <f>VALUE(6864)</f>
        <v>6864</v>
      </c>
      <c r="L12105" s="1">
        <f>VALUE(8006)</f>
        <v>8006</v>
      </c>
      <c r="M12105" s="8">
        <f>VALUE(9585)</f>
        <v>9585</v>
      </c>
      <c r="N12105" t="s">
        <v>25</v>
      </c>
    </row>
    <row r="12106" spans="1:14" x14ac:dyDescent="0.25">
      <c r="A12106" t="s">
        <v>44</v>
      </c>
      <c r="B12106" t="s">
        <v>39</v>
      </c>
      <c r="C12106" t="s">
        <v>38</v>
      </c>
      <c r="D12106" t="s">
        <v>28</v>
      </c>
      <c r="E12106" t="s">
        <v>15</v>
      </c>
      <c r="F12106" t="s">
        <v>20</v>
      </c>
      <c r="G12106" s="2">
        <f>VALUE(3842.64)</f>
        <v>3842.64</v>
      </c>
      <c r="H12106" s="1">
        <f>VALUE(3426.15)</f>
        <v>3426.15</v>
      </c>
      <c r="I12106" s="1">
        <f>VALUE(4453)</f>
        <v>4453</v>
      </c>
      <c r="J12106" s="1">
        <f>VALUE(5230)</f>
        <v>5230</v>
      </c>
      <c r="K12106" s="1">
        <f>VALUE(6000)</f>
        <v>6000</v>
      </c>
      <c r="L12106" s="1">
        <f>VALUE(6839)</f>
        <v>6839</v>
      </c>
      <c r="M12106" s="1">
        <f>VALUE(8067)</f>
        <v>8067</v>
      </c>
      <c r="N12106" t="s">
        <v>25</v>
      </c>
    </row>
    <row r="12107" spans="1:14" x14ac:dyDescent="0.25">
      <c r="A12107" t="s">
        <v>44</v>
      </c>
      <c r="B12107" t="s">
        <v>39</v>
      </c>
      <c r="C12107" t="s">
        <v>38</v>
      </c>
      <c r="D12107" t="s">
        <v>28</v>
      </c>
      <c r="E12107" t="s">
        <v>21</v>
      </c>
      <c r="F12107" t="s">
        <v>15</v>
      </c>
      <c r="G12107" s="2">
        <f>VALUE(2921.4)</f>
        <v>2921.4</v>
      </c>
      <c r="H12107" s="3">
        <f>VALUE(2597.89)</f>
        <v>2597.89</v>
      </c>
      <c r="I12107" s="4">
        <f>VALUE(6000)</f>
        <v>6000</v>
      </c>
      <c r="J12107" s="1">
        <f>VALUE(8091)</f>
        <v>8091</v>
      </c>
      <c r="K12107" s="1">
        <f>VALUE(10476)</f>
        <v>10476</v>
      </c>
      <c r="L12107" s="1">
        <f>VALUE(13856)</f>
        <v>13856</v>
      </c>
      <c r="M12107" s="8">
        <f>VALUE(18894)</f>
        <v>18894</v>
      </c>
      <c r="N12107" t="s">
        <v>25</v>
      </c>
    </row>
    <row r="12108" spans="1:14" x14ac:dyDescent="0.25">
      <c r="A12108" t="s">
        <v>44</v>
      </c>
      <c r="B12108" t="s">
        <v>39</v>
      </c>
      <c r="C12108" t="s">
        <v>38</v>
      </c>
      <c r="D12108" t="s">
        <v>28</v>
      </c>
      <c r="E12108" t="s">
        <v>21</v>
      </c>
      <c r="F12108" t="s">
        <v>17</v>
      </c>
      <c r="G12108" s="2">
        <f>VALUE(1924.39)</f>
        <v>1924.39</v>
      </c>
      <c r="H12108" s="3">
        <f>VALUE(1801.32)</f>
        <v>1801.32</v>
      </c>
      <c r="I12108" s="4">
        <f>VALUE(7530)</f>
        <v>7530</v>
      </c>
      <c r="J12108" s="1">
        <f>VALUE(9689)</f>
        <v>9689</v>
      </c>
      <c r="K12108" s="1">
        <f>VALUE(11604)</f>
        <v>11604</v>
      </c>
      <c r="L12108" s="1">
        <f>VALUE(15687)</f>
        <v>15687</v>
      </c>
      <c r="M12108" s="8">
        <f>VALUE(22143)</f>
        <v>22143</v>
      </c>
      <c r="N12108" t="s">
        <v>25</v>
      </c>
    </row>
    <row r="12109" spans="1:14" x14ac:dyDescent="0.25">
      <c r="A12109" t="s">
        <v>44</v>
      </c>
      <c r="B12109" t="s">
        <v>39</v>
      </c>
      <c r="C12109" t="s">
        <v>38</v>
      </c>
      <c r="D12109" t="s">
        <v>28</v>
      </c>
      <c r="E12109" t="s">
        <v>21</v>
      </c>
      <c r="F12109" t="s">
        <v>18</v>
      </c>
      <c r="G12109" s="2">
        <f>VALUE(312.25)</f>
        <v>312.25</v>
      </c>
      <c r="H12109" s="3">
        <f>VALUE(246.21)</f>
        <v>246.21</v>
      </c>
      <c r="I12109" s="4">
        <f>VALUE(6286)</f>
        <v>6286</v>
      </c>
      <c r="J12109" s="1">
        <f>VALUE(8076)</f>
        <v>8076</v>
      </c>
      <c r="K12109" s="1">
        <f>VALUE(9609)</f>
        <v>9609</v>
      </c>
      <c r="L12109" s="1">
        <f>VALUE(11308)</f>
        <v>11308</v>
      </c>
      <c r="M12109" s="1">
        <f>VALUE(13740)</f>
        <v>13740</v>
      </c>
      <c r="N12109" t="s">
        <v>25</v>
      </c>
    </row>
    <row r="12110" spans="1:14" x14ac:dyDescent="0.25">
      <c r="A12110" t="s">
        <v>44</v>
      </c>
      <c r="B12110" t="s">
        <v>39</v>
      </c>
      <c r="C12110" t="s">
        <v>38</v>
      </c>
      <c r="D12110" t="s">
        <v>28</v>
      </c>
      <c r="E12110" t="s">
        <v>21</v>
      </c>
      <c r="F12110" t="s">
        <v>19</v>
      </c>
      <c r="G12110" s="2">
        <f>VALUE(180.61)</f>
        <v>180.61</v>
      </c>
      <c r="H12110" s="3">
        <f>VALUE(142.57)</f>
        <v>142.57</v>
      </c>
      <c r="I12110" s="1">
        <f>VALUE(5745)</f>
        <v>5745</v>
      </c>
      <c r="J12110" s="1">
        <f>VALUE(6915)</f>
        <v>6915</v>
      </c>
      <c r="K12110" s="1">
        <f>VALUE(7913)</f>
        <v>7913</v>
      </c>
      <c r="L12110" s="1">
        <f>VALUE(9087)</f>
        <v>9087</v>
      </c>
      <c r="M12110" s="8">
        <f>VALUE(10759)</f>
        <v>10759</v>
      </c>
      <c r="N12110" t="s">
        <v>25</v>
      </c>
    </row>
    <row r="12111" spans="1:14" x14ac:dyDescent="0.25">
      <c r="A12111" t="s">
        <v>44</v>
      </c>
      <c r="B12111" t="s">
        <v>39</v>
      </c>
      <c r="C12111" t="s">
        <v>38</v>
      </c>
      <c r="D12111" t="s">
        <v>28</v>
      </c>
      <c r="E12111" t="s">
        <v>21</v>
      </c>
      <c r="F12111" t="s">
        <v>20</v>
      </c>
      <c r="G12111" s="2">
        <f>VALUE(504.15)</f>
        <v>504.15</v>
      </c>
      <c r="H12111" s="3">
        <f>VALUE(407.79)</f>
        <v>407.79</v>
      </c>
      <c r="I12111" s="1">
        <f>VALUE(5613)</f>
        <v>5613</v>
      </c>
      <c r="J12111" s="1">
        <f>VALUE(6000)</f>
        <v>6000</v>
      </c>
      <c r="K12111" s="1">
        <f>VALUE(6669)</f>
        <v>6669</v>
      </c>
      <c r="L12111" s="1">
        <f>VALUE(8731)</f>
        <v>8731</v>
      </c>
      <c r="M12111" s="1">
        <f>VALUE(11116)</f>
        <v>11116</v>
      </c>
      <c r="N12111" t="s">
        <v>25</v>
      </c>
    </row>
    <row r="12112" spans="1:14" x14ac:dyDescent="0.25">
      <c r="A12112" t="s">
        <v>44</v>
      </c>
      <c r="B12112" t="s">
        <v>39</v>
      </c>
      <c r="C12112" t="s">
        <v>38</v>
      </c>
      <c r="D12112" t="s">
        <v>28</v>
      </c>
      <c r="E12112" t="s">
        <v>22</v>
      </c>
      <c r="F12112" t="s">
        <v>15</v>
      </c>
      <c r="G12112" s="1">
        <f>VALUE(5127.99)</f>
        <v>5127.99</v>
      </c>
      <c r="H12112" s="1">
        <f>VALUE(4876.77)</f>
        <v>4876.7700000000004</v>
      </c>
      <c r="I12112" s="1">
        <f>VALUE(5151)</f>
        <v>5151</v>
      </c>
      <c r="J12112" s="1">
        <f>VALUE(5913)</f>
        <v>5913</v>
      </c>
      <c r="K12112" s="1">
        <f>VALUE(6816)</f>
        <v>6816</v>
      </c>
      <c r="L12112" s="1">
        <f>VALUE(8327)</f>
        <v>8327</v>
      </c>
      <c r="M12112" s="1">
        <f>VALUE(11426)</f>
        <v>11426</v>
      </c>
      <c r="N12112" t="s">
        <v>16</v>
      </c>
    </row>
    <row r="12113" spans="1:14" x14ac:dyDescent="0.25">
      <c r="A12113" t="s">
        <v>44</v>
      </c>
      <c r="B12113" t="s">
        <v>39</v>
      </c>
      <c r="C12113" t="s">
        <v>38</v>
      </c>
      <c r="D12113" t="s">
        <v>28</v>
      </c>
      <c r="E12113" t="s">
        <v>22</v>
      </c>
      <c r="F12113" t="s">
        <v>17</v>
      </c>
      <c r="G12113" s="2">
        <f>VALUE(1544.18)</f>
        <v>1544.18</v>
      </c>
      <c r="H12113" s="3">
        <f>VALUE(1531.84)</f>
        <v>1531.84</v>
      </c>
      <c r="I12113" s="4">
        <f>VALUE(5913)</f>
        <v>5913</v>
      </c>
      <c r="J12113" s="1">
        <f>VALUE(6816)</f>
        <v>6816</v>
      </c>
      <c r="K12113" s="1">
        <f>VALUE(8376)</f>
        <v>8376</v>
      </c>
      <c r="L12113" s="7">
        <f>VALUE(11213)</f>
        <v>11213</v>
      </c>
      <c r="M12113" s="8">
        <f>VALUE(15973)</f>
        <v>15973</v>
      </c>
      <c r="N12113" t="s">
        <v>25</v>
      </c>
    </row>
    <row r="12114" spans="1:14" x14ac:dyDescent="0.25">
      <c r="A12114" t="s">
        <v>44</v>
      </c>
      <c r="B12114" t="s">
        <v>39</v>
      </c>
      <c r="C12114" t="s">
        <v>38</v>
      </c>
      <c r="D12114" t="s">
        <v>28</v>
      </c>
      <c r="E12114" t="s">
        <v>22</v>
      </c>
      <c r="F12114" t="s">
        <v>18</v>
      </c>
      <c r="G12114" s="2">
        <f>VALUE(645.75)</f>
        <v>645.75</v>
      </c>
      <c r="H12114" s="3">
        <f>VALUE(619.4)</f>
        <v>619.4</v>
      </c>
      <c r="I12114" s="1">
        <f>VALUE(5777)</f>
        <v>5777</v>
      </c>
      <c r="J12114" s="1">
        <f>VALUE(6396)</f>
        <v>6396</v>
      </c>
      <c r="K12114" s="6">
        <f>VALUE(6949)</f>
        <v>6949</v>
      </c>
      <c r="L12114" s="1">
        <f>VALUE(9170)</f>
        <v>9170</v>
      </c>
      <c r="M12114" s="8">
        <f>VALUE(12378)</f>
        <v>12378</v>
      </c>
      <c r="N12114" t="s">
        <v>25</v>
      </c>
    </row>
    <row r="12115" spans="1:14" x14ac:dyDescent="0.25">
      <c r="A12115" t="s">
        <v>44</v>
      </c>
      <c r="B12115" t="s">
        <v>39</v>
      </c>
      <c r="C12115" t="s">
        <v>38</v>
      </c>
      <c r="D12115" t="s">
        <v>28</v>
      </c>
      <c r="E12115" t="s">
        <v>22</v>
      </c>
      <c r="F12115" t="s">
        <v>19</v>
      </c>
      <c r="G12115" s="2">
        <f>VALUE(637.9)</f>
        <v>637.9</v>
      </c>
      <c r="H12115" s="3">
        <f>VALUE(588.84)</f>
        <v>588.84</v>
      </c>
      <c r="I12115" s="1">
        <f>VALUE(5297)</f>
        <v>5297</v>
      </c>
      <c r="J12115" s="1">
        <f>VALUE(6093)</f>
        <v>6093</v>
      </c>
      <c r="K12115" s="1">
        <f>VALUE(6864)</f>
        <v>6864</v>
      </c>
      <c r="L12115" s="1">
        <f>VALUE(7696)</f>
        <v>7696</v>
      </c>
      <c r="M12115" s="8">
        <f>VALUE(9000)</f>
        <v>9000</v>
      </c>
      <c r="N12115" t="s">
        <v>25</v>
      </c>
    </row>
    <row r="12116" spans="1:14" x14ac:dyDescent="0.25">
      <c r="A12116" t="s">
        <v>44</v>
      </c>
      <c r="B12116" t="s">
        <v>39</v>
      </c>
      <c r="C12116" t="s">
        <v>38</v>
      </c>
      <c r="D12116" t="s">
        <v>28</v>
      </c>
      <c r="E12116" t="s">
        <v>22</v>
      </c>
      <c r="F12116" t="s">
        <v>20</v>
      </c>
      <c r="G12116" s="2">
        <f>VALUE(2300.16)</f>
        <v>2300.16</v>
      </c>
      <c r="H12116" s="3">
        <f>VALUE(2136.69)</f>
        <v>2136.69</v>
      </c>
      <c r="I12116" s="1">
        <f>VALUE(4878)</f>
        <v>4878</v>
      </c>
      <c r="J12116" s="1">
        <f>VALUE(5404)</f>
        <v>5404</v>
      </c>
      <c r="K12116" s="1">
        <f>VALUE(6113)</f>
        <v>6113</v>
      </c>
      <c r="L12116" s="1">
        <f>VALUE(6920)</f>
        <v>6920</v>
      </c>
      <c r="M12116" s="1">
        <f>VALUE(7767)</f>
        <v>7767</v>
      </c>
      <c r="N12116" t="s">
        <v>25</v>
      </c>
    </row>
    <row r="12117" spans="1:14" x14ac:dyDescent="0.25">
      <c r="A12117" t="s">
        <v>44</v>
      </c>
      <c r="B12117" t="s">
        <v>39</v>
      </c>
      <c r="C12117" t="s">
        <v>38</v>
      </c>
      <c r="D12117" t="s">
        <v>28</v>
      </c>
      <c r="E12117" t="s">
        <v>23</v>
      </c>
      <c r="F12117" t="s">
        <v>15</v>
      </c>
      <c r="G12117" s="2">
        <f>VALUE(1235.52)</f>
        <v>1235.52</v>
      </c>
      <c r="H12117" s="3">
        <f>VALUE(1049.52)</f>
        <v>1049.52</v>
      </c>
      <c r="I12117" s="4">
        <f>VALUE(3790)</f>
        <v>3790</v>
      </c>
      <c r="J12117" s="1">
        <f>VALUE(4319)</f>
        <v>4319</v>
      </c>
      <c r="K12117" s="1">
        <f>VALUE(5186)</f>
        <v>5186</v>
      </c>
      <c r="L12117" s="1">
        <f>VALUE(6047)</f>
        <v>6047</v>
      </c>
      <c r="M12117" s="8">
        <f>VALUE(7034)</f>
        <v>7034</v>
      </c>
      <c r="N12117" t="s">
        <v>25</v>
      </c>
    </row>
    <row r="12118" spans="1:14" x14ac:dyDescent="0.25">
      <c r="A12118" t="s">
        <v>44</v>
      </c>
      <c r="B12118" t="s">
        <v>39</v>
      </c>
      <c r="C12118" t="s">
        <v>38</v>
      </c>
      <c r="D12118" t="s">
        <v>28</v>
      </c>
      <c r="E12118" t="s">
        <v>23</v>
      </c>
      <c r="F12118" t="s">
        <v>17</v>
      </c>
      <c r="G12118" s="1" t="str">
        <f t="shared" ref="G12118:M12120" si="2713">"X"</f>
        <v>X</v>
      </c>
      <c r="H12118" s="1" t="str">
        <f t="shared" si="2713"/>
        <v>X</v>
      </c>
      <c r="I12118" s="1" t="str">
        <f t="shared" si="2713"/>
        <v>X</v>
      </c>
      <c r="J12118" s="1" t="str">
        <f t="shared" si="2713"/>
        <v>X</v>
      </c>
      <c r="K12118" s="1" t="str">
        <f t="shared" si="2713"/>
        <v>X</v>
      </c>
      <c r="L12118" s="1" t="str">
        <f t="shared" si="2713"/>
        <v>X</v>
      </c>
      <c r="M12118" s="1" t="str">
        <f t="shared" si="2713"/>
        <v>X</v>
      </c>
      <c r="N12118" t="s">
        <v>27</v>
      </c>
    </row>
    <row r="12119" spans="1:14" x14ac:dyDescent="0.25">
      <c r="A12119" t="s">
        <v>44</v>
      </c>
      <c r="B12119" t="s">
        <v>39</v>
      </c>
      <c r="C12119" t="s">
        <v>38</v>
      </c>
      <c r="D12119" t="s">
        <v>28</v>
      </c>
      <c r="E12119" t="s">
        <v>23</v>
      </c>
      <c r="F12119" t="s">
        <v>18</v>
      </c>
      <c r="G12119" s="1" t="str">
        <f t="shared" si="2713"/>
        <v>X</v>
      </c>
      <c r="H12119" s="1" t="str">
        <f t="shared" si="2713"/>
        <v>X</v>
      </c>
      <c r="I12119" s="1" t="str">
        <f t="shared" si="2713"/>
        <v>X</v>
      </c>
      <c r="J12119" s="1" t="str">
        <f t="shared" si="2713"/>
        <v>X</v>
      </c>
      <c r="K12119" s="1" t="str">
        <f t="shared" si="2713"/>
        <v>X</v>
      </c>
      <c r="L12119" s="1" t="str">
        <f t="shared" si="2713"/>
        <v>X</v>
      </c>
      <c r="M12119" s="1" t="str">
        <f t="shared" si="2713"/>
        <v>X</v>
      </c>
      <c r="N12119" t="s">
        <v>27</v>
      </c>
    </row>
    <row r="12120" spans="1:14" x14ac:dyDescent="0.25">
      <c r="A12120" t="s">
        <v>44</v>
      </c>
      <c r="B12120" t="s">
        <v>39</v>
      </c>
      <c r="C12120" t="s">
        <v>38</v>
      </c>
      <c r="D12120" t="s">
        <v>28</v>
      </c>
      <c r="E12120" t="s">
        <v>23</v>
      </c>
      <c r="F12120" t="s">
        <v>19</v>
      </c>
      <c r="G12120" s="1" t="str">
        <f t="shared" si="2713"/>
        <v>X</v>
      </c>
      <c r="H12120" s="1" t="str">
        <f t="shared" si="2713"/>
        <v>X</v>
      </c>
      <c r="I12120" s="1" t="str">
        <f t="shared" si="2713"/>
        <v>X</v>
      </c>
      <c r="J12120" s="1" t="str">
        <f t="shared" si="2713"/>
        <v>X</v>
      </c>
      <c r="K12120" s="1" t="str">
        <f t="shared" si="2713"/>
        <v>X</v>
      </c>
      <c r="L12120" s="1" t="str">
        <f t="shared" si="2713"/>
        <v>X</v>
      </c>
      <c r="M12120" s="1" t="str">
        <f t="shared" si="2713"/>
        <v>X</v>
      </c>
      <c r="N12120" t="s">
        <v>27</v>
      </c>
    </row>
    <row r="12121" spans="1:14" x14ac:dyDescent="0.25">
      <c r="A12121" t="s">
        <v>44</v>
      </c>
      <c r="B12121" t="s">
        <v>39</v>
      </c>
      <c r="C12121" t="s">
        <v>38</v>
      </c>
      <c r="D12121" t="s">
        <v>28</v>
      </c>
      <c r="E12121" t="s">
        <v>23</v>
      </c>
      <c r="F12121" t="s">
        <v>20</v>
      </c>
      <c r="G12121" s="2">
        <f>VALUE(891.7)</f>
        <v>891.7</v>
      </c>
      <c r="H12121" s="3">
        <f>VALUE(740.44)</f>
        <v>740.44</v>
      </c>
      <c r="I12121" s="1">
        <f>VALUE(3756)</f>
        <v>3756</v>
      </c>
      <c r="J12121" s="1">
        <f>VALUE(4431)</f>
        <v>4431</v>
      </c>
      <c r="K12121" s="1">
        <f>VALUE(5186)</f>
        <v>5186</v>
      </c>
      <c r="L12121" s="1">
        <f>VALUE(5870)</f>
        <v>5870</v>
      </c>
      <c r="M12121" s="1">
        <f>VALUE(6295)</f>
        <v>6295</v>
      </c>
      <c r="N12121" t="s">
        <v>25</v>
      </c>
    </row>
    <row r="12122" spans="1:14" x14ac:dyDescent="0.25">
      <c r="A12122" t="s">
        <v>44</v>
      </c>
      <c r="B12122" t="s">
        <v>39</v>
      </c>
      <c r="C12122" t="s">
        <v>38</v>
      </c>
      <c r="D12122" t="s">
        <v>28</v>
      </c>
      <c r="E12122" t="s">
        <v>26</v>
      </c>
      <c r="F12122" t="s">
        <v>15</v>
      </c>
      <c r="G12122" s="2">
        <f>VALUE(242.4)</f>
        <v>242.4</v>
      </c>
      <c r="H12122" s="3">
        <f>VALUE(237.48)</f>
        <v>237.48</v>
      </c>
      <c r="I12122" s="1">
        <f>VALUE(5494)</f>
        <v>5494</v>
      </c>
      <c r="J12122" s="1">
        <f>VALUE(6230)</f>
        <v>6230</v>
      </c>
      <c r="K12122" s="1">
        <f>VALUE(7750)</f>
        <v>7750</v>
      </c>
      <c r="L12122" s="1">
        <f>VALUE(9974)</f>
        <v>9974</v>
      </c>
      <c r="M12122" s="1">
        <f>VALUE(15940)</f>
        <v>15940</v>
      </c>
      <c r="N12122" t="s">
        <v>25</v>
      </c>
    </row>
    <row r="12123" spans="1:14" x14ac:dyDescent="0.25">
      <c r="A12123" t="s">
        <v>44</v>
      </c>
      <c r="B12123" t="s">
        <v>39</v>
      </c>
      <c r="C12123" t="s">
        <v>38</v>
      </c>
      <c r="D12123" t="s">
        <v>28</v>
      </c>
      <c r="E12123" t="s">
        <v>26</v>
      </c>
      <c r="F12123" t="s">
        <v>17</v>
      </c>
      <c r="G12123" s="1" t="str">
        <f t="shared" ref="G12123:M12126" si="2714">"X"</f>
        <v>X</v>
      </c>
      <c r="H12123" s="1" t="str">
        <f t="shared" si="2714"/>
        <v>X</v>
      </c>
      <c r="I12123" s="1" t="str">
        <f t="shared" si="2714"/>
        <v>X</v>
      </c>
      <c r="J12123" s="1" t="str">
        <f t="shared" si="2714"/>
        <v>X</v>
      </c>
      <c r="K12123" s="1" t="str">
        <f t="shared" si="2714"/>
        <v>X</v>
      </c>
      <c r="L12123" s="1" t="str">
        <f t="shared" si="2714"/>
        <v>X</v>
      </c>
      <c r="M12123" s="1" t="str">
        <f t="shared" si="2714"/>
        <v>X</v>
      </c>
      <c r="N12123" t="s">
        <v>27</v>
      </c>
    </row>
    <row r="12124" spans="1:14" x14ac:dyDescent="0.25">
      <c r="A12124" t="s">
        <v>44</v>
      </c>
      <c r="B12124" t="s">
        <v>39</v>
      </c>
      <c r="C12124" t="s">
        <v>38</v>
      </c>
      <c r="D12124" t="s">
        <v>28</v>
      </c>
      <c r="E12124" t="s">
        <v>26</v>
      </c>
      <c r="F12124" t="s">
        <v>18</v>
      </c>
      <c r="G12124" s="1" t="str">
        <f t="shared" si="2714"/>
        <v>X</v>
      </c>
      <c r="H12124" s="1" t="str">
        <f t="shared" si="2714"/>
        <v>X</v>
      </c>
      <c r="I12124" s="1" t="str">
        <f t="shared" si="2714"/>
        <v>X</v>
      </c>
      <c r="J12124" s="1" t="str">
        <f t="shared" si="2714"/>
        <v>X</v>
      </c>
      <c r="K12124" s="1" t="str">
        <f t="shared" si="2714"/>
        <v>X</v>
      </c>
      <c r="L12124" s="1" t="str">
        <f t="shared" si="2714"/>
        <v>X</v>
      </c>
      <c r="M12124" s="1" t="str">
        <f t="shared" si="2714"/>
        <v>X</v>
      </c>
      <c r="N12124" t="s">
        <v>27</v>
      </c>
    </row>
    <row r="12125" spans="1:14" x14ac:dyDescent="0.25">
      <c r="A12125" t="s">
        <v>44</v>
      </c>
      <c r="B12125" t="s">
        <v>39</v>
      </c>
      <c r="C12125" t="s">
        <v>38</v>
      </c>
      <c r="D12125" t="s">
        <v>28</v>
      </c>
      <c r="E12125" t="s">
        <v>26</v>
      </c>
      <c r="F12125" t="s">
        <v>19</v>
      </c>
      <c r="G12125" s="1" t="str">
        <f t="shared" si="2714"/>
        <v>X</v>
      </c>
      <c r="H12125" s="1" t="str">
        <f t="shared" si="2714"/>
        <v>X</v>
      </c>
      <c r="I12125" s="1" t="str">
        <f t="shared" si="2714"/>
        <v>X</v>
      </c>
      <c r="J12125" s="1" t="str">
        <f t="shared" si="2714"/>
        <v>X</v>
      </c>
      <c r="K12125" s="1" t="str">
        <f t="shared" si="2714"/>
        <v>X</v>
      </c>
      <c r="L12125" s="1" t="str">
        <f t="shared" si="2714"/>
        <v>X</v>
      </c>
      <c r="M12125" s="1" t="str">
        <f t="shared" si="2714"/>
        <v>X</v>
      </c>
      <c r="N12125" t="s">
        <v>27</v>
      </c>
    </row>
    <row r="12126" spans="1:14" x14ac:dyDescent="0.25">
      <c r="A12126" t="s">
        <v>44</v>
      </c>
      <c r="B12126" t="s">
        <v>39</v>
      </c>
      <c r="C12126" t="s">
        <v>38</v>
      </c>
      <c r="D12126" t="s">
        <v>28</v>
      </c>
      <c r="E12126" t="s">
        <v>26</v>
      </c>
      <c r="F12126" t="s">
        <v>20</v>
      </c>
      <c r="G12126" s="1" t="str">
        <f t="shared" si="2714"/>
        <v>X</v>
      </c>
      <c r="H12126" s="1" t="str">
        <f t="shared" si="2714"/>
        <v>X</v>
      </c>
      <c r="I12126" s="1" t="str">
        <f t="shared" si="2714"/>
        <v>X</v>
      </c>
      <c r="J12126" s="1" t="str">
        <f t="shared" si="2714"/>
        <v>X</v>
      </c>
      <c r="K12126" s="1" t="str">
        <f t="shared" si="2714"/>
        <v>X</v>
      </c>
      <c r="L12126" s="1" t="str">
        <f t="shared" si="2714"/>
        <v>X</v>
      </c>
      <c r="M12126" s="1" t="str">
        <f t="shared" si="2714"/>
        <v>X</v>
      </c>
      <c r="N12126" t="s">
        <v>27</v>
      </c>
    </row>
    <row r="12127" spans="1:14" x14ac:dyDescent="0.25">
      <c r="A12127" t="s">
        <v>44</v>
      </c>
      <c r="B12127" t="s">
        <v>39</v>
      </c>
      <c r="C12127" t="s">
        <v>38</v>
      </c>
      <c r="D12127" t="s">
        <v>29</v>
      </c>
      <c r="E12127" t="s">
        <v>15</v>
      </c>
      <c r="F12127" t="s">
        <v>15</v>
      </c>
      <c r="G12127" s="2">
        <f>VALUE(3830.55)</f>
        <v>3830.55</v>
      </c>
      <c r="H12127" s="3">
        <f>VALUE(3587.95)</f>
        <v>3587.95</v>
      </c>
      <c r="I12127" s="1">
        <f>VALUE(4248)</f>
        <v>4248</v>
      </c>
      <c r="J12127" s="1">
        <f>VALUE(5158)</f>
        <v>5158</v>
      </c>
      <c r="K12127" s="1">
        <f>VALUE(6091)</f>
        <v>6091</v>
      </c>
      <c r="L12127" s="1">
        <f>VALUE(7554)</f>
        <v>7554</v>
      </c>
      <c r="M12127" s="8">
        <f>VALUE(10226)</f>
        <v>10226</v>
      </c>
      <c r="N12127" t="s">
        <v>25</v>
      </c>
    </row>
    <row r="12128" spans="1:14" x14ac:dyDescent="0.25">
      <c r="A12128" t="s">
        <v>44</v>
      </c>
      <c r="B12128" t="s">
        <v>39</v>
      </c>
      <c r="C12128" t="s">
        <v>38</v>
      </c>
      <c r="D12128" t="s">
        <v>29</v>
      </c>
      <c r="E12128" t="s">
        <v>15</v>
      </c>
      <c r="F12128" t="s">
        <v>17</v>
      </c>
      <c r="G12128" s="2">
        <f>VALUE(855.15)</f>
        <v>855.15</v>
      </c>
      <c r="H12128" s="3">
        <f>VALUE(835.6)</f>
        <v>835.6</v>
      </c>
      <c r="I12128" s="4">
        <f>VALUE(5416)</f>
        <v>5416</v>
      </c>
      <c r="J12128" s="1">
        <f>VALUE(6500)</f>
        <v>6500</v>
      </c>
      <c r="K12128" s="6">
        <f>VALUE(8622)</f>
        <v>8622</v>
      </c>
      <c r="L12128" s="7">
        <f>VALUE(11902)</f>
        <v>11902</v>
      </c>
      <c r="M12128" s="8">
        <f>VALUE(18730)</f>
        <v>18730</v>
      </c>
      <c r="N12128" t="s">
        <v>25</v>
      </c>
    </row>
    <row r="12129" spans="1:14" x14ac:dyDescent="0.25">
      <c r="A12129" t="s">
        <v>44</v>
      </c>
      <c r="B12129" t="s">
        <v>39</v>
      </c>
      <c r="C12129" t="s">
        <v>38</v>
      </c>
      <c r="D12129" t="s">
        <v>29</v>
      </c>
      <c r="E12129" t="s">
        <v>15</v>
      </c>
      <c r="F12129" t="s">
        <v>18</v>
      </c>
      <c r="G12129" s="2">
        <f>VALUE(360.05)</f>
        <v>360.05</v>
      </c>
      <c r="H12129" s="3">
        <f>VALUE(316.87)</f>
        <v>316.87</v>
      </c>
      <c r="I12129" s="4">
        <f>VALUE(5309)</f>
        <v>5309</v>
      </c>
      <c r="J12129" s="1">
        <f>VALUE(5690)</f>
        <v>5690</v>
      </c>
      <c r="K12129" s="1">
        <f>VALUE(6812)</f>
        <v>6812</v>
      </c>
      <c r="L12129" s="1">
        <f>VALUE(8456)</f>
        <v>8456</v>
      </c>
      <c r="M12129" s="8">
        <f>VALUE(12315)</f>
        <v>12315</v>
      </c>
      <c r="N12129" t="s">
        <v>25</v>
      </c>
    </row>
    <row r="12130" spans="1:14" x14ac:dyDescent="0.25">
      <c r="A12130" t="s">
        <v>44</v>
      </c>
      <c r="B12130" t="s">
        <v>39</v>
      </c>
      <c r="C12130" t="s">
        <v>38</v>
      </c>
      <c r="D12130" t="s">
        <v>29</v>
      </c>
      <c r="E12130" t="s">
        <v>15</v>
      </c>
      <c r="F12130" t="s">
        <v>19</v>
      </c>
      <c r="G12130" s="2">
        <f>VALUE(441.46)</f>
        <v>441.46</v>
      </c>
      <c r="H12130" s="3">
        <f>VALUE(438.2)</f>
        <v>438.2</v>
      </c>
      <c r="I12130" s="1">
        <f>VALUE(4536)</f>
        <v>4536</v>
      </c>
      <c r="J12130" s="1">
        <f>VALUE(5461)</f>
        <v>5461</v>
      </c>
      <c r="K12130" s="1">
        <f>VALUE(5849)</f>
        <v>5849</v>
      </c>
      <c r="L12130" s="1">
        <f>VALUE(7284)</f>
        <v>7284</v>
      </c>
      <c r="M12130" s="8">
        <f>VALUE(9454)</f>
        <v>9454</v>
      </c>
      <c r="N12130" t="s">
        <v>25</v>
      </c>
    </row>
    <row r="12131" spans="1:14" x14ac:dyDescent="0.25">
      <c r="A12131" t="s">
        <v>44</v>
      </c>
      <c r="B12131" t="s">
        <v>39</v>
      </c>
      <c r="C12131" t="s">
        <v>38</v>
      </c>
      <c r="D12131" t="s">
        <v>29</v>
      </c>
      <c r="E12131" t="s">
        <v>15</v>
      </c>
      <c r="F12131" t="s">
        <v>20</v>
      </c>
      <c r="G12131" s="2">
        <f>VALUE(2173.89)</f>
        <v>2173.89</v>
      </c>
      <c r="H12131" s="3">
        <f>VALUE(1997.28)</f>
        <v>1997.28</v>
      </c>
      <c r="I12131" s="1">
        <f>VALUE(4030)</f>
        <v>4030</v>
      </c>
      <c r="J12131" s="1">
        <f>VALUE(4621)</f>
        <v>4621</v>
      </c>
      <c r="K12131" s="1">
        <f>VALUE(5607)</f>
        <v>5607</v>
      </c>
      <c r="L12131" s="1">
        <f>VALUE(6472)</f>
        <v>6472</v>
      </c>
      <c r="M12131" s="1">
        <f>VALUE(7798)</f>
        <v>7798</v>
      </c>
      <c r="N12131" t="s">
        <v>25</v>
      </c>
    </row>
    <row r="12132" spans="1:14" x14ac:dyDescent="0.25">
      <c r="A12132" t="s">
        <v>44</v>
      </c>
      <c r="B12132" t="s">
        <v>39</v>
      </c>
      <c r="C12132" t="s">
        <v>38</v>
      </c>
      <c r="D12132" t="s">
        <v>29</v>
      </c>
      <c r="E12132" t="s">
        <v>21</v>
      </c>
      <c r="F12132" t="s">
        <v>15</v>
      </c>
      <c r="G12132" s="2">
        <f>VALUE(723.78)</f>
        <v>723.78</v>
      </c>
      <c r="H12132" s="3">
        <f>VALUE(645.46)</f>
        <v>645.46</v>
      </c>
      <c r="I12132" s="4">
        <f>VALUE(6700)</f>
        <v>6700</v>
      </c>
      <c r="J12132" s="1">
        <f>VALUE(7400)</f>
        <v>7400</v>
      </c>
      <c r="K12132" s="6">
        <f>VALUE(8545)</f>
        <v>8545</v>
      </c>
      <c r="L12132" s="7">
        <f>VALUE(14889)</f>
        <v>14889</v>
      </c>
      <c r="M12132" s="8">
        <f>VALUE(20309)</f>
        <v>20309</v>
      </c>
      <c r="N12132" t="s">
        <v>25</v>
      </c>
    </row>
    <row r="12133" spans="1:14" x14ac:dyDescent="0.25">
      <c r="A12133" t="s">
        <v>44</v>
      </c>
      <c r="B12133" t="s">
        <v>39</v>
      </c>
      <c r="C12133" t="s">
        <v>38</v>
      </c>
      <c r="D12133" t="s">
        <v>29</v>
      </c>
      <c r="E12133" t="s">
        <v>21</v>
      </c>
      <c r="F12133" t="s">
        <v>17</v>
      </c>
      <c r="G12133" s="2">
        <f>VALUE(317.96)</f>
        <v>317.95999999999998</v>
      </c>
      <c r="H12133" s="3">
        <f>VALUE(295.39)</f>
        <v>295.39</v>
      </c>
      <c r="I12133" s="4">
        <f>VALUE(6700)</f>
        <v>6700</v>
      </c>
      <c r="J12133" s="5">
        <f>VALUE(8565)</f>
        <v>8565</v>
      </c>
      <c r="K12133" s="6">
        <f>VALUE(13497)</f>
        <v>13497</v>
      </c>
      <c r="L12133" s="7">
        <f>VALUE(17289)</f>
        <v>17289</v>
      </c>
      <c r="M12133" s="8">
        <f>VALUE(25080)</f>
        <v>25080</v>
      </c>
      <c r="N12133" t="s">
        <v>24</v>
      </c>
    </row>
    <row r="12134" spans="1:14" x14ac:dyDescent="0.25">
      <c r="A12134" t="s">
        <v>44</v>
      </c>
      <c r="B12134" t="s">
        <v>39</v>
      </c>
      <c r="C12134" t="s">
        <v>38</v>
      </c>
      <c r="D12134" t="s">
        <v>29</v>
      </c>
      <c r="E12134" t="s">
        <v>21</v>
      </c>
      <c r="F12134" t="s">
        <v>18</v>
      </c>
      <c r="G12134" s="1" t="str">
        <f t="shared" ref="G12134:M12136" si="2715">"X"</f>
        <v>X</v>
      </c>
      <c r="H12134" s="1" t="str">
        <f t="shared" si="2715"/>
        <v>X</v>
      </c>
      <c r="I12134" s="1" t="str">
        <f t="shared" si="2715"/>
        <v>X</v>
      </c>
      <c r="J12134" s="1" t="str">
        <f t="shared" si="2715"/>
        <v>X</v>
      </c>
      <c r="K12134" s="1" t="str">
        <f t="shared" si="2715"/>
        <v>X</v>
      </c>
      <c r="L12134" s="1" t="str">
        <f t="shared" si="2715"/>
        <v>X</v>
      </c>
      <c r="M12134" s="1" t="str">
        <f t="shared" si="2715"/>
        <v>X</v>
      </c>
      <c r="N12134" t="s">
        <v>27</v>
      </c>
    </row>
    <row r="12135" spans="1:14" x14ac:dyDescent="0.25">
      <c r="A12135" t="s">
        <v>44</v>
      </c>
      <c r="B12135" t="s">
        <v>39</v>
      </c>
      <c r="C12135" t="s">
        <v>38</v>
      </c>
      <c r="D12135" t="s">
        <v>29</v>
      </c>
      <c r="E12135" t="s">
        <v>21</v>
      </c>
      <c r="F12135" t="s">
        <v>19</v>
      </c>
      <c r="G12135" s="1" t="str">
        <f t="shared" si="2715"/>
        <v>X</v>
      </c>
      <c r="H12135" s="1" t="str">
        <f t="shared" si="2715"/>
        <v>X</v>
      </c>
      <c r="I12135" s="1" t="str">
        <f t="shared" si="2715"/>
        <v>X</v>
      </c>
      <c r="J12135" s="1" t="str">
        <f t="shared" si="2715"/>
        <v>X</v>
      </c>
      <c r="K12135" s="1" t="str">
        <f t="shared" si="2715"/>
        <v>X</v>
      </c>
      <c r="L12135" s="1" t="str">
        <f t="shared" si="2715"/>
        <v>X</v>
      </c>
      <c r="M12135" s="1" t="str">
        <f t="shared" si="2715"/>
        <v>X</v>
      </c>
      <c r="N12135" t="s">
        <v>27</v>
      </c>
    </row>
    <row r="12136" spans="1:14" x14ac:dyDescent="0.25">
      <c r="A12136" t="s">
        <v>44</v>
      </c>
      <c r="B12136" t="s">
        <v>39</v>
      </c>
      <c r="C12136" t="s">
        <v>38</v>
      </c>
      <c r="D12136" t="s">
        <v>29</v>
      </c>
      <c r="E12136" t="s">
        <v>21</v>
      </c>
      <c r="F12136" t="s">
        <v>20</v>
      </c>
      <c r="G12136" s="1" t="str">
        <f t="shared" si="2715"/>
        <v>X</v>
      </c>
      <c r="H12136" s="1" t="str">
        <f t="shared" si="2715"/>
        <v>X</v>
      </c>
      <c r="I12136" s="1" t="str">
        <f t="shared" si="2715"/>
        <v>X</v>
      </c>
      <c r="J12136" s="1" t="str">
        <f t="shared" si="2715"/>
        <v>X</v>
      </c>
      <c r="K12136" s="1" t="str">
        <f t="shared" si="2715"/>
        <v>X</v>
      </c>
      <c r="L12136" s="1" t="str">
        <f t="shared" si="2715"/>
        <v>X</v>
      </c>
      <c r="M12136" s="1" t="str">
        <f t="shared" si="2715"/>
        <v>X</v>
      </c>
      <c r="N12136" t="s">
        <v>27</v>
      </c>
    </row>
    <row r="12137" spans="1:14" x14ac:dyDescent="0.25">
      <c r="A12137" t="s">
        <v>44</v>
      </c>
      <c r="B12137" t="s">
        <v>39</v>
      </c>
      <c r="C12137" t="s">
        <v>38</v>
      </c>
      <c r="D12137" t="s">
        <v>29</v>
      </c>
      <c r="E12137" t="s">
        <v>22</v>
      </c>
      <c r="F12137" t="s">
        <v>15</v>
      </c>
      <c r="G12137" s="2">
        <f>VALUE(1293.34)</f>
        <v>1293.3399999999999</v>
      </c>
      <c r="H12137" s="3">
        <f>VALUE(1257.4)</f>
        <v>1257.4000000000001</v>
      </c>
      <c r="I12137" s="4">
        <f>VALUE(4539)</f>
        <v>4539</v>
      </c>
      <c r="J12137" s="1">
        <f>VALUE(5447)</f>
        <v>5447</v>
      </c>
      <c r="K12137" s="1">
        <f>VALUE(6243)</f>
        <v>6243</v>
      </c>
      <c r="L12137" s="7">
        <f>VALUE(7471)</f>
        <v>7471</v>
      </c>
      <c r="M12137" s="1">
        <f>VALUE(9995)</f>
        <v>9995</v>
      </c>
      <c r="N12137" t="s">
        <v>25</v>
      </c>
    </row>
    <row r="12138" spans="1:14" x14ac:dyDescent="0.25">
      <c r="A12138" t="s">
        <v>44</v>
      </c>
      <c r="B12138" t="s">
        <v>39</v>
      </c>
      <c r="C12138" t="s">
        <v>38</v>
      </c>
      <c r="D12138" t="s">
        <v>29</v>
      </c>
      <c r="E12138" t="s">
        <v>22</v>
      </c>
      <c r="F12138" t="s">
        <v>17</v>
      </c>
      <c r="G12138" s="2">
        <f>VALUE(339.36)</f>
        <v>339.36</v>
      </c>
      <c r="H12138" s="3">
        <f>VALUE(344.29)</f>
        <v>344.29</v>
      </c>
      <c r="I12138" s="4">
        <f>VALUE(5207)</f>
        <v>5207</v>
      </c>
      <c r="J12138" s="5">
        <f>VALUE(6399)</f>
        <v>6399</v>
      </c>
      <c r="K12138" s="6">
        <f>VALUE(8622)</f>
        <v>8622</v>
      </c>
      <c r="L12138" s="1">
        <f>VALUE(9995)</f>
        <v>9995</v>
      </c>
      <c r="M12138" s="8">
        <f>VALUE(11007)</f>
        <v>11007</v>
      </c>
      <c r="N12138" t="s">
        <v>25</v>
      </c>
    </row>
    <row r="12139" spans="1:14" x14ac:dyDescent="0.25">
      <c r="A12139" t="s">
        <v>44</v>
      </c>
      <c r="B12139" t="s">
        <v>39</v>
      </c>
      <c r="C12139" t="s">
        <v>38</v>
      </c>
      <c r="D12139" t="s">
        <v>29</v>
      </c>
      <c r="E12139" t="s">
        <v>22</v>
      </c>
      <c r="F12139" t="s">
        <v>18</v>
      </c>
      <c r="G12139" s="1" t="str">
        <f t="shared" ref="G12139:M12140" si="2716">"X"</f>
        <v>X</v>
      </c>
      <c r="H12139" s="1" t="str">
        <f t="shared" si="2716"/>
        <v>X</v>
      </c>
      <c r="I12139" s="1" t="str">
        <f t="shared" si="2716"/>
        <v>X</v>
      </c>
      <c r="J12139" s="1" t="str">
        <f t="shared" si="2716"/>
        <v>X</v>
      </c>
      <c r="K12139" s="1" t="str">
        <f t="shared" si="2716"/>
        <v>X</v>
      </c>
      <c r="L12139" s="1" t="str">
        <f t="shared" si="2716"/>
        <v>X</v>
      </c>
      <c r="M12139" s="1" t="str">
        <f t="shared" si="2716"/>
        <v>X</v>
      </c>
      <c r="N12139" t="s">
        <v>27</v>
      </c>
    </row>
    <row r="12140" spans="1:14" x14ac:dyDescent="0.25">
      <c r="A12140" t="s">
        <v>44</v>
      </c>
      <c r="B12140" t="s">
        <v>39</v>
      </c>
      <c r="C12140" t="s">
        <v>38</v>
      </c>
      <c r="D12140" t="s">
        <v>29</v>
      </c>
      <c r="E12140" t="s">
        <v>22</v>
      </c>
      <c r="F12140" t="s">
        <v>19</v>
      </c>
      <c r="G12140" s="1" t="str">
        <f t="shared" si="2716"/>
        <v>X</v>
      </c>
      <c r="H12140" s="1" t="str">
        <f t="shared" si="2716"/>
        <v>X</v>
      </c>
      <c r="I12140" s="1" t="str">
        <f t="shared" si="2716"/>
        <v>X</v>
      </c>
      <c r="J12140" s="1" t="str">
        <f t="shared" si="2716"/>
        <v>X</v>
      </c>
      <c r="K12140" s="1" t="str">
        <f t="shared" si="2716"/>
        <v>X</v>
      </c>
      <c r="L12140" s="1" t="str">
        <f t="shared" si="2716"/>
        <v>X</v>
      </c>
      <c r="M12140" s="1" t="str">
        <f t="shared" si="2716"/>
        <v>X</v>
      </c>
      <c r="N12140" t="s">
        <v>27</v>
      </c>
    </row>
    <row r="12141" spans="1:14" x14ac:dyDescent="0.25">
      <c r="A12141" t="s">
        <v>44</v>
      </c>
      <c r="B12141" t="s">
        <v>39</v>
      </c>
      <c r="C12141" t="s">
        <v>38</v>
      </c>
      <c r="D12141" t="s">
        <v>29</v>
      </c>
      <c r="E12141" t="s">
        <v>22</v>
      </c>
      <c r="F12141" t="s">
        <v>20</v>
      </c>
      <c r="G12141" s="2">
        <f>VALUE(551.97)</f>
        <v>551.97</v>
      </c>
      <c r="H12141" s="3">
        <f>VALUE(515.28)</f>
        <v>515.28</v>
      </c>
      <c r="I12141" s="1">
        <f>VALUE(4178)</f>
        <v>4178</v>
      </c>
      <c r="J12141" s="1">
        <f>VALUE(5158)</f>
        <v>5158</v>
      </c>
      <c r="K12141" s="1">
        <f>VALUE(5827)</f>
        <v>5827</v>
      </c>
      <c r="L12141" s="1">
        <f>VALUE(6472)</f>
        <v>6472</v>
      </c>
      <c r="M12141" s="1">
        <f>VALUE(7114)</f>
        <v>7114</v>
      </c>
      <c r="N12141" t="s">
        <v>25</v>
      </c>
    </row>
    <row r="12142" spans="1:14" x14ac:dyDescent="0.25">
      <c r="A12142" t="s">
        <v>44</v>
      </c>
      <c r="B12142" t="s">
        <v>39</v>
      </c>
      <c r="C12142" t="s">
        <v>38</v>
      </c>
      <c r="D12142" t="s">
        <v>29</v>
      </c>
      <c r="E12142" t="s">
        <v>23</v>
      </c>
      <c r="F12142" t="s">
        <v>15</v>
      </c>
      <c r="G12142" s="2">
        <f>VALUE(1741.93)</f>
        <v>1741.93</v>
      </c>
      <c r="H12142" s="3">
        <f>VALUE(1613.97)</f>
        <v>1613.97</v>
      </c>
      <c r="I12142" s="1">
        <f>VALUE(3889)</f>
        <v>3889</v>
      </c>
      <c r="J12142" s="1">
        <f>VALUE(4551)</f>
        <v>4551</v>
      </c>
      <c r="K12142" s="1">
        <f>VALUE(5467)</f>
        <v>5467</v>
      </c>
      <c r="L12142" s="1">
        <f>VALUE(6169)</f>
        <v>6169</v>
      </c>
      <c r="M12142" s="1">
        <f>VALUE(7081)</f>
        <v>7081</v>
      </c>
      <c r="N12142" t="s">
        <v>25</v>
      </c>
    </row>
    <row r="12143" spans="1:14" x14ac:dyDescent="0.25">
      <c r="A12143" t="s">
        <v>44</v>
      </c>
      <c r="B12143" t="s">
        <v>39</v>
      </c>
      <c r="C12143" t="s">
        <v>38</v>
      </c>
      <c r="D12143" t="s">
        <v>29</v>
      </c>
      <c r="E12143" t="s">
        <v>23</v>
      </c>
      <c r="F12143" t="s">
        <v>17</v>
      </c>
      <c r="G12143" s="1" t="str">
        <f t="shared" ref="G12143:M12145" si="2717">"X"</f>
        <v>X</v>
      </c>
      <c r="H12143" s="1" t="str">
        <f t="shared" si="2717"/>
        <v>X</v>
      </c>
      <c r="I12143" s="1" t="str">
        <f t="shared" si="2717"/>
        <v>X</v>
      </c>
      <c r="J12143" s="1" t="str">
        <f t="shared" si="2717"/>
        <v>X</v>
      </c>
      <c r="K12143" s="1" t="str">
        <f t="shared" si="2717"/>
        <v>X</v>
      </c>
      <c r="L12143" s="1" t="str">
        <f t="shared" si="2717"/>
        <v>X</v>
      </c>
      <c r="M12143" s="1" t="str">
        <f t="shared" si="2717"/>
        <v>X</v>
      </c>
      <c r="N12143" t="s">
        <v>27</v>
      </c>
    </row>
    <row r="12144" spans="1:14" x14ac:dyDescent="0.25">
      <c r="A12144" t="s">
        <v>44</v>
      </c>
      <c r="B12144" t="s">
        <v>39</v>
      </c>
      <c r="C12144" t="s">
        <v>38</v>
      </c>
      <c r="D12144" t="s">
        <v>29</v>
      </c>
      <c r="E12144" t="s">
        <v>23</v>
      </c>
      <c r="F12144" t="s">
        <v>18</v>
      </c>
      <c r="G12144" s="1" t="str">
        <f t="shared" si="2717"/>
        <v>X</v>
      </c>
      <c r="H12144" s="1" t="str">
        <f t="shared" si="2717"/>
        <v>X</v>
      </c>
      <c r="I12144" s="1" t="str">
        <f t="shared" si="2717"/>
        <v>X</v>
      </c>
      <c r="J12144" s="1" t="str">
        <f t="shared" si="2717"/>
        <v>X</v>
      </c>
      <c r="K12144" s="1" t="str">
        <f t="shared" si="2717"/>
        <v>X</v>
      </c>
      <c r="L12144" s="1" t="str">
        <f t="shared" si="2717"/>
        <v>X</v>
      </c>
      <c r="M12144" s="1" t="str">
        <f t="shared" si="2717"/>
        <v>X</v>
      </c>
      <c r="N12144" t="s">
        <v>27</v>
      </c>
    </row>
    <row r="12145" spans="1:14" x14ac:dyDescent="0.25">
      <c r="A12145" t="s">
        <v>44</v>
      </c>
      <c r="B12145" t="s">
        <v>39</v>
      </c>
      <c r="C12145" t="s">
        <v>38</v>
      </c>
      <c r="D12145" t="s">
        <v>29</v>
      </c>
      <c r="E12145" t="s">
        <v>23</v>
      </c>
      <c r="F12145" t="s">
        <v>19</v>
      </c>
      <c r="G12145" s="1" t="str">
        <f t="shared" si="2717"/>
        <v>X</v>
      </c>
      <c r="H12145" s="1" t="str">
        <f t="shared" si="2717"/>
        <v>X</v>
      </c>
      <c r="I12145" s="1" t="str">
        <f t="shared" si="2717"/>
        <v>X</v>
      </c>
      <c r="J12145" s="1" t="str">
        <f t="shared" si="2717"/>
        <v>X</v>
      </c>
      <c r="K12145" s="1" t="str">
        <f t="shared" si="2717"/>
        <v>X</v>
      </c>
      <c r="L12145" s="1" t="str">
        <f t="shared" si="2717"/>
        <v>X</v>
      </c>
      <c r="M12145" s="1" t="str">
        <f t="shared" si="2717"/>
        <v>X</v>
      </c>
      <c r="N12145" t="s">
        <v>27</v>
      </c>
    </row>
    <row r="12146" spans="1:14" x14ac:dyDescent="0.25">
      <c r="A12146" t="s">
        <v>44</v>
      </c>
      <c r="B12146" t="s">
        <v>39</v>
      </c>
      <c r="C12146" t="s">
        <v>38</v>
      </c>
      <c r="D12146" t="s">
        <v>29</v>
      </c>
      <c r="E12146" t="s">
        <v>23</v>
      </c>
      <c r="F12146" t="s">
        <v>20</v>
      </c>
      <c r="G12146" s="2">
        <f>VALUE(1364.12)</f>
        <v>1364.12</v>
      </c>
      <c r="H12146" s="3">
        <f>VALUE(1243.36)</f>
        <v>1243.3599999999999</v>
      </c>
      <c r="I12146" s="1">
        <f>VALUE(3889)</f>
        <v>3889</v>
      </c>
      <c r="J12146" s="1">
        <f>VALUE(4495)</f>
        <v>4495</v>
      </c>
      <c r="K12146" s="1">
        <f>VALUE(5252)</f>
        <v>5252</v>
      </c>
      <c r="L12146" s="1">
        <f>VALUE(5899)</f>
        <v>5899</v>
      </c>
      <c r="M12146" s="1">
        <f>VALUE(6554)</f>
        <v>6554</v>
      </c>
      <c r="N12146" t="s">
        <v>25</v>
      </c>
    </row>
    <row r="12147" spans="1:14" x14ac:dyDescent="0.25">
      <c r="A12147" t="s">
        <v>44</v>
      </c>
      <c r="B12147" t="s">
        <v>39</v>
      </c>
      <c r="C12147" t="s">
        <v>38</v>
      </c>
      <c r="D12147" t="s">
        <v>29</v>
      </c>
      <c r="E12147" t="s">
        <v>26</v>
      </c>
      <c r="F12147" t="s">
        <v>15</v>
      </c>
      <c r="G12147" s="1" t="str">
        <f t="shared" ref="G12147:M12151" si="2718">"X"</f>
        <v>X</v>
      </c>
      <c r="H12147" s="1" t="str">
        <f t="shared" si="2718"/>
        <v>X</v>
      </c>
      <c r="I12147" s="1" t="str">
        <f t="shared" si="2718"/>
        <v>X</v>
      </c>
      <c r="J12147" s="1" t="str">
        <f t="shared" si="2718"/>
        <v>X</v>
      </c>
      <c r="K12147" s="1" t="str">
        <f t="shared" si="2718"/>
        <v>X</v>
      </c>
      <c r="L12147" s="1" t="str">
        <f t="shared" si="2718"/>
        <v>X</v>
      </c>
      <c r="M12147" s="1" t="str">
        <f t="shared" si="2718"/>
        <v>X</v>
      </c>
      <c r="N12147" t="s">
        <v>27</v>
      </c>
    </row>
    <row r="12148" spans="1:14" x14ac:dyDescent="0.25">
      <c r="A12148" t="s">
        <v>44</v>
      </c>
      <c r="B12148" t="s">
        <v>39</v>
      </c>
      <c r="C12148" t="s">
        <v>38</v>
      </c>
      <c r="D12148" t="s">
        <v>29</v>
      </c>
      <c r="E12148" t="s">
        <v>26</v>
      </c>
      <c r="F12148" t="s">
        <v>17</v>
      </c>
      <c r="G12148" s="1" t="str">
        <f t="shared" si="2718"/>
        <v>X</v>
      </c>
      <c r="H12148" s="1" t="str">
        <f t="shared" si="2718"/>
        <v>X</v>
      </c>
      <c r="I12148" s="1" t="str">
        <f t="shared" si="2718"/>
        <v>X</v>
      </c>
      <c r="J12148" s="1" t="str">
        <f t="shared" si="2718"/>
        <v>X</v>
      </c>
      <c r="K12148" s="1" t="str">
        <f t="shared" si="2718"/>
        <v>X</v>
      </c>
      <c r="L12148" s="1" t="str">
        <f t="shared" si="2718"/>
        <v>X</v>
      </c>
      <c r="M12148" s="1" t="str">
        <f t="shared" si="2718"/>
        <v>X</v>
      </c>
      <c r="N12148" t="s">
        <v>27</v>
      </c>
    </row>
    <row r="12149" spans="1:14" x14ac:dyDescent="0.25">
      <c r="A12149" t="s">
        <v>44</v>
      </c>
      <c r="B12149" t="s">
        <v>39</v>
      </c>
      <c r="C12149" t="s">
        <v>38</v>
      </c>
      <c r="D12149" t="s">
        <v>29</v>
      </c>
      <c r="E12149" t="s">
        <v>26</v>
      </c>
      <c r="F12149" t="s">
        <v>18</v>
      </c>
      <c r="G12149" s="1" t="str">
        <f t="shared" si="2718"/>
        <v>X</v>
      </c>
      <c r="H12149" s="1" t="str">
        <f t="shared" si="2718"/>
        <v>X</v>
      </c>
      <c r="I12149" s="1" t="str">
        <f t="shared" si="2718"/>
        <v>X</v>
      </c>
      <c r="J12149" s="1" t="str">
        <f t="shared" si="2718"/>
        <v>X</v>
      </c>
      <c r="K12149" s="1" t="str">
        <f t="shared" si="2718"/>
        <v>X</v>
      </c>
      <c r="L12149" s="1" t="str">
        <f t="shared" si="2718"/>
        <v>X</v>
      </c>
      <c r="M12149" s="1" t="str">
        <f t="shared" si="2718"/>
        <v>X</v>
      </c>
      <c r="N12149" t="s">
        <v>27</v>
      </c>
    </row>
    <row r="12150" spans="1:14" x14ac:dyDescent="0.25">
      <c r="A12150" t="s">
        <v>44</v>
      </c>
      <c r="B12150" t="s">
        <v>39</v>
      </c>
      <c r="C12150" t="s">
        <v>38</v>
      </c>
      <c r="D12150" t="s">
        <v>29</v>
      </c>
      <c r="E12150" t="s">
        <v>26</v>
      </c>
      <c r="F12150" t="s">
        <v>19</v>
      </c>
      <c r="G12150" s="1" t="str">
        <f t="shared" si="2718"/>
        <v>X</v>
      </c>
      <c r="H12150" s="1" t="str">
        <f t="shared" si="2718"/>
        <v>X</v>
      </c>
      <c r="I12150" s="1" t="str">
        <f t="shared" si="2718"/>
        <v>X</v>
      </c>
      <c r="J12150" s="1" t="str">
        <f t="shared" si="2718"/>
        <v>X</v>
      </c>
      <c r="K12150" s="1" t="str">
        <f t="shared" si="2718"/>
        <v>X</v>
      </c>
      <c r="L12150" s="1" t="str">
        <f t="shared" si="2718"/>
        <v>X</v>
      </c>
      <c r="M12150" s="1" t="str">
        <f t="shared" si="2718"/>
        <v>X</v>
      </c>
      <c r="N12150" t="s">
        <v>27</v>
      </c>
    </row>
    <row r="12151" spans="1:14" x14ac:dyDescent="0.25">
      <c r="A12151" t="s">
        <v>44</v>
      </c>
      <c r="B12151" t="s">
        <v>39</v>
      </c>
      <c r="C12151" t="s">
        <v>38</v>
      </c>
      <c r="D12151" t="s">
        <v>29</v>
      </c>
      <c r="E12151" t="s">
        <v>26</v>
      </c>
      <c r="F12151" t="s">
        <v>20</v>
      </c>
      <c r="G12151" s="1" t="str">
        <f t="shared" si="2718"/>
        <v>X</v>
      </c>
      <c r="H12151" s="1" t="str">
        <f t="shared" si="2718"/>
        <v>X</v>
      </c>
      <c r="I12151" s="1" t="str">
        <f t="shared" si="2718"/>
        <v>X</v>
      </c>
      <c r="J12151" s="1" t="str">
        <f t="shared" si="2718"/>
        <v>X</v>
      </c>
      <c r="K12151" s="1" t="str">
        <f t="shared" si="2718"/>
        <v>X</v>
      </c>
      <c r="L12151" s="1" t="str">
        <f t="shared" si="2718"/>
        <v>X</v>
      </c>
      <c r="M12151" s="1" t="str">
        <f t="shared" si="2718"/>
        <v>X</v>
      </c>
      <c r="N12151" t="s">
        <v>27</v>
      </c>
    </row>
    <row r="12152" spans="1:14" x14ac:dyDescent="0.25">
      <c r="A12152" t="s">
        <v>44</v>
      </c>
      <c r="B12152" t="s">
        <v>39</v>
      </c>
      <c r="C12152" t="s">
        <v>38</v>
      </c>
      <c r="D12152" t="s">
        <v>31</v>
      </c>
      <c r="E12152" t="s">
        <v>15</v>
      </c>
      <c r="F12152" t="s">
        <v>15</v>
      </c>
      <c r="G12152" s="2">
        <f>VALUE(976.7)</f>
        <v>976.7</v>
      </c>
      <c r="H12152" s="3">
        <f>VALUE(815.11)</f>
        <v>815.11</v>
      </c>
      <c r="I12152" s="4">
        <f>VALUE(3677)</f>
        <v>3677</v>
      </c>
      <c r="J12152" s="5">
        <f>VALUE(4410)</f>
        <v>4410</v>
      </c>
      <c r="K12152" s="6">
        <f>VALUE(6219)</f>
        <v>6219</v>
      </c>
      <c r="L12152" s="7">
        <f>VALUE(12078)</f>
        <v>12078</v>
      </c>
      <c r="M12152" s="1">
        <f>VALUE(18685)</f>
        <v>18685</v>
      </c>
      <c r="N12152" t="s">
        <v>25</v>
      </c>
    </row>
    <row r="12153" spans="1:14" x14ac:dyDescent="0.25">
      <c r="A12153" t="s">
        <v>44</v>
      </c>
      <c r="B12153" t="s">
        <v>39</v>
      </c>
      <c r="C12153" t="s">
        <v>38</v>
      </c>
      <c r="D12153" t="s">
        <v>31</v>
      </c>
      <c r="E12153" t="s">
        <v>15</v>
      </c>
      <c r="F12153" t="s">
        <v>17</v>
      </c>
      <c r="G12153" s="2">
        <f>VALUE(323.57)</f>
        <v>323.57</v>
      </c>
      <c r="H12153" s="3">
        <f>VALUE(327.41)</f>
        <v>327.41000000000003</v>
      </c>
      <c r="I12153" s="4">
        <f>VALUE(3791)</f>
        <v>3791</v>
      </c>
      <c r="J12153" s="5">
        <f>VALUE(8349)</f>
        <v>8349</v>
      </c>
      <c r="K12153" s="6">
        <f>VALUE(12493)</f>
        <v>12493</v>
      </c>
      <c r="L12153" s="7">
        <f>VALUE(18685)</f>
        <v>18685</v>
      </c>
      <c r="M12153" s="8">
        <f>VALUE(25563)</f>
        <v>25563</v>
      </c>
      <c r="N12153" t="s">
        <v>24</v>
      </c>
    </row>
    <row r="12154" spans="1:14" x14ac:dyDescent="0.25">
      <c r="A12154" t="s">
        <v>44</v>
      </c>
      <c r="B12154" t="s">
        <v>39</v>
      </c>
      <c r="C12154" t="s">
        <v>38</v>
      </c>
      <c r="D12154" t="s">
        <v>31</v>
      </c>
      <c r="E12154" t="s">
        <v>15</v>
      </c>
      <c r="F12154" t="s">
        <v>18</v>
      </c>
      <c r="G12154" s="1" t="str">
        <f t="shared" ref="G12154:M12155" si="2719">"X"</f>
        <v>X</v>
      </c>
      <c r="H12154" s="1" t="str">
        <f t="shared" si="2719"/>
        <v>X</v>
      </c>
      <c r="I12154" s="1" t="str">
        <f t="shared" si="2719"/>
        <v>X</v>
      </c>
      <c r="J12154" s="1" t="str">
        <f t="shared" si="2719"/>
        <v>X</v>
      </c>
      <c r="K12154" s="1" t="str">
        <f t="shared" si="2719"/>
        <v>X</v>
      </c>
      <c r="L12154" s="1" t="str">
        <f t="shared" si="2719"/>
        <v>X</v>
      </c>
      <c r="M12154" s="1" t="str">
        <f t="shared" si="2719"/>
        <v>X</v>
      </c>
      <c r="N12154" t="s">
        <v>27</v>
      </c>
    </row>
    <row r="12155" spans="1:14" x14ac:dyDescent="0.25">
      <c r="A12155" t="s">
        <v>44</v>
      </c>
      <c r="B12155" t="s">
        <v>39</v>
      </c>
      <c r="C12155" t="s">
        <v>38</v>
      </c>
      <c r="D12155" t="s">
        <v>31</v>
      </c>
      <c r="E12155" t="s">
        <v>15</v>
      </c>
      <c r="F12155" t="s">
        <v>19</v>
      </c>
      <c r="G12155" s="1" t="str">
        <f t="shared" si="2719"/>
        <v>X</v>
      </c>
      <c r="H12155" s="1" t="str">
        <f t="shared" si="2719"/>
        <v>X</v>
      </c>
      <c r="I12155" s="1" t="str">
        <f t="shared" si="2719"/>
        <v>X</v>
      </c>
      <c r="J12155" s="1" t="str">
        <f t="shared" si="2719"/>
        <v>X</v>
      </c>
      <c r="K12155" s="1" t="str">
        <f t="shared" si="2719"/>
        <v>X</v>
      </c>
      <c r="L12155" s="1" t="str">
        <f t="shared" si="2719"/>
        <v>X</v>
      </c>
      <c r="M12155" s="1" t="str">
        <f t="shared" si="2719"/>
        <v>X</v>
      </c>
      <c r="N12155" t="s">
        <v>27</v>
      </c>
    </row>
    <row r="12156" spans="1:14" x14ac:dyDescent="0.25">
      <c r="A12156" t="s">
        <v>44</v>
      </c>
      <c r="B12156" t="s">
        <v>39</v>
      </c>
      <c r="C12156" t="s">
        <v>38</v>
      </c>
      <c r="D12156" t="s">
        <v>31</v>
      </c>
      <c r="E12156" t="s">
        <v>15</v>
      </c>
      <c r="F12156" t="s">
        <v>20</v>
      </c>
      <c r="G12156" s="2">
        <f>VALUE(538.67)</f>
        <v>538.66999999999996</v>
      </c>
      <c r="H12156" s="3">
        <f>VALUE(390.21)</f>
        <v>390.21</v>
      </c>
      <c r="I12156" s="4">
        <f>VALUE(3553)</f>
        <v>3553</v>
      </c>
      <c r="J12156" s="5">
        <f>VALUE(4044)</f>
        <v>4044</v>
      </c>
      <c r="K12156" s="6">
        <f>VALUE(4630)</f>
        <v>4630</v>
      </c>
      <c r="L12156" s="7">
        <f>VALUE(5887)</f>
        <v>5887</v>
      </c>
      <c r="M12156" s="8">
        <f>VALUE(7790)</f>
        <v>7790</v>
      </c>
      <c r="N12156" t="s">
        <v>24</v>
      </c>
    </row>
    <row r="12157" spans="1:14" x14ac:dyDescent="0.25">
      <c r="A12157" t="s">
        <v>44</v>
      </c>
      <c r="B12157" t="s">
        <v>39</v>
      </c>
      <c r="C12157" t="s">
        <v>38</v>
      </c>
      <c r="D12157" t="s">
        <v>31</v>
      </c>
      <c r="E12157" t="s">
        <v>21</v>
      </c>
      <c r="F12157" t="s">
        <v>15</v>
      </c>
      <c r="G12157" s="2">
        <f>VALUE(312.56)</f>
        <v>312.56</v>
      </c>
      <c r="H12157" s="3">
        <f>VALUE(307.86)</f>
        <v>307.86</v>
      </c>
      <c r="I12157" s="4">
        <f>VALUE(6548)</f>
        <v>6548</v>
      </c>
      <c r="J12157" s="5">
        <f>VALUE(9430)</f>
        <v>9430</v>
      </c>
      <c r="K12157" s="6">
        <f>VALUE(13441)</f>
        <v>13441</v>
      </c>
      <c r="L12157" s="1">
        <f>VALUE(18685)</f>
        <v>18685</v>
      </c>
      <c r="M12157" s="8">
        <f>VALUE(25563)</f>
        <v>25563</v>
      </c>
      <c r="N12157" t="s">
        <v>25</v>
      </c>
    </row>
    <row r="12158" spans="1:14" x14ac:dyDescent="0.25">
      <c r="A12158" t="s">
        <v>44</v>
      </c>
      <c r="B12158" t="s">
        <v>39</v>
      </c>
      <c r="C12158" t="s">
        <v>38</v>
      </c>
      <c r="D12158" t="s">
        <v>31</v>
      </c>
      <c r="E12158" t="s">
        <v>21</v>
      </c>
      <c r="F12158" t="s">
        <v>17</v>
      </c>
      <c r="G12158" s="1" t="str">
        <f t="shared" ref="G12158:M12166" si="2720">"X"</f>
        <v>X</v>
      </c>
      <c r="H12158" s="1" t="str">
        <f t="shared" si="2720"/>
        <v>X</v>
      </c>
      <c r="I12158" s="1" t="str">
        <f t="shared" si="2720"/>
        <v>X</v>
      </c>
      <c r="J12158" s="1" t="str">
        <f t="shared" si="2720"/>
        <v>X</v>
      </c>
      <c r="K12158" s="1" t="str">
        <f t="shared" si="2720"/>
        <v>X</v>
      </c>
      <c r="L12158" s="1" t="str">
        <f t="shared" si="2720"/>
        <v>X</v>
      </c>
      <c r="M12158" s="1" t="str">
        <f t="shared" si="2720"/>
        <v>X</v>
      </c>
      <c r="N12158" t="s">
        <v>27</v>
      </c>
    </row>
    <row r="12159" spans="1:14" x14ac:dyDescent="0.25">
      <c r="A12159" t="s">
        <v>44</v>
      </c>
      <c r="B12159" t="s">
        <v>39</v>
      </c>
      <c r="C12159" t="s">
        <v>38</v>
      </c>
      <c r="D12159" t="s">
        <v>31</v>
      </c>
      <c r="E12159" t="s">
        <v>21</v>
      </c>
      <c r="F12159" t="s">
        <v>18</v>
      </c>
      <c r="G12159" s="1" t="str">
        <f t="shared" si="2720"/>
        <v>X</v>
      </c>
      <c r="H12159" s="1" t="str">
        <f t="shared" si="2720"/>
        <v>X</v>
      </c>
      <c r="I12159" s="1" t="str">
        <f t="shared" si="2720"/>
        <v>X</v>
      </c>
      <c r="J12159" s="1" t="str">
        <f t="shared" si="2720"/>
        <v>X</v>
      </c>
      <c r="K12159" s="1" t="str">
        <f t="shared" si="2720"/>
        <v>X</v>
      </c>
      <c r="L12159" s="1" t="str">
        <f t="shared" si="2720"/>
        <v>X</v>
      </c>
      <c r="M12159" s="1" t="str">
        <f t="shared" si="2720"/>
        <v>X</v>
      </c>
      <c r="N12159" t="s">
        <v>27</v>
      </c>
    </row>
    <row r="12160" spans="1:14" x14ac:dyDescent="0.25">
      <c r="A12160" t="s">
        <v>44</v>
      </c>
      <c r="B12160" t="s">
        <v>39</v>
      </c>
      <c r="C12160" t="s">
        <v>38</v>
      </c>
      <c r="D12160" t="s">
        <v>31</v>
      </c>
      <c r="E12160" t="s">
        <v>21</v>
      </c>
      <c r="F12160" t="s">
        <v>19</v>
      </c>
      <c r="G12160" s="1" t="str">
        <f t="shared" si="2720"/>
        <v>X</v>
      </c>
      <c r="H12160" s="1" t="str">
        <f t="shared" si="2720"/>
        <v>X</v>
      </c>
      <c r="I12160" s="1" t="str">
        <f t="shared" si="2720"/>
        <v>X</v>
      </c>
      <c r="J12160" s="1" t="str">
        <f t="shared" si="2720"/>
        <v>X</v>
      </c>
      <c r="K12160" s="1" t="str">
        <f t="shared" si="2720"/>
        <v>X</v>
      </c>
      <c r="L12160" s="1" t="str">
        <f t="shared" si="2720"/>
        <v>X</v>
      </c>
      <c r="M12160" s="1" t="str">
        <f t="shared" si="2720"/>
        <v>X</v>
      </c>
      <c r="N12160" t="s">
        <v>27</v>
      </c>
    </row>
    <row r="12161" spans="1:14" x14ac:dyDescent="0.25">
      <c r="A12161" t="s">
        <v>44</v>
      </c>
      <c r="B12161" t="s">
        <v>39</v>
      </c>
      <c r="C12161" t="s">
        <v>38</v>
      </c>
      <c r="D12161" t="s">
        <v>31</v>
      </c>
      <c r="E12161" t="s">
        <v>21</v>
      </c>
      <c r="F12161" t="s">
        <v>20</v>
      </c>
      <c r="G12161" s="1" t="str">
        <f t="shared" si="2720"/>
        <v>X</v>
      </c>
      <c r="H12161" s="1" t="str">
        <f t="shared" si="2720"/>
        <v>X</v>
      </c>
      <c r="I12161" s="1" t="str">
        <f t="shared" si="2720"/>
        <v>X</v>
      </c>
      <c r="J12161" s="1" t="str">
        <f t="shared" si="2720"/>
        <v>X</v>
      </c>
      <c r="K12161" s="1" t="str">
        <f t="shared" si="2720"/>
        <v>X</v>
      </c>
      <c r="L12161" s="1" t="str">
        <f t="shared" si="2720"/>
        <v>X</v>
      </c>
      <c r="M12161" s="1" t="str">
        <f t="shared" si="2720"/>
        <v>X</v>
      </c>
      <c r="N12161" t="s">
        <v>27</v>
      </c>
    </row>
    <row r="12162" spans="1:14" x14ac:dyDescent="0.25">
      <c r="A12162" t="s">
        <v>44</v>
      </c>
      <c r="B12162" t="s">
        <v>39</v>
      </c>
      <c r="C12162" t="s">
        <v>38</v>
      </c>
      <c r="D12162" t="s">
        <v>31</v>
      </c>
      <c r="E12162" t="s">
        <v>22</v>
      </c>
      <c r="F12162" t="s">
        <v>15</v>
      </c>
      <c r="G12162" s="1" t="str">
        <f t="shared" si="2720"/>
        <v>X</v>
      </c>
      <c r="H12162" s="1" t="str">
        <f t="shared" si="2720"/>
        <v>X</v>
      </c>
      <c r="I12162" s="1" t="str">
        <f t="shared" si="2720"/>
        <v>X</v>
      </c>
      <c r="J12162" s="1" t="str">
        <f t="shared" si="2720"/>
        <v>X</v>
      </c>
      <c r="K12162" s="1" t="str">
        <f t="shared" si="2720"/>
        <v>X</v>
      </c>
      <c r="L12162" s="1" t="str">
        <f t="shared" si="2720"/>
        <v>X</v>
      </c>
      <c r="M12162" s="1" t="str">
        <f t="shared" si="2720"/>
        <v>X</v>
      </c>
      <c r="N12162" t="s">
        <v>27</v>
      </c>
    </row>
    <row r="12163" spans="1:14" x14ac:dyDescent="0.25">
      <c r="A12163" t="s">
        <v>44</v>
      </c>
      <c r="B12163" t="s">
        <v>39</v>
      </c>
      <c r="C12163" t="s">
        <v>38</v>
      </c>
      <c r="D12163" t="s">
        <v>31</v>
      </c>
      <c r="E12163" t="s">
        <v>22</v>
      </c>
      <c r="F12163" t="s">
        <v>17</v>
      </c>
      <c r="G12163" s="1" t="str">
        <f t="shared" si="2720"/>
        <v>X</v>
      </c>
      <c r="H12163" s="1" t="str">
        <f t="shared" si="2720"/>
        <v>X</v>
      </c>
      <c r="I12163" s="1" t="str">
        <f t="shared" si="2720"/>
        <v>X</v>
      </c>
      <c r="J12163" s="1" t="str">
        <f t="shared" si="2720"/>
        <v>X</v>
      </c>
      <c r="K12163" s="1" t="str">
        <f t="shared" si="2720"/>
        <v>X</v>
      </c>
      <c r="L12163" s="1" t="str">
        <f t="shared" si="2720"/>
        <v>X</v>
      </c>
      <c r="M12163" s="1" t="str">
        <f t="shared" si="2720"/>
        <v>X</v>
      </c>
      <c r="N12163" t="s">
        <v>27</v>
      </c>
    </row>
    <row r="12164" spans="1:14" x14ac:dyDescent="0.25">
      <c r="A12164" t="s">
        <v>44</v>
      </c>
      <c r="B12164" t="s">
        <v>39</v>
      </c>
      <c r="C12164" t="s">
        <v>38</v>
      </c>
      <c r="D12164" t="s">
        <v>31</v>
      </c>
      <c r="E12164" t="s">
        <v>22</v>
      </c>
      <c r="F12164" t="s">
        <v>18</v>
      </c>
      <c r="G12164" s="1" t="str">
        <f t="shared" si="2720"/>
        <v>X</v>
      </c>
      <c r="H12164" s="1" t="str">
        <f t="shared" si="2720"/>
        <v>X</v>
      </c>
      <c r="I12164" s="1" t="str">
        <f t="shared" si="2720"/>
        <v>X</v>
      </c>
      <c r="J12164" s="1" t="str">
        <f t="shared" si="2720"/>
        <v>X</v>
      </c>
      <c r="K12164" s="1" t="str">
        <f t="shared" si="2720"/>
        <v>X</v>
      </c>
      <c r="L12164" s="1" t="str">
        <f t="shared" si="2720"/>
        <v>X</v>
      </c>
      <c r="M12164" s="1" t="str">
        <f t="shared" si="2720"/>
        <v>X</v>
      </c>
      <c r="N12164" t="s">
        <v>27</v>
      </c>
    </row>
    <row r="12165" spans="1:14" x14ac:dyDescent="0.25">
      <c r="A12165" t="s">
        <v>44</v>
      </c>
      <c r="B12165" t="s">
        <v>39</v>
      </c>
      <c r="C12165" t="s">
        <v>38</v>
      </c>
      <c r="D12165" t="s">
        <v>31</v>
      </c>
      <c r="E12165" t="s">
        <v>22</v>
      </c>
      <c r="F12165" t="s">
        <v>19</v>
      </c>
      <c r="G12165" s="1" t="str">
        <f t="shared" si="2720"/>
        <v>X</v>
      </c>
      <c r="H12165" s="1" t="str">
        <f t="shared" si="2720"/>
        <v>X</v>
      </c>
      <c r="I12165" s="1" t="str">
        <f t="shared" si="2720"/>
        <v>X</v>
      </c>
      <c r="J12165" s="1" t="str">
        <f t="shared" si="2720"/>
        <v>X</v>
      </c>
      <c r="K12165" s="1" t="str">
        <f t="shared" si="2720"/>
        <v>X</v>
      </c>
      <c r="L12165" s="1" t="str">
        <f t="shared" si="2720"/>
        <v>X</v>
      </c>
      <c r="M12165" s="1" t="str">
        <f t="shared" si="2720"/>
        <v>X</v>
      </c>
      <c r="N12165" t="s">
        <v>27</v>
      </c>
    </row>
    <row r="12166" spans="1:14" x14ac:dyDescent="0.25">
      <c r="A12166" t="s">
        <v>44</v>
      </c>
      <c r="B12166" t="s">
        <v>39</v>
      </c>
      <c r="C12166" t="s">
        <v>38</v>
      </c>
      <c r="D12166" t="s">
        <v>31</v>
      </c>
      <c r="E12166" t="s">
        <v>22</v>
      </c>
      <c r="F12166" t="s">
        <v>20</v>
      </c>
      <c r="G12166" s="1" t="str">
        <f t="shared" si="2720"/>
        <v>X</v>
      </c>
      <c r="H12166" s="1" t="str">
        <f t="shared" si="2720"/>
        <v>X</v>
      </c>
      <c r="I12166" s="1" t="str">
        <f t="shared" si="2720"/>
        <v>X</v>
      </c>
      <c r="J12166" s="1" t="str">
        <f t="shared" si="2720"/>
        <v>X</v>
      </c>
      <c r="K12166" s="1" t="str">
        <f t="shared" si="2720"/>
        <v>X</v>
      </c>
      <c r="L12166" s="1" t="str">
        <f t="shared" si="2720"/>
        <v>X</v>
      </c>
      <c r="M12166" s="1" t="str">
        <f t="shared" si="2720"/>
        <v>X</v>
      </c>
      <c r="N12166" t="s">
        <v>27</v>
      </c>
    </row>
    <row r="12167" spans="1:14" x14ac:dyDescent="0.25">
      <c r="A12167" t="s">
        <v>44</v>
      </c>
      <c r="B12167" t="s">
        <v>39</v>
      </c>
      <c r="C12167" t="s">
        <v>38</v>
      </c>
      <c r="D12167" t="s">
        <v>31</v>
      </c>
      <c r="E12167" t="s">
        <v>23</v>
      </c>
      <c r="F12167" t="s">
        <v>15</v>
      </c>
      <c r="G12167" s="2">
        <f>VALUE(517.15)</f>
        <v>517.15</v>
      </c>
      <c r="H12167" s="3">
        <f>VALUE(388.22)</f>
        <v>388.22</v>
      </c>
      <c r="I12167" s="4">
        <f>VALUE(3460)</f>
        <v>3460</v>
      </c>
      <c r="J12167" s="5">
        <f>VALUE(3964)</f>
        <v>3964</v>
      </c>
      <c r="K12167" s="6">
        <f>VALUE(4410)</f>
        <v>4410</v>
      </c>
      <c r="L12167" s="7">
        <f>VALUE(5849)</f>
        <v>5849</v>
      </c>
      <c r="M12167" s="8">
        <f>VALUE(7002)</f>
        <v>7002</v>
      </c>
      <c r="N12167" t="s">
        <v>24</v>
      </c>
    </row>
    <row r="12168" spans="1:14" x14ac:dyDescent="0.25">
      <c r="A12168" t="s">
        <v>44</v>
      </c>
      <c r="B12168" t="s">
        <v>39</v>
      </c>
      <c r="C12168" t="s">
        <v>38</v>
      </c>
      <c r="D12168" t="s">
        <v>31</v>
      </c>
      <c r="E12168" t="s">
        <v>23</v>
      </c>
      <c r="F12168" t="s">
        <v>17</v>
      </c>
      <c r="G12168" s="1" t="str">
        <f t="shared" ref="G12168:M12170" si="2721">"X"</f>
        <v>X</v>
      </c>
      <c r="H12168" s="1" t="str">
        <f t="shared" si="2721"/>
        <v>X</v>
      </c>
      <c r="I12168" s="1" t="str">
        <f t="shared" si="2721"/>
        <v>X</v>
      </c>
      <c r="J12168" s="1" t="str">
        <f t="shared" si="2721"/>
        <v>X</v>
      </c>
      <c r="K12168" s="1" t="str">
        <f t="shared" si="2721"/>
        <v>X</v>
      </c>
      <c r="L12168" s="1" t="str">
        <f t="shared" si="2721"/>
        <v>X</v>
      </c>
      <c r="M12168" s="1" t="str">
        <f t="shared" si="2721"/>
        <v>X</v>
      </c>
      <c r="N12168" t="s">
        <v>27</v>
      </c>
    </row>
    <row r="12169" spans="1:14" x14ac:dyDescent="0.25">
      <c r="A12169" t="s">
        <v>44</v>
      </c>
      <c r="B12169" t="s">
        <v>39</v>
      </c>
      <c r="C12169" t="s">
        <v>38</v>
      </c>
      <c r="D12169" t="s">
        <v>31</v>
      </c>
      <c r="E12169" t="s">
        <v>23</v>
      </c>
      <c r="F12169" t="s">
        <v>18</v>
      </c>
      <c r="G12169" s="1" t="str">
        <f t="shared" si="2721"/>
        <v>X</v>
      </c>
      <c r="H12169" s="1" t="str">
        <f t="shared" si="2721"/>
        <v>X</v>
      </c>
      <c r="I12169" s="1" t="str">
        <f t="shared" si="2721"/>
        <v>X</v>
      </c>
      <c r="J12169" s="1" t="str">
        <f t="shared" si="2721"/>
        <v>X</v>
      </c>
      <c r="K12169" s="1" t="str">
        <f t="shared" si="2721"/>
        <v>X</v>
      </c>
      <c r="L12169" s="1" t="str">
        <f t="shared" si="2721"/>
        <v>X</v>
      </c>
      <c r="M12169" s="1" t="str">
        <f t="shared" si="2721"/>
        <v>X</v>
      </c>
      <c r="N12169" t="s">
        <v>27</v>
      </c>
    </row>
    <row r="12170" spans="1:14" x14ac:dyDescent="0.25">
      <c r="A12170" t="s">
        <v>44</v>
      </c>
      <c r="B12170" t="s">
        <v>39</v>
      </c>
      <c r="C12170" t="s">
        <v>38</v>
      </c>
      <c r="D12170" t="s">
        <v>31</v>
      </c>
      <c r="E12170" t="s">
        <v>23</v>
      </c>
      <c r="F12170" t="s">
        <v>19</v>
      </c>
      <c r="G12170" s="1" t="str">
        <f t="shared" si="2721"/>
        <v>X</v>
      </c>
      <c r="H12170" s="1" t="str">
        <f t="shared" si="2721"/>
        <v>X</v>
      </c>
      <c r="I12170" s="1" t="str">
        <f t="shared" si="2721"/>
        <v>X</v>
      </c>
      <c r="J12170" s="1" t="str">
        <f t="shared" si="2721"/>
        <v>X</v>
      </c>
      <c r="K12170" s="1" t="str">
        <f t="shared" si="2721"/>
        <v>X</v>
      </c>
      <c r="L12170" s="1" t="str">
        <f t="shared" si="2721"/>
        <v>X</v>
      </c>
      <c r="M12170" s="1" t="str">
        <f t="shared" si="2721"/>
        <v>X</v>
      </c>
      <c r="N12170" t="s">
        <v>27</v>
      </c>
    </row>
    <row r="12171" spans="1:14" x14ac:dyDescent="0.25">
      <c r="A12171" t="s">
        <v>44</v>
      </c>
      <c r="B12171" t="s">
        <v>39</v>
      </c>
      <c r="C12171" t="s">
        <v>38</v>
      </c>
      <c r="D12171" t="s">
        <v>31</v>
      </c>
      <c r="E12171" t="s">
        <v>23</v>
      </c>
      <c r="F12171" t="s">
        <v>20</v>
      </c>
      <c r="G12171" s="2">
        <f>VALUE(433.07)</f>
        <v>433.07</v>
      </c>
      <c r="H12171" s="3">
        <f>VALUE(303.64)</f>
        <v>303.64</v>
      </c>
      <c r="I12171" s="4">
        <f>VALUE(3553)</f>
        <v>3553</v>
      </c>
      <c r="J12171" s="5">
        <f>VALUE(3964)</f>
        <v>3964</v>
      </c>
      <c r="K12171" s="6">
        <f>VALUE(4410)</f>
        <v>4410</v>
      </c>
      <c r="L12171" s="7">
        <f>VALUE(5748)</f>
        <v>5748</v>
      </c>
      <c r="M12171" s="8">
        <f>VALUE(6390)</f>
        <v>6390</v>
      </c>
      <c r="N12171" t="s">
        <v>24</v>
      </c>
    </row>
    <row r="12172" spans="1:14" x14ac:dyDescent="0.25">
      <c r="A12172" t="s">
        <v>44</v>
      </c>
      <c r="B12172" t="s">
        <v>39</v>
      </c>
      <c r="C12172" t="s">
        <v>38</v>
      </c>
      <c r="D12172" t="s">
        <v>31</v>
      </c>
      <c r="E12172" t="s">
        <v>26</v>
      </c>
      <c r="F12172" t="s">
        <v>15</v>
      </c>
      <c r="G12172" s="1" t="str">
        <f t="shared" ref="G12172:M12174" si="2722">"X"</f>
        <v>X</v>
      </c>
      <c r="H12172" s="1" t="str">
        <f t="shared" si="2722"/>
        <v>X</v>
      </c>
      <c r="I12172" s="1" t="str">
        <f t="shared" si="2722"/>
        <v>X</v>
      </c>
      <c r="J12172" s="1" t="str">
        <f t="shared" si="2722"/>
        <v>X</v>
      </c>
      <c r="K12172" s="1" t="str">
        <f t="shared" si="2722"/>
        <v>X</v>
      </c>
      <c r="L12172" s="1" t="str">
        <f t="shared" si="2722"/>
        <v>X</v>
      </c>
      <c r="M12172" s="1" t="str">
        <f t="shared" si="2722"/>
        <v>X</v>
      </c>
      <c r="N12172" t="s">
        <v>27</v>
      </c>
    </row>
    <row r="12173" spans="1:14" x14ac:dyDescent="0.25">
      <c r="A12173" t="s">
        <v>44</v>
      </c>
      <c r="B12173" t="s">
        <v>39</v>
      </c>
      <c r="C12173" t="s">
        <v>38</v>
      </c>
      <c r="D12173" t="s">
        <v>31</v>
      </c>
      <c r="E12173" t="s">
        <v>26</v>
      </c>
      <c r="F12173" t="s">
        <v>17</v>
      </c>
      <c r="G12173" s="1" t="str">
        <f t="shared" si="2722"/>
        <v>X</v>
      </c>
      <c r="H12173" s="1" t="str">
        <f t="shared" si="2722"/>
        <v>X</v>
      </c>
      <c r="I12173" s="1" t="str">
        <f t="shared" si="2722"/>
        <v>X</v>
      </c>
      <c r="J12173" s="1" t="str">
        <f t="shared" si="2722"/>
        <v>X</v>
      </c>
      <c r="K12173" s="1" t="str">
        <f t="shared" si="2722"/>
        <v>X</v>
      </c>
      <c r="L12173" s="1" t="str">
        <f t="shared" si="2722"/>
        <v>X</v>
      </c>
      <c r="M12173" s="1" t="str">
        <f t="shared" si="2722"/>
        <v>X</v>
      </c>
      <c r="N12173" t="s">
        <v>27</v>
      </c>
    </row>
    <row r="12174" spans="1:14" x14ac:dyDescent="0.25">
      <c r="A12174" t="s">
        <v>44</v>
      </c>
      <c r="B12174" t="s">
        <v>39</v>
      </c>
      <c r="C12174" t="s">
        <v>38</v>
      </c>
      <c r="D12174" t="s">
        <v>31</v>
      </c>
      <c r="E12174" t="s">
        <v>26</v>
      </c>
      <c r="F12174" t="s">
        <v>18</v>
      </c>
      <c r="G12174" s="1" t="str">
        <f t="shared" si="2722"/>
        <v>X</v>
      </c>
      <c r="H12174" s="1" t="str">
        <f t="shared" si="2722"/>
        <v>X</v>
      </c>
      <c r="I12174" s="1" t="str">
        <f t="shared" si="2722"/>
        <v>X</v>
      </c>
      <c r="J12174" s="1" t="str">
        <f t="shared" si="2722"/>
        <v>X</v>
      </c>
      <c r="K12174" s="1" t="str">
        <f t="shared" si="2722"/>
        <v>X</v>
      </c>
      <c r="L12174" s="1" t="str">
        <f t="shared" si="2722"/>
        <v>X</v>
      </c>
      <c r="M12174" s="1" t="str">
        <f t="shared" si="2722"/>
        <v>X</v>
      </c>
      <c r="N12174" t="s">
        <v>27</v>
      </c>
    </row>
    <row r="12175" spans="1:14" x14ac:dyDescent="0.25">
      <c r="A12175" t="s">
        <v>44</v>
      </c>
      <c r="B12175" t="s">
        <v>39</v>
      </c>
      <c r="C12175" t="s">
        <v>38</v>
      </c>
      <c r="D12175" t="s">
        <v>31</v>
      </c>
      <c r="E12175" t="s">
        <v>26</v>
      </c>
      <c r="F12175" t="s">
        <v>19</v>
      </c>
      <c r="G12175" s="1" t="str">
        <f t="shared" ref="G12175:M12175" si="2723">"..."</f>
        <v>...</v>
      </c>
      <c r="H12175" s="1" t="str">
        <f t="shared" si="2723"/>
        <v>...</v>
      </c>
      <c r="I12175" s="1" t="str">
        <f t="shared" si="2723"/>
        <v>...</v>
      </c>
      <c r="J12175" s="1" t="str">
        <f t="shared" si="2723"/>
        <v>...</v>
      </c>
      <c r="K12175" s="1" t="str">
        <f t="shared" si="2723"/>
        <v>...</v>
      </c>
      <c r="L12175" s="1" t="str">
        <f t="shared" si="2723"/>
        <v>...</v>
      </c>
      <c r="M12175" s="1" t="str">
        <f t="shared" si="2723"/>
        <v>...</v>
      </c>
      <c r="N12175" t="s">
        <v>30</v>
      </c>
    </row>
    <row r="12176" spans="1:14" x14ac:dyDescent="0.25">
      <c r="A12176" t="s">
        <v>44</v>
      </c>
      <c r="B12176" t="s">
        <v>39</v>
      </c>
      <c r="C12176" t="s">
        <v>38</v>
      </c>
      <c r="D12176" t="s">
        <v>31</v>
      </c>
      <c r="E12176" t="s">
        <v>26</v>
      </c>
      <c r="F12176" t="s">
        <v>20</v>
      </c>
      <c r="G12176" s="1" t="str">
        <f t="shared" ref="G12176:M12176" si="2724">"X"</f>
        <v>X</v>
      </c>
      <c r="H12176" s="1" t="str">
        <f t="shared" si="2724"/>
        <v>X</v>
      </c>
      <c r="I12176" s="1" t="str">
        <f t="shared" si="2724"/>
        <v>X</v>
      </c>
      <c r="J12176" s="1" t="str">
        <f t="shared" si="2724"/>
        <v>X</v>
      </c>
      <c r="K12176" s="1" t="str">
        <f t="shared" si="2724"/>
        <v>X</v>
      </c>
      <c r="L12176" s="1" t="str">
        <f t="shared" si="2724"/>
        <v>X</v>
      </c>
      <c r="M12176" s="1" t="str">
        <f t="shared" si="2724"/>
        <v>X</v>
      </c>
      <c r="N12176" t="s">
        <v>27</v>
      </c>
    </row>
    <row r="12177" spans="1:14" x14ac:dyDescent="0.25">
      <c r="A12177" t="s">
        <v>44</v>
      </c>
      <c r="B12177" t="s">
        <v>39</v>
      </c>
      <c r="C12177" t="s">
        <v>38</v>
      </c>
      <c r="D12177" t="s">
        <v>32</v>
      </c>
      <c r="E12177" t="s">
        <v>15</v>
      </c>
      <c r="F12177" t="s">
        <v>15</v>
      </c>
      <c r="G12177" s="1">
        <f>VALUE(8376.85)</f>
        <v>8376.85</v>
      </c>
      <c r="H12177" s="1">
        <f>VALUE(7873.95)</f>
        <v>7873.95</v>
      </c>
      <c r="I12177" s="1">
        <f>VALUE(3839)</f>
        <v>3839</v>
      </c>
      <c r="J12177" s="1">
        <f>VALUE(4535)</f>
        <v>4535</v>
      </c>
      <c r="K12177" s="1">
        <f>VALUE(5491)</f>
        <v>5491</v>
      </c>
      <c r="L12177" s="1">
        <f>VALUE(6485)</f>
        <v>6485</v>
      </c>
      <c r="M12177" s="1">
        <f>VALUE(7907)</f>
        <v>7907</v>
      </c>
      <c r="N12177" t="s">
        <v>16</v>
      </c>
    </row>
    <row r="12178" spans="1:14" x14ac:dyDescent="0.25">
      <c r="A12178" t="s">
        <v>44</v>
      </c>
      <c r="B12178" t="s">
        <v>39</v>
      </c>
      <c r="C12178" t="s">
        <v>38</v>
      </c>
      <c r="D12178" t="s">
        <v>32</v>
      </c>
      <c r="E12178" t="s">
        <v>15</v>
      </c>
      <c r="F12178" t="s">
        <v>17</v>
      </c>
      <c r="G12178" s="2">
        <f>VALUE(880.84)</f>
        <v>880.84</v>
      </c>
      <c r="H12178" s="3">
        <f>VALUE(775.58)</f>
        <v>775.58</v>
      </c>
      <c r="I12178" s="4">
        <f>VALUE(5091)</f>
        <v>5091</v>
      </c>
      <c r="J12178" s="5">
        <f>VALUE(6612)</f>
        <v>6612</v>
      </c>
      <c r="K12178" s="6">
        <f>VALUE(9748)</f>
        <v>9748</v>
      </c>
      <c r="L12178" s="7">
        <f>VALUE(15000)</f>
        <v>15000</v>
      </c>
      <c r="M12178" s="8">
        <f>VALUE(18017)</f>
        <v>18017</v>
      </c>
      <c r="N12178" t="s">
        <v>24</v>
      </c>
    </row>
    <row r="12179" spans="1:14" x14ac:dyDescent="0.25">
      <c r="A12179" t="s">
        <v>44</v>
      </c>
      <c r="B12179" t="s">
        <v>39</v>
      </c>
      <c r="C12179" t="s">
        <v>38</v>
      </c>
      <c r="D12179" t="s">
        <v>32</v>
      </c>
      <c r="E12179" t="s">
        <v>15</v>
      </c>
      <c r="F12179" t="s">
        <v>18</v>
      </c>
      <c r="G12179" s="2">
        <f>VALUE(527.18)</f>
        <v>527.17999999999995</v>
      </c>
      <c r="H12179" s="3">
        <f>VALUE(512.79)</f>
        <v>512.79</v>
      </c>
      <c r="I12179" s="1">
        <f>VALUE(4077)</f>
        <v>4077</v>
      </c>
      <c r="J12179" s="1">
        <f>VALUE(4836)</f>
        <v>4836</v>
      </c>
      <c r="K12179" s="1">
        <f>VALUE(6218)</f>
        <v>6218</v>
      </c>
      <c r="L12179" s="1">
        <f>VALUE(7205)</f>
        <v>7205</v>
      </c>
      <c r="M12179" s="1">
        <f>VALUE(9287)</f>
        <v>9287</v>
      </c>
      <c r="N12179" t="s">
        <v>25</v>
      </c>
    </row>
    <row r="12180" spans="1:14" x14ac:dyDescent="0.25">
      <c r="A12180" t="s">
        <v>44</v>
      </c>
      <c r="B12180" t="s">
        <v>39</v>
      </c>
      <c r="C12180" t="s">
        <v>38</v>
      </c>
      <c r="D12180" t="s">
        <v>32</v>
      </c>
      <c r="E12180" t="s">
        <v>15</v>
      </c>
      <c r="F12180" t="s">
        <v>19</v>
      </c>
      <c r="G12180" s="2">
        <f>VALUE(1053.39)</f>
        <v>1053.3900000000001</v>
      </c>
      <c r="H12180" s="3">
        <f>VALUE(1027.69)</f>
        <v>1027.69</v>
      </c>
      <c r="I12180" s="1">
        <f>VALUE(4419)</f>
        <v>4419</v>
      </c>
      <c r="J12180" s="1">
        <f>VALUE(5102)</f>
        <v>5102</v>
      </c>
      <c r="K12180" s="1">
        <f>VALUE(6126)</f>
        <v>6126</v>
      </c>
      <c r="L12180" s="1">
        <f>VALUE(6881)</f>
        <v>6881</v>
      </c>
      <c r="M12180" s="1">
        <f>VALUE(7916)</f>
        <v>7916</v>
      </c>
      <c r="N12180" t="s">
        <v>25</v>
      </c>
    </row>
    <row r="12181" spans="1:14" x14ac:dyDescent="0.25">
      <c r="A12181" t="s">
        <v>44</v>
      </c>
      <c r="B12181" t="s">
        <v>39</v>
      </c>
      <c r="C12181" t="s">
        <v>38</v>
      </c>
      <c r="D12181" t="s">
        <v>32</v>
      </c>
      <c r="E12181" t="s">
        <v>15</v>
      </c>
      <c r="F12181" t="s">
        <v>20</v>
      </c>
      <c r="G12181" s="1">
        <f>VALUE(5915.44)</f>
        <v>5915.44</v>
      </c>
      <c r="H12181" s="1">
        <f>VALUE(5557.89)</f>
        <v>5557.89</v>
      </c>
      <c r="I12181" s="1">
        <f>VALUE(3726)</f>
        <v>3726</v>
      </c>
      <c r="J12181" s="1">
        <f>VALUE(4301)</f>
        <v>4301</v>
      </c>
      <c r="K12181" s="1">
        <f>VALUE(5164)</f>
        <v>5164</v>
      </c>
      <c r="L12181" s="1">
        <f>VALUE(5926)</f>
        <v>5926</v>
      </c>
      <c r="M12181" s="1">
        <f>VALUE(6824)</f>
        <v>6824</v>
      </c>
      <c r="N12181" t="s">
        <v>16</v>
      </c>
    </row>
    <row r="12182" spans="1:14" x14ac:dyDescent="0.25">
      <c r="A12182" t="s">
        <v>44</v>
      </c>
      <c r="B12182" t="s">
        <v>39</v>
      </c>
      <c r="C12182" t="s">
        <v>38</v>
      </c>
      <c r="D12182" t="s">
        <v>32</v>
      </c>
      <c r="E12182" t="s">
        <v>21</v>
      </c>
      <c r="F12182" t="s">
        <v>15</v>
      </c>
      <c r="G12182" s="2">
        <f>VALUE(1159.18)</f>
        <v>1159.18</v>
      </c>
      <c r="H12182" s="3">
        <f>VALUE(1016.3)</f>
        <v>1016.3</v>
      </c>
      <c r="I12182" s="1">
        <f>VALUE(4669)</f>
        <v>4669</v>
      </c>
      <c r="J12182" s="1">
        <f>VALUE(5942)</f>
        <v>5942</v>
      </c>
      <c r="K12182" s="1">
        <f>VALUE(7423)</f>
        <v>7423</v>
      </c>
      <c r="L12182" s="7">
        <f>VALUE(10962)</f>
        <v>10962</v>
      </c>
      <c r="M12182" s="8">
        <f>VALUE(17550)</f>
        <v>17550</v>
      </c>
      <c r="N12182" t="s">
        <v>25</v>
      </c>
    </row>
    <row r="12183" spans="1:14" x14ac:dyDescent="0.25">
      <c r="A12183" t="s">
        <v>44</v>
      </c>
      <c r="B12183" t="s">
        <v>39</v>
      </c>
      <c r="C12183" t="s">
        <v>38</v>
      </c>
      <c r="D12183" t="s">
        <v>32</v>
      </c>
      <c r="E12183" t="s">
        <v>21</v>
      </c>
      <c r="F12183" t="s">
        <v>17</v>
      </c>
      <c r="G12183" s="2">
        <f>VALUE(391.77)</f>
        <v>391.77</v>
      </c>
      <c r="H12183" s="3">
        <f>VALUE(346.2)</f>
        <v>346.2</v>
      </c>
      <c r="I12183" s="4">
        <f>VALUE(6498)</f>
        <v>6498</v>
      </c>
      <c r="J12183" s="5">
        <f>VALUE(8894)</f>
        <v>8894</v>
      </c>
      <c r="K12183" s="6">
        <f>VALUE(12889)</f>
        <v>12889</v>
      </c>
      <c r="L12183" s="7">
        <f>VALUE(18017)</f>
        <v>18017</v>
      </c>
      <c r="M12183" s="8">
        <f>VALUE(23611)</f>
        <v>23611</v>
      </c>
      <c r="N12183" t="s">
        <v>24</v>
      </c>
    </row>
    <row r="12184" spans="1:14" x14ac:dyDescent="0.25">
      <c r="A12184" t="s">
        <v>44</v>
      </c>
      <c r="B12184" t="s">
        <v>39</v>
      </c>
      <c r="C12184" t="s">
        <v>38</v>
      </c>
      <c r="D12184" t="s">
        <v>32</v>
      </c>
      <c r="E12184" t="s">
        <v>21</v>
      </c>
      <c r="F12184" t="s">
        <v>18</v>
      </c>
      <c r="G12184" s="1" t="str">
        <f t="shared" ref="G12184:M12185" si="2725">"X"</f>
        <v>X</v>
      </c>
      <c r="H12184" s="1" t="str">
        <f t="shared" si="2725"/>
        <v>X</v>
      </c>
      <c r="I12184" s="1" t="str">
        <f t="shared" si="2725"/>
        <v>X</v>
      </c>
      <c r="J12184" s="1" t="str">
        <f t="shared" si="2725"/>
        <v>X</v>
      </c>
      <c r="K12184" s="1" t="str">
        <f t="shared" si="2725"/>
        <v>X</v>
      </c>
      <c r="L12184" s="1" t="str">
        <f t="shared" si="2725"/>
        <v>X</v>
      </c>
      <c r="M12184" s="1" t="str">
        <f t="shared" si="2725"/>
        <v>X</v>
      </c>
      <c r="N12184" t="s">
        <v>27</v>
      </c>
    </row>
    <row r="12185" spans="1:14" x14ac:dyDescent="0.25">
      <c r="A12185" t="s">
        <v>44</v>
      </c>
      <c r="B12185" t="s">
        <v>39</v>
      </c>
      <c r="C12185" t="s">
        <v>38</v>
      </c>
      <c r="D12185" t="s">
        <v>32</v>
      </c>
      <c r="E12185" t="s">
        <v>21</v>
      </c>
      <c r="F12185" t="s">
        <v>19</v>
      </c>
      <c r="G12185" s="1" t="str">
        <f t="shared" si="2725"/>
        <v>X</v>
      </c>
      <c r="H12185" s="1" t="str">
        <f t="shared" si="2725"/>
        <v>X</v>
      </c>
      <c r="I12185" s="1" t="str">
        <f t="shared" si="2725"/>
        <v>X</v>
      </c>
      <c r="J12185" s="1" t="str">
        <f t="shared" si="2725"/>
        <v>X</v>
      </c>
      <c r="K12185" s="1" t="str">
        <f t="shared" si="2725"/>
        <v>X</v>
      </c>
      <c r="L12185" s="1" t="str">
        <f t="shared" si="2725"/>
        <v>X</v>
      </c>
      <c r="M12185" s="1" t="str">
        <f t="shared" si="2725"/>
        <v>X</v>
      </c>
      <c r="N12185" t="s">
        <v>27</v>
      </c>
    </row>
    <row r="12186" spans="1:14" x14ac:dyDescent="0.25">
      <c r="A12186" t="s">
        <v>44</v>
      </c>
      <c r="B12186" t="s">
        <v>39</v>
      </c>
      <c r="C12186" t="s">
        <v>38</v>
      </c>
      <c r="D12186" t="s">
        <v>32</v>
      </c>
      <c r="E12186" t="s">
        <v>21</v>
      </c>
      <c r="F12186" t="s">
        <v>20</v>
      </c>
      <c r="G12186" s="2">
        <f>VALUE(478.81)</f>
        <v>478.81</v>
      </c>
      <c r="H12186" s="3">
        <f>VALUE(400.29)</f>
        <v>400.29</v>
      </c>
      <c r="I12186" s="1">
        <f>VALUE(4238)</f>
        <v>4238</v>
      </c>
      <c r="J12186" s="5">
        <f>VALUE(5337)</f>
        <v>5337</v>
      </c>
      <c r="K12186" s="1">
        <f>VALUE(6665)</f>
        <v>6665</v>
      </c>
      <c r="L12186" s="1">
        <f>VALUE(7711)</f>
        <v>7711</v>
      </c>
      <c r="M12186" s="1">
        <f>VALUE(8286)</f>
        <v>8286</v>
      </c>
      <c r="N12186" t="s">
        <v>25</v>
      </c>
    </row>
    <row r="12187" spans="1:14" x14ac:dyDescent="0.25">
      <c r="A12187" t="s">
        <v>44</v>
      </c>
      <c r="B12187" t="s">
        <v>39</v>
      </c>
      <c r="C12187" t="s">
        <v>38</v>
      </c>
      <c r="D12187" t="s">
        <v>32</v>
      </c>
      <c r="E12187" t="s">
        <v>22</v>
      </c>
      <c r="F12187" t="s">
        <v>15</v>
      </c>
      <c r="G12187" s="2">
        <f>VALUE(2528.8)</f>
        <v>2528.8000000000002</v>
      </c>
      <c r="H12187" s="3">
        <f>VALUE(2367.17)</f>
        <v>2367.17</v>
      </c>
      <c r="I12187" s="1">
        <f>VALUE(4081)</f>
        <v>4081</v>
      </c>
      <c r="J12187" s="1">
        <f>VALUE(4744)</f>
        <v>4744</v>
      </c>
      <c r="K12187" s="1">
        <f>VALUE(5650)</f>
        <v>5650</v>
      </c>
      <c r="L12187" s="1">
        <f>VALUE(6785)</f>
        <v>6785</v>
      </c>
      <c r="M12187" s="1">
        <f>VALUE(7916)</f>
        <v>7916</v>
      </c>
      <c r="N12187" t="s">
        <v>25</v>
      </c>
    </row>
    <row r="12188" spans="1:14" x14ac:dyDescent="0.25">
      <c r="A12188" t="s">
        <v>44</v>
      </c>
      <c r="B12188" t="s">
        <v>39</v>
      </c>
      <c r="C12188" t="s">
        <v>38</v>
      </c>
      <c r="D12188" t="s">
        <v>32</v>
      </c>
      <c r="E12188" t="s">
        <v>22</v>
      </c>
      <c r="F12188" t="s">
        <v>17</v>
      </c>
      <c r="G12188" s="2">
        <f>VALUE(321.35)</f>
        <v>321.35000000000002</v>
      </c>
      <c r="H12188" s="3">
        <f>VALUE(274.68)</f>
        <v>274.68</v>
      </c>
      <c r="I12188" s="4">
        <f>VALUE(5429)</f>
        <v>5429</v>
      </c>
      <c r="J12188" s="5">
        <f>VALUE(6379)</f>
        <v>6379</v>
      </c>
      <c r="K12188" s="6">
        <f>VALUE(7397)</f>
        <v>7397</v>
      </c>
      <c r="L12188" s="7">
        <f>VALUE(10460)</f>
        <v>10460</v>
      </c>
      <c r="M12188" s="8">
        <f>VALUE(14272)</f>
        <v>14272</v>
      </c>
      <c r="N12188" t="s">
        <v>24</v>
      </c>
    </row>
    <row r="12189" spans="1:14" x14ac:dyDescent="0.25">
      <c r="A12189" t="s">
        <v>44</v>
      </c>
      <c r="B12189" t="s">
        <v>39</v>
      </c>
      <c r="C12189" t="s">
        <v>38</v>
      </c>
      <c r="D12189" t="s">
        <v>32</v>
      </c>
      <c r="E12189" t="s">
        <v>22</v>
      </c>
      <c r="F12189" t="s">
        <v>18</v>
      </c>
      <c r="G12189" s="2">
        <f>VALUE(199.24)</f>
        <v>199.24</v>
      </c>
      <c r="H12189" s="3">
        <f>VALUE(186.11)</f>
        <v>186.11</v>
      </c>
      <c r="I12189" s="1">
        <f>VALUE(4256)</f>
        <v>4256</v>
      </c>
      <c r="J12189" s="1">
        <f>VALUE(4860)</f>
        <v>4860</v>
      </c>
      <c r="K12189" s="1">
        <f>VALUE(6022)</f>
        <v>6022</v>
      </c>
      <c r="L12189" s="1">
        <f>VALUE(7777)</f>
        <v>7777</v>
      </c>
      <c r="M12189" s="1">
        <f>VALUE(8795)</f>
        <v>8795</v>
      </c>
      <c r="N12189" t="s">
        <v>25</v>
      </c>
    </row>
    <row r="12190" spans="1:14" x14ac:dyDescent="0.25">
      <c r="A12190" t="s">
        <v>44</v>
      </c>
      <c r="B12190" t="s">
        <v>39</v>
      </c>
      <c r="C12190" t="s">
        <v>38</v>
      </c>
      <c r="D12190" t="s">
        <v>32</v>
      </c>
      <c r="E12190" t="s">
        <v>22</v>
      </c>
      <c r="F12190" t="s">
        <v>19</v>
      </c>
      <c r="G12190" s="2">
        <f>VALUE(559.06)</f>
        <v>559.05999999999995</v>
      </c>
      <c r="H12190" s="3">
        <f>VALUE(550.62)</f>
        <v>550.62</v>
      </c>
      <c r="I12190" s="4">
        <f>VALUE(4291)</f>
        <v>4291</v>
      </c>
      <c r="J12190" s="1">
        <f>VALUE(5384)</f>
        <v>5384</v>
      </c>
      <c r="K12190" s="6">
        <f>VALUE(6297)</f>
        <v>6297</v>
      </c>
      <c r="L12190" s="7">
        <f>VALUE(7003)</f>
        <v>7003</v>
      </c>
      <c r="M12190" s="1">
        <f>VALUE(7916)</f>
        <v>7916</v>
      </c>
      <c r="N12190" t="s">
        <v>25</v>
      </c>
    </row>
    <row r="12191" spans="1:14" x14ac:dyDescent="0.25">
      <c r="A12191" t="s">
        <v>44</v>
      </c>
      <c r="B12191" t="s">
        <v>39</v>
      </c>
      <c r="C12191" t="s">
        <v>38</v>
      </c>
      <c r="D12191" t="s">
        <v>32</v>
      </c>
      <c r="E12191" t="s">
        <v>22</v>
      </c>
      <c r="F12191" t="s">
        <v>20</v>
      </c>
      <c r="G12191" s="2">
        <f>VALUE(1449.15)</f>
        <v>1449.15</v>
      </c>
      <c r="H12191" s="3">
        <f>VALUE(1355.76)</f>
        <v>1355.76</v>
      </c>
      <c r="I12191" s="1">
        <f>VALUE(3868)</f>
        <v>3868</v>
      </c>
      <c r="J12191" s="1">
        <f>VALUE(4476)</f>
        <v>4476</v>
      </c>
      <c r="K12191" s="1">
        <f>VALUE(5350)</f>
        <v>5350</v>
      </c>
      <c r="L12191" s="1">
        <f>VALUE(6074)</f>
        <v>6074</v>
      </c>
      <c r="M12191" s="1">
        <f>VALUE(7078)</f>
        <v>7078</v>
      </c>
      <c r="N12191" t="s">
        <v>25</v>
      </c>
    </row>
    <row r="12192" spans="1:14" x14ac:dyDescent="0.25">
      <c r="A12192" t="s">
        <v>44</v>
      </c>
      <c r="B12192" t="s">
        <v>39</v>
      </c>
      <c r="C12192" t="s">
        <v>38</v>
      </c>
      <c r="D12192" t="s">
        <v>32</v>
      </c>
      <c r="E12192" t="s">
        <v>23</v>
      </c>
      <c r="F12192" t="s">
        <v>15</v>
      </c>
      <c r="G12192" s="1">
        <f>VALUE(4481.03)</f>
        <v>4481.03</v>
      </c>
      <c r="H12192" s="1">
        <f>VALUE(4293.81)</f>
        <v>4293.8100000000004</v>
      </c>
      <c r="I12192" s="1">
        <f>VALUE(3700)</f>
        <v>3700</v>
      </c>
      <c r="J12192" s="1">
        <f>VALUE(4218)</f>
        <v>4218</v>
      </c>
      <c r="K12192" s="1">
        <f>VALUE(5057)</f>
        <v>5057</v>
      </c>
      <c r="L12192" s="1">
        <f>VALUE(5825)</f>
        <v>5825</v>
      </c>
      <c r="M12192" s="1">
        <f>VALUE(6470)</f>
        <v>6470</v>
      </c>
      <c r="N12192" t="s">
        <v>16</v>
      </c>
    </row>
    <row r="12193" spans="1:14" x14ac:dyDescent="0.25">
      <c r="A12193" t="s">
        <v>44</v>
      </c>
      <c r="B12193" t="s">
        <v>39</v>
      </c>
      <c r="C12193" t="s">
        <v>38</v>
      </c>
      <c r="D12193" t="s">
        <v>32</v>
      </c>
      <c r="E12193" t="s">
        <v>23</v>
      </c>
      <c r="F12193" t="s">
        <v>17</v>
      </c>
      <c r="G12193" s="1" t="str">
        <f t="shared" ref="G12193:M12194" si="2726">"X"</f>
        <v>X</v>
      </c>
      <c r="H12193" s="1" t="str">
        <f t="shared" si="2726"/>
        <v>X</v>
      </c>
      <c r="I12193" s="1" t="str">
        <f t="shared" si="2726"/>
        <v>X</v>
      </c>
      <c r="J12193" s="1" t="str">
        <f t="shared" si="2726"/>
        <v>X</v>
      </c>
      <c r="K12193" s="1" t="str">
        <f t="shared" si="2726"/>
        <v>X</v>
      </c>
      <c r="L12193" s="1" t="str">
        <f t="shared" si="2726"/>
        <v>X</v>
      </c>
      <c r="M12193" s="1" t="str">
        <f t="shared" si="2726"/>
        <v>X</v>
      </c>
      <c r="N12193" t="s">
        <v>27</v>
      </c>
    </row>
    <row r="12194" spans="1:14" x14ac:dyDescent="0.25">
      <c r="A12194" t="s">
        <v>44</v>
      </c>
      <c r="B12194" t="s">
        <v>39</v>
      </c>
      <c r="C12194" t="s">
        <v>38</v>
      </c>
      <c r="D12194" t="s">
        <v>32</v>
      </c>
      <c r="E12194" t="s">
        <v>23</v>
      </c>
      <c r="F12194" t="s">
        <v>18</v>
      </c>
      <c r="G12194" s="1" t="str">
        <f t="shared" si="2726"/>
        <v>X</v>
      </c>
      <c r="H12194" s="1" t="str">
        <f t="shared" si="2726"/>
        <v>X</v>
      </c>
      <c r="I12194" s="1" t="str">
        <f t="shared" si="2726"/>
        <v>X</v>
      </c>
      <c r="J12194" s="1" t="str">
        <f t="shared" si="2726"/>
        <v>X</v>
      </c>
      <c r="K12194" s="1" t="str">
        <f t="shared" si="2726"/>
        <v>X</v>
      </c>
      <c r="L12194" s="1" t="str">
        <f t="shared" si="2726"/>
        <v>X</v>
      </c>
      <c r="M12194" s="1" t="str">
        <f t="shared" si="2726"/>
        <v>X</v>
      </c>
      <c r="N12194" t="s">
        <v>27</v>
      </c>
    </row>
    <row r="12195" spans="1:14" x14ac:dyDescent="0.25">
      <c r="A12195" t="s">
        <v>44</v>
      </c>
      <c r="B12195" t="s">
        <v>39</v>
      </c>
      <c r="C12195" t="s">
        <v>38</v>
      </c>
      <c r="D12195" t="s">
        <v>32</v>
      </c>
      <c r="E12195" t="s">
        <v>23</v>
      </c>
      <c r="F12195" t="s">
        <v>19</v>
      </c>
      <c r="G12195" s="2">
        <f>VALUE(358.36)</f>
        <v>358.36</v>
      </c>
      <c r="H12195" s="3">
        <f>VALUE(350.8)</f>
        <v>350.8</v>
      </c>
      <c r="I12195" s="1">
        <f>VALUE(4540)</f>
        <v>4540</v>
      </c>
      <c r="J12195" s="1">
        <f>VALUE(4887)</f>
        <v>4887</v>
      </c>
      <c r="K12195" s="6">
        <f>VALUE(5673)</f>
        <v>5673</v>
      </c>
      <c r="L12195" s="1">
        <f>VALUE(6584)</f>
        <v>6584</v>
      </c>
      <c r="M12195" s="1">
        <f>VALUE(7404)</f>
        <v>7404</v>
      </c>
      <c r="N12195" t="s">
        <v>25</v>
      </c>
    </row>
    <row r="12196" spans="1:14" x14ac:dyDescent="0.25">
      <c r="A12196" t="s">
        <v>44</v>
      </c>
      <c r="B12196" t="s">
        <v>39</v>
      </c>
      <c r="C12196" t="s">
        <v>38</v>
      </c>
      <c r="D12196" t="s">
        <v>32</v>
      </c>
      <c r="E12196" t="s">
        <v>23</v>
      </c>
      <c r="F12196" t="s">
        <v>20</v>
      </c>
      <c r="G12196" s="2">
        <f>VALUE(3863.24)</f>
        <v>3863.24</v>
      </c>
      <c r="H12196" s="3">
        <f>VALUE(3676.81)</f>
        <v>3676.81</v>
      </c>
      <c r="I12196" s="1">
        <f>VALUE(3610)</f>
        <v>3610</v>
      </c>
      <c r="J12196" s="1">
        <f>VALUE(4150)</f>
        <v>4150</v>
      </c>
      <c r="K12196" s="1">
        <f>VALUE(5028)</f>
        <v>5028</v>
      </c>
      <c r="L12196" s="1">
        <f>VALUE(5700)</f>
        <v>5700</v>
      </c>
      <c r="M12196" s="1">
        <f>VALUE(6255)</f>
        <v>6255</v>
      </c>
      <c r="N12196" t="s">
        <v>25</v>
      </c>
    </row>
    <row r="12197" spans="1:14" x14ac:dyDescent="0.25">
      <c r="A12197" t="s">
        <v>44</v>
      </c>
      <c r="B12197" t="s">
        <v>39</v>
      </c>
      <c r="C12197" t="s">
        <v>38</v>
      </c>
      <c r="D12197" t="s">
        <v>32</v>
      </c>
      <c r="E12197" t="s">
        <v>26</v>
      </c>
      <c r="F12197" t="s">
        <v>15</v>
      </c>
      <c r="G12197" s="2">
        <f>VALUE(207.84)</f>
        <v>207.84</v>
      </c>
      <c r="H12197" s="3">
        <f>VALUE(196.67)</f>
        <v>196.67</v>
      </c>
      <c r="I12197" s="4">
        <f>VALUE(5229)</f>
        <v>5229</v>
      </c>
      <c r="J12197" s="1">
        <f>VALUE(5634)</f>
        <v>5634</v>
      </c>
      <c r="K12197" s="6">
        <f>VALUE(7135)</f>
        <v>7135</v>
      </c>
      <c r="L12197" s="7">
        <f>VALUE(11942)</f>
        <v>11942</v>
      </c>
      <c r="M12197" s="1">
        <f>VALUE(15467)</f>
        <v>15467</v>
      </c>
      <c r="N12197" t="s">
        <v>25</v>
      </c>
    </row>
    <row r="12198" spans="1:14" x14ac:dyDescent="0.25">
      <c r="A12198" t="s">
        <v>44</v>
      </c>
      <c r="B12198" t="s">
        <v>39</v>
      </c>
      <c r="C12198" t="s">
        <v>38</v>
      </c>
      <c r="D12198" t="s">
        <v>32</v>
      </c>
      <c r="E12198" t="s">
        <v>26</v>
      </c>
      <c r="F12198" t="s">
        <v>17</v>
      </c>
      <c r="G12198" s="1" t="str">
        <f t="shared" ref="G12198:M12199" si="2727">"X"</f>
        <v>X</v>
      </c>
      <c r="H12198" s="1" t="str">
        <f t="shared" si="2727"/>
        <v>X</v>
      </c>
      <c r="I12198" s="1" t="str">
        <f t="shared" si="2727"/>
        <v>X</v>
      </c>
      <c r="J12198" s="1" t="str">
        <f t="shared" si="2727"/>
        <v>X</v>
      </c>
      <c r="K12198" s="1" t="str">
        <f t="shared" si="2727"/>
        <v>X</v>
      </c>
      <c r="L12198" s="1" t="str">
        <f t="shared" si="2727"/>
        <v>X</v>
      </c>
      <c r="M12198" s="1" t="str">
        <f t="shared" si="2727"/>
        <v>X</v>
      </c>
      <c r="N12198" t="s">
        <v>27</v>
      </c>
    </row>
    <row r="12199" spans="1:14" x14ac:dyDescent="0.25">
      <c r="A12199" t="s">
        <v>44</v>
      </c>
      <c r="B12199" t="s">
        <v>39</v>
      </c>
      <c r="C12199" t="s">
        <v>38</v>
      </c>
      <c r="D12199" t="s">
        <v>32</v>
      </c>
      <c r="E12199" t="s">
        <v>26</v>
      </c>
      <c r="F12199" t="s">
        <v>18</v>
      </c>
      <c r="G12199" s="1" t="str">
        <f t="shared" si="2727"/>
        <v>X</v>
      </c>
      <c r="H12199" s="1" t="str">
        <f t="shared" si="2727"/>
        <v>X</v>
      </c>
      <c r="I12199" s="1" t="str">
        <f t="shared" si="2727"/>
        <v>X</v>
      </c>
      <c r="J12199" s="1" t="str">
        <f t="shared" si="2727"/>
        <v>X</v>
      </c>
      <c r="K12199" s="1" t="str">
        <f t="shared" si="2727"/>
        <v>X</v>
      </c>
      <c r="L12199" s="1" t="str">
        <f t="shared" si="2727"/>
        <v>X</v>
      </c>
      <c r="M12199" s="1" t="str">
        <f t="shared" si="2727"/>
        <v>X</v>
      </c>
      <c r="N12199" t="s">
        <v>27</v>
      </c>
    </row>
    <row r="12200" spans="1:14" x14ac:dyDescent="0.25">
      <c r="A12200" t="s">
        <v>44</v>
      </c>
      <c r="B12200" t="s">
        <v>39</v>
      </c>
      <c r="C12200" t="s">
        <v>38</v>
      </c>
      <c r="D12200" t="s">
        <v>32</v>
      </c>
      <c r="E12200" t="s">
        <v>26</v>
      </c>
      <c r="F12200" t="s">
        <v>19</v>
      </c>
      <c r="G12200" s="1" t="str">
        <f t="shared" ref="G12200:M12200" si="2728">"..."</f>
        <v>...</v>
      </c>
      <c r="H12200" s="1" t="str">
        <f t="shared" si="2728"/>
        <v>...</v>
      </c>
      <c r="I12200" s="1" t="str">
        <f t="shared" si="2728"/>
        <v>...</v>
      </c>
      <c r="J12200" s="1" t="str">
        <f t="shared" si="2728"/>
        <v>...</v>
      </c>
      <c r="K12200" s="1" t="str">
        <f t="shared" si="2728"/>
        <v>...</v>
      </c>
      <c r="L12200" s="1" t="str">
        <f t="shared" si="2728"/>
        <v>...</v>
      </c>
      <c r="M12200" s="1" t="str">
        <f t="shared" si="2728"/>
        <v>...</v>
      </c>
      <c r="N12200" t="s">
        <v>30</v>
      </c>
    </row>
    <row r="12201" spans="1:14" x14ac:dyDescent="0.25">
      <c r="A12201" t="s">
        <v>44</v>
      </c>
      <c r="B12201" t="s">
        <v>39</v>
      </c>
      <c r="C12201" t="s">
        <v>38</v>
      </c>
      <c r="D12201" t="s">
        <v>32</v>
      </c>
      <c r="E12201" t="s">
        <v>26</v>
      </c>
      <c r="F12201" t="s">
        <v>20</v>
      </c>
      <c r="G12201" s="1" t="str">
        <f t="shared" ref="G12201:M12204" si="2729">"X"</f>
        <v>X</v>
      </c>
      <c r="H12201" s="1" t="str">
        <f t="shared" si="2729"/>
        <v>X</v>
      </c>
      <c r="I12201" s="1" t="str">
        <f t="shared" si="2729"/>
        <v>X</v>
      </c>
      <c r="J12201" s="1" t="str">
        <f t="shared" si="2729"/>
        <v>X</v>
      </c>
      <c r="K12201" s="1" t="str">
        <f t="shared" si="2729"/>
        <v>X</v>
      </c>
      <c r="L12201" s="1" t="str">
        <f t="shared" si="2729"/>
        <v>X</v>
      </c>
      <c r="M12201" s="1" t="str">
        <f t="shared" si="2729"/>
        <v>X</v>
      </c>
      <c r="N12201" t="s">
        <v>27</v>
      </c>
    </row>
    <row r="12202" spans="1:14" x14ac:dyDescent="0.25">
      <c r="A12202" t="s">
        <v>44</v>
      </c>
      <c r="B12202" t="s">
        <v>39</v>
      </c>
      <c r="C12202" t="s">
        <v>38</v>
      </c>
      <c r="D12202" t="s">
        <v>33</v>
      </c>
      <c r="E12202" t="s">
        <v>15</v>
      </c>
      <c r="F12202" t="s">
        <v>15</v>
      </c>
      <c r="G12202" s="1" t="str">
        <f t="shared" si="2729"/>
        <v>X</v>
      </c>
      <c r="H12202" s="1" t="str">
        <f t="shared" si="2729"/>
        <v>X</v>
      </c>
      <c r="I12202" s="1" t="str">
        <f t="shared" si="2729"/>
        <v>X</v>
      </c>
      <c r="J12202" s="1" t="str">
        <f t="shared" si="2729"/>
        <v>X</v>
      </c>
      <c r="K12202" s="1" t="str">
        <f t="shared" si="2729"/>
        <v>X</v>
      </c>
      <c r="L12202" s="1" t="str">
        <f t="shared" si="2729"/>
        <v>X</v>
      </c>
      <c r="M12202" s="1" t="str">
        <f t="shared" si="2729"/>
        <v>X</v>
      </c>
      <c r="N12202" t="s">
        <v>27</v>
      </c>
    </row>
    <row r="12203" spans="1:14" x14ac:dyDescent="0.25">
      <c r="A12203" t="s">
        <v>44</v>
      </c>
      <c r="B12203" t="s">
        <v>39</v>
      </c>
      <c r="C12203" t="s">
        <v>38</v>
      </c>
      <c r="D12203" t="s">
        <v>33</v>
      </c>
      <c r="E12203" t="s">
        <v>15</v>
      </c>
      <c r="F12203" t="s">
        <v>17</v>
      </c>
      <c r="G12203" s="1" t="str">
        <f t="shared" si="2729"/>
        <v>X</v>
      </c>
      <c r="H12203" s="1" t="str">
        <f t="shared" si="2729"/>
        <v>X</v>
      </c>
      <c r="I12203" s="1" t="str">
        <f t="shared" si="2729"/>
        <v>X</v>
      </c>
      <c r="J12203" s="1" t="str">
        <f t="shared" si="2729"/>
        <v>X</v>
      </c>
      <c r="K12203" s="1" t="str">
        <f t="shared" si="2729"/>
        <v>X</v>
      </c>
      <c r="L12203" s="1" t="str">
        <f t="shared" si="2729"/>
        <v>X</v>
      </c>
      <c r="M12203" s="1" t="str">
        <f t="shared" si="2729"/>
        <v>X</v>
      </c>
      <c r="N12203" t="s">
        <v>27</v>
      </c>
    </row>
    <row r="12204" spans="1:14" x14ac:dyDescent="0.25">
      <c r="A12204" t="s">
        <v>44</v>
      </c>
      <c r="B12204" t="s">
        <v>39</v>
      </c>
      <c r="C12204" t="s">
        <v>38</v>
      </c>
      <c r="D12204" t="s">
        <v>33</v>
      </c>
      <c r="E12204" t="s">
        <v>15</v>
      </c>
      <c r="F12204" t="s">
        <v>18</v>
      </c>
      <c r="G12204" s="1" t="str">
        <f t="shared" si="2729"/>
        <v>X</v>
      </c>
      <c r="H12204" s="1" t="str">
        <f t="shared" si="2729"/>
        <v>X</v>
      </c>
      <c r="I12204" s="1" t="str">
        <f t="shared" si="2729"/>
        <v>X</v>
      </c>
      <c r="J12204" s="1" t="str">
        <f t="shared" si="2729"/>
        <v>X</v>
      </c>
      <c r="K12204" s="1" t="str">
        <f t="shared" si="2729"/>
        <v>X</v>
      </c>
      <c r="L12204" s="1" t="str">
        <f t="shared" si="2729"/>
        <v>X</v>
      </c>
      <c r="M12204" s="1" t="str">
        <f t="shared" si="2729"/>
        <v>X</v>
      </c>
      <c r="N12204" t="s">
        <v>27</v>
      </c>
    </row>
    <row r="12205" spans="1:14" x14ac:dyDescent="0.25">
      <c r="A12205" t="s">
        <v>44</v>
      </c>
      <c r="B12205" t="s">
        <v>39</v>
      </c>
      <c r="C12205" t="s">
        <v>38</v>
      </c>
      <c r="D12205" t="s">
        <v>33</v>
      </c>
      <c r="E12205" t="s">
        <v>15</v>
      </c>
      <c r="F12205" t="s">
        <v>19</v>
      </c>
      <c r="G12205" s="1" t="str">
        <f t="shared" ref="G12205:M12205" si="2730">"..."</f>
        <v>...</v>
      </c>
      <c r="H12205" s="1" t="str">
        <f t="shared" si="2730"/>
        <v>...</v>
      </c>
      <c r="I12205" s="1" t="str">
        <f t="shared" si="2730"/>
        <v>...</v>
      </c>
      <c r="J12205" s="1" t="str">
        <f t="shared" si="2730"/>
        <v>...</v>
      </c>
      <c r="K12205" s="1" t="str">
        <f t="shared" si="2730"/>
        <v>...</v>
      </c>
      <c r="L12205" s="1" t="str">
        <f t="shared" si="2730"/>
        <v>...</v>
      </c>
      <c r="M12205" s="1" t="str">
        <f t="shared" si="2730"/>
        <v>...</v>
      </c>
      <c r="N12205" t="s">
        <v>30</v>
      </c>
    </row>
    <row r="12206" spans="1:14" x14ac:dyDescent="0.25">
      <c r="A12206" t="s">
        <v>44</v>
      </c>
      <c r="B12206" t="s">
        <v>39</v>
      </c>
      <c r="C12206" t="s">
        <v>38</v>
      </c>
      <c r="D12206" t="s">
        <v>33</v>
      </c>
      <c r="E12206" t="s">
        <v>15</v>
      </c>
      <c r="F12206" t="s">
        <v>20</v>
      </c>
      <c r="G12206" s="1" t="str">
        <f t="shared" ref="G12206:M12209" si="2731">"X"</f>
        <v>X</v>
      </c>
      <c r="H12206" s="1" t="str">
        <f t="shared" si="2731"/>
        <v>X</v>
      </c>
      <c r="I12206" s="1" t="str">
        <f t="shared" si="2731"/>
        <v>X</v>
      </c>
      <c r="J12206" s="1" t="str">
        <f t="shared" si="2731"/>
        <v>X</v>
      </c>
      <c r="K12206" s="1" t="str">
        <f t="shared" si="2731"/>
        <v>X</v>
      </c>
      <c r="L12206" s="1" t="str">
        <f t="shared" si="2731"/>
        <v>X</v>
      </c>
      <c r="M12206" s="1" t="str">
        <f t="shared" si="2731"/>
        <v>X</v>
      </c>
      <c r="N12206" t="s">
        <v>27</v>
      </c>
    </row>
    <row r="12207" spans="1:14" x14ac:dyDescent="0.25">
      <c r="A12207" t="s">
        <v>44</v>
      </c>
      <c r="B12207" t="s">
        <v>39</v>
      </c>
      <c r="C12207" t="s">
        <v>38</v>
      </c>
      <c r="D12207" t="s">
        <v>33</v>
      </c>
      <c r="E12207" t="s">
        <v>21</v>
      </c>
      <c r="F12207" t="s">
        <v>15</v>
      </c>
      <c r="G12207" s="1" t="str">
        <f t="shared" si="2731"/>
        <v>X</v>
      </c>
      <c r="H12207" s="1" t="str">
        <f t="shared" si="2731"/>
        <v>X</v>
      </c>
      <c r="I12207" s="1" t="str">
        <f t="shared" si="2731"/>
        <v>X</v>
      </c>
      <c r="J12207" s="1" t="str">
        <f t="shared" si="2731"/>
        <v>X</v>
      </c>
      <c r="K12207" s="1" t="str">
        <f t="shared" si="2731"/>
        <v>X</v>
      </c>
      <c r="L12207" s="1" t="str">
        <f t="shared" si="2731"/>
        <v>X</v>
      </c>
      <c r="M12207" s="1" t="str">
        <f t="shared" si="2731"/>
        <v>X</v>
      </c>
      <c r="N12207" t="s">
        <v>27</v>
      </c>
    </row>
    <row r="12208" spans="1:14" x14ac:dyDescent="0.25">
      <c r="A12208" t="s">
        <v>44</v>
      </c>
      <c r="B12208" t="s">
        <v>39</v>
      </c>
      <c r="C12208" t="s">
        <v>38</v>
      </c>
      <c r="D12208" t="s">
        <v>33</v>
      </c>
      <c r="E12208" t="s">
        <v>21</v>
      </c>
      <c r="F12208" t="s">
        <v>17</v>
      </c>
      <c r="G12208" s="1" t="str">
        <f t="shared" si="2731"/>
        <v>X</v>
      </c>
      <c r="H12208" s="1" t="str">
        <f t="shared" si="2731"/>
        <v>X</v>
      </c>
      <c r="I12208" s="1" t="str">
        <f t="shared" si="2731"/>
        <v>X</v>
      </c>
      <c r="J12208" s="1" t="str">
        <f t="shared" si="2731"/>
        <v>X</v>
      </c>
      <c r="K12208" s="1" t="str">
        <f t="shared" si="2731"/>
        <v>X</v>
      </c>
      <c r="L12208" s="1" t="str">
        <f t="shared" si="2731"/>
        <v>X</v>
      </c>
      <c r="M12208" s="1" t="str">
        <f t="shared" si="2731"/>
        <v>X</v>
      </c>
      <c r="N12208" t="s">
        <v>27</v>
      </c>
    </row>
    <row r="12209" spans="1:14" x14ac:dyDescent="0.25">
      <c r="A12209" t="s">
        <v>44</v>
      </c>
      <c r="B12209" t="s">
        <v>39</v>
      </c>
      <c r="C12209" t="s">
        <v>38</v>
      </c>
      <c r="D12209" t="s">
        <v>33</v>
      </c>
      <c r="E12209" t="s">
        <v>21</v>
      </c>
      <c r="F12209" t="s">
        <v>18</v>
      </c>
      <c r="G12209" s="1" t="str">
        <f t="shared" si="2731"/>
        <v>X</v>
      </c>
      <c r="H12209" s="1" t="str">
        <f t="shared" si="2731"/>
        <v>X</v>
      </c>
      <c r="I12209" s="1" t="str">
        <f t="shared" si="2731"/>
        <v>X</v>
      </c>
      <c r="J12209" s="1" t="str">
        <f t="shared" si="2731"/>
        <v>X</v>
      </c>
      <c r="K12209" s="1" t="str">
        <f t="shared" si="2731"/>
        <v>X</v>
      </c>
      <c r="L12209" s="1" t="str">
        <f t="shared" si="2731"/>
        <v>X</v>
      </c>
      <c r="M12209" s="1" t="str">
        <f t="shared" si="2731"/>
        <v>X</v>
      </c>
      <c r="N12209" t="s">
        <v>27</v>
      </c>
    </row>
    <row r="12210" spans="1:14" x14ac:dyDescent="0.25">
      <c r="A12210" t="s">
        <v>44</v>
      </c>
      <c r="B12210" t="s">
        <v>39</v>
      </c>
      <c r="C12210" t="s">
        <v>38</v>
      </c>
      <c r="D12210" t="s">
        <v>33</v>
      </c>
      <c r="E12210" t="s">
        <v>21</v>
      </c>
      <c r="F12210" t="s">
        <v>19</v>
      </c>
      <c r="G12210" s="1" t="str">
        <f t="shared" ref="G12210:M12210" si="2732">"..."</f>
        <v>...</v>
      </c>
      <c r="H12210" s="1" t="str">
        <f t="shared" si="2732"/>
        <v>...</v>
      </c>
      <c r="I12210" s="1" t="str">
        <f t="shared" si="2732"/>
        <v>...</v>
      </c>
      <c r="J12210" s="1" t="str">
        <f t="shared" si="2732"/>
        <v>...</v>
      </c>
      <c r="K12210" s="1" t="str">
        <f t="shared" si="2732"/>
        <v>...</v>
      </c>
      <c r="L12210" s="1" t="str">
        <f t="shared" si="2732"/>
        <v>...</v>
      </c>
      <c r="M12210" s="1" t="str">
        <f t="shared" si="2732"/>
        <v>...</v>
      </c>
      <c r="N12210" t="s">
        <v>30</v>
      </c>
    </row>
    <row r="12211" spans="1:14" x14ac:dyDescent="0.25">
      <c r="A12211" t="s">
        <v>44</v>
      </c>
      <c r="B12211" t="s">
        <v>39</v>
      </c>
      <c r="C12211" t="s">
        <v>38</v>
      </c>
      <c r="D12211" t="s">
        <v>33</v>
      </c>
      <c r="E12211" t="s">
        <v>21</v>
      </c>
      <c r="F12211" t="s">
        <v>20</v>
      </c>
      <c r="G12211" s="1" t="str">
        <f t="shared" ref="G12211:M12214" si="2733">"X"</f>
        <v>X</v>
      </c>
      <c r="H12211" s="1" t="str">
        <f t="shared" si="2733"/>
        <v>X</v>
      </c>
      <c r="I12211" s="1" t="str">
        <f t="shared" si="2733"/>
        <v>X</v>
      </c>
      <c r="J12211" s="1" t="str">
        <f t="shared" si="2733"/>
        <v>X</v>
      </c>
      <c r="K12211" s="1" t="str">
        <f t="shared" si="2733"/>
        <v>X</v>
      </c>
      <c r="L12211" s="1" t="str">
        <f t="shared" si="2733"/>
        <v>X</v>
      </c>
      <c r="M12211" s="1" t="str">
        <f t="shared" si="2733"/>
        <v>X</v>
      </c>
      <c r="N12211" t="s">
        <v>27</v>
      </c>
    </row>
    <row r="12212" spans="1:14" x14ac:dyDescent="0.25">
      <c r="A12212" t="s">
        <v>44</v>
      </c>
      <c r="B12212" t="s">
        <v>39</v>
      </c>
      <c r="C12212" t="s">
        <v>38</v>
      </c>
      <c r="D12212" t="s">
        <v>33</v>
      </c>
      <c r="E12212" t="s">
        <v>22</v>
      </c>
      <c r="F12212" t="s">
        <v>15</v>
      </c>
      <c r="G12212" s="1" t="str">
        <f t="shared" si="2733"/>
        <v>X</v>
      </c>
      <c r="H12212" s="1" t="str">
        <f t="shared" si="2733"/>
        <v>X</v>
      </c>
      <c r="I12212" s="1" t="str">
        <f t="shared" si="2733"/>
        <v>X</v>
      </c>
      <c r="J12212" s="1" t="str">
        <f t="shared" si="2733"/>
        <v>X</v>
      </c>
      <c r="K12212" s="1" t="str">
        <f t="shared" si="2733"/>
        <v>X</v>
      </c>
      <c r="L12212" s="1" t="str">
        <f t="shared" si="2733"/>
        <v>X</v>
      </c>
      <c r="M12212" s="1" t="str">
        <f t="shared" si="2733"/>
        <v>X</v>
      </c>
      <c r="N12212" t="s">
        <v>27</v>
      </c>
    </row>
    <row r="12213" spans="1:14" x14ac:dyDescent="0.25">
      <c r="A12213" t="s">
        <v>44</v>
      </c>
      <c r="B12213" t="s">
        <v>39</v>
      </c>
      <c r="C12213" t="s">
        <v>38</v>
      </c>
      <c r="D12213" t="s">
        <v>33</v>
      </c>
      <c r="E12213" t="s">
        <v>22</v>
      </c>
      <c r="F12213" t="s">
        <v>17</v>
      </c>
      <c r="G12213" s="1" t="str">
        <f t="shared" si="2733"/>
        <v>X</v>
      </c>
      <c r="H12213" s="1" t="str">
        <f t="shared" si="2733"/>
        <v>X</v>
      </c>
      <c r="I12213" s="1" t="str">
        <f t="shared" si="2733"/>
        <v>X</v>
      </c>
      <c r="J12213" s="1" t="str">
        <f t="shared" si="2733"/>
        <v>X</v>
      </c>
      <c r="K12213" s="1" t="str">
        <f t="shared" si="2733"/>
        <v>X</v>
      </c>
      <c r="L12213" s="1" t="str">
        <f t="shared" si="2733"/>
        <v>X</v>
      </c>
      <c r="M12213" s="1" t="str">
        <f t="shared" si="2733"/>
        <v>X</v>
      </c>
      <c r="N12213" t="s">
        <v>27</v>
      </c>
    </row>
    <row r="12214" spans="1:14" x14ac:dyDescent="0.25">
      <c r="A12214" t="s">
        <v>44</v>
      </c>
      <c r="B12214" t="s">
        <v>39</v>
      </c>
      <c r="C12214" t="s">
        <v>38</v>
      </c>
      <c r="D12214" t="s">
        <v>33</v>
      </c>
      <c r="E12214" t="s">
        <v>22</v>
      </c>
      <c r="F12214" t="s">
        <v>18</v>
      </c>
      <c r="G12214" s="1" t="str">
        <f t="shared" si="2733"/>
        <v>X</v>
      </c>
      <c r="H12214" s="1" t="str">
        <f t="shared" si="2733"/>
        <v>X</v>
      </c>
      <c r="I12214" s="1" t="str">
        <f t="shared" si="2733"/>
        <v>X</v>
      </c>
      <c r="J12214" s="1" t="str">
        <f t="shared" si="2733"/>
        <v>X</v>
      </c>
      <c r="K12214" s="1" t="str">
        <f t="shared" si="2733"/>
        <v>X</v>
      </c>
      <c r="L12214" s="1" t="str">
        <f t="shared" si="2733"/>
        <v>X</v>
      </c>
      <c r="M12214" s="1" t="str">
        <f t="shared" si="2733"/>
        <v>X</v>
      </c>
      <c r="N12214" t="s">
        <v>27</v>
      </c>
    </row>
    <row r="12215" spans="1:14" x14ac:dyDescent="0.25">
      <c r="A12215" t="s">
        <v>44</v>
      </c>
      <c r="B12215" t="s">
        <v>39</v>
      </c>
      <c r="C12215" t="s">
        <v>38</v>
      </c>
      <c r="D12215" t="s">
        <v>33</v>
      </c>
      <c r="E12215" t="s">
        <v>22</v>
      </c>
      <c r="F12215" t="s">
        <v>19</v>
      </c>
      <c r="G12215" s="1" t="str">
        <f t="shared" ref="G12215:M12215" si="2734">"..."</f>
        <v>...</v>
      </c>
      <c r="H12215" s="1" t="str">
        <f t="shared" si="2734"/>
        <v>...</v>
      </c>
      <c r="I12215" s="1" t="str">
        <f t="shared" si="2734"/>
        <v>...</v>
      </c>
      <c r="J12215" s="1" t="str">
        <f t="shared" si="2734"/>
        <v>...</v>
      </c>
      <c r="K12215" s="1" t="str">
        <f t="shared" si="2734"/>
        <v>...</v>
      </c>
      <c r="L12215" s="1" t="str">
        <f t="shared" si="2734"/>
        <v>...</v>
      </c>
      <c r="M12215" s="1" t="str">
        <f t="shared" si="2734"/>
        <v>...</v>
      </c>
      <c r="N12215" t="s">
        <v>30</v>
      </c>
    </row>
    <row r="12216" spans="1:14" x14ac:dyDescent="0.25">
      <c r="A12216" t="s">
        <v>44</v>
      </c>
      <c r="B12216" t="s">
        <v>39</v>
      </c>
      <c r="C12216" t="s">
        <v>38</v>
      </c>
      <c r="D12216" t="s">
        <v>33</v>
      </c>
      <c r="E12216" t="s">
        <v>22</v>
      </c>
      <c r="F12216" t="s">
        <v>20</v>
      </c>
      <c r="G12216" s="1" t="str">
        <f t="shared" ref="G12216:M12217" si="2735">"X"</f>
        <v>X</v>
      </c>
      <c r="H12216" s="1" t="str">
        <f t="shared" si="2735"/>
        <v>X</v>
      </c>
      <c r="I12216" s="1" t="str">
        <f t="shared" si="2735"/>
        <v>X</v>
      </c>
      <c r="J12216" s="1" t="str">
        <f t="shared" si="2735"/>
        <v>X</v>
      </c>
      <c r="K12216" s="1" t="str">
        <f t="shared" si="2735"/>
        <v>X</v>
      </c>
      <c r="L12216" s="1" t="str">
        <f t="shared" si="2735"/>
        <v>X</v>
      </c>
      <c r="M12216" s="1" t="str">
        <f t="shared" si="2735"/>
        <v>X</v>
      </c>
      <c r="N12216" t="s">
        <v>27</v>
      </c>
    </row>
    <row r="12217" spans="1:14" x14ac:dyDescent="0.25">
      <c r="A12217" t="s">
        <v>44</v>
      </c>
      <c r="B12217" t="s">
        <v>39</v>
      </c>
      <c r="C12217" t="s">
        <v>38</v>
      </c>
      <c r="D12217" t="s">
        <v>33</v>
      </c>
      <c r="E12217" t="s">
        <v>23</v>
      </c>
      <c r="F12217" t="s">
        <v>15</v>
      </c>
      <c r="G12217" s="1" t="str">
        <f t="shared" si="2735"/>
        <v>X</v>
      </c>
      <c r="H12217" s="1" t="str">
        <f t="shared" si="2735"/>
        <v>X</v>
      </c>
      <c r="I12217" s="1" t="str">
        <f t="shared" si="2735"/>
        <v>X</v>
      </c>
      <c r="J12217" s="1" t="str">
        <f t="shared" si="2735"/>
        <v>X</v>
      </c>
      <c r="K12217" s="1" t="str">
        <f t="shared" si="2735"/>
        <v>X</v>
      </c>
      <c r="L12217" s="1" t="str">
        <f t="shared" si="2735"/>
        <v>X</v>
      </c>
      <c r="M12217" s="1" t="str">
        <f t="shared" si="2735"/>
        <v>X</v>
      </c>
      <c r="N12217" t="s">
        <v>27</v>
      </c>
    </row>
    <row r="12218" spans="1:14" x14ac:dyDescent="0.25">
      <c r="A12218" t="s">
        <v>44</v>
      </c>
      <c r="B12218" t="s">
        <v>39</v>
      </c>
      <c r="C12218" t="s">
        <v>38</v>
      </c>
      <c r="D12218" t="s">
        <v>33</v>
      </c>
      <c r="E12218" t="s">
        <v>23</v>
      </c>
      <c r="F12218" t="s">
        <v>17</v>
      </c>
      <c r="G12218" s="1" t="str">
        <f t="shared" ref="G12218:M12220" si="2736">"..."</f>
        <v>...</v>
      </c>
      <c r="H12218" s="1" t="str">
        <f t="shared" si="2736"/>
        <v>...</v>
      </c>
      <c r="I12218" s="1" t="str">
        <f t="shared" si="2736"/>
        <v>...</v>
      </c>
      <c r="J12218" s="1" t="str">
        <f t="shared" si="2736"/>
        <v>...</v>
      </c>
      <c r="K12218" s="1" t="str">
        <f t="shared" si="2736"/>
        <v>...</v>
      </c>
      <c r="L12218" s="1" t="str">
        <f t="shared" si="2736"/>
        <v>...</v>
      </c>
      <c r="M12218" s="1" t="str">
        <f t="shared" si="2736"/>
        <v>...</v>
      </c>
      <c r="N12218" t="s">
        <v>30</v>
      </c>
    </row>
    <row r="12219" spans="1:14" x14ac:dyDescent="0.25">
      <c r="A12219" t="s">
        <v>44</v>
      </c>
      <c r="B12219" t="s">
        <v>39</v>
      </c>
      <c r="C12219" t="s">
        <v>38</v>
      </c>
      <c r="D12219" t="s">
        <v>33</v>
      </c>
      <c r="E12219" t="s">
        <v>23</v>
      </c>
      <c r="F12219" t="s">
        <v>18</v>
      </c>
      <c r="G12219" s="1" t="str">
        <f t="shared" si="2736"/>
        <v>...</v>
      </c>
      <c r="H12219" s="1" t="str">
        <f t="shared" si="2736"/>
        <v>...</v>
      </c>
      <c r="I12219" s="1" t="str">
        <f t="shared" si="2736"/>
        <v>...</v>
      </c>
      <c r="J12219" s="1" t="str">
        <f t="shared" si="2736"/>
        <v>...</v>
      </c>
      <c r="K12219" s="1" t="str">
        <f t="shared" si="2736"/>
        <v>...</v>
      </c>
      <c r="L12219" s="1" t="str">
        <f t="shared" si="2736"/>
        <v>...</v>
      </c>
      <c r="M12219" s="1" t="str">
        <f t="shared" si="2736"/>
        <v>...</v>
      </c>
      <c r="N12219" t="s">
        <v>30</v>
      </c>
    </row>
    <row r="12220" spans="1:14" x14ac:dyDescent="0.25">
      <c r="A12220" t="s">
        <v>44</v>
      </c>
      <c r="B12220" t="s">
        <v>39</v>
      </c>
      <c r="C12220" t="s">
        <v>38</v>
      </c>
      <c r="D12220" t="s">
        <v>33</v>
      </c>
      <c r="E12220" t="s">
        <v>23</v>
      </c>
      <c r="F12220" t="s">
        <v>19</v>
      </c>
      <c r="G12220" s="1" t="str">
        <f t="shared" si="2736"/>
        <v>...</v>
      </c>
      <c r="H12220" s="1" t="str">
        <f t="shared" si="2736"/>
        <v>...</v>
      </c>
      <c r="I12220" s="1" t="str">
        <f t="shared" si="2736"/>
        <v>...</v>
      </c>
      <c r="J12220" s="1" t="str">
        <f t="shared" si="2736"/>
        <v>...</v>
      </c>
      <c r="K12220" s="1" t="str">
        <f t="shared" si="2736"/>
        <v>...</v>
      </c>
      <c r="L12220" s="1" t="str">
        <f t="shared" si="2736"/>
        <v>...</v>
      </c>
      <c r="M12220" s="1" t="str">
        <f t="shared" si="2736"/>
        <v>...</v>
      </c>
      <c r="N12220" t="s">
        <v>30</v>
      </c>
    </row>
    <row r="12221" spans="1:14" x14ac:dyDescent="0.25">
      <c r="A12221" t="s">
        <v>44</v>
      </c>
      <c r="B12221" t="s">
        <v>39</v>
      </c>
      <c r="C12221" t="s">
        <v>38</v>
      </c>
      <c r="D12221" t="s">
        <v>33</v>
      </c>
      <c r="E12221" t="s">
        <v>23</v>
      </c>
      <c r="F12221" t="s">
        <v>20</v>
      </c>
      <c r="G12221" s="1" t="str">
        <f t="shared" ref="G12221:M12221" si="2737">"X"</f>
        <v>X</v>
      </c>
      <c r="H12221" s="1" t="str">
        <f t="shared" si="2737"/>
        <v>X</v>
      </c>
      <c r="I12221" s="1" t="str">
        <f t="shared" si="2737"/>
        <v>X</v>
      </c>
      <c r="J12221" s="1" t="str">
        <f t="shared" si="2737"/>
        <v>X</v>
      </c>
      <c r="K12221" s="1" t="str">
        <f t="shared" si="2737"/>
        <v>X</v>
      </c>
      <c r="L12221" s="1" t="str">
        <f t="shared" si="2737"/>
        <v>X</v>
      </c>
      <c r="M12221" s="1" t="str">
        <f t="shared" si="2737"/>
        <v>X</v>
      </c>
      <c r="N12221" t="s">
        <v>27</v>
      </c>
    </row>
    <row r="12222" spans="1:14" x14ac:dyDescent="0.25">
      <c r="A12222" t="s">
        <v>44</v>
      </c>
      <c r="B12222" t="s">
        <v>39</v>
      </c>
      <c r="C12222" t="s">
        <v>38</v>
      </c>
      <c r="D12222" t="s">
        <v>33</v>
      </c>
      <c r="E12222" t="s">
        <v>26</v>
      </c>
      <c r="F12222" t="s">
        <v>15</v>
      </c>
      <c r="G12222" s="1" t="str">
        <f t="shared" ref="G12222:M12226" si="2738">"..."</f>
        <v>...</v>
      </c>
      <c r="H12222" s="1" t="str">
        <f t="shared" si="2738"/>
        <v>...</v>
      </c>
      <c r="I12222" s="1" t="str">
        <f t="shared" si="2738"/>
        <v>...</v>
      </c>
      <c r="J12222" s="1" t="str">
        <f t="shared" si="2738"/>
        <v>...</v>
      </c>
      <c r="K12222" s="1" t="str">
        <f t="shared" si="2738"/>
        <v>...</v>
      </c>
      <c r="L12222" s="1" t="str">
        <f t="shared" si="2738"/>
        <v>...</v>
      </c>
      <c r="M12222" s="1" t="str">
        <f t="shared" si="2738"/>
        <v>...</v>
      </c>
      <c r="N12222" t="s">
        <v>30</v>
      </c>
    </row>
    <row r="12223" spans="1:14" x14ac:dyDescent="0.25">
      <c r="A12223" t="s">
        <v>44</v>
      </c>
      <c r="B12223" t="s">
        <v>39</v>
      </c>
      <c r="C12223" t="s">
        <v>38</v>
      </c>
      <c r="D12223" t="s">
        <v>33</v>
      </c>
      <c r="E12223" t="s">
        <v>26</v>
      </c>
      <c r="F12223" t="s">
        <v>17</v>
      </c>
      <c r="G12223" s="1" t="str">
        <f t="shared" si="2738"/>
        <v>...</v>
      </c>
      <c r="H12223" s="1" t="str">
        <f t="shared" si="2738"/>
        <v>...</v>
      </c>
      <c r="I12223" s="1" t="str">
        <f t="shared" si="2738"/>
        <v>...</v>
      </c>
      <c r="J12223" s="1" t="str">
        <f t="shared" si="2738"/>
        <v>...</v>
      </c>
      <c r="K12223" s="1" t="str">
        <f t="shared" si="2738"/>
        <v>...</v>
      </c>
      <c r="L12223" s="1" t="str">
        <f t="shared" si="2738"/>
        <v>...</v>
      </c>
      <c r="M12223" s="1" t="str">
        <f t="shared" si="2738"/>
        <v>...</v>
      </c>
      <c r="N12223" t="s">
        <v>30</v>
      </c>
    </row>
    <row r="12224" spans="1:14" x14ac:dyDescent="0.25">
      <c r="A12224" t="s">
        <v>44</v>
      </c>
      <c r="B12224" t="s">
        <v>39</v>
      </c>
      <c r="C12224" t="s">
        <v>38</v>
      </c>
      <c r="D12224" t="s">
        <v>33</v>
      </c>
      <c r="E12224" t="s">
        <v>26</v>
      </c>
      <c r="F12224" t="s">
        <v>18</v>
      </c>
      <c r="G12224" s="1" t="str">
        <f t="shared" si="2738"/>
        <v>...</v>
      </c>
      <c r="H12224" s="1" t="str">
        <f t="shared" si="2738"/>
        <v>...</v>
      </c>
      <c r="I12224" s="1" t="str">
        <f t="shared" si="2738"/>
        <v>...</v>
      </c>
      <c r="J12224" s="1" t="str">
        <f t="shared" si="2738"/>
        <v>...</v>
      </c>
      <c r="K12224" s="1" t="str">
        <f t="shared" si="2738"/>
        <v>...</v>
      </c>
      <c r="L12224" s="1" t="str">
        <f t="shared" si="2738"/>
        <v>...</v>
      </c>
      <c r="M12224" s="1" t="str">
        <f t="shared" si="2738"/>
        <v>...</v>
      </c>
      <c r="N12224" t="s">
        <v>30</v>
      </c>
    </row>
    <row r="12225" spans="1:14" x14ac:dyDescent="0.25">
      <c r="A12225" t="s">
        <v>44</v>
      </c>
      <c r="B12225" t="s">
        <v>39</v>
      </c>
      <c r="C12225" t="s">
        <v>38</v>
      </c>
      <c r="D12225" t="s">
        <v>33</v>
      </c>
      <c r="E12225" t="s">
        <v>26</v>
      </c>
      <c r="F12225" t="s">
        <v>19</v>
      </c>
      <c r="G12225" s="1" t="str">
        <f t="shared" si="2738"/>
        <v>...</v>
      </c>
      <c r="H12225" s="1" t="str">
        <f t="shared" si="2738"/>
        <v>...</v>
      </c>
      <c r="I12225" s="1" t="str">
        <f t="shared" si="2738"/>
        <v>...</v>
      </c>
      <c r="J12225" s="1" t="str">
        <f t="shared" si="2738"/>
        <v>...</v>
      </c>
      <c r="K12225" s="1" t="str">
        <f t="shared" si="2738"/>
        <v>...</v>
      </c>
      <c r="L12225" s="1" t="str">
        <f t="shared" si="2738"/>
        <v>...</v>
      </c>
      <c r="M12225" s="1" t="str">
        <f t="shared" si="2738"/>
        <v>...</v>
      </c>
      <c r="N12225" t="s">
        <v>30</v>
      </c>
    </row>
    <row r="12226" spans="1:14" x14ac:dyDescent="0.25">
      <c r="A12226" t="s">
        <v>44</v>
      </c>
      <c r="B12226" t="s">
        <v>39</v>
      </c>
      <c r="C12226" t="s">
        <v>38</v>
      </c>
      <c r="D12226" t="s">
        <v>33</v>
      </c>
      <c r="E12226" t="s">
        <v>26</v>
      </c>
      <c r="F12226" t="s">
        <v>20</v>
      </c>
      <c r="G12226" s="1" t="str">
        <f t="shared" si="2738"/>
        <v>...</v>
      </c>
      <c r="H12226" s="1" t="str">
        <f t="shared" si="2738"/>
        <v>...</v>
      </c>
      <c r="I12226" s="1" t="str">
        <f t="shared" si="2738"/>
        <v>...</v>
      </c>
      <c r="J12226" s="1" t="str">
        <f t="shared" si="2738"/>
        <v>...</v>
      </c>
      <c r="K12226" s="1" t="str">
        <f t="shared" si="2738"/>
        <v>...</v>
      </c>
      <c r="L12226" s="1" t="str">
        <f t="shared" si="2738"/>
        <v>...</v>
      </c>
      <c r="M12226" s="1" t="str">
        <f t="shared" si="2738"/>
        <v>...</v>
      </c>
      <c r="N12226" t="s">
        <v>30</v>
      </c>
    </row>
    <row r="12227" spans="1:14" x14ac:dyDescent="0.25">
      <c r="A12227" t="s">
        <v>44</v>
      </c>
      <c r="B12227" t="s">
        <v>39</v>
      </c>
      <c r="C12227" t="s">
        <v>38</v>
      </c>
      <c r="D12227" t="s">
        <v>34</v>
      </c>
      <c r="E12227" t="s">
        <v>15</v>
      </c>
      <c r="F12227" t="s">
        <v>15</v>
      </c>
      <c r="G12227" s="1" t="str">
        <f t="shared" ref="G12227:M12234" si="2739">"X"</f>
        <v>X</v>
      </c>
      <c r="H12227" s="1" t="str">
        <f t="shared" si="2739"/>
        <v>X</v>
      </c>
      <c r="I12227" s="1" t="str">
        <f t="shared" si="2739"/>
        <v>X</v>
      </c>
      <c r="J12227" s="1" t="str">
        <f t="shared" si="2739"/>
        <v>X</v>
      </c>
      <c r="K12227" s="1" t="str">
        <f t="shared" si="2739"/>
        <v>X</v>
      </c>
      <c r="L12227" s="1" t="str">
        <f t="shared" si="2739"/>
        <v>X</v>
      </c>
      <c r="M12227" s="1" t="str">
        <f t="shared" si="2739"/>
        <v>X</v>
      </c>
      <c r="N12227" t="s">
        <v>27</v>
      </c>
    </row>
    <row r="12228" spans="1:14" x14ac:dyDescent="0.25">
      <c r="A12228" t="s">
        <v>44</v>
      </c>
      <c r="B12228" t="s">
        <v>39</v>
      </c>
      <c r="C12228" t="s">
        <v>38</v>
      </c>
      <c r="D12228" t="s">
        <v>34</v>
      </c>
      <c r="E12228" t="s">
        <v>15</v>
      </c>
      <c r="F12228" t="s">
        <v>17</v>
      </c>
      <c r="G12228" s="1" t="str">
        <f t="shared" si="2739"/>
        <v>X</v>
      </c>
      <c r="H12228" s="1" t="str">
        <f t="shared" si="2739"/>
        <v>X</v>
      </c>
      <c r="I12228" s="1" t="str">
        <f t="shared" si="2739"/>
        <v>X</v>
      </c>
      <c r="J12228" s="1" t="str">
        <f t="shared" si="2739"/>
        <v>X</v>
      </c>
      <c r="K12228" s="1" t="str">
        <f t="shared" si="2739"/>
        <v>X</v>
      </c>
      <c r="L12228" s="1" t="str">
        <f t="shared" si="2739"/>
        <v>X</v>
      </c>
      <c r="M12228" s="1" t="str">
        <f t="shared" si="2739"/>
        <v>X</v>
      </c>
      <c r="N12228" t="s">
        <v>27</v>
      </c>
    </row>
    <row r="12229" spans="1:14" x14ac:dyDescent="0.25">
      <c r="A12229" t="s">
        <v>44</v>
      </c>
      <c r="B12229" t="s">
        <v>39</v>
      </c>
      <c r="C12229" t="s">
        <v>38</v>
      </c>
      <c r="D12229" t="s">
        <v>34</v>
      </c>
      <c r="E12229" t="s">
        <v>15</v>
      </c>
      <c r="F12229" t="s">
        <v>18</v>
      </c>
      <c r="G12229" s="1" t="str">
        <f t="shared" si="2739"/>
        <v>X</v>
      </c>
      <c r="H12229" s="1" t="str">
        <f t="shared" si="2739"/>
        <v>X</v>
      </c>
      <c r="I12229" s="1" t="str">
        <f t="shared" si="2739"/>
        <v>X</v>
      </c>
      <c r="J12229" s="1" t="str">
        <f t="shared" si="2739"/>
        <v>X</v>
      </c>
      <c r="K12229" s="1" t="str">
        <f t="shared" si="2739"/>
        <v>X</v>
      </c>
      <c r="L12229" s="1" t="str">
        <f t="shared" si="2739"/>
        <v>X</v>
      </c>
      <c r="M12229" s="1" t="str">
        <f t="shared" si="2739"/>
        <v>X</v>
      </c>
      <c r="N12229" t="s">
        <v>27</v>
      </c>
    </row>
    <row r="12230" spans="1:14" x14ac:dyDescent="0.25">
      <c r="A12230" t="s">
        <v>44</v>
      </c>
      <c r="B12230" t="s">
        <v>39</v>
      </c>
      <c r="C12230" t="s">
        <v>38</v>
      </c>
      <c r="D12230" t="s">
        <v>34</v>
      </c>
      <c r="E12230" t="s">
        <v>15</v>
      </c>
      <c r="F12230" t="s">
        <v>19</v>
      </c>
      <c r="G12230" s="1" t="str">
        <f t="shared" si="2739"/>
        <v>X</v>
      </c>
      <c r="H12230" s="1" t="str">
        <f t="shared" si="2739"/>
        <v>X</v>
      </c>
      <c r="I12230" s="1" t="str">
        <f t="shared" si="2739"/>
        <v>X</v>
      </c>
      <c r="J12230" s="1" t="str">
        <f t="shared" si="2739"/>
        <v>X</v>
      </c>
      <c r="K12230" s="1" t="str">
        <f t="shared" si="2739"/>
        <v>X</v>
      </c>
      <c r="L12230" s="1" t="str">
        <f t="shared" si="2739"/>
        <v>X</v>
      </c>
      <c r="M12230" s="1" t="str">
        <f t="shared" si="2739"/>
        <v>X</v>
      </c>
      <c r="N12230" t="s">
        <v>27</v>
      </c>
    </row>
    <row r="12231" spans="1:14" x14ac:dyDescent="0.25">
      <c r="A12231" t="s">
        <v>44</v>
      </c>
      <c r="B12231" t="s">
        <v>39</v>
      </c>
      <c r="C12231" t="s">
        <v>38</v>
      </c>
      <c r="D12231" t="s">
        <v>34</v>
      </c>
      <c r="E12231" t="s">
        <v>15</v>
      </c>
      <c r="F12231" t="s">
        <v>20</v>
      </c>
      <c r="G12231" s="1" t="str">
        <f t="shared" si="2739"/>
        <v>X</v>
      </c>
      <c r="H12231" s="1" t="str">
        <f t="shared" si="2739"/>
        <v>X</v>
      </c>
      <c r="I12231" s="1" t="str">
        <f t="shared" si="2739"/>
        <v>X</v>
      </c>
      <c r="J12231" s="1" t="str">
        <f t="shared" si="2739"/>
        <v>X</v>
      </c>
      <c r="K12231" s="1" t="str">
        <f t="shared" si="2739"/>
        <v>X</v>
      </c>
      <c r="L12231" s="1" t="str">
        <f t="shared" si="2739"/>
        <v>X</v>
      </c>
      <c r="M12231" s="1" t="str">
        <f t="shared" si="2739"/>
        <v>X</v>
      </c>
      <c r="N12231" t="s">
        <v>27</v>
      </c>
    </row>
    <row r="12232" spans="1:14" x14ac:dyDescent="0.25">
      <c r="A12232" t="s">
        <v>44</v>
      </c>
      <c r="B12232" t="s">
        <v>39</v>
      </c>
      <c r="C12232" t="s">
        <v>38</v>
      </c>
      <c r="D12232" t="s">
        <v>34</v>
      </c>
      <c r="E12232" t="s">
        <v>21</v>
      </c>
      <c r="F12232" t="s">
        <v>15</v>
      </c>
      <c r="G12232" s="1" t="str">
        <f t="shared" si="2739"/>
        <v>X</v>
      </c>
      <c r="H12232" s="1" t="str">
        <f t="shared" si="2739"/>
        <v>X</v>
      </c>
      <c r="I12232" s="1" t="str">
        <f t="shared" si="2739"/>
        <v>X</v>
      </c>
      <c r="J12232" s="1" t="str">
        <f t="shared" si="2739"/>
        <v>X</v>
      </c>
      <c r="K12232" s="1" t="str">
        <f t="shared" si="2739"/>
        <v>X</v>
      </c>
      <c r="L12232" s="1" t="str">
        <f t="shared" si="2739"/>
        <v>X</v>
      </c>
      <c r="M12232" s="1" t="str">
        <f t="shared" si="2739"/>
        <v>X</v>
      </c>
      <c r="N12232" t="s">
        <v>27</v>
      </c>
    </row>
    <row r="12233" spans="1:14" x14ac:dyDescent="0.25">
      <c r="A12233" t="s">
        <v>44</v>
      </c>
      <c r="B12233" t="s">
        <v>39</v>
      </c>
      <c r="C12233" t="s">
        <v>38</v>
      </c>
      <c r="D12233" t="s">
        <v>34</v>
      </c>
      <c r="E12233" t="s">
        <v>21</v>
      </c>
      <c r="F12233" t="s">
        <v>17</v>
      </c>
      <c r="G12233" s="1" t="str">
        <f t="shared" si="2739"/>
        <v>X</v>
      </c>
      <c r="H12233" s="1" t="str">
        <f t="shared" si="2739"/>
        <v>X</v>
      </c>
      <c r="I12233" s="1" t="str">
        <f t="shared" si="2739"/>
        <v>X</v>
      </c>
      <c r="J12233" s="1" t="str">
        <f t="shared" si="2739"/>
        <v>X</v>
      </c>
      <c r="K12233" s="1" t="str">
        <f t="shared" si="2739"/>
        <v>X</v>
      </c>
      <c r="L12233" s="1" t="str">
        <f t="shared" si="2739"/>
        <v>X</v>
      </c>
      <c r="M12233" s="1" t="str">
        <f t="shared" si="2739"/>
        <v>X</v>
      </c>
      <c r="N12233" t="s">
        <v>27</v>
      </c>
    </row>
    <row r="12234" spans="1:14" x14ac:dyDescent="0.25">
      <c r="A12234" t="s">
        <v>44</v>
      </c>
      <c r="B12234" t="s">
        <v>39</v>
      </c>
      <c r="C12234" t="s">
        <v>38</v>
      </c>
      <c r="D12234" t="s">
        <v>34</v>
      </c>
      <c r="E12234" t="s">
        <v>21</v>
      </c>
      <c r="F12234" t="s">
        <v>18</v>
      </c>
      <c r="G12234" s="1" t="str">
        <f t="shared" si="2739"/>
        <v>X</v>
      </c>
      <c r="H12234" s="1" t="str">
        <f t="shared" si="2739"/>
        <v>X</v>
      </c>
      <c r="I12234" s="1" t="str">
        <f t="shared" si="2739"/>
        <v>X</v>
      </c>
      <c r="J12234" s="1" t="str">
        <f t="shared" si="2739"/>
        <v>X</v>
      </c>
      <c r="K12234" s="1" t="str">
        <f t="shared" si="2739"/>
        <v>X</v>
      </c>
      <c r="L12234" s="1" t="str">
        <f t="shared" si="2739"/>
        <v>X</v>
      </c>
      <c r="M12234" s="1" t="str">
        <f t="shared" si="2739"/>
        <v>X</v>
      </c>
      <c r="N12234" t="s">
        <v>27</v>
      </c>
    </row>
    <row r="12235" spans="1:14" x14ac:dyDescent="0.25">
      <c r="A12235" t="s">
        <v>44</v>
      </c>
      <c r="B12235" t="s">
        <v>39</v>
      </c>
      <c r="C12235" t="s">
        <v>38</v>
      </c>
      <c r="D12235" t="s">
        <v>34</v>
      </c>
      <c r="E12235" t="s">
        <v>21</v>
      </c>
      <c r="F12235" t="s">
        <v>19</v>
      </c>
      <c r="G12235" s="1" t="str">
        <f t="shared" ref="G12235:M12235" si="2740">"..."</f>
        <v>...</v>
      </c>
      <c r="H12235" s="1" t="str">
        <f t="shared" si="2740"/>
        <v>...</v>
      </c>
      <c r="I12235" s="1" t="str">
        <f t="shared" si="2740"/>
        <v>...</v>
      </c>
      <c r="J12235" s="1" t="str">
        <f t="shared" si="2740"/>
        <v>...</v>
      </c>
      <c r="K12235" s="1" t="str">
        <f t="shared" si="2740"/>
        <v>...</v>
      </c>
      <c r="L12235" s="1" t="str">
        <f t="shared" si="2740"/>
        <v>...</v>
      </c>
      <c r="M12235" s="1" t="str">
        <f t="shared" si="2740"/>
        <v>...</v>
      </c>
      <c r="N12235" t="s">
        <v>30</v>
      </c>
    </row>
    <row r="12236" spans="1:14" x14ac:dyDescent="0.25">
      <c r="A12236" t="s">
        <v>44</v>
      </c>
      <c r="B12236" t="s">
        <v>39</v>
      </c>
      <c r="C12236" t="s">
        <v>38</v>
      </c>
      <c r="D12236" t="s">
        <v>34</v>
      </c>
      <c r="E12236" t="s">
        <v>21</v>
      </c>
      <c r="F12236" t="s">
        <v>20</v>
      </c>
      <c r="G12236" s="1" t="str">
        <f t="shared" ref="G12236:M12237" si="2741">"X"</f>
        <v>X</v>
      </c>
      <c r="H12236" s="1" t="str">
        <f t="shared" si="2741"/>
        <v>X</v>
      </c>
      <c r="I12236" s="1" t="str">
        <f t="shared" si="2741"/>
        <v>X</v>
      </c>
      <c r="J12236" s="1" t="str">
        <f t="shared" si="2741"/>
        <v>X</v>
      </c>
      <c r="K12236" s="1" t="str">
        <f t="shared" si="2741"/>
        <v>X</v>
      </c>
      <c r="L12236" s="1" t="str">
        <f t="shared" si="2741"/>
        <v>X</v>
      </c>
      <c r="M12236" s="1" t="str">
        <f t="shared" si="2741"/>
        <v>X</v>
      </c>
      <c r="N12236" t="s">
        <v>27</v>
      </c>
    </row>
    <row r="12237" spans="1:14" x14ac:dyDescent="0.25">
      <c r="A12237" t="s">
        <v>44</v>
      </c>
      <c r="B12237" t="s">
        <v>39</v>
      </c>
      <c r="C12237" t="s">
        <v>38</v>
      </c>
      <c r="D12237" t="s">
        <v>34</v>
      </c>
      <c r="E12237" t="s">
        <v>22</v>
      </c>
      <c r="F12237" t="s">
        <v>15</v>
      </c>
      <c r="G12237" s="1" t="str">
        <f t="shared" si="2741"/>
        <v>X</v>
      </c>
      <c r="H12237" s="1" t="str">
        <f t="shared" si="2741"/>
        <v>X</v>
      </c>
      <c r="I12237" s="1" t="str">
        <f t="shared" si="2741"/>
        <v>X</v>
      </c>
      <c r="J12237" s="1" t="str">
        <f t="shared" si="2741"/>
        <v>X</v>
      </c>
      <c r="K12237" s="1" t="str">
        <f t="shared" si="2741"/>
        <v>X</v>
      </c>
      <c r="L12237" s="1" t="str">
        <f t="shared" si="2741"/>
        <v>X</v>
      </c>
      <c r="M12237" s="1" t="str">
        <f t="shared" si="2741"/>
        <v>X</v>
      </c>
      <c r="N12237" t="s">
        <v>27</v>
      </c>
    </row>
    <row r="12238" spans="1:14" x14ac:dyDescent="0.25">
      <c r="A12238" t="s">
        <v>44</v>
      </c>
      <c r="B12238" t="s">
        <v>39</v>
      </c>
      <c r="C12238" t="s">
        <v>38</v>
      </c>
      <c r="D12238" t="s">
        <v>34</v>
      </c>
      <c r="E12238" t="s">
        <v>22</v>
      </c>
      <c r="F12238" t="s">
        <v>17</v>
      </c>
      <c r="G12238" s="1" t="str">
        <f t="shared" ref="G12238:M12239" si="2742">"..."</f>
        <v>...</v>
      </c>
      <c r="H12238" s="1" t="str">
        <f t="shared" si="2742"/>
        <v>...</v>
      </c>
      <c r="I12238" s="1" t="str">
        <f t="shared" si="2742"/>
        <v>...</v>
      </c>
      <c r="J12238" s="1" t="str">
        <f t="shared" si="2742"/>
        <v>...</v>
      </c>
      <c r="K12238" s="1" t="str">
        <f t="shared" si="2742"/>
        <v>...</v>
      </c>
      <c r="L12238" s="1" t="str">
        <f t="shared" si="2742"/>
        <v>...</v>
      </c>
      <c r="M12238" s="1" t="str">
        <f t="shared" si="2742"/>
        <v>...</v>
      </c>
      <c r="N12238" t="s">
        <v>30</v>
      </c>
    </row>
    <row r="12239" spans="1:14" x14ac:dyDescent="0.25">
      <c r="A12239" t="s">
        <v>44</v>
      </c>
      <c r="B12239" t="s">
        <v>39</v>
      </c>
      <c r="C12239" t="s">
        <v>38</v>
      </c>
      <c r="D12239" t="s">
        <v>34</v>
      </c>
      <c r="E12239" t="s">
        <v>22</v>
      </c>
      <c r="F12239" t="s">
        <v>18</v>
      </c>
      <c r="G12239" s="1" t="str">
        <f t="shared" si="2742"/>
        <v>...</v>
      </c>
      <c r="H12239" s="1" t="str">
        <f t="shared" si="2742"/>
        <v>...</v>
      </c>
      <c r="I12239" s="1" t="str">
        <f t="shared" si="2742"/>
        <v>...</v>
      </c>
      <c r="J12239" s="1" t="str">
        <f t="shared" si="2742"/>
        <v>...</v>
      </c>
      <c r="K12239" s="1" t="str">
        <f t="shared" si="2742"/>
        <v>...</v>
      </c>
      <c r="L12239" s="1" t="str">
        <f t="shared" si="2742"/>
        <v>...</v>
      </c>
      <c r="M12239" s="1" t="str">
        <f t="shared" si="2742"/>
        <v>...</v>
      </c>
      <c r="N12239" t="s">
        <v>30</v>
      </c>
    </row>
    <row r="12240" spans="1:14" x14ac:dyDescent="0.25">
      <c r="A12240" t="s">
        <v>44</v>
      </c>
      <c r="B12240" t="s">
        <v>39</v>
      </c>
      <c r="C12240" t="s">
        <v>38</v>
      </c>
      <c r="D12240" t="s">
        <v>34</v>
      </c>
      <c r="E12240" t="s">
        <v>22</v>
      </c>
      <c r="F12240" t="s">
        <v>19</v>
      </c>
      <c r="G12240" s="1" t="str">
        <f t="shared" ref="G12240:M12242" si="2743">"X"</f>
        <v>X</v>
      </c>
      <c r="H12240" s="1" t="str">
        <f t="shared" si="2743"/>
        <v>X</v>
      </c>
      <c r="I12240" s="1" t="str">
        <f t="shared" si="2743"/>
        <v>X</v>
      </c>
      <c r="J12240" s="1" t="str">
        <f t="shared" si="2743"/>
        <v>X</v>
      </c>
      <c r="K12240" s="1" t="str">
        <f t="shared" si="2743"/>
        <v>X</v>
      </c>
      <c r="L12240" s="1" t="str">
        <f t="shared" si="2743"/>
        <v>X</v>
      </c>
      <c r="M12240" s="1" t="str">
        <f t="shared" si="2743"/>
        <v>X</v>
      </c>
      <c r="N12240" t="s">
        <v>27</v>
      </c>
    </row>
    <row r="12241" spans="1:14" x14ac:dyDescent="0.25">
      <c r="A12241" t="s">
        <v>44</v>
      </c>
      <c r="B12241" t="s">
        <v>39</v>
      </c>
      <c r="C12241" t="s">
        <v>38</v>
      </c>
      <c r="D12241" t="s">
        <v>34</v>
      </c>
      <c r="E12241" t="s">
        <v>22</v>
      </c>
      <c r="F12241" t="s">
        <v>20</v>
      </c>
      <c r="G12241" s="1" t="str">
        <f t="shared" si="2743"/>
        <v>X</v>
      </c>
      <c r="H12241" s="1" t="str">
        <f t="shared" si="2743"/>
        <v>X</v>
      </c>
      <c r="I12241" s="1" t="str">
        <f t="shared" si="2743"/>
        <v>X</v>
      </c>
      <c r="J12241" s="1" t="str">
        <f t="shared" si="2743"/>
        <v>X</v>
      </c>
      <c r="K12241" s="1" t="str">
        <f t="shared" si="2743"/>
        <v>X</v>
      </c>
      <c r="L12241" s="1" t="str">
        <f t="shared" si="2743"/>
        <v>X</v>
      </c>
      <c r="M12241" s="1" t="str">
        <f t="shared" si="2743"/>
        <v>X</v>
      </c>
      <c r="N12241" t="s">
        <v>27</v>
      </c>
    </row>
    <row r="12242" spans="1:14" x14ac:dyDescent="0.25">
      <c r="A12242" t="s">
        <v>44</v>
      </c>
      <c r="B12242" t="s">
        <v>39</v>
      </c>
      <c r="C12242" t="s">
        <v>38</v>
      </c>
      <c r="D12242" t="s">
        <v>34</v>
      </c>
      <c r="E12242" t="s">
        <v>23</v>
      </c>
      <c r="F12242" t="s">
        <v>15</v>
      </c>
      <c r="G12242" s="1" t="str">
        <f t="shared" si="2743"/>
        <v>X</v>
      </c>
      <c r="H12242" s="1" t="str">
        <f t="shared" si="2743"/>
        <v>X</v>
      </c>
      <c r="I12242" s="1" t="str">
        <f t="shared" si="2743"/>
        <v>X</v>
      </c>
      <c r="J12242" s="1" t="str">
        <f t="shared" si="2743"/>
        <v>X</v>
      </c>
      <c r="K12242" s="1" t="str">
        <f t="shared" si="2743"/>
        <v>X</v>
      </c>
      <c r="L12242" s="1" t="str">
        <f t="shared" si="2743"/>
        <v>X</v>
      </c>
      <c r="M12242" s="1" t="str">
        <f t="shared" si="2743"/>
        <v>X</v>
      </c>
      <c r="N12242" t="s">
        <v>27</v>
      </c>
    </row>
    <row r="12243" spans="1:14" x14ac:dyDescent="0.25">
      <c r="A12243" t="s">
        <v>44</v>
      </c>
      <c r="B12243" t="s">
        <v>39</v>
      </c>
      <c r="C12243" t="s">
        <v>38</v>
      </c>
      <c r="D12243" t="s">
        <v>34</v>
      </c>
      <c r="E12243" t="s">
        <v>23</v>
      </c>
      <c r="F12243" t="s">
        <v>17</v>
      </c>
      <c r="G12243" s="1" t="str">
        <f t="shared" ref="G12243:M12245" si="2744">"..."</f>
        <v>...</v>
      </c>
      <c r="H12243" s="1" t="str">
        <f t="shared" si="2744"/>
        <v>...</v>
      </c>
      <c r="I12243" s="1" t="str">
        <f t="shared" si="2744"/>
        <v>...</v>
      </c>
      <c r="J12243" s="1" t="str">
        <f t="shared" si="2744"/>
        <v>...</v>
      </c>
      <c r="K12243" s="1" t="str">
        <f t="shared" si="2744"/>
        <v>...</v>
      </c>
      <c r="L12243" s="1" t="str">
        <f t="shared" si="2744"/>
        <v>...</v>
      </c>
      <c r="M12243" s="1" t="str">
        <f t="shared" si="2744"/>
        <v>...</v>
      </c>
      <c r="N12243" t="s">
        <v>30</v>
      </c>
    </row>
    <row r="12244" spans="1:14" x14ac:dyDescent="0.25">
      <c r="A12244" t="s">
        <v>44</v>
      </c>
      <c r="B12244" t="s">
        <v>39</v>
      </c>
      <c r="C12244" t="s">
        <v>38</v>
      </c>
      <c r="D12244" t="s">
        <v>34</v>
      </c>
      <c r="E12244" t="s">
        <v>23</v>
      </c>
      <c r="F12244" t="s">
        <v>18</v>
      </c>
      <c r="G12244" s="1" t="str">
        <f t="shared" si="2744"/>
        <v>...</v>
      </c>
      <c r="H12244" s="1" t="str">
        <f t="shared" si="2744"/>
        <v>...</v>
      </c>
      <c r="I12244" s="1" t="str">
        <f t="shared" si="2744"/>
        <v>...</v>
      </c>
      <c r="J12244" s="1" t="str">
        <f t="shared" si="2744"/>
        <v>...</v>
      </c>
      <c r="K12244" s="1" t="str">
        <f t="shared" si="2744"/>
        <v>...</v>
      </c>
      <c r="L12244" s="1" t="str">
        <f t="shared" si="2744"/>
        <v>...</v>
      </c>
      <c r="M12244" s="1" t="str">
        <f t="shared" si="2744"/>
        <v>...</v>
      </c>
      <c r="N12244" t="s">
        <v>30</v>
      </c>
    </row>
    <row r="12245" spans="1:14" x14ac:dyDescent="0.25">
      <c r="A12245" t="s">
        <v>44</v>
      </c>
      <c r="B12245" t="s">
        <v>39</v>
      </c>
      <c r="C12245" t="s">
        <v>38</v>
      </c>
      <c r="D12245" t="s">
        <v>34</v>
      </c>
      <c r="E12245" t="s">
        <v>23</v>
      </c>
      <c r="F12245" t="s">
        <v>19</v>
      </c>
      <c r="G12245" s="1" t="str">
        <f t="shared" si="2744"/>
        <v>...</v>
      </c>
      <c r="H12245" s="1" t="str">
        <f t="shared" si="2744"/>
        <v>...</v>
      </c>
      <c r="I12245" s="1" t="str">
        <f t="shared" si="2744"/>
        <v>...</v>
      </c>
      <c r="J12245" s="1" t="str">
        <f t="shared" si="2744"/>
        <v>...</v>
      </c>
      <c r="K12245" s="1" t="str">
        <f t="shared" si="2744"/>
        <v>...</v>
      </c>
      <c r="L12245" s="1" t="str">
        <f t="shared" si="2744"/>
        <v>...</v>
      </c>
      <c r="M12245" s="1" t="str">
        <f t="shared" si="2744"/>
        <v>...</v>
      </c>
      <c r="N12245" t="s">
        <v>30</v>
      </c>
    </row>
    <row r="12246" spans="1:14" x14ac:dyDescent="0.25">
      <c r="A12246" t="s">
        <v>44</v>
      </c>
      <c r="B12246" t="s">
        <v>39</v>
      </c>
      <c r="C12246" t="s">
        <v>38</v>
      </c>
      <c r="D12246" t="s">
        <v>34</v>
      </c>
      <c r="E12246" t="s">
        <v>23</v>
      </c>
      <c r="F12246" t="s">
        <v>20</v>
      </c>
      <c r="G12246" s="1" t="str">
        <f t="shared" ref="G12246:M12246" si="2745">"X"</f>
        <v>X</v>
      </c>
      <c r="H12246" s="1" t="str">
        <f t="shared" si="2745"/>
        <v>X</v>
      </c>
      <c r="I12246" s="1" t="str">
        <f t="shared" si="2745"/>
        <v>X</v>
      </c>
      <c r="J12246" s="1" t="str">
        <f t="shared" si="2745"/>
        <v>X</v>
      </c>
      <c r="K12246" s="1" t="str">
        <f t="shared" si="2745"/>
        <v>X</v>
      </c>
      <c r="L12246" s="1" t="str">
        <f t="shared" si="2745"/>
        <v>X</v>
      </c>
      <c r="M12246" s="1" t="str">
        <f t="shared" si="2745"/>
        <v>X</v>
      </c>
      <c r="N12246" t="s">
        <v>27</v>
      </c>
    </row>
    <row r="12247" spans="1:14" x14ac:dyDescent="0.25">
      <c r="A12247" t="s">
        <v>44</v>
      </c>
      <c r="B12247" t="s">
        <v>39</v>
      </c>
      <c r="C12247" t="s">
        <v>38</v>
      </c>
      <c r="D12247" t="s">
        <v>34</v>
      </c>
      <c r="E12247" t="s">
        <v>26</v>
      </c>
      <c r="F12247" t="s">
        <v>15</v>
      </c>
      <c r="G12247" s="1" t="str">
        <f t="shared" ref="G12247:M12251" si="2746">"..."</f>
        <v>...</v>
      </c>
      <c r="H12247" s="1" t="str">
        <f t="shared" si="2746"/>
        <v>...</v>
      </c>
      <c r="I12247" s="1" t="str">
        <f t="shared" si="2746"/>
        <v>...</v>
      </c>
      <c r="J12247" s="1" t="str">
        <f t="shared" si="2746"/>
        <v>...</v>
      </c>
      <c r="K12247" s="1" t="str">
        <f t="shared" si="2746"/>
        <v>...</v>
      </c>
      <c r="L12247" s="1" t="str">
        <f t="shared" si="2746"/>
        <v>...</v>
      </c>
      <c r="M12247" s="1" t="str">
        <f t="shared" si="2746"/>
        <v>...</v>
      </c>
      <c r="N12247" t="s">
        <v>30</v>
      </c>
    </row>
    <row r="12248" spans="1:14" x14ac:dyDescent="0.25">
      <c r="A12248" t="s">
        <v>44</v>
      </c>
      <c r="B12248" t="s">
        <v>39</v>
      </c>
      <c r="C12248" t="s">
        <v>38</v>
      </c>
      <c r="D12248" t="s">
        <v>34</v>
      </c>
      <c r="E12248" t="s">
        <v>26</v>
      </c>
      <c r="F12248" t="s">
        <v>17</v>
      </c>
      <c r="G12248" s="1" t="str">
        <f t="shared" si="2746"/>
        <v>...</v>
      </c>
      <c r="H12248" s="1" t="str">
        <f t="shared" si="2746"/>
        <v>...</v>
      </c>
      <c r="I12248" s="1" t="str">
        <f t="shared" si="2746"/>
        <v>...</v>
      </c>
      <c r="J12248" s="1" t="str">
        <f t="shared" si="2746"/>
        <v>...</v>
      </c>
      <c r="K12248" s="1" t="str">
        <f t="shared" si="2746"/>
        <v>...</v>
      </c>
      <c r="L12248" s="1" t="str">
        <f t="shared" si="2746"/>
        <v>...</v>
      </c>
      <c r="M12248" s="1" t="str">
        <f t="shared" si="2746"/>
        <v>...</v>
      </c>
      <c r="N12248" t="s">
        <v>30</v>
      </c>
    </row>
    <row r="12249" spans="1:14" x14ac:dyDescent="0.25">
      <c r="A12249" t="s">
        <v>44</v>
      </c>
      <c r="B12249" t="s">
        <v>39</v>
      </c>
      <c r="C12249" t="s">
        <v>38</v>
      </c>
      <c r="D12249" t="s">
        <v>34</v>
      </c>
      <c r="E12249" t="s">
        <v>26</v>
      </c>
      <c r="F12249" t="s">
        <v>18</v>
      </c>
      <c r="G12249" s="1" t="str">
        <f t="shared" si="2746"/>
        <v>...</v>
      </c>
      <c r="H12249" s="1" t="str">
        <f t="shared" si="2746"/>
        <v>...</v>
      </c>
      <c r="I12249" s="1" t="str">
        <f t="shared" si="2746"/>
        <v>...</v>
      </c>
      <c r="J12249" s="1" t="str">
        <f t="shared" si="2746"/>
        <v>...</v>
      </c>
      <c r="K12249" s="1" t="str">
        <f t="shared" si="2746"/>
        <v>...</v>
      </c>
      <c r="L12249" s="1" t="str">
        <f t="shared" si="2746"/>
        <v>...</v>
      </c>
      <c r="M12249" s="1" t="str">
        <f t="shared" si="2746"/>
        <v>...</v>
      </c>
      <c r="N12249" t="s">
        <v>30</v>
      </c>
    </row>
    <row r="12250" spans="1:14" x14ac:dyDescent="0.25">
      <c r="A12250" t="s">
        <v>44</v>
      </c>
      <c r="B12250" t="s">
        <v>39</v>
      </c>
      <c r="C12250" t="s">
        <v>38</v>
      </c>
      <c r="D12250" t="s">
        <v>34</v>
      </c>
      <c r="E12250" t="s">
        <v>26</v>
      </c>
      <c r="F12250" t="s">
        <v>19</v>
      </c>
      <c r="G12250" s="1" t="str">
        <f t="shared" si="2746"/>
        <v>...</v>
      </c>
      <c r="H12250" s="1" t="str">
        <f t="shared" si="2746"/>
        <v>...</v>
      </c>
      <c r="I12250" s="1" t="str">
        <f t="shared" si="2746"/>
        <v>...</v>
      </c>
      <c r="J12250" s="1" t="str">
        <f t="shared" si="2746"/>
        <v>...</v>
      </c>
      <c r="K12250" s="1" t="str">
        <f t="shared" si="2746"/>
        <v>...</v>
      </c>
      <c r="L12250" s="1" t="str">
        <f t="shared" si="2746"/>
        <v>...</v>
      </c>
      <c r="M12250" s="1" t="str">
        <f t="shared" si="2746"/>
        <v>...</v>
      </c>
      <c r="N12250" t="s">
        <v>30</v>
      </c>
    </row>
    <row r="12251" spans="1:14" x14ac:dyDescent="0.25">
      <c r="A12251" t="s">
        <v>44</v>
      </c>
      <c r="B12251" t="s">
        <v>39</v>
      </c>
      <c r="C12251" t="s">
        <v>38</v>
      </c>
      <c r="D12251" t="s">
        <v>34</v>
      </c>
      <c r="E12251" t="s">
        <v>26</v>
      </c>
      <c r="F12251" t="s">
        <v>20</v>
      </c>
      <c r="G12251" s="1" t="str">
        <f t="shared" si="2746"/>
        <v>...</v>
      </c>
      <c r="H12251" s="1" t="str">
        <f t="shared" si="2746"/>
        <v>...</v>
      </c>
      <c r="I12251" s="1" t="str">
        <f t="shared" si="2746"/>
        <v>...</v>
      </c>
      <c r="J12251" s="1" t="str">
        <f t="shared" si="2746"/>
        <v>...</v>
      </c>
      <c r="K12251" s="1" t="str">
        <f t="shared" si="2746"/>
        <v>...</v>
      </c>
      <c r="L12251" s="1" t="str">
        <f t="shared" si="2746"/>
        <v>...</v>
      </c>
      <c r="M12251" s="1" t="str">
        <f t="shared" si="2746"/>
        <v>...</v>
      </c>
      <c r="N12251" t="s">
        <v>30</v>
      </c>
    </row>
    <row r="12252" spans="1:14" x14ac:dyDescent="0.25">
      <c r="A12252" t="s">
        <v>44</v>
      </c>
      <c r="B12252" t="s">
        <v>40</v>
      </c>
      <c r="C12252" t="s">
        <v>15</v>
      </c>
      <c r="D12252" t="s">
        <v>15</v>
      </c>
      <c r="E12252" t="s">
        <v>15</v>
      </c>
      <c r="F12252" t="s">
        <v>15</v>
      </c>
      <c r="G12252" s="1">
        <f>VALUE(52726.94)</f>
        <v>52726.94</v>
      </c>
      <c r="H12252" s="1">
        <f>VALUE(38963.41)</f>
        <v>38963.410000000003</v>
      </c>
      <c r="I12252" s="1">
        <f>VALUE(3237)</f>
        <v>3237</v>
      </c>
      <c r="J12252" s="1">
        <f>VALUE(3683)</f>
        <v>3683</v>
      </c>
      <c r="K12252" s="1">
        <f>VALUE(4662)</f>
        <v>4662</v>
      </c>
      <c r="L12252" s="1">
        <f>VALUE(6048)</f>
        <v>6048</v>
      </c>
      <c r="M12252" s="1">
        <f>VALUE(7651)</f>
        <v>7651</v>
      </c>
      <c r="N12252" t="s">
        <v>16</v>
      </c>
    </row>
    <row r="12253" spans="1:14" x14ac:dyDescent="0.25">
      <c r="A12253" t="s">
        <v>44</v>
      </c>
      <c r="B12253" t="s">
        <v>40</v>
      </c>
      <c r="C12253" t="s">
        <v>15</v>
      </c>
      <c r="D12253" t="s">
        <v>15</v>
      </c>
      <c r="E12253" t="s">
        <v>15</v>
      </c>
      <c r="F12253" t="s">
        <v>17</v>
      </c>
      <c r="G12253" s="2">
        <f>VALUE(4807.14)</f>
        <v>4807.1400000000003</v>
      </c>
      <c r="H12253" s="3">
        <f>VALUE(4108.98)</f>
        <v>4108.9799999999996</v>
      </c>
      <c r="I12253" s="1">
        <f>VALUE(4128)</f>
        <v>4128</v>
      </c>
      <c r="J12253" s="5">
        <f>VALUE(5026)</f>
        <v>5026</v>
      </c>
      <c r="K12253" s="1">
        <f>VALUE(6777)</f>
        <v>6777</v>
      </c>
      <c r="L12253" s="1">
        <f>VALUE(8667)</f>
        <v>8667</v>
      </c>
      <c r="M12253" s="8">
        <f>VALUE(12934)</f>
        <v>12934</v>
      </c>
      <c r="N12253" t="s">
        <v>25</v>
      </c>
    </row>
    <row r="12254" spans="1:14" x14ac:dyDescent="0.25">
      <c r="A12254" t="s">
        <v>44</v>
      </c>
      <c r="B12254" t="s">
        <v>40</v>
      </c>
      <c r="C12254" t="s">
        <v>15</v>
      </c>
      <c r="D12254" t="s">
        <v>15</v>
      </c>
      <c r="E12254" t="s">
        <v>15</v>
      </c>
      <c r="F12254" t="s">
        <v>18</v>
      </c>
      <c r="G12254" s="1">
        <f>VALUE(4220.46)</f>
        <v>4220.46</v>
      </c>
      <c r="H12254" s="1">
        <f>VALUE(3314.2)</f>
        <v>3314.2</v>
      </c>
      <c r="I12254" s="4">
        <f>VALUE(3872)</f>
        <v>3872</v>
      </c>
      <c r="J12254" s="1">
        <f>VALUE(4941)</f>
        <v>4941</v>
      </c>
      <c r="K12254" s="1">
        <f>VALUE(6316)</f>
        <v>6316</v>
      </c>
      <c r="L12254" s="1">
        <f>VALUE(7843)</f>
        <v>7843</v>
      </c>
      <c r="M12254" s="1">
        <f>VALUE(9678)</f>
        <v>9678</v>
      </c>
      <c r="N12254" t="s">
        <v>25</v>
      </c>
    </row>
    <row r="12255" spans="1:14" x14ac:dyDescent="0.25">
      <c r="A12255" t="s">
        <v>44</v>
      </c>
      <c r="B12255" t="s">
        <v>40</v>
      </c>
      <c r="C12255" t="s">
        <v>15</v>
      </c>
      <c r="D12255" t="s">
        <v>15</v>
      </c>
      <c r="E12255" t="s">
        <v>15</v>
      </c>
      <c r="F12255" t="s">
        <v>19</v>
      </c>
      <c r="G12255" s="1">
        <f>VALUE(5561.33)</f>
        <v>5561.33</v>
      </c>
      <c r="H12255" s="1">
        <f>VALUE(4470.62)</f>
        <v>4470.62</v>
      </c>
      <c r="I12255" s="1">
        <f>VALUE(3512)</f>
        <v>3512</v>
      </c>
      <c r="J12255" s="1">
        <f>VALUE(4230)</f>
        <v>4230</v>
      </c>
      <c r="K12255" s="1">
        <f>VALUE(5090)</f>
        <v>5090</v>
      </c>
      <c r="L12255" s="1">
        <f>VALUE(6438)</f>
        <v>6438</v>
      </c>
      <c r="M12255" s="1">
        <f>VALUE(7563)</f>
        <v>7563</v>
      </c>
      <c r="N12255" t="s">
        <v>16</v>
      </c>
    </row>
    <row r="12256" spans="1:14" x14ac:dyDescent="0.25">
      <c r="A12256" t="s">
        <v>44</v>
      </c>
      <c r="B12256" t="s">
        <v>40</v>
      </c>
      <c r="C12256" t="s">
        <v>15</v>
      </c>
      <c r="D12256" t="s">
        <v>15</v>
      </c>
      <c r="E12256" t="s">
        <v>15</v>
      </c>
      <c r="F12256" t="s">
        <v>20</v>
      </c>
      <c r="G12256" s="1">
        <f>VALUE(38138.01)</f>
        <v>38138.01</v>
      </c>
      <c r="H12256" s="1">
        <f>VALUE(27069.61)</f>
        <v>27069.61</v>
      </c>
      <c r="I12256" s="1">
        <f>VALUE(3155)</f>
        <v>3155</v>
      </c>
      <c r="J12256" s="1">
        <f>VALUE(3514)</f>
        <v>3514</v>
      </c>
      <c r="K12256" s="1">
        <f>VALUE(4280)</f>
        <v>4280</v>
      </c>
      <c r="L12256" s="1">
        <f>VALUE(5392)</f>
        <v>5392</v>
      </c>
      <c r="M12256" s="1">
        <f>VALUE(6583)</f>
        <v>6583</v>
      </c>
      <c r="N12256" t="s">
        <v>16</v>
      </c>
    </row>
    <row r="12257" spans="1:14" x14ac:dyDescent="0.25">
      <c r="A12257" t="s">
        <v>44</v>
      </c>
      <c r="B12257" t="s">
        <v>40</v>
      </c>
      <c r="C12257" t="s">
        <v>15</v>
      </c>
      <c r="D12257" t="s">
        <v>15</v>
      </c>
      <c r="E12257" t="s">
        <v>21</v>
      </c>
      <c r="F12257" t="s">
        <v>15</v>
      </c>
      <c r="G12257" s="1">
        <f>VALUE(12677.47)</f>
        <v>12677.47</v>
      </c>
      <c r="H12257" s="1">
        <f>VALUE(10130.72)</f>
        <v>10130.719999999999</v>
      </c>
      <c r="I12257" s="1">
        <f>VALUE(3791)</f>
        <v>3791</v>
      </c>
      <c r="J12257" s="1">
        <f>VALUE(4762)</f>
        <v>4762</v>
      </c>
      <c r="K12257" s="1">
        <f>VALUE(5977)</f>
        <v>5977</v>
      </c>
      <c r="L12257" s="1">
        <f>VALUE(7484)</f>
        <v>7484</v>
      </c>
      <c r="M12257" s="1">
        <f>VALUE(9636)</f>
        <v>9636</v>
      </c>
      <c r="N12257" t="s">
        <v>16</v>
      </c>
    </row>
    <row r="12258" spans="1:14" x14ac:dyDescent="0.25">
      <c r="A12258" t="s">
        <v>44</v>
      </c>
      <c r="B12258" t="s">
        <v>40</v>
      </c>
      <c r="C12258" t="s">
        <v>15</v>
      </c>
      <c r="D12258" t="s">
        <v>15</v>
      </c>
      <c r="E12258" t="s">
        <v>21</v>
      </c>
      <c r="F12258" t="s">
        <v>17</v>
      </c>
      <c r="G12258" s="2">
        <f>VALUE(2510.76)</f>
        <v>2510.7600000000002</v>
      </c>
      <c r="H12258" s="3">
        <f>VALUE(2125.73)</f>
        <v>2125.73</v>
      </c>
      <c r="I12258" s="4">
        <f>VALUE(4451)</f>
        <v>4451</v>
      </c>
      <c r="J12258" s="1">
        <f>VALUE(5890)</f>
        <v>5890</v>
      </c>
      <c r="K12258" s="1">
        <f>VALUE(7351)</f>
        <v>7351</v>
      </c>
      <c r="L12258" s="7">
        <f>VALUE(10125)</f>
        <v>10125</v>
      </c>
      <c r="M12258" s="8">
        <f>VALUE(14815)</f>
        <v>14815</v>
      </c>
      <c r="N12258" t="s">
        <v>25</v>
      </c>
    </row>
    <row r="12259" spans="1:14" x14ac:dyDescent="0.25">
      <c r="A12259" t="s">
        <v>44</v>
      </c>
      <c r="B12259" t="s">
        <v>40</v>
      </c>
      <c r="C12259" t="s">
        <v>15</v>
      </c>
      <c r="D12259" t="s">
        <v>15</v>
      </c>
      <c r="E12259" t="s">
        <v>21</v>
      </c>
      <c r="F12259" t="s">
        <v>18</v>
      </c>
      <c r="G12259" s="2">
        <f>VALUE(1855.34)</f>
        <v>1855.34</v>
      </c>
      <c r="H12259" s="3">
        <f>VALUE(1512.41)</f>
        <v>1512.41</v>
      </c>
      <c r="I12259" s="4">
        <f>VALUE(4441)</f>
        <v>4441</v>
      </c>
      <c r="J12259" s="5">
        <f>VALUE(5500)</f>
        <v>5500</v>
      </c>
      <c r="K12259" s="1">
        <f>VALUE(6796)</f>
        <v>6796</v>
      </c>
      <c r="L12259" s="1">
        <f>VALUE(8298)</f>
        <v>8298</v>
      </c>
      <c r="M12259" s="1">
        <f>VALUE(10344)</f>
        <v>10344</v>
      </c>
      <c r="N12259" t="s">
        <v>25</v>
      </c>
    </row>
    <row r="12260" spans="1:14" x14ac:dyDescent="0.25">
      <c r="A12260" t="s">
        <v>44</v>
      </c>
      <c r="B12260" t="s">
        <v>40</v>
      </c>
      <c r="C12260" t="s">
        <v>15</v>
      </c>
      <c r="D12260" t="s">
        <v>15</v>
      </c>
      <c r="E12260" t="s">
        <v>21</v>
      </c>
      <c r="F12260" t="s">
        <v>19</v>
      </c>
      <c r="G12260" s="2">
        <f>VALUE(1601.11)</f>
        <v>1601.11</v>
      </c>
      <c r="H12260" s="3">
        <f>VALUE(1299.52)</f>
        <v>1299.52</v>
      </c>
      <c r="I12260" s="1">
        <f>VALUE(4116)</f>
        <v>4116</v>
      </c>
      <c r="J12260" s="1">
        <f>VALUE(4901)</f>
        <v>4901</v>
      </c>
      <c r="K12260" s="1">
        <f>VALUE(6048)</f>
        <v>6048</v>
      </c>
      <c r="L12260" s="1">
        <f>VALUE(7127)</f>
        <v>7127</v>
      </c>
      <c r="M12260" s="1">
        <f>VALUE(8410)</f>
        <v>8410</v>
      </c>
      <c r="N12260" t="s">
        <v>25</v>
      </c>
    </row>
    <row r="12261" spans="1:14" x14ac:dyDescent="0.25">
      <c r="A12261" t="s">
        <v>44</v>
      </c>
      <c r="B12261" t="s">
        <v>40</v>
      </c>
      <c r="C12261" t="s">
        <v>15</v>
      </c>
      <c r="D12261" t="s">
        <v>15</v>
      </c>
      <c r="E12261" t="s">
        <v>21</v>
      </c>
      <c r="F12261" t="s">
        <v>20</v>
      </c>
      <c r="G12261" s="1">
        <f>VALUE(6710.26)</f>
        <v>6710.26</v>
      </c>
      <c r="H12261" s="1">
        <f>VALUE(5193.06)</f>
        <v>5193.0600000000004</v>
      </c>
      <c r="I12261" s="1">
        <f>VALUE(3465)</f>
        <v>3465</v>
      </c>
      <c r="J12261" s="1">
        <f>VALUE(4435)</f>
        <v>4435</v>
      </c>
      <c r="K12261" s="1">
        <f>VALUE(5382)</f>
        <v>5382</v>
      </c>
      <c r="L12261" s="1">
        <f>VALUE(6666)</f>
        <v>6666</v>
      </c>
      <c r="M12261" s="1">
        <f>VALUE(7850)</f>
        <v>7850</v>
      </c>
      <c r="N12261" t="s">
        <v>16</v>
      </c>
    </row>
    <row r="12262" spans="1:14" x14ac:dyDescent="0.25">
      <c r="A12262" t="s">
        <v>44</v>
      </c>
      <c r="B12262" t="s">
        <v>40</v>
      </c>
      <c r="C12262" t="s">
        <v>15</v>
      </c>
      <c r="D12262" t="s">
        <v>15</v>
      </c>
      <c r="E12262" t="s">
        <v>22</v>
      </c>
      <c r="F12262" t="s">
        <v>15</v>
      </c>
      <c r="G12262" s="1">
        <f>VALUE(21776.96)</f>
        <v>21776.959999999999</v>
      </c>
      <c r="H12262" s="1">
        <f>VALUE(16548.33)</f>
        <v>16548.330000000002</v>
      </c>
      <c r="I12262" s="1">
        <f>VALUE(3500)</f>
        <v>3500</v>
      </c>
      <c r="J12262" s="1">
        <f>VALUE(4126)</f>
        <v>4126</v>
      </c>
      <c r="K12262" s="1">
        <f>VALUE(5007)</f>
        <v>5007</v>
      </c>
      <c r="L12262" s="1">
        <f>VALUE(6118)</f>
        <v>6118</v>
      </c>
      <c r="M12262" s="1">
        <f>VALUE(7490)</f>
        <v>7490</v>
      </c>
      <c r="N12262" t="s">
        <v>16</v>
      </c>
    </row>
    <row r="12263" spans="1:14" x14ac:dyDescent="0.25">
      <c r="A12263" t="s">
        <v>44</v>
      </c>
      <c r="B12263" t="s">
        <v>40</v>
      </c>
      <c r="C12263" t="s">
        <v>15</v>
      </c>
      <c r="D12263" t="s">
        <v>15</v>
      </c>
      <c r="E12263" t="s">
        <v>22</v>
      </c>
      <c r="F12263" t="s">
        <v>17</v>
      </c>
      <c r="G12263" s="2">
        <f>VALUE(1977.19)</f>
        <v>1977.19</v>
      </c>
      <c r="H12263" s="3">
        <f>VALUE(1702.52)</f>
        <v>1702.52</v>
      </c>
      <c r="I12263" s="4">
        <f>VALUE(3899)</f>
        <v>3899</v>
      </c>
      <c r="J12263" s="5">
        <f>VALUE(4852)</f>
        <v>4852</v>
      </c>
      <c r="K12263" s="6">
        <f>VALUE(6217)</f>
        <v>6217</v>
      </c>
      <c r="L12263" s="7">
        <f>VALUE(7808)</f>
        <v>7808</v>
      </c>
      <c r="M12263" s="8">
        <f>VALUE(11075)</f>
        <v>11075</v>
      </c>
      <c r="N12263" t="s">
        <v>24</v>
      </c>
    </row>
    <row r="12264" spans="1:14" x14ac:dyDescent="0.25">
      <c r="A12264" t="s">
        <v>44</v>
      </c>
      <c r="B12264" t="s">
        <v>40</v>
      </c>
      <c r="C12264" t="s">
        <v>15</v>
      </c>
      <c r="D12264" t="s">
        <v>15</v>
      </c>
      <c r="E12264" t="s">
        <v>22</v>
      </c>
      <c r="F12264" t="s">
        <v>18</v>
      </c>
      <c r="G12264" s="2">
        <f>VALUE(1898.54)</f>
        <v>1898.54</v>
      </c>
      <c r="H12264" s="3">
        <f>VALUE(1460.81)</f>
        <v>1460.81</v>
      </c>
      <c r="I12264" s="1">
        <f>VALUE(3947)</f>
        <v>3947</v>
      </c>
      <c r="J12264" s="1">
        <f>VALUE(4784)</f>
        <v>4784</v>
      </c>
      <c r="K12264" s="1">
        <f>VALUE(6413)</f>
        <v>6413</v>
      </c>
      <c r="L12264" s="1">
        <f>VALUE(7642)</f>
        <v>7642</v>
      </c>
      <c r="M12264" s="8">
        <f>VALUE(9069)</f>
        <v>9069</v>
      </c>
      <c r="N12264" t="s">
        <v>25</v>
      </c>
    </row>
    <row r="12265" spans="1:14" x14ac:dyDescent="0.25">
      <c r="A12265" t="s">
        <v>44</v>
      </c>
      <c r="B12265" t="s">
        <v>40</v>
      </c>
      <c r="C12265" t="s">
        <v>15</v>
      </c>
      <c r="D12265" t="s">
        <v>15</v>
      </c>
      <c r="E12265" t="s">
        <v>22</v>
      </c>
      <c r="F12265" t="s">
        <v>19</v>
      </c>
      <c r="G12265" s="2">
        <f>VALUE(3066.14)</f>
        <v>3066.14</v>
      </c>
      <c r="H12265" s="3">
        <f>VALUE(2463.23)</f>
        <v>2463.23</v>
      </c>
      <c r="I12265" s="1">
        <f>VALUE(3615)</f>
        <v>3615</v>
      </c>
      <c r="J12265" s="1">
        <f>VALUE(4281)</f>
        <v>4281</v>
      </c>
      <c r="K12265" s="1">
        <f>VALUE(4987)</f>
        <v>4987</v>
      </c>
      <c r="L12265" s="1">
        <f>VALUE(6233)</f>
        <v>6233</v>
      </c>
      <c r="M12265" s="1">
        <f>VALUE(7365)</f>
        <v>7365</v>
      </c>
      <c r="N12265" t="s">
        <v>25</v>
      </c>
    </row>
    <row r="12266" spans="1:14" x14ac:dyDescent="0.25">
      <c r="A12266" t="s">
        <v>44</v>
      </c>
      <c r="B12266" t="s">
        <v>40</v>
      </c>
      <c r="C12266" t="s">
        <v>15</v>
      </c>
      <c r="D12266" t="s">
        <v>15</v>
      </c>
      <c r="E12266" t="s">
        <v>22</v>
      </c>
      <c r="F12266" t="s">
        <v>20</v>
      </c>
      <c r="G12266" s="1">
        <f>VALUE(14835.09)</f>
        <v>14835.09</v>
      </c>
      <c r="H12266" s="1">
        <f>VALUE(10921.77)</f>
        <v>10921.77</v>
      </c>
      <c r="I12266" s="1">
        <f>VALUE(3431)</f>
        <v>3431</v>
      </c>
      <c r="J12266" s="1">
        <f>VALUE(4000)</f>
        <v>4000</v>
      </c>
      <c r="K12266" s="1">
        <f>VALUE(4826)</f>
        <v>4826</v>
      </c>
      <c r="L12266" s="1">
        <f>VALUE(5682)</f>
        <v>5682</v>
      </c>
      <c r="M12266" s="1">
        <f>VALUE(6667)</f>
        <v>6667</v>
      </c>
      <c r="N12266" t="s">
        <v>16</v>
      </c>
    </row>
    <row r="12267" spans="1:14" x14ac:dyDescent="0.25">
      <c r="A12267" t="s">
        <v>44</v>
      </c>
      <c r="B12267" t="s">
        <v>40</v>
      </c>
      <c r="C12267" t="s">
        <v>15</v>
      </c>
      <c r="D12267" t="s">
        <v>15</v>
      </c>
      <c r="E12267" t="s">
        <v>23</v>
      </c>
      <c r="F12267" t="s">
        <v>15</v>
      </c>
      <c r="G12267" s="1">
        <f>VALUE(17978.17)</f>
        <v>17978.169999999998</v>
      </c>
      <c r="H12267" s="1">
        <f>VALUE(12042.75)</f>
        <v>12042.75</v>
      </c>
      <c r="I12267" s="1">
        <f>VALUE(3010)</f>
        <v>3010</v>
      </c>
      <c r="J12267" s="1">
        <f>VALUE(3250)</f>
        <v>3250</v>
      </c>
      <c r="K12267" s="1">
        <f>VALUE(3612)</f>
        <v>3612</v>
      </c>
      <c r="L12267" s="1">
        <f>VALUE(4208)</f>
        <v>4208</v>
      </c>
      <c r="M12267" s="1">
        <f>VALUE(4881)</f>
        <v>4881</v>
      </c>
      <c r="N12267" t="s">
        <v>16</v>
      </c>
    </row>
    <row r="12268" spans="1:14" x14ac:dyDescent="0.25">
      <c r="A12268" t="s">
        <v>44</v>
      </c>
      <c r="B12268" t="s">
        <v>40</v>
      </c>
      <c r="C12268" t="s">
        <v>15</v>
      </c>
      <c r="D12268" t="s">
        <v>15</v>
      </c>
      <c r="E12268" t="s">
        <v>23</v>
      </c>
      <c r="F12268" t="s">
        <v>17</v>
      </c>
      <c r="G12268" s="1" t="str">
        <f t="shared" ref="G12268:M12268" si="2747">"X"</f>
        <v>X</v>
      </c>
      <c r="H12268" s="1" t="str">
        <f t="shared" si="2747"/>
        <v>X</v>
      </c>
      <c r="I12268" s="1" t="str">
        <f t="shared" si="2747"/>
        <v>X</v>
      </c>
      <c r="J12268" s="1" t="str">
        <f t="shared" si="2747"/>
        <v>X</v>
      </c>
      <c r="K12268" s="1" t="str">
        <f t="shared" si="2747"/>
        <v>X</v>
      </c>
      <c r="L12268" s="1" t="str">
        <f t="shared" si="2747"/>
        <v>X</v>
      </c>
      <c r="M12268" s="1" t="str">
        <f t="shared" si="2747"/>
        <v>X</v>
      </c>
      <c r="N12268" t="s">
        <v>27</v>
      </c>
    </row>
    <row r="12269" spans="1:14" x14ac:dyDescent="0.25">
      <c r="A12269" t="s">
        <v>44</v>
      </c>
      <c r="B12269" t="s">
        <v>40</v>
      </c>
      <c r="C12269" t="s">
        <v>15</v>
      </c>
      <c r="D12269" t="s">
        <v>15</v>
      </c>
      <c r="E12269" t="s">
        <v>23</v>
      </c>
      <c r="F12269" t="s">
        <v>18</v>
      </c>
      <c r="G12269" s="2">
        <f>VALUE(391.28)</f>
        <v>391.28</v>
      </c>
      <c r="H12269" s="3">
        <f>VALUE(277.95)</f>
        <v>277.95</v>
      </c>
      <c r="I12269" s="4">
        <f>VALUE(3288)</f>
        <v>3288</v>
      </c>
      <c r="J12269" s="5">
        <f>VALUE(3500)</f>
        <v>3500</v>
      </c>
      <c r="K12269" s="6">
        <f>VALUE(4422)</f>
        <v>4422</v>
      </c>
      <c r="L12269" s="7">
        <f>VALUE(5106)</f>
        <v>5106</v>
      </c>
      <c r="M12269" s="8">
        <f>VALUE(6532)</f>
        <v>6532</v>
      </c>
      <c r="N12269" t="s">
        <v>24</v>
      </c>
    </row>
    <row r="12270" spans="1:14" x14ac:dyDescent="0.25">
      <c r="A12270" t="s">
        <v>44</v>
      </c>
      <c r="B12270" t="s">
        <v>40</v>
      </c>
      <c r="C12270" t="s">
        <v>15</v>
      </c>
      <c r="D12270" t="s">
        <v>15</v>
      </c>
      <c r="E12270" t="s">
        <v>23</v>
      </c>
      <c r="F12270" t="s">
        <v>19</v>
      </c>
      <c r="G12270" s="2">
        <f>VALUE(892.85)</f>
        <v>892.85</v>
      </c>
      <c r="H12270" s="3">
        <f>VALUE(707.26)</f>
        <v>707.26</v>
      </c>
      <c r="I12270" s="4">
        <f>VALUE(3080)</f>
        <v>3080</v>
      </c>
      <c r="J12270" s="5">
        <f>VALUE(3338)</f>
        <v>3338</v>
      </c>
      <c r="K12270" s="1">
        <f>VALUE(4018)</f>
        <v>4018</v>
      </c>
      <c r="L12270" s="1">
        <f>VALUE(4655)</f>
        <v>4655</v>
      </c>
      <c r="M12270" s="8">
        <f>VALUE(5354)</f>
        <v>5354</v>
      </c>
      <c r="N12270" t="s">
        <v>25</v>
      </c>
    </row>
    <row r="12271" spans="1:14" x14ac:dyDescent="0.25">
      <c r="A12271" t="s">
        <v>44</v>
      </c>
      <c r="B12271" t="s">
        <v>40</v>
      </c>
      <c r="C12271" t="s">
        <v>15</v>
      </c>
      <c r="D12271" t="s">
        <v>15</v>
      </c>
      <c r="E12271" t="s">
        <v>23</v>
      </c>
      <c r="F12271" t="s">
        <v>20</v>
      </c>
      <c r="G12271" s="1">
        <f>VALUE(16379.68)</f>
        <v>16379.68</v>
      </c>
      <c r="H12271" s="1">
        <f>VALUE(10781.77)</f>
        <v>10781.77</v>
      </c>
      <c r="I12271" s="1">
        <f>VALUE(3003)</f>
        <v>3003</v>
      </c>
      <c r="J12271" s="1">
        <f>VALUE(3249)</f>
        <v>3249</v>
      </c>
      <c r="K12271" s="1">
        <f>VALUE(3581)</f>
        <v>3581</v>
      </c>
      <c r="L12271" s="1">
        <f>VALUE(4125)</f>
        <v>4125</v>
      </c>
      <c r="M12271" s="1">
        <f>VALUE(4700)</f>
        <v>4700</v>
      </c>
      <c r="N12271" t="s">
        <v>16</v>
      </c>
    </row>
    <row r="12272" spans="1:14" x14ac:dyDescent="0.25">
      <c r="A12272" t="s">
        <v>44</v>
      </c>
      <c r="B12272" t="s">
        <v>40</v>
      </c>
      <c r="C12272" t="s">
        <v>15</v>
      </c>
      <c r="D12272" t="s">
        <v>15</v>
      </c>
      <c r="E12272" t="s">
        <v>26</v>
      </c>
      <c r="F12272" t="s">
        <v>15</v>
      </c>
      <c r="G12272" s="2">
        <f>VALUE(294.34)</f>
        <v>294.33999999999997</v>
      </c>
      <c r="H12272" s="3">
        <f>VALUE(241.61)</f>
        <v>241.61</v>
      </c>
      <c r="I12272" s="1">
        <f>VALUE(3514)</f>
        <v>3514</v>
      </c>
      <c r="J12272" s="1">
        <f>VALUE(4228)</f>
        <v>4228</v>
      </c>
      <c r="K12272" s="1">
        <f>VALUE(5202)</f>
        <v>5202</v>
      </c>
      <c r="L12272" s="1">
        <f>VALUE(5637)</f>
        <v>5637</v>
      </c>
      <c r="M12272" s="1">
        <f>VALUE(9253)</f>
        <v>9253</v>
      </c>
      <c r="N12272" t="s">
        <v>25</v>
      </c>
    </row>
    <row r="12273" spans="1:14" x14ac:dyDescent="0.25">
      <c r="A12273" t="s">
        <v>44</v>
      </c>
      <c r="B12273" t="s">
        <v>40</v>
      </c>
      <c r="C12273" t="s">
        <v>15</v>
      </c>
      <c r="D12273" t="s">
        <v>15</v>
      </c>
      <c r="E12273" t="s">
        <v>26</v>
      </c>
      <c r="F12273" t="s">
        <v>17</v>
      </c>
      <c r="G12273" s="1" t="str">
        <f t="shared" ref="G12273:M12275" si="2748">"X"</f>
        <v>X</v>
      </c>
      <c r="H12273" s="1" t="str">
        <f t="shared" si="2748"/>
        <v>X</v>
      </c>
      <c r="I12273" s="1" t="str">
        <f t="shared" si="2748"/>
        <v>X</v>
      </c>
      <c r="J12273" s="1" t="str">
        <f t="shared" si="2748"/>
        <v>X</v>
      </c>
      <c r="K12273" s="1" t="str">
        <f t="shared" si="2748"/>
        <v>X</v>
      </c>
      <c r="L12273" s="1" t="str">
        <f t="shared" si="2748"/>
        <v>X</v>
      </c>
      <c r="M12273" s="1" t="str">
        <f t="shared" si="2748"/>
        <v>X</v>
      </c>
      <c r="N12273" t="s">
        <v>27</v>
      </c>
    </row>
    <row r="12274" spans="1:14" x14ac:dyDescent="0.25">
      <c r="A12274" t="s">
        <v>44</v>
      </c>
      <c r="B12274" t="s">
        <v>40</v>
      </c>
      <c r="C12274" t="s">
        <v>15</v>
      </c>
      <c r="D12274" t="s">
        <v>15</v>
      </c>
      <c r="E12274" t="s">
        <v>26</v>
      </c>
      <c r="F12274" t="s">
        <v>18</v>
      </c>
      <c r="G12274" s="1" t="str">
        <f t="shared" si="2748"/>
        <v>X</v>
      </c>
      <c r="H12274" s="1" t="str">
        <f t="shared" si="2748"/>
        <v>X</v>
      </c>
      <c r="I12274" s="1" t="str">
        <f t="shared" si="2748"/>
        <v>X</v>
      </c>
      <c r="J12274" s="1" t="str">
        <f t="shared" si="2748"/>
        <v>X</v>
      </c>
      <c r="K12274" s="1" t="str">
        <f t="shared" si="2748"/>
        <v>X</v>
      </c>
      <c r="L12274" s="1" t="str">
        <f t="shared" si="2748"/>
        <v>X</v>
      </c>
      <c r="M12274" s="1" t="str">
        <f t="shared" si="2748"/>
        <v>X</v>
      </c>
      <c r="N12274" t="s">
        <v>27</v>
      </c>
    </row>
    <row r="12275" spans="1:14" x14ac:dyDescent="0.25">
      <c r="A12275" t="s">
        <v>44</v>
      </c>
      <c r="B12275" t="s">
        <v>40</v>
      </c>
      <c r="C12275" t="s">
        <v>15</v>
      </c>
      <c r="D12275" t="s">
        <v>15</v>
      </c>
      <c r="E12275" t="s">
        <v>26</v>
      </c>
      <c r="F12275" t="s">
        <v>19</v>
      </c>
      <c r="G12275" s="1" t="str">
        <f t="shared" si="2748"/>
        <v>X</v>
      </c>
      <c r="H12275" s="1" t="str">
        <f t="shared" si="2748"/>
        <v>X</v>
      </c>
      <c r="I12275" s="1" t="str">
        <f t="shared" si="2748"/>
        <v>X</v>
      </c>
      <c r="J12275" s="1" t="str">
        <f t="shared" si="2748"/>
        <v>X</v>
      </c>
      <c r="K12275" s="1" t="str">
        <f t="shared" si="2748"/>
        <v>X</v>
      </c>
      <c r="L12275" s="1" t="str">
        <f t="shared" si="2748"/>
        <v>X</v>
      </c>
      <c r="M12275" s="1" t="str">
        <f t="shared" si="2748"/>
        <v>X</v>
      </c>
      <c r="N12275" t="s">
        <v>27</v>
      </c>
    </row>
    <row r="12276" spans="1:14" x14ac:dyDescent="0.25">
      <c r="A12276" t="s">
        <v>44</v>
      </c>
      <c r="B12276" t="s">
        <v>40</v>
      </c>
      <c r="C12276" t="s">
        <v>15</v>
      </c>
      <c r="D12276" t="s">
        <v>15</v>
      </c>
      <c r="E12276" t="s">
        <v>26</v>
      </c>
      <c r="F12276" t="s">
        <v>20</v>
      </c>
      <c r="G12276" s="2">
        <f>VALUE(212.98)</f>
        <v>212.98</v>
      </c>
      <c r="H12276" s="3">
        <f>VALUE(173.01)</f>
        <v>173.01</v>
      </c>
      <c r="I12276" s="1">
        <f>VALUE(3514)</f>
        <v>3514</v>
      </c>
      <c r="J12276" s="1">
        <f>VALUE(3690)</f>
        <v>3690</v>
      </c>
      <c r="K12276" s="1">
        <f>VALUE(4536)</f>
        <v>4536</v>
      </c>
      <c r="L12276" s="1">
        <f>VALUE(6410)</f>
        <v>6410</v>
      </c>
      <c r="M12276" s="1">
        <f>VALUE(9253)</f>
        <v>9253</v>
      </c>
      <c r="N12276" t="s">
        <v>25</v>
      </c>
    </row>
    <row r="12277" spans="1:14" x14ac:dyDescent="0.25">
      <c r="A12277" t="s">
        <v>44</v>
      </c>
      <c r="B12277" t="s">
        <v>40</v>
      </c>
      <c r="C12277" t="s">
        <v>15</v>
      </c>
      <c r="D12277" t="s">
        <v>28</v>
      </c>
      <c r="E12277" t="s">
        <v>15</v>
      </c>
      <c r="F12277" t="s">
        <v>15</v>
      </c>
      <c r="G12277" s="1">
        <f>VALUE(23693.3)</f>
        <v>23693.3</v>
      </c>
      <c r="H12277" s="1">
        <f>VALUE(16430.07)</f>
        <v>16430.07</v>
      </c>
      <c r="I12277" s="1">
        <f>VALUE(3662)</f>
        <v>3662</v>
      </c>
      <c r="J12277" s="1">
        <f>VALUE(4361)</f>
        <v>4361</v>
      </c>
      <c r="K12277" s="1">
        <f>VALUE(5374)</f>
        <v>5374</v>
      </c>
      <c r="L12277" s="1">
        <f>VALUE(6665)</f>
        <v>6665</v>
      </c>
      <c r="M12277" s="1">
        <f>VALUE(8271)</f>
        <v>8271</v>
      </c>
      <c r="N12277" t="s">
        <v>16</v>
      </c>
    </row>
    <row r="12278" spans="1:14" x14ac:dyDescent="0.25">
      <c r="A12278" t="s">
        <v>44</v>
      </c>
      <c r="B12278" t="s">
        <v>40</v>
      </c>
      <c r="C12278" t="s">
        <v>15</v>
      </c>
      <c r="D12278" t="s">
        <v>28</v>
      </c>
      <c r="E12278" t="s">
        <v>15</v>
      </c>
      <c r="F12278" t="s">
        <v>17</v>
      </c>
      <c r="G12278" s="2">
        <f>VALUE(3050.38)</f>
        <v>3050.38</v>
      </c>
      <c r="H12278" s="3">
        <f>VALUE(2464.94)</f>
        <v>2464.94</v>
      </c>
      <c r="I12278" s="4">
        <f>VALUE(4128)</f>
        <v>4128</v>
      </c>
      <c r="J12278" s="5">
        <f>VALUE(5158)</f>
        <v>5158</v>
      </c>
      <c r="K12278" s="1">
        <f>VALUE(6628)</f>
        <v>6628</v>
      </c>
      <c r="L12278" s="1">
        <f>VALUE(8667)</f>
        <v>8667</v>
      </c>
      <c r="M12278" s="8">
        <f>VALUE(12185)</f>
        <v>12185</v>
      </c>
      <c r="N12278" t="s">
        <v>25</v>
      </c>
    </row>
    <row r="12279" spans="1:14" x14ac:dyDescent="0.25">
      <c r="A12279" t="s">
        <v>44</v>
      </c>
      <c r="B12279" t="s">
        <v>40</v>
      </c>
      <c r="C12279" t="s">
        <v>15</v>
      </c>
      <c r="D12279" t="s">
        <v>28</v>
      </c>
      <c r="E12279" t="s">
        <v>15</v>
      </c>
      <c r="F12279" t="s">
        <v>18</v>
      </c>
      <c r="G12279" s="2">
        <f>VALUE(2379.25)</f>
        <v>2379.25</v>
      </c>
      <c r="H12279" s="3">
        <f>VALUE(1751.2)</f>
        <v>1751.2</v>
      </c>
      <c r="I12279" s="1">
        <f>VALUE(4144)</f>
        <v>4144</v>
      </c>
      <c r="J12279" s="1">
        <f>VALUE(5158)</f>
        <v>5158</v>
      </c>
      <c r="K12279" s="1">
        <f>VALUE(6660)</f>
        <v>6660</v>
      </c>
      <c r="L12279" s="1">
        <f>VALUE(8025)</f>
        <v>8025</v>
      </c>
      <c r="M12279" s="1">
        <f>VALUE(9768)</f>
        <v>9768</v>
      </c>
      <c r="N12279" t="s">
        <v>25</v>
      </c>
    </row>
    <row r="12280" spans="1:14" x14ac:dyDescent="0.25">
      <c r="A12280" t="s">
        <v>44</v>
      </c>
      <c r="B12280" t="s">
        <v>40</v>
      </c>
      <c r="C12280" t="s">
        <v>15</v>
      </c>
      <c r="D12280" t="s">
        <v>28</v>
      </c>
      <c r="E12280" t="s">
        <v>15</v>
      </c>
      <c r="F12280" t="s">
        <v>19</v>
      </c>
      <c r="G12280" s="2">
        <f>VALUE(3010.73)</f>
        <v>3010.73</v>
      </c>
      <c r="H12280" s="3">
        <f>VALUE(2207.05)</f>
        <v>2207.0500000000002</v>
      </c>
      <c r="I12280" s="1">
        <f>VALUE(3898)</f>
        <v>3898</v>
      </c>
      <c r="J12280" s="1">
        <f>VALUE(4456)</f>
        <v>4456</v>
      </c>
      <c r="K12280" s="1">
        <f>VALUE(5449)</f>
        <v>5449</v>
      </c>
      <c r="L12280" s="1">
        <f>VALUE(6654)</f>
        <v>6654</v>
      </c>
      <c r="M12280" s="1">
        <f>VALUE(7853)</f>
        <v>7853</v>
      </c>
      <c r="N12280" t="s">
        <v>25</v>
      </c>
    </row>
    <row r="12281" spans="1:14" x14ac:dyDescent="0.25">
      <c r="A12281" t="s">
        <v>44</v>
      </c>
      <c r="B12281" t="s">
        <v>40</v>
      </c>
      <c r="C12281" t="s">
        <v>15</v>
      </c>
      <c r="D12281" t="s">
        <v>28</v>
      </c>
      <c r="E12281" t="s">
        <v>15</v>
      </c>
      <c r="F12281" t="s">
        <v>20</v>
      </c>
      <c r="G12281" s="1">
        <f>VALUE(15252.94)</f>
        <v>15252.94</v>
      </c>
      <c r="H12281" s="1">
        <f>VALUE(10006.88)</f>
        <v>10006.879999999999</v>
      </c>
      <c r="I12281" s="1">
        <f>VALUE(3551)</f>
        <v>3551</v>
      </c>
      <c r="J12281" s="1">
        <f>VALUE(4166)</f>
        <v>4166</v>
      </c>
      <c r="K12281" s="1">
        <f>VALUE(4978)</f>
        <v>4978</v>
      </c>
      <c r="L12281" s="1">
        <f>VALUE(5974)</f>
        <v>5974</v>
      </c>
      <c r="M12281" s="1">
        <f>VALUE(7155)</f>
        <v>7155</v>
      </c>
      <c r="N12281" t="s">
        <v>16</v>
      </c>
    </row>
    <row r="12282" spans="1:14" x14ac:dyDescent="0.25">
      <c r="A12282" t="s">
        <v>44</v>
      </c>
      <c r="B12282" t="s">
        <v>40</v>
      </c>
      <c r="C12282" t="s">
        <v>15</v>
      </c>
      <c r="D12282" t="s">
        <v>28</v>
      </c>
      <c r="E12282" t="s">
        <v>21</v>
      </c>
      <c r="F12282" t="s">
        <v>15</v>
      </c>
      <c r="G12282" s="1">
        <f>VALUE(5712.81)</f>
        <v>5712.81</v>
      </c>
      <c r="H12282" s="1">
        <f>VALUE(4083.81)</f>
        <v>4083.81</v>
      </c>
      <c r="I12282" s="4">
        <f>VALUE(4500)</f>
        <v>4500</v>
      </c>
      <c r="J12282" s="1">
        <f>VALUE(5238)</f>
        <v>5238</v>
      </c>
      <c r="K12282" s="1">
        <f>VALUE(6463)</f>
        <v>6463</v>
      </c>
      <c r="L12282" s="1">
        <f>VALUE(8040)</f>
        <v>8040</v>
      </c>
      <c r="M12282" s="1">
        <f>VALUE(10524)</f>
        <v>10524</v>
      </c>
      <c r="N12282" t="s">
        <v>25</v>
      </c>
    </row>
    <row r="12283" spans="1:14" x14ac:dyDescent="0.25">
      <c r="A12283" t="s">
        <v>44</v>
      </c>
      <c r="B12283" t="s">
        <v>40</v>
      </c>
      <c r="C12283" t="s">
        <v>15</v>
      </c>
      <c r="D12283" t="s">
        <v>28</v>
      </c>
      <c r="E12283" t="s">
        <v>21</v>
      </c>
      <c r="F12283" t="s">
        <v>17</v>
      </c>
      <c r="G12283" s="2">
        <f>VALUE(1396.84)</f>
        <v>1396.84</v>
      </c>
      <c r="H12283" s="3">
        <f>VALUE(1075.2)</f>
        <v>1075.2</v>
      </c>
      <c r="I12283" s="4">
        <f>VALUE(5000)</f>
        <v>5000</v>
      </c>
      <c r="J12283" s="1">
        <f>VALUE(6071)</f>
        <v>6071</v>
      </c>
      <c r="K12283" s="1">
        <f>VALUE(7583)</f>
        <v>7583</v>
      </c>
      <c r="L12283" s="7">
        <f>VALUE(10240)</f>
        <v>10240</v>
      </c>
      <c r="M12283" s="8">
        <f>VALUE(14331)</f>
        <v>14331</v>
      </c>
      <c r="N12283" t="s">
        <v>25</v>
      </c>
    </row>
    <row r="12284" spans="1:14" x14ac:dyDescent="0.25">
      <c r="A12284" t="s">
        <v>44</v>
      </c>
      <c r="B12284" t="s">
        <v>40</v>
      </c>
      <c r="C12284" t="s">
        <v>15</v>
      </c>
      <c r="D12284" t="s">
        <v>28</v>
      </c>
      <c r="E12284" t="s">
        <v>21</v>
      </c>
      <c r="F12284" t="s">
        <v>18</v>
      </c>
      <c r="G12284" s="2">
        <f>VALUE(839.76)</f>
        <v>839.76</v>
      </c>
      <c r="H12284" s="3">
        <f>VALUE(636.94)</f>
        <v>636.94000000000005</v>
      </c>
      <c r="I12284" s="4">
        <f>VALUE(4941)</f>
        <v>4941</v>
      </c>
      <c r="J12284" s="5">
        <f>VALUE(5984)</f>
        <v>5984</v>
      </c>
      <c r="K12284" s="1">
        <f>VALUE(7127)</f>
        <v>7127</v>
      </c>
      <c r="L12284" s="1">
        <f>VALUE(8340)</f>
        <v>8340</v>
      </c>
      <c r="M12284" s="1">
        <f>VALUE(10584)</f>
        <v>10584</v>
      </c>
      <c r="N12284" t="s">
        <v>25</v>
      </c>
    </row>
    <row r="12285" spans="1:14" x14ac:dyDescent="0.25">
      <c r="A12285" t="s">
        <v>44</v>
      </c>
      <c r="B12285" t="s">
        <v>40</v>
      </c>
      <c r="C12285" t="s">
        <v>15</v>
      </c>
      <c r="D12285" t="s">
        <v>28</v>
      </c>
      <c r="E12285" t="s">
        <v>21</v>
      </c>
      <c r="F12285" t="s">
        <v>19</v>
      </c>
      <c r="G12285" s="2">
        <f>VALUE(677.5)</f>
        <v>677.5</v>
      </c>
      <c r="H12285" s="3">
        <f>VALUE(476.07)</f>
        <v>476.07</v>
      </c>
      <c r="I12285" s="4">
        <f>VALUE(4644)</f>
        <v>4644</v>
      </c>
      <c r="J12285" s="1">
        <f>VALUE(5180)</f>
        <v>5180</v>
      </c>
      <c r="K12285" s="1">
        <f>VALUE(6305)</f>
        <v>6305</v>
      </c>
      <c r="L12285" s="1">
        <f>VALUE(7733)</f>
        <v>7733</v>
      </c>
      <c r="M12285" s="8">
        <f>VALUE(9206)</f>
        <v>9206</v>
      </c>
      <c r="N12285" t="s">
        <v>25</v>
      </c>
    </row>
    <row r="12286" spans="1:14" x14ac:dyDescent="0.25">
      <c r="A12286" t="s">
        <v>44</v>
      </c>
      <c r="B12286" t="s">
        <v>40</v>
      </c>
      <c r="C12286" t="s">
        <v>15</v>
      </c>
      <c r="D12286" t="s">
        <v>28</v>
      </c>
      <c r="E12286" t="s">
        <v>21</v>
      </c>
      <c r="F12286" t="s">
        <v>20</v>
      </c>
      <c r="G12286" s="2">
        <f>VALUE(2798.71)</f>
        <v>2798.71</v>
      </c>
      <c r="H12286" s="3">
        <f>VALUE(1895.6)</f>
        <v>1895.6</v>
      </c>
      <c r="I12286" s="4">
        <f>VALUE(3929)</f>
        <v>3929</v>
      </c>
      <c r="J12286" s="1">
        <f>VALUE(4824)</f>
        <v>4824</v>
      </c>
      <c r="K12286" s="1">
        <f>VALUE(5844)</f>
        <v>5844</v>
      </c>
      <c r="L12286" s="1">
        <f>VALUE(7150)</f>
        <v>7150</v>
      </c>
      <c r="M12286" s="1">
        <f>VALUE(8425)</f>
        <v>8425</v>
      </c>
      <c r="N12286" t="s">
        <v>25</v>
      </c>
    </row>
    <row r="12287" spans="1:14" x14ac:dyDescent="0.25">
      <c r="A12287" t="s">
        <v>44</v>
      </c>
      <c r="B12287" t="s">
        <v>40</v>
      </c>
      <c r="C12287" t="s">
        <v>15</v>
      </c>
      <c r="D12287" t="s">
        <v>28</v>
      </c>
      <c r="E12287" t="s">
        <v>22</v>
      </c>
      <c r="F12287" t="s">
        <v>15</v>
      </c>
      <c r="G12287" s="1">
        <f>VALUE(13820.17)</f>
        <v>13820.17</v>
      </c>
      <c r="H12287" s="1">
        <f>VALUE(10007.65)</f>
        <v>10007.65</v>
      </c>
      <c r="I12287" s="1">
        <f>VALUE(3692)</f>
        <v>3692</v>
      </c>
      <c r="J12287" s="1">
        <f>VALUE(4345)</f>
        <v>4345</v>
      </c>
      <c r="K12287" s="1">
        <f>VALUE(5261)</f>
        <v>5261</v>
      </c>
      <c r="L12287" s="1">
        <f>VALUE(6471)</f>
        <v>6471</v>
      </c>
      <c r="M12287" s="1">
        <f>VALUE(7693)</f>
        <v>7693</v>
      </c>
      <c r="N12287" t="s">
        <v>16</v>
      </c>
    </row>
    <row r="12288" spans="1:14" x14ac:dyDescent="0.25">
      <c r="A12288" t="s">
        <v>44</v>
      </c>
      <c r="B12288" t="s">
        <v>40</v>
      </c>
      <c r="C12288" t="s">
        <v>15</v>
      </c>
      <c r="D12288" t="s">
        <v>28</v>
      </c>
      <c r="E12288" t="s">
        <v>22</v>
      </c>
      <c r="F12288" t="s">
        <v>17</v>
      </c>
      <c r="G12288" s="2">
        <f>VALUE(1416.54)</f>
        <v>1416.54</v>
      </c>
      <c r="H12288" s="3">
        <f>VALUE(1184.87)</f>
        <v>1184.8699999999999</v>
      </c>
      <c r="I12288" s="4">
        <f>VALUE(4000)</f>
        <v>4000</v>
      </c>
      <c r="J12288" s="5">
        <f>VALUE(4852)</f>
        <v>4852</v>
      </c>
      <c r="K12288" s="6">
        <f>VALUE(6481)</f>
        <v>6481</v>
      </c>
      <c r="L12288" s="7">
        <f>VALUE(8193)</f>
        <v>8193</v>
      </c>
      <c r="M12288" s="8">
        <f>VALUE(10667)</f>
        <v>10667</v>
      </c>
      <c r="N12288" t="s">
        <v>24</v>
      </c>
    </row>
    <row r="12289" spans="1:14" x14ac:dyDescent="0.25">
      <c r="A12289" t="s">
        <v>44</v>
      </c>
      <c r="B12289" t="s">
        <v>40</v>
      </c>
      <c r="C12289" t="s">
        <v>15</v>
      </c>
      <c r="D12289" t="s">
        <v>28</v>
      </c>
      <c r="E12289" t="s">
        <v>22</v>
      </c>
      <c r="F12289" t="s">
        <v>18</v>
      </c>
      <c r="G12289" s="2">
        <f>VALUE(1385.01)</f>
        <v>1385.01</v>
      </c>
      <c r="H12289" s="3">
        <f>VALUE(1023.95)</f>
        <v>1023.95</v>
      </c>
      <c r="I12289" s="4">
        <f>VALUE(3961)</f>
        <v>3961</v>
      </c>
      <c r="J12289" s="5">
        <f>VALUE(4939)</f>
        <v>4939</v>
      </c>
      <c r="K12289" s="1">
        <f>VALUE(6557)</f>
        <v>6557</v>
      </c>
      <c r="L12289" s="1">
        <f>VALUE(7723)</f>
        <v>7723</v>
      </c>
      <c r="M12289" s="8">
        <f>VALUE(8989)</f>
        <v>8989</v>
      </c>
      <c r="N12289" t="s">
        <v>25</v>
      </c>
    </row>
    <row r="12290" spans="1:14" x14ac:dyDescent="0.25">
      <c r="A12290" t="s">
        <v>44</v>
      </c>
      <c r="B12290" t="s">
        <v>40</v>
      </c>
      <c r="C12290" t="s">
        <v>15</v>
      </c>
      <c r="D12290" t="s">
        <v>28</v>
      </c>
      <c r="E12290" t="s">
        <v>22</v>
      </c>
      <c r="F12290" t="s">
        <v>19</v>
      </c>
      <c r="G12290" s="2">
        <f>VALUE(1969.81)</f>
        <v>1969.81</v>
      </c>
      <c r="H12290" s="3">
        <f>VALUE(1506.82)</f>
        <v>1506.82</v>
      </c>
      <c r="I12290" s="1">
        <f>VALUE(3940)</f>
        <v>3940</v>
      </c>
      <c r="J12290" s="1">
        <f>VALUE(4400)</f>
        <v>4400</v>
      </c>
      <c r="K12290" s="1">
        <f>VALUE(5319)</f>
        <v>5319</v>
      </c>
      <c r="L12290" s="1">
        <f>VALUE(6528)</f>
        <v>6528</v>
      </c>
      <c r="M12290" s="1">
        <f>VALUE(7655)</f>
        <v>7655</v>
      </c>
      <c r="N12290" t="s">
        <v>25</v>
      </c>
    </row>
    <row r="12291" spans="1:14" x14ac:dyDescent="0.25">
      <c r="A12291" t="s">
        <v>44</v>
      </c>
      <c r="B12291" t="s">
        <v>40</v>
      </c>
      <c r="C12291" t="s">
        <v>15</v>
      </c>
      <c r="D12291" t="s">
        <v>28</v>
      </c>
      <c r="E12291" t="s">
        <v>22</v>
      </c>
      <c r="F12291" t="s">
        <v>20</v>
      </c>
      <c r="G12291" s="1">
        <f>VALUE(9048.81)</f>
        <v>9048.81</v>
      </c>
      <c r="H12291" s="1">
        <f>VALUE(6292.01)</f>
        <v>6292.01</v>
      </c>
      <c r="I12291" s="1">
        <f>VALUE(3593)</f>
        <v>3593</v>
      </c>
      <c r="J12291" s="1">
        <f>VALUE(4224)</f>
        <v>4224</v>
      </c>
      <c r="K12291" s="1">
        <f>VALUE(5080)</f>
        <v>5080</v>
      </c>
      <c r="L12291" s="1">
        <f>VALUE(5950)</f>
        <v>5950</v>
      </c>
      <c r="M12291" s="1">
        <f>VALUE(6903)</f>
        <v>6903</v>
      </c>
      <c r="N12291" t="s">
        <v>16</v>
      </c>
    </row>
    <row r="12292" spans="1:14" x14ac:dyDescent="0.25">
      <c r="A12292" t="s">
        <v>44</v>
      </c>
      <c r="B12292" t="s">
        <v>40</v>
      </c>
      <c r="C12292" t="s">
        <v>15</v>
      </c>
      <c r="D12292" t="s">
        <v>28</v>
      </c>
      <c r="E12292" t="s">
        <v>23</v>
      </c>
      <c r="F12292" t="s">
        <v>15</v>
      </c>
      <c r="G12292" s="2">
        <f>VALUE(4018.05)</f>
        <v>4018.05</v>
      </c>
      <c r="H12292" s="3">
        <f>VALUE(2237.82)</f>
        <v>2237.8200000000002</v>
      </c>
      <c r="I12292" s="1">
        <f>VALUE(3277)</f>
        <v>3277</v>
      </c>
      <c r="J12292" s="1">
        <f>VALUE(3744)</f>
        <v>3744</v>
      </c>
      <c r="K12292" s="1">
        <f>VALUE(4248)</f>
        <v>4248</v>
      </c>
      <c r="L12292" s="1">
        <f>VALUE(4938)</f>
        <v>4938</v>
      </c>
      <c r="M12292" s="8">
        <f>VALUE(6258)</f>
        <v>6258</v>
      </c>
      <c r="N12292" t="s">
        <v>25</v>
      </c>
    </row>
    <row r="12293" spans="1:14" x14ac:dyDescent="0.25">
      <c r="A12293" t="s">
        <v>44</v>
      </c>
      <c r="B12293" t="s">
        <v>40</v>
      </c>
      <c r="C12293" t="s">
        <v>15</v>
      </c>
      <c r="D12293" t="s">
        <v>28</v>
      </c>
      <c r="E12293" t="s">
        <v>23</v>
      </c>
      <c r="F12293" t="s">
        <v>17</v>
      </c>
      <c r="G12293" s="1" t="str">
        <f t="shared" ref="G12293:M12294" si="2749">"X"</f>
        <v>X</v>
      </c>
      <c r="H12293" s="1" t="str">
        <f t="shared" si="2749"/>
        <v>X</v>
      </c>
      <c r="I12293" s="1" t="str">
        <f t="shared" si="2749"/>
        <v>X</v>
      </c>
      <c r="J12293" s="1" t="str">
        <f t="shared" si="2749"/>
        <v>X</v>
      </c>
      <c r="K12293" s="1" t="str">
        <f t="shared" si="2749"/>
        <v>X</v>
      </c>
      <c r="L12293" s="1" t="str">
        <f t="shared" si="2749"/>
        <v>X</v>
      </c>
      <c r="M12293" s="1" t="str">
        <f t="shared" si="2749"/>
        <v>X</v>
      </c>
      <c r="N12293" t="s">
        <v>27</v>
      </c>
    </row>
    <row r="12294" spans="1:14" x14ac:dyDescent="0.25">
      <c r="A12294" t="s">
        <v>44</v>
      </c>
      <c r="B12294" t="s">
        <v>40</v>
      </c>
      <c r="C12294" t="s">
        <v>15</v>
      </c>
      <c r="D12294" t="s">
        <v>28</v>
      </c>
      <c r="E12294" t="s">
        <v>23</v>
      </c>
      <c r="F12294" t="s">
        <v>18</v>
      </c>
      <c r="G12294" s="1" t="str">
        <f t="shared" si="2749"/>
        <v>X</v>
      </c>
      <c r="H12294" s="1" t="str">
        <f t="shared" si="2749"/>
        <v>X</v>
      </c>
      <c r="I12294" s="1" t="str">
        <f t="shared" si="2749"/>
        <v>X</v>
      </c>
      <c r="J12294" s="1" t="str">
        <f t="shared" si="2749"/>
        <v>X</v>
      </c>
      <c r="K12294" s="1" t="str">
        <f t="shared" si="2749"/>
        <v>X</v>
      </c>
      <c r="L12294" s="1" t="str">
        <f t="shared" si="2749"/>
        <v>X</v>
      </c>
      <c r="M12294" s="1" t="str">
        <f t="shared" si="2749"/>
        <v>X</v>
      </c>
      <c r="N12294" t="s">
        <v>27</v>
      </c>
    </row>
    <row r="12295" spans="1:14" x14ac:dyDescent="0.25">
      <c r="A12295" t="s">
        <v>44</v>
      </c>
      <c r="B12295" t="s">
        <v>40</v>
      </c>
      <c r="C12295" t="s">
        <v>15</v>
      </c>
      <c r="D12295" t="s">
        <v>28</v>
      </c>
      <c r="E12295" t="s">
        <v>23</v>
      </c>
      <c r="F12295" t="s">
        <v>19</v>
      </c>
      <c r="G12295" s="2">
        <f>VALUE(363.42)</f>
        <v>363.42</v>
      </c>
      <c r="H12295" s="3">
        <f>VALUE(224.16)</f>
        <v>224.16</v>
      </c>
      <c r="I12295" s="4">
        <f>VALUE(3277)</f>
        <v>3277</v>
      </c>
      <c r="J12295" s="5">
        <f>VALUE(3744)</f>
        <v>3744</v>
      </c>
      <c r="K12295" s="1">
        <f>VALUE(4447)</f>
        <v>4447</v>
      </c>
      <c r="L12295" s="7">
        <f>VALUE(5316)</f>
        <v>5316</v>
      </c>
      <c r="M12295" s="1">
        <f>VALUE(7143)</f>
        <v>7143</v>
      </c>
      <c r="N12295" t="s">
        <v>25</v>
      </c>
    </row>
    <row r="12296" spans="1:14" x14ac:dyDescent="0.25">
      <c r="A12296" t="s">
        <v>44</v>
      </c>
      <c r="B12296" t="s">
        <v>40</v>
      </c>
      <c r="C12296" t="s">
        <v>15</v>
      </c>
      <c r="D12296" t="s">
        <v>28</v>
      </c>
      <c r="E12296" t="s">
        <v>23</v>
      </c>
      <c r="F12296" t="s">
        <v>20</v>
      </c>
      <c r="G12296" s="2">
        <f>VALUE(3289.93)</f>
        <v>3289.93</v>
      </c>
      <c r="H12296" s="3">
        <f>VALUE(1732.99)</f>
        <v>1732.99</v>
      </c>
      <c r="I12296" s="1">
        <f>VALUE(3207)</f>
        <v>3207</v>
      </c>
      <c r="J12296" s="1">
        <f>VALUE(3731)</f>
        <v>3731</v>
      </c>
      <c r="K12296" s="1">
        <f>VALUE(4207)</f>
        <v>4207</v>
      </c>
      <c r="L12296" s="1">
        <f>VALUE(4755)</f>
        <v>4755</v>
      </c>
      <c r="M12296" s="1">
        <f>VALUE(5482)</f>
        <v>5482</v>
      </c>
      <c r="N12296" t="s">
        <v>25</v>
      </c>
    </row>
    <row r="12297" spans="1:14" x14ac:dyDescent="0.25">
      <c r="A12297" t="s">
        <v>44</v>
      </c>
      <c r="B12297" t="s">
        <v>40</v>
      </c>
      <c r="C12297" t="s">
        <v>15</v>
      </c>
      <c r="D12297" t="s">
        <v>28</v>
      </c>
      <c r="E12297" t="s">
        <v>26</v>
      </c>
      <c r="F12297" t="s">
        <v>15</v>
      </c>
      <c r="G12297" s="1" t="str">
        <f t="shared" ref="G12297:M12299" si="2750">"X"</f>
        <v>X</v>
      </c>
      <c r="H12297" s="1" t="str">
        <f t="shared" si="2750"/>
        <v>X</v>
      </c>
      <c r="I12297" s="1" t="str">
        <f t="shared" si="2750"/>
        <v>X</v>
      </c>
      <c r="J12297" s="1" t="str">
        <f t="shared" si="2750"/>
        <v>X</v>
      </c>
      <c r="K12297" s="1" t="str">
        <f t="shared" si="2750"/>
        <v>X</v>
      </c>
      <c r="L12297" s="1" t="str">
        <f t="shared" si="2750"/>
        <v>X</v>
      </c>
      <c r="M12297" s="1" t="str">
        <f t="shared" si="2750"/>
        <v>X</v>
      </c>
      <c r="N12297" t="s">
        <v>27</v>
      </c>
    </row>
    <row r="12298" spans="1:14" x14ac:dyDescent="0.25">
      <c r="A12298" t="s">
        <v>44</v>
      </c>
      <c r="B12298" t="s">
        <v>40</v>
      </c>
      <c r="C12298" t="s">
        <v>15</v>
      </c>
      <c r="D12298" t="s">
        <v>28</v>
      </c>
      <c r="E12298" t="s">
        <v>26</v>
      </c>
      <c r="F12298" t="s">
        <v>17</v>
      </c>
      <c r="G12298" s="1" t="str">
        <f t="shared" si="2750"/>
        <v>X</v>
      </c>
      <c r="H12298" s="1" t="str">
        <f t="shared" si="2750"/>
        <v>X</v>
      </c>
      <c r="I12298" s="1" t="str">
        <f t="shared" si="2750"/>
        <v>X</v>
      </c>
      <c r="J12298" s="1" t="str">
        <f t="shared" si="2750"/>
        <v>X</v>
      </c>
      <c r="K12298" s="1" t="str">
        <f t="shared" si="2750"/>
        <v>X</v>
      </c>
      <c r="L12298" s="1" t="str">
        <f t="shared" si="2750"/>
        <v>X</v>
      </c>
      <c r="M12298" s="1" t="str">
        <f t="shared" si="2750"/>
        <v>X</v>
      </c>
      <c r="N12298" t="s">
        <v>27</v>
      </c>
    </row>
    <row r="12299" spans="1:14" x14ac:dyDescent="0.25">
      <c r="A12299" t="s">
        <v>44</v>
      </c>
      <c r="B12299" t="s">
        <v>40</v>
      </c>
      <c r="C12299" t="s">
        <v>15</v>
      </c>
      <c r="D12299" t="s">
        <v>28</v>
      </c>
      <c r="E12299" t="s">
        <v>26</v>
      </c>
      <c r="F12299" t="s">
        <v>18</v>
      </c>
      <c r="G12299" s="1" t="str">
        <f t="shared" si="2750"/>
        <v>X</v>
      </c>
      <c r="H12299" s="1" t="str">
        <f t="shared" si="2750"/>
        <v>X</v>
      </c>
      <c r="I12299" s="1" t="str">
        <f t="shared" si="2750"/>
        <v>X</v>
      </c>
      <c r="J12299" s="1" t="str">
        <f t="shared" si="2750"/>
        <v>X</v>
      </c>
      <c r="K12299" s="1" t="str">
        <f t="shared" si="2750"/>
        <v>X</v>
      </c>
      <c r="L12299" s="1" t="str">
        <f t="shared" si="2750"/>
        <v>X</v>
      </c>
      <c r="M12299" s="1" t="str">
        <f t="shared" si="2750"/>
        <v>X</v>
      </c>
      <c r="N12299" t="s">
        <v>27</v>
      </c>
    </row>
    <row r="12300" spans="1:14" x14ac:dyDescent="0.25">
      <c r="A12300" t="s">
        <v>44</v>
      </c>
      <c r="B12300" t="s">
        <v>40</v>
      </c>
      <c r="C12300" t="s">
        <v>15</v>
      </c>
      <c r="D12300" t="s">
        <v>28</v>
      </c>
      <c r="E12300" t="s">
        <v>26</v>
      </c>
      <c r="F12300" t="s">
        <v>19</v>
      </c>
      <c r="G12300" s="1" t="str">
        <f t="shared" ref="G12300:M12300" si="2751">"..."</f>
        <v>...</v>
      </c>
      <c r="H12300" s="1" t="str">
        <f t="shared" si="2751"/>
        <v>...</v>
      </c>
      <c r="I12300" s="1" t="str">
        <f t="shared" si="2751"/>
        <v>...</v>
      </c>
      <c r="J12300" s="1" t="str">
        <f t="shared" si="2751"/>
        <v>...</v>
      </c>
      <c r="K12300" s="1" t="str">
        <f t="shared" si="2751"/>
        <v>...</v>
      </c>
      <c r="L12300" s="1" t="str">
        <f t="shared" si="2751"/>
        <v>...</v>
      </c>
      <c r="M12300" s="1" t="str">
        <f t="shared" si="2751"/>
        <v>...</v>
      </c>
      <c r="N12300" t="s">
        <v>30</v>
      </c>
    </row>
    <row r="12301" spans="1:14" x14ac:dyDescent="0.25">
      <c r="A12301" t="s">
        <v>44</v>
      </c>
      <c r="B12301" t="s">
        <v>40</v>
      </c>
      <c r="C12301" t="s">
        <v>15</v>
      </c>
      <c r="D12301" t="s">
        <v>28</v>
      </c>
      <c r="E12301" t="s">
        <v>26</v>
      </c>
      <c r="F12301" t="s">
        <v>20</v>
      </c>
      <c r="G12301" s="1" t="str">
        <f t="shared" ref="G12301:M12301" si="2752">"X"</f>
        <v>X</v>
      </c>
      <c r="H12301" s="1" t="str">
        <f t="shared" si="2752"/>
        <v>X</v>
      </c>
      <c r="I12301" s="1" t="str">
        <f t="shared" si="2752"/>
        <v>X</v>
      </c>
      <c r="J12301" s="1" t="str">
        <f t="shared" si="2752"/>
        <v>X</v>
      </c>
      <c r="K12301" s="1" t="str">
        <f t="shared" si="2752"/>
        <v>X</v>
      </c>
      <c r="L12301" s="1" t="str">
        <f t="shared" si="2752"/>
        <v>X</v>
      </c>
      <c r="M12301" s="1" t="str">
        <f t="shared" si="2752"/>
        <v>X</v>
      </c>
      <c r="N12301" t="s">
        <v>27</v>
      </c>
    </row>
    <row r="12302" spans="1:14" x14ac:dyDescent="0.25">
      <c r="A12302" t="s">
        <v>44</v>
      </c>
      <c r="B12302" t="s">
        <v>40</v>
      </c>
      <c r="C12302" t="s">
        <v>15</v>
      </c>
      <c r="D12302" t="s">
        <v>29</v>
      </c>
      <c r="E12302" t="s">
        <v>15</v>
      </c>
      <c r="F12302" t="s">
        <v>15</v>
      </c>
      <c r="G12302" s="1">
        <f>VALUE(6470.41)</f>
        <v>6470.41</v>
      </c>
      <c r="H12302" s="1">
        <f>VALUE(4476.94)</f>
        <v>4476.9399999999996</v>
      </c>
      <c r="I12302" s="1">
        <f>VALUE(3423)</f>
        <v>3423</v>
      </c>
      <c r="J12302" s="1">
        <f>VALUE(3853)</f>
        <v>3853</v>
      </c>
      <c r="K12302" s="1">
        <f>VALUE(4624)</f>
        <v>4624</v>
      </c>
      <c r="L12302" s="1">
        <f>VALUE(5866)</f>
        <v>5866</v>
      </c>
      <c r="M12302" s="1">
        <f>VALUE(7683)</f>
        <v>7683</v>
      </c>
      <c r="N12302" t="s">
        <v>16</v>
      </c>
    </row>
    <row r="12303" spans="1:14" x14ac:dyDescent="0.25">
      <c r="A12303" t="s">
        <v>44</v>
      </c>
      <c r="B12303" t="s">
        <v>40</v>
      </c>
      <c r="C12303" t="s">
        <v>15</v>
      </c>
      <c r="D12303" t="s">
        <v>29</v>
      </c>
      <c r="E12303" t="s">
        <v>15</v>
      </c>
      <c r="F12303" t="s">
        <v>17</v>
      </c>
      <c r="G12303" s="2">
        <f>VALUE(506.21)</f>
        <v>506.21</v>
      </c>
      <c r="H12303" s="3">
        <f>VALUE(483.43)</f>
        <v>483.43</v>
      </c>
      <c r="I12303" s="4">
        <f>VALUE(4390)</f>
        <v>4390</v>
      </c>
      <c r="J12303" s="5">
        <f>VALUE(5026)</f>
        <v>5026</v>
      </c>
      <c r="K12303" s="6">
        <f>VALUE(6800)</f>
        <v>6800</v>
      </c>
      <c r="L12303" s="7">
        <f>VALUE(10951)</f>
        <v>10951</v>
      </c>
      <c r="M12303" s="8">
        <f>VALUE(14286)</f>
        <v>14286</v>
      </c>
      <c r="N12303" t="s">
        <v>24</v>
      </c>
    </row>
    <row r="12304" spans="1:14" x14ac:dyDescent="0.25">
      <c r="A12304" t="s">
        <v>44</v>
      </c>
      <c r="B12304" t="s">
        <v>40</v>
      </c>
      <c r="C12304" t="s">
        <v>15</v>
      </c>
      <c r="D12304" t="s">
        <v>29</v>
      </c>
      <c r="E12304" t="s">
        <v>15</v>
      </c>
      <c r="F12304" t="s">
        <v>18</v>
      </c>
      <c r="G12304" s="2">
        <f>VALUE(495.08)</f>
        <v>495.08</v>
      </c>
      <c r="H12304" s="3">
        <f>VALUE(368.55)</f>
        <v>368.55</v>
      </c>
      <c r="I12304" s="4">
        <f>VALUE(3862)</f>
        <v>3862</v>
      </c>
      <c r="J12304" s="5">
        <f>VALUE(4915)</f>
        <v>4915</v>
      </c>
      <c r="K12304" s="6">
        <f>VALUE(6770)</f>
        <v>6770</v>
      </c>
      <c r="L12304" s="7">
        <f>VALUE(8119)</f>
        <v>8119</v>
      </c>
      <c r="M12304" s="8">
        <f>VALUE(10344)</f>
        <v>10344</v>
      </c>
      <c r="N12304" t="s">
        <v>24</v>
      </c>
    </row>
    <row r="12305" spans="1:14" x14ac:dyDescent="0.25">
      <c r="A12305" t="s">
        <v>44</v>
      </c>
      <c r="B12305" t="s">
        <v>40</v>
      </c>
      <c r="C12305" t="s">
        <v>15</v>
      </c>
      <c r="D12305" t="s">
        <v>29</v>
      </c>
      <c r="E12305" t="s">
        <v>15</v>
      </c>
      <c r="F12305" t="s">
        <v>19</v>
      </c>
      <c r="G12305" s="2">
        <f>VALUE(558.16)</f>
        <v>558.16</v>
      </c>
      <c r="H12305" s="3">
        <f>VALUE(469.76)</f>
        <v>469.76</v>
      </c>
      <c r="I12305" s="1">
        <f>VALUE(3851)</f>
        <v>3851</v>
      </c>
      <c r="J12305" s="1">
        <f>VALUE(4385)</f>
        <v>4385</v>
      </c>
      <c r="K12305" s="1">
        <f>VALUE(5055)</f>
        <v>5055</v>
      </c>
      <c r="L12305" s="1">
        <f>VALUE(6019)</f>
        <v>6019</v>
      </c>
      <c r="M12305" s="1">
        <f>VALUE(7624)</f>
        <v>7624</v>
      </c>
      <c r="N12305" t="s">
        <v>25</v>
      </c>
    </row>
    <row r="12306" spans="1:14" x14ac:dyDescent="0.25">
      <c r="A12306" t="s">
        <v>44</v>
      </c>
      <c r="B12306" t="s">
        <v>40</v>
      </c>
      <c r="C12306" t="s">
        <v>15</v>
      </c>
      <c r="D12306" t="s">
        <v>29</v>
      </c>
      <c r="E12306" t="s">
        <v>15</v>
      </c>
      <c r="F12306" t="s">
        <v>20</v>
      </c>
      <c r="G12306" s="1">
        <f>VALUE(4910.96)</f>
        <v>4910.96</v>
      </c>
      <c r="H12306" s="1">
        <f>VALUE(3155.2)</f>
        <v>3155.2</v>
      </c>
      <c r="I12306" s="1">
        <f>VALUE(3273)</f>
        <v>3273</v>
      </c>
      <c r="J12306" s="1">
        <f>VALUE(3667)</f>
        <v>3667</v>
      </c>
      <c r="K12306" s="1">
        <f>VALUE(4288)</f>
        <v>4288</v>
      </c>
      <c r="L12306" s="1">
        <f>VALUE(5138)</f>
        <v>5138</v>
      </c>
      <c r="M12306" s="1">
        <f>VALUE(6348)</f>
        <v>6348</v>
      </c>
      <c r="N12306" t="s">
        <v>16</v>
      </c>
    </row>
    <row r="12307" spans="1:14" x14ac:dyDescent="0.25">
      <c r="A12307" t="s">
        <v>44</v>
      </c>
      <c r="B12307" t="s">
        <v>40</v>
      </c>
      <c r="C12307" t="s">
        <v>15</v>
      </c>
      <c r="D12307" t="s">
        <v>29</v>
      </c>
      <c r="E12307" t="s">
        <v>21</v>
      </c>
      <c r="F12307" t="s">
        <v>15</v>
      </c>
      <c r="G12307" s="2">
        <f>VALUE(1116.7)</f>
        <v>1116.7</v>
      </c>
      <c r="H12307" s="3">
        <f>VALUE(895.22)</f>
        <v>895.22</v>
      </c>
      <c r="I12307" s="4">
        <f>VALUE(4723)</f>
        <v>4723</v>
      </c>
      <c r="J12307" s="5">
        <f>VALUE(5663)</f>
        <v>5663</v>
      </c>
      <c r="K12307" s="6">
        <f>VALUE(6809)</f>
        <v>6809</v>
      </c>
      <c r="L12307" s="7">
        <f>VALUE(8443)</f>
        <v>8443</v>
      </c>
      <c r="M12307" s="8">
        <f>VALUE(12934)</f>
        <v>12934</v>
      </c>
      <c r="N12307" t="s">
        <v>24</v>
      </c>
    </row>
    <row r="12308" spans="1:14" x14ac:dyDescent="0.25">
      <c r="A12308" t="s">
        <v>44</v>
      </c>
      <c r="B12308" t="s">
        <v>40</v>
      </c>
      <c r="C12308" t="s">
        <v>15</v>
      </c>
      <c r="D12308" t="s">
        <v>29</v>
      </c>
      <c r="E12308" t="s">
        <v>21</v>
      </c>
      <c r="F12308" t="s">
        <v>17</v>
      </c>
      <c r="G12308" s="2">
        <f>VALUE(308.55)</f>
        <v>308.55</v>
      </c>
      <c r="H12308" s="3">
        <f>VALUE(297.34)</f>
        <v>297.33999999999997</v>
      </c>
      <c r="I12308" s="4">
        <f>VALUE(4390)</f>
        <v>4390</v>
      </c>
      <c r="J12308" s="1">
        <f>VALUE(6760)</f>
        <v>6760</v>
      </c>
      <c r="K12308" s="1">
        <f>VALUE(6800)</f>
        <v>6800</v>
      </c>
      <c r="L12308" s="7">
        <f>VALUE(12934)</f>
        <v>12934</v>
      </c>
      <c r="M12308" s="8">
        <f>VALUE(17522)</f>
        <v>17522</v>
      </c>
      <c r="N12308" t="s">
        <v>25</v>
      </c>
    </row>
    <row r="12309" spans="1:14" x14ac:dyDescent="0.25">
      <c r="A12309" t="s">
        <v>44</v>
      </c>
      <c r="B12309" t="s">
        <v>40</v>
      </c>
      <c r="C12309" t="s">
        <v>15</v>
      </c>
      <c r="D12309" t="s">
        <v>29</v>
      </c>
      <c r="E12309" t="s">
        <v>21</v>
      </c>
      <c r="F12309" t="s">
        <v>18</v>
      </c>
      <c r="G12309" s="2">
        <f>VALUE(212.13)</f>
        <v>212.13</v>
      </c>
      <c r="H12309" s="3">
        <f>VALUE(170.31)</f>
        <v>170.31</v>
      </c>
      <c r="I12309" s="1">
        <f>VALUE(5416)</f>
        <v>5416</v>
      </c>
      <c r="J12309" s="1">
        <f>VALUE(6497)</f>
        <v>6497</v>
      </c>
      <c r="K12309" s="1">
        <f>VALUE(7608)</f>
        <v>7608</v>
      </c>
      <c r="L12309" s="7">
        <f>VALUE(9800)</f>
        <v>9800</v>
      </c>
      <c r="M12309" s="1">
        <f>VALUE(11448)</f>
        <v>11448</v>
      </c>
      <c r="N12309" t="s">
        <v>25</v>
      </c>
    </row>
    <row r="12310" spans="1:14" x14ac:dyDescent="0.25">
      <c r="A12310" t="s">
        <v>44</v>
      </c>
      <c r="B12310" t="s">
        <v>40</v>
      </c>
      <c r="C12310" t="s">
        <v>15</v>
      </c>
      <c r="D12310" t="s">
        <v>29</v>
      </c>
      <c r="E12310" t="s">
        <v>21</v>
      </c>
      <c r="F12310" t="s">
        <v>19</v>
      </c>
      <c r="G12310" s="1" t="str">
        <f t="shared" ref="G12310:M12310" si="2753">"X"</f>
        <v>X</v>
      </c>
      <c r="H12310" s="1" t="str">
        <f t="shared" si="2753"/>
        <v>X</v>
      </c>
      <c r="I12310" s="1" t="str">
        <f t="shared" si="2753"/>
        <v>X</v>
      </c>
      <c r="J12310" s="1" t="str">
        <f t="shared" si="2753"/>
        <v>X</v>
      </c>
      <c r="K12310" s="1" t="str">
        <f t="shared" si="2753"/>
        <v>X</v>
      </c>
      <c r="L12310" s="1" t="str">
        <f t="shared" si="2753"/>
        <v>X</v>
      </c>
      <c r="M12310" s="1" t="str">
        <f t="shared" si="2753"/>
        <v>X</v>
      </c>
      <c r="N12310" t="s">
        <v>27</v>
      </c>
    </row>
    <row r="12311" spans="1:14" x14ac:dyDescent="0.25">
      <c r="A12311" t="s">
        <v>44</v>
      </c>
      <c r="B12311" t="s">
        <v>40</v>
      </c>
      <c r="C12311" t="s">
        <v>15</v>
      </c>
      <c r="D12311" t="s">
        <v>29</v>
      </c>
      <c r="E12311" t="s">
        <v>21</v>
      </c>
      <c r="F12311" t="s">
        <v>20</v>
      </c>
      <c r="G12311" s="2">
        <f>VALUE(472.2)</f>
        <v>472.2</v>
      </c>
      <c r="H12311" s="3">
        <f>VALUE(317.18)</f>
        <v>317.18</v>
      </c>
      <c r="I12311" s="4">
        <f>VALUE(3733)</f>
        <v>3733</v>
      </c>
      <c r="J12311" s="1">
        <f>VALUE(5305)</f>
        <v>5305</v>
      </c>
      <c r="K12311" s="1">
        <f>VALUE(6536)</f>
        <v>6536</v>
      </c>
      <c r="L12311" s="1">
        <f>VALUE(7589)</f>
        <v>7589</v>
      </c>
      <c r="M12311" s="1">
        <f>VALUE(8802)</f>
        <v>8802</v>
      </c>
      <c r="N12311" t="s">
        <v>25</v>
      </c>
    </row>
    <row r="12312" spans="1:14" x14ac:dyDescent="0.25">
      <c r="A12312" t="s">
        <v>44</v>
      </c>
      <c r="B12312" t="s">
        <v>40</v>
      </c>
      <c r="C12312" t="s">
        <v>15</v>
      </c>
      <c r="D12312" t="s">
        <v>29</v>
      </c>
      <c r="E12312" t="s">
        <v>22</v>
      </c>
      <c r="F12312" t="s">
        <v>15</v>
      </c>
      <c r="G12312" s="2">
        <f>VALUE(2161.56)</f>
        <v>2161.56</v>
      </c>
      <c r="H12312" s="3">
        <f>VALUE(1702.78)</f>
        <v>1702.78</v>
      </c>
      <c r="I12312" s="4">
        <f>VALUE(3771)</f>
        <v>3771</v>
      </c>
      <c r="J12312" s="1">
        <f>VALUE(4288)</f>
        <v>4288</v>
      </c>
      <c r="K12312" s="1">
        <f>VALUE(4915)</f>
        <v>4915</v>
      </c>
      <c r="L12312" s="1">
        <f>VALUE(5740)</f>
        <v>5740</v>
      </c>
      <c r="M12312" s="1">
        <f>VALUE(7295)</f>
        <v>7295</v>
      </c>
      <c r="N12312" t="s">
        <v>25</v>
      </c>
    </row>
    <row r="12313" spans="1:14" x14ac:dyDescent="0.25">
      <c r="A12313" t="s">
        <v>44</v>
      </c>
      <c r="B12313" t="s">
        <v>40</v>
      </c>
      <c r="C12313" t="s">
        <v>15</v>
      </c>
      <c r="D12313" t="s">
        <v>29</v>
      </c>
      <c r="E12313" t="s">
        <v>22</v>
      </c>
      <c r="F12313" t="s">
        <v>17</v>
      </c>
      <c r="G12313" s="1" t="str">
        <f t="shared" ref="G12313:M12314" si="2754">"X"</f>
        <v>X</v>
      </c>
      <c r="H12313" s="1" t="str">
        <f t="shared" si="2754"/>
        <v>X</v>
      </c>
      <c r="I12313" s="1" t="str">
        <f t="shared" si="2754"/>
        <v>X</v>
      </c>
      <c r="J12313" s="1" t="str">
        <f t="shared" si="2754"/>
        <v>X</v>
      </c>
      <c r="K12313" s="1" t="str">
        <f t="shared" si="2754"/>
        <v>X</v>
      </c>
      <c r="L12313" s="1" t="str">
        <f t="shared" si="2754"/>
        <v>X</v>
      </c>
      <c r="M12313" s="1" t="str">
        <f t="shared" si="2754"/>
        <v>X</v>
      </c>
      <c r="N12313" t="s">
        <v>27</v>
      </c>
    </row>
    <row r="12314" spans="1:14" x14ac:dyDescent="0.25">
      <c r="A12314" t="s">
        <v>44</v>
      </c>
      <c r="B12314" t="s">
        <v>40</v>
      </c>
      <c r="C12314" t="s">
        <v>15</v>
      </c>
      <c r="D12314" t="s">
        <v>29</v>
      </c>
      <c r="E12314" t="s">
        <v>22</v>
      </c>
      <c r="F12314" t="s">
        <v>18</v>
      </c>
      <c r="G12314" s="1" t="str">
        <f t="shared" si="2754"/>
        <v>X</v>
      </c>
      <c r="H12314" s="1" t="str">
        <f t="shared" si="2754"/>
        <v>X</v>
      </c>
      <c r="I12314" s="1" t="str">
        <f t="shared" si="2754"/>
        <v>X</v>
      </c>
      <c r="J12314" s="1" t="str">
        <f t="shared" si="2754"/>
        <v>X</v>
      </c>
      <c r="K12314" s="1" t="str">
        <f t="shared" si="2754"/>
        <v>X</v>
      </c>
      <c r="L12314" s="1" t="str">
        <f t="shared" si="2754"/>
        <v>X</v>
      </c>
      <c r="M12314" s="1" t="str">
        <f t="shared" si="2754"/>
        <v>X</v>
      </c>
      <c r="N12314" t="s">
        <v>27</v>
      </c>
    </row>
    <row r="12315" spans="1:14" x14ac:dyDescent="0.25">
      <c r="A12315" t="s">
        <v>44</v>
      </c>
      <c r="B12315" t="s">
        <v>40</v>
      </c>
      <c r="C12315" t="s">
        <v>15</v>
      </c>
      <c r="D12315" t="s">
        <v>29</v>
      </c>
      <c r="E12315" t="s">
        <v>22</v>
      </c>
      <c r="F12315" t="s">
        <v>19</v>
      </c>
      <c r="G12315" s="2">
        <f>VALUE(332.31)</f>
        <v>332.31</v>
      </c>
      <c r="H12315" s="3">
        <f>VALUE(270.25)</f>
        <v>270.25</v>
      </c>
      <c r="I12315" s="1">
        <f>VALUE(3834)</f>
        <v>3834</v>
      </c>
      <c r="J12315" s="5">
        <f>VALUE(4367)</f>
        <v>4367</v>
      </c>
      <c r="K12315" s="1">
        <f>VALUE(4977)</f>
        <v>4977</v>
      </c>
      <c r="L12315" s="1">
        <f>VALUE(5851)</f>
        <v>5851</v>
      </c>
      <c r="M12315" s="8">
        <f>VALUE(6716)</f>
        <v>6716</v>
      </c>
      <c r="N12315" t="s">
        <v>25</v>
      </c>
    </row>
    <row r="12316" spans="1:14" x14ac:dyDescent="0.25">
      <c r="A12316" t="s">
        <v>44</v>
      </c>
      <c r="B12316" t="s">
        <v>40</v>
      </c>
      <c r="C12316" t="s">
        <v>15</v>
      </c>
      <c r="D12316" t="s">
        <v>29</v>
      </c>
      <c r="E12316" t="s">
        <v>22</v>
      </c>
      <c r="F12316" t="s">
        <v>20</v>
      </c>
      <c r="G12316" s="2">
        <f>VALUE(1486.32)</f>
        <v>1486.32</v>
      </c>
      <c r="H12316" s="3">
        <f>VALUE(1132.52)</f>
        <v>1132.52</v>
      </c>
      <c r="I12316" s="4">
        <f>VALUE(3706)</f>
        <v>3706</v>
      </c>
      <c r="J12316" s="1">
        <f>VALUE(4232)</f>
        <v>4232</v>
      </c>
      <c r="K12316" s="1">
        <f>VALUE(4722)</f>
        <v>4722</v>
      </c>
      <c r="L12316" s="1">
        <f>VALUE(5420)</f>
        <v>5420</v>
      </c>
      <c r="M12316" s="1">
        <f>VALUE(6359)</f>
        <v>6359</v>
      </c>
      <c r="N12316" t="s">
        <v>25</v>
      </c>
    </row>
    <row r="12317" spans="1:14" x14ac:dyDescent="0.25">
      <c r="A12317" t="s">
        <v>44</v>
      </c>
      <c r="B12317" t="s">
        <v>40</v>
      </c>
      <c r="C12317" t="s">
        <v>15</v>
      </c>
      <c r="D12317" t="s">
        <v>29</v>
      </c>
      <c r="E12317" t="s">
        <v>23</v>
      </c>
      <c r="F12317" t="s">
        <v>15</v>
      </c>
      <c r="G12317" s="2">
        <f>VALUE(3171.67)</f>
        <v>3171.67</v>
      </c>
      <c r="H12317" s="3">
        <f>VALUE(1867.48)</f>
        <v>1867.48</v>
      </c>
      <c r="I12317" s="1">
        <f>VALUE(3241)</f>
        <v>3241</v>
      </c>
      <c r="J12317" s="1">
        <f>VALUE(3514)</f>
        <v>3514</v>
      </c>
      <c r="K12317" s="1">
        <f>VALUE(3931)</f>
        <v>3931</v>
      </c>
      <c r="L12317" s="1">
        <f>VALUE(4477)</f>
        <v>4477</v>
      </c>
      <c r="M12317" s="1">
        <f>VALUE(5030)</f>
        <v>5030</v>
      </c>
      <c r="N12317" t="s">
        <v>25</v>
      </c>
    </row>
    <row r="12318" spans="1:14" x14ac:dyDescent="0.25">
      <c r="A12318" t="s">
        <v>44</v>
      </c>
      <c r="B12318" t="s">
        <v>40</v>
      </c>
      <c r="C12318" t="s">
        <v>15</v>
      </c>
      <c r="D12318" t="s">
        <v>29</v>
      </c>
      <c r="E12318" t="s">
        <v>23</v>
      </c>
      <c r="F12318" t="s">
        <v>17</v>
      </c>
      <c r="G12318" s="1" t="str">
        <f t="shared" ref="G12318:M12320" si="2755">"X"</f>
        <v>X</v>
      </c>
      <c r="H12318" s="1" t="str">
        <f t="shared" si="2755"/>
        <v>X</v>
      </c>
      <c r="I12318" s="1" t="str">
        <f t="shared" si="2755"/>
        <v>X</v>
      </c>
      <c r="J12318" s="1" t="str">
        <f t="shared" si="2755"/>
        <v>X</v>
      </c>
      <c r="K12318" s="1" t="str">
        <f t="shared" si="2755"/>
        <v>X</v>
      </c>
      <c r="L12318" s="1" t="str">
        <f t="shared" si="2755"/>
        <v>X</v>
      </c>
      <c r="M12318" s="1" t="str">
        <f t="shared" si="2755"/>
        <v>X</v>
      </c>
      <c r="N12318" t="s">
        <v>27</v>
      </c>
    </row>
    <row r="12319" spans="1:14" x14ac:dyDescent="0.25">
      <c r="A12319" t="s">
        <v>44</v>
      </c>
      <c r="B12319" t="s">
        <v>40</v>
      </c>
      <c r="C12319" t="s">
        <v>15</v>
      </c>
      <c r="D12319" t="s">
        <v>29</v>
      </c>
      <c r="E12319" t="s">
        <v>23</v>
      </c>
      <c r="F12319" t="s">
        <v>18</v>
      </c>
      <c r="G12319" s="1" t="str">
        <f t="shared" si="2755"/>
        <v>X</v>
      </c>
      <c r="H12319" s="1" t="str">
        <f t="shared" si="2755"/>
        <v>X</v>
      </c>
      <c r="I12319" s="1" t="str">
        <f t="shared" si="2755"/>
        <v>X</v>
      </c>
      <c r="J12319" s="1" t="str">
        <f t="shared" si="2755"/>
        <v>X</v>
      </c>
      <c r="K12319" s="1" t="str">
        <f t="shared" si="2755"/>
        <v>X</v>
      </c>
      <c r="L12319" s="1" t="str">
        <f t="shared" si="2755"/>
        <v>X</v>
      </c>
      <c r="M12319" s="1" t="str">
        <f t="shared" si="2755"/>
        <v>X</v>
      </c>
      <c r="N12319" t="s">
        <v>27</v>
      </c>
    </row>
    <row r="12320" spans="1:14" x14ac:dyDescent="0.25">
      <c r="A12320" t="s">
        <v>44</v>
      </c>
      <c r="B12320" t="s">
        <v>40</v>
      </c>
      <c r="C12320" t="s">
        <v>15</v>
      </c>
      <c r="D12320" t="s">
        <v>29</v>
      </c>
      <c r="E12320" t="s">
        <v>23</v>
      </c>
      <c r="F12320" t="s">
        <v>19</v>
      </c>
      <c r="G12320" s="1" t="str">
        <f t="shared" si="2755"/>
        <v>X</v>
      </c>
      <c r="H12320" s="1" t="str">
        <f t="shared" si="2755"/>
        <v>X</v>
      </c>
      <c r="I12320" s="1" t="str">
        <f t="shared" si="2755"/>
        <v>X</v>
      </c>
      <c r="J12320" s="1" t="str">
        <f t="shared" si="2755"/>
        <v>X</v>
      </c>
      <c r="K12320" s="1" t="str">
        <f t="shared" si="2755"/>
        <v>X</v>
      </c>
      <c r="L12320" s="1" t="str">
        <f t="shared" si="2755"/>
        <v>X</v>
      </c>
      <c r="M12320" s="1" t="str">
        <f t="shared" si="2755"/>
        <v>X</v>
      </c>
      <c r="N12320" t="s">
        <v>27</v>
      </c>
    </row>
    <row r="12321" spans="1:14" x14ac:dyDescent="0.25">
      <c r="A12321" t="s">
        <v>44</v>
      </c>
      <c r="B12321" t="s">
        <v>40</v>
      </c>
      <c r="C12321" t="s">
        <v>15</v>
      </c>
      <c r="D12321" t="s">
        <v>29</v>
      </c>
      <c r="E12321" t="s">
        <v>23</v>
      </c>
      <c r="F12321" t="s">
        <v>20</v>
      </c>
      <c r="G12321" s="2">
        <f>VALUE(2933.19)</f>
        <v>2933.19</v>
      </c>
      <c r="H12321" s="3">
        <f>VALUE(1694.65)</f>
        <v>1694.65</v>
      </c>
      <c r="I12321" s="1">
        <f>VALUE(3236)</f>
        <v>3236</v>
      </c>
      <c r="J12321" s="1">
        <f>VALUE(3514)</f>
        <v>3514</v>
      </c>
      <c r="K12321" s="1">
        <f>VALUE(3857)</f>
        <v>3857</v>
      </c>
      <c r="L12321" s="1">
        <f>VALUE(4419)</f>
        <v>4419</v>
      </c>
      <c r="M12321" s="1">
        <f>VALUE(4885)</f>
        <v>4885</v>
      </c>
      <c r="N12321" t="s">
        <v>25</v>
      </c>
    </row>
    <row r="12322" spans="1:14" x14ac:dyDescent="0.25">
      <c r="A12322" t="s">
        <v>44</v>
      </c>
      <c r="B12322" t="s">
        <v>40</v>
      </c>
      <c r="C12322" t="s">
        <v>15</v>
      </c>
      <c r="D12322" t="s">
        <v>29</v>
      </c>
      <c r="E12322" t="s">
        <v>26</v>
      </c>
      <c r="F12322" t="s">
        <v>15</v>
      </c>
      <c r="G12322" s="1" t="str">
        <f t="shared" ref="G12322:M12322" si="2756">"X"</f>
        <v>X</v>
      </c>
      <c r="H12322" s="1" t="str">
        <f t="shared" si="2756"/>
        <v>X</v>
      </c>
      <c r="I12322" s="1" t="str">
        <f t="shared" si="2756"/>
        <v>X</v>
      </c>
      <c r="J12322" s="1" t="str">
        <f t="shared" si="2756"/>
        <v>X</v>
      </c>
      <c r="K12322" s="1" t="str">
        <f t="shared" si="2756"/>
        <v>X</v>
      </c>
      <c r="L12322" s="1" t="str">
        <f t="shared" si="2756"/>
        <v>X</v>
      </c>
      <c r="M12322" s="1" t="str">
        <f t="shared" si="2756"/>
        <v>X</v>
      </c>
      <c r="N12322" t="s">
        <v>27</v>
      </c>
    </row>
    <row r="12323" spans="1:14" x14ac:dyDescent="0.25">
      <c r="A12323" t="s">
        <v>44</v>
      </c>
      <c r="B12323" t="s">
        <v>40</v>
      </c>
      <c r="C12323" t="s">
        <v>15</v>
      </c>
      <c r="D12323" t="s">
        <v>29</v>
      </c>
      <c r="E12323" t="s">
        <v>26</v>
      </c>
      <c r="F12323" t="s">
        <v>17</v>
      </c>
      <c r="G12323" s="1" t="str">
        <f t="shared" ref="G12323:M12324" si="2757">"..."</f>
        <v>...</v>
      </c>
      <c r="H12323" s="1" t="str">
        <f t="shared" si="2757"/>
        <v>...</v>
      </c>
      <c r="I12323" s="1" t="str">
        <f t="shared" si="2757"/>
        <v>...</v>
      </c>
      <c r="J12323" s="1" t="str">
        <f t="shared" si="2757"/>
        <v>...</v>
      </c>
      <c r="K12323" s="1" t="str">
        <f t="shared" si="2757"/>
        <v>...</v>
      </c>
      <c r="L12323" s="1" t="str">
        <f t="shared" si="2757"/>
        <v>...</v>
      </c>
      <c r="M12323" s="1" t="str">
        <f t="shared" si="2757"/>
        <v>...</v>
      </c>
      <c r="N12323" t="s">
        <v>30</v>
      </c>
    </row>
    <row r="12324" spans="1:14" x14ac:dyDescent="0.25">
      <c r="A12324" t="s">
        <v>44</v>
      </c>
      <c r="B12324" t="s">
        <v>40</v>
      </c>
      <c r="C12324" t="s">
        <v>15</v>
      </c>
      <c r="D12324" t="s">
        <v>29</v>
      </c>
      <c r="E12324" t="s">
        <v>26</v>
      </c>
      <c r="F12324" t="s">
        <v>18</v>
      </c>
      <c r="G12324" s="1" t="str">
        <f t="shared" si="2757"/>
        <v>...</v>
      </c>
      <c r="H12324" s="1" t="str">
        <f t="shared" si="2757"/>
        <v>...</v>
      </c>
      <c r="I12324" s="1" t="str">
        <f t="shared" si="2757"/>
        <v>...</v>
      </c>
      <c r="J12324" s="1" t="str">
        <f t="shared" si="2757"/>
        <v>...</v>
      </c>
      <c r="K12324" s="1" t="str">
        <f t="shared" si="2757"/>
        <v>...</v>
      </c>
      <c r="L12324" s="1" t="str">
        <f t="shared" si="2757"/>
        <v>...</v>
      </c>
      <c r="M12324" s="1" t="str">
        <f t="shared" si="2757"/>
        <v>...</v>
      </c>
      <c r="N12324" t="s">
        <v>30</v>
      </c>
    </row>
    <row r="12325" spans="1:14" x14ac:dyDescent="0.25">
      <c r="A12325" t="s">
        <v>44</v>
      </c>
      <c r="B12325" t="s">
        <v>40</v>
      </c>
      <c r="C12325" t="s">
        <v>15</v>
      </c>
      <c r="D12325" t="s">
        <v>29</v>
      </c>
      <c r="E12325" t="s">
        <v>26</v>
      </c>
      <c r="F12325" t="s">
        <v>19</v>
      </c>
      <c r="G12325" s="1" t="str">
        <f t="shared" ref="G12325:M12326" si="2758">"X"</f>
        <v>X</v>
      </c>
      <c r="H12325" s="1" t="str">
        <f t="shared" si="2758"/>
        <v>X</v>
      </c>
      <c r="I12325" s="1" t="str">
        <f t="shared" si="2758"/>
        <v>X</v>
      </c>
      <c r="J12325" s="1" t="str">
        <f t="shared" si="2758"/>
        <v>X</v>
      </c>
      <c r="K12325" s="1" t="str">
        <f t="shared" si="2758"/>
        <v>X</v>
      </c>
      <c r="L12325" s="1" t="str">
        <f t="shared" si="2758"/>
        <v>X</v>
      </c>
      <c r="M12325" s="1" t="str">
        <f t="shared" si="2758"/>
        <v>X</v>
      </c>
      <c r="N12325" t="s">
        <v>27</v>
      </c>
    </row>
    <row r="12326" spans="1:14" x14ac:dyDescent="0.25">
      <c r="A12326" t="s">
        <v>44</v>
      </c>
      <c r="B12326" t="s">
        <v>40</v>
      </c>
      <c r="C12326" t="s">
        <v>15</v>
      </c>
      <c r="D12326" t="s">
        <v>29</v>
      </c>
      <c r="E12326" t="s">
        <v>26</v>
      </c>
      <c r="F12326" t="s">
        <v>20</v>
      </c>
      <c r="G12326" s="1" t="str">
        <f t="shared" si="2758"/>
        <v>X</v>
      </c>
      <c r="H12326" s="1" t="str">
        <f t="shared" si="2758"/>
        <v>X</v>
      </c>
      <c r="I12326" s="1" t="str">
        <f t="shared" si="2758"/>
        <v>X</v>
      </c>
      <c r="J12326" s="1" t="str">
        <f t="shared" si="2758"/>
        <v>X</v>
      </c>
      <c r="K12326" s="1" t="str">
        <f t="shared" si="2758"/>
        <v>X</v>
      </c>
      <c r="L12326" s="1" t="str">
        <f t="shared" si="2758"/>
        <v>X</v>
      </c>
      <c r="M12326" s="1" t="str">
        <f t="shared" si="2758"/>
        <v>X</v>
      </c>
      <c r="N12326" t="s">
        <v>27</v>
      </c>
    </row>
    <row r="12327" spans="1:14" x14ac:dyDescent="0.25">
      <c r="A12327" t="s">
        <v>44</v>
      </c>
      <c r="B12327" t="s">
        <v>40</v>
      </c>
      <c r="C12327" t="s">
        <v>15</v>
      </c>
      <c r="D12327" t="s">
        <v>31</v>
      </c>
      <c r="E12327" t="s">
        <v>15</v>
      </c>
      <c r="F12327" t="s">
        <v>15</v>
      </c>
      <c r="G12327" s="2">
        <f>VALUE(3996.32)</f>
        <v>3996.32</v>
      </c>
      <c r="H12327" s="3">
        <f>VALUE(2941.26)</f>
        <v>2941.26</v>
      </c>
      <c r="I12327" s="1">
        <f>VALUE(3287)</f>
        <v>3287</v>
      </c>
      <c r="J12327" s="1">
        <f>VALUE(3771)</f>
        <v>3771</v>
      </c>
      <c r="K12327" s="1">
        <f>VALUE(4614)</f>
        <v>4614</v>
      </c>
      <c r="L12327" s="1">
        <f>VALUE(5975)</f>
        <v>5975</v>
      </c>
      <c r="M12327" s="8">
        <f>VALUE(7843)</f>
        <v>7843</v>
      </c>
      <c r="N12327" t="s">
        <v>25</v>
      </c>
    </row>
    <row r="12328" spans="1:14" x14ac:dyDescent="0.25">
      <c r="A12328" t="s">
        <v>44</v>
      </c>
      <c r="B12328" t="s">
        <v>40</v>
      </c>
      <c r="C12328" t="s">
        <v>15</v>
      </c>
      <c r="D12328" t="s">
        <v>31</v>
      </c>
      <c r="E12328" t="s">
        <v>15</v>
      </c>
      <c r="F12328" t="s">
        <v>17</v>
      </c>
      <c r="G12328" s="2">
        <f>VALUE(349.91)</f>
        <v>349.91</v>
      </c>
      <c r="H12328" s="3">
        <f>VALUE(331.13)</f>
        <v>331.13</v>
      </c>
      <c r="I12328" s="4">
        <f>VALUE(4007)</f>
        <v>4007</v>
      </c>
      <c r="J12328" s="5">
        <f>VALUE(4614)</f>
        <v>4614</v>
      </c>
      <c r="K12328" s="6">
        <f>VALUE(6786)</f>
        <v>6786</v>
      </c>
      <c r="L12328" s="7">
        <f>VALUE(8955)</f>
        <v>8955</v>
      </c>
      <c r="M12328" s="8">
        <f>VALUE(14275)</f>
        <v>14275</v>
      </c>
      <c r="N12328" t="s">
        <v>24</v>
      </c>
    </row>
    <row r="12329" spans="1:14" x14ac:dyDescent="0.25">
      <c r="A12329" t="s">
        <v>44</v>
      </c>
      <c r="B12329" t="s">
        <v>40</v>
      </c>
      <c r="C12329" t="s">
        <v>15</v>
      </c>
      <c r="D12329" t="s">
        <v>31</v>
      </c>
      <c r="E12329" t="s">
        <v>15</v>
      </c>
      <c r="F12329" t="s">
        <v>18</v>
      </c>
      <c r="G12329" s="2">
        <f>VALUE(353.95)</f>
        <v>353.95</v>
      </c>
      <c r="H12329" s="3">
        <f>VALUE(287.24)</f>
        <v>287.24</v>
      </c>
      <c r="I12329" s="4">
        <f>VALUE(3894)</f>
        <v>3894</v>
      </c>
      <c r="J12329" s="5">
        <f>VALUE(5533)</f>
        <v>5533</v>
      </c>
      <c r="K12329" s="1">
        <f>VALUE(7014)</f>
        <v>7014</v>
      </c>
      <c r="L12329" s="7">
        <f>VALUE(8904)</f>
        <v>8904</v>
      </c>
      <c r="M12329" s="1">
        <f>VALUE(9996)</f>
        <v>9996</v>
      </c>
      <c r="N12329" t="s">
        <v>25</v>
      </c>
    </row>
    <row r="12330" spans="1:14" x14ac:dyDescent="0.25">
      <c r="A12330" t="s">
        <v>44</v>
      </c>
      <c r="B12330" t="s">
        <v>40</v>
      </c>
      <c r="C12330" t="s">
        <v>15</v>
      </c>
      <c r="D12330" t="s">
        <v>31</v>
      </c>
      <c r="E12330" t="s">
        <v>15</v>
      </c>
      <c r="F12330" t="s">
        <v>19</v>
      </c>
      <c r="G12330" s="2">
        <f>VALUE(238.07)</f>
        <v>238.07</v>
      </c>
      <c r="H12330" s="3">
        <f>VALUE(211.35)</f>
        <v>211.35</v>
      </c>
      <c r="I12330" s="1">
        <f>VALUE(3791)</f>
        <v>3791</v>
      </c>
      <c r="J12330" s="1">
        <f>VALUE(4377)</f>
        <v>4377</v>
      </c>
      <c r="K12330" s="1">
        <f>VALUE(4941)</f>
        <v>4941</v>
      </c>
      <c r="L12330" s="1">
        <f>VALUE(6357)</f>
        <v>6357</v>
      </c>
      <c r="M12330" s="8">
        <f>VALUE(7677)</f>
        <v>7677</v>
      </c>
      <c r="N12330" t="s">
        <v>25</v>
      </c>
    </row>
    <row r="12331" spans="1:14" x14ac:dyDescent="0.25">
      <c r="A12331" t="s">
        <v>44</v>
      </c>
      <c r="B12331" t="s">
        <v>40</v>
      </c>
      <c r="C12331" t="s">
        <v>15</v>
      </c>
      <c r="D12331" t="s">
        <v>31</v>
      </c>
      <c r="E12331" t="s">
        <v>15</v>
      </c>
      <c r="F12331" t="s">
        <v>20</v>
      </c>
      <c r="G12331" s="2">
        <f>VALUE(3054.39)</f>
        <v>3054.39</v>
      </c>
      <c r="H12331" s="3">
        <f>VALUE(2111.54)</f>
        <v>2111.54</v>
      </c>
      <c r="I12331" s="1">
        <f>VALUE(3174)</f>
        <v>3174</v>
      </c>
      <c r="J12331" s="1">
        <f>VALUE(3600)</f>
        <v>3600</v>
      </c>
      <c r="K12331" s="1">
        <f>VALUE(4092)</f>
        <v>4092</v>
      </c>
      <c r="L12331" s="1">
        <f>VALUE(5256)</f>
        <v>5256</v>
      </c>
      <c r="M12331" s="1">
        <f>VALUE(6271)</f>
        <v>6271</v>
      </c>
      <c r="N12331" t="s">
        <v>25</v>
      </c>
    </row>
    <row r="12332" spans="1:14" x14ac:dyDescent="0.25">
      <c r="A12332" t="s">
        <v>44</v>
      </c>
      <c r="B12332" t="s">
        <v>40</v>
      </c>
      <c r="C12332" t="s">
        <v>15</v>
      </c>
      <c r="D12332" t="s">
        <v>31</v>
      </c>
      <c r="E12332" t="s">
        <v>21</v>
      </c>
      <c r="F12332" t="s">
        <v>15</v>
      </c>
      <c r="G12332" s="2">
        <f>VALUE(1407.01)</f>
        <v>1407.01</v>
      </c>
      <c r="H12332" s="3">
        <f>VALUE(1206.58)</f>
        <v>1206.58</v>
      </c>
      <c r="I12332" s="1">
        <f>VALUE(4049)</f>
        <v>4049</v>
      </c>
      <c r="J12332" s="1">
        <f>VALUE(4849)</f>
        <v>4849</v>
      </c>
      <c r="K12332" s="1">
        <f>VALUE(5970)</f>
        <v>5970</v>
      </c>
      <c r="L12332" s="1">
        <f>VALUE(7385)</f>
        <v>7385</v>
      </c>
      <c r="M12332" s="1">
        <f>VALUE(9996)</f>
        <v>9996</v>
      </c>
      <c r="N12332" t="s">
        <v>25</v>
      </c>
    </row>
    <row r="12333" spans="1:14" x14ac:dyDescent="0.25">
      <c r="A12333" t="s">
        <v>44</v>
      </c>
      <c r="B12333" t="s">
        <v>40</v>
      </c>
      <c r="C12333" t="s">
        <v>15</v>
      </c>
      <c r="D12333" t="s">
        <v>31</v>
      </c>
      <c r="E12333" t="s">
        <v>21</v>
      </c>
      <c r="F12333" t="s">
        <v>17</v>
      </c>
      <c r="G12333" s="2">
        <f>VALUE(295.4)</f>
        <v>295.39999999999998</v>
      </c>
      <c r="H12333" s="3">
        <f>VALUE(280.57)</f>
        <v>280.57</v>
      </c>
      <c r="I12333" s="4">
        <f>VALUE(4049)</f>
        <v>4049</v>
      </c>
      <c r="J12333" s="5">
        <f>VALUE(5890)</f>
        <v>5890</v>
      </c>
      <c r="K12333" s="6">
        <f>VALUE(6800)</f>
        <v>6800</v>
      </c>
      <c r="L12333" s="7">
        <f>VALUE(8955)</f>
        <v>8955</v>
      </c>
      <c r="M12333" s="8">
        <f>VALUE(16083)</f>
        <v>16083</v>
      </c>
      <c r="N12333" t="s">
        <v>24</v>
      </c>
    </row>
    <row r="12334" spans="1:14" x14ac:dyDescent="0.25">
      <c r="A12334" t="s">
        <v>44</v>
      </c>
      <c r="B12334" t="s">
        <v>40</v>
      </c>
      <c r="C12334" t="s">
        <v>15</v>
      </c>
      <c r="D12334" t="s">
        <v>31</v>
      </c>
      <c r="E12334" t="s">
        <v>21</v>
      </c>
      <c r="F12334" t="s">
        <v>18</v>
      </c>
      <c r="G12334" s="2">
        <f>VALUE(249.19)</f>
        <v>249.19</v>
      </c>
      <c r="H12334" s="3">
        <f>VALUE(199.65)</f>
        <v>199.65</v>
      </c>
      <c r="I12334" s="4">
        <f>VALUE(4786)</f>
        <v>4786</v>
      </c>
      <c r="J12334" s="5">
        <f>VALUE(6420)</f>
        <v>6420</v>
      </c>
      <c r="K12334" s="6">
        <f>VALUE(7014)</f>
        <v>7014</v>
      </c>
      <c r="L12334" s="7">
        <f>VALUE(9295)</f>
        <v>9295</v>
      </c>
      <c r="M12334" s="8">
        <f>VALUE(9996)</f>
        <v>9996</v>
      </c>
      <c r="N12334" t="s">
        <v>24</v>
      </c>
    </row>
    <row r="12335" spans="1:14" x14ac:dyDescent="0.25">
      <c r="A12335" t="s">
        <v>44</v>
      </c>
      <c r="B12335" t="s">
        <v>40</v>
      </c>
      <c r="C12335" t="s">
        <v>15</v>
      </c>
      <c r="D12335" t="s">
        <v>31</v>
      </c>
      <c r="E12335" t="s">
        <v>21</v>
      </c>
      <c r="F12335" t="s">
        <v>19</v>
      </c>
      <c r="G12335" s="1" t="str">
        <f t="shared" ref="G12335:M12335" si="2759">"X"</f>
        <v>X</v>
      </c>
      <c r="H12335" s="1" t="str">
        <f t="shared" si="2759"/>
        <v>X</v>
      </c>
      <c r="I12335" s="1" t="str">
        <f t="shared" si="2759"/>
        <v>X</v>
      </c>
      <c r="J12335" s="1" t="str">
        <f t="shared" si="2759"/>
        <v>X</v>
      </c>
      <c r="K12335" s="1" t="str">
        <f t="shared" si="2759"/>
        <v>X</v>
      </c>
      <c r="L12335" s="1" t="str">
        <f t="shared" si="2759"/>
        <v>X</v>
      </c>
      <c r="M12335" s="1" t="str">
        <f t="shared" si="2759"/>
        <v>X</v>
      </c>
      <c r="N12335" t="s">
        <v>27</v>
      </c>
    </row>
    <row r="12336" spans="1:14" x14ac:dyDescent="0.25">
      <c r="A12336" t="s">
        <v>44</v>
      </c>
      <c r="B12336" t="s">
        <v>40</v>
      </c>
      <c r="C12336" t="s">
        <v>15</v>
      </c>
      <c r="D12336" t="s">
        <v>31</v>
      </c>
      <c r="E12336" t="s">
        <v>21</v>
      </c>
      <c r="F12336" t="s">
        <v>20</v>
      </c>
      <c r="G12336" s="2">
        <f>VALUE(752.58)</f>
        <v>752.58</v>
      </c>
      <c r="H12336" s="3">
        <f>VALUE(623.58)</f>
        <v>623.58000000000004</v>
      </c>
      <c r="I12336" s="1">
        <f>VALUE(3985)</f>
        <v>3985</v>
      </c>
      <c r="J12336" s="1">
        <f>VALUE(4672)</f>
        <v>4672</v>
      </c>
      <c r="K12336" s="1">
        <f>VALUE(5475)</f>
        <v>5475</v>
      </c>
      <c r="L12336" s="1">
        <f>VALUE(6250)</f>
        <v>6250</v>
      </c>
      <c r="M12336" s="1">
        <f>VALUE(7565)</f>
        <v>7565</v>
      </c>
      <c r="N12336" t="s">
        <v>25</v>
      </c>
    </row>
    <row r="12337" spans="1:14" x14ac:dyDescent="0.25">
      <c r="A12337" t="s">
        <v>44</v>
      </c>
      <c r="B12337" t="s">
        <v>40</v>
      </c>
      <c r="C12337" t="s">
        <v>15</v>
      </c>
      <c r="D12337" t="s">
        <v>31</v>
      </c>
      <c r="E12337" t="s">
        <v>22</v>
      </c>
      <c r="F12337" t="s">
        <v>15</v>
      </c>
      <c r="G12337" s="2">
        <f>VALUE(1026.2)</f>
        <v>1026.2</v>
      </c>
      <c r="H12337" s="3">
        <f>VALUE(881)</f>
        <v>881</v>
      </c>
      <c r="I12337" s="4">
        <f>VALUE(3415)</f>
        <v>3415</v>
      </c>
      <c r="J12337" s="1">
        <f>VALUE(3900)</f>
        <v>3900</v>
      </c>
      <c r="K12337" s="6">
        <f>VALUE(4312)</f>
        <v>4312</v>
      </c>
      <c r="L12337" s="1">
        <f>VALUE(5548)</f>
        <v>5548</v>
      </c>
      <c r="M12337" s="8">
        <f>VALUE(6670)</f>
        <v>6670</v>
      </c>
      <c r="N12337" t="s">
        <v>25</v>
      </c>
    </row>
    <row r="12338" spans="1:14" x14ac:dyDescent="0.25">
      <c r="A12338" t="s">
        <v>44</v>
      </c>
      <c r="B12338" t="s">
        <v>40</v>
      </c>
      <c r="C12338" t="s">
        <v>15</v>
      </c>
      <c r="D12338" t="s">
        <v>31</v>
      </c>
      <c r="E12338" t="s">
        <v>22</v>
      </c>
      <c r="F12338" t="s">
        <v>17</v>
      </c>
      <c r="G12338" s="1" t="str">
        <f t="shared" ref="G12338:M12340" si="2760">"X"</f>
        <v>X</v>
      </c>
      <c r="H12338" s="1" t="str">
        <f t="shared" si="2760"/>
        <v>X</v>
      </c>
      <c r="I12338" s="1" t="str">
        <f t="shared" si="2760"/>
        <v>X</v>
      </c>
      <c r="J12338" s="1" t="str">
        <f t="shared" si="2760"/>
        <v>X</v>
      </c>
      <c r="K12338" s="1" t="str">
        <f t="shared" si="2760"/>
        <v>X</v>
      </c>
      <c r="L12338" s="1" t="str">
        <f t="shared" si="2760"/>
        <v>X</v>
      </c>
      <c r="M12338" s="1" t="str">
        <f t="shared" si="2760"/>
        <v>X</v>
      </c>
      <c r="N12338" t="s">
        <v>27</v>
      </c>
    </row>
    <row r="12339" spans="1:14" x14ac:dyDescent="0.25">
      <c r="A12339" t="s">
        <v>44</v>
      </c>
      <c r="B12339" t="s">
        <v>40</v>
      </c>
      <c r="C12339" t="s">
        <v>15</v>
      </c>
      <c r="D12339" t="s">
        <v>31</v>
      </c>
      <c r="E12339" t="s">
        <v>22</v>
      </c>
      <c r="F12339" t="s">
        <v>18</v>
      </c>
      <c r="G12339" s="1" t="str">
        <f t="shared" si="2760"/>
        <v>X</v>
      </c>
      <c r="H12339" s="1" t="str">
        <f t="shared" si="2760"/>
        <v>X</v>
      </c>
      <c r="I12339" s="1" t="str">
        <f t="shared" si="2760"/>
        <v>X</v>
      </c>
      <c r="J12339" s="1" t="str">
        <f t="shared" si="2760"/>
        <v>X</v>
      </c>
      <c r="K12339" s="1" t="str">
        <f t="shared" si="2760"/>
        <v>X</v>
      </c>
      <c r="L12339" s="1" t="str">
        <f t="shared" si="2760"/>
        <v>X</v>
      </c>
      <c r="M12339" s="1" t="str">
        <f t="shared" si="2760"/>
        <v>X</v>
      </c>
      <c r="N12339" t="s">
        <v>27</v>
      </c>
    </row>
    <row r="12340" spans="1:14" x14ac:dyDescent="0.25">
      <c r="A12340" t="s">
        <v>44</v>
      </c>
      <c r="B12340" t="s">
        <v>40</v>
      </c>
      <c r="C12340" t="s">
        <v>15</v>
      </c>
      <c r="D12340" t="s">
        <v>31</v>
      </c>
      <c r="E12340" t="s">
        <v>22</v>
      </c>
      <c r="F12340" t="s">
        <v>19</v>
      </c>
      <c r="G12340" s="1" t="str">
        <f t="shared" si="2760"/>
        <v>X</v>
      </c>
      <c r="H12340" s="1" t="str">
        <f t="shared" si="2760"/>
        <v>X</v>
      </c>
      <c r="I12340" s="1" t="str">
        <f t="shared" si="2760"/>
        <v>X</v>
      </c>
      <c r="J12340" s="1" t="str">
        <f t="shared" si="2760"/>
        <v>X</v>
      </c>
      <c r="K12340" s="1" t="str">
        <f t="shared" si="2760"/>
        <v>X</v>
      </c>
      <c r="L12340" s="1" t="str">
        <f t="shared" si="2760"/>
        <v>X</v>
      </c>
      <c r="M12340" s="1" t="str">
        <f t="shared" si="2760"/>
        <v>X</v>
      </c>
      <c r="N12340" t="s">
        <v>27</v>
      </c>
    </row>
    <row r="12341" spans="1:14" x14ac:dyDescent="0.25">
      <c r="A12341" t="s">
        <v>44</v>
      </c>
      <c r="B12341" t="s">
        <v>40</v>
      </c>
      <c r="C12341" t="s">
        <v>15</v>
      </c>
      <c r="D12341" t="s">
        <v>31</v>
      </c>
      <c r="E12341" t="s">
        <v>22</v>
      </c>
      <c r="F12341" t="s">
        <v>20</v>
      </c>
      <c r="G12341" s="2">
        <f>VALUE(793.98)</f>
        <v>793.98</v>
      </c>
      <c r="H12341" s="3">
        <f>VALUE(678.05)</f>
        <v>678.05</v>
      </c>
      <c r="I12341" s="1">
        <f>VALUE(3431)</f>
        <v>3431</v>
      </c>
      <c r="J12341" s="1">
        <f>VALUE(3900)</f>
        <v>3900</v>
      </c>
      <c r="K12341" s="1">
        <f>VALUE(4091)</f>
        <v>4091</v>
      </c>
      <c r="L12341" s="1">
        <f>VALUE(5222)</f>
        <v>5222</v>
      </c>
      <c r="M12341" s="1">
        <f>VALUE(5854)</f>
        <v>5854</v>
      </c>
      <c r="N12341" t="s">
        <v>25</v>
      </c>
    </row>
    <row r="12342" spans="1:14" x14ac:dyDescent="0.25">
      <c r="A12342" t="s">
        <v>44</v>
      </c>
      <c r="B12342" t="s">
        <v>40</v>
      </c>
      <c r="C12342" t="s">
        <v>15</v>
      </c>
      <c r="D12342" t="s">
        <v>31</v>
      </c>
      <c r="E12342" t="s">
        <v>23</v>
      </c>
      <c r="F12342" t="s">
        <v>15</v>
      </c>
      <c r="G12342" s="2">
        <f>VALUE(1529.16)</f>
        <v>1529.16</v>
      </c>
      <c r="H12342" s="3">
        <f>VALUE(821.44)</f>
        <v>821.44</v>
      </c>
      <c r="I12342" s="4">
        <f>VALUE(2985)</f>
        <v>2985</v>
      </c>
      <c r="J12342" s="1">
        <f>VALUE(3330)</f>
        <v>3330</v>
      </c>
      <c r="K12342" s="1">
        <f>VALUE(3612)</f>
        <v>3612</v>
      </c>
      <c r="L12342" s="1">
        <f>VALUE(4058)</f>
        <v>4058</v>
      </c>
      <c r="M12342" s="1">
        <f>VALUE(4555)</f>
        <v>4555</v>
      </c>
      <c r="N12342" t="s">
        <v>25</v>
      </c>
    </row>
    <row r="12343" spans="1:14" x14ac:dyDescent="0.25">
      <c r="A12343" t="s">
        <v>44</v>
      </c>
      <c r="B12343" t="s">
        <v>40</v>
      </c>
      <c r="C12343" t="s">
        <v>15</v>
      </c>
      <c r="D12343" t="s">
        <v>31</v>
      </c>
      <c r="E12343" t="s">
        <v>23</v>
      </c>
      <c r="F12343" t="s">
        <v>17</v>
      </c>
      <c r="G12343" s="1" t="str">
        <f t="shared" ref="G12343:M12345" si="2761">"X"</f>
        <v>X</v>
      </c>
      <c r="H12343" s="1" t="str">
        <f t="shared" si="2761"/>
        <v>X</v>
      </c>
      <c r="I12343" s="1" t="str">
        <f t="shared" si="2761"/>
        <v>X</v>
      </c>
      <c r="J12343" s="1" t="str">
        <f t="shared" si="2761"/>
        <v>X</v>
      </c>
      <c r="K12343" s="1" t="str">
        <f t="shared" si="2761"/>
        <v>X</v>
      </c>
      <c r="L12343" s="1" t="str">
        <f t="shared" si="2761"/>
        <v>X</v>
      </c>
      <c r="M12343" s="1" t="str">
        <f t="shared" si="2761"/>
        <v>X</v>
      </c>
      <c r="N12343" t="s">
        <v>27</v>
      </c>
    </row>
    <row r="12344" spans="1:14" x14ac:dyDescent="0.25">
      <c r="A12344" t="s">
        <v>44</v>
      </c>
      <c r="B12344" t="s">
        <v>40</v>
      </c>
      <c r="C12344" t="s">
        <v>15</v>
      </c>
      <c r="D12344" t="s">
        <v>31</v>
      </c>
      <c r="E12344" t="s">
        <v>23</v>
      </c>
      <c r="F12344" t="s">
        <v>18</v>
      </c>
      <c r="G12344" s="1" t="str">
        <f t="shared" si="2761"/>
        <v>X</v>
      </c>
      <c r="H12344" s="1" t="str">
        <f t="shared" si="2761"/>
        <v>X</v>
      </c>
      <c r="I12344" s="1" t="str">
        <f t="shared" si="2761"/>
        <v>X</v>
      </c>
      <c r="J12344" s="1" t="str">
        <f t="shared" si="2761"/>
        <v>X</v>
      </c>
      <c r="K12344" s="1" t="str">
        <f t="shared" si="2761"/>
        <v>X</v>
      </c>
      <c r="L12344" s="1" t="str">
        <f t="shared" si="2761"/>
        <v>X</v>
      </c>
      <c r="M12344" s="1" t="str">
        <f t="shared" si="2761"/>
        <v>X</v>
      </c>
      <c r="N12344" t="s">
        <v>27</v>
      </c>
    </row>
    <row r="12345" spans="1:14" x14ac:dyDescent="0.25">
      <c r="A12345" t="s">
        <v>44</v>
      </c>
      <c r="B12345" t="s">
        <v>40</v>
      </c>
      <c r="C12345" t="s">
        <v>15</v>
      </c>
      <c r="D12345" t="s">
        <v>31</v>
      </c>
      <c r="E12345" t="s">
        <v>23</v>
      </c>
      <c r="F12345" t="s">
        <v>19</v>
      </c>
      <c r="G12345" s="1" t="str">
        <f t="shared" si="2761"/>
        <v>X</v>
      </c>
      <c r="H12345" s="1" t="str">
        <f t="shared" si="2761"/>
        <v>X</v>
      </c>
      <c r="I12345" s="1" t="str">
        <f t="shared" si="2761"/>
        <v>X</v>
      </c>
      <c r="J12345" s="1" t="str">
        <f t="shared" si="2761"/>
        <v>X</v>
      </c>
      <c r="K12345" s="1" t="str">
        <f t="shared" si="2761"/>
        <v>X</v>
      </c>
      <c r="L12345" s="1" t="str">
        <f t="shared" si="2761"/>
        <v>X</v>
      </c>
      <c r="M12345" s="1" t="str">
        <f t="shared" si="2761"/>
        <v>X</v>
      </c>
      <c r="N12345" t="s">
        <v>27</v>
      </c>
    </row>
    <row r="12346" spans="1:14" x14ac:dyDescent="0.25">
      <c r="A12346" t="s">
        <v>44</v>
      </c>
      <c r="B12346" t="s">
        <v>40</v>
      </c>
      <c r="C12346" t="s">
        <v>15</v>
      </c>
      <c r="D12346" t="s">
        <v>31</v>
      </c>
      <c r="E12346" t="s">
        <v>23</v>
      </c>
      <c r="F12346" t="s">
        <v>20</v>
      </c>
      <c r="G12346" s="2">
        <f>VALUE(1476.88)</f>
        <v>1476.88</v>
      </c>
      <c r="H12346" s="3">
        <f>VALUE(780.77)</f>
        <v>780.77</v>
      </c>
      <c r="I12346" s="4">
        <f>VALUE(2985)</f>
        <v>2985</v>
      </c>
      <c r="J12346" s="1">
        <f>VALUE(3301)</f>
        <v>3301</v>
      </c>
      <c r="K12346" s="1">
        <f>VALUE(3612)</f>
        <v>3612</v>
      </c>
      <c r="L12346" s="1">
        <f>VALUE(4058)</f>
        <v>4058</v>
      </c>
      <c r="M12346" s="1">
        <f>VALUE(4361)</f>
        <v>4361</v>
      </c>
      <c r="N12346" t="s">
        <v>25</v>
      </c>
    </row>
    <row r="12347" spans="1:14" x14ac:dyDescent="0.25">
      <c r="A12347" t="s">
        <v>44</v>
      </c>
      <c r="B12347" t="s">
        <v>40</v>
      </c>
      <c r="C12347" t="s">
        <v>15</v>
      </c>
      <c r="D12347" t="s">
        <v>31</v>
      </c>
      <c r="E12347" t="s">
        <v>26</v>
      </c>
      <c r="F12347" t="s">
        <v>15</v>
      </c>
      <c r="G12347" s="1" t="str">
        <f t="shared" ref="G12347:M12349" si="2762">"X"</f>
        <v>X</v>
      </c>
      <c r="H12347" s="1" t="str">
        <f t="shared" si="2762"/>
        <v>X</v>
      </c>
      <c r="I12347" s="1" t="str">
        <f t="shared" si="2762"/>
        <v>X</v>
      </c>
      <c r="J12347" s="1" t="str">
        <f t="shared" si="2762"/>
        <v>X</v>
      </c>
      <c r="K12347" s="1" t="str">
        <f t="shared" si="2762"/>
        <v>X</v>
      </c>
      <c r="L12347" s="1" t="str">
        <f t="shared" si="2762"/>
        <v>X</v>
      </c>
      <c r="M12347" s="1" t="str">
        <f t="shared" si="2762"/>
        <v>X</v>
      </c>
      <c r="N12347" t="s">
        <v>27</v>
      </c>
    </row>
    <row r="12348" spans="1:14" x14ac:dyDescent="0.25">
      <c r="A12348" t="s">
        <v>44</v>
      </c>
      <c r="B12348" t="s">
        <v>40</v>
      </c>
      <c r="C12348" t="s">
        <v>15</v>
      </c>
      <c r="D12348" t="s">
        <v>31</v>
      </c>
      <c r="E12348" t="s">
        <v>26</v>
      </c>
      <c r="F12348" t="s">
        <v>17</v>
      </c>
      <c r="G12348" s="1" t="str">
        <f t="shared" si="2762"/>
        <v>X</v>
      </c>
      <c r="H12348" s="1" t="str">
        <f t="shared" si="2762"/>
        <v>X</v>
      </c>
      <c r="I12348" s="1" t="str">
        <f t="shared" si="2762"/>
        <v>X</v>
      </c>
      <c r="J12348" s="1" t="str">
        <f t="shared" si="2762"/>
        <v>X</v>
      </c>
      <c r="K12348" s="1" t="str">
        <f t="shared" si="2762"/>
        <v>X</v>
      </c>
      <c r="L12348" s="1" t="str">
        <f t="shared" si="2762"/>
        <v>X</v>
      </c>
      <c r="M12348" s="1" t="str">
        <f t="shared" si="2762"/>
        <v>X</v>
      </c>
      <c r="N12348" t="s">
        <v>27</v>
      </c>
    </row>
    <row r="12349" spans="1:14" x14ac:dyDescent="0.25">
      <c r="A12349" t="s">
        <v>44</v>
      </c>
      <c r="B12349" t="s">
        <v>40</v>
      </c>
      <c r="C12349" t="s">
        <v>15</v>
      </c>
      <c r="D12349" t="s">
        <v>31</v>
      </c>
      <c r="E12349" t="s">
        <v>26</v>
      </c>
      <c r="F12349" t="s">
        <v>18</v>
      </c>
      <c r="G12349" s="1" t="str">
        <f t="shared" si="2762"/>
        <v>X</v>
      </c>
      <c r="H12349" s="1" t="str">
        <f t="shared" si="2762"/>
        <v>X</v>
      </c>
      <c r="I12349" s="1" t="str">
        <f t="shared" si="2762"/>
        <v>X</v>
      </c>
      <c r="J12349" s="1" t="str">
        <f t="shared" si="2762"/>
        <v>X</v>
      </c>
      <c r="K12349" s="1" t="str">
        <f t="shared" si="2762"/>
        <v>X</v>
      </c>
      <c r="L12349" s="1" t="str">
        <f t="shared" si="2762"/>
        <v>X</v>
      </c>
      <c r="M12349" s="1" t="str">
        <f t="shared" si="2762"/>
        <v>X</v>
      </c>
      <c r="N12349" t="s">
        <v>27</v>
      </c>
    </row>
    <row r="12350" spans="1:14" x14ac:dyDescent="0.25">
      <c r="A12350" t="s">
        <v>44</v>
      </c>
      <c r="B12350" t="s">
        <v>40</v>
      </c>
      <c r="C12350" t="s">
        <v>15</v>
      </c>
      <c r="D12350" t="s">
        <v>31</v>
      </c>
      <c r="E12350" t="s">
        <v>26</v>
      </c>
      <c r="F12350" t="s">
        <v>19</v>
      </c>
      <c r="G12350" s="1" t="str">
        <f t="shared" ref="G12350:M12350" si="2763">"..."</f>
        <v>...</v>
      </c>
      <c r="H12350" s="1" t="str">
        <f t="shared" si="2763"/>
        <v>...</v>
      </c>
      <c r="I12350" s="1" t="str">
        <f t="shared" si="2763"/>
        <v>...</v>
      </c>
      <c r="J12350" s="1" t="str">
        <f t="shared" si="2763"/>
        <v>...</v>
      </c>
      <c r="K12350" s="1" t="str">
        <f t="shared" si="2763"/>
        <v>...</v>
      </c>
      <c r="L12350" s="1" t="str">
        <f t="shared" si="2763"/>
        <v>...</v>
      </c>
      <c r="M12350" s="1" t="str">
        <f t="shared" si="2763"/>
        <v>...</v>
      </c>
      <c r="N12350" t="s">
        <v>30</v>
      </c>
    </row>
    <row r="12351" spans="1:14" x14ac:dyDescent="0.25">
      <c r="A12351" t="s">
        <v>44</v>
      </c>
      <c r="B12351" t="s">
        <v>40</v>
      </c>
      <c r="C12351" t="s">
        <v>15</v>
      </c>
      <c r="D12351" t="s">
        <v>31</v>
      </c>
      <c r="E12351" t="s">
        <v>26</v>
      </c>
      <c r="F12351" t="s">
        <v>20</v>
      </c>
      <c r="G12351" s="1" t="str">
        <f t="shared" ref="G12351:M12351" si="2764">"X"</f>
        <v>X</v>
      </c>
      <c r="H12351" s="1" t="str">
        <f t="shared" si="2764"/>
        <v>X</v>
      </c>
      <c r="I12351" s="1" t="str">
        <f t="shared" si="2764"/>
        <v>X</v>
      </c>
      <c r="J12351" s="1" t="str">
        <f t="shared" si="2764"/>
        <v>X</v>
      </c>
      <c r="K12351" s="1" t="str">
        <f t="shared" si="2764"/>
        <v>X</v>
      </c>
      <c r="L12351" s="1" t="str">
        <f t="shared" si="2764"/>
        <v>X</v>
      </c>
      <c r="M12351" s="1" t="str">
        <f t="shared" si="2764"/>
        <v>X</v>
      </c>
      <c r="N12351" t="s">
        <v>27</v>
      </c>
    </row>
    <row r="12352" spans="1:14" x14ac:dyDescent="0.25">
      <c r="A12352" t="s">
        <v>44</v>
      </c>
      <c r="B12352" t="s">
        <v>40</v>
      </c>
      <c r="C12352" t="s">
        <v>15</v>
      </c>
      <c r="D12352" t="s">
        <v>32</v>
      </c>
      <c r="E12352" t="s">
        <v>15</v>
      </c>
      <c r="F12352" t="s">
        <v>15</v>
      </c>
      <c r="G12352" s="1">
        <f>VALUE(18070.04)</f>
        <v>18070.04</v>
      </c>
      <c r="H12352" s="1">
        <f>VALUE(14697.7)</f>
        <v>14697.7</v>
      </c>
      <c r="I12352" s="1">
        <f>VALUE(3010)</f>
        <v>3010</v>
      </c>
      <c r="J12352" s="1">
        <f>VALUE(3302)</f>
        <v>3302</v>
      </c>
      <c r="K12352" s="1">
        <f>VALUE(3895)</f>
        <v>3895</v>
      </c>
      <c r="L12352" s="1">
        <f>VALUE(5119)</f>
        <v>5119</v>
      </c>
      <c r="M12352" s="1">
        <f>VALUE(6705)</f>
        <v>6705</v>
      </c>
      <c r="N12352" t="s">
        <v>16</v>
      </c>
    </row>
    <row r="12353" spans="1:14" x14ac:dyDescent="0.25">
      <c r="A12353" t="s">
        <v>44</v>
      </c>
      <c r="B12353" t="s">
        <v>40</v>
      </c>
      <c r="C12353" t="s">
        <v>15</v>
      </c>
      <c r="D12353" t="s">
        <v>32</v>
      </c>
      <c r="E12353" t="s">
        <v>15</v>
      </c>
      <c r="F12353" t="s">
        <v>17</v>
      </c>
      <c r="G12353" s="2">
        <f>VALUE(871.83)</f>
        <v>871.83</v>
      </c>
      <c r="H12353" s="3">
        <f>VALUE(805.26)</f>
        <v>805.26</v>
      </c>
      <c r="I12353" s="4">
        <f>VALUE(4300)</f>
        <v>4300</v>
      </c>
      <c r="J12353" s="5">
        <f>VALUE(4780)</f>
        <v>4780</v>
      </c>
      <c r="K12353" s="6">
        <f>VALUE(6829)</f>
        <v>6829</v>
      </c>
      <c r="L12353" s="7">
        <f>VALUE(8098)</f>
        <v>8098</v>
      </c>
      <c r="M12353" s="8">
        <f>VALUE(12907)</f>
        <v>12907</v>
      </c>
      <c r="N12353" t="s">
        <v>24</v>
      </c>
    </row>
    <row r="12354" spans="1:14" x14ac:dyDescent="0.25">
      <c r="A12354" t="s">
        <v>44</v>
      </c>
      <c r="B12354" t="s">
        <v>40</v>
      </c>
      <c r="C12354" t="s">
        <v>15</v>
      </c>
      <c r="D12354" t="s">
        <v>32</v>
      </c>
      <c r="E12354" t="s">
        <v>15</v>
      </c>
      <c r="F12354" t="s">
        <v>18</v>
      </c>
      <c r="G12354" s="2">
        <f>VALUE(961.35)</f>
        <v>961.35</v>
      </c>
      <c r="H12354" s="3">
        <f>VALUE(878.17)</f>
        <v>878.17</v>
      </c>
      <c r="I12354" s="4">
        <f>VALUE(3403)</f>
        <v>3403</v>
      </c>
      <c r="J12354" s="5">
        <f>VALUE(4411)</f>
        <v>4411</v>
      </c>
      <c r="K12354" s="1">
        <f>VALUE(5500)</f>
        <v>5500</v>
      </c>
      <c r="L12354" s="7">
        <f>VALUE(6923)</f>
        <v>6923</v>
      </c>
      <c r="M12354" s="1">
        <f>VALUE(8476)</f>
        <v>8476</v>
      </c>
      <c r="N12354" t="s">
        <v>25</v>
      </c>
    </row>
    <row r="12355" spans="1:14" x14ac:dyDescent="0.25">
      <c r="A12355" t="s">
        <v>44</v>
      </c>
      <c r="B12355" t="s">
        <v>40</v>
      </c>
      <c r="C12355" t="s">
        <v>15</v>
      </c>
      <c r="D12355" t="s">
        <v>32</v>
      </c>
      <c r="E12355" t="s">
        <v>15</v>
      </c>
      <c r="F12355" t="s">
        <v>19</v>
      </c>
      <c r="G12355" s="2">
        <f>VALUE(1701.72)</f>
        <v>1701.72</v>
      </c>
      <c r="H12355" s="3">
        <f>VALUE(1542.27)</f>
        <v>1542.27</v>
      </c>
      <c r="I12355" s="4">
        <f>VALUE(3159)</f>
        <v>3159</v>
      </c>
      <c r="J12355" s="1">
        <f>VALUE(3791)</f>
        <v>3791</v>
      </c>
      <c r="K12355" s="1">
        <f>VALUE(4630)</f>
        <v>4630</v>
      </c>
      <c r="L12355" s="1">
        <f>VALUE(5990)</f>
        <v>5990</v>
      </c>
      <c r="M12355" s="1">
        <f>VALUE(7087)</f>
        <v>7087</v>
      </c>
      <c r="N12355" t="s">
        <v>25</v>
      </c>
    </row>
    <row r="12356" spans="1:14" x14ac:dyDescent="0.25">
      <c r="A12356" t="s">
        <v>44</v>
      </c>
      <c r="B12356" t="s">
        <v>40</v>
      </c>
      <c r="C12356" t="s">
        <v>15</v>
      </c>
      <c r="D12356" t="s">
        <v>32</v>
      </c>
      <c r="E12356" t="s">
        <v>15</v>
      </c>
      <c r="F12356" t="s">
        <v>20</v>
      </c>
      <c r="G12356" s="1">
        <f>VALUE(14535.14)</f>
        <v>14535.14</v>
      </c>
      <c r="H12356" s="1">
        <f>VALUE(11472)</f>
        <v>11472</v>
      </c>
      <c r="I12356" s="1">
        <f>VALUE(2988)</f>
        <v>2988</v>
      </c>
      <c r="J12356" s="1">
        <f>VALUE(3250)</f>
        <v>3250</v>
      </c>
      <c r="K12356" s="1">
        <f>VALUE(3671)</f>
        <v>3671</v>
      </c>
      <c r="L12356" s="1">
        <f>VALUE(4612)</f>
        <v>4612</v>
      </c>
      <c r="M12356" s="1">
        <f>VALUE(5806)</f>
        <v>5806</v>
      </c>
      <c r="N12356" t="s">
        <v>16</v>
      </c>
    </row>
    <row r="12357" spans="1:14" x14ac:dyDescent="0.25">
      <c r="A12357" t="s">
        <v>44</v>
      </c>
      <c r="B12357" t="s">
        <v>40</v>
      </c>
      <c r="C12357" t="s">
        <v>15</v>
      </c>
      <c r="D12357" t="s">
        <v>32</v>
      </c>
      <c r="E12357" t="s">
        <v>21</v>
      </c>
      <c r="F12357" t="s">
        <v>15</v>
      </c>
      <c r="G12357" s="2">
        <f>VALUE(4280.87)</f>
        <v>4280.87</v>
      </c>
      <c r="H12357" s="3">
        <f>VALUE(3810.33)</f>
        <v>3810.33</v>
      </c>
      <c r="I12357" s="1">
        <f>VALUE(3300)</f>
        <v>3300</v>
      </c>
      <c r="J12357" s="1">
        <f>VALUE(4289)</f>
        <v>4289</v>
      </c>
      <c r="K12357" s="1">
        <f>VALUE(5226)</f>
        <v>5226</v>
      </c>
      <c r="L12357" s="1">
        <f>VALUE(6705)</f>
        <v>6705</v>
      </c>
      <c r="M12357" s="1">
        <f>VALUE(8098)</f>
        <v>8098</v>
      </c>
      <c r="N12357" t="s">
        <v>25</v>
      </c>
    </row>
    <row r="12358" spans="1:14" x14ac:dyDescent="0.25">
      <c r="A12358" t="s">
        <v>44</v>
      </c>
      <c r="B12358" t="s">
        <v>40</v>
      </c>
      <c r="C12358" t="s">
        <v>15</v>
      </c>
      <c r="D12358" t="s">
        <v>32</v>
      </c>
      <c r="E12358" t="s">
        <v>21</v>
      </c>
      <c r="F12358" t="s">
        <v>17</v>
      </c>
      <c r="G12358" s="2">
        <f>VALUE(497.38)</f>
        <v>497.38</v>
      </c>
      <c r="H12358" s="3">
        <f>VALUE(464.75)</f>
        <v>464.75</v>
      </c>
      <c r="I12358" s="1">
        <f>VALUE(4332)</f>
        <v>4332</v>
      </c>
      <c r="J12358" s="5">
        <f>VALUE(5648)</f>
        <v>5648</v>
      </c>
      <c r="K12358" s="1">
        <f>VALUE(7351)</f>
        <v>7351</v>
      </c>
      <c r="L12358" s="7">
        <f>VALUE(9289)</f>
        <v>9289</v>
      </c>
      <c r="M12358" s="8">
        <f>VALUE(14021)</f>
        <v>14021</v>
      </c>
      <c r="N12358" t="s">
        <v>25</v>
      </c>
    </row>
    <row r="12359" spans="1:14" x14ac:dyDescent="0.25">
      <c r="A12359" t="s">
        <v>44</v>
      </c>
      <c r="B12359" t="s">
        <v>40</v>
      </c>
      <c r="C12359" t="s">
        <v>15</v>
      </c>
      <c r="D12359" t="s">
        <v>32</v>
      </c>
      <c r="E12359" t="s">
        <v>21</v>
      </c>
      <c r="F12359" t="s">
        <v>18</v>
      </c>
      <c r="G12359" s="2">
        <f>VALUE(539.88)</f>
        <v>539.88</v>
      </c>
      <c r="H12359" s="3">
        <f>VALUE(492.4)</f>
        <v>492.4</v>
      </c>
      <c r="I12359" s="4">
        <f>VALUE(3403)</f>
        <v>3403</v>
      </c>
      <c r="J12359" s="5">
        <f>VALUE(4800)</f>
        <v>4800</v>
      </c>
      <c r="K12359" s="6">
        <f>VALUE(5500)</f>
        <v>5500</v>
      </c>
      <c r="L12359" s="7">
        <f>VALUE(7090)</f>
        <v>7090</v>
      </c>
      <c r="M12359" s="8">
        <f>VALUE(8687)</f>
        <v>8687</v>
      </c>
      <c r="N12359" t="s">
        <v>24</v>
      </c>
    </row>
    <row r="12360" spans="1:14" x14ac:dyDescent="0.25">
      <c r="A12360" t="s">
        <v>44</v>
      </c>
      <c r="B12360" t="s">
        <v>40</v>
      </c>
      <c r="C12360" t="s">
        <v>15</v>
      </c>
      <c r="D12360" t="s">
        <v>32</v>
      </c>
      <c r="E12360" t="s">
        <v>21</v>
      </c>
      <c r="F12360" t="s">
        <v>19</v>
      </c>
      <c r="G12360" s="2">
        <f>VALUE(660.34)</f>
        <v>660.34</v>
      </c>
      <c r="H12360" s="3">
        <f>VALUE(593.59)</f>
        <v>593.59</v>
      </c>
      <c r="I12360" s="4">
        <f>VALUE(3710)</f>
        <v>3710</v>
      </c>
      <c r="J12360" s="1">
        <f>VALUE(4564)</f>
        <v>4564</v>
      </c>
      <c r="K12360" s="6">
        <f>VALUE(5582)</f>
        <v>5582</v>
      </c>
      <c r="L12360" s="1">
        <f>VALUE(6899)</f>
        <v>6899</v>
      </c>
      <c r="M12360" s="1">
        <f>VALUE(7484)</f>
        <v>7484</v>
      </c>
      <c r="N12360" t="s">
        <v>25</v>
      </c>
    </row>
    <row r="12361" spans="1:14" x14ac:dyDescent="0.25">
      <c r="A12361" t="s">
        <v>44</v>
      </c>
      <c r="B12361" t="s">
        <v>40</v>
      </c>
      <c r="C12361" t="s">
        <v>15</v>
      </c>
      <c r="D12361" t="s">
        <v>32</v>
      </c>
      <c r="E12361" t="s">
        <v>21</v>
      </c>
      <c r="F12361" t="s">
        <v>20</v>
      </c>
      <c r="G12361" s="2">
        <f>VALUE(2583.27)</f>
        <v>2583.27</v>
      </c>
      <c r="H12361" s="3">
        <f>VALUE(2259.59)</f>
        <v>2259.59</v>
      </c>
      <c r="I12361" s="4">
        <f>VALUE(3141)</f>
        <v>3141</v>
      </c>
      <c r="J12361" s="1">
        <f>VALUE(3912)</f>
        <v>3912</v>
      </c>
      <c r="K12361" s="1">
        <f>VALUE(4811)</f>
        <v>4811</v>
      </c>
      <c r="L12361" s="7">
        <f>VALUE(6009)</f>
        <v>6009</v>
      </c>
      <c r="M12361" s="1">
        <f>VALUE(7014)</f>
        <v>7014</v>
      </c>
      <c r="N12361" t="s">
        <v>25</v>
      </c>
    </row>
    <row r="12362" spans="1:14" x14ac:dyDescent="0.25">
      <c r="A12362" t="s">
        <v>44</v>
      </c>
      <c r="B12362" t="s">
        <v>40</v>
      </c>
      <c r="C12362" t="s">
        <v>15</v>
      </c>
      <c r="D12362" t="s">
        <v>32</v>
      </c>
      <c r="E12362" t="s">
        <v>22</v>
      </c>
      <c r="F12362" t="s">
        <v>15</v>
      </c>
      <c r="G12362" s="1">
        <f>VALUE(4643.94)</f>
        <v>4643.9399999999996</v>
      </c>
      <c r="H12362" s="1">
        <f>VALUE(3846.35)</f>
        <v>3846.35</v>
      </c>
      <c r="I12362" s="1">
        <f>VALUE(3176)</f>
        <v>3176</v>
      </c>
      <c r="J12362" s="1">
        <f>VALUE(3699)</f>
        <v>3699</v>
      </c>
      <c r="K12362" s="1">
        <f>VALUE(4580)</f>
        <v>4580</v>
      </c>
      <c r="L12362" s="1">
        <f>VALUE(5633)</f>
        <v>5633</v>
      </c>
      <c r="M12362" s="1">
        <f>VALUE(6970)</f>
        <v>6970</v>
      </c>
      <c r="N12362" t="s">
        <v>16</v>
      </c>
    </row>
    <row r="12363" spans="1:14" x14ac:dyDescent="0.25">
      <c r="A12363" t="s">
        <v>44</v>
      </c>
      <c r="B12363" t="s">
        <v>40</v>
      </c>
      <c r="C12363" t="s">
        <v>15</v>
      </c>
      <c r="D12363" t="s">
        <v>32</v>
      </c>
      <c r="E12363" t="s">
        <v>22</v>
      </c>
      <c r="F12363" t="s">
        <v>17</v>
      </c>
      <c r="G12363" s="2">
        <f>VALUE(314.77)</f>
        <v>314.77</v>
      </c>
      <c r="H12363" s="3">
        <f>VALUE(284.94)</f>
        <v>284.94</v>
      </c>
      <c r="I12363" s="4">
        <f>VALUE(3798)</f>
        <v>3798</v>
      </c>
      <c r="J12363" s="1">
        <f>VALUE(4642)</f>
        <v>4642</v>
      </c>
      <c r="K12363" s="1">
        <f>VALUE(5722)</f>
        <v>5722</v>
      </c>
      <c r="L12363" s="1">
        <f>VALUE(7185)</f>
        <v>7185</v>
      </c>
      <c r="M12363" s="8">
        <f>VALUE(10165)</f>
        <v>10165</v>
      </c>
      <c r="N12363" t="s">
        <v>25</v>
      </c>
    </row>
    <row r="12364" spans="1:14" x14ac:dyDescent="0.25">
      <c r="A12364" t="s">
        <v>44</v>
      </c>
      <c r="B12364" t="s">
        <v>40</v>
      </c>
      <c r="C12364" t="s">
        <v>15</v>
      </c>
      <c r="D12364" t="s">
        <v>32</v>
      </c>
      <c r="E12364" t="s">
        <v>22</v>
      </c>
      <c r="F12364" t="s">
        <v>18</v>
      </c>
      <c r="G12364" s="2">
        <f>VALUE(255.04)</f>
        <v>255.04</v>
      </c>
      <c r="H12364" s="3">
        <f>VALUE(222.44)</f>
        <v>222.44</v>
      </c>
      <c r="I12364" s="4">
        <f>VALUE(3699)</f>
        <v>3699</v>
      </c>
      <c r="J12364" s="5">
        <f>VALUE(4249)</f>
        <v>4249</v>
      </c>
      <c r="K12364" s="6">
        <f>VALUE(6000)</f>
        <v>6000</v>
      </c>
      <c r="L12364" s="1">
        <f>VALUE(7423)</f>
        <v>7423</v>
      </c>
      <c r="M12364" s="8">
        <f>VALUE(9269)</f>
        <v>9269</v>
      </c>
      <c r="N12364" t="s">
        <v>25</v>
      </c>
    </row>
    <row r="12365" spans="1:14" x14ac:dyDescent="0.25">
      <c r="A12365" t="s">
        <v>44</v>
      </c>
      <c r="B12365" t="s">
        <v>40</v>
      </c>
      <c r="C12365" t="s">
        <v>15</v>
      </c>
      <c r="D12365" t="s">
        <v>32</v>
      </c>
      <c r="E12365" t="s">
        <v>22</v>
      </c>
      <c r="F12365" t="s">
        <v>19</v>
      </c>
      <c r="G12365" s="2">
        <f>VALUE(639.87)</f>
        <v>639.87</v>
      </c>
      <c r="H12365" s="3">
        <f>VALUE(577)</f>
        <v>577</v>
      </c>
      <c r="I12365" s="4">
        <f>VALUE(3256)</f>
        <v>3256</v>
      </c>
      <c r="J12365" s="5">
        <f>VALUE(3959)</f>
        <v>3959</v>
      </c>
      <c r="K12365" s="1">
        <f>VALUE(4580)</f>
        <v>4580</v>
      </c>
      <c r="L12365" s="1">
        <f>VALUE(5633)</f>
        <v>5633</v>
      </c>
      <c r="M12365" s="1">
        <f>VALUE(6665)</f>
        <v>6665</v>
      </c>
      <c r="N12365" t="s">
        <v>25</v>
      </c>
    </row>
    <row r="12366" spans="1:14" x14ac:dyDescent="0.25">
      <c r="A12366" t="s">
        <v>44</v>
      </c>
      <c r="B12366" t="s">
        <v>40</v>
      </c>
      <c r="C12366" t="s">
        <v>15</v>
      </c>
      <c r="D12366" t="s">
        <v>32</v>
      </c>
      <c r="E12366" t="s">
        <v>22</v>
      </c>
      <c r="F12366" t="s">
        <v>20</v>
      </c>
      <c r="G12366" s="1">
        <f>VALUE(3434.26)</f>
        <v>3434.26</v>
      </c>
      <c r="H12366" s="1">
        <f>VALUE(2761.97)</f>
        <v>2761.97</v>
      </c>
      <c r="I12366" s="1">
        <f>VALUE(3059)</f>
        <v>3059</v>
      </c>
      <c r="J12366" s="1">
        <f>VALUE(3560)</f>
        <v>3560</v>
      </c>
      <c r="K12366" s="1">
        <f>VALUE(4436)</f>
        <v>4436</v>
      </c>
      <c r="L12366" s="1">
        <f>VALUE(5358)</f>
        <v>5358</v>
      </c>
      <c r="M12366" s="1">
        <f>VALUE(6187)</f>
        <v>6187</v>
      </c>
      <c r="N12366" t="s">
        <v>16</v>
      </c>
    </row>
    <row r="12367" spans="1:14" x14ac:dyDescent="0.25">
      <c r="A12367" t="s">
        <v>44</v>
      </c>
      <c r="B12367" t="s">
        <v>40</v>
      </c>
      <c r="C12367" t="s">
        <v>15</v>
      </c>
      <c r="D12367" t="s">
        <v>32</v>
      </c>
      <c r="E12367" t="s">
        <v>23</v>
      </c>
      <c r="F12367" t="s">
        <v>15</v>
      </c>
      <c r="G12367" s="1">
        <f>VALUE(9047.59)</f>
        <v>9047.59</v>
      </c>
      <c r="H12367" s="1">
        <f>VALUE(6943.9)</f>
        <v>6943.9</v>
      </c>
      <c r="I12367" s="1">
        <f>VALUE(2932)</f>
        <v>2932</v>
      </c>
      <c r="J12367" s="1">
        <f>VALUE(3194)</f>
        <v>3194</v>
      </c>
      <c r="K12367" s="1">
        <f>VALUE(3421)</f>
        <v>3421</v>
      </c>
      <c r="L12367" s="1">
        <f>VALUE(3800)</f>
        <v>3800</v>
      </c>
      <c r="M12367" s="1">
        <f>VALUE(4441)</f>
        <v>4441</v>
      </c>
      <c r="N12367" t="s">
        <v>16</v>
      </c>
    </row>
    <row r="12368" spans="1:14" x14ac:dyDescent="0.25">
      <c r="A12368" t="s">
        <v>44</v>
      </c>
      <c r="B12368" t="s">
        <v>40</v>
      </c>
      <c r="C12368" t="s">
        <v>15</v>
      </c>
      <c r="D12368" t="s">
        <v>32</v>
      </c>
      <c r="E12368" t="s">
        <v>23</v>
      </c>
      <c r="F12368" t="s">
        <v>17</v>
      </c>
      <c r="G12368" s="1" t="str">
        <f t="shared" ref="G12368:M12369" si="2765">"X"</f>
        <v>X</v>
      </c>
      <c r="H12368" s="1" t="str">
        <f t="shared" si="2765"/>
        <v>X</v>
      </c>
      <c r="I12368" s="1" t="str">
        <f t="shared" si="2765"/>
        <v>X</v>
      </c>
      <c r="J12368" s="1" t="str">
        <f t="shared" si="2765"/>
        <v>X</v>
      </c>
      <c r="K12368" s="1" t="str">
        <f t="shared" si="2765"/>
        <v>X</v>
      </c>
      <c r="L12368" s="1" t="str">
        <f t="shared" si="2765"/>
        <v>X</v>
      </c>
      <c r="M12368" s="1" t="str">
        <f t="shared" si="2765"/>
        <v>X</v>
      </c>
      <c r="N12368" t="s">
        <v>27</v>
      </c>
    </row>
    <row r="12369" spans="1:14" x14ac:dyDescent="0.25">
      <c r="A12369" t="s">
        <v>44</v>
      </c>
      <c r="B12369" t="s">
        <v>40</v>
      </c>
      <c r="C12369" t="s">
        <v>15</v>
      </c>
      <c r="D12369" t="s">
        <v>32</v>
      </c>
      <c r="E12369" t="s">
        <v>23</v>
      </c>
      <c r="F12369" t="s">
        <v>18</v>
      </c>
      <c r="G12369" s="1" t="str">
        <f t="shared" si="2765"/>
        <v>X</v>
      </c>
      <c r="H12369" s="1" t="str">
        <f t="shared" si="2765"/>
        <v>X</v>
      </c>
      <c r="I12369" s="1" t="str">
        <f t="shared" si="2765"/>
        <v>X</v>
      </c>
      <c r="J12369" s="1" t="str">
        <f t="shared" si="2765"/>
        <v>X</v>
      </c>
      <c r="K12369" s="1" t="str">
        <f t="shared" si="2765"/>
        <v>X</v>
      </c>
      <c r="L12369" s="1" t="str">
        <f t="shared" si="2765"/>
        <v>X</v>
      </c>
      <c r="M12369" s="1" t="str">
        <f t="shared" si="2765"/>
        <v>X</v>
      </c>
      <c r="N12369" t="s">
        <v>27</v>
      </c>
    </row>
    <row r="12370" spans="1:14" x14ac:dyDescent="0.25">
      <c r="A12370" t="s">
        <v>44</v>
      </c>
      <c r="B12370" t="s">
        <v>40</v>
      </c>
      <c r="C12370" t="s">
        <v>15</v>
      </c>
      <c r="D12370" t="s">
        <v>32</v>
      </c>
      <c r="E12370" t="s">
        <v>23</v>
      </c>
      <c r="F12370" t="s">
        <v>19</v>
      </c>
      <c r="G12370" s="2">
        <f>VALUE(401.51)</f>
        <v>401.51</v>
      </c>
      <c r="H12370" s="3">
        <f>VALUE(371.68)</f>
        <v>371.68</v>
      </c>
      <c r="I12370" s="4">
        <f>VALUE(2954)</f>
        <v>2954</v>
      </c>
      <c r="J12370" s="1">
        <f>VALUE(3195)</f>
        <v>3195</v>
      </c>
      <c r="K12370" s="6">
        <f>VALUE(3607)</f>
        <v>3607</v>
      </c>
      <c r="L12370" s="1">
        <f>VALUE(4437)</f>
        <v>4437</v>
      </c>
      <c r="M12370" s="1">
        <f>VALUE(5097)</f>
        <v>5097</v>
      </c>
      <c r="N12370" t="s">
        <v>25</v>
      </c>
    </row>
    <row r="12371" spans="1:14" x14ac:dyDescent="0.25">
      <c r="A12371" t="s">
        <v>44</v>
      </c>
      <c r="B12371" t="s">
        <v>40</v>
      </c>
      <c r="C12371" t="s">
        <v>15</v>
      </c>
      <c r="D12371" t="s">
        <v>32</v>
      </c>
      <c r="E12371" t="s">
        <v>23</v>
      </c>
      <c r="F12371" t="s">
        <v>20</v>
      </c>
      <c r="G12371" s="1">
        <f>VALUE(8470.32)</f>
        <v>8470.32</v>
      </c>
      <c r="H12371" s="1">
        <f>VALUE(6403.7)</f>
        <v>6403.7</v>
      </c>
      <c r="I12371" s="1">
        <f>VALUE(2910)</f>
        <v>2910</v>
      </c>
      <c r="J12371" s="1">
        <f>VALUE(3182)</f>
        <v>3182</v>
      </c>
      <c r="K12371" s="1">
        <f>VALUE(3407)</f>
        <v>3407</v>
      </c>
      <c r="L12371" s="1">
        <f>VALUE(3759)</f>
        <v>3759</v>
      </c>
      <c r="M12371" s="1">
        <f>VALUE(4353)</f>
        <v>4353</v>
      </c>
      <c r="N12371" t="s">
        <v>16</v>
      </c>
    </row>
    <row r="12372" spans="1:14" x14ac:dyDescent="0.25">
      <c r="A12372" t="s">
        <v>44</v>
      </c>
      <c r="B12372" t="s">
        <v>40</v>
      </c>
      <c r="C12372" t="s">
        <v>15</v>
      </c>
      <c r="D12372" t="s">
        <v>32</v>
      </c>
      <c r="E12372" t="s">
        <v>26</v>
      </c>
      <c r="F12372" t="s">
        <v>15</v>
      </c>
      <c r="G12372" s="1" t="str">
        <f t="shared" ref="G12372:M12372" si="2766">"X"</f>
        <v>X</v>
      </c>
      <c r="H12372" s="1" t="str">
        <f t="shared" si="2766"/>
        <v>X</v>
      </c>
      <c r="I12372" s="1" t="str">
        <f t="shared" si="2766"/>
        <v>X</v>
      </c>
      <c r="J12372" s="1" t="str">
        <f t="shared" si="2766"/>
        <v>X</v>
      </c>
      <c r="K12372" s="1" t="str">
        <f t="shared" si="2766"/>
        <v>X</v>
      </c>
      <c r="L12372" s="1" t="str">
        <f t="shared" si="2766"/>
        <v>X</v>
      </c>
      <c r="M12372" s="1" t="str">
        <f t="shared" si="2766"/>
        <v>X</v>
      </c>
      <c r="N12372" t="s">
        <v>27</v>
      </c>
    </row>
    <row r="12373" spans="1:14" x14ac:dyDescent="0.25">
      <c r="A12373" t="s">
        <v>44</v>
      </c>
      <c r="B12373" t="s">
        <v>40</v>
      </c>
      <c r="C12373" t="s">
        <v>15</v>
      </c>
      <c r="D12373" t="s">
        <v>32</v>
      </c>
      <c r="E12373" t="s">
        <v>26</v>
      </c>
      <c r="F12373" t="s">
        <v>17</v>
      </c>
      <c r="G12373" s="1" t="str">
        <f t="shared" ref="G12373:M12373" si="2767">"..."</f>
        <v>...</v>
      </c>
      <c r="H12373" s="1" t="str">
        <f t="shared" si="2767"/>
        <v>...</v>
      </c>
      <c r="I12373" s="1" t="str">
        <f t="shared" si="2767"/>
        <v>...</v>
      </c>
      <c r="J12373" s="1" t="str">
        <f t="shared" si="2767"/>
        <v>...</v>
      </c>
      <c r="K12373" s="1" t="str">
        <f t="shared" si="2767"/>
        <v>...</v>
      </c>
      <c r="L12373" s="1" t="str">
        <f t="shared" si="2767"/>
        <v>...</v>
      </c>
      <c r="M12373" s="1" t="str">
        <f t="shared" si="2767"/>
        <v>...</v>
      </c>
      <c r="N12373" t="s">
        <v>30</v>
      </c>
    </row>
    <row r="12374" spans="1:14" x14ac:dyDescent="0.25">
      <c r="A12374" t="s">
        <v>44</v>
      </c>
      <c r="B12374" t="s">
        <v>40</v>
      </c>
      <c r="C12374" t="s">
        <v>15</v>
      </c>
      <c r="D12374" t="s">
        <v>32</v>
      </c>
      <c r="E12374" t="s">
        <v>26</v>
      </c>
      <c r="F12374" t="s">
        <v>18</v>
      </c>
      <c r="G12374" s="1" t="str">
        <f t="shared" ref="G12374:M12374" si="2768">"X"</f>
        <v>X</v>
      </c>
      <c r="H12374" s="1" t="str">
        <f t="shared" si="2768"/>
        <v>X</v>
      </c>
      <c r="I12374" s="1" t="str">
        <f t="shared" si="2768"/>
        <v>X</v>
      </c>
      <c r="J12374" s="1" t="str">
        <f t="shared" si="2768"/>
        <v>X</v>
      </c>
      <c r="K12374" s="1" t="str">
        <f t="shared" si="2768"/>
        <v>X</v>
      </c>
      <c r="L12374" s="1" t="str">
        <f t="shared" si="2768"/>
        <v>X</v>
      </c>
      <c r="M12374" s="1" t="str">
        <f t="shared" si="2768"/>
        <v>X</v>
      </c>
      <c r="N12374" t="s">
        <v>27</v>
      </c>
    </row>
    <row r="12375" spans="1:14" x14ac:dyDescent="0.25">
      <c r="A12375" t="s">
        <v>44</v>
      </c>
      <c r="B12375" t="s">
        <v>40</v>
      </c>
      <c r="C12375" t="s">
        <v>15</v>
      </c>
      <c r="D12375" t="s">
        <v>32</v>
      </c>
      <c r="E12375" t="s">
        <v>26</v>
      </c>
      <c r="F12375" t="s">
        <v>19</v>
      </c>
      <c r="G12375" s="1" t="str">
        <f t="shared" ref="G12375:M12375" si="2769">"..."</f>
        <v>...</v>
      </c>
      <c r="H12375" s="1" t="str">
        <f t="shared" si="2769"/>
        <v>...</v>
      </c>
      <c r="I12375" s="1" t="str">
        <f t="shared" si="2769"/>
        <v>...</v>
      </c>
      <c r="J12375" s="1" t="str">
        <f t="shared" si="2769"/>
        <v>...</v>
      </c>
      <c r="K12375" s="1" t="str">
        <f t="shared" si="2769"/>
        <v>...</v>
      </c>
      <c r="L12375" s="1" t="str">
        <f t="shared" si="2769"/>
        <v>...</v>
      </c>
      <c r="M12375" s="1" t="str">
        <f t="shared" si="2769"/>
        <v>...</v>
      </c>
      <c r="N12375" t="s">
        <v>30</v>
      </c>
    </row>
    <row r="12376" spans="1:14" x14ac:dyDescent="0.25">
      <c r="A12376" t="s">
        <v>44</v>
      </c>
      <c r="B12376" t="s">
        <v>40</v>
      </c>
      <c r="C12376" t="s">
        <v>15</v>
      </c>
      <c r="D12376" t="s">
        <v>32</v>
      </c>
      <c r="E12376" t="s">
        <v>26</v>
      </c>
      <c r="F12376" t="s">
        <v>20</v>
      </c>
      <c r="G12376" s="1" t="str">
        <f t="shared" ref="G12376:M12376" si="2770">"X"</f>
        <v>X</v>
      </c>
      <c r="H12376" s="1" t="str">
        <f t="shared" si="2770"/>
        <v>X</v>
      </c>
      <c r="I12376" s="1" t="str">
        <f t="shared" si="2770"/>
        <v>X</v>
      </c>
      <c r="J12376" s="1" t="str">
        <f t="shared" si="2770"/>
        <v>X</v>
      </c>
      <c r="K12376" s="1" t="str">
        <f t="shared" si="2770"/>
        <v>X</v>
      </c>
      <c r="L12376" s="1" t="str">
        <f t="shared" si="2770"/>
        <v>X</v>
      </c>
      <c r="M12376" s="1" t="str">
        <f t="shared" si="2770"/>
        <v>X</v>
      </c>
      <c r="N12376" t="s">
        <v>27</v>
      </c>
    </row>
    <row r="12377" spans="1:14" x14ac:dyDescent="0.25">
      <c r="A12377" t="s">
        <v>44</v>
      </c>
      <c r="B12377" t="s">
        <v>40</v>
      </c>
      <c r="C12377" t="s">
        <v>15</v>
      </c>
      <c r="D12377" t="s">
        <v>33</v>
      </c>
      <c r="E12377" t="s">
        <v>15</v>
      </c>
      <c r="F12377" t="s">
        <v>15</v>
      </c>
      <c r="G12377" s="2">
        <f>VALUE(190.24)</f>
        <v>190.24</v>
      </c>
      <c r="H12377" s="3">
        <f>VALUE(179.7)</f>
        <v>179.7</v>
      </c>
      <c r="I12377" s="1">
        <f>VALUE(3513)</f>
        <v>3513</v>
      </c>
      <c r="J12377" s="1">
        <f>VALUE(3513)</f>
        <v>3513</v>
      </c>
      <c r="K12377" s="6">
        <f>VALUE(4196)</f>
        <v>4196</v>
      </c>
      <c r="L12377" s="7">
        <f>VALUE(5951)</f>
        <v>5951</v>
      </c>
      <c r="M12377" s="8">
        <f>VALUE(8444)</f>
        <v>8444</v>
      </c>
      <c r="N12377" t="s">
        <v>25</v>
      </c>
    </row>
    <row r="12378" spans="1:14" x14ac:dyDescent="0.25">
      <c r="A12378" t="s">
        <v>44</v>
      </c>
      <c r="B12378" t="s">
        <v>40</v>
      </c>
      <c r="C12378" t="s">
        <v>15</v>
      </c>
      <c r="D12378" t="s">
        <v>33</v>
      </c>
      <c r="E12378" t="s">
        <v>15</v>
      </c>
      <c r="F12378" t="s">
        <v>17</v>
      </c>
      <c r="G12378" s="1" t="str">
        <f t="shared" ref="G12378:M12387" si="2771">"X"</f>
        <v>X</v>
      </c>
      <c r="H12378" s="1" t="str">
        <f t="shared" si="2771"/>
        <v>X</v>
      </c>
      <c r="I12378" s="1" t="str">
        <f t="shared" si="2771"/>
        <v>X</v>
      </c>
      <c r="J12378" s="1" t="str">
        <f t="shared" si="2771"/>
        <v>X</v>
      </c>
      <c r="K12378" s="1" t="str">
        <f t="shared" si="2771"/>
        <v>X</v>
      </c>
      <c r="L12378" s="1" t="str">
        <f t="shared" si="2771"/>
        <v>X</v>
      </c>
      <c r="M12378" s="1" t="str">
        <f t="shared" si="2771"/>
        <v>X</v>
      </c>
      <c r="N12378" t="s">
        <v>27</v>
      </c>
    </row>
    <row r="12379" spans="1:14" x14ac:dyDescent="0.25">
      <c r="A12379" t="s">
        <v>44</v>
      </c>
      <c r="B12379" t="s">
        <v>40</v>
      </c>
      <c r="C12379" t="s">
        <v>15</v>
      </c>
      <c r="D12379" t="s">
        <v>33</v>
      </c>
      <c r="E12379" t="s">
        <v>15</v>
      </c>
      <c r="F12379" t="s">
        <v>18</v>
      </c>
      <c r="G12379" s="1" t="str">
        <f t="shared" si="2771"/>
        <v>X</v>
      </c>
      <c r="H12379" s="1" t="str">
        <f t="shared" si="2771"/>
        <v>X</v>
      </c>
      <c r="I12379" s="1" t="str">
        <f t="shared" si="2771"/>
        <v>X</v>
      </c>
      <c r="J12379" s="1" t="str">
        <f t="shared" si="2771"/>
        <v>X</v>
      </c>
      <c r="K12379" s="1" t="str">
        <f t="shared" si="2771"/>
        <v>X</v>
      </c>
      <c r="L12379" s="1" t="str">
        <f t="shared" si="2771"/>
        <v>X</v>
      </c>
      <c r="M12379" s="1" t="str">
        <f t="shared" si="2771"/>
        <v>X</v>
      </c>
      <c r="N12379" t="s">
        <v>27</v>
      </c>
    </row>
    <row r="12380" spans="1:14" x14ac:dyDescent="0.25">
      <c r="A12380" t="s">
        <v>44</v>
      </c>
      <c r="B12380" t="s">
        <v>40</v>
      </c>
      <c r="C12380" t="s">
        <v>15</v>
      </c>
      <c r="D12380" t="s">
        <v>33</v>
      </c>
      <c r="E12380" t="s">
        <v>15</v>
      </c>
      <c r="F12380" t="s">
        <v>19</v>
      </c>
      <c r="G12380" s="1" t="str">
        <f t="shared" si="2771"/>
        <v>X</v>
      </c>
      <c r="H12380" s="1" t="str">
        <f t="shared" si="2771"/>
        <v>X</v>
      </c>
      <c r="I12380" s="1" t="str">
        <f t="shared" si="2771"/>
        <v>X</v>
      </c>
      <c r="J12380" s="1" t="str">
        <f t="shared" si="2771"/>
        <v>X</v>
      </c>
      <c r="K12380" s="1" t="str">
        <f t="shared" si="2771"/>
        <v>X</v>
      </c>
      <c r="L12380" s="1" t="str">
        <f t="shared" si="2771"/>
        <v>X</v>
      </c>
      <c r="M12380" s="1" t="str">
        <f t="shared" si="2771"/>
        <v>X</v>
      </c>
      <c r="N12380" t="s">
        <v>27</v>
      </c>
    </row>
    <row r="12381" spans="1:14" x14ac:dyDescent="0.25">
      <c r="A12381" t="s">
        <v>44</v>
      </c>
      <c r="B12381" t="s">
        <v>40</v>
      </c>
      <c r="C12381" t="s">
        <v>15</v>
      </c>
      <c r="D12381" t="s">
        <v>33</v>
      </c>
      <c r="E12381" t="s">
        <v>15</v>
      </c>
      <c r="F12381" t="s">
        <v>20</v>
      </c>
      <c r="G12381" s="1" t="str">
        <f t="shared" si="2771"/>
        <v>X</v>
      </c>
      <c r="H12381" s="1" t="str">
        <f t="shared" si="2771"/>
        <v>X</v>
      </c>
      <c r="I12381" s="1" t="str">
        <f t="shared" si="2771"/>
        <v>X</v>
      </c>
      <c r="J12381" s="1" t="str">
        <f t="shared" si="2771"/>
        <v>X</v>
      </c>
      <c r="K12381" s="1" t="str">
        <f t="shared" si="2771"/>
        <v>X</v>
      </c>
      <c r="L12381" s="1" t="str">
        <f t="shared" si="2771"/>
        <v>X</v>
      </c>
      <c r="M12381" s="1" t="str">
        <f t="shared" si="2771"/>
        <v>X</v>
      </c>
      <c r="N12381" t="s">
        <v>27</v>
      </c>
    </row>
    <row r="12382" spans="1:14" x14ac:dyDescent="0.25">
      <c r="A12382" t="s">
        <v>44</v>
      </c>
      <c r="B12382" t="s">
        <v>40</v>
      </c>
      <c r="C12382" t="s">
        <v>15</v>
      </c>
      <c r="D12382" t="s">
        <v>33</v>
      </c>
      <c r="E12382" t="s">
        <v>21</v>
      </c>
      <c r="F12382" t="s">
        <v>15</v>
      </c>
      <c r="G12382" s="1" t="str">
        <f t="shared" si="2771"/>
        <v>X</v>
      </c>
      <c r="H12382" s="1" t="str">
        <f t="shared" si="2771"/>
        <v>X</v>
      </c>
      <c r="I12382" s="1" t="str">
        <f t="shared" si="2771"/>
        <v>X</v>
      </c>
      <c r="J12382" s="1" t="str">
        <f t="shared" si="2771"/>
        <v>X</v>
      </c>
      <c r="K12382" s="1" t="str">
        <f t="shared" si="2771"/>
        <v>X</v>
      </c>
      <c r="L12382" s="1" t="str">
        <f t="shared" si="2771"/>
        <v>X</v>
      </c>
      <c r="M12382" s="1" t="str">
        <f t="shared" si="2771"/>
        <v>X</v>
      </c>
      <c r="N12382" t="s">
        <v>27</v>
      </c>
    </row>
    <row r="12383" spans="1:14" x14ac:dyDescent="0.25">
      <c r="A12383" t="s">
        <v>44</v>
      </c>
      <c r="B12383" t="s">
        <v>40</v>
      </c>
      <c r="C12383" t="s">
        <v>15</v>
      </c>
      <c r="D12383" t="s">
        <v>33</v>
      </c>
      <c r="E12383" t="s">
        <v>21</v>
      </c>
      <c r="F12383" t="s">
        <v>17</v>
      </c>
      <c r="G12383" s="1" t="str">
        <f t="shared" si="2771"/>
        <v>X</v>
      </c>
      <c r="H12383" s="1" t="str">
        <f t="shared" si="2771"/>
        <v>X</v>
      </c>
      <c r="I12383" s="1" t="str">
        <f t="shared" si="2771"/>
        <v>X</v>
      </c>
      <c r="J12383" s="1" t="str">
        <f t="shared" si="2771"/>
        <v>X</v>
      </c>
      <c r="K12383" s="1" t="str">
        <f t="shared" si="2771"/>
        <v>X</v>
      </c>
      <c r="L12383" s="1" t="str">
        <f t="shared" si="2771"/>
        <v>X</v>
      </c>
      <c r="M12383" s="1" t="str">
        <f t="shared" si="2771"/>
        <v>X</v>
      </c>
      <c r="N12383" t="s">
        <v>27</v>
      </c>
    </row>
    <row r="12384" spans="1:14" x14ac:dyDescent="0.25">
      <c r="A12384" t="s">
        <v>44</v>
      </c>
      <c r="B12384" t="s">
        <v>40</v>
      </c>
      <c r="C12384" t="s">
        <v>15</v>
      </c>
      <c r="D12384" t="s">
        <v>33</v>
      </c>
      <c r="E12384" t="s">
        <v>21</v>
      </c>
      <c r="F12384" t="s">
        <v>18</v>
      </c>
      <c r="G12384" s="1" t="str">
        <f t="shared" si="2771"/>
        <v>X</v>
      </c>
      <c r="H12384" s="1" t="str">
        <f t="shared" si="2771"/>
        <v>X</v>
      </c>
      <c r="I12384" s="1" t="str">
        <f t="shared" si="2771"/>
        <v>X</v>
      </c>
      <c r="J12384" s="1" t="str">
        <f t="shared" si="2771"/>
        <v>X</v>
      </c>
      <c r="K12384" s="1" t="str">
        <f t="shared" si="2771"/>
        <v>X</v>
      </c>
      <c r="L12384" s="1" t="str">
        <f t="shared" si="2771"/>
        <v>X</v>
      </c>
      <c r="M12384" s="1" t="str">
        <f t="shared" si="2771"/>
        <v>X</v>
      </c>
      <c r="N12384" t="s">
        <v>27</v>
      </c>
    </row>
    <row r="12385" spans="1:14" x14ac:dyDescent="0.25">
      <c r="A12385" t="s">
        <v>44</v>
      </c>
      <c r="B12385" t="s">
        <v>40</v>
      </c>
      <c r="C12385" t="s">
        <v>15</v>
      </c>
      <c r="D12385" t="s">
        <v>33</v>
      </c>
      <c r="E12385" t="s">
        <v>21</v>
      </c>
      <c r="F12385" t="s">
        <v>19</v>
      </c>
      <c r="G12385" s="1" t="str">
        <f t="shared" si="2771"/>
        <v>X</v>
      </c>
      <c r="H12385" s="1" t="str">
        <f t="shared" si="2771"/>
        <v>X</v>
      </c>
      <c r="I12385" s="1" t="str">
        <f t="shared" si="2771"/>
        <v>X</v>
      </c>
      <c r="J12385" s="1" t="str">
        <f t="shared" si="2771"/>
        <v>X</v>
      </c>
      <c r="K12385" s="1" t="str">
        <f t="shared" si="2771"/>
        <v>X</v>
      </c>
      <c r="L12385" s="1" t="str">
        <f t="shared" si="2771"/>
        <v>X</v>
      </c>
      <c r="M12385" s="1" t="str">
        <f t="shared" si="2771"/>
        <v>X</v>
      </c>
      <c r="N12385" t="s">
        <v>27</v>
      </c>
    </row>
    <row r="12386" spans="1:14" x14ac:dyDescent="0.25">
      <c r="A12386" t="s">
        <v>44</v>
      </c>
      <c r="B12386" t="s">
        <v>40</v>
      </c>
      <c r="C12386" t="s">
        <v>15</v>
      </c>
      <c r="D12386" t="s">
        <v>33</v>
      </c>
      <c r="E12386" t="s">
        <v>21</v>
      </c>
      <c r="F12386" t="s">
        <v>20</v>
      </c>
      <c r="G12386" s="1" t="str">
        <f t="shared" si="2771"/>
        <v>X</v>
      </c>
      <c r="H12386" s="1" t="str">
        <f t="shared" si="2771"/>
        <v>X</v>
      </c>
      <c r="I12386" s="1" t="str">
        <f t="shared" si="2771"/>
        <v>X</v>
      </c>
      <c r="J12386" s="1" t="str">
        <f t="shared" si="2771"/>
        <v>X</v>
      </c>
      <c r="K12386" s="1" t="str">
        <f t="shared" si="2771"/>
        <v>X</v>
      </c>
      <c r="L12386" s="1" t="str">
        <f t="shared" si="2771"/>
        <v>X</v>
      </c>
      <c r="M12386" s="1" t="str">
        <f t="shared" si="2771"/>
        <v>X</v>
      </c>
      <c r="N12386" t="s">
        <v>27</v>
      </c>
    </row>
    <row r="12387" spans="1:14" x14ac:dyDescent="0.25">
      <c r="A12387" t="s">
        <v>44</v>
      </c>
      <c r="B12387" t="s">
        <v>40</v>
      </c>
      <c r="C12387" t="s">
        <v>15</v>
      </c>
      <c r="D12387" t="s">
        <v>33</v>
      </c>
      <c r="E12387" t="s">
        <v>22</v>
      </c>
      <c r="F12387" t="s">
        <v>15</v>
      </c>
      <c r="G12387" s="1" t="str">
        <f t="shared" si="2771"/>
        <v>X</v>
      </c>
      <c r="H12387" s="1" t="str">
        <f t="shared" si="2771"/>
        <v>X</v>
      </c>
      <c r="I12387" s="1" t="str">
        <f t="shared" si="2771"/>
        <v>X</v>
      </c>
      <c r="J12387" s="1" t="str">
        <f t="shared" si="2771"/>
        <v>X</v>
      </c>
      <c r="K12387" s="1" t="str">
        <f t="shared" si="2771"/>
        <v>X</v>
      </c>
      <c r="L12387" s="1" t="str">
        <f t="shared" si="2771"/>
        <v>X</v>
      </c>
      <c r="M12387" s="1" t="str">
        <f t="shared" si="2771"/>
        <v>X</v>
      </c>
      <c r="N12387" t="s">
        <v>27</v>
      </c>
    </row>
    <row r="12388" spans="1:14" x14ac:dyDescent="0.25">
      <c r="A12388" t="s">
        <v>44</v>
      </c>
      <c r="B12388" t="s">
        <v>40</v>
      </c>
      <c r="C12388" t="s">
        <v>15</v>
      </c>
      <c r="D12388" t="s">
        <v>33</v>
      </c>
      <c r="E12388" t="s">
        <v>22</v>
      </c>
      <c r="F12388" t="s">
        <v>17</v>
      </c>
      <c r="G12388" s="1" t="str">
        <f t="shared" ref="G12388:M12388" si="2772">"..."</f>
        <v>...</v>
      </c>
      <c r="H12388" s="1" t="str">
        <f t="shared" si="2772"/>
        <v>...</v>
      </c>
      <c r="I12388" s="1" t="str">
        <f t="shared" si="2772"/>
        <v>...</v>
      </c>
      <c r="J12388" s="1" t="str">
        <f t="shared" si="2772"/>
        <v>...</v>
      </c>
      <c r="K12388" s="1" t="str">
        <f t="shared" si="2772"/>
        <v>...</v>
      </c>
      <c r="L12388" s="1" t="str">
        <f t="shared" si="2772"/>
        <v>...</v>
      </c>
      <c r="M12388" s="1" t="str">
        <f t="shared" si="2772"/>
        <v>...</v>
      </c>
      <c r="N12388" t="s">
        <v>30</v>
      </c>
    </row>
    <row r="12389" spans="1:14" x14ac:dyDescent="0.25">
      <c r="A12389" t="s">
        <v>44</v>
      </c>
      <c r="B12389" t="s">
        <v>40</v>
      </c>
      <c r="C12389" t="s">
        <v>15</v>
      </c>
      <c r="D12389" t="s">
        <v>33</v>
      </c>
      <c r="E12389" t="s">
        <v>22</v>
      </c>
      <c r="F12389" t="s">
        <v>18</v>
      </c>
      <c r="G12389" s="1" t="str">
        <f t="shared" ref="G12389:M12392" si="2773">"X"</f>
        <v>X</v>
      </c>
      <c r="H12389" s="1" t="str">
        <f t="shared" si="2773"/>
        <v>X</v>
      </c>
      <c r="I12389" s="1" t="str">
        <f t="shared" si="2773"/>
        <v>X</v>
      </c>
      <c r="J12389" s="1" t="str">
        <f t="shared" si="2773"/>
        <v>X</v>
      </c>
      <c r="K12389" s="1" t="str">
        <f t="shared" si="2773"/>
        <v>X</v>
      </c>
      <c r="L12389" s="1" t="str">
        <f t="shared" si="2773"/>
        <v>X</v>
      </c>
      <c r="M12389" s="1" t="str">
        <f t="shared" si="2773"/>
        <v>X</v>
      </c>
      <c r="N12389" t="s">
        <v>27</v>
      </c>
    </row>
    <row r="12390" spans="1:14" x14ac:dyDescent="0.25">
      <c r="A12390" t="s">
        <v>44</v>
      </c>
      <c r="B12390" t="s">
        <v>40</v>
      </c>
      <c r="C12390" t="s">
        <v>15</v>
      </c>
      <c r="D12390" t="s">
        <v>33</v>
      </c>
      <c r="E12390" t="s">
        <v>22</v>
      </c>
      <c r="F12390" t="s">
        <v>19</v>
      </c>
      <c r="G12390" s="1" t="str">
        <f t="shared" si="2773"/>
        <v>X</v>
      </c>
      <c r="H12390" s="1" t="str">
        <f t="shared" si="2773"/>
        <v>X</v>
      </c>
      <c r="I12390" s="1" t="str">
        <f t="shared" si="2773"/>
        <v>X</v>
      </c>
      <c r="J12390" s="1" t="str">
        <f t="shared" si="2773"/>
        <v>X</v>
      </c>
      <c r="K12390" s="1" t="str">
        <f t="shared" si="2773"/>
        <v>X</v>
      </c>
      <c r="L12390" s="1" t="str">
        <f t="shared" si="2773"/>
        <v>X</v>
      </c>
      <c r="M12390" s="1" t="str">
        <f t="shared" si="2773"/>
        <v>X</v>
      </c>
      <c r="N12390" t="s">
        <v>27</v>
      </c>
    </row>
    <row r="12391" spans="1:14" x14ac:dyDescent="0.25">
      <c r="A12391" t="s">
        <v>44</v>
      </c>
      <c r="B12391" t="s">
        <v>40</v>
      </c>
      <c r="C12391" t="s">
        <v>15</v>
      </c>
      <c r="D12391" t="s">
        <v>33</v>
      </c>
      <c r="E12391" t="s">
        <v>22</v>
      </c>
      <c r="F12391" t="s">
        <v>20</v>
      </c>
      <c r="G12391" s="1" t="str">
        <f t="shared" si="2773"/>
        <v>X</v>
      </c>
      <c r="H12391" s="1" t="str">
        <f t="shared" si="2773"/>
        <v>X</v>
      </c>
      <c r="I12391" s="1" t="str">
        <f t="shared" si="2773"/>
        <v>X</v>
      </c>
      <c r="J12391" s="1" t="str">
        <f t="shared" si="2773"/>
        <v>X</v>
      </c>
      <c r="K12391" s="1" t="str">
        <f t="shared" si="2773"/>
        <v>X</v>
      </c>
      <c r="L12391" s="1" t="str">
        <f t="shared" si="2773"/>
        <v>X</v>
      </c>
      <c r="M12391" s="1" t="str">
        <f t="shared" si="2773"/>
        <v>X</v>
      </c>
      <c r="N12391" t="s">
        <v>27</v>
      </c>
    </row>
    <row r="12392" spans="1:14" x14ac:dyDescent="0.25">
      <c r="A12392" t="s">
        <v>44</v>
      </c>
      <c r="B12392" t="s">
        <v>40</v>
      </c>
      <c r="C12392" t="s">
        <v>15</v>
      </c>
      <c r="D12392" t="s">
        <v>33</v>
      </c>
      <c r="E12392" t="s">
        <v>23</v>
      </c>
      <c r="F12392" t="s">
        <v>15</v>
      </c>
      <c r="G12392" s="1" t="str">
        <f t="shared" si="2773"/>
        <v>X</v>
      </c>
      <c r="H12392" s="1" t="str">
        <f t="shared" si="2773"/>
        <v>X</v>
      </c>
      <c r="I12392" s="1" t="str">
        <f t="shared" si="2773"/>
        <v>X</v>
      </c>
      <c r="J12392" s="1" t="str">
        <f t="shared" si="2773"/>
        <v>X</v>
      </c>
      <c r="K12392" s="1" t="str">
        <f t="shared" si="2773"/>
        <v>X</v>
      </c>
      <c r="L12392" s="1" t="str">
        <f t="shared" si="2773"/>
        <v>X</v>
      </c>
      <c r="M12392" s="1" t="str">
        <f t="shared" si="2773"/>
        <v>X</v>
      </c>
      <c r="N12392" t="s">
        <v>27</v>
      </c>
    </row>
    <row r="12393" spans="1:14" x14ac:dyDescent="0.25">
      <c r="A12393" t="s">
        <v>44</v>
      </c>
      <c r="B12393" t="s">
        <v>40</v>
      </c>
      <c r="C12393" t="s">
        <v>15</v>
      </c>
      <c r="D12393" t="s">
        <v>33</v>
      </c>
      <c r="E12393" t="s">
        <v>23</v>
      </c>
      <c r="F12393" t="s">
        <v>17</v>
      </c>
      <c r="G12393" s="1" t="str">
        <f t="shared" ref="G12393:M12393" si="2774">"..."</f>
        <v>...</v>
      </c>
      <c r="H12393" s="1" t="str">
        <f t="shared" si="2774"/>
        <v>...</v>
      </c>
      <c r="I12393" s="1" t="str">
        <f t="shared" si="2774"/>
        <v>...</v>
      </c>
      <c r="J12393" s="1" t="str">
        <f t="shared" si="2774"/>
        <v>...</v>
      </c>
      <c r="K12393" s="1" t="str">
        <f t="shared" si="2774"/>
        <v>...</v>
      </c>
      <c r="L12393" s="1" t="str">
        <f t="shared" si="2774"/>
        <v>...</v>
      </c>
      <c r="M12393" s="1" t="str">
        <f t="shared" si="2774"/>
        <v>...</v>
      </c>
      <c r="N12393" t="s">
        <v>30</v>
      </c>
    </row>
    <row r="12394" spans="1:14" x14ac:dyDescent="0.25">
      <c r="A12394" t="s">
        <v>44</v>
      </c>
      <c r="B12394" t="s">
        <v>40</v>
      </c>
      <c r="C12394" t="s">
        <v>15</v>
      </c>
      <c r="D12394" t="s">
        <v>33</v>
      </c>
      <c r="E12394" t="s">
        <v>23</v>
      </c>
      <c r="F12394" t="s">
        <v>18</v>
      </c>
      <c r="G12394" s="1" t="str">
        <f t="shared" ref="G12394:M12394" si="2775">"X"</f>
        <v>X</v>
      </c>
      <c r="H12394" s="1" t="str">
        <f t="shared" si="2775"/>
        <v>X</v>
      </c>
      <c r="I12394" s="1" t="str">
        <f t="shared" si="2775"/>
        <v>X</v>
      </c>
      <c r="J12394" s="1" t="str">
        <f t="shared" si="2775"/>
        <v>X</v>
      </c>
      <c r="K12394" s="1" t="str">
        <f t="shared" si="2775"/>
        <v>X</v>
      </c>
      <c r="L12394" s="1" t="str">
        <f t="shared" si="2775"/>
        <v>X</v>
      </c>
      <c r="M12394" s="1" t="str">
        <f t="shared" si="2775"/>
        <v>X</v>
      </c>
      <c r="N12394" t="s">
        <v>27</v>
      </c>
    </row>
    <row r="12395" spans="1:14" x14ac:dyDescent="0.25">
      <c r="A12395" t="s">
        <v>44</v>
      </c>
      <c r="B12395" t="s">
        <v>40</v>
      </c>
      <c r="C12395" t="s">
        <v>15</v>
      </c>
      <c r="D12395" t="s">
        <v>33</v>
      </c>
      <c r="E12395" t="s">
        <v>23</v>
      </c>
      <c r="F12395" t="s">
        <v>19</v>
      </c>
      <c r="G12395" s="1" t="str">
        <f t="shared" ref="G12395:M12395" si="2776">"..."</f>
        <v>...</v>
      </c>
      <c r="H12395" s="1" t="str">
        <f t="shared" si="2776"/>
        <v>...</v>
      </c>
      <c r="I12395" s="1" t="str">
        <f t="shared" si="2776"/>
        <v>...</v>
      </c>
      <c r="J12395" s="1" t="str">
        <f t="shared" si="2776"/>
        <v>...</v>
      </c>
      <c r="K12395" s="1" t="str">
        <f t="shared" si="2776"/>
        <v>...</v>
      </c>
      <c r="L12395" s="1" t="str">
        <f t="shared" si="2776"/>
        <v>...</v>
      </c>
      <c r="M12395" s="1" t="str">
        <f t="shared" si="2776"/>
        <v>...</v>
      </c>
      <c r="N12395" t="s">
        <v>30</v>
      </c>
    </row>
    <row r="12396" spans="1:14" x14ac:dyDescent="0.25">
      <c r="A12396" t="s">
        <v>44</v>
      </c>
      <c r="B12396" t="s">
        <v>40</v>
      </c>
      <c r="C12396" t="s">
        <v>15</v>
      </c>
      <c r="D12396" t="s">
        <v>33</v>
      </c>
      <c r="E12396" t="s">
        <v>23</v>
      </c>
      <c r="F12396" t="s">
        <v>20</v>
      </c>
      <c r="G12396" s="1" t="str">
        <f t="shared" ref="G12396:M12396" si="2777">"X"</f>
        <v>X</v>
      </c>
      <c r="H12396" s="1" t="str">
        <f t="shared" si="2777"/>
        <v>X</v>
      </c>
      <c r="I12396" s="1" t="str">
        <f t="shared" si="2777"/>
        <v>X</v>
      </c>
      <c r="J12396" s="1" t="str">
        <f t="shared" si="2777"/>
        <v>X</v>
      </c>
      <c r="K12396" s="1" t="str">
        <f t="shared" si="2777"/>
        <v>X</v>
      </c>
      <c r="L12396" s="1" t="str">
        <f t="shared" si="2777"/>
        <v>X</v>
      </c>
      <c r="M12396" s="1" t="str">
        <f t="shared" si="2777"/>
        <v>X</v>
      </c>
      <c r="N12396" t="s">
        <v>27</v>
      </c>
    </row>
    <row r="12397" spans="1:14" x14ac:dyDescent="0.25">
      <c r="A12397" t="s">
        <v>44</v>
      </c>
      <c r="B12397" t="s">
        <v>40</v>
      </c>
      <c r="C12397" t="s">
        <v>15</v>
      </c>
      <c r="D12397" t="s">
        <v>33</v>
      </c>
      <c r="E12397" t="s">
        <v>26</v>
      </c>
      <c r="F12397" t="s">
        <v>15</v>
      </c>
      <c r="G12397" s="1" t="str">
        <f t="shared" ref="G12397:M12401" si="2778">"..."</f>
        <v>...</v>
      </c>
      <c r="H12397" s="1" t="str">
        <f t="shared" si="2778"/>
        <v>...</v>
      </c>
      <c r="I12397" s="1" t="str">
        <f t="shared" si="2778"/>
        <v>...</v>
      </c>
      <c r="J12397" s="1" t="str">
        <f t="shared" si="2778"/>
        <v>...</v>
      </c>
      <c r="K12397" s="1" t="str">
        <f t="shared" si="2778"/>
        <v>...</v>
      </c>
      <c r="L12397" s="1" t="str">
        <f t="shared" si="2778"/>
        <v>...</v>
      </c>
      <c r="M12397" s="1" t="str">
        <f t="shared" si="2778"/>
        <v>...</v>
      </c>
      <c r="N12397" t="s">
        <v>30</v>
      </c>
    </row>
    <row r="12398" spans="1:14" x14ac:dyDescent="0.25">
      <c r="A12398" t="s">
        <v>44</v>
      </c>
      <c r="B12398" t="s">
        <v>40</v>
      </c>
      <c r="C12398" t="s">
        <v>15</v>
      </c>
      <c r="D12398" t="s">
        <v>33</v>
      </c>
      <c r="E12398" t="s">
        <v>26</v>
      </c>
      <c r="F12398" t="s">
        <v>17</v>
      </c>
      <c r="G12398" s="1" t="str">
        <f t="shared" si="2778"/>
        <v>...</v>
      </c>
      <c r="H12398" s="1" t="str">
        <f t="shared" si="2778"/>
        <v>...</v>
      </c>
      <c r="I12398" s="1" t="str">
        <f t="shared" si="2778"/>
        <v>...</v>
      </c>
      <c r="J12398" s="1" t="str">
        <f t="shared" si="2778"/>
        <v>...</v>
      </c>
      <c r="K12398" s="1" t="str">
        <f t="shared" si="2778"/>
        <v>...</v>
      </c>
      <c r="L12398" s="1" t="str">
        <f t="shared" si="2778"/>
        <v>...</v>
      </c>
      <c r="M12398" s="1" t="str">
        <f t="shared" si="2778"/>
        <v>...</v>
      </c>
      <c r="N12398" t="s">
        <v>30</v>
      </c>
    </row>
    <row r="12399" spans="1:14" x14ac:dyDescent="0.25">
      <c r="A12399" t="s">
        <v>44</v>
      </c>
      <c r="B12399" t="s">
        <v>40</v>
      </c>
      <c r="C12399" t="s">
        <v>15</v>
      </c>
      <c r="D12399" t="s">
        <v>33</v>
      </c>
      <c r="E12399" t="s">
        <v>26</v>
      </c>
      <c r="F12399" t="s">
        <v>18</v>
      </c>
      <c r="G12399" s="1" t="str">
        <f t="shared" si="2778"/>
        <v>...</v>
      </c>
      <c r="H12399" s="1" t="str">
        <f t="shared" si="2778"/>
        <v>...</v>
      </c>
      <c r="I12399" s="1" t="str">
        <f t="shared" si="2778"/>
        <v>...</v>
      </c>
      <c r="J12399" s="1" t="str">
        <f t="shared" si="2778"/>
        <v>...</v>
      </c>
      <c r="K12399" s="1" t="str">
        <f t="shared" si="2778"/>
        <v>...</v>
      </c>
      <c r="L12399" s="1" t="str">
        <f t="shared" si="2778"/>
        <v>...</v>
      </c>
      <c r="M12399" s="1" t="str">
        <f t="shared" si="2778"/>
        <v>...</v>
      </c>
      <c r="N12399" t="s">
        <v>30</v>
      </c>
    </row>
    <row r="12400" spans="1:14" x14ac:dyDescent="0.25">
      <c r="A12400" t="s">
        <v>44</v>
      </c>
      <c r="B12400" t="s">
        <v>40</v>
      </c>
      <c r="C12400" t="s">
        <v>15</v>
      </c>
      <c r="D12400" t="s">
        <v>33</v>
      </c>
      <c r="E12400" t="s">
        <v>26</v>
      </c>
      <c r="F12400" t="s">
        <v>19</v>
      </c>
      <c r="G12400" s="1" t="str">
        <f t="shared" si="2778"/>
        <v>...</v>
      </c>
      <c r="H12400" s="1" t="str">
        <f t="shared" si="2778"/>
        <v>...</v>
      </c>
      <c r="I12400" s="1" t="str">
        <f t="shared" si="2778"/>
        <v>...</v>
      </c>
      <c r="J12400" s="1" t="str">
        <f t="shared" si="2778"/>
        <v>...</v>
      </c>
      <c r="K12400" s="1" t="str">
        <f t="shared" si="2778"/>
        <v>...</v>
      </c>
      <c r="L12400" s="1" t="str">
        <f t="shared" si="2778"/>
        <v>...</v>
      </c>
      <c r="M12400" s="1" t="str">
        <f t="shared" si="2778"/>
        <v>...</v>
      </c>
      <c r="N12400" t="s">
        <v>30</v>
      </c>
    </row>
    <row r="12401" spans="1:14" x14ac:dyDescent="0.25">
      <c r="A12401" t="s">
        <v>44</v>
      </c>
      <c r="B12401" t="s">
        <v>40</v>
      </c>
      <c r="C12401" t="s">
        <v>15</v>
      </c>
      <c r="D12401" t="s">
        <v>33</v>
      </c>
      <c r="E12401" t="s">
        <v>26</v>
      </c>
      <c r="F12401" t="s">
        <v>20</v>
      </c>
      <c r="G12401" s="1" t="str">
        <f t="shared" si="2778"/>
        <v>...</v>
      </c>
      <c r="H12401" s="1" t="str">
        <f t="shared" si="2778"/>
        <v>...</v>
      </c>
      <c r="I12401" s="1" t="str">
        <f t="shared" si="2778"/>
        <v>...</v>
      </c>
      <c r="J12401" s="1" t="str">
        <f t="shared" si="2778"/>
        <v>...</v>
      </c>
      <c r="K12401" s="1" t="str">
        <f t="shared" si="2778"/>
        <v>...</v>
      </c>
      <c r="L12401" s="1" t="str">
        <f t="shared" si="2778"/>
        <v>...</v>
      </c>
      <c r="M12401" s="1" t="str">
        <f t="shared" si="2778"/>
        <v>...</v>
      </c>
      <c r="N12401" t="s">
        <v>30</v>
      </c>
    </row>
    <row r="12402" spans="1:14" x14ac:dyDescent="0.25">
      <c r="A12402" t="s">
        <v>44</v>
      </c>
      <c r="B12402" t="s">
        <v>40</v>
      </c>
      <c r="C12402" t="s">
        <v>15</v>
      </c>
      <c r="D12402" t="s">
        <v>34</v>
      </c>
      <c r="E12402" t="s">
        <v>15</v>
      </c>
      <c r="F12402" t="s">
        <v>15</v>
      </c>
      <c r="G12402" s="2">
        <f>VALUE(306.63)</f>
        <v>306.63</v>
      </c>
      <c r="H12402" s="3">
        <f>VALUE(237.74)</f>
        <v>237.74</v>
      </c>
      <c r="I12402" s="4">
        <f>VALUE(2494)</f>
        <v>2494</v>
      </c>
      <c r="J12402" s="1">
        <f>VALUE(3249)</f>
        <v>3249</v>
      </c>
      <c r="K12402" s="1">
        <f>VALUE(3809)</f>
        <v>3809</v>
      </c>
      <c r="L12402" s="7">
        <f>VALUE(4757)</f>
        <v>4757</v>
      </c>
      <c r="M12402" s="8">
        <f>VALUE(5580)</f>
        <v>5580</v>
      </c>
      <c r="N12402" t="s">
        <v>25</v>
      </c>
    </row>
    <row r="12403" spans="1:14" x14ac:dyDescent="0.25">
      <c r="A12403" t="s">
        <v>44</v>
      </c>
      <c r="B12403" t="s">
        <v>40</v>
      </c>
      <c r="C12403" t="s">
        <v>15</v>
      </c>
      <c r="D12403" t="s">
        <v>34</v>
      </c>
      <c r="E12403" t="s">
        <v>15</v>
      </c>
      <c r="F12403" t="s">
        <v>17</v>
      </c>
      <c r="G12403" s="1" t="str">
        <f t="shared" ref="G12403:M12405" si="2779">"X"</f>
        <v>X</v>
      </c>
      <c r="H12403" s="1" t="str">
        <f t="shared" si="2779"/>
        <v>X</v>
      </c>
      <c r="I12403" s="1" t="str">
        <f t="shared" si="2779"/>
        <v>X</v>
      </c>
      <c r="J12403" s="1" t="str">
        <f t="shared" si="2779"/>
        <v>X</v>
      </c>
      <c r="K12403" s="1" t="str">
        <f t="shared" si="2779"/>
        <v>X</v>
      </c>
      <c r="L12403" s="1" t="str">
        <f t="shared" si="2779"/>
        <v>X</v>
      </c>
      <c r="M12403" s="1" t="str">
        <f t="shared" si="2779"/>
        <v>X</v>
      </c>
      <c r="N12403" t="s">
        <v>27</v>
      </c>
    </row>
    <row r="12404" spans="1:14" x14ac:dyDescent="0.25">
      <c r="A12404" t="s">
        <v>44</v>
      </c>
      <c r="B12404" t="s">
        <v>40</v>
      </c>
      <c r="C12404" t="s">
        <v>15</v>
      </c>
      <c r="D12404" t="s">
        <v>34</v>
      </c>
      <c r="E12404" t="s">
        <v>15</v>
      </c>
      <c r="F12404" t="s">
        <v>18</v>
      </c>
      <c r="G12404" s="1" t="str">
        <f t="shared" si="2779"/>
        <v>X</v>
      </c>
      <c r="H12404" s="1" t="str">
        <f t="shared" si="2779"/>
        <v>X</v>
      </c>
      <c r="I12404" s="1" t="str">
        <f t="shared" si="2779"/>
        <v>X</v>
      </c>
      <c r="J12404" s="1" t="str">
        <f t="shared" si="2779"/>
        <v>X</v>
      </c>
      <c r="K12404" s="1" t="str">
        <f t="shared" si="2779"/>
        <v>X</v>
      </c>
      <c r="L12404" s="1" t="str">
        <f t="shared" si="2779"/>
        <v>X</v>
      </c>
      <c r="M12404" s="1" t="str">
        <f t="shared" si="2779"/>
        <v>X</v>
      </c>
      <c r="N12404" t="s">
        <v>27</v>
      </c>
    </row>
    <row r="12405" spans="1:14" x14ac:dyDescent="0.25">
      <c r="A12405" t="s">
        <v>44</v>
      </c>
      <c r="B12405" t="s">
        <v>40</v>
      </c>
      <c r="C12405" t="s">
        <v>15</v>
      </c>
      <c r="D12405" t="s">
        <v>34</v>
      </c>
      <c r="E12405" t="s">
        <v>15</v>
      </c>
      <c r="F12405" t="s">
        <v>19</v>
      </c>
      <c r="G12405" s="1" t="str">
        <f t="shared" si="2779"/>
        <v>X</v>
      </c>
      <c r="H12405" s="1" t="str">
        <f t="shared" si="2779"/>
        <v>X</v>
      </c>
      <c r="I12405" s="1" t="str">
        <f t="shared" si="2779"/>
        <v>X</v>
      </c>
      <c r="J12405" s="1" t="str">
        <f t="shared" si="2779"/>
        <v>X</v>
      </c>
      <c r="K12405" s="1" t="str">
        <f t="shared" si="2779"/>
        <v>X</v>
      </c>
      <c r="L12405" s="1" t="str">
        <f t="shared" si="2779"/>
        <v>X</v>
      </c>
      <c r="M12405" s="1" t="str">
        <f t="shared" si="2779"/>
        <v>X</v>
      </c>
      <c r="N12405" t="s">
        <v>27</v>
      </c>
    </row>
    <row r="12406" spans="1:14" x14ac:dyDescent="0.25">
      <c r="A12406" t="s">
        <v>44</v>
      </c>
      <c r="B12406" t="s">
        <v>40</v>
      </c>
      <c r="C12406" t="s">
        <v>15</v>
      </c>
      <c r="D12406" t="s">
        <v>34</v>
      </c>
      <c r="E12406" t="s">
        <v>15</v>
      </c>
      <c r="F12406" t="s">
        <v>20</v>
      </c>
      <c r="G12406" s="2">
        <f>VALUE(236.81)</f>
        <v>236.81</v>
      </c>
      <c r="H12406" s="3">
        <f>VALUE(182.23)</f>
        <v>182.23</v>
      </c>
      <c r="I12406" s="1">
        <f>VALUE(3046)</f>
        <v>3046</v>
      </c>
      <c r="J12406" s="1">
        <f>VALUE(3267)</f>
        <v>3267</v>
      </c>
      <c r="K12406" s="1">
        <f>VALUE(3801)</f>
        <v>3801</v>
      </c>
      <c r="L12406" s="1">
        <f>VALUE(4469)</f>
        <v>4469</v>
      </c>
      <c r="M12406" s="1">
        <f>VALUE(5341)</f>
        <v>5341</v>
      </c>
      <c r="N12406" t="s">
        <v>25</v>
      </c>
    </row>
    <row r="12407" spans="1:14" x14ac:dyDescent="0.25">
      <c r="A12407" t="s">
        <v>44</v>
      </c>
      <c r="B12407" t="s">
        <v>40</v>
      </c>
      <c r="C12407" t="s">
        <v>15</v>
      </c>
      <c r="D12407" t="s">
        <v>34</v>
      </c>
      <c r="E12407" t="s">
        <v>21</v>
      </c>
      <c r="F12407" t="s">
        <v>15</v>
      </c>
      <c r="G12407" s="1" t="str">
        <f t="shared" ref="G12407:M12417" si="2780">"X"</f>
        <v>X</v>
      </c>
      <c r="H12407" s="1" t="str">
        <f t="shared" si="2780"/>
        <v>X</v>
      </c>
      <c r="I12407" s="1" t="str">
        <f t="shared" si="2780"/>
        <v>X</v>
      </c>
      <c r="J12407" s="1" t="str">
        <f t="shared" si="2780"/>
        <v>X</v>
      </c>
      <c r="K12407" s="1" t="str">
        <f t="shared" si="2780"/>
        <v>X</v>
      </c>
      <c r="L12407" s="1" t="str">
        <f t="shared" si="2780"/>
        <v>X</v>
      </c>
      <c r="M12407" s="1" t="str">
        <f t="shared" si="2780"/>
        <v>X</v>
      </c>
      <c r="N12407" t="s">
        <v>27</v>
      </c>
    </row>
    <row r="12408" spans="1:14" x14ac:dyDescent="0.25">
      <c r="A12408" t="s">
        <v>44</v>
      </c>
      <c r="B12408" t="s">
        <v>40</v>
      </c>
      <c r="C12408" t="s">
        <v>15</v>
      </c>
      <c r="D12408" t="s">
        <v>34</v>
      </c>
      <c r="E12408" t="s">
        <v>21</v>
      </c>
      <c r="F12408" t="s">
        <v>17</v>
      </c>
      <c r="G12408" s="1" t="str">
        <f t="shared" si="2780"/>
        <v>X</v>
      </c>
      <c r="H12408" s="1" t="str">
        <f t="shared" si="2780"/>
        <v>X</v>
      </c>
      <c r="I12408" s="1" t="str">
        <f t="shared" si="2780"/>
        <v>X</v>
      </c>
      <c r="J12408" s="1" t="str">
        <f t="shared" si="2780"/>
        <v>X</v>
      </c>
      <c r="K12408" s="1" t="str">
        <f t="shared" si="2780"/>
        <v>X</v>
      </c>
      <c r="L12408" s="1" t="str">
        <f t="shared" si="2780"/>
        <v>X</v>
      </c>
      <c r="M12408" s="1" t="str">
        <f t="shared" si="2780"/>
        <v>X</v>
      </c>
      <c r="N12408" t="s">
        <v>27</v>
      </c>
    </row>
    <row r="12409" spans="1:14" x14ac:dyDescent="0.25">
      <c r="A12409" t="s">
        <v>44</v>
      </c>
      <c r="B12409" t="s">
        <v>40</v>
      </c>
      <c r="C12409" t="s">
        <v>15</v>
      </c>
      <c r="D12409" t="s">
        <v>34</v>
      </c>
      <c r="E12409" t="s">
        <v>21</v>
      </c>
      <c r="F12409" t="s">
        <v>18</v>
      </c>
      <c r="G12409" s="1" t="str">
        <f t="shared" si="2780"/>
        <v>X</v>
      </c>
      <c r="H12409" s="1" t="str">
        <f t="shared" si="2780"/>
        <v>X</v>
      </c>
      <c r="I12409" s="1" t="str">
        <f t="shared" si="2780"/>
        <v>X</v>
      </c>
      <c r="J12409" s="1" t="str">
        <f t="shared" si="2780"/>
        <v>X</v>
      </c>
      <c r="K12409" s="1" t="str">
        <f t="shared" si="2780"/>
        <v>X</v>
      </c>
      <c r="L12409" s="1" t="str">
        <f t="shared" si="2780"/>
        <v>X</v>
      </c>
      <c r="M12409" s="1" t="str">
        <f t="shared" si="2780"/>
        <v>X</v>
      </c>
      <c r="N12409" t="s">
        <v>27</v>
      </c>
    </row>
    <row r="12410" spans="1:14" x14ac:dyDescent="0.25">
      <c r="A12410" t="s">
        <v>44</v>
      </c>
      <c r="B12410" t="s">
        <v>40</v>
      </c>
      <c r="C12410" t="s">
        <v>15</v>
      </c>
      <c r="D12410" t="s">
        <v>34</v>
      </c>
      <c r="E12410" t="s">
        <v>21</v>
      </c>
      <c r="F12410" t="s">
        <v>19</v>
      </c>
      <c r="G12410" s="1" t="str">
        <f t="shared" si="2780"/>
        <v>X</v>
      </c>
      <c r="H12410" s="1" t="str">
        <f t="shared" si="2780"/>
        <v>X</v>
      </c>
      <c r="I12410" s="1" t="str">
        <f t="shared" si="2780"/>
        <v>X</v>
      </c>
      <c r="J12410" s="1" t="str">
        <f t="shared" si="2780"/>
        <v>X</v>
      </c>
      <c r="K12410" s="1" t="str">
        <f t="shared" si="2780"/>
        <v>X</v>
      </c>
      <c r="L12410" s="1" t="str">
        <f t="shared" si="2780"/>
        <v>X</v>
      </c>
      <c r="M12410" s="1" t="str">
        <f t="shared" si="2780"/>
        <v>X</v>
      </c>
      <c r="N12410" t="s">
        <v>27</v>
      </c>
    </row>
    <row r="12411" spans="1:14" x14ac:dyDescent="0.25">
      <c r="A12411" t="s">
        <v>44</v>
      </c>
      <c r="B12411" t="s">
        <v>40</v>
      </c>
      <c r="C12411" t="s">
        <v>15</v>
      </c>
      <c r="D12411" t="s">
        <v>34</v>
      </c>
      <c r="E12411" t="s">
        <v>21</v>
      </c>
      <c r="F12411" t="s">
        <v>20</v>
      </c>
      <c r="G12411" s="1" t="str">
        <f t="shared" si="2780"/>
        <v>X</v>
      </c>
      <c r="H12411" s="1" t="str">
        <f t="shared" si="2780"/>
        <v>X</v>
      </c>
      <c r="I12411" s="1" t="str">
        <f t="shared" si="2780"/>
        <v>X</v>
      </c>
      <c r="J12411" s="1" t="str">
        <f t="shared" si="2780"/>
        <v>X</v>
      </c>
      <c r="K12411" s="1" t="str">
        <f t="shared" si="2780"/>
        <v>X</v>
      </c>
      <c r="L12411" s="1" t="str">
        <f t="shared" si="2780"/>
        <v>X</v>
      </c>
      <c r="M12411" s="1" t="str">
        <f t="shared" si="2780"/>
        <v>X</v>
      </c>
      <c r="N12411" t="s">
        <v>27</v>
      </c>
    </row>
    <row r="12412" spans="1:14" x14ac:dyDescent="0.25">
      <c r="A12412" t="s">
        <v>44</v>
      </c>
      <c r="B12412" t="s">
        <v>40</v>
      </c>
      <c r="C12412" t="s">
        <v>15</v>
      </c>
      <c r="D12412" t="s">
        <v>34</v>
      </c>
      <c r="E12412" t="s">
        <v>22</v>
      </c>
      <c r="F12412" t="s">
        <v>15</v>
      </c>
      <c r="G12412" s="1" t="str">
        <f t="shared" si="2780"/>
        <v>X</v>
      </c>
      <c r="H12412" s="1" t="str">
        <f t="shared" si="2780"/>
        <v>X</v>
      </c>
      <c r="I12412" s="1" t="str">
        <f t="shared" si="2780"/>
        <v>X</v>
      </c>
      <c r="J12412" s="1" t="str">
        <f t="shared" si="2780"/>
        <v>X</v>
      </c>
      <c r="K12412" s="1" t="str">
        <f t="shared" si="2780"/>
        <v>X</v>
      </c>
      <c r="L12412" s="1" t="str">
        <f t="shared" si="2780"/>
        <v>X</v>
      </c>
      <c r="M12412" s="1" t="str">
        <f t="shared" si="2780"/>
        <v>X</v>
      </c>
      <c r="N12412" t="s">
        <v>27</v>
      </c>
    </row>
    <row r="12413" spans="1:14" x14ac:dyDescent="0.25">
      <c r="A12413" t="s">
        <v>44</v>
      </c>
      <c r="B12413" t="s">
        <v>40</v>
      </c>
      <c r="C12413" t="s">
        <v>15</v>
      </c>
      <c r="D12413" t="s">
        <v>34</v>
      </c>
      <c r="E12413" t="s">
        <v>22</v>
      </c>
      <c r="F12413" t="s">
        <v>17</v>
      </c>
      <c r="G12413" s="1" t="str">
        <f t="shared" si="2780"/>
        <v>X</v>
      </c>
      <c r="H12413" s="1" t="str">
        <f t="shared" si="2780"/>
        <v>X</v>
      </c>
      <c r="I12413" s="1" t="str">
        <f t="shared" si="2780"/>
        <v>X</v>
      </c>
      <c r="J12413" s="1" t="str">
        <f t="shared" si="2780"/>
        <v>X</v>
      </c>
      <c r="K12413" s="1" t="str">
        <f t="shared" si="2780"/>
        <v>X</v>
      </c>
      <c r="L12413" s="1" t="str">
        <f t="shared" si="2780"/>
        <v>X</v>
      </c>
      <c r="M12413" s="1" t="str">
        <f t="shared" si="2780"/>
        <v>X</v>
      </c>
      <c r="N12413" t="s">
        <v>27</v>
      </c>
    </row>
    <row r="12414" spans="1:14" x14ac:dyDescent="0.25">
      <c r="A12414" t="s">
        <v>44</v>
      </c>
      <c r="B12414" t="s">
        <v>40</v>
      </c>
      <c r="C12414" t="s">
        <v>15</v>
      </c>
      <c r="D12414" t="s">
        <v>34</v>
      </c>
      <c r="E12414" t="s">
        <v>22</v>
      </c>
      <c r="F12414" t="s">
        <v>18</v>
      </c>
      <c r="G12414" s="1" t="str">
        <f t="shared" si="2780"/>
        <v>X</v>
      </c>
      <c r="H12414" s="1" t="str">
        <f t="shared" si="2780"/>
        <v>X</v>
      </c>
      <c r="I12414" s="1" t="str">
        <f t="shared" si="2780"/>
        <v>X</v>
      </c>
      <c r="J12414" s="1" t="str">
        <f t="shared" si="2780"/>
        <v>X</v>
      </c>
      <c r="K12414" s="1" t="str">
        <f t="shared" si="2780"/>
        <v>X</v>
      </c>
      <c r="L12414" s="1" t="str">
        <f t="shared" si="2780"/>
        <v>X</v>
      </c>
      <c r="M12414" s="1" t="str">
        <f t="shared" si="2780"/>
        <v>X</v>
      </c>
      <c r="N12414" t="s">
        <v>27</v>
      </c>
    </row>
    <row r="12415" spans="1:14" x14ac:dyDescent="0.25">
      <c r="A12415" t="s">
        <v>44</v>
      </c>
      <c r="B12415" t="s">
        <v>40</v>
      </c>
      <c r="C12415" t="s">
        <v>15</v>
      </c>
      <c r="D12415" t="s">
        <v>34</v>
      </c>
      <c r="E12415" t="s">
        <v>22</v>
      </c>
      <c r="F12415" t="s">
        <v>19</v>
      </c>
      <c r="G12415" s="1" t="str">
        <f t="shared" si="2780"/>
        <v>X</v>
      </c>
      <c r="H12415" s="1" t="str">
        <f t="shared" si="2780"/>
        <v>X</v>
      </c>
      <c r="I12415" s="1" t="str">
        <f t="shared" si="2780"/>
        <v>X</v>
      </c>
      <c r="J12415" s="1" t="str">
        <f t="shared" si="2780"/>
        <v>X</v>
      </c>
      <c r="K12415" s="1" t="str">
        <f t="shared" si="2780"/>
        <v>X</v>
      </c>
      <c r="L12415" s="1" t="str">
        <f t="shared" si="2780"/>
        <v>X</v>
      </c>
      <c r="M12415" s="1" t="str">
        <f t="shared" si="2780"/>
        <v>X</v>
      </c>
      <c r="N12415" t="s">
        <v>27</v>
      </c>
    </row>
    <row r="12416" spans="1:14" x14ac:dyDescent="0.25">
      <c r="A12416" t="s">
        <v>44</v>
      </c>
      <c r="B12416" t="s">
        <v>40</v>
      </c>
      <c r="C12416" t="s">
        <v>15</v>
      </c>
      <c r="D12416" t="s">
        <v>34</v>
      </c>
      <c r="E12416" t="s">
        <v>22</v>
      </c>
      <c r="F12416" t="s">
        <v>20</v>
      </c>
      <c r="G12416" s="1" t="str">
        <f t="shared" si="2780"/>
        <v>X</v>
      </c>
      <c r="H12416" s="1" t="str">
        <f t="shared" si="2780"/>
        <v>X</v>
      </c>
      <c r="I12416" s="1" t="str">
        <f t="shared" si="2780"/>
        <v>X</v>
      </c>
      <c r="J12416" s="1" t="str">
        <f t="shared" si="2780"/>
        <v>X</v>
      </c>
      <c r="K12416" s="1" t="str">
        <f t="shared" si="2780"/>
        <v>X</v>
      </c>
      <c r="L12416" s="1" t="str">
        <f t="shared" si="2780"/>
        <v>X</v>
      </c>
      <c r="M12416" s="1" t="str">
        <f t="shared" si="2780"/>
        <v>X</v>
      </c>
      <c r="N12416" t="s">
        <v>27</v>
      </c>
    </row>
    <row r="12417" spans="1:14" x14ac:dyDescent="0.25">
      <c r="A12417" t="s">
        <v>44</v>
      </c>
      <c r="B12417" t="s">
        <v>40</v>
      </c>
      <c r="C12417" t="s">
        <v>15</v>
      </c>
      <c r="D12417" t="s">
        <v>34</v>
      </c>
      <c r="E12417" t="s">
        <v>23</v>
      </c>
      <c r="F12417" t="s">
        <v>15</v>
      </c>
      <c r="G12417" s="1" t="str">
        <f t="shared" si="2780"/>
        <v>X</v>
      </c>
      <c r="H12417" s="1" t="str">
        <f t="shared" si="2780"/>
        <v>X</v>
      </c>
      <c r="I12417" s="1" t="str">
        <f t="shared" si="2780"/>
        <v>X</v>
      </c>
      <c r="J12417" s="1" t="str">
        <f t="shared" si="2780"/>
        <v>X</v>
      </c>
      <c r="K12417" s="1" t="str">
        <f t="shared" si="2780"/>
        <v>X</v>
      </c>
      <c r="L12417" s="1" t="str">
        <f t="shared" si="2780"/>
        <v>X</v>
      </c>
      <c r="M12417" s="1" t="str">
        <f t="shared" si="2780"/>
        <v>X</v>
      </c>
      <c r="N12417" t="s">
        <v>27</v>
      </c>
    </row>
    <row r="12418" spans="1:14" x14ac:dyDescent="0.25">
      <c r="A12418" t="s">
        <v>44</v>
      </c>
      <c r="B12418" t="s">
        <v>40</v>
      </c>
      <c r="C12418" t="s">
        <v>15</v>
      </c>
      <c r="D12418" t="s">
        <v>34</v>
      </c>
      <c r="E12418" t="s">
        <v>23</v>
      </c>
      <c r="F12418" t="s">
        <v>17</v>
      </c>
      <c r="G12418" s="1" t="str">
        <f t="shared" ref="G12418:M12420" si="2781">"..."</f>
        <v>...</v>
      </c>
      <c r="H12418" s="1" t="str">
        <f t="shared" si="2781"/>
        <v>...</v>
      </c>
      <c r="I12418" s="1" t="str">
        <f t="shared" si="2781"/>
        <v>...</v>
      </c>
      <c r="J12418" s="1" t="str">
        <f t="shared" si="2781"/>
        <v>...</v>
      </c>
      <c r="K12418" s="1" t="str">
        <f t="shared" si="2781"/>
        <v>...</v>
      </c>
      <c r="L12418" s="1" t="str">
        <f t="shared" si="2781"/>
        <v>...</v>
      </c>
      <c r="M12418" s="1" t="str">
        <f t="shared" si="2781"/>
        <v>...</v>
      </c>
      <c r="N12418" t="s">
        <v>30</v>
      </c>
    </row>
    <row r="12419" spans="1:14" x14ac:dyDescent="0.25">
      <c r="A12419" t="s">
        <v>44</v>
      </c>
      <c r="B12419" t="s">
        <v>40</v>
      </c>
      <c r="C12419" t="s">
        <v>15</v>
      </c>
      <c r="D12419" t="s">
        <v>34</v>
      </c>
      <c r="E12419" t="s">
        <v>23</v>
      </c>
      <c r="F12419" t="s">
        <v>18</v>
      </c>
      <c r="G12419" s="1" t="str">
        <f t="shared" si="2781"/>
        <v>...</v>
      </c>
      <c r="H12419" s="1" t="str">
        <f t="shared" si="2781"/>
        <v>...</v>
      </c>
      <c r="I12419" s="1" t="str">
        <f t="shared" si="2781"/>
        <v>...</v>
      </c>
      <c r="J12419" s="1" t="str">
        <f t="shared" si="2781"/>
        <v>...</v>
      </c>
      <c r="K12419" s="1" t="str">
        <f t="shared" si="2781"/>
        <v>...</v>
      </c>
      <c r="L12419" s="1" t="str">
        <f t="shared" si="2781"/>
        <v>...</v>
      </c>
      <c r="M12419" s="1" t="str">
        <f t="shared" si="2781"/>
        <v>...</v>
      </c>
      <c r="N12419" t="s">
        <v>30</v>
      </c>
    </row>
    <row r="12420" spans="1:14" x14ac:dyDescent="0.25">
      <c r="A12420" t="s">
        <v>44</v>
      </c>
      <c r="B12420" t="s">
        <v>40</v>
      </c>
      <c r="C12420" t="s">
        <v>15</v>
      </c>
      <c r="D12420" t="s">
        <v>34</v>
      </c>
      <c r="E12420" t="s">
        <v>23</v>
      </c>
      <c r="F12420" t="s">
        <v>19</v>
      </c>
      <c r="G12420" s="1" t="str">
        <f t="shared" si="2781"/>
        <v>...</v>
      </c>
      <c r="H12420" s="1" t="str">
        <f t="shared" si="2781"/>
        <v>...</v>
      </c>
      <c r="I12420" s="1" t="str">
        <f t="shared" si="2781"/>
        <v>...</v>
      </c>
      <c r="J12420" s="1" t="str">
        <f t="shared" si="2781"/>
        <v>...</v>
      </c>
      <c r="K12420" s="1" t="str">
        <f t="shared" si="2781"/>
        <v>...</v>
      </c>
      <c r="L12420" s="1" t="str">
        <f t="shared" si="2781"/>
        <v>...</v>
      </c>
      <c r="M12420" s="1" t="str">
        <f t="shared" si="2781"/>
        <v>...</v>
      </c>
      <c r="N12420" t="s">
        <v>30</v>
      </c>
    </row>
    <row r="12421" spans="1:14" x14ac:dyDescent="0.25">
      <c r="A12421" t="s">
        <v>44</v>
      </c>
      <c r="B12421" t="s">
        <v>40</v>
      </c>
      <c r="C12421" t="s">
        <v>15</v>
      </c>
      <c r="D12421" t="s">
        <v>34</v>
      </c>
      <c r="E12421" t="s">
        <v>23</v>
      </c>
      <c r="F12421" t="s">
        <v>20</v>
      </c>
      <c r="G12421" s="1" t="str">
        <f t="shared" ref="G12421:M12421" si="2782">"X"</f>
        <v>X</v>
      </c>
      <c r="H12421" s="1" t="str">
        <f t="shared" si="2782"/>
        <v>X</v>
      </c>
      <c r="I12421" s="1" t="str">
        <f t="shared" si="2782"/>
        <v>X</v>
      </c>
      <c r="J12421" s="1" t="str">
        <f t="shared" si="2782"/>
        <v>X</v>
      </c>
      <c r="K12421" s="1" t="str">
        <f t="shared" si="2782"/>
        <v>X</v>
      </c>
      <c r="L12421" s="1" t="str">
        <f t="shared" si="2782"/>
        <v>X</v>
      </c>
      <c r="M12421" s="1" t="str">
        <f t="shared" si="2782"/>
        <v>X</v>
      </c>
      <c r="N12421" t="s">
        <v>27</v>
      </c>
    </row>
    <row r="12422" spans="1:14" x14ac:dyDescent="0.25">
      <c r="A12422" t="s">
        <v>44</v>
      </c>
      <c r="B12422" t="s">
        <v>40</v>
      </c>
      <c r="C12422" t="s">
        <v>15</v>
      </c>
      <c r="D12422" t="s">
        <v>34</v>
      </c>
      <c r="E12422" t="s">
        <v>26</v>
      </c>
      <c r="F12422" t="s">
        <v>15</v>
      </c>
      <c r="G12422" s="1" t="str">
        <f t="shared" ref="G12422:M12426" si="2783">"..."</f>
        <v>...</v>
      </c>
      <c r="H12422" s="1" t="str">
        <f t="shared" si="2783"/>
        <v>...</v>
      </c>
      <c r="I12422" s="1" t="str">
        <f t="shared" si="2783"/>
        <v>...</v>
      </c>
      <c r="J12422" s="1" t="str">
        <f t="shared" si="2783"/>
        <v>...</v>
      </c>
      <c r="K12422" s="1" t="str">
        <f t="shared" si="2783"/>
        <v>...</v>
      </c>
      <c r="L12422" s="1" t="str">
        <f t="shared" si="2783"/>
        <v>...</v>
      </c>
      <c r="M12422" s="1" t="str">
        <f t="shared" si="2783"/>
        <v>...</v>
      </c>
      <c r="N12422" t="s">
        <v>30</v>
      </c>
    </row>
    <row r="12423" spans="1:14" x14ac:dyDescent="0.25">
      <c r="A12423" t="s">
        <v>44</v>
      </c>
      <c r="B12423" t="s">
        <v>40</v>
      </c>
      <c r="C12423" t="s">
        <v>15</v>
      </c>
      <c r="D12423" t="s">
        <v>34</v>
      </c>
      <c r="E12423" t="s">
        <v>26</v>
      </c>
      <c r="F12423" t="s">
        <v>17</v>
      </c>
      <c r="G12423" s="1" t="str">
        <f t="shared" si="2783"/>
        <v>...</v>
      </c>
      <c r="H12423" s="1" t="str">
        <f t="shared" si="2783"/>
        <v>...</v>
      </c>
      <c r="I12423" s="1" t="str">
        <f t="shared" si="2783"/>
        <v>...</v>
      </c>
      <c r="J12423" s="1" t="str">
        <f t="shared" si="2783"/>
        <v>...</v>
      </c>
      <c r="K12423" s="1" t="str">
        <f t="shared" si="2783"/>
        <v>...</v>
      </c>
      <c r="L12423" s="1" t="str">
        <f t="shared" si="2783"/>
        <v>...</v>
      </c>
      <c r="M12423" s="1" t="str">
        <f t="shared" si="2783"/>
        <v>...</v>
      </c>
      <c r="N12423" t="s">
        <v>30</v>
      </c>
    </row>
    <row r="12424" spans="1:14" x14ac:dyDescent="0.25">
      <c r="A12424" t="s">
        <v>44</v>
      </c>
      <c r="B12424" t="s">
        <v>40</v>
      </c>
      <c r="C12424" t="s">
        <v>15</v>
      </c>
      <c r="D12424" t="s">
        <v>34</v>
      </c>
      <c r="E12424" t="s">
        <v>26</v>
      </c>
      <c r="F12424" t="s">
        <v>18</v>
      </c>
      <c r="G12424" s="1" t="str">
        <f t="shared" si="2783"/>
        <v>...</v>
      </c>
      <c r="H12424" s="1" t="str">
        <f t="shared" si="2783"/>
        <v>...</v>
      </c>
      <c r="I12424" s="1" t="str">
        <f t="shared" si="2783"/>
        <v>...</v>
      </c>
      <c r="J12424" s="1" t="str">
        <f t="shared" si="2783"/>
        <v>...</v>
      </c>
      <c r="K12424" s="1" t="str">
        <f t="shared" si="2783"/>
        <v>...</v>
      </c>
      <c r="L12424" s="1" t="str">
        <f t="shared" si="2783"/>
        <v>...</v>
      </c>
      <c r="M12424" s="1" t="str">
        <f t="shared" si="2783"/>
        <v>...</v>
      </c>
      <c r="N12424" t="s">
        <v>30</v>
      </c>
    </row>
    <row r="12425" spans="1:14" x14ac:dyDescent="0.25">
      <c r="A12425" t="s">
        <v>44</v>
      </c>
      <c r="B12425" t="s">
        <v>40</v>
      </c>
      <c r="C12425" t="s">
        <v>15</v>
      </c>
      <c r="D12425" t="s">
        <v>34</v>
      </c>
      <c r="E12425" t="s">
        <v>26</v>
      </c>
      <c r="F12425" t="s">
        <v>19</v>
      </c>
      <c r="G12425" s="1" t="str">
        <f t="shared" si="2783"/>
        <v>...</v>
      </c>
      <c r="H12425" s="1" t="str">
        <f t="shared" si="2783"/>
        <v>...</v>
      </c>
      <c r="I12425" s="1" t="str">
        <f t="shared" si="2783"/>
        <v>...</v>
      </c>
      <c r="J12425" s="1" t="str">
        <f t="shared" si="2783"/>
        <v>...</v>
      </c>
      <c r="K12425" s="1" t="str">
        <f t="shared" si="2783"/>
        <v>...</v>
      </c>
      <c r="L12425" s="1" t="str">
        <f t="shared" si="2783"/>
        <v>...</v>
      </c>
      <c r="M12425" s="1" t="str">
        <f t="shared" si="2783"/>
        <v>...</v>
      </c>
      <c r="N12425" t="s">
        <v>30</v>
      </c>
    </row>
    <row r="12426" spans="1:14" x14ac:dyDescent="0.25">
      <c r="A12426" t="s">
        <v>44</v>
      </c>
      <c r="B12426" t="s">
        <v>40</v>
      </c>
      <c r="C12426" t="s">
        <v>15</v>
      </c>
      <c r="D12426" t="s">
        <v>34</v>
      </c>
      <c r="E12426" t="s">
        <v>26</v>
      </c>
      <c r="F12426" t="s">
        <v>20</v>
      </c>
      <c r="G12426" s="1" t="str">
        <f t="shared" si="2783"/>
        <v>...</v>
      </c>
      <c r="H12426" s="1" t="str">
        <f t="shared" si="2783"/>
        <v>...</v>
      </c>
      <c r="I12426" s="1" t="str">
        <f t="shared" si="2783"/>
        <v>...</v>
      </c>
      <c r="J12426" s="1" t="str">
        <f t="shared" si="2783"/>
        <v>...</v>
      </c>
      <c r="K12426" s="1" t="str">
        <f t="shared" si="2783"/>
        <v>...</v>
      </c>
      <c r="L12426" s="1" t="str">
        <f t="shared" si="2783"/>
        <v>...</v>
      </c>
      <c r="M12426" s="1" t="str">
        <f t="shared" si="2783"/>
        <v>...</v>
      </c>
      <c r="N12426" t="s">
        <v>30</v>
      </c>
    </row>
    <row r="12427" spans="1:14" x14ac:dyDescent="0.25">
      <c r="A12427" t="s">
        <v>44</v>
      </c>
      <c r="B12427" t="s">
        <v>40</v>
      </c>
      <c r="C12427" t="s">
        <v>35</v>
      </c>
      <c r="D12427" t="s">
        <v>15</v>
      </c>
      <c r="E12427" t="s">
        <v>15</v>
      </c>
      <c r="F12427" t="s">
        <v>15</v>
      </c>
      <c r="G12427" s="2">
        <f>VALUE(2244.86)</f>
        <v>2244.86</v>
      </c>
      <c r="H12427" s="3">
        <f>VALUE(1712.65)</f>
        <v>1712.65</v>
      </c>
      <c r="I12427" s="1">
        <f>VALUE(3057)</f>
        <v>3057</v>
      </c>
      <c r="J12427" s="1">
        <f>VALUE(3425)</f>
        <v>3425</v>
      </c>
      <c r="K12427" s="1">
        <f>VALUE(3854)</f>
        <v>3854</v>
      </c>
      <c r="L12427" s="1">
        <f>VALUE(4429)</f>
        <v>4429</v>
      </c>
      <c r="M12427" s="1">
        <f>VALUE(5024)</f>
        <v>5024</v>
      </c>
      <c r="N12427" t="s">
        <v>25</v>
      </c>
    </row>
    <row r="12428" spans="1:14" x14ac:dyDescent="0.25">
      <c r="A12428" t="s">
        <v>44</v>
      </c>
      <c r="B12428" t="s">
        <v>40</v>
      </c>
      <c r="C12428" t="s">
        <v>35</v>
      </c>
      <c r="D12428" t="s">
        <v>15</v>
      </c>
      <c r="E12428" t="s">
        <v>15</v>
      </c>
      <c r="F12428" t="s">
        <v>17</v>
      </c>
      <c r="G12428" s="1" t="str">
        <f t="shared" ref="G12428:M12430" si="2784">"X"</f>
        <v>X</v>
      </c>
      <c r="H12428" s="1" t="str">
        <f t="shared" si="2784"/>
        <v>X</v>
      </c>
      <c r="I12428" s="1" t="str">
        <f t="shared" si="2784"/>
        <v>X</v>
      </c>
      <c r="J12428" s="1" t="str">
        <f t="shared" si="2784"/>
        <v>X</v>
      </c>
      <c r="K12428" s="1" t="str">
        <f t="shared" si="2784"/>
        <v>X</v>
      </c>
      <c r="L12428" s="1" t="str">
        <f t="shared" si="2784"/>
        <v>X</v>
      </c>
      <c r="M12428" s="1" t="str">
        <f t="shared" si="2784"/>
        <v>X</v>
      </c>
      <c r="N12428" t="s">
        <v>27</v>
      </c>
    </row>
    <row r="12429" spans="1:14" x14ac:dyDescent="0.25">
      <c r="A12429" t="s">
        <v>44</v>
      </c>
      <c r="B12429" t="s">
        <v>40</v>
      </c>
      <c r="C12429" t="s">
        <v>35</v>
      </c>
      <c r="D12429" t="s">
        <v>15</v>
      </c>
      <c r="E12429" t="s">
        <v>15</v>
      </c>
      <c r="F12429" t="s">
        <v>18</v>
      </c>
      <c r="G12429" s="1" t="str">
        <f t="shared" si="2784"/>
        <v>X</v>
      </c>
      <c r="H12429" s="1" t="str">
        <f t="shared" si="2784"/>
        <v>X</v>
      </c>
      <c r="I12429" s="1" t="str">
        <f t="shared" si="2784"/>
        <v>X</v>
      </c>
      <c r="J12429" s="1" t="str">
        <f t="shared" si="2784"/>
        <v>X</v>
      </c>
      <c r="K12429" s="1" t="str">
        <f t="shared" si="2784"/>
        <v>X</v>
      </c>
      <c r="L12429" s="1" t="str">
        <f t="shared" si="2784"/>
        <v>X</v>
      </c>
      <c r="M12429" s="1" t="str">
        <f t="shared" si="2784"/>
        <v>X</v>
      </c>
      <c r="N12429" t="s">
        <v>27</v>
      </c>
    </row>
    <row r="12430" spans="1:14" x14ac:dyDescent="0.25">
      <c r="A12430" t="s">
        <v>44</v>
      </c>
      <c r="B12430" t="s">
        <v>40</v>
      </c>
      <c r="C12430" t="s">
        <v>35</v>
      </c>
      <c r="D12430" t="s">
        <v>15</v>
      </c>
      <c r="E12430" t="s">
        <v>15</v>
      </c>
      <c r="F12430" t="s">
        <v>19</v>
      </c>
      <c r="G12430" s="1" t="str">
        <f t="shared" si="2784"/>
        <v>X</v>
      </c>
      <c r="H12430" s="1" t="str">
        <f t="shared" si="2784"/>
        <v>X</v>
      </c>
      <c r="I12430" s="1" t="str">
        <f t="shared" si="2784"/>
        <v>X</v>
      </c>
      <c r="J12430" s="1" t="str">
        <f t="shared" si="2784"/>
        <v>X</v>
      </c>
      <c r="K12430" s="1" t="str">
        <f t="shared" si="2784"/>
        <v>X</v>
      </c>
      <c r="L12430" s="1" t="str">
        <f t="shared" si="2784"/>
        <v>X</v>
      </c>
      <c r="M12430" s="1" t="str">
        <f t="shared" si="2784"/>
        <v>X</v>
      </c>
      <c r="N12430" t="s">
        <v>27</v>
      </c>
    </row>
    <row r="12431" spans="1:14" x14ac:dyDescent="0.25">
      <c r="A12431" t="s">
        <v>44</v>
      </c>
      <c r="B12431" t="s">
        <v>40</v>
      </c>
      <c r="C12431" t="s">
        <v>35</v>
      </c>
      <c r="D12431" t="s">
        <v>15</v>
      </c>
      <c r="E12431" t="s">
        <v>15</v>
      </c>
      <c r="F12431" t="s">
        <v>20</v>
      </c>
      <c r="G12431" s="2">
        <f>VALUE(1930.81)</f>
        <v>1930.81</v>
      </c>
      <c r="H12431" s="1">
        <f>VALUE(1450.74)</f>
        <v>1450.74</v>
      </c>
      <c r="I12431" s="1">
        <f>VALUE(3000)</f>
        <v>3000</v>
      </c>
      <c r="J12431" s="1">
        <f>VALUE(3353)</f>
        <v>3353</v>
      </c>
      <c r="K12431" s="1">
        <f>VALUE(3759)</f>
        <v>3759</v>
      </c>
      <c r="L12431" s="1">
        <f>VALUE(4400)</f>
        <v>4400</v>
      </c>
      <c r="M12431" s="1">
        <f>VALUE(5003)</f>
        <v>5003</v>
      </c>
      <c r="N12431" t="s">
        <v>25</v>
      </c>
    </row>
    <row r="12432" spans="1:14" x14ac:dyDescent="0.25">
      <c r="A12432" t="s">
        <v>44</v>
      </c>
      <c r="B12432" t="s">
        <v>40</v>
      </c>
      <c r="C12432" t="s">
        <v>35</v>
      </c>
      <c r="D12432" t="s">
        <v>15</v>
      </c>
      <c r="E12432" t="s">
        <v>21</v>
      </c>
      <c r="F12432" t="s">
        <v>15</v>
      </c>
      <c r="G12432" s="2">
        <f>VALUE(234.02)</f>
        <v>234.02</v>
      </c>
      <c r="H12432" s="3">
        <f>VALUE(178.56)</f>
        <v>178.56</v>
      </c>
      <c r="I12432" s="4">
        <f>VALUE(3467)</f>
        <v>3467</v>
      </c>
      <c r="J12432" s="1">
        <f>VALUE(4268)</f>
        <v>4268</v>
      </c>
      <c r="K12432" s="1">
        <f>VALUE(4941)</f>
        <v>4941</v>
      </c>
      <c r="L12432" s="1">
        <f>VALUE(5506)</f>
        <v>5506</v>
      </c>
      <c r="M12432" s="1">
        <f>VALUE(5962)</f>
        <v>5962</v>
      </c>
      <c r="N12432" t="s">
        <v>25</v>
      </c>
    </row>
    <row r="12433" spans="1:14" x14ac:dyDescent="0.25">
      <c r="A12433" t="s">
        <v>44</v>
      </c>
      <c r="B12433" t="s">
        <v>40</v>
      </c>
      <c r="C12433" t="s">
        <v>35</v>
      </c>
      <c r="D12433" t="s">
        <v>15</v>
      </c>
      <c r="E12433" t="s">
        <v>21</v>
      </c>
      <c r="F12433" t="s">
        <v>17</v>
      </c>
      <c r="G12433" s="1" t="str">
        <f t="shared" ref="G12433:M12435" si="2785">"X"</f>
        <v>X</v>
      </c>
      <c r="H12433" s="1" t="str">
        <f t="shared" si="2785"/>
        <v>X</v>
      </c>
      <c r="I12433" s="1" t="str">
        <f t="shared" si="2785"/>
        <v>X</v>
      </c>
      <c r="J12433" s="1" t="str">
        <f t="shared" si="2785"/>
        <v>X</v>
      </c>
      <c r="K12433" s="1" t="str">
        <f t="shared" si="2785"/>
        <v>X</v>
      </c>
      <c r="L12433" s="1" t="str">
        <f t="shared" si="2785"/>
        <v>X</v>
      </c>
      <c r="M12433" s="1" t="str">
        <f t="shared" si="2785"/>
        <v>X</v>
      </c>
      <c r="N12433" t="s">
        <v>27</v>
      </c>
    </row>
    <row r="12434" spans="1:14" x14ac:dyDescent="0.25">
      <c r="A12434" t="s">
        <v>44</v>
      </c>
      <c r="B12434" t="s">
        <v>40</v>
      </c>
      <c r="C12434" t="s">
        <v>35</v>
      </c>
      <c r="D12434" t="s">
        <v>15</v>
      </c>
      <c r="E12434" t="s">
        <v>21</v>
      </c>
      <c r="F12434" t="s">
        <v>18</v>
      </c>
      <c r="G12434" s="1" t="str">
        <f t="shared" si="2785"/>
        <v>X</v>
      </c>
      <c r="H12434" s="1" t="str">
        <f t="shared" si="2785"/>
        <v>X</v>
      </c>
      <c r="I12434" s="1" t="str">
        <f t="shared" si="2785"/>
        <v>X</v>
      </c>
      <c r="J12434" s="1" t="str">
        <f t="shared" si="2785"/>
        <v>X</v>
      </c>
      <c r="K12434" s="1" t="str">
        <f t="shared" si="2785"/>
        <v>X</v>
      </c>
      <c r="L12434" s="1" t="str">
        <f t="shared" si="2785"/>
        <v>X</v>
      </c>
      <c r="M12434" s="1" t="str">
        <f t="shared" si="2785"/>
        <v>X</v>
      </c>
      <c r="N12434" t="s">
        <v>27</v>
      </c>
    </row>
    <row r="12435" spans="1:14" x14ac:dyDescent="0.25">
      <c r="A12435" t="s">
        <v>44</v>
      </c>
      <c r="B12435" t="s">
        <v>40</v>
      </c>
      <c r="C12435" t="s">
        <v>35</v>
      </c>
      <c r="D12435" t="s">
        <v>15</v>
      </c>
      <c r="E12435" t="s">
        <v>21</v>
      </c>
      <c r="F12435" t="s">
        <v>19</v>
      </c>
      <c r="G12435" s="1" t="str">
        <f t="shared" si="2785"/>
        <v>X</v>
      </c>
      <c r="H12435" s="1" t="str">
        <f t="shared" si="2785"/>
        <v>X</v>
      </c>
      <c r="I12435" s="1" t="str">
        <f t="shared" si="2785"/>
        <v>X</v>
      </c>
      <c r="J12435" s="1" t="str">
        <f t="shared" si="2785"/>
        <v>X</v>
      </c>
      <c r="K12435" s="1" t="str">
        <f t="shared" si="2785"/>
        <v>X</v>
      </c>
      <c r="L12435" s="1" t="str">
        <f t="shared" si="2785"/>
        <v>X</v>
      </c>
      <c r="M12435" s="1" t="str">
        <f t="shared" si="2785"/>
        <v>X</v>
      </c>
      <c r="N12435" t="s">
        <v>27</v>
      </c>
    </row>
    <row r="12436" spans="1:14" x14ac:dyDescent="0.25">
      <c r="A12436" t="s">
        <v>44</v>
      </c>
      <c r="B12436" t="s">
        <v>40</v>
      </c>
      <c r="C12436" t="s">
        <v>35</v>
      </c>
      <c r="D12436" t="s">
        <v>15</v>
      </c>
      <c r="E12436" t="s">
        <v>21</v>
      </c>
      <c r="F12436" t="s">
        <v>20</v>
      </c>
      <c r="G12436" s="2">
        <f>VALUE(154.55)</f>
        <v>154.55000000000001</v>
      </c>
      <c r="H12436" s="3">
        <f>VALUE(112.51)</f>
        <v>112.51</v>
      </c>
      <c r="I12436" s="4">
        <f>VALUE(1882)</f>
        <v>1882</v>
      </c>
      <c r="J12436" s="1">
        <f>VALUE(4268)</f>
        <v>4268</v>
      </c>
      <c r="K12436" s="1">
        <f>VALUE(5143)</f>
        <v>5143</v>
      </c>
      <c r="L12436" s="1">
        <f>VALUE(5764)</f>
        <v>5764</v>
      </c>
      <c r="M12436" s="1">
        <f>VALUE(5998)</f>
        <v>5998</v>
      </c>
      <c r="N12436" t="s">
        <v>25</v>
      </c>
    </row>
    <row r="12437" spans="1:14" x14ac:dyDescent="0.25">
      <c r="A12437" t="s">
        <v>44</v>
      </c>
      <c r="B12437" t="s">
        <v>40</v>
      </c>
      <c r="C12437" t="s">
        <v>35</v>
      </c>
      <c r="D12437" t="s">
        <v>15</v>
      </c>
      <c r="E12437" t="s">
        <v>22</v>
      </c>
      <c r="F12437" t="s">
        <v>15</v>
      </c>
      <c r="G12437" s="2">
        <f>VALUE(1299.93)</f>
        <v>1299.93</v>
      </c>
      <c r="H12437" s="3">
        <f>VALUE(1062.06)</f>
        <v>1062.06</v>
      </c>
      <c r="I12437" s="1">
        <f>VALUE(3217)</f>
        <v>3217</v>
      </c>
      <c r="J12437" s="1">
        <f>VALUE(3576)</f>
        <v>3576</v>
      </c>
      <c r="K12437" s="1">
        <f>VALUE(4012)</f>
        <v>4012</v>
      </c>
      <c r="L12437" s="1">
        <f>VALUE(4470)</f>
        <v>4470</v>
      </c>
      <c r="M12437" s="1">
        <f>VALUE(4967)</f>
        <v>4967</v>
      </c>
      <c r="N12437" t="s">
        <v>25</v>
      </c>
    </row>
    <row r="12438" spans="1:14" x14ac:dyDescent="0.25">
      <c r="A12438" t="s">
        <v>44</v>
      </c>
      <c r="B12438" t="s">
        <v>40</v>
      </c>
      <c r="C12438" t="s">
        <v>35</v>
      </c>
      <c r="D12438" t="s">
        <v>15</v>
      </c>
      <c r="E12438" t="s">
        <v>22</v>
      </c>
      <c r="F12438" t="s">
        <v>17</v>
      </c>
      <c r="G12438" s="1" t="str">
        <f t="shared" ref="G12438:M12438" si="2786">"..."</f>
        <v>...</v>
      </c>
      <c r="H12438" s="1" t="str">
        <f t="shared" si="2786"/>
        <v>...</v>
      </c>
      <c r="I12438" s="1" t="str">
        <f t="shared" si="2786"/>
        <v>...</v>
      </c>
      <c r="J12438" s="1" t="str">
        <f t="shared" si="2786"/>
        <v>...</v>
      </c>
      <c r="K12438" s="1" t="str">
        <f t="shared" si="2786"/>
        <v>...</v>
      </c>
      <c r="L12438" s="1" t="str">
        <f t="shared" si="2786"/>
        <v>...</v>
      </c>
      <c r="M12438" s="1" t="str">
        <f t="shared" si="2786"/>
        <v>...</v>
      </c>
      <c r="N12438" t="s">
        <v>30</v>
      </c>
    </row>
    <row r="12439" spans="1:14" x14ac:dyDescent="0.25">
      <c r="A12439" t="s">
        <v>44</v>
      </c>
      <c r="B12439" t="s">
        <v>40</v>
      </c>
      <c r="C12439" t="s">
        <v>35</v>
      </c>
      <c r="D12439" t="s">
        <v>15</v>
      </c>
      <c r="E12439" t="s">
        <v>22</v>
      </c>
      <c r="F12439" t="s">
        <v>18</v>
      </c>
      <c r="G12439" s="1" t="str">
        <f t="shared" ref="G12439:M12440" si="2787">"X"</f>
        <v>X</v>
      </c>
      <c r="H12439" s="1" t="str">
        <f t="shared" si="2787"/>
        <v>X</v>
      </c>
      <c r="I12439" s="1" t="str">
        <f t="shared" si="2787"/>
        <v>X</v>
      </c>
      <c r="J12439" s="1" t="str">
        <f t="shared" si="2787"/>
        <v>X</v>
      </c>
      <c r="K12439" s="1" t="str">
        <f t="shared" si="2787"/>
        <v>X</v>
      </c>
      <c r="L12439" s="1" t="str">
        <f t="shared" si="2787"/>
        <v>X</v>
      </c>
      <c r="M12439" s="1" t="str">
        <f t="shared" si="2787"/>
        <v>X</v>
      </c>
      <c r="N12439" t="s">
        <v>27</v>
      </c>
    </row>
    <row r="12440" spans="1:14" x14ac:dyDescent="0.25">
      <c r="A12440" t="s">
        <v>44</v>
      </c>
      <c r="B12440" t="s">
        <v>40</v>
      </c>
      <c r="C12440" t="s">
        <v>35</v>
      </c>
      <c r="D12440" t="s">
        <v>15</v>
      </c>
      <c r="E12440" t="s">
        <v>22</v>
      </c>
      <c r="F12440" t="s">
        <v>19</v>
      </c>
      <c r="G12440" s="1" t="str">
        <f t="shared" si="2787"/>
        <v>X</v>
      </c>
      <c r="H12440" s="1" t="str">
        <f t="shared" si="2787"/>
        <v>X</v>
      </c>
      <c r="I12440" s="1" t="str">
        <f t="shared" si="2787"/>
        <v>X</v>
      </c>
      <c r="J12440" s="1" t="str">
        <f t="shared" si="2787"/>
        <v>X</v>
      </c>
      <c r="K12440" s="1" t="str">
        <f t="shared" si="2787"/>
        <v>X</v>
      </c>
      <c r="L12440" s="1" t="str">
        <f t="shared" si="2787"/>
        <v>X</v>
      </c>
      <c r="M12440" s="1" t="str">
        <f t="shared" si="2787"/>
        <v>X</v>
      </c>
      <c r="N12440" t="s">
        <v>27</v>
      </c>
    </row>
    <row r="12441" spans="1:14" x14ac:dyDescent="0.25">
      <c r="A12441" t="s">
        <v>44</v>
      </c>
      <c r="B12441" t="s">
        <v>40</v>
      </c>
      <c r="C12441" t="s">
        <v>35</v>
      </c>
      <c r="D12441" t="s">
        <v>15</v>
      </c>
      <c r="E12441" t="s">
        <v>22</v>
      </c>
      <c r="F12441" t="s">
        <v>20</v>
      </c>
      <c r="G12441" s="2">
        <f>VALUE(1089.72)</f>
        <v>1089.72</v>
      </c>
      <c r="H12441" s="3">
        <f>VALUE(885.96)</f>
        <v>885.96</v>
      </c>
      <c r="I12441" s="1">
        <f>VALUE(3200)</f>
        <v>3200</v>
      </c>
      <c r="J12441" s="1">
        <f>VALUE(3529)</f>
        <v>3529</v>
      </c>
      <c r="K12441" s="1">
        <f>VALUE(3919)</f>
        <v>3919</v>
      </c>
      <c r="L12441" s="1">
        <f>VALUE(4489)</f>
        <v>4489</v>
      </c>
      <c r="M12441" s="1">
        <f>VALUE(4958)</f>
        <v>4958</v>
      </c>
      <c r="N12441" t="s">
        <v>25</v>
      </c>
    </row>
    <row r="12442" spans="1:14" x14ac:dyDescent="0.25">
      <c r="A12442" t="s">
        <v>44</v>
      </c>
      <c r="B12442" t="s">
        <v>40</v>
      </c>
      <c r="C12442" t="s">
        <v>35</v>
      </c>
      <c r="D12442" t="s">
        <v>15</v>
      </c>
      <c r="E12442" t="s">
        <v>23</v>
      </c>
      <c r="F12442" t="s">
        <v>15</v>
      </c>
      <c r="G12442" s="2">
        <f>VALUE(682.49)</f>
        <v>682.49</v>
      </c>
      <c r="H12442" s="3">
        <f>VALUE(451.67)</f>
        <v>451.67</v>
      </c>
      <c r="I12442" s="4">
        <f>VALUE(2730)</f>
        <v>2730</v>
      </c>
      <c r="J12442" s="1">
        <f>VALUE(3162)</f>
        <v>3162</v>
      </c>
      <c r="K12442" s="1">
        <f>VALUE(3354)</f>
        <v>3354</v>
      </c>
      <c r="L12442" s="1">
        <f>VALUE(3648)</f>
        <v>3648</v>
      </c>
      <c r="M12442" s="1">
        <f>VALUE(4112)</f>
        <v>4112</v>
      </c>
      <c r="N12442" t="s">
        <v>25</v>
      </c>
    </row>
    <row r="12443" spans="1:14" x14ac:dyDescent="0.25">
      <c r="A12443" t="s">
        <v>44</v>
      </c>
      <c r="B12443" t="s">
        <v>40</v>
      </c>
      <c r="C12443" t="s">
        <v>35</v>
      </c>
      <c r="D12443" t="s">
        <v>15</v>
      </c>
      <c r="E12443" t="s">
        <v>23</v>
      </c>
      <c r="F12443" t="s">
        <v>17</v>
      </c>
      <c r="G12443" s="1" t="str">
        <f t="shared" ref="G12443:M12443" si="2788">"..."</f>
        <v>...</v>
      </c>
      <c r="H12443" s="1" t="str">
        <f t="shared" si="2788"/>
        <v>...</v>
      </c>
      <c r="I12443" s="1" t="str">
        <f t="shared" si="2788"/>
        <v>...</v>
      </c>
      <c r="J12443" s="1" t="str">
        <f t="shared" si="2788"/>
        <v>...</v>
      </c>
      <c r="K12443" s="1" t="str">
        <f t="shared" si="2788"/>
        <v>...</v>
      </c>
      <c r="L12443" s="1" t="str">
        <f t="shared" si="2788"/>
        <v>...</v>
      </c>
      <c r="M12443" s="1" t="str">
        <f t="shared" si="2788"/>
        <v>...</v>
      </c>
      <c r="N12443" t="s">
        <v>30</v>
      </c>
    </row>
    <row r="12444" spans="1:14" x14ac:dyDescent="0.25">
      <c r="A12444" t="s">
        <v>44</v>
      </c>
      <c r="B12444" t="s">
        <v>40</v>
      </c>
      <c r="C12444" t="s">
        <v>35</v>
      </c>
      <c r="D12444" t="s">
        <v>15</v>
      </c>
      <c r="E12444" t="s">
        <v>23</v>
      </c>
      <c r="F12444" t="s">
        <v>18</v>
      </c>
      <c r="G12444" s="1" t="str">
        <f t="shared" ref="G12444:M12445" si="2789">"X"</f>
        <v>X</v>
      </c>
      <c r="H12444" s="1" t="str">
        <f t="shared" si="2789"/>
        <v>X</v>
      </c>
      <c r="I12444" s="1" t="str">
        <f t="shared" si="2789"/>
        <v>X</v>
      </c>
      <c r="J12444" s="1" t="str">
        <f t="shared" si="2789"/>
        <v>X</v>
      </c>
      <c r="K12444" s="1" t="str">
        <f t="shared" si="2789"/>
        <v>X</v>
      </c>
      <c r="L12444" s="1" t="str">
        <f t="shared" si="2789"/>
        <v>X</v>
      </c>
      <c r="M12444" s="1" t="str">
        <f t="shared" si="2789"/>
        <v>X</v>
      </c>
      <c r="N12444" t="s">
        <v>27</v>
      </c>
    </row>
    <row r="12445" spans="1:14" x14ac:dyDescent="0.25">
      <c r="A12445" t="s">
        <v>44</v>
      </c>
      <c r="B12445" t="s">
        <v>40</v>
      </c>
      <c r="C12445" t="s">
        <v>35</v>
      </c>
      <c r="D12445" t="s">
        <v>15</v>
      </c>
      <c r="E12445" t="s">
        <v>23</v>
      </c>
      <c r="F12445" t="s">
        <v>19</v>
      </c>
      <c r="G12445" s="1" t="str">
        <f t="shared" si="2789"/>
        <v>X</v>
      </c>
      <c r="H12445" s="1" t="str">
        <f t="shared" si="2789"/>
        <v>X</v>
      </c>
      <c r="I12445" s="1" t="str">
        <f t="shared" si="2789"/>
        <v>X</v>
      </c>
      <c r="J12445" s="1" t="str">
        <f t="shared" si="2789"/>
        <v>X</v>
      </c>
      <c r="K12445" s="1" t="str">
        <f t="shared" si="2789"/>
        <v>X</v>
      </c>
      <c r="L12445" s="1" t="str">
        <f t="shared" si="2789"/>
        <v>X</v>
      </c>
      <c r="M12445" s="1" t="str">
        <f t="shared" si="2789"/>
        <v>X</v>
      </c>
      <c r="N12445" t="s">
        <v>27</v>
      </c>
    </row>
    <row r="12446" spans="1:14" x14ac:dyDescent="0.25">
      <c r="A12446" t="s">
        <v>44</v>
      </c>
      <c r="B12446" t="s">
        <v>40</v>
      </c>
      <c r="C12446" t="s">
        <v>35</v>
      </c>
      <c r="D12446" t="s">
        <v>15</v>
      </c>
      <c r="E12446" t="s">
        <v>23</v>
      </c>
      <c r="F12446" t="s">
        <v>20</v>
      </c>
      <c r="G12446" s="2">
        <f>VALUE(660.69)</f>
        <v>660.69</v>
      </c>
      <c r="H12446" s="3">
        <f>VALUE(433.86)</f>
        <v>433.86</v>
      </c>
      <c r="I12446" s="4">
        <f>VALUE(2730)</f>
        <v>2730</v>
      </c>
      <c r="J12446" s="1">
        <f>VALUE(3162)</f>
        <v>3162</v>
      </c>
      <c r="K12446" s="1">
        <f>VALUE(3310)</f>
        <v>3310</v>
      </c>
      <c r="L12446" s="1">
        <f>VALUE(3647)</f>
        <v>3647</v>
      </c>
      <c r="M12446" s="1">
        <f>VALUE(4119)</f>
        <v>4119</v>
      </c>
      <c r="N12446" t="s">
        <v>25</v>
      </c>
    </row>
    <row r="12447" spans="1:14" x14ac:dyDescent="0.25">
      <c r="A12447" t="s">
        <v>44</v>
      </c>
      <c r="B12447" t="s">
        <v>40</v>
      </c>
      <c r="C12447" t="s">
        <v>35</v>
      </c>
      <c r="D12447" t="s">
        <v>15</v>
      </c>
      <c r="E12447" t="s">
        <v>26</v>
      </c>
      <c r="F12447" t="s">
        <v>15</v>
      </c>
      <c r="G12447" s="1" t="str">
        <f t="shared" ref="G12447:M12447" si="2790">"X"</f>
        <v>X</v>
      </c>
      <c r="H12447" s="1" t="str">
        <f t="shared" si="2790"/>
        <v>X</v>
      </c>
      <c r="I12447" s="1" t="str">
        <f t="shared" si="2790"/>
        <v>X</v>
      </c>
      <c r="J12447" s="1" t="str">
        <f t="shared" si="2790"/>
        <v>X</v>
      </c>
      <c r="K12447" s="1" t="str">
        <f t="shared" si="2790"/>
        <v>X</v>
      </c>
      <c r="L12447" s="1" t="str">
        <f t="shared" si="2790"/>
        <v>X</v>
      </c>
      <c r="M12447" s="1" t="str">
        <f t="shared" si="2790"/>
        <v>X</v>
      </c>
      <c r="N12447" t="s">
        <v>27</v>
      </c>
    </row>
    <row r="12448" spans="1:14" x14ac:dyDescent="0.25">
      <c r="A12448" t="s">
        <v>44</v>
      </c>
      <c r="B12448" t="s">
        <v>40</v>
      </c>
      <c r="C12448" t="s">
        <v>35</v>
      </c>
      <c r="D12448" t="s">
        <v>15</v>
      </c>
      <c r="E12448" t="s">
        <v>26</v>
      </c>
      <c r="F12448" t="s">
        <v>17</v>
      </c>
      <c r="G12448" s="1" t="str">
        <f t="shared" ref="G12448:M12448" si="2791">"..."</f>
        <v>...</v>
      </c>
      <c r="H12448" s="1" t="str">
        <f t="shared" si="2791"/>
        <v>...</v>
      </c>
      <c r="I12448" s="1" t="str">
        <f t="shared" si="2791"/>
        <v>...</v>
      </c>
      <c r="J12448" s="1" t="str">
        <f t="shared" si="2791"/>
        <v>...</v>
      </c>
      <c r="K12448" s="1" t="str">
        <f t="shared" si="2791"/>
        <v>...</v>
      </c>
      <c r="L12448" s="1" t="str">
        <f t="shared" si="2791"/>
        <v>...</v>
      </c>
      <c r="M12448" s="1" t="str">
        <f t="shared" si="2791"/>
        <v>...</v>
      </c>
      <c r="N12448" t="s">
        <v>30</v>
      </c>
    </row>
    <row r="12449" spans="1:14" x14ac:dyDescent="0.25">
      <c r="A12449" t="s">
        <v>44</v>
      </c>
      <c r="B12449" t="s">
        <v>40</v>
      </c>
      <c r="C12449" t="s">
        <v>35</v>
      </c>
      <c r="D12449" t="s">
        <v>15</v>
      </c>
      <c r="E12449" t="s">
        <v>26</v>
      </c>
      <c r="F12449" t="s">
        <v>18</v>
      </c>
      <c r="G12449" s="1" t="str">
        <f t="shared" ref="G12449:M12451" si="2792">"X"</f>
        <v>X</v>
      </c>
      <c r="H12449" s="1" t="str">
        <f t="shared" si="2792"/>
        <v>X</v>
      </c>
      <c r="I12449" s="1" t="str">
        <f t="shared" si="2792"/>
        <v>X</v>
      </c>
      <c r="J12449" s="1" t="str">
        <f t="shared" si="2792"/>
        <v>X</v>
      </c>
      <c r="K12449" s="1" t="str">
        <f t="shared" si="2792"/>
        <v>X</v>
      </c>
      <c r="L12449" s="1" t="str">
        <f t="shared" si="2792"/>
        <v>X</v>
      </c>
      <c r="M12449" s="1" t="str">
        <f t="shared" si="2792"/>
        <v>X</v>
      </c>
      <c r="N12449" t="s">
        <v>27</v>
      </c>
    </row>
    <row r="12450" spans="1:14" x14ac:dyDescent="0.25">
      <c r="A12450" t="s">
        <v>44</v>
      </c>
      <c r="B12450" t="s">
        <v>40</v>
      </c>
      <c r="C12450" t="s">
        <v>35</v>
      </c>
      <c r="D12450" t="s">
        <v>15</v>
      </c>
      <c r="E12450" t="s">
        <v>26</v>
      </c>
      <c r="F12450" t="s">
        <v>19</v>
      </c>
      <c r="G12450" s="1" t="str">
        <f t="shared" si="2792"/>
        <v>X</v>
      </c>
      <c r="H12450" s="1" t="str">
        <f t="shared" si="2792"/>
        <v>X</v>
      </c>
      <c r="I12450" s="1" t="str">
        <f t="shared" si="2792"/>
        <v>X</v>
      </c>
      <c r="J12450" s="1" t="str">
        <f t="shared" si="2792"/>
        <v>X</v>
      </c>
      <c r="K12450" s="1" t="str">
        <f t="shared" si="2792"/>
        <v>X</v>
      </c>
      <c r="L12450" s="1" t="str">
        <f t="shared" si="2792"/>
        <v>X</v>
      </c>
      <c r="M12450" s="1" t="str">
        <f t="shared" si="2792"/>
        <v>X</v>
      </c>
      <c r="N12450" t="s">
        <v>27</v>
      </c>
    </row>
    <row r="12451" spans="1:14" x14ac:dyDescent="0.25">
      <c r="A12451" t="s">
        <v>44</v>
      </c>
      <c r="B12451" t="s">
        <v>40</v>
      </c>
      <c r="C12451" t="s">
        <v>35</v>
      </c>
      <c r="D12451" t="s">
        <v>15</v>
      </c>
      <c r="E12451" t="s">
        <v>26</v>
      </c>
      <c r="F12451" t="s">
        <v>20</v>
      </c>
      <c r="G12451" s="1" t="str">
        <f t="shared" si="2792"/>
        <v>X</v>
      </c>
      <c r="H12451" s="1" t="str">
        <f t="shared" si="2792"/>
        <v>X</v>
      </c>
      <c r="I12451" s="1" t="str">
        <f t="shared" si="2792"/>
        <v>X</v>
      </c>
      <c r="J12451" s="1" t="str">
        <f t="shared" si="2792"/>
        <v>X</v>
      </c>
      <c r="K12451" s="1" t="str">
        <f t="shared" si="2792"/>
        <v>X</v>
      </c>
      <c r="L12451" s="1" t="str">
        <f t="shared" si="2792"/>
        <v>X</v>
      </c>
      <c r="M12451" s="1" t="str">
        <f t="shared" si="2792"/>
        <v>X</v>
      </c>
      <c r="N12451" t="s">
        <v>27</v>
      </c>
    </row>
    <row r="12452" spans="1:14" x14ac:dyDescent="0.25">
      <c r="A12452" t="s">
        <v>44</v>
      </c>
      <c r="B12452" t="s">
        <v>40</v>
      </c>
      <c r="C12452" t="s">
        <v>35</v>
      </c>
      <c r="D12452" t="s">
        <v>28</v>
      </c>
      <c r="E12452" t="s">
        <v>15</v>
      </c>
      <c r="F12452" t="s">
        <v>15</v>
      </c>
      <c r="G12452" s="2">
        <f>VALUE(1226.9)</f>
        <v>1226.9000000000001</v>
      </c>
      <c r="H12452" s="3">
        <f>VALUE(947.8)</f>
        <v>947.8</v>
      </c>
      <c r="I12452" s="1">
        <f>VALUE(3333)</f>
        <v>3333</v>
      </c>
      <c r="J12452" s="1">
        <f>VALUE(3593)</f>
        <v>3593</v>
      </c>
      <c r="K12452" s="1">
        <f>VALUE(4043)</f>
        <v>4043</v>
      </c>
      <c r="L12452" s="1">
        <f>VALUE(4638)</f>
        <v>4638</v>
      </c>
      <c r="M12452" s="1">
        <f>VALUE(5201)</f>
        <v>5201</v>
      </c>
      <c r="N12452" t="s">
        <v>25</v>
      </c>
    </row>
    <row r="12453" spans="1:14" x14ac:dyDescent="0.25">
      <c r="A12453" t="s">
        <v>44</v>
      </c>
      <c r="B12453" t="s">
        <v>40</v>
      </c>
      <c r="C12453" t="s">
        <v>35</v>
      </c>
      <c r="D12453" t="s">
        <v>28</v>
      </c>
      <c r="E12453" t="s">
        <v>15</v>
      </c>
      <c r="F12453" t="s">
        <v>17</v>
      </c>
      <c r="G12453" s="1" t="str">
        <f t="shared" ref="G12453:M12455" si="2793">"X"</f>
        <v>X</v>
      </c>
      <c r="H12453" s="1" t="str">
        <f t="shared" si="2793"/>
        <v>X</v>
      </c>
      <c r="I12453" s="1" t="str">
        <f t="shared" si="2793"/>
        <v>X</v>
      </c>
      <c r="J12453" s="1" t="str">
        <f t="shared" si="2793"/>
        <v>X</v>
      </c>
      <c r="K12453" s="1" t="str">
        <f t="shared" si="2793"/>
        <v>X</v>
      </c>
      <c r="L12453" s="1" t="str">
        <f t="shared" si="2793"/>
        <v>X</v>
      </c>
      <c r="M12453" s="1" t="str">
        <f t="shared" si="2793"/>
        <v>X</v>
      </c>
      <c r="N12453" t="s">
        <v>27</v>
      </c>
    </row>
    <row r="12454" spans="1:14" x14ac:dyDescent="0.25">
      <c r="A12454" t="s">
        <v>44</v>
      </c>
      <c r="B12454" t="s">
        <v>40</v>
      </c>
      <c r="C12454" t="s">
        <v>35</v>
      </c>
      <c r="D12454" t="s">
        <v>28</v>
      </c>
      <c r="E12454" t="s">
        <v>15</v>
      </c>
      <c r="F12454" t="s">
        <v>18</v>
      </c>
      <c r="G12454" s="1" t="str">
        <f t="shared" si="2793"/>
        <v>X</v>
      </c>
      <c r="H12454" s="1" t="str">
        <f t="shared" si="2793"/>
        <v>X</v>
      </c>
      <c r="I12454" s="1" t="str">
        <f t="shared" si="2793"/>
        <v>X</v>
      </c>
      <c r="J12454" s="1" t="str">
        <f t="shared" si="2793"/>
        <v>X</v>
      </c>
      <c r="K12454" s="1" t="str">
        <f t="shared" si="2793"/>
        <v>X</v>
      </c>
      <c r="L12454" s="1" t="str">
        <f t="shared" si="2793"/>
        <v>X</v>
      </c>
      <c r="M12454" s="1" t="str">
        <f t="shared" si="2793"/>
        <v>X</v>
      </c>
      <c r="N12454" t="s">
        <v>27</v>
      </c>
    </row>
    <row r="12455" spans="1:14" x14ac:dyDescent="0.25">
      <c r="A12455" t="s">
        <v>44</v>
      </c>
      <c r="B12455" t="s">
        <v>40</v>
      </c>
      <c r="C12455" t="s">
        <v>35</v>
      </c>
      <c r="D12455" t="s">
        <v>28</v>
      </c>
      <c r="E12455" t="s">
        <v>15</v>
      </c>
      <c r="F12455" t="s">
        <v>19</v>
      </c>
      <c r="G12455" s="1" t="str">
        <f t="shared" si="2793"/>
        <v>X</v>
      </c>
      <c r="H12455" s="1" t="str">
        <f t="shared" si="2793"/>
        <v>X</v>
      </c>
      <c r="I12455" s="1" t="str">
        <f t="shared" si="2793"/>
        <v>X</v>
      </c>
      <c r="J12455" s="1" t="str">
        <f t="shared" si="2793"/>
        <v>X</v>
      </c>
      <c r="K12455" s="1" t="str">
        <f t="shared" si="2793"/>
        <v>X</v>
      </c>
      <c r="L12455" s="1" t="str">
        <f t="shared" si="2793"/>
        <v>X</v>
      </c>
      <c r="M12455" s="1" t="str">
        <f t="shared" si="2793"/>
        <v>X</v>
      </c>
      <c r="N12455" t="s">
        <v>27</v>
      </c>
    </row>
    <row r="12456" spans="1:14" x14ac:dyDescent="0.25">
      <c r="A12456" t="s">
        <v>44</v>
      </c>
      <c r="B12456" t="s">
        <v>40</v>
      </c>
      <c r="C12456" t="s">
        <v>35</v>
      </c>
      <c r="D12456" t="s">
        <v>28</v>
      </c>
      <c r="E12456" t="s">
        <v>15</v>
      </c>
      <c r="F12456" t="s">
        <v>20</v>
      </c>
      <c r="G12456" s="2">
        <f>VALUE(997.12)</f>
        <v>997.12</v>
      </c>
      <c r="H12456" s="3">
        <f>VALUE(751.62)</f>
        <v>751.62</v>
      </c>
      <c r="I12456" s="4">
        <f>VALUE(3238)</f>
        <v>3238</v>
      </c>
      <c r="J12456" s="1">
        <f>VALUE(3567)</f>
        <v>3567</v>
      </c>
      <c r="K12456" s="1">
        <f>VALUE(4004)</f>
        <v>4004</v>
      </c>
      <c r="L12456" s="1">
        <f>VALUE(4553)</f>
        <v>4553</v>
      </c>
      <c r="M12456" s="1">
        <f>VALUE(5176)</f>
        <v>5176</v>
      </c>
      <c r="N12456" t="s">
        <v>25</v>
      </c>
    </row>
    <row r="12457" spans="1:14" x14ac:dyDescent="0.25">
      <c r="A12457" t="s">
        <v>44</v>
      </c>
      <c r="B12457" t="s">
        <v>40</v>
      </c>
      <c r="C12457" t="s">
        <v>35</v>
      </c>
      <c r="D12457" t="s">
        <v>28</v>
      </c>
      <c r="E12457" t="s">
        <v>21</v>
      </c>
      <c r="F12457" t="s">
        <v>15</v>
      </c>
      <c r="G12457" s="1" t="str">
        <f t="shared" ref="G12457:M12461" si="2794">"X"</f>
        <v>X</v>
      </c>
      <c r="H12457" s="1" t="str">
        <f t="shared" si="2794"/>
        <v>X</v>
      </c>
      <c r="I12457" s="1" t="str">
        <f t="shared" si="2794"/>
        <v>X</v>
      </c>
      <c r="J12457" s="1" t="str">
        <f t="shared" si="2794"/>
        <v>X</v>
      </c>
      <c r="K12457" s="1" t="str">
        <f t="shared" si="2794"/>
        <v>X</v>
      </c>
      <c r="L12457" s="1" t="str">
        <f t="shared" si="2794"/>
        <v>X</v>
      </c>
      <c r="M12457" s="1" t="str">
        <f t="shared" si="2794"/>
        <v>X</v>
      </c>
      <c r="N12457" t="s">
        <v>27</v>
      </c>
    </row>
    <row r="12458" spans="1:14" x14ac:dyDescent="0.25">
      <c r="A12458" t="s">
        <v>44</v>
      </c>
      <c r="B12458" t="s">
        <v>40</v>
      </c>
      <c r="C12458" t="s">
        <v>35</v>
      </c>
      <c r="D12458" t="s">
        <v>28</v>
      </c>
      <c r="E12458" t="s">
        <v>21</v>
      </c>
      <c r="F12458" t="s">
        <v>17</v>
      </c>
      <c r="G12458" s="1" t="str">
        <f t="shared" si="2794"/>
        <v>X</v>
      </c>
      <c r="H12458" s="1" t="str">
        <f t="shared" si="2794"/>
        <v>X</v>
      </c>
      <c r="I12458" s="1" t="str">
        <f t="shared" si="2794"/>
        <v>X</v>
      </c>
      <c r="J12458" s="1" t="str">
        <f t="shared" si="2794"/>
        <v>X</v>
      </c>
      <c r="K12458" s="1" t="str">
        <f t="shared" si="2794"/>
        <v>X</v>
      </c>
      <c r="L12458" s="1" t="str">
        <f t="shared" si="2794"/>
        <v>X</v>
      </c>
      <c r="M12458" s="1" t="str">
        <f t="shared" si="2794"/>
        <v>X</v>
      </c>
      <c r="N12458" t="s">
        <v>27</v>
      </c>
    </row>
    <row r="12459" spans="1:14" x14ac:dyDescent="0.25">
      <c r="A12459" t="s">
        <v>44</v>
      </c>
      <c r="B12459" t="s">
        <v>40</v>
      </c>
      <c r="C12459" t="s">
        <v>35</v>
      </c>
      <c r="D12459" t="s">
        <v>28</v>
      </c>
      <c r="E12459" t="s">
        <v>21</v>
      </c>
      <c r="F12459" t="s">
        <v>18</v>
      </c>
      <c r="G12459" s="1" t="str">
        <f t="shared" si="2794"/>
        <v>X</v>
      </c>
      <c r="H12459" s="1" t="str">
        <f t="shared" si="2794"/>
        <v>X</v>
      </c>
      <c r="I12459" s="1" t="str">
        <f t="shared" si="2794"/>
        <v>X</v>
      </c>
      <c r="J12459" s="1" t="str">
        <f t="shared" si="2794"/>
        <v>X</v>
      </c>
      <c r="K12459" s="1" t="str">
        <f t="shared" si="2794"/>
        <v>X</v>
      </c>
      <c r="L12459" s="1" t="str">
        <f t="shared" si="2794"/>
        <v>X</v>
      </c>
      <c r="M12459" s="1" t="str">
        <f t="shared" si="2794"/>
        <v>X</v>
      </c>
      <c r="N12459" t="s">
        <v>27</v>
      </c>
    </row>
    <row r="12460" spans="1:14" x14ac:dyDescent="0.25">
      <c r="A12460" t="s">
        <v>44</v>
      </c>
      <c r="B12460" t="s">
        <v>40</v>
      </c>
      <c r="C12460" t="s">
        <v>35</v>
      </c>
      <c r="D12460" t="s">
        <v>28</v>
      </c>
      <c r="E12460" t="s">
        <v>21</v>
      </c>
      <c r="F12460" t="s">
        <v>19</v>
      </c>
      <c r="G12460" s="1" t="str">
        <f t="shared" si="2794"/>
        <v>X</v>
      </c>
      <c r="H12460" s="1" t="str">
        <f t="shared" si="2794"/>
        <v>X</v>
      </c>
      <c r="I12460" s="1" t="str">
        <f t="shared" si="2794"/>
        <v>X</v>
      </c>
      <c r="J12460" s="1" t="str">
        <f t="shared" si="2794"/>
        <v>X</v>
      </c>
      <c r="K12460" s="1" t="str">
        <f t="shared" si="2794"/>
        <v>X</v>
      </c>
      <c r="L12460" s="1" t="str">
        <f t="shared" si="2794"/>
        <v>X</v>
      </c>
      <c r="M12460" s="1" t="str">
        <f t="shared" si="2794"/>
        <v>X</v>
      </c>
      <c r="N12460" t="s">
        <v>27</v>
      </c>
    </row>
    <row r="12461" spans="1:14" x14ac:dyDescent="0.25">
      <c r="A12461" t="s">
        <v>44</v>
      </c>
      <c r="B12461" t="s">
        <v>40</v>
      </c>
      <c r="C12461" t="s">
        <v>35</v>
      </c>
      <c r="D12461" t="s">
        <v>28</v>
      </c>
      <c r="E12461" t="s">
        <v>21</v>
      </c>
      <c r="F12461" t="s">
        <v>20</v>
      </c>
      <c r="G12461" s="1" t="str">
        <f t="shared" si="2794"/>
        <v>X</v>
      </c>
      <c r="H12461" s="1" t="str">
        <f t="shared" si="2794"/>
        <v>X</v>
      </c>
      <c r="I12461" s="1" t="str">
        <f t="shared" si="2794"/>
        <v>X</v>
      </c>
      <c r="J12461" s="1" t="str">
        <f t="shared" si="2794"/>
        <v>X</v>
      </c>
      <c r="K12461" s="1" t="str">
        <f t="shared" si="2794"/>
        <v>X</v>
      </c>
      <c r="L12461" s="1" t="str">
        <f t="shared" si="2794"/>
        <v>X</v>
      </c>
      <c r="M12461" s="1" t="str">
        <f t="shared" si="2794"/>
        <v>X</v>
      </c>
      <c r="N12461" t="s">
        <v>27</v>
      </c>
    </row>
    <row r="12462" spans="1:14" x14ac:dyDescent="0.25">
      <c r="A12462" t="s">
        <v>44</v>
      </c>
      <c r="B12462" t="s">
        <v>40</v>
      </c>
      <c r="C12462" t="s">
        <v>35</v>
      </c>
      <c r="D12462" t="s">
        <v>28</v>
      </c>
      <c r="E12462" t="s">
        <v>22</v>
      </c>
      <c r="F12462" t="s">
        <v>15</v>
      </c>
      <c r="G12462" s="2">
        <f>VALUE(944.22)</f>
        <v>944.22</v>
      </c>
      <c r="H12462" s="3">
        <f>VALUE(772.82)</f>
        <v>772.82</v>
      </c>
      <c r="I12462" s="1">
        <f>VALUE(3364)</f>
        <v>3364</v>
      </c>
      <c r="J12462" s="1">
        <f>VALUE(3587)</f>
        <v>3587</v>
      </c>
      <c r="K12462" s="1">
        <f>VALUE(4043)</f>
        <v>4043</v>
      </c>
      <c r="L12462" s="1">
        <f>VALUE(4446)</f>
        <v>4446</v>
      </c>
      <c r="M12462" s="1">
        <f>VALUE(5000)</f>
        <v>5000</v>
      </c>
      <c r="N12462" t="s">
        <v>25</v>
      </c>
    </row>
    <row r="12463" spans="1:14" x14ac:dyDescent="0.25">
      <c r="A12463" t="s">
        <v>44</v>
      </c>
      <c r="B12463" t="s">
        <v>40</v>
      </c>
      <c r="C12463" t="s">
        <v>35</v>
      </c>
      <c r="D12463" t="s">
        <v>28</v>
      </c>
      <c r="E12463" t="s">
        <v>22</v>
      </c>
      <c r="F12463" t="s">
        <v>17</v>
      </c>
      <c r="G12463" s="1" t="str">
        <f t="shared" ref="G12463:M12463" si="2795">"..."</f>
        <v>...</v>
      </c>
      <c r="H12463" s="1" t="str">
        <f t="shared" si="2795"/>
        <v>...</v>
      </c>
      <c r="I12463" s="1" t="str">
        <f t="shared" si="2795"/>
        <v>...</v>
      </c>
      <c r="J12463" s="1" t="str">
        <f t="shared" si="2795"/>
        <v>...</v>
      </c>
      <c r="K12463" s="1" t="str">
        <f t="shared" si="2795"/>
        <v>...</v>
      </c>
      <c r="L12463" s="1" t="str">
        <f t="shared" si="2795"/>
        <v>...</v>
      </c>
      <c r="M12463" s="1" t="str">
        <f t="shared" si="2795"/>
        <v>...</v>
      </c>
      <c r="N12463" t="s">
        <v>30</v>
      </c>
    </row>
    <row r="12464" spans="1:14" x14ac:dyDescent="0.25">
      <c r="A12464" t="s">
        <v>44</v>
      </c>
      <c r="B12464" t="s">
        <v>40</v>
      </c>
      <c r="C12464" t="s">
        <v>35</v>
      </c>
      <c r="D12464" t="s">
        <v>28</v>
      </c>
      <c r="E12464" t="s">
        <v>22</v>
      </c>
      <c r="F12464" t="s">
        <v>18</v>
      </c>
      <c r="G12464" s="1" t="str">
        <f t="shared" ref="G12464:M12465" si="2796">"X"</f>
        <v>X</v>
      </c>
      <c r="H12464" s="1" t="str">
        <f t="shared" si="2796"/>
        <v>X</v>
      </c>
      <c r="I12464" s="1" t="str">
        <f t="shared" si="2796"/>
        <v>X</v>
      </c>
      <c r="J12464" s="1" t="str">
        <f t="shared" si="2796"/>
        <v>X</v>
      </c>
      <c r="K12464" s="1" t="str">
        <f t="shared" si="2796"/>
        <v>X</v>
      </c>
      <c r="L12464" s="1" t="str">
        <f t="shared" si="2796"/>
        <v>X</v>
      </c>
      <c r="M12464" s="1" t="str">
        <f t="shared" si="2796"/>
        <v>X</v>
      </c>
      <c r="N12464" t="s">
        <v>27</v>
      </c>
    </row>
    <row r="12465" spans="1:14" x14ac:dyDescent="0.25">
      <c r="A12465" t="s">
        <v>44</v>
      </c>
      <c r="B12465" t="s">
        <v>40</v>
      </c>
      <c r="C12465" t="s">
        <v>35</v>
      </c>
      <c r="D12465" t="s">
        <v>28</v>
      </c>
      <c r="E12465" t="s">
        <v>22</v>
      </c>
      <c r="F12465" t="s">
        <v>19</v>
      </c>
      <c r="G12465" s="1" t="str">
        <f t="shared" si="2796"/>
        <v>X</v>
      </c>
      <c r="H12465" s="1" t="str">
        <f t="shared" si="2796"/>
        <v>X</v>
      </c>
      <c r="I12465" s="1" t="str">
        <f t="shared" si="2796"/>
        <v>X</v>
      </c>
      <c r="J12465" s="1" t="str">
        <f t="shared" si="2796"/>
        <v>X</v>
      </c>
      <c r="K12465" s="1" t="str">
        <f t="shared" si="2796"/>
        <v>X</v>
      </c>
      <c r="L12465" s="1" t="str">
        <f t="shared" si="2796"/>
        <v>X</v>
      </c>
      <c r="M12465" s="1" t="str">
        <f t="shared" si="2796"/>
        <v>X</v>
      </c>
      <c r="N12465" t="s">
        <v>27</v>
      </c>
    </row>
    <row r="12466" spans="1:14" x14ac:dyDescent="0.25">
      <c r="A12466" t="s">
        <v>44</v>
      </c>
      <c r="B12466" t="s">
        <v>40</v>
      </c>
      <c r="C12466" t="s">
        <v>35</v>
      </c>
      <c r="D12466" t="s">
        <v>28</v>
      </c>
      <c r="E12466" t="s">
        <v>22</v>
      </c>
      <c r="F12466" t="s">
        <v>20</v>
      </c>
      <c r="G12466" s="2">
        <f>VALUE(784.55)</f>
        <v>784.55</v>
      </c>
      <c r="H12466" s="3">
        <f>VALUE(636.63)</f>
        <v>636.63</v>
      </c>
      <c r="I12466" s="1">
        <f>VALUE(3333)</f>
        <v>3333</v>
      </c>
      <c r="J12466" s="1">
        <f>VALUE(3567)</f>
        <v>3567</v>
      </c>
      <c r="K12466" s="1">
        <f>VALUE(3919)</f>
        <v>3919</v>
      </c>
      <c r="L12466" s="1">
        <f>VALUE(4446)</f>
        <v>4446</v>
      </c>
      <c r="M12466" s="1">
        <f>VALUE(5001)</f>
        <v>5001</v>
      </c>
      <c r="N12466" t="s">
        <v>25</v>
      </c>
    </row>
    <row r="12467" spans="1:14" x14ac:dyDescent="0.25">
      <c r="A12467" t="s">
        <v>44</v>
      </c>
      <c r="B12467" t="s">
        <v>40</v>
      </c>
      <c r="C12467" t="s">
        <v>35</v>
      </c>
      <c r="D12467" t="s">
        <v>28</v>
      </c>
      <c r="E12467" t="s">
        <v>23</v>
      </c>
      <c r="F12467" t="s">
        <v>15</v>
      </c>
      <c r="G12467" s="1" t="str">
        <f t="shared" ref="G12467:M12467" si="2797">"X"</f>
        <v>X</v>
      </c>
      <c r="H12467" s="1" t="str">
        <f t="shared" si="2797"/>
        <v>X</v>
      </c>
      <c r="I12467" s="1" t="str">
        <f t="shared" si="2797"/>
        <v>X</v>
      </c>
      <c r="J12467" s="1" t="str">
        <f t="shared" si="2797"/>
        <v>X</v>
      </c>
      <c r="K12467" s="1" t="str">
        <f t="shared" si="2797"/>
        <v>X</v>
      </c>
      <c r="L12467" s="1" t="str">
        <f t="shared" si="2797"/>
        <v>X</v>
      </c>
      <c r="M12467" s="1" t="str">
        <f t="shared" si="2797"/>
        <v>X</v>
      </c>
      <c r="N12467" t="s">
        <v>27</v>
      </c>
    </row>
    <row r="12468" spans="1:14" x14ac:dyDescent="0.25">
      <c r="A12468" t="s">
        <v>44</v>
      </c>
      <c r="B12468" t="s">
        <v>40</v>
      </c>
      <c r="C12468" t="s">
        <v>35</v>
      </c>
      <c r="D12468" t="s">
        <v>28</v>
      </c>
      <c r="E12468" t="s">
        <v>23</v>
      </c>
      <c r="F12468" t="s">
        <v>17</v>
      </c>
      <c r="G12468" s="1" t="str">
        <f t="shared" ref="G12468:M12468" si="2798">"..."</f>
        <v>...</v>
      </c>
      <c r="H12468" s="1" t="str">
        <f t="shared" si="2798"/>
        <v>...</v>
      </c>
      <c r="I12468" s="1" t="str">
        <f t="shared" si="2798"/>
        <v>...</v>
      </c>
      <c r="J12468" s="1" t="str">
        <f t="shared" si="2798"/>
        <v>...</v>
      </c>
      <c r="K12468" s="1" t="str">
        <f t="shared" si="2798"/>
        <v>...</v>
      </c>
      <c r="L12468" s="1" t="str">
        <f t="shared" si="2798"/>
        <v>...</v>
      </c>
      <c r="M12468" s="1" t="str">
        <f t="shared" si="2798"/>
        <v>...</v>
      </c>
      <c r="N12468" t="s">
        <v>30</v>
      </c>
    </row>
    <row r="12469" spans="1:14" x14ac:dyDescent="0.25">
      <c r="A12469" t="s">
        <v>44</v>
      </c>
      <c r="B12469" t="s">
        <v>40</v>
      </c>
      <c r="C12469" t="s">
        <v>35</v>
      </c>
      <c r="D12469" t="s">
        <v>28</v>
      </c>
      <c r="E12469" t="s">
        <v>23</v>
      </c>
      <c r="F12469" t="s">
        <v>18</v>
      </c>
      <c r="G12469" s="1" t="str">
        <f t="shared" ref="G12469:M12472" si="2799">"X"</f>
        <v>X</v>
      </c>
      <c r="H12469" s="1" t="str">
        <f t="shared" si="2799"/>
        <v>X</v>
      </c>
      <c r="I12469" s="1" t="str">
        <f t="shared" si="2799"/>
        <v>X</v>
      </c>
      <c r="J12469" s="1" t="str">
        <f t="shared" si="2799"/>
        <v>X</v>
      </c>
      <c r="K12469" s="1" t="str">
        <f t="shared" si="2799"/>
        <v>X</v>
      </c>
      <c r="L12469" s="1" t="str">
        <f t="shared" si="2799"/>
        <v>X</v>
      </c>
      <c r="M12469" s="1" t="str">
        <f t="shared" si="2799"/>
        <v>X</v>
      </c>
      <c r="N12469" t="s">
        <v>27</v>
      </c>
    </row>
    <row r="12470" spans="1:14" x14ac:dyDescent="0.25">
      <c r="A12470" t="s">
        <v>44</v>
      </c>
      <c r="B12470" t="s">
        <v>40</v>
      </c>
      <c r="C12470" t="s">
        <v>35</v>
      </c>
      <c r="D12470" t="s">
        <v>28</v>
      </c>
      <c r="E12470" t="s">
        <v>23</v>
      </c>
      <c r="F12470" t="s">
        <v>19</v>
      </c>
      <c r="G12470" s="1" t="str">
        <f t="shared" si="2799"/>
        <v>X</v>
      </c>
      <c r="H12470" s="1" t="str">
        <f t="shared" si="2799"/>
        <v>X</v>
      </c>
      <c r="I12470" s="1" t="str">
        <f t="shared" si="2799"/>
        <v>X</v>
      </c>
      <c r="J12470" s="1" t="str">
        <f t="shared" si="2799"/>
        <v>X</v>
      </c>
      <c r="K12470" s="1" t="str">
        <f t="shared" si="2799"/>
        <v>X</v>
      </c>
      <c r="L12470" s="1" t="str">
        <f t="shared" si="2799"/>
        <v>X</v>
      </c>
      <c r="M12470" s="1" t="str">
        <f t="shared" si="2799"/>
        <v>X</v>
      </c>
      <c r="N12470" t="s">
        <v>27</v>
      </c>
    </row>
    <row r="12471" spans="1:14" x14ac:dyDescent="0.25">
      <c r="A12471" t="s">
        <v>44</v>
      </c>
      <c r="B12471" t="s">
        <v>40</v>
      </c>
      <c r="C12471" t="s">
        <v>35</v>
      </c>
      <c r="D12471" t="s">
        <v>28</v>
      </c>
      <c r="E12471" t="s">
        <v>23</v>
      </c>
      <c r="F12471" t="s">
        <v>20</v>
      </c>
      <c r="G12471" s="1" t="str">
        <f t="shared" si="2799"/>
        <v>X</v>
      </c>
      <c r="H12471" s="1" t="str">
        <f t="shared" si="2799"/>
        <v>X</v>
      </c>
      <c r="I12471" s="1" t="str">
        <f t="shared" si="2799"/>
        <v>X</v>
      </c>
      <c r="J12471" s="1" t="str">
        <f t="shared" si="2799"/>
        <v>X</v>
      </c>
      <c r="K12471" s="1" t="str">
        <f t="shared" si="2799"/>
        <v>X</v>
      </c>
      <c r="L12471" s="1" t="str">
        <f t="shared" si="2799"/>
        <v>X</v>
      </c>
      <c r="M12471" s="1" t="str">
        <f t="shared" si="2799"/>
        <v>X</v>
      </c>
      <c r="N12471" t="s">
        <v>27</v>
      </c>
    </row>
    <row r="12472" spans="1:14" x14ac:dyDescent="0.25">
      <c r="A12472" t="s">
        <v>44</v>
      </c>
      <c r="B12472" t="s">
        <v>40</v>
      </c>
      <c r="C12472" t="s">
        <v>35</v>
      </c>
      <c r="D12472" t="s">
        <v>28</v>
      </c>
      <c r="E12472" t="s">
        <v>26</v>
      </c>
      <c r="F12472" t="s">
        <v>15</v>
      </c>
      <c r="G12472" s="1" t="str">
        <f t="shared" si="2799"/>
        <v>X</v>
      </c>
      <c r="H12472" s="1" t="str">
        <f t="shared" si="2799"/>
        <v>X</v>
      </c>
      <c r="I12472" s="1" t="str">
        <f t="shared" si="2799"/>
        <v>X</v>
      </c>
      <c r="J12472" s="1" t="str">
        <f t="shared" si="2799"/>
        <v>X</v>
      </c>
      <c r="K12472" s="1" t="str">
        <f t="shared" si="2799"/>
        <v>X</v>
      </c>
      <c r="L12472" s="1" t="str">
        <f t="shared" si="2799"/>
        <v>X</v>
      </c>
      <c r="M12472" s="1" t="str">
        <f t="shared" si="2799"/>
        <v>X</v>
      </c>
      <c r="N12472" t="s">
        <v>27</v>
      </c>
    </row>
    <row r="12473" spans="1:14" x14ac:dyDescent="0.25">
      <c r="A12473" t="s">
        <v>44</v>
      </c>
      <c r="B12473" t="s">
        <v>40</v>
      </c>
      <c r="C12473" t="s">
        <v>35</v>
      </c>
      <c r="D12473" t="s">
        <v>28</v>
      </c>
      <c r="E12473" t="s">
        <v>26</v>
      </c>
      <c r="F12473" t="s">
        <v>17</v>
      </c>
      <c r="G12473" s="1" t="str">
        <f t="shared" ref="G12473:M12473" si="2800">"..."</f>
        <v>...</v>
      </c>
      <c r="H12473" s="1" t="str">
        <f t="shared" si="2800"/>
        <v>...</v>
      </c>
      <c r="I12473" s="1" t="str">
        <f t="shared" si="2800"/>
        <v>...</v>
      </c>
      <c r="J12473" s="1" t="str">
        <f t="shared" si="2800"/>
        <v>...</v>
      </c>
      <c r="K12473" s="1" t="str">
        <f t="shared" si="2800"/>
        <v>...</v>
      </c>
      <c r="L12473" s="1" t="str">
        <f t="shared" si="2800"/>
        <v>...</v>
      </c>
      <c r="M12473" s="1" t="str">
        <f t="shared" si="2800"/>
        <v>...</v>
      </c>
      <c r="N12473" t="s">
        <v>30</v>
      </c>
    </row>
    <row r="12474" spans="1:14" x14ac:dyDescent="0.25">
      <c r="A12474" t="s">
        <v>44</v>
      </c>
      <c r="B12474" t="s">
        <v>40</v>
      </c>
      <c r="C12474" t="s">
        <v>35</v>
      </c>
      <c r="D12474" t="s">
        <v>28</v>
      </c>
      <c r="E12474" t="s">
        <v>26</v>
      </c>
      <c r="F12474" t="s">
        <v>18</v>
      </c>
      <c r="G12474" s="1" t="str">
        <f t="shared" ref="G12474:M12474" si="2801">"X"</f>
        <v>X</v>
      </c>
      <c r="H12474" s="1" t="str">
        <f t="shared" si="2801"/>
        <v>X</v>
      </c>
      <c r="I12474" s="1" t="str">
        <f t="shared" si="2801"/>
        <v>X</v>
      </c>
      <c r="J12474" s="1" t="str">
        <f t="shared" si="2801"/>
        <v>X</v>
      </c>
      <c r="K12474" s="1" t="str">
        <f t="shared" si="2801"/>
        <v>X</v>
      </c>
      <c r="L12474" s="1" t="str">
        <f t="shared" si="2801"/>
        <v>X</v>
      </c>
      <c r="M12474" s="1" t="str">
        <f t="shared" si="2801"/>
        <v>X</v>
      </c>
      <c r="N12474" t="s">
        <v>27</v>
      </c>
    </row>
    <row r="12475" spans="1:14" x14ac:dyDescent="0.25">
      <c r="A12475" t="s">
        <v>44</v>
      </c>
      <c r="B12475" t="s">
        <v>40</v>
      </c>
      <c r="C12475" t="s">
        <v>35</v>
      </c>
      <c r="D12475" t="s">
        <v>28</v>
      </c>
      <c r="E12475" t="s">
        <v>26</v>
      </c>
      <c r="F12475" t="s">
        <v>19</v>
      </c>
      <c r="G12475" s="1" t="str">
        <f t="shared" ref="G12475:M12475" si="2802">"..."</f>
        <v>...</v>
      </c>
      <c r="H12475" s="1" t="str">
        <f t="shared" si="2802"/>
        <v>...</v>
      </c>
      <c r="I12475" s="1" t="str">
        <f t="shared" si="2802"/>
        <v>...</v>
      </c>
      <c r="J12475" s="1" t="str">
        <f t="shared" si="2802"/>
        <v>...</v>
      </c>
      <c r="K12475" s="1" t="str">
        <f t="shared" si="2802"/>
        <v>...</v>
      </c>
      <c r="L12475" s="1" t="str">
        <f t="shared" si="2802"/>
        <v>...</v>
      </c>
      <c r="M12475" s="1" t="str">
        <f t="shared" si="2802"/>
        <v>...</v>
      </c>
      <c r="N12475" t="s">
        <v>30</v>
      </c>
    </row>
    <row r="12476" spans="1:14" x14ac:dyDescent="0.25">
      <c r="A12476" t="s">
        <v>44</v>
      </c>
      <c r="B12476" t="s">
        <v>40</v>
      </c>
      <c r="C12476" t="s">
        <v>35</v>
      </c>
      <c r="D12476" t="s">
        <v>28</v>
      </c>
      <c r="E12476" t="s">
        <v>26</v>
      </c>
      <c r="F12476" t="s">
        <v>20</v>
      </c>
      <c r="G12476" s="1" t="str">
        <f t="shared" ref="G12476:M12477" si="2803">"X"</f>
        <v>X</v>
      </c>
      <c r="H12476" s="1" t="str">
        <f t="shared" si="2803"/>
        <v>X</v>
      </c>
      <c r="I12476" s="1" t="str">
        <f t="shared" si="2803"/>
        <v>X</v>
      </c>
      <c r="J12476" s="1" t="str">
        <f t="shared" si="2803"/>
        <v>X</v>
      </c>
      <c r="K12476" s="1" t="str">
        <f t="shared" si="2803"/>
        <v>X</v>
      </c>
      <c r="L12476" s="1" t="str">
        <f t="shared" si="2803"/>
        <v>X</v>
      </c>
      <c r="M12476" s="1" t="str">
        <f t="shared" si="2803"/>
        <v>X</v>
      </c>
      <c r="N12476" t="s">
        <v>27</v>
      </c>
    </row>
    <row r="12477" spans="1:14" x14ac:dyDescent="0.25">
      <c r="A12477" t="s">
        <v>44</v>
      </c>
      <c r="B12477" t="s">
        <v>40</v>
      </c>
      <c r="C12477" t="s">
        <v>35</v>
      </c>
      <c r="D12477" t="s">
        <v>29</v>
      </c>
      <c r="E12477" t="s">
        <v>15</v>
      </c>
      <c r="F12477" t="s">
        <v>15</v>
      </c>
      <c r="G12477" s="1" t="str">
        <f t="shared" si="2803"/>
        <v>X</v>
      </c>
      <c r="H12477" s="1" t="str">
        <f t="shared" si="2803"/>
        <v>X</v>
      </c>
      <c r="I12477" s="1" t="str">
        <f t="shared" si="2803"/>
        <v>X</v>
      </c>
      <c r="J12477" s="1" t="str">
        <f t="shared" si="2803"/>
        <v>X</v>
      </c>
      <c r="K12477" s="1" t="str">
        <f t="shared" si="2803"/>
        <v>X</v>
      </c>
      <c r="L12477" s="1" t="str">
        <f t="shared" si="2803"/>
        <v>X</v>
      </c>
      <c r="M12477" s="1" t="str">
        <f t="shared" si="2803"/>
        <v>X</v>
      </c>
      <c r="N12477" t="s">
        <v>27</v>
      </c>
    </row>
    <row r="12478" spans="1:14" x14ac:dyDescent="0.25">
      <c r="A12478" t="s">
        <v>44</v>
      </c>
      <c r="B12478" t="s">
        <v>40</v>
      </c>
      <c r="C12478" t="s">
        <v>35</v>
      </c>
      <c r="D12478" t="s">
        <v>29</v>
      </c>
      <c r="E12478" t="s">
        <v>15</v>
      </c>
      <c r="F12478" t="s">
        <v>17</v>
      </c>
      <c r="G12478" s="1" t="str">
        <f t="shared" ref="G12478:M12478" si="2804">"..."</f>
        <v>...</v>
      </c>
      <c r="H12478" s="1" t="str">
        <f t="shared" si="2804"/>
        <v>...</v>
      </c>
      <c r="I12478" s="1" t="str">
        <f t="shared" si="2804"/>
        <v>...</v>
      </c>
      <c r="J12478" s="1" t="str">
        <f t="shared" si="2804"/>
        <v>...</v>
      </c>
      <c r="K12478" s="1" t="str">
        <f t="shared" si="2804"/>
        <v>...</v>
      </c>
      <c r="L12478" s="1" t="str">
        <f t="shared" si="2804"/>
        <v>...</v>
      </c>
      <c r="M12478" s="1" t="str">
        <f t="shared" si="2804"/>
        <v>...</v>
      </c>
      <c r="N12478" t="s">
        <v>30</v>
      </c>
    </row>
    <row r="12479" spans="1:14" x14ac:dyDescent="0.25">
      <c r="A12479" t="s">
        <v>44</v>
      </c>
      <c r="B12479" t="s">
        <v>40</v>
      </c>
      <c r="C12479" t="s">
        <v>35</v>
      </c>
      <c r="D12479" t="s">
        <v>29</v>
      </c>
      <c r="E12479" t="s">
        <v>15</v>
      </c>
      <c r="F12479" t="s">
        <v>18</v>
      </c>
      <c r="G12479" s="1" t="str">
        <f t="shared" ref="G12479:M12482" si="2805">"X"</f>
        <v>X</v>
      </c>
      <c r="H12479" s="1" t="str">
        <f t="shared" si="2805"/>
        <v>X</v>
      </c>
      <c r="I12479" s="1" t="str">
        <f t="shared" si="2805"/>
        <v>X</v>
      </c>
      <c r="J12479" s="1" t="str">
        <f t="shared" si="2805"/>
        <v>X</v>
      </c>
      <c r="K12479" s="1" t="str">
        <f t="shared" si="2805"/>
        <v>X</v>
      </c>
      <c r="L12479" s="1" t="str">
        <f t="shared" si="2805"/>
        <v>X</v>
      </c>
      <c r="M12479" s="1" t="str">
        <f t="shared" si="2805"/>
        <v>X</v>
      </c>
      <c r="N12479" t="s">
        <v>27</v>
      </c>
    </row>
    <row r="12480" spans="1:14" x14ac:dyDescent="0.25">
      <c r="A12480" t="s">
        <v>44</v>
      </c>
      <c r="B12480" t="s">
        <v>40</v>
      </c>
      <c r="C12480" t="s">
        <v>35</v>
      </c>
      <c r="D12480" t="s">
        <v>29</v>
      </c>
      <c r="E12480" t="s">
        <v>15</v>
      </c>
      <c r="F12480" t="s">
        <v>19</v>
      </c>
      <c r="G12480" s="1" t="str">
        <f t="shared" si="2805"/>
        <v>X</v>
      </c>
      <c r="H12480" s="1" t="str">
        <f t="shared" si="2805"/>
        <v>X</v>
      </c>
      <c r="I12480" s="1" t="str">
        <f t="shared" si="2805"/>
        <v>X</v>
      </c>
      <c r="J12480" s="1" t="str">
        <f t="shared" si="2805"/>
        <v>X</v>
      </c>
      <c r="K12480" s="1" t="str">
        <f t="shared" si="2805"/>
        <v>X</v>
      </c>
      <c r="L12480" s="1" t="str">
        <f t="shared" si="2805"/>
        <v>X</v>
      </c>
      <c r="M12480" s="1" t="str">
        <f t="shared" si="2805"/>
        <v>X</v>
      </c>
      <c r="N12480" t="s">
        <v>27</v>
      </c>
    </row>
    <row r="12481" spans="1:14" x14ac:dyDescent="0.25">
      <c r="A12481" t="s">
        <v>44</v>
      </c>
      <c r="B12481" t="s">
        <v>40</v>
      </c>
      <c r="C12481" t="s">
        <v>35</v>
      </c>
      <c r="D12481" t="s">
        <v>29</v>
      </c>
      <c r="E12481" t="s">
        <v>15</v>
      </c>
      <c r="F12481" t="s">
        <v>20</v>
      </c>
      <c r="G12481" s="1" t="str">
        <f t="shared" si="2805"/>
        <v>X</v>
      </c>
      <c r="H12481" s="1" t="str">
        <f t="shared" si="2805"/>
        <v>X</v>
      </c>
      <c r="I12481" s="1" t="str">
        <f t="shared" si="2805"/>
        <v>X</v>
      </c>
      <c r="J12481" s="1" t="str">
        <f t="shared" si="2805"/>
        <v>X</v>
      </c>
      <c r="K12481" s="1" t="str">
        <f t="shared" si="2805"/>
        <v>X</v>
      </c>
      <c r="L12481" s="1" t="str">
        <f t="shared" si="2805"/>
        <v>X</v>
      </c>
      <c r="M12481" s="1" t="str">
        <f t="shared" si="2805"/>
        <v>X</v>
      </c>
      <c r="N12481" t="s">
        <v>27</v>
      </c>
    </row>
    <row r="12482" spans="1:14" x14ac:dyDescent="0.25">
      <c r="A12482" t="s">
        <v>44</v>
      </c>
      <c r="B12482" t="s">
        <v>40</v>
      </c>
      <c r="C12482" t="s">
        <v>35</v>
      </c>
      <c r="D12482" t="s">
        <v>29</v>
      </c>
      <c r="E12482" t="s">
        <v>21</v>
      </c>
      <c r="F12482" t="s">
        <v>15</v>
      </c>
      <c r="G12482" s="1" t="str">
        <f t="shared" si="2805"/>
        <v>X</v>
      </c>
      <c r="H12482" s="1" t="str">
        <f t="shared" si="2805"/>
        <v>X</v>
      </c>
      <c r="I12482" s="1" t="str">
        <f t="shared" si="2805"/>
        <v>X</v>
      </c>
      <c r="J12482" s="1" t="str">
        <f t="shared" si="2805"/>
        <v>X</v>
      </c>
      <c r="K12482" s="1" t="str">
        <f t="shared" si="2805"/>
        <v>X</v>
      </c>
      <c r="L12482" s="1" t="str">
        <f t="shared" si="2805"/>
        <v>X</v>
      </c>
      <c r="M12482" s="1" t="str">
        <f t="shared" si="2805"/>
        <v>X</v>
      </c>
      <c r="N12482" t="s">
        <v>27</v>
      </c>
    </row>
    <row r="12483" spans="1:14" x14ac:dyDescent="0.25">
      <c r="A12483" t="s">
        <v>44</v>
      </c>
      <c r="B12483" t="s">
        <v>40</v>
      </c>
      <c r="C12483" t="s">
        <v>35</v>
      </c>
      <c r="D12483" t="s">
        <v>29</v>
      </c>
      <c r="E12483" t="s">
        <v>21</v>
      </c>
      <c r="F12483" t="s">
        <v>17</v>
      </c>
      <c r="G12483" s="1" t="str">
        <f t="shared" ref="G12483:M12484" si="2806">"..."</f>
        <v>...</v>
      </c>
      <c r="H12483" s="1" t="str">
        <f t="shared" si="2806"/>
        <v>...</v>
      </c>
      <c r="I12483" s="1" t="str">
        <f t="shared" si="2806"/>
        <v>...</v>
      </c>
      <c r="J12483" s="1" t="str">
        <f t="shared" si="2806"/>
        <v>...</v>
      </c>
      <c r="K12483" s="1" t="str">
        <f t="shared" si="2806"/>
        <v>...</v>
      </c>
      <c r="L12483" s="1" t="str">
        <f t="shared" si="2806"/>
        <v>...</v>
      </c>
      <c r="M12483" s="1" t="str">
        <f t="shared" si="2806"/>
        <v>...</v>
      </c>
      <c r="N12483" t="s">
        <v>30</v>
      </c>
    </row>
    <row r="12484" spans="1:14" x14ac:dyDescent="0.25">
      <c r="A12484" t="s">
        <v>44</v>
      </c>
      <c r="B12484" t="s">
        <v>40</v>
      </c>
      <c r="C12484" t="s">
        <v>35</v>
      </c>
      <c r="D12484" t="s">
        <v>29</v>
      </c>
      <c r="E12484" t="s">
        <v>21</v>
      </c>
      <c r="F12484" t="s">
        <v>18</v>
      </c>
      <c r="G12484" s="1" t="str">
        <f t="shared" si="2806"/>
        <v>...</v>
      </c>
      <c r="H12484" s="1" t="str">
        <f t="shared" si="2806"/>
        <v>...</v>
      </c>
      <c r="I12484" s="1" t="str">
        <f t="shared" si="2806"/>
        <v>...</v>
      </c>
      <c r="J12484" s="1" t="str">
        <f t="shared" si="2806"/>
        <v>...</v>
      </c>
      <c r="K12484" s="1" t="str">
        <f t="shared" si="2806"/>
        <v>...</v>
      </c>
      <c r="L12484" s="1" t="str">
        <f t="shared" si="2806"/>
        <v>...</v>
      </c>
      <c r="M12484" s="1" t="str">
        <f t="shared" si="2806"/>
        <v>...</v>
      </c>
      <c r="N12484" t="s">
        <v>30</v>
      </c>
    </row>
    <row r="12485" spans="1:14" x14ac:dyDescent="0.25">
      <c r="A12485" t="s">
        <v>44</v>
      </c>
      <c r="B12485" t="s">
        <v>40</v>
      </c>
      <c r="C12485" t="s">
        <v>35</v>
      </c>
      <c r="D12485" t="s">
        <v>29</v>
      </c>
      <c r="E12485" t="s">
        <v>21</v>
      </c>
      <c r="F12485" t="s">
        <v>19</v>
      </c>
      <c r="G12485" s="1" t="str">
        <f t="shared" ref="G12485:M12487" si="2807">"X"</f>
        <v>X</v>
      </c>
      <c r="H12485" s="1" t="str">
        <f t="shared" si="2807"/>
        <v>X</v>
      </c>
      <c r="I12485" s="1" t="str">
        <f t="shared" si="2807"/>
        <v>X</v>
      </c>
      <c r="J12485" s="1" t="str">
        <f t="shared" si="2807"/>
        <v>X</v>
      </c>
      <c r="K12485" s="1" t="str">
        <f t="shared" si="2807"/>
        <v>X</v>
      </c>
      <c r="L12485" s="1" t="str">
        <f t="shared" si="2807"/>
        <v>X</v>
      </c>
      <c r="M12485" s="1" t="str">
        <f t="shared" si="2807"/>
        <v>X</v>
      </c>
      <c r="N12485" t="s">
        <v>27</v>
      </c>
    </row>
    <row r="12486" spans="1:14" x14ac:dyDescent="0.25">
      <c r="A12486" t="s">
        <v>44</v>
      </c>
      <c r="B12486" t="s">
        <v>40</v>
      </c>
      <c r="C12486" t="s">
        <v>35</v>
      </c>
      <c r="D12486" t="s">
        <v>29</v>
      </c>
      <c r="E12486" t="s">
        <v>21</v>
      </c>
      <c r="F12486" t="s">
        <v>20</v>
      </c>
      <c r="G12486" s="1" t="str">
        <f t="shared" si="2807"/>
        <v>X</v>
      </c>
      <c r="H12486" s="1" t="str">
        <f t="shared" si="2807"/>
        <v>X</v>
      </c>
      <c r="I12486" s="1" t="str">
        <f t="shared" si="2807"/>
        <v>X</v>
      </c>
      <c r="J12486" s="1" t="str">
        <f t="shared" si="2807"/>
        <v>X</v>
      </c>
      <c r="K12486" s="1" t="str">
        <f t="shared" si="2807"/>
        <v>X</v>
      </c>
      <c r="L12486" s="1" t="str">
        <f t="shared" si="2807"/>
        <v>X</v>
      </c>
      <c r="M12486" s="1" t="str">
        <f t="shared" si="2807"/>
        <v>X</v>
      </c>
      <c r="N12486" t="s">
        <v>27</v>
      </c>
    </row>
    <row r="12487" spans="1:14" x14ac:dyDescent="0.25">
      <c r="A12487" t="s">
        <v>44</v>
      </c>
      <c r="B12487" t="s">
        <v>40</v>
      </c>
      <c r="C12487" t="s">
        <v>35</v>
      </c>
      <c r="D12487" t="s">
        <v>29</v>
      </c>
      <c r="E12487" t="s">
        <v>22</v>
      </c>
      <c r="F12487" t="s">
        <v>15</v>
      </c>
      <c r="G12487" s="1" t="str">
        <f t="shared" si="2807"/>
        <v>X</v>
      </c>
      <c r="H12487" s="1" t="str">
        <f t="shared" si="2807"/>
        <v>X</v>
      </c>
      <c r="I12487" s="1" t="str">
        <f t="shared" si="2807"/>
        <v>X</v>
      </c>
      <c r="J12487" s="1" t="str">
        <f t="shared" si="2807"/>
        <v>X</v>
      </c>
      <c r="K12487" s="1" t="str">
        <f t="shared" si="2807"/>
        <v>X</v>
      </c>
      <c r="L12487" s="1" t="str">
        <f t="shared" si="2807"/>
        <v>X</v>
      </c>
      <c r="M12487" s="1" t="str">
        <f t="shared" si="2807"/>
        <v>X</v>
      </c>
      <c r="N12487" t="s">
        <v>27</v>
      </c>
    </row>
    <row r="12488" spans="1:14" x14ac:dyDescent="0.25">
      <c r="A12488" t="s">
        <v>44</v>
      </c>
      <c r="B12488" t="s">
        <v>40</v>
      </c>
      <c r="C12488" t="s">
        <v>35</v>
      </c>
      <c r="D12488" t="s">
        <v>29</v>
      </c>
      <c r="E12488" t="s">
        <v>22</v>
      </c>
      <c r="F12488" t="s">
        <v>17</v>
      </c>
      <c r="G12488" s="1" t="str">
        <f t="shared" ref="G12488:M12488" si="2808">"..."</f>
        <v>...</v>
      </c>
      <c r="H12488" s="1" t="str">
        <f t="shared" si="2808"/>
        <v>...</v>
      </c>
      <c r="I12488" s="1" t="str">
        <f t="shared" si="2808"/>
        <v>...</v>
      </c>
      <c r="J12488" s="1" t="str">
        <f t="shared" si="2808"/>
        <v>...</v>
      </c>
      <c r="K12488" s="1" t="str">
        <f t="shared" si="2808"/>
        <v>...</v>
      </c>
      <c r="L12488" s="1" t="str">
        <f t="shared" si="2808"/>
        <v>...</v>
      </c>
      <c r="M12488" s="1" t="str">
        <f t="shared" si="2808"/>
        <v>...</v>
      </c>
      <c r="N12488" t="s">
        <v>30</v>
      </c>
    </row>
    <row r="12489" spans="1:14" x14ac:dyDescent="0.25">
      <c r="A12489" t="s">
        <v>44</v>
      </c>
      <c r="B12489" t="s">
        <v>40</v>
      </c>
      <c r="C12489" t="s">
        <v>35</v>
      </c>
      <c r="D12489" t="s">
        <v>29</v>
      </c>
      <c r="E12489" t="s">
        <v>22</v>
      </c>
      <c r="F12489" t="s">
        <v>18</v>
      </c>
      <c r="G12489" s="1" t="str">
        <f t="shared" ref="G12489:M12492" si="2809">"X"</f>
        <v>X</v>
      </c>
      <c r="H12489" s="1" t="str">
        <f t="shared" si="2809"/>
        <v>X</v>
      </c>
      <c r="I12489" s="1" t="str">
        <f t="shared" si="2809"/>
        <v>X</v>
      </c>
      <c r="J12489" s="1" t="str">
        <f t="shared" si="2809"/>
        <v>X</v>
      </c>
      <c r="K12489" s="1" t="str">
        <f t="shared" si="2809"/>
        <v>X</v>
      </c>
      <c r="L12489" s="1" t="str">
        <f t="shared" si="2809"/>
        <v>X</v>
      </c>
      <c r="M12489" s="1" t="str">
        <f t="shared" si="2809"/>
        <v>X</v>
      </c>
      <c r="N12489" t="s">
        <v>27</v>
      </c>
    </row>
    <row r="12490" spans="1:14" x14ac:dyDescent="0.25">
      <c r="A12490" t="s">
        <v>44</v>
      </c>
      <c r="B12490" t="s">
        <v>40</v>
      </c>
      <c r="C12490" t="s">
        <v>35</v>
      </c>
      <c r="D12490" t="s">
        <v>29</v>
      </c>
      <c r="E12490" t="s">
        <v>22</v>
      </c>
      <c r="F12490" t="s">
        <v>19</v>
      </c>
      <c r="G12490" s="1" t="str">
        <f t="shared" si="2809"/>
        <v>X</v>
      </c>
      <c r="H12490" s="1" t="str">
        <f t="shared" si="2809"/>
        <v>X</v>
      </c>
      <c r="I12490" s="1" t="str">
        <f t="shared" si="2809"/>
        <v>X</v>
      </c>
      <c r="J12490" s="1" t="str">
        <f t="shared" si="2809"/>
        <v>X</v>
      </c>
      <c r="K12490" s="1" t="str">
        <f t="shared" si="2809"/>
        <v>X</v>
      </c>
      <c r="L12490" s="1" t="str">
        <f t="shared" si="2809"/>
        <v>X</v>
      </c>
      <c r="M12490" s="1" t="str">
        <f t="shared" si="2809"/>
        <v>X</v>
      </c>
      <c r="N12490" t="s">
        <v>27</v>
      </c>
    </row>
    <row r="12491" spans="1:14" x14ac:dyDescent="0.25">
      <c r="A12491" t="s">
        <v>44</v>
      </c>
      <c r="B12491" t="s">
        <v>40</v>
      </c>
      <c r="C12491" t="s">
        <v>35</v>
      </c>
      <c r="D12491" t="s">
        <v>29</v>
      </c>
      <c r="E12491" t="s">
        <v>22</v>
      </c>
      <c r="F12491" t="s">
        <v>20</v>
      </c>
      <c r="G12491" s="1" t="str">
        <f t="shared" si="2809"/>
        <v>X</v>
      </c>
      <c r="H12491" s="1" t="str">
        <f t="shared" si="2809"/>
        <v>X</v>
      </c>
      <c r="I12491" s="1" t="str">
        <f t="shared" si="2809"/>
        <v>X</v>
      </c>
      <c r="J12491" s="1" t="str">
        <f t="shared" si="2809"/>
        <v>X</v>
      </c>
      <c r="K12491" s="1" t="str">
        <f t="shared" si="2809"/>
        <v>X</v>
      </c>
      <c r="L12491" s="1" t="str">
        <f t="shared" si="2809"/>
        <v>X</v>
      </c>
      <c r="M12491" s="1" t="str">
        <f t="shared" si="2809"/>
        <v>X</v>
      </c>
      <c r="N12491" t="s">
        <v>27</v>
      </c>
    </row>
    <row r="12492" spans="1:14" x14ac:dyDescent="0.25">
      <c r="A12492" t="s">
        <v>44</v>
      </c>
      <c r="B12492" t="s">
        <v>40</v>
      </c>
      <c r="C12492" t="s">
        <v>35</v>
      </c>
      <c r="D12492" t="s">
        <v>29</v>
      </c>
      <c r="E12492" t="s">
        <v>23</v>
      </c>
      <c r="F12492" t="s">
        <v>15</v>
      </c>
      <c r="G12492" s="1" t="str">
        <f t="shared" si="2809"/>
        <v>X</v>
      </c>
      <c r="H12492" s="1" t="str">
        <f t="shared" si="2809"/>
        <v>X</v>
      </c>
      <c r="I12492" s="1" t="str">
        <f t="shared" si="2809"/>
        <v>X</v>
      </c>
      <c r="J12492" s="1" t="str">
        <f t="shared" si="2809"/>
        <v>X</v>
      </c>
      <c r="K12492" s="1" t="str">
        <f t="shared" si="2809"/>
        <v>X</v>
      </c>
      <c r="L12492" s="1" t="str">
        <f t="shared" si="2809"/>
        <v>X</v>
      </c>
      <c r="M12492" s="1" t="str">
        <f t="shared" si="2809"/>
        <v>X</v>
      </c>
      <c r="N12492" t="s">
        <v>27</v>
      </c>
    </row>
    <row r="12493" spans="1:14" x14ac:dyDescent="0.25">
      <c r="A12493" t="s">
        <v>44</v>
      </c>
      <c r="B12493" t="s">
        <v>40</v>
      </c>
      <c r="C12493" t="s">
        <v>35</v>
      </c>
      <c r="D12493" t="s">
        <v>29</v>
      </c>
      <c r="E12493" t="s">
        <v>23</v>
      </c>
      <c r="F12493" t="s">
        <v>17</v>
      </c>
      <c r="G12493" s="1" t="str">
        <f t="shared" ref="G12493:M12495" si="2810">"..."</f>
        <v>...</v>
      </c>
      <c r="H12493" s="1" t="str">
        <f t="shared" si="2810"/>
        <v>...</v>
      </c>
      <c r="I12493" s="1" t="str">
        <f t="shared" si="2810"/>
        <v>...</v>
      </c>
      <c r="J12493" s="1" t="str">
        <f t="shared" si="2810"/>
        <v>...</v>
      </c>
      <c r="K12493" s="1" t="str">
        <f t="shared" si="2810"/>
        <v>...</v>
      </c>
      <c r="L12493" s="1" t="str">
        <f t="shared" si="2810"/>
        <v>...</v>
      </c>
      <c r="M12493" s="1" t="str">
        <f t="shared" si="2810"/>
        <v>...</v>
      </c>
      <c r="N12493" t="s">
        <v>30</v>
      </c>
    </row>
    <row r="12494" spans="1:14" x14ac:dyDescent="0.25">
      <c r="A12494" t="s">
        <v>44</v>
      </c>
      <c r="B12494" t="s">
        <v>40</v>
      </c>
      <c r="C12494" t="s">
        <v>35</v>
      </c>
      <c r="D12494" t="s">
        <v>29</v>
      </c>
      <c r="E12494" t="s">
        <v>23</v>
      </c>
      <c r="F12494" t="s">
        <v>18</v>
      </c>
      <c r="G12494" s="1" t="str">
        <f t="shared" si="2810"/>
        <v>...</v>
      </c>
      <c r="H12494" s="1" t="str">
        <f t="shared" si="2810"/>
        <v>...</v>
      </c>
      <c r="I12494" s="1" t="str">
        <f t="shared" si="2810"/>
        <v>...</v>
      </c>
      <c r="J12494" s="1" t="str">
        <f t="shared" si="2810"/>
        <v>...</v>
      </c>
      <c r="K12494" s="1" t="str">
        <f t="shared" si="2810"/>
        <v>...</v>
      </c>
      <c r="L12494" s="1" t="str">
        <f t="shared" si="2810"/>
        <v>...</v>
      </c>
      <c r="M12494" s="1" t="str">
        <f t="shared" si="2810"/>
        <v>...</v>
      </c>
      <c r="N12494" t="s">
        <v>30</v>
      </c>
    </row>
    <row r="12495" spans="1:14" x14ac:dyDescent="0.25">
      <c r="A12495" t="s">
        <v>44</v>
      </c>
      <c r="B12495" t="s">
        <v>40</v>
      </c>
      <c r="C12495" t="s">
        <v>35</v>
      </c>
      <c r="D12495" t="s">
        <v>29</v>
      </c>
      <c r="E12495" t="s">
        <v>23</v>
      </c>
      <c r="F12495" t="s">
        <v>19</v>
      </c>
      <c r="G12495" s="1" t="str">
        <f t="shared" si="2810"/>
        <v>...</v>
      </c>
      <c r="H12495" s="1" t="str">
        <f t="shared" si="2810"/>
        <v>...</v>
      </c>
      <c r="I12495" s="1" t="str">
        <f t="shared" si="2810"/>
        <v>...</v>
      </c>
      <c r="J12495" s="1" t="str">
        <f t="shared" si="2810"/>
        <v>...</v>
      </c>
      <c r="K12495" s="1" t="str">
        <f t="shared" si="2810"/>
        <v>...</v>
      </c>
      <c r="L12495" s="1" t="str">
        <f t="shared" si="2810"/>
        <v>...</v>
      </c>
      <c r="M12495" s="1" t="str">
        <f t="shared" si="2810"/>
        <v>...</v>
      </c>
      <c r="N12495" t="s">
        <v>30</v>
      </c>
    </row>
    <row r="12496" spans="1:14" x14ac:dyDescent="0.25">
      <c r="A12496" t="s">
        <v>44</v>
      </c>
      <c r="B12496" t="s">
        <v>40</v>
      </c>
      <c r="C12496" t="s">
        <v>35</v>
      </c>
      <c r="D12496" t="s">
        <v>29</v>
      </c>
      <c r="E12496" t="s">
        <v>23</v>
      </c>
      <c r="F12496" t="s">
        <v>20</v>
      </c>
      <c r="G12496" s="1" t="str">
        <f t="shared" ref="G12496:M12497" si="2811">"X"</f>
        <v>X</v>
      </c>
      <c r="H12496" s="1" t="str">
        <f t="shared" si="2811"/>
        <v>X</v>
      </c>
      <c r="I12496" s="1" t="str">
        <f t="shared" si="2811"/>
        <v>X</v>
      </c>
      <c r="J12496" s="1" t="str">
        <f t="shared" si="2811"/>
        <v>X</v>
      </c>
      <c r="K12496" s="1" t="str">
        <f t="shared" si="2811"/>
        <v>X</v>
      </c>
      <c r="L12496" s="1" t="str">
        <f t="shared" si="2811"/>
        <v>X</v>
      </c>
      <c r="M12496" s="1" t="str">
        <f t="shared" si="2811"/>
        <v>X</v>
      </c>
      <c r="N12496" t="s">
        <v>27</v>
      </c>
    </row>
    <row r="12497" spans="1:14" x14ac:dyDescent="0.25">
      <c r="A12497" t="s">
        <v>44</v>
      </c>
      <c r="B12497" t="s">
        <v>40</v>
      </c>
      <c r="C12497" t="s">
        <v>35</v>
      </c>
      <c r="D12497" t="s">
        <v>29</v>
      </c>
      <c r="E12497" t="s">
        <v>26</v>
      </c>
      <c r="F12497" t="s">
        <v>15</v>
      </c>
      <c r="G12497" s="1" t="str">
        <f t="shared" si="2811"/>
        <v>X</v>
      </c>
      <c r="H12497" s="1" t="str">
        <f t="shared" si="2811"/>
        <v>X</v>
      </c>
      <c r="I12497" s="1" t="str">
        <f t="shared" si="2811"/>
        <v>X</v>
      </c>
      <c r="J12497" s="1" t="str">
        <f t="shared" si="2811"/>
        <v>X</v>
      </c>
      <c r="K12497" s="1" t="str">
        <f t="shared" si="2811"/>
        <v>X</v>
      </c>
      <c r="L12497" s="1" t="str">
        <f t="shared" si="2811"/>
        <v>X</v>
      </c>
      <c r="M12497" s="1" t="str">
        <f t="shared" si="2811"/>
        <v>X</v>
      </c>
      <c r="N12497" t="s">
        <v>27</v>
      </c>
    </row>
    <row r="12498" spans="1:14" x14ac:dyDescent="0.25">
      <c r="A12498" t="s">
        <v>44</v>
      </c>
      <c r="B12498" t="s">
        <v>40</v>
      </c>
      <c r="C12498" t="s">
        <v>35</v>
      </c>
      <c r="D12498" t="s">
        <v>29</v>
      </c>
      <c r="E12498" t="s">
        <v>26</v>
      </c>
      <c r="F12498" t="s">
        <v>17</v>
      </c>
      <c r="G12498" s="1" t="str">
        <f t="shared" ref="G12498:M12499" si="2812">"..."</f>
        <v>...</v>
      </c>
      <c r="H12498" s="1" t="str">
        <f t="shared" si="2812"/>
        <v>...</v>
      </c>
      <c r="I12498" s="1" t="str">
        <f t="shared" si="2812"/>
        <v>...</v>
      </c>
      <c r="J12498" s="1" t="str">
        <f t="shared" si="2812"/>
        <v>...</v>
      </c>
      <c r="K12498" s="1" t="str">
        <f t="shared" si="2812"/>
        <v>...</v>
      </c>
      <c r="L12498" s="1" t="str">
        <f t="shared" si="2812"/>
        <v>...</v>
      </c>
      <c r="M12498" s="1" t="str">
        <f t="shared" si="2812"/>
        <v>...</v>
      </c>
      <c r="N12498" t="s">
        <v>30</v>
      </c>
    </row>
    <row r="12499" spans="1:14" x14ac:dyDescent="0.25">
      <c r="A12499" t="s">
        <v>44</v>
      </c>
      <c r="B12499" t="s">
        <v>40</v>
      </c>
      <c r="C12499" t="s">
        <v>35</v>
      </c>
      <c r="D12499" t="s">
        <v>29</v>
      </c>
      <c r="E12499" t="s">
        <v>26</v>
      </c>
      <c r="F12499" t="s">
        <v>18</v>
      </c>
      <c r="G12499" s="1" t="str">
        <f t="shared" si="2812"/>
        <v>...</v>
      </c>
      <c r="H12499" s="1" t="str">
        <f t="shared" si="2812"/>
        <v>...</v>
      </c>
      <c r="I12499" s="1" t="str">
        <f t="shared" si="2812"/>
        <v>...</v>
      </c>
      <c r="J12499" s="1" t="str">
        <f t="shared" si="2812"/>
        <v>...</v>
      </c>
      <c r="K12499" s="1" t="str">
        <f t="shared" si="2812"/>
        <v>...</v>
      </c>
      <c r="L12499" s="1" t="str">
        <f t="shared" si="2812"/>
        <v>...</v>
      </c>
      <c r="M12499" s="1" t="str">
        <f t="shared" si="2812"/>
        <v>...</v>
      </c>
      <c r="N12499" t="s">
        <v>30</v>
      </c>
    </row>
    <row r="12500" spans="1:14" x14ac:dyDescent="0.25">
      <c r="A12500" t="s">
        <v>44</v>
      </c>
      <c r="B12500" t="s">
        <v>40</v>
      </c>
      <c r="C12500" t="s">
        <v>35</v>
      </c>
      <c r="D12500" t="s">
        <v>29</v>
      </c>
      <c r="E12500" t="s">
        <v>26</v>
      </c>
      <c r="F12500" t="s">
        <v>19</v>
      </c>
      <c r="G12500" s="1" t="str">
        <f t="shared" ref="G12500:M12500" si="2813">"X"</f>
        <v>X</v>
      </c>
      <c r="H12500" s="1" t="str">
        <f t="shared" si="2813"/>
        <v>X</v>
      </c>
      <c r="I12500" s="1" t="str">
        <f t="shared" si="2813"/>
        <v>X</v>
      </c>
      <c r="J12500" s="1" t="str">
        <f t="shared" si="2813"/>
        <v>X</v>
      </c>
      <c r="K12500" s="1" t="str">
        <f t="shared" si="2813"/>
        <v>X</v>
      </c>
      <c r="L12500" s="1" t="str">
        <f t="shared" si="2813"/>
        <v>X</v>
      </c>
      <c r="M12500" s="1" t="str">
        <f t="shared" si="2813"/>
        <v>X</v>
      </c>
      <c r="N12500" t="s">
        <v>27</v>
      </c>
    </row>
    <row r="12501" spans="1:14" x14ac:dyDescent="0.25">
      <c r="A12501" t="s">
        <v>44</v>
      </c>
      <c r="B12501" t="s">
        <v>40</v>
      </c>
      <c r="C12501" t="s">
        <v>35</v>
      </c>
      <c r="D12501" t="s">
        <v>29</v>
      </c>
      <c r="E12501" t="s">
        <v>26</v>
      </c>
      <c r="F12501" t="s">
        <v>20</v>
      </c>
      <c r="G12501" s="1" t="str">
        <f t="shared" ref="G12501:M12501" si="2814">"..."</f>
        <v>...</v>
      </c>
      <c r="H12501" s="1" t="str">
        <f t="shared" si="2814"/>
        <v>...</v>
      </c>
      <c r="I12501" s="1" t="str">
        <f t="shared" si="2814"/>
        <v>...</v>
      </c>
      <c r="J12501" s="1" t="str">
        <f t="shared" si="2814"/>
        <v>...</v>
      </c>
      <c r="K12501" s="1" t="str">
        <f t="shared" si="2814"/>
        <v>...</v>
      </c>
      <c r="L12501" s="1" t="str">
        <f t="shared" si="2814"/>
        <v>...</v>
      </c>
      <c r="M12501" s="1" t="str">
        <f t="shared" si="2814"/>
        <v>...</v>
      </c>
      <c r="N12501" t="s">
        <v>30</v>
      </c>
    </row>
    <row r="12502" spans="1:14" x14ac:dyDescent="0.25">
      <c r="A12502" t="s">
        <v>44</v>
      </c>
      <c r="B12502" t="s">
        <v>40</v>
      </c>
      <c r="C12502" t="s">
        <v>35</v>
      </c>
      <c r="D12502" t="s">
        <v>31</v>
      </c>
      <c r="E12502" t="s">
        <v>15</v>
      </c>
      <c r="F12502" t="s">
        <v>15</v>
      </c>
      <c r="G12502" s="1" t="str">
        <f t="shared" ref="G12502:M12502" si="2815">"X"</f>
        <v>X</v>
      </c>
      <c r="H12502" s="1" t="str">
        <f t="shared" si="2815"/>
        <v>X</v>
      </c>
      <c r="I12502" s="1" t="str">
        <f t="shared" si="2815"/>
        <v>X</v>
      </c>
      <c r="J12502" s="1" t="str">
        <f t="shared" si="2815"/>
        <v>X</v>
      </c>
      <c r="K12502" s="1" t="str">
        <f t="shared" si="2815"/>
        <v>X</v>
      </c>
      <c r="L12502" s="1" t="str">
        <f t="shared" si="2815"/>
        <v>X</v>
      </c>
      <c r="M12502" s="1" t="str">
        <f t="shared" si="2815"/>
        <v>X</v>
      </c>
      <c r="N12502" t="s">
        <v>27</v>
      </c>
    </row>
    <row r="12503" spans="1:14" x14ac:dyDescent="0.25">
      <c r="A12503" t="s">
        <v>44</v>
      </c>
      <c r="B12503" t="s">
        <v>40</v>
      </c>
      <c r="C12503" t="s">
        <v>35</v>
      </c>
      <c r="D12503" t="s">
        <v>31</v>
      </c>
      <c r="E12503" t="s">
        <v>15</v>
      </c>
      <c r="F12503" t="s">
        <v>17</v>
      </c>
      <c r="G12503" s="1" t="str">
        <f t="shared" ref="G12503:M12503" si="2816">"..."</f>
        <v>...</v>
      </c>
      <c r="H12503" s="1" t="str">
        <f t="shared" si="2816"/>
        <v>...</v>
      </c>
      <c r="I12503" s="1" t="str">
        <f t="shared" si="2816"/>
        <v>...</v>
      </c>
      <c r="J12503" s="1" t="str">
        <f t="shared" si="2816"/>
        <v>...</v>
      </c>
      <c r="K12503" s="1" t="str">
        <f t="shared" si="2816"/>
        <v>...</v>
      </c>
      <c r="L12503" s="1" t="str">
        <f t="shared" si="2816"/>
        <v>...</v>
      </c>
      <c r="M12503" s="1" t="str">
        <f t="shared" si="2816"/>
        <v>...</v>
      </c>
      <c r="N12503" t="s">
        <v>30</v>
      </c>
    </row>
    <row r="12504" spans="1:14" x14ac:dyDescent="0.25">
      <c r="A12504" t="s">
        <v>44</v>
      </c>
      <c r="B12504" t="s">
        <v>40</v>
      </c>
      <c r="C12504" t="s">
        <v>35</v>
      </c>
      <c r="D12504" t="s">
        <v>31</v>
      </c>
      <c r="E12504" t="s">
        <v>15</v>
      </c>
      <c r="F12504" t="s">
        <v>18</v>
      </c>
      <c r="G12504" s="1" t="str">
        <f t="shared" ref="G12504:M12507" si="2817">"X"</f>
        <v>X</v>
      </c>
      <c r="H12504" s="1" t="str">
        <f t="shared" si="2817"/>
        <v>X</v>
      </c>
      <c r="I12504" s="1" t="str">
        <f t="shared" si="2817"/>
        <v>X</v>
      </c>
      <c r="J12504" s="1" t="str">
        <f t="shared" si="2817"/>
        <v>X</v>
      </c>
      <c r="K12504" s="1" t="str">
        <f t="shared" si="2817"/>
        <v>X</v>
      </c>
      <c r="L12504" s="1" t="str">
        <f t="shared" si="2817"/>
        <v>X</v>
      </c>
      <c r="M12504" s="1" t="str">
        <f t="shared" si="2817"/>
        <v>X</v>
      </c>
      <c r="N12504" t="s">
        <v>27</v>
      </c>
    </row>
    <row r="12505" spans="1:14" x14ac:dyDescent="0.25">
      <c r="A12505" t="s">
        <v>44</v>
      </c>
      <c r="B12505" t="s">
        <v>40</v>
      </c>
      <c r="C12505" t="s">
        <v>35</v>
      </c>
      <c r="D12505" t="s">
        <v>31</v>
      </c>
      <c r="E12505" t="s">
        <v>15</v>
      </c>
      <c r="F12505" t="s">
        <v>19</v>
      </c>
      <c r="G12505" s="1" t="str">
        <f t="shared" si="2817"/>
        <v>X</v>
      </c>
      <c r="H12505" s="1" t="str">
        <f t="shared" si="2817"/>
        <v>X</v>
      </c>
      <c r="I12505" s="1" t="str">
        <f t="shared" si="2817"/>
        <v>X</v>
      </c>
      <c r="J12505" s="1" t="str">
        <f t="shared" si="2817"/>
        <v>X</v>
      </c>
      <c r="K12505" s="1" t="str">
        <f t="shared" si="2817"/>
        <v>X</v>
      </c>
      <c r="L12505" s="1" t="str">
        <f t="shared" si="2817"/>
        <v>X</v>
      </c>
      <c r="M12505" s="1" t="str">
        <f t="shared" si="2817"/>
        <v>X</v>
      </c>
      <c r="N12505" t="s">
        <v>27</v>
      </c>
    </row>
    <row r="12506" spans="1:14" x14ac:dyDescent="0.25">
      <c r="A12506" t="s">
        <v>44</v>
      </c>
      <c r="B12506" t="s">
        <v>40</v>
      </c>
      <c r="C12506" t="s">
        <v>35</v>
      </c>
      <c r="D12506" t="s">
        <v>31</v>
      </c>
      <c r="E12506" t="s">
        <v>15</v>
      </c>
      <c r="F12506" t="s">
        <v>20</v>
      </c>
      <c r="G12506" s="1" t="str">
        <f t="shared" si="2817"/>
        <v>X</v>
      </c>
      <c r="H12506" s="1" t="str">
        <f t="shared" si="2817"/>
        <v>X</v>
      </c>
      <c r="I12506" s="1" t="str">
        <f t="shared" si="2817"/>
        <v>X</v>
      </c>
      <c r="J12506" s="1" t="str">
        <f t="shared" si="2817"/>
        <v>X</v>
      </c>
      <c r="K12506" s="1" t="str">
        <f t="shared" si="2817"/>
        <v>X</v>
      </c>
      <c r="L12506" s="1" t="str">
        <f t="shared" si="2817"/>
        <v>X</v>
      </c>
      <c r="M12506" s="1" t="str">
        <f t="shared" si="2817"/>
        <v>X</v>
      </c>
      <c r="N12506" t="s">
        <v>27</v>
      </c>
    </row>
    <row r="12507" spans="1:14" x14ac:dyDescent="0.25">
      <c r="A12507" t="s">
        <v>44</v>
      </c>
      <c r="B12507" t="s">
        <v>40</v>
      </c>
      <c r="C12507" t="s">
        <v>35</v>
      </c>
      <c r="D12507" t="s">
        <v>31</v>
      </c>
      <c r="E12507" t="s">
        <v>21</v>
      </c>
      <c r="F12507" t="s">
        <v>15</v>
      </c>
      <c r="G12507" s="1" t="str">
        <f t="shared" si="2817"/>
        <v>X</v>
      </c>
      <c r="H12507" s="1" t="str">
        <f t="shared" si="2817"/>
        <v>X</v>
      </c>
      <c r="I12507" s="1" t="str">
        <f t="shared" si="2817"/>
        <v>X</v>
      </c>
      <c r="J12507" s="1" t="str">
        <f t="shared" si="2817"/>
        <v>X</v>
      </c>
      <c r="K12507" s="1" t="str">
        <f t="shared" si="2817"/>
        <v>X</v>
      </c>
      <c r="L12507" s="1" t="str">
        <f t="shared" si="2817"/>
        <v>X</v>
      </c>
      <c r="M12507" s="1" t="str">
        <f t="shared" si="2817"/>
        <v>X</v>
      </c>
      <c r="N12507" t="s">
        <v>27</v>
      </c>
    </row>
    <row r="12508" spans="1:14" x14ac:dyDescent="0.25">
      <c r="A12508" t="s">
        <v>44</v>
      </c>
      <c r="B12508" t="s">
        <v>40</v>
      </c>
      <c r="C12508" t="s">
        <v>35</v>
      </c>
      <c r="D12508" t="s">
        <v>31</v>
      </c>
      <c r="E12508" t="s">
        <v>21</v>
      </c>
      <c r="F12508" t="s">
        <v>17</v>
      </c>
      <c r="G12508" s="1" t="str">
        <f t="shared" ref="G12508:M12508" si="2818">"..."</f>
        <v>...</v>
      </c>
      <c r="H12508" s="1" t="str">
        <f t="shared" si="2818"/>
        <v>...</v>
      </c>
      <c r="I12508" s="1" t="str">
        <f t="shared" si="2818"/>
        <v>...</v>
      </c>
      <c r="J12508" s="1" t="str">
        <f t="shared" si="2818"/>
        <v>...</v>
      </c>
      <c r="K12508" s="1" t="str">
        <f t="shared" si="2818"/>
        <v>...</v>
      </c>
      <c r="L12508" s="1" t="str">
        <f t="shared" si="2818"/>
        <v>...</v>
      </c>
      <c r="M12508" s="1" t="str">
        <f t="shared" si="2818"/>
        <v>...</v>
      </c>
      <c r="N12508" t="s">
        <v>30</v>
      </c>
    </row>
    <row r="12509" spans="1:14" x14ac:dyDescent="0.25">
      <c r="A12509" t="s">
        <v>44</v>
      </c>
      <c r="B12509" t="s">
        <v>40</v>
      </c>
      <c r="C12509" t="s">
        <v>35</v>
      </c>
      <c r="D12509" t="s">
        <v>31</v>
      </c>
      <c r="E12509" t="s">
        <v>21</v>
      </c>
      <c r="F12509" t="s">
        <v>18</v>
      </c>
      <c r="G12509" s="1" t="str">
        <f t="shared" ref="G12509:M12509" si="2819">"X"</f>
        <v>X</v>
      </c>
      <c r="H12509" s="1" t="str">
        <f t="shared" si="2819"/>
        <v>X</v>
      </c>
      <c r="I12509" s="1" t="str">
        <f t="shared" si="2819"/>
        <v>X</v>
      </c>
      <c r="J12509" s="1" t="str">
        <f t="shared" si="2819"/>
        <v>X</v>
      </c>
      <c r="K12509" s="1" t="str">
        <f t="shared" si="2819"/>
        <v>X</v>
      </c>
      <c r="L12509" s="1" t="str">
        <f t="shared" si="2819"/>
        <v>X</v>
      </c>
      <c r="M12509" s="1" t="str">
        <f t="shared" si="2819"/>
        <v>X</v>
      </c>
      <c r="N12509" t="s">
        <v>27</v>
      </c>
    </row>
    <row r="12510" spans="1:14" x14ac:dyDescent="0.25">
      <c r="A12510" t="s">
        <v>44</v>
      </c>
      <c r="B12510" t="s">
        <v>40</v>
      </c>
      <c r="C12510" t="s">
        <v>35</v>
      </c>
      <c r="D12510" t="s">
        <v>31</v>
      </c>
      <c r="E12510" t="s">
        <v>21</v>
      </c>
      <c r="F12510" t="s">
        <v>19</v>
      </c>
      <c r="G12510" s="1" t="str">
        <f t="shared" ref="G12510:M12510" si="2820">"..."</f>
        <v>...</v>
      </c>
      <c r="H12510" s="1" t="str">
        <f t="shared" si="2820"/>
        <v>...</v>
      </c>
      <c r="I12510" s="1" t="str">
        <f t="shared" si="2820"/>
        <v>...</v>
      </c>
      <c r="J12510" s="1" t="str">
        <f t="shared" si="2820"/>
        <v>...</v>
      </c>
      <c r="K12510" s="1" t="str">
        <f t="shared" si="2820"/>
        <v>...</v>
      </c>
      <c r="L12510" s="1" t="str">
        <f t="shared" si="2820"/>
        <v>...</v>
      </c>
      <c r="M12510" s="1" t="str">
        <f t="shared" si="2820"/>
        <v>...</v>
      </c>
      <c r="N12510" t="s">
        <v>30</v>
      </c>
    </row>
    <row r="12511" spans="1:14" x14ac:dyDescent="0.25">
      <c r="A12511" t="s">
        <v>44</v>
      </c>
      <c r="B12511" t="s">
        <v>40</v>
      </c>
      <c r="C12511" t="s">
        <v>35</v>
      </c>
      <c r="D12511" t="s">
        <v>31</v>
      </c>
      <c r="E12511" t="s">
        <v>21</v>
      </c>
      <c r="F12511" t="s">
        <v>20</v>
      </c>
      <c r="G12511" s="1" t="str">
        <f t="shared" ref="G12511:M12512" si="2821">"X"</f>
        <v>X</v>
      </c>
      <c r="H12511" s="1" t="str">
        <f t="shared" si="2821"/>
        <v>X</v>
      </c>
      <c r="I12511" s="1" t="str">
        <f t="shared" si="2821"/>
        <v>X</v>
      </c>
      <c r="J12511" s="1" t="str">
        <f t="shared" si="2821"/>
        <v>X</v>
      </c>
      <c r="K12511" s="1" t="str">
        <f t="shared" si="2821"/>
        <v>X</v>
      </c>
      <c r="L12511" s="1" t="str">
        <f t="shared" si="2821"/>
        <v>X</v>
      </c>
      <c r="M12511" s="1" t="str">
        <f t="shared" si="2821"/>
        <v>X</v>
      </c>
      <c r="N12511" t="s">
        <v>27</v>
      </c>
    </row>
    <row r="12512" spans="1:14" x14ac:dyDescent="0.25">
      <c r="A12512" t="s">
        <v>44</v>
      </c>
      <c r="B12512" t="s">
        <v>40</v>
      </c>
      <c r="C12512" t="s">
        <v>35</v>
      </c>
      <c r="D12512" t="s">
        <v>31</v>
      </c>
      <c r="E12512" t="s">
        <v>22</v>
      </c>
      <c r="F12512" t="s">
        <v>15</v>
      </c>
      <c r="G12512" s="1" t="str">
        <f t="shared" si="2821"/>
        <v>X</v>
      </c>
      <c r="H12512" s="1" t="str">
        <f t="shared" si="2821"/>
        <v>X</v>
      </c>
      <c r="I12512" s="1" t="str">
        <f t="shared" si="2821"/>
        <v>X</v>
      </c>
      <c r="J12512" s="1" t="str">
        <f t="shared" si="2821"/>
        <v>X</v>
      </c>
      <c r="K12512" s="1" t="str">
        <f t="shared" si="2821"/>
        <v>X</v>
      </c>
      <c r="L12512" s="1" t="str">
        <f t="shared" si="2821"/>
        <v>X</v>
      </c>
      <c r="M12512" s="1" t="str">
        <f t="shared" si="2821"/>
        <v>X</v>
      </c>
      <c r="N12512" t="s">
        <v>27</v>
      </c>
    </row>
    <row r="12513" spans="1:14" x14ac:dyDescent="0.25">
      <c r="A12513" t="s">
        <v>44</v>
      </c>
      <c r="B12513" t="s">
        <v>40</v>
      </c>
      <c r="C12513" t="s">
        <v>35</v>
      </c>
      <c r="D12513" t="s">
        <v>31</v>
      </c>
      <c r="E12513" t="s">
        <v>22</v>
      </c>
      <c r="F12513" t="s">
        <v>17</v>
      </c>
      <c r="G12513" s="1" t="str">
        <f t="shared" ref="G12513:M12513" si="2822">"..."</f>
        <v>...</v>
      </c>
      <c r="H12513" s="1" t="str">
        <f t="shared" si="2822"/>
        <v>...</v>
      </c>
      <c r="I12513" s="1" t="str">
        <f t="shared" si="2822"/>
        <v>...</v>
      </c>
      <c r="J12513" s="1" t="str">
        <f t="shared" si="2822"/>
        <v>...</v>
      </c>
      <c r="K12513" s="1" t="str">
        <f t="shared" si="2822"/>
        <v>...</v>
      </c>
      <c r="L12513" s="1" t="str">
        <f t="shared" si="2822"/>
        <v>...</v>
      </c>
      <c r="M12513" s="1" t="str">
        <f t="shared" si="2822"/>
        <v>...</v>
      </c>
      <c r="N12513" t="s">
        <v>30</v>
      </c>
    </row>
    <row r="12514" spans="1:14" x14ac:dyDescent="0.25">
      <c r="A12514" t="s">
        <v>44</v>
      </c>
      <c r="B12514" t="s">
        <v>40</v>
      </c>
      <c r="C12514" t="s">
        <v>35</v>
      </c>
      <c r="D12514" t="s">
        <v>31</v>
      </c>
      <c r="E12514" t="s">
        <v>22</v>
      </c>
      <c r="F12514" t="s">
        <v>18</v>
      </c>
      <c r="G12514" s="1" t="str">
        <f t="shared" ref="G12514:M12517" si="2823">"X"</f>
        <v>X</v>
      </c>
      <c r="H12514" s="1" t="str">
        <f t="shared" si="2823"/>
        <v>X</v>
      </c>
      <c r="I12514" s="1" t="str">
        <f t="shared" si="2823"/>
        <v>X</v>
      </c>
      <c r="J12514" s="1" t="str">
        <f t="shared" si="2823"/>
        <v>X</v>
      </c>
      <c r="K12514" s="1" t="str">
        <f t="shared" si="2823"/>
        <v>X</v>
      </c>
      <c r="L12514" s="1" t="str">
        <f t="shared" si="2823"/>
        <v>X</v>
      </c>
      <c r="M12514" s="1" t="str">
        <f t="shared" si="2823"/>
        <v>X</v>
      </c>
      <c r="N12514" t="s">
        <v>27</v>
      </c>
    </row>
    <row r="12515" spans="1:14" x14ac:dyDescent="0.25">
      <c r="A12515" t="s">
        <v>44</v>
      </c>
      <c r="B12515" t="s">
        <v>40</v>
      </c>
      <c r="C12515" t="s">
        <v>35</v>
      </c>
      <c r="D12515" t="s">
        <v>31</v>
      </c>
      <c r="E12515" t="s">
        <v>22</v>
      </c>
      <c r="F12515" t="s">
        <v>19</v>
      </c>
      <c r="G12515" s="1" t="str">
        <f t="shared" si="2823"/>
        <v>X</v>
      </c>
      <c r="H12515" s="1" t="str">
        <f t="shared" si="2823"/>
        <v>X</v>
      </c>
      <c r="I12515" s="1" t="str">
        <f t="shared" si="2823"/>
        <v>X</v>
      </c>
      <c r="J12515" s="1" t="str">
        <f t="shared" si="2823"/>
        <v>X</v>
      </c>
      <c r="K12515" s="1" t="str">
        <f t="shared" si="2823"/>
        <v>X</v>
      </c>
      <c r="L12515" s="1" t="str">
        <f t="shared" si="2823"/>
        <v>X</v>
      </c>
      <c r="M12515" s="1" t="str">
        <f t="shared" si="2823"/>
        <v>X</v>
      </c>
      <c r="N12515" t="s">
        <v>27</v>
      </c>
    </row>
    <row r="12516" spans="1:14" x14ac:dyDescent="0.25">
      <c r="A12516" t="s">
        <v>44</v>
      </c>
      <c r="B12516" t="s">
        <v>40</v>
      </c>
      <c r="C12516" t="s">
        <v>35</v>
      </c>
      <c r="D12516" t="s">
        <v>31</v>
      </c>
      <c r="E12516" t="s">
        <v>22</v>
      </c>
      <c r="F12516" t="s">
        <v>20</v>
      </c>
      <c r="G12516" s="1" t="str">
        <f t="shared" si="2823"/>
        <v>X</v>
      </c>
      <c r="H12516" s="1" t="str">
        <f t="shared" si="2823"/>
        <v>X</v>
      </c>
      <c r="I12516" s="1" t="str">
        <f t="shared" si="2823"/>
        <v>X</v>
      </c>
      <c r="J12516" s="1" t="str">
        <f t="shared" si="2823"/>
        <v>X</v>
      </c>
      <c r="K12516" s="1" t="str">
        <f t="shared" si="2823"/>
        <v>X</v>
      </c>
      <c r="L12516" s="1" t="str">
        <f t="shared" si="2823"/>
        <v>X</v>
      </c>
      <c r="M12516" s="1" t="str">
        <f t="shared" si="2823"/>
        <v>X</v>
      </c>
      <c r="N12516" t="s">
        <v>27</v>
      </c>
    </row>
    <row r="12517" spans="1:14" x14ac:dyDescent="0.25">
      <c r="A12517" t="s">
        <v>44</v>
      </c>
      <c r="B12517" t="s">
        <v>40</v>
      </c>
      <c r="C12517" t="s">
        <v>35</v>
      </c>
      <c r="D12517" t="s">
        <v>31</v>
      </c>
      <c r="E12517" t="s">
        <v>23</v>
      </c>
      <c r="F12517" t="s">
        <v>15</v>
      </c>
      <c r="G12517" s="1" t="str">
        <f t="shared" si="2823"/>
        <v>X</v>
      </c>
      <c r="H12517" s="1" t="str">
        <f t="shared" si="2823"/>
        <v>X</v>
      </c>
      <c r="I12517" s="1" t="str">
        <f t="shared" si="2823"/>
        <v>X</v>
      </c>
      <c r="J12517" s="1" t="str">
        <f t="shared" si="2823"/>
        <v>X</v>
      </c>
      <c r="K12517" s="1" t="str">
        <f t="shared" si="2823"/>
        <v>X</v>
      </c>
      <c r="L12517" s="1" t="str">
        <f t="shared" si="2823"/>
        <v>X</v>
      </c>
      <c r="M12517" s="1" t="str">
        <f t="shared" si="2823"/>
        <v>X</v>
      </c>
      <c r="N12517" t="s">
        <v>27</v>
      </c>
    </row>
    <row r="12518" spans="1:14" x14ac:dyDescent="0.25">
      <c r="A12518" t="s">
        <v>44</v>
      </c>
      <c r="B12518" t="s">
        <v>40</v>
      </c>
      <c r="C12518" t="s">
        <v>35</v>
      </c>
      <c r="D12518" t="s">
        <v>31</v>
      </c>
      <c r="E12518" t="s">
        <v>23</v>
      </c>
      <c r="F12518" t="s">
        <v>17</v>
      </c>
      <c r="G12518" s="1" t="str">
        <f t="shared" ref="G12518:M12518" si="2824">"..."</f>
        <v>...</v>
      </c>
      <c r="H12518" s="1" t="str">
        <f t="shared" si="2824"/>
        <v>...</v>
      </c>
      <c r="I12518" s="1" t="str">
        <f t="shared" si="2824"/>
        <v>...</v>
      </c>
      <c r="J12518" s="1" t="str">
        <f t="shared" si="2824"/>
        <v>...</v>
      </c>
      <c r="K12518" s="1" t="str">
        <f t="shared" si="2824"/>
        <v>...</v>
      </c>
      <c r="L12518" s="1" t="str">
        <f t="shared" si="2824"/>
        <v>...</v>
      </c>
      <c r="M12518" s="1" t="str">
        <f t="shared" si="2824"/>
        <v>...</v>
      </c>
      <c r="N12518" t="s">
        <v>30</v>
      </c>
    </row>
    <row r="12519" spans="1:14" x14ac:dyDescent="0.25">
      <c r="A12519" t="s">
        <v>44</v>
      </c>
      <c r="B12519" t="s">
        <v>40</v>
      </c>
      <c r="C12519" t="s">
        <v>35</v>
      </c>
      <c r="D12519" t="s">
        <v>31</v>
      </c>
      <c r="E12519" t="s">
        <v>23</v>
      </c>
      <c r="F12519" t="s">
        <v>18</v>
      </c>
      <c r="G12519" s="1" t="str">
        <f t="shared" ref="G12519:M12522" si="2825">"X"</f>
        <v>X</v>
      </c>
      <c r="H12519" s="1" t="str">
        <f t="shared" si="2825"/>
        <v>X</v>
      </c>
      <c r="I12519" s="1" t="str">
        <f t="shared" si="2825"/>
        <v>X</v>
      </c>
      <c r="J12519" s="1" t="str">
        <f t="shared" si="2825"/>
        <v>X</v>
      </c>
      <c r="K12519" s="1" t="str">
        <f t="shared" si="2825"/>
        <v>X</v>
      </c>
      <c r="L12519" s="1" t="str">
        <f t="shared" si="2825"/>
        <v>X</v>
      </c>
      <c r="M12519" s="1" t="str">
        <f t="shared" si="2825"/>
        <v>X</v>
      </c>
      <c r="N12519" t="s">
        <v>27</v>
      </c>
    </row>
    <row r="12520" spans="1:14" x14ac:dyDescent="0.25">
      <c r="A12520" t="s">
        <v>44</v>
      </c>
      <c r="B12520" t="s">
        <v>40</v>
      </c>
      <c r="C12520" t="s">
        <v>35</v>
      </c>
      <c r="D12520" t="s">
        <v>31</v>
      </c>
      <c r="E12520" t="s">
        <v>23</v>
      </c>
      <c r="F12520" t="s">
        <v>19</v>
      </c>
      <c r="G12520" s="1" t="str">
        <f t="shared" si="2825"/>
        <v>X</v>
      </c>
      <c r="H12520" s="1" t="str">
        <f t="shared" si="2825"/>
        <v>X</v>
      </c>
      <c r="I12520" s="1" t="str">
        <f t="shared" si="2825"/>
        <v>X</v>
      </c>
      <c r="J12520" s="1" t="str">
        <f t="shared" si="2825"/>
        <v>X</v>
      </c>
      <c r="K12520" s="1" t="str">
        <f t="shared" si="2825"/>
        <v>X</v>
      </c>
      <c r="L12520" s="1" t="str">
        <f t="shared" si="2825"/>
        <v>X</v>
      </c>
      <c r="M12520" s="1" t="str">
        <f t="shared" si="2825"/>
        <v>X</v>
      </c>
      <c r="N12520" t="s">
        <v>27</v>
      </c>
    </row>
    <row r="12521" spans="1:14" x14ac:dyDescent="0.25">
      <c r="A12521" t="s">
        <v>44</v>
      </c>
      <c r="B12521" t="s">
        <v>40</v>
      </c>
      <c r="C12521" t="s">
        <v>35</v>
      </c>
      <c r="D12521" t="s">
        <v>31</v>
      </c>
      <c r="E12521" t="s">
        <v>23</v>
      </c>
      <c r="F12521" t="s">
        <v>20</v>
      </c>
      <c r="G12521" s="1" t="str">
        <f t="shared" si="2825"/>
        <v>X</v>
      </c>
      <c r="H12521" s="1" t="str">
        <f t="shared" si="2825"/>
        <v>X</v>
      </c>
      <c r="I12521" s="1" t="str">
        <f t="shared" si="2825"/>
        <v>X</v>
      </c>
      <c r="J12521" s="1" t="str">
        <f t="shared" si="2825"/>
        <v>X</v>
      </c>
      <c r="K12521" s="1" t="str">
        <f t="shared" si="2825"/>
        <v>X</v>
      </c>
      <c r="L12521" s="1" t="str">
        <f t="shared" si="2825"/>
        <v>X</v>
      </c>
      <c r="M12521" s="1" t="str">
        <f t="shared" si="2825"/>
        <v>X</v>
      </c>
      <c r="N12521" t="s">
        <v>27</v>
      </c>
    </row>
    <row r="12522" spans="1:14" x14ac:dyDescent="0.25">
      <c r="A12522" t="s">
        <v>44</v>
      </c>
      <c r="B12522" t="s">
        <v>40</v>
      </c>
      <c r="C12522" t="s">
        <v>35</v>
      </c>
      <c r="D12522" t="s">
        <v>31</v>
      </c>
      <c r="E12522" t="s">
        <v>26</v>
      </c>
      <c r="F12522" t="s">
        <v>15</v>
      </c>
      <c r="G12522" s="1" t="str">
        <f t="shared" si="2825"/>
        <v>X</v>
      </c>
      <c r="H12522" s="1" t="str">
        <f t="shared" si="2825"/>
        <v>X</v>
      </c>
      <c r="I12522" s="1" t="str">
        <f t="shared" si="2825"/>
        <v>X</v>
      </c>
      <c r="J12522" s="1" t="str">
        <f t="shared" si="2825"/>
        <v>X</v>
      </c>
      <c r="K12522" s="1" t="str">
        <f t="shared" si="2825"/>
        <v>X</v>
      </c>
      <c r="L12522" s="1" t="str">
        <f t="shared" si="2825"/>
        <v>X</v>
      </c>
      <c r="M12522" s="1" t="str">
        <f t="shared" si="2825"/>
        <v>X</v>
      </c>
      <c r="N12522" t="s">
        <v>27</v>
      </c>
    </row>
    <row r="12523" spans="1:14" x14ac:dyDescent="0.25">
      <c r="A12523" t="s">
        <v>44</v>
      </c>
      <c r="B12523" t="s">
        <v>40</v>
      </c>
      <c r="C12523" t="s">
        <v>35</v>
      </c>
      <c r="D12523" t="s">
        <v>31</v>
      </c>
      <c r="E12523" t="s">
        <v>26</v>
      </c>
      <c r="F12523" t="s">
        <v>17</v>
      </c>
      <c r="G12523" s="1" t="str">
        <f t="shared" ref="G12523:M12525" si="2826">"..."</f>
        <v>...</v>
      </c>
      <c r="H12523" s="1" t="str">
        <f t="shared" si="2826"/>
        <v>...</v>
      </c>
      <c r="I12523" s="1" t="str">
        <f t="shared" si="2826"/>
        <v>...</v>
      </c>
      <c r="J12523" s="1" t="str">
        <f t="shared" si="2826"/>
        <v>...</v>
      </c>
      <c r="K12523" s="1" t="str">
        <f t="shared" si="2826"/>
        <v>...</v>
      </c>
      <c r="L12523" s="1" t="str">
        <f t="shared" si="2826"/>
        <v>...</v>
      </c>
      <c r="M12523" s="1" t="str">
        <f t="shared" si="2826"/>
        <v>...</v>
      </c>
      <c r="N12523" t="s">
        <v>30</v>
      </c>
    </row>
    <row r="12524" spans="1:14" x14ac:dyDescent="0.25">
      <c r="A12524" t="s">
        <v>44</v>
      </c>
      <c r="B12524" t="s">
        <v>40</v>
      </c>
      <c r="C12524" t="s">
        <v>35</v>
      </c>
      <c r="D12524" t="s">
        <v>31</v>
      </c>
      <c r="E12524" t="s">
        <v>26</v>
      </c>
      <c r="F12524" t="s">
        <v>18</v>
      </c>
      <c r="G12524" s="1" t="str">
        <f t="shared" si="2826"/>
        <v>...</v>
      </c>
      <c r="H12524" s="1" t="str">
        <f t="shared" si="2826"/>
        <v>...</v>
      </c>
      <c r="I12524" s="1" t="str">
        <f t="shared" si="2826"/>
        <v>...</v>
      </c>
      <c r="J12524" s="1" t="str">
        <f t="shared" si="2826"/>
        <v>...</v>
      </c>
      <c r="K12524" s="1" t="str">
        <f t="shared" si="2826"/>
        <v>...</v>
      </c>
      <c r="L12524" s="1" t="str">
        <f t="shared" si="2826"/>
        <v>...</v>
      </c>
      <c r="M12524" s="1" t="str">
        <f t="shared" si="2826"/>
        <v>...</v>
      </c>
      <c r="N12524" t="s">
        <v>30</v>
      </c>
    </row>
    <row r="12525" spans="1:14" x14ac:dyDescent="0.25">
      <c r="A12525" t="s">
        <v>44</v>
      </c>
      <c r="B12525" t="s">
        <v>40</v>
      </c>
      <c r="C12525" t="s">
        <v>35</v>
      </c>
      <c r="D12525" t="s">
        <v>31</v>
      </c>
      <c r="E12525" t="s">
        <v>26</v>
      </c>
      <c r="F12525" t="s">
        <v>19</v>
      </c>
      <c r="G12525" s="1" t="str">
        <f t="shared" si="2826"/>
        <v>...</v>
      </c>
      <c r="H12525" s="1" t="str">
        <f t="shared" si="2826"/>
        <v>...</v>
      </c>
      <c r="I12525" s="1" t="str">
        <f t="shared" si="2826"/>
        <v>...</v>
      </c>
      <c r="J12525" s="1" t="str">
        <f t="shared" si="2826"/>
        <v>...</v>
      </c>
      <c r="K12525" s="1" t="str">
        <f t="shared" si="2826"/>
        <v>...</v>
      </c>
      <c r="L12525" s="1" t="str">
        <f t="shared" si="2826"/>
        <v>...</v>
      </c>
      <c r="M12525" s="1" t="str">
        <f t="shared" si="2826"/>
        <v>...</v>
      </c>
      <c r="N12525" t="s">
        <v>30</v>
      </c>
    </row>
    <row r="12526" spans="1:14" x14ac:dyDescent="0.25">
      <c r="A12526" t="s">
        <v>44</v>
      </c>
      <c r="B12526" t="s">
        <v>40</v>
      </c>
      <c r="C12526" t="s">
        <v>35</v>
      </c>
      <c r="D12526" t="s">
        <v>31</v>
      </c>
      <c r="E12526" t="s">
        <v>26</v>
      </c>
      <c r="F12526" t="s">
        <v>20</v>
      </c>
      <c r="G12526" s="1" t="str">
        <f t="shared" ref="G12526:M12526" si="2827">"X"</f>
        <v>X</v>
      </c>
      <c r="H12526" s="1" t="str">
        <f t="shared" si="2827"/>
        <v>X</v>
      </c>
      <c r="I12526" s="1" t="str">
        <f t="shared" si="2827"/>
        <v>X</v>
      </c>
      <c r="J12526" s="1" t="str">
        <f t="shared" si="2827"/>
        <v>X</v>
      </c>
      <c r="K12526" s="1" t="str">
        <f t="shared" si="2827"/>
        <v>X</v>
      </c>
      <c r="L12526" s="1" t="str">
        <f t="shared" si="2827"/>
        <v>X</v>
      </c>
      <c r="M12526" s="1" t="str">
        <f t="shared" si="2827"/>
        <v>X</v>
      </c>
      <c r="N12526" t="s">
        <v>27</v>
      </c>
    </row>
    <row r="12527" spans="1:14" x14ac:dyDescent="0.25">
      <c r="A12527" t="s">
        <v>44</v>
      </c>
      <c r="B12527" t="s">
        <v>40</v>
      </c>
      <c r="C12527" t="s">
        <v>35</v>
      </c>
      <c r="D12527" t="s">
        <v>32</v>
      </c>
      <c r="E12527" t="s">
        <v>15</v>
      </c>
      <c r="F12527" t="s">
        <v>15</v>
      </c>
      <c r="G12527" s="2">
        <f>VALUE(669.67)</f>
        <v>669.67</v>
      </c>
      <c r="H12527" s="3">
        <f>VALUE(492.33)</f>
        <v>492.33</v>
      </c>
      <c r="I12527" s="1">
        <f>VALUE(2698)</f>
        <v>2698</v>
      </c>
      <c r="J12527" s="1">
        <f>VALUE(3162)</f>
        <v>3162</v>
      </c>
      <c r="K12527" s="1">
        <f>VALUE(3343)</f>
        <v>3343</v>
      </c>
      <c r="L12527" s="1">
        <f>VALUE(3671)</f>
        <v>3671</v>
      </c>
      <c r="M12527" s="1">
        <f>VALUE(4349)</f>
        <v>4349</v>
      </c>
      <c r="N12527" t="s">
        <v>25</v>
      </c>
    </row>
    <row r="12528" spans="1:14" x14ac:dyDescent="0.25">
      <c r="A12528" t="s">
        <v>44</v>
      </c>
      <c r="B12528" t="s">
        <v>40</v>
      </c>
      <c r="C12528" t="s">
        <v>35</v>
      </c>
      <c r="D12528" t="s">
        <v>32</v>
      </c>
      <c r="E12528" t="s">
        <v>15</v>
      </c>
      <c r="F12528" t="s">
        <v>17</v>
      </c>
      <c r="G12528" s="1" t="str">
        <f t="shared" ref="G12528:M12530" si="2828">"X"</f>
        <v>X</v>
      </c>
      <c r="H12528" s="1" t="str">
        <f t="shared" si="2828"/>
        <v>X</v>
      </c>
      <c r="I12528" s="1" t="str">
        <f t="shared" si="2828"/>
        <v>X</v>
      </c>
      <c r="J12528" s="1" t="str">
        <f t="shared" si="2828"/>
        <v>X</v>
      </c>
      <c r="K12528" s="1" t="str">
        <f t="shared" si="2828"/>
        <v>X</v>
      </c>
      <c r="L12528" s="1" t="str">
        <f t="shared" si="2828"/>
        <v>X</v>
      </c>
      <c r="M12528" s="1" t="str">
        <f t="shared" si="2828"/>
        <v>X</v>
      </c>
      <c r="N12528" t="s">
        <v>27</v>
      </c>
    </row>
    <row r="12529" spans="1:14" x14ac:dyDescent="0.25">
      <c r="A12529" t="s">
        <v>44</v>
      </c>
      <c r="B12529" t="s">
        <v>40</v>
      </c>
      <c r="C12529" t="s">
        <v>35</v>
      </c>
      <c r="D12529" t="s">
        <v>32</v>
      </c>
      <c r="E12529" t="s">
        <v>15</v>
      </c>
      <c r="F12529" t="s">
        <v>18</v>
      </c>
      <c r="G12529" s="1" t="str">
        <f t="shared" si="2828"/>
        <v>X</v>
      </c>
      <c r="H12529" s="1" t="str">
        <f t="shared" si="2828"/>
        <v>X</v>
      </c>
      <c r="I12529" s="1" t="str">
        <f t="shared" si="2828"/>
        <v>X</v>
      </c>
      <c r="J12529" s="1" t="str">
        <f t="shared" si="2828"/>
        <v>X</v>
      </c>
      <c r="K12529" s="1" t="str">
        <f t="shared" si="2828"/>
        <v>X</v>
      </c>
      <c r="L12529" s="1" t="str">
        <f t="shared" si="2828"/>
        <v>X</v>
      </c>
      <c r="M12529" s="1" t="str">
        <f t="shared" si="2828"/>
        <v>X</v>
      </c>
      <c r="N12529" t="s">
        <v>27</v>
      </c>
    </row>
    <row r="12530" spans="1:14" x14ac:dyDescent="0.25">
      <c r="A12530" t="s">
        <v>44</v>
      </c>
      <c r="B12530" t="s">
        <v>40</v>
      </c>
      <c r="C12530" t="s">
        <v>35</v>
      </c>
      <c r="D12530" t="s">
        <v>32</v>
      </c>
      <c r="E12530" t="s">
        <v>15</v>
      </c>
      <c r="F12530" t="s">
        <v>19</v>
      </c>
      <c r="G12530" s="1" t="str">
        <f t="shared" si="2828"/>
        <v>X</v>
      </c>
      <c r="H12530" s="1" t="str">
        <f t="shared" si="2828"/>
        <v>X</v>
      </c>
      <c r="I12530" s="1" t="str">
        <f t="shared" si="2828"/>
        <v>X</v>
      </c>
      <c r="J12530" s="1" t="str">
        <f t="shared" si="2828"/>
        <v>X</v>
      </c>
      <c r="K12530" s="1" t="str">
        <f t="shared" si="2828"/>
        <v>X</v>
      </c>
      <c r="L12530" s="1" t="str">
        <f t="shared" si="2828"/>
        <v>X</v>
      </c>
      <c r="M12530" s="1" t="str">
        <f t="shared" si="2828"/>
        <v>X</v>
      </c>
      <c r="N12530" t="s">
        <v>27</v>
      </c>
    </row>
    <row r="12531" spans="1:14" x14ac:dyDescent="0.25">
      <c r="A12531" t="s">
        <v>44</v>
      </c>
      <c r="B12531" t="s">
        <v>40</v>
      </c>
      <c r="C12531" t="s">
        <v>35</v>
      </c>
      <c r="D12531" t="s">
        <v>32</v>
      </c>
      <c r="E12531" t="s">
        <v>15</v>
      </c>
      <c r="F12531" t="s">
        <v>20</v>
      </c>
      <c r="G12531" s="2">
        <f>VALUE(650.17)</f>
        <v>650.16999999999996</v>
      </c>
      <c r="H12531" s="3">
        <f>VALUE(477.3)</f>
        <v>477.3</v>
      </c>
      <c r="I12531" s="1">
        <f>VALUE(2698)</f>
        <v>2698</v>
      </c>
      <c r="J12531" s="1">
        <f>VALUE(3162)</f>
        <v>3162</v>
      </c>
      <c r="K12531" s="1">
        <f>VALUE(3309)</f>
        <v>3309</v>
      </c>
      <c r="L12531" s="1">
        <f>VALUE(3638)</f>
        <v>3638</v>
      </c>
      <c r="M12531" s="1">
        <f>VALUE(4174)</f>
        <v>4174</v>
      </c>
      <c r="N12531" t="s">
        <v>25</v>
      </c>
    </row>
    <row r="12532" spans="1:14" x14ac:dyDescent="0.25">
      <c r="A12532" t="s">
        <v>44</v>
      </c>
      <c r="B12532" t="s">
        <v>40</v>
      </c>
      <c r="C12532" t="s">
        <v>35</v>
      </c>
      <c r="D12532" t="s">
        <v>32</v>
      </c>
      <c r="E12532" t="s">
        <v>21</v>
      </c>
      <c r="F12532" t="s">
        <v>15</v>
      </c>
      <c r="G12532" s="1" t="str">
        <f t="shared" ref="G12532:M12533" si="2829">"X"</f>
        <v>X</v>
      </c>
      <c r="H12532" s="1" t="str">
        <f t="shared" si="2829"/>
        <v>X</v>
      </c>
      <c r="I12532" s="1" t="str">
        <f t="shared" si="2829"/>
        <v>X</v>
      </c>
      <c r="J12532" s="1" t="str">
        <f t="shared" si="2829"/>
        <v>X</v>
      </c>
      <c r="K12532" s="1" t="str">
        <f t="shared" si="2829"/>
        <v>X</v>
      </c>
      <c r="L12532" s="1" t="str">
        <f t="shared" si="2829"/>
        <v>X</v>
      </c>
      <c r="M12532" s="1" t="str">
        <f t="shared" si="2829"/>
        <v>X</v>
      </c>
      <c r="N12532" t="s">
        <v>27</v>
      </c>
    </row>
    <row r="12533" spans="1:14" x14ac:dyDescent="0.25">
      <c r="A12533" t="s">
        <v>44</v>
      </c>
      <c r="B12533" t="s">
        <v>40</v>
      </c>
      <c r="C12533" t="s">
        <v>35</v>
      </c>
      <c r="D12533" t="s">
        <v>32</v>
      </c>
      <c r="E12533" t="s">
        <v>21</v>
      </c>
      <c r="F12533" t="s">
        <v>17</v>
      </c>
      <c r="G12533" s="1" t="str">
        <f t="shared" si="2829"/>
        <v>X</v>
      </c>
      <c r="H12533" s="1" t="str">
        <f t="shared" si="2829"/>
        <v>X</v>
      </c>
      <c r="I12533" s="1" t="str">
        <f t="shared" si="2829"/>
        <v>X</v>
      </c>
      <c r="J12533" s="1" t="str">
        <f t="shared" si="2829"/>
        <v>X</v>
      </c>
      <c r="K12533" s="1" t="str">
        <f t="shared" si="2829"/>
        <v>X</v>
      </c>
      <c r="L12533" s="1" t="str">
        <f t="shared" si="2829"/>
        <v>X</v>
      </c>
      <c r="M12533" s="1" t="str">
        <f t="shared" si="2829"/>
        <v>X</v>
      </c>
      <c r="N12533" t="s">
        <v>27</v>
      </c>
    </row>
    <row r="12534" spans="1:14" x14ac:dyDescent="0.25">
      <c r="A12534" t="s">
        <v>44</v>
      </c>
      <c r="B12534" t="s">
        <v>40</v>
      </c>
      <c r="C12534" t="s">
        <v>35</v>
      </c>
      <c r="D12534" t="s">
        <v>32</v>
      </c>
      <c r="E12534" t="s">
        <v>21</v>
      </c>
      <c r="F12534" t="s">
        <v>18</v>
      </c>
      <c r="G12534" s="1" t="str">
        <f t="shared" ref="G12534:M12534" si="2830">"..."</f>
        <v>...</v>
      </c>
      <c r="H12534" s="1" t="str">
        <f t="shared" si="2830"/>
        <v>...</v>
      </c>
      <c r="I12534" s="1" t="str">
        <f t="shared" si="2830"/>
        <v>...</v>
      </c>
      <c r="J12534" s="1" t="str">
        <f t="shared" si="2830"/>
        <v>...</v>
      </c>
      <c r="K12534" s="1" t="str">
        <f t="shared" si="2830"/>
        <v>...</v>
      </c>
      <c r="L12534" s="1" t="str">
        <f t="shared" si="2830"/>
        <v>...</v>
      </c>
      <c r="M12534" s="1" t="str">
        <f t="shared" si="2830"/>
        <v>...</v>
      </c>
      <c r="N12534" t="s">
        <v>30</v>
      </c>
    </row>
    <row r="12535" spans="1:14" x14ac:dyDescent="0.25">
      <c r="A12535" t="s">
        <v>44</v>
      </c>
      <c r="B12535" t="s">
        <v>40</v>
      </c>
      <c r="C12535" t="s">
        <v>35</v>
      </c>
      <c r="D12535" t="s">
        <v>32</v>
      </c>
      <c r="E12535" t="s">
        <v>21</v>
      </c>
      <c r="F12535" t="s">
        <v>19</v>
      </c>
      <c r="G12535" s="1" t="str">
        <f t="shared" ref="G12535:M12537" si="2831">"X"</f>
        <v>X</v>
      </c>
      <c r="H12535" s="1" t="str">
        <f t="shared" si="2831"/>
        <v>X</v>
      </c>
      <c r="I12535" s="1" t="str">
        <f t="shared" si="2831"/>
        <v>X</v>
      </c>
      <c r="J12535" s="1" t="str">
        <f t="shared" si="2831"/>
        <v>X</v>
      </c>
      <c r="K12535" s="1" t="str">
        <f t="shared" si="2831"/>
        <v>X</v>
      </c>
      <c r="L12535" s="1" t="str">
        <f t="shared" si="2831"/>
        <v>X</v>
      </c>
      <c r="M12535" s="1" t="str">
        <f t="shared" si="2831"/>
        <v>X</v>
      </c>
      <c r="N12535" t="s">
        <v>27</v>
      </c>
    </row>
    <row r="12536" spans="1:14" x14ac:dyDescent="0.25">
      <c r="A12536" t="s">
        <v>44</v>
      </c>
      <c r="B12536" t="s">
        <v>40</v>
      </c>
      <c r="C12536" t="s">
        <v>35</v>
      </c>
      <c r="D12536" t="s">
        <v>32</v>
      </c>
      <c r="E12536" t="s">
        <v>21</v>
      </c>
      <c r="F12536" t="s">
        <v>20</v>
      </c>
      <c r="G12536" s="1" t="str">
        <f t="shared" si="2831"/>
        <v>X</v>
      </c>
      <c r="H12536" s="1" t="str">
        <f t="shared" si="2831"/>
        <v>X</v>
      </c>
      <c r="I12536" s="1" t="str">
        <f t="shared" si="2831"/>
        <v>X</v>
      </c>
      <c r="J12536" s="1" t="str">
        <f t="shared" si="2831"/>
        <v>X</v>
      </c>
      <c r="K12536" s="1" t="str">
        <f t="shared" si="2831"/>
        <v>X</v>
      </c>
      <c r="L12536" s="1" t="str">
        <f t="shared" si="2831"/>
        <v>X</v>
      </c>
      <c r="M12536" s="1" t="str">
        <f t="shared" si="2831"/>
        <v>X</v>
      </c>
      <c r="N12536" t="s">
        <v>27</v>
      </c>
    </row>
    <row r="12537" spans="1:14" x14ac:dyDescent="0.25">
      <c r="A12537" t="s">
        <v>44</v>
      </c>
      <c r="B12537" t="s">
        <v>40</v>
      </c>
      <c r="C12537" t="s">
        <v>35</v>
      </c>
      <c r="D12537" t="s">
        <v>32</v>
      </c>
      <c r="E12537" t="s">
        <v>22</v>
      </c>
      <c r="F12537" t="s">
        <v>15</v>
      </c>
      <c r="G12537" s="1" t="str">
        <f t="shared" si="2831"/>
        <v>X</v>
      </c>
      <c r="H12537" s="1" t="str">
        <f t="shared" si="2831"/>
        <v>X</v>
      </c>
      <c r="I12537" s="1" t="str">
        <f t="shared" si="2831"/>
        <v>X</v>
      </c>
      <c r="J12537" s="1" t="str">
        <f t="shared" si="2831"/>
        <v>X</v>
      </c>
      <c r="K12537" s="1" t="str">
        <f t="shared" si="2831"/>
        <v>X</v>
      </c>
      <c r="L12537" s="1" t="str">
        <f t="shared" si="2831"/>
        <v>X</v>
      </c>
      <c r="M12537" s="1" t="str">
        <f t="shared" si="2831"/>
        <v>X</v>
      </c>
      <c r="N12537" t="s">
        <v>27</v>
      </c>
    </row>
    <row r="12538" spans="1:14" x14ac:dyDescent="0.25">
      <c r="A12538" t="s">
        <v>44</v>
      </c>
      <c r="B12538" t="s">
        <v>40</v>
      </c>
      <c r="C12538" t="s">
        <v>35</v>
      </c>
      <c r="D12538" t="s">
        <v>32</v>
      </c>
      <c r="E12538" t="s">
        <v>22</v>
      </c>
      <c r="F12538" t="s">
        <v>17</v>
      </c>
      <c r="G12538" s="1" t="str">
        <f t="shared" ref="G12538:M12539" si="2832">"..."</f>
        <v>...</v>
      </c>
      <c r="H12538" s="1" t="str">
        <f t="shared" si="2832"/>
        <v>...</v>
      </c>
      <c r="I12538" s="1" t="str">
        <f t="shared" si="2832"/>
        <v>...</v>
      </c>
      <c r="J12538" s="1" t="str">
        <f t="shared" si="2832"/>
        <v>...</v>
      </c>
      <c r="K12538" s="1" t="str">
        <f t="shared" si="2832"/>
        <v>...</v>
      </c>
      <c r="L12538" s="1" t="str">
        <f t="shared" si="2832"/>
        <v>...</v>
      </c>
      <c r="M12538" s="1" t="str">
        <f t="shared" si="2832"/>
        <v>...</v>
      </c>
      <c r="N12538" t="s">
        <v>30</v>
      </c>
    </row>
    <row r="12539" spans="1:14" x14ac:dyDescent="0.25">
      <c r="A12539" t="s">
        <v>44</v>
      </c>
      <c r="B12539" t="s">
        <v>40</v>
      </c>
      <c r="C12539" t="s">
        <v>35</v>
      </c>
      <c r="D12539" t="s">
        <v>32</v>
      </c>
      <c r="E12539" t="s">
        <v>22</v>
      </c>
      <c r="F12539" t="s">
        <v>18</v>
      </c>
      <c r="G12539" s="1" t="str">
        <f t="shared" si="2832"/>
        <v>...</v>
      </c>
      <c r="H12539" s="1" t="str">
        <f t="shared" si="2832"/>
        <v>...</v>
      </c>
      <c r="I12539" s="1" t="str">
        <f t="shared" si="2832"/>
        <v>...</v>
      </c>
      <c r="J12539" s="1" t="str">
        <f t="shared" si="2832"/>
        <v>...</v>
      </c>
      <c r="K12539" s="1" t="str">
        <f t="shared" si="2832"/>
        <v>...</v>
      </c>
      <c r="L12539" s="1" t="str">
        <f t="shared" si="2832"/>
        <v>...</v>
      </c>
      <c r="M12539" s="1" t="str">
        <f t="shared" si="2832"/>
        <v>...</v>
      </c>
      <c r="N12539" t="s">
        <v>30</v>
      </c>
    </row>
    <row r="12540" spans="1:14" x14ac:dyDescent="0.25">
      <c r="A12540" t="s">
        <v>44</v>
      </c>
      <c r="B12540" t="s">
        <v>40</v>
      </c>
      <c r="C12540" t="s">
        <v>35</v>
      </c>
      <c r="D12540" t="s">
        <v>32</v>
      </c>
      <c r="E12540" t="s">
        <v>22</v>
      </c>
      <c r="F12540" t="s">
        <v>19</v>
      </c>
      <c r="G12540" s="1" t="str">
        <f t="shared" ref="G12540:M12541" si="2833">"X"</f>
        <v>X</v>
      </c>
      <c r="H12540" s="1" t="str">
        <f t="shared" si="2833"/>
        <v>X</v>
      </c>
      <c r="I12540" s="1" t="str">
        <f t="shared" si="2833"/>
        <v>X</v>
      </c>
      <c r="J12540" s="1" t="str">
        <f t="shared" si="2833"/>
        <v>X</v>
      </c>
      <c r="K12540" s="1" t="str">
        <f t="shared" si="2833"/>
        <v>X</v>
      </c>
      <c r="L12540" s="1" t="str">
        <f t="shared" si="2833"/>
        <v>X</v>
      </c>
      <c r="M12540" s="1" t="str">
        <f t="shared" si="2833"/>
        <v>X</v>
      </c>
      <c r="N12540" t="s">
        <v>27</v>
      </c>
    </row>
    <row r="12541" spans="1:14" x14ac:dyDescent="0.25">
      <c r="A12541" t="s">
        <v>44</v>
      </c>
      <c r="B12541" t="s">
        <v>40</v>
      </c>
      <c r="C12541" t="s">
        <v>35</v>
      </c>
      <c r="D12541" t="s">
        <v>32</v>
      </c>
      <c r="E12541" t="s">
        <v>22</v>
      </c>
      <c r="F12541" t="s">
        <v>20</v>
      </c>
      <c r="G12541" s="1" t="str">
        <f t="shared" si="2833"/>
        <v>X</v>
      </c>
      <c r="H12541" s="1" t="str">
        <f t="shared" si="2833"/>
        <v>X</v>
      </c>
      <c r="I12541" s="1" t="str">
        <f t="shared" si="2833"/>
        <v>X</v>
      </c>
      <c r="J12541" s="1" t="str">
        <f t="shared" si="2833"/>
        <v>X</v>
      </c>
      <c r="K12541" s="1" t="str">
        <f t="shared" si="2833"/>
        <v>X</v>
      </c>
      <c r="L12541" s="1" t="str">
        <f t="shared" si="2833"/>
        <v>X</v>
      </c>
      <c r="M12541" s="1" t="str">
        <f t="shared" si="2833"/>
        <v>X</v>
      </c>
      <c r="N12541" t="s">
        <v>27</v>
      </c>
    </row>
    <row r="12542" spans="1:14" x14ac:dyDescent="0.25">
      <c r="A12542" t="s">
        <v>44</v>
      </c>
      <c r="B12542" t="s">
        <v>40</v>
      </c>
      <c r="C12542" t="s">
        <v>35</v>
      </c>
      <c r="D12542" t="s">
        <v>32</v>
      </c>
      <c r="E12542" t="s">
        <v>23</v>
      </c>
      <c r="F12542" t="s">
        <v>15</v>
      </c>
      <c r="G12542" s="2">
        <f>VALUE(451.11)</f>
        <v>451.11</v>
      </c>
      <c r="H12542" s="3">
        <f>VALUE(329.88)</f>
        <v>329.88</v>
      </c>
      <c r="I12542" s="1">
        <f>VALUE(2912)</f>
        <v>2912</v>
      </c>
      <c r="J12542" s="1">
        <f>VALUE(3162)</f>
        <v>3162</v>
      </c>
      <c r="K12542" s="1">
        <f>VALUE(3273)</f>
        <v>3273</v>
      </c>
      <c r="L12542" s="1">
        <f>VALUE(3508)</f>
        <v>3508</v>
      </c>
      <c r="M12542" s="1">
        <f>VALUE(3759)</f>
        <v>3759</v>
      </c>
      <c r="N12542" t="s">
        <v>25</v>
      </c>
    </row>
    <row r="12543" spans="1:14" x14ac:dyDescent="0.25">
      <c r="A12543" t="s">
        <v>44</v>
      </c>
      <c r="B12543" t="s">
        <v>40</v>
      </c>
      <c r="C12543" t="s">
        <v>35</v>
      </c>
      <c r="D12543" t="s">
        <v>32</v>
      </c>
      <c r="E12543" t="s">
        <v>23</v>
      </c>
      <c r="F12543" t="s">
        <v>17</v>
      </c>
      <c r="G12543" s="1" t="str">
        <f t="shared" ref="G12543:M12543" si="2834">"..."</f>
        <v>...</v>
      </c>
      <c r="H12543" s="1" t="str">
        <f t="shared" si="2834"/>
        <v>...</v>
      </c>
      <c r="I12543" s="1" t="str">
        <f t="shared" si="2834"/>
        <v>...</v>
      </c>
      <c r="J12543" s="1" t="str">
        <f t="shared" si="2834"/>
        <v>...</v>
      </c>
      <c r="K12543" s="1" t="str">
        <f t="shared" si="2834"/>
        <v>...</v>
      </c>
      <c r="L12543" s="1" t="str">
        <f t="shared" si="2834"/>
        <v>...</v>
      </c>
      <c r="M12543" s="1" t="str">
        <f t="shared" si="2834"/>
        <v>...</v>
      </c>
      <c r="N12543" t="s">
        <v>30</v>
      </c>
    </row>
    <row r="12544" spans="1:14" x14ac:dyDescent="0.25">
      <c r="A12544" t="s">
        <v>44</v>
      </c>
      <c r="B12544" t="s">
        <v>40</v>
      </c>
      <c r="C12544" t="s">
        <v>35</v>
      </c>
      <c r="D12544" t="s">
        <v>32</v>
      </c>
      <c r="E12544" t="s">
        <v>23</v>
      </c>
      <c r="F12544" t="s">
        <v>18</v>
      </c>
      <c r="G12544" s="1" t="str">
        <f t="shared" ref="G12544:M12544" si="2835">"X"</f>
        <v>X</v>
      </c>
      <c r="H12544" s="1" t="str">
        <f t="shared" si="2835"/>
        <v>X</v>
      </c>
      <c r="I12544" s="1" t="str">
        <f t="shared" si="2835"/>
        <v>X</v>
      </c>
      <c r="J12544" s="1" t="str">
        <f t="shared" si="2835"/>
        <v>X</v>
      </c>
      <c r="K12544" s="1" t="str">
        <f t="shared" si="2835"/>
        <v>X</v>
      </c>
      <c r="L12544" s="1" t="str">
        <f t="shared" si="2835"/>
        <v>X</v>
      </c>
      <c r="M12544" s="1" t="str">
        <f t="shared" si="2835"/>
        <v>X</v>
      </c>
      <c r="N12544" t="s">
        <v>27</v>
      </c>
    </row>
    <row r="12545" spans="1:14" x14ac:dyDescent="0.25">
      <c r="A12545" t="s">
        <v>44</v>
      </c>
      <c r="B12545" t="s">
        <v>40</v>
      </c>
      <c r="C12545" t="s">
        <v>35</v>
      </c>
      <c r="D12545" t="s">
        <v>32</v>
      </c>
      <c r="E12545" t="s">
        <v>23</v>
      </c>
      <c r="F12545" t="s">
        <v>19</v>
      </c>
      <c r="G12545" s="1" t="str">
        <f t="shared" ref="G12545:M12545" si="2836">"..."</f>
        <v>...</v>
      </c>
      <c r="H12545" s="1" t="str">
        <f t="shared" si="2836"/>
        <v>...</v>
      </c>
      <c r="I12545" s="1" t="str">
        <f t="shared" si="2836"/>
        <v>...</v>
      </c>
      <c r="J12545" s="1" t="str">
        <f t="shared" si="2836"/>
        <v>...</v>
      </c>
      <c r="K12545" s="1" t="str">
        <f t="shared" si="2836"/>
        <v>...</v>
      </c>
      <c r="L12545" s="1" t="str">
        <f t="shared" si="2836"/>
        <v>...</v>
      </c>
      <c r="M12545" s="1" t="str">
        <f t="shared" si="2836"/>
        <v>...</v>
      </c>
      <c r="N12545" t="s">
        <v>30</v>
      </c>
    </row>
    <row r="12546" spans="1:14" x14ac:dyDescent="0.25">
      <c r="A12546" t="s">
        <v>44</v>
      </c>
      <c r="B12546" t="s">
        <v>40</v>
      </c>
      <c r="C12546" t="s">
        <v>35</v>
      </c>
      <c r="D12546" t="s">
        <v>32</v>
      </c>
      <c r="E12546" t="s">
        <v>23</v>
      </c>
      <c r="F12546" t="s">
        <v>20</v>
      </c>
      <c r="G12546" s="2">
        <f>VALUE(448.44)</f>
        <v>448.44</v>
      </c>
      <c r="H12546" s="3">
        <f>VALUE(327.68)</f>
        <v>327.68</v>
      </c>
      <c r="I12546" s="1">
        <f>VALUE(2912)</f>
        <v>2912</v>
      </c>
      <c r="J12546" s="1">
        <f>VALUE(3162)</f>
        <v>3162</v>
      </c>
      <c r="K12546" s="1">
        <f>VALUE(3273)</f>
        <v>3273</v>
      </c>
      <c r="L12546" s="1">
        <f>VALUE(3508)</f>
        <v>3508</v>
      </c>
      <c r="M12546" s="1">
        <f>VALUE(3759)</f>
        <v>3759</v>
      </c>
      <c r="N12546" t="s">
        <v>25</v>
      </c>
    </row>
    <row r="12547" spans="1:14" x14ac:dyDescent="0.25">
      <c r="A12547" t="s">
        <v>44</v>
      </c>
      <c r="B12547" t="s">
        <v>40</v>
      </c>
      <c r="C12547" t="s">
        <v>35</v>
      </c>
      <c r="D12547" t="s">
        <v>32</v>
      </c>
      <c r="E12547" t="s">
        <v>26</v>
      </c>
      <c r="F12547" t="s">
        <v>15</v>
      </c>
      <c r="G12547" s="1" t="str">
        <f t="shared" ref="G12547:M12547" si="2837">"X"</f>
        <v>X</v>
      </c>
      <c r="H12547" s="1" t="str">
        <f t="shared" si="2837"/>
        <v>X</v>
      </c>
      <c r="I12547" s="1" t="str">
        <f t="shared" si="2837"/>
        <v>X</v>
      </c>
      <c r="J12547" s="1" t="str">
        <f t="shared" si="2837"/>
        <v>X</v>
      </c>
      <c r="K12547" s="1" t="str">
        <f t="shared" si="2837"/>
        <v>X</v>
      </c>
      <c r="L12547" s="1" t="str">
        <f t="shared" si="2837"/>
        <v>X</v>
      </c>
      <c r="M12547" s="1" t="str">
        <f t="shared" si="2837"/>
        <v>X</v>
      </c>
      <c r="N12547" t="s">
        <v>27</v>
      </c>
    </row>
    <row r="12548" spans="1:14" x14ac:dyDescent="0.25">
      <c r="A12548" t="s">
        <v>44</v>
      </c>
      <c r="B12548" t="s">
        <v>40</v>
      </c>
      <c r="C12548" t="s">
        <v>35</v>
      </c>
      <c r="D12548" t="s">
        <v>32</v>
      </c>
      <c r="E12548" t="s">
        <v>26</v>
      </c>
      <c r="F12548" t="s">
        <v>17</v>
      </c>
      <c r="G12548" s="1" t="str">
        <f t="shared" ref="G12548:M12550" si="2838">"..."</f>
        <v>...</v>
      </c>
      <c r="H12548" s="1" t="str">
        <f t="shared" si="2838"/>
        <v>...</v>
      </c>
      <c r="I12548" s="1" t="str">
        <f t="shared" si="2838"/>
        <v>...</v>
      </c>
      <c r="J12548" s="1" t="str">
        <f t="shared" si="2838"/>
        <v>...</v>
      </c>
      <c r="K12548" s="1" t="str">
        <f t="shared" si="2838"/>
        <v>...</v>
      </c>
      <c r="L12548" s="1" t="str">
        <f t="shared" si="2838"/>
        <v>...</v>
      </c>
      <c r="M12548" s="1" t="str">
        <f t="shared" si="2838"/>
        <v>...</v>
      </c>
      <c r="N12548" t="s">
        <v>30</v>
      </c>
    </row>
    <row r="12549" spans="1:14" x14ac:dyDescent="0.25">
      <c r="A12549" t="s">
        <v>44</v>
      </c>
      <c r="B12549" t="s">
        <v>40</v>
      </c>
      <c r="C12549" t="s">
        <v>35</v>
      </c>
      <c r="D12549" t="s">
        <v>32</v>
      </c>
      <c r="E12549" t="s">
        <v>26</v>
      </c>
      <c r="F12549" t="s">
        <v>18</v>
      </c>
      <c r="G12549" s="1" t="str">
        <f t="shared" si="2838"/>
        <v>...</v>
      </c>
      <c r="H12549" s="1" t="str">
        <f t="shared" si="2838"/>
        <v>...</v>
      </c>
      <c r="I12549" s="1" t="str">
        <f t="shared" si="2838"/>
        <v>...</v>
      </c>
      <c r="J12549" s="1" t="str">
        <f t="shared" si="2838"/>
        <v>...</v>
      </c>
      <c r="K12549" s="1" t="str">
        <f t="shared" si="2838"/>
        <v>...</v>
      </c>
      <c r="L12549" s="1" t="str">
        <f t="shared" si="2838"/>
        <v>...</v>
      </c>
      <c r="M12549" s="1" t="str">
        <f t="shared" si="2838"/>
        <v>...</v>
      </c>
      <c r="N12549" t="s">
        <v>30</v>
      </c>
    </row>
    <row r="12550" spans="1:14" x14ac:dyDescent="0.25">
      <c r="A12550" t="s">
        <v>44</v>
      </c>
      <c r="B12550" t="s">
        <v>40</v>
      </c>
      <c r="C12550" t="s">
        <v>35</v>
      </c>
      <c r="D12550" t="s">
        <v>32</v>
      </c>
      <c r="E12550" t="s">
        <v>26</v>
      </c>
      <c r="F12550" t="s">
        <v>19</v>
      </c>
      <c r="G12550" s="1" t="str">
        <f t="shared" si="2838"/>
        <v>...</v>
      </c>
      <c r="H12550" s="1" t="str">
        <f t="shared" si="2838"/>
        <v>...</v>
      </c>
      <c r="I12550" s="1" t="str">
        <f t="shared" si="2838"/>
        <v>...</v>
      </c>
      <c r="J12550" s="1" t="str">
        <f t="shared" si="2838"/>
        <v>...</v>
      </c>
      <c r="K12550" s="1" t="str">
        <f t="shared" si="2838"/>
        <v>...</v>
      </c>
      <c r="L12550" s="1" t="str">
        <f t="shared" si="2838"/>
        <v>...</v>
      </c>
      <c r="M12550" s="1" t="str">
        <f t="shared" si="2838"/>
        <v>...</v>
      </c>
      <c r="N12550" t="s">
        <v>30</v>
      </c>
    </row>
    <row r="12551" spans="1:14" x14ac:dyDescent="0.25">
      <c r="A12551" t="s">
        <v>44</v>
      </c>
      <c r="B12551" t="s">
        <v>40</v>
      </c>
      <c r="C12551" t="s">
        <v>35</v>
      </c>
      <c r="D12551" t="s">
        <v>32</v>
      </c>
      <c r="E12551" t="s">
        <v>26</v>
      </c>
      <c r="F12551" t="s">
        <v>20</v>
      </c>
      <c r="G12551" s="1" t="str">
        <f t="shared" ref="G12551:M12552" si="2839">"X"</f>
        <v>X</v>
      </c>
      <c r="H12551" s="1" t="str">
        <f t="shared" si="2839"/>
        <v>X</v>
      </c>
      <c r="I12551" s="1" t="str">
        <f t="shared" si="2839"/>
        <v>X</v>
      </c>
      <c r="J12551" s="1" t="str">
        <f t="shared" si="2839"/>
        <v>X</v>
      </c>
      <c r="K12551" s="1" t="str">
        <f t="shared" si="2839"/>
        <v>X</v>
      </c>
      <c r="L12551" s="1" t="str">
        <f t="shared" si="2839"/>
        <v>X</v>
      </c>
      <c r="M12551" s="1" t="str">
        <f t="shared" si="2839"/>
        <v>X</v>
      </c>
      <c r="N12551" t="s">
        <v>27</v>
      </c>
    </row>
    <row r="12552" spans="1:14" x14ac:dyDescent="0.25">
      <c r="A12552" t="s">
        <v>44</v>
      </c>
      <c r="B12552" t="s">
        <v>40</v>
      </c>
      <c r="C12552" t="s">
        <v>35</v>
      </c>
      <c r="D12552" t="s">
        <v>33</v>
      </c>
      <c r="E12552" t="s">
        <v>15</v>
      </c>
      <c r="F12552" t="s">
        <v>15</v>
      </c>
      <c r="G12552" s="1" t="str">
        <f t="shared" si="2839"/>
        <v>X</v>
      </c>
      <c r="H12552" s="1" t="str">
        <f t="shared" si="2839"/>
        <v>X</v>
      </c>
      <c r="I12552" s="1" t="str">
        <f t="shared" si="2839"/>
        <v>X</v>
      </c>
      <c r="J12552" s="1" t="str">
        <f t="shared" si="2839"/>
        <v>X</v>
      </c>
      <c r="K12552" s="1" t="str">
        <f t="shared" si="2839"/>
        <v>X</v>
      </c>
      <c r="L12552" s="1" t="str">
        <f t="shared" si="2839"/>
        <v>X</v>
      </c>
      <c r="M12552" s="1" t="str">
        <f t="shared" si="2839"/>
        <v>X</v>
      </c>
      <c r="N12552" t="s">
        <v>27</v>
      </c>
    </row>
    <row r="12553" spans="1:14" x14ac:dyDescent="0.25">
      <c r="A12553" t="s">
        <v>44</v>
      </c>
      <c r="B12553" t="s">
        <v>40</v>
      </c>
      <c r="C12553" t="s">
        <v>35</v>
      </c>
      <c r="D12553" t="s">
        <v>33</v>
      </c>
      <c r="E12553" t="s">
        <v>15</v>
      </c>
      <c r="F12553" t="s">
        <v>17</v>
      </c>
      <c r="G12553" s="1" t="str">
        <f t="shared" ref="G12553:M12553" si="2840">"..."</f>
        <v>...</v>
      </c>
      <c r="H12553" s="1" t="str">
        <f t="shared" si="2840"/>
        <v>...</v>
      </c>
      <c r="I12553" s="1" t="str">
        <f t="shared" si="2840"/>
        <v>...</v>
      </c>
      <c r="J12553" s="1" t="str">
        <f t="shared" si="2840"/>
        <v>...</v>
      </c>
      <c r="K12553" s="1" t="str">
        <f t="shared" si="2840"/>
        <v>...</v>
      </c>
      <c r="L12553" s="1" t="str">
        <f t="shared" si="2840"/>
        <v>...</v>
      </c>
      <c r="M12553" s="1" t="str">
        <f t="shared" si="2840"/>
        <v>...</v>
      </c>
      <c r="N12553" t="s">
        <v>30</v>
      </c>
    </row>
    <row r="12554" spans="1:14" x14ac:dyDescent="0.25">
      <c r="A12554" t="s">
        <v>44</v>
      </c>
      <c r="B12554" t="s">
        <v>40</v>
      </c>
      <c r="C12554" t="s">
        <v>35</v>
      </c>
      <c r="D12554" t="s">
        <v>33</v>
      </c>
      <c r="E12554" t="s">
        <v>15</v>
      </c>
      <c r="F12554" t="s">
        <v>18</v>
      </c>
      <c r="G12554" s="1" t="str">
        <f t="shared" ref="G12554:M12557" si="2841">"X"</f>
        <v>X</v>
      </c>
      <c r="H12554" s="1" t="str">
        <f t="shared" si="2841"/>
        <v>X</v>
      </c>
      <c r="I12554" s="1" t="str">
        <f t="shared" si="2841"/>
        <v>X</v>
      </c>
      <c r="J12554" s="1" t="str">
        <f t="shared" si="2841"/>
        <v>X</v>
      </c>
      <c r="K12554" s="1" t="str">
        <f t="shared" si="2841"/>
        <v>X</v>
      </c>
      <c r="L12554" s="1" t="str">
        <f t="shared" si="2841"/>
        <v>X</v>
      </c>
      <c r="M12554" s="1" t="str">
        <f t="shared" si="2841"/>
        <v>X</v>
      </c>
      <c r="N12554" t="s">
        <v>27</v>
      </c>
    </row>
    <row r="12555" spans="1:14" x14ac:dyDescent="0.25">
      <c r="A12555" t="s">
        <v>44</v>
      </c>
      <c r="B12555" t="s">
        <v>40</v>
      </c>
      <c r="C12555" t="s">
        <v>35</v>
      </c>
      <c r="D12555" t="s">
        <v>33</v>
      </c>
      <c r="E12555" t="s">
        <v>15</v>
      </c>
      <c r="F12555" t="s">
        <v>19</v>
      </c>
      <c r="G12555" s="1" t="str">
        <f t="shared" si="2841"/>
        <v>X</v>
      </c>
      <c r="H12555" s="1" t="str">
        <f t="shared" si="2841"/>
        <v>X</v>
      </c>
      <c r="I12555" s="1" t="str">
        <f t="shared" si="2841"/>
        <v>X</v>
      </c>
      <c r="J12555" s="1" t="str">
        <f t="shared" si="2841"/>
        <v>X</v>
      </c>
      <c r="K12555" s="1" t="str">
        <f t="shared" si="2841"/>
        <v>X</v>
      </c>
      <c r="L12555" s="1" t="str">
        <f t="shared" si="2841"/>
        <v>X</v>
      </c>
      <c r="M12555" s="1" t="str">
        <f t="shared" si="2841"/>
        <v>X</v>
      </c>
      <c r="N12555" t="s">
        <v>27</v>
      </c>
    </row>
    <row r="12556" spans="1:14" x14ac:dyDescent="0.25">
      <c r="A12556" t="s">
        <v>44</v>
      </c>
      <c r="B12556" t="s">
        <v>40</v>
      </c>
      <c r="C12556" t="s">
        <v>35</v>
      </c>
      <c r="D12556" t="s">
        <v>33</v>
      </c>
      <c r="E12556" t="s">
        <v>15</v>
      </c>
      <c r="F12556" t="s">
        <v>20</v>
      </c>
      <c r="G12556" s="1" t="str">
        <f t="shared" si="2841"/>
        <v>X</v>
      </c>
      <c r="H12556" s="1" t="str">
        <f t="shared" si="2841"/>
        <v>X</v>
      </c>
      <c r="I12556" s="1" t="str">
        <f t="shared" si="2841"/>
        <v>X</v>
      </c>
      <c r="J12556" s="1" t="str">
        <f t="shared" si="2841"/>
        <v>X</v>
      </c>
      <c r="K12556" s="1" t="str">
        <f t="shared" si="2841"/>
        <v>X</v>
      </c>
      <c r="L12556" s="1" t="str">
        <f t="shared" si="2841"/>
        <v>X</v>
      </c>
      <c r="M12556" s="1" t="str">
        <f t="shared" si="2841"/>
        <v>X</v>
      </c>
      <c r="N12556" t="s">
        <v>27</v>
      </c>
    </row>
    <row r="12557" spans="1:14" x14ac:dyDescent="0.25">
      <c r="A12557" t="s">
        <v>44</v>
      </c>
      <c r="B12557" t="s">
        <v>40</v>
      </c>
      <c r="C12557" t="s">
        <v>35</v>
      </c>
      <c r="D12557" t="s">
        <v>33</v>
      </c>
      <c r="E12557" t="s">
        <v>21</v>
      </c>
      <c r="F12557" t="s">
        <v>15</v>
      </c>
      <c r="G12557" s="1" t="str">
        <f t="shared" si="2841"/>
        <v>X</v>
      </c>
      <c r="H12557" s="1" t="str">
        <f t="shared" si="2841"/>
        <v>X</v>
      </c>
      <c r="I12557" s="1" t="str">
        <f t="shared" si="2841"/>
        <v>X</v>
      </c>
      <c r="J12557" s="1" t="str">
        <f t="shared" si="2841"/>
        <v>X</v>
      </c>
      <c r="K12557" s="1" t="str">
        <f t="shared" si="2841"/>
        <v>X</v>
      </c>
      <c r="L12557" s="1" t="str">
        <f t="shared" si="2841"/>
        <v>X</v>
      </c>
      <c r="M12557" s="1" t="str">
        <f t="shared" si="2841"/>
        <v>X</v>
      </c>
      <c r="N12557" t="s">
        <v>27</v>
      </c>
    </row>
    <row r="12558" spans="1:14" x14ac:dyDescent="0.25">
      <c r="A12558" t="s">
        <v>44</v>
      </c>
      <c r="B12558" t="s">
        <v>40</v>
      </c>
      <c r="C12558" t="s">
        <v>35</v>
      </c>
      <c r="D12558" t="s">
        <v>33</v>
      </c>
      <c r="E12558" t="s">
        <v>21</v>
      </c>
      <c r="F12558" t="s">
        <v>17</v>
      </c>
      <c r="G12558" s="1" t="str">
        <f t="shared" ref="G12558:M12559" si="2842">"..."</f>
        <v>...</v>
      </c>
      <c r="H12558" s="1" t="str">
        <f t="shared" si="2842"/>
        <v>...</v>
      </c>
      <c r="I12558" s="1" t="str">
        <f t="shared" si="2842"/>
        <v>...</v>
      </c>
      <c r="J12558" s="1" t="str">
        <f t="shared" si="2842"/>
        <v>...</v>
      </c>
      <c r="K12558" s="1" t="str">
        <f t="shared" si="2842"/>
        <v>...</v>
      </c>
      <c r="L12558" s="1" t="str">
        <f t="shared" si="2842"/>
        <v>...</v>
      </c>
      <c r="M12558" s="1" t="str">
        <f t="shared" si="2842"/>
        <v>...</v>
      </c>
      <c r="N12558" t="s">
        <v>30</v>
      </c>
    </row>
    <row r="12559" spans="1:14" x14ac:dyDescent="0.25">
      <c r="A12559" t="s">
        <v>44</v>
      </c>
      <c r="B12559" t="s">
        <v>40</v>
      </c>
      <c r="C12559" t="s">
        <v>35</v>
      </c>
      <c r="D12559" t="s">
        <v>33</v>
      </c>
      <c r="E12559" t="s">
        <v>21</v>
      </c>
      <c r="F12559" t="s">
        <v>18</v>
      </c>
      <c r="G12559" s="1" t="str">
        <f t="shared" si="2842"/>
        <v>...</v>
      </c>
      <c r="H12559" s="1" t="str">
        <f t="shared" si="2842"/>
        <v>...</v>
      </c>
      <c r="I12559" s="1" t="str">
        <f t="shared" si="2842"/>
        <v>...</v>
      </c>
      <c r="J12559" s="1" t="str">
        <f t="shared" si="2842"/>
        <v>...</v>
      </c>
      <c r="K12559" s="1" t="str">
        <f t="shared" si="2842"/>
        <v>...</v>
      </c>
      <c r="L12559" s="1" t="str">
        <f t="shared" si="2842"/>
        <v>...</v>
      </c>
      <c r="M12559" s="1" t="str">
        <f t="shared" si="2842"/>
        <v>...</v>
      </c>
      <c r="N12559" t="s">
        <v>30</v>
      </c>
    </row>
    <row r="12560" spans="1:14" x14ac:dyDescent="0.25">
      <c r="A12560" t="s">
        <v>44</v>
      </c>
      <c r="B12560" t="s">
        <v>40</v>
      </c>
      <c r="C12560" t="s">
        <v>35</v>
      </c>
      <c r="D12560" t="s">
        <v>33</v>
      </c>
      <c r="E12560" t="s">
        <v>21</v>
      </c>
      <c r="F12560" t="s">
        <v>19</v>
      </c>
      <c r="G12560" s="1" t="str">
        <f t="shared" ref="G12560:M12562" si="2843">"X"</f>
        <v>X</v>
      </c>
      <c r="H12560" s="1" t="str">
        <f t="shared" si="2843"/>
        <v>X</v>
      </c>
      <c r="I12560" s="1" t="str">
        <f t="shared" si="2843"/>
        <v>X</v>
      </c>
      <c r="J12560" s="1" t="str">
        <f t="shared" si="2843"/>
        <v>X</v>
      </c>
      <c r="K12560" s="1" t="str">
        <f t="shared" si="2843"/>
        <v>X</v>
      </c>
      <c r="L12560" s="1" t="str">
        <f t="shared" si="2843"/>
        <v>X</v>
      </c>
      <c r="M12560" s="1" t="str">
        <f t="shared" si="2843"/>
        <v>X</v>
      </c>
      <c r="N12560" t="s">
        <v>27</v>
      </c>
    </row>
    <row r="12561" spans="1:14" x14ac:dyDescent="0.25">
      <c r="A12561" t="s">
        <v>44</v>
      </c>
      <c r="B12561" t="s">
        <v>40</v>
      </c>
      <c r="C12561" t="s">
        <v>35</v>
      </c>
      <c r="D12561" t="s">
        <v>33</v>
      </c>
      <c r="E12561" t="s">
        <v>21</v>
      </c>
      <c r="F12561" t="s">
        <v>20</v>
      </c>
      <c r="G12561" s="1" t="str">
        <f t="shared" si="2843"/>
        <v>X</v>
      </c>
      <c r="H12561" s="1" t="str">
        <f t="shared" si="2843"/>
        <v>X</v>
      </c>
      <c r="I12561" s="1" t="str">
        <f t="shared" si="2843"/>
        <v>X</v>
      </c>
      <c r="J12561" s="1" t="str">
        <f t="shared" si="2843"/>
        <v>X</v>
      </c>
      <c r="K12561" s="1" t="str">
        <f t="shared" si="2843"/>
        <v>X</v>
      </c>
      <c r="L12561" s="1" t="str">
        <f t="shared" si="2843"/>
        <v>X</v>
      </c>
      <c r="M12561" s="1" t="str">
        <f t="shared" si="2843"/>
        <v>X</v>
      </c>
      <c r="N12561" t="s">
        <v>27</v>
      </c>
    </row>
    <row r="12562" spans="1:14" x14ac:dyDescent="0.25">
      <c r="A12562" t="s">
        <v>44</v>
      </c>
      <c r="B12562" t="s">
        <v>40</v>
      </c>
      <c r="C12562" t="s">
        <v>35</v>
      </c>
      <c r="D12562" t="s">
        <v>33</v>
      </c>
      <c r="E12562" t="s">
        <v>22</v>
      </c>
      <c r="F12562" t="s">
        <v>15</v>
      </c>
      <c r="G12562" s="1" t="str">
        <f t="shared" si="2843"/>
        <v>X</v>
      </c>
      <c r="H12562" s="1" t="str">
        <f t="shared" si="2843"/>
        <v>X</v>
      </c>
      <c r="I12562" s="1" t="str">
        <f t="shared" si="2843"/>
        <v>X</v>
      </c>
      <c r="J12562" s="1" t="str">
        <f t="shared" si="2843"/>
        <v>X</v>
      </c>
      <c r="K12562" s="1" t="str">
        <f t="shared" si="2843"/>
        <v>X</v>
      </c>
      <c r="L12562" s="1" t="str">
        <f t="shared" si="2843"/>
        <v>X</v>
      </c>
      <c r="M12562" s="1" t="str">
        <f t="shared" si="2843"/>
        <v>X</v>
      </c>
      <c r="N12562" t="s">
        <v>27</v>
      </c>
    </row>
    <row r="12563" spans="1:14" x14ac:dyDescent="0.25">
      <c r="A12563" t="s">
        <v>44</v>
      </c>
      <c r="B12563" t="s">
        <v>40</v>
      </c>
      <c r="C12563" t="s">
        <v>35</v>
      </c>
      <c r="D12563" t="s">
        <v>33</v>
      </c>
      <c r="E12563" t="s">
        <v>22</v>
      </c>
      <c r="F12563" t="s">
        <v>17</v>
      </c>
      <c r="G12563" s="1" t="str">
        <f t="shared" ref="G12563:M12563" si="2844">"..."</f>
        <v>...</v>
      </c>
      <c r="H12563" s="1" t="str">
        <f t="shared" si="2844"/>
        <v>...</v>
      </c>
      <c r="I12563" s="1" t="str">
        <f t="shared" si="2844"/>
        <v>...</v>
      </c>
      <c r="J12563" s="1" t="str">
        <f t="shared" si="2844"/>
        <v>...</v>
      </c>
      <c r="K12563" s="1" t="str">
        <f t="shared" si="2844"/>
        <v>...</v>
      </c>
      <c r="L12563" s="1" t="str">
        <f t="shared" si="2844"/>
        <v>...</v>
      </c>
      <c r="M12563" s="1" t="str">
        <f t="shared" si="2844"/>
        <v>...</v>
      </c>
      <c r="N12563" t="s">
        <v>30</v>
      </c>
    </row>
    <row r="12564" spans="1:14" x14ac:dyDescent="0.25">
      <c r="A12564" t="s">
        <v>44</v>
      </c>
      <c r="B12564" t="s">
        <v>40</v>
      </c>
      <c r="C12564" t="s">
        <v>35</v>
      </c>
      <c r="D12564" t="s">
        <v>33</v>
      </c>
      <c r="E12564" t="s">
        <v>22</v>
      </c>
      <c r="F12564" t="s">
        <v>18</v>
      </c>
      <c r="G12564" s="1" t="str">
        <f t="shared" ref="G12564:M12564" si="2845">"X"</f>
        <v>X</v>
      </c>
      <c r="H12564" s="1" t="str">
        <f t="shared" si="2845"/>
        <v>X</v>
      </c>
      <c r="I12564" s="1" t="str">
        <f t="shared" si="2845"/>
        <v>X</v>
      </c>
      <c r="J12564" s="1" t="str">
        <f t="shared" si="2845"/>
        <v>X</v>
      </c>
      <c r="K12564" s="1" t="str">
        <f t="shared" si="2845"/>
        <v>X</v>
      </c>
      <c r="L12564" s="1" t="str">
        <f t="shared" si="2845"/>
        <v>X</v>
      </c>
      <c r="M12564" s="1" t="str">
        <f t="shared" si="2845"/>
        <v>X</v>
      </c>
      <c r="N12564" t="s">
        <v>27</v>
      </c>
    </row>
    <row r="12565" spans="1:14" x14ac:dyDescent="0.25">
      <c r="A12565" t="s">
        <v>44</v>
      </c>
      <c r="B12565" t="s">
        <v>40</v>
      </c>
      <c r="C12565" t="s">
        <v>35</v>
      </c>
      <c r="D12565" t="s">
        <v>33</v>
      </c>
      <c r="E12565" t="s">
        <v>22</v>
      </c>
      <c r="F12565" t="s">
        <v>19</v>
      </c>
      <c r="G12565" s="1" t="str">
        <f t="shared" ref="G12565:M12565" si="2846">"..."</f>
        <v>...</v>
      </c>
      <c r="H12565" s="1" t="str">
        <f t="shared" si="2846"/>
        <v>...</v>
      </c>
      <c r="I12565" s="1" t="str">
        <f t="shared" si="2846"/>
        <v>...</v>
      </c>
      <c r="J12565" s="1" t="str">
        <f t="shared" si="2846"/>
        <v>...</v>
      </c>
      <c r="K12565" s="1" t="str">
        <f t="shared" si="2846"/>
        <v>...</v>
      </c>
      <c r="L12565" s="1" t="str">
        <f t="shared" si="2846"/>
        <v>...</v>
      </c>
      <c r="M12565" s="1" t="str">
        <f t="shared" si="2846"/>
        <v>...</v>
      </c>
      <c r="N12565" t="s">
        <v>30</v>
      </c>
    </row>
    <row r="12566" spans="1:14" x14ac:dyDescent="0.25">
      <c r="A12566" t="s">
        <v>44</v>
      </c>
      <c r="B12566" t="s">
        <v>40</v>
      </c>
      <c r="C12566" t="s">
        <v>35</v>
      </c>
      <c r="D12566" t="s">
        <v>33</v>
      </c>
      <c r="E12566" t="s">
        <v>22</v>
      </c>
      <c r="F12566" t="s">
        <v>20</v>
      </c>
      <c r="G12566" s="1" t="str">
        <f t="shared" ref="G12566:M12567" si="2847">"X"</f>
        <v>X</v>
      </c>
      <c r="H12566" s="1" t="str">
        <f t="shared" si="2847"/>
        <v>X</v>
      </c>
      <c r="I12566" s="1" t="str">
        <f t="shared" si="2847"/>
        <v>X</v>
      </c>
      <c r="J12566" s="1" t="str">
        <f t="shared" si="2847"/>
        <v>X</v>
      </c>
      <c r="K12566" s="1" t="str">
        <f t="shared" si="2847"/>
        <v>X</v>
      </c>
      <c r="L12566" s="1" t="str">
        <f t="shared" si="2847"/>
        <v>X</v>
      </c>
      <c r="M12566" s="1" t="str">
        <f t="shared" si="2847"/>
        <v>X</v>
      </c>
      <c r="N12566" t="s">
        <v>27</v>
      </c>
    </row>
    <row r="12567" spans="1:14" x14ac:dyDescent="0.25">
      <c r="A12567" t="s">
        <v>44</v>
      </c>
      <c r="B12567" t="s">
        <v>40</v>
      </c>
      <c r="C12567" t="s">
        <v>35</v>
      </c>
      <c r="D12567" t="s">
        <v>33</v>
      </c>
      <c r="E12567" t="s">
        <v>23</v>
      </c>
      <c r="F12567" t="s">
        <v>15</v>
      </c>
      <c r="G12567" s="1" t="str">
        <f t="shared" si="2847"/>
        <v>X</v>
      </c>
      <c r="H12567" s="1" t="str">
        <f t="shared" si="2847"/>
        <v>X</v>
      </c>
      <c r="I12567" s="1" t="str">
        <f t="shared" si="2847"/>
        <v>X</v>
      </c>
      <c r="J12567" s="1" t="str">
        <f t="shared" si="2847"/>
        <v>X</v>
      </c>
      <c r="K12567" s="1" t="str">
        <f t="shared" si="2847"/>
        <v>X</v>
      </c>
      <c r="L12567" s="1" t="str">
        <f t="shared" si="2847"/>
        <v>X</v>
      </c>
      <c r="M12567" s="1" t="str">
        <f t="shared" si="2847"/>
        <v>X</v>
      </c>
      <c r="N12567" t="s">
        <v>27</v>
      </c>
    </row>
    <row r="12568" spans="1:14" x14ac:dyDescent="0.25">
      <c r="A12568" t="s">
        <v>44</v>
      </c>
      <c r="B12568" t="s">
        <v>40</v>
      </c>
      <c r="C12568" t="s">
        <v>35</v>
      </c>
      <c r="D12568" t="s">
        <v>33</v>
      </c>
      <c r="E12568" t="s">
        <v>23</v>
      </c>
      <c r="F12568" t="s">
        <v>17</v>
      </c>
      <c r="G12568" s="1" t="str">
        <f t="shared" ref="G12568:M12570" si="2848">"..."</f>
        <v>...</v>
      </c>
      <c r="H12568" s="1" t="str">
        <f t="shared" si="2848"/>
        <v>...</v>
      </c>
      <c r="I12568" s="1" t="str">
        <f t="shared" si="2848"/>
        <v>...</v>
      </c>
      <c r="J12568" s="1" t="str">
        <f t="shared" si="2848"/>
        <v>...</v>
      </c>
      <c r="K12568" s="1" t="str">
        <f t="shared" si="2848"/>
        <v>...</v>
      </c>
      <c r="L12568" s="1" t="str">
        <f t="shared" si="2848"/>
        <v>...</v>
      </c>
      <c r="M12568" s="1" t="str">
        <f t="shared" si="2848"/>
        <v>...</v>
      </c>
      <c r="N12568" t="s">
        <v>30</v>
      </c>
    </row>
    <row r="12569" spans="1:14" x14ac:dyDescent="0.25">
      <c r="A12569" t="s">
        <v>44</v>
      </c>
      <c r="B12569" t="s">
        <v>40</v>
      </c>
      <c r="C12569" t="s">
        <v>35</v>
      </c>
      <c r="D12569" t="s">
        <v>33</v>
      </c>
      <c r="E12569" t="s">
        <v>23</v>
      </c>
      <c r="F12569" t="s">
        <v>18</v>
      </c>
      <c r="G12569" s="1" t="str">
        <f t="shared" si="2848"/>
        <v>...</v>
      </c>
      <c r="H12569" s="1" t="str">
        <f t="shared" si="2848"/>
        <v>...</v>
      </c>
      <c r="I12569" s="1" t="str">
        <f t="shared" si="2848"/>
        <v>...</v>
      </c>
      <c r="J12569" s="1" t="str">
        <f t="shared" si="2848"/>
        <v>...</v>
      </c>
      <c r="K12569" s="1" t="str">
        <f t="shared" si="2848"/>
        <v>...</v>
      </c>
      <c r="L12569" s="1" t="str">
        <f t="shared" si="2848"/>
        <v>...</v>
      </c>
      <c r="M12569" s="1" t="str">
        <f t="shared" si="2848"/>
        <v>...</v>
      </c>
      <c r="N12569" t="s">
        <v>30</v>
      </c>
    </row>
    <row r="12570" spans="1:14" x14ac:dyDescent="0.25">
      <c r="A12570" t="s">
        <v>44</v>
      </c>
      <c r="B12570" t="s">
        <v>40</v>
      </c>
      <c r="C12570" t="s">
        <v>35</v>
      </c>
      <c r="D12570" t="s">
        <v>33</v>
      </c>
      <c r="E12570" t="s">
        <v>23</v>
      </c>
      <c r="F12570" t="s">
        <v>19</v>
      </c>
      <c r="G12570" s="1" t="str">
        <f t="shared" si="2848"/>
        <v>...</v>
      </c>
      <c r="H12570" s="1" t="str">
        <f t="shared" si="2848"/>
        <v>...</v>
      </c>
      <c r="I12570" s="1" t="str">
        <f t="shared" si="2848"/>
        <v>...</v>
      </c>
      <c r="J12570" s="1" t="str">
        <f t="shared" si="2848"/>
        <v>...</v>
      </c>
      <c r="K12570" s="1" t="str">
        <f t="shared" si="2848"/>
        <v>...</v>
      </c>
      <c r="L12570" s="1" t="str">
        <f t="shared" si="2848"/>
        <v>...</v>
      </c>
      <c r="M12570" s="1" t="str">
        <f t="shared" si="2848"/>
        <v>...</v>
      </c>
      <c r="N12570" t="s">
        <v>30</v>
      </c>
    </row>
    <row r="12571" spans="1:14" x14ac:dyDescent="0.25">
      <c r="A12571" t="s">
        <v>44</v>
      </c>
      <c r="B12571" t="s">
        <v>40</v>
      </c>
      <c r="C12571" t="s">
        <v>35</v>
      </c>
      <c r="D12571" t="s">
        <v>33</v>
      </c>
      <c r="E12571" t="s">
        <v>23</v>
      </c>
      <c r="F12571" t="s">
        <v>20</v>
      </c>
      <c r="G12571" s="1" t="str">
        <f t="shared" ref="G12571:M12571" si="2849">"X"</f>
        <v>X</v>
      </c>
      <c r="H12571" s="1" t="str">
        <f t="shared" si="2849"/>
        <v>X</v>
      </c>
      <c r="I12571" s="1" t="str">
        <f t="shared" si="2849"/>
        <v>X</v>
      </c>
      <c r="J12571" s="1" t="str">
        <f t="shared" si="2849"/>
        <v>X</v>
      </c>
      <c r="K12571" s="1" t="str">
        <f t="shared" si="2849"/>
        <v>X</v>
      </c>
      <c r="L12571" s="1" t="str">
        <f t="shared" si="2849"/>
        <v>X</v>
      </c>
      <c r="M12571" s="1" t="str">
        <f t="shared" si="2849"/>
        <v>X</v>
      </c>
      <c r="N12571" t="s">
        <v>27</v>
      </c>
    </row>
    <row r="12572" spans="1:14" x14ac:dyDescent="0.25">
      <c r="A12572" t="s">
        <v>44</v>
      </c>
      <c r="B12572" t="s">
        <v>40</v>
      </c>
      <c r="C12572" t="s">
        <v>35</v>
      </c>
      <c r="D12572" t="s">
        <v>33</v>
      </c>
      <c r="E12572" t="s">
        <v>26</v>
      </c>
      <c r="F12572" t="s">
        <v>15</v>
      </c>
      <c r="G12572" s="1" t="str">
        <f t="shared" ref="G12572:M12576" si="2850">"..."</f>
        <v>...</v>
      </c>
      <c r="H12572" s="1" t="str">
        <f t="shared" si="2850"/>
        <v>...</v>
      </c>
      <c r="I12572" s="1" t="str">
        <f t="shared" si="2850"/>
        <v>...</v>
      </c>
      <c r="J12572" s="1" t="str">
        <f t="shared" si="2850"/>
        <v>...</v>
      </c>
      <c r="K12572" s="1" t="str">
        <f t="shared" si="2850"/>
        <v>...</v>
      </c>
      <c r="L12572" s="1" t="str">
        <f t="shared" si="2850"/>
        <v>...</v>
      </c>
      <c r="M12572" s="1" t="str">
        <f t="shared" si="2850"/>
        <v>...</v>
      </c>
      <c r="N12572" t="s">
        <v>30</v>
      </c>
    </row>
    <row r="12573" spans="1:14" x14ac:dyDescent="0.25">
      <c r="A12573" t="s">
        <v>44</v>
      </c>
      <c r="B12573" t="s">
        <v>40</v>
      </c>
      <c r="C12573" t="s">
        <v>35</v>
      </c>
      <c r="D12573" t="s">
        <v>33</v>
      </c>
      <c r="E12573" t="s">
        <v>26</v>
      </c>
      <c r="F12573" t="s">
        <v>17</v>
      </c>
      <c r="G12573" s="1" t="str">
        <f t="shared" si="2850"/>
        <v>...</v>
      </c>
      <c r="H12573" s="1" t="str">
        <f t="shared" si="2850"/>
        <v>...</v>
      </c>
      <c r="I12573" s="1" t="str">
        <f t="shared" si="2850"/>
        <v>...</v>
      </c>
      <c r="J12573" s="1" t="str">
        <f t="shared" si="2850"/>
        <v>...</v>
      </c>
      <c r="K12573" s="1" t="str">
        <f t="shared" si="2850"/>
        <v>...</v>
      </c>
      <c r="L12573" s="1" t="str">
        <f t="shared" si="2850"/>
        <v>...</v>
      </c>
      <c r="M12573" s="1" t="str">
        <f t="shared" si="2850"/>
        <v>...</v>
      </c>
      <c r="N12573" t="s">
        <v>30</v>
      </c>
    </row>
    <row r="12574" spans="1:14" x14ac:dyDescent="0.25">
      <c r="A12574" t="s">
        <v>44</v>
      </c>
      <c r="B12574" t="s">
        <v>40</v>
      </c>
      <c r="C12574" t="s">
        <v>35</v>
      </c>
      <c r="D12574" t="s">
        <v>33</v>
      </c>
      <c r="E12574" t="s">
        <v>26</v>
      </c>
      <c r="F12574" t="s">
        <v>18</v>
      </c>
      <c r="G12574" s="1" t="str">
        <f t="shared" si="2850"/>
        <v>...</v>
      </c>
      <c r="H12574" s="1" t="str">
        <f t="shared" si="2850"/>
        <v>...</v>
      </c>
      <c r="I12574" s="1" t="str">
        <f t="shared" si="2850"/>
        <v>...</v>
      </c>
      <c r="J12574" s="1" t="str">
        <f t="shared" si="2850"/>
        <v>...</v>
      </c>
      <c r="K12574" s="1" t="str">
        <f t="shared" si="2850"/>
        <v>...</v>
      </c>
      <c r="L12574" s="1" t="str">
        <f t="shared" si="2850"/>
        <v>...</v>
      </c>
      <c r="M12574" s="1" t="str">
        <f t="shared" si="2850"/>
        <v>...</v>
      </c>
      <c r="N12574" t="s">
        <v>30</v>
      </c>
    </row>
    <row r="12575" spans="1:14" x14ac:dyDescent="0.25">
      <c r="A12575" t="s">
        <v>44</v>
      </c>
      <c r="B12575" t="s">
        <v>40</v>
      </c>
      <c r="C12575" t="s">
        <v>35</v>
      </c>
      <c r="D12575" t="s">
        <v>33</v>
      </c>
      <c r="E12575" t="s">
        <v>26</v>
      </c>
      <c r="F12575" t="s">
        <v>19</v>
      </c>
      <c r="G12575" s="1" t="str">
        <f t="shared" si="2850"/>
        <v>...</v>
      </c>
      <c r="H12575" s="1" t="str">
        <f t="shared" si="2850"/>
        <v>...</v>
      </c>
      <c r="I12575" s="1" t="str">
        <f t="shared" si="2850"/>
        <v>...</v>
      </c>
      <c r="J12575" s="1" t="str">
        <f t="shared" si="2850"/>
        <v>...</v>
      </c>
      <c r="K12575" s="1" t="str">
        <f t="shared" si="2850"/>
        <v>...</v>
      </c>
      <c r="L12575" s="1" t="str">
        <f t="shared" si="2850"/>
        <v>...</v>
      </c>
      <c r="M12575" s="1" t="str">
        <f t="shared" si="2850"/>
        <v>...</v>
      </c>
      <c r="N12575" t="s">
        <v>30</v>
      </c>
    </row>
    <row r="12576" spans="1:14" x14ac:dyDescent="0.25">
      <c r="A12576" t="s">
        <v>44</v>
      </c>
      <c r="B12576" t="s">
        <v>40</v>
      </c>
      <c r="C12576" t="s">
        <v>35</v>
      </c>
      <c r="D12576" t="s">
        <v>33</v>
      </c>
      <c r="E12576" t="s">
        <v>26</v>
      </c>
      <c r="F12576" t="s">
        <v>20</v>
      </c>
      <c r="G12576" s="1" t="str">
        <f t="shared" si="2850"/>
        <v>...</v>
      </c>
      <c r="H12576" s="1" t="str">
        <f t="shared" si="2850"/>
        <v>...</v>
      </c>
      <c r="I12576" s="1" t="str">
        <f t="shared" si="2850"/>
        <v>...</v>
      </c>
      <c r="J12576" s="1" t="str">
        <f t="shared" si="2850"/>
        <v>...</v>
      </c>
      <c r="K12576" s="1" t="str">
        <f t="shared" si="2850"/>
        <v>...</v>
      </c>
      <c r="L12576" s="1" t="str">
        <f t="shared" si="2850"/>
        <v>...</v>
      </c>
      <c r="M12576" s="1" t="str">
        <f t="shared" si="2850"/>
        <v>...</v>
      </c>
      <c r="N12576" t="s">
        <v>30</v>
      </c>
    </row>
    <row r="12577" spans="1:14" x14ac:dyDescent="0.25">
      <c r="A12577" t="s">
        <v>44</v>
      </c>
      <c r="B12577" t="s">
        <v>40</v>
      </c>
      <c r="C12577" t="s">
        <v>35</v>
      </c>
      <c r="D12577" t="s">
        <v>34</v>
      </c>
      <c r="E12577" t="s">
        <v>15</v>
      </c>
      <c r="F12577" t="s">
        <v>15</v>
      </c>
      <c r="G12577" s="1" t="str">
        <f t="shared" ref="G12577:M12577" si="2851">"X"</f>
        <v>X</v>
      </c>
      <c r="H12577" s="1" t="str">
        <f t="shared" si="2851"/>
        <v>X</v>
      </c>
      <c r="I12577" s="1" t="str">
        <f t="shared" si="2851"/>
        <v>X</v>
      </c>
      <c r="J12577" s="1" t="str">
        <f t="shared" si="2851"/>
        <v>X</v>
      </c>
      <c r="K12577" s="1" t="str">
        <f t="shared" si="2851"/>
        <v>X</v>
      </c>
      <c r="L12577" s="1" t="str">
        <f t="shared" si="2851"/>
        <v>X</v>
      </c>
      <c r="M12577" s="1" t="str">
        <f t="shared" si="2851"/>
        <v>X</v>
      </c>
      <c r="N12577" t="s">
        <v>27</v>
      </c>
    </row>
    <row r="12578" spans="1:14" x14ac:dyDescent="0.25">
      <c r="A12578" t="s">
        <v>44</v>
      </c>
      <c r="B12578" t="s">
        <v>40</v>
      </c>
      <c r="C12578" t="s">
        <v>35</v>
      </c>
      <c r="D12578" t="s">
        <v>34</v>
      </c>
      <c r="E12578" t="s">
        <v>15</v>
      </c>
      <c r="F12578" t="s">
        <v>17</v>
      </c>
      <c r="G12578" s="1" t="str">
        <f t="shared" ref="G12578:M12578" si="2852">"..."</f>
        <v>...</v>
      </c>
      <c r="H12578" s="1" t="str">
        <f t="shared" si="2852"/>
        <v>...</v>
      </c>
      <c r="I12578" s="1" t="str">
        <f t="shared" si="2852"/>
        <v>...</v>
      </c>
      <c r="J12578" s="1" t="str">
        <f t="shared" si="2852"/>
        <v>...</v>
      </c>
      <c r="K12578" s="1" t="str">
        <f t="shared" si="2852"/>
        <v>...</v>
      </c>
      <c r="L12578" s="1" t="str">
        <f t="shared" si="2852"/>
        <v>...</v>
      </c>
      <c r="M12578" s="1" t="str">
        <f t="shared" si="2852"/>
        <v>...</v>
      </c>
      <c r="N12578" t="s">
        <v>30</v>
      </c>
    </row>
    <row r="12579" spans="1:14" x14ac:dyDescent="0.25">
      <c r="A12579" t="s">
        <v>44</v>
      </c>
      <c r="B12579" t="s">
        <v>40</v>
      </c>
      <c r="C12579" t="s">
        <v>35</v>
      </c>
      <c r="D12579" t="s">
        <v>34</v>
      </c>
      <c r="E12579" t="s">
        <v>15</v>
      </c>
      <c r="F12579" t="s">
        <v>18</v>
      </c>
      <c r="G12579" s="1" t="str">
        <f t="shared" ref="G12579:M12579" si="2853">"X"</f>
        <v>X</v>
      </c>
      <c r="H12579" s="1" t="str">
        <f t="shared" si="2853"/>
        <v>X</v>
      </c>
      <c r="I12579" s="1" t="str">
        <f t="shared" si="2853"/>
        <v>X</v>
      </c>
      <c r="J12579" s="1" t="str">
        <f t="shared" si="2853"/>
        <v>X</v>
      </c>
      <c r="K12579" s="1" t="str">
        <f t="shared" si="2853"/>
        <v>X</v>
      </c>
      <c r="L12579" s="1" t="str">
        <f t="shared" si="2853"/>
        <v>X</v>
      </c>
      <c r="M12579" s="1" t="str">
        <f t="shared" si="2853"/>
        <v>X</v>
      </c>
      <c r="N12579" t="s">
        <v>27</v>
      </c>
    </row>
    <row r="12580" spans="1:14" x14ac:dyDescent="0.25">
      <c r="A12580" t="s">
        <v>44</v>
      </c>
      <c r="B12580" t="s">
        <v>40</v>
      </c>
      <c r="C12580" t="s">
        <v>35</v>
      </c>
      <c r="D12580" t="s">
        <v>34</v>
      </c>
      <c r="E12580" t="s">
        <v>15</v>
      </c>
      <c r="F12580" t="s">
        <v>19</v>
      </c>
      <c r="G12580" s="1" t="str">
        <f t="shared" ref="G12580:M12580" si="2854">"..."</f>
        <v>...</v>
      </c>
      <c r="H12580" s="1" t="str">
        <f t="shared" si="2854"/>
        <v>...</v>
      </c>
      <c r="I12580" s="1" t="str">
        <f t="shared" si="2854"/>
        <v>...</v>
      </c>
      <c r="J12580" s="1" t="str">
        <f t="shared" si="2854"/>
        <v>...</v>
      </c>
      <c r="K12580" s="1" t="str">
        <f t="shared" si="2854"/>
        <v>...</v>
      </c>
      <c r="L12580" s="1" t="str">
        <f t="shared" si="2854"/>
        <v>...</v>
      </c>
      <c r="M12580" s="1" t="str">
        <f t="shared" si="2854"/>
        <v>...</v>
      </c>
      <c r="N12580" t="s">
        <v>30</v>
      </c>
    </row>
    <row r="12581" spans="1:14" x14ac:dyDescent="0.25">
      <c r="A12581" t="s">
        <v>44</v>
      </c>
      <c r="B12581" t="s">
        <v>40</v>
      </c>
      <c r="C12581" t="s">
        <v>35</v>
      </c>
      <c r="D12581" t="s">
        <v>34</v>
      </c>
      <c r="E12581" t="s">
        <v>15</v>
      </c>
      <c r="F12581" t="s">
        <v>20</v>
      </c>
      <c r="G12581" s="1" t="str">
        <f t="shared" ref="G12581:M12582" si="2855">"X"</f>
        <v>X</v>
      </c>
      <c r="H12581" s="1" t="str">
        <f t="shared" si="2855"/>
        <v>X</v>
      </c>
      <c r="I12581" s="1" t="str">
        <f t="shared" si="2855"/>
        <v>X</v>
      </c>
      <c r="J12581" s="1" t="str">
        <f t="shared" si="2855"/>
        <v>X</v>
      </c>
      <c r="K12581" s="1" t="str">
        <f t="shared" si="2855"/>
        <v>X</v>
      </c>
      <c r="L12581" s="1" t="str">
        <f t="shared" si="2855"/>
        <v>X</v>
      </c>
      <c r="M12581" s="1" t="str">
        <f t="shared" si="2855"/>
        <v>X</v>
      </c>
      <c r="N12581" t="s">
        <v>27</v>
      </c>
    </row>
    <row r="12582" spans="1:14" x14ac:dyDescent="0.25">
      <c r="A12582" t="s">
        <v>44</v>
      </c>
      <c r="B12582" t="s">
        <v>40</v>
      </c>
      <c r="C12582" t="s">
        <v>35</v>
      </c>
      <c r="D12582" t="s">
        <v>34</v>
      </c>
      <c r="E12582" t="s">
        <v>21</v>
      </c>
      <c r="F12582" t="s">
        <v>15</v>
      </c>
      <c r="G12582" s="1" t="str">
        <f t="shared" si="2855"/>
        <v>X</v>
      </c>
      <c r="H12582" s="1" t="str">
        <f t="shared" si="2855"/>
        <v>X</v>
      </c>
      <c r="I12582" s="1" t="str">
        <f t="shared" si="2855"/>
        <v>X</v>
      </c>
      <c r="J12582" s="1" t="str">
        <f t="shared" si="2855"/>
        <v>X</v>
      </c>
      <c r="K12582" s="1" t="str">
        <f t="shared" si="2855"/>
        <v>X</v>
      </c>
      <c r="L12582" s="1" t="str">
        <f t="shared" si="2855"/>
        <v>X</v>
      </c>
      <c r="M12582" s="1" t="str">
        <f t="shared" si="2855"/>
        <v>X</v>
      </c>
      <c r="N12582" t="s">
        <v>27</v>
      </c>
    </row>
    <row r="12583" spans="1:14" x14ac:dyDescent="0.25">
      <c r="A12583" t="s">
        <v>44</v>
      </c>
      <c r="B12583" t="s">
        <v>40</v>
      </c>
      <c r="C12583" t="s">
        <v>35</v>
      </c>
      <c r="D12583" t="s">
        <v>34</v>
      </c>
      <c r="E12583" t="s">
        <v>21</v>
      </c>
      <c r="F12583" t="s">
        <v>17</v>
      </c>
      <c r="G12583" s="1" t="str">
        <f t="shared" ref="G12583:M12583" si="2856">"..."</f>
        <v>...</v>
      </c>
      <c r="H12583" s="1" t="str">
        <f t="shared" si="2856"/>
        <v>...</v>
      </c>
      <c r="I12583" s="1" t="str">
        <f t="shared" si="2856"/>
        <v>...</v>
      </c>
      <c r="J12583" s="1" t="str">
        <f t="shared" si="2856"/>
        <v>...</v>
      </c>
      <c r="K12583" s="1" t="str">
        <f t="shared" si="2856"/>
        <v>...</v>
      </c>
      <c r="L12583" s="1" t="str">
        <f t="shared" si="2856"/>
        <v>...</v>
      </c>
      <c r="M12583" s="1" t="str">
        <f t="shared" si="2856"/>
        <v>...</v>
      </c>
      <c r="N12583" t="s">
        <v>30</v>
      </c>
    </row>
    <row r="12584" spans="1:14" x14ac:dyDescent="0.25">
      <c r="A12584" t="s">
        <v>44</v>
      </c>
      <c r="B12584" t="s">
        <v>40</v>
      </c>
      <c r="C12584" t="s">
        <v>35</v>
      </c>
      <c r="D12584" t="s">
        <v>34</v>
      </c>
      <c r="E12584" t="s">
        <v>21</v>
      </c>
      <c r="F12584" t="s">
        <v>18</v>
      </c>
      <c r="G12584" s="1" t="str">
        <f t="shared" ref="G12584:M12584" si="2857">"X"</f>
        <v>X</v>
      </c>
      <c r="H12584" s="1" t="str">
        <f t="shared" si="2857"/>
        <v>X</v>
      </c>
      <c r="I12584" s="1" t="str">
        <f t="shared" si="2857"/>
        <v>X</v>
      </c>
      <c r="J12584" s="1" t="str">
        <f t="shared" si="2857"/>
        <v>X</v>
      </c>
      <c r="K12584" s="1" t="str">
        <f t="shared" si="2857"/>
        <v>X</v>
      </c>
      <c r="L12584" s="1" t="str">
        <f t="shared" si="2857"/>
        <v>X</v>
      </c>
      <c r="M12584" s="1" t="str">
        <f t="shared" si="2857"/>
        <v>X</v>
      </c>
      <c r="N12584" t="s">
        <v>27</v>
      </c>
    </row>
    <row r="12585" spans="1:14" x14ac:dyDescent="0.25">
      <c r="A12585" t="s">
        <v>44</v>
      </c>
      <c r="B12585" t="s">
        <v>40</v>
      </c>
      <c r="C12585" t="s">
        <v>35</v>
      </c>
      <c r="D12585" t="s">
        <v>34</v>
      </c>
      <c r="E12585" t="s">
        <v>21</v>
      </c>
      <c r="F12585" t="s">
        <v>19</v>
      </c>
      <c r="G12585" s="1" t="str">
        <f t="shared" ref="G12585:M12585" si="2858">"..."</f>
        <v>...</v>
      </c>
      <c r="H12585" s="1" t="str">
        <f t="shared" si="2858"/>
        <v>...</v>
      </c>
      <c r="I12585" s="1" t="str">
        <f t="shared" si="2858"/>
        <v>...</v>
      </c>
      <c r="J12585" s="1" t="str">
        <f t="shared" si="2858"/>
        <v>...</v>
      </c>
      <c r="K12585" s="1" t="str">
        <f t="shared" si="2858"/>
        <v>...</v>
      </c>
      <c r="L12585" s="1" t="str">
        <f t="shared" si="2858"/>
        <v>...</v>
      </c>
      <c r="M12585" s="1" t="str">
        <f t="shared" si="2858"/>
        <v>...</v>
      </c>
      <c r="N12585" t="s">
        <v>30</v>
      </c>
    </row>
    <row r="12586" spans="1:14" x14ac:dyDescent="0.25">
      <c r="A12586" t="s">
        <v>44</v>
      </c>
      <c r="B12586" t="s">
        <v>40</v>
      </c>
      <c r="C12586" t="s">
        <v>35</v>
      </c>
      <c r="D12586" t="s">
        <v>34</v>
      </c>
      <c r="E12586" t="s">
        <v>21</v>
      </c>
      <c r="F12586" t="s">
        <v>20</v>
      </c>
      <c r="G12586" s="1" t="str">
        <f t="shared" ref="G12586:M12587" si="2859">"X"</f>
        <v>X</v>
      </c>
      <c r="H12586" s="1" t="str">
        <f t="shared" si="2859"/>
        <v>X</v>
      </c>
      <c r="I12586" s="1" t="str">
        <f t="shared" si="2859"/>
        <v>X</v>
      </c>
      <c r="J12586" s="1" t="str">
        <f t="shared" si="2859"/>
        <v>X</v>
      </c>
      <c r="K12586" s="1" t="str">
        <f t="shared" si="2859"/>
        <v>X</v>
      </c>
      <c r="L12586" s="1" t="str">
        <f t="shared" si="2859"/>
        <v>X</v>
      </c>
      <c r="M12586" s="1" t="str">
        <f t="shared" si="2859"/>
        <v>X</v>
      </c>
      <c r="N12586" t="s">
        <v>27</v>
      </c>
    </row>
    <row r="12587" spans="1:14" x14ac:dyDescent="0.25">
      <c r="A12587" t="s">
        <v>44</v>
      </c>
      <c r="B12587" t="s">
        <v>40</v>
      </c>
      <c r="C12587" t="s">
        <v>35</v>
      </c>
      <c r="D12587" t="s">
        <v>34</v>
      </c>
      <c r="E12587" t="s">
        <v>22</v>
      </c>
      <c r="F12587" t="s">
        <v>15</v>
      </c>
      <c r="G12587" s="1" t="str">
        <f t="shared" si="2859"/>
        <v>X</v>
      </c>
      <c r="H12587" s="1" t="str">
        <f t="shared" si="2859"/>
        <v>X</v>
      </c>
      <c r="I12587" s="1" t="str">
        <f t="shared" si="2859"/>
        <v>X</v>
      </c>
      <c r="J12587" s="1" t="str">
        <f t="shared" si="2859"/>
        <v>X</v>
      </c>
      <c r="K12587" s="1" t="str">
        <f t="shared" si="2859"/>
        <v>X</v>
      </c>
      <c r="L12587" s="1" t="str">
        <f t="shared" si="2859"/>
        <v>X</v>
      </c>
      <c r="M12587" s="1" t="str">
        <f t="shared" si="2859"/>
        <v>X</v>
      </c>
      <c r="N12587" t="s">
        <v>27</v>
      </c>
    </row>
    <row r="12588" spans="1:14" x14ac:dyDescent="0.25">
      <c r="A12588" t="s">
        <v>44</v>
      </c>
      <c r="B12588" t="s">
        <v>40</v>
      </c>
      <c r="C12588" t="s">
        <v>35</v>
      </c>
      <c r="D12588" t="s">
        <v>34</v>
      </c>
      <c r="E12588" t="s">
        <v>22</v>
      </c>
      <c r="F12588" t="s">
        <v>17</v>
      </c>
      <c r="G12588" s="1" t="str">
        <f t="shared" ref="G12588:M12590" si="2860">"..."</f>
        <v>...</v>
      </c>
      <c r="H12588" s="1" t="str">
        <f t="shared" si="2860"/>
        <v>...</v>
      </c>
      <c r="I12588" s="1" t="str">
        <f t="shared" si="2860"/>
        <v>...</v>
      </c>
      <c r="J12588" s="1" t="str">
        <f t="shared" si="2860"/>
        <v>...</v>
      </c>
      <c r="K12588" s="1" t="str">
        <f t="shared" si="2860"/>
        <v>...</v>
      </c>
      <c r="L12588" s="1" t="str">
        <f t="shared" si="2860"/>
        <v>...</v>
      </c>
      <c r="M12588" s="1" t="str">
        <f t="shared" si="2860"/>
        <v>...</v>
      </c>
      <c r="N12588" t="s">
        <v>30</v>
      </c>
    </row>
    <row r="12589" spans="1:14" x14ac:dyDescent="0.25">
      <c r="A12589" t="s">
        <v>44</v>
      </c>
      <c r="B12589" t="s">
        <v>40</v>
      </c>
      <c r="C12589" t="s">
        <v>35</v>
      </c>
      <c r="D12589" t="s">
        <v>34</v>
      </c>
      <c r="E12589" t="s">
        <v>22</v>
      </c>
      <c r="F12589" t="s">
        <v>18</v>
      </c>
      <c r="G12589" s="1" t="str">
        <f t="shared" si="2860"/>
        <v>...</v>
      </c>
      <c r="H12589" s="1" t="str">
        <f t="shared" si="2860"/>
        <v>...</v>
      </c>
      <c r="I12589" s="1" t="str">
        <f t="shared" si="2860"/>
        <v>...</v>
      </c>
      <c r="J12589" s="1" t="str">
        <f t="shared" si="2860"/>
        <v>...</v>
      </c>
      <c r="K12589" s="1" t="str">
        <f t="shared" si="2860"/>
        <v>...</v>
      </c>
      <c r="L12589" s="1" t="str">
        <f t="shared" si="2860"/>
        <v>...</v>
      </c>
      <c r="M12589" s="1" t="str">
        <f t="shared" si="2860"/>
        <v>...</v>
      </c>
      <c r="N12589" t="s">
        <v>30</v>
      </c>
    </row>
    <row r="12590" spans="1:14" x14ac:dyDescent="0.25">
      <c r="A12590" t="s">
        <v>44</v>
      </c>
      <c r="B12590" t="s">
        <v>40</v>
      </c>
      <c r="C12590" t="s">
        <v>35</v>
      </c>
      <c r="D12590" t="s">
        <v>34</v>
      </c>
      <c r="E12590" t="s">
        <v>22</v>
      </c>
      <c r="F12590" t="s">
        <v>19</v>
      </c>
      <c r="G12590" s="1" t="str">
        <f t="shared" si="2860"/>
        <v>...</v>
      </c>
      <c r="H12590" s="1" t="str">
        <f t="shared" si="2860"/>
        <v>...</v>
      </c>
      <c r="I12590" s="1" t="str">
        <f t="shared" si="2860"/>
        <v>...</v>
      </c>
      <c r="J12590" s="1" t="str">
        <f t="shared" si="2860"/>
        <v>...</v>
      </c>
      <c r="K12590" s="1" t="str">
        <f t="shared" si="2860"/>
        <v>...</v>
      </c>
      <c r="L12590" s="1" t="str">
        <f t="shared" si="2860"/>
        <v>...</v>
      </c>
      <c r="M12590" s="1" t="str">
        <f t="shared" si="2860"/>
        <v>...</v>
      </c>
      <c r="N12590" t="s">
        <v>30</v>
      </c>
    </row>
    <row r="12591" spans="1:14" x14ac:dyDescent="0.25">
      <c r="A12591" t="s">
        <v>44</v>
      </c>
      <c r="B12591" t="s">
        <v>40</v>
      </c>
      <c r="C12591" t="s">
        <v>35</v>
      </c>
      <c r="D12591" t="s">
        <v>34</v>
      </c>
      <c r="E12591" t="s">
        <v>22</v>
      </c>
      <c r="F12591" t="s">
        <v>20</v>
      </c>
      <c r="G12591" s="1" t="str">
        <f t="shared" ref="G12591:M12592" si="2861">"X"</f>
        <v>X</v>
      </c>
      <c r="H12591" s="1" t="str">
        <f t="shared" si="2861"/>
        <v>X</v>
      </c>
      <c r="I12591" s="1" t="str">
        <f t="shared" si="2861"/>
        <v>X</v>
      </c>
      <c r="J12591" s="1" t="str">
        <f t="shared" si="2861"/>
        <v>X</v>
      </c>
      <c r="K12591" s="1" t="str">
        <f t="shared" si="2861"/>
        <v>X</v>
      </c>
      <c r="L12591" s="1" t="str">
        <f t="shared" si="2861"/>
        <v>X</v>
      </c>
      <c r="M12591" s="1" t="str">
        <f t="shared" si="2861"/>
        <v>X</v>
      </c>
      <c r="N12591" t="s">
        <v>27</v>
      </c>
    </row>
    <row r="12592" spans="1:14" x14ac:dyDescent="0.25">
      <c r="A12592" t="s">
        <v>44</v>
      </c>
      <c r="B12592" t="s">
        <v>40</v>
      </c>
      <c r="C12592" t="s">
        <v>35</v>
      </c>
      <c r="D12592" t="s">
        <v>34</v>
      </c>
      <c r="E12592" t="s">
        <v>23</v>
      </c>
      <c r="F12592" t="s">
        <v>15</v>
      </c>
      <c r="G12592" s="1" t="str">
        <f t="shared" si="2861"/>
        <v>X</v>
      </c>
      <c r="H12592" s="1" t="str">
        <f t="shared" si="2861"/>
        <v>X</v>
      </c>
      <c r="I12592" s="1" t="str">
        <f t="shared" si="2861"/>
        <v>X</v>
      </c>
      <c r="J12592" s="1" t="str">
        <f t="shared" si="2861"/>
        <v>X</v>
      </c>
      <c r="K12592" s="1" t="str">
        <f t="shared" si="2861"/>
        <v>X</v>
      </c>
      <c r="L12592" s="1" t="str">
        <f t="shared" si="2861"/>
        <v>X</v>
      </c>
      <c r="M12592" s="1" t="str">
        <f t="shared" si="2861"/>
        <v>X</v>
      </c>
      <c r="N12592" t="s">
        <v>27</v>
      </c>
    </row>
    <row r="12593" spans="1:14" x14ac:dyDescent="0.25">
      <c r="A12593" t="s">
        <v>44</v>
      </c>
      <c r="B12593" t="s">
        <v>40</v>
      </c>
      <c r="C12593" t="s">
        <v>35</v>
      </c>
      <c r="D12593" t="s">
        <v>34</v>
      </c>
      <c r="E12593" t="s">
        <v>23</v>
      </c>
      <c r="F12593" t="s">
        <v>17</v>
      </c>
      <c r="G12593" s="1" t="str">
        <f t="shared" ref="G12593:M12595" si="2862">"..."</f>
        <v>...</v>
      </c>
      <c r="H12593" s="1" t="str">
        <f t="shared" si="2862"/>
        <v>...</v>
      </c>
      <c r="I12593" s="1" t="str">
        <f t="shared" si="2862"/>
        <v>...</v>
      </c>
      <c r="J12593" s="1" t="str">
        <f t="shared" si="2862"/>
        <v>...</v>
      </c>
      <c r="K12593" s="1" t="str">
        <f t="shared" si="2862"/>
        <v>...</v>
      </c>
      <c r="L12593" s="1" t="str">
        <f t="shared" si="2862"/>
        <v>...</v>
      </c>
      <c r="M12593" s="1" t="str">
        <f t="shared" si="2862"/>
        <v>...</v>
      </c>
      <c r="N12593" t="s">
        <v>30</v>
      </c>
    </row>
    <row r="12594" spans="1:14" x14ac:dyDescent="0.25">
      <c r="A12594" t="s">
        <v>44</v>
      </c>
      <c r="B12594" t="s">
        <v>40</v>
      </c>
      <c r="C12594" t="s">
        <v>35</v>
      </c>
      <c r="D12594" t="s">
        <v>34</v>
      </c>
      <c r="E12594" t="s">
        <v>23</v>
      </c>
      <c r="F12594" t="s">
        <v>18</v>
      </c>
      <c r="G12594" s="1" t="str">
        <f t="shared" si="2862"/>
        <v>...</v>
      </c>
      <c r="H12594" s="1" t="str">
        <f t="shared" si="2862"/>
        <v>...</v>
      </c>
      <c r="I12594" s="1" t="str">
        <f t="shared" si="2862"/>
        <v>...</v>
      </c>
      <c r="J12594" s="1" t="str">
        <f t="shared" si="2862"/>
        <v>...</v>
      </c>
      <c r="K12594" s="1" t="str">
        <f t="shared" si="2862"/>
        <v>...</v>
      </c>
      <c r="L12594" s="1" t="str">
        <f t="shared" si="2862"/>
        <v>...</v>
      </c>
      <c r="M12594" s="1" t="str">
        <f t="shared" si="2862"/>
        <v>...</v>
      </c>
      <c r="N12594" t="s">
        <v>30</v>
      </c>
    </row>
    <row r="12595" spans="1:14" x14ac:dyDescent="0.25">
      <c r="A12595" t="s">
        <v>44</v>
      </c>
      <c r="B12595" t="s">
        <v>40</v>
      </c>
      <c r="C12595" t="s">
        <v>35</v>
      </c>
      <c r="D12595" t="s">
        <v>34</v>
      </c>
      <c r="E12595" t="s">
        <v>23</v>
      </c>
      <c r="F12595" t="s">
        <v>19</v>
      </c>
      <c r="G12595" s="1" t="str">
        <f t="shared" si="2862"/>
        <v>...</v>
      </c>
      <c r="H12595" s="1" t="str">
        <f t="shared" si="2862"/>
        <v>...</v>
      </c>
      <c r="I12595" s="1" t="str">
        <f t="shared" si="2862"/>
        <v>...</v>
      </c>
      <c r="J12595" s="1" t="str">
        <f t="shared" si="2862"/>
        <v>...</v>
      </c>
      <c r="K12595" s="1" t="str">
        <f t="shared" si="2862"/>
        <v>...</v>
      </c>
      <c r="L12595" s="1" t="str">
        <f t="shared" si="2862"/>
        <v>...</v>
      </c>
      <c r="M12595" s="1" t="str">
        <f t="shared" si="2862"/>
        <v>...</v>
      </c>
      <c r="N12595" t="s">
        <v>30</v>
      </c>
    </row>
    <row r="12596" spans="1:14" x14ac:dyDescent="0.25">
      <c r="A12596" t="s">
        <v>44</v>
      </c>
      <c r="B12596" t="s">
        <v>40</v>
      </c>
      <c r="C12596" t="s">
        <v>35</v>
      </c>
      <c r="D12596" t="s">
        <v>34</v>
      </c>
      <c r="E12596" t="s">
        <v>23</v>
      </c>
      <c r="F12596" t="s">
        <v>20</v>
      </c>
      <c r="G12596" s="1" t="str">
        <f t="shared" ref="G12596:M12596" si="2863">"X"</f>
        <v>X</v>
      </c>
      <c r="H12596" s="1" t="str">
        <f t="shared" si="2863"/>
        <v>X</v>
      </c>
      <c r="I12596" s="1" t="str">
        <f t="shared" si="2863"/>
        <v>X</v>
      </c>
      <c r="J12596" s="1" t="str">
        <f t="shared" si="2863"/>
        <v>X</v>
      </c>
      <c r="K12596" s="1" t="str">
        <f t="shared" si="2863"/>
        <v>X</v>
      </c>
      <c r="L12596" s="1" t="str">
        <f t="shared" si="2863"/>
        <v>X</v>
      </c>
      <c r="M12596" s="1" t="str">
        <f t="shared" si="2863"/>
        <v>X</v>
      </c>
      <c r="N12596" t="s">
        <v>27</v>
      </c>
    </row>
    <row r="12597" spans="1:14" x14ac:dyDescent="0.25">
      <c r="A12597" t="s">
        <v>44</v>
      </c>
      <c r="B12597" t="s">
        <v>40</v>
      </c>
      <c r="C12597" t="s">
        <v>35</v>
      </c>
      <c r="D12597" t="s">
        <v>34</v>
      </c>
      <c r="E12597" t="s">
        <v>26</v>
      </c>
      <c r="F12597" t="s">
        <v>15</v>
      </c>
      <c r="G12597" s="1" t="str">
        <f t="shared" ref="G12597:M12601" si="2864">"..."</f>
        <v>...</v>
      </c>
      <c r="H12597" s="1" t="str">
        <f t="shared" si="2864"/>
        <v>...</v>
      </c>
      <c r="I12597" s="1" t="str">
        <f t="shared" si="2864"/>
        <v>...</v>
      </c>
      <c r="J12597" s="1" t="str">
        <f t="shared" si="2864"/>
        <v>...</v>
      </c>
      <c r="K12597" s="1" t="str">
        <f t="shared" si="2864"/>
        <v>...</v>
      </c>
      <c r="L12597" s="1" t="str">
        <f t="shared" si="2864"/>
        <v>...</v>
      </c>
      <c r="M12597" s="1" t="str">
        <f t="shared" si="2864"/>
        <v>...</v>
      </c>
      <c r="N12597" t="s">
        <v>30</v>
      </c>
    </row>
    <row r="12598" spans="1:14" x14ac:dyDescent="0.25">
      <c r="A12598" t="s">
        <v>44</v>
      </c>
      <c r="B12598" t="s">
        <v>40</v>
      </c>
      <c r="C12598" t="s">
        <v>35</v>
      </c>
      <c r="D12598" t="s">
        <v>34</v>
      </c>
      <c r="E12598" t="s">
        <v>26</v>
      </c>
      <c r="F12598" t="s">
        <v>17</v>
      </c>
      <c r="G12598" s="1" t="str">
        <f t="shared" si="2864"/>
        <v>...</v>
      </c>
      <c r="H12598" s="1" t="str">
        <f t="shared" si="2864"/>
        <v>...</v>
      </c>
      <c r="I12598" s="1" t="str">
        <f t="shared" si="2864"/>
        <v>...</v>
      </c>
      <c r="J12598" s="1" t="str">
        <f t="shared" si="2864"/>
        <v>...</v>
      </c>
      <c r="K12598" s="1" t="str">
        <f t="shared" si="2864"/>
        <v>...</v>
      </c>
      <c r="L12598" s="1" t="str">
        <f t="shared" si="2864"/>
        <v>...</v>
      </c>
      <c r="M12598" s="1" t="str">
        <f t="shared" si="2864"/>
        <v>...</v>
      </c>
      <c r="N12598" t="s">
        <v>30</v>
      </c>
    </row>
    <row r="12599" spans="1:14" x14ac:dyDescent="0.25">
      <c r="A12599" t="s">
        <v>44</v>
      </c>
      <c r="B12599" t="s">
        <v>40</v>
      </c>
      <c r="C12599" t="s">
        <v>35</v>
      </c>
      <c r="D12599" t="s">
        <v>34</v>
      </c>
      <c r="E12599" t="s">
        <v>26</v>
      </c>
      <c r="F12599" t="s">
        <v>18</v>
      </c>
      <c r="G12599" s="1" t="str">
        <f t="shared" si="2864"/>
        <v>...</v>
      </c>
      <c r="H12599" s="1" t="str">
        <f t="shared" si="2864"/>
        <v>...</v>
      </c>
      <c r="I12599" s="1" t="str">
        <f t="shared" si="2864"/>
        <v>...</v>
      </c>
      <c r="J12599" s="1" t="str">
        <f t="shared" si="2864"/>
        <v>...</v>
      </c>
      <c r="K12599" s="1" t="str">
        <f t="shared" si="2864"/>
        <v>...</v>
      </c>
      <c r="L12599" s="1" t="str">
        <f t="shared" si="2864"/>
        <v>...</v>
      </c>
      <c r="M12599" s="1" t="str">
        <f t="shared" si="2864"/>
        <v>...</v>
      </c>
      <c r="N12599" t="s">
        <v>30</v>
      </c>
    </row>
    <row r="12600" spans="1:14" x14ac:dyDescent="0.25">
      <c r="A12600" t="s">
        <v>44</v>
      </c>
      <c r="B12600" t="s">
        <v>40</v>
      </c>
      <c r="C12600" t="s">
        <v>35</v>
      </c>
      <c r="D12600" t="s">
        <v>34</v>
      </c>
      <c r="E12600" t="s">
        <v>26</v>
      </c>
      <c r="F12600" t="s">
        <v>19</v>
      </c>
      <c r="G12600" s="1" t="str">
        <f t="shared" si="2864"/>
        <v>...</v>
      </c>
      <c r="H12600" s="1" t="str">
        <f t="shared" si="2864"/>
        <v>...</v>
      </c>
      <c r="I12600" s="1" t="str">
        <f t="shared" si="2864"/>
        <v>...</v>
      </c>
      <c r="J12600" s="1" t="str">
        <f t="shared" si="2864"/>
        <v>...</v>
      </c>
      <c r="K12600" s="1" t="str">
        <f t="shared" si="2864"/>
        <v>...</v>
      </c>
      <c r="L12600" s="1" t="str">
        <f t="shared" si="2864"/>
        <v>...</v>
      </c>
      <c r="M12600" s="1" t="str">
        <f t="shared" si="2864"/>
        <v>...</v>
      </c>
      <c r="N12600" t="s">
        <v>30</v>
      </c>
    </row>
    <row r="12601" spans="1:14" x14ac:dyDescent="0.25">
      <c r="A12601" t="s">
        <v>44</v>
      </c>
      <c r="B12601" t="s">
        <v>40</v>
      </c>
      <c r="C12601" t="s">
        <v>35</v>
      </c>
      <c r="D12601" t="s">
        <v>34</v>
      </c>
      <c r="E12601" t="s">
        <v>26</v>
      </c>
      <c r="F12601" t="s">
        <v>20</v>
      </c>
      <c r="G12601" s="1" t="str">
        <f t="shared" si="2864"/>
        <v>...</v>
      </c>
      <c r="H12601" s="1" t="str">
        <f t="shared" si="2864"/>
        <v>...</v>
      </c>
      <c r="I12601" s="1" t="str">
        <f t="shared" si="2864"/>
        <v>...</v>
      </c>
      <c r="J12601" s="1" t="str">
        <f t="shared" si="2864"/>
        <v>...</v>
      </c>
      <c r="K12601" s="1" t="str">
        <f t="shared" si="2864"/>
        <v>...</v>
      </c>
      <c r="L12601" s="1" t="str">
        <f t="shared" si="2864"/>
        <v>...</v>
      </c>
      <c r="M12601" s="1" t="str">
        <f t="shared" si="2864"/>
        <v>...</v>
      </c>
      <c r="N12601" t="s">
        <v>30</v>
      </c>
    </row>
    <row r="12602" spans="1:14" x14ac:dyDescent="0.25">
      <c r="A12602" t="s">
        <v>44</v>
      </c>
      <c r="B12602" t="s">
        <v>40</v>
      </c>
      <c r="C12602" t="s">
        <v>36</v>
      </c>
      <c r="D12602" t="s">
        <v>15</v>
      </c>
      <c r="E12602" t="s">
        <v>15</v>
      </c>
      <c r="F12602" t="s">
        <v>15</v>
      </c>
      <c r="G12602" s="1">
        <f>VALUE(11996.93)</f>
        <v>11996.93</v>
      </c>
      <c r="H12602" s="1">
        <f>VALUE(10128.73)</f>
        <v>10128.73</v>
      </c>
      <c r="I12602" s="1">
        <f>VALUE(3205)</f>
        <v>3205</v>
      </c>
      <c r="J12602" s="1">
        <f>VALUE(3558)</f>
        <v>3558</v>
      </c>
      <c r="K12602" s="1">
        <f>VALUE(4377)</f>
        <v>4377</v>
      </c>
      <c r="L12602" s="1">
        <f>VALUE(5230)</f>
        <v>5230</v>
      </c>
      <c r="M12602" s="1">
        <f>VALUE(6289)</f>
        <v>6289</v>
      </c>
      <c r="N12602" t="s">
        <v>16</v>
      </c>
    </row>
    <row r="12603" spans="1:14" x14ac:dyDescent="0.25">
      <c r="A12603" t="s">
        <v>44</v>
      </c>
      <c r="B12603" t="s">
        <v>40</v>
      </c>
      <c r="C12603" t="s">
        <v>36</v>
      </c>
      <c r="D12603" t="s">
        <v>15</v>
      </c>
      <c r="E12603" t="s">
        <v>15</v>
      </c>
      <c r="F12603" t="s">
        <v>17</v>
      </c>
      <c r="G12603" s="2">
        <f>VALUE(706.96)</f>
        <v>706.96</v>
      </c>
      <c r="H12603" s="3">
        <f>VALUE(665.2)</f>
        <v>665.2</v>
      </c>
      <c r="I12603" s="4">
        <f>VALUE(4007)</f>
        <v>4007</v>
      </c>
      <c r="J12603" s="5">
        <f>VALUE(4595)</f>
        <v>4595</v>
      </c>
      <c r="K12603" s="6">
        <f>VALUE(4900)</f>
        <v>4900</v>
      </c>
      <c r="L12603" s="7">
        <f>VALUE(5984)</f>
        <v>5984</v>
      </c>
      <c r="M12603" s="8">
        <f>VALUE(7582)</f>
        <v>7582</v>
      </c>
      <c r="N12603" t="s">
        <v>24</v>
      </c>
    </row>
    <row r="12604" spans="1:14" x14ac:dyDescent="0.25">
      <c r="A12604" t="s">
        <v>44</v>
      </c>
      <c r="B12604" t="s">
        <v>40</v>
      </c>
      <c r="C12604" t="s">
        <v>36</v>
      </c>
      <c r="D12604" t="s">
        <v>15</v>
      </c>
      <c r="E12604" t="s">
        <v>15</v>
      </c>
      <c r="F12604" t="s">
        <v>18</v>
      </c>
      <c r="G12604" s="2">
        <f>VALUE(749.59)</f>
        <v>749.59</v>
      </c>
      <c r="H12604" s="3">
        <f>VALUE(635.95)</f>
        <v>635.95000000000005</v>
      </c>
      <c r="I12604" s="4">
        <f>VALUE(3535)</f>
        <v>3535</v>
      </c>
      <c r="J12604" s="1">
        <f>VALUE(4377)</f>
        <v>4377</v>
      </c>
      <c r="K12604" s="6">
        <f>VALUE(5846)</f>
        <v>5846</v>
      </c>
      <c r="L12604" s="1">
        <f>VALUE(7034)</f>
        <v>7034</v>
      </c>
      <c r="M12604" s="8">
        <f>VALUE(8443)</f>
        <v>8443</v>
      </c>
      <c r="N12604" t="s">
        <v>25</v>
      </c>
    </row>
    <row r="12605" spans="1:14" x14ac:dyDescent="0.25">
      <c r="A12605" t="s">
        <v>44</v>
      </c>
      <c r="B12605" t="s">
        <v>40</v>
      </c>
      <c r="C12605" t="s">
        <v>36</v>
      </c>
      <c r="D12605" t="s">
        <v>15</v>
      </c>
      <c r="E12605" t="s">
        <v>15</v>
      </c>
      <c r="F12605" t="s">
        <v>19</v>
      </c>
      <c r="G12605" s="2">
        <f>VALUE(1464.7)</f>
        <v>1464.7</v>
      </c>
      <c r="H12605" s="3">
        <f>VALUE(1279.37)</f>
        <v>1279.3699999999999</v>
      </c>
      <c r="I12605" s="4">
        <f>VALUE(3370)</f>
        <v>3370</v>
      </c>
      <c r="J12605" s="1">
        <f>VALUE(4066)</f>
        <v>4066</v>
      </c>
      <c r="K12605" s="1">
        <f>VALUE(4721)</f>
        <v>4721</v>
      </c>
      <c r="L12605" s="1">
        <f>VALUE(5319)</f>
        <v>5319</v>
      </c>
      <c r="M12605" s="1">
        <f>VALUE(6249)</f>
        <v>6249</v>
      </c>
      <c r="N12605" t="s">
        <v>25</v>
      </c>
    </row>
    <row r="12606" spans="1:14" x14ac:dyDescent="0.25">
      <c r="A12606" t="s">
        <v>44</v>
      </c>
      <c r="B12606" t="s">
        <v>40</v>
      </c>
      <c r="C12606" t="s">
        <v>36</v>
      </c>
      <c r="D12606" t="s">
        <v>15</v>
      </c>
      <c r="E12606" t="s">
        <v>15</v>
      </c>
      <c r="F12606" t="s">
        <v>20</v>
      </c>
      <c r="G12606" s="1">
        <f>VALUE(9075.68)</f>
        <v>9075.68</v>
      </c>
      <c r="H12606" s="1">
        <f>VALUE(7548.21)</f>
        <v>7548.21</v>
      </c>
      <c r="I12606" s="1">
        <f>VALUE(3147)</f>
        <v>3147</v>
      </c>
      <c r="J12606" s="1">
        <f>VALUE(3457)</f>
        <v>3457</v>
      </c>
      <c r="K12606" s="1">
        <f>VALUE(4119)</f>
        <v>4119</v>
      </c>
      <c r="L12606" s="1">
        <f>VALUE(4971)</f>
        <v>4971</v>
      </c>
      <c r="M12606" s="1">
        <f>VALUE(5884)</f>
        <v>5884</v>
      </c>
      <c r="N12606" t="s">
        <v>16</v>
      </c>
    </row>
    <row r="12607" spans="1:14" x14ac:dyDescent="0.25">
      <c r="A12607" t="s">
        <v>44</v>
      </c>
      <c r="B12607" t="s">
        <v>40</v>
      </c>
      <c r="C12607" t="s">
        <v>36</v>
      </c>
      <c r="D12607" t="s">
        <v>15</v>
      </c>
      <c r="E12607" t="s">
        <v>21</v>
      </c>
      <c r="F12607" t="s">
        <v>15</v>
      </c>
      <c r="G12607" s="1">
        <f>VALUE(4356.54)</f>
        <v>4356.54</v>
      </c>
      <c r="H12607" s="1">
        <f>VALUE(3770.37)</f>
        <v>3770.37</v>
      </c>
      <c r="I12607" s="1">
        <f>VALUE(3416)</f>
        <v>3416</v>
      </c>
      <c r="J12607" s="1">
        <f>VALUE(4235)</f>
        <v>4235</v>
      </c>
      <c r="K12607" s="1">
        <f>VALUE(4993)</f>
        <v>4993</v>
      </c>
      <c r="L12607" s="1">
        <f>VALUE(6038)</f>
        <v>6038</v>
      </c>
      <c r="M12607" s="1">
        <f>VALUE(7214)</f>
        <v>7214</v>
      </c>
      <c r="N12607" t="s">
        <v>16</v>
      </c>
    </row>
    <row r="12608" spans="1:14" x14ac:dyDescent="0.25">
      <c r="A12608" t="s">
        <v>44</v>
      </c>
      <c r="B12608" t="s">
        <v>40</v>
      </c>
      <c r="C12608" t="s">
        <v>36</v>
      </c>
      <c r="D12608" t="s">
        <v>15</v>
      </c>
      <c r="E12608" t="s">
        <v>21</v>
      </c>
      <c r="F12608" t="s">
        <v>17</v>
      </c>
      <c r="G12608" s="2">
        <f>VALUE(373.96)</f>
        <v>373.96</v>
      </c>
      <c r="H12608" s="3">
        <f>VALUE(348.08)</f>
        <v>348.08</v>
      </c>
      <c r="I12608" s="4">
        <f>VALUE(4156)</f>
        <v>4156</v>
      </c>
      <c r="J12608" s="5">
        <f>VALUE(4332)</f>
        <v>4332</v>
      </c>
      <c r="K12608" s="1">
        <f>VALUE(5975)</f>
        <v>5975</v>
      </c>
      <c r="L12608" s="1">
        <f>VALUE(7077)</f>
        <v>7077</v>
      </c>
      <c r="M12608" s="8">
        <f>VALUE(8537)</f>
        <v>8537</v>
      </c>
      <c r="N12608" t="s">
        <v>25</v>
      </c>
    </row>
    <row r="12609" spans="1:14" x14ac:dyDescent="0.25">
      <c r="A12609" t="s">
        <v>44</v>
      </c>
      <c r="B12609" t="s">
        <v>40</v>
      </c>
      <c r="C12609" t="s">
        <v>36</v>
      </c>
      <c r="D12609" t="s">
        <v>15</v>
      </c>
      <c r="E12609" t="s">
        <v>21</v>
      </c>
      <c r="F12609" t="s">
        <v>18</v>
      </c>
      <c r="G12609" s="2">
        <f>VALUE(462.84)</f>
        <v>462.84</v>
      </c>
      <c r="H12609" s="3">
        <f>VALUE(384.74)</f>
        <v>384.74</v>
      </c>
      <c r="I12609" s="4">
        <f>VALUE(3894)</f>
        <v>3894</v>
      </c>
      <c r="J12609" s="5">
        <f>VALUE(4748)</f>
        <v>4748</v>
      </c>
      <c r="K12609" s="1">
        <f>VALUE(6282)</f>
        <v>6282</v>
      </c>
      <c r="L12609" s="1">
        <f>VALUE(7127)</f>
        <v>7127</v>
      </c>
      <c r="M12609" s="1">
        <f>VALUE(8340)</f>
        <v>8340</v>
      </c>
      <c r="N12609" t="s">
        <v>25</v>
      </c>
    </row>
    <row r="12610" spans="1:14" x14ac:dyDescent="0.25">
      <c r="A12610" t="s">
        <v>44</v>
      </c>
      <c r="B12610" t="s">
        <v>40</v>
      </c>
      <c r="C12610" t="s">
        <v>36</v>
      </c>
      <c r="D12610" t="s">
        <v>15</v>
      </c>
      <c r="E12610" t="s">
        <v>21</v>
      </c>
      <c r="F12610" t="s">
        <v>19</v>
      </c>
      <c r="G12610" s="2">
        <f>VALUE(641.18)</f>
        <v>641.17999999999995</v>
      </c>
      <c r="H12610" s="3">
        <f>VALUE(520.94)</f>
        <v>520.94000000000005</v>
      </c>
      <c r="I12610" s="1">
        <f>VALUE(3755)</f>
        <v>3755</v>
      </c>
      <c r="J12610" s="5">
        <f>VALUE(4644)</f>
        <v>4644</v>
      </c>
      <c r="K12610" s="1">
        <f>VALUE(5119)</f>
        <v>5119</v>
      </c>
      <c r="L12610" s="1">
        <f>VALUE(6006)</f>
        <v>6006</v>
      </c>
      <c r="M12610" s="1">
        <f>VALUE(6786)</f>
        <v>6786</v>
      </c>
      <c r="N12610" t="s">
        <v>25</v>
      </c>
    </row>
    <row r="12611" spans="1:14" x14ac:dyDescent="0.25">
      <c r="A12611" t="s">
        <v>44</v>
      </c>
      <c r="B12611" t="s">
        <v>40</v>
      </c>
      <c r="C12611" t="s">
        <v>36</v>
      </c>
      <c r="D12611" t="s">
        <v>15</v>
      </c>
      <c r="E12611" t="s">
        <v>21</v>
      </c>
      <c r="F12611" t="s">
        <v>20</v>
      </c>
      <c r="G12611" s="2">
        <f>VALUE(2878.56)</f>
        <v>2878.56</v>
      </c>
      <c r="H12611" s="3">
        <f>VALUE(2516.61)</f>
        <v>2516.61</v>
      </c>
      <c r="I12611" s="1">
        <f>VALUE(3294)</f>
        <v>3294</v>
      </c>
      <c r="J12611" s="1">
        <f>VALUE(3938)</f>
        <v>3938</v>
      </c>
      <c r="K12611" s="1">
        <f>VALUE(4783)</f>
        <v>4783</v>
      </c>
      <c r="L12611" s="1">
        <f>VALUE(5686)</f>
        <v>5686</v>
      </c>
      <c r="M12611" s="1">
        <f>VALUE(6703)</f>
        <v>6703</v>
      </c>
      <c r="N12611" t="s">
        <v>25</v>
      </c>
    </row>
    <row r="12612" spans="1:14" x14ac:dyDescent="0.25">
      <c r="A12612" t="s">
        <v>44</v>
      </c>
      <c r="B12612" t="s">
        <v>40</v>
      </c>
      <c r="C12612" t="s">
        <v>36</v>
      </c>
      <c r="D12612" t="s">
        <v>15</v>
      </c>
      <c r="E12612" t="s">
        <v>22</v>
      </c>
      <c r="F12612" t="s">
        <v>15</v>
      </c>
      <c r="G12612" s="1">
        <f>VALUE(4619.19)</f>
        <v>4619.1899999999996</v>
      </c>
      <c r="H12612" s="3">
        <f>VALUE(4051.64)</f>
        <v>4051.64</v>
      </c>
      <c r="I12612" s="1">
        <f>VALUE(3381)</f>
        <v>3381</v>
      </c>
      <c r="J12612" s="1">
        <f>VALUE(3844)</f>
        <v>3844</v>
      </c>
      <c r="K12612" s="1">
        <f>VALUE(4456)</f>
        <v>4456</v>
      </c>
      <c r="L12612" s="1">
        <f>VALUE(5057)</f>
        <v>5057</v>
      </c>
      <c r="M12612" s="1">
        <f>VALUE(5853)</f>
        <v>5853</v>
      </c>
      <c r="N12612" t="s">
        <v>25</v>
      </c>
    </row>
    <row r="12613" spans="1:14" x14ac:dyDescent="0.25">
      <c r="A12613" t="s">
        <v>44</v>
      </c>
      <c r="B12613" t="s">
        <v>40</v>
      </c>
      <c r="C12613" t="s">
        <v>36</v>
      </c>
      <c r="D12613" t="s">
        <v>15</v>
      </c>
      <c r="E12613" t="s">
        <v>22</v>
      </c>
      <c r="F12613" t="s">
        <v>17</v>
      </c>
      <c r="G12613" s="1" t="str">
        <f t="shared" ref="G12613:M12613" si="2865">"X"</f>
        <v>X</v>
      </c>
      <c r="H12613" s="1" t="str">
        <f t="shared" si="2865"/>
        <v>X</v>
      </c>
      <c r="I12613" s="1" t="str">
        <f t="shared" si="2865"/>
        <v>X</v>
      </c>
      <c r="J12613" s="1" t="str">
        <f t="shared" si="2865"/>
        <v>X</v>
      </c>
      <c r="K12613" s="1" t="str">
        <f t="shared" si="2865"/>
        <v>X</v>
      </c>
      <c r="L12613" s="1" t="str">
        <f t="shared" si="2865"/>
        <v>X</v>
      </c>
      <c r="M12613" s="1" t="str">
        <f t="shared" si="2865"/>
        <v>X</v>
      </c>
      <c r="N12613" t="s">
        <v>27</v>
      </c>
    </row>
    <row r="12614" spans="1:14" x14ac:dyDescent="0.25">
      <c r="A12614" t="s">
        <v>44</v>
      </c>
      <c r="B12614" t="s">
        <v>40</v>
      </c>
      <c r="C12614" t="s">
        <v>36</v>
      </c>
      <c r="D12614" t="s">
        <v>15</v>
      </c>
      <c r="E12614" t="s">
        <v>22</v>
      </c>
      <c r="F12614" t="s">
        <v>18</v>
      </c>
      <c r="G12614" s="2">
        <f>VALUE(217.77)</f>
        <v>217.77</v>
      </c>
      <c r="H12614" s="3">
        <f>VALUE(200.43)</f>
        <v>200.43</v>
      </c>
      <c r="I12614" s="1">
        <f>VALUE(3796)</f>
        <v>3796</v>
      </c>
      <c r="J12614" s="1">
        <f>VALUE(4377)</f>
        <v>4377</v>
      </c>
      <c r="K12614" s="6">
        <f>VALUE(4898)</f>
        <v>4898</v>
      </c>
      <c r="L12614" s="1">
        <f>VALUE(7283)</f>
        <v>7283</v>
      </c>
      <c r="M12614" s="1">
        <f>VALUE(12260)</f>
        <v>12260</v>
      </c>
      <c r="N12614" t="s">
        <v>25</v>
      </c>
    </row>
    <row r="12615" spans="1:14" x14ac:dyDescent="0.25">
      <c r="A12615" t="s">
        <v>44</v>
      </c>
      <c r="B12615" t="s">
        <v>40</v>
      </c>
      <c r="C12615" t="s">
        <v>36</v>
      </c>
      <c r="D12615" t="s">
        <v>15</v>
      </c>
      <c r="E12615" t="s">
        <v>22</v>
      </c>
      <c r="F12615" t="s">
        <v>19</v>
      </c>
      <c r="G12615" s="2">
        <f>VALUE(684.27)</f>
        <v>684.27</v>
      </c>
      <c r="H12615" s="3">
        <f>VALUE(625.81)</f>
        <v>625.80999999999995</v>
      </c>
      <c r="I12615" s="1">
        <f>VALUE(3454)</f>
        <v>3454</v>
      </c>
      <c r="J12615" s="1">
        <f>VALUE(4095)</f>
        <v>4095</v>
      </c>
      <c r="K12615" s="1">
        <f>VALUE(4486)</f>
        <v>4486</v>
      </c>
      <c r="L12615" s="1">
        <f>VALUE(5095)</f>
        <v>5095</v>
      </c>
      <c r="M12615" s="1">
        <f>VALUE(5775)</f>
        <v>5775</v>
      </c>
      <c r="N12615" t="s">
        <v>25</v>
      </c>
    </row>
    <row r="12616" spans="1:14" x14ac:dyDescent="0.25">
      <c r="A12616" t="s">
        <v>44</v>
      </c>
      <c r="B12616" t="s">
        <v>40</v>
      </c>
      <c r="C12616" t="s">
        <v>36</v>
      </c>
      <c r="D12616" t="s">
        <v>15</v>
      </c>
      <c r="E12616" t="s">
        <v>22</v>
      </c>
      <c r="F12616" t="s">
        <v>20</v>
      </c>
      <c r="G12616" s="2">
        <f>VALUE(3384.15)</f>
        <v>3384.15</v>
      </c>
      <c r="H12616" s="3">
        <f>VALUE(2908.28)</f>
        <v>2908.28</v>
      </c>
      <c r="I12616" s="1">
        <f>VALUE(3272)</f>
        <v>3272</v>
      </c>
      <c r="J12616" s="1">
        <f>VALUE(3728)</f>
        <v>3728</v>
      </c>
      <c r="K12616" s="1">
        <f>VALUE(4332)</f>
        <v>4332</v>
      </c>
      <c r="L12616" s="1">
        <f>VALUE(4995)</f>
        <v>4995</v>
      </c>
      <c r="M12616" s="1">
        <f>VALUE(5687)</f>
        <v>5687</v>
      </c>
      <c r="N12616" t="s">
        <v>25</v>
      </c>
    </row>
    <row r="12617" spans="1:14" x14ac:dyDescent="0.25">
      <c r="A12617" t="s">
        <v>44</v>
      </c>
      <c r="B12617" t="s">
        <v>40</v>
      </c>
      <c r="C12617" t="s">
        <v>36</v>
      </c>
      <c r="D12617" t="s">
        <v>15</v>
      </c>
      <c r="E12617" t="s">
        <v>23</v>
      </c>
      <c r="F12617" t="s">
        <v>15</v>
      </c>
      <c r="G12617" s="1">
        <f>VALUE(3002.91)</f>
        <v>3002.91</v>
      </c>
      <c r="H12617" s="1">
        <f>VALUE(2290.27)</f>
        <v>2290.27</v>
      </c>
      <c r="I12617" s="1">
        <f>VALUE(2954)</f>
        <v>2954</v>
      </c>
      <c r="J12617" s="1">
        <f>VALUE(3249)</f>
        <v>3249</v>
      </c>
      <c r="K12617" s="1">
        <f>VALUE(3428)</f>
        <v>3428</v>
      </c>
      <c r="L12617" s="1">
        <f>VALUE(3754)</f>
        <v>3754</v>
      </c>
      <c r="M12617" s="1">
        <f>VALUE(4302)</f>
        <v>4302</v>
      </c>
      <c r="N12617" t="s">
        <v>16</v>
      </c>
    </row>
    <row r="12618" spans="1:14" x14ac:dyDescent="0.25">
      <c r="A12618" t="s">
        <v>44</v>
      </c>
      <c r="B12618" t="s">
        <v>40</v>
      </c>
      <c r="C12618" t="s">
        <v>36</v>
      </c>
      <c r="D12618" t="s">
        <v>15</v>
      </c>
      <c r="E12618" t="s">
        <v>23</v>
      </c>
      <c r="F12618" t="s">
        <v>17</v>
      </c>
      <c r="G12618" s="1" t="str">
        <f t="shared" ref="G12618:M12618" si="2866">"..."</f>
        <v>...</v>
      </c>
      <c r="H12618" s="1" t="str">
        <f t="shared" si="2866"/>
        <v>...</v>
      </c>
      <c r="I12618" s="1" t="str">
        <f t="shared" si="2866"/>
        <v>...</v>
      </c>
      <c r="J12618" s="1" t="str">
        <f t="shared" si="2866"/>
        <v>...</v>
      </c>
      <c r="K12618" s="1" t="str">
        <f t="shared" si="2866"/>
        <v>...</v>
      </c>
      <c r="L12618" s="1" t="str">
        <f t="shared" si="2866"/>
        <v>...</v>
      </c>
      <c r="M12618" s="1" t="str">
        <f t="shared" si="2866"/>
        <v>...</v>
      </c>
      <c r="N12618" t="s">
        <v>30</v>
      </c>
    </row>
    <row r="12619" spans="1:14" x14ac:dyDescent="0.25">
      <c r="A12619" t="s">
        <v>44</v>
      </c>
      <c r="B12619" t="s">
        <v>40</v>
      </c>
      <c r="C12619" t="s">
        <v>36</v>
      </c>
      <c r="D12619" t="s">
        <v>15</v>
      </c>
      <c r="E12619" t="s">
        <v>23</v>
      </c>
      <c r="F12619" t="s">
        <v>18</v>
      </c>
      <c r="G12619" s="1" t="str">
        <f t="shared" ref="G12619:M12620" si="2867">"X"</f>
        <v>X</v>
      </c>
      <c r="H12619" s="1" t="str">
        <f t="shared" si="2867"/>
        <v>X</v>
      </c>
      <c r="I12619" s="1" t="str">
        <f t="shared" si="2867"/>
        <v>X</v>
      </c>
      <c r="J12619" s="1" t="str">
        <f t="shared" si="2867"/>
        <v>X</v>
      </c>
      <c r="K12619" s="1" t="str">
        <f t="shared" si="2867"/>
        <v>X</v>
      </c>
      <c r="L12619" s="1" t="str">
        <f t="shared" si="2867"/>
        <v>X</v>
      </c>
      <c r="M12619" s="1" t="str">
        <f t="shared" si="2867"/>
        <v>X</v>
      </c>
      <c r="N12619" t="s">
        <v>27</v>
      </c>
    </row>
    <row r="12620" spans="1:14" x14ac:dyDescent="0.25">
      <c r="A12620" t="s">
        <v>44</v>
      </c>
      <c r="B12620" t="s">
        <v>40</v>
      </c>
      <c r="C12620" t="s">
        <v>36</v>
      </c>
      <c r="D12620" t="s">
        <v>15</v>
      </c>
      <c r="E12620" t="s">
        <v>23</v>
      </c>
      <c r="F12620" t="s">
        <v>19</v>
      </c>
      <c r="G12620" s="1" t="str">
        <f t="shared" si="2867"/>
        <v>X</v>
      </c>
      <c r="H12620" s="1" t="str">
        <f t="shared" si="2867"/>
        <v>X</v>
      </c>
      <c r="I12620" s="1" t="str">
        <f t="shared" si="2867"/>
        <v>X</v>
      </c>
      <c r="J12620" s="1" t="str">
        <f t="shared" si="2867"/>
        <v>X</v>
      </c>
      <c r="K12620" s="1" t="str">
        <f t="shared" si="2867"/>
        <v>X</v>
      </c>
      <c r="L12620" s="1" t="str">
        <f t="shared" si="2867"/>
        <v>X</v>
      </c>
      <c r="M12620" s="1" t="str">
        <f t="shared" si="2867"/>
        <v>X</v>
      </c>
      <c r="N12620" t="s">
        <v>27</v>
      </c>
    </row>
    <row r="12621" spans="1:14" x14ac:dyDescent="0.25">
      <c r="A12621" t="s">
        <v>44</v>
      </c>
      <c r="B12621" t="s">
        <v>40</v>
      </c>
      <c r="C12621" t="s">
        <v>36</v>
      </c>
      <c r="D12621" t="s">
        <v>15</v>
      </c>
      <c r="E12621" t="s">
        <v>23</v>
      </c>
      <c r="F12621" t="s">
        <v>20</v>
      </c>
      <c r="G12621" s="2">
        <f>VALUE(2798.7)</f>
        <v>2798.7</v>
      </c>
      <c r="H12621" s="1">
        <f>VALUE(2111.02)</f>
        <v>2111.02</v>
      </c>
      <c r="I12621" s="1">
        <f>VALUE(2948)</f>
        <v>2948</v>
      </c>
      <c r="J12621" s="1">
        <f>VALUE(3249)</f>
        <v>3249</v>
      </c>
      <c r="K12621" s="1">
        <f>VALUE(3419)</f>
        <v>3419</v>
      </c>
      <c r="L12621" s="1">
        <f>VALUE(3731)</f>
        <v>3731</v>
      </c>
      <c r="M12621" s="1">
        <f>VALUE(4180)</f>
        <v>4180</v>
      </c>
      <c r="N12621" t="s">
        <v>25</v>
      </c>
    </row>
    <row r="12622" spans="1:14" x14ac:dyDescent="0.25">
      <c r="A12622" t="s">
        <v>44</v>
      </c>
      <c r="B12622" t="s">
        <v>40</v>
      </c>
      <c r="C12622" t="s">
        <v>36</v>
      </c>
      <c r="D12622" t="s">
        <v>15</v>
      </c>
      <c r="E12622" t="s">
        <v>26</v>
      </c>
      <c r="F12622" t="s">
        <v>15</v>
      </c>
      <c r="G12622" s="1" t="str">
        <f t="shared" ref="G12622:M12622" si="2868">"X"</f>
        <v>X</v>
      </c>
      <c r="H12622" s="1" t="str">
        <f t="shared" si="2868"/>
        <v>X</v>
      </c>
      <c r="I12622" s="1" t="str">
        <f t="shared" si="2868"/>
        <v>X</v>
      </c>
      <c r="J12622" s="1" t="str">
        <f t="shared" si="2868"/>
        <v>X</v>
      </c>
      <c r="K12622" s="1" t="str">
        <f t="shared" si="2868"/>
        <v>X</v>
      </c>
      <c r="L12622" s="1" t="str">
        <f t="shared" si="2868"/>
        <v>X</v>
      </c>
      <c r="M12622" s="1" t="str">
        <f t="shared" si="2868"/>
        <v>X</v>
      </c>
      <c r="N12622" t="s">
        <v>27</v>
      </c>
    </row>
    <row r="12623" spans="1:14" x14ac:dyDescent="0.25">
      <c r="A12623" t="s">
        <v>44</v>
      </c>
      <c r="B12623" t="s">
        <v>40</v>
      </c>
      <c r="C12623" t="s">
        <v>36</v>
      </c>
      <c r="D12623" t="s">
        <v>15</v>
      </c>
      <c r="E12623" t="s">
        <v>26</v>
      </c>
      <c r="F12623" t="s">
        <v>17</v>
      </c>
      <c r="G12623" s="1" t="str">
        <f t="shared" ref="G12623:M12623" si="2869">"..."</f>
        <v>...</v>
      </c>
      <c r="H12623" s="1" t="str">
        <f t="shared" si="2869"/>
        <v>...</v>
      </c>
      <c r="I12623" s="1" t="str">
        <f t="shared" si="2869"/>
        <v>...</v>
      </c>
      <c r="J12623" s="1" t="str">
        <f t="shared" si="2869"/>
        <v>...</v>
      </c>
      <c r="K12623" s="1" t="str">
        <f t="shared" si="2869"/>
        <v>...</v>
      </c>
      <c r="L12623" s="1" t="str">
        <f t="shared" si="2869"/>
        <v>...</v>
      </c>
      <c r="M12623" s="1" t="str">
        <f t="shared" si="2869"/>
        <v>...</v>
      </c>
      <c r="N12623" t="s">
        <v>30</v>
      </c>
    </row>
    <row r="12624" spans="1:14" x14ac:dyDescent="0.25">
      <c r="A12624" t="s">
        <v>44</v>
      </c>
      <c r="B12624" t="s">
        <v>40</v>
      </c>
      <c r="C12624" t="s">
        <v>36</v>
      </c>
      <c r="D12624" t="s">
        <v>15</v>
      </c>
      <c r="E12624" t="s">
        <v>26</v>
      </c>
      <c r="F12624" t="s">
        <v>18</v>
      </c>
      <c r="G12624" s="1" t="str">
        <f t="shared" ref="G12624:M12624" si="2870">"X"</f>
        <v>X</v>
      </c>
      <c r="H12624" s="1" t="str">
        <f t="shared" si="2870"/>
        <v>X</v>
      </c>
      <c r="I12624" s="1" t="str">
        <f t="shared" si="2870"/>
        <v>X</v>
      </c>
      <c r="J12624" s="1" t="str">
        <f t="shared" si="2870"/>
        <v>X</v>
      </c>
      <c r="K12624" s="1" t="str">
        <f t="shared" si="2870"/>
        <v>X</v>
      </c>
      <c r="L12624" s="1" t="str">
        <f t="shared" si="2870"/>
        <v>X</v>
      </c>
      <c r="M12624" s="1" t="str">
        <f t="shared" si="2870"/>
        <v>X</v>
      </c>
      <c r="N12624" t="s">
        <v>27</v>
      </c>
    </row>
    <row r="12625" spans="1:14" x14ac:dyDescent="0.25">
      <c r="A12625" t="s">
        <v>44</v>
      </c>
      <c r="B12625" t="s">
        <v>40</v>
      </c>
      <c r="C12625" t="s">
        <v>36</v>
      </c>
      <c r="D12625" t="s">
        <v>15</v>
      </c>
      <c r="E12625" t="s">
        <v>26</v>
      </c>
      <c r="F12625" t="s">
        <v>19</v>
      </c>
      <c r="G12625" s="1" t="str">
        <f t="shared" ref="G12625:M12625" si="2871">"..."</f>
        <v>...</v>
      </c>
      <c r="H12625" s="1" t="str">
        <f t="shared" si="2871"/>
        <v>...</v>
      </c>
      <c r="I12625" s="1" t="str">
        <f t="shared" si="2871"/>
        <v>...</v>
      </c>
      <c r="J12625" s="1" t="str">
        <f t="shared" si="2871"/>
        <v>...</v>
      </c>
      <c r="K12625" s="1" t="str">
        <f t="shared" si="2871"/>
        <v>...</v>
      </c>
      <c r="L12625" s="1" t="str">
        <f t="shared" si="2871"/>
        <v>...</v>
      </c>
      <c r="M12625" s="1" t="str">
        <f t="shared" si="2871"/>
        <v>...</v>
      </c>
      <c r="N12625" t="s">
        <v>30</v>
      </c>
    </row>
    <row r="12626" spans="1:14" x14ac:dyDescent="0.25">
      <c r="A12626" t="s">
        <v>44</v>
      </c>
      <c r="B12626" t="s">
        <v>40</v>
      </c>
      <c r="C12626" t="s">
        <v>36</v>
      </c>
      <c r="D12626" t="s">
        <v>15</v>
      </c>
      <c r="E12626" t="s">
        <v>26</v>
      </c>
      <c r="F12626" t="s">
        <v>20</v>
      </c>
      <c r="G12626" s="1" t="str">
        <f t="shared" ref="G12626:M12626" si="2872">"X"</f>
        <v>X</v>
      </c>
      <c r="H12626" s="1" t="str">
        <f t="shared" si="2872"/>
        <v>X</v>
      </c>
      <c r="I12626" s="1" t="str">
        <f t="shared" si="2872"/>
        <v>X</v>
      </c>
      <c r="J12626" s="1" t="str">
        <f t="shared" si="2872"/>
        <v>X</v>
      </c>
      <c r="K12626" s="1" t="str">
        <f t="shared" si="2872"/>
        <v>X</v>
      </c>
      <c r="L12626" s="1" t="str">
        <f t="shared" si="2872"/>
        <v>X</v>
      </c>
      <c r="M12626" s="1" t="str">
        <f t="shared" si="2872"/>
        <v>X</v>
      </c>
      <c r="N12626" t="s">
        <v>27</v>
      </c>
    </row>
    <row r="12627" spans="1:14" x14ac:dyDescent="0.25">
      <c r="A12627" t="s">
        <v>44</v>
      </c>
      <c r="B12627" t="s">
        <v>40</v>
      </c>
      <c r="C12627" t="s">
        <v>36</v>
      </c>
      <c r="D12627" t="s">
        <v>28</v>
      </c>
      <c r="E12627" t="s">
        <v>15</v>
      </c>
      <c r="F12627" t="s">
        <v>15</v>
      </c>
      <c r="G12627" s="2">
        <f>VALUE(4415.29)</f>
        <v>4415.29</v>
      </c>
      <c r="H12627" s="3">
        <f>VALUE(3684.44)</f>
        <v>3684.44</v>
      </c>
      <c r="I12627" s="1">
        <f>VALUE(3570)</f>
        <v>3570</v>
      </c>
      <c r="J12627" s="1">
        <f>VALUE(4175)</f>
        <v>4175</v>
      </c>
      <c r="K12627" s="1">
        <f>VALUE(4852)</f>
        <v>4852</v>
      </c>
      <c r="L12627" s="1">
        <f>VALUE(5775)</f>
        <v>5775</v>
      </c>
      <c r="M12627" s="1">
        <f>VALUE(6966)</f>
        <v>6966</v>
      </c>
      <c r="N12627" t="s">
        <v>25</v>
      </c>
    </row>
    <row r="12628" spans="1:14" x14ac:dyDescent="0.25">
      <c r="A12628" t="s">
        <v>44</v>
      </c>
      <c r="B12628" t="s">
        <v>40</v>
      </c>
      <c r="C12628" t="s">
        <v>36</v>
      </c>
      <c r="D12628" t="s">
        <v>28</v>
      </c>
      <c r="E12628" t="s">
        <v>15</v>
      </c>
      <c r="F12628" t="s">
        <v>17</v>
      </c>
      <c r="G12628" s="2">
        <f>VALUE(395.11)</f>
        <v>395.11</v>
      </c>
      <c r="H12628" s="3">
        <f>VALUE(364.95)</f>
        <v>364.95</v>
      </c>
      <c r="I12628" s="4">
        <f>VALUE(4000)</f>
        <v>4000</v>
      </c>
      <c r="J12628" s="5">
        <f>VALUE(4809)</f>
        <v>4809</v>
      </c>
      <c r="K12628" s="6">
        <f>VALUE(4852)</f>
        <v>4852</v>
      </c>
      <c r="L12628" s="7">
        <f>VALUE(5984)</f>
        <v>5984</v>
      </c>
      <c r="M12628" s="8">
        <f>VALUE(7548)</f>
        <v>7548</v>
      </c>
      <c r="N12628" t="s">
        <v>24</v>
      </c>
    </row>
    <row r="12629" spans="1:14" x14ac:dyDescent="0.25">
      <c r="A12629" t="s">
        <v>44</v>
      </c>
      <c r="B12629" t="s">
        <v>40</v>
      </c>
      <c r="C12629" t="s">
        <v>36</v>
      </c>
      <c r="D12629" t="s">
        <v>28</v>
      </c>
      <c r="E12629" t="s">
        <v>15</v>
      </c>
      <c r="F12629" t="s">
        <v>18</v>
      </c>
      <c r="G12629" s="2">
        <f>VALUE(389.07)</f>
        <v>389.07</v>
      </c>
      <c r="H12629" s="3">
        <f>VALUE(340.51)</f>
        <v>340.51</v>
      </c>
      <c r="I12629" s="1">
        <f>VALUE(4257)</f>
        <v>4257</v>
      </c>
      <c r="J12629" s="5">
        <f>VALUE(4748)</f>
        <v>4748</v>
      </c>
      <c r="K12629" s="6">
        <f>VALUE(6282)</f>
        <v>6282</v>
      </c>
      <c r="L12629" s="7">
        <f>VALUE(7214)</f>
        <v>7214</v>
      </c>
      <c r="M12629" s="8">
        <f>VALUE(8443)</f>
        <v>8443</v>
      </c>
      <c r="N12629" t="s">
        <v>25</v>
      </c>
    </row>
    <row r="12630" spans="1:14" x14ac:dyDescent="0.25">
      <c r="A12630" t="s">
        <v>44</v>
      </c>
      <c r="B12630" t="s">
        <v>40</v>
      </c>
      <c r="C12630" t="s">
        <v>36</v>
      </c>
      <c r="D12630" t="s">
        <v>28</v>
      </c>
      <c r="E12630" t="s">
        <v>15</v>
      </c>
      <c r="F12630" t="s">
        <v>19</v>
      </c>
      <c r="G12630" s="2">
        <f>VALUE(637.3)</f>
        <v>637.29999999999995</v>
      </c>
      <c r="H12630" s="3">
        <f>VALUE(529)</f>
        <v>529</v>
      </c>
      <c r="I12630" s="4">
        <f>VALUE(3940)</f>
        <v>3940</v>
      </c>
      <c r="J12630" s="5">
        <f>VALUE(4456)</f>
        <v>4456</v>
      </c>
      <c r="K12630" s="1">
        <f>VALUE(5000)</f>
        <v>5000</v>
      </c>
      <c r="L12630" s="1">
        <f>VALUE(5772)</f>
        <v>5772</v>
      </c>
      <c r="M12630" s="8">
        <f>VALUE(6607)</f>
        <v>6607</v>
      </c>
      <c r="N12630" t="s">
        <v>25</v>
      </c>
    </row>
    <row r="12631" spans="1:14" x14ac:dyDescent="0.25">
      <c r="A12631" t="s">
        <v>44</v>
      </c>
      <c r="B12631" t="s">
        <v>40</v>
      </c>
      <c r="C12631" t="s">
        <v>36</v>
      </c>
      <c r="D12631" t="s">
        <v>28</v>
      </c>
      <c r="E12631" t="s">
        <v>15</v>
      </c>
      <c r="F12631" t="s">
        <v>20</v>
      </c>
      <c r="G12631" s="2">
        <f>VALUE(2993.81)</f>
        <v>2993.81</v>
      </c>
      <c r="H12631" s="3">
        <f>VALUE(2449.98)</f>
        <v>2449.98</v>
      </c>
      <c r="I12631" s="1">
        <f>VALUE(3531)</f>
        <v>3531</v>
      </c>
      <c r="J12631" s="1">
        <f>VALUE(3988)</f>
        <v>3988</v>
      </c>
      <c r="K12631" s="1">
        <f>VALUE(4658)</f>
        <v>4658</v>
      </c>
      <c r="L12631" s="1">
        <f>VALUE(5514)</f>
        <v>5514</v>
      </c>
      <c r="M12631" s="1">
        <f>VALUE(6472)</f>
        <v>6472</v>
      </c>
      <c r="N12631" t="s">
        <v>25</v>
      </c>
    </row>
    <row r="12632" spans="1:14" x14ac:dyDescent="0.25">
      <c r="A12632" t="s">
        <v>44</v>
      </c>
      <c r="B12632" t="s">
        <v>40</v>
      </c>
      <c r="C12632" t="s">
        <v>36</v>
      </c>
      <c r="D12632" t="s">
        <v>28</v>
      </c>
      <c r="E12632" t="s">
        <v>21</v>
      </c>
      <c r="F12632" t="s">
        <v>15</v>
      </c>
      <c r="G12632" s="2">
        <f>VALUE(1631.87)</f>
        <v>1631.87</v>
      </c>
      <c r="H12632" s="3">
        <f>VALUE(1307.33)</f>
        <v>1307.33</v>
      </c>
      <c r="I12632" s="4">
        <f>VALUE(3791)</f>
        <v>3791</v>
      </c>
      <c r="J12632" s="1">
        <f>VALUE(4670)</f>
        <v>4670</v>
      </c>
      <c r="K12632" s="1">
        <f>VALUE(5686)</f>
        <v>5686</v>
      </c>
      <c r="L12632" s="1">
        <f>VALUE(6652)</f>
        <v>6652</v>
      </c>
      <c r="M12632" s="1">
        <f>VALUE(7469)</f>
        <v>7469</v>
      </c>
      <c r="N12632" t="s">
        <v>25</v>
      </c>
    </row>
    <row r="12633" spans="1:14" x14ac:dyDescent="0.25">
      <c r="A12633" t="s">
        <v>44</v>
      </c>
      <c r="B12633" t="s">
        <v>40</v>
      </c>
      <c r="C12633" t="s">
        <v>36</v>
      </c>
      <c r="D12633" t="s">
        <v>28</v>
      </c>
      <c r="E12633" t="s">
        <v>21</v>
      </c>
      <c r="F12633" t="s">
        <v>17</v>
      </c>
      <c r="G12633" s="1" t="str">
        <f t="shared" ref="G12633:M12634" si="2873">"X"</f>
        <v>X</v>
      </c>
      <c r="H12633" s="1" t="str">
        <f t="shared" si="2873"/>
        <v>X</v>
      </c>
      <c r="I12633" s="1" t="str">
        <f t="shared" si="2873"/>
        <v>X</v>
      </c>
      <c r="J12633" s="1" t="str">
        <f t="shared" si="2873"/>
        <v>X</v>
      </c>
      <c r="K12633" s="1" t="str">
        <f t="shared" si="2873"/>
        <v>X</v>
      </c>
      <c r="L12633" s="1" t="str">
        <f t="shared" si="2873"/>
        <v>X</v>
      </c>
      <c r="M12633" s="1" t="str">
        <f t="shared" si="2873"/>
        <v>X</v>
      </c>
      <c r="N12633" t="s">
        <v>27</v>
      </c>
    </row>
    <row r="12634" spans="1:14" x14ac:dyDescent="0.25">
      <c r="A12634" t="s">
        <v>44</v>
      </c>
      <c r="B12634" t="s">
        <v>40</v>
      </c>
      <c r="C12634" t="s">
        <v>36</v>
      </c>
      <c r="D12634" t="s">
        <v>28</v>
      </c>
      <c r="E12634" t="s">
        <v>21</v>
      </c>
      <c r="F12634" t="s">
        <v>18</v>
      </c>
      <c r="G12634" s="1" t="str">
        <f t="shared" si="2873"/>
        <v>X</v>
      </c>
      <c r="H12634" s="1" t="str">
        <f t="shared" si="2873"/>
        <v>X</v>
      </c>
      <c r="I12634" s="1" t="str">
        <f t="shared" si="2873"/>
        <v>X</v>
      </c>
      <c r="J12634" s="1" t="str">
        <f t="shared" si="2873"/>
        <v>X</v>
      </c>
      <c r="K12634" s="1" t="str">
        <f t="shared" si="2873"/>
        <v>X</v>
      </c>
      <c r="L12634" s="1" t="str">
        <f t="shared" si="2873"/>
        <v>X</v>
      </c>
      <c r="M12634" s="1" t="str">
        <f t="shared" si="2873"/>
        <v>X</v>
      </c>
      <c r="N12634" t="s">
        <v>27</v>
      </c>
    </row>
    <row r="12635" spans="1:14" x14ac:dyDescent="0.25">
      <c r="A12635" t="s">
        <v>44</v>
      </c>
      <c r="B12635" t="s">
        <v>40</v>
      </c>
      <c r="C12635" t="s">
        <v>36</v>
      </c>
      <c r="D12635" t="s">
        <v>28</v>
      </c>
      <c r="E12635" t="s">
        <v>21</v>
      </c>
      <c r="F12635" t="s">
        <v>19</v>
      </c>
      <c r="G12635" s="2">
        <f>VALUE(274.35)</f>
        <v>274.35000000000002</v>
      </c>
      <c r="H12635" s="3">
        <f>VALUE(185.73)</f>
        <v>185.73</v>
      </c>
      <c r="I12635" s="1">
        <f>VALUE(4644)</f>
        <v>4644</v>
      </c>
      <c r="J12635" s="1">
        <f>VALUE(4901)</f>
        <v>4901</v>
      </c>
      <c r="K12635" s="1">
        <f>VALUE(5834)</f>
        <v>5834</v>
      </c>
      <c r="L12635" s="1">
        <f>VALUE(6429)</f>
        <v>6429</v>
      </c>
      <c r="M12635" s="1">
        <f>VALUE(7453)</f>
        <v>7453</v>
      </c>
      <c r="N12635" t="s">
        <v>25</v>
      </c>
    </row>
    <row r="12636" spans="1:14" x14ac:dyDescent="0.25">
      <c r="A12636" t="s">
        <v>44</v>
      </c>
      <c r="B12636" t="s">
        <v>40</v>
      </c>
      <c r="C12636" t="s">
        <v>36</v>
      </c>
      <c r="D12636" t="s">
        <v>28</v>
      </c>
      <c r="E12636" t="s">
        <v>21</v>
      </c>
      <c r="F12636" t="s">
        <v>20</v>
      </c>
      <c r="G12636" s="2">
        <f>VALUE(1011.83)</f>
        <v>1011.83</v>
      </c>
      <c r="H12636" s="3">
        <f>VALUE(827.97)</f>
        <v>827.97</v>
      </c>
      <c r="I12636" s="4">
        <f>VALUE(3551)</f>
        <v>3551</v>
      </c>
      <c r="J12636" s="5">
        <f>VALUE(4578)</f>
        <v>4578</v>
      </c>
      <c r="K12636" s="1">
        <f>VALUE(5334)</f>
        <v>5334</v>
      </c>
      <c r="L12636" s="7">
        <f>VALUE(6189)</f>
        <v>6189</v>
      </c>
      <c r="M12636" s="1">
        <f>VALUE(7218)</f>
        <v>7218</v>
      </c>
      <c r="N12636" t="s">
        <v>25</v>
      </c>
    </row>
    <row r="12637" spans="1:14" x14ac:dyDescent="0.25">
      <c r="A12637" t="s">
        <v>44</v>
      </c>
      <c r="B12637" t="s">
        <v>40</v>
      </c>
      <c r="C12637" t="s">
        <v>36</v>
      </c>
      <c r="D12637" t="s">
        <v>28</v>
      </c>
      <c r="E12637" t="s">
        <v>22</v>
      </c>
      <c r="F12637" t="s">
        <v>15</v>
      </c>
      <c r="G12637" s="2">
        <f>VALUE(2443.05)</f>
        <v>2443.0500000000002</v>
      </c>
      <c r="H12637" s="3">
        <f>VALUE(2157.59)</f>
        <v>2157.59</v>
      </c>
      <c r="I12637" s="1">
        <f>VALUE(3606)</f>
        <v>3606</v>
      </c>
      <c r="J12637" s="1">
        <f>VALUE(4119)</f>
        <v>4119</v>
      </c>
      <c r="K12637" s="1">
        <f>VALUE(4650)</f>
        <v>4650</v>
      </c>
      <c r="L12637" s="1">
        <f>VALUE(5187)</f>
        <v>5187</v>
      </c>
      <c r="M12637" s="1">
        <f>VALUE(6098)</f>
        <v>6098</v>
      </c>
      <c r="N12637" t="s">
        <v>25</v>
      </c>
    </row>
    <row r="12638" spans="1:14" x14ac:dyDescent="0.25">
      <c r="A12638" t="s">
        <v>44</v>
      </c>
      <c r="B12638" t="s">
        <v>40</v>
      </c>
      <c r="C12638" t="s">
        <v>36</v>
      </c>
      <c r="D12638" t="s">
        <v>28</v>
      </c>
      <c r="E12638" t="s">
        <v>22</v>
      </c>
      <c r="F12638" t="s">
        <v>17</v>
      </c>
      <c r="G12638" s="1" t="str">
        <f t="shared" ref="G12638:M12639" si="2874">"X"</f>
        <v>X</v>
      </c>
      <c r="H12638" s="1" t="str">
        <f t="shared" si="2874"/>
        <v>X</v>
      </c>
      <c r="I12638" s="1" t="str">
        <f t="shared" si="2874"/>
        <v>X</v>
      </c>
      <c r="J12638" s="1" t="str">
        <f t="shared" si="2874"/>
        <v>X</v>
      </c>
      <c r="K12638" s="1" t="str">
        <f t="shared" si="2874"/>
        <v>X</v>
      </c>
      <c r="L12638" s="1" t="str">
        <f t="shared" si="2874"/>
        <v>X</v>
      </c>
      <c r="M12638" s="1" t="str">
        <f t="shared" si="2874"/>
        <v>X</v>
      </c>
      <c r="N12638" t="s">
        <v>27</v>
      </c>
    </row>
    <row r="12639" spans="1:14" x14ac:dyDescent="0.25">
      <c r="A12639" t="s">
        <v>44</v>
      </c>
      <c r="B12639" t="s">
        <v>40</v>
      </c>
      <c r="C12639" t="s">
        <v>36</v>
      </c>
      <c r="D12639" t="s">
        <v>28</v>
      </c>
      <c r="E12639" t="s">
        <v>22</v>
      </c>
      <c r="F12639" t="s">
        <v>18</v>
      </c>
      <c r="G12639" s="1" t="str">
        <f t="shared" si="2874"/>
        <v>X</v>
      </c>
      <c r="H12639" s="1" t="str">
        <f t="shared" si="2874"/>
        <v>X</v>
      </c>
      <c r="I12639" s="1" t="str">
        <f t="shared" si="2874"/>
        <v>X</v>
      </c>
      <c r="J12639" s="1" t="str">
        <f t="shared" si="2874"/>
        <v>X</v>
      </c>
      <c r="K12639" s="1" t="str">
        <f t="shared" si="2874"/>
        <v>X</v>
      </c>
      <c r="L12639" s="1" t="str">
        <f t="shared" si="2874"/>
        <v>X</v>
      </c>
      <c r="M12639" s="1" t="str">
        <f t="shared" si="2874"/>
        <v>X</v>
      </c>
      <c r="N12639" t="s">
        <v>27</v>
      </c>
    </row>
    <row r="12640" spans="1:14" x14ac:dyDescent="0.25">
      <c r="A12640" t="s">
        <v>44</v>
      </c>
      <c r="B12640" t="s">
        <v>40</v>
      </c>
      <c r="C12640" t="s">
        <v>36</v>
      </c>
      <c r="D12640" t="s">
        <v>28</v>
      </c>
      <c r="E12640" t="s">
        <v>22</v>
      </c>
      <c r="F12640" t="s">
        <v>19</v>
      </c>
      <c r="G12640" s="2">
        <f>VALUE(335.27)</f>
        <v>335.27</v>
      </c>
      <c r="H12640" s="3">
        <f>VALUE(318.37)</f>
        <v>318.37</v>
      </c>
      <c r="I12640" s="4">
        <f>VALUE(3928)</f>
        <v>3928</v>
      </c>
      <c r="J12640" s="1">
        <f>VALUE(4181)</f>
        <v>4181</v>
      </c>
      <c r="K12640" s="1">
        <f>VALUE(4461)</f>
        <v>4461</v>
      </c>
      <c r="L12640" s="1">
        <f>VALUE(5140)</f>
        <v>5140</v>
      </c>
      <c r="M12640" s="1">
        <f>VALUE(5833)</f>
        <v>5833</v>
      </c>
      <c r="N12640" t="s">
        <v>25</v>
      </c>
    </row>
    <row r="12641" spans="1:14" x14ac:dyDescent="0.25">
      <c r="A12641" t="s">
        <v>44</v>
      </c>
      <c r="B12641" t="s">
        <v>40</v>
      </c>
      <c r="C12641" t="s">
        <v>36</v>
      </c>
      <c r="D12641" t="s">
        <v>28</v>
      </c>
      <c r="E12641" t="s">
        <v>22</v>
      </c>
      <c r="F12641" t="s">
        <v>20</v>
      </c>
      <c r="G12641" s="2">
        <f>VALUE(1673.66)</f>
        <v>1673.66</v>
      </c>
      <c r="H12641" s="3">
        <f>VALUE(1431.82)</f>
        <v>1431.82</v>
      </c>
      <c r="I12641" s="1">
        <f>VALUE(3568)</f>
        <v>3568</v>
      </c>
      <c r="J12641" s="1">
        <f>VALUE(3967)</f>
        <v>3967</v>
      </c>
      <c r="K12641" s="1">
        <f>VALUE(4544)</f>
        <v>4544</v>
      </c>
      <c r="L12641" s="1">
        <f>VALUE(5177)</f>
        <v>5177</v>
      </c>
      <c r="M12641" s="1">
        <f>VALUE(5909)</f>
        <v>5909</v>
      </c>
      <c r="N12641" t="s">
        <v>25</v>
      </c>
    </row>
    <row r="12642" spans="1:14" x14ac:dyDescent="0.25">
      <c r="A12642" t="s">
        <v>44</v>
      </c>
      <c r="B12642" t="s">
        <v>40</v>
      </c>
      <c r="C12642" t="s">
        <v>36</v>
      </c>
      <c r="D12642" t="s">
        <v>28</v>
      </c>
      <c r="E12642" t="s">
        <v>23</v>
      </c>
      <c r="F12642" t="s">
        <v>15</v>
      </c>
      <c r="G12642" s="2">
        <f>VALUE(335.76)</f>
        <v>335.76</v>
      </c>
      <c r="H12642" s="3">
        <f>VALUE(214.91)</f>
        <v>214.91</v>
      </c>
      <c r="I12642" s="1">
        <f>VALUE(3350)</f>
        <v>3350</v>
      </c>
      <c r="J12642" s="1">
        <f>VALUE(3726)</f>
        <v>3726</v>
      </c>
      <c r="K12642" s="1">
        <f>VALUE(4059)</f>
        <v>4059</v>
      </c>
      <c r="L12642" s="1">
        <f>VALUE(4504)</f>
        <v>4504</v>
      </c>
      <c r="M12642" s="1">
        <f>VALUE(5316)</f>
        <v>5316</v>
      </c>
      <c r="N12642" t="s">
        <v>25</v>
      </c>
    </row>
    <row r="12643" spans="1:14" x14ac:dyDescent="0.25">
      <c r="A12643" t="s">
        <v>44</v>
      </c>
      <c r="B12643" t="s">
        <v>40</v>
      </c>
      <c r="C12643" t="s">
        <v>36</v>
      </c>
      <c r="D12643" t="s">
        <v>28</v>
      </c>
      <c r="E12643" t="s">
        <v>23</v>
      </c>
      <c r="F12643" t="s">
        <v>17</v>
      </c>
      <c r="G12643" s="1" t="str">
        <f t="shared" ref="G12643:M12643" si="2875">"..."</f>
        <v>...</v>
      </c>
      <c r="H12643" s="1" t="str">
        <f t="shared" si="2875"/>
        <v>...</v>
      </c>
      <c r="I12643" s="1" t="str">
        <f t="shared" si="2875"/>
        <v>...</v>
      </c>
      <c r="J12643" s="1" t="str">
        <f t="shared" si="2875"/>
        <v>...</v>
      </c>
      <c r="K12643" s="1" t="str">
        <f t="shared" si="2875"/>
        <v>...</v>
      </c>
      <c r="L12643" s="1" t="str">
        <f t="shared" si="2875"/>
        <v>...</v>
      </c>
      <c r="M12643" s="1" t="str">
        <f t="shared" si="2875"/>
        <v>...</v>
      </c>
      <c r="N12643" t="s">
        <v>30</v>
      </c>
    </row>
    <row r="12644" spans="1:14" x14ac:dyDescent="0.25">
      <c r="A12644" t="s">
        <v>44</v>
      </c>
      <c r="B12644" t="s">
        <v>40</v>
      </c>
      <c r="C12644" t="s">
        <v>36</v>
      </c>
      <c r="D12644" t="s">
        <v>28</v>
      </c>
      <c r="E12644" t="s">
        <v>23</v>
      </c>
      <c r="F12644" t="s">
        <v>18</v>
      </c>
      <c r="G12644" s="1" t="str">
        <f t="shared" ref="G12644:M12645" si="2876">"X"</f>
        <v>X</v>
      </c>
      <c r="H12644" s="1" t="str">
        <f t="shared" si="2876"/>
        <v>X</v>
      </c>
      <c r="I12644" s="1" t="str">
        <f t="shared" si="2876"/>
        <v>X</v>
      </c>
      <c r="J12644" s="1" t="str">
        <f t="shared" si="2876"/>
        <v>X</v>
      </c>
      <c r="K12644" s="1" t="str">
        <f t="shared" si="2876"/>
        <v>X</v>
      </c>
      <c r="L12644" s="1" t="str">
        <f t="shared" si="2876"/>
        <v>X</v>
      </c>
      <c r="M12644" s="1" t="str">
        <f t="shared" si="2876"/>
        <v>X</v>
      </c>
      <c r="N12644" t="s">
        <v>27</v>
      </c>
    </row>
    <row r="12645" spans="1:14" x14ac:dyDescent="0.25">
      <c r="A12645" t="s">
        <v>44</v>
      </c>
      <c r="B12645" t="s">
        <v>40</v>
      </c>
      <c r="C12645" t="s">
        <v>36</v>
      </c>
      <c r="D12645" t="s">
        <v>28</v>
      </c>
      <c r="E12645" t="s">
        <v>23</v>
      </c>
      <c r="F12645" t="s">
        <v>19</v>
      </c>
      <c r="G12645" s="1" t="str">
        <f t="shared" si="2876"/>
        <v>X</v>
      </c>
      <c r="H12645" s="1" t="str">
        <f t="shared" si="2876"/>
        <v>X</v>
      </c>
      <c r="I12645" s="1" t="str">
        <f t="shared" si="2876"/>
        <v>X</v>
      </c>
      <c r="J12645" s="1" t="str">
        <f t="shared" si="2876"/>
        <v>X</v>
      </c>
      <c r="K12645" s="1" t="str">
        <f t="shared" si="2876"/>
        <v>X</v>
      </c>
      <c r="L12645" s="1" t="str">
        <f t="shared" si="2876"/>
        <v>X</v>
      </c>
      <c r="M12645" s="1" t="str">
        <f t="shared" si="2876"/>
        <v>X</v>
      </c>
      <c r="N12645" t="s">
        <v>27</v>
      </c>
    </row>
    <row r="12646" spans="1:14" x14ac:dyDescent="0.25">
      <c r="A12646" t="s">
        <v>44</v>
      </c>
      <c r="B12646" t="s">
        <v>40</v>
      </c>
      <c r="C12646" t="s">
        <v>36</v>
      </c>
      <c r="D12646" t="s">
        <v>28</v>
      </c>
      <c r="E12646" t="s">
        <v>23</v>
      </c>
      <c r="F12646" t="s">
        <v>20</v>
      </c>
      <c r="G12646" s="2">
        <f>VALUE(303.71)</f>
        <v>303.70999999999998</v>
      </c>
      <c r="H12646" s="3">
        <f>VALUE(185.58)</f>
        <v>185.58</v>
      </c>
      <c r="I12646" s="1">
        <f>VALUE(3350)</f>
        <v>3350</v>
      </c>
      <c r="J12646" s="1">
        <f>VALUE(3661)</f>
        <v>3661</v>
      </c>
      <c r="K12646" s="1">
        <f>VALUE(3987)</f>
        <v>3987</v>
      </c>
      <c r="L12646" s="1">
        <f>VALUE(4458)</f>
        <v>4458</v>
      </c>
      <c r="M12646" s="1">
        <f>VALUE(5074)</f>
        <v>5074</v>
      </c>
      <c r="N12646" t="s">
        <v>25</v>
      </c>
    </row>
    <row r="12647" spans="1:14" x14ac:dyDescent="0.25">
      <c r="A12647" t="s">
        <v>44</v>
      </c>
      <c r="B12647" t="s">
        <v>40</v>
      </c>
      <c r="C12647" t="s">
        <v>36</v>
      </c>
      <c r="D12647" t="s">
        <v>28</v>
      </c>
      <c r="E12647" t="s">
        <v>26</v>
      </c>
      <c r="F12647" t="s">
        <v>15</v>
      </c>
      <c r="G12647" s="1" t="str">
        <f t="shared" ref="G12647:M12647" si="2877">"X"</f>
        <v>X</v>
      </c>
      <c r="H12647" s="1" t="str">
        <f t="shared" si="2877"/>
        <v>X</v>
      </c>
      <c r="I12647" s="1" t="str">
        <f t="shared" si="2877"/>
        <v>X</v>
      </c>
      <c r="J12647" s="1" t="str">
        <f t="shared" si="2877"/>
        <v>X</v>
      </c>
      <c r="K12647" s="1" t="str">
        <f t="shared" si="2877"/>
        <v>X</v>
      </c>
      <c r="L12647" s="1" t="str">
        <f t="shared" si="2877"/>
        <v>X</v>
      </c>
      <c r="M12647" s="1" t="str">
        <f t="shared" si="2877"/>
        <v>X</v>
      </c>
      <c r="N12647" t="s">
        <v>27</v>
      </c>
    </row>
    <row r="12648" spans="1:14" x14ac:dyDescent="0.25">
      <c r="A12648" t="s">
        <v>44</v>
      </c>
      <c r="B12648" t="s">
        <v>40</v>
      </c>
      <c r="C12648" t="s">
        <v>36</v>
      </c>
      <c r="D12648" t="s">
        <v>28</v>
      </c>
      <c r="E12648" t="s">
        <v>26</v>
      </c>
      <c r="F12648" t="s">
        <v>17</v>
      </c>
      <c r="G12648" s="1" t="str">
        <f t="shared" ref="G12648:M12650" si="2878">"..."</f>
        <v>...</v>
      </c>
      <c r="H12648" s="1" t="str">
        <f t="shared" si="2878"/>
        <v>...</v>
      </c>
      <c r="I12648" s="1" t="str">
        <f t="shared" si="2878"/>
        <v>...</v>
      </c>
      <c r="J12648" s="1" t="str">
        <f t="shared" si="2878"/>
        <v>...</v>
      </c>
      <c r="K12648" s="1" t="str">
        <f t="shared" si="2878"/>
        <v>...</v>
      </c>
      <c r="L12648" s="1" t="str">
        <f t="shared" si="2878"/>
        <v>...</v>
      </c>
      <c r="M12648" s="1" t="str">
        <f t="shared" si="2878"/>
        <v>...</v>
      </c>
      <c r="N12648" t="s">
        <v>30</v>
      </c>
    </row>
    <row r="12649" spans="1:14" x14ac:dyDescent="0.25">
      <c r="A12649" t="s">
        <v>44</v>
      </c>
      <c r="B12649" t="s">
        <v>40</v>
      </c>
      <c r="C12649" t="s">
        <v>36</v>
      </c>
      <c r="D12649" t="s">
        <v>28</v>
      </c>
      <c r="E12649" t="s">
        <v>26</v>
      </c>
      <c r="F12649" t="s">
        <v>18</v>
      </c>
      <c r="G12649" s="1" t="str">
        <f t="shared" si="2878"/>
        <v>...</v>
      </c>
      <c r="H12649" s="1" t="str">
        <f t="shared" si="2878"/>
        <v>...</v>
      </c>
      <c r="I12649" s="1" t="str">
        <f t="shared" si="2878"/>
        <v>...</v>
      </c>
      <c r="J12649" s="1" t="str">
        <f t="shared" si="2878"/>
        <v>...</v>
      </c>
      <c r="K12649" s="1" t="str">
        <f t="shared" si="2878"/>
        <v>...</v>
      </c>
      <c r="L12649" s="1" t="str">
        <f t="shared" si="2878"/>
        <v>...</v>
      </c>
      <c r="M12649" s="1" t="str">
        <f t="shared" si="2878"/>
        <v>...</v>
      </c>
      <c r="N12649" t="s">
        <v>30</v>
      </c>
    </row>
    <row r="12650" spans="1:14" x14ac:dyDescent="0.25">
      <c r="A12650" t="s">
        <v>44</v>
      </c>
      <c r="B12650" t="s">
        <v>40</v>
      </c>
      <c r="C12650" t="s">
        <v>36</v>
      </c>
      <c r="D12650" t="s">
        <v>28</v>
      </c>
      <c r="E12650" t="s">
        <v>26</v>
      </c>
      <c r="F12650" t="s">
        <v>19</v>
      </c>
      <c r="G12650" s="1" t="str">
        <f t="shared" si="2878"/>
        <v>...</v>
      </c>
      <c r="H12650" s="1" t="str">
        <f t="shared" si="2878"/>
        <v>...</v>
      </c>
      <c r="I12650" s="1" t="str">
        <f t="shared" si="2878"/>
        <v>...</v>
      </c>
      <c r="J12650" s="1" t="str">
        <f t="shared" si="2878"/>
        <v>...</v>
      </c>
      <c r="K12650" s="1" t="str">
        <f t="shared" si="2878"/>
        <v>...</v>
      </c>
      <c r="L12650" s="1" t="str">
        <f t="shared" si="2878"/>
        <v>...</v>
      </c>
      <c r="M12650" s="1" t="str">
        <f t="shared" si="2878"/>
        <v>...</v>
      </c>
      <c r="N12650" t="s">
        <v>30</v>
      </c>
    </row>
    <row r="12651" spans="1:14" x14ac:dyDescent="0.25">
      <c r="A12651" t="s">
        <v>44</v>
      </c>
      <c r="B12651" t="s">
        <v>40</v>
      </c>
      <c r="C12651" t="s">
        <v>36</v>
      </c>
      <c r="D12651" t="s">
        <v>28</v>
      </c>
      <c r="E12651" t="s">
        <v>26</v>
      </c>
      <c r="F12651" t="s">
        <v>20</v>
      </c>
      <c r="G12651" s="1" t="str">
        <f t="shared" ref="G12651:M12651" si="2879">"X"</f>
        <v>X</v>
      </c>
      <c r="H12651" s="1" t="str">
        <f t="shared" si="2879"/>
        <v>X</v>
      </c>
      <c r="I12651" s="1" t="str">
        <f t="shared" si="2879"/>
        <v>X</v>
      </c>
      <c r="J12651" s="1" t="str">
        <f t="shared" si="2879"/>
        <v>X</v>
      </c>
      <c r="K12651" s="1" t="str">
        <f t="shared" si="2879"/>
        <v>X</v>
      </c>
      <c r="L12651" s="1" t="str">
        <f t="shared" si="2879"/>
        <v>X</v>
      </c>
      <c r="M12651" s="1" t="str">
        <f t="shared" si="2879"/>
        <v>X</v>
      </c>
      <c r="N12651" t="s">
        <v>27</v>
      </c>
    </row>
    <row r="12652" spans="1:14" x14ac:dyDescent="0.25">
      <c r="A12652" t="s">
        <v>44</v>
      </c>
      <c r="B12652" t="s">
        <v>40</v>
      </c>
      <c r="C12652" t="s">
        <v>36</v>
      </c>
      <c r="D12652" t="s">
        <v>29</v>
      </c>
      <c r="E12652" t="s">
        <v>15</v>
      </c>
      <c r="F12652" t="s">
        <v>15</v>
      </c>
      <c r="G12652" s="2">
        <f>VALUE(848.5)</f>
        <v>848.5</v>
      </c>
      <c r="H12652" s="3">
        <f>VALUE(619.43)</f>
        <v>619.42999999999995</v>
      </c>
      <c r="I12652" s="1">
        <f>VALUE(3428)</f>
        <v>3428</v>
      </c>
      <c r="J12652" s="1">
        <f>VALUE(3940)</f>
        <v>3940</v>
      </c>
      <c r="K12652" s="1">
        <f>VALUE(4599)</f>
        <v>4599</v>
      </c>
      <c r="L12652" s="1">
        <f>VALUE(5415)</f>
        <v>5415</v>
      </c>
      <c r="M12652" s="1">
        <f>VALUE(6497)</f>
        <v>6497</v>
      </c>
      <c r="N12652" t="s">
        <v>25</v>
      </c>
    </row>
    <row r="12653" spans="1:14" x14ac:dyDescent="0.25">
      <c r="A12653" t="s">
        <v>44</v>
      </c>
      <c r="B12653" t="s">
        <v>40</v>
      </c>
      <c r="C12653" t="s">
        <v>36</v>
      </c>
      <c r="D12653" t="s">
        <v>29</v>
      </c>
      <c r="E12653" t="s">
        <v>15</v>
      </c>
      <c r="F12653" t="s">
        <v>17</v>
      </c>
      <c r="G12653" s="1" t="str">
        <f t="shared" ref="G12653:M12655" si="2880">"X"</f>
        <v>X</v>
      </c>
      <c r="H12653" s="1" t="str">
        <f t="shared" si="2880"/>
        <v>X</v>
      </c>
      <c r="I12653" s="1" t="str">
        <f t="shared" si="2880"/>
        <v>X</v>
      </c>
      <c r="J12653" s="1" t="str">
        <f t="shared" si="2880"/>
        <v>X</v>
      </c>
      <c r="K12653" s="1" t="str">
        <f t="shared" si="2880"/>
        <v>X</v>
      </c>
      <c r="L12653" s="1" t="str">
        <f t="shared" si="2880"/>
        <v>X</v>
      </c>
      <c r="M12653" s="1" t="str">
        <f t="shared" si="2880"/>
        <v>X</v>
      </c>
      <c r="N12653" t="s">
        <v>27</v>
      </c>
    </row>
    <row r="12654" spans="1:14" x14ac:dyDescent="0.25">
      <c r="A12654" t="s">
        <v>44</v>
      </c>
      <c r="B12654" t="s">
        <v>40</v>
      </c>
      <c r="C12654" t="s">
        <v>36</v>
      </c>
      <c r="D12654" t="s">
        <v>29</v>
      </c>
      <c r="E12654" t="s">
        <v>15</v>
      </c>
      <c r="F12654" t="s">
        <v>18</v>
      </c>
      <c r="G12654" s="1" t="str">
        <f t="shared" si="2880"/>
        <v>X</v>
      </c>
      <c r="H12654" s="1" t="str">
        <f t="shared" si="2880"/>
        <v>X</v>
      </c>
      <c r="I12654" s="1" t="str">
        <f t="shared" si="2880"/>
        <v>X</v>
      </c>
      <c r="J12654" s="1" t="str">
        <f t="shared" si="2880"/>
        <v>X</v>
      </c>
      <c r="K12654" s="1" t="str">
        <f t="shared" si="2880"/>
        <v>X</v>
      </c>
      <c r="L12654" s="1" t="str">
        <f t="shared" si="2880"/>
        <v>X</v>
      </c>
      <c r="M12654" s="1" t="str">
        <f t="shared" si="2880"/>
        <v>X</v>
      </c>
      <c r="N12654" t="s">
        <v>27</v>
      </c>
    </row>
    <row r="12655" spans="1:14" x14ac:dyDescent="0.25">
      <c r="A12655" t="s">
        <v>44</v>
      </c>
      <c r="B12655" t="s">
        <v>40</v>
      </c>
      <c r="C12655" t="s">
        <v>36</v>
      </c>
      <c r="D12655" t="s">
        <v>29</v>
      </c>
      <c r="E12655" t="s">
        <v>15</v>
      </c>
      <c r="F12655" t="s">
        <v>19</v>
      </c>
      <c r="G12655" s="1" t="str">
        <f t="shared" si="2880"/>
        <v>X</v>
      </c>
      <c r="H12655" s="1" t="str">
        <f t="shared" si="2880"/>
        <v>X</v>
      </c>
      <c r="I12655" s="1" t="str">
        <f t="shared" si="2880"/>
        <v>X</v>
      </c>
      <c r="J12655" s="1" t="str">
        <f t="shared" si="2880"/>
        <v>X</v>
      </c>
      <c r="K12655" s="1" t="str">
        <f t="shared" si="2880"/>
        <v>X</v>
      </c>
      <c r="L12655" s="1" t="str">
        <f t="shared" si="2880"/>
        <v>X</v>
      </c>
      <c r="M12655" s="1" t="str">
        <f t="shared" si="2880"/>
        <v>X</v>
      </c>
      <c r="N12655" t="s">
        <v>27</v>
      </c>
    </row>
    <row r="12656" spans="1:14" x14ac:dyDescent="0.25">
      <c r="A12656" t="s">
        <v>44</v>
      </c>
      <c r="B12656" t="s">
        <v>40</v>
      </c>
      <c r="C12656" t="s">
        <v>36</v>
      </c>
      <c r="D12656" t="s">
        <v>29</v>
      </c>
      <c r="E12656" t="s">
        <v>15</v>
      </c>
      <c r="F12656" t="s">
        <v>20</v>
      </c>
      <c r="G12656" s="2">
        <f>VALUE(593.74)</f>
        <v>593.74</v>
      </c>
      <c r="H12656" s="3">
        <f>VALUE(405.75)</f>
        <v>405.75</v>
      </c>
      <c r="I12656" s="1">
        <f>VALUE(3431)</f>
        <v>3431</v>
      </c>
      <c r="J12656" s="1">
        <f>VALUE(3863)</f>
        <v>3863</v>
      </c>
      <c r="K12656" s="1">
        <f>VALUE(4305)</f>
        <v>4305</v>
      </c>
      <c r="L12656" s="1">
        <f>VALUE(5091)</f>
        <v>5091</v>
      </c>
      <c r="M12656" s="1">
        <f>VALUE(6248)</f>
        <v>6248</v>
      </c>
      <c r="N12656" t="s">
        <v>25</v>
      </c>
    </row>
    <row r="12657" spans="1:14" x14ac:dyDescent="0.25">
      <c r="A12657" t="s">
        <v>44</v>
      </c>
      <c r="B12657" t="s">
        <v>40</v>
      </c>
      <c r="C12657" t="s">
        <v>36</v>
      </c>
      <c r="D12657" t="s">
        <v>29</v>
      </c>
      <c r="E12657" t="s">
        <v>21</v>
      </c>
      <c r="F12657" t="s">
        <v>15</v>
      </c>
      <c r="G12657" s="2">
        <f>VALUE(192.03)</f>
        <v>192.03</v>
      </c>
      <c r="H12657" s="3">
        <f>VALUE(155.69)</f>
        <v>155.69</v>
      </c>
      <c r="I12657" s="1">
        <f>VALUE(4736)</f>
        <v>4736</v>
      </c>
      <c r="J12657" s="5">
        <f>VALUE(5055)</f>
        <v>5055</v>
      </c>
      <c r="K12657" s="1">
        <f>VALUE(6117)</f>
        <v>6117</v>
      </c>
      <c r="L12657" s="7">
        <f>VALUE(6548)</f>
        <v>6548</v>
      </c>
      <c r="M12657" s="8">
        <f>VALUE(8757)</f>
        <v>8757</v>
      </c>
      <c r="N12657" t="s">
        <v>25</v>
      </c>
    </row>
    <row r="12658" spans="1:14" x14ac:dyDescent="0.25">
      <c r="A12658" t="s">
        <v>44</v>
      </c>
      <c r="B12658" t="s">
        <v>40</v>
      </c>
      <c r="C12658" t="s">
        <v>36</v>
      </c>
      <c r="D12658" t="s">
        <v>29</v>
      </c>
      <c r="E12658" t="s">
        <v>21</v>
      </c>
      <c r="F12658" t="s">
        <v>17</v>
      </c>
      <c r="G12658" s="1" t="str">
        <f t="shared" ref="G12658:M12661" si="2881">"X"</f>
        <v>X</v>
      </c>
      <c r="H12658" s="1" t="str">
        <f t="shared" si="2881"/>
        <v>X</v>
      </c>
      <c r="I12658" s="1" t="str">
        <f t="shared" si="2881"/>
        <v>X</v>
      </c>
      <c r="J12658" s="1" t="str">
        <f t="shared" si="2881"/>
        <v>X</v>
      </c>
      <c r="K12658" s="1" t="str">
        <f t="shared" si="2881"/>
        <v>X</v>
      </c>
      <c r="L12658" s="1" t="str">
        <f t="shared" si="2881"/>
        <v>X</v>
      </c>
      <c r="M12658" s="1" t="str">
        <f t="shared" si="2881"/>
        <v>X</v>
      </c>
      <c r="N12658" t="s">
        <v>27</v>
      </c>
    </row>
    <row r="12659" spans="1:14" x14ac:dyDescent="0.25">
      <c r="A12659" t="s">
        <v>44</v>
      </c>
      <c r="B12659" t="s">
        <v>40</v>
      </c>
      <c r="C12659" t="s">
        <v>36</v>
      </c>
      <c r="D12659" t="s">
        <v>29</v>
      </c>
      <c r="E12659" t="s">
        <v>21</v>
      </c>
      <c r="F12659" t="s">
        <v>18</v>
      </c>
      <c r="G12659" s="1" t="str">
        <f t="shared" si="2881"/>
        <v>X</v>
      </c>
      <c r="H12659" s="1" t="str">
        <f t="shared" si="2881"/>
        <v>X</v>
      </c>
      <c r="I12659" s="1" t="str">
        <f t="shared" si="2881"/>
        <v>X</v>
      </c>
      <c r="J12659" s="1" t="str">
        <f t="shared" si="2881"/>
        <v>X</v>
      </c>
      <c r="K12659" s="1" t="str">
        <f t="shared" si="2881"/>
        <v>X</v>
      </c>
      <c r="L12659" s="1" t="str">
        <f t="shared" si="2881"/>
        <v>X</v>
      </c>
      <c r="M12659" s="1" t="str">
        <f t="shared" si="2881"/>
        <v>X</v>
      </c>
      <c r="N12659" t="s">
        <v>27</v>
      </c>
    </row>
    <row r="12660" spans="1:14" x14ac:dyDescent="0.25">
      <c r="A12660" t="s">
        <v>44</v>
      </c>
      <c r="B12660" t="s">
        <v>40</v>
      </c>
      <c r="C12660" t="s">
        <v>36</v>
      </c>
      <c r="D12660" t="s">
        <v>29</v>
      </c>
      <c r="E12660" t="s">
        <v>21</v>
      </c>
      <c r="F12660" t="s">
        <v>19</v>
      </c>
      <c r="G12660" s="1" t="str">
        <f t="shared" si="2881"/>
        <v>X</v>
      </c>
      <c r="H12660" s="1" t="str">
        <f t="shared" si="2881"/>
        <v>X</v>
      </c>
      <c r="I12660" s="1" t="str">
        <f t="shared" si="2881"/>
        <v>X</v>
      </c>
      <c r="J12660" s="1" t="str">
        <f t="shared" si="2881"/>
        <v>X</v>
      </c>
      <c r="K12660" s="1" t="str">
        <f t="shared" si="2881"/>
        <v>X</v>
      </c>
      <c r="L12660" s="1" t="str">
        <f t="shared" si="2881"/>
        <v>X</v>
      </c>
      <c r="M12660" s="1" t="str">
        <f t="shared" si="2881"/>
        <v>X</v>
      </c>
      <c r="N12660" t="s">
        <v>27</v>
      </c>
    </row>
    <row r="12661" spans="1:14" x14ac:dyDescent="0.25">
      <c r="A12661" t="s">
        <v>44</v>
      </c>
      <c r="B12661" t="s">
        <v>40</v>
      </c>
      <c r="C12661" t="s">
        <v>36</v>
      </c>
      <c r="D12661" t="s">
        <v>29</v>
      </c>
      <c r="E12661" t="s">
        <v>21</v>
      </c>
      <c r="F12661" t="s">
        <v>20</v>
      </c>
      <c r="G12661" s="1" t="str">
        <f t="shared" si="2881"/>
        <v>X</v>
      </c>
      <c r="H12661" s="1" t="str">
        <f t="shared" si="2881"/>
        <v>X</v>
      </c>
      <c r="I12661" s="1" t="str">
        <f t="shared" si="2881"/>
        <v>X</v>
      </c>
      <c r="J12661" s="1" t="str">
        <f t="shared" si="2881"/>
        <v>X</v>
      </c>
      <c r="K12661" s="1" t="str">
        <f t="shared" si="2881"/>
        <v>X</v>
      </c>
      <c r="L12661" s="1" t="str">
        <f t="shared" si="2881"/>
        <v>X</v>
      </c>
      <c r="M12661" s="1" t="str">
        <f t="shared" si="2881"/>
        <v>X</v>
      </c>
      <c r="N12661" t="s">
        <v>27</v>
      </c>
    </row>
    <row r="12662" spans="1:14" x14ac:dyDescent="0.25">
      <c r="A12662" t="s">
        <v>44</v>
      </c>
      <c r="B12662" t="s">
        <v>40</v>
      </c>
      <c r="C12662" t="s">
        <v>36</v>
      </c>
      <c r="D12662" t="s">
        <v>29</v>
      </c>
      <c r="E12662" t="s">
        <v>22</v>
      </c>
      <c r="F12662" t="s">
        <v>15</v>
      </c>
      <c r="G12662" s="2">
        <f>VALUE(368.33)</f>
        <v>368.33</v>
      </c>
      <c r="H12662" s="3">
        <f>VALUE(310.67)</f>
        <v>310.67</v>
      </c>
      <c r="I12662" s="1">
        <f>VALUE(3771)</f>
        <v>3771</v>
      </c>
      <c r="J12662" s="1">
        <f>VALUE(4125)</f>
        <v>4125</v>
      </c>
      <c r="K12662" s="1">
        <f>VALUE(4562)</f>
        <v>4562</v>
      </c>
      <c r="L12662" s="1">
        <f>VALUE(5091)</f>
        <v>5091</v>
      </c>
      <c r="M12662" s="1">
        <f>VALUE(5957)</f>
        <v>5957</v>
      </c>
      <c r="N12662" t="s">
        <v>25</v>
      </c>
    </row>
    <row r="12663" spans="1:14" x14ac:dyDescent="0.25">
      <c r="A12663" t="s">
        <v>44</v>
      </c>
      <c r="B12663" t="s">
        <v>40</v>
      </c>
      <c r="C12663" t="s">
        <v>36</v>
      </c>
      <c r="D12663" t="s">
        <v>29</v>
      </c>
      <c r="E12663" t="s">
        <v>22</v>
      </c>
      <c r="F12663" t="s">
        <v>17</v>
      </c>
      <c r="G12663" s="1" t="str">
        <f t="shared" ref="G12663:M12665" si="2882">"X"</f>
        <v>X</v>
      </c>
      <c r="H12663" s="1" t="str">
        <f t="shared" si="2882"/>
        <v>X</v>
      </c>
      <c r="I12663" s="1" t="str">
        <f t="shared" si="2882"/>
        <v>X</v>
      </c>
      <c r="J12663" s="1" t="str">
        <f t="shared" si="2882"/>
        <v>X</v>
      </c>
      <c r="K12663" s="1" t="str">
        <f t="shared" si="2882"/>
        <v>X</v>
      </c>
      <c r="L12663" s="1" t="str">
        <f t="shared" si="2882"/>
        <v>X</v>
      </c>
      <c r="M12663" s="1" t="str">
        <f t="shared" si="2882"/>
        <v>X</v>
      </c>
      <c r="N12663" t="s">
        <v>27</v>
      </c>
    </row>
    <row r="12664" spans="1:14" x14ac:dyDescent="0.25">
      <c r="A12664" t="s">
        <v>44</v>
      </c>
      <c r="B12664" t="s">
        <v>40</v>
      </c>
      <c r="C12664" t="s">
        <v>36</v>
      </c>
      <c r="D12664" t="s">
        <v>29</v>
      </c>
      <c r="E12664" t="s">
        <v>22</v>
      </c>
      <c r="F12664" t="s">
        <v>18</v>
      </c>
      <c r="G12664" s="1" t="str">
        <f t="shared" si="2882"/>
        <v>X</v>
      </c>
      <c r="H12664" s="1" t="str">
        <f t="shared" si="2882"/>
        <v>X</v>
      </c>
      <c r="I12664" s="1" t="str">
        <f t="shared" si="2882"/>
        <v>X</v>
      </c>
      <c r="J12664" s="1" t="str">
        <f t="shared" si="2882"/>
        <v>X</v>
      </c>
      <c r="K12664" s="1" t="str">
        <f t="shared" si="2882"/>
        <v>X</v>
      </c>
      <c r="L12664" s="1" t="str">
        <f t="shared" si="2882"/>
        <v>X</v>
      </c>
      <c r="M12664" s="1" t="str">
        <f t="shared" si="2882"/>
        <v>X</v>
      </c>
      <c r="N12664" t="s">
        <v>27</v>
      </c>
    </row>
    <row r="12665" spans="1:14" x14ac:dyDescent="0.25">
      <c r="A12665" t="s">
        <v>44</v>
      </c>
      <c r="B12665" t="s">
        <v>40</v>
      </c>
      <c r="C12665" t="s">
        <v>36</v>
      </c>
      <c r="D12665" t="s">
        <v>29</v>
      </c>
      <c r="E12665" t="s">
        <v>22</v>
      </c>
      <c r="F12665" t="s">
        <v>19</v>
      </c>
      <c r="G12665" s="1" t="str">
        <f t="shared" si="2882"/>
        <v>X</v>
      </c>
      <c r="H12665" s="1" t="str">
        <f t="shared" si="2882"/>
        <v>X</v>
      </c>
      <c r="I12665" s="1" t="str">
        <f t="shared" si="2882"/>
        <v>X</v>
      </c>
      <c r="J12665" s="1" t="str">
        <f t="shared" si="2882"/>
        <v>X</v>
      </c>
      <c r="K12665" s="1" t="str">
        <f t="shared" si="2882"/>
        <v>X</v>
      </c>
      <c r="L12665" s="1" t="str">
        <f t="shared" si="2882"/>
        <v>X</v>
      </c>
      <c r="M12665" s="1" t="str">
        <f t="shared" si="2882"/>
        <v>X</v>
      </c>
      <c r="N12665" t="s">
        <v>27</v>
      </c>
    </row>
    <row r="12666" spans="1:14" x14ac:dyDescent="0.25">
      <c r="A12666" t="s">
        <v>44</v>
      </c>
      <c r="B12666" t="s">
        <v>40</v>
      </c>
      <c r="C12666" t="s">
        <v>36</v>
      </c>
      <c r="D12666" t="s">
        <v>29</v>
      </c>
      <c r="E12666" t="s">
        <v>22</v>
      </c>
      <c r="F12666" t="s">
        <v>20</v>
      </c>
      <c r="G12666" s="2">
        <f>VALUE(264.79)</f>
        <v>264.79000000000002</v>
      </c>
      <c r="H12666" s="3">
        <f>VALUE(219.45)</f>
        <v>219.45</v>
      </c>
      <c r="I12666" s="1">
        <f>VALUE(3766)</f>
        <v>3766</v>
      </c>
      <c r="J12666" s="1">
        <f>VALUE(4125)</f>
        <v>4125</v>
      </c>
      <c r="K12666" s="1">
        <f>VALUE(4441)</f>
        <v>4441</v>
      </c>
      <c r="L12666" s="1">
        <f>VALUE(4988)</f>
        <v>4988</v>
      </c>
      <c r="M12666" s="1">
        <f>VALUE(5471)</f>
        <v>5471</v>
      </c>
      <c r="N12666" t="s">
        <v>25</v>
      </c>
    </row>
    <row r="12667" spans="1:14" x14ac:dyDescent="0.25">
      <c r="A12667" t="s">
        <v>44</v>
      </c>
      <c r="B12667" t="s">
        <v>40</v>
      </c>
      <c r="C12667" t="s">
        <v>36</v>
      </c>
      <c r="D12667" t="s">
        <v>29</v>
      </c>
      <c r="E12667" t="s">
        <v>23</v>
      </c>
      <c r="F12667" t="s">
        <v>15</v>
      </c>
      <c r="G12667" s="2">
        <f>VALUE(286.83)</f>
        <v>286.83</v>
      </c>
      <c r="H12667" s="3">
        <f>VALUE(152.4)</f>
        <v>152.4</v>
      </c>
      <c r="I12667" s="4">
        <f>VALUE(3138)</f>
        <v>3138</v>
      </c>
      <c r="J12667" s="1">
        <f>VALUE(3423)</f>
        <v>3423</v>
      </c>
      <c r="K12667" s="1">
        <f>VALUE(3717)</f>
        <v>3717</v>
      </c>
      <c r="L12667" s="1">
        <f>VALUE(4280)</f>
        <v>4280</v>
      </c>
      <c r="M12667" s="1">
        <f>VALUE(4599)</f>
        <v>4599</v>
      </c>
      <c r="N12667" t="s">
        <v>25</v>
      </c>
    </row>
    <row r="12668" spans="1:14" x14ac:dyDescent="0.25">
      <c r="A12668" t="s">
        <v>44</v>
      </c>
      <c r="B12668" t="s">
        <v>40</v>
      </c>
      <c r="C12668" t="s">
        <v>36</v>
      </c>
      <c r="D12668" t="s">
        <v>29</v>
      </c>
      <c r="E12668" t="s">
        <v>23</v>
      </c>
      <c r="F12668" t="s">
        <v>17</v>
      </c>
      <c r="G12668" s="1" t="str">
        <f t="shared" ref="G12668:M12668" si="2883">"..."</f>
        <v>...</v>
      </c>
      <c r="H12668" s="1" t="str">
        <f t="shared" si="2883"/>
        <v>...</v>
      </c>
      <c r="I12668" s="1" t="str">
        <f t="shared" si="2883"/>
        <v>...</v>
      </c>
      <c r="J12668" s="1" t="str">
        <f t="shared" si="2883"/>
        <v>...</v>
      </c>
      <c r="K12668" s="1" t="str">
        <f t="shared" si="2883"/>
        <v>...</v>
      </c>
      <c r="L12668" s="1" t="str">
        <f t="shared" si="2883"/>
        <v>...</v>
      </c>
      <c r="M12668" s="1" t="str">
        <f t="shared" si="2883"/>
        <v>...</v>
      </c>
      <c r="N12668" t="s">
        <v>30</v>
      </c>
    </row>
    <row r="12669" spans="1:14" x14ac:dyDescent="0.25">
      <c r="A12669" t="s">
        <v>44</v>
      </c>
      <c r="B12669" t="s">
        <v>40</v>
      </c>
      <c r="C12669" t="s">
        <v>36</v>
      </c>
      <c r="D12669" t="s">
        <v>29</v>
      </c>
      <c r="E12669" t="s">
        <v>23</v>
      </c>
      <c r="F12669" t="s">
        <v>18</v>
      </c>
      <c r="G12669" s="1" t="str">
        <f t="shared" ref="G12669:M12670" si="2884">"X"</f>
        <v>X</v>
      </c>
      <c r="H12669" s="1" t="str">
        <f t="shared" si="2884"/>
        <v>X</v>
      </c>
      <c r="I12669" s="1" t="str">
        <f t="shared" si="2884"/>
        <v>X</v>
      </c>
      <c r="J12669" s="1" t="str">
        <f t="shared" si="2884"/>
        <v>X</v>
      </c>
      <c r="K12669" s="1" t="str">
        <f t="shared" si="2884"/>
        <v>X</v>
      </c>
      <c r="L12669" s="1" t="str">
        <f t="shared" si="2884"/>
        <v>X</v>
      </c>
      <c r="M12669" s="1" t="str">
        <f t="shared" si="2884"/>
        <v>X</v>
      </c>
      <c r="N12669" t="s">
        <v>27</v>
      </c>
    </row>
    <row r="12670" spans="1:14" x14ac:dyDescent="0.25">
      <c r="A12670" t="s">
        <v>44</v>
      </c>
      <c r="B12670" t="s">
        <v>40</v>
      </c>
      <c r="C12670" t="s">
        <v>36</v>
      </c>
      <c r="D12670" t="s">
        <v>29</v>
      </c>
      <c r="E12670" t="s">
        <v>23</v>
      </c>
      <c r="F12670" t="s">
        <v>19</v>
      </c>
      <c r="G12670" s="1" t="str">
        <f t="shared" si="2884"/>
        <v>X</v>
      </c>
      <c r="H12670" s="1" t="str">
        <f t="shared" si="2884"/>
        <v>X</v>
      </c>
      <c r="I12670" s="1" t="str">
        <f t="shared" si="2884"/>
        <v>X</v>
      </c>
      <c r="J12670" s="1" t="str">
        <f t="shared" si="2884"/>
        <v>X</v>
      </c>
      <c r="K12670" s="1" t="str">
        <f t="shared" si="2884"/>
        <v>X</v>
      </c>
      <c r="L12670" s="1" t="str">
        <f t="shared" si="2884"/>
        <v>X</v>
      </c>
      <c r="M12670" s="1" t="str">
        <f t="shared" si="2884"/>
        <v>X</v>
      </c>
      <c r="N12670" t="s">
        <v>27</v>
      </c>
    </row>
    <row r="12671" spans="1:14" x14ac:dyDescent="0.25">
      <c r="A12671" t="s">
        <v>44</v>
      </c>
      <c r="B12671" t="s">
        <v>40</v>
      </c>
      <c r="C12671" t="s">
        <v>36</v>
      </c>
      <c r="D12671" t="s">
        <v>29</v>
      </c>
      <c r="E12671" t="s">
        <v>23</v>
      </c>
      <c r="F12671" t="s">
        <v>20</v>
      </c>
      <c r="G12671" s="2">
        <f>VALUE(227.9)</f>
        <v>227.9</v>
      </c>
      <c r="H12671" s="3">
        <f>VALUE(113.75)</f>
        <v>113.75</v>
      </c>
      <c r="I12671" s="1">
        <f>VALUE(3131)</f>
        <v>3131</v>
      </c>
      <c r="J12671" s="1">
        <f>VALUE(3400)</f>
        <v>3400</v>
      </c>
      <c r="K12671" s="1">
        <f>VALUE(3717)</f>
        <v>3717</v>
      </c>
      <c r="L12671" s="1">
        <f>VALUE(4167)</f>
        <v>4167</v>
      </c>
      <c r="M12671" s="1">
        <f>VALUE(4638)</f>
        <v>4638</v>
      </c>
      <c r="N12671" t="s">
        <v>25</v>
      </c>
    </row>
    <row r="12672" spans="1:14" x14ac:dyDescent="0.25">
      <c r="A12672" t="s">
        <v>44</v>
      </c>
      <c r="B12672" t="s">
        <v>40</v>
      </c>
      <c r="C12672" t="s">
        <v>36</v>
      </c>
      <c r="D12672" t="s">
        <v>29</v>
      </c>
      <c r="E12672" t="s">
        <v>26</v>
      </c>
      <c r="F12672" t="s">
        <v>15</v>
      </c>
      <c r="G12672" s="1" t="str">
        <f t="shared" ref="G12672:M12672" si="2885">"X"</f>
        <v>X</v>
      </c>
      <c r="H12672" s="1" t="str">
        <f t="shared" si="2885"/>
        <v>X</v>
      </c>
      <c r="I12672" s="1" t="str">
        <f t="shared" si="2885"/>
        <v>X</v>
      </c>
      <c r="J12672" s="1" t="str">
        <f t="shared" si="2885"/>
        <v>X</v>
      </c>
      <c r="K12672" s="1" t="str">
        <f t="shared" si="2885"/>
        <v>X</v>
      </c>
      <c r="L12672" s="1" t="str">
        <f t="shared" si="2885"/>
        <v>X</v>
      </c>
      <c r="M12672" s="1" t="str">
        <f t="shared" si="2885"/>
        <v>X</v>
      </c>
      <c r="N12672" t="s">
        <v>27</v>
      </c>
    </row>
    <row r="12673" spans="1:14" x14ac:dyDescent="0.25">
      <c r="A12673" t="s">
        <v>44</v>
      </c>
      <c r="B12673" t="s">
        <v>40</v>
      </c>
      <c r="C12673" t="s">
        <v>36</v>
      </c>
      <c r="D12673" t="s">
        <v>29</v>
      </c>
      <c r="E12673" t="s">
        <v>26</v>
      </c>
      <c r="F12673" t="s">
        <v>17</v>
      </c>
      <c r="G12673" s="1" t="str">
        <f t="shared" ref="G12673:M12675" si="2886">"..."</f>
        <v>...</v>
      </c>
      <c r="H12673" s="1" t="str">
        <f t="shared" si="2886"/>
        <v>...</v>
      </c>
      <c r="I12673" s="1" t="str">
        <f t="shared" si="2886"/>
        <v>...</v>
      </c>
      <c r="J12673" s="1" t="str">
        <f t="shared" si="2886"/>
        <v>...</v>
      </c>
      <c r="K12673" s="1" t="str">
        <f t="shared" si="2886"/>
        <v>...</v>
      </c>
      <c r="L12673" s="1" t="str">
        <f t="shared" si="2886"/>
        <v>...</v>
      </c>
      <c r="M12673" s="1" t="str">
        <f t="shared" si="2886"/>
        <v>...</v>
      </c>
      <c r="N12673" t="s">
        <v>30</v>
      </c>
    </row>
    <row r="12674" spans="1:14" x14ac:dyDescent="0.25">
      <c r="A12674" t="s">
        <v>44</v>
      </c>
      <c r="B12674" t="s">
        <v>40</v>
      </c>
      <c r="C12674" t="s">
        <v>36</v>
      </c>
      <c r="D12674" t="s">
        <v>29</v>
      </c>
      <c r="E12674" t="s">
        <v>26</v>
      </c>
      <c r="F12674" t="s">
        <v>18</v>
      </c>
      <c r="G12674" s="1" t="str">
        <f t="shared" si="2886"/>
        <v>...</v>
      </c>
      <c r="H12674" s="1" t="str">
        <f t="shared" si="2886"/>
        <v>...</v>
      </c>
      <c r="I12674" s="1" t="str">
        <f t="shared" si="2886"/>
        <v>...</v>
      </c>
      <c r="J12674" s="1" t="str">
        <f t="shared" si="2886"/>
        <v>...</v>
      </c>
      <c r="K12674" s="1" t="str">
        <f t="shared" si="2886"/>
        <v>...</v>
      </c>
      <c r="L12674" s="1" t="str">
        <f t="shared" si="2886"/>
        <v>...</v>
      </c>
      <c r="M12674" s="1" t="str">
        <f t="shared" si="2886"/>
        <v>...</v>
      </c>
      <c r="N12674" t="s">
        <v>30</v>
      </c>
    </row>
    <row r="12675" spans="1:14" x14ac:dyDescent="0.25">
      <c r="A12675" t="s">
        <v>44</v>
      </c>
      <c r="B12675" t="s">
        <v>40</v>
      </c>
      <c r="C12675" t="s">
        <v>36</v>
      </c>
      <c r="D12675" t="s">
        <v>29</v>
      </c>
      <c r="E12675" t="s">
        <v>26</v>
      </c>
      <c r="F12675" t="s">
        <v>19</v>
      </c>
      <c r="G12675" s="1" t="str">
        <f t="shared" si="2886"/>
        <v>...</v>
      </c>
      <c r="H12675" s="1" t="str">
        <f t="shared" si="2886"/>
        <v>...</v>
      </c>
      <c r="I12675" s="1" t="str">
        <f t="shared" si="2886"/>
        <v>...</v>
      </c>
      <c r="J12675" s="1" t="str">
        <f t="shared" si="2886"/>
        <v>...</v>
      </c>
      <c r="K12675" s="1" t="str">
        <f t="shared" si="2886"/>
        <v>...</v>
      </c>
      <c r="L12675" s="1" t="str">
        <f t="shared" si="2886"/>
        <v>...</v>
      </c>
      <c r="M12675" s="1" t="str">
        <f t="shared" si="2886"/>
        <v>...</v>
      </c>
      <c r="N12675" t="s">
        <v>30</v>
      </c>
    </row>
    <row r="12676" spans="1:14" x14ac:dyDescent="0.25">
      <c r="A12676" t="s">
        <v>44</v>
      </c>
      <c r="B12676" t="s">
        <v>40</v>
      </c>
      <c r="C12676" t="s">
        <v>36</v>
      </c>
      <c r="D12676" t="s">
        <v>29</v>
      </c>
      <c r="E12676" t="s">
        <v>26</v>
      </c>
      <c r="F12676" t="s">
        <v>20</v>
      </c>
      <c r="G12676" s="1" t="str">
        <f t="shared" ref="G12676:M12676" si="2887">"X"</f>
        <v>X</v>
      </c>
      <c r="H12676" s="1" t="str">
        <f t="shared" si="2887"/>
        <v>X</v>
      </c>
      <c r="I12676" s="1" t="str">
        <f t="shared" si="2887"/>
        <v>X</v>
      </c>
      <c r="J12676" s="1" t="str">
        <f t="shared" si="2887"/>
        <v>X</v>
      </c>
      <c r="K12676" s="1" t="str">
        <f t="shared" si="2887"/>
        <v>X</v>
      </c>
      <c r="L12676" s="1" t="str">
        <f t="shared" si="2887"/>
        <v>X</v>
      </c>
      <c r="M12676" s="1" t="str">
        <f t="shared" si="2887"/>
        <v>X</v>
      </c>
      <c r="N12676" t="s">
        <v>27</v>
      </c>
    </row>
    <row r="12677" spans="1:14" x14ac:dyDescent="0.25">
      <c r="A12677" t="s">
        <v>44</v>
      </c>
      <c r="B12677" t="s">
        <v>40</v>
      </c>
      <c r="C12677" t="s">
        <v>36</v>
      </c>
      <c r="D12677" t="s">
        <v>31</v>
      </c>
      <c r="E12677" t="s">
        <v>15</v>
      </c>
      <c r="F12677" t="s">
        <v>15</v>
      </c>
      <c r="G12677" s="2">
        <f>VALUE(1558.53)</f>
        <v>1558.53</v>
      </c>
      <c r="H12677" s="3">
        <f>VALUE(1260.97)</f>
        <v>1260.97</v>
      </c>
      <c r="I12677" s="4">
        <f>VALUE(3343)</f>
        <v>3343</v>
      </c>
      <c r="J12677" s="1">
        <f>VALUE(3900)</f>
        <v>3900</v>
      </c>
      <c r="K12677" s="1">
        <f>VALUE(4641)</f>
        <v>4641</v>
      </c>
      <c r="L12677" s="1">
        <f>VALUE(5673)</f>
        <v>5673</v>
      </c>
      <c r="M12677" s="1">
        <f>VALUE(6666)</f>
        <v>6666</v>
      </c>
      <c r="N12677" t="s">
        <v>25</v>
      </c>
    </row>
    <row r="12678" spans="1:14" x14ac:dyDescent="0.25">
      <c r="A12678" t="s">
        <v>44</v>
      </c>
      <c r="B12678" t="s">
        <v>40</v>
      </c>
      <c r="C12678" t="s">
        <v>36</v>
      </c>
      <c r="D12678" t="s">
        <v>31</v>
      </c>
      <c r="E12678" t="s">
        <v>15</v>
      </c>
      <c r="F12678" t="s">
        <v>17</v>
      </c>
      <c r="G12678" s="1" t="str">
        <f t="shared" ref="G12678:M12680" si="2888">"X"</f>
        <v>X</v>
      </c>
      <c r="H12678" s="1" t="str">
        <f t="shared" si="2888"/>
        <v>X</v>
      </c>
      <c r="I12678" s="1" t="str">
        <f t="shared" si="2888"/>
        <v>X</v>
      </c>
      <c r="J12678" s="1" t="str">
        <f t="shared" si="2888"/>
        <v>X</v>
      </c>
      <c r="K12678" s="1" t="str">
        <f t="shared" si="2888"/>
        <v>X</v>
      </c>
      <c r="L12678" s="1" t="str">
        <f t="shared" si="2888"/>
        <v>X</v>
      </c>
      <c r="M12678" s="1" t="str">
        <f t="shared" si="2888"/>
        <v>X</v>
      </c>
      <c r="N12678" t="s">
        <v>27</v>
      </c>
    </row>
    <row r="12679" spans="1:14" x14ac:dyDescent="0.25">
      <c r="A12679" t="s">
        <v>44</v>
      </c>
      <c r="B12679" t="s">
        <v>40</v>
      </c>
      <c r="C12679" t="s">
        <v>36</v>
      </c>
      <c r="D12679" t="s">
        <v>31</v>
      </c>
      <c r="E12679" t="s">
        <v>15</v>
      </c>
      <c r="F12679" t="s">
        <v>18</v>
      </c>
      <c r="G12679" s="1" t="str">
        <f t="shared" si="2888"/>
        <v>X</v>
      </c>
      <c r="H12679" s="1" t="str">
        <f t="shared" si="2888"/>
        <v>X</v>
      </c>
      <c r="I12679" s="1" t="str">
        <f t="shared" si="2888"/>
        <v>X</v>
      </c>
      <c r="J12679" s="1" t="str">
        <f t="shared" si="2888"/>
        <v>X</v>
      </c>
      <c r="K12679" s="1" t="str">
        <f t="shared" si="2888"/>
        <v>X</v>
      </c>
      <c r="L12679" s="1" t="str">
        <f t="shared" si="2888"/>
        <v>X</v>
      </c>
      <c r="M12679" s="1" t="str">
        <f t="shared" si="2888"/>
        <v>X</v>
      </c>
      <c r="N12679" t="s">
        <v>27</v>
      </c>
    </row>
    <row r="12680" spans="1:14" x14ac:dyDescent="0.25">
      <c r="A12680" t="s">
        <v>44</v>
      </c>
      <c r="B12680" t="s">
        <v>40</v>
      </c>
      <c r="C12680" t="s">
        <v>36</v>
      </c>
      <c r="D12680" t="s">
        <v>31</v>
      </c>
      <c r="E12680" t="s">
        <v>15</v>
      </c>
      <c r="F12680" t="s">
        <v>19</v>
      </c>
      <c r="G12680" s="1" t="str">
        <f t="shared" si="2888"/>
        <v>X</v>
      </c>
      <c r="H12680" s="1" t="str">
        <f t="shared" si="2888"/>
        <v>X</v>
      </c>
      <c r="I12680" s="1" t="str">
        <f t="shared" si="2888"/>
        <v>X</v>
      </c>
      <c r="J12680" s="1" t="str">
        <f t="shared" si="2888"/>
        <v>X</v>
      </c>
      <c r="K12680" s="1" t="str">
        <f t="shared" si="2888"/>
        <v>X</v>
      </c>
      <c r="L12680" s="1" t="str">
        <f t="shared" si="2888"/>
        <v>X</v>
      </c>
      <c r="M12680" s="1" t="str">
        <f t="shared" si="2888"/>
        <v>X</v>
      </c>
      <c r="N12680" t="s">
        <v>27</v>
      </c>
    </row>
    <row r="12681" spans="1:14" x14ac:dyDescent="0.25">
      <c r="A12681" t="s">
        <v>44</v>
      </c>
      <c r="B12681" t="s">
        <v>40</v>
      </c>
      <c r="C12681" t="s">
        <v>36</v>
      </c>
      <c r="D12681" t="s">
        <v>31</v>
      </c>
      <c r="E12681" t="s">
        <v>15</v>
      </c>
      <c r="F12681" t="s">
        <v>20</v>
      </c>
      <c r="G12681" s="2">
        <f>VALUE(1226.76)</f>
        <v>1226.76</v>
      </c>
      <c r="H12681" s="3">
        <f>VALUE(981.69)</f>
        <v>981.69</v>
      </c>
      <c r="I12681" s="4">
        <f>VALUE(3174)</f>
        <v>3174</v>
      </c>
      <c r="J12681" s="1">
        <f>VALUE(3723)</f>
        <v>3723</v>
      </c>
      <c r="K12681" s="6">
        <f>VALUE(4463)</f>
        <v>4463</v>
      </c>
      <c r="L12681" s="1">
        <f>VALUE(5350)</f>
        <v>5350</v>
      </c>
      <c r="M12681" s="1">
        <f>VALUE(6140)</f>
        <v>6140</v>
      </c>
      <c r="N12681" t="s">
        <v>25</v>
      </c>
    </row>
    <row r="12682" spans="1:14" x14ac:dyDescent="0.25">
      <c r="A12682" t="s">
        <v>44</v>
      </c>
      <c r="B12682" t="s">
        <v>40</v>
      </c>
      <c r="C12682" t="s">
        <v>36</v>
      </c>
      <c r="D12682" t="s">
        <v>31</v>
      </c>
      <c r="E12682" t="s">
        <v>21</v>
      </c>
      <c r="F12682" t="s">
        <v>15</v>
      </c>
      <c r="G12682" s="2">
        <f>VALUE(708.19)</f>
        <v>708.19</v>
      </c>
      <c r="H12682" s="3">
        <f>VALUE(592.66)</f>
        <v>592.66</v>
      </c>
      <c r="I12682" s="1">
        <f>VALUE(4000)</f>
        <v>4000</v>
      </c>
      <c r="J12682" s="1">
        <f>VALUE(4672)</f>
        <v>4672</v>
      </c>
      <c r="K12682" s="1">
        <f>VALUE(5456)</f>
        <v>5456</v>
      </c>
      <c r="L12682" s="1">
        <f>VALUE(6147)</f>
        <v>6147</v>
      </c>
      <c r="M12682" s="1">
        <f>VALUE(7697)</f>
        <v>7697</v>
      </c>
      <c r="N12682" t="s">
        <v>25</v>
      </c>
    </row>
    <row r="12683" spans="1:14" x14ac:dyDescent="0.25">
      <c r="A12683" t="s">
        <v>44</v>
      </c>
      <c r="B12683" t="s">
        <v>40</v>
      </c>
      <c r="C12683" t="s">
        <v>36</v>
      </c>
      <c r="D12683" t="s">
        <v>31</v>
      </c>
      <c r="E12683" t="s">
        <v>21</v>
      </c>
      <c r="F12683" t="s">
        <v>17</v>
      </c>
      <c r="G12683" s="1" t="str">
        <f t="shared" ref="G12683:M12685" si="2889">"X"</f>
        <v>X</v>
      </c>
      <c r="H12683" s="1" t="str">
        <f t="shared" si="2889"/>
        <v>X</v>
      </c>
      <c r="I12683" s="1" t="str">
        <f t="shared" si="2889"/>
        <v>X</v>
      </c>
      <c r="J12683" s="1" t="str">
        <f t="shared" si="2889"/>
        <v>X</v>
      </c>
      <c r="K12683" s="1" t="str">
        <f t="shared" si="2889"/>
        <v>X</v>
      </c>
      <c r="L12683" s="1" t="str">
        <f t="shared" si="2889"/>
        <v>X</v>
      </c>
      <c r="M12683" s="1" t="str">
        <f t="shared" si="2889"/>
        <v>X</v>
      </c>
      <c r="N12683" t="s">
        <v>27</v>
      </c>
    </row>
    <row r="12684" spans="1:14" x14ac:dyDescent="0.25">
      <c r="A12684" t="s">
        <v>44</v>
      </c>
      <c r="B12684" t="s">
        <v>40</v>
      </c>
      <c r="C12684" t="s">
        <v>36</v>
      </c>
      <c r="D12684" t="s">
        <v>31</v>
      </c>
      <c r="E12684" t="s">
        <v>21</v>
      </c>
      <c r="F12684" t="s">
        <v>18</v>
      </c>
      <c r="G12684" s="1" t="str">
        <f t="shared" si="2889"/>
        <v>X</v>
      </c>
      <c r="H12684" s="1" t="str">
        <f t="shared" si="2889"/>
        <v>X</v>
      </c>
      <c r="I12684" s="1" t="str">
        <f t="shared" si="2889"/>
        <v>X</v>
      </c>
      <c r="J12684" s="1" t="str">
        <f t="shared" si="2889"/>
        <v>X</v>
      </c>
      <c r="K12684" s="1" t="str">
        <f t="shared" si="2889"/>
        <v>X</v>
      </c>
      <c r="L12684" s="1" t="str">
        <f t="shared" si="2889"/>
        <v>X</v>
      </c>
      <c r="M12684" s="1" t="str">
        <f t="shared" si="2889"/>
        <v>X</v>
      </c>
      <c r="N12684" t="s">
        <v>27</v>
      </c>
    </row>
    <row r="12685" spans="1:14" x14ac:dyDescent="0.25">
      <c r="A12685" t="s">
        <v>44</v>
      </c>
      <c r="B12685" t="s">
        <v>40</v>
      </c>
      <c r="C12685" t="s">
        <v>36</v>
      </c>
      <c r="D12685" t="s">
        <v>31</v>
      </c>
      <c r="E12685" t="s">
        <v>21</v>
      </c>
      <c r="F12685" t="s">
        <v>19</v>
      </c>
      <c r="G12685" s="1" t="str">
        <f t="shared" si="2889"/>
        <v>X</v>
      </c>
      <c r="H12685" s="1" t="str">
        <f t="shared" si="2889"/>
        <v>X</v>
      </c>
      <c r="I12685" s="1" t="str">
        <f t="shared" si="2889"/>
        <v>X</v>
      </c>
      <c r="J12685" s="1" t="str">
        <f t="shared" si="2889"/>
        <v>X</v>
      </c>
      <c r="K12685" s="1" t="str">
        <f t="shared" si="2889"/>
        <v>X</v>
      </c>
      <c r="L12685" s="1" t="str">
        <f t="shared" si="2889"/>
        <v>X</v>
      </c>
      <c r="M12685" s="1" t="str">
        <f t="shared" si="2889"/>
        <v>X</v>
      </c>
      <c r="N12685" t="s">
        <v>27</v>
      </c>
    </row>
    <row r="12686" spans="1:14" x14ac:dyDescent="0.25">
      <c r="A12686" t="s">
        <v>44</v>
      </c>
      <c r="B12686" t="s">
        <v>40</v>
      </c>
      <c r="C12686" t="s">
        <v>36</v>
      </c>
      <c r="D12686" t="s">
        <v>31</v>
      </c>
      <c r="E12686" t="s">
        <v>21</v>
      </c>
      <c r="F12686" t="s">
        <v>20</v>
      </c>
      <c r="G12686" s="2">
        <f>VALUE(479.37)</f>
        <v>479.37</v>
      </c>
      <c r="H12686" s="3">
        <f>VALUE(401)</f>
        <v>401</v>
      </c>
      <c r="I12686" s="1">
        <f>VALUE(3976)</f>
        <v>3976</v>
      </c>
      <c r="J12686" s="1">
        <f>VALUE(4672)</f>
        <v>4672</v>
      </c>
      <c r="K12686" s="1">
        <f>VALUE(5106)</f>
        <v>5106</v>
      </c>
      <c r="L12686" s="1">
        <f>VALUE(5881)</f>
        <v>5881</v>
      </c>
      <c r="M12686" s="1">
        <f>VALUE(6667)</f>
        <v>6667</v>
      </c>
      <c r="N12686" t="s">
        <v>25</v>
      </c>
    </row>
    <row r="12687" spans="1:14" x14ac:dyDescent="0.25">
      <c r="A12687" t="s">
        <v>44</v>
      </c>
      <c r="B12687" t="s">
        <v>40</v>
      </c>
      <c r="C12687" t="s">
        <v>36</v>
      </c>
      <c r="D12687" t="s">
        <v>31</v>
      </c>
      <c r="E12687" t="s">
        <v>22</v>
      </c>
      <c r="F12687" t="s">
        <v>15</v>
      </c>
      <c r="G12687" s="2">
        <f>VALUE(464.77)</f>
        <v>464.77</v>
      </c>
      <c r="H12687" s="3">
        <f>VALUE(420.88)</f>
        <v>420.88</v>
      </c>
      <c r="I12687" s="1">
        <f>VALUE(3610)</f>
        <v>3610</v>
      </c>
      <c r="J12687" s="1">
        <f>VALUE(3900)</f>
        <v>3900</v>
      </c>
      <c r="K12687" s="1">
        <f>VALUE(4141)</f>
        <v>4141</v>
      </c>
      <c r="L12687" s="1">
        <f>VALUE(5075)</f>
        <v>5075</v>
      </c>
      <c r="M12687" s="1">
        <f>VALUE(5805)</f>
        <v>5805</v>
      </c>
      <c r="N12687" t="s">
        <v>25</v>
      </c>
    </row>
    <row r="12688" spans="1:14" x14ac:dyDescent="0.25">
      <c r="A12688" t="s">
        <v>44</v>
      </c>
      <c r="B12688" t="s">
        <v>40</v>
      </c>
      <c r="C12688" t="s">
        <v>36</v>
      </c>
      <c r="D12688" t="s">
        <v>31</v>
      </c>
      <c r="E12688" t="s">
        <v>22</v>
      </c>
      <c r="F12688" t="s">
        <v>17</v>
      </c>
      <c r="G12688" s="1" t="str">
        <f t="shared" ref="G12688:M12690" si="2890">"X"</f>
        <v>X</v>
      </c>
      <c r="H12688" s="1" t="str">
        <f t="shared" si="2890"/>
        <v>X</v>
      </c>
      <c r="I12688" s="1" t="str">
        <f t="shared" si="2890"/>
        <v>X</v>
      </c>
      <c r="J12688" s="1" t="str">
        <f t="shared" si="2890"/>
        <v>X</v>
      </c>
      <c r="K12688" s="1" t="str">
        <f t="shared" si="2890"/>
        <v>X</v>
      </c>
      <c r="L12688" s="1" t="str">
        <f t="shared" si="2890"/>
        <v>X</v>
      </c>
      <c r="M12688" s="1" t="str">
        <f t="shared" si="2890"/>
        <v>X</v>
      </c>
      <c r="N12688" t="s">
        <v>27</v>
      </c>
    </row>
    <row r="12689" spans="1:14" x14ac:dyDescent="0.25">
      <c r="A12689" t="s">
        <v>44</v>
      </c>
      <c r="B12689" t="s">
        <v>40</v>
      </c>
      <c r="C12689" t="s">
        <v>36</v>
      </c>
      <c r="D12689" t="s">
        <v>31</v>
      </c>
      <c r="E12689" t="s">
        <v>22</v>
      </c>
      <c r="F12689" t="s">
        <v>18</v>
      </c>
      <c r="G12689" s="1" t="str">
        <f t="shared" si="2890"/>
        <v>X</v>
      </c>
      <c r="H12689" s="1" t="str">
        <f t="shared" si="2890"/>
        <v>X</v>
      </c>
      <c r="I12689" s="1" t="str">
        <f t="shared" si="2890"/>
        <v>X</v>
      </c>
      <c r="J12689" s="1" t="str">
        <f t="shared" si="2890"/>
        <v>X</v>
      </c>
      <c r="K12689" s="1" t="str">
        <f t="shared" si="2890"/>
        <v>X</v>
      </c>
      <c r="L12689" s="1" t="str">
        <f t="shared" si="2890"/>
        <v>X</v>
      </c>
      <c r="M12689" s="1" t="str">
        <f t="shared" si="2890"/>
        <v>X</v>
      </c>
      <c r="N12689" t="s">
        <v>27</v>
      </c>
    </row>
    <row r="12690" spans="1:14" x14ac:dyDescent="0.25">
      <c r="A12690" t="s">
        <v>44</v>
      </c>
      <c r="B12690" t="s">
        <v>40</v>
      </c>
      <c r="C12690" t="s">
        <v>36</v>
      </c>
      <c r="D12690" t="s">
        <v>31</v>
      </c>
      <c r="E12690" t="s">
        <v>22</v>
      </c>
      <c r="F12690" t="s">
        <v>19</v>
      </c>
      <c r="G12690" s="1" t="str">
        <f t="shared" si="2890"/>
        <v>X</v>
      </c>
      <c r="H12690" s="1" t="str">
        <f t="shared" si="2890"/>
        <v>X</v>
      </c>
      <c r="I12690" s="1" t="str">
        <f t="shared" si="2890"/>
        <v>X</v>
      </c>
      <c r="J12690" s="1" t="str">
        <f t="shared" si="2890"/>
        <v>X</v>
      </c>
      <c r="K12690" s="1" t="str">
        <f t="shared" si="2890"/>
        <v>X</v>
      </c>
      <c r="L12690" s="1" t="str">
        <f t="shared" si="2890"/>
        <v>X</v>
      </c>
      <c r="M12690" s="1" t="str">
        <f t="shared" si="2890"/>
        <v>X</v>
      </c>
      <c r="N12690" t="s">
        <v>27</v>
      </c>
    </row>
    <row r="12691" spans="1:14" x14ac:dyDescent="0.25">
      <c r="A12691" t="s">
        <v>44</v>
      </c>
      <c r="B12691" t="s">
        <v>40</v>
      </c>
      <c r="C12691" t="s">
        <v>36</v>
      </c>
      <c r="D12691" t="s">
        <v>31</v>
      </c>
      <c r="E12691" t="s">
        <v>22</v>
      </c>
      <c r="F12691" t="s">
        <v>20</v>
      </c>
      <c r="G12691" s="2">
        <f>VALUE(371.17)</f>
        <v>371.17</v>
      </c>
      <c r="H12691" s="3">
        <f>VALUE(342.41)</f>
        <v>342.41</v>
      </c>
      <c r="I12691" s="1">
        <f>VALUE(3610)</f>
        <v>3610</v>
      </c>
      <c r="J12691" s="1">
        <f>VALUE(3900)</f>
        <v>3900</v>
      </c>
      <c r="K12691" s="1">
        <f>VALUE(4067)</f>
        <v>4067</v>
      </c>
      <c r="L12691" s="1">
        <f>VALUE(5246)</f>
        <v>5246</v>
      </c>
      <c r="M12691" s="1">
        <f>VALUE(5548)</f>
        <v>5548</v>
      </c>
      <c r="N12691" t="s">
        <v>25</v>
      </c>
    </row>
    <row r="12692" spans="1:14" x14ac:dyDescent="0.25">
      <c r="A12692" t="s">
        <v>44</v>
      </c>
      <c r="B12692" t="s">
        <v>40</v>
      </c>
      <c r="C12692" t="s">
        <v>36</v>
      </c>
      <c r="D12692" t="s">
        <v>31</v>
      </c>
      <c r="E12692" t="s">
        <v>23</v>
      </c>
      <c r="F12692" t="s">
        <v>15</v>
      </c>
      <c r="G12692" s="2">
        <f>VALUE(382.95)</f>
        <v>382.95</v>
      </c>
      <c r="H12692" s="3">
        <f>VALUE(245.63)</f>
        <v>245.63</v>
      </c>
      <c r="I12692" s="4">
        <f>VALUE(2501)</f>
        <v>2501</v>
      </c>
      <c r="J12692" s="5">
        <f>VALUE(3047)</f>
        <v>3047</v>
      </c>
      <c r="K12692" s="1">
        <f>VALUE(3435)</f>
        <v>3435</v>
      </c>
      <c r="L12692" s="7">
        <f>VALUE(3755)</f>
        <v>3755</v>
      </c>
      <c r="M12692" s="8">
        <f>VALUE(4526)</f>
        <v>4526</v>
      </c>
      <c r="N12692" t="s">
        <v>25</v>
      </c>
    </row>
    <row r="12693" spans="1:14" x14ac:dyDescent="0.25">
      <c r="A12693" t="s">
        <v>44</v>
      </c>
      <c r="B12693" t="s">
        <v>40</v>
      </c>
      <c r="C12693" t="s">
        <v>36</v>
      </c>
      <c r="D12693" t="s">
        <v>31</v>
      </c>
      <c r="E12693" t="s">
        <v>23</v>
      </c>
      <c r="F12693" t="s">
        <v>17</v>
      </c>
      <c r="G12693" s="1" t="str">
        <f t="shared" ref="G12693:M12693" si="2891">"..."</f>
        <v>...</v>
      </c>
      <c r="H12693" s="1" t="str">
        <f t="shared" si="2891"/>
        <v>...</v>
      </c>
      <c r="I12693" s="1" t="str">
        <f t="shared" si="2891"/>
        <v>...</v>
      </c>
      <c r="J12693" s="1" t="str">
        <f t="shared" si="2891"/>
        <v>...</v>
      </c>
      <c r="K12693" s="1" t="str">
        <f t="shared" si="2891"/>
        <v>...</v>
      </c>
      <c r="L12693" s="1" t="str">
        <f t="shared" si="2891"/>
        <v>...</v>
      </c>
      <c r="M12693" s="1" t="str">
        <f t="shared" si="2891"/>
        <v>...</v>
      </c>
      <c r="N12693" t="s">
        <v>30</v>
      </c>
    </row>
    <row r="12694" spans="1:14" x14ac:dyDescent="0.25">
      <c r="A12694" t="s">
        <v>44</v>
      </c>
      <c r="B12694" t="s">
        <v>40</v>
      </c>
      <c r="C12694" t="s">
        <v>36</v>
      </c>
      <c r="D12694" t="s">
        <v>31</v>
      </c>
      <c r="E12694" t="s">
        <v>23</v>
      </c>
      <c r="F12694" t="s">
        <v>18</v>
      </c>
      <c r="G12694" s="1" t="str">
        <f t="shared" ref="G12694:M12695" si="2892">"X"</f>
        <v>X</v>
      </c>
      <c r="H12694" s="1" t="str">
        <f t="shared" si="2892"/>
        <v>X</v>
      </c>
      <c r="I12694" s="1" t="str">
        <f t="shared" si="2892"/>
        <v>X</v>
      </c>
      <c r="J12694" s="1" t="str">
        <f t="shared" si="2892"/>
        <v>X</v>
      </c>
      <c r="K12694" s="1" t="str">
        <f t="shared" si="2892"/>
        <v>X</v>
      </c>
      <c r="L12694" s="1" t="str">
        <f t="shared" si="2892"/>
        <v>X</v>
      </c>
      <c r="M12694" s="1" t="str">
        <f t="shared" si="2892"/>
        <v>X</v>
      </c>
      <c r="N12694" t="s">
        <v>27</v>
      </c>
    </row>
    <row r="12695" spans="1:14" x14ac:dyDescent="0.25">
      <c r="A12695" t="s">
        <v>44</v>
      </c>
      <c r="B12695" t="s">
        <v>40</v>
      </c>
      <c r="C12695" t="s">
        <v>36</v>
      </c>
      <c r="D12695" t="s">
        <v>31</v>
      </c>
      <c r="E12695" t="s">
        <v>23</v>
      </c>
      <c r="F12695" t="s">
        <v>19</v>
      </c>
      <c r="G12695" s="1" t="str">
        <f t="shared" si="2892"/>
        <v>X</v>
      </c>
      <c r="H12695" s="1" t="str">
        <f t="shared" si="2892"/>
        <v>X</v>
      </c>
      <c r="I12695" s="1" t="str">
        <f t="shared" si="2892"/>
        <v>X</v>
      </c>
      <c r="J12695" s="1" t="str">
        <f t="shared" si="2892"/>
        <v>X</v>
      </c>
      <c r="K12695" s="1" t="str">
        <f t="shared" si="2892"/>
        <v>X</v>
      </c>
      <c r="L12695" s="1" t="str">
        <f t="shared" si="2892"/>
        <v>X</v>
      </c>
      <c r="M12695" s="1" t="str">
        <f t="shared" si="2892"/>
        <v>X</v>
      </c>
      <c r="N12695" t="s">
        <v>27</v>
      </c>
    </row>
    <row r="12696" spans="1:14" x14ac:dyDescent="0.25">
      <c r="A12696" t="s">
        <v>44</v>
      </c>
      <c r="B12696" t="s">
        <v>40</v>
      </c>
      <c r="C12696" t="s">
        <v>36</v>
      </c>
      <c r="D12696" t="s">
        <v>31</v>
      </c>
      <c r="E12696" t="s">
        <v>23</v>
      </c>
      <c r="F12696" t="s">
        <v>20</v>
      </c>
      <c r="G12696" s="2">
        <f>VALUE(374.91)</f>
        <v>374.91</v>
      </c>
      <c r="H12696" s="3">
        <f>VALUE(237.89)</f>
        <v>237.89</v>
      </c>
      <c r="I12696" s="4">
        <f>VALUE(2501)</f>
        <v>2501</v>
      </c>
      <c r="J12696" s="5">
        <f>VALUE(3047)</f>
        <v>3047</v>
      </c>
      <c r="K12696" s="1">
        <f>VALUE(3435)</f>
        <v>3435</v>
      </c>
      <c r="L12696" s="7">
        <f>VALUE(3720)</f>
        <v>3720</v>
      </c>
      <c r="M12696" s="1">
        <f>VALUE(4555)</f>
        <v>4555</v>
      </c>
      <c r="N12696" t="s">
        <v>25</v>
      </c>
    </row>
    <row r="12697" spans="1:14" x14ac:dyDescent="0.25">
      <c r="A12697" t="s">
        <v>44</v>
      </c>
      <c r="B12697" t="s">
        <v>40</v>
      </c>
      <c r="C12697" t="s">
        <v>36</v>
      </c>
      <c r="D12697" t="s">
        <v>31</v>
      </c>
      <c r="E12697" t="s">
        <v>26</v>
      </c>
      <c r="F12697" t="s">
        <v>15</v>
      </c>
      <c r="G12697" s="1" t="str">
        <f t="shared" ref="G12697:M12697" si="2893">"X"</f>
        <v>X</v>
      </c>
      <c r="H12697" s="1" t="str">
        <f t="shared" si="2893"/>
        <v>X</v>
      </c>
      <c r="I12697" s="1" t="str">
        <f t="shared" si="2893"/>
        <v>X</v>
      </c>
      <c r="J12697" s="1" t="str">
        <f t="shared" si="2893"/>
        <v>X</v>
      </c>
      <c r="K12697" s="1" t="str">
        <f t="shared" si="2893"/>
        <v>X</v>
      </c>
      <c r="L12697" s="1" t="str">
        <f t="shared" si="2893"/>
        <v>X</v>
      </c>
      <c r="M12697" s="1" t="str">
        <f t="shared" si="2893"/>
        <v>X</v>
      </c>
      <c r="N12697" t="s">
        <v>27</v>
      </c>
    </row>
    <row r="12698" spans="1:14" x14ac:dyDescent="0.25">
      <c r="A12698" t="s">
        <v>44</v>
      </c>
      <c r="B12698" t="s">
        <v>40</v>
      </c>
      <c r="C12698" t="s">
        <v>36</v>
      </c>
      <c r="D12698" t="s">
        <v>31</v>
      </c>
      <c r="E12698" t="s">
        <v>26</v>
      </c>
      <c r="F12698" t="s">
        <v>17</v>
      </c>
      <c r="G12698" s="1" t="str">
        <f t="shared" ref="G12698:M12698" si="2894">"..."</f>
        <v>...</v>
      </c>
      <c r="H12698" s="1" t="str">
        <f t="shared" si="2894"/>
        <v>...</v>
      </c>
      <c r="I12698" s="1" t="str">
        <f t="shared" si="2894"/>
        <v>...</v>
      </c>
      <c r="J12698" s="1" t="str">
        <f t="shared" si="2894"/>
        <v>...</v>
      </c>
      <c r="K12698" s="1" t="str">
        <f t="shared" si="2894"/>
        <v>...</v>
      </c>
      <c r="L12698" s="1" t="str">
        <f t="shared" si="2894"/>
        <v>...</v>
      </c>
      <c r="M12698" s="1" t="str">
        <f t="shared" si="2894"/>
        <v>...</v>
      </c>
      <c r="N12698" t="s">
        <v>30</v>
      </c>
    </row>
    <row r="12699" spans="1:14" x14ac:dyDescent="0.25">
      <c r="A12699" t="s">
        <v>44</v>
      </c>
      <c r="B12699" t="s">
        <v>40</v>
      </c>
      <c r="C12699" t="s">
        <v>36</v>
      </c>
      <c r="D12699" t="s">
        <v>31</v>
      </c>
      <c r="E12699" t="s">
        <v>26</v>
      </c>
      <c r="F12699" t="s">
        <v>18</v>
      </c>
      <c r="G12699" s="1" t="str">
        <f t="shared" ref="G12699:M12699" si="2895">"X"</f>
        <v>X</v>
      </c>
      <c r="H12699" s="1" t="str">
        <f t="shared" si="2895"/>
        <v>X</v>
      </c>
      <c r="I12699" s="1" t="str">
        <f t="shared" si="2895"/>
        <v>X</v>
      </c>
      <c r="J12699" s="1" t="str">
        <f t="shared" si="2895"/>
        <v>X</v>
      </c>
      <c r="K12699" s="1" t="str">
        <f t="shared" si="2895"/>
        <v>X</v>
      </c>
      <c r="L12699" s="1" t="str">
        <f t="shared" si="2895"/>
        <v>X</v>
      </c>
      <c r="M12699" s="1" t="str">
        <f t="shared" si="2895"/>
        <v>X</v>
      </c>
      <c r="N12699" t="s">
        <v>27</v>
      </c>
    </row>
    <row r="12700" spans="1:14" x14ac:dyDescent="0.25">
      <c r="A12700" t="s">
        <v>44</v>
      </c>
      <c r="B12700" t="s">
        <v>40</v>
      </c>
      <c r="C12700" t="s">
        <v>36</v>
      </c>
      <c r="D12700" t="s">
        <v>31</v>
      </c>
      <c r="E12700" t="s">
        <v>26</v>
      </c>
      <c r="F12700" t="s">
        <v>19</v>
      </c>
      <c r="G12700" s="1" t="str">
        <f t="shared" ref="G12700:M12700" si="2896">"..."</f>
        <v>...</v>
      </c>
      <c r="H12700" s="1" t="str">
        <f t="shared" si="2896"/>
        <v>...</v>
      </c>
      <c r="I12700" s="1" t="str">
        <f t="shared" si="2896"/>
        <v>...</v>
      </c>
      <c r="J12700" s="1" t="str">
        <f t="shared" si="2896"/>
        <v>...</v>
      </c>
      <c r="K12700" s="1" t="str">
        <f t="shared" si="2896"/>
        <v>...</v>
      </c>
      <c r="L12700" s="1" t="str">
        <f t="shared" si="2896"/>
        <v>...</v>
      </c>
      <c r="M12700" s="1" t="str">
        <f t="shared" si="2896"/>
        <v>...</v>
      </c>
      <c r="N12700" t="s">
        <v>30</v>
      </c>
    </row>
    <row r="12701" spans="1:14" x14ac:dyDescent="0.25">
      <c r="A12701" t="s">
        <v>44</v>
      </c>
      <c r="B12701" t="s">
        <v>40</v>
      </c>
      <c r="C12701" t="s">
        <v>36</v>
      </c>
      <c r="D12701" t="s">
        <v>31</v>
      </c>
      <c r="E12701" t="s">
        <v>26</v>
      </c>
      <c r="F12701" t="s">
        <v>20</v>
      </c>
      <c r="G12701" s="1" t="str">
        <f t="shared" ref="G12701:M12701" si="2897">"X"</f>
        <v>X</v>
      </c>
      <c r="H12701" s="1" t="str">
        <f t="shared" si="2897"/>
        <v>X</v>
      </c>
      <c r="I12701" s="1" t="str">
        <f t="shared" si="2897"/>
        <v>X</v>
      </c>
      <c r="J12701" s="1" t="str">
        <f t="shared" si="2897"/>
        <v>X</v>
      </c>
      <c r="K12701" s="1" t="str">
        <f t="shared" si="2897"/>
        <v>X</v>
      </c>
      <c r="L12701" s="1" t="str">
        <f t="shared" si="2897"/>
        <v>X</v>
      </c>
      <c r="M12701" s="1" t="str">
        <f t="shared" si="2897"/>
        <v>X</v>
      </c>
      <c r="N12701" t="s">
        <v>27</v>
      </c>
    </row>
    <row r="12702" spans="1:14" x14ac:dyDescent="0.25">
      <c r="A12702" t="s">
        <v>44</v>
      </c>
      <c r="B12702" t="s">
        <v>40</v>
      </c>
      <c r="C12702" t="s">
        <v>36</v>
      </c>
      <c r="D12702" t="s">
        <v>32</v>
      </c>
      <c r="E12702" t="s">
        <v>15</v>
      </c>
      <c r="F12702" t="s">
        <v>15</v>
      </c>
      <c r="G12702" s="1">
        <f>VALUE(4992.51)</f>
        <v>4992.51</v>
      </c>
      <c r="H12702" s="1">
        <f>VALUE(4416.96)</f>
        <v>4416.96</v>
      </c>
      <c r="I12702" s="1">
        <f>VALUE(2963)</f>
        <v>2963</v>
      </c>
      <c r="J12702" s="1">
        <f>VALUE(3282)</f>
        <v>3282</v>
      </c>
      <c r="K12702" s="1">
        <f>VALUE(3722)</f>
        <v>3722</v>
      </c>
      <c r="L12702" s="1">
        <f>VALUE(4564)</f>
        <v>4564</v>
      </c>
      <c r="M12702" s="1">
        <f>VALUE(5477)</f>
        <v>5477</v>
      </c>
      <c r="N12702" t="s">
        <v>16</v>
      </c>
    </row>
    <row r="12703" spans="1:14" x14ac:dyDescent="0.25">
      <c r="A12703" t="s">
        <v>44</v>
      </c>
      <c r="B12703" t="s">
        <v>40</v>
      </c>
      <c r="C12703" t="s">
        <v>36</v>
      </c>
      <c r="D12703" t="s">
        <v>32</v>
      </c>
      <c r="E12703" t="s">
        <v>15</v>
      </c>
      <c r="F12703" t="s">
        <v>17</v>
      </c>
      <c r="G12703" s="1" t="str">
        <f t="shared" ref="G12703:M12703" si="2898">"X"</f>
        <v>X</v>
      </c>
      <c r="H12703" s="1" t="str">
        <f t="shared" si="2898"/>
        <v>X</v>
      </c>
      <c r="I12703" s="1" t="str">
        <f t="shared" si="2898"/>
        <v>X</v>
      </c>
      <c r="J12703" s="1" t="str">
        <f t="shared" si="2898"/>
        <v>X</v>
      </c>
      <c r="K12703" s="1" t="str">
        <f t="shared" si="2898"/>
        <v>X</v>
      </c>
      <c r="L12703" s="1" t="str">
        <f t="shared" si="2898"/>
        <v>X</v>
      </c>
      <c r="M12703" s="1" t="str">
        <f t="shared" si="2898"/>
        <v>X</v>
      </c>
      <c r="N12703" t="s">
        <v>27</v>
      </c>
    </row>
    <row r="12704" spans="1:14" x14ac:dyDescent="0.25">
      <c r="A12704" t="s">
        <v>44</v>
      </c>
      <c r="B12704" t="s">
        <v>40</v>
      </c>
      <c r="C12704" t="s">
        <v>36</v>
      </c>
      <c r="D12704" t="s">
        <v>32</v>
      </c>
      <c r="E12704" t="s">
        <v>15</v>
      </c>
      <c r="F12704" t="s">
        <v>18</v>
      </c>
      <c r="G12704" s="2">
        <f>VALUE(143.15)</f>
        <v>143.15</v>
      </c>
      <c r="H12704" s="3">
        <f>VALUE(138.02)</f>
        <v>138.02000000000001</v>
      </c>
      <c r="I12704" s="1">
        <f>VALUE(3181)</f>
        <v>3181</v>
      </c>
      <c r="J12704" s="1">
        <f>VALUE(3350)</f>
        <v>3350</v>
      </c>
      <c r="K12704" s="1">
        <f>VALUE(4207)</f>
        <v>4207</v>
      </c>
      <c r="L12704" s="1">
        <f>VALUE(5492)</f>
        <v>5492</v>
      </c>
      <c r="M12704" s="1">
        <f>VALUE(6806)</f>
        <v>6806</v>
      </c>
      <c r="N12704" t="s">
        <v>25</v>
      </c>
    </row>
    <row r="12705" spans="1:14" x14ac:dyDescent="0.25">
      <c r="A12705" t="s">
        <v>44</v>
      </c>
      <c r="B12705" t="s">
        <v>40</v>
      </c>
      <c r="C12705" t="s">
        <v>36</v>
      </c>
      <c r="D12705" t="s">
        <v>32</v>
      </c>
      <c r="E12705" t="s">
        <v>15</v>
      </c>
      <c r="F12705" t="s">
        <v>19</v>
      </c>
      <c r="G12705" s="2">
        <f>VALUE(553)</f>
        <v>553</v>
      </c>
      <c r="H12705" s="3">
        <f>VALUE(523.76)</f>
        <v>523.76</v>
      </c>
      <c r="I12705" s="4">
        <f>VALUE(2954)</f>
        <v>2954</v>
      </c>
      <c r="J12705" s="5">
        <f>VALUE(3568)</f>
        <v>3568</v>
      </c>
      <c r="K12705" s="6">
        <f>VALUE(4422)</f>
        <v>4422</v>
      </c>
      <c r="L12705" s="1">
        <f>VALUE(5119)</f>
        <v>5119</v>
      </c>
      <c r="M12705" s="1">
        <f>VALUE(5906)</f>
        <v>5906</v>
      </c>
      <c r="N12705" t="s">
        <v>25</v>
      </c>
    </row>
    <row r="12706" spans="1:14" x14ac:dyDescent="0.25">
      <c r="A12706" t="s">
        <v>44</v>
      </c>
      <c r="B12706" t="s">
        <v>40</v>
      </c>
      <c r="C12706" t="s">
        <v>36</v>
      </c>
      <c r="D12706" t="s">
        <v>32</v>
      </c>
      <c r="E12706" t="s">
        <v>15</v>
      </c>
      <c r="F12706" t="s">
        <v>20</v>
      </c>
      <c r="G12706" s="1">
        <f>VALUE(4126.06)</f>
        <v>4126.0600000000004</v>
      </c>
      <c r="H12706" s="1">
        <f>VALUE(3593.23)</f>
        <v>3593.23</v>
      </c>
      <c r="I12706" s="1">
        <f>VALUE(2909)</f>
        <v>2909</v>
      </c>
      <c r="J12706" s="1">
        <f>VALUE(3250)</f>
        <v>3250</v>
      </c>
      <c r="K12706" s="1">
        <f>VALUE(3597)</f>
        <v>3597</v>
      </c>
      <c r="L12706" s="1">
        <f>VALUE(4432)</f>
        <v>4432</v>
      </c>
      <c r="M12706" s="1">
        <f>VALUE(5240)</f>
        <v>5240</v>
      </c>
      <c r="N12706" t="s">
        <v>16</v>
      </c>
    </row>
    <row r="12707" spans="1:14" x14ac:dyDescent="0.25">
      <c r="A12707" t="s">
        <v>44</v>
      </c>
      <c r="B12707" t="s">
        <v>40</v>
      </c>
      <c r="C12707" t="s">
        <v>36</v>
      </c>
      <c r="D12707" t="s">
        <v>32</v>
      </c>
      <c r="E12707" t="s">
        <v>21</v>
      </c>
      <c r="F12707" t="s">
        <v>15</v>
      </c>
      <c r="G12707" s="2">
        <f>VALUE(1741.71)</f>
        <v>1741.71</v>
      </c>
      <c r="H12707" s="3">
        <f>VALUE(1652.76)</f>
        <v>1652.76</v>
      </c>
      <c r="I12707" s="1">
        <f>VALUE(3006)</f>
        <v>3006</v>
      </c>
      <c r="J12707" s="1">
        <f>VALUE(3632)</f>
        <v>3632</v>
      </c>
      <c r="K12707" s="1">
        <f>VALUE(4435)</f>
        <v>4435</v>
      </c>
      <c r="L12707" s="1">
        <f>VALUE(5248)</f>
        <v>5248</v>
      </c>
      <c r="M12707" s="1">
        <f>VALUE(6130)</f>
        <v>6130</v>
      </c>
      <c r="N12707" t="s">
        <v>25</v>
      </c>
    </row>
    <row r="12708" spans="1:14" x14ac:dyDescent="0.25">
      <c r="A12708" t="s">
        <v>44</v>
      </c>
      <c r="B12708" t="s">
        <v>40</v>
      </c>
      <c r="C12708" t="s">
        <v>36</v>
      </c>
      <c r="D12708" t="s">
        <v>32</v>
      </c>
      <c r="E12708" t="s">
        <v>21</v>
      </c>
      <c r="F12708" t="s">
        <v>17</v>
      </c>
      <c r="G12708" s="1" t="str">
        <f t="shared" ref="G12708:M12709" si="2899">"X"</f>
        <v>X</v>
      </c>
      <c r="H12708" s="1" t="str">
        <f t="shared" si="2899"/>
        <v>X</v>
      </c>
      <c r="I12708" s="1" t="str">
        <f t="shared" si="2899"/>
        <v>X</v>
      </c>
      <c r="J12708" s="1" t="str">
        <f t="shared" si="2899"/>
        <v>X</v>
      </c>
      <c r="K12708" s="1" t="str">
        <f t="shared" si="2899"/>
        <v>X</v>
      </c>
      <c r="L12708" s="1" t="str">
        <f t="shared" si="2899"/>
        <v>X</v>
      </c>
      <c r="M12708" s="1" t="str">
        <f t="shared" si="2899"/>
        <v>X</v>
      </c>
      <c r="N12708" t="s">
        <v>27</v>
      </c>
    </row>
    <row r="12709" spans="1:14" x14ac:dyDescent="0.25">
      <c r="A12709" t="s">
        <v>44</v>
      </c>
      <c r="B12709" t="s">
        <v>40</v>
      </c>
      <c r="C12709" t="s">
        <v>36</v>
      </c>
      <c r="D12709" t="s">
        <v>32</v>
      </c>
      <c r="E12709" t="s">
        <v>21</v>
      </c>
      <c r="F12709" t="s">
        <v>18</v>
      </c>
      <c r="G12709" s="1" t="str">
        <f t="shared" si="2899"/>
        <v>X</v>
      </c>
      <c r="H12709" s="1" t="str">
        <f t="shared" si="2899"/>
        <v>X</v>
      </c>
      <c r="I12709" s="1" t="str">
        <f t="shared" si="2899"/>
        <v>X</v>
      </c>
      <c r="J12709" s="1" t="str">
        <f t="shared" si="2899"/>
        <v>X</v>
      </c>
      <c r="K12709" s="1" t="str">
        <f t="shared" si="2899"/>
        <v>X</v>
      </c>
      <c r="L12709" s="1" t="str">
        <f t="shared" si="2899"/>
        <v>X</v>
      </c>
      <c r="M12709" s="1" t="str">
        <f t="shared" si="2899"/>
        <v>X</v>
      </c>
      <c r="N12709" t="s">
        <v>27</v>
      </c>
    </row>
    <row r="12710" spans="1:14" x14ac:dyDescent="0.25">
      <c r="A12710" t="s">
        <v>44</v>
      </c>
      <c r="B12710" t="s">
        <v>40</v>
      </c>
      <c r="C12710" t="s">
        <v>36</v>
      </c>
      <c r="D12710" t="s">
        <v>32</v>
      </c>
      <c r="E12710" t="s">
        <v>21</v>
      </c>
      <c r="F12710" t="s">
        <v>19</v>
      </c>
      <c r="G12710" s="2">
        <f>VALUE(271.09)</f>
        <v>271.08999999999997</v>
      </c>
      <c r="H12710" s="3">
        <f>VALUE(260.13)</f>
        <v>260.13</v>
      </c>
      <c r="I12710" s="1">
        <f>VALUE(3559)</f>
        <v>3559</v>
      </c>
      <c r="J12710" s="1">
        <f>VALUE(4114)</f>
        <v>4114</v>
      </c>
      <c r="K12710" s="1">
        <f>VALUE(4862)</f>
        <v>4862</v>
      </c>
      <c r="L12710" s="7">
        <f>VALUE(5416)</f>
        <v>5416</v>
      </c>
      <c r="M12710" s="1">
        <f>VALUE(6157)</f>
        <v>6157</v>
      </c>
      <c r="N12710" t="s">
        <v>25</v>
      </c>
    </row>
    <row r="12711" spans="1:14" x14ac:dyDescent="0.25">
      <c r="A12711" t="s">
        <v>44</v>
      </c>
      <c r="B12711" t="s">
        <v>40</v>
      </c>
      <c r="C12711" t="s">
        <v>36</v>
      </c>
      <c r="D12711" t="s">
        <v>32</v>
      </c>
      <c r="E12711" t="s">
        <v>21</v>
      </c>
      <c r="F12711" t="s">
        <v>20</v>
      </c>
      <c r="G12711" s="2">
        <f>VALUE(1227.06)</f>
        <v>1227.06</v>
      </c>
      <c r="H12711" s="3">
        <f>VALUE(1160.1)</f>
        <v>1160.0999999999999</v>
      </c>
      <c r="I12711" s="4">
        <f>VALUE(2977)</f>
        <v>2977</v>
      </c>
      <c r="J12711" s="1">
        <f>VALUE(3461)</f>
        <v>3461</v>
      </c>
      <c r="K12711" s="1">
        <f>VALUE(4383)</f>
        <v>4383</v>
      </c>
      <c r="L12711" s="1">
        <f>VALUE(5073)</f>
        <v>5073</v>
      </c>
      <c r="M12711" s="1">
        <f>VALUE(5840)</f>
        <v>5840</v>
      </c>
      <c r="N12711" t="s">
        <v>25</v>
      </c>
    </row>
    <row r="12712" spans="1:14" x14ac:dyDescent="0.25">
      <c r="A12712" t="s">
        <v>44</v>
      </c>
      <c r="B12712" t="s">
        <v>40</v>
      </c>
      <c r="C12712" t="s">
        <v>36</v>
      </c>
      <c r="D12712" t="s">
        <v>32</v>
      </c>
      <c r="E12712" t="s">
        <v>22</v>
      </c>
      <c r="F12712" t="s">
        <v>15</v>
      </c>
      <c r="G12712" s="2">
        <f>VALUE(1278.22)</f>
        <v>1278.22</v>
      </c>
      <c r="H12712" s="3">
        <f>VALUE(1109.66)</f>
        <v>1109.6600000000001</v>
      </c>
      <c r="I12712" s="1">
        <f>VALUE(2830)</f>
        <v>2830</v>
      </c>
      <c r="J12712" s="5">
        <f>VALUE(3402)</f>
        <v>3402</v>
      </c>
      <c r="K12712" s="1">
        <f>VALUE(3994)</f>
        <v>3994</v>
      </c>
      <c r="L12712" s="1">
        <f>VALUE(4601)</f>
        <v>4601</v>
      </c>
      <c r="M12712" s="1">
        <f>VALUE(5291)</f>
        <v>5291</v>
      </c>
      <c r="N12712" t="s">
        <v>25</v>
      </c>
    </row>
    <row r="12713" spans="1:14" x14ac:dyDescent="0.25">
      <c r="A12713" t="s">
        <v>44</v>
      </c>
      <c r="B12713" t="s">
        <v>40</v>
      </c>
      <c r="C12713" t="s">
        <v>36</v>
      </c>
      <c r="D12713" t="s">
        <v>32</v>
      </c>
      <c r="E12713" t="s">
        <v>22</v>
      </c>
      <c r="F12713" t="s">
        <v>17</v>
      </c>
      <c r="G12713" s="1" t="str">
        <f t="shared" ref="G12713:M12715" si="2900">"X"</f>
        <v>X</v>
      </c>
      <c r="H12713" s="1" t="str">
        <f t="shared" si="2900"/>
        <v>X</v>
      </c>
      <c r="I12713" s="1" t="str">
        <f t="shared" si="2900"/>
        <v>X</v>
      </c>
      <c r="J12713" s="1" t="str">
        <f t="shared" si="2900"/>
        <v>X</v>
      </c>
      <c r="K12713" s="1" t="str">
        <f t="shared" si="2900"/>
        <v>X</v>
      </c>
      <c r="L12713" s="1" t="str">
        <f t="shared" si="2900"/>
        <v>X</v>
      </c>
      <c r="M12713" s="1" t="str">
        <f t="shared" si="2900"/>
        <v>X</v>
      </c>
      <c r="N12713" t="s">
        <v>27</v>
      </c>
    </row>
    <row r="12714" spans="1:14" x14ac:dyDescent="0.25">
      <c r="A12714" t="s">
        <v>44</v>
      </c>
      <c r="B12714" t="s">
        <v>40</v>
      </c>
      <c r="C12714" t="s">
        <v>36</v>
      </c>
      <c r="D12714" t="s">
        <v>32</v>
      </c>
      <c r="E12714" t="s">
        <v>22</v>
      </c>
      <c r="F12714" t="s">
        <v>18</v>
      </c>
      <c r="G12714" s="1" t="str">
        <f t="shared" si="2900"/>
        <v>X</v>
      </c>
      <c r="H12714" s="1" t="str">
        <f t="shared" si="2900"/>
        <v>X</v>
      </c>
      <c r="I12714" s="1" t="str">
        <f t="shared" si="2900"/>
        <v>X</v>
      </c>
      <c r="J12714" s="1" t="str">
        <f t="shared" si="2900"/>
        <v>X</v>
      </c>
      <c r="K12714" s="1" t="str">
        <f t="shared" si="2900"/>
        <v>X</v>
      </c>
      <c r="L12714" s="1" t="str">
        <f t="shared" si="2900"/>
        <v>X</v>
      </c>
      <c r="M12714" s="1" t="str">
        <f t="shared" si="2900"/>
        <v>X</v>
      </c>
      <c r="N12714" t="s">
        <v>27</v>
      </c>
    </row>
    <row r="12715" spans="1:14" x14ac:dyDescent="0.25">
      <c r="A12715" t="s">
        <v>44</v>
      </c>
      <c r="B12715" t="s">
        <v>40</v>
      </c>
      <c r="C12715" t="s">
        <v>36</v>
      </c>
      <c r="D12715" t="s">
        <v>32</v>
      </c>
      <c r="E12715" t="s">
        <v>22</v>
      </c>
      <c r="F12715" t="s">
        <v>19</v>
      </c>
      <c r="G12715" s="1" t="str">
        <f t="shared" si="2900"/>
        <v>X</v>
      </c>
      <c r="H12715" s="1" t="str">
        <f t="shared" si="2900"/>
        <v>X</v>
      </c>
      <c r="I12715" s="1" t="str">
        <f t="shared" si="2900"/>
        <v>X</v>
      </c>
      <c r="J12715" s="1" t="str">
        <f t="shared" si="2900"/>
        <v>X</v>
      </c>
      <c r="K12715" s="1" t="str">
        <f t="shared" si="2900"/>
        <v>X</v>
      </c>
      <c r="L12715" s="1" t="str">
        <f t="shared" si="2900"/>
        <v>X</v>
      </c>
      <c r="M12715" s="1" t="str">
        <f t="shared" si="2900"/>
        <v>X</v>
      </c>
      <c r="N12715" t="s">
        <v>27</v>
      </c>
    </row>
    <row r="12716" spans="1:14" x14ac:dyDescent="0.25">
      <c r="A12716" t="s">
        <v>44</v>
      </c>
      <c r="B12716" t="s">
        <v>40</v>
      </c>
      <c r="C12716" t="s">
        <v>36</v>
      </c>
      <c r="D12716" t="s">
        <v>32</v>
      </c>
      <c r="E12716" t="s">
        <v>22</v>
      </c>
      <c r="F12716" t="s">
        <v>20</v>
      </c>
      <c r="G12716" s="2">
        <f>VALUE(1034.32)</f>
        <v>1034.32</v>
      </c>
      <c r="H12716" s="3">
        <f>VALUE(884.86)</f>
        <v>884.86</v>
      </c>
      <c r="I12716" s="1">
        <f>VALUE(2830)</f>
        <v>2830</v>
      </c>
      <c r="J12716" s="5">
        <f>VALUE(3402)</f>
        <v>3402</v>
      </c>
      <c r="K12716" s="1">
        <f>VALUE(3844)</f>
        <v>3844</v>
      </c>
      <c r="L12716" s="1">
        <f>VALUE(4610)</f>
        <v>4610</v>
      </c>
      <c r="M12716" s="1">
        <f>VALUE(5410)</f>
        <v>5410</v>
      </c>
      <c r="N12716" t="s">
        <v>25</v>
      </c>
    </row>
    <row r="12717" spans="1:14" x14ac:dyDescent="0.25">
      <c r="A12717" t="s">
        <v>44</v>
      </c>
      <c r="B12717" t="s">
        <v>40</v>
      </c>
      <c r="C12717" t="s">
        <v>36</v>
      </c>
      <c r="D12717" t="s">
        <v>32</v>
      </c>
      <c r="E12717" t="s">
        <v>23</v>
      </c>
      <c r="F12717" t="s">
        <v>15</v>
      </c>
      <c r="G12717" s="2">
        <f>VALUE(1962.83)</f>
        <v>1962.83</v>
      </c>
      <c r="H12717" s="1">
        <f>VALUE(1645.17)</f>
        <v>1645.17</v>
      </c>
      <c r="I12717" s="1">
        <f>VALUE(2954)</f>
        <v>2954</v>
      </c>
      <c r="J12717" s="1">
        <f>VALUE(3249)</f>
        <v>3249</v>
      </c>
      <c r="K12717" s="1">
        <f>VALUE(3358)</f>
        <v>3358</v>
      </c>
      <c r="L12717" s="1">
        <f>VALUE(3652)</f>
        <v>3652</v>
      </c>
      <c r="M12717" s="1">
        <f>VALUE(3905)</f>
        <v>3905</v>
      </c>
      <c r="N12717" t="s">
        <v>25</v>
      </c>
    </row>
    <row r="12718" spans="1:14" x14ac:dyDescent="0.25">
      <c r="A12718" t="s">
        <v>44</v>
      </c>
      <c r="B12718" t="s">
        <v>40</v>
      </c>
      <c r="C12718" t="s">
        <v>36</v>
      </c>
      <c r="D12718" t="s">
        <v>32</v>
      </c>
      <c r="E12718" t="s">
        <v>23</v>
      </c>
      <c r="F12718" t="s">
        <v>17</v>
      </c>
      <c r="G12718" s="1" t="str">
        <f t="shared" ref="G12718:M12718" si="2901">"..."</f>
        <v>...</v>
      </c>
      <c r="H12718" s="1" t="str">
        <f t="shared" si="2901"/>
        <v>...</v>
      </c>
      <c r="I12718" s="1" t="str">
        <f t="shared" si="2901"/>
        <v>...</v>
      </c>
      <c r="J12718" s="1" t="str">
        <f t="shared" si="2901"/>
        <v>...</v>
      </c>
      <c r="K12718" s="1" t="str">
        <f t="shared" si="2901"/>
        <v>...</v>
      </c>
      <c r="L12718" s="1" t="str">
        <f t="shared" si="2901"/>
        <v>...</v>
      </c>
      <c r="M12718" s="1" t="str">
        <f t="shared" si="2901"/>
        <v>...</v>
      </c>
      <c r="N12718" t="s">
        <v>30</v>
      </c>
    </row>
    <row r="12719" spans="1:14" x14ac:dyDescent="0.25">
      <c r="A12719" t="s">
        <v>44</v>
      </c>
      <c r="B12719" t="s">
        <v>40</v>
      </c>
      <c r="C12719" t="s">
        <v>36</v>
      </c>
      <c r="D12719" t="s">
        <v>32</v>
      </c>
      <c r="E12719" t="s">
        <v>23</v>
      </c>
      <c r="F12719" t="s">
        <v>18</v>
      </c>
      <c r="G12719" s="1" t="str">
        <f t="shared" ref="G12719:M12720" si="2902">"X"</f>
        <v>X</v>
      </c>
      <c r="H12719" s="1" t="str">
        <f t="shared" si="2902"/>
        <v>X</v>
      </c>
      <c r="I12719" s="1" t="str">
        <f t="shared" si="2902"/>
        <v>X</v>
      </c>
      <c r="J12719" s="1" t="str">
        <f t="shared" si="2902"/>
        <v>X</v>
      </c>
      <c r="K12719" s="1" t="str">
        <f t="shared" si="2902"/>
        <v>X</v>
      </c>
      <c r="L12719" s="1" t="str">
        <f t="shared" si="2902"/>
        <v>X</v>
      </c>
      <c r="M12719" s="1" t="str">
        <f t="shared" si="2902"/>
        <v>X</v>
      </c>
      <c r="N12719" t="s">
        <v>27</v>
      </c>
    </row>
    <row r="12720" spans="1:14" x14ac:dyDescent="0.25">
      <c r="A12720" t="s">
        <v>44</v>
      </c>
      <c r="B12720" t="s">
        <v>40</v>
      </c>
      <c r="C12720" t="s">
        <v>36</v>
      </c>
      <c r="D12720" t="s">
        <v>32</v>
      </c>
      <c r="E12720" t="s">
        <v>23</v>
      </c>
      <c r="F12720" t="s">
        <v>19</v>
      </c>
      <c r="G12720" s="1" t="str">
        <f t="shared" si="2902"/>
        <v>X</v>
      </c>
      <c r="H12720" s="1" t="str">
        <f t="shared" si="2902"/>
        <v>X</v>
      </c>
      <c r="I12720" s="1" t="str">
        <f t="shared" si="2902"/>
        <v>X</v>
      </c>
      <c r="J12720" s="1" t="str">
        <f t="shared" si="2902"/>
        <v>X</v>
      </c>
      <c r="K12720" s="1" t="str">
        <f t="shared" si="2902"/>
        <v>X</v>
      </c>
      <c r="L12720" s="1" t="str">
        <f t="shared" si="2902"/>
        <v>X</v>
      </c>
      <c r="M12720" s="1" t="str">
        <f t="shared" si="2902"/>
        <v>X</v>
      </c>
      <c r="N12720" t="s">
        <v>27</v>
      </c>
    </row>
    <row r="12721" spans="1:14" x14ac:dyDescent="0.25">
      <c r="A12721" t="s">
        <v>44</v>
      </c>
      <c r="B12721" t="s">
        <v>40</v>
      </c>
      <c r="C12721" t="s">
        <v>36</v>
      </c>
      <c r="D12721" t="s">
        <v>32</v>
      </c>
      <c r="E12721" t="s">
        <v>23</v>
      </c>
      <c r="F12721" t="s">
        <v>20</v>
      </c>
      <c r="G12721" s="2">
        <f>VALUE(1857.64)</f>
        <v>1857.64</v>
      </c>
      <c r="H12721" s="1">
        <f>VALUE(1541.64)</f>
        <v>1541.64</v>
      </c>
      <c r="I12721" s="1">
        <f>VALUE(2998)</f>
        <v>2998</v>
      </c>
      <c r="J12721" s="1">
        <f>VALUE(3249)</f>
        <v>3249</v>
      </c>
      <c r="K12721" s="1">
        <f>VALUE(3358)</f>
        <v>3358</v>
      </c>
      <c r="L12721" s="1">
        <f>VALUE(3631)</f>
        <v>3631</v>
      </c>
      <c r="M12721" s="1">
        <f>VALUE(3852)</f>
        <v>3852</v>
      </c>
      <c r="N12721" t="s">
        <v>25</v>
      </c>
    </row>
    <row r="12722" spans="1:14" x14ac:dyDescent="0.25">
      <c r="A12722" t="s">
        <v>44</v>
      </c>
      <c r="B12722" t="s">
        <v>40</v>
      </c>
      <c r="C12722" t="s">
        <v>36</v>
      </c>
      <c r="D12722" t="s">
        <v>32</v>
      </c>
      <c r="E12722" t="s">
        <v>26</v>
      </c>
      <c r="F12722" t="s">
        <v>15</v>
      </c>
      <c r="G12722" s="1" t="str">
        <f t="shared" ref="G12722:M12722" si="2903">"X"</f>
        <v>X</v>
      </c>
      <c r="H12722" s="1" t="str">
        <f t="shared" si="2903"/>
        <v>X</v>
      </c>
      <c r="I12722" s="1" t="str">
        <f t="shared" si="2903"/>
        <v>X</v>
      </c>
      <c r="J12722" s="1" t="str">
        <f t="shared" si="2903"/>
        <v>X</v>
      </c>
      <c r="K12722" s="1" t="str">
        <f t="shared" si="2903"/>
        <v>X</v>
      </c>
      <c r="L12722" s="1" t="str">
        <f t="shared" si="2903"/>
        <v>X</v>
      </c>
      <c r="M12722" s="1" t="str">
        <f t="shared" si="2903"/>
        <v>X</v>
      </c>
      <c r="N12722" t="s">
        <v>27</v>
      </c>
    </row>
    <row r="12723" spans="1:14" x14ac:dyDescent="0.25">
      <c r="A12723" t="s">
        <v>44</v>
      </c>
      <c r="B12723" t="s">
        <v>40</v>
      </c>
      <c r="C12723" t="s">
        <v>36</v>
      </c>
      <c r="D12723" t="s">
        <v>32</v>
      </c>
      <c r="E12723" t="s">
        <v>26</v>
      </c>
      <c r="F12723" t="s">
        <v>17</v>
      </c>
      <c r="G12723" s="1" t="str">
        <f t="shared" ref="G12723:M12723" si="2904">"..."</f>
        <v>...</v>
      </c>
      <c r="H12723" s="1" t="str">
        <f t="shared" si="2904"/>
        <v>...</v>
      </c>
      <c r="I12723" s="1" t="str">
        <f t="shared" si="2904"/>
        <v>...</v>
      </c>
      <c r="J12723" s="1" t="str">
        <f t="shared" si="2904"/>
        <v>...</v>
      </c>
      <c r="K12723" s="1" t="str">
        <f t="shared" si="2904"/>
        <v>...</v>
      </c>
      <c r="L12723" s="1" t="str">
        <f t="shared" si="2904"/>
        <v>...</v>
      </c>
      <c r="M12723" s="1" t="str">
        <f t="shared" si="2904"/>
        <v>...</v>
      </c>
      <c r="N12723" t="s">
        <v>30</v>
      </c>
    </row>
    <row r="12724" spans="1:14" x14ac:dyDescent="0.25">
      <c r="A12724" t="s">
        <v>44</v>
      </c>
      <c r="B12724" t="s">
        <v>40</v>
      </c>
      <c r="C12724" t="s">
        <v>36</v>
      </c>
      <c r="D12724" t="s">
        <v>32</v>
      </c>
      <c r="E12724" t="s">
        <v>26</v>
      </c>
      <c r="F12724" t="s">
        <v>18</v>
      </c>
      <c r="G12724" s="1" t="str">
        <f t="shared" ref="G12724:M12724" si="2905">"X"</f>
        <v>X</v>
      </c>
      <c r="H12724" s="1" t="str">
        <f t="shared" si="2905"/>
        <v>X</v>
      </c>
      <c r="I12724" s="1" t="str">
        <f t="shared" si="2905"/>
        <v>X</v>
      </c>
      <c r="J12724" s="1" t="str">
        <f t="shared" si="2905"/>
        <v>X</v>
      </c>
      <c r="K12724" s="1" t="str">
        <f t="shared" si="2905"/>
        <v>X</v>
      </c>
      <c r="L12724" s="1" t="str">
        <f t="shared" si="2905"/>
        <v>X</v>
      </c>
      <c r="M12724" s="1" t="str">
        <f t="shared" si="2905"/>
        <v>X</v>
      </c>
      <c r="N12724" t="s">
        <v>27</v>
      </c>
    </row>
    <row r="12725" spans="1:14" x14ac:dyDescent="0.25">
      <c r="A12725" t="s">
        <v>44</v>
      </c>
      <c r="B12725" t="s">
        <v>40</v>
      </c>
      <c r="C12725" t="s">
        <v>36</v>
      </c>
      <c r="D12725" t="s">
        <v>32</v>
      </c>
      <c r="E12725" t="s">
        <v>26</v>
      </c>
      <c r="F12725" t="s">
        <v>19</v>
      </c>
      <c r="G12725" s="1" t="str">
        <f t="shared" ref="G12725:M12725" si="2906">"..."</f>
        <v>...</v>
      </c>
      <c r="H12725" s="1" t="str">
        <f t="shared" si="2906"/>
        <v>...</v>
      </c>
      <c r="I12725" s="1" t="str">
        <f t="shared" si="2906"/>
        <v>...</v>
      </c>
      <c r="J12725" s="1" t="str">
        <f t="shared" si="2906"/>
        <v>...</v>
      </c>
      <c r="K12725" s="1" t="str">
        <f t="shared" si="2906"/>
        <v>...</v>
      </c>
      <c r="L12725" s="1" t="str">
        <f t="shared" si="2906"/>
        <v>...</v>
      </c>
      <c r="M12725" s="1" t="str">
        <f t="shared" si="2906"/>
        <v>...</v>
      </c>
      <c r="N12725" t="s">
        <v>30</v>
      </c>
    </row>
    <row r="12726" spans="1:14" x14ac:dyDescent="0.25">
      <c r="A12726" t="s">
        <v>44</v>
      </c>
      <c r="B12726" t="s">
        <v>40</v>
      </c>
      <c r="C12726" t="s">
        <v>36</v>
      </c>
      <c r="D12726" t="s">
        <v>32</v>
      </c>
      <c r="E12726" t="s">
        <v>26</v>
      </c>
      <c r="F12726" t="s">
        <v>20</v>
      </c>
      <c r="G12726" s="1" t="str">
        <f t="shared" ref="G12726:M12737" si="2907">"X"</f>
        <v>X</v>
      </c>
      <c r="H12726" s="1" t="str">
        <f t="shared" si="2907"/>
        <v>X</v>
      </c>
      <c r="I12726" s="1" t="str">
        <f t="shared" si="2907"/>
        <v>X</v>
      </c>
      <c r="J12726" s="1" t="str">
        <f t="shared" si="2907"/>
        <v>X</v>
      </c>
      <c r="K12726" s="1" t="str">
        <f t="shared" si="2907"/>
        <v>X</v>
      </c>
      <c r="L12726" s="1" t="str">
        <f t="shared" si="2907"/>
        <v>X</v>
      </c>
      <c r="M12726" s="1" t="str">
        <f t="shared" si="2907"/>
        <v>X</v>
      </c>
      <c r="N12726" t="s">
        <v>27</v>
      </c>
    </row>
    <row r="12727" spans="1:14" x14ac:dyDescent="0.25">
      <c r="A12727" t="s">
        <v>44</v>
      </c>
      <c r="B12727" t="s">
        <v>40</v>
      </c>
      <c r="C12727" t="s">
        <v>36</v>
      </c>
      <c r="D12727" t="s">
        <v>33</v>
      </c>
      <c r="E12727" t="s">
        <v>15</v>
      </c>
      <c r="F12727" t="s">
        <v>15</v>
      </c>
      <c r="G12727" s="1" t="str">
        <f t="shared" si="2907"/>
        <v>X</v>
      </c>
      <c r="H12727" s="1" t="str">
        <f t="shared" si="2907"/>
        <v>X</v>
      </c>
      <c r="I12727" s="1" t="str">
        <f t="shared" si="2907"/>
        <v>X</v>
      </c>
      <c r="J12727" s="1" t="str">
        <f t="shared" si="2907"/>
        <v>X</v>
      </c>
      <c r="K12727" s="1" t="str">
        <f t="shared" si="2907"/>
        <v>X</v>
      </c>
      <c r="L12727" s="1" t="str">
        <f t="shared" si="2907"/>
        <v>X</v>
      </c>
      <c r="M12727" s="1" t="str">
        <f t="shared" si="2907"/>
        <v>X</v>
      </c>
      <c r="N12727" t="s">
        <v>27</v>
      </c>
    </row>
    <row r="12728" spans="1:14" x14ac:dyDescent="0.25">
      <c r="A12728" t="s">
        <v>44</v>
      </c>
      <c r="B12728" t="s">
        <v>40</v>
      </c>
      <c r="C12728" t="s">
        <v>36</v>
      </c>
      <c r="D12728" t="s">
        <v>33</v>
      </c>
      <c r="E12728" t="s">
        <v>15</v>
      </c>
      <c r="F12728" t="s">
        <v>17</v>
      </c>
      <c r="G12728" s="1" t="str">
        <f t="shared" si="2907"/>
        <v>X</v>
      </c>
      <c r="H12728" s="1" t="str">
        <f t="shared" si="2907"/>
        <v>X</v>
      </c>
      <c r="I12728" s="1" t="str">
        <f t="shared" si="2907"/>
        <v>X</v>
      </c>
      <c r="J12728" s="1" t="str">
        <f t="shared" si="2907"/>
        <v>X</v>
      </c>
      <c r="K12728" s="1" t="str">
        <f t="shared" si="2907"/>
        <v>X</v>
      </c>
      <c r="L12728" s="1" t="str">
        <f t="shared" si="2907"/>
        <v>X</v>
      </c>
      <c r="M12728" s="1" t="str">
        <f t="shared" si="2907"/>
        <v>X</v>
      </c>
      <c r="N12728" t="s">
        <v>27</v>
      </c>
    </row>
    <row r="12729" spans="1:14" x14ac:dyDescent="0.25">
      <c r="A12729" t="s">
        <v>44</v>
      </c>
      <c r="B12729" t="s">
        <v>40</v>
      </c>
      <c r="C12729" t="s">
        <v>36</v>
      </c>
      <c r="D12729" t="s">
        <v>33</v>
      </c>
      <c r="E12729" t="s">
        <v>15</v>
      </c>
      <c r="F12729" t="s">
        <v>18</v>
      </c>
      <c r="G12729" s="1" t="str">
        <f t="shared" si="2907"/>
        <v>X</v>
      </c>
      <c r="H12729" s="1" t="str">
        <f t="shared" si="2907"/>
        <v>X</v>
      </c>
      <c r="I12729" s="1" t="str">
        <f t="shared" si="2907"/>
        <v>X</v>
      </c>
      <c r="J12729" s="1" t="str">
        <f t="shared" si="2907"/>
        <v>X</v>
      </c>
      <c r="K12729" s="1" t="str">
        <f t="shared" si="2907"/>
        <v>X</v>
      </c>
      <c r="L12729" s="1" t="str">
        <f t="shared" si="2907"/>
        <v>X</v>
      </c>
      <c r="M12729" s="1" t="str">
        <f t="shared" si="2907"/>
        <v>X</v>
      </c>
      <c r="N12729" t="s">
        <v>27</v>
      </c>
    </row>
    <row r="12730" spans="1:14" x14ac:dyDescent="0.25">
      <c r="A12730" t="s">
        <v>44</v>
      </c>
      <c r="B12730" t="s">
        <v>40</v>
      </c>
      <c r="C12730" t="s">
        <v>36</v>
      </c>
      <c r="D12730" t="s">
        <v>33</v>
      </c>
      <c r="E12730" t="s">
        <v>15</v>
      </c>
      <c r="F12730" t="s">
        <v>19</v>
      </c>
      <c r="G12730" s="1" t="str">
        <f t="shared" si="2907"/>
        <v>X</v>
      </c>
      <c r="H12730" s="1" t="str">
        <f t="shared" si="2907"/>
        <v>X</v>
      </c>
      <c r="I12730" s="1" t="str">
        <f t="shared" si="2907"/>
        <v>X</v>
      </c>
      <c r="J12730" s="1" t="str">
        <f t="shared" si="2907"/>
        <v>X</v>
      </c>
      <c r="K12730" s="1" t="str">
        <f t="shared" si="2907"/>
        <v>X</v>
      </c>
      <c r="L12730" s="1" t="str">
        <f t="shared" si="2907"/>
        <v>X</v>
      </c>
      <c r="M12730" s="1" t="str">
        <f t="shared" si="2907"/>
        <v>X</v>
      </c>
      <c r="N12730" t="s">
        <v>27</v>
      </c>
    </row>
    <row r="12731" spans="1:14" x14ac:dyDescent="0.25">
      <c r="A12731" t="s">
        <v>44</v>
      </c>
      <c r="B12731" t="s">
        <v>40</v>
      </c>
      <c r="C12731" t="s">
        <v>36</v>
      </c>
      <c r="D12731" t="s">
        <v>33</v>
      </c>
      <c r="E12731" t="s">
        <v>15</v>
      </c>
      <c r="F12731" t="s">
        <v>20</v>
      </c>
      <c r="G12731" s="1" t="str">
        <f t="shared" si="2907"/>
        <v>X</v>
      </c>
      <c r="H12731" s="1" t="str">
        <f t="shared" si="2907"/>
        <v>X</v>
      </c>
      <c r="I12731" s="1" t="str">
        <f t="shared" si="2907"/>
        <v>X</v>
      </c>
      <c r="J12731" s="1" t="str">
        <f t="shared" si="2907"/>
        <v>X</v>
      </c>
      <c r="K12731" s="1" t="str">
        <f t="shared" si="2907"/>
        <v>X</v>
      </c>
      <c r="L12731" s="1" t="str">
        <f t="shared" si="2907"/>
        <v>X</v>
      </c>
      <c r="M12731" s="1" t="str">
        <f t="shared" si="2907"/>
        <v>X</v>
      </c>
      <c r="N12731" t="s">
        <v>27</v>
      </c>
    </row>
    <row r="12732" spans="1:14" x14ac:dyDescent="0.25">
      <c r="A12732" t="s">
        <v>44</v>
      </c>
      <c r="B12732" t="s">
        <v>40</v>
      </c>
      <c r="C12732" t="s">
        <v>36</v>
      </c>
      <c r="D12732" t="s">
        <v>33</v>
      </c>
      <c r="E12732" t="s">
        <v>21</v>
      </c>
      <c r="F12732" t="s">
        <v>15</v>
      </c>
      <c r="G12732" s="1" t="str">
        <f t="shared" si="2907"/>
        <v>X</v>
      </c>
      <c r="H12732" s="1" t="str">
        <f t="shared" si="2907"/>
        <v>X</v>
      </c>
      <c r="I12732" s="1" t="str">
        <f t="shared" si="2907"/>
        <v>X</v>
      </c>
      <c r="J12732" s="1" t="str">
        <f t="shared" si="2907"/>
        <v>X</v>
      </c>
      <c r="K12732" s="1" t="str">
        <f t="shared" si="2907"/>
        <v>X</v>
      </c>
      <c r="L12732" s="1" t="str">
        <f t="shared" si="2907"/>
        <v>X</v>
      </c>
      <c r="M12732" s="1" t="str">
        <f t="shared" si="2907"/>
        <v>X</v>
      </c>
      <c r="N12732" t="s">
        <v>27</v>
      </c>
    </row>
    <row r="12733" spans="1:14" x14ac:dyDescent="0.25">
      <c r="A12733" t="s">
        <v>44</v>
      </c>
      <c r="B12733" t="s">
        <v>40</v>
      </c>
      <c r="C12733" t="s">
        <v>36</v>
      </c>
      <c r="D12733" t="s">
        <v>33</v>
      </c>
      <c r="E12733" t="s">
        <v>21</v>
      </c>
      <c r="F12733" t="s">
        <v>17</v>
      </c>
      <c r="G12733" s="1" t="str">
        <f t="shared" si="2907"/>
        <v>X</v>
      </c>
      <c r="H12733" s="1" t="str">
        <f t="shared" si="2907"/>
        <v>X</v>
      </c>
      <c r="I12733" s="1" t="str">
        <f t="shared" si="2907"/>
        <v>X</v>
      </c>
      <c r="J12733" s="1" t="str">
        <f t="shared" si="2907"/>
        <v>X</v>
      </c>
      <c r="K12733" s="1" t="str">
        <f t="shared" si="2907"/>
        <v>X</v>
      </c>
      <c r="L12733" s="1" t="str">
        <f t="shared" si="2907"/>
        <v>X</v>
      </c>
      <c r="M12733" s="1" t="str">
        <f t="shared" si="2907"/>
        <v>X</v>
      </c>
      <c r="N12733" t="s">
        <v>27</v>
      </c>
    </row>
    <row r="12734" spans="1:14" x14ac:dyDescent="0.25">
      <c r="A12734" t="s">
        <v>44</v>
      </c>
      <c r="B12734" t="s">
        <v>40</v>
      </c>
      <c r="C12734" t="s">
        <v>36</v>
      </c>
      <c r="D12734" t="s">
        <v>33</v>
      </c>
      <c r="E12734" t="s">
        <v>21</v>
      </c>
      <c r="F12734" t="s">
        <v>18</v>
      </c>
      <c r="G12734" s="1" t="str">
        <f t="shared" si="2907"/>
        <v>X</v>
      </c>
      <c r="H12734" s="1" t="str">
        <f t="shared" si="2907"/>
        <v>X</v>
      </c>
      <c r="I12734" s="1" t="str">
        <f t="shared" si="2907"/>
        <v>X</v>
      </c>
      <c r="J12734" s="1" t="str">
        <f t="shared" si="2907"/>
        <v>X</v>
      </c>
      <c r="K12734" s="1" t="str">
        <f t="shared" si="2907"/>
        <v>X</v>
      </c>
      <c r="L12734" s="1" t="str">
        <f t="shared" si="2907"/>
        <v>X</v>
      </c>
      <c r="M12734" s="1" t="str">
        <f t="shared" si="2907"/>
        <v>X</v>
      </c>
      <c r="N12734" t="s">
        <v>27</v>
      </c>
    </row>
    <row r="12735" spans="1:14" x14ac:dyDescent="0.25">
      <c r="A12735" t="s">
        <v>44</v>
      </c>
      <c r="B12735" t="s">
        <v>40</v>
      </c>
      <c r="C12735" t="s">
        <v>36</v>
      </c>
      <c r="D12735" t="s">
        <v>33</v>
      </c>
      <c r="E12735" t="s">
        <v>21</v>
      </c>
      <c r="F12735" t="s">
        <v>19</v>
      </c>
      <c r="G12735" s="1" t="str">
        <f t="shared" si="2907"/>
        <v>X</v>
      </c>
      <c r="H12735" s="1" t="str">
        <f t="shared" si="2907"/>
        <v>X</v>
      </c>
      <c r="I12735" s="1" t="str">
        <f t="shared" si="2907"/>
        <v>X</v>
      </c>
      <c r="J12735" s="1" t="str">
        <f t="shared" si="2907"/>
        <v>X</v>
      </c>
      <c r="K12735" s="1" t="str">
        <f t="shared" si="2907"/>
        <v>X</v>
      </c>
      <c r="L12735" s="1" t="str">
        <f t="shared" si="2907"/>
        <v>X</v>
      </c>
      <c r="M12735" s="1" t="str">
        <f t="shared" si="2907"/>
        <v>X</v>
      </c>
      <c r="N12735" t="s">
        <v>27</v>
      </c>
    </row>
    <row r="12736" spans="1:14" x14ac:dyDescent="0.25">
      <c r="A12736" t="s">
        <v>44</v>
      </c>
      <c r="B12736" t="s">
        <v>40</v>
      </c>
      <c r="C12736" t="s">
        <v>36</v>
      </c>
      <c r="D12736" t="s">
        <v>33</v>
      </c>
      <c r="E12736" t="s">
        <v>21</v>
      </c>
      <c r="F12736" t="s">
        <v>20</v>
      </c>
      <c r="G12736" s="1" t="str">
        <f t="shared" si="2907"/>
        <v>X</v>
      </c>
      <c r="H12736" s="1" t="str">
        <f t="shared" si="2907"/>
        <v>X</v>
      </c>
      <c r="I12736" s="1" t="str">
        <f t="shared" si="2907"/>
        <v>X</v>
      </c>
      <c r="J12736" s="1" t="str">
        <f t="shared" si="2907"/>
        <v>X</v>
      </c>
      <c r="K12736" s="1" t="str">
        <f t="shared" si="2907"/>
        <v>X</v>
      </c>
      <c r="L12736" s="1" t="str">
        <f t="shared" si="2907"/>
        <v>X</v>
      </c>
      <c r="M12736" s="1" t="str">
        <f t="shared" si="2907"/>
        <v>X</v>
      </c>
      <c r="N12736" t="s">
        <v>27</v>
      </c>
    </row>
    <row r="12737" spans="1:14" x14ac:dyDescent="0.25">
      <c r="A12737" t="s">
        <v>44</v>
      </c>
      <c r="B12737" t="s">
        <v>40</v>
      </c>
      <c r="C12737" t="s">
        <v>36</v>
      </c>
      <c r="D12737" t="s">
        <v>33</v>
      </c>
      <c r="E12737" t="s">
        <v>22</v>
      </c>
      <c r="F12737" t="s">
        <v>15</v>
      </c>
      <c r="G12737" s="1" t="str">
        <f t="shared" si="2907"/>
        <v>X</v>
      </c>
      <c r="H12737" s="1" t="str">
        <f t="shared" si="2907"/>
        <v>X</v>
      </c>
      <c r="I12737" s="1" t="str">
        <f t="shared" si="2907"/>
        <v>X</v>
      </c>
      <c r="J12737" s="1" t="str">
        <f t="shared" si="2907"/>
        <v>X</v>
      </c>
      <c r="K12737" s="1" t="str">
        <f t="shared" si="2907"/>
        <v>X</v>
      </c>
      <c r="L12737" s="1" t="str">
        <f t="shared" si="2907"/>
        <v>X</v>
      </c>
      <c r="M12737" s="1" t="str">
        <f t="shared" si="2907"/>
        <v>X</v>
      </c>
      <c r="N12737" t="s">
        <v>27</v>
      </c>
    </row>
    <row r="12738" spans="1:14" x14ac:dyDescent="0.25">
      <c r="A12738" t="s">
        <v>44</v>
      </c>
      <c r="B12738" t="s">
        <v>40</v>
      </c>
      <c r="C12738" t="s">
        <v>36</v>
      </c>
      <c r="D12738" t="s">
        <v>33</v>
      </c>
      <c r="E12738" t="s">
        <v>22</v>
      </c>
      <c r="F12738" t="s">
        <v>17</v>
      </c>
      <c r="G12738" s="1" t="str">
        <f t="shared" ref="G12738:M12738" si="2908">"..."</f>
        <v>...</v>
      </c>
      <c r="H12738" s="1" t="str">
        <f t="shared" si="2908"/>
        <v>...</v>
      </c>
      <c r="I12738" s="1" t="str">
        <f t="shared" si="2908"/>
        <v>...</v>
      </c>
      <c r="J12738" s="1" t="str">
        <f t="shared" si="2908"/>
        <v>...</v>
      </c>
      <c r="K12738" s="1" t="str">
        <f t="shared" si="2908"/>
        <v>...</v>
      </c>
      <c r="L12738" s="1" t="str">
        <f t="shared" si="2908"/>
        <v>...</v>
      </c>
      <c r="M12738" s="1" t="str">
        <f t="shared" si="2908"/>
        <v>...</v>
      </c>
      <c r="N12738" t="s">
        <v>30</v>
      </c>
    </row>
    <row r="12739" spans="1:14" x14ac:dyDescent="0.25">
      <c r="A12739" t="s">
        <v>44</v>
      </c>
      <c r="B12739" t="s">
        <v>40</v>
      </c>
      <c r="C12739" t="s">
        <v>36</v>
      </c>
      <c r="D12739" t="s">
        <v>33</v>
      </c>
      <c r="E12739" t="s">
        <v>22</v>
      </c>
      <c r="F12739" t="s">
        <v>18</v>
      </c>
      <c r="G12739" s="1" t="str">
        <f t="shared" ref="G12739:M12742" si="2909">"X"</f>
        <v>X</v>
      </c>
      <c r="H12739" s="1" t="str">
        <f t="shared" si="2909"/>
        <v>X</v>
      </c>
      <c r="I12739" s="1" t="str">
        <f t="shared" si="2909"/>
        <v>X</v>
      </c>
      <c r="J12739" s="1" t="str">
        <f t="shared" si="2909"/>
        <v>X</v>
      </c>
      <c r="K12739" s="1" t="str">
        <f t="shared" si="2909"/>
        <v>X</v>
      </c>
      <c r="L12739" s="1" t="str">
        <f t="shared" si="2909"/>
        <v>X</v>
      </c>
      <c r="M12739" s="1" t="str">
        <f t="shared" si="2909"/>
        <v>X</v>
      </c>
      <c r="N12739" t="s">
        <v>27</v>
      </c>
    </row>
    <row r="12740" spans="1:14" x14ac:dyDescent="0.25">
      <c r="A12740" t="s">
        <v>44</v>
      </c>
      <c r="B12740" t="s">
        <v>40</v>
      </c>
      <c r="C12740" t="s">
        <v>36</v>
      </c>
      <c r="D12740" t="s">
        <v>33</v>
      </c>
      <c r="E12740" t="s">
        <v>22</v>
      </c>
      <c r="F12740" t="s">
        <v>19</v>
      </c>
      <c r="G12740" s="1" t="str">
        <f t="shared" si="2909"/>
        <v>X</v>
      </c>
      <c r="H12740" s="1" t="str">
        <f t="shared" si="2909"/>
        <v>X</v>
      </c>
      <c r="I12740" s="1" t="str">
        <f t="shared" si="2909"/>
        <v>X</v>
      </c>
      <c r="J12740" s="1" t="str">
        <f t="shared" si="2909"/>
        <v>X</v>
      </c>
      <c r="K12740" s="1" t="str">
        <f t="shared" si="2909"/>
        <v>X</v>
      </c>
      <c r="L12740" s="1" t="str">
        <f t="shared" si="2909"/>
        <v>X</v>
      </c>
      <c r="M12740" s="1" t="str">
        <f t="shared" si="2909"/>
        <v>X</v>
      </c>
      <c r="N12740" t="s">
        <v>27</v>
      </c>
    </row>
    <row r="12741" spans="1:14" x14ac:dyDescent="0.25">
      <c r="A12741" t="s">
        <v>44</v>
      </c>
      <c r="B12741" t="s">
        <v>40</v>
      </c>
      <c r="C12741" t="s">
        <v>36</v>
      </c>
      <c r="D12741" t="s">
        <v>33</v>
      </c>
      <c r="E12741" t="s">
        <v>22</v>
      </c>
      <c r="F12741" t="s">
        <v>20</v>
      </c>
      <c r="G12741" s="1" t="str">
        <f t="shared" si="2909"/>
        <v>X</v>
      </c>
      <c r="H12741" s="1" t="str">
        <f t="shared" si="2909"/>
        <v>X</v>
      </c>
      <c r="I12741" s="1" t="str">
        <f t="shared" si="2909"/>
        <v>X</v>
      </c>
      <c r="J12741" s="1" t="str">
        <f t="shared" si="2909"/>
        <v>X</v>
      </c>
      <c r="K12741" s="1" t="str">
        <f t="shared" si="2909"/>
        <v>X</v>
      </c>
      <c r="L12741" s="1" t="str">
        <f t="shared" si="2909"/>
        <v>X</v>
      </c>
      <c r="M12741" s="1" t="str">
        <f t="shared" si="2909"/>
        <v>X</v>
      </c>
      <c r="N12741" t="s">
        <v>27</v>
      </c>
    </row>
    <row r="12742" spans="1:14" x14ac:dyDescent="0.25">
      <c r="A12742" t="s">
        <v>44</v>
      </c>
      <c r="B12742" t="s">
        <v>40</v>
      </c>
      <c r="C12742" t="s">
        <v>36</v>
      </c>
      <c r="D12742" t="s">
        <v>33</v>
      </c>
      <c r="E12742" t="s">
        <v>23</v>
      </c>
      <c r="F12742" t="s">
        <v>15</v>
      </c>
      <c r="G12742" s="1" t="str">
        <f t="shared" si="2909"/>
        <v>X</v>
      </c>
      <c r="H12742" s="1" t="str">
        <f t="shared" si="2909"/>
        <v>X</v>
      </c>
      <c r="I12742" s="1" t="str">
        <f t="shared" si="2909"/>
        <v>X</v>
      </c>
      <c r="J12742" s="1" t="str">
        <f t="shared" si="2909"/>
        <v>X</v>
      </c>
      <c r="K12742" s="1" t="str">
        <f t="shared" si="2909"/>
        <v>X</v>
      </c>
      <c r="L12742" s="1" t="str">
        <f t="shared" si="2909"/>
        <v>X</v>
      </c>
      <c r="M12742" s="1" t="str">
        <f t="shared" si="2909"/>
        <v>X</v>
      </c>
      <c r="N12742" t="s">
        <v>27</v>
      </c>
    </row>
    <row r="12743" spans="1:14" x14ac:dyDescent="0.25">
      <c r="A12743" t="s">
        <v>44</v>
      </c>
      <c r="B12743" t="s">
        <v>40</v>
      </c>
      <c r="C12743" t="s">
        <v>36</v>
      </c>
      <c r="D12743" t="s">
        <v>33</v>
      </c>
      <c r="E12743" t="s">
        <v>23</v>
      </c>
      <c r="F12743" t="s">
        <v>17</v>
      </c>
      <c r="G12743" s="1" t="str">
        <f t="shared" ref="G12743:M12745" si="2910">"..."</f>
        <v>...</v>
      </c>
      <c r="H12743" s="1" t="str">
        <f t="shared" si="2910"/>
        <v>...</v>
      </c>
      <c r="I12743" s="1" t="str">
        <f t="shared" si="2910"/>
        <v>...</v>
      </c>
      <c r="J12743" s="1" t="str">
        <f t="shared" si="2910"/>
        <v>...</v>
      </c>
      <c r="K12743" s="1" t="str">
        <f t="shared" si="2910"/>
        <v>...</v>
      </c>
      <c r="L12743" s="1" t="str">
        <f t="shared" si="2910"/>
        <v>...</v>
      </c>
      <c r="M12743" s="1" t="str">
        <f t="shared" si="2910"/>
        <v>...</v>
      </c>
      <c r="N12743" t="s">
        <v>30</v>
      </c>
    </row>
    <row r="12744" spans="1:14" x14ac:dyDescent="0.25">
      <c r="A12744" t="s">
        <v>44</v>
      </c>
      <c r="B12744" t="s">
        <v>40</v>
      </c>
      <c r="C12744" t="s">
        <v>36</v>
      </c>
      <c r="D12744" t="s">
        <v>33</v>
      </c>
      <c r="E12744" t="s">
        <v>23</v>
      </c>
      <c r="F12744" t="s">
        <v>18</v>
      </c>
      <c r="G12744" s="1" t="str">
        <f t="shared" si="2910"/>
        <v>...</v>
      </c>
      <c r="H12744" s="1" t="str">
        <f t="shared" si="2910"/>
        <v>...</v>
      </c>
      <c r="I12744" s="1" t="str">
        <f t="shared" si="2910"/>
        <v>...</v>
      </c>
      <c r="J12744" s="1" t="str">
        <f t="shared" si="2910"/>
        <v>...</v>
      </c>
      <c r="K12744" s="1" t="str">
        <f t="shared" si="2910"/>
        <v>...</v>
      </c>
      <c r="L12744" s="1" t="str">
        <f t="shared" si="2910"/>
        <v>...</v>
      </c>
      <c r="M12744" s="1" t="str">
        <f t="shared" si="2910"/>
        <v>...</v>
      </c>
      <c r="N12744" t="s">
        <v>30</v>
      </c>
    </row>
    <row r="12745" spans="1:14" x14ac:dyDescent="0.25">
      <c r="A12745" t="s">
        <v>44</v>
      </c>
      <c r="B12745" t="s">
        <v>40</v>
      </c>
      <c r="C12745" t="s">
        <v>36</v>
      </c>
      <c r="D12745" t="s">
        <v>33</v>
      </c>
      <c r="E12745" t="s">
        <v>23</v>
      </c>
      <c r="F12745" t="s">
        <v>19</v>
      </c>
      <c r="G12745" s="1" t="str">
        <f t="shared" si="2910"/>
        <v>...</v>
      </c>
      <c r="H12745" s="1" t="str">
        <f t="shared" si="2910"/>
        <v>...</v>
      </c>
      <c r="I12745" s="1" t="str">
        <f t="shared" si="2910"/>
        <v>...</v>
      </c>
      <c r="J12745" s="1" t="str">
        <f t="shared" si="2910"/>
        <v>...</v>
      </c>
      <c r="K12745" s="1" t="str">
        <f t="shared" si="2910"/>
        <v>...</v>
      </c>
      <c r="L12745" s="1" t="str">
        <f t="shared" si="2910"/>
        <v>...</v>
      </c>
      <c r="M12745" s="1" t="str">
        <f t="shared" si="2910"/>
        <v>...</v>
      </c>
      <c r="N12745" t="s">
        <v>30</v>
      </c>
    </row>
    <row r="12746" spans="1:14" x14ac:dyDescent="0.25">
      <c r="A12746" t="s">
        <v>44</v>
      </c>
      <c r="B12746" t="s">
        <v>40</v>
      </c>
      <c r="C12746" t="s">
        <v>36</v>
      </c>
      <c r="D12746" t="s">
        <v>33</v>
      </c>
      <c r="E12746" t="s">
        <v>23</v>
      </c>
      <c r="F12746" t="s">
        <v>20</v>
      </c>
      <c r="G12746" s="1" t="str">
        <f t="shared" ref="G12746:M12746" si="2911">"X"</f>
        <v>X</v>
      </c>
      <c r="H12746" s="1" t="str">
        <f t="shared" si="2911"/>
        <v>X</v>
      </c>
      <c r="I12746" s="1" t="str">
        <f t="shared" si="2911"/>
        <v>X</v>
      </c>
      <c r="J12746" s="1" t="str">
        <f t="shared" si="2911"/>
        <v>X</v>
      </c>
      <c r="K12746" s="1" t="str">
        <f t="shared" si="2911"/>
        <v>X</v>
      </c>
      <c r="L12746" s="1" t="str">
        <f t="shared" si="2911"/>
        <v>X</v>
      </c>
      <c r="M12746" s="1" t="str">
        <f t="shared" si="2911"/>
        <v>X</v>
      </c>
      <c r="N12746" t="s">
        <v>27</v>
      </c>
    </row>
    <row r="12747" spans="1:14" x14ac:dyDescent="0.25">
      <c r="A12747" t="s">
        <v>44</v>
      </c>
      <c r="B12747" t="s">
        <v>40</v>
      </c>
      <c r="C12747" t="s">
        <v>36</v>
      </c>
      <c r="D12747" t="s">
        <v>33</v>
      </c>
      <c r="E12747" t="s">
        <v>26</v>
      </c>
      <c r="F12747" t="s">
        <v>15</v>
      </c>
      <c r="G12747" s="1" t="str">
        <f t="shared" ref="G12747:M12751" si="2912">"..."</f>
        <v>...</v>
      </c>
      <c r="H12747" s="1" t="str">
        <f t="shared" si="2912"/>
        <v>...</v>
      </c>
      <c r="I12747" s="1" t="str">
        <f t="shared" si="2912"/>
        <v>...</v>
      </c>
      <c r="J12747" s="1" t="str">
        <f t="shared" si="2912"/>
        <v>...</v>
      </c>
      <c r="K12747" s="1" t="str">
        <f t="shared" si="2912"/>
        <v>...</v>
      </c>
      <c r="L12747" s="1" t="str">
        <f t="shared" si="2912"/>
        <v>...</v>
      </c>
      <c r="M12747" s="1" t="str">
        <f t="shared" si="2912"/>
        <v>...</v>
      </c>
      <c r="N12747" t="s">
        <v>30</v>
      </c>
    </row>
    <row r="12748" spans="1:14" x14ac:dyDescent="0.25">
      <c r="A12748" t="s">
        <v>44</v>
      </c>
      <c r="B12748" t="s">
        <v>40</v>
      </c>
      <c r="C12748" t="s">
        <v>36</v>
      </c>
      <c r="D12748" t="s">
        <v>33</v>
      </c>
      <c r="E12748" t="s">
        <v>26</v>
      </c>
      <c r="F12748" t="s">
        <v>17</v>
      </c>
      <c r="G12748" s="1" t="str">
        <f t="shared" si="2912"/>
        <v>...</v>
      </c>
      <c r="H12748" s="1" t="str">
        <f t="shared" si="2912"/>
        <v>...</v>
      </c>
      <c r="I12748" s="1" t="str">
        <f t="shared" si="2912"/>
        <v>...</v>
      </c>
      <c r="J12748" s="1" t="str">
        <f t="shared" si="2912"/>
        <v>...</v>
      </c>
      <c r="K12748" s="1" t="str">
        <f t="shared" si="2912"/>
        <v>...</v>
      </c>
      <c r="L12748" s="1" t="str">
        <f t="shared" si="2912"/>
        <v>...</v>
      </c>
      <c r="M12748" s="1" t="str">
        <f t="shared" si="2912"/>
        <v>...</v>
      </c>
      <c r="N12748" t="s">
        <v>30</v>
      </c>
    </row>
    <row r="12749" spans="1:14" x14ac:dyDescent="0.25">
      <c r="A12749" t="s">
        <v>44</v>
      </c>
      <c r="B12749" t="s">
        <v>40</v>
      </c>
      <c r="C12749" t="s">
        <v>36</v>
      </c>
      <c r="D12749" t="s">
        <v>33</v>
      </c>
      <c r="E12749" t="s">
        <v>26</v>
      </c>
      <c r="F12749" t="s">
        <v>18</v>
      </c>
      <c r="G12749" s="1" t="str">
        <f t="shared" si="2912"/>
        <v>...</v>
      </c>
      <c r="H12749" s="1" t="str">
        <f t="shared" si="2912"/>
        <v>...</v>
      </c>
      <c r="I12749" s="1" t="str">
        <f t="shared" si="2912"/>
        <v>...</v>
      </c>
      <c r="J12749" s="1" t="str">
        <f t="shared" si="2912"/>
        <v>...</v>
      </c>
      <c r="K12749" s="1" t="str">
        <f t="shared" si="2912"/>
        <v>...</v>
      </c>
      <c r="L12749" s="1" t="str">
        <f t="shared" si="2912"/>
        <v>...</v>
      </c>
      <c r="M12749" s="1" t="str">
        <f t="shared" si="2912"/>
        <v>...</v>
      </c>
      <c r="N12749" t="s">
        <v>30</v>
      </c>
    </row>
    <row r="12750" spans="1:14" x14ac:dyDescent="0.25">
      <c r="A12750" t="s">
        <v>44</v>
      </c>
      <c r="B12750" t="s">
        <v>40</v>
      </c>
      <c r="C12750" t="s">
        <v>36</v>
      </c>
      <c r="D12750" t="s">
        <v>33</v>
      </c>
      <c r="E12750" t="s">
        <v>26</v>
      </c>
      <c r="F12750" t="s">
        <v>19</v>
      </c>
      <c r="G12750" s="1" t="str">
        <f t="shared" si="2912"/>
        <v>...</v>
      </c>
      <c r="H12750" s="1" t="str">
        <f t="shared" si="2912"/>
        <v>...</v>
      </c>
      <c r="I12750" s="1" t="str">
        <f t="shared" si="2912"/>
        <v>...</v>
      </c>
      <c r="J12750" s="1" t="str">
        <f t="shared" si="2912"/>
        <v>...</v>
      </c>
      <c r="K12750" s="1" t="str">
        <f t="shared" si="2912"/>
        <v>...</v>
      </c>
      <c r="L12750" s="1" t="str">
        <f t="shared" si="2912"/>
        <v>...</v>
      </c>
      <c r="M12750" s="1" t="str">
        <f t="shared" si="2912"/>
        <v>...</v>
      </c>
      <c r="N12750" t="s">
        <v>30</v>
      </c>
    </row>
    <row r="12751" spans="1:14" x14ac:dyDescent="0.25">
      <c r="A12751" t="s">
        <v>44</v>
      </c>
      <c r="B12751" t="s">
        <v>40</v>
      </c>
      <c r="C12751" t="s">
        <v>36</v>
      </c>
      <c r="D12751" t="s">
        <v>33</v>
      </c>
      <c r="E12751" t="s">
        <v>26</v>
      </c>
      <c r="F12751" t="s">
        <v>20</v>
      </c>
      <c r="G12751" s="1" t="str">
        <f t="shared" si="2912"/>
        <v>...</v>
      </c>
      <c r="H12751" s="1" t="str">
        <f t="shared" si="2912"/>
        <v>...</v>
      </c>
      <c r="I12751" s="1" t="str">
        <f t="shared" si="2912"/>
        <v>...</v>
      </c>
      <c r="J12751" s="1" t="str">
        <f t="shared" si="2912"/>
        <v>...</v>
      </c>
      <c r="K12751" s="1" t="str">
        <f t="shared" si="2912"/>
        <v>...</v>
      </c>
      <c r="L12751" s="1" t="str">
        <f t="shared" si="2912"/>
        <v>...</v>
      </c>
      <c r="M12751" s="1" t="str">
        <f t="shared" si="2912"/>
        <v>...</v>
      </c>
      <c r="N12751" t="s">
        <v>30</v>
      </c>
    </row>
    <row r="12752" spans="1:14" x14ac:dyDescent="0.25">
      <c r="A12752" t="s">
        <v>44</v>
      </c>
      <c r="B12752" t="s">
        <v>40</v>
      </c>
      <c r="C12752" t="s">
        <v>36</v>
      </c>
      <c r="D12752" t="s">
        <v>34</v>
      </c>
      <c r="E12752" t="s">
        <v>15</v>
      </c>
      <c r="F12752" t="s">
        <v>15</v>
      </c>
      <c r="G12752" s="1" t="str">
        <f t="shared" ref="G12752:M12757" si="2913">"X"</f>
        <v>X</v>
      </c>
      <c r="H12752" s="1" t="str">
        <f t="shared" si="2913"/>
        <v>X</v>
      </c>
      <c r="I12752" s="1" t="str">
        <f t="shared" si="2913"/>
        <v>X</v>
      </c>
      <c r="J12752" s="1" t="str">
        <f t="shared" si="2913"/>
        <v>X</v>
      </c>
      <c r="K12752" s="1" t="str">
        <f t="shared" si="2913"/>
        <v>X</v>
      </c>
      <c r="L12752" s="1" t="str">
        <f t="shared" si="2913"/>
        <v>X</v>
      </c>
      <c r="M12752" s="1" t="str">
        <f t="shared" si="2913"/>
        <v>X</v>
      </c>
      <c r="N12752" t="s">
        <v>27</v>
      </c>
    </row>
    <row r="12753" spans="1:14" x14ac:dyDescent="0.25">
      <c r="A12753" t="s">
        <v>44</v>
      </c>
      <c r="B12753" t="s">
        <v>40</v>
      </c>
      <c r="C12753" t="s">
        <v>36</v>
      </c>
      <c r="D12753" t="s">
        <v>34</v>
      </c>
      <c r="E12753" t="s">
        <v>15</v>
      </c>
      <c r="F12753" t="s">
        <v>17</v>
      </c>
      <c r="G12753" s="1" t="str">
        <f t="shared" si="2913"/>
        <v>X</v>
      </c>
      <c r="H12753" s="1" t="str">
        <f t="shared" si="2913"/>
        <v>X</v>
      </c>
      <c r="I12753" s="1" t="str">
        <f t="shared" si="2913"/>
        <v>X</v>
      </c>
      <c r="J12753" s="1" t="str">
        <f t="shared" si="2913"/>
        <v>X</v>
      </c>
      <c r="K12753" s="1" t="str">
        <f t="shared" si="2913"/>
        <v>X</v>
      </c>
      <c r="L12753" s="1" t="str">
        <f t="shared" si="2913"/>
        <v>X</v>
      </c>
      <c r="M12753" s="1" t="str">
        <f t="shared" si="2913"/>
        <v>X</v>
      </c>
      <c r="N12753" t="s">
        <v>27</v>
      </c>
    </row>
    <row r="12754" spans="1:14" x14ac:dyDescent="0.25">
      <c r="A12754" t="s">
        <v>44</v>
      </c>
      <c r="B12754" t="s">
        <v>40</v>
      </c>
      <c r="C12754" t="s">
        <v>36</v>
      </c>
      <c r="D12754" t="s">
        <v>34</v>
      </c>
      <c r="E12754" t="s">
        <v>15</v>
      </c>
      <c r="F12754" t="s">
        <v>18</v>
      </c>
      <c r="G12754" s="1" t="str">
        <f t="shared" si="2913"/>
        <v>X</v>
      </c>
      <c r="H12754" s="1" t="str">
        <f t="shared" si="2913"/>
        <v>X</v>
      </c>
      <c r="I12754" s="1" t="str">
        <f t="shared" si="2913"/>
        <v>X</v>
      </c>
      <c r="J12754" s="1" t="str">
        <f t="shared" si="2913"/>
        <v>X</v>
      </c>
      <c r="K12754" s="1" t="str">
        <f t="shared" si="2913"/>
        <v>X</v>
      </c>
      <c r="L12754" s="1" t="str">
        <f t="shared" si="2913"/>
        <v>X</v>
      </c>
      <c r="M12754" s="1" t="str">
        <f t="shared" si="2913"/>
        <v>X</v>
      </c>
      <c r="N12754" t="s">
        <v>27</v>
      </c>
    </row>
    <row r="12755" spans="1:14" x14ac:dyDescent="0.25">
      <c r="A12755" t="s">
        <v>44</v>
      </c>
      <c r="B12755" t="s">
        <v>40</v>
      </c>
      <c r="C12755" t="s">
        <v>36</v>
      </c>
      <c r="D12755" t="s">
        <v>34</v>
      </c>
      <c r="E12755" t="s">
        <v>15</v>
      </c>
      <c r="F12755" t="s">
        <v>19</v>
      </c>
      <c r="G12755" s="1" t="str">
        <f t="shared" si="2913"/>
        <v>X</v>
      </c>
      <c r="H12755" s="1" t="str">
        <f t="shared" si="2913"/>
        <v>X</v>
      </c>
      <c r="I12755" s="1" t="str">
        <f t="shared" si="2913"/>
        <v>X</v>
      </c>
      <c r="J12755" s="1" t="str">
        <f t="shared" si="2913"/>
        <v>X</v>
      </c>
      <c r="K12755" s="1" t="str">
        <f t="shared" si="2913"/>
        <v>X</v>
      </c>
      <c r="L12755" s="1" t="str">
        <f t="shared" si="2913"/>
        <v>X</v>
      </c>
      <c r="M12755" s="1" t="str">
        <f t="shared" si="2913"/>
        <v>X</v>
      </c>
      <c r="N12755" t="s">
        <v>27</v>
      </c>
    </row>
    <row r="12756" spans="1:14" x14ac:dyDescent="0.25">
      <c r="A12756" t="s">
        <v>44</v>
      </c>
      <c r="B12756" t="s">
        <v>40</v>
      </c>
      <c r="C12756" t="s">
        <v>36</v>
      </c>
      <c r="D12756" t="s">
        <v>34</v>
      </c>
      <c r="E12756" t="s">
        <v>15</v>
      </c>
      <c r="F12756" t="s">
        <v>20</v>
      </c>
      <c r="G12756" s="1" t="str">
        <f t="shared" si="2913"/>
        <v>X</v>
      </c>
      <c r="H12756" s="1" t="str">
        <f t="shared" si="2913"/>
        <v>X</v>
      </c>
      <c r="I12756" s="1" t="str">
        <f t="shared" si="2913"/>
        <v>X</v>
      </c>
      <c r="J12756" s="1" t="str">
        <f t="shared" si="2913"/>
        <v>X</v>
      </c>
      <c r="K12756" s="1" t="str">
        <f t="shared" si="2913"/>
        <v>X</v>
      </c>
      <c r="L12756" s="1" t="str">
        <f t="shared" si="2913"/>
        <v>X</v>
      </c>
      <c r="M12756" s="1" t="str">
        <f t="shared" si="2913"/>
        <v>X</v>
      </c>
      <c r="N12756" t="s">
        <v>27</v>
      </c>
    </row>
    <row r="12757" spans="1:14" x14ac:dyDescent="0.25">
      <c r="A12757" t="s">
        <v>44</v>
      </c>
      <c r="B12757" t="s">
        <v>40</v>
      </c>
      <c r="C12757" t="s">
        <v>36</v>
      </c>
      <c r="D12757" t="s">
        <v>34</v>
      </c>
      <c r="E12757" t="s">
        <v>21</v>
      </c>
      <c r="F12757" t="s">
        <v>15</v>
      </c>
      <c r="G12757" s="1" t="str">
        <f t="shared" si="2913"/>
        <v>X</v>
      </c>
      <c r="H12757" s="1" t="str">
        <f t="shared" si="2913"/>
        <v>X</v>
      </c>
      <c r="I12757" s="1" t="str">
        <f t="shared" si="2913"/>
        <v>X</v>
      </c>
      <c r="J12757" s="1" t="str">
        <f t="shared" si="2913"/>
        <v>X</v>
      </c>
      <c r="K12757" s="1" t="str">
        <f t="shared" si="2913"/>
        <v>X</v>
      </c>
      <c r="L12757" s="1" t="str">
        <f t="shared" si="2913"/>
        <v>X</v>
      </c>
      <c r="M12757" s="1" t="str">
        <f t="shared" si="2913"/>
        <v>X</v>
      </c>
      <c r="N12757" t="s">
        <v>27</v>
      </c>
    </row>
    <row r="12758" spans="1:14" x14ac:dyDescent="0.25">
      <c r="A12758" t="s">
        <v>44</v>
      </c>
      <c r="B12758" t="s">
        <v>40</v>
      </c>
      <c r="C12758" t="s">
        <v>36</v>
      </c>
      <c r="D12758" t="s">
        <v>34</v>
      </c>
      <c r="E12758" t="s">
        <v>21</v>
      </c>
      <c r="F12758" t="s">
        <v>17</v>
      </c>
      <c r="G12758" s="1" t="str">
        <f t="shared" ref="G12758:M12759" si="2914">"..."</f>
        <v>...</v>
      </c>
      <c r="H12758" s="1" t="str">
        <f t="shared" si="2914"/>
        <v>...</v>
      </c>
      <c r="I12758" s="1" t="str">
        <f t="shared" si="2914"/>
        <v>...</v>
      </c>
      <c r="J12758" s="1" t="str">
        <f t="shared" si="2914"/>
        <v>...</v>
      </c>
      <c r="K12758" s="1" t="str">
        <f t="shared" si="2914"/>
        <v>...</v>
      </c>
      <c r="L12758" s="1" t="str">
        <f t="shared" si="2914"/>
        <v>...</v>
      </c>
      <c r="M12758" s="1" t="str">
        <f t="shared" si="2914"/>
        <v>...</v>
      </c>
      <c r="N12758" t="s">
        <v>30</v>
      </c>
    </row>
    <row r="12759" spans="1:14" x14ac:dyDescent="0.25">
      <c r="A12759" t="s">
        <v>44</v>
      </c>
      <c r="B12759" t="s">
        <v>40</v>
      </c>
      <c r="C12759" t="s">
        <v>36</v>
      </c>
      <c r="D12759" t="s">
        <v>34</v>
      </c>
      <c r="E12759" t="s">
        <v>21</v>
      </c>
      <c r="F12759" t="s">
        <v>18</v>
      </c>
      <c r="G12759" s="1" t="str">
        <f t="shared" si="2914"/>
        <v>...</v>
      </c>
      <c r="H12759" s="1" t="str">
        <f t="shared" si="2914"/>
        <v>...</v>
      </c>
      <c r="I12759" s="1" t="str">
        <f t="shared" si="2914"/>
        <v>...</v>
      </c>
      <c r="J12759" s="1" t="str">
        <f t="shared" si="2914"/>
        <v>...</v>
      </c>
      <c r="K12759" s="1" t="str">
        <f t="shared" si="2914"/>
        <v>...</v>
      </c>
      <c r="L12759" s="1" t="str">
        <f t="shared" si="2914"/>
        <v>...</v>
      </c>
      <c r="M12759" s="1" t="str">
        <f t="shared" si="2914"/>
        <v>...</v>
      </c>
      <c r="N12759" t="s">
        <v>30</v>
      </c>
    </row>
    <row r="12760" spans="1:14" x14ac:dyDescent="0.25">
      <c r="A12760" t="s">
        <v>44</v>
      </c>
      <c r="B12760" t="s">
        <v>40</v>
      </c>
      <c r="C12760" t="s">
        <v>36</v>
      </c>
      <c r="D12760" t="s">
        <v>34</v>
      </c>
      <c r="E12760" t="s">
        <v>21</v>
      </c>
      <c r="F12760" t="s">
        <v>19</v>
      </c>
      <c r="G12760" s="1" t="str">
        <f t="shared" ref="G12760:M12764" si="2915">"X"</f>
        <v>X</v>
      </c>
      <c r="H12760" s="1" t="str">
        <f t="shared" si="2915"/>
        <v>X</v>
      </c>
      <c r="I12760" s="1" t="str">
        <f t="shared" si="2915"/>
        <v>X</v>
      </c>
      <c r="J12760" s="1" t="str">
        <f t="shared" si="2915"/>
        <v>X</v>
      </c>
      <c r="K12760" s="1" t="str">
        <f t="shared" si="2915"/>
        <v>X</v>
      </c>
      <c r="L12760" s="1" t="str">
        <f t="shared" si="2915"/>
        <v>X</v>
      </c>
      <c r="M12760" s="1" t="str">
        <f t="shared" si="2915"/>
        <v>X</v>
      </c>
      <c r="N12760" t="s">
        <v>27</v>
      </c>
    </row>
    <row r="12761" spans="1:14" x14ac:dyDescent="0.25">
      <c r="A12761" t="s">
        <v>44</v>
      </c>
      <c r="B12761" t="s">
        <v>40</v>
      </c>
      <c r="C12761" t="s">
        <v>36</v>
      </c>
      <c r="D12761" t="s">
        <v>34</v>
      </c>
      <c r="E12761" t="s">
        <v>21</v>
      </c>
      <c r="F12761" t="s">
        <v>20</v>
      </c>
      <c r="G12761" s="1" t="str">
        <f t="shared" si="2915"/>
        <v>X</v>
      </c>
      <c r="H12761" s="1" t="str">
        <f t="shared" si="2915"/>
        <v>X</v>
      </c>
      <c r="I12761" s="1" t="str">
        <f t="shared" si="2915"/>
        <v>X</v>
      </c>
      <c r="J12761" s="1" t="str">
        <f t="shared" si="2915"/>
        <v>X</v>
      </c>
      <c r="K12761" s="1" t="str">
        <f t="shared" si="2915"/>
        <v>X</v>
      </c>
      <c r="L12761" s="1" t="str">
        <f t="shared" si="2915"/>
        <v>X</v>
      </c>
      <c r="M12761" s="1" t="str">
        <f t="shared" si="2915"/>
        <v>X</v>
      </c>
      <c r="N12761" t="s">
        <v>27</v>
      </c>
    </row>
    <row r="12762" spans="1:14" x14ac:dyDescent="0.25">
      <c r="A12762" t="s">
        <v>44</v>
      </c>
      <c r="B12762" t="s">
        <v>40</v>
      </c>
      <c r="C12762" t="s">
        <v>36</v>
      </c>
      <c r="D12762" t="s">
        <v>34</v>
      </c>
      <c r="E12762" t="s">
        <v>22</v>
      </c>
      <c r="F12762" t="s">
        <v>15</v>
      </c>
      <c r="G12762" s="1" t="str">
        <f t="shared" si="2915"/>
        <v>X</v>
      </c>
      <c r="H12762" s="1" t="str">
        <f t="shared" si="2915"/>
        <v>X</v>
      </c>
      <c r="I12762" s="1" t="str">
        <f t="shared" si="2915"/>
        <v>X</v>
      </c>
      <c r="J12762" s="1" t="str">
        <f t="shared" si="2915"/>
        <v>X</v>
      </c>
      <c r="K12762" s="1" t="str">
        <f t="shared" si="2915"/>
        <v>X</v>
      </c>
      <c r="L12762" s="1" t="str">
        <f t="shared" si="2915"/>
        <v>X</v>
      </c>
      <c r="M12762" s="1" t="str">
        <f t="shared" si="2915"/>
        <v>X</v>
      </c>
      <c r="N12762" t="s">
        <v>27</v>
      </c>
    </row>
    <row r="12763" spans="1:14" x14ac:dyDescent="0.25">
      <c r="A12763" t="s">
        <v>44</v>
      </c>
      <c r="B12763" t="s">
        <v>40</v>
      </c>
      <c r="C12763" t="s">
        <v>36</v>
      </c>
      <c r="D12763" t="s">
        <v>34</v>
      </c>
      <c r="E12763" t="s">
        <v>22</v>
      </c>
      <c r="F12763" t="s">
        <v>17</v>
      </c>
      <c r="G12763" s="1" t="str">
        <f t="shared" si="2915"/>
        <v>X</v>
      </c>
      <c r="H12763" s="1" t="str">
        <f t="shared" si="2915"/>
        <v>X</v>
      </c>
      <c r="I12763" s="1" t="str">
        <f t="shared" si="2915"/>
        <v>X</v>
      </c>
      <c r="J12763" s="1" t="str">
        <f t="shared" si="2915"/>
        <v>X</v>
      </c>
      <c r="K12763" s="1" t="str">
        <f t="shared" si="2915"/>
        <v>X</v>
      </c>
      <c r="L12763" s="1" t="str">
        <f t="shared" si="2915"/>
        <v>X</v>
      </c>
      <c r="M12763" s="1" t="str">
        <f t="shared" si="2915"/>
        <v>X</v>
      </c>
      <c r="N12763" t="s">
        <v>27</v>
      </c>
    </row>
    <row r="12764" spans="1:14" x14ac:dyDescent="0.25">
      <c r="A12764" t="s">
        <v>44</v>
      </c>
      <c r="B12764" t="s">
        <v>40</v>
      </c>
      <c r="C12764" t="s">
        <v>36</v>
      </c>
      <c r="D12764" t="s">
        <v>34</v>
      </c>
      <c r="E12764" t="s">
        <v>22</v>
      </c>
      <c r="F12764" t="s">
        <v>18</v>
      </c>
      <c r="G12764" s="1" t="str">
        <f t="shared" si="2915"/>
        <v>X</v>
      </c>
      <c r="H12764" s="1" t="str">
        <f t="shared" si="2915"/>
        <v>X</v>
      </c>
      <c r="I12764" s="1" t="str">
        <f t="shared" si="2915"/>
        <v>X</v>
      </c>
      <c r="J12764" s="1" t="str">
        <f t="shared" si="2915"/>
        <v>X</v>
      </c>
      <c r="K12764" s="1" t="str">
        <f t="shared" si="2915"/>
        <v>X</v>
      </c>
      <c r="L12764" s="1" t="str">
        <f t="shared" si="2915"/>
        <v>X</v>
      </c>
      <c r="M12764" s="1" t="str">
        <f t="shared" si="2915"/>
        <v>X</v>
      </c>
      <c r="N12764" t="s">
        <v>27</v>
      </c>
    </row>
    <row r="12765" spans="1:14" x14ac:dyDescent="0.25">
      <c r="A12765" t="s">
        <v>44</v>
      </c>
      <c r="B12765" t="s">
        <v>40</v>
      </c>
      <c r="C12765" t="s">
        <v>36</v>
      </c>
      <c r="D12765" t="s">
        <v>34</v>
      </c>
      <c r="E12765" t="s">
        <v>22</v>
      </c>
      <c r="F12765" t="s">
        <v>19</v>
      </c>
      <c r="G12765" s="1" t="str">
        <f t="shared" ref="G12765:M12765" si="2916">"..."</f>
        <v>...</v>
      </c>
      <c r="H12765" s="1" t="str">
        <f t="shared" si="2916"/>
        <v>...</v>
      </c>
      <c r="I12765" s="1" t="str">
        <f t="shared" si="2916"/>
        <v>...</v>
      </c>
      <c r="J12765" s="1" t="str">
        <f t="shared" si="2916"/>
        <v>...</v>
      </c>
      <c r="K12765" s="1" t="str">
        <f t="shared" si="2916"/>
        <v>...</v>
      </c>
      <c r="L12765" s="1" t="str">
        <f t="shared" si="2916"/>
        <v>...</v>
      </c>
      <c r="M12765" s="1" t="str">
        <f t="shared" si="2916"/>
        <v>...</v>
      </c>
      <c r="N12765" t="s">
        <v>30</v>
      </c>
    </row>
    <row r="12766" spans="1:14" x14ac:dyDescent="0.25">
      <c r="A12766" t="s">
        <v>44</v>
      </c>
      <c r="B12766" t="s">
        <v>40</v>
      </c>
      <c r="C12766" t="s">
        <v>36</v>
      </c>
      <c r="D12766" t="s">
        <v>34</v>
      </c>
      <c r="E12766" t="s">
        <v>22</v>
      </c>
      <c r="F12766" t="s">
        <v>20</v>
      </c>
      <c r="G12766" s="1" t="str">
        <f t="shared" ref="G12766:M12767" si="2917">"X"</f>
        <v>X</v>
      </c>
      <c r="H12766" s="1" t="str">
        <f t="shared" si="2917"/>
        <v>X</v>
      </c>
      <c r="I12766" s="1" t="str">
        <f t="shared" si="2917"/>
        <v>X</v>
      </c>
      <c r="J12766" s="1" t="str">
        <f t="shared" si="2917"/>
        <v>X</v>
      </c>
      <c r="K12766" s="1" t="str">
        <f t="shared" si="2917"/>
        <v>X</v>
      </c>
      <c r="L12766" s="1" t="str">
        <f t="shared" si="2917"/>
        <v>X</v>
      </c>
      <c r="M12766" s="1" t="str">
        <f t="shared" si="2917"/>
        <v>X</v>
      </c>
      <c r="N12766" t="s">
        <v>27</v>
      </c>
    </row>
    <row r="12767" spans="1:14" x14ac:dyDescent="0.25">
      <c r="A12767" t="s">
        <v>44</v>
      </c>
      <c r="B12767" t="s">
        <v>40</v>
      </c>
      <c r="C12767" t="s">
        <v>36</v>
      </c>
      <c r="D12767" t="s">
        <v>34</v>
      </c>
      <c r="E12767" t="s">
        <v>23</v>
      </c>
      <c r="F12767" t="s">
        <v>15</v>
      </c>
      <c r="G12767" s="1" t="str">
        <f t="shared" si="2917"/>
        <v>X</v>
      </c>
      <c r="H12767" s="1" t="str">
        <f t="shared" si="2917"/>
        <v>X</v>
      </c>
      <c r="I12767" s="1" t="str">
        <f t="shared" si="2917"/>
        <v>X</v>
      </c>
      <c r="J12767" s="1" t="str">
        <f t="shared" si="2917"/>
        <v>X</v>
      </c>
      <c r="K12767" s="1" t="str">
        <f t="shared" si="2917"/>
        <v>X</v>
      </c>
      <c r="L12767" s="1" t="str">
        <f t="shared" si="2917"/>
        <v>X</v>
      </c>
      <c r="M12767" s="1" t="str">
        <f t="shared" si="2917"/>
        <v>X</v>
      </c>
      <c r="N12767" t="s">
        <v>27</v>
      </c>
    </row>
    <row r="12768" spans="1:14" x14ac:dyDescent="0.25">
      <c r="A12768" t="s">
        <v>44</v>
      </c>
      <c r="B12768" t="s">
        <v>40</v>
      </c>
      <c r="C12768" t="s">
        <v>36</v>
      </c>
      <c r="D12768" t="s">
        <v>34</v>
      </c>
      <c r="E12768" t="s">
        <v>23</v>
      </c>
      <c r="F12768" t="s">
        <v>17</v>
      </c>
      <c r="G12768" s="1" t="str">
        <f t="shared" ref="G12768:M12770" si="2918">"..."</f>
        <v>...</v>
      </c>
      <c r="H12768" s="1" t="str">
        <f t="shared" si="2918"/>
        <v>...</v>
      </c>
      <c r="I12768" s="1" t="str">
        <f t="shared" si="2918"/>
        <v>...</v>
      </c>
      <c r="J12768" s="1" t="str">
        <f t="shared" si="2918"/>
        <v>...</v>
      </c>
      <c r="K12768" s="1" t="str">
        <f t="shared" si="2918"/>
        <v>...</v>
      </c>
      <c r="L12768" s="1" t="str">
        <f t="shared" si="2918"/>
        <v>...</v>
      </c>
      <c r="M12768" s="1" t="str">
        <f t="shared" si="2918"/>
        <v>...</v>
      </c>
      <c r="N12768" t="s">
        <v>30</v>
      </c>
    </row>
    <row r="12769" spans="1:14" x14ac:dyDescent="0.25">
      <c r="A12769" t="s">
        <v>44</v>
      </c>
      <c r="B12769" t="s">
        <v>40</v>
      </c>
      <c r="C12769" t="s">
        <v>36</v>
      </c>
      <c r="D12769" t="s">
        <v>34</v>
      </c>
      <c r="E12769" t="s">
        <v>23</v>
      </c>
      <c r="F12769" t="s">
        <v>18</v>
      </c>
      <c r="G12769" s="1" t="str">
        <f t="shared" si="2918"/>
        <v>...</v>
      </c>
      <c r="H12769" s="1" t="str">
        <f t="shared" si="2918"/>
        <v>...</v>
      </c>
      <c r="I12769" s="1" t="str">
        <f t="shared" si="2918"/>
        <v>...</v>
      </c>
      <c r="J12769" s="1" t="str">
        <f t="shared" si="2918"/>
        <v>...</v>
      </c>
      <c r="K12769" s="1" t="str">
        <f t="shared" si="2918"/>
        <v>...</v>
      </c>
      <c r="L12769" s="1" t="str">
        <f t="shared" si="2918"/>
        <v>...</v>
      </c>
      <c r="M12769" s="1" t="str">
        <f t="shared" si="2918"/>
        <v>...</v>
      </c>
      <c r="N12769" t="s">
        <v>30</v>
      </c>
    </row>
    <row r="12770" spans="1:14" x14ac:dyDescent="0.25">
      <c r="A12770" t="s">
        <v>44</v>
      </c>
      <c r="B12770" t="s">
        <v>40</v>
      </c>
      <c r="C12770" t="s">
        <v>36</v>
      </c>
      <c r="D12770" t="s">
        <v>34</v>
      </c>
      <c r="E12770" t="s">
        <v>23</v>
      </c>
      <c r="F12770" t="s">
        <v>19</v>
      </c>
      <c r="G12770" s="1" t="str">
        <f t="shared" si="2918"/>
        <v>...</v>
      </c>
      <c r="H12770" s="1" t="str">
        <f t="shared" si="2918"/>
        <v>...</v>
      </c>
      <c r="I12770" s="1" t="str">
        <f t="shared" si="2918"/>
        <v>...</v>
      </c>
      <c r="J12770" s="1" t="str">
        <f t="shared" si="2918"/>
        <v>...</v>
      </c>
      <c r="K12770" s="1" t="str">
        <f t="shared" si="2918"/>
        <v>...</v>
      </c>
      <c r="L12770" s="1" t="str">
        <f t="shared" si="2918"/>
        <v>...</v>
      </c>
      <c r="M12770" s="1" t="str">
        <f t="shared" si="2918"/>
        <v>...</v>
      </c>
      <c r="N12770" t="s">
        <v>30</v>
      </c>
    </row>
    <row r="12771" spans="1:14" x14ac:dyDescent="0.25">
      <c r="A12771" t="s">
        <v>44</v>
      </c>
      <c r="B12771" t="s">
        <v>40</v>
      </c>
      <c r="C12771" t="s">
        <v>36</v>
      </c>
      <c r="D12771" t="s">
        <v>34</v>
      </c>
      <c r="E12771" t="s">
        <v>23</v>
      </c>
      <c r="F12771" t="s">
        <v>20</v>
      </c>
      <c r="G12771" s="1" t="str">
        <f t="shared" ref="G12771:M12771" si="2919">"X"</f>
        <v>X</v>
      </c>
      <c r="H12771" s="1" t="str">
        <f t="shared" si="2919"/>
        <v>X</v>
      </c>
      <c r="I12771" s="1" t="str">
        <f t="shared" si="2919"/>
        <v>X</v>
      </c>
      <c r="J12771" s="1" t="str">
        <f t="shared" si="2919"/>
        <v>X</v>
      </c>
      <c r="K12771" s="1" t="str">
        <f t="shared" si="2919"/>
        <v>X</v>
      </c>
      <c r="L12771" s="1" t="str">
        <f t="shared" si="2919"/>
        <v>X</v>
      </c>
      <c r="M12771" s="1" t="str">
        <f t="shared" si="2919"/>
        <v>X</v>
      </c>
      <c r="N12771" t="s">
        <v>27</v>
      </c>
    </row>
    <row r="12772" spans="1:14" x14ac:dyDescent="0.25">
      <c r="A12772" t="s">
        <v>44</v>
      </c>
      <c r="B12772" t="s">
        <v>40</v>
      </c>
      <c r="C12772" t="s">
        <v>36</v>
      </c>
      <c r="D12772" t="s">
        <v>34</v>
      </c>
      <c r="E12772" t="s">
        <v>26</v>
      </c>
      <c r="F12772" t="s">
        <v>15</v>
      </c>
      <c r="G12772" s="1" t="str">
        <f t="shared" ref="G12772:M12776" si="2920">"..."</f>
        <v>...</v>
      </c>
      <c r="H12772" s="1" t="str">
        <f t="shared" si="2920"/>
        <v>...</v>
      </c>
      <c r="I12772" s="1" t="str">
        <f t="shared" si="2920"/>
        <v>...</v>
      </c>
      <c r="J12772" s="1" t="str">
        <f t="shared" si="2920"/>
        <v>...</v>
      </c>
      <c r="K12772" s="1" t="str">
        <f t="shared" si="2920"/>
        <v>...</v>
      </c>
      <c r="L12772" s="1" t="str">
        <f t="shared" si="2920"/>
        <v>...</v>
      </c>
      <c r="M12772" s="1" t="str">
        <f t="shared" si="2920"/>
        <v>...</v>
      </c>
      <c r="N12772" t="s">
        <v>30</v>
      </c>
    </row>
    <row r="12773" spans="1:14" x14ac:dyDescent="0.25">
      <c r="A12773" t="s">
        <v>44</v>
      </c>
      <c r="B12773" t="s">
        <v>40</v>
      </c>
      <c r="C12773" t="s">
        <v>36</v>
      </c>
      <c r="D12773" t="s">
        <v>34</v>
      </c>
      <c r="E12773" t="s">
        <v>26</v>
      </c>
      <c r="F12773" t="s">
        <v>17</v>
      </c>
      <c r="G12773" s="1" t="str">
        <f t="shared" si="2920"/>
        <v>...</v>
      </c>
      <c r="H12773" s="1" t="str">
        <f t="shared" si="2920"/>
        <v>...</v>
      </c>
      <c r="I12773" s="1" t="str">
        <f t="shared" si="2920"/>
        <v>...</v>
      </c>
      <c r="J12773" s="1" t="str">
        <f t="shared" si="2920"/>
        <v>...</v>
      </c>
      <c r="K12773" s="1" t="str">
        <f t="shared" si="2920"/>
        <v>...</v>
      </c>
      <c r="L12773" s="1" t="str">
        <f t="shared" si="2920"/>
        <v>...</v>
      </c>
      <c r="M12773" s="1" t="str">
        <f t="shared" si="2920"/>
        <v>...</v>
      </c>
      <c r="N12773" t="s">
        <v>30</v>
      </c>
    </row>
    <row r="12774" spans="1:14" x14ac:dyDescent="0.25">
      <c r="A12774" t="s">
        <v>44</v>
      </c>
      <c r="B12774" t="s">
        <v>40</v>
      </c>
      <c r="C12774" t="s">
        <v>36</v>
      </c>
      <c r="D12774" t="s">
        <v>34</v>
      </c>
      <c r="E12774" t="s">
        <v>26</v>
      </c>
      <c r="F12774" t="s">
        <v>18</v>
      </c>
      <c r="G12774" s="1" t="str">
        <f t="shared" si="2920"/>
        <v>...</v>
      </c>
      <c r="H12774" s="1" t="str">
        <f t="shared" si="2920"/>
        <v>...</v>
      </c>
      <c r="I12774" s="1" t="str">
        <f t="shared" si="2920"/>
        <v>...</v>
      </c>
      <c r="J12774" s="1" t="str">
        <f t="shared" si="2920"/>
        <v>...</v>
      </c>
      <c r="K12774" s="1" t="str">
        <f t="shared" si="2920"/>
        <v>...</v>
      </c>
      <c r="L12774" s="1" t="str">
        <f t="shared" si="2920"/>
        <v>...</v>
      </c>
      <c r="M12774" s="1" t="str">
        <f t="shared" si="2920"/>
        <v>...</v>
      </c>
      <c r="N12774" t="s">
        <v>30</v>
      </c>
    </row>
    <row r="12775" spans="1:14" x14ac:dyDescent="0.25">
      <c r="A12775" t="s">
        <v>44</v>
      </c>
      <c r="B12775" t="s">
        <v>40</v>
      </c>
      <c r="C12775" t="s">
        <v>36</v>
      </c>
      <c r="D12775" t="s">
        <v>34</v>
      </c>
      <c r="E12775" t="s">
        <v>26</v>
      </c>
      <c r="F12775" t="s">
        <v>19</v>
      </c>
      <c r="G12775" s="1" t="str">
        <f t="shared" si="2920"/>
        <v>...</v>
      </c>
      <c r="H12775" s="1" t="str">
        <f t="shared" si="2920"/>
        <v>...</v>
      </c>
      <c r="I12775" s="1" t="str">
        <f t="shared" si="2920"/>
        <v>...</v>
      </c>
      <c r="J12775" s="1" t="str">
        <f t="shared" si="2920"/>
        <v>...</v>
      </c>
      <c r="K12775" s="1" t="str">
        <f t="shared" si="2920"/>
        <v>...</v>
      </c>
      <c r="L12775" s="1" t="str">
        <f t="shared" si="2920"/>
        <v>...</v>
      </c>
      <c r="M12775" s="1" t="str">
        <f t="shared" si="2920"/>
        <v>...</v>
      </c>
      <c r="N12775" t="s">
        <v>30</v>
      </c>
    </row>
    <row r="12776" spans="1:14" x14ac:dyDescent="0.25">
      <c r="A12776" t="s">
        <v>44</v>
      </c>
      <c r="B12776" t="s">
        <v>40</v>
      </c>
      <c r="C12776" t="s">
        <v>36</v>
      </c>
      <c r="D12776" t="s">
        <v>34</v>
      </c>
      <c r="E12776" t="s">
        <v>26</v>
      </c>
      <c r="F12776" t="s">
        <v>20</v>
      </c>
      <c r="G12776" s="1" t="str">
        <f t="shared" si="2920"/>
        <v>...</v>
      </c>
      <c r="H12776" s="1" t="str">
        <f t="shared" si="2920"/>
        <v>...</v>
      </c>
      <c r="I12776" s="1" t="str">
        <f t="shared" si="2920"/>
        <v>...</v>
      </c>
      <c r="J12776" s="1" t="str">
        <f t="shared" si="2920"/>
        <v>...</v>
      </c>
      <c r="K12776" s="1" t="str">
        <f t="shared" si="2920"/>
        <v>...</v>
      </c>
      <c r="L12776" s="1" t="str">
        <f t="shared" si="2920"/>
        <v>...</v>
      </c>
      <c r="M12776" s="1" t="str">
        <f t="shared" si="2920"/>
        <v>...</v>
      </c>
      <c r="N12776" t="s">
        <v>30</v>
      </c>
    </row>
    <row r="12777" spans="1:14" x14ac:dyDescent="0.25">
      <c r="A12777" t="s">
        <v>44</v>
      </c>
      <c r="B12777" t="s">
        <v>40</v>
      </c>
      <c r="C12777" t="s">
        <v>37</v>
      </c>
      <c r="D12777" t="s">
        <v>15</v>
      </c>
      <c r="E12777" t="s">
        <v>15</v>
      </c>
      <c r="F12777" t="s">
        <v>15</v>
      </c>
      <c r="G12777" s="1">
        <f>VALUE(22925.69)</f>
        <v>22925.69</v>
      </c>
      <c r="H12777" s="1">
        <f>VALUE(16694.2)</f>
        <v>16694.2</v>
      </c>
      <c r="I12777" s="1">
        <f>VALUE(3241)</f>
        <v>3241</v>
      </c>
      <c r="J12777" s="1">
        <f>VALUE(3783)</f>
        <v>3783</v>
      </c>
      <c r="K12777" s="1">
        <f>VALUE(4945)</f>
        <v>4945</v>
      </c>
      <c r="L12777" s="1">
        <f>VALUE(6499)</f>
        <v>6499</v>
      </c>
      <c r="M12777" s="1">
        <f>VALUE(8067)</f>
        <v>8067</v>
      </c>
      <c r="N12777" t="s">
        <v>16</v>
      </c>
    </row>
    <row r="12778" spans="1:14" x14ac:dyDescent="0.25">
      <c r="A12778" t="s">
        <v>44</v>
      </c>
      <c r="B12778" t="s">
        <v>40</v>
      </c>
      <c r="C12778" t="s">
        <v>37</v>
      </c>
      <c r="D12778" t="s">
        <v>15</v>
      </c>
      <c r="E12778" t="s">
        <v>15</v>
      </c>
      <c r="F12778" t="s">
        <v>17</v>
      </c>
      <c r="G12778" s="2">
        <f>VALUE(2422.67)</f>
        <v>2422.67</v>
      </c>
      <c r="H12778" s="3">
        <f>VALUE(2044.88)</f>
        <v>2044.88</v>
      </c>
      <c r="I12778" s="4">
        <f>VALUE(4549)</f>
        <v>4549</v>
      </c>
      <c r="J12778" s="1">
        <f>VALUE(5957)</f>
        <v>5957</v>
      </c>
      <c r="K12778" s="1">
        <f>VALUE(7095)</f>
        <v>7095</v>
      </c>
      <c r="L12778" s="7">
        <f>VALUE(9140)</f>
        <v>9140</v>
      </c>
      <c r="M12778" s="8">
        <f>VALUE(13207)</f>
        <v>13207</v>
      </c>
      <c r="N12778" t="s">
        <v>25</v>
      </c>
    </row>
    <row r="12779" spans="1:14" x14ac:dyDescent="0.25">
      <c r="A12779" t="s">
        <v>44</v>
      </c>
      <c r="B12779" t="s">
        <v>40</v>
      </c>
      <c r="C12779" t="s">
        <v>37</v>
      </c>
      <c r="D12779" t="s">
        <v>15</v>
      </c>
      <c r="E12779" t="s">
        <v>15</v>
      </c>
      <c r="F12779" t="s">
        <v>18</v>
      </c>
      <c r="G12779" s="2">
        <f>VALUE(2095.05)</f>
        <v>2095.0500000000002</v>
      </c>
      <c r="H12779" s="3">
        <f>VALUE(1665.26)</f>
        <v>1665.26</v>
      </c>
      <c r="I12779" s="4">
        <f>VALUE(4333)</f>
        <v>4333</v>
      </c>
      <c r="J12779" s="1">
        <f>VALUE(5207)</f>
        <v>5207</v>
      </c>
      <c r="K12779" s="1">
        <f>VALUE(6499)</f>
        <v>6499</v>
      </c>
      <c r="L12779" s="1">
        <f>VALUE(8021)</f>
        <v>8021</v>
      </c>
      <c r="M12779" s="1">
        <f>VALUE(10000)</f>
        <v>10000</v>
      </c>
      <c r="N12779" t="s">
        <v>25</v>
      </c>
    </row>
    <row r="12780" spans="1:14" x14ac:dyDescent="0.25">
      <c r="A12780" t="s">
        <v>44</v>
      </c>
      <c r="B12780" t="s">
        <v>40</v>
      </c>
      <c r="C12780" t="s">
        <v>37</v>
      </c>
      <c r="D12780" t="s">
        <v>15</v>
      </c>
      <c r="E12780" t="s">
        <v>15</v>
      </c>
      <c r="F12780" t="s">
        <v>19</v>
      </c>
      <c r="G12780" s="2">
        <f>VALUE(2362.88)</f>
        <v>2362.88</v>
      </c>
      <c r="H12780" s="1">
        <f>VALUE(1850.58)</f>
        <v>1850.58</v>
      </c>
      <c r="I12780" s="1">
        <f>VALUE(3508)</f>
        <v>3508</v>
      </c>
      <c r="J12780" s="1">
        <f>VALUE(4347)</f>
        <v>4347</v>
      </c>
      <c r="K12780" s="1">
        <f>VALUE(5416)</f>
        <v>5416</v>
      </c>
      <c r="L12780" s="1">
        <f>VALUE(6643)</f>
        <v>6643</v>
      </c>
      <c r="M12780" s="1">
        <f>VALUE(7740)</f>
        <v>7740</v>
      </c>
      <c r="N12780" t="s">
        <v>25</v>
      </c>
    </row>
    <row r="12781" spans="1:14" x14ac:dyDescent="0.25">
      <c r="A12781" t="s">
        <v>44</v>
      </c>
      <c r="B12781" t="s">
        <v>40</v>
      </c>
      <c r="C12781" t="s">
        <v>37</v>
      </c>
      <c r="D12781" t="s">
        <v>15</v>
      </c>
      <c r="E12781" t="s">
        <v>15</v>
      </c>
      <c r="F12781" t="s">
        <v>20</v>
      </c>
      <c r="G12781" s="1">
        <f>VALUE(16045.09)</f>
        <v>16045.09</v>
      </c>
      <c r="H12781" s="1">
        <f>VALUE(11133.48)</f>
        <v>11133.48</v>
      </c>
      <c r="I12781" s="1">
        <f>VALUE(3151)</f>
        <v>3151</v>
      </c>
      <c r="J12781" s="1">
        <f>VALUE(3518)</f>
        <v>3518</v>
      </c>
      <c r="K12781" s="1">
        <f>VALUE(4364)</f>
        <v>4364</v>
      </c>
      <c r="L12781" s="1">
        <f>VALUE(5583)</f>
        <v>5583</v>
      </c>
      <c r="M12781" s="1">
        <f>VALUE(6728)</f>
        <v>6728</v>
      </c>
      <c r="N12781" t="s">
        <v>16</v>
      </c>
    </row>
    <row r="12782" spans="1:14" x14ac:dyDescent="0.25">
      <c r="A12782" t="s">
        <v>44</v>
      </c>
      <c r="B12782" t="s">
        <v>40</v>
      </c>
      <c r="C12782" t="s">
        <v>37</v>
      </c>
      <c r="D12782" t="s">
        <v>15</v>
      </c>
      <c r="E12782" t="s">
        <v>21</v>
      </c>
      <c r="F12782" t="s">
        <v>15</v>
      </c>
      <c r="G12782" s="1">
        <f>VALUE(5880.1)</f>
        <v>5880.1</v>
      </c>
      <c r="H12782" s="3">
        <f>VALUE(4562.52)</f>
        <v>4562.5200000000004</v>
      </c>
      <c r="I12782" s="1">
        <f>VALUE(4486)</f>
        <v>4486</v>
      </c>
      <c r="J12782" s="1">
        <f>VALUE(5490)</f>
        <v>5490</v>
      </c>
      <c r="K12782" s="1">
        <f>VALUE(6705)</f>
        <v>6705</v>
      </c>
      <c r="L12782" s="1">
        <f>VALUE(8016)</f>
        <v>8016</v>
      </c>
      <c r="M12782" s="1">
        <f>VALUE(10473)</f>
        <v>10473</v>
      </c>
      <c r="N12782" t="s">
        <v>25</v>
      </c>
    </row>
    <row r="12783" spans="1:14" x14ac:dyDescent="0.25">
      <c r="A12783" t="s">
        <v>44</v>
      </c>
      <c r="B12783" t="s">
        <v>40</v>
      </c>
      <c r="C12783" t="s">
        <v>37</v>
      </c>
      <c r="D12783" t="s">
        <v>15</v>
      </c>
      <c r="E12783" t="s">
        <v>21</v>
      </c>
      <c r="F12783" t="s">
        <v>17</v>
      </c>
      <c r="G12783" s="2">
        <f>VALUE(1457.56)</f>
        <v>1457.56</v>
      </c>
      <c r="H12783" s="3">
        <f>VALUE(1214.83)</f>
        <v>1214.83</v>
      </c>
      <c r="I12783" s="4">
        <f>VALUE(5416)</f>
        <v>5416</v>
      </c>
      <c r="J12783" s="1">
        <f>VALUE(6282)</f>
        <v>6282</v>
      </c>
      <c r="K12783" s="1">
        <f>VALUE(7557)</f>
        <v>7557</v>
      </c>
      <c r="L12783" s="7">
        <f>VALUE(10421)</f>
        <v>10421</v>
      </c>
      <c r="M12783" s="8">
        <f>VALUE(15917)</f>
        <v>15917</v>
      </c>
      <c r="N12783" t="s">
        <v>25</v>
      </c>
    </row>
    <row r="12784" spans="1:14" x14ac:dyDescent="0.25">
      <c r="A12784" t="s">
        <v>44</v>
      </c>
      <c r="B12784" t="s">
        <v>40</v>
      </c>
      <c r="C12784" t="s">
        <v>37</v>
      </c>
      <c r="D12784" t="s">
        <v>15</v>
      </c>
      <c r="E12784" t="s">
        <v>21</v>
      </c>
      <c r="F12784" t="s">
        <v>18</v>
      </c>
      <c r="G12784" s="2">
        <f>VALUE(950.31)</f>
        <v>950.31</v>
      </c>
      <c r="H12784" s="3">
        <f>VALUE(813.95)</f>
        <v>813.95</v>
      </c>
      <c r="I12784" s="4">
        <f>VALUE(5189)</f>
        <v>5189</v>
      </c>
      <c r="J12784" s="5">
        <f>VALUE(5500)</f>
        <v>5500</v>
      </c>
      <c r="K12784" s="6">
        <f>VALUE(7239)</f>
        <v>7239</v>
      </c>
      <c r="L12784" s="7">
        <f>VALUE(8751)</f>
        <v>8751</v>
      </c>
      <c r="M12784" s="1">
        <f>VALUE(10692)</f>
        <v>10692</v>
      </c>
      <c r="N12784" t="s">
        <v>25</v>
      </c>
    </row>
    <row r="12785" spans="1:14" x14ac:dyDescent="0.25">
      <c r="A12785" t="s">
        <v>44</v>
      </c>
      <c r="B12785" t="s">
        <v>40</v>
      </c>
      <c r="C12785" t="s">
        <v>37</v>
      </c>
      <c r="D12785" t="s">
        <v>15</v>
      </c>
      <c r="E12785" t="s">
        <v>21</v>
      </c>
      <c r="F12785" t="s">
        <v>19</v>
      </c>
      <c r="G12785" s="2">
        <f>VALUE(710.43)</f>
        <v>710.43</v>
      </c>
      <c r="H12785" s="3">
        <f>VALUE(559.46)</f>
        <v>559.46</v>
      </c>
      <c r="I12785" s="4">
        <f>VALUE(4347)</f>
        <v>4347</v>
      </c>
      <c r="J12785" s="5">
        <f>VALUE(5416)</f>
        <v>5416</v>
      </c>
      <c r="K12785" s="1">
        <f>VALUE(6643)</f>
        <v>6643</v>
      </c>
      <c r="L12785" s="1">
        <f>VALUE(7269)</f>
        <v>7269</v>
      </c>
      <c r="M12785" s="1">
        <f>VALUE(8339)</f>
        <v>8339</v>
      </c>
      <c r="N12785" t="s">
        <v>25</v>
      </c>
    </row>
    <row r="12786" spans="1:14" x14ac:dyDescent="0.25">
      <c r="A12786" t="s">
        <v>44</v>
      </c>
      <c r="B12786" t="s">
        <v>40</v>
      </c>
      <c r="C12786" t="s">
        <v>37</v>
      </c>
      <c r="D12786" t="s">
        <v>15</v>
      </c>
      <c r="E12786" t="s">
        <v>21</v>
      </c>
      <c r="F12786" t="s">
        <v>20</v>
      </c>
      <c r="G12786" s="2">
        <f>VALUE(2761.8)</f>
        <v>2761.8</v>
      </c>
      <c r="H12786" s="3">
        <f>VALUE(1974.28)</f>
        <v>1974.28</v>
      </c>
      <c r="I12786" s="4">
        <f>VALUE(4104)</f>
        <v>4104</v>
      </c>
      <c r="J12786" s="1">
        <f>VALUE(4874)</f>
        <v>4874</v>
      </c>
      <c r="K12786" s="1">
        <f>VALUE(6067)</f>
        <v>6067</v>
      </c>
      <c r="L12786" s="1">
        <f>VALUE(6960)</f>
        <v>6960</v>
      </c>
      <c r="M12786" s="1">
        <f>VALUE(8188)</f>
        <v>8188</v>
      </c>
      <c r="N12786" t="s">
        <v>25</v>
      </c>
    </row>
    <row r="12787" spans="1:14" x14ac:dyDescent="0.25">
      <c r="A12787" t="s">
        <v>44</v>
      </c>
      <c r="B12787" t="s">
        <v>40</v>
      </c>
      <c r="C12787" t="s">
        <v>37</v>
      </c>
      <c r="D12787" t="s">
        <v>15</v>
      </c>
      <c r="E12787" t="s">
        <v>22</v>
      </c>
      <c r="F12787" t="s">
        <v>15</v>
      </c>
      <c r="G12787" s="1">
        <f>VALUE(9407.9)</f>
        <v>9407.9</v>
      </c>
      <c r="H12787" s="1">
        <f>VALUE(6838.94)</f>
        <v>6838.94</v>
      </c>
      <c r="I12787" s="1">
        <f>VALUE(3600)</f>
        <v>3600</v>
      </c>
      <c r="J12787" s="1">
        <f>VALUE(4332)</f>
        <v>4332</v>
      </c>
      <c r="K12787" s="1">
        <f>VALUE(5259)</f>
        <v>5259</v>
      </c>
      <c r="L12787" s="1">
        <f>VALUE(6307)</f>
        <v>6307</v>
      </c>
      <c r="M12787" s="1">
        <f>VALUE(7592)</f>
        <v>7592</v>
      </c>
      <c r="N12787" t="s">
        <v>16</v>
      </c>
    </row>
    <row r="12788" spans="1:14" x14ac:dyDescent="0.25">
      <c r="A12788" t="s">
        <v>44</v>
      </c>
      <c r="B12788" t="s">
        <v>40</v>
      </c>
      <c r="C12788" t="s">
        <v>37</v>
      </c>
      <c r="D12788" t="s">
        <v>15</v>
      </c>
      <c r="E12788" t="s">
        <v>22</v>
      </c>
      <c r="F12788" t="s">
        <v>17</v>
      </c>
      <c r="G12788" s="2">
        <f>VALUE(897.21)</f>
        <v>897.21</v>
      </c>
      <c r="H12788" s="3">
        <f>VALUE(768.54)</f>
        <v>768.54</v>
      </c>
      <c r="I12788" s="4">
        <f>VALUE(4063)</f>
        <v>4063</v>
      </c>
      <c r="J12788" s="5">
        <f>VALUE(5158)</f>
        <v>5158</v>
      </c>
      <c r="K12788" s="1">
        <f>VALUE(6628)</f>
        <v>6628</v>
      </c>
      <c r="L12788" s="7">
        <f>VALUE(8474)</f>
        <v>8474</v>
      </c>
      <c r="M12788" s="8">
        <f>VALUE(10290)</f>
        <v>10290</v>
      </c>
      <c r="N12788" t="s">
        <v>25</v>
      </c>
    </row>
    <row r="12789" spans="1:14" x14ac:dyDescent="0.25">
      <c r="A12789" t="s">
        <v>44</v>
      </c>
      <c r="B12789" t="s">
        <v>40</v>
      </c>
      <c r="C12789" t="s">
        <v>37</v>
      </c>
      <c r="D12789" t="s">
        <v>15</v>
      </c>
      <c r="E12789" t="s">
        <v>22</v>
      </c>
      <c r="F12789" t="s">
        <v>18</v>
      </c>
      <c r="G12789" s="2">
        <f>VALUE(944.38)</f>
        <v>944.38</v>
      </c>
      <c r="H12789" s="3">
        <f>VALUE(685.86)</f>
        <v>685.86</v>
      </c>
      <c r="I12789" s="4">
        <f>VALUE(4043)</f>
        <v>4043</v>
      </c>
      <c r="J12789" s="1">
        <f>VALUE(5012)</f>
        <v>5012</v>
      </c>
      <c r="K12789" s="1">
        <f>VALUE(6413)</f>
        <v>6413</v>
      </c>
      <c r="L12789" s="1">
        <f>VALUE(7597)</f>
        <v>7597</v>
      </c>
      <c r="M12789" s="1">
        <f>VALUE(9019)</f>
        <v>9019</v>
      </c>
      <c r="N12789" t="s">
        <v>25</v>
      </c>
    </row>
    <row r="12790" spans="1:14" x14ac:dyDescent="0.25">
      <c r="A12790" t="s">
        <v>44</v>
      </c>
      <c r="B12790" t="s">
        <v>40</v>
      </c>
      <c r="C12790" t="s">
        <v>37</v>
      </c>
      <c r="D12790" t="s">
        <v>15</v>
      </c>
      <c r="E12790" t="s">
        <v>22</v>
      </c>
      <c r="F12790" t="s">
        <v>19</v>
      </c>
      <c r="G12790" s="2">
        <f>VALUE(1280.51)</f>
        <v>1280.51</v>
      </c>
      <c r="H12790" s="3">
        <f>VALUE(967.4)</f>
        <v>967.4</v>
      </c>
      <c r="I12790" s="4">
        <f>VALUE(3696)</f>
        <v>3696</v>
      </c>
      <c r="J12790" s="1">
        <f>VALUE(4400)</f>
        <v>4400</v>
      </c>
      <c r="K12790" s="1">
        <f>VALUE(5373)</f>
        <v>5373</v>
      </c>
      <c r="L12790" s="1">
        <f>VALUE(6282)</f>
        <v>6282</v>
      </c>
      <c r="M12790" s="1">
        <f>VALUE(7347)</f>
        <v>7347</v>
      </c>
      <c r="N12790" t="s">
        <v>25</v>
      </c>
    </row>
    <row r="12791" spans="1:14" x14ac:dyDescent="0.25">
      <c r="A12791" t="s">
        <v>44</v>
      </c>
      <c r="B12791" t="s">
        <v>40</v>
      </c>
      <c r="C12791" t="s">
        <v>37</v>
      </c>
      <c r="D12791" t="s">
        <v>15</v>
      </c>
      <c r="E12791" t="s">
        <v>22</v>
      </c>
      <c r="F12791" t="s">
        <v>20</v>
      </c>
      <c r="G12791" s="1">
        <f>VALUE(6285.8)</f>
        <v>6285.8</v>
      </c>
      <c r="H12791" s="1">
        <f>VALUE(4417.14)</f>
        <v>4417.1400000000003</v>
      </c>
      <c r="I12791" s="1">
        <f>VALUE(3477)</f>
        <v>3477</v>
      </c>
      <c r="J12791" s="1">
        <f>VALUE(4145)</f>
        <v>4145</v>
      </c>
      <c r="K12791" s="1">
        <f>VALUE(5046)</f>
        <v>5046</v>
      </c>
      <c r="L12791" s="1">
        <f>VALUE(5854)</f>
        <v>5854</v>
      </c>
      <c r="M12791" s="1">
        <f>VALUE(6766)</f>
        <v>6766</v>
      </c>
      <c r="N12791" t="s">
        <v>16</v>
      </c>
    </row>
    <row r="12792" spans="1:14" x14ac:dyDescent="0.25">
      <c r="A12792" t="s">
        <v>44</v>
      </c>
      <c r="B12792" t="s">
        <v>40</v>
      </c>
      <c r="C12792" t="s">
        <v>37</v>
      </c>
      <c r="D12792" t="s">
        <v>15</v>
      </c>
      <c r="E12792" t="s">
        <v>23</v>
      </c>
      <c r="F12792" t="s">
        <v>15</v>
      </c>
      <c r="G12792" s="1">
        <f>VALUE(7469.09)</f>
        <v>7469.09</v>
      </c>
      <c r="H12792" s="1">
        <f>VALUE(5156.52)</f>
        <v>5156.5200000000004</v>
      </c>
      <c r="I12792" s="1">
        <f>VALUE(3010)</f>
        <v>3010</v>
      </c>
      <c r="J12792" s="1">
        <f>VALUE(3249)</f>
        <v>3249</v>
      </c>
      <c r="K12792" s="1">
        <f>VALUE(3610)</f>
        <v>3610</v>
      </c>
      <c r="L12792" s="1">
        <f>VALUE(4189)</f>
        <v>4189</v>
      </c>
      <c r="M12792" s="1">
        <f>VALUE(4792)</f>
        <v>4792</v>
      </c>
      <c r="N12792" t="s">
        <v>16</v>
      </c>
    </row>
    <row r="12793" spans="1:14" x14ac:dyDescent="0.25">
      <c r="A12793" t="s">
        <v>44</v>
      </c>
      <c r="B12793" t="s">
        <v>40</v>
      </c>
      <c r="C12793" t="s">
        <v>37</v>
      </c>
      <c r="D12793" t="s">
        <v>15</v>
      </c>
      <c r="E12793" t="s">
        <v>23</v>
      </c>
      <c r="F12793" t="s">
        <v>17</v>
      </c>
      <c r="G12793" s="1" t="str">
        <f t="shared" ref="G12793:M12794" si="2921">"X"</f>
        <v>X</v>
      </c>
      <c r="H12793" s="1" t="str">
        <f t="shared" si="2921"/>
        <v>X</v>
      </c>
      <c r="I12793" s="1" t="str">
        <f t="shared" si="2921"/>
        <v>X</v>
      </c>
      <c r="J12793" s="1" t="str">
        <f t="shared" si="2921"/>
        <v>X</v>
      </c>
      <c r="K12793" s="1" t="str">
        <f t="shared" si="2921"/>
        <v>X</v>
      </c>
      <c r="L12793" s="1" t="str">
        <f t="shared" si="2921"/>
        <v>X</v>
      </c>
      <c r="M12793" s="1" t="str">
        <f t="shared" si="2921"/>
        <v>X</v>
      </c>
      <c r="N12793" t="s">
        <v>27</v>
      </c>
    </row>
    <row r="12794" spans="1:14" x14ac:dyDescent="0.25">
      <c r="A12794" t="s">
        <v>44</v>
      </c>
      <c r="B12794" t="s">
        <v>40</v>
      </c>
      <c r="C12794" t="s">
        <v>37</v>
      </c>
      <c r="D12794" t="s">
        <v>15</v>
      </c>
      <c r="E12794" t="s">
        <v>23</v>
      </c>
      <c r="F12794" t="s">
        <v>18</v>
      </c>
      <c r="G12794" s="1" t="str">
        <f t="shared" si="2921"/>
        <v>X</v>
      </c>
      <c r="H12794" s="1" t="str">
        <f t="shared" si="2921"/>
        <v>X</v>
      </c>
      <c r="I12794" s="1" t="str">
        <f t="shared" si="2921"/>
        <v>X</v>
      </c>
      <c r="J12794" s="1" t="str">
        <f t="shared" si="2921"/>
        <v>X</v>
      </c>
      <c r="K12794" s="1" t="str">
        <f t="shared" si="2921"/>
        <v>X</v>
      </c>
      <c r="L12794" s="1" t="str">
        <f t="shared" si="2921"/>
        <v>X</v>
      </c>
      <c r="M12794" s="1" t="str">
        <f t="shared" si="2921"/>
        <v>X</v>
      </c>
      <c r="N12794" t="s">
        <v>27</v>
      </c>
    </row>
    <row r="12795" spans="1:14" x14ac:dyDescent="0.25">
      <c r="A12795" t="s">
        <v>44</v>
      </c>
      <c r="B12795" t="s">
        <v>40</v>
      </c>
      <c r="C12795" t="s">
        <v>37</v>
      </c>
      <c r="D12795" t="s">
        <v>15</v>
      </c>
      <c r="E12795" t="s">
        <v>23</v>
      </c>
      <c r="F12795" t="s">
        <v>19</v>
      </c>
      <c r="G12795" s="2">
        <f>VALUE(371.94)</f>
        <v>371.94</v>
      </c>
      <c r="H12795" s="3">
        <f>VALUE(323.72)</f>
        <v>323.72000000000003</v>
      </c>
      <c r="I12795" s="4">
        <f>VALUE(3177)</f>
        <v>3177</v>
      </c>
      <c r="J12795" s="5">
        <f>VALUE(3277)</f>
        <v>3277</v>
      </c>
      <c r="K12795" s="1">
        <f>VALUE(4178)</f>
        <v>4178</v>
      </c>
      <c r="L12795" s="1">
        <f>VALUE(4756)</f>
        <v>4756</v>
      </c>
      <c r="M12795" s="1">
        <f>VALUE(5904)</f>
        <v>5904</v>
      </c>
      <c r="N12795" t="s">
        <v>25</v>
      </c>
    </row>
    <row r="12796" spans="1:14" x14ac:dyDescent="0.25">
      <c r="A12796" t="s">
        <v>44</v>
      </c>
      <c r="B12796" t="s">
        <v>40</v>
      </c>
      <c r="C12796" t="s">
        <v>37</v>
      </c>
      <c r="D12796" t="s">
        <v>15</v>
      </c>
      <c r="E12796" t="s">
        <v>23</v>
      </c>
      <c r="F12796" t="s">
        <v>20</v>
      </c>
      <c r="G12796" s="1">
        <f>VALUE(6900.52)</f>
        <v>6900.52</v>
      </c>
      <c r="H12796" s="1">
        <f>VALUE(4665.07)</f>
        <v>4665.07</v>
      </c>
      <c r="I12796" s="1">
        <f>VALUE(2999)</f>
        <v>2999</v>
      </c>
      <c r="J12796" s="1">
        <f>VALUE(3247)</f>
        <v>3247</v>
      </c>
      <c r="K12796" s="1">
        <f>VALUE(3569)</f>
        <v>3569</v>
      </c>
      <c r="L12796" s="1">
        <f>VALUE(4117)</f>
        <v>4117</v>
      </c>
      <c r="M12796" s="1">
        <f>VALUE(4657)</f>
        <v>4657</v>
      </c>
      <c r="N12796" t="s">
        <v>16</v>
      </c>
    </row>
    <row r="12797" spans="1:14" x14ac:dyDescent="0.25">
      <c r="A12797" t="s">
        <v>44</v>
      </c>
      <c r="B12797" t="s">
        <v>40</v>
      </c>
      <c r="C12797" t="s">
        <v>37</v>
      </c>
      <c r="D12797" t="s">
        <v>15</v>
      </c>
      <c r="E12797" t="s">
        <v>26</v>
      </c>
      <c r="F12797" t="s">
        <v>15</v>
      </c>
      <c r="G12797" s="1" t="str">
        <f t="shared" ref="G12797:M12799" si="2922">"X"</f>
        <v>X</v>
      </c>
      <c r="H12797" s="1" t="str">
        <f t="shared" si="2922"/>
        <v>X</v>
      </c>
      <c r="I12797" s="1" t="str">
        <f t="shared" si="2922"/>
        <v>X</v>
      </c>
      <c r="J12797" s="1" t="str">
        <f t="shared" si="2922"/>
        <v>X</v>
      </c>
      <c r="K12797" s="1" t="str">
        <f t="shared" si="2922"/>
        <v>X</v>
      </c>
      <c r="L12797" s="1" t="str">
        <f t="shared" si="2922"/>
        <v>X</v>
      </c>
      <c r="M12797" s="1" t="str">
        <f t="shared" si="2922"/>
        <v>X</v>
      </c>
      <c r="N12797" t="s">
        <v>27</v>
      </c>
    </row>
    <row r="12798" spans="1:14" x14ac:dyDescent="0.25">
      <c r="A12798" t="s">
        <v>44</v>
      </c>
      <c r="B12798" t="s">
        <v>40</v>
      </c>
      <c r="C12798" t="s">
        <v>37</v>
      </c>
      <c r="D12798" t="s">
        <v>15</v>
      </c>
      <c r="E12798" t="s">
        <v>26</v>
      </c>
      <c r="F12798" t="s">
        <v>17</v>
      </c>
      <c r="G12798" s="1" t="str">
        <f t="shared" si="2922"/>
        <v>X</v>
      </c>
      <c r="H12798" s="1" t="str">
        <f t="shared" si="2922"/>
        <v>X</v>
      </c>
      <c r="I12798" s="1" t="str">
        <f t="shared" si="2922"/>
        <v>X</v>
      </c>
      <c r="J12798" s="1" t="str">
        <f t="shared" si="2922"/>
        <v>X</v>
      </c>
      <c r="K12798" s="1" t="str">
        <f t="shared" si="2922"/>
        <v>X</v>
      </c>
      <c r="L12798" s="1" t="str">
        <f t="shared" si="2922"/>
        <v>X</v>
      </c>
      <c r="M12798" s="1" t="str">
        <f t="shared" si="2922"/>
        <v>X</v>
      </c>
      <c r="N12798" t="s">
        <v>27</v>
      </c>
    </row>
    <row r="12799" spans="1:14" x14ac:dyDescent="0.25">
      <c r="A12799" t="s">
        <v>44</v>
      </c>
      <c r="B12799" t="s">
        <v>40</v>
      </c>
      <c r="C12799" t="s">
        <v>37</v>
      </c>
      <c r="D12799" t="s">
        <v>15</v>
      </c>
      <c r="E12799" t="s">
        <v>26</v>
      </c>
      <c r="F12799" t="s">
        <v>18</v>
      </c>
      <c r="G12799" s="1" t="str">
        <f t="shared" si="2922"/>
        <v>X</v>
      </c>
      <c r="H12799" s="1" t="str">
        <f t="shared" si="2922"/>
        <v>X</v>
      </c>
      <c r="I12799" s="1" t="str">
        <f t="shared" si="2922"/>
        <v>X</v>
      </c>
      <c r="J12799" s="1" t="str">
        <f t="shared" si="2922"/>
        <v>X</v>
      </c>
      <c r="K12799" s="1" t="str">
        <f t="shared" si="2922"/>
        <v>X</v>
      </c>
      <c r="L12799" s="1" t="str">
        <f t="shared" si="2922"/>
        <v>X</v>
      </c>
      <c r="M12799" s="1" t="str">
        <f t="shared" si="2922"/>
        <v>X</v>
      </c>
      <c r="N12799" t="s">
        <v>27</v>
      </c>
    </row>
    <row r="12800" spans="1:14" x14ac:dyDescent="0.25">
      <c r="A12800" t="s">
        <v>44</v>
      </c>
      <c r="B12800" t="s">
        <v>40</v>
      </c>
      <c r="C12800" t="s">
        <v>37</v>
      </c>
      <c r="D12800" t="s">
        <v>15</v>
      </c>
      <c r="E12800" t="s">
        <v>26</v>
      </c>
      <c r="F12800" t="s">
        <v>19</v>
      </c>
      <c r="G12800" s="1" t="str">
        <f t="shared" ref="G12800:M12800" si="2923">"..."</f>
        <v>...</v>
      </c>
      <c r="H12800" s="1" t="str">
        <f t="shared" si="2923"/>
        <v>...</v>
      </c>
      <c r="I12800" s="1" t="str">
        <f t="shared" si="2923"/>
        <v>...</v>
      </c>
      <c r="J12800" s="1" t="str">
        <f t="shared" si="2923"/>
        <v>...</v>
      </c>
      <c r="K12800" s="1" t="str">
        <f t="shared" si="2923"/>
        <v>...</v>
      </c>
      <c r="L12800" s="1" t="str">
        <f t="shared" si="2923"/>
        <v>...</v>
      </c>
      <c r="M12800" s="1" t="str">
        <f t="shared" si="2923"/>
        <v>...</v>
      </c>
      <c r="N12800" t="s">
        <v>30</v>
      </c>
    </row>
    <row r="12801" spans="1:14" x14ac:dyDescent="0.25">
      <c r="A12801" t="s">
        <v>44</v>
      </c>
      <c r="B12801" t="s">
        <v>40</v>
      </c>
      <c r="C12801" t="s">
        <v>37</v>
      </c>
      <c r="D12801" t="s">
        <v>15</v>
      </c>
      <c r="E12801" t="s">
        <v>26</v>
      </c>
      <c r="F12801" t="s">
        <v>20</v>
      </c>
      <c r="G12801" s="1" t="str">
        <f t="shared" ref="G12801:M12801" si="2924">"X"</f>
        <v>X</v>
      </c>
      <c r="H12801" s="1" t="str">
        <f t="shared" si="2924"/>
        <v>X</v>
      </c>
      <c r="I12801" s="1" t="str">
        <f t="shared" si="2924"/>
        <v>X</v>
      </c>
      <c r="J12801" s="1" t="str">
        <f t="shared" si="2924"/>
        <v>X</v>
      </c>
      <c r="K12801" s="1" t="str">
        <f t="shared" si="2924"/>
        <v>X</v>
      </c>
      <c r="L12801" s="1" t="str">
        <f t="shared" si="2924"/>
        <v>X</v>
      </c>
      <c r="M12801" s="1" t="str">
        <f t="shared" si="2924"/>
        <v>X</v>
      </c>
      <c r="N12801" t="s">
        <v>27</v>
      </c>
    </row>
    <row r="12802" spans="1:14" x14ac:dyDescent="0.25">
      <c r="A12802" t="s">
        <v>44</v>
      </c>
      <c r="B12802" t="s">
        <v>40</v>
      </c>
      <c r="C12802" t="s">
        <v>37</v>
      </c>
      <c r="D12802" t="s">
        <v>28</v>
      </c>
      <c r="E12802" t="s">
        <v>15</v>
      </c>
      <c r="F12802" t="s">
        <v>15</v>
      </c>
      <c r="G12802" s="1">
        <f>VALUE(9662.72)</f>
        <v>9662.7199999999993</v>
      </c>
      <c r="H12802" s="1">
        <f>VALUE(6268.66)</f>
        <v>6268.66</v>
      </c>
      <c r="I12802" s="1">
        <f>VALUE(3899)</f>
        <v>3899</v>
      </c>
      <c r="J12802" s="1">
        <f>VALUE(4634)</f>
        <v>4634</v>
      </c>
      <c r="K12802" s="1">
        <f>VALUE(5828)</f>
        <v>5828</v>
      </c>
      <c r="L12802" s="1">
        <f>VALUE(7081)</f>
        <v>7081</v>
      </c>
      <c r="M12802" s="1">
        <f>VALUE(8667)</f>
        <v>8667</v>
      </c>
      <c r="N12802" t="s">
        <v>16</v>
      </c>
    </row>
    <row r="12803" spans="1:14" x14ac:dyDescent="0.25">
      <c r="A12803" t="s">
        <v>44</v>
      </c>
      <c r="B12803" t="s">
        <v>40</v>
      </c>
      <c r="C12803" t="s">
        <v>37</v>
      </c>
      <c r="D12803" t="s">
        <v>28</v>
      </c>
      <c r="E12803" t="s">
        <v>15</v>
      </c>
      <c r="F12803" t="s">
        <v>17</v>
      </c>
      <c r="G12803" s="2">
        <f>VALUE(1408.02)</f>
        <v>1408.02</v>
      </c>
      <c r="H12803" s="3">
        <f>VALUE(1096.1)</f>
        <v>1096.0999999999999</v>
      </c>
      <c r="I12803" s="4">
        <f>VALUE(5415)</f>
        <v>5415</v>
      </c>
      <c r="J12803" s="5">
        <f>VALUE(6174)</f>
        <v>6174</v>
      </c>
      <c r="K12803" s="6">
        <f>VALUE(7095)</f>
        <v>7095</v>
      </c>
      <c r="L12803" s="7">
        <f>VALUE(8667)</f>
        <v>8667</v>
      </c>
      <c r="M12803" s="8">
        <f>VALUE(11965)</f>
        <v>11965</v>
      </c>
      <c r="N12803" t="s">
        <v>24</v>
      </c>
    </row>
    <row r="12804" spans="1:14" x14ac:dyDescent="0.25">
      <c r="A12804" t="s">
        <v>44</v>
      </c>
      <c r="B12804" t="s">
        <v>40</v>
      </c>
      <c r="C12804" t="s">
        <v>37</v>
      </c>
      <c r="D12804" t="s">
        <v>28</v>
      </c>
      <c r="E12804" t="s">
        <v>15</v>
      </c>
      <c r="F12804" t="s">
        <v>18</v>
      </c>
      <c r="G12804" s="2">
        <f>VALUE(1105.9)</f>
        <v>1105.9000000000001</v>
      </c>
      <c r="H12804" s="3">
        <f>VALUE(781.25)</f>
        <v>781.25</v>
      </c>
      <c r="I12804" s="4">
        <f>VALUE(4392)</f>
        <v>4392</v>
      </c>
      <c r="J12804" s="1">
        <f>VALUE(5554)</f>
        <v>5554</v>
      </c>
      <c r="K12804" s="1">
        <f>VALUE(7141)</f>
        <v>7141</v>
      </c>
      <c r="L12804" s="1">
        <f>VALUE(8447)</f>
        <v>8447</v>
      </c>
      <c r="M12804" s="1">
        <f>VALUE(10426)</f>
        <v>10426</v>
      </c>
      <c r="N12804" t="s">
        <v>25</v>
      </c>
    </row>
    <row r="12805" spans="1:14" x14ac:dyDescent="0.25">
      <c r="A12805" t="s">
        <v>44</v>
      </c>
      <c r="B12805" t="s">
        <v>40</v>
      </c>
      <c r="C12805" t="s">
        <v>37</v>
      </c>
      <c r="D12805" t="s">
        <v>28</v>
      </c>
      <c r="E12805" t="s">
        <v>15</v>
      </c>
      <c r="F12805" t="s">
        <v>19</v>
      </c>
      <c r="G12805" s="2">
        <f>VALUE(1060.69)</f>
        <v>1060.69</v>
      </c>
      <c r="H12805" s="3">
        <f>VALUE(715.96)</f>
        <v>715.96</v>
      </c>
      <c r="I12805" s="4">
        <f>VALUE(3902)</f>
        <v>3902</v>
      </c>
      <c r="J12805" s="1">
        <f>VALUE(4739)</f>
        <v>4739</v>
      </c>
      <c r="K12805" s="1">
        <f>VALUE(5957)</f>
        <v>5957</v>
      </c>
      <c r="L12805" s="1">
        <f>VALUE(6748)</f>
        <v>6748</v>
      </c>
      <c r="M12805" s="1">
        <f>VALUE(8234)</f>
        <v>8234</v>
      </c>
      <c r="N12805" t="s">
        <v>25</v>
      </c>
    </row>
    <row r="12806" spans="1:14" x14ac:dyDescent="0.25">
      <c r="A12806" t="s">
        <v>44</v>
      </c>
      <c r="B12806" t="s">
        <v>40</v>
      </c>
      <c r="C12806" t="s">
        <v>37</v>
      </c>
      <c r="D12806" t="s">
        <v>28</v>
      </c>
      <c r="E12806" t="s">
        <v>15</v>
      </c>
      <c r="F12806" t="s">
        <v>20</v>
      </c>
      <c r="G12806" s="1">
        <f>VALUE(6088.11)</f>
        <v>6088.11</v>
      </c>
      <c r="H12806" s="1">
        <f>VALUE(3675.35)</f>
        <v>3675.35</v>
      </c>
      <c r="I12806" s="1">
        <f>VALUE(3659)</f>
        <v>3659</v>
      </c>
      <c r="J12806" s="1">
        <f>VALUE(4345)</f>
        <v>4345</v>
      </c>
      <c r="K12806" s="1">
        <f>VALUE(5290)</f>
        <v>5290</v>
      </c>
      <c r="L12806" s="1">
        <f>VALUE(6223)</f>
        <v>6223</v>
      </c>
      <c r="M12806" s="1">
        <f>VALUE(7328)</f>
        <v>7328</v>
      </c>
      <c r="N12806" t="s">
        <v>16</v>
      </c>
    </row>
    <row r="12807" spans="1:14" x14ac:dyDescent="0.25">
      <c r="A12807" t="s">
        <v>44</v>
      </c>
      <c r="B12807" t="s">
        <v>40</v>
      </c>
      <c r="C12807" t="s">
        <v>37</v>
      </c>
      <c r="D12807" t="s">
        <v>28</v>
      </c>
      <c r="E12807" t="s">
        <v>21</v>
      </c>
      <c r="F12807" t="s">
        <v>15</v>
      </c>
      <c r="G12807" s="2">
        <f>VALUE(2619.33)</f>
        <v>2619.33</v>
      </c>
      <c r="H12807" s="3">
        <f>VALUE(1741.3)</f>
        <v>1741.3</v>
      </c>
      <c r="I12807" s="1">
        <f>VALUE(4945)</f>
        <v>4945</v>
      </c>
      <c r="J12807" s="1">
        <f>VALUE(5949)</f>
        <v>5949</v>
      </c>
      <c r="K12807" s="1">
        <f>VALUE(7004)</f>
        <v>7004</v>
      </c>
      <c r="L12807" s="1">
        <f>VALUE(8339)</f>
        <v>8339</v>
      </c>
      <c r="M12807" s="8">
        <f>VALUE(10909)</f>
        <v>10909</v>
      </c>
      <c r="N12807" t="s">
        <v>25</v>
      </c>
    </row>
    <row r="12808" spans="1:14" x14ac:dyDescent="0.25">
      <c r="A12808" t="s">
        <v>44</v>
      </c>
      <c r="B12808" t="s">
        <v>40</v>
      </c>
      <c r="C12808" t="s">
        <v>37</v>
      </c>
      <c r="D12808" t="s">
        <v>28</v>
      </c>
      <c r="E12808" t="s">
        <v>21</v>
      </c>
      <c r="F12808" t="s">
        <v>17</v>
      </c>
      <c r="G12808" s="2">
        <f>VALUE(830.23)</f>
        <v>830.23</v>
      </c>
      <c r="H12808" s="3">
        <f>VALUE(625.64)</f>
        <v>625.64</v>
      </c>
      <c r="I12808" s="4">
        <f>VALUE(5556)</f>
        <v>5556</v>
      </c>
      <c r="J12808" s="5">
        <f>VALUE(6174)</f>
        <v>6174</v>
      </c>
      <c r="K12808" s="1">
        <f>VALUE(7508)</f>
        <v>7508</v>
      </c>
      <c r="L12808" s="7">
        <f>VALUE(9431)</f>
        <v>9431</v>
      </c>
      <c r="M12808" s="8">
        <f>VALUE(14287)</f>
        <v>14287</v>
      </c>
      <c r="N12808" t="s">
        <v>25</v>
      </c>
    </row>
    <row r="12809" spans="1:14" x14ac:dyDescent="0.25">
      <c r="A12809" t="s">
        <v>44</v>
      </c>
      <c r="B12809" t="s">
        <v>40</v>
      </c>
      <c r="C12809" t="s">
        <v>37</v>
      </c>
      <c r="D12809" t="s">
        <v>28</v>
      </c>
      <c r="E12809" t="s">
        <v>21</v>
      </c>
      <c r="F12809" t="s">
        <v>18</v>
      </c>
      <c r="G12809" s="2">
        <f>VALUE(377.62)</f>
        <v>377.62</v>
      </c>
      <c r="H12809" s="3">
        <f>VALUE(292.76)</f>
        <v>292.76</v>
      </c>
      <c r="I12809" s="1">
        <f>VALUE(5554)</f>
        <v>5554</v>
      </c>
      <c r="J12809" s="1">
        <f>VALUE(6484)</f>
        <v>6484</v>
      </c>
      <c r="K12809" s="1">
        <f>VALUE(7982)</f>
        <v>7982</v>
      </c>
      <c r="L12809" s="1">
        <f>VALUE(9873)</f>
        <v>9873</v>
      </c>
      <c r="M12809" s="1">
        <f>VALUE(11455)</f>
        <v>11455</v>
      </c>
      <c r="N12809" t="s">
        <v>25</v>
      </c>
    </row>
    <row r="12810" spans="1:14" x14ac:dyDescent="0.25">
      <c r="A12810" t="s">
        <v>44</v>
      </c>
      <c r="B12810" t="s">
        <v>40</v>
      </c>
      <c r="C12810" t="s">
        <v>37</v>
      </c>
      <c r="D12810" t="s">
        <v>28</v>
      </c>
      <c r="E12810" t="s">
        <v>21</v>
      </c>
      <c r="F12810" t="s">
        <v>19</v>
      </c>
      <c r="G12810" s="2">
        <f>VALUE(249.67)</f>
        <v>249.67</v>
      </c>
      <c r="H12810" s="3">
        <f>VALUE(163)</f>
        <v>163</v>
      </c>
      <c r="I12810" s="1">
        <f>VALUE(4547)</f>
        <v>4547</v>
      </c>
      <c r="J12810" s="5">
        <f>VALUE(5123)</f>
        <v>5123</v>
      </c>
      <c r="K12810" s="6">
        <f>VALUE(6601)</f>
        <v>6601</v>
      </c>
      <c r="L12810" s="1">
        <f>VALUE(7970)</f>
        <v>7970</v>
      </c>
      <c r="M12810" s="1">
        <f>VALUE(8870)</f>
        <v>8870</v>
      </c>
      <c r="N12810" t="s">
        <v>25</v>
      </c>
    </row>
    <row r="12811" spans="1:14" x14ac:dyDescent="0.25">
      <c r="A12811" t="s">
        <v>44</v>
      </c>
      <c r="B12811" t="s">
        <v>40</v>
      </c>
      <c r="C12811" t="s">
        <v>37</v>
      </c>
      <c r="D12811" t="s">
        <v>28</v>
      </c>
      <c r="E12811" t="s">
        <v>21</v>
      </c>
      <c r="F12811" t="s">
        <v>20</v>
      </c>
      <c r="G12811" s="2">
        <f>VALUE(1161.81)</f>
        <v>1161.81</v>
      </c>
      <c r="H12811" s="3">
        <f>VALUE(659.9)</f>
        <v>659.9</v>
      </c>
      <c r="I12811" s="4">
        <f>VALUE(4820)</f>
        <v>4820</v>
      </c>
      <c r="J12811" s="1">
        <f>VALUE(5433)</f>
        <v>5433</v>
      </c>
      <c r="K12811" s="1">
        <f>VALUE(6395)</f>
        <v>6395</v>
      </c>
      <c r="L12811" s="1">
        <f>VALUE(7493)</f>
        <v>7493</v>
      </c>
      <c r="M12811" s="1">
        <f>VALUE(8647)</f>
        <v>8647</v>
      </c>
      <c r="N12811" t="s">
        <v>25</v>
      </c>
    </row>
    <row r="12812" spans="1:14" x14ac:dyDescent="0.25">
      <c r="A12812" t="s">
        <v>44</v>
      </c>
      <c r="B12812" t="s">
        <v>40</v>
      </c>
      <c r="C12812" t="s">
        <v>37</v>
      </c>
      <c r="D12812" t="s">
        <v>28</v>
      </c>
      <c r="E12812" t="s">
        <v>22</v>
      </c>
      <c r="F12812" t="s">
        <v>15</v>
      </c>
      <c r="G12812" s="1">
        <f>VALUE(5593.16)</f>
        <v>5593.16</v>
      </c>
      <c r="H12812" s="1">
        <f>VALUE(3758.81)</f>
        <v>3758.81</v>
      </c>
      <c r="I12812" s="1">
        <f>VALUE(3899)</f>
        <v>3899</v>
      </c>
      <c r="J12812" s="1">
        <f>VALUE(4634)</f>
        <v>4634</v>
      </c>
      <c r="K12812" s="1">
        <f>VALUE(5656)</f>
        <v>5656</v>
      </c>
      <c r="L12812" s="1">
        <f>VALUE(6628)</f>
        <v>6628</v>
      </c>
      <c r="M12812" s="1">
        <f>VALUE(7996)</f>
        <v>7996</v>
      </c>
      <c r="N12812" t="s">
        <v>16</v>
      </c>
    </row>
    <row r="12813" spans="1:14" x14ac:dyDescent="0.25">
      <c r="A12813" t="s">
        <v>44</v>
      </c>
      <c r="B12813" t="s">
        <v>40</v>
      </c>
      <c r="C12813" t="s">
        <v>37</v>
      </c>
      <c r="D12813" t="s">
        <v>28</v>
      </c>
      <c r="E12813" t="s">
        <v>22</v>
      </c>
      <c r="F12813" t="s">
        <v>17</v>
      </c>
      <c r="G12813" s="2">
        <f>VALUE(566.7)</f>
        <v>566.70000000000005</v>
      </c>
      <c r="H12813" s="3">
        <f>VALUE(460.88)</f>
        <v>460.88</v>
      </c>
      <c r="I12813" s="4">
        <f>VALUE(4729)</f>
        <v>4729</v>
      </c>
      <c r="J12813" s="5">
        <f>VALUE(6481)</f>
        <v>6481</v>
      </c>
      <c r="K12813" s="6">
        <f>VALUE(6683)</f>
        <v>6683</v>
      </c>
      <c r="L12813" s="7">
        <f>VALUE(8474)</f>
        <v>8474</v>
      </c>
      <c r="M12813" s="8">
        <f>VALUE(9470)</f>
        <v>9470</v>
      </c>
      <c r="N12813" t="s">
        <v>24</v>
      </c>
    </row>
    <row r="12814" spans="1:14" x14ac:dyDescent="0.25">
      <c r="A12814" t="s">
        <v>44</v>
      </c>
      <c r="B12814" t="s">
        <v>40</v>
      </c>
      <c r="C12814" t="s">
        <v>37</v>
      </c>
      <c r="D12814" t="s">
        <v>28</v>
      </c>
      <c r="E12814" t="s">
        <v>22</v>
      </c>
      <c r="F12814" t="s">
        <v>18</v>
      </c>
      <c r="G12814" s="2">
        <f>VALUE(670.13)</f>
        <v>670.13</v>
      </c>
      <c r="H12814" s="3">
        <f>VALUE(455.81)</f>
        <v>455.81</v>
      </c>
      <c r="I12814" s="4">
        <f>VALUE(3947)</f>
        <v>3947</v>
      </c>
      <c r="J12814" s="5">
        <f>VALUE(5157)</f>
        <v>5157</v>
      </c>
      <c r="K12814" s="6">
        <f>VALUE(6582)</f>
        <v>6582</v>
      </c>
      <c r="L12814" s="1">
        <f>VALUE(7748)</f>
        <v>7748</v>
      </c>
      <c r="M12814" s="1">
        <f>VALUE(9323)</f>
        <v>9323</v>
      </c>
      <c r="N12814" t="s">
        <v>25</v>
      </c>
    </row>
    <row r="12815" spans="1:14" x14ac:dyDescent="0.25">
      <c r="A12815" t="s">
        <v>44</v>
      </c>
      <c r="B12815" t="s">
        <v>40</v>
      </c>
      <c r="C12815" t="s">
        <v>37</v>
      </c>
      <c r="D12815" t="s">
        <v>28</v>
      </c>
      <c r="E12815" t="s">
        <v>22</v>
      </c>
      <c r="F12815" t="s">
        <v>19</v>
      </c>
      <c r="G12815" s="2">
        <f>VALUE(710.09)</f>
        <v>710.09</v>
      </c>
      <c r="H12815" s="3">
        <f>VALUE(473.23)</f>
        <v>473.23</v>
      </c>
      <c r="I12815" s="1">
        <f>VALUE(4063)</f>
        <v>4063</v>
      </c>
      <c r="J12815" s="1">
        <f>VALUE(4874)</f>
        <v>4874</v>
      </c>
      <c r="K12815" s="1">
        <f>VALUE(5950)</f>
        <v>5950</v>
      </c>
      <c r="L12815" s="1">
        <f>VALUE(6589)</f>
        <v>6589</v>
      </c>
      <c r="M12815" s="1">
        <f>VALUE(7805)</f>
        <v>7805</v>
      </c>
      <c r="N12815" t="s">
        <v>25</v>
      </c>
    </row>
    <row r="12816" spans="1:14" x14ac:dyDescent="0.25">
      <c r="A12816" t="s">
        <v>44</v>
      </c>
      <c r="B12816" t="s">
        <v>40</v>
      </c>
      <c r="C12816" t="s">
        <v>37</v>
      </c>
      <c r="D12816" t="s">
        <v>28</v>
      </c>
      <c r="E12816" t="s">
        <v>22</v>
      </c>
      <c r="F12816" t="s">
        <v>20</v>
      </c>
      <c r="G12816" s="1">
        <f>VALUE(3646.24)</f>
        <v>3646.24</v>
      </c>
      <c r="H12816" s="1">
        <f>VALUE(2368.89)</f>
        <v>2368.89</v>
      </c>
      <c r="I12816" s="1">
        <f>VALUE(3765)</f>
        <v>3765</v>
      </c>
      <c r="J12816" s="1">
        <f>VALUE(4490)</f>
        <v>4490</v>
      </c>
      <c r="K12816" s="1">
        <f>VALUE(5356)</f>
        <v>5356</v>
      </c>
      <c r="L12816" s="1">
        <f>VALUE(6115)</f>
        <v>6115</v>
      </c>
      <c r="M12816" s="1">
        <f>VALUE(7007)</f>
        <v>7007</v>
      </c>
      <c r="N12816" t="s">
        <v>16</v>
      </c>
    </row>
    <row r="12817" spans="1:14" x14ac:dyDescent="0.25">
      <c r="A12817" t="s">
        <v>44</v>
      </c>
      <c r="B12817" t="s">
        <v>40</v>
      </c>
      <c r="C12817" t="s">
        <v>37</v>
      </c>
      <c r="D12817" t="s">
        <v>28</v>
      </c>
      <c r="E12817" t="s">
        <v>23</v>
      </c>
      <c r="F12817" t="s">
        <v>15</v>
      </c>
      <c r="G12817" s="2">
        <f>VALUE(1383.62)</f>
        <v>1383.62</v>
      </c>
      <c r="H12817" s="3">
        <f>VALUE(735.77)</f>
        <v>735.77</v>
      </c>
      <c r="I12817" s="1">
        <f>VALUE(3157)</f>
        <v>3157</v>
      </c>
      <c r="J12817" s="1">
        <f>VALUE(3761)</f>
        <v>3761</v>
      </c>
      <c r="K12817" s="1">
        <f>VALUE(4224)</f>
        <v>4224</v>
      </c>
      <c r="L12817" s="1">
        <f>VALUE(4739)</f>
        <v>4739</v>
      </c>
      <c r="M12817" s="1">
        <f>VALUE(6163)</f>
        <v>6163</v>
      </c>
      <c r="N12817" t="s">
        <v>25</v>
      </c>
    </row>
    <row r="12818" spans="1:14" x14ac:dyDescent="0.25">
      <c r="A12818" t="s">
        <v>44</v>
      </c>
      <c r="B12818" t="s">
        <v>40</v>
      </c>
      <c r="C12818" t="s">
        <v>37</v>
      </c>
      <c r="D12818" t="s">
        <v>28</v>
      </c>
      <c r="E12818" t="s">
        <v>23</v>
      </c>
      <c r="F12818" t="s">
        <v>17</v>
      </c>
      <c r="G12818" s="1" t="str">
        <f t="shared" ref="G12818:M12820" si="2925">"X"</f>
        <v>X</v>
      </c>
      <c r="H12818" s="1" t="str">
        <f t="shared" si="2925"/>
        <v>X</v>
      </c>
      <c r="I12818" s="1" t="str">
        <f t="shared" si="2925"/>
        <v>X</v>
      </c>
      <c r="J12818" s="1" t="str">
        <f t="shared" si="2925"/>
        <v>X</v>
      </c>
      <c r="K12818" s="1" t="str">
        <f t="shared" si="2925"/>
        <v>X</v>
      </c>
      <c r="L12818" s="1" t="str">
        <f t="shared" si="2925"/>
        <v>X</v>
      </c>
      <c r="M12818" s="1" t="str">
        <f t="shared" si="2925"/>
        <v>X</v>
      </c>
      <c r="N12818" t="s">
        <v>27</v>
      </c>
    </row>
    <row r="12819" spans="1:14" x14ac:dyDescent="0.25">
      <c r="A12819" t="s">
        <v>44</v>
      </c>
      <c r="B12819" t="s">
        <v>40</v>
      </c>
      <c r="C12819" t="s">
        <v>37</v>
      </c>
      <c r="D12819" t="s">
        <v>28</v>
      </c>
      <c r="E12819" t="s">
        <v>23</v>
      </c>
      <c r="F12819" t="s">
        <v>18</v>
      </c>
      <c r="G12819" s="1" t="str">
        <f t="shared" si="2925"/>
        <v>X</v>
      </c>
      <c r="H12819" s="1" t="str">
        <f t="shared" si="2925"/>
        <v>X</v>
      </c>
      <c r="I12819" s="1" t="str">
        <f t="shared" si="2925"/>
        <v>X</v>
      </c>
      <c r="J12819" s="1" t="str">
        <f t="shared" si="2925"/>
        <v>X</v>
      </c>
      <c r="K12819" s="1" t="str">
        <f t="shared" si="2925"/>
        <v>X</v>
      </c>
      <c r="L12819" s="1" t="str">
        <f t="shared" si="2925"/>
        <v>X</v>
      </c>
      <c r="M12819" s="1" t="str">
        <f t="shared" si="2925"/>
        <v>X</v>
      </c>
      <c r="N12819" t="s">
        <v>27</v>
      </c>
    </row>
    <row r="12820" spans="1:14" x14ac:dyDescent="0.25">
      <c r="A12820" t="s">
        <v>44</v>
      </c>
      <c r="B12820" t="s">
        <v>40</v>
      </c>
      <c r="C12820" t="s">
        <v>37</v>
      </c>
      <c r="D12820" t="s">
        <v>28</v>
      </c>
      <c r="E12820" t="s">
        <v>23</v>
      </c>
      <c r="F12820" t="s">
        <v>19</v>
      </c>
      <c r="G12820" s="1" t="str">
        <f t="shared" si="2925"/>
        <v>X</v>
      </c>
      <c r="H12820" s="1" t="str">
        <f t="shared" si="2925"/>
        <v>X</v>
      </c>
      <c r="I12820" s="1" t="str">
        <f t="shared" si="2925"/>
        <v>X</v>
      </c>
      <c r="J12820" s="1" t="str">
        <f t="shared" si="2925"/>
        <v>X</v>
      </c>
      <c r="K12820" s="1" t="str">
        <f t="shared" si="2925"/>
        <v>X</v>
      </c>
      <c r="L12820" s="1" t="str">
        <f t="shared" si="2925"/>
        <v>X</v>
      </c>
      <c r="M12820" s="1" t="str">
        <f t="shared" si="2925"/>
        <v>X</v>
      </c>
      <c r="N12820" t="s">
        <v>27</v>
      </c>
    </row>
    <row r="12821" spans="1:14" x14ac:dyDescent="0.25">
      <c r="A12821" t="s">
        <v>44</v>
      </c>
      <c r="B12821" t="s">
        <v>40</v>
      </c>
      <c r="C12821" t="s">
        <v>37</v>
      </c>
      <c r="D12821" t="s">
        <v>28</v>
      </c>
      <c r="E12821" t="s">
        <v>23</v>
      </c>
      <c r="F12821" t="s">
        <v>20</v>
      </c>
      <c r="G12821" s="2">
        <f>VALUE(1235.75)</f>
        <v>1235.75</v>
      </c>
      <c r="H12821" s="3">
        <f>VALUE(623.68)</f>
        <v>623.67999999999995</v>
      </c>
      <c r="I12821" s="1">
        <f>VALUE(3151)</f>
        <v>3151</v>
      </c>
      <c r="J12821" s="1">
        <f>VALUE(3761)</f>
        <v>3761</v>
      </c>
      <c r="K12821" s="1">
        <f>VALUE(4186)</f>
        <v>4186</v>
      </c>
      <c r="L12821" s="1">
        <f>VALUE(4673)</f>
        <v>4673</v>
      </c>
      <c r="M12821" s="1">
        <f>VALUE(5440)</f>
        <v>5440</v>
      </c>
      <c r="N12821" t="s">
        <v>25</v>
      </c>
    </row>
    <row r="12822" spans="1:14" x14ac:dyDescent="0.25">
      <c r="A12822" t="s">
        <v>44</v>
      </c>
      <c r="B12822" t="s">
        <v>40</v>
      </c>
      <c r="C12822" t="s">
        <v>37</v>
      </c>
      <c r="D12822" t="s">
        <v>28</v>
      </c>
      <c r="E12822" t="s">
        <v>26</v>
      </c>
      <c r="F12822" t="s">
        <v>15</v>
      </c>
      <c r="G12822" s="1" t="str">
        <f t="shared" ref="G12822:M12824" si="2926">"X"</f>
        <v>X</v>
      </c>
      <c r="H12822" s="1" t="str">
        <f t="shared" si="2926"/>
        <v>X</v>
      </c>
      <c r="I12822" s="1" t="str">
        <f t="shared" si="2926"/>
        <v>X</v>
      </c>
      <c r="J12822" s="1" t="str">
        <f t="shared" si="2926"/>
        <v>X</v>
      </c>
      <c r="K12822" s="1" t="str">
        <f t="shared" si="2926"/>
        <v>X</v>
      </c>
      <c r="L12822" s="1" t="str">
        <f t="shared" si="2926"/>
        <v>X</v>
      </c>
      <c r="M12822" s="1" t="str">
        <f t="shared" si="2926"/>
        <v>X</v>
      </c>
      <c r="N12822" t="s">
        <v>27</v>
      </c>
    </row>
    <row r="12823" spans="1:14" x14ac:dyDescent="0.25">
      <c r="A12823" t="s">
        <v>44</v>
      </c>
      <c r="B12823" t="s">
        <v>40</v>
      </c>
      <c r="C12823" t="s">
        <v>37</v>
      </c>
      <c r="D12823" t="s">
        <v>28</v>
      </c>
      <c r="E12823" t="s">
        <v>26</v>
      </c>
      <c r="F12823" t="s">
        <v>17</v>
      </c>
      <c r="G12823" s="1" t="str">
        <f t="shared" si="2926"/>
        <v>X</v>
      </c>
      <c r="H12823" s="1" t="str">
        <f t="shared" si="2926"/>
        <v>X</v>
      </c>
      <c r="I12823" s="1" t="str">
        <f t="shared" si="2926"/>
        <v>X</v>
      </c>
      <c r="J12823" s="1" t="str">
        <f t="shared" si="2926"/>
        <v>X</v>
      </c>
      <c r="K12823" s="1" t="str">
        <f t="shared" si="2926"/>
        <v>X</v>
      </c>
      <c r="L12823" s="1" t="str">
        <f t="shared" si="2926"/>
        <v>X</v>
      </c>
      <c r="M12823" s="1" t="str">
        <f t="shared" si="2926"/>
        <v>X</v>
      </c>
      <c r="N12823" t="s">
        <v>27</v>
      </c>
    </row>
    <row r="12824" spans="1:14" x14ac:dyDescent="0.25">
      <c r="A12824" t="s">
        <v>44</v>
      </c>
      <c r="B12824" t="s">
        <v>40</v>
      </c>
      <c r="C12824" t="s">
        <v>37</v>
      </c>
      <c r="D12824" t="s">
        <v>28</v>
      </c>
      <c r="E12824" t="s">
        <v>26</v>
      </c>
      <c r="F12824" t="s">
        <v>18</v>
      </c>
      <c r="G12824" s="1" t="str">
        <f t="shared" si="2926"/>
        <v>X</v>
      </c>
      <c r="H12824" s="1" t="str">
        <f t="shared" si="2926"/>
        <v>X</v>
      </c>
      <c r="I12824" s="1" t="str">
        <f t="shared" si="2926"/>
        <v>X</v>
      </c>
      <c r="J12824" s="1" t="str">
        <f t="shared" si="2926"/>
        <v>X</v>
      </c>
      <c r="K12824" s="1" t="str">
        <f t="shared" si="2926"/>
        <v>X</v>
      </c>
      <c r="L12824" s="1" t="str">
        <f t="shared" si="2926"/>
        <v>X</v>
      </c>
      <c r="M12824" s="1" t="str">
        <f t="shared" si="2926"/>
        <v>X</v>
      </c>
      <c r="N12824" t="s">
        <v>27</v>
      </c>
    </row>
    <row r="12825" spans="1:14" x14ac:dyDescent="0.25">
      <c r="A12825" t="s">
        <v>44</v>
      </c>
      <c r="B12825" t="s">
        <v>40</v>
      </c>
      <c r="C12825" t="s">
        <v>37</v>
      </c>
      <c r="D12825" t="s">
        <v>28</v>
      </c>
      <c r="E12825" t="s">
        <v>26</v>
      </c>
      <c r="F12825" t="s">
        <v>19</v>
      </c>
      <c r="G12825" s="1" t="str">
        <f t="shared" ref="G12825:M12825" si="2927">"..."</f>
        <v>...</v>
      </c>
      <c r="H12825" s="1" t="str">
        <f t="shared" si="2927"/>
        <v>...</v>
      </c>
      <c r="I12825" s="1" t="str">
        <f t="shared" si="2927"/>
        <v>...</v>
      </c>
      <c r="J12825" s="1" t="str">
        <f t="shared" si="2927"/>
        <v>...</v>
      </c>
      <c r="K12825" s="1" t="str">
        <f t="shared" si="2927"/>
        <v>...</v>
      </c>
      <c r="L12825" s="1" t="str">
        <f t="shared" si="2927"/>
        <v>...</v>
      </c>
      <c r="M12825" s="1" t="str">
        <f t="shared" si="2927"/>
        <v>...</v>
      </c>
      <c r="N12825" t="s">
        <v>30</v>
      </c>
    </row>
    <row r="12826" spans="1:14" x14ac:dyDescent="0.25">
      <c r="A12826" t="s">
        <v>44</v>
      </c>
      <c r="B12826" t="s">
        <v>40</v>
      </c>
      <c r="C12826" t="s">
        <v>37</v>
      </c>
      <c r="D12826" t="s">
        <v>28</v>
      </c>
      <c r="E12826" t="s">
        <v>26</v>
      </c>
      <c r="F12826" t="s">
        <v>20</v>
      </c>
      <c r="G12826" s="1" t="str">
        <f t="shared" ref="G12826:M12826" si="2928">"X"</f>
        <v>X</v>
      </c>
      <c r="H12826" s="1" t="str">
        <f t="shared" si="2928"/>
        <v>X</v>
      </c>
      <c r="I12826" s="1" t="str">
        <f t="shared" si="2928"/>
        <v>X</v>
      </c>
      <c r="J12826" s="1" t="str">
        <f t="shared" si="2928"/>
        <v>X</v>
      </c>
      <c r="K12826" s="1" t="str">
        <f t="shared" si="2928"/>
        <v>X</v>
      </c>
      <c r="L12826" s="1" t="str">
        <f t="shared" si="2928"/>
        <v>X</v>
      </c>
      <c r="M12826" s="1" t="str">
        <f t="shared" si="2928"/>
        <v>X</v>
      </c>
      <c r="N12826" t="s">
        <v>27</v>
      </c>
    </row>
    <row r="12827" spans="1:14" x14ac:dyDescent="0.25">
      <c r="A12827" t="s">
        <v>44</v>
      </c>
      <c r="B12827" t="s">
        <v>40</v>
      </c>
      <c r="C12827" t="s">
        <v>37</v>
      </c>
      <c r="D12827" t="s">
        <v>29</v>
      </c>
      <c r="E12827" t="s">
        <v>15</v>
      </c>
      <c r="F12827" t="s">
        <v>15</v>
      </c>
      <c r="G12827" s="2">
        <f>VALUE(3065.39)</f>
        <v>3065.39</v>
      </c>
      <c r="H12827" s="3">
        <f>VALUE(2202.65)</f>
        <v>2202.65</v>
      </c>
      <c r="I12827" s="1">
        <f>VALUE(3289)</f>
        <v>3289</v>
      </c>
      <c r="J12827" s="1">
        <f>VALUE(3774)</f>
        <v>3774</v>
      </c>
      <c r="K12827" s="1">
        <f>VALUE(4657)</f>
        <v>4657</v>
      </c>
      <c r="L12827" s="7">
        <f>VALUE(6510)</f>
        <v>6510</v>
      </c>
      <c r="M12827" s="8">
        <f>VALUE(8133)</f>
        <v>8133</v>
      </c>
      <c r="N12827" t="s">
        <v>25</v>
      </c>
    </row>
    <row r="12828" spans="1:14" x14ac:dyDescent="0.25">
      <c r="A12828" t="s">
        <v>44</v>
      </c>
      <c r="B12828" t="s">
        <v>40</v>
      </c>
      <c r="C12828" t="s">
        <v>37</v>
      </c>
      <c r="D12828" t="s">
        <v>29</v>
      </c>
      <c r="E12828" t="s">
        <v>15</v>
      </c>
      <c r="F12828" t="s">
        <v>17</v>
      </c>
      <c r="G12828" s="2">
        <f>VALUE(389.87)</f>
        <v>389.87</v>
      </c>
      <c r="H12828" s="3">
        <f>VALUE(374.34)</f>
        <v>374.34</v>
      </c>
      <c r="I12828" s="4">
        <f>VALUE(4390)</f>
        <v>4390</v>
      </c>
      <c r="J12828" s="5">
        <f>VALUE(4549)</f>
        <v>4549</v>
      </c>
      <c r="K12828" s="6">
        <f>VALUE(6800)</f>
        <v>6800</v>
      </c>
      <c r="L12828" s="7">
        <f>VALUE(11048)</f>
        <v>11048</v>
      </c>
      <c r="M12828" s="8">
        <f>VALUE(14169)</f>
        <v>14169</v>
      </c>
      <c r="N12828" t="s">
        <v>24</v>
      </c>
    </row>
    <row r="12829" spans="1:14" x14ac:dyDescent="0.25">
      <c r="A12829" t="s">
        <v>44</v>
      </c>
      <c r="B12829" t="s">
        <v>40</v>
      </c>
      <c r="C12829" t="s">
        <v>37</v>
      </c>
      <c r="D12829" t="s">
        <v>29</v>
      </c>
      <c r="E12829" t="s">
        <v>15</v>
      </c>
      <c r="F12829" t="s">
        <v>18</v>
      </c>
      <c r="G12829" s="2">
        <f>VALUE(184.76)</f>
        <v>184.76</v>
      </c>
      <c r="H12829" s="3">
        <f>VALUE(156.09)</f>
        <v>156.09</v>
      </c>
      <c r="I12829" s="1">
        <f>VALUE(4650)</f>
        <v>4650</v>
      </c>
      <c r="J12829" s="1">
        <f>VALUE(5105)</f>
        <v>5105</v>
      </c>
      <c r="K12829" s="1">
        <f>VALUE(6770)</f>
        <v>6770</v>
      </c>
      <c r="L12829" s="7">
        <f>VALUE(7608)</f>
        <v>7608</v>
      </c>
      <c r="M12829" s="8">
        <f>VALUE(10344)</f>
        <v>10344</v>
      </c>
      <c r="N12829" t="s">
        <v>25</v>
      </c>
    </row>
    <row r="12830" spans="1:14" x14ac:dyDescent="0.25">
      <c r="A12830" t="s">
        <v>44</v>
      </c>
      <c r="B12830" t="s">
        <v>40</v>
      </c>
      <c r="C12830" t="s">
        <v>37</v>
      </c>
      <c r="D12830" t="s">
        <v>29</v>
      </c>
      <c r="E12830" t="s">
        <v>15</v>
      </c>
      <c r="F12830" t="s">
        <v>19</v>
      </c>
      <c r="G12830" s="2">
        <f>VALUE(306.3)</f>
        <v>306.3</v>
      </c>
      <c r="H12830" s="3">
        <f>VALUE(241.81)</f>
        <v>241.81</v>
      </c>
      <c r="I12830" s="1">
        <f>VALUE(3834)</f>
        <v>3834</v>
      </c>
      <c r="J12830" s="5">
        <f>VALUE(4385)</f>
        <v>4385</v>
      </c>
      <c r="K12830" s="1">
        <f>VALUE(5195)</f>
        <v>5195</v>
      </c>
      <c r="L12830" s="1">
        <f>VALUE(6438)</f>
        <v>6438</v>
      </c>
      <c r="M12830" s="1">
        <f>VALUE(7661)</f>
        <v>7661</v>
      </c>
      <c r="N12830" t="s">
        <v>25</v>
      </c>
    </row>
    <row r="12831" spans="1:14" x14ac:dyDescent="0.25">
      <c r="A12831" t="s">
        <v>44</v>
      </c>
      <c r="B12831" t="s">
        <v>40</v>
      </c>
      <c r="C12831" t="s">
        <v>37</v>
      </c>
      <c r="D12831" t="s">
        <v>29</v>
      </c>
      <c r="E12831" t="s">
        <v>15</v>
      </c>
      <c r="F12831" t="s">
        <v>20</v>
      </c>
      <c r="G12831" s="2">
        <f>VALUE(2184.46)</f>
        <v>2184.46</v>
      </c>
      <c r="H12831" s="3">
        <f>VALUE(1430.41)</f>
        <v>1430.41</v>
      </c>
      <c r="I12831" s="1">
        <f>VALUE(3200)</f>
        <v>3200</v>
      </c>
      <c r="J12831" s="1">
        <f>VALUE(3514)</f>
        <v>3514</v>
      </c>
      <c r="K12831" s="1">
        <f>VALUE(4208)</f>
        <v>4208</v>
      </c>
      <c r="L12831" s="1">
        <f>VALUE(5172)</f>
        <v>5172</v>
      </c>
      <c r="M12831" s="8">
        <f>VALUE(6666)</f>
        <v>6666</v>
      </c>
      <c r="N12831" t="s">
        <v>25</v>
      </c>
    </row>
    <row r="12832" spans="1:14" x14ac:dyDescent="0.25">
      <c r="A12832" t="s">
        <v>44</v>
      </c>
      <c r="B12832" t="s">
        <v>40</v>
      </c>
      <c r="C12832" t="s">
        <v>37</v>
      </c>
      <c r="D12832" t="s">
        <v>29</v>
      </c>
      <c r="E12832" t="s">
        <v>21</v>
      </c>
      <c r="F12832" t="s">
        <v>15</v>
      </c>
      <c r="G12832" s="2">
        <f>VALUE(672.97)</f>
        <v>672.97</v>
      </c>
      <c r="H12832" s="3">
        <f>VALUE(553.85)</f>
        <v>553.85</v>
      </c>
      <c r="I12832" s="4">
        <f>VALUE(4221)</f>
        <v>4221</v>
      </c>
      <c r="J12832" s="5">
        <f>VALUE(6342)</f>
        <v>6342</v>
      </c>
      <c r="K12832" s="6">
        <f>VALUE(6868)</f>
        <v>6868</v>
      </c>
      <c r="L12832" s="7">
        <f>VALUE(8708)</f>
        <v>8708</v>
      </c>
      <c r="M12832" s="8">
        <f>VALUE(13238)</f>
        <v>13238</v>
      </c>
      <c r="N12832" t="s">
        <v>24</v>
      </c>
    </row>
    <row r="12833" spans="1:14" x14ac:dyDescent="0.25">
      <c r="A12833" t="s">
        <v>44</v>
      </c>
      <c r="B12833" t="s">
        <v>40</v>
      </c>
      <c r="C12833" t="s">
        <v>37</v>
      </c>
      <c r="D12833" t="s">
        <v>29</v>
      </c>
      <c r="E12833" t="s">
        <v>21</v>
      </c>
      <c r="F12833" t="s">
        <v>17</v>
      </c>
      <c r="G12833" s="1" t="str">
        <f t="shared" ref="G12833:M12835" si="2929">"X"</f>
        <v>X</v>
      </c>
      <c r="H12833" s="1" t="str">
        <f t="shared" si="2929"/>
        <v>X</v>
      </c>
      <c r="I12833" s="1" t="str">
        <f t="shared" si="2929"/>
        <v>X</v>
      </c>
      <c r="J12833" s="1" t="str">
        <f t="shared" si="2929"/>
        <v>X</v>
      </c>
      <c r="K12833" s="1" t="str">
        <f t="shared" si="2929"/>
        <v>X</v>
      </c>
      <c r="L12833" s="1" t="str">
        <f t="shared" si="2929"/>
        <v>X</v>
      </c>
      <c r="M12833" s="1" t="str">
        <f t="shared" si="2929"/>
        <v>X</v>
      </c>
      <c r="N12833" t="s">
        <v>27</v>
      </c>
    </row>
    <row r="12834" spans="1:14" x14ac:dyDescent="0.25">
      <c r="A12834" t="s">
        <v>44</v>
      </c>
      <c r="B12834" t="s">
        <v>40</v>
      </c>
      <c r="C12834" t="s">
        <v>37</v>
      </c>
      <c r="D12834" t="s">
        <v>29</v>
      </c>
      <c r="E12834" t="s">
        <v>21</v>
      </c>
      <c r="F12834" t="s">
        <v>18</v>
      </c>
      <c r="G12834" s="1" t="str">
        <f t="shared" si="2929"/>
        <v>X</v>
      </c>
      <c r="H12834" s="1" t="str">
        <f t="shared" si="2929"/>
        <v>X</v>
      </c>
      <c r="I12834" s="1" t="str">
        <f t="shared" si="2929"/>
        <v>X</v>
      </c>
      <c r="J12834" s="1" t="str">
        <f t="shared" si="2929"/>
        <v>X</v>
      </c>
      <c r="K12834" s="1" t="str">
        <f t="shared" si="2929"/>
        <v>X</v>
      </c>
      <c r="L12834" s="1" t="str">
        <f t="shared" si="2929"/>
        <v>X</v>
      </c>
      <c r="M12834" s="1" t="str">
        <f t="shared" si="2929"/>
        <v>X</v>
      </c>
      <c r="N12834" t="s">
        <v>27</v>
      </c>
    </row>
    <row r="12835" spans="1:14" x14ac:dyDescent="0.25">
      <c r="A12835" t="s">
        <v>44</v>
      </c>
      <c r="B12835" t="s">
        <v>40</v>
      </c>
      <c r="C12835" t="s">
        <v>37</v>
      </c>
      <c r="D12835" t="s">
        <v>29</v>
      </c>
      <c r="E12835" t="s">
        <v>21</v>
      </c>
      <c r="F12835" t="s">
        <v>19</v>
      </c>
      <c r="G12835" s="1" t="str">
        <f t="shared" si="2929"/>
        <v>X</v>
      </c>
      <c r="H12835" s="1" t="str">
        <f t="shared" si="2929"/>
        <v>X</v>
      </c>
      <c r="I12835" s="1" t="str">
        <f t="shared" si="2929"/>
        <v>X</v>
      </c>
      <c r="J12835" s="1" t="str">
        <f t="shared" si="2929"/>
        <v>X</v>
      </c>
      <c r="K12835" s="1" t="str">
        <f t="shared" si="2929"/>
        <v>X</v>
      </c>
      <c r="L12835" s="1" t="str">
        <f t="shared" si="2929"/>
        <v>X</v>
      </c>
      <c r="M12835" s="1" t="str">
        <f t="shared" si="2929"/>
        <v>X</v>
      </c>
      <c r="N12835" t="s">
        <v>27</v>
      </c>
    </row>
    <row r="12836" spans="1:14" x14ac:dyDescent="0.25">
      <c r="A12836" t="s">
        <v>44</v>
      </c>
      <c r="B12836" t="s">
        <v>40</v>
      </c>
      <c r="C12836" t="s">
        <v>37</v>
      </c>
      <c r="D12836" t="s">
        <v>29</v>
      </c>
      <c r="E12836" t="s">
        <v>21</v>
      </c>
      <c r="F12836" t="s">
        <v>20</v>
      </c>
      <c r="G12836" s="2">
        <f>VALUE(268.79)</f>
        <v>268.79000000000002</v>
      </c>
      <c r="H12836" s="3">
        <f>VALUE(181.76)</f>
        <v>181.76</v>
      </c>
      <c r="I12836" s="1">
        <f>VALUE(3660)</f>
        <v>3660</v>
      </c>
      <c r="J12836" s="1">
        <f>VALUE(5229)</f>
        <v>5229</v>
      </c>
      <c r="K12836" s="1">
        <f>VALUE(6831)</f>
        <v>6831</v>
      </c>
      <c r="L12836" s="1">
        <f>VALUE(7589)</f>
        <v>7589</v>
      </c>
      <c r="M12836" s="8">
        <f>VALUE(9155)</f>
        <v>9155</v>
      </c>
      <c r="N12836" t="s">
        <v>25</v>
      </c>
    </row>
    <row r="12837" spans="1:14" x14ac:dyDescent="0.25">
      <c r="A12837" t="s">
        <v>44</v>
      </c>
      <c r="B12837" t="s">
        <v>40</v>
      </c>
      <c r="C12837" t="s">
        <v>37</v>
      </c>
      <c r="D12837" t="s">
        <v>29</v>
      </c>
      <c r="E12837" t="s">
        <v>22</v>
      </c>
      <c r="F12837" t="s">
        <v>15</v>
      </c>
      <c r="G12837" s="2">
        <f>VALUE(1007.48)</f>
        <v>1007.48</v>
      </c>
      <c r="H12837" s="3">
        <f>VALUE(772.43)</f>
        <v>772.43</v>
      </c>
      <c r="I12837" s="4">
        <f>VALUE(3497)</f>
        <v>3497</v>
      </c>
      <c r="J12837" s="5">
        <f>VALUE(4314)</f>
        <v>4314</v>
      </c>
      <c r="K12837" s="1">
        <f>VALUE(4915)</f>
        <v>4915</v>
      </c>
      <c r="L12837" s="1">
        <f>VALUE(5740)</f>
        <v>5740</v>
      </c>
      <c r="M12837" s="8">
        <f>VALUE(7265)</f>
        <v>7265</v>
      </c>
      <c r="N12837" t="s">
        <v>25</v>
      </c>
    </row>
    <row r="12838" spans="1:14" x14ac:dyDescent="0.25">
      <c r="A12838" t="s">
        <v>44</v>
      </c>
      <c r="B12838" t="s">
        <v>40</v>
      </c>
      <c r="C12838" t="s">
        <v>37</v>
      </c>
      <c r="D12838" t="s">
        <v>29</v>
      </c>
      <c r="E12838" t="s">
        <v>22</v>
      </c>
      <c r="F12838" t="s">
        <v>17</v>
      </c>
      <c r="G12838" s="1" t="str">
        <f t="shared" ref="G12838:M12840" si="2930">"X"</f>
        <v>X</v>
      </c>
      <c r="H12838" s="1" t="str">
        <f t="shared" si="2930"/>
        <v>X</v>
      </c>
      <c r="I12838" s="1" t="str">
        <f t="shared" si="2930"/>
        <v>X</v>
      </c>
      <c r="J12838" s="1" t="str">
        <f t="shared" si="2930"/>
        <v>X</v>
      </c>
      <c r="K12838" s="1" t="str">
        <f t="shared" si="2930"/>
        <v>X</v>
      </c>
      <c r="L12838" s="1" t="str">
        <f t="shared" si="2930"/>
        <v>X</v>
      </c>
      <c r="M12838" s="1" t="str">
        <f t="shared" si="2930"/>
        <v>X</v>
      </c>
      <c r="N12838" t="s">
        <v>27</v>
      </c>
    </row>
    <row r="12839" spans="1:14" x14ac:dyDescent="0.25">
      <c r="A12839" t="s">
        <v>44</v>
      </c>
      <c r="B12839" t="s">
        <v>40</v>
      </c>
      <c r="C12839" t="s">
        <v>37</v>
      </c>
      <c r="D12839" t="s">
        <v>29</v>
      </c>
      <c r="E12839" t="s">
        <v>22</v>
      </c>
      <c r="F12839" t="s">
        <v>18</v>
      </c>
      <c r="G12839" s="1" t="str">
        <f t="shared" si="2930"/>
        <v>X</v>
      </c>
      <c r="H12839" s="1" t="str">
        <f t="shared" si="2930"/>
        <v>X</v>
      </c>
      <c r="I12839" s="1" t="str">
        <f t="shared" si="2930"/>
        <v>X</v>
      </c>
      <c r="J12839" s="1" t="str">
        <f t="shared" si="2930"/>
        <v>X</v>
      </c>
      <c r="K12839" s="1" t="str">
        <f t="shared" si="2930"/>
        <v>X</v>
      </c>
      <c r="L12839" s="1" t="str">
        <f t="shared" si="2930"/>
        <v>X</v>
      </c>
      <c r="M12839" s="1" t="str">
        <f t="shared" si="2930"/>
        <v>X</v>
      </c>
      <c r="N12839" t="s">
        <v>27</v>
      </c>
    </row>
    <row r="12840" spans="1:14" x14ac:dyDescent="0.25">
      <c r="A12840" t="s">
        <v>44</v>
      </c>
      <c r="B12840" t="s">
        <v>40</v>
      </c>
      <c r="C12840" t="s">
        <v>37</v>
      </c>
      <c r="D12840" t="s">
        <v>29</v>
      </c>
      <c r="E12840" t="s">
        <v>22</v>
      </c>
      <c r="F12840" t="s">
        <v>19</v>
      </c>
      <c r="G12840" s="1" t="str">
        <f t="shared" si="2930"/>
        <v>X</v>
      </c>
      <c r="H12840" s="1" t="str">
        <f t="shared" si="2930"/>
        <v>X</v>
      </c>
      <c r="I12840" s="1" t="str">
        <f t="shared" si="2930"/>
        <v>X</v>
      </c>
      <c r="J12840" s="1" t="str">
        <f t="shared" si="2930"/>
        <v>X</v>
      </c>
      <c r="K12840" s="1" t="str">
        <f t="shared" si="2930"/>
        <v>X</v>
      </c>
      <c r="L12840" s="1" t="str">
        <f t="shared" si="2930"/>
        <v>X</v>
      </c>
      <c r="M12840" s="1" t="str">
        <f t="shared" si="2930"/>
        <v>X</v>
      </c>
      <c r="N12840" t="s">
        <v>27</v>
      </c>
    </row>
    <row r="12841" spans="1:14" x14ac:dyDescent="0.25">
      <c r="A12841" t="s">
        <v>44</v>
      </c>
      <c r="B12841" t="s">
        <v>40</v>
      </c>
      <c r="C12841" t="s">
        <v>37</v>
      </c>
      <c r="D12841" t="s">
        <v>29</v>
      </c>
      <c r="E12841" t="s">
        <v>22</v>
      </c>
      <c r="F12841" t="s">
        <v>20</v>
      </c>
      <c r="G12841" s="2">
        <f>VALUE(628.13)</f>
        <v>628.13</v>
      </c>
      <c r="H12841" s="3">
        <f>VALUE(456.06)</f>
        <v>456.06</v>
      </c>
      <c r="I12841" s="4">
        <f>VALUE(3120)</f>
        <v>3120</v>
      </c>
      <c r="J12841" s="5">
        <f>VALUE(3980)</f>
        <v>3980</v>
      </c>
      <c r="K12841" s="1">
        <f>VALUE(4712)</f>
        <v>4712</v>
      </c>
      <c r="L12841" s="1">
        <f>VALUE(5450)</f>
        <v>5450</v>
      </c>
      <c r="M12841" s="1">
        <f>VALUE(6250)</f>
        <v>6250</v>
      </c>
      <c r="N12841" t="s">
        <v>25</v>
      </c>
    </row>
    <row r="12842" spans="1:14" x14ac:dyDescent="0.25">
      <c r="A12842" t="s">
        <v>44</v>
      </c>
      <c r="B12842" t="s">
        <v>40</v>
      </c>
      <c r="C12842" t="s">
        <v>37</v>
      </c>
      <c r="D12842" t="s">
        <v>29</v>
      </c>
      <c r="E12842" t="s">
        <v>23</v>
      </c>
      <c r="F12842" t="s">
        <v>15</v>
      </c>
      <c r="G12842" s="2">
        <f>VALUE(1382.02)</f>
        <v>1382.02</v>
      </c>
      <c r="H12842" s="3">
        <f>VALUE(873.45)</f>
        <v>873.45</v>
      </c>
      <c r="I12842" s="4">
        <f>VALUE(3241)</f>
        <v>3241</v>
      </c>
      <c r="J12842" s="1">
        <f>VALUE(3476)</f>
        <v>3476</v>
      </c>
      <c r="K12842" s="1">
        <f>VALUE(3857)</f>
        <v>3857</v>
      </c>
      <c r="L12842" s="1">
        <f>VALUE(4453)</f>
        <v>4453</v>
      </c>
      <c r="M12842" s="1">
        <f>VALUE(5056)</f>
        <v>5056</v>
      </c>
      <c r="N12842" t="s">
        <v>25</v>
      </c>
    </row>
    <row r="12843" spans="1:14" x14ac:dyDescent="0.25">
      <c r="A12843" t="s">
        <v>44</v>
      </c>
      <c r="B12843" t="s">
        <v>40</v>
      </c>
      <c r="C12843" t="s">
        <v>37</v>
      </c>
      <c r="D12843" t="s">
        <v>29</v>
      </c>
      <c r="E12843" t="s">
        <v>23</v>
      </c>
      <c r="F12843" t="s">
        <v>17</v>
      </c>
      <c r="G12843" s="1" t="str">
        <f t="shared" ref="G12843:M12845" si="2931">"X"</f>
        <v>X</v>
      </c>
      <c r="H12843" s="1" t="str">
        <f t="shared" si="2931"/>
        <v>X</v>
      </c>
      <c r="I12843" s="1" t="str">
        <f t="shared" si="2931"/>
        <v>X</v>
      </c>
      <c r="J12843" s="1" t="str">
        <f t="shared" si="2931"/>
        <v>X</v>
      </c>
      <c r="K12843" s="1" t="str">
        <f t="shared" si="2931"/>
        <v>X</v>
      </c>
      <c r="L12843" s="1" t="str">
        <f t="shared" si="2931"/>
        <v>X</v>
      </c>
      <c r="M12843" s="1" t="str">
        <f t="shared" si="2931"/>
        <v>X</v>
      </c>
      <c r="N12843" t="s">
        <v>27</v>
      </c>
    </row>
    <row r="12844" spans="1:14" x14ac:dyDescent="0.25">
      <c r="A12844" t="s">
        <v>44</v>
      </c>
      <c r="B12844" t="s">
        <v>40</v>
      </c>
      <c r="C12844" t="s">
        <v>37</v>
      </c>
      <c r="D12844" t="s">
        <v>29</v>
      </c>
      <c r="E12844" t="s">
        <v>23</v>
      </c>
      <c r="F12844" t="s">
        <v>18</v>
      </c>
      <c r="G12844" s="1" t="str">
        <f t="shared" si="2931"/>
        <v>X</v>
      </c>
      <c r="H12844" s="1" t="str">
        <f t="shared" si="2931"/>
        <v>X</v>
      </c>
      <c r="I12844" s="1" t="str">
        <f t="shared" si="2931"/>
        <v>X</v>
      </c>
      <c r="J12844" s="1" t="str">
        <f t="shared" si="2931"/>
        <v>X</v>
      </c>
      <c r="K12844" s="1" t="str">
        <f t="shared" si="2931"/>
        <v>X</v>
      </c>
      <c r="L12844" s="1" t="str">
        <f t="shared" si="2931"/>
        <v>X</v>
      </c>
      <c r="M12844" s="1" t="str">
        <f t="shared" si="2931"/>
        <v>X</v>
      </c>
      <c r="N12844" t="s">
        <v>27</v>
      </c>
    </row>
    <row r="12845" spans="1:14" x14ac:dyDescent="0.25">
      <c r="A12845" t="s">
        <v>44</v>
      </c>
      <c r="B12845" t="s">
        <v>40</v>
      </c>
      <c r="C12845" t="s">
        <v>37</v>
      </c>
      <c r="D12845" t="s">
        <v>29</v>
      </c>
      <c r="E12845" t="s">
        <v>23</v>
      </c>
      <c r="F12845" t="s">
        <v>19</v>
      </c>
      <c r="G12845" s="1" t="str">
        <f t="shared" si="2931"/>
        <v>X</v>
      </c>
      <c r="H12845" s="1" t="str">
        <f t="shared" si="2931"/>
        <v>X</v>
      </c>
      <c r="I12845" s="1" t="str">
        <f t="shared" si="2931"/>
        <v>X</v>
      </c>
      <c r="J12845" s="1" t="str">
        <f t="shared" si="2931"/>
        <v>X</v>
      </c>
      <c r="K12845" s="1" t="str">
        <f t="shared" si="2931"/>
        <v>X</v>
      </c>
      <c r="L12845" s="1" t="str">
        <f t="shared" si="2931"/>
        <v>X</v>
      </c>
      <c r="M12845" s="1" t="str">
        <f t="shared" si="2931"/>
        <v>X</v>
      </c>
      <c r="N12845" t="s">
        <v>27</v>
      </c>
    </row>
    <row r="12846" spans="1:14" x14ac:dyDescent="0.25">
      <c r="A12846" t="s">
        <v>44</v>
      </c>
      <c r="B12846" t="s">
        <v>40</v>
      </c>
      <c r="C12846" t="s">
        <v>37</v>
      </c>
      <c r="D12846" t="s">
        <v>29</v>
      </c>
      <c r="E12846" t="s">
        <v>23</v>
      </c>
      <c r="F12846" t="s">
        <v>20</v>
      </c>
      <c r="G12846" s="2">
        <f>VALUE(1284.62)</f>
        <v>1284.6199999999999</v>
      </c>
      <c r="H12846" s="3">
        <f>VALUE(789.67)</f>
        <v>789.67</v>
      </c>
      <c r="I12846" s="4">
        <f>VALUE(3241)</f>
        <v>3241</v>
      </c>
      <c r="J12846" s="1">
        <f>VALUE(3469)</f>
        <v>3469</v>
      </c>
      <c r="K12846" s="1">
        <f>VALUE(3800)</f>
        <v>3800</v>
      </c>
      <c r="L12846" s="1">
        <f>VALUE(4391)</f>
        <v>4391</v>
      </c>
      <c r="M12846" s="1">
        <f>VALUE(4877)</f>
        <v>4877</v>
      </c>
      <c r="N12846" t="s">
        <v>25</v>
      </c>
    </row>
    <row r="12847" spans="1:14" x14ac:dyDescent="0.25">
      <c r="A12847" t="s">
        <v>44</v>
      </c>
      <c r="B12847" t="s">
        <v>40</v>
      </c>
      <c r="C12847" t="s">
        <v>37</v>
      </c>
      <c r="D12847" t="s">
        <v>29</v>
      </c>
      <c r="E12847" t="s">
        <v>26</v>
      </c>
      <c r="F12847" t="s">
        <v>15</v>
      </c>
      <c r="G12847" s="1" t="str">
        <f t="shared" ref="G12847:M12847" si="2932">"X"</f>
        <v>X</v>
      </c>
      <c r="H12847" s="1" t="str">
        <f t="shared" si="2932"/>
        <v>X</v>
      </c>
      <c r="I12847" s="1" t="str">
        <f t="shared" si="2932"/>
        <v>X</v>
      </c>
      <c r="J12847" s="1" t="str">
        <f t="shared" si="2932"/>
        <v>X</v>
      </c>
      <c r="K12847" s="1" t="str">
        <f t="shared" si="2932"/>
        <v>X</v>
      </c>
      <c r="L12847" s="1" t="str">
        <f t="shared" si="2932"/>
        <v>X</v>
      </c>
      <c r="M12847" s="1" t="str">
        <f t="shared" si="2932"/>
        <v>X</v>
      </c>
      <c r="N12847" t="s">
        <v>27</v>
      </c>
    </row>
    <row r="12848" spans="1:14" x14ac:dyDescent="0.25">
      <c r="A12848" t="s">
        <v>44</v>
      </c>
      <c r="B12848" t="s">
        <v>40</v>
      </c>
      <c r="C12848" t="s">
        <v>37</v>
      </c>
      <c r="D12848" t="s">
        <v>29</v>
      </c>
      <c r="E12848" t="s">
        <v>26</v>
      </c>
      <c r="F12848" t="s">
        <v>17</v>
      </c>
      <c r="G12848" s="1" t="str">
        <f t="shared" ref="G12848:M12850" si="2933">"..."</f>
        <v>...</v>
      </c>
      <c r="H12848" s="1" t="str">
        <f t="shared" si="2933"/>
        <v>...</v>
      </c>
      <c r="I12848" s="1" t="str">
        <f t="shared" si="2933"/>
        <v>...</v>
      </c>
      <c r="J12848" s="1" t="str">
        <f t="shared" si="2933"/>
        <v>...</v>
      </c>
      <c r="K12848" s="1" t="str">
        <f t="shared" si="2933"/>
        <v>...</v>
      </c>
      <c r="L12848" s="1" t="str">
        <f t="shared" si="2933"/>
        <v>...</v>
      </c>
      <c r="M12848" s="1" t="str">
        <f t="shared" si="2933"/>
        <v>...</v>
      </c>
      <c r="N12848" t="s">
        <v>30</v>
      </c>
    </row>
    <row r="12849" spans="1:14" x14ac:dyDescent="0.25">
      <c r="A12849" t="s">
        <v>44</v>
      </c>
      <c r="B12849" t="s">
        <v>40</v>
      </c>
      <c r="C12849" t="s">
        <v>37</v>
      </c>
      <c r="D12849" t="s">
        <v>29</v>
      </c>
      <c r="E12849" t="s">
        <v>26</v>
      </c>
      <c r="F12849" t="s">
        <v>18</v>
      </c>
      <c r="G12849" s="1" t="str">
        <f t="shared" si="2933"/>
        <v>...</v>
      </c>
      <c r="H12849" s="1" t="str">
        <f t="shared" si="2933"/>
        <v>...</v>
      </c>
      <c r="I12849" s="1" t="str">
        <f t="shared" si="2933"/>
        <v>...</v>
      </c>
      <c r="J12849" s="1" t="str">
        <f t="shared" si="2933"/>
        <v>...</v>
      </c>
      <c r="K12849" s="1" t="str">
        <f t="shared" si="2933"/>
        <v>...</v>
      </c>
      <c r="L12849" s="1" t="str">
        <f t="shared" si="2933"/>
        <v>...</v>
      </c>
      <c r="M12849" s="1" t="str">
        <f t="shared" si="2933"/>
        <v>...</v>
      </c>
      <c r="N12849" t="s">
        <v>30</v>
      </c>
    </row>
    <row r="12850" spans="1:14" x14ac:dyDescent="0.25">
      <c r="A12850" t="s">
        <v>44</v>
      </c>
      <c r="B12850" t="s">
        <v>40</v>
      </c>
      <c r="C12850" t="s">
        <v>37</v>
      </c>
      <c r="D12850" t="s">
        <v>29</v>
      </c>
      <c r="E12850" t="s">
        <v>26</v>
      </c>
      <c r="F12850" t="s">
        <v>19</v>
      </c>
      <c r="G12850" s="1" t="str">
        <f t="shared" si="2933"/>
        <v>...</v>
      </c>
      <c r="H12850" s="1" t="str">
        <f t="shared" si="2933"/>
        <v>...</v>
      </c>
      <c r="I12850" s="1" t="str">
        <f t="shared" si="2933"/>
        <v>...</v>
      </c>
      <c r="J12850" s="1" t="str">
        <f t="shared" si="2933"/>
        <v>...</v>
      </c>
      <c r="K12850" s="1" t="str">
        <f t="shared" si="2933"/>
        <v>...</v>
      </c>
      <c r="L12850" s="1" t="str">
        <f t="shared" si="2933"/>
        <v>...</v>
      </c>
      <c r="M12850" s="1" t="str">
        <f t="shared" si="2933"/>
        <v>...</v>
      </c>
      <c r="N12850" t="s">
        <v>30</v>
      </c>
    </row>
    <row r="12851" spans="1:14" x14ac:dyDescent="0.25">
      <c r="A12851" t="s">
        <v>44</v>
      </c>
      <c r="B12851" t="s">
        <v>40</v>
      </c>
      <c r="C12851" t="s">
        <v>37</v>
      </c>
      <c r="D12851" t="s">
        <v>29</v>
      </c>
      <c r="E12851" t="s">
        <v>26</v>
      </c>
      <c r="F12851" t="s">
        <v>20</v>
      </c>
      <c r="G12851" s="1" t="str">
        <f t="shared" ref="G12851:M12851" si="2934">"X"</f>
        <v>X</v>
      </c>
      <c r="H12851" s="1" t="str">
        <f t="shared" si="2934"/>
        <v>X</v>
      </c>
      <c r="I12851" s="1" t="str">
        <f t="shared" si="2934"/>
        <v>X</v>
      </c>
      <c r="J12851" s="1" t="str">
        <f t="shared" si="2934"/>
        <v>X</v>
      </c>
      <c r="K12851" s="1" t="str">
        <f t="shared" si="2934"/>
        <v>X</v>
      </c>
      <c r="L12851" s="1" t="str">
        <f t="shared" si="2934"/>
        <v>X</v>
      </c>
      <c r="M12851" s="1" t="str">
        <f t="shared" si="2934"/>
        <v>X</v>
      </c>
      <c r="N12851" t="s">
        <v>27</v>
      </c>
    </row>
    <row r="12852" spans="1:14" x14ac:dyDescent="0.25">
      <c r="A12852" t="s">
        <v>44</v>
      </c>
      <c r="B12852" t="s">
        <v>40</v>
      </c>
      <c r="C12852" t="s">
        <v>37</v>
      </c>
      <c r="D12852" t="s">
        <v>31</v>
      </c>
      <c r="E12852" t="s">
        <v>15</v>
      </c>
      <c r="F12852" t="s">
        <v>15</v>
      </c>
      <c r="G12852" s="2">
        <f>VALUE(1837.92)</f>
        <v>1837.92</v>
      </c>
      <c r="H12852" s="3">
        <f>VALUE(1248.62)</f>
        <v>1248.6199999999999</v>
      </c>
      <c r="I12852" s="1">
        <f>VALUE(3202)</f>
        <v>3202</v>
      </c>
      <c r="J12852" s="1">
        <f>VALUE(3654)</f>
        <v>3654</v>
      </c>
      <c r="K12852" s="6">
        <f>VALUE(4424)</f>
        <v>4424</v>
      </c>
      <c r="L12852" s="7">
        <f>VALUE(6634)</f>
        <v>6634</v>
      </c>
      <c r="M12852" s="8">
        <f>VALUE(9336)</f>
        <v>9336</v>
      </c>
      <c r="N12852" t="s">
        <v>25</v>
      </c>
    </row>
    <row r="12853" spans="1:14" x14ac:dyDescent="0.25">
      <c r="A12853" t="s">
        <v>44</v>
      </c>
      <c r="B12853" t="s">
        <v>40</v>
      </c>
      <c r="C12853" t="s">
        <v>37</v>
      </c>
      <c r="D12853" t="s">
        <v>31</v>
      </c>
      <c r="E12853" t="s">
        <v>15</v>
      </c>
      <c r="F12853" t="s">
        <v>17</v>
      </c>
      <c r="G12853" s="1" t="str">
        <f t="shared" ref="G12853:M12853" si="2935">"X"</f>
        <v>X</v>
      </c>
      <c r="H12853" s="1" t="str">
        <f t="shared" si="2935"/>
        <v>X</v>
      </c>
      <c r="I12853" s="1" t="str">
        <f t="shared" si="2935"/>
        <v>X</v>
      </c>
      <c r="J12853" s="1" t="str">
        <f t="shared" si="2935"/>
        <v>X</v>
      </c>
      <c r="K12853" s="1" t="str">
        <f t="shared" si="2935"/>
        <v>X</v>
      </c>
      <c r="L12853" s="1" t="str">
        <f t="shared" si="2935"/>
        <v>X</v>
      </c>
      <c r="M12853" s="1" t="str">
        <f t="shared" si="2935"/>
        <v>X</v>
      </c>
      <c r="N12853" t="s">
        <v>27</v>
      </c>
    </row>
    <row r="12854" spans="1:14" x14ac:dyDescent="0.25">
      <c r="A12854" t="s">
        <v>44</v>
      </c>
      <c r="B12854" t="s">
        <v>40</v>
      </c>
      <c r="C12854" t="s">
        <v>37</v>
      </c>
      <c r="D12854" t="s">
        <v>31</v>
      </c>
      <c r="E12854" t="s">
        <v>15</v>
      </c>
      <c r="F12854" t="s">
        <v>18</v>
      </c>
      <c r="G12854" s="2">
        <f>VALUE(211.72)</f>
        <v>211.72</v>
      </c>
      <c r="H12854" s="3">
        <f>VALUE(183.81)</f>
        <v>183.81</v>
      </c>
      <c r="I12854" s="4">
        <f>VALUE(4765)</f>
        <v>4765</v>
      </c>
      <c r="J12854" s="1">
        <f>VALUE(5976)</f>
        <v>5976</v>
      </c>
      <c r="K12854" s="1">
        <f>VALUE(7014)</f>
        <v>7014</v>
      </c>
      <c r="L12854" s="1">
        <f>VALUE(9253)</f>
        <v>9253</v>
      </c>
      <c r="M12854" s="8">
        <f>VALUE(9996)</f>
        <v>9996</v>
      </c>
      <c r="N12854" t="s">
        <v>25</v>
      </c>
    </row>
    <row r="12855" spans="1:14" x14ac:dyDescent="0.25">
      <c r="A12855" t="s">
        <v>44</v>
      </c>
      <c r="B12855" t="s">
        <v>40</v>
      </c>
      <c r="C12855" t="s">
        <v>37</v>
      </c>
      <c r="D12855" t="s">
        <v>31</v>
      </c>
      <c r="E12855" t="s">
        <v>15</v>
      </c>
      <c r="F12855" t="s">
        <v>19</v>
      </c>
      <c r="G12855" s="1" t="str">
        <f t="shared" ref="G12855:M12855" si="2936">"X"</f>
        <v>X</v>
      </c>
      <c r="H12855" s="1" t="str">
        <f t="shared" si="2936"/>
        <v>X</v>
      </c>
      <c r="I12855" s="1" t="str">
        <f t="shared" si="2936"/>
        <v>X</v>
      </c>
      <c r="J12855" s="1" t="str">
        <f t="shared" si="2936"/>
        <v>X</v>
      </c>
      <c r="K12855" s="1" t="str">
        <f t="shared" si="2936"/>
        <v>X</v>
      </c>
      <c r="L12855" s="1" t="str">
        <f t="shared" si="2936"/>
        <v>X</v>
      </c>
      <c r="M12855" s="1" t="str">
        <f t="shared" si="2936"/>
        <v>X</v>
      </c>
      <c r="N12855" t="s">
        <v>27</v>
      </c>
    </row>
    <row r="12856" spans="1:14" x14ac:dyDescent="0.25">
      <c r="A12856" t="s">
        <v>44</v>
      </c>
      <c r="B12856" t="s">
        <v>40</v>
      </c>
      <c r="C12856" t="s">
        <v>37</v>
      </c>
      <c r="D12856" t="s">
        <v>31</v>
      </c>
      <c r="E12856" t="s">
        <v>15</v>
      </c>
      <c r="F12856" t="s">
        <v>20</v>
      </c>
      <c r="G12856" s="2">
        <f>VALUE(1399.25)</f>
        <v>1399.25</v>
      </c>
      <c r="H12856" s="3">
        <f>VALUE(858.61)</f>
        <v>858.61</v>
      </c>
      <c r="I12856" s="1">
        <f>VALUE(3149)</f>
        <v>3149</v>
      </c>
      <c r="J12856" s="1">
        <f>VALUE(3514)</f>
        <v>3514</v>
      </c>
      <c r="K12856" s="1">
        <f>VALUE(4058)</f>
        <v>4058</v>
      </c>
      <c r="L12856" s="1">
        <f>VALUE(5385)</f>
        <v>5385</v>
      </c>
      <c r="M12856" s="1">
        <f>VALUE(6634)</f>
        <v>6634</v>
      </c>
      <c r="N12856" t="s">
        <v>25</v>
      </c>
    </row>
    <row r="12857" spans="1:14" x14ac:dyDescent="0.25">
      <c r="A12857" t="s">
        <v>44</v>
      </c>
      <c r="B12857" t="s">
        <v>40</v>
      </c>
      <c r="C12857" t="s">
        <v>37</v>
      </c>
      <c r="D12857" t="s">
        <v>31</v>
      </c>
      <c r="E12857" t="s">
        <v>21</v>
      </c>
      <c r="F12857" t="s">
        <v>15</v>
      </c>
      <c r="G12857" s="2">
        <f>VALUE(507.13)</f>
        <v>507.13</v>
      </c>
      <c r="H12857" s="3">
        <f>VALUE(446.95)</f>
        <v>446.95</v>
      </c>
      <c r="I12857" s="4">
        <f>VALUE(4288)</f>
        <v>4288</v>
      </c>
      <c r="J12857" s="1">
        <f>VALUE(5647)</f>
        <v>5647</v>
      </c>
      <c r="K12857" s="1">
        <f>VALUE(6962)</f>
        <v>6962</v>
      </c>
      <c r="L12857" s="1">
        <f>VALUE(9202)</f>
        <v>9202</v>
      </c>
      <c r="M12857" s="8">
        <f>VALUE(11916)</f>
        <v>11916</v>
      </c>
      <c r="N12857" t="s">
        <v>25</v>
      </c>
    </row>
    <row r="12858" spans="1:14" x14ac:dyDescent="0.25">
      <c r="A12858" t="s">
        <v>44</v>
      </c>
      <c r="B12858" t="s">
        <v>40</v>
      </c>
      <c r="C12858" t="s">
        <v>37</v>
      </c>
      <c r="D12858" t="s">
        <v>31</v>
      </c>
      <c r="E12858" t="s">
        <v>21</v>
      </c>
      <c r="F12858" t="s">
        <v>17</v>
      </c>
      <c r="G12858" s="1" t="str">
        <f t="shared" ref="G12858:M12860" si="2937">"X"</f>
        <v>X</v>
      </c>
      <c r="H12858" s="1" t="str">
        <f t="shared" si="2937"/>
        <v>X</v>
      </c>
      <c r="I12858" s="1" t="str">
        <f t="shared" si="2937"/>
        <v>X</v>
      </c>
      <c r="J12858" s="1" t="str">
        <f t="shared" si="2937"/>
        <v>X</v>
      </c>
      <c r="K12858" s="1" t="str">
        <f t="shared" si="2937"/>
        <v>X</v>
      </c>
      <c r="L12858" s="1" t="str">
        <f t="shared" si="2937"/>
        <v>X</v>
      </c>
      <c r="M12858" s="1" t="str">
        <f t="shared" si="2937"/>
        <v>X</v>
      </c>
      <c r="N12858" t="s">
        <v>27</v>
      </c>
    </row>
    <row r="12859" spans="1:14" x14ac:dyDescent="0.25">
      <c r="A12859" t="s">
        <v>44</v>
      </c>
      <c r="B12859" t="s">
        <v>40</v>
      </c>
      <c r="C12859" t="s">
        <v>37</v>
      </c>
      <c r="D12859" t="s">
        <v>31</v>
      </c>
      <c r="E12859" t="s">
        <v>21</v>
      </c>
      <c r="F12859" t="s">
        <v>18</v>
      </c>
      <c r="G12859" s="1" t="str">
        <f t="shared" si="2937"/>
        <v>X</v>
      </c>
      <c r="H12859" s="1" t="str">
        <f t="shared" si="2937"/>
        <v>X</v>
      </c>
      <c r="I12859" s="1" t="str">
        <f t="shared" si="2937"/>
        <v>X</v>
      </c>
      <c r="J12859" s="1" t="str">
        <f t="shared" si="2937"/>
        <v>X</v>
      </c>
      <c r="K12859" s="1" t="str">
        <f t="shared" si="2937"/>
        <v>X</v>
      </c>
      <c r="L12859" s="1" t="str">
        <f t="shared" si="2937"/>
        <v>X</v>
      </c>
      <c r="M12859" s="1" t="str">
        <f t="shared" si="2937"/>
        <v>X</v>
      </c>
      <c r="N12859" t="s">
        <v>27</v>
      </c>
    </row>
    <row r="12860" spans="1:14" x14ac:dyDescent="0.25">
      <c r="A12860" t="s">
        <v>44</v>
      </c>
      <c r="B12860" t="s">
        <v>40</v>
      </c>
      <c r="C12860" t="s">
        <v>37</v>
      </c>
      <c r="D12860" t="s">
        <v>31</v>
      </c>
      <c r="E12860" t="s">
        <v>21</v>
      </c>
      <c r="F12860" t="s">
        <v>19</v>
      </c>
      <c r="G12860" s="1" t="str">
        <f t="shared" si="2937"/>
        <v>X</v>
      </c>
      <c r="H12860" s="1" t="str">
        <f t="shared" si="2937"/>
        <v>X</v>
      </c>
      <c r="I12860" s="1" t="str">
        <f t="shared" si="2937"/>
        <v>X</v>
      </c>
      <c r="J12860" s="1" t="str">
        <f t="shared" si="2937"/>
        <v>X</v>
      </c>
      <c r="K12860" s="1" t="str">
        <f t="shared" si="2937"/>
        <v>X</v>
      </c>
      <c r="L12860" s="1" t="str">
        <f t="shared" si="2937"/>
        <v>X</v>
      </c>
      <c r="M12860" s="1" t="str">
        <f t="shared" si="2937"/>
        <v>X</v>
      </c>
      <c r="N12860" t="s">
        <v>27</v>
      </c>
    </row>
    <row r="12861" spans="1:14" x14ac:dyDescent="0.25">
      <c r="A12861" t="s">
        <v>44</v>
      </c>
      <c r="B12861" t="s">
        <v>40</v>
      </c>
      <c r="C12861" t="s">
        <v>37</v>
      </c>
      <c r="D12861" t="s">
        <v>31</v>
      </c>
      <c r="E12861" t="s">
        <v>21</v>
      </c>
      <c r="F12861" t="s">
        <v>20</v>
      </c>
      <c r="G12861" s="2">
        <f>VALUE(208.23)</f>
        <v>208.23</v>
      </c>
      <c r="H12861" s="3">
        <f>VALUE(177.58)</f>
        <v>177.58</v>
      </c>
      <c r="I12861" s="4">
        <f>VALUE(4215)</f>
        <v>4215</v>
      </c>
      <c r="J12861" s="1">
        <f>VALUE(5497)</f>
        <v>5497</v>
      </c>
      <c r="K12861" s="1">
        <f>VALUE(5970)</f>
        <v>5970</v>
      </c>
      <c r="L12861" s="1">
        <f>VALUE(6855)</f>
        <v>6855</v>
      </c>
      <c r="M12861" s="1">
        <f>VALUE(8493)</f>
        <v>8493</v>
      </c>
      <c r="N12861" t="s">
        <v>25</v>
      </c>
    </row>
    <row r="12862" spans="1:14" x14ac:dyDescent="0.25">
      <c r="A12862" t="s">
        <v>44</v>
      </c>
      <c r="B12862" t="s">
        <v>40</v>
      </c>
      <c r="C12862" t="s">
        <v>37</v>
      </c>
      <c r="D12862" t="s">
        <v>31</v>
      </c>
      <c r="E12862" t="s">
        <v>22</v>
      </c>
      <c r="F12862" t="s">
        <v>15</v>
      </c>
      <c r="G12862" s="2">
        <f>VALUE(427.87)</f>
        <v>427.87</v>
      </c>
      <c r="H12862" s="3">
        <f>VALUE(339.73)</f>
        <v>339.73</v>
      </c>
      <c r="I12862" s="4">
        <f>VALUE(3094)</f>
        <v>3094</v>
      </c>
      <c r="J12862" s="5">
        <f>VALUE(3920)</f>
        <v>3920</v>
      </c>
      <c r="K12862" s="6">
        <f>VALUE(4728)</f>
        <v>4728</v>
      </c>
      <c r="L12862" s="1">
        <f>VALUE(5762)</f>
        <v>5762</v>
      </c>
      <c r="M12862" s="8">
        <f>VALUE(7525)</f>
        <v>7525</v>
      </c>
      <c r="N12862" t="s">
        <v>25</v>
      </c>
    </row>
    <row r="12863" spans="1:14" x14ac:dyDescent="0.25">
      <c r="A12863" t="s">
        <v>44</v>
      </c>
      <c r="B12863" t="s">
        <v>40</v>
      </c>
      <c r="C12863" t="s">
        <v>37</v>
      </c>
      <c r="D12863" t="s">
        <v>31</v>
      </c>
      <c r="E12863" t="s">
        <v>22</v>
      </c>
      <c r="F12863" t="s">
        <v>17</v>
      </c>
      <c r="G12863" s="1" t="str">
        <f t="shared" ref="G12863:M12865" si="2938">"X"</f>
        <v>X</v>
      </c>
      <c r="H12863" s="1" t="str">
        <f t="shared" si="2938"/>
        <v>X</v>
      </c>
      <c r="I12863" s="1" t="str">
        <f t="shared" si="2938"/>
        <v>X</v>
      </c>
      <c r="J12863" s="1" t="str">
        <f t="shared" si="2938"/>
        <v>X</v>
      </c>
      <c r="K12863" s="1" t="str">
        <f t="shared" si="2938"/>
        <v>X</v>
      </c>
      <c r="L12863" s="1" t="str">
        <f t="shared" si="2938"/>
        <v>X</v>
      </c>
      <c r="M12863" s="1" t="str">
        <f t="shared" si="2938"/>
        <v>X</v>
      </c>
      <c r="N12863" t="s">
        <v>27</v>
      </c>
    </row>
    <row r="12864" spans="1:14" x14ac:dyDescent="0.25">
      <c r="A12864" t="s">
        <v>44</v>
      </c>
      <c r="B12864" t="s">
        <v>40</v>
      </c>
      <c r="C12864" t="s">
        <v>37</v>
      </c>
      <c r="D12864" t="s">
        <v>31</v>
      </c>
      <c r="E12864" t="s">
        <v>22</v>
      </c>
      <c r="F12864" t="s">
        <v>18</v>
      </c>
      <c r="G12864" s="1" t="str">
        <f t="shared" si="2938"/>
        <v>X</v>
      </c>
      <c r="H12864" s="1" t="str">
        <f t="shared" si="2938"/>
        <v>X</v>
      </c>
      <c r="I12864" s="1" t="str">
        <f t="shared" si="2938"/>
        <v>X</v>
      </c>
      <c r="J12864" s="1" t="str">
        <f t="shared" si="2938"/>
        <v>X</v>
      </c>
      <c r="K12864" s="1" t="str">
        <f t="shared" si="2938"/>
        <v>X</v>
      </c>
      <c r="L12864" s="1" t="str">
        <f t="shared" si="2938"/>
        <v>X</v>
      </c>
      <c r="M12864" s="1" t="str">
        <f t="shared" si="2938"/>
        <v>X</v>
      </c>
      <c r="N12864" t="s">
        <v>27</v>
      </c>
    </row>
    <row r="12865" spans="1:14" x14ac:dyDescent="0.25">
      <c r="A12865" t="s">
        <v>44</v>
      </c>
      <c r="B12865" t="s">
        <v>40</v>
      </c>
      <c r="C12865" t="s">
        <v>37</v>
      </c>
      <c r="D12865" t="s">
        <v>31</v>
      </c>
      <c r="E12865" t="s">
        <v>22</v>
      </c>
      <c r="F12865" t="s">
        <v>19</v>
      </c>
      <c r="G12865" s="1" t="str">
        <f t="shared" si="2938"/>
        <v>X</v>
      </c>
      <c r="H12865" s="1" t="str">
        <f t="shared" si="2938"/>
        <v>X</v>
      </c>
      <c r="I12865" s="1" t="str">
        <f t="shared" si="2938"/>
        <v>X</v>
      </c>
      <c r="J12865" s="1" t="str">
        <f t="shared" si="2938"/>
        <v>X</v>
      </c>
      <c r="K12865" s="1" t="str">
        <f t="shared" si="2938"/>
        <v>X</v>
      </c>
      <c r="L12865" s="1" t="str">
        <f t="shared" si="2938"/>
        <v>X</v>
      </c>
      <c r="M12865" s="1" t="str">
        <f t="shared" si="2938"/>
        <v>X</v>
      </c>
      <c r="N12865" t="s">
        <v>27</v>
      </c>
    </row>
    <row r="12866" spans="1:14" x14ac:dyDescent="0.25">
      <c r="A12866" t="s">
        <v>44</v>
      </c>
      <c r="B12866" t="s">
        <v>40</v>
      </c>
      <c r="C12866" t="s">
        <v>37</v>
      </c>
      <c r="D12866" t="s">
        <v>31</v>
      </c>
      <c r="E12866" t="s">
        <v>22</v>
      </c>
      <c r="F12866" t="s">
        <v>20</v>
      </c>
      <c r="G12866" s="2">
        <f>VALUE(308.85)</f>
        <v>308.85000000000002</v>
      </c>
      <c r="H12866" s="3">
        <f>VALUE(233.57)</f>
        <v>233.57</v>
      </c>
      <c r="I12866" s="4">
        <f>VALUE(3098)</f>
        <v>3098</v>
      </c>
      <c r="J12866" s="5">
        <f>VALUE(3920)</f>
        <v>3920</v>
      </c>
      <c r="K12866" s="6">
        <f>VALUE(4118)</f>
        <v>4118</v>
      </c>
      <c r="L12866" s="1">
        <f>VALUE(5235)</f>
        <v>5235</v>
      </c>
      <c r="M12866" s="8">
        <f>VALUE(5978)</f>
        <v>5978</v>
      </c>
      <c r="N12866" t="s">
        <v>25</v>
      </c>
    </row>
    <row r="12867" spans="1:14" x14ac:dyDescent="0.25">
      <c r="A12867" t="s">
        <v>44</v>
      </c>
      <c r="B12867" t="s">
        <v>40</v>
      </c>
      <c r="C12867" t="s">
        <v>37</v>
      </c>
      <c r="D12867" t="s">
        <v>31</v>
      </c>
      <c r="E12867" t="s">
        <v>23</v>
      </c>
      <c r="F12867" t="s">
        <v>15</v>
      </c>
      <c r="G12867" s="2">
        <f>VALUE(876.09)</f>
        <v>876.09</v>
      </c>
      <c r="H12867" s="3">
        <f>VALUE(433.86)</f>
        <v>433.86</v>
      </c>
      <c r="I12867" s="1">
        <f>VALUE(3079)</f>
        <v>3079</v>
      </c>
      <c r="J12867" s="1">
        <f>VALUE(3408)</f>
        <v>3408</v>
      </c>
      <c r="K12867" s="1">
        <f>VALUE(3831)</f>
        <v>3831</v>
      </c>
      <c r="L12867" s="1">
        <f>VALUE(4186)</f>
        <v>4186</v>
      </c>
      <c r="M12867" s="8">
        <f>VALUE(4639)</f>
        <v>4639</v>
      </c>
      <c r="N12867" t="s">
        <v>25</v>
      </c>
    </row>
    <row r="12868" spans="1:14" x14ac:dyDescent="0.25">
      <c r="A12868" t="s">
        <v>44</v>
      </c>
      <c r="B12868" t="s">
        <v>40</v>
      </c>
      <c r="C12868" t="s">
        <v>37</v>
      </c>
      <c r="D12868" t="s">
        <v>31</v>
      </c>
      <c r="E12868" t="s">
        <v>23</v>
      </c>
      <c r="F12868" t="s">
        <v>17</v>
      </c>
      <c r="G12868" s="1" t="str">
        <f t="shared" ref="G12868:M12870" si="2939">"X"</f>
        <v>X</v>
      </c>
      <c r="H12868" s="1" t="str">
        <f t="shared" si="2939"/>
        <v>X</v>
      </c>
      <c r="I12868" s="1" t="str">
        <f t="shared" si="2939"/>
        <v>X</v>
      </c>
      <c r="J12868" s="1" t="str">
        <f t="shared" si="2939"/>
        <v>X</v>
      </c>
      <c r="K12868" s="1" t="str">
        <f t="shared" si="2939"/>
        <v>X</v>
      </c>
      <c r="L12868" s="1" t="str">
        <f t="shared" si="2939"/>
        <v>X</v>
      </c>
      <c r="M12868" s="1" t="str">
        <f t="shared" si="2939"/>
        <v>X</v>
      </c>
      <c r="N12868" t="s">
        <v>27</v>
      </c>
    </row>
    <row r="12869" spans="1:14" x14ac:dyDescent="0.25">
      <c r="A12869" t="s">
        <v>44</v>
      </c>
      <c r="B12869" t="s">
        <v>40</v>
      </c>
      <c r="C12869" t="s">
        <v>37</v>
      </c>
      <c r="D12869" t="s">
        <v>31</v>
      </c>
      <c r="E12869" t="s">
        <v>23</v>
      </c>
      <c r="F12869" t="s">
        <v>18</v>
      </c>
      <c r="G12869" s="1" t="str">
        <f t="shared" si="2939"/>
        <v>X</v>
      </c>
      <c r="H12869" s="1" t="str">
        <f t="shared" si="2939"/>
        <v>X</v>
      </c>
      <c r="I12869" s="1" t="str">
        <f t="shared" si="2939"/>
        <v>X</v>
      </c>
      <c r="J12869" s="1" t="str">
        <f t="shared" si="2939"/>
        <v>X</v>
      </c>
      <c r="K12869" s="1" t="str">
        <f t="shared" si="2939"/>
        <v>X</v>
      </c>
      <c r="L12869" s="1" t="str">
        <f t="shared" si="2939"/>
        <v>X</v>
      </c>
      <c r="M12869" s="1" t="str">
        <f t="shared" si="2939"/>
        <v>X</v>
      </c>
      <c r="N12869" t="s">
        <v>27</v>
      </c>
    </row>
    <row r="12870" spans="1:14" x14ac:dyDescent="0.25">
      <c r="A12870" t="s">
        <v>44</v>
      </c>
      <c r="B12870" t="s">
        <v>40</v>
      </c>
      <c r="C12870" t="s">
        <v>37</v>
      </c>
      <c r="D12870" t="s">
        <v>31</v>
      </c>
      <c r="E12870" t="s">
        <v>23</v>
      </c>
      <c r="F12870" t="s">
        <v>19</v>
      </c>
      <c r="G12870" s="1" t="str">
        <f t="shared" si="2939"/>
        <v>X</v>
      </c>
      <c r="H12870" s="1" t="str">
        <f t="shared" si="2939"/>
        <v>X</v>
      </c>
      <c r="I12870" s="1" t="str">
        <f t="shared" si="2939"/>
        <v>X</v>
      </c>
      <c r="J12870" s="1" t="str">
        <f t="shared" si="2939"/>
        <v>X</v>
      </c>
      <c r="K12870" s="1" t="str">
        <f t="shared" si="2939"/>
        <v>X</v>
      </c>
      <c r="L12870" s="1" t="str">
        <f t="shared" si="2939"/>
        <v>X</v>
      </c>
      <c r="M12870" s="1" t="str">
        <f t="shared" si="2939"/>
        <v>X</v>
      </c>
      <c r="N12870" t="s">
        <v>27</v>
      </c>
    </row>
    <row r="12871" spans="1:14" x14ac:dyDescent="0.25">
      <c r="A12871" t="s">
        <v>44</v>
      </c>
      <c r="B12871" t="s">
        <v>40</v>
      </c>
      <c r="C12871" t="s">
        <v>37</v>
      </c>
      <c r="D12871" t="s">
        <v>31</v>
      </c>
      <c r="E12871" t="s">
        <v>23</v>
      </c>
      <c r="F12871" t="s">
        <v>20</v>
      </c>
      <c r="G12871" s="2">
        <f>VALUE(857.03)</f>
        <v>857.03</v>
      </c>
      <c r="H12871" s="3">
        <f>VALUE(421.07)</f>
        <v>421.07</v>
      </c>
      <c r="I12871" s="4">
        <f>VALUE(3079)</f>
        <v>3079</v>
      </c>
      <c r="J12871" s="1">
        <f>VALUE(3408)</f>
        <v>3408</v>
      </c>
      <c r="K12871" s="1">
        <f>VALUE(3775)</f>
        <v>3775</v>
      </c>
      <c r="L12871" s="1">
        <f>VALUE(4089)</f>
        <v>4089</v>
      </c>
      <c r="M12871" s="8">
        <f>VALUE(4361)</f>
        <v>4361</v>
      </c>
      <c r="N12871" t="s">
        <v>25</v>
      </c>
    </row>
    <row r="12872" spans="1:14" x14ac:dyDescent="0.25">
      <c r="A12872" t="s">
        <v>44</v>
      </c>
      <c r="B12872" t="s">
        <v>40</v>
      </c>
      <c r="C12872" t="s">
        <v>37</v>
      </c>
      <c r="D12872" t="s">
        <v>31</v>
      </c>
      <c r="E12872" t="s">
        <v>26</v>
      </c>
      <c r="F12872" t="s">
        <v>15</v>
      </c>
      <c r="G12872" s="1" t="str">
        <f t="shared" ref="G12872:M12873" si="2940">"X"</f>
        <v>X</v>
      </c>
      <c r="H12872" s="1" t="str">
        <f t="shared" si="2940"/>
        <v>X</v>
      </c>
      <c r="I12872" s="1" t="str">
        <f t="shared" si="2940"/>
        <v>X</v>
      </c>
      <c r="J12872" s="1" t="str">
        <f t="shared" si="2940"/>
        <v>X</v>
      </c>
      <c r="K12872" s="1" t="str">
        <f t="shared" si="2940"/>
        <v>X</v>
      </c>
      <c r="L12872" s="1" t="str">
        <f t="shared" si="2940"/>
        <v>X</v>
      </c>
      <c r="M12872" s="1" t="str">
        <f t="shared" si="2940"/>
        <v>X</v>
      </c>
      <c r="N12872" t="s">
        <v>27</v>
      </c>
    </row>
    <row r="12873" spans="1:14" x14ac:dyDescent="0.25">
      <c r="A12873" t="s">
        <v>44</v>
      </c>
      <c r="B12873" t="s">
        <v>40</v>
      </c>
      <c r="C12873" t="s">
        <v>37</v>
      </c>
      <c r="D12873" t="s">
        <v>31</v>
      </c>
      <c r="E12873" t="s">
        <v>26</v>
      </c>
      <c r="F12873" t="s">
        <v>17</v>
      </c>
      <c r="G12873" s="1" t="str">
        <f t="shared" si="2940"/>
        <v>X</v>
      </c>
      <c r="H12873" s="1" t="str">
        <f t="shared" si="2940"/>
        <v>X</v>
      </c>
      <c r="I12873" s="1" t="str">
        <f t="shared" si="2940"/>
        <v>X</v>
      </c>
      <c r="J12873" s="1" t="str">
        <f t="shared" si="2940"/>
        <v>X</v>
      </c>
      <c r="K12873" s="1" t="str">
        <f t="shared" si="2940"/>
        <v>X</v>
      </c>
      <c r="L12873" s="1" t="str">
        <f t="shared" si="2940"/>
        <v>X</v>
      </c>
      <c r="M12873" s="1" t="str">
        <f t="shared" si="2940"/>
        <v>X</v>
      </c>
      <c r="N12873" t="s">
        <v>27</v>
      </c>
    </row>
    <row r="12874" spans="1:14" x14ac:dyDescent="0.25">
      <c r="A12874" t="s">
        <v>44</v>
      </c>
      <c r="B12874" t="s">
        <v>40</v>
      </c>
      <c r="C12874" t="s">
        <v>37</v>
      </c>
      <c r="D12874" t="s">
        <v>31</v>
      </c>
      <c r="E12874" t="s">
        <v>26</v>
      </c>
      <c r="F12874" t="s">
        <v>18</v>
      </c>
      <c r="G12874" s="1" t="str">
        <f t="shared" ref="G12874:M12875" si="2941">"..."</f>
        <v>...</v>
      </c>
      <c r="H12874" s="1" t="str">
        <f t="shared" si="2941"/>
        <v>...</v>
      </c>
      <c r="I12874" s="1" t="str">
        <f t="shared" si="2941"/>
        <v>...</v>
      </c>
      <c r="J12874" s="1" t="str">
        <f t="shared" si="2941"/>
        <v>...</v>
      </c>
      <c r="K12874" s="1" t="str">
        <f t="shared" si="2941"/>
        <v>...</v>
      </c>
      <c r="L12874" s="1" t="str">
        <f t="shared" si="2941"/>
        <v>...</v>
      </c>
      <c r="M12874" s="1" t="str">
        <f t="shared" si="2941"/>
        <v>...</v>
      </c>
      <c r="N12874" t="s">
        <v>30</v>
      </c>
    </row>
    <row r="12875" spans="1:14" x14ac:dyDescent="0.25">
      <c r="A12875" t="s">
        <v>44</v>
      </c>
      <c r="B12875" t="s">
        <v>40</v>
      </c>
      <c r="C12875" t="s">
        <v>37</v>
      </c>
      <c r="D12875" t="s">
        <v>31</v>
      </c>
      <c r="E12875" t="s">
        <v>26</v>
      </c>
      <c r="F12875" t="s">
        <v>19</v>
      </c>
      <c r="G12875" s="1" t="str">
        <f t="shared" si="2941"/>
        <v>...</v>
      </c>
      <c r="H12875" s="1" t="str">
        <f t="shared" si="2941"/>
        <v>...</v>
      </c>
      <c r="I12875" s="1" t="str">
        <f t="shared" si="2941"/>
        <v>...</v>
      </c>
      <c r="J12875" s="1" t="str">
        <f t="shared" si="2941"/>
        <v>...</v>
      </c>
      <c r="K12875" s="1" t="str">
        <f t="shared" si="2941"/>
        <v>...</v>
      </c>
      <c r="L12875" s="1" t="str">
        <f t="shared" si="2941"/>
        <v>...</v>
      </c>
      <c r="M12875" s="1" t="str">
        <f t="shared" si="2941"/>
        <v>...</v>
      </c>
      <c r="N12875" t="s">
        <v>30</v>
      </c>
    </row>
    <row r="12876" spans="1:14" x14ac:dyDescent="0.25">
      <c r="A12876" t="s">
        <v>44</v>
      </c>
      <c r="B12876" t="s">
        <v>40</v>
      </c>
      <c r="C12876" t="s">
        <v>37</v>
      </c>
      <c r="D12876" t="s">
        <v>31</v>
      </c>
      <c r="E12876" t="s">
        <v>26</v>
      </c>
      <c r="F12876" t="s">
        <v>20</v>
      </c>
      <c r="G12876" s="1" t="str">
        <f t="shared" ref="G12876:M12876" si="2942">"X"</f>
        <v>X</v>
      </c>
      <c r="H12876" s="1" t="str">
        <f t="shared" si="2942"/>
        <v>X</v>
      </c>
      <c r="I12876" s="1" t="str">
        <f t="shared" si="2942"/>
        <v>X</v>
      </c>
      <c r="J12876" s="1" t="str">
        <f t="shared" si="2942"/>
        <v>X</v>
      </c>
      <c r="K12876" s="1" t="str">
        <f t="shared" si="2942"/>
        <v>X</v>
      </c>
      <c r="L12876" s="1" t="str">
        <f t="shared" si="2942"/>
        <v>X</v>
      </c>
      <c r="M12876" s="1" t="str">
        <f t="shared" si="2942"/>
        <v>X</v>
      </c>
      <c r="N12876" t="s">
        <v>27</v>
      </c>
    </row>
    <row r="12877" spans="1:14" x14ac:dyDescent="0.25">
      <c r="A12877" t="s">
        <v>44</v>
      </c>
      <c r="B12877" t="s">
        <v>40</v>
      </c>
      <c r="C12877" t="s">
        <v>37</v>
      </c>
      <c r="D12877" t="s">
        <v>32</v>
      </c>
      <c r="E12877" t="s">
        <v>15</v>
      </c>
      <c r="F12877" t="s">
        <v>15</v>
      </c>
      <c r="G12877" s="1">
        <f>VALUE(8172.57)</f>
        <v>8172.57</v>
      </c>
      <c r="H12877" s="1">
        <f>VALUE(6811.05)</f>
        <v>6811.05</v>
      </c>
      <c r="I12877" s="1">
        <f>VALUE(3072)</f>
        <v>3072</v>
      </c>
      <c r="J12877" s="1">
        <f>VALUE(3391)</f>
        <v>3391</v>
      </c>
      <c r="K12877" s="1">
        <f>VALUE(4230)</f>
        <v>4230</v>
      </c>
      <c r="L12877" s="1">
        <f>VALUE(5601)</f>
        <v>5601</v>
      </c>
      <c r="M12877" s="1">
        <f>VALUE(7105)</f>
        <v>7105</v>
      </c>
      <c r="N12877" t="s">
        <v>16</v>
      </c>
    </row>
    <row r="12878" spans="1:14" x14ac:dyDescent="0.25">
      <c r="A12878" t="s">
        <v>44</v>
      </c>
      <c r="B12878" t="s">
        <v>40</v>
      </c>
      <c r="C12878" t="s">
        <v>37</v>
      </c>
      <c r="D12878" t="s">
        <v>32</v>
      </c>
      <c r="E12878" t="s">
        <v>15</v>
      </c>
      <c r="F12878" t="s">
        <v>17</v>
      </c>
      <c r="G12878" s="2">
        <f>VALUE(461.24)</f>
        <v>461.24</v>
      </c>
      <c r="H12878" s="3">
        <f>VALUE(429.51)</f>
        <v>429.51</v>
      </c>
      <c r="I12878" s="1">
        <f>VALUE(4642)</f>
        <v>4642</v>
      </c>
      <c r="J12878" s="1">
        <f>VALUE(5707)</f>
        <v>5707</v>
      </c>
      <c r="K12878" s="1">
        <f>VALUE(7185)</f>
        <v>7185</v>
      </c>
      <c r="L12878" s="7">
        <f>VALUE(8432)</f>
        <v>8432</v>
      </c>
      <c r="M12878" s="8">
        <f>VALUE(13207)</f>
        <v>13207</v>
      </c>
      <c r="N12878" t="s">
        <v>25</v>
      </c>
    </row>
    <row r="12879" spans="1:14" x14ac:dyDescent="0.25">
      <c r="A12879" t="s">
        <v>44</v>
      </c>
      <c r="B12879" t="s">
        <v>40</v>
      </c>
      <c r="C12879" t="s">
        <v>37</v>
      </c>
      <c r="D12879" t="s">
        <v>32</v>
      </c>
      <c r="E12879" t="s">
        <v>15</v>
      </c>
      <c r="F12879" t="s">
        <v>18</v>
      </c>
      <c r="G12879" s="2">
        <f>VALUE(575.73)</f>
        <v>575.73</v>
      </c>
      <c r="H12879" s="3">
        <f>VALUE(527.02)</f>
        <v>527.02</v>
      </c>
      <c r="I12879" s="4">
        <f>VALUE(3775)</f>
        <v>3775</v>
      </c>
      <c r="J12879" s="5">
        <f>VALUE(4853)</f>
        <v>4853</v>
      </c>
      <c r="K12879" s="6">
        <f>VALUE(5500)</f>
        <v>5500</v>
      </c>
      <c r="L12879" s="7">
        <f>VALUE(7012)</f>
        <v>7012</v>
      </c>
      <c r="M12879" s="8">
        <f>VALUE(8560)</f>
        <v>8560</v>
      </c>
      <c r="N12879" t="s">
        <v>24</v>
      </c>
    </row>
    <row r="12880" spans="1:14" x14ac:dyDescent="0.25">
      <c r="A12880" t="s">
        <v>44</v>
      </c>
      <c r="B12880" t="s">
        <v>40</v>
      </c>
      <c r="C12880" t="s">
        <v>37</v>
      </c>
      <c r="D12880" t="s">
        <v>32</v>
      </c>
      <c r="E12880" t="s">
        <v>15</v>
      </c>
      <c r="F12880" t="s">
        <v>19</v>
      </c>
      <c r="G12880" s="2">
        <f>VALUE(898.99)</f>
        <v>898.99</v>
      </c>
      <c r="H12880" s="3">
        <f>VALUE(798.3)</f>
        <v>798.3</v>
      </c>
      <c r="I12880" s="1">
        <f>VALUE(3249)</f>
        <v>3249</v>
      </c>
      <c r="J12880" s="1">
        <f>VALUE(4132)</f>
        <v>4132</v>
      </c>
      <c r="K12880" s="1">
        <f>VALUE(4983)</f>
        <v>4983</v>
      </c>
      <c r="L12880" s="1">
        <f>VALUE(6643)</f>
        <v>6643</v>
      </c>
      <c r="M12880" s="1">
        <f>VALUE(7127)</f>
        <v>7127</v>
      </c>
      <c r="N12880" t="s">
        <v>25</v>
      </c>
    </row>
    <row r="12881" spans="1:14" x14ac:dyDescent="0.25">
      <c r="A12881" t="s">
        <v>44</v>
      </c>
      <c r="B12881" t="s">
        <v>40</v>
      </c>
      <c r="C12881" t="s">
        <v>37</v>
      </c>
      <c r="D12881" t="s">
        <v>32</v>
      </c>
      <c r="E12881" t="s">
        <v>15</v>
      </c>
      <c r="F12881" t="s">
        <v>20</v>
      </c>
      <c r="G12881" s="1">
        <f>VALUE(6236.61)</f>
        <v>6236.61</v>
      </c>
      <c r="H12881" s="1">
        <f>VALUE(5056.22)</f>
        <v>5056.22</v>
      </c>
      <c r="I12881" s="1">
        <f>VALUE(3012)</f>
        <v>3012</v>
      </c>
      <c r="J12881" s="1">
        <f>VALUE(3286)</f>
        <v>3286</v>
      </c>
      <c r="K12881" s="1">
        <f>VALUE(3813)</f>
        <v>3813</v>
      </c>
      <c r="L12881" s="1">
        <f>VALUE(4948)</f>
        <v>4948</v>
      </c>
      <c r="M12881" s="8">
        <f>VALUE(6355)</f>
        <v>6355</v>
      </c>
      <c r="N12881" t="s">
        <v>25</v>
      </c>
    </row>
    <row r="12882" spans="1:14" x14ac:dyDescent="0.25">
      <c r="A12882" t="s">
        <v>44</v>
      </c>
      <c r="B12882" t="s">
        <v>40</v>
      </c>
      <c r="C12882" t="s">
        <v>37</v>
      </c>
      <c r="D12882" t="s">
        <v>32</v>
      </c>
      <c r="E12882" t="s">
        <v>21</v>
      </c>
      <c r="F12882" t="s">
        <v>15</v>
      </c>
      <c r="G12882" s="2">
        <f>VALUE(2019.36)</f>
        <v>2019.36</v>
      </c>
      <c r="H12882" s="3">
        <f>VALUE(1761.75)</f>
        <v>1761.75</v>
      </c>
      <c r="I12882" s="1">
        <f>VALUE(4104)</f>
        <v>4104</v>
      </c>
      <c r="J12882" s="5">
        <f>VALUE(4870)</f>
        <v>4870</v>
      </c>
      <c r="K12882" s="6">
        <f>VALUE(6207)</f>
        <v>6207</v>
      </c>
      <c r="L12882" s="1">
        <f>VALUE(7136)</f>
        <v>7136</v>
      </c>
      <c r="M12882" s="8">
        <f>VALUE(8494)</f>
        <v>8494</v>
      </c>
      <c r="N12882" t="s">
        <v>25</v>
      </c>
    </row>
    <row r="12883" spans="1:14" x14ac:dyDescent="0.25">
      <c r="A12883" t="s">
        <v>44</v>
      </c>
      <c r="B12883" t="s">
        <v>40</v>
      </c>
      <c r="C12883" t="s">
        <v>37</v>
      </c>
      <c r="D12883" t="s">
        <v>32</v>
      </c>
      <c r="E12883" t="s">
        <v>21</v>
      </c>
      <c r="F12883" t="s">
        <v>17</v>
      </c>
      <c r="G12883" s="2">
        <f>VALUE(255.31)</f>
        <v>255.31</v>
      </c>
      <c r="H12883" s="3">
        <f>VALUE(240.08)</f>
        <v>240.08</v>
      </c>
      <c r="I12883" s="4">
        <f>VALUE(5415)</f>
        <v>5415</v>
      </c>
      <c r="J12883" s="5">
        <f>VALUE(6829)</f>
        <v>6829</v>
      </c>
      <c r="K12883" s="1">
        <f>VALUE(8036)</f>
        <v>8036</v>
      </c>
      <c r="L12883" s="7">
        <f>VALUE(10153)</f>
        <v>10153</v>
      </c>
      <c r="M12883" s="8">
        <f>VALUE(13411)</f>
        <v>13411</v>
      </c>
      <c r="N12883" t="s">
        <v>25</v>
      </c>
    </row>
    <row r="12884" spans="1:14" x14ac:dyDescent="0.25">
      <c r="A12884" t="s">
        <v>44</v>
      </c>
      <c r="B12884" t="s">
        <v>40</v>
      </c>
      <c r="C12884" t="s">
        <v>37</v>
      </c>
      <c r="D12884" t="s">
        <v>32</v>
      </c>
      <c r="E12884" t="s">
        <v>21</v>
      </c>
      <c r="F12884" t="s">
        <v>18</v>
      </c>
      <c r="G12884" s="2">
        <f>VALUE(333.95)</f>
        <v>333.95</v>
      </c>
      <c r="H12884" s="3">
        <f>VALUE(307.7)</f>
        <v>307.7</v>
      </c>
      <c r="I12884" s="4">
        <f>VALUE(4752)</f>
        <v>4752</v>
      </c>
      <c r="J12884" s="5">
        <f>VALUE(5189)</f>
        <v>5189</v>
      </c>
      <c r="K12884" s="6">
        <f>VALUE(5500)</f>
        <v>5500</v>
      </c>
      <c r="L12884" s="7">
        <f>VALUE(7478)</f>
        <v>7478</v>
      </c>
      <c r="M12884" s="8">
        <f>VALUE(8687)</f>
        <v>8687</v>
      </c>
      <c r="N12884" t="s">
        <v>24</v>
      </c>
    </row>
    <row r="12885" spans="1:14" x14ac:dyDescent="0.25">
      <c r="A12885" t="s">
        <v>44</v>
      </c>
      <c r="B12885" t="s">
        <v>40</v>
      </c>
      <c r="C12885" t="s">
        <v>37</v>
      </c>
      <c r="D12885" t="s">
        <v>32</v>
      </c>
      <c r="E12885" t="s">
        <v>21</v>
      </c>
      <c r="F12885" t="s">
        <v>19</v>
      </c>
      <c r="G12885" s="2">
        <f>VALUE(345.2)</f>
        <v>345.2</v>
      </c>
      <c r="H12885" s="3">
        <f>VALUE(295.69)</f>
        <v>295.69</v>
      </c>
      <c r="I12885" s="4">
        <f>VALUE(4347)</f>
        <v>4347</v>
      </c>
      <c r="J12885" s="5">
        <f>VALUE(5416)</f>
        <v>5416</v>
      </c>
      <c r="K12885" s="1">
        <f>VALUE(6708)</f>
        <v>6708</v>
      </c>
      <c r="L12885" s="1">
        <f>VALUE(7127)</f>
        <v>7127</v>
      </c>
      <c r="M12885" s="1">
        <f>VALUE(7844)</f>
        <v>7844</v>
      </c>
      <c r="N12885" t="s">
        <v>25</v>
      </c>
    </row>
    <row r="12886" spans="1:14" x14ac:dyDescent="0.25">
      <c r="A12886" t="s">
        <v>44</v>
      </c>
      <c r="B12886" t="s">
        <v>40</v>
      </c>
      <c r="C12886" t="s">
        <v>37</v>
      </c>
      <c r="D12886" t="s">
        <v>32</v>
      </c>
      <c r="E12886" t="s">
        <v>21</v>
      </c>
      <c r="F12886" t="s">
        <v>20</v>
      </c>
      <c r="G12886" s="2">
        <f>VALUE(1084.9)</f>
        <v>1084.9000000000001</v>
      </c>
      <c r="H12886" s="3">
        <f>VALUE(918.28)</f>
        <v>918.28</v>
      </c>
      <c r="I12886" s="4">
        <f>VALUE(3923)</f>
        <v>3923</v>
      </c>
      <c r="J12886" s="5">
        <f>VALUE(4745)</f>
        <v>4745</v>
      </c>
      <c r="K12886" s="6">
        <f>VALUE(5716)</f>
        <v>5716</v>
      </c>
      <c r="L12886" s="1">
        <f>VALUE(6705)</f>
        <v>6705</v>
      </c>
      <c r="M12886" s="1">
        <f>VALUE(7481)</f>
        <v>7481</v>
      </c>
      <c r="N12886" t="s">
        <v>25</v>
      </c>
    </row>
    <row r="12887" spans="1:14" x14ac:dyDescent="0.25">
      <c r="A12887" t="s">
        <v>44</v>
      </c>
      <c r="B12887" t="s">
        <v>40</v>
      </c>
      <c r="C12887" t="s">
        <v>37</v>
      </c>
      <c r="D12887" t="s">
        <v>32</v>
      </c>
      <c r="E12887" t="s">
        <v>22</v>
      </c>
      <c r="F12887" t="s">
        <v>15</v>
      </c>
      <c r="G12887" s="2">
        <f>VALUE(2333.86)</f>
        <v>2333.86</v>
      </c>
      <c r="H12887" s="1">
        <f>VALUE(1923.75)</f>
        <v>1923.75</v>
      </c>
      <c r="I12887" s="1">
        <f>VALUE(3367)</f>
        <v>3367</v>
      </c>
      <c r="J12887" s="1">
        <f>VALUE(3915)</f>
        <v>3915</v>
      </c>
      <c r="K12887" s="1">
        <f>VALUE(4817)</f>
        <v>4817</v>
      </c>
      <c r="L12887" s="1">
        <f>VALUE(5746)</f>
        <v>5746</v>
      </c>
      <c r="M12887" s="1">
        <f>VALUE(7109)</f>
        <v>7109</v>
      </c>
      <c r="N12887" t="s">
        <v>25</v>
      </c>
    </row>
    <row r="12888" spans="1:14" x14ac:dyDescent="0.25">
      <c r="A12888" t="s">
        <v>44</v>
      </c>
      <c r="B12888" t="s">
        <v>40</v>
      </c>
      <c r="C12888" t="s">
        <v>37</v>
      </c>
      <c r="D12888" t="s">
        <v>32</v>
      </c>
      <c r="E12888" t="s">
        <v>22</v>
      </c>
      <c r="F12888" t="s">
        <v>17</v>
      </c>
      <c r="G12888" s="1" t="str">
        <f t="shared" ref="G12888:M12888" si="2943">"X"</f>
        <v>X</v>
      </c>
      <c r="H12888" s="1" t="str">
        <f t="shared" si="2943"/>
        <v>X</v>
      </c>
      <c r="I12888" s="1" t="str">
        <f t="shared" si="2943"/>
        <v>X</v>
      </c>
      <c r="J12888" s="1" t="str">
        <f t="shared" si="2943"/>
        <v>X</v>
      </c>
      <c r="K12888" s="1" t="str">
        <f t="shared" si="2943"/>
        <v>X</v>
      </c>
      <c r="L12888" s="1" t="str">
        <f t="shared" si="2943"/>
        <v>X</v>
      </c>
      <c r="M12888" s="1" t="str">
        <f t="shared" si="2943"/>
        <v>X</v>
      </c>
      <c r="N12888" t="s">
        <v>27</v>
      </c>
    </row>
    <row r="12889" spans="1:14" x14ac:dyDescent="0.25">
      <c r="A12889" t="s">
        <v>44</v>
      </c>
      <c r="B12889" t="s">
        <v>40</v>
      </c>
      <c r="C12889" t="s">
        <v>37</v>
      </c>
      <c r="D12889" t="s">
        <v>32</v>
      </c>
      <c r="E12889" t="s">
        <v>22</v>
      </c>
      <c r="F12889" t="s">
        <v>18</v>
      </c>
      <c r="G12889" s="2">
        <f>VALUE(137.77)</f>
        <v>137.77000000000001</v>
      </c>
      <c r="H12889" s="3">
        <f>VALUE(114.03)</f>
        <v>114.03</v>
      </c>
      <c r="I12889" s="1">
        <f>VALUE(3829)</f>
        <v>3829</v>
      </c>
      <c r="J12889" s="1">
        <f>VALUE(4356)</f>
        <v>4356</v>
      </c>
      <c r="K12889" s="6">
        <f>VALUE(5465)</f>
        <v>5465</v>
      </c>
      <c r="L12889" s="1">
        <f>VALUE(7371)</f>
        <v>7371</v>
      </c>
      <c r="M12889" s="8">
        <f>VALUE(8476)</f>
        <v>8476</v>
      </c>
      <c r="N12889" t="s">
        <v>25</v>
      </c>
    </row>
    <row r="12890" spans="1:14" x14ac:dyDescent="0.25">
      <c r="A12890" t="s">
        <v>44</v>
      </c>
      <c r="B12890" t="s">
        <v>40</v>
      </c>
      <c r="C12890" t="s">
        <v>37</v>
      </c>
      <c r="D12890" t="s">
        <v>32</v>
      </c>
      <c r="E12890" t="s">
        <v>22</v>
      </c>
      <c r="F12890" t="s">
        <v>19</v>
      </c>
      <c r="G12890" s="2">
        <f>VALUE(348.54)</f>
        <v>348.54</v>
      </c>
      <c r="H12890" s="3">
        <f>VALUE(317.8)</f>
        <v>317.8</v>
      </c>
      <c r="I12890" s="4">
        <f>VALUE(3401)</f>
        <v>3401</v>
      </c>
      <c r="J12890" s="1">
        <f>VALUE(4230)</f>
        <v>4230</v>
      </c>
      <c r="K12890" s="1">
        <f>VALUE(4700)</f>
        <v>4700</v>
      </c>
      <c r="L12890" s="1">
        <f>VALUE(5958)</f>
        <v>5958</v>
      </c>
      <c r="M12890" s="1">
        <f>VALUE(6665)</f>
        <v>6665</v>
      </c>
      <c r="N12890" t="s">
        <v>25</v>
      </c>
    </row>
    <row r="12891" spans="1:14" x14ac:dyDescent="0.25">
      <c r="A12891" t="s">
        <v>44</v>
      </c>
      <c r="B12891" t="s">
        <v>40</v>
      </c>
      <c r="C12891" t="s">
        <v>37</v>
      </c>
      <c r="D12891" t="s">
        <v>32</v>
      </c>
      <c r="E12891" t="s">
        <v>22</v>
      </c>
      <c r="F12891" t="s">
        <v>20</v>
      </c>
      <c r="G12891" s="2">
        <f>VALUE(1681.9)</f>
        <v>1681.9</v>
      </c>
      <c r="H12891" s="3">
        <f>VALUE(1340.37)</f>
        <v>1340.37</v>
      </c>
      <c r="I12891" s="1">
        <f>VALUE(3350)</f>
        <v>3350</v>
      </c>
      <c r="J12891" s="1">
        <f>VALUE(3810)</f>
        <v>3810</v>
      </c>
      <c r="K12891" s="1">
        <f>VALUE(4687)</f>
        <v>4687</v>
      </c>
      <c r="L12891" s="1">
        <f>VALUE(5496)</f>
        <v>5496</v>
      </c>
      <c r="M12891" s="1">
        <f>VALUE(6375)</f>
        <v>6375</v>
      </c>
      <c r="N12891" t="s">
        <v>25</v>
      </c>
    </row>
    <row r="12892" spans="1:14" x14ac:dyDescent="0.25">
      <c r="A12892" t="s">
        <v>44</v>
      </c>
      <c r="B12892" t="s">
        <v>40</v>
      </c>
      <c r="C12892" t="s">
        <v>37</v>
      </c>
      <c r="D12892" t="s">
        <v>32</v>
      </c>
      <c r="E12892" t="s">
        <v>23</v>
      </c>
      <c r="F12892" t="s">
        <v>15</v>
      </c>
      <c r="G12892" s="1">
        <f>VALUE(3747.11)</f>
        <v>3747.11</v>
      </c>
      <c r="H12892" s="1">
        <f>VALUE(3053.11)</f>
        <v>3053.11</v>
      </c>
      <c r="I12892" s="1">
        <f>VALUE(2873)</f>
        <v>2873</v>
      </c>
      <c r="J12892" s="1">
        <f>VALUE(3171)</f>
        <v>3171</v>
      </c>
      <c r="K12892" s="1">
        <f>VALUE(3432)</f>
        <v>3432</v>
      </c>
      <c r="L12892" s="1">
        <f>VALUE(3876)</f>
        <v>3876</v>
      </c>
      <c r="M12892" s="1">
        <f>VALUE(4491)</f>
        <v>4491</v>
      </c>
      <c r="N12892" t="s">
        <v>16</v>
      </c>
    </row>
    <row r="12893" spans="1:14" x14ac:dyDescent="0.25">
      <c r="A12893" t="s">
        <v>44</v>
      </c>
      <c r="B12893" t="s">
        <v>40</v>
      </c>
      <c r="C12893" t="s">
        <v>37</v>
      </c>
      <c r="D12893" t="s">
        <v>32</v>
      </c>
      <c r="E12893" t="s">
        <v>23</v>
      </c>
      <c r="F12893" t="s">
        <v>17</v>
      </c>
      <c r="G12893" s="1" t="str">
        <f t="shared" ref="G12893:M12894" si="2944">"X"</f>
        <v>X</v>
      </c>
      <c r="H12893" s="1" t="str">
        <f t="shared" si="2944"/>
        <v>X</v>
      </c>
      <c r="I12893" s="1" t="str">
        <f t="shared" si="2944"/>
        <v>X</v>
      </c>
      <c r="J12893" s="1" t="str">
        <f t="shared" si="2944"/>
        <v>X</v>
      </c>
      <c r="K12893" s="1" t="str">
        <f t="shared" si="2944"/>
        <v>X</v>
      </c>
      <c r="L12893" s="1" t="str">
        <f t="shared" si="2944"/>
        <v>X</v>
      </c>
      <c r="M12893" s="1" t="str">
        <f t="shared" si="2944"/>
        <v>X</v>
      </c>
      <c r="N12893" t="s">
        <v>27</v>
      </c>
    </row>
    <row r="12894" spans="1:14" x14ac:dyDescent="0.25">
      <c r="A12894" t="s">
        <v>44</v>
      </c>
      <c r="B12894" t="s">
        <v>40</v>
      </c>
      <c r="C12894" t="s">
        <v>37</v>
      </c>
      <c r="D12894" t="s">
        <v>32</v>
      </c>
      <c r="E12894" t="s">
        <v>23</v>
      </c>
      <c r="F12894" t="s">
        <v>18</v>
      </c>
      <c r="G12894" s="1" t="str">
        <f t="shared" si="2944"/>
        <v>X</v>
      </c>
      <c r="H12894" s="1" t="str">
        <f t="shared" si="2944"/>
        <v>X</v>
      </c>
      <c r="I12894" s="1" t="str">
        <f t="shared" si="2944"/>
        <v>X</v>
      </c>
      <c r="J12894" s="1" t="str">
        <f t="shared" si="2944"/>
        <v>X</v>
      </c>
      <c r="K12894" s="1" t="str">
        <f t="shared" si="2944"/>
        <v>X</v>
      </c>
      <c r="L12894" s="1" t="str">
        <f t="shared" si="2944"/>
        <v>X</v>
      </c>
      <c r="M12894" s="1" t="str">
        <f t="shared" si="2944"/>
        <v>X</v>
      </c>
      <c r="N12894" t="s">
        <v>27</v>
      </c>
    </row>
    <row r="12895" spans="1:14" x14ac:dyDescent="0.25">
      <c r="A12895" t="s">
        <v>44</v>
      </c>
      <c r="B12895" t="s">
        <v>40</v>
      </c>
      <c r="C12895" t="s">
        <v>37</v>
      </c>
      <c r="D12895" t="s">
        <v>32</v>
      </c>
      <c r="E12895" t="s">
        <v>23</v>
      </c>
      <c r="F12895" t="s">
        <v>19</v>
      </c>
      <c r="G12895" s="2">
        <f>VALUE(205.25)</f>
        <v>205.25</v>
      </c>
      <c r="H12895" s="3">
        <f>VALUE(184.81)</f>
        <v>184.81</v>
      </c>
      <c r="I12895" s="4">
        <f>VALUE(2888)</f>
        <v>2888</v>
      </c>
      <c r="J12895" s="1">
        <f>VALUE(3237)</f>
        <v>3237</v>
      </c>
      <c r="K12895" s="6">
        <f>VALUE(3953)</f>
        <v>3953</v>
      </c>
      <c r="L12895" s="7">
        <f>VALUE(4463)</f>
        <v>4463</v>
      </c>
      <c r="M12895" s="1">
        <f>VALUE(5140)</f>
        <v>5140</v>
      </c>
      <c r="N12895" t="s">
        <v>25</v>
      </c>
    </row>
    <row r="12896" spans="1:14" x14ac:dyDescent="0.25">
      <c r="A12896" t="s">
        <v>44</v>
      </c>
      <c r="B12896" t="s">
        <v>40</v>
      </c>
      <c r="C12896" t="s">
        <v>37</v>
      </c>
      <c r="D12896" t="s">
        <v>32</v>
      </c>
      <c r="E12896" t="s">
        <v>23</v>
      </c>
      <c r="F12896" t="s">
        <v>20</v>
      </c>
      <c r="G12896" s="1">
        <f>VALUE(3445.21)</f>
        <v>3445.21</v>
      </c>
      <c r="H12896" s="1">
        <f>VALUE(2772.77)</f>
        <v>2772.77</v>
      </c>
      <c r="I12896" s="1">
        <f>VALUE(2862)</f>
        <v>2862</v>
      </c>
      <c r="J12896" s="1">
        <f>VALUE(3162)</f>
        <v>3162</v>
      </c>
      <c r="K12896" s="1">
        <f>VALUE(3407)</f>
        <v>3407</v>
      </c>
      <c r="L12896" s="1">
        <f>VALUE(3791)</f>
        <v>3791</v>
      </c>
      <c r="M12896" s="1">
        <f>VALUE(4371)</f>
        <v>4371</v>
      </c>
      <c r="N12896" t="s">
        <v>16</v>
      </c>
    </row>
    <row r="12897" spans="1:14" x14ac:dyDescent="0.25">
      <c r="A12897" t="s">
        <v>44</v>
      </c>
      <c r="B12897" t="s">
        <v>40</v>
      </c>
      <c r="C12897" t="s">
        <v>37</v>
      </c>
      <c r="D12897" t="s">
        <v>32</v>
      </c>
      <c r="E12897" t="s">
        <v>26</v>
      </c>
      <c r="F12897" t="s">
        <v>15</v>
      </c>
      <c r="G12897" s="1" t="str">
        <f t="shared" ref="G12897:M12897" si="2945">"X"</f>
        <v>X</v>
      </c>
      <c r="H12897" s="1" t="str">
        <f t="shared" si="2945"/>
        <v>X</v>
      </c>
      <c r="I12897" s="1" t="str">
        <f t="shared" si="2945"/>
        <v>X</v>
      </c>
      <c r="J12897" s="1" t="str">
        <f t="shared" si="2945"/>
        <v>X</v>
      </c>
      <c r="K12897" s="1" t="str">
        <f t="shared" si="2945"/>
        <v>X</v>
      </c>
      <c r="L12897" s="1" t="str">
        <f t="shared" si="2945"/>
        <v>X</v>
      </c>
      <c r="M12897" s="1" t="str">
        <f t="shared" si="2945"/>
        <v>X</v>
      </c>
      <c r="N12897" t="s">
        <v>27</v>
      </c>
    </row>
    <row r="12898" spans="1:14" x14ac:dyDescent="0.25">
      <c r="A12898" t="s">
        <v>44</v>
      </c>
      <c r="B12898" t="s">
        <v>40</v>
      </c>
      <c r="C12898" t="s">
        <v>37</v>
      </c>
      <c r="D12898" t="s">
        <v>32</v>
      </c>
      <c r="E12898" t="s">
        <v>26</v>
      </c>
      <c r="F12898" t="s">
        <v>17</v>
      </c>
      <c r="G12898" s="1" t="str">
        <f t="shared" ref="G12898:M12898" si="2946">"..."</f>
        <v>...</v>
      </c>
      <c r="H12898" s="1" t="str">
        <f t="shared" si="2946"/>
        <v>...</v>
      </c>
      <c r="I12898" s="1" t="str">
        <f t="shared" si="2946"/>
        <v>...</v>
      </c>
      <c r="J12898" s="1" t="str">
        <f t="shared" si="2946"/>
        <v>...</v>
      </c>
      <c r="K12898" s="1" t="str">
        <f t="shared" si="2946"/>
        <v>...</v>
      </c>
      <c r="L12898" s="1" t="str">
        <f t="shared" si="2946"/>
        <v>...</v>
      </c>
      <c r="M12898" s="1" t="str">
        <f t="shared" si="2946"/>
        <v>...</v>
      </c>
      <c r="N12898" t="s">
        <v>30</v>
      </c>
    </row>
    <row r="12899" spans="1:14" x14ac:dyDescent="0.25">
      <c r="A12899" t="s">
        <v>44</v>
      </c>
      <c r="B12899" t="s">
        <v>40</v>
      </c>
      <c r="C12899" t="s">
        <v>37</v>
      </c>
      <c r="D12899" t="s">
        <v>32</v>
      </c>
      <c r="E12899" t="s">
        <v>26</v>
      </c>
      <c r="F12899" t="s">
        <v>18</v>
      </c>
      <c r="G12899" s="1" t="str">
        <f t="shared" ref="G12899:M12899" si="2947">"X"</f>
        <v>X</v>
      </c>
      <c r="H12899" s="1" t="str">
        <f t="shared" si="2947"/>
        <v>X</v>
      </c>
      <c r="I12899" s="1" t="str">
        <f t="shared" si="2947"/>
        <v>X</v>
      </c>
      <c r="J12899" s="1" t="str">
        <f t="shared" si="2947"/>
        <v>X</v>
      </c>
      <c r="K12899" s="1" t="str">
        <f t="shared" si="2947"/>
        <v>X</v>
      </c>
      <c r="L12899" s="1" t="str">
        <f t="shared" si="2947"/>
        <v>X</v>
      </c>
      <c r="M12899" s="1" t="str">
        <f t="shared" si="2947"/>
        <v>X</v>
      </c>
      <c r="N12899" t="s">
        <v>27</v>
      </c>
    </row>
    <row r="12900" spans="1:14" x14ac:dyDescent="0.25">
      <c r="A12900" t="s">
        <v>44</v>
      </c>
      <c r="B12900" t="s">
        <v>40</v>
      </c>
      <c r="C12900" t="s">
        <v>37</v>
      </c>
      <c r="D12900" t="s">
        <v>32</v>
      </c>
      <c r="E12900" t="s">
        <v>26</v>
      </c>
      <c r="F12900" t="s">
        <v>19</v>
      </c>
      <c r="G12900" s="1" t="str">
        <f t="shared" ref="G12900:M12900" si="2948">"..."</f>
        <v>...</v>
      </c>
      <c r="H12900" s="1" t="str">
        <f t="shared" si="2948"/>
        <v>...</v>
      </c>
      <c r="I12900" s="1" t="str">
        <f t="shared" si="2948"/>
        <v>...</v>
      </c>
      <c r="J12900" s="1" t="str">
        <f t="shared" si="2948"/>
        <v>...</v>
      </c>
      <c r="K12900" s="1" t="str">
        <f t="shared" si="2948"/>
        <v>...</v>
      </c>
      <c r="L12900" s="1" t="str">
        <f t="shared" si="2948"/>
        <v>...</v>
      </c>
      <c r="M12900" s="1" t="str">
        <f t="shared" si="2948"/>
        <v>...</v>
      </c>
      <c r="N12900" t="s">
        <v>30</v>
      </c>
    </row>
    <row r="12901" spans="1:14" x14ac:dyDescent="0.25">
      <c r="A12901" t="s">
        <v>44</v>
      </c>
      <c r="B12901" t="s">
        <v>40</v>
      </c>
      <c r="C12901" t="s">
        <v>37</v>
      </c>
      <c r="D12901" t="s">
        <v>32</v>
      </c>
      <c r="E12901" t="s">
        <v>26</v>
      </c>
      <c r="F12901" t="s">
        <v>20</v>
      </c>
      <c r="G12901" s="1" t="str">
        <f t="shared" ref="G12901:M12912" si="2949">"X"</f>
        <v>X</v>
      </c>
      <c r="H12901" s="1" t="str">
        <f t="shared" si="2949"/>
        <v>X</v>
      </c>
      <c r="I12901" s="1" t="str">
        <f t="shared" si="2949"/>
        <v>X</v>
      </c>
      <c r="J12901" s="1" t="str">
        <f t="shared" si="2949"/>
        <v>X</v>
      </c>
      <c r="K12901" s="1" t="str">
        <f t="shared" si="2949"/>
        <v>X</v>
      </c>
      <c r="L12901" s="1" t="str">
        <f t="shared" si="2949"/>
        <v>X</v>
      </c>
      <c r="M12901" s="1" t="str">
        <f t="shared" si="2949"/>
        <v>X</v>
      </c>
      <c r="N12901" t="s">
        <v>27</v>
      </c>
    </row>
    <row r="12902" spans="1:14" x14ac:dyDescent="0.25">
      <c r="A12902" t="s">
        <v>44</v>
      </c>
      <c r="B12902" t="s">
        <v>40</v>
      </c>
      <c r="C12902" t="s">
        <v>37</v>
      </c>
      <c r="D12902" t="s">
        <v>33</v>
      </c>
      <c r="E12902" t="s">
        <v>15</v>
      </c>
      <c r="F12902" t="s">
        <v>15</v>
      </c>
      <c r="G12902" s="1" t="str">
        <f t="shared" si="2949"/>
        <v>X</v>
      </c>
      <c r="H12902" s="1" t="str">
        <f t="shared" si="2949"/>
        <v>X</v>
      </c>
      <c r="I12902" s="1" t="str">
        <f t="shared" si="2949"/>
        <v>X</v>
      </c>
      <c r="J12902" s="1" t="str">
        <f t="shared" si="2949"/>
        <v>X</v>
      </c>
      <c r="K12902" s="1" t="str">
        <f t="shared" si="2949"/>
        <v>X</v>
      </c>
      <c r="L12902" s="1" t="str">
        <f t="shared" si="2949"/>
        <v>X</v>
      </c>
      <c r="M12902" s="1" t="str">
        <f t="shared" si="2949"/>
        <v>X</v>
      </c>
      <c r="N12902" t="s">
        <v>27</v>
      </c>
    </row>
    <row r="12903" spans="1:14" x14ac:dyDescent="0.25">
      <c r="A12903" t="s">
        <v>44</v>
      </c>
      <c r="B12903" t="s">
        <v>40</v>
      </c>
      <c r="C12903" t="s">
        <v>37</v>
      </c>
      <c r="D12903" t="s">
        <v>33</v>
      </c>
      <c r="E12903" t="s">
        <v>15</v>
      </c>
      <c r="F12903" t="s">
        <v>17</v>
      </c>
      <c r="G12903" s="1" t="str">
        <f t="shared" si="2949"/>
        <v>X</v>
      </c>
      <c r="H12903" s="1" t="str">
        <f t="shared" si="2949"/>
        <v>X</v>
      </c>
      <c r="I12903" s="1" t="str">
        <f t="shared" si="2949"/>
        <v>X</v>
      </c>
      <c r="J12903" s="1" t="str">
        <f t="shared" si="2949"/>
        <v>X</v>
      </c>
      <c r="K12903" s="1" t="str">
        <f t="shared" si="2949"/>
        <v>X</v>
      </c>
      <c r="L12903" s="1" t="str">
        <f t="shared" si="2949"/>
        <v>X</v>
      </c>
      <c r="M12903" s="1" t="str">
        <f t="shared" si="2949"/>
        <v>X</v>
      </c>
      <c r="N12903" t="s">
        <v>27</v>
      </c>
    </row>
    <row r="12904" spans="1:14" x14ac:dyDescent="0.25">
      <c r="A12904" t="s">
        <v>44</v>
      </c>
      <c r="B12904" t="s">
        <v>40</v>
      </c>
      <c r="C12904" t="s">
        <v>37</v>
      </c>
      <c r="D12904" t="s">
        <v>33</v>
      </c>
      <c r="E12904" t="s">
        <v>15</v>
      </c>
      <c r="F12904" t="s">
        <v>18</v>
      </c>
      <c r="G12904" s="1" t="str">
        <f t="shared" si="2949"/>
        <v>X</v>
      </c>
      <c r="H12904" s="1" t="str">
        <f t="shared" si="2949"/>
        <v>X</v>
      </c>
      <c r="I12904" s="1" t="str">
        <f t="shared" si="2949"/>
        <v>X</v>
      </c>
      <c r="J12904" s="1" t="str">
        <f t="shared" si="2949"/>
        <v>X</v>
      </c>
      <c r="K12904" s="1" t="str">
        <f t="shared" si="2949"/>
        <v>X</v>
      </c>
      <c r="L12904" s="1" t="str">
        <f t="shared" si="2949"/>
        <v>X</v>
      </c>
      <c r="M12904" s="1" t="str">
        <f t="shared" si="2949"/>
        <v>X</v>
      </c>
      <c r="N12904" t="s">
        <v>27</v>
      </c>
    </row>
    <row r="12905" spans="1:14" x14ac:dyDescent="0.25">
      <c r="A12905" t="s">
        <v>44</v>
      </c>
      <c r="B12905" t="s">
        <v>40</v>
      </c>
      <c r="C12905" t="s">
        <v>37</v>
      </c>
      <c r="D12905" t="s">
        <v>33</v>
      </c>
      <c r="E12905" t="s">
        <v>15</v>
      </c>
      <c r="F12905" t="s">
        <v>19</v>
      </c>
      <c r="G12905" s="1" t="str">
        <f t="shared" si="2949"/>
        <v>X</v>
      </c>
      <c r="H12905" s="1" t="str">
        <f t="shared" si="2949"/>
        <v>X</v>
      </c>
      <c r="I12905" s="1" t="str">
        <f t="shared" si="2949"/>
        <v>X</v>
      </c>
      <c r="J12905" s="1" t="str">
        <f t="shared" si="2949"/>
        <v>X</v>
      </c>
      <c r="K12905" s="1" t="str">
        <f t="shared" si="2949"/>
        <v>X</v>
      </c>
      <c r="L12905" s="1" t="str">
        <f t="shared" si="2949"/>
        <v>X</v>
      </c>
      <c r="M12905" s="1" t="str">
        <f t="shared" si="2949"/>
        <v>X</v>
      </c>
      <c r="N12905" t="s">
        <v>27</v>
      </c>
    </row>
    <row r="12906" spans="1:14" x14ac:dyDescent="0.25">
      <c r="A12906" t="s">
        <v>44</v>
      </c>
      <c r="B12906" t="s">
        <v>40</v>
      </c>
      <c r="C12906" t="s">
        <v>37</v>
      </c>
      <c r="D12906" t="s">
        <v>33</v>
      </c>
      <c r="E12906" t="s">
        <v>15</v>
      </c>
      <c r="F12906" t="s">
        <v>20</v>
      </c>
      <c r="G12906" s="1" t="str">
        <f t="shared" si="2949"/>
        <v>X</v>
      </c>
      <c r="H12906" s="1" t="str">
        <f t="shared" si="2949"/>
        <v>X</v>
      </c>
      <c r="I12906" s="1" t="str">
        <f t="shared" si="2949"/>
        <v>X</v>
      </c>
      <c r="J12906" s="1" t="str">
        <f t="shared" si="2949"/>
        <v>X</v>
      </c>
      <c r="K12906" s="1" t="str">
        <f t="shared" si="2949"/>
        <v>X</v>
      </c>
      <c r="L12906" s="1" t="str">
        <f t="shared" si="2949"/>
        <v>X</v>
      </c>
      <c r="M12906" s="1" t="str">
        <f t="shared" si="2949"/>
        <v>X</v>
      </c>
      <c r="N12906" t="s">
        <v>27</v>
      </c>
    </row>
    <row r="12907" spans="1:14" x14ac:dyDescent="0.25">
      <c r="A12907" t="s">
        <v>44</v>
      </c>
      <c r="B12907" t="s">
        <v>40</v>
      </c>
      <c r="C12907" t="s">
        <v>37</v>
      </c>
      <c r="D12907" t="s">
        <v>33</v>
      </c>
      <c r="E12907" t="s">
        <v>21</v>
      </c>
      <c r="F12907" t="s">
        <v>15</v>
      </c>
      <c r="G12907" s="1" t="str">
        <f t="shared" si="2949"/>
        <v>X</v>
      </c>
      <c r="H12907" s="1" t="str">
        <f t="shared" si="2949"/>
        <v>X</v>
      </c>
      <c r="I12907" s="1" t="str">
        <f t="shared" si="2949"/>
        <v>X</v>
      </c>
      <c r="J12907" s="1" t="str">
        <f t="shared" si="2949"/>
        <v>X</v>
      </c>
      <c r="K12907" s="1" t="str">
        <f t="shared" si="2949"/>
        <v>X</v>
      </c>
      <c r="L12907" s="1" t="str">
        <f t="shared" si="2949"/>
        <v>X</v>
      </c>
      <c r="M12907" s="1" t="str">
        <f t="shared" si="2949"/>
        <v>X</v>
      </c>
      <c r="N12907" t="s">
        <v>27</v>
      </c>
    </row>
    <row r="12908" spans="1:14" x14ac:dyDescent="0.25">
      <c r="A12908" t="s">
        <v>44</v>
      </c>
      <c r="B12908" t="s">
        <v>40</v>
      </c>
      <c r="C12908" t="s">
        <v>37</v>
      </c>
      <c r="D12908" t="s">
        <v>33</v>
      </c>
      <c r="E12908" t="s">
        <v>21</v>
      </c>
      <c r="F12908" t="s">
        <v>17</v>
      </c>
      <c r="G12908" s="1" t="str">
        <f t="shared" si="2949"/>
        <v>X</v>
      </c>
      <c r="H12908" s="1" t="str">
        <f t="shared" si="2949"/>
        <v>X</v>
      </c>
      <c r="I12908" s="1" t="str">
        <f t="shared" si="2949"/>
        <v>X</v>
      </c>
      <c r="J12908" s="1" t="str">
        <f t="shared" si="2949"/>
        <v>X</v>
      </c>
      <c r="K12908" s="1" t="str">
        <f t="shared" si="2949"/>
        <v>X</v>
      </c>
      <c r="L12908" s="1" t="str">
        <f t="shared" si="2949"/>
        <v>X</v>
      </c>
      <c r="M12908" s="1" t="str">
        <f t="shared" si="2949"/>
        <v>X</v>
      </c>
      <c r="N12908" t="s">
        <v>27</v>
      </c>
    </row>
    <row r="12909" spans="1:14" x14ac:dyDescent="0.25">
      <c r="A12909" t="s">
        <v>44</v>
      </c>
      <c r="B12909" t="s">
        <v>40</v>
      </c>
      <c r="C12909" t="s">
        <v>37</v>
      </c>
      <c r="D12909" t="s">
        <v>33</v>
      </c>
      <c r="E12909" t="s">
        <v>21</v>
      </c>
      <c r="F12909" t="s">
        <v>18</v>
      </c>
      <c r="G12909" s="1" t="str">
        <f t="shared" si="2949"/>
        <v>X</v>
      </c>
      <c r="H12909" s="1" t="str">
        <f t="shared" si="2949"/>
        <v>X</v>
      </c>
      <c r="I12909" s="1" t="str">
        <f t="shared" si="2949"/>
        <v>X</v>
      </c>
      <c r="J12909" s="1" t="str">
        <f t="shared" si="2949"/>
        <v>X</v>
      </c>
      <c r="K12909" s="1" t="str">
        <f t="shared" si="2949"/>
        <v>X</v>
      </c>
      <c r="L12909" s="1" t="str">
        <f t="shared" si="2949"/>
        <v>X</v>
      </c>
      <c r="M12909" s="1" t="str">
        <f t="shared" si="2949"/>
        <v>X</v>
      </c>
      <c r="N12909" t="s">
        <v>27</v>
      </c>
    </row>
    <row r="12910" spans="1:14" x14ac:dyDescent="0.25">
      <c r="A12910" t="s">
        <v>44</v>
      </c>
      <c r="B12910" t="s">
        <v>40</v>
      </c>
      <c r="C12910" t="s">
        <v>37</v>
      </c>
      <c r="D12910" t="s">
        <v>33</v>
      </c>
      <c r="E12910" t="s">
        <v>21</v>
      </c>
      <c r="F12910" t="s">
        <v>19</v>
      </c>
      <c r="G12910" s="1" t="str">
        <f t="shared" si="2949"/>
        <v>X</v>
      </c>
      <c r="H12910" s="1" t="str">
        <f t="shared" si="2949"/>
        <v>X</v>
      </c>
      <c r="I12910" s="1" t="str">
        <f t="shared" si="2949"/>
        <v>X</v>
      </c>
      <c r="J12910" s="1" t="str">
        <f t="shared" si="2949"/>
        <v>X</v>
      </c>
      <c r="K12910" s="1" t="str">
        <f t="shared" si="2949"/>
        <v>X</v>
      </c>
      <c r="L12910" s="1" t="str">
        <f t="shared" si="2949"/>
        <v>X</v>
      </c>
      <c r="M12910" s="1" t="str">
        <f t="shared" si="2949"/>
        <v>X</v>
      </c>
      <c r="N12910" t="s">
        <v>27</v>
      </c>
    </row>
    <row r="12911" spans="1:14" x14ac:dyDescent="0.25">
      <c r="A12911" t="s">
        <v>44</v>
      </c>
      <c r="B12911" t="s">
        <v>40</v>
      </c>
      <c r="C12911" t="s">
        <v>37</v>
      </c>
      <c r="D12911" t="s">
        <v>33</v>
      </c>
      <c r="E12911" t="s">
        <v>21</v>
      </c>
      <c r="F12911" t="s">
        <v>20</v>
      </c>
      <c r="G12911" s="1" t="str">
        <f t="shared" si="2949"/>
        <v>X</v>
      </c>
      <c r="H12911" s="1" t="str">
        <f t="shared" si="2949"/>
        <v>X</v>
      </c>
      <c r="I12911" s="1" t="str">
        <f t="shared" si="2949"/>
        <v>X</v>
      </c>
      <c r="J12911" s="1" t="str">
        <f t="shared" si="2949"/>
        <v>X</v>
      </c>
      <c r="K12911" s="1" t="str">
        <f t="shared" si="2949"/>
        <v>X</v>
      </c>
      <c r="L12911" s="1" t="str">
        <f t="shared" si="2949"/>
        <v>X</v>
      </c>
      <c r="M12911" s="1" t="str">
        <f t="shared" si="2949"/>
        <v>X</v>
      </c>
      <c r="N12911" t="s">
        <v>27</v>
      </c>
    </row>
    <row r="12912" spans="1:14" x14ac:dyDescent="0.25">
      <c r="A12912" t="s">
        <v>44</v>
      </c>
      <c r="B12912" t="s">
        <v>40</v>
      </c>
      <c r="C12912" t="s">
        <v>37</v>
      </c>
      <c r="D12912" t="s">
        <v>33</v>
      </c>
      <c r="E12912" t="s">
        <v>22</v>
      </c>
      <c r="F12912" t="s">
        <v>15</v>
      </c>
      <c r="G12912" s="1" t="str">
        <f t="shared" si="2949"/>
        <v>X</v>
      </c>
      <c r="H12912" s="1" t="str">
        <f t="shared" si="2949"/>
        <v>X</v>
      </c>
      <c r="I12912" s="1" t="str">
        <f t="shared" si="2949"/>
        <v>X</v>
      </c>
      <c r="J12912" s="1" t="str">
        <f t="shared" si="2949"/>
        <v>X</v>
      </c>
      <c r="K12912" s="1" t="str">
        <f t="shared" si="2949"/>
        <v>X</v>
      </c>
      <c r="L12912" s="1" t="str">
        <f t="shared" si="2949"/>
        <v>X</v>
      </c>
      <c r="M12912" s="1" t="str">
        <f t="shared" si="2949"/>
        <v>X</v>
      </c>
      <c r="N12912" t="s">
        <v>27</v>
      </c>
    </row>
    <row r="12913" spans="1:14" x14ac:dyDescent="0.25">
      <c r="A12913" t="s">
        <v>44</v>
      </c>
      <c r="B12913" t="s">
        <v>40</v>
      </c>
      <c r="C12913" t="s">
        <v>37</v>
      </c>
      <c r="D12913" t="s">
        <v>33</v>
      </c>
      <c r="E12913" t="s">
        <v>22</v>
      </c>
      <c r="F12913" t="s">
        <v>17</v>
      </c>
      <c r="G12913" s="1" t="str">
        <f t="shared" ref="G12913:M12913" si="2950">"..."</f>
        <v>...</v>
      </c>
      <c r="H12913" s="1" t="str">
        <f t="shared" si="2950"/>
        <v>...</v>
      </c>
      <c r="I12913" s="1" t="str">
        <f t="shared" si="2950"/>
        <v>...</v>
      </c>
      <c r="J12913" s="1" t="str">
        <f t="shared" si="2950"/>
        <v>...</v>
      </c>
      <c r="K12913" s="1" t="str">
        <f t="shared" si="2950"/>
        <v>...</v>
      </c>
      <c r="L12913" s="1" t="str">
        <f t="shared" si="2950"/>
        <v>...</v>
      </c>
      <c r="M12913" s="1" t="str">
        <f t="shared" si="2950"/>
        <v>...</v>
      </c>
      <c r="N12913" t="s">
        <v>30</v>
      </c>
    </row>
    <row r="12914" spans="1:14" x14ac:dyDescent="0.25">
      <c r="A12914" t="s">
        <v>44</v>
      </c>
      <c r="B12914" t="s">
        <v>40</v>
      </c>
      <c r="C12914" t="s">
        <v>37</v>
      </c>
      <c r="D12914" t="s">
        <v>33</v>
      </c>
      <c r="E12914" t="s">
        <v>22</v>
      </c>
      <c r="F12914" t="s">
        <v>18</v>
      </c>
      <c r="G12914" s="1" t="str">
        <f t="shared" ref="G12914:M12914" si="2951">"X"</f>
        <v>X</v>
      </c>
      <c r="H12914" s="1" t="str">
        <f t="shared" si="2951"/>
        <v>X</v>
      </c>
      <c r="I12914" s="1" t="str">
        <f t="shared" si="2951"/>
        <v>X</v>
      </c>
      <c r="J12914" s="1" t="str">
        <f t="shared" si="2951"/>
        <v>X</v>
      </c>
      <c r="K12914" s="1" t="str">
        <f t="shared" si="2951"/>
        <v>X</v>
      </c>
      <c r="L12914" s="1" t="str">
        <f t="shared" si="2951"/>
        <v>X</v>
      </c>
      <c r="M12914" s="1" t="str">
        <f t="shared" si="2951"/>
        <v>X</v>
      </c>
      <c r="N12914" t="s">
        <v>27</v>
      </c>
    </row>
    <row r="12915" spans="1:14" x14ac:dyDescent="0.25">
      <c r="A12915" t="s">
        <v>44</v>
      </c>
      <c r="B12915" t="s">
        <v>40</v>
      </c>
      <c r="C12915" t="s">
        <v>37</v>
      </c>
      <c r="D12915" t="s">
        <v>33</v>
      </c>
      <c r="E12915" t="s">
        <v>22</v>
      </c>
      <c r="F12915" t="s">
        <v>19</v>
      </c>
      <c r="G12915" s="1" t="str">
        <f t="shared" ref="G12915:M12915" si="2952">"..."</f>
        <v>...</v>
      </c>
      <c r="H12915" s="1" t="str">
        <f t="shared" si="2952"/>
        <v>...</v>
      </c>
      <c r="I12915" s="1" t="str">
        <f t="shared" si="2952"/>
        <v>...</v>
      </c>
      <c r="J12915" s="1" t="str">
        <f t="shared" si="2952"/>
        <v>...</v>
      </c>
      <c r="K12915" s="1" t="str">
        <f t="shared" si="2952"/>
        <v>...</v>
      </c>
      <c r="L12915" s="1" t="str">
        <f t="shared" si="2952"/>
        <v>...</v>
      </c>
      <c r="M12915" s="1" t="str">
        <f t="shared" si="2952"/>
        <v>...</v>
      </c>
      <c r="N12915" t="s">
        <v>30</v>
      </c>
    </row>
    <row r="12916" spans="1:14" x14ac:dyDescent="0.25">
      <c r="A12916" t="s">
        <v>44</v>
      </c>
      <c r="B12916" t="s">
        <v>40</v>
      </c>
      <c r="C12916" t="s">
        <v>37</v>
      </c>
      <c r="D12916" t="s">
        <v>33</v>
      </c>
      <c r="E12916" t="s">
        <v>22</v>
      </c>
      <c r="F12916" t="s">
        <v>20</v>
      </c>
      <c r="G12916" s="1" t="str">
        <f t="shared" ref="G12916:M12917" si="2953">"X"</f>
        <v>X</v>
      </c>
      <c r="H12916" s="1" t="str">
        <f t="shared" si="2953"/>
        <v>X</v>
      </c>
      <c r="I12916" s="1" t="str">
        <f t="shared" si="2953"/>
        <v>X</v>
      </c>
      <c r="J12916" s="1" t="str">
        <f t="shared" si="2953"/>
        <v>X</v>
      </c>
      <c r="K12916" s="1" t="str">
        <f t="shared" si="2953"/>
        <v>X</v>
      </c>
      <c r="L12916" s="1" t="str">
        <f t="shared" si="2953"/>
        <v>X</v>
      </c>
      <c r="M12916" s="1" t="str">
        <f t="shared" si="2953"/>
        <v>X</v>
      </c>
      <c r="N12916" t="s">
        <v>27</v>
      </c>
    </row>
    <row r="12917" spans="1:14" x14ac:dyDescent="0.25">
      <c r="A12917" t="s">
        <v>44</v>
      </c>
      <c r="B12917" t="s">
        <v>40</v>
      </c>
      <c r="C12917" t="s">
        <v>37</v>
      </c>
      <c r="D12917" t="s">
        <v>33</v>
      </c>
      <c r="E12917" t="s">
        <v>23</v>
      </c>
      <c r="F12917" t="s">
        <v>15</v>
      </c>
      <c r="G12917" s="1" t="str">
        <f t="shared" si="2953"/>
        <v>X</v>
      </c>
      <c r="H12917" s="1" t="str">
        <f t="shared" si="2953"/>
        <v>X</v>
      </c>
      <c r="I12917" s="1" t="str">
        <f t="shared" si="2953"/>
        <v>X</v>
      </c>
      <c r="J12917" s="1" t="str">
        <f t="shared" si="2953"/>
        <v>X</v>
      </c>
      <c r="K12917" s="1" t="str">
        <f t="shared" si="2953"/>
        <v>X</v>
      </c>
      <c r="L12917" s="1" t="str">
        <f t="shared" si="2953"/>
        <v>X</v>
      </c>
      <c r="M12917" s="1" t="str">
        <f t="shared" si="2953"/>
        <v>X</v>
      </c>
      <c r="N12917" t="s">
        <v>27</v>
      </c>
    </row>
    <row r="12918" spans="1:14" x14ac:dyDescent="0.25">
      <c r="A12918" t="s">
        <v>44</v>
      </c>
      <c r="B12918" t="s">
        <v>40</v>
      </c>
      <c r="C12918" t="s">
        <v>37</v>
      </c>
      <c r="D12918" t="s">
        <v>33</v>
      </c>
      <c r="E12918" t="s">
        <v>23</v>
      </c>
      <c r="F12918" t="s">
        <v>17</v>
      </c>
      <c r="G12918" s="1" t="str">
        <f t="shared" ref="G12918:M12918" si="2954">"..."</f>
        <v>...</v>
      </c>
      <c r="H12918" s="1" t="str">
        <f t="shared" si="2954"/>
        <v>...</v>
      </c>
      <c r="I12918" s="1" t="str">
        <f t="shared" si="2954"/>
        <v>...</v>
      </c>
      <c r="J12918" s="1" t="str">
        <f t="shared" si="2954"/>
        <v>...</v>
      </c>
      <c r="K12918" s="1" t="str">
        <f t="shared" si="2954"/>
        <v>...</v>
      </c>
      <c r="L12918" s="1" t="str">
        <f t="shared" si="2954"/>
        <v>...</v>
      </c>
      <c r="M12918" s="1" t="str">
        <f t="shared" si="2954"/>
        <v>...</v>
      </c>
      <c r="N12918" t="s">
        <v>30</v>
      </c>
    </row>
    <row r="12919" spans="1:14" x14ac:dyDescent="0.25">
      <c r="A12919" t="s">
        <v>44</v>
      </c>
      <c r="B12919" t="s">
        <v>40</v>
      </c>
      <c r="C12919" t="s">
        <v>37</v>
      </c>
      <c r="D12919" t="s">
        <v>33</v>
      </c>
      <c r="E12919" t="s">
        <v>23</v>
      </c>
      <c r="F12919" t="s">
        <v>18</v>
      </c>
      <c r="G12919" s="1" t="str">
        <f t="shared" ref="G12919:M12919" si="2955">"X"</f>
        <v>X</v>
      </c>
      <c r="H12919" s="1" t="str">
        <f t="shared" si="2955"/>
        <v>X</v>
      </c>
      <c r="I12919" s="1" t="str">
        <f t="shared" si="2955"/>
        <v>X</v>
      </c>
      <c r="J12919" s="1" t="str">
        <f t="shared" si="2955"/>
        <v>X</v>
      </c>
      <c r="K12919" s="1" t="str">
        <f t="shared" si="2955"/>
        <v>X</v>
      </c>
      <c r="L12919" s="1" t="str">
        <f t="shared" si="2955"/>
        <v>X</v>
      </c>
      <c r="M12919" s="1" t="str">
        <f t="shared" si="2955"/>
        <v>X</v>
      </c>
      <c r="N12919" t="s">
        <v>27</v>
      </c>
    </row>
    <row r="12920" spans="1:14" x14ac:dyDescent="0.25">
      <c r="A12920" t="s">
        <v>44</v>
      </c>
      <c r="B12920" t="s">
        <v>40</v>
      </c>
      <c r="C12920" t="s">
        <v>37</v>
      </c>
      <c r="D12920" t="s">
        <v>33</v>
      </c>
      <c r="E12920" t="s">
        <v>23</v>
      </c>
      <c r="F12920" t="s">
        <v>19</v>
      </c>
      <c r="G12920" s="1" t="str">
        <f t="shared" ref="G12920:M12926" si="2956">"..."</f>
        <v>...</v>
      </c>
      <c r="H12920" s="1" t="str">
        <f t="shared" si="2956"/>
        <v>...</v>
      </c>
      <c r="I12920" s="1" t="str">
        <f t="shared" si="2956"/>
        <v>...</v>
      </c>
      <c r="J12920" s="1" t="str">
        <f t="shared" si="2956"/>
        <v>...</v>
      </c>
      <c r="K12920" s="1" t="str">
        <f t="shared" si="2956"/>
        <v>...</v>
      </c>
      <c r="L12920" s="1" t="str">
        <f t="shared" si="2956"/>
        <v>...</v>
      </c>
      <c r="M12920" s="1" t="str">
        <f t="shared" si="2956"/>
        <v>...</v>
      </c>
      <c r="N12920" t="s">
        <v>30</v>
      </c>
    </row>
    <row r="12921" spans="1:14" x14ac:dyDescent="0.25">
      <c r="A12921" t="s">
        <v>44</v>
      </c>
      <c r="B12921" t="s">
        <v>40</v>
      </c>
      <c r="C12921" t="s">
        <v>37</v>
      </c>
      <c r="D12921" t="s">
        <v>33</v>
      </c>
      <c r="E12921" t="s">
        <v>23</v>
      </c>
      <c r="F12921" t="s">
        <v>20</v>
      </c>
      <c r="G12921" s="1" t="str">
        <f t="shared" si="2956"/>
        <v>...</v>
      </c>
      <c r="H12921" s="1" t="str">
        <f t="shared" si="2956"/>
        <v>...</v>
      </c>
      <c r="I12921" s="1" t="str">
        <f t="shared" si="2956"/>
        <v>...</v>
      </c>
      <c r="J12921" s="1" t="str">
        <f t="shared" si="2956"/>
        <v>...</v>
      </c>
      <c r="K12921" s="1" t="str">
        <f t="shared" si="2956"/>
        <v>...</v>
      </c>
      <c r="L12921" s="1" t="str">
        <f t="shared" si="2956"/>
        <v>...</v>
      </c>
      <c r="M12921" s="1" t="str">
        <f t="shared" si="2956"/>
        <v>...</v>
      </c>
      <c r="N12921" t="s">
        <v>30</v>
      </c>
    </row>
    <row r="12922" spans="1:14" x14ac:dyDescent="0.25">
      <c r="A12922" t="s">
        <v>44</v>
      </c>
      <c r="B12922" t="s">
        <v>40</v>
      </c>
      <c r="C12922" t="s">
        <v>37</v>
      </c>
      <c r="D12922" t="s">
        <v>33</v>
      </c>
      <c r="E12922" t="s">
        <v>26</v>
      </c>
      <c r="F12922" t="s">
        <v>15</v>
      </c>
      <c r="G12922" s="1" t="str">
        <f t="shared" si="2956"/>
        <v>...</v>
      </c>
      <c r="H12922" s="1" t="str">
        <f t="shared" si="2956"/>
        <v>...</v>
      </c>
      <c r="I12922" s="1" t="str">
        <f t="shared" si="2956"/>
        <v>...</v>
      </c>
      <c r="J12922" s="1" t="str">
        <f t="shared" si="2956"/>
        <v>...</v>
      </c>
      <c r="K12922" s="1" t="str">
        <f t="shared" si="2956"/>
        <v>...</v>
      </c>
      <c r="L12922" s="1" t="str">
        <f t="shared" si="2956"/>
        <v>...</v>
      </c>
      <c r="M12922" s="1" t="str">
        <f t="shared" si="2956"/>
        <v>...</v>
      </c>
      <c r="N12922" t="s">
        <v>30</v>
      </c>
    </row>
    <row r="12923" spans="1:14" x14ac:dyDescent="0.25">
      <c r="A12923" t="s">
        <v>44</v>
      </c>
      <c r="B12923" t="s">
        <v>40</v>
      </c>
      <c r="C12923" t="s">
        <v>37</v>
      </c>
      <c r="D12923" t="s">
        <v>33</v>
      </c>
      <c r="E12923" t="s">
        <v>26</v>
      </c>
      <c r="F12923" t="s">
        <v>17</v>
      </c>
      <c r="G12923" s="1" t="str">
        <f t="shared" si="2956"/>
        <v>...</v>
      </c>
      <c r="H12923" s="1" t="str">
        <f t="shared" si="2956"/>
        <v>...</v>
      </c>
      <c r="I12923" s="1" t="str">
        <f t="shared" si="2956"/>
        <v>...</v>
      </c>
      <c r="J12923" s="1" t="str">
        <f t="shared" si="2956"/>
        <v>...</v>
      </c>
      <c r="K12923" s="1" t="str">
        <f t="shared" si="2956"/>
        <v>...</v>
      </c>
      <c r="L12923" s="1" t="str">
        <f t="shared" si="2956"/>
        <v>...</v>
      </c>
      <c r="M12923" s="1" t="str">
        <f t="shared" si="2956"/>
        <v>...</v>
      </c>
      <c r="N12923" t="s">
        <v>30</v>
      </c>
    </row>
    <row r="12924" spans="1:14" x14ac:dyDescent="0.25">
      <c r="A12924" t="s">
        <v>44</v>
      </c>
      <c r="B12924" t="s">
        <v>40</v>
      </c>
      <c r="C12924" t="s">
        <v>37</v>
      </c>
      <c r="D12924" t="s">
        <v>33</v>
      </c>
      <c r="E12924" t="s">
        <v>26</v>
      </c>
      <c r="F12924" t="s">
        <v>18</v>
      </c>
      <c r="G12924" s="1" t="str">
        <f t="shared" si="2956"/>
        <v>...</v>
      </c>
      <c r="H12924" s="1" t="str">
        <f t="shared" si="2956"/>
        <v>...</v>
      </c>
      <c r="I12924" s="1" t="str">
        <f t="shared" si="2956"/>
        <v>...</v>
      </c>
      <c r="J12924" s="1" t="str">
        <f t="shared" si="2956"/>
        <v>...</v>
      </c>
      <c r="K12924" s="1" t="str">
        <f t="shared" si="2956"/>
        <v>...</v>
      </c>
      <c r="L12924" s="1" t="str">
        <f t="shared" si="2956"/>
        <v>...</v>
      </c>
      <c r="M12924" s="1" t="str">
        <f t="shared" si="2956"/>
        <v>...</v>
      </c>
      <c r="N12924" t="s">
        <v>30</v>
      </c>
    </row>
    <row r="12925" spans="1:14" x14ac:dyDescent="0.25">
      <c r="A12925" t="s">
        <v>44</v>
      </c>
      <c r="B12925" t="s">
        <v>40</v>
      </c>
      <c r="C12925" t="s">
        <v>37</v>
      </c>
      <c r="D12925" t="s">
        <v>33</v>
      </c>
      <c r="E12925" t="s">
        <v>26</v>
      </c>
      <c r="F12925" t="s">
        <v>19</v>
      </c>
      <c r="G12925" s="1" t="str">
        <f t="shared" si="2956"/>
        <v>...</v>
      </c>
      <c r="H12925" s="1" t="str">
        <f t="shared" si="2956"/>
        <v>...</v>
      </c>
      <c r="I12925" s="1" t="str">
        <f t="shared" si="2956"/>
        <v>...</v>
      </c>
      <c r="J12925" s="1" t="str">
        <f t="shared" si="2956"/>
        <v>...</v>
      </c>
      <c r="K12925" s="1" t="str">
        <f t="shared" si="2956"/>
        <v>...</v>
      </c>
      <c r="L12925" s="1" t="str">
        <f t="shared" si="2956"/>
        <v>...</v>
      </c>
      <c r="M12925" s="1" t="str">
        <f t="shared" si="2956"/>
        <v>...</v>
      </c>
      <c r="N12925" t="s">
        <v>30</v>
      </c>
    </row>
    <row r="12926" spans="1:14" x14ac:dyDescent="0.25">
      <c r="A12926" t="s">
        <v>44</v>
      </c>
      <c r="B12926" t="s">
        <v>40</v>
      </c>
      <c r="C12926" t="s">
        <v>37</v>
      </c>
      <c r="D12926" t="s">
        <v>33</v>
      </c>
      <c r="E12926" t="s">
        <v>26</v>
      </c>
      <c r="F12926" t="s">
        <v>20</v>
      </c>
      <c r="G12926" s="1" t="str">
        <f t="shared" si="2956"/>
        <v>...</v>
      </c>
      <c r="H12926" s="1" t="str">
        <f t="shared" si="2956"/>
        <v>...</v>
      </c>
      <c r="I12926" s="1" t="str">
        <f t="shared" si="2956"/>
        <v>...</v>
      </c>
      <c r="J12926" s="1" t="str">
        <f t="shared" si="2956"/>
        <v>...</v>
      </c>
      <c r="K12926" s="1" t="str">
        <f t="shared" si="2956"/>
        <v>...</v>
      </c>
      <c r="L12926" s="1" t="str">
        <f t="shared" si="2956"/>
        <v>...</v>
      </c>
      <c r="M12926" s="1" t="str">
        <f t="shared" si="2956"/>
        <v>...</v>
      </c>
      <c r="N12926" t="s">
        <v>30</v>
      </c>
    </row>
    <row r="12927" spans="1:14" x14ac:dyDescent="0.25">
      <c r="A12927" t="s">
        <v>44</v>
      </c>
      <c r="B12927" t="s">
        <v>40</v>
      </c>
      <c r="C12927" t="s">
        <v>37</v>
      </c>
      <c r="D12927" t="s">
        <v>34</v>
      </c>
      <c r="E12927" t="s">
        <v>15</v>
      </c>
      <c r="F12927" t="s">
        <v>15</v>
      </c>
      <c r="G12927" s="1" t="str">
        <f t="shared" ref="G12927:M12937" si="2957">"X"</f>
        <v>X</v>
      </c>
      <c r="H12927" s="1" t="str">
        <f t="shared" si="2957"/>
        <v>X</v>
      </c>
      <c r="I12927" s="1" t="str">
        <f t="shared" si="2957"/>
        <v>X</v>
      </c>
      <c r="J12927" s="1" t="str">
        <f t="shared" si="2957"/>
        <v>X</v>
      </c>
      <c r="K12927" s="1" t="str">
        <f t="shared" si="2957"/>
        <v>X</v>
      </c>
      <c r="L12927" s="1" t="str">
        <f t="shared" si="2957"/>
        <v>X</v>
      </c>
      <c r="M12927" s="1" t="str">
        <f t="shared" si="2957"/>
        <v>X</v>
      </c>
      <c r="N12927" t="s">
        <v>27</v>
      </c>
    </row>
    <row r="12928" spans="1:14" x14ac:dyDescent="0.25">
      <c r="A12928" t="s">
        <v>44</v>
      </c>
      <c r="B12928" t="s">
        <v>40</v>
      </c>
      <c r="C12928" t="s">
        <v>37</v>
      </c>
      <c r="D12928" t="s">
        <v>34</v>
      </c>
      <c r="E12928" t="s">
        <v>15</v>
      </c>
      <c r="F12928" t="s">
        <v>17</v>
      </c>
      <c r="G12928" s="1" t="str">
        <f t="shared" si="2957"/>
        <v>X</v>
      </c>
      <c r="H12928" s="1" t="str">
        <f t="shared" si="2957"/>
        <v>X</v>
      </c>
      <c r="I12928" s="1" t="str">
        <f t="shared" si="2957"/>
        <v>X</v>
      </c>
      <c r="J12928" s="1" t="str">
        <f t="shared" si="2957"/>
        <v>X</v>
      </c>
      <c r="K12928" s="1" t="str">
        <f t="shared" si="2957"/>
        <v>X</v>
      </c>
      <c r="L12928" s="1" t="str">
        <f t="shared" si="2957"/>
        <v>X</v>
      </c>
      <c r="M12928" s="1" t="str">
        <f t="shared" si="2957"/>
        <v>X</v>
      </c>
      <c r="N12928" t="s">
        <v>27</v>
      </c>
    </row>
    <row r="12929" spans="1:14" x14ac:dyDescent="0.25">
      <c r="A12929" t="s">
        <v>44</v>
      </c>
      <c r="B12929" t="s">
        <v>40</v>
      </c>
      <c r="C12929" t="s">
        <v>37</v>
      </c>
      <c r="D12929" t="s">
        <v>34</v>
      </c>
      <c r="E12929" t="s">
        <v>15</v>
      </c>
      <c r="F12929" t="s">
        <v>18</v>
      </c>
      <c r="G12929" s="1" t="str">
        <f t="shared" si="2957"/>
        <v>X</v>
      </c>
      <c r="H12929" s="1" t="str">
        <f t="shared" si="2957"/>
        <v>X</v>
      </c>
      <c r="I12929" s="1" t="str">
        <f t="shared" si="2957"/>
        <v>X</v>
      </c>
      <c r="J12929" s="1" t="str">
        <f t="shared" si="2957"/>
        <v>X</v>
      </c>
      <c r="K12929" s="1" t="str">
        <f t="shared" si="2957"/>
        <v>X</v>
      </c>
      <c r="L12929" s="1" t="str">
        <f t="shared" si="2957"/>
        <v>X</v>
      </c>
      <c r="M12929" s="1" t="str">
        <f t="shared" si="2957"/>
        <v>X</v>
      </c>
      <c r="N12929" t="s">
        <v>27</v>
      </c>
    </row>
    <row r="12930" spans="1:14" x14ac:dyDescent="0.25">
      <c r="A12930" t="s">
        <v>44</v>
      </c>
      <c r="B12930" t="s">
        <v>40</v>
      </c>
      <c r="C12930" t="s">
        <v>37</v>
      </c>
      <c r="D12930" t="s">
        <v>34</v>
      </c>
      <c r="E12930" t="s">
        <v>15</v>
      </c>
      <c r="F12930" t="s">
        <v>19</v>
      </c>
      <c r="G12930" s="1" t="str">
        <f t="shared" si="2957"/>
        <v>X</v>
      </c>
      <c r="H12930" s="1" t="str">
        <f t="shared" si="2957"/>
        <v>X</v>
      </c>
      <c r="I12930" s="1" t="str">
        <f t="shared" si="2957"/>
        <v>X</v>
      </c>
      <c r="J12930" s="1" t="str">
        <f t="shared" si="2957"/>
        <v>X</v>
      </c>
      <c r="K12930" s="1" t="str">
        <f t="shared" si="2957"/>
        <v>X</v>
      </c>
      <c r="L12930" s="1" t="str">
        <f t="shared" si="2957"/>
        <v>X</v>
      </c>
      <c r="M12930" s="1" t="str">
        <f t="shared" si="2957"/>
        <v>X</v>
      </c>
      <c r="N12930" t="s">
        <v>27</v>
      </c>
    </row>
    <row r="12931" spans="1:14" x14ac:dyDescent="0.25">
      <c r="A12931" t="s">
        <v>44</v>
      </c>
      <c r="B12931" t="s">
        <v>40</v>
      </c>
      <c r="C12931" t="s">
        <v>37</v>
      </c>
      <c r="D12931" t="s">
        <v>34</v>
      </c>
      <c r="E12931" t="s">
        <v>15</v>
      </c>
      <c r="F12931" t="s">
        <v>20</v>
      </c>
      <c r="G12931" s="1" t="str">
        <f t="shared" si="2957"/>
        <v>X</v>
      </c>
      <c r="H12931" s="1" t="str">
        <f t="shared" si="2957"/>
        <v>X</v>
      </c>
      <c r="I12931" s="1" t="str">
        <f t="shared" si="2957"/>
        <v>X</v>
      </c>
      <c r="J12931" s="1" t="str">
        <f t="shared" si="2957"/>
        <v>X</v>
      </c>
      <c r="K12931" s="1" t="str">
        <f t="shared" si="2957"/>
        <v>X</v>
      </c>
      <c r="L12931" s="1" t="str">
        <f t="shared" si="2957"/>
        <v>X</v>
      </c>
      <c r="M12931" s="1" t="str">
        <f t="shared" si="2957"/>
        <v>X</v>
      </c>
      <c r="N12931" t="s">
        <v>27</v>
      </c>
    </row>
    <row r="12932" spans="1:14" x14ac:dyDescent="0.25">
      <c r="A12932" t="s">
        <v>44</v>
      </c>
      <c r="B12932" t="s">
        <v>40</v>
      </c>
      <c r="C12932" t="s">
        <v>37</v>
      </c>
      <c r="D12932" t="s">
        <v>34</v>
      </c>
      <c r="E12932" t="s">
        <v>21</v>
      </c>
      <c r="F12932" t="s">
        <v>15</v>
      </c>
      <c r="G12932" s="1" t="str">
        <f t="shared" si="2957"/>
        <v>X</v>
      </c>
      <c r="H12932" s="1" t="str">
        <f t="shared" si="2957"/>
        <v>X</v>
      </c>
      <c r="I12932" s="1" t="str">
        <f t="shared" si="2957"/>
        <v>X</v>
      </c>
      <c r="J12932" s="1" t="str">
        <f t="shared" si="2957"/>
        <v>X</v>
      </c>
      <c r="K12932" s="1" t="str">
        <f t="shared" si="2957"/>
        <v>X</v>
      </c>
      <c r="L12932" s="1" t="str">
        <f t="shared" si="2957"/>
        <v>X</v>
      </c>
      <c r="M12932" s="1" t="str">
        <f t="shared" si="2957"/>
        <v>X</v>
      </c>
      <c r="N12932" t="s">
        <v>27</v>
      </c>
    </row>
    <row r="12933" spans="1:14" x14ac:dyDescent="0.25">
      <c r="A12933" t="s">
        <v>44</v>
      </c>
      <c r="B12933" t="s">
        <v>40</v>
      </c>
      <c r="C12933" t="s">
        <v>37</v>
      </c>
      <c r="D12933" t="s">
        <v>34</v>
      </c>
      <c r="E12933" t="s">
        <v>21</v>
      </c>
      <c r="F12933" t="s">
        <v>17</v>
      </c>
      <c r="G12933" s="1" t="str">
        <f t="shared" si="2957"/>
        <v>X</v>
      </c>
      <c r="H12933" s="1" t="str">
        <f t="shared" si="2957"/>
        <v>X</v>
      </c>
      <c r="I12933" s="1" t="str">
        <f t="shared" si="2957"/>
        <v>X</v>
      </c>
      <c r="J12933" s="1" t="str">
        <f t="shared" si="2957"/>
        <v>X</v>
      </c>
      <c r="K12933" s="1" t="str">
        <f t="shared" si="2957"/>
        <v>X</v>
      </c>
      <c r="L12933" s="1" t="str">
        <f t="shared" si="2957"/>
        <v>X</v>
      </c>
      <c r="M12933" s="1" t="str">
        <f t="shared" si="2957"/>
        <v>X</v>
      </c>
      <c r="N12933" t="s">
        <v>27</v>
      </c>
    </row>
    <row r="12934" spans="1:14" x14ac:dyDescent="0.25">
      <c r="A12934" t="s">
        <v>44</v>
      </c>
      <c r="B12934" t="s">
        <v>40</v>
      </c>
      <c r="C12934" t="s">
        <v>37</v>
      </c>
      <c r="D12934" t="s">
        <v>34</v>
      </c>
      <c r="E12934" t="s">
        <v>21</v>
      </c>
      <c r="F12934" t="s">
        <v>18</v>
      </c>
      <c r="G12934" s="1" t="str">
        <f t="shared" si="2957"/>
        <v>X</v>
      </c>
      <c r="H12934" s="1" t="str">
        <f t="shared" si="2957"/>
        <v>X</v>
      </c>
      <c r="I12934" s="1" t="str">
        <f t="shared" si="2957"/>
        <v>X</v>
      </c>
      <c r="J12934" s="1" t="str">
        <f t="shared" si="2957"/>
        <v>X</v>
      </c>
      <c r="K12934" s="1" t="str">
        <f t="shared" si="2957"/>
        <v>X</v>
      </c>
      <c r="L12934" s="1" t="str">
        <f t="shared" si="2957"/>
        <v>X</v>
      </c>
      <c r="M12934" s="1" t="str">
        <f t="shared" si="2957"/>
        <v>X</v>
      </c>
      <c r="N12934" t="s">
        <v>27</v>
      </c>
    </row>
    <row r="12935" spans="1:14" x14ac:dyDescent="0.25">
      <c r="A12935" t="s">
        <v>44</v>
      </c>
      <c r="B12935" t="s">
        <v>40</v>
      </c>
      <c r="C12935" t="s">
        <v>37</v>
      </c>
      <c r="D12935" t="s">
        <v>34</v>
      </c>
      <c r="E12935" t="s">
        <v>21</v>
      </c>
      <c r="F12935" t="s">
        <v>19</v>
      </c>
      <c r="G12935" s="1" t="str">
        <f t="shared" si="2957"/>
        <v>X</v>
      </c>
      <c r="H12935" s="1" t="str">
        <f t="shared" si="2957"/>
        <v>X</v>
      </c>
      <c r="I12935" s="1" t="str">
        <f t="shared" si="2957"/>
        <v>X</v>
      </c>
      <c r="J12935" s="1" t="str">
        <f t="shared" si="2957"/>
        <v>X</v>
      </c>
      <c r="K12935" s="1" t="str">
        <f t="shared" si="2957"/>
        <v>X</v>
      </c>
      <c r="L12935" s="1" t="str">
        <f t="shared" si="2957"/>
        <v>X</v>
      </c>
      <c r="M12935" s="1" t="str">
        <f t="shared" si="2957"/>
        <v>X</v>
      </c>
      <c r="N12935" t="s">
        <v>27</v>
      </c>
    </row>
    <row r="12936" spans="1:14" x14ac:dyDescent="0.25">
      <c r="A12936" t="s">
        <v>44</v>
      </c>
      <c r="B12936" t="s">
        <v>40</v>
      </c>
      <c r="C12936" t="s">
        <v>37</v>
      </c>
      <c r="D12936" t="s">
        <v>34</v>
      </c>
      <c r="E12936" t="s">
        <v>21</v>
      </c>
      <c r="F12936" t="s">
        <v>20</v>
      </c>
      <c r="G12936" s="1" t="str">
        <f t="shared" si="2957"/>
        <v>X</v>
      </c>
      <c r="H12936" s="1" t="str">
        <f t="shared" si="2957"/>
        <v>X</v>
      </c>
      <c r="I12936" s="1" t="str">
        <f t="shared" si="2957"/>
        <v>X</v>
      </c>
      <c r="J12936" s="1" t="str">
        <f t="shared" si="2957"/>
        <v>X</v>
      </c>
      <c r="K12936" s="1" t="str">
        <f t="shared" si="2957"/>
        <v>X</v>
      </c>
      <c r="L12936" s="1" t="str">
        <f t="shared" si="2957"/>
        <v>X</v>
      </c>
      <c r="M12936" s="1" t="str">
        <f t="shared" si="2957"/>
        <v>X</v>
      </c>
      <c r="N12936" t="s">
        <v>27</v>
      </c>
    </row>
    <row r="12937" spans="1:14" x14ac:dyDescent="0.25">
      <c r="A12937" t="s">
        <v>44</v>
      </c>
      <c r="B12937" t="s">
        <v>40</v>
      </c>
      <c r="C12937" t="s">
        <v>37</v>
      </c>
      <c r="D12937" t="s">
        <v>34</v>
      </c>
      <c r="E12937" t="s">
        <v>22</v>
      </c>
      <c r="F12937" t="s">
        <v>15</v>
      </c>
      <c r="G12937" s="1" t="str">
        <f t="shared" si="2957"/>
        <v>X</v>
      </c>
      <c r="H12937" s="1" t="str">
        <f t="shared" si="2957"/>
        <v>X</v>
      </c>
      <c r="I12937" s="1" t="str">
        <f t="shared" si="2957"/>
        <v>X</v>
      </c>
      <c r="J12937" s="1" t="str">
        <f t="shared" si="2957"/>
        <v>X</v>
      </c>
      <c r="K12937" s="1" t="str">
        <f t="shared" si="2957"/>
        <v>X</v>
      </c>
      <c r="L12937" s="1" t="str">
        <f t="shared" si="2957"/>
        <v>X</v>
      </c>
      <c r="M12937" s="1" t="str">
        <f t="shared" si="2957"/>
        <v>X</v>
      </c>
      <c r="N12937" t="s">
        <v>27</v>
      </c>
    </row>
    <row r="12938" spans="1:14" x14ac:dyDescent="0.25">
      <c r="A12938" t="s">
        <v>44</v>
      </c>
      <c r="B12938" t="s">
        <v>40</v>
      </c>
      <c r="C12938" t="s">
        <v>37</v>
      </c>
      <c r="D12938" t="s">
        <v>34</v>
      </c>
      <c r="E12938" t="s">
        <v>22</v>
      </c>
      <c r="F12938" t="s">
        <v>17</v>
      </c>
      <c r="G12938" s="1" t="str">
        <f t="shared" ref="G12938:M12938" si="2958">"..."</f>
        <v>...</v>
      </c>
      <c r="H12938" s="1" t="str">
        <f t="shared" si="2958"/>
        <v>...</v>
      </c>
      <c r="I12938" s="1" t="str">
        <f t="shared" si="2958"/>
        <v>...</v>
      </c>
      <c r="J12938" s="1" t="str">
        <f t="shared" si="2958"/>
        <v>...</v>
      </c>
      <c r="K12938" s="1" t="str">
        <f t="shared" si="2958"/>
        <v>...</v>
      </c>
      <c r="L12938" s="1" t="str">
        <f t="shared" si="2958"/>
        <v>...</v>
      </c>
      <c r="M12938" s="1" t="str">
        <f t="shared" si="2958"/>
        <v>...</v>
      </c>
      <c r="N12938" t="s">
        <v>30</v>
      </c>
    </row>
    <row r="12939" spans="1:14" x14ac:dyDescent="0.25">
      <c r="A12939" t="s">
        <v>44</v>
      </c>
      <c r="B12939" t="s">
        <v>40</v>
      </c>
      <c r="C12939" t="s">
        <v>37</v>
      </c>
      <c r="D12939" t="s">
        <v>34</v>
      </c>
      <c r="E12939" t="s">
        <v>22</v>
      </c>
      <c r="F12939" t="s">
        <v>18</v>
      </c>
      <c r="G12939" s="1" t="str">
        <f t="shared" ref="G12939:M12942" si="2959">"X"</f>
        <v>X</v>
      </c>
      <c r="H12939" s="1" t="str">
        <f t="shared" si="2959"/>
        <v>X</v>
      </c>
      <c r="I12939" s="1" t="str">
        <f t="shared" si="2959"/>
        <v>X</v>
      </c>
      <c r="J12939" s="1" t="str">
        <f t="shared" si="2959"/>
        <v>X</v>
      </c>
      <c r="K12939" s="1" t="str">
        <f t="shared" si="2959"/>
        <v>X</v>
      </c>
      <c r="L12939" s="1" t="str">
        <f t="shared" si="2959"/>
        <v>X</v>
      </c>
      <c r="M12939" s="1" t="str">
        <f t="shared" si="2959"/>
        <v>X</v>
      </c>
      <c r="N12939" t="s">
        <v>27</v>
      </c>
    </row>
    <row r="12940" spans="1:14" x14ac:dyDescent="0.25">
      <c r="A12940" t="s">
        <v>44</v>
      </c>
      <c r="B12940" t="s">
        <v>40</v>
      </c>
      <c r="C12940" t="s">
        <v>37</v>
      </c>
      <c r="D12940" t="s">
        <v>34</v>
      </c>
      <c r="E12940" t="s">
        <v>22</v>
      </c>
      <c r="F12940" t="s">
        <v>19</v>
      </c>
      <c r="G12940" s="1" t="str">
        <f t="shared" si="2959"/>
        <v>X</v>
      </c>
      <c r="H12940" s="1" t="str">
        <f t="shared" si="2959"/>
        <v>X</v>
      </c>
      <c r="I12940" s="1" t="str">
        <f t="shared" si="2959"/>
        <v>X</v>
      </c>
      <c r="J12940" s="1" t="str">
        <f t="shared" si="2959"/>
        <v>X</v>
      </c>
      <c r="K12940" s="1" t="str">
        <f t="shared" si="2959"/>
        <v>X</v>
      </c>
      <c r="L12940" s="1" t="str">
        <f t="shared" si="2959"/>
        <v>X</v>
      </c>
      <c r="M12940" s="1" t="str">
        <f t="shared" si="2959"/>
        <v>X</v>
      </c>
      <c r="N12940" t="s">
        <v>27</v>
      </c>
    </row>
    <row r="12941" spans="1:14" x14ac:dyDescent="0.25">
      <c r="A12941" t="s">
        <v>44</v>
      </c>
      <c r="B12941" t="s">
        <v>40</v>
      </c>
      <c r="C12941" t="s">
        <v>37</v>
      </c>
      <c r="D12941" t="s">
        <v>34</v>
      </c>
      <c r="E12941" t="s">
        <v>22</v>
      </c>
      <c r="F12941" t="s">
        <v>20</v>
      </c>
      <c r="G12941" s="1" t="str">
        <f t="shared" si="2959"/>
        <v>X</v>
      </c>
      <c r="H12941" s="1" t="str">
        <f t="shared" si="2959"/>
        <v>X</v>
      </c>
      <c r="I12941" s="1" t="str">
        <f t="shared" si="2959"/>
        <v>X</v>
      </c>
      <c r="J12941" s="1" t="str">
        <f t="shared" si="2959"/>
        <v>X</v>
      </c>
      <c r="K12941" s="1" t="str">
        <f t="shared" si="2959"/>
        <v>X</v>
      </c>
      <c r="L12941" s="1" t="str">
        <f t="shared" si="2959"/>
        <v>X</v>
      </c>
      <c r="M12941" s="1" t="str">
        <f t="shared" si="2959"/>
        <v>X</v>
      </c>
      <c r="N12941" t="s">
        <v>27</v>
      </c>
    </row>
    <row r="12942" spans="1:14" x14ac:dyDescent="0.25">
      <c r="A12942" t="s">
        <v>44</v>
      </c>
      <c r="B12942" t="s">
        <v>40</v>
      </c>
      <c r="C12942" t="s">
        <v>37</v>
      </c>
      <c r="D12942" t="s">
        <v>34</v>
      </c>
      <c r="E12942" t="s">
        <v>23</v>
      </c>
      <c r="F12942" t="s">
        <v>15</v>
      </c>
      <c r="G12942" s="1" t="str">
        <f t="shared" si="2959"/>
        <v>X</v>
      </c>
      <c r="H12942" s="1" t="str">
        <f t="shared" si="2959"/>
        <v>X</v>
      </c>
      <c r="I12942" s="1" t="str">
        <f t="shared" si="2959"/>
        <v>X</v>
      </c>
      <c r="J12942" s="1" t="str">
        <f t="shared" si="2959"/>
        <v>X</v>
      </c>
      <c r="K12942" s="1" t="str">
        <f t="shared" si="2959"/>
        <v>X</v>
      </c>
      <c r="L12942" s="1" t="str">
        <f t="shared" si="2959"/>
        <v>X</v>
      </c>
      <c r="M12942" s="1" t="str">
        <f t="shared" si="2959"/>
        <v>X</v>
      </c>
      <c r="N12942" t="s">
        <v>27</v>
      </c>
    </row>
    <row r="12943" spans="1:14" x14ac:dyDescent="0.25">
      <c r="A12943" t="s">
        <v>44</v>
      </c>
      <c r="B12943" t="s">
        <v>40</v>
      </c>
      <c r="C12943" t="s">
        <v>37</v>
      </c>
      <c r="D12943" t="s">
        <v>34</v>
      </c>
      <c r="E12943" t="s">
        <v>23</v>
      </c>
      <c r="F12943" t="s">
        <v>17</v>
      </c>
      <c r="G12943" s="1" t="str">
        <f t="shared" ref="G12943:M12945" si="2960">"..."</f>
        <v>...</v>
      </c>
      <c r="H12943" s="1" t="str">
        <f t="shared" si="2960"/>
        <v>...</v>
      </c>
      <c r="I12943" s="1" t="str">
        <f t="shared" si="2960"/>
        <v>...</v>
      </c>
      <c r="J12943" s="1" t="str">
        <f t="shared" si="2960"/>
        <v>...</v>
      </c>
      <c r="K12943" s="1" t="str">
        <f t="shared" si="2960"/>
        <v>...</v>
      </c>
      <c r="L12943" s="1" t="str">
        <f t="shared" si="2960"/>
        <v>...</v>
      </c>
      <c r="M12943" s="1" t="str">
        <f t="shared" si="2960"/>
        <v>...</v>
      </c>
      <c r="N12943" t="s">
        <v>30</v>
      </c>
    </row>
    <row r="12944" spans="1:14" x14ac:dyDescent="0.25">
      <c r="A12944" t="s">
        <v>44</v>
      </c>
      <c r="B12944" t="s">
        <v>40</v>
      </c>
      <c r="C12944" t="s">
        <v>37</v>
      </c>
      <c r="D12944" t="s">
        <v>34</v>
      </c>
      <c r="E12944" t="s">
        <v>23</v>
      </c>
      <c r="F12944" t="s">
        <v>18</v>
      </c>
      <c r="G12944" s="1" t="str">
        <f t="shared" si="2960"/>
        <v>...</v>
      </c>
      <c r="H12944" s="1" t="str">
        <f t="shared" si="2960"/>
        <v>...</v>
      </c>
      <c r="I12944" s="1" t="str">
        <f t="shared" si="2960"/>
        <v>...</v>
      </c>
      <c r="J12944" s="1" t="str">
        <f t="shared" si="2960"/>
        <v>...</v>
      </c>
      <c r="K12944" s="1" t="str">
        <f t="shared" si="2960"/>
        <v>...</v>
      </c>
      <c r="L12944" s="1" t="str">
        <f t="shared" si="2960"/>
        <v>...</v>
      </c>
      <c r="M12944" s="1" t="str">
        <f t="shared" si="2960"/>
        <v>...</v>
      </c>
      <c r="N12944" t="s">
        <v>30</v>
      </c>
    </row>
    <row r="12945" spans="1:14" x14ac:dyDescent="0.25">
      <c r="A12945" t="s">
        <v>44</v>
      </c>
      <c r="B12945" t="s">
        <v>40</v>
      </c>
      <c r="C12945" t="s">
        <v>37</v>
      </c>
      <c r="D12945" t="s">
        <v>34</v>
      </c>
      <c r="E12945" t="s">
        <v>23</v>
      </c>
      <c r="F12945" t="s">
        <v>19</v>
      </c>
      <c r="G12945" s="1" t="str">
        <f t="shared" si="2960"/>
        <v>...</v>
      </c>
      <c r="H12945" s="1" t="str">
        <f t="shared" si="2960"/>
        <v>...</v>
      </c>
      <c r="I12945" s="1" t="str">
        <f t="shared" si="2960"/>
        <v>...</v>
      </c>
      <c r="J12945" s="1" t="str">
        <f t="shared" si="2960"/>
        <v>...</v>
      </c>
      <c r="K12945" s="1" t="str">
        <f t="shared" si="2960"/>
        <v>...</v>
      </c>
      <c r="L12945" s="1" t="str">
        <f t="shared" si="2960"/>
        <v>...</v>
      </c>
      <c r="M12945" s="1" t="str">
        <f t="shared" si="2960"/>
        <v>...</v>
      </c>
      <c r="N12945" t="s">
        <v>30</v>
      </c>
    </row>
    <row r="12946" spans="1:14" x14ac:dyDescent="0.25">
      <c r="A12946" t="s">
        <v>44</v>
      </c>
      <c r="B12946" t="s">
        <v>40</v>
      </c>
      <c r="C12946" t="s">
        <v>37</v>
      </c>
      <c r="D12946" t="s">
        <v>34</v>
      </c>
      <c r="E12946" t="s">
        <v>23</v>
      </c>
      <c r="F12946" t="s">
        <v>20</v>
      </c>
      <c r="G12946" s="1" t="str">
        <f t="shared" ref="G12946:M12946" si="2961">"X"</f>
        <v>X</v>
      </c>
      <c r="H12946" s="1" t="str">
        <f t="shared" si="2961"/>
        <v>X</v>
      </c>
      <c r="I12946" s="1" t="str">
        <f t="shared" si="2961"/>
        <v>X</v>
      </c>
      <c r="J12946" s="1" t="str">
        <f t="shared" si="2961"/>
        <v>X</v>
      </c>
      <c r="K12946" s="1" t="str">
        <f t="shared" si="2961"/>
        <v>X</v>
      </c>
      <c r="L12946" s="1" t="str">
        <f t="shared" si="2961"/>
        <v>X</v>
      </c>
      <c r="M12946" s="1" t="str">
        <f t="shared" si="2961"/>
        <v>X</v>
      </c>
      <c r="N12946" t="s">
        <v>27</v>
      </c>
    </row>
    <row r="12947" spans="1:14" x14ac:dyDescent="0.25">
      <c r="A12947" t="s">
        <v>44</v>
      </c>
      <c r="B12947" t="s">
        <v>40</v>
      </c>
      <c r="C12947" t="s">
        <v>37</v>
      </c>
      <c r="D12947" t="s">
        <v>34</v>
      </c>
      <c r="E12947" t="s">
        <v>26</v>
      </c>
      <c r="F12947" t="s">
        <v>15</v>
      </c>
      <c r="G12947" s="1" t="str">
        <f t="shared" ref="G12947:M12951" si="2962">"..."</f>
        <v>...</v>
      </c>
      <c r="H12947" s="1" t="str">
        <f t="shared" si="2962"/>
        <v>...</v>
      </c>
      <c r="I12947" s="1" t="str">
        <f t="shared" si="2962"/>
        <v>...</v>
      </c>
      <c r="J12947" s="1" t="str">
        <f t="shared" si="2962"/>
        <v>...</v>
      </c>
      <c r="K12947" s="1" t="str">
        <f t="shared" si="2962"/>
        <v>...</v>
      </c>
      <c r="L12947" s="1" t="str">
        <f t="shared" si="2962"/>
        <v>...</v>
      </c>
      <c r="M12947" s="1" t="str">
        <f t="shared" si="2962"/>
        <v>...</v>
      </c>
      <c r="N12947" t="s">
        <v>30</v>
      </c>
    </row>
    <row r="12948" spans="1:14" x14ac:dyDescent="0.25">
      <c r="A12948" t="s">
        <v>44</v>
      </c>
      <c r="B12948" t="s">
        <v>40</v>
      </c>
      <c r="C12948" t="s">
        <v>37</v>
      </c>
      <c r="D12948" t="s">
        <v>34</v>
      </c>
      <c r="E12948" t="s">
        <v>26</v>
      </c>
      <c r="F12948" t="s">
        <v>17</v>
      </c>
      <c r="G12948" s="1" t="str">
        <f t="shared" si="2962"/>
        <v>...</v>
      </c>
      <c r="H12948" s="1" t="str">
        <f t="shared" si="2962"/>
        <v>...</v>
      </c>
      <c r="I12948" s="1" t="str">
        <f t="shared" si="2962"/>
        <v>...</v>
      </c>
      <c r="J12948" s="1" t="str">
        <f t="shared" si="2962"/>
        <v>...</v>
      </c>
      <c r="K12948" s="1" t="str">
        <f t="shared" si="2962"/>
        <v>...</v>
      </c>
      <c r="L12948" s="1" t="str">
        <f t="shared" si="2962"/>
        <v>...</v>
      </c>
      <c r="M12948" s="1" t="str">
        <f t="shared" si="2962"/>
        <v>...</v>
      </c>
      <c r="N12948" t="s">
        <v>30</v>
      </c>
    </row>
    <row r="12949" spans="1:14" x14ac:dyDescent="0.25">
      <c r="A12949" t="s">
        <v>44</v>
      </c>
      <c r="B12949" t="s">
        <v>40</v>
      </c>
      <c r="C12949" t="s">
        <v>37</v>
      </c>
      <c r="D12949" t="s">
        <v>34</v>
      </c>
      <c r="E12949" t="s">
        <v>26</v>
      </c>
      <c r="F12949" t="s">
        <v>18</v>
      </c>
      <c r="G12949" s="1" t="str">
        <f t="shared" si="2962"/>
        <v>...</v>
      </c>
      <c r="H12949" s="1" t="str">
        <f t="shared" si="2962"/>
        <v>...</v>
      </c>
      <c r="I12949" s="1" t="str">
        <f t="shared" si="2962"/>
        <v>...</v>
      </c>
      <c r="J12949" s="1" t="str">
        <f t="shared" si="2962"/>
        <v>...</v>
      </c>
      <c r="K12949" s="1" t="str">
        <f t="shared" si="2962"/>
        <v>...</v>
      </c>
      <c r="L12949" s="1" t="str">
        <f t="shared" si="2962"/>
        <v>...</v>
      </c>
      <c r="M12949" s="1" t="str">
        <f t="shared" si="2962"/>
        <v>...</v>
      </c>
      <c r="N12949" t="s">
        <v>30</v>
      </c>
    </row>
    <row r="12950" spans="1:14" x14ac:dyDescent="0.25">
      <c r="A12950" t="s">
        <v>44</v>
      </c>
      <c r="B12950" t="s">
        <v>40</v>
      </c>
      <c r="C12950" t="s">
        <v>37</v>
      </c>
      <c r="D12950" t="s">
        <v>34</v>
      </c>
      <c r="E12950" t="s">
        <v>26</v>
      </c>
      <c r="F12950" t="s">
        <v>19</v>
      </c>
      <c r="G12950" s="1" t="str">
        <f t="shared" si="2962"/>
        <v>...</v>
      </c>
      <c r="H12950" s="1" t="str">
        <f t="shared" si="2962"/>
        <v>...</v>
      </c>
      <c r="I12950" s="1" t="str">
        <f t="shared" si="2962"/>
        <v>...</v>
      </c>
      <c r="J12950" s="1" t="str">
        <f t="shared" si="2962"/>
        <v>...</v>
      </c>
      <c r="K12950" s="1" t="str">
        <f t="shared" si="2962"/>
        <v>...</v>
      </c>
      <c r="L12950" s="1" t="str">
        <f t="shared" si="2962"/>
        <v>...</v>
      </c>
      <c r="M12950" s="1" t="str">
        <f t="shared" si="2962"/>
        <v>...</v>
      </c>
      <c r="N12950" t="s">
        <v>30</v>
      </c>
    </row>
    <row r="12951" spans="1:14" x14ac:dyDescent="0.25">
      <c r="A12951" t="s">
        <v>44</v>
      </c>
      <c r="B12951" t="s">
        <v>40</v>
      </c>
      <c r="C12951" t="s">
        <v>37</v>
      </c>
      <c r="D12951" t="s">
        <v>34</v>
      </c>
      <c r="E12951" t="s">
        <v>26</v>
      </c>
      <c r="F12951" t="s">
        <v>20</v>
      </c>
      <c r="G12951" s="1" t="str">
        <f t="shared" si="2962"/>
        <v>...</v>
      </c>
      <c r="H12951" s="1" t="str">
        <f t="shared" si="2962"/>
        <v>...</v>
      </c>
      <c r="I12951" s="1" t="str">
        <f t="shared" si="2962"/>
        <v>...</v>
      </c>
      <c r="J12951" s="1" t="str">
        <f t="shared" si="2962"/>
        <v>...</v>
      </c>
      <c r="K12951" s="1" t="str">
        <f t="shared" si="2962"/>
        <v>...</v>
      </c>
      <c r="L12951" s="1" t="str">
        <f t="shared" si="2962"/>
        <v>...</v>
      </c>
      <c r="M12951" s="1" t="str">
        <f t="shared" si="2962"/>
        <v>...</v>
      </c>
      <c r="N12951" t="s">
        <v>30</v>
      </c>
    </row>
    <row r="12952" spans="1:14" x14ac:dyDescent="0.25">
      <c r="A12952" t="s">
        <v>44</v>
      </c>
      <c r="B12952" t="s">
        <v>40</v>
      </c>
      <c r="C12952" t="s">
        <v>38</v>
      </c>
      <c r="D12952" t="s">
        <v>15</v>
      </c>
      <c r="E12952" t="s">
        <v>15</v>
      </c>
      <c r="F12952" t="s">
        <v>15</v>
      </c>
      <c r="G12952" s="1">
        <f>VALUE(15559.46)</f>
        <v>15559.46</v>
      </c>
      <c r="H12952" s="1">
        <f>VALUE(10427.83)</f>
        <v>10427.83</v>
      </c>
      <c r="I12952" s="1">
        <f>VALUE(3252)</f>
        <v>3252</v>
      </c>
      <c r="J12952" s="1">
        <f>VALUE(3813)</f>
        <v>3813</v>
      </c>
      <c r="K12952" s="1">
        <f>VALUE(4987)</f>
        <v>4987</v>
      </c>
      <c r="L12952" s="1">
        <f>VALUE(6550)</f>
        <v>6550</v>
      </c>
      <c r="M12952" s="1">
        <f>VALUE(8353)</f>
        <v>8353</v>
      </c>
      <c r="N12952" t="s">
        <v>16</v>
      </c>
    </row>
    <row r="12953" spans="1:14" x14ac:dyDescent="0.25">
      <c r="A12953" t="s">
        <v>44</v>
      </c>
      <c r="B12953" t="s">
        <v>40</v>
      </c>
      <c r="C12953" t="s">
        <v>38</v>
      </c>
      <c r="D12953" t="s">
        <v>15</v>
      </c>
      <c r="E12953" t="s">
        <v>15</v>
      </c>
      <c r="F12953" t="s">
        <v>17</v>
      </c>
      <c r="G12953" s="2">
        <f>VALUE(1669.2)</f>
        <v>1669.2</v>
      </c>
      <c r="H12953" s="3">
        <f>VALUE(1391.91)</f>
        <v>1391.91</v>
      </c>
      <c r="I12953" s="4">
        <f>VALUE(3790)</f>
        <v>3790</v>
      </c>
      <c r="J12953" s="5">
        <f>VALUE(5158)</f>
        <v>5158</v>
      </c>
      <c r="K12953" s="1">
        <f>VALUE(6747)</f>
        <v>6747</v>
      </c>
      <c r="L12953" s="7">
        <f>VALUE(9491)</f>
        <v>9491</v>
      </c>
      <c r="M12953" s="8">
        <f>VALUE(14275)</f>
        <v>14275</v>
      </c>
      <c r="N12953" t="s">
        <v>25</v>
      </c>
    </row>
    <row r="12954" spans="1:14" x14ac:dyDescent="0.25">
      <c r="A12954" t="s">
        <v>44</v>
      </c>
      <c r="B12954" t="s">
        <v>40</v>
      </c>
      <c r="C12954" t="s">
        <v>38</v>
      </c>
      <c r="D12954" t="s">
        <v>15</v>
      </c>
      <c r="E12954" t="s">
        <v>15</v>
      </c>
      <c r="F12954" t="s">
        <v>18</v>
      </c>
      <c r="G12954" s="2">
        <f>VALUE(1284.24)</f>
        <v>1284.24</v>
      </c>
      <c r="H12954" s="3">
        <f>VALUE(938.4)</f>
        <v>938.4</v>
      </c>
      <c r="I12954" s="4">
        <f>VALUE(3862)</f>
        <v>3862</v>
      </c>
      <c r="J12954" s="5">
        <f>VALUE(5121)</f>
        <v>5121</v>
      </c>
      <c r="K12954" s="6">
        <f>VALUE(6762)</f>
        <v>6762</v>
      </c>
      <c r="L12954" s="1">
        <f>VALUE(8145)</f>
        <v>8145</v>
      </c>
      <c r="M12954" s="1">
        <f>VALUE(9500)</f>
        <v>9500</v>
      </c>
      <c r="N12954" t="s">
        <v>25</v>
      </c>
    </row>
    <row r="12955" spans="1:14" x14ac:dyDescent="0.25">
      <c r="A12955" t="s">
        <v>44</v>
      </c>
      <c r="B12955" t="s">
        <v>40</v>
      </c>
      <c r="C12955" t="s">
        <v>38</v>
      </c>
      <c r="D12955" t="s">
        <v>15</v>
      </c>
      <c r="E12955" t="s">
        <v>15</v>
      </c>
      <c r="F12955" t="s">
        <v>19</v>
      </c>
      <c r="G12955" s="2">
        <f>VALUE(1519.59)</f>
        <v>1519.59</v>
      </c>
      <c r="H12955" s="3">
        <f>VALUE(1160.34)</f>
        <v>1160.3399999999999</v>
      </c>
      <c r="I12955" s="1">
        <f>VALUE(3666)</f>
        <v>3666</v>
      </c>
      <c r="J12955" s="1">
        <f>VALUE(4491)</f>
        <v>4491</v>
      </c>
      <c r="K12955" s="1">
        <f>VALUE(5851)</f>
        <v>5851</v>
      </c>
      <c r="L12955" s="1">
        <f>VALUE(7115)</f>
        <v>7115</v>
      </c>
      <c r="M12955" s="1">
        <f>VALUE(8410)</f>
        <v>8410</v>
      </c>
      <c r="N12955" t="s">
        <v>25</v>
      </c>
    </row>
    <row r="12956" spans="1:14" x14ac:dyDescent="0.25">
      <c r="A12956" t="s">
        <v>44</v>
      </c>
      <c r="B12956" t="s">
        <v>40</v>
      </c>
      <c r="C12956" t="s">
        <v>38</v>
      </c>
      <c r="D12956" t="s">
        <v>15</v>
      </c>
      <c r="E12956" t="s">
        <v>15</v>
      </c>
      <c r="F12956" t="s">
        <v>20</v>
      </c>
      <c r="G12956" s="1">
        <f>VALUE(11086.43)</f>
        <v>11086.43</v>
      </c>
      <c r="H12956" s="1">
        <f>VALUE(6937.18)</f>
        <v>6937.18</v>
      </c>
      <c r="I12956" s="1">
        <f>VALUE(3177)</f>
        <v>3177</v>
      </c>
      <c r="J12956" s="1">
        <f>VALUE(3624)</f>
        <v>3624</v>
      </c>
      <c r="K12956" s="1">
        <f>VALUE(4486)</f>
        <v>4486</v>
      </c>
      <c r="L12956" s="1">
        <f>VALUE(5647)</f>
        <v>5647</v>
      </c>
      <c r="M12956" s="1">
        <f>VALUE(7078)</f>
        <v>7078</v>
      </c>
      <c r="N12956" t="s">
        <v>16</v>
      </c>
    </row>
    <row r="12957" spans="1:14" x14ac:dyDescent="0.25">
      <c r="A12957" t="s">
        <v>44</v>
      </c>
      <c r="B12957" t="s">
        <v>40</v>
      </c>
      <c r="C12957" t="s">
        <v>38</v>
      </c>
      <c r="D12957" t="s">
        <v>15</v>
      </c>
      <c r="E12957" t="s">
        <v>21</v>
      </c>
      <c r="F12957" t="s">
        <v>15</v>
      </c>
      <c r="G12957" s="2">
        <f>VALUE(2206.81)</f>
        <v>2206.81</v>
      </c>
      <c r="H12957" s="3">
        <f>VALUE(1619.27)</f>
        <v>1619.27</v>
      </c>
      <c r="I12957" s="4">
        <f>VALUE(4353)</f>
        <v>4353</v>
      </c>
      <c r="J12957" s="1">
        <f>VALUE(5424)</f>
        <v>5424</v>
      </c>
      <c r="K12957" s="1">
        <f>VALUE(7282)</f>
        <v>7282</v>
      </c>
      <c r="L12957" s="1">
        <f>VALUE(8930)</f>
        <v>8930</v>
      </c>
      <c r="M12957" s="1">
        <f>VALUE(12748)</f>
        <v>12748</v>
      </c>
      <c r="N12957" t="s">
        <v>25</v>
      </c>
    </row>
    <row r="12958" spans="1:14" x14ac:dyDescent="0.25">
      <c r="A12958" t="s">
        <v>44</v>
      </c>
      <c r="B12958" t="s">
        <v>40</v>
      </c>
      <c r="C12958" t="s">
        <v>38</v>
      </c>
      <c r="D12958" t="s">
        <v>15</v>
      </c>
      <c r="E12958" t="s">
        <v>21</v>
      </c>
      <c r="F12958" t="s">
        <v>17</v>
      </c>
      <c r="G12958" s="2">
        <f>VALUE(670.93)</f>
        <v>670.93</v>
      </c>
      <c r="H12958" s="3">
        <f>VALUE(555.83)</f>
        <v>555.83000000000004</v>
      </c>
      <c r="I12958" s="4">
        <f>VALUE(4580)</f>
        <v>4580</v>
      </c>
      <c r="J12958" s="5">
        <f>VALUE(5373)</f>
        <v>5373</v>
      </c>
      <c r="K12958" s="6">
        <f>VALUE(8318)</f>
        <v>8318</v>
      </c>
      <c r="L12958" s="7">
        <f>VALUE(11507)</f>
        <v>11507</v>
      </c>
      <c r="M12958" s="1">
        <f>VALUE(15788)</f>
        <v>15788</v>
      </c>
      <c r="N12958" t="s">
        <v>25</v>
      </c>
    </row>
    <row r="12959" spans="1:14" x14ac:dyDescent="0.25">
      <c r="A12959" t="s">
        <v>44</v>
      </c>
      <c r="B12959" t="s">
        <v>40</v>
      </c>
      <c r="C12959" t="s">
        <v>38</v>
      </c>
      <c r="D12959" t="s">
        <v>15</v>
      </c>
      <c r="E12959" t="s">
        <v>21</v>
      </c>
      <c r="F12959" t="s">
        <v>18</v>
      </c>
      <c r="G12959" s="2">
        <f>VALUE(392.96)</f>
        <v>392.96</v>
      </c>
      <c r="H12959" s="3">
        <f>VALUE(275.05)</f>
        <v>275.05</v>
      </c>
      <c r="I12959" s="4">
        <f>VALUE(4095)</f>
        <v>4095</v>
      </c>
      <c r="J12959" s="5">
        <f>VALUE(5784)</f>
        <v>5784</v>
      </c>
      <c r="K12959" s="6">
        <f>VALUE(7123)</f>
        <v>7123</v>
      </c>
      <c r="L12959" s="7">
        <f>VALUE(8917)</f>
        <v>8917</v>
      </c>
      <c r="M12959" s="1">
        <f>VALUE(11744)</f>
        <v>11744</v>
      </c>
      <c r="N12959" t="s">
        <v>25</v>
      </c>
    </row>
    <row r="12960" spans="1:14" x14ac:dyDescent="0.25">
      <c r="A12960" t="s">
        <v>44</v>
      </c>
      <c r="B12960" t="s">
        <v>40</v>
      </c>
      <c r="C12960" t="s">
        <v>38</v>
      </c>
      <c r="D12960" t="s">
        <v>15</v>
      </c>
      <c r="E12960" t="s">
        <v>21</v>
      </c>
      <c r="F12960" t="s">
        <v>19</v>
      </c>
      <c r="G12960" s="2">
        <f>VALUE(227.57)</f>
        <v>227.57</v>
      </c>
      <c r="H12960" s="3">
        <f>VALUE(198.73)</f>
        <v>198.73</v>
      </c>
      <c r="I12960" s="1">
        <f>VALUE(5424)</f>
        <v>5424</v>
      </c>
      <c r="J12960" s="1">
        <f>VALUE(6554)</f>
        <v>6554</v>
      </c>
      <c r="K12960" s="1">
        <f>VALUE(7624)</f>
        <v>7624</v>
      </c>
      <c r="L12960" s="1">
        <f>VALUE(8916)</f>
        <v>8916</v>
      </c>
      <c r="M12960" s="1">
        <f>VALUE(12748)</f>
        <v>12748</v>
      </c>
      <c r="N12960" t="s">
        <v>25</v>
      </c>
    </row>
    <row r="12961" spans="1:14" x14ac:dyDescent="0.25">
      <c r="A12961" t="s">
        <v>44</v>
      </c>
      <c r="B12961" t="s">
        <v>40</v>
      </c>
      <c r="C12961" t="s">
        <v>38</v>
      </c>
      <c r="D12961" t="s">
        <v>15</v>
      </c>
      <c r="E12961" t="s">
        <v>21</v>
      </c>
      <c r="F12961" t="s">
        <v>20</v>
      </c>
      <c r="G12961" s="2">
        <f>VALUE(915.35)</f>
        <v>915.35</v>
      </c>
      <c r="H12961" s="3">
        <f>VALUE(589.66)</f>
        <v>589.66</v>
      </c>
      <c r="I12961" s="4">
        <f>VALUE(3912)</f>
        <v>3912</v>
      </c>
      <c r="J12961" s="5">
        <f>VALUE(5010)</f>
        <v>5010</v>
      </c>
      <c r="K12961" s="6">
        <f>VALUE(6483)</f>
        <v>6483</v>
      </c>
      <c r="L12961" s="1">
        <f>VALUE(8104)</f>
        <v>8104</v>
      </c>
      <c r="M12961" s="8">
        <f>VALUE(9323)</f>
        <v>9323</v>
      </c>
      <c r="N12961" t="s">
        <v>25</v>
      </c>
    </row>
    <row r="12962" spans="1:14" x14ac:dyDescent="0.25">
      <c r="A12962" t="s">
        <v>44</v>
      </c>
      <c r="B12962" t="s">
        <v>40</v>
      </c>
      <c r="C12962" t="s">
        <v>38</v>
      </c>
      <c r="D12962" t="s">
        <v>15</v>
      </c>
      <c r="E12962" t="s">
        <v>22</v>
      </c>
      <c r="F12962" t="s">
        <v>15</v>
      </c>
      <c r="G12962" s="1">
        <f>VALUE(6449.94)</f>
        <v>6449.94</v>
      </c>
      <c r="H12962" s="1">
        <f>VALUE(4595.69)</f>
        <v>4595.6899999999996</v>
      </c>
      <c r="I12962" s="1">
        <f>VALUE(3961)</f>
        <v>3961</v>
      </c>
      <c r="J12962" s="1">
        <f>VALUE(4725)</f>
        <v>4725</v>
      </c>
      <c r="K12962" s="1">
        <f>VALUE(5726)</f>
        <v>5726</v>
      </c>
      <c r="L12962" s="1">
        <f>VALUE(6927)</f>
        <v>6927</v>
      </c>
      <c r="M12962" s="1">
        <f>VALUE(8225)</f>
        <v>8225</v>
      </c>
      <c r="N12962" t="s">
        <v>16</v>
      </c>
    </row>
    <row r="12963" spans="1:14" x14ac:dyDescent="0.25">
      <c r="A12963" t="s">
        <v>44</v>
      </c>
      <c r="B12963" t="s">
        <v>40</v>
      </c>
      <c r="C12963" t="s">
        <v>38</v>
      </c>
      <c r="D12963" t="s">
        <v>15</v>
      </c>
      <c r="E12963" t="s">
        <v>22</v>
      </c>
      <c r="F12963" t="s">
        <v>17</v>
      </c>
      <c r="G12963" s="2">
        <f>VALUE(746.98)</f>
        <v>746.98</v>
      </c>
      <c r="H12963" s="3">
        <f>VALUE(616.86)</f>
        <v>616.86</v>
      </c>
      <c r="I12963" s="4">
        <f>VALUE(3638)</f>
        <v>3638</v>
      </c>
      <c r="J12963" s="5">
        <f>VALUE(5176)</f>
        <v>5176</v>
      </c>
      <c r="K12963" s="6">
        <f>VALUE(6816)</f>
        <v>6816</v>
      </c>
      <c r="L12963" s="7">
        <f>VALUE(8819)</f>
        <v>8819</v>
      </c>
      <c r="M12963" s="8">
        <f>VALUE(13916)</f>
        <v>13916</v>
      </c>
      <c r="N12963" t="s">
        <v>24</v>
      </c>
    </row>
    <row r="12964" spans="1:14" x14ac:dyDescent="0.25">
      <c r="A12964" t="s">
        <v>44</v>
      </c>
      <c r="B12964" t="s">
        <v>40</v>
      </c>
      <c r="C12964" t="s">
        <v>38</v>
      </c>
      <c r="D12964" t="s">
        <v>15</v>
      </c>
      <c r="E12964" t="s">
        <v>22</v>
      </c>
      <c r="F12964" t="s">
        <v>18</v>
      </c>
      <c r="G12964" s="2">
        <f>VALUE(701.57)</f>
        <v>701.57</v>
      </c>
      <c r="H12964" s="3">
        <f>VALUE(545.8)</f>
        <v>545.79999999999995</v>
      </c>
      <c r="I12964" s="4">
        <f>VALUE(3961)</f>
        <v>3961</v>
      </c>
      <c r="J12964" s="5">
        <f>VALUE(5410)</f>
        <v>5410</v>
      </c>
      <c r="K12964" s="1">
        <f>VALUE(6797)</f>
        <v>6797</v>
      </c>
      <c r="L12964" s="1">
        <f>VALUE(7968)</f>
        <v>7968</v>
      </c>
      <c r="M12964" s="1">
        <f>VALUE(8964)</f>
        <v>8964</v>
      </c>
      <c r="N12964" t="s">
        <v>25</v>
      </c>
    </row>
    <row r="12965" spans="1:14" x14ac:dyDescent="0.25">
      <c r="A12965" t="s">
        <v>44</v>
      </c>
      <c r="B12965" t="s">
        <v>40</v>
      </c>
      <c r="C12965" t="s">
        <v>38</v>
      </c>
      <c r="D12965" t="s">
        <v>15</v>
      </c>
      <c r="E12965" t="s">
        <v>22</v>
      </c>
      <c r="F12965" t="s">
        <v>19</v>
      </c>
      <c r="G12965" s="2">
        <f>VALUE(925.97)</f>
        <v>925.97</v>
      </c>
      <c r="H12965" s="3">
        <f>VALUE(722.64)</f>
        <v>722.64</v>
      </c>
      <c r="I12965" s="4">
        <f>VALUE(4077)</f>
        <v>4077</v>
      </c>
      <c r="J12965" s="5">
        <f>VALUE(4698)</f>
        <v>4698</v>
      </c>
      <c r="K12965" s="1">
        <f>VALUE(6077)</f>
        <v>6077</v>
      </c>
      <c r="L12965" s="1">
        <f>VALUE(6903)</f>
        <v>6903</v>
      </c>
      <c r="M12965" s="1">
        <f>VALUE(7900)</f>
        <v>7900</v>
      </c>
      <c r="N12965" t="s">
        <v>25</v>
      </c>
    </row>
    <row r="12966" spans="1:14" x14ac:dyDescent="0.25">
      <c r="A12966" t="s">
        <v>44</v>
      </c>
      <c r="B12966" t="s">
        <v>40</v>
      </c>
      <c r="C12966" t="s">
        <v>38</v>
      </c>
      <c r="D12966" t="s">
        <v>15</v>
      </c>
      <c r="E12966" t="s">
        <v>22</v>
      </c>
      <c r="F12966" t="s">
        <v>20</v>
      </c>
      <c r="G12966" s="1">
        <f>VALUE(4075.42)</f>
        <v>4075.42</v>
      </c>
      <c r="H12966" s="1">
        <f>VALUE(2710.39)</f>
        <v>2710.39</v>
      </c>
      <c r="I12966" s="1">
        <f>VALUE(3970)</f>
        <v>3970</v>
      </c>
      <c r="J12966" s="1">
        <f>VALUE(4674)</f>
        <v>4674</v>
      </c>
      <c r="K12966" s="1">
        <f>VALUE(5502)</f>
        <v>5502</v>
      </c>
      <c r="L12966" s="1">
        <f>VALUE(6359)</f>
        <v>6359</v>
      </c>
      <c r="M12966" s="1">
        <f>VALUE(7582)</f>
        <v>7582</v>
      </c>
      <c r="N12966" t="s">
        <v>16</v>
      </c>
    </row>
    <row r="12967" spans="1:14" x14ac:dyDescent="0.25">
      <c r="A12967" t="s">
        <v>44</v>
      </c>
      <c r="B12967" t="s">
        <v>40</v>
      </c>
      <c r="C12967" t="s">
        <v>38</v>
      </c>
      <c r="D12967" t="s">
        <v>15</v>
      </c>
      <c r="E12967" t="s">
        <v>23</v>
      </c>
      <c r="F12967" t="s">
        <v>15</v>
      </c>
      <c r="G12967" s="1">
        <f>VALUE(6823.68)</f>
        <v>6823.68</v>
      </c>
      <c r="H12967" s="1">
        <f>VALUE(4144.29)</f>
        <v>4144.29</v>
      </c>
      <c r="I12967" s="1">
        <f>VALUE(3083)</f>
        <v>3083</v>
      </c>
      <c r="J12967" s="1">
        <f>VALUE(3386)</f>
        <v>3386</v>
      </c>
      <c r="K12967" s="1">
        <f>VALUE(3810)</f>
        <v>3810</v>
      </c>
      <c r="L12967" s="1">
        <f>VALUE(4511)</f>
        <v>4511</v>
      </c>
      <c r="M12967" s="1">
        <f>VALUE(5307)</f>
        <v>5307</v>
      </c>
      <c r="N12967" t="s">
        <v>16</v>
      </c>
    </row>
    <row r="12968" spans="1:14" x14ac:dyDescent="0.25">
      <c r="A12968" t="s">
        <v>44</v>
      </c>
      <c r="B12968" t="s">
        <v>40</v>
      </c>
      <c r="C12968" t="s">
        <v>38</v>
      </c>
      <c r="D12968" t="s">
        <v>15</v>
      </c>
      <c r="E12968" t="s">
        <v>23</v>
      </c>
      <c r="F12968" t="s">
        <v>17</v>
      </c>
      <c r="G12968" s="1" t="str">
        <f t="shared" ref="G12968:M12969" si="2963">"X"</f>
        <v>X</v>
      </c>
      <c r="H12968" s="1" t="str">
        <f t="shared" si="2963"/>
        <v>X</v>
      </c>
      <c r="I12968" s="1" t="str">
        <f t="shared" si="2963"/>
        <v>X</v>
      </c>
      <c r="J12968" s="1" t="str">
        <f t="shared" si="2963"/>
        <v>X</v>
      </c>
      <c r="K12968" s="1" t="str">
        <f t="shared" si="2963"/>
        <v>X</v>
      </c>
      <c r="L12968" s="1" t="str">
        <f t="shared" si="2963"/>
        <v>X</v>
      </c>
      <c r="M12968" s="1" t="str">
        <f t="shared" si="2963"/>
        <v>X</v>
      </c>
      <c r="N12968" t="s">
        <v>27</v>
      </c>
    </row>
    <row r="12969" spans="1:14" x14ac:dyDescent="0.25">
      <c r="A12969" t="s">
        <v>44</v>
      </c>
      <c r="B12969" t="s">
        <v>40</v>
      </c>
      <c r="C12969" t="s">
        <v>38</v>
      </c>
      <c r="D12969" t="s">
        <v>15</v>
      </c>
      <c r="E12969" t="s">
        <v>23</v>
      </c>
      <c r="F12969" t="s">
        <v>18</v>
      </c>
      <c r="G12969" s="1" t="str">
        <f t="shared" si="2963"/>
        <v>X</v>
      </c>
      <c r="H12969" s="1" t="str">
        <f t="shared" si="2963"/>
        <v>X</v>
      </c>
      <c r="I12969" s="1" t="str">
        <f t="shared" si="2963"/>
        <v>X</v>
      </c>
      <c r="J12969" s="1" t="str">
        <f t="shared" si="2963"/>
        <v>X</v>
      </c>
      <c r="K12969" s="1" t="str">
        <f t="shared" si="2963"/>
        <v>X</v>
      </c>
      <c r="L12969" s="1" t="str">
        <f t="shared" si="2963"/>
        <v>X</v>
      </c>
      <c r="M12969" s="1" t="str">
        <f t="shared" si="2963"/>
        <v>X</v>
      </c>
      <c r="N12969" t="s">
        <v>27</v>
      </c>
    </row>
    <row r="12970" spans="1:14" x14ac:dyDescent="0.25">
      <c r="A12970" t="s">
        <v>44</v>
      </c>
      <c r="B12970" t="s">
        <v>40</v>
      </c>
      <c r="C12970" t="s">
        <v>38</v>
      </c>
      <c r="D12970" t="s">
        <v>15</v>
      </c>
      <c r="E12970" t="s">
        <v>23</v>
      </c>
      <c r="F12970" t="s">
        <v>19</v>
      </c>
      <c r="G12970" s="2">
        <f>VALUE(366.05)</f>
        <v>366.05</v>
      </c>
      <c r="H12970" s="3">
        <f>VALUE(238.97)</f>
        <v>238.97</v>
      </c>
      <c r="I12970" s="4">
        <f>VALUE(3195)</f>
        <v>3195</v>
      </c>
      <c r="J12970" s="1">
        <f>VALUE(3467)</f>
        <v>3467</v>
      </c>
      <c r="K12970" s="1">
        <f>VALUE(4214)</f>
        <v>4214</v>
      </c>
      <c r="L12970" s="1">
        <f>VALUE(4659)</f>
        <v>4659</v>
      </c>
      <c r="M12970" s="8">
        <f>VALUE(5632)</f>
        <v>5632</v>
      </c>
      <c r="N12970" t="s">
        <v>25</v>
      </c>
    </row>
    <row r="12971" spans="1:14" x14ac:dyDescent="0.25">
      <c r="A12971" t="s">
        <v>44</v>
      </c>
      <c r="B12971" t="s">
        <v>40</v>
      </c>
      <c r="C12971" t="s">
        <v>38</v>
      </c>
      <c r="D12971" t="s">
        <v>15</v>
      </c>
      <c r="E12971" t="s">
        <v>23</v>
      </c>
      <c r="F12971" t="s">
        <v>20</v>
      </c>
      <c r="G12971" s="1">
        <f>VALUE(6019.77)</f>
        <v>6019.77</v>
      </c>
      <c r="H12971" s="1">
        <f>VALUE(3571.82)</f>
        <v>3571.82</v>
      </c>
      <c r="I12971" s="1">
        <f>VALUE(3053)</f>
        <v>3053</v>
      </c>
      <c r="J12971" s="1">
        <f>VALUE(3352)</f>
        <v>3352</v>
      </c>
      <c r="K12971" s="1">
        <f>VALUE(3736)</f>
        <v>3736</v>
      </c>
      <c r="L12971" s="1">
        <f>VALUE(4389)</f>
        <v>4389</v>
      </c>
      <c r="M12971" s="1">
        <f>VALUE(5054)</f>
        <v>5054</v>
      </c>
      <c r="N12971" t="s">
        <v>16</v>
      </c>
    </row>
    <row r="12972" spans="1:14" x14ac:dyDescent="0.25">
      <c r="A12972" t="s">
        <v>44</v>
      </c>
      <c r="B12972" t="s">
        <v>40</v>
      </c>
      <c r="C12972" t="s">
        <v>38</v>
      </c>
      <c r="D12972" t="s">
        <v>15</v>
      </c>
      <c r="E12972" t="s">
        <v>26</v>
      </c>
      <c r="F12972" t="s">
        <v>15</v>
      </c>
      <c r="G12972" s="1" t="str">
        <f t="shared" ref="G12972:M12974" si="2964">"X"</f>
        <v>X</v>
      </c>
      <c r="H12972" s="1" t="str">
        <f t="shared" si="2964"/>
        <v>X</v>
      </c>
      <c r="I12972" s="1" t="str">
        <f t="shared" si="2964"/>
        <v>X</v>
      </c>
      <c r="J12972" s="1" t="str">
        <f t="shared" si="2964"/>
        <v>X</v>
      </c>
      <c r="K12972" s="1" t="str">
        <f t="shared" si="2964"/>
        <v>X</v>
      </c>
      <c r="L12972" s="1" t="str">
        <f t="shared" si="2964"/>
        <v>X</v>
      </c>
      <c r="M12972" s="1" t="str">
        <f t="shared" si="2964"/>
        <v>X</v>
      </c>
      <c r="N12972" t="s">
        <v>27</v>
      </c>
    </row>
    <row r="12973" spans="1:14" x14ac:dyDescent="0.25">
      <c r="A12973" t="s">
        <v>44</v>
      </c>
      <c r="B12973" t="s">
        <v>40</v>
      </c>
      <c r="C12973" t="s">
        <v>38</v>
      </c>
      <c r="D12973" t="s">
        <v>15</v>
      </c>
      <c r="E12973" t="s">
        <v>26</v>
      </c>
      <c r="F12973" t="s">
        <v>17</v>
      </c>
      <c r="G12973" s="1" t="str">
        <f t="shared" si="2964"/>
        <v>X</v>
      </c>
      <c r="H12973" s="1" t="str">
        <f t="shared" si="2964"/>
        <v>X</v>
      </c>
      <c r="I12973" s="1" t="str">
        <f t="shared" si="2964"/>
        <v>X</v>
      </c>
      <c r="J12973" s="1" t="str">
        <f t="shared" si="2964"/>
        <v>X</v>
      </c>
      <c r="K12973" s="1" t="str">
        <f t="shared" si="2964"/>
        <v>X</v>
      </c>
      <c r="L12973" s="1" t="str">
        <f t="shared" si="2964"/>
        <v>X</v>
      </c>
      <c r="M12973" s="1" t="str">
        <f t="shared" si="2964"/>
        <v>X</v>
      </c>
      <c r="N12973" t="s">
        <v>27</v>
      </c>
    </row>
    <row r="12974" spans="1:14" x14ac:dyDescent="0.25">
      <c r="A12974" t="s">
        <v>44</v>
      </c>
      <c r="B12974" t="s">
        <v>40</v>
      </c>
      <c r="C12974" t="s">
        <v>38</v>
      </c>
      <c r="D12974" t="s">
        <v>15</v>
      </c>
      <c r="E12974" t="s">
        <v>26</v>
      </c>
      <c r="F12974" t="s">
        <v>18</v>
      </c>
      <c r="G12974" s="1" t="str">
        <f t="shared" si="2964"/>
        <v>X</v>
      </c>
      <c r="H12974" s="1" t="str">
        <f t="shared" si="2964"/>
        <v>X</v>
      </c>
      <c r="I12974" s="1" t="str">
        <f t="shared" si="2964"/>
        <v>X</v>
      </c>
      <c r="J12974" s="1" t="str">
        <f t="shared" si="2964"/>
        <v>X</v>
      </c>
      <c r="K12974" s="1" t="str">
        <f t="shared" si="2964"/>
        <v>X</v>
      </c>
      <c r="L12974" s="1" t="str">
        <f t="shared" si="2964"/>
        <v>X</v>
      </c>
      <c r="M12974" s="1" t="str">
        <f t="shared" si="2964"/>
        <v>X</v>
      </c>
      <c r="N12974" t="s">
        <v>27</v>
      </c>
    </row>
    <row r="12975" spans="1:14" x14ac:dyDescent="0.25">
      <c r="A12975" t="s">
        <v>44</v>
      </c>
      <c r="B12975" t="s">
        <v>40</v>
      </c>
      <c r="C12975" t="s">
        <v>38</v>
      </c>
      <c r="D12975" t="s">
        <v>15</v>
      </c>
      <c r="E12975" t="s">
        <v>26</v>
      </c>
      <c r="F12975" t="s">
        <v>19</v>
      </c>
      <c r="G12975" s="1" t="str">
        <f t="shared" ref="G12975:M12975" si="2965">"..."</f>
        <v>...</v>
      </c>
      <c r="H12975" s="1" t="str">
        <f t="shared" si="2965"/>
        <v>...</v>
      </c>
      <c r="I12975" s="1" t="str">
        <f t="shared" si="2965"/>
        <v>...</v>
      </c>
      <c r="J12975" s="1" t="str">
        <f t="shared" si="2965"/>
        <v>...</v>
      </c>
      <c r="K12975" s="1" t="str">
        <f t="shared" si="2965"/>
        <v>...</v>
      </c>
      <c r="L12975" s="1" t="str">
        <f t="shared" si="2965"/>
        <v>...</v>
      </c>
      <c r="M12975" s="1" t="str">
        <f t="shared" si="2965"/>
        <v>...</v>
      </c>
      <c r="N12975" t="s">
        <v>30</v>
      </c>
    </row>
    <row r="12976" spans="1:14" x14ac:dyDescent="0.25">
      <c r="A12976" t="s">
        <v>44</v>
      </c>
      <c r="B12976" t="s">
        <v>40</v>
      </c>
      <c r="C12976" t="s">
        <v>38</v>
      </c>
      <c r="D12976" t="s">
        <v>15</v>
      </c>
      <c r="E12976" t="s">
        <v>26</v>
      </c>
      <c r="F12976" t="s">
        <v>20</v>
      </c>
      <c r="G12976" s="1" t="str">
        <f t="shared" ref="G12976:M12976" si="2966">"X"</f>
        <v>X</v>
      </c>
      <c r="H12976" s="1" t="str">
        <f t="shared" si="2966"/>
        <v>X</v>
      </c>
      <c r="I12976" s="1" t="str">
        <f t="shared" si="2966"/>
        <v>X</v>
      </c>
      <c r="J12976" s="1" t="str">
        <f t="shared" si="2966"/>
        <v>X</v>
      </c>
      <c r="K12976" s="1" t="str">
        <f t="shared" si="2966"/>
        <v>X</v>
      </c>
      <c r="L12976" s="1" t="str">
        <f t="shared" si="2966"/>
        <v>X</v>
      </c>
      <c r="M12976" s="1" t="str">
        <f t="shared" si="2966"/>
        <v>X</v>
      </c>
      <c r="N12976" t="s">
        <v>27</v>
      </c>
    </row>
    <row r="12977" spans="1:14" x14ac:dyDescent="0.25">
      <c r="A12977" t="s">
        <v>44</v>
      </c>
      <c r="B12977" t="s">
        <v>40</v>
      </c>
      <c r="C12977" t="s">
        <v>38</v>
      </c>
      <c r="D12977" t="s">
        <v>28</v>
      </c>
      <c r="E12977" t="s">
        <v>15</v>
      </c>
      <c r="F12977" t="s">
        <v>15</v>
      </c>
      <c r="G12977" s="1">
        <f>VALUE(8388.39)</f>
        <v>8388.39</v>
      </c>
      <c r="H12977" s="1">
        <f>VALUE(5529.17)</f>
        <v>5529.17</v>
      </c>
      <c r="I12977" s="1">
        <f>VALUE(3746)</f>
        <v>3746</v>
      </c>
      <c r="J12977" s="1">
        <f>VALUE(4478)</f>
        <v>4478</v>
      </c>
      <c r="K12977" s="1">
        <f>VALUE(5669)</f>
        <v>5669</v>
      </c>
      <c r="L12977" s="1">
        <f>VALUE(7022)</f>
        <v>7022</v>
      </c>
      <c r="M12977" s="1">
        <f>VALUE(8800)</f>
        <v>8800</v>
      </c>
      <c r="N12977" t="s">
        <v>16</v>
      </c>
    </row>
    <row r="12978" spans="1:14" x14ac:dyDescent="0.25">
      <c r="A12978" t="s">
        <v>44</v>
      </c>
      <c r="B12978" t="s">
        <v>40</v>
      </c>
      <c r="C12978" t="s">
        <v>38</v>
      </c>
      <c r="D12978" t="s">
        <v>28</v>
      </c>
      <c r="E12978" t="s">
        <v>15</v>
      </c>
      <c r="F12978" t="s">
        <v>17</v>
      </c>
      <c r="G12978" s="2">
        <f>VALUE(1241.66)</f>
        <v>1241.6600000000001</v>
      </c>
      <c r="H12978" s="3">
        <f>VALUE(999.62)</f>
        <v>999.62</v>
      </c>
      <c r="I12978" s="4">
        <f>VALUE(3699)</f>
        <v>3699</v>
      </c>
      <c r="J12978" s="5">
        <f>VALUE(4870)</f>
        <v>4870</v>
      </c>
      <c r="K12978" s="6">
        <f>VALUE(6438)</f>
        <v>6438</v>
      </c>
      <c r="L12978" s="7">
        <f>VALUE(9291)</f>
        <v>9291</v>
      </c>
      <c r="M12978" s="8">
        <f>VALUE(13450)</f>
        <v>13450</v>
      </c>
      <c r="N12978" t="s">
        <v>24</v>
      </c>
    </row>
    <row r="12979" spans="1:14" x14ac:dyDescent="0.25">
      <c r="A12979" t="s">
        <v>44</v>
      </c>
      <c r="B12979" t="s">
        <v>40</v>
      </c>
      <c r="C12979" t="s">
        <v>38</v>
      </c>
      <c r="D12979" t="s">
        <v>28</v>
      </c>
      <c r="E12979" t="s">
        <v>15</v>
      </c>
      <c r="F12979" t="s">
        <v>18</v>
      </c>
      <c r="G12979" s="2">
        <f>VALUE(823.44)</f>
        <v>823.44</v>
      </c>
      <c r="H12979" s="3">
        <f>VALUE(574.67)</f>
        <v>574.66999999999996</v>
      </c>
      <c r="I12979" s="4">
        <f>VALUE(3961)</f>
        <v>3961</v>
      </c>
      <c r="J12979" s="5">
        <f>VALUE(5225)</f>
        <v>5225</v>
      </c>
      <c r="K12979" s="1">
        <f>VALUE(6797)</f>
        <v>6797</v>
      </c>
      <c r="L12979" s="1">
        <f>VALUE(8135)</f>
        <v>8135</v>
      </c>
      <c r="M12979" s="1">
        <f>VALUE(8964)</f>
        <v>8964</v>
      </c>
      <c r="N12979" t="s">
        <v>25</v>
      </c>
    </row>
    <row r="12980" spans="1:14" x14ac:dyDescent="0.25">
      <c r="A12980" t="s">
        <v>44</v>
      </c>
      <c r="B12980" t="s">
        <v>40</v>
      </c>
      <c r="C12980" t="s">
        <v>38</v>
      </c>
      <c r="D12980" t="s">
        <v>28</v>
      </c>
      <c r="E12980" t="s">
        <v>15</v>
      </c>
      <c r="F12980" t="s">
        <v>19</v>
      </c>
      <c r="G12980" s="2">
        <f>VALUE(1149.39)</f>
        <v>1149.3900000000001</v>
      </c>
      <c r="H12980" s="3">
        <f>VALUE(824.95)</f>
        <v>824.95</v>
      </c>
      <c r="I12980" s="4">
        <f>VALUE(3898)</f>
        <v>3898</v>
      </c>
      <c r="J12980" s="1">
        <f>VALUE(4680)</f>
        <v>4680</v>
      </c>
      <c r="K12980" s="6">
        <f>VALUE(6174)</f>
        <v>6174</v>
      </c>
      <c r="L12980" s="1">
        <f>VALUE(7394)</f>
        <v>7394</v>
      </c>
      <c r="M12980" s="1">
        <f>VALUE(8432)</f>
        <v>8432</v>
      </c>
      <c r="N12980" t="s">
        <v>25</v>
      </c>
    </row>
    <row r="12981" spans="1:14" x14ac:dyDescent="0.25">
      <c r="A12981" t="s">
        <v>44</v>
      </c>
      <c r="B12981" t="s">
        <v>40</v>
      </c>
      <c r="C12981" t="s">
        <v>38</v>
      </c>
      <c r="D12981" t="s">
        <v>28</v>
      </c>
      <c r="E12981" t="s">
        <v>15</v>
      </c>
      <c r="F12981" t="s">
        <v>20</v>
      </c>
      <c r="G12981" s="1">
        <f>VALUE(5173.9)</f>
        <v>5173.8999999999996</v>
      </c>
      <c r="H12981" s="1">
        <f>VALUE(3129.93)</f>
        <v>3129.93</v>
      </c>
      <c r="I12981" s="1">
        <f>VALUE(3651)</f>
        <v>3651</v>
      </c>
      <c r="J12981" s="1">
        <f>VALUE(4353)</f>
        <v>4353</v>
      </c>
      <c r="K12981" s="1">
        <f>VALUE(5332)</f>
        <v>5332</v>
      </c>
      <c r="L12981" s="1">
        <f>VALUE(6325)</f>
        <v>6325</v>
      </c>
      <c r="M12981" s="1">
        <f>VALUE(7699)</f>
        <v>7699</v>
      </c>
      <c r="N12981" t="s">
        <v>16</v>
      </c>
    </row>
    <row r="12982" spans="1:14" x14ac:dyDescent="0.25">
      <c r="A12982" t="s">
        <v>44</v>
      </c>
      <c r="B12982" t="s">
        <v>40</v>
      </c>
      <c r="C12982" t="s">
        <v>38</v>
      </c>
      <c r="D12982" t="s">
        <v>28</v>
      </c>
      <c r="E12982" t="s">
        <v>21</v>
      </c>
      <c r="F12982" t="s">
        <v>15</v>
      </c>
      <c r="G12982" s="2">
        <f>VALUE(1321.36)</f>
        <v>1321.36</v>
      </c>
      <c r="H12982" s="3">
        <f>VALUE(933.13)</f>
        <v>933.13</v>
      </c>
      <c r="I12982" s="4">
        <f>VALUE(4580)</f>
        <v>4580</v>
      </c>
      <c r="J12982" s="5">
        <f>VALUE(5404)</f>
        <v>5404</v>
      </c>
      <c r="K12982" s="1">
        <f>VALUE(7399)</f>
        <v>7399</v>
      </c>
      <c r="L12982" s="7">
        <f>VALUE(9070)</f>
        <v>9070</v>
      </c>
      <c r="M12982" s="8">
        <f>VALUE(12586)</f>
        <v>12586</v>
      </c>
      <c r="N12982" t="s">
        <v>25</v>
      </c>
    </row>
    <row r="12983" spans="1:14" x14ac:dyDescent="0.25">
      <c r="A12983" t="s">
        <v>44</v>
      </c>
      <c r="B12983" t="s">
        <v>40</v>
      </c>
      <c r="C12983" t="s">
        <v>38</v>
      </c>
      <c r="D12983" t="s">
        <v>28</v>
      </c>
      <c r="E12983" t="s">
        <v>21</v>
      </c>
      <c r="F12983" t="s">
        <v>17</v>
      </c>
      <c r="G12983" s="2">
        <f>VALUE(441.42)</f>
        <v>441.42</v>
      </c>
      <c r="H12983" s="3">
        <f>VALUE(343.22)</f>
        <v>343.22</v>
      </c>
      <c r="I12983" s="4">
        <f>VALUE(4500)</f>
        <v>4500</v>
      </c>
      <c r="J12983" s="5">
        <f>VALUE(5237)</f>
        <v>5237</v>
      </c>
      <c r="K12983" s="6">
        <f>VALUE(8585)</f>
        <v>8585</v>
      </c>
      <c r="L12983" s="1">
        <f>VALUE(11507)</f>
        <v>11507</v>
      </c>
      <c r="M12983" s="8">
        <f>VALUE(15128)</f>
        <v>15128</v>
      </c>
      <c r="N12983" t="s">
        <v>25</v>
      </c>
    </row>
    <row r="12984" spans="1:14" x14ac:dyDescent="0.25">
      <c r="A12984" t="s">
        <v>44</v>
      </c>
      <c r="B12984" t="s">
        <v>40</v>
      </c>
      <c r="C12984" t="s">
        <v>38</v>
      </c>
      <c r="D12984" t="s">
        <v>28</v>
      </c>
      <c r="E12984" t="s">
        <v>21</v>
      </c>
      <c r="F12984" t="s">
        <v>18</v>
      </c>
      <c r="G12984" s="2">
        <f>VALUE(192.01)</f>
        <v>192.01</v>
      </c>
      <c r="H12984" s="3">
        <f>VALUE(115.34)</f>
        <v>115.34</v>
      </c>
      <c r="I12984" s="4">
        <f>VALUE(5542)</f>
        <v>5542</v>
      </c>
      <c r="J12984" s="1">
        <f>VALUE(6499)</f>
        <v>6499</v>
      </c>
      <c r="K12984" s="1">
        <f>VALUE(7690)</f>
        <v>7690</v>
      </c>
      <c r="L12984" s="1">
        <f>VALUE(8930)</f>
        <v>8930</v>
      </c>
      <c r="M12984" s="8">
        <f>VALUE(12113)</f>
        <v>12113</v>
      </c>
      <c r="N12984" t="s">
        <v>25</v>
      </c>
    </row>
    <row r="12985" spans="1:14" x14ac:dyDescent="0.25">
      <c r="A12985" t="s">
        <v>44</v>
      </c>
      <c r="B12985" t="s">
        <v>40</v>
      </c>
      <c r="C12985" t="s">
        <v>38</v>
      </c>
      <c r="D12985" t="s">
        <v>28</v>
      </c>
      <c r="E12985" t="s">
        <v>21</v>
      </c>
      <c r="F12985" t="s">
        <v>19</v>
      </c>
      <c r="G12985" s="1" t="str">
        <f t="shared" ref="G12985:M12985" si="2967">"X"</f>
        <v>X</v>
      </c>
      <c r="H12985" s="1" t="str">
        <f t="shared" si="2967"/>
        <v>X</v>
      </c>
      <c r="I12985" s="1" t="str">
        <f t="shared" si="2967"/>
        <v>X</v>
      </c>
      <c r="J12985" s="1" t="str">
        <f t="shared" si="2967"/>
        <v>X</v>
      </c>
      <c r="K12985" s="1" t="str">
        <f t="shared" si="2967"/>
        <v>X</v>
      </c>
      <c r="L12985" s="1" t="str">
        <f t="shared" si="2967"/>
        <v>X</v>
      </c>
      <c r="M12985" s="1" t="str">
        <f t="shared" si="2967"/>
        <v>X</v>
      </c>
      <c r="N12985" t="s">
        <v>27</v>
      </c>
    </row>
    <row r="12986" spans="1:14" x14ac:dyDescent="0.25">
      <c r="A12986" t="s">
        <v>44</v>
      </c>
      <c r="B12986" t="s">
        <v>40</v>
      </c>
      <c r="C12986" t="s">
        <v>38</v>
      </c>
      <c r="D12986" t="s">
        <v>28</v>
      </c>
      <c r="E12986" t="s">
        <v>21</v>
      </c>
      <c r="F12986" t="s">
        <v>20</v>
      </c>
      <c r="G12986" s="2">
        <f>VALUE(549.76)</f>
        <v>549.76</v>
      </c>
      <c r="H12986" s="3">
        <f>VALUE(361.31)</f>
        <v>361.31</v>
      </c>
      <c r="I12986" s="4">
        <f>VALUE(4353)</f>
        <v>4353</v>
      </c>
      <c r="J12986" s="1">
        <f>VALUE(5154)</f>
        <v>5154</v>
      </c>
      <c r="K12986" s="6">
        <f>VALUE(6427)</f>
        <v>6427</v>
      </c>
      <c r="L12986" s="7">
        <f>VALUE(8261)</f>
        <v>8261</v>
      </c>
      <c r="M12986" s="8">
        <f>VALUE(9002)</f>
        <v>9002</v>
      </c>
      <c r="N12986" t="s">
        <v>25</v>
      </c>
    </row>
    <row r="12987" spans="1:14" x14ac:dyDescent="0.25">
      <c r="A12987" t="s">
        <v>44</v>
      </c>
      <c r="B12987" t="s">
        <v>40</v>
      </c>
      <c r="C12987" t="s">
        <v>38</v>
      </c>
      <c r="D12987" t="s">
        <v>28</v>
      </c>
      <c r="E12987" t="s">
        <v>22</v>
      </c>
      <c r="F12987" t="s">
        <v>15</v>
      </c>
      <c r="G12987" s="1">
        <f>VALUE(4839.74)</f>
        <v>4839.74</v>
      </c>
      <c r="H12987" s="1">
        <f>VALUE(3318.43)</f>
        <v>3318.43</v>
      </c>
      <c r="I12987" s="1">
        <f>VALUE(3961)</f>
        <v>3961</v>
      </c>
      <c r="J12987" s="1">
        <f>VALUE(4870)</f>
        <v>4870</v>
      </c>
      <c r="K12987" s="1">
        <f>VALUE(5857)</f>
        <v>5857</v>
      </c>
      <c r="L12987" s="1">
        <f>VALUE(6933)</f>
        <v>6933</v>
      </c>
      <c r="M12987" s="1">
        <f>VALUE(8233)</f>
        <v>8233</v>
      </c>
      <c r="N12987" t="s">
        <v>16</v>
      </c>
    </row>
    <row r="12988" spans="1:14" x14ac:dyDescent="0.25">
      <c r="A12988" t="s">
        <v>44</v>
      </c>
      <c r="B12988" t="s">
        <v>40</v>
      </c>
      <c r="C12988" t="s">
        <v>38</v>
      </c>
      <c r="D12988" t="s">
        <v>28</v>
      </c>
      <c r="E12988" t="s">
        <v>22</v>
      </c>
      <c r="F12988" t="s">
        <v>17</v>
      </c>
      <c r="G12988" s="2">
        <f>VALUE(574.33)</f>
        <v>574.33000000000004</v>
      </c>
      <c r="H12988" s="3">
        <f>VALUE(461.11)</f>
        <v>461.11</v>
      </c>
      <c r="I12988" s="4">
        <f>VALUE(3495)</f>
        <v>3495</v>
      </c>
      <c r="J12988" s="5">
        <f>VALUE(5307)</f>
        <v>5307</v>
      </c>
      <c r="K12988" s="6">
        <f>VALUE(6816)</f>
        <v>6816</v>
      </c>
      <c r="L12988" s="7">
        <f>VALUE(8819)</f>
        <v>8819</v>
      </c>
      <c r="M12988" s="8">
        <f>VALUE(14080)</f>
        <v>14080</v>
      </c>
      <c r="N12988" t="s">
        <v>24</v>
      </c>
    </row>
    <row r="12989" spans="1:14" x14ac:dyDescent="0.25">
      <c r="A12989" t="s">
        <v>44</v>
      </c>
      <c r="B12989" t="s">
        <v>40</v>
      </c>
      <c r="C12989" t="s">
        <v>38</v>
      </c>
      <c r="D12989" t="s">
        <v>28</v>
      </c>
      <c r="E12989" t="s">
        <v>22</v>
      </c>
      <c r="F12989" t="s">
        <v>18</v>
      </c>
      <c r="G12989" s="2">
        <f>VALUE(542.12)</f>
        <v>542.12</v>
      </c>
      <c r="H12989" s="3">
        <f>VALUE(408.81)</f>
        <v>408.81</v>
      </c>
      <c r="I12989" s="4">
        <f>VALUE(3961)</f>
        <v>3961</v>
      </c>
      <c r="J12989" s="5">
        <f>VALUE(5225)</f>
        <v>5225</v>
      </c>
      <c r="K12989" s="6">
        <f>VALUE(6660)</f>
        <v>6660</v>
      </c>
      <c r="L12989" s="1">
        <f>VALUE(7642)</f>
        <v>7642</v>
      </c>
      <c r="M12989" s="8">
        <f>VALUE(8885)</f>
        <v>8885</v>
      </c>
      <c r="N12989" t="s">
        <v>25</v>
      </c>
    </row>
    <row r="12990" spans="1:14" x14ac:dyDescent="0.25">
      <c r="A12990" t="s">
        <v>44</v>
      </c>
      <c r="B12990" t="s">
        <v>40</v>
      </c>
      <c r="C12990" t="s">
        <v>38</v>
      </c>
      <c r="D12990" t="s">
        <v>28</v>
      </c>
      <c r="E12990" t="s">
        <v>22</v>
      </c>
      <c r="F12990" t="s">
        <v>19</v>
      </c>
      <c r="G12990" s="2">
        <f>VALUE(778.93)</f>
        <v>778.93</v>
      </c>
      <c r="H12990" s="3">
        <f>VALUE(593.84)</f>
        <v>593.84</v>
      </c>
      <c r="I12990" s="4">
        <f>VALUE(4175)</f>
        <v>4175</v>
      </c>
      <c r="J12990" s="5">
        <f>VALUE(4698)</f>
        <v>4698</v>
      </c>
      <c r="K12990" s="1">
        <f>VALUE(6233)</f>
        <v>6233</v>
      </c>
      <c r="L12990" s="1">
        <f>VALUE(6924)</f>
        <v>6924</v>
      </c>
      <c r="M12990" s="1">
        <f>VALUE(7900)</f>
        <v>7900</v>
      </c>
      <c r="N12990" t="s">
        <v>25</v>
      </c>
    </row>
    <row r="12991" spans="1:14" x14ac:dyDescent="0.25">
      <c r="A12991" t="s">
        <v>44</v>
      </c>
      <c r="B12991" t="s">
        <v>40</v>
      </c>
      <c r="C12991" t="s">
        <v>38</v>
      </c>
      <c r="D12991" t="s">
        <v>28</v>
      </c>
      <c r="E12991" t="s">
        <v>22</v>
      </c>
      <c r="F12991" t="s">
        <v>20</v>
      </c>
      <c r="G12991" s="2">
        <f>VALUE(2944.36)</f>
        <v>2944.36</v>
      </c>
      <c r="H12991" s="1">
        <f>VALUE(1854.67)</f>
        <v>1854.67</v>
      </c>
      <c r="I12991" s="1">
        <f>VALUE(4000)</f>
        <v>4000</v>
      </c>
      <c r="J12991" s="1">
        <f>VALUE(4825)</f>
        <v>4825</v>
      </c>
      <c r="K12991" s="1">
        <f>VALUE(5605)</f>
        <v>5605</v>
      </c>
      <c r="L12991" s="1">
        <f>VALUE(6499)</f>
        <v>6499</v>
      </c>
      <c r="M12991" s="1">
        <f>VALUE(7582)</f>
        <v>7582</v>
      </c>
      <c r="N12991" t="s">
        <v>25</v>
      </c>
    </row>
    <row r="12992" spans="1:14" x14ac:dyDescent="0.25">
      <c r="A12992" t="s">
        <v>44</v>
      </c>
      <c r="B12992" t="s">
        <v>40</v>
      </c>
      <c r="C12992" t="s">
        <v>38</v>
      </c>
      <c r="D12992" t="s">
        <v>28</v>
      </c>
      <c r="E12992" t="s">
        <v>23</v>
      </c>
      <c r="F12992" t="s">
        <v>15</v>
      </c>
      <c r="G12992" s="2">
        <f>VALUE(2172.96)</f>
        <v>2172.96</v>
      </c>
      <c r="H12992" s="3">
        <f>VALUE(1225.8)</f>
        <v>1225.8</v>
      </c>
      <c r="I12992" s="1">
        <f>VALUE(3370)</f>
        <v>3370</v>
      </c>
      <c r="J12992" s="1">
        <f>VALUE(3768)</f>
        <v>3768</v>
      </c>
      <c r="K12992" s="1">
        <f>VALUE(4362)</f>
        <v>4362</v>
      </c>
      <c r="L12992" s="1">
        <f>VALUE(5237)</f>
        <v>5237</v>
      </c>
      <c r="M12992" s="1">
        <f>VALUE(6372)</f>
        <v>6372</v>
      </c>
      <c r="N12992" t="s">
        <v>25</v>
      </c>
    </row>
    <row r="12993" spans="1:14" x14ac:dyDescent="0.25">
      <c r="A12993" t="s">
        <v>44</v>
      </c>
      <c r="B12993" t="s">
        <v>40</v>
      </c>
      <c r="C12993" t="s">
        <v>38</v>
      </c>
      <c r="D12993" t="s">
        <v>28</v>
      </c>
      <c r="E12993" t="s">
        <v>23</v>
      </c>
      <c r="F12993" t="s">
        <v>17</v>
      </c>
      <c r="G12993" s="1" t="str">
        <f t="shared" ref="G12993:M12995" si="2968">"X"</f>
        <v>X</v>
      </c>
      <c r="H12993" s="1" t="str">
        <f t="shared" si="2968"/>
        <v>X</v>
      </c>
      <c r="I12993" s="1" t="str">
        <f t="shared" si="2968"/>
        <v>X</v>
      </c>
      <c r="J12993" s="1" t="str">
        <f t="shared" si="2968"/>
        <v>X</v>
      </c>
      <c r="K12993" s="1" t="str">
        <f t="shared" si="2968"/>
        <v>X</v>
      </c>
      <c r="L12993" s="1" t="str">
        <f t="shared" si="2968"/>
        <v>X</v>
      </c>
      <c r="M12993" s="1" t="str">
        <f t="shared" si="2968"/>
        <v>X</v>
      </c>
      <c r="N12993" t="s">
        <v>27</v>
      </c>
    </row>
    <row r="12994" spans="1:14" x14ac:dyDescent="0.25">
      <c r="A12994" t="s">
        <v>44</v>
      </c>
      <c r="B12994" t="s">
        <v>40</v>
      </c>
      <c r="C12994" t="s">
        <v>38</v>
      </c>
      <c r="D12994" t="s">
        <v>28</v>
      </c>
      <c r="E12994" t="s">
        <v>23</v>
      </c>
      <c r="F12994" t="s">
        <v>18</v>
      </c>
      <c r="G12994" s="1" t="str">
        <f t="shared" si="2968"/>
        <v>X</v>
      </c>
      <c r="H12994" s="1" t="str">
        <f t="shared" si="2968"/>
        <v>X</v>
      </c>
      <c r="I12994" s="1" t="str">
        <f t="shared" si="2968"/>
        <v>X</v>
      </c>
      <c r="J12994" s="1" t="str">
        <f t="shared" si="2968"/>
        <v>X</v>
      </c>
      <c r="K12994" s="1" t="str">
        <f t="shared" si="2968"/>
        <v>X</v>
      </c>
      <c r="L12994" s="1" t="str">
        <f t="shared" si="2968"/>
        <v>X</v>
      </c>
      <c r="M12994" s="1" t="str">
        <f t="shared" si="2968"/>
        <v>X</v>
      </c>
      <c r="N12994" t="s">
        <v>27</v>
      </c>
    </row>
    <row r="12995" spans="1:14" x14ac:dyDescent="0.25">
      <c r="A12995" t="s">
        <v>44</v>
      </c>
      <c r="B12995" t="s">
        <v>40</v>
      </c>
      <c r="C12995" t="s">
        <v>38</v>
      </c>
      <c r="D12995" t="s">
        <v>28</v>
      </c>
      <c r="E12995" t="s">
        <v>23</v>
      </c>
      <c r="F12995" t="s">
        <v>19</v>
      </c>
      <c r="G12995" s="1" t="str">
        <f t="shared" si="2968"/>
        <v>X</v>
      </c>
      <c r="H12995" s="1" t="str">
        <f t="shared" si="2968"/>
        <v>X</v>
      </c>
      <c r="I12995" s="1" t="str">
        <f t="shared" si="2968"/>
        <v>X</v>
      </c>
      <c r="J12995" s="1" t="str">
        <f t="shared" si="2968"/>
        <v>X</v>
      </c>
      <c r="K12995" s="1" t="str">
        <f t="shared" si="2968"/>
        <v>X</v>
      </c>
      <c r="L12995" s="1" t="str">
        <f t="shared" si="2968"/>
        <v>X</v>
      </c>
      <c r="M12995" s="1" t="str">
        <f t="shared" si="2968"/>
        <v>X</v>
      </c>
      <c r="N12995" t="s">
        <v>27</v>
      </c>
    </row>
    <row r="12996" spans="1:14" x14ac:dyDescent="0.25">
      <c r="A12996" t="s">
        <v>44</v>
      </c>
      <c r="B12996" t="s">
        <v>40</v>
      </c>
      <c r="C12996" t="s">
        <v>38</v>
      </c>
      <c r="D12996" t="s">
        <v>28</v>
      </c>
      <c r="E12996" t="s">
        <v>23</v>
      </c>
      <c r="F12996" t="s">
        <v>20</v>
      </c>
      <c r="G12996" s="2">
        <f>VALUE(1628.59)</f>
        <v>1628.59</v>
      </c>
      <c r="H12996" s="3">
        <f>VALUE(865.41)</f>
        <v>865.41</v>
      </c>
      <c r="I12996" s="1">
        <f>VALUE(3328)</f>
        <v>3328</v>
      </c>
      <c r="J12996" s="1">
        <f>VALUE(3746)</f>
        <v>3746</v>
      </c>
      <c r="K12996" s="1">
        <f>VALUE(4351)</f>
        <v>4351</v>
      </c>
      <c r="L12996" s="1">
        <f>VALUE(4916)</f>
        <v>4916</v>
      </c>
      <c r="M12996" s="1">
        <f>VALUE(5598)</f>
        <v>5598</v>
      </c>
      <c r="N12996" t="s">
        <v>25</v>
      </c>
    </row>
    <row r="12997" spans="1:14" x14ac:dyDescent="0.25">
      <c r="A12997" t="s">
        <v>44</v>
      </c>
      <c r="B12997" t="s">
        <v>40</v>
      </c>
      <c r="C12997" t="s">
        <v>38</v>
      </c>
      <c r="D12997" t="s">
        <v>28</v>
      </c>
      <c r="E12997" t="s">
        <v>26</v>
      </c>
      <c r="F12997" t="s">
        <v>15</v>
      </c>
      <c r="G12997" s="1" t="str">
        <f t="shared" ref="G12997:M12999" si="2969">"X"</f>
        <v>X</v>
      </c>
      <c r="H12997" s="1" t="str">
        <f t="shared" si="2969"/>
        <v>X</v>
      </c>
      <c r="I12997" s="1" t="str">
        <f t="shared" si="2969"/>
        <v>X</v>
      </c>
      <c r="J12997" s="1" t="str">
        <f t="shared" si="2969"/>
        <v>X</v>
      </c>
      <c r="K12997" s="1" t="str">
        <f t="shared" si="2969"/>
        <v>X</v>
      </c>
      <c r="L12997" s="1" t="str">
        <f t="shared" si="2969"/>
        <v>X</v>
      </c>
      <c r="M12997" s="1" t="str">
        <f t="shared" si="2969"/>
        <v>X</v>
      </c>
      <c r="N12997" t="s">
        <v>27</v>
      </c>
    </row>
    <row r="12998" spans="1:14" x14ac:dyDescent="0.25">
      <c r="A12998" t="s">
        <v>44</v>
      </c>
      <c r="B12998" t="s">
        <v>40</v>
      </c>
      <c r="C12998" t="s">
        <v>38</v>
      </c>
      <c r="D12998" t="s">
        <v>28</v>
      </c>
      <c r="E12998" t="s">
        <v>26</v>
      </c>
      <c r="F12998" t="s">
        <v>17</v>
      </c>
      <c r="G12998" s="1" t="str">
        <f t="shared" si="2969"/>
        <v>X</v>
      </c>
      <c r="H12998" s="1" t="str">
        <f t="shared" si="2969"/>
        <v>X</v>
      </c>
      <c r="I12998" s="1" t="str">
        <f t="shared" si="2969"/>
        <v>X</v>
      </c>
      <c r="J12998" s="1" t="str">
        <f t="shared" si="2969"/>
        <v>X</v>
      </c>
      <c r="K12998" s="1" t="str">
        <f t="shared" si="2969"/>
        <v>X</v>
      </c>
      <c r="L12998" s="1" t="str">
        <f t="shared" si="2969"/>
        <v>X</v>
      </c>
      <c r="M12998" s="1" t="str">
        <f t="shared" si="2969"/>
        <v>X</v>
      </c>
      <c r="N12998" t="s">
        <v>27</v>
      </c>
    </row>
    <row r="12999" spans="1:14" x14ac:dyDescent="0.25">
      <c r="A12999" t="s">
        <v>44</v>
      </c>
      <c r="B12999" t="s">
        <v>40</v>
      </c>
      <c r="C12999" t="s">
        <v>38</v>
      </c>
      <c r="D12999" t="s">
        <v>28</v>
      </c>
      <c r="E12999" t="s">
        <v>26</v>
      </c>
      <c r="F12999" t="s">
        <v>18</v>
      </c>
      <c r="G12999" s="1" t="str">
        <f t="shared" si="2969"/>
        <v>X</v>
      </c>
      <c r="H12999" s="1" t="str">
        <f t="shared" si="2969"/>
        <v>X</v>
      </c>
      <c r="I12999" s="1" t="str">
        <f t="shared" si="2969"/>
        <v>X</v>
      </c>
      <c r="J12999" s="1" t="str">
        <f t="shared" si="2969"/>
        <v>X</v>
      </c>
      <c r="K12999" s="1" t="str">
        <f t="shared" si="2969"/>
        <v>X</v>
      </c>
      <c r="L12999" s="1" t="str">
        <f t="shared" si="2969"/>
        <v>X</v>
      </c>
      <c r="M12999" s="1" t="str">
        <f t="shared" si="2969"/>
        <v>X</v>
      </c>
      <c r="N12999" t="s">
        <v>27</v>
      </c>
    </row>
    <row r="13000" spans="1:14" x14ac:dyDescent="0.25">
      <c r="A13000" t="s">
        <v>44</v>
      </c>
      <c r="B13000" t="s">
        <v>40</v>
      </c>
      <c r="C13000" t="s">
        <v>38</v>
      </c>
      <c r="D13000" t="s">
        <v>28</v>
      </c>
      <c r="E13000" t="s">
        <v>26</v>
      </c>
      <c r="F13000" t="s">
        <v>19</v>
      </c>
      <c r="G13000" s="1" t="str">
        <f t="shared" ref="G13000:M13000" si="2970">"..."</f>
        <v>...</v>
      </c>
      <c r="H13000" s="1" t="str">
        <f t="shared" si="2970"/>
        <v>...</v>
      </c>
      <c r="I13000" s="1" t="str">
        <f t="shared" si="2970"/>
        <v>...</v>
      </c>
      <c r="J13000" s="1" t="str">
        <f t="shared" si="2970"/>
        <v>...</v>
      </c>
      <c r="K13000" s="1" t="str">
        <f t="shared" si="2970"/>
        <v>...</v>
      </c>
      <c r="L13000" s="1" t="str">
        <f t="shared" si="2970"/>
        <v>...</v>
      </c>
      <c r="M13000" s="1" t="str">
        <f t="shared" si="2970"/>
        <v>...</v>
      </c>
      <c r="N13000" t="s">
        <v>30</v>
      </c>
    </row>
    <row r="13001" spans="1:14" x14ac:dyDescent="0.25">
      <c r="A13001" t="s">
        <v>44</v>
      </c>
      <c r="B13001" t="s">
        <v>40</v>
      </c>
      <c r="C13001" t="s">
        <v>38</v>
      </c>
      <c r="D13001" t="s">
        <v>28</v>
      </c>
      <c r="E13001" t="s">
        <v>26</v>
      </c>
      <c r="F13001" t="s">
        <v>20</v>
      </c>
      <c r="G13001" s="1" t="str">
        <f t="shared" ref="G13001:M13001" si="2971">"X"</f>
        <v>X</v>
      </c>
      <c r="H13001" s="1" t="str">
        <f t="shared" si="2971"/>
        <v>X</v>
      </c>
      <c r="I13001" s="1" t="str">
        <f t="shared" si="2971"/>
        <v>X</v>
      </c>
      <c r="J13001" s="1" t="str">
        <f t="shared" si="2971"/>
        <v>X</v>
      </c>
      <c r="K13001" s="1" t="str">
        <f t="shared" si="2971"/>
        <v>X</v>
      </c>
      <c r="L13001" s="1" t="str">
        <f t="shared" si="2971"/>
        <v>X</v>
      </c>
      <c r="M13001" s="1" t="str">
        <f t="shared" si="2971"/>
        <v>X</v>
      </c>
      <c r="N13001" t="s">
        <v>27</v>
      </c>
    </row>
    <row r="13002" spans="1:14" x14ac:dyDescent="0.25">
      <c r="A13002" t="s">
        <v>44</v>
      </c>
      <c r="B13002" t="s">
        <v>40</v>
      </c>
      <c r="C13002" t="s">
        <v>38</v>
      </c>
      <c r="D13002" t="s">
        <v>29</v>
      </c>
      <c r="E13002" t="s">
        <v>15</v>
      </c>
      <c r="F13002" t="s">
        <v>15</v>
      </c>
      <c r="G13002" s="2">
        <f>VALUE(2430.72)</f>
        <v>2430.7199999999998</v>
      </c>
      <c r="H13002" s="3">
        <f>VALUE(1547.47)</f>
        <v>1547.47</v>
      </c>
      <c r="I13002" s="1">
        <f>VALUE(3514)</f>
        <v>3514</v>
      </c>
      <c r="J13002" s="1">
        <f>VALUE(3895)</f>
        <v>3895</v>
      </c>
      <c r="K13002" s="1">
        <f>VALUE(4612)</f>
        <v>4612</v>
      </c>
      <c r="L13002" s="7">
        <f>VALUE(5628)</f>
        <v>5628</v>
      </c>
      <c r="M13002" s="1">
        <f>VALUE(7822)</f>
        <v>7822</v>
      </c>
      <c r="N13002" t="s">
        <v>25</v>
      </c>
    </row>
    <row r="13003" spans="1:14" x14ac:dyDescent="0.25">
      <c r="A13003" t="s">
        <v>44</v>
      </c>
      <c r="B13003" t="s">
        <v>40</v>
      </c>
      <c r="C13003" t="s">
        <v>38</v>
      </c>
      <c r="D13003" t="s">
        <v>29</v>
      </c>
      <c r="E13003" t="s">
        <v>15</v>
      </c>
      <c r="F13003" t="s">
        <v>17</v>
      </c>
      <c r="G13003" s="1" t="str">
        <f t="shared" ref="G13003:M13005" si="2972">"X"</f>
        <v>X</v>
      </c>
      <c r="H13003" s="1" t="str">
        <f t="shared" si="2972"/>
        <v>X</v>
      </c>
      <c r="I13003" s="1" t="str">
        <f t="shared" si="2972"/>
        <v>X</v>
      </c>
      <c r="J13003" s="1" t="str">
        <f t="shared" si="2972"/>
        <v>X</v>
      </c>
      <c r="K13003" s="1" t="str">
        <f t="shared" si="2972"/>
        <v>X</v>
      </c>
      <c r="L13003" s="1" t="str">
        <f t="shared" si="2972"/>
        <v>X</v>
      </c>
      <c r="M13003" s="1" t="str">
        <f t="shared" si="2972"/>
        <v>X</v>
      </c>
      <c r="N13003" t="s">
        <v>27</v>
      </c>
    </row>
    <row r="13004" spans="1:14" x14ac:dyDescent="0.25">
      <c r="A13004" t="s">
        <v>44</v>
      </c>
      <c r="B13004" t="s">
        <v>40</v>
      </c>
      <c r="C13004" t="s">
        <v>38</v>
      </c>
      <c r="D13004" t="s">
        <v>29</v>
      </c>
      <c r="E13004" t="s">
        <v>15</v>
      </c>
      <c r="F13004" t="s">
        <v>18</v>
      </c>
      <c r="G13004" s="1" t="str">
        <f t="shared" si="2972"/>
        <v>X</v>
      </c>
      <c r="H13004" s="1" t="str">
        <f t="shared" si="2972"/>
        <v>X</v>
      </c>
      <c r="I13004" s="1" t="str">
        <f t="shared" si="2972"/>
        <v>X</v>
      </c>
      <c r="J13004" s="1" t="str">
        <f t="shared" si="2972"/>
        <v>X</v>
      </c>
      <c r="K13004" s="1" t="str">
        <f t="shared" si="2972"/>
        <v>X</v>
      </c>
      <c r="L13004" s="1" t="str">
        <f t="shared" si="2972"/>
        <v>X</v>
      </c>
      <c r="M13004" s="1" t="str">
        <f t="shared" si="2972"/>
        <v>X</v>
      </c>
      <c r="N13004" t="s">
        <v>27</v>
      </c>
    </row>
    <row r="13005" spans="1:14" x14ac:dyDescent="0.25">
      <c r="A13005" t="s">
        <v>44</v>
      </c>
      <c r="B13005" t="s">
        <v>40</v>
      </c>
      <c r="C13005" t="s">
        <v>38</v>
      </c>
      <c r="D13005" t="s">
        <v>29</v>
      </c>
      <c r="E13005" t="s">
        <v>15</v>
      </c>
      <c r="F13005" t="s">
        <v>19</v>
      </c>
      <c r="G13005" s="1" t="str">
        <f t="shared" si="2972"/>
        <v>X</v>
      </c>
      <c r="H13005" s="1" t="str">
        <f t="shared" si="2972"/>
        <v>X</v>
      </c>
      <c r="I13005" s="1" t="str">
        <f t="shared" si="2972"/>
        <v>X</v>
      </c>
      <c r="J13005" s="1" t="str">
        <f t="shared" si="2972"/>
        <v>X</v>
      </c>
      <c r="K13005" s="1" t="str">
        <f t="shared" si="2972"/>
        <v>X</v>
      </c>
      <c r="L13005" s="1" t="str">
        <f t="shared" si="2972"/>
        <v>X</v>
      </c>
      <c r="M13005" s="1" t="str">
        <f t="shared" si="2972"/>
        <v>X</v>
      </c>
      <c r="N13005" t="s">
        <v>27</v>
      </c>
    </row>
    <row r="13006" spans="1:14" x14ac:dyDescent="0.25">
      <c r="A13006" t="s">
        <v>44</v>
      </c>
      <c r="B13006" t="s">
        <v>40</v>
      </c>
      <c r="C13006" t="s">
        <v>38</v>
      </c>
      <c r="D13006" t="s">
        <v>29</v>
      </c>
      <c r="E13006" t="s">
        <v>15</v>
      </c>
      <c r="F13006" t="s">
        <v>20</v>
      </c>
      <c r="G13006" s="2">
        <f>VALUE(2038.86)</f>
        <v>2038.86</v>
      </c>
      <c r="H13006" s="3">
        <f>VALUE(1237.73)</f>
        <v>1237.73</v>
      </c>
      <c r="I13006" s="1">
        <f>VALUE(3467)</f>
        <v>3467</v>
      </c>
      <c r="J13006" s="1">
        <f>VALUE(3753)</f>
        <v>3753</v>
      </c>
      <c r="K13006" s="1">
        <f>VALUE(4336)</f>
        <v>4336</v>
      </c>
      <c r="L13006" s="1">
        <f>VALUE(5177)</f>
        <v>5177</v>
      </c>
      <c r="M13006" s="1">
        <f>VALUE(6188)</f>
        <v>6188</v>
      </c>
      <c r="N13006" t="s">
        <v>25</v>
      </c>
    </row>
    <row r="13007" spans="1:14" x14ac:dyDescent="0.25">
      <c r="A13007" t="s">
        <v>44</v>
      </c>
      <c r="B13007" t="s">
        <v>40</v>
      </c>
      <c r="C13007" t="s">
        <v>38</v>
      </c>
      <c r="D13007" t="s">
        <v>29</v>
      </c>
      <c r="E13007" t="s">
        <v>21</v>
      </c>
      <c r="F13007" t="s">
        <v>15</v>
      </c>
      <c r="G13007" s="2">
        <f>VALUE(241.29)</f>
        <v>241.29</v>
      </c>
      <c r="H13007" s="3">
        <f>VALUE(176.34)</f>
        <v>176.34</v>
      </c>
      <c r="I13007" s="1">
        <f>VALUE(5301)</f>
        <v>5301</v>
      </c>
      <c r="J13007" s="5">
        <f>VALUE(5984)</f>
        <v>5984</v>
      </c>
      <c r="K13007" s="1">
        <f>VALUE(7599)</f>
        <v>7599</v>
      </c>
      <c r="L13007" s="7">
        <f>VALUE(9678)</f>
        <v>9678</v>
      </c>
      <c r="M13007" s="8">
        <f>VALUE(12537)</f>
        <v>12537</v>
      </c>
      <c r="N13007" t="s">
        <v>25</v>
      </c>
    </row>
    <row r="13008" spans="1:14" x14ac:dyDescent="0.25">
      <c r="A13008" t="s">
        <v>44</v>
      </c>
      <c r="B13008" t="s">
        <v>40</v>
      </c>
      <c r="C13008" t="s">
        <v>38</v>
      </c>
      <c r="D13008" t="s">
        <v>29</v>
      </c>
      <c r="E13008" t="s">
        <v>21</v>
      </c>
      <c r="F13008" t="s">
        <v>17</v>
      </c>
      <c r="G13008" s="1" t="str">
        <f t="shared" ref="G13008:M13011" si="2973">"X"</f>
        <v>X</v>
      </c>
      <c r="H13008" s="1" t="str">
        <f t="shared" si="2973"/>
        <v>X</v>
      </c>
      <c r="I13008" s="1" t="str">
        <f t="shared" si="2973"/>
        <v>X</v>
      </c>
      <c r="J13008" s="1" t="str">
        <f t="shared" si="2973"/>
        <v>X</v>
      </c>
      <c r="K13008" s="1" t="str">
        <f t="shared" si="2973"/>
        <v>X</v>
      </c>
      <c r="L13008" s="1" t="str">
        <f t="shared" si="2973"/>
        <v>X</v>
      </c>
      <c r="M13008" s="1" t="str">
        <f t="shared" si="2973"/>
        <v>X</v>
      </c>
      <c r="N13008" t="s">
        <v>27</v>
      </c>
    </row>
    <row r="13009" spans="1:14" x14ac:dyDescent="0.25">
      <c r="A13009" t="s">
        <v>44</v>
      </c>
      <c r="B13009" t="s">
        <v>40</v>
      </c>
      <c r="C13009" t="s">
        <v>38</v>
      </c>
      <c r="D13009" t="s">
        <v>29</v>
      </c>
      <c r="E13009" t="s">
        <v>21</v>
      </c>
      <c r="F13009" t="s">
        <v>18</v>
      </c>
      <c r="G13009" s="1" t="str">
        <f t="shared" si="2973"/>
        <v>X</v>
      </c>
      <c r="H13009" s="1" t="str">
        <f t="shared" si="2973"/>
        <v>X</v>
      </c>
      <c r="I13009" s="1" t="str">
        <f t="shared" si="2973"/>
        <v>X</v>
      </c>
      <c r="J13009" s="1" t="str">
        <f t="shared" si="2973"/>
        <v>X</v>
      </c>
      <c r="K13009" s="1" t="str">
        <f t="shared" si="2973"/>
        <v>X</v>
      </c>
      <c r="L13009" s="1" t="str">
        <f t="shared" si="2973"/>
        <v>X</v>
      </c>
      <c r="M13009" s="1" t="str">
        <f t="shared" si="2973"/>
        <v>X</v>
      </c>
      <c r="N13009" t="s">
        <v>27</v>
      </c>
    </row>
    <row r="13010" spans="1:14" x14ac:dyDescent="0.25">
      <c r="A13010" t="s">
        <v>44</v>
      </c>
      <c r="B13010" t="s">
        <v>40</v>
      </c>
      <c r="C13010" t="s">
        <v>38</v>
      </c>
      <c r="D13010" t="s">
        <v>29</v>
      </c>
      <c r="E13010" t="s">
        <v>21</v>
      </c>
      <c r="F13010" t="s">
        <v>19</v>
      </c>
      <c r="G13010" s="1" t="str">
        <f t="shared" si="2973"/>
        <v>X</v>
      </c>
      <c r="H13010" s="1" t="str">
        <f t="shared" si="2973"/>
        <v>X</v>
      </c>
      <c r="I13010" s="1" t="str">
        <f t="shared" si="2973"/>
        <v>X</v>
      </c>
      <c r="J13010" s="1" t="str">
        <f t="shared" si="2973"/>
        <v>X</v>
      </c>
      <c r="K13010" s="1" t="str">
        <f t="shared" si="2973"/>
        <v>X</v>
      </c>
      <c r="L13010" s="1" t="str">
        <f t="shared" si="2973"/>
        <v>X</v>
      </c>
      <c r="M13010" s="1" t="str">
        <f t="shared" si="2973"/>
        <v>X</v>
      </c>
      <c r="N13010" t="s">
        <v>27</v>
      </c>
    </row>
    <row r="13011" spans="1:14" x14ac:dyDescent="0.25">
      <c r="A13011" t="s">
        <v>44</v>
      </c>
      <c r="B13011" t="s">
        <v>40</v>
      </c>
      <c r="C13011" t="s">
        <v>38</v>
      </c>
      <c r="D13011" t="s">
        <v>29</v>
      </c>
      <c r="E13011" t="s">
        <v>21</v>
      </c>
      <c r="F13011" t="s">
        <v>20</v>
      </c>
      <c r="G13011" s="1" t="str">
        <f t="shared" si="2973"/>
        <v>X</v>
      </c>
      <c r="H13011" s="1" t="str">
        <f t="shared" si="2973"/>
        <v>X</v>
      </c>
      <c r="I13011" s="1" t="str">
        <f t="shared" si="2973"/>
        <v>X</v>
      </c>
      <c r="J13011" s="1" t="str">
        <f t="shared" si="2973"/>
        <v>X</v>
      </c>
      <c r="K13011" s="1" t="str">
        <f t="shared" si="2973"/>
        <v>X</v>
      </c>
      <c r="L13011" s="1" t="str">
        <f t="shared" si="2973"/>
        <v>X</v>
      </c>
      <c r="M13011" s="1" t="str">
        <f t="shared" si="2973"/>
        <v>X</v>
      </c>
      <c r="N13011" t="s">
        <v>27</v>
      </c>
    </row>
    <row r="13012" spans="1:14" x14ac:dyDescent="0.25">
      <c r="A13012" t="s">
        <v>44</v>
      </c>
      <c r="B13012" t="s">
        <v>40</v>
      </c>
      <c r="C13012" t="s">
        <v>38</v>
      </c>
      <c r="D13012" t="s">
        <v>29</v>
      </c>
      <c r="E13012" t="s">
        <v>22</v>
      </c>
      <c r="F13012" t="s">
        <v>15</v>
      </c>
      <c r="G13012" s="2">
        <f>VALUE(687.14)</f>
        <v>687.14</v>
      </c>
      <c r="H13012" s="3">
        <f>VALUE(528.92)</f>
        <v>528.91999999999996</v>
      </c>
      <c r="I13012" s="4">
        <f>VALUE(4265)</f>
        <v>4265</v>
      </c>
      <c r="J13012" s="1">
        <f>VALUE(4669)</f>
        <v>4669</v>
      </c>
      <c r="K13012" s="1">
        <f>VALUE(5420)</f>
        <v>5420</v>
      </c>
      <c r="L13012" s="1">
        <f>VALUE(6359)</f>
        <v>6359</v>
      </c>
      <c r="M13012" s="8">
        <f>VALUE(8334)</f>
        <v>8334</v>
      </c>
      <c r="N13012" t="s">
        <v>25</v>
      </c>
    </row>
    <row r="13013" spans="1:14" x14ac:dyDescent="0.25">
      <c r="A13013" t="s">
        <v>44</v>
      </c>
      <c r="B13013" t="s">
        <v>40</v>
      </c>
      <c r="C13013" t="s">
        <v>38</v>
      </c>
      <c r="D13013" t="s">
        <v>29</v>
      </c>
      <c r="E13013" t="s">
        <v>22</v>
      </c>
      <c r="F13013" t="s">
        <v>17</v>
      </c>
      <c r="G13013" s="1" t="str">
        <f t="shared" ref="G13013:M13015" si="2974">"X"</f>
        <v>X</v>
      </c>
      <c r="H13013" s="1" t="str">
        <f t="shared" si="2974"/>
        <v>X</v>
      </c>
      <c r="I13013" s="1" t="str">
        <f t="shared" si="2974"/>
        <v>X</v>
      </c>
      <c r="J13013" s="1" t="str">
        <f t="shared" si="2974"/>
        <v>X</v>
      </c>
      <c r="K13013" s="1" t="str">
        <f t="shared" si="2974"/>
        <v>X</v>
      </c>
      <c r="L13013" s="1" t="str">
        <f t="shared" si="2974"/>
        <v>X</v>
      </c>
      <c r="M13013" s="1" t="str">
        <f t="shared" si="2974"/>
        <v>X</v>
      </c>
      <c r="N13013" t="s">
        <v>27</v>
      </c>
    </row>
    <row r="13014" spans="1:14" x14ac:dyDescent="0.25">
      <c r="A13014" t="s">
        <v>44</v>
      </c>
      <c r="B13014" t="s">
        <v>40</v>
      </c>
      <c r="C13014" t="s">
        <v>38</v>
      </c>
      <c r="D13014" t="s">
        <v>29</v>
      </c>
      <c r="E13014" t="s">
        <v>22</v>
      </c>
      <c r="F13014" t="s">
        <v>18</v>
      </c>
      <c r="G13014" s="1" t="str">
        <f t="shared" si="2974"/>
        <v>X</v>
      </c>
      <c r="H13014" s="1" t="str">
        <f t="shared" si="2974"/>
        <v>X</v>
      </c>
      <c r="I13014" s="1" t="str">
        <f t="shared" si="2974"/>
        <v>X</v>
      </c>
      <c r="J13014" s="1" t="str">
        <f t="shared" si="2974"/>
        <v>X</v>
      </c>
      <c r="K13014" s="1" t="str">
        <f t="shared" si="2974"/>
        <v>X</v>
      </c>
      <c r="L13014" s="1" t="str">
        <f t="shared" si="2974"/>
        <v>X</v>
      </c>
      <c r="M13014" s="1" t="str">
        <f t="shared" si="2974"/>
        <v>X</v>
      </c>
      <c r="N13014" t="s">
        <v>27</v>
      </c>
    </row>
    <row r="13015" spans="1:14" x14ac:dyDescent="0.25">
      <c r="A13015" t="s">
        <v>44</v>
      </c>
      <c r="B13015" t="s">
        <v>40</v>
      </c>
      <c r="C13015" t="s">
        <v>38</v>
      </c>
      <c r="D13015" t="s">
        <v>29</v>
      </c>
      <c r="E13015" t="s">
        <v>22</v>
      </c>
      <c r="F13015" t="s">
        <v>19</v>
      </c>
      <c r="G13015" s="1" t="str">
        <f t="shared" si="2974"/>
        <v>X</v>
      </c>
      <c r="H13015" s="1" t="str">
        <f t="shared" si="2974"/>
        <v>X</v>
      </c>
      <c r="I13015" s="1" t="str">
        <f t="shared" si="2974"/>
        <v>X</v>
      </c>
      <c r="J13015" s="1" t="str">
        <f t="shared" si="2974"/>
        <v>X</v>
      </c>
      <c r="K13015" s="1" t="str">
        <f t="shared" si="2974"/>
        <v>X</v>
      </c>
      <c r="L13015" s="1" t="str">
        <f t="shared" si="2974"/>
        <v>X</v>
      </c>
      <c r="M13015" s="1" t="str">
        <f t="shared" si="2974"/>
        <v>X</v>
      </c>
      <c r="N13015" t="s">
        <v>27</v>
      </c>
    </row>
    <row r="13016" spans="1:14" x14ac:dyDescent="0.25">
      <c r="A13016" t="s">
        <v>44</v>
      </c>
      <c r="B13016" t="s">
        <v>40</v>
      </c>
      <c r="C13016" t="s">
        <v>38</v>
      </c>
      <c r="D13016" t="s">
        <v>29</v>
      </c>
      <c r="E13016" t="s">
        <v>22</v>
      </c>
      <c r="F13016" t="s">
        <v>20</v>
      </c>
      <c r="G13016" s="2">
        <f>VALUE(524.3)</f>
        <v>524.29999999999995</v>
      </c>
      <c r="H13016" s="3">
        <f>VALUE(390.56)</f>
        <v>390.56</v>
      </c>
      <c r="I13016" s="4">
        <f>VALUE(4265)</f>
        <v>4265</v>
      </c>
      <c r="J13016" s="1">
        <f>VALUE(4511)</f>
        <v>4511</v>
      </c>
      <c r="K13016" s="1">
        <f>VALUE(5158)</f>
        <v>5158</v>
      </c>
      <c r="L13016" s="1">
        <f>VALUE(5678)</f>
        <v>5678</v>
      </c>
      <c r="M13016" s="8">
        <f>VALUE(6583)</f>
        <v>6583</v>
      </c>
      <c r="N13016" t="s">
        <v>25</v>
      </c>
    </row>
    <row r="13017" spans="1:14" x14ac:dyDescent="0.25">
      <c r="A13017" t="s">
        <v>44</v>
      </c>
      <c r="B13017" t="s">
        <v>40</v>
      </c>
      <c r="C13017" t="s">
        <v>38</v>
      </c>
      <c r="D13017" t="s">
        <v>29</v>
      </c>
      <c r="E13017" t="s">
        <v>23</v>
      </c>
      <c r="F13017" t="s">
        <v>15</v>
      </c>
      <c r="G13017" s="2">
        <f>VALUE(1487.27)</f>
        <v>1487.27</v>
      </c>
      <c r="H13017" s="3">
        <f>VALUE(834.95)</f>
        <v>834.95</v>
      </c>
      <c r="I13017" s="1">
        <f>VALUE(3240)</f>
        <v>3240</v>
      </c>
      <c r="J13017" s="1">
        <f>VALUE(3621)</f>
        <v>3621</v>
      </c>
      <c r="K13017" s="1">
        <f>VALUE(3962)</f>
        <v>3962</v>
      </c>
      <c r="L13017" s="1">
        <f>VALUE(4580)</f>
        <v>4580</v>
      </c>
      <c r="M13017" s="1">
        <f>VALUE(5129)</f>
        <v>5129</v>
      </c>
      <c r="N13017" t="s">
        <v>25</v>
      </c>
    </row>
    <row r="13018" spans="1:14" x14ac:dyDescent="0.25">
      <c r="A13018" t="s">
        <v>44</v>
      </c>
      <c r="B13018" t="s">
        <v>40</v>
      </c>
      <c r="C13018" t="s">
        <v>38</v>
      </c>
      <c r="D13018" t="s">
        <v>29</v>
      </c>
      <c r="E13018" t="s">
        <v>23</v>
      </c>
      <c r="F13018" t="s">
        <v>17</v>
      </c>
      <c r="G13018" s="1" t="str">
        <f t="shared" ref="G13018:M13020" si="2975">"X"</f>
        <v>X</v>
      </c>
      <c r="H13018" s="1" t="str">
        <f t="shared" si="2975"/>
        <v>X</v>
      </c>
      <c r="I13018" s="1" t="str">
        <f t="shared" si="2975"/>
        <v>X</v>
      </c>
      <c r="J13018" s="1" t="str">
        <f t="shared" si="2975"/>
        <v>X</v>
      </c>
      <c r="K13018" s="1" t="str">
        <f t="shared" si="2975"/>
        <v>X</v>
      </c>
      <c r="L13018" s="1" t="str">
        <f t="shared" si="2975"/>
        <v>X</v>
      </c>
      <c r="M13018" s="1" t="str">
        <f t="shared" si="2975"/>
        <v>X</v>
      </c>
      <c r="N13018" t="s">
        <v>27</v>
      </c>
    </row>
    <row r="13019" spans="1:14" x14ac:dyDescent="0.25">
      <c r="A13019" t="s">
        <v>44</v>
      </c>
      <c r="B13019" t="s">
        <v>40</v>
      </c>
      <c r="C13019" t="s">
        <v>38</v>
      </c>
      <c r="D13019" t="s">
        <v>29</v>
      </c>
      <c r="E13019" t="s">
        <v>23</v>
      </c>
      <c r="F13019" t="s">
        <v>18</v>
      </c>
      <c r="G13019" s="1" t="str">
        <f t="shared" si="2975"/>
        <v>X</v>
      </c>
      <c r="H13019" s="1" t="str">
        <f t="shared" si="2975"/>
        <v>X</v>
      </c>
      <c r="I13019" s="1" t="str">
        <f t="shared" si="2975"/>
        <v>X</v>
      </c>
      <c r="J13019" s="1" t="str">
        <f t="shared" si="2975"/>
        <v>X</v>
      </c>
      <c r="K13019" s="1" t="str">
        <f t="shared" si="2975"/>
        <v>X</v>
      </c>
      <c r="L13019" s="1" t="str">
        <f t="shared" si="2975"/>
        <v>X</v>
      </c>
      <c r="M13019" s="1" t="str">
        <f t="shared" si="2975"/>
        <v>X</v>
      </c>
      <c r="N13019" t="s">
        <v>27</v>
      </c>
    </row>
    <row r="13020" spans="1:14" x14ac:dyDescent="0.25">
      <c r="A13020" t="s">
        <v>44</v>
      </c>
      <c r="B13020" t="s">
        <v>40</v>
      </c>
      <c r="C13020" t="s">
        <v>38</v>
      </c>
      <c r="D13020" t="s">
        <v>29</v>
      </c>
      <c r="E13020" t="s">
        <v>23</v>
      </c>
      <c r="F13020" t="s">
        <v>19</v>
      </c>
      <c r="G13020" s="1" t="str">
        <f t="shared" si="2975"/>
        <v>X</v>
      </c>
      <c r="H13020" s="1" t="str">
        <f t="shared" si="2975"/>
        <v>X</v>
      </c>
      <c r="I13020" s="1" t="str">
        <f t="shared" si="2975"/>
        <v>X</v>
      </c>
      <c r="J13020" s="1" t="str">
        <f t="shared" si="2975"/>
        <v>X</v>
      </c>
      <c r="K13020" s="1" t="str">
        <f t="shared" si="2975"/>
        <v>X</v>
      </c>
      <c r="L13020" s="1" t="str">
        <f t="shared" si="2975"/>
        <v>X</v>
      </c>
      <c r="M13020" s="1" t="str">
        <f t="shared" si="2975"/>
        <v>X</v>
      </c>
      <c r="N13020" t="s">
        <v>27</v>
      </c>
    </row>
    <row r="13021" spans="1:14" x14ac:dyDescent="0.25">
      <c r="A13021" t="s">
        <v>44</v>
      </c>
      <c r="B13021" t="s">
        <v>40</v>
      </c>
      <c r="C13021" t="s">
        <v>38</v>
      </c>
      <c r="D13021" t="s">
        <v>29</v>
      </c>
      <c r="E13021" t="s">
        <v>23</v>
      </c>
      <c r="F13021" t="s">
        <v>20</v>
      </c>
      <c r="G13021" s="2">
        <f>VALUE(1405.12)</f>
        <v>1405.12</v>
      </c>
      <c r="H13021" s="3">
        <f>VALUE(784.55)</f>
        <v>784.55</v>
      </c>
      <c r="I13021" s="1">
        <f>VALUE(3236)</f>
        <v>3236</v>
      </c>
      <c r="J13021" s="1">
        <f>VALUE(3611)</f>
        <v>3611</v>
      </c>
      <c r="K13021" s="1">
        <f>VALUE(3931)</f>
        <v>3931</v>
      </c>
      <c r="L13021" s="1">
        <f>VALUE(4540)</f>
        <v>4540</v>
      </c>
      <c r="M13021" s="1">
        <f>VALUE(5005)</f>
        <v>5005</v>
      </c>
      <c r="N13021" t="s">
        <v>25</v>
      </c>
    </row>
    <row r="13022" spans="1:14" x14ac:dyDescent="0.25">
      <c r="A13022" t="s">
        <v>44</v>
      </c>
      <c r="B13022" t="s">
        <v>40</v>
      </c>
      <c r="C13022" t="s">
        <v>38</v>
      </c>
      <c r="D13022" t="s">
        <v>29</v>
      </c>
      <c r="E13022" t="s">
        <v>26</v>
      </c>
      <c r="F13022" t="s">
        <v>15</v>
      </c>
      <c r="G13022" s="1" t="str">
        <f t="shared" ref="G13022:M13022" si="2976">"X"</f>
        <v>X</v>
      </c>
      <c r="H13022" s="1" t="str">
        <f t="shared" si="2976"/>
        <v>X</v>
      </c>
      <c r="I13022" s="1" t="str">
        <f t="shared" si="2976"/>
        <v>X</v>
      </c>
      <c r="J13022" s="1" t="str">
        <f t="shared" si="2976"/>
        <v>X</v>
      </c>
      <c r="K13022" s="1" t="str">
        <f t="shared" si="2976"/>
        <v>X</v>
      </c>
      <c r="L13022" s="1" t="str">
        <f t="shared" si="2976"/>
        <v>X</v>
      </c>
      <c r="M13022" s="1" t="str">
        <f t="shared" si="2976"/>
        <v>X</v>
      </c>
      <c r="N13022" t="s">
        <v>27</v>
      </c>
    </row>
    <row r="13023" spans="1:14" x14ac:dyDescent="0.25">
      <c r="A13023" t="s">
        <v>44</v>
      </c>
      <c r="B13023" t="s">
        <v>40</v>
      </c>
      <c r="C13023" t="s">
        <v>38</v>
      </c>
      <c r="D13023" t="s">
        <v>29</v>
      </c>
      <c r="E13023" t="s">
        <v>26</v>
      </c>
      <c r="F13023" t="s">
        <v>17</v>
      </c>
      <c r="G13023" s="1" t="str">
        <f t="shared" ref="G13023:M13025" si="2977">"..."</f>
        <v>...</v>
      </c>
      <c r="H13023" s="1" t="str">
        <f t="shared" si="2977"/>
        <v>...</v>
      </c>
      <c r="I13023" s="1" t="str">
        <f t="shared" si="2977"/>
        <v>...</v>
      </c>
      <c r="J13023" s="1" t="str">
        <f t="shared" si="2977"/>
        <v>...</v>
      </c>
      <c r="K13023" s="1" t="str">
        <f t="shared" si="2977"/>
        <v>...</v>
      </c>
      <c r="L13023" s="1" t="str">
        <f t="shared" si="2977"/>
        <v>...</v>
      </c>
      <c r="M13023" s="1" t="str">
        <f t="shared" si="2977"/>
        <v>...</v>
      </c>
      <c r="N13023" t="s">
        <v>30</v>
      </c>
    </row>
    <row r="13024" spans="1:14" x14ac:dyDescent="0.25">
      <c r="A13024" t="s">
        <v>44</v>
      </c>
      <c r="B13024" t="s">
        <v>40</v>
      </c>
      <c r="C13024" t="s">
        <v>38</v>
      </c>
      <c r="D13024" t="s">
        <v>29</v>
      </c>
      <c r="E13024" t="s">
        <v>26</v>
      </c>
      <c r="F13024" t="s">
        <v>18</v>
      </c>
      <c r="G13024" s="1" t="str">
        <f t="shared" si="2977"/>
        <v>...</v>
      </c>
      <c r="H13024" s="1" t="str">
        <f t="shared" si="2977"/>
        <v>...</v>
      </c>
      <c r="I13024" s="1" t="str">
        <f t="shared" si="2977"/>
        <v>...</v>
      </c>
      <c r="J13024" s="1" t="str">
        <f t="shared" si="2977"/>
        <v>...</v>
      </c>
      <c r="K13024" s="1" t="str">
        <f t="shared" si="2977"/>
        <v>...</v>
      </c>
      <c r="L13024" s="1" t="str">
        <f t="shared" si="2977"/>
        <v>...</v>
      </c>
      <c r="M13024" s="1" t="str">
        <f t="shared" si="2977"/>
        <v>...</v>
      </c>
      <c r="N13024" t="s">
        <v>30</v>
      </c>
    </row>
    <row r="13025" spans="1:14" x14ac:dyDescent="0.25">
      <c r="A13025" t="s">
        <v>44</v>
      </c>
      <c r="B13025" t="s">
        <v>40</v>
      </c>
      <c r="C13025" t="s">
        <v>38</v>
      </c>
      <c r="D13025" t="s">
        <v>29</v>
      </c>
      <c r="E13025" t="s">
        <v>26</v>
      </c>
      <c r="F13025" t="s">
        <v>19</v>
      </c>
      <c r="G13025" s="1" t="str">
        <f t="shared" si="2977"/>
        <v>...</v>
      </c>
      <c r="H13025" s="1" t="str">
        <f t="shared" si="2977"/>
        <v>...</v>
      </c>
      <c r="I13025" s="1" t="str">
        <f t="shared" si="2977"/>
        <v>...</v>
      </c>
      <c r="J13025" s="1" t="str">
        <f t="shared" si="2977"/>
        <v>...</v>
      </c>
      <c r="K13025" s="1" t="str">
        <f t="shared" si="2977"/>
        <v>...</v>
      </c>
      <c r="L13025" s="1" t="str">
        <f t="shared" si="2977"/>
        <v>...</v>
      </c>
      <c r="M13025" s="1" t="str">
        <f t="shared" si="2977"/>
        <v>...</v>
      </c>
      <c r="N13025" t="s">
        <v>30</v>
      </c>
    </row>
    <row r="13026" spans="1:14" x14ac:dyDescent="0.25">
      <c r="A13026" t="s">
        <v>44</v>
      </c>
      <c r="B13026" t="s">
        <v>40</v>
      </c>
      <c r="C13026" t="s">
        <v>38</v>
      </c>
      <c r="D13026" t="s">
        <v>29</v>
      </c>
      <c r="E13026" t="s">
        <v>26</v>
      </c>
      <c r="F13026" t="s">
        <v>20</v>
      </c>
      <c r="G13026" s="1" t="str">
        <f t="shared" ref="G13026:M13026" si="2978">"X"</f>
        <v>X</v>
      </c>
      <c r="H13026" s="1" t="str">
        <f t="shared" si="2978"/>
        <v>X</v>
      </c>
      <c r="I13026" s="1" t="str">
        <f t="shared" si="2978"/>
        <v>X</v>
      </c>
      <c r="J13026" s="1" t="str">
        <f t="shared" si="2978"/>
        <v>X</v>
      </c>
      <c r="K13026" s="1" t="str">
        <f t="shared" si="2978"/>
        <v>X</v>
      </c>
      <c r="L13026" s="1" t="str">
        <f t="shared" si="2978"/>
        <v>X</v>
      </c>
      <c r="M13026" s="1" t="str">
        <f t="shared" si="2978"/>
        <v>X</v>
      </c>
      <c r="N13026" t="s">
        <v>27</v>
      </c>
    </row>
    <row r="13027" spans="1:14" x14ac:dyDescent="0.25">
      <c r="A13027" t="s">
        <v>44</v>
      </c>
      <c r="B13027" t="s">
        <v>40</v>
      </c>
      <c r="C13027" t="s">
        <v>38</v>
      </c>
      <c r="D13027" t="s">
        <v>31</v>
      </c>
      <c r="E13027" t="s">
        <v>15</v>
      </c>
      <c r="F13027" t="s">
        <v>15</v>
      </c>
      <c r="G13027" s="2">
        <f>VALUE(418.47)</f>
        <v>418.47</v>
      </c>
      <c r="H13027" s="3">
        <f>VALUE(293.9)</f>
        <v>293.89999999999998</v>
      </c>
      <c r="I13027" s="4">
        <f>VALUE(3277)</f>
        <v>3277</v>
      </c>
      <c r="J13027" s="5">
        <f>VALUE(3652)</f>
        <v>3652</v>
      </c>
      <c r="K13027" s="6">
        <f>VALUE(5222)</f>
        <v>5222</v>
      </c>
      <c r="L13027" s="7">
        <f>VALUE(7278)</f>
        <v>7278</v>
      </c>
      <c r="M13027" s="8">
        <f>VALUE(9439)</f>
        <v>9439</v>
      </c>
      <c r="N13027" t="s">
        <v>24</v>
      </c>
    </row>
    <row r="13028" spans="1:14" x14ac:dyDescent="0.25">
      <c r="A13028" t="s">
        <v>44</v>
      </c>
      <c r="B13028" t="s">
        <v>40</v>
      </c>
      <c r="C13028" t="s">
        <v>38</v>
      </c>
      <c r="D13028" t="s">
        <v>31</v>
      </c>
      <c r="E13028" t="s">
        <v>15</v>
      </c>
      <c r="F13028" t="s">
        <v>17</v>
      </c>
      <c r="G13028" s="1" t="str">
        <f t="shared" ref="G13028:M13030" si="2979">"X"</f>
        <v>X</v>
      </c>
      <c r="H13028" s="1" t="str">
        <f t="shared" si="2979"/>
        <v>X</v>
      </c>
      <c r="I13028" s="1" t="str">
        <f t="shared" si="2979"/>
        <v>X</v>
      </c>
      <c r="J13028" s="1" t="str">
        <f t="shared" si="2979"/>
        <v>X</v>
      </c>
      <c r="K13028" s="1" t="str">
        <f t="shared" si="2979"/>
        <v>X</v>
      </c>
      <c r="L13028" s="1" t="str">
        <f t="shared" si="2979"/>
        <v>X</v>
      </c>
      <c r="M13028" s="1" t="str">
        <f t="shared" si="2979"/>
        <v>X</v>
      </c>
      <c r="N13028" t="s">
        <v>27</v>
      </c>
    </row>
    <row r="13029" spans="1:14" x14ac:dyDescent="0.25">
      <c r="A13029" t="s">
        <v>44</v>
      </c>
      <c r="B13029" t="s">
        <v>40</v>
      </c>
      <c r="C13029" t="s">
        <v>38</v>
      </c>
      <c r="D13029" t="s">
        <v>31</v>
      </c>
      <c r="E13029" t="s">
        <v>15</v>
      </c>
      <c r="F13029" t="s">
        <v>18</v>
      </c>
      <c r="G13029" s="1" t="str">
        <f t="shared" si="2979"/>
        <v>X</v>
      </c>
      <c r="H13029" s="1" t="str">
        <f t="shared" si="2979"/>
        <v>X</v>
      </c>
      <c r="I13029" s="1" t="str">
        <f t="shared" si="2979"/>
        <v>X</v>
      </c>
      <c r="J13029" s="1" t="str">
        <f t="shared" si="2979"/>
        <v>X</v>
      </c>
      <c r="K13029" s="1" t="str">
        <f t="shared" si="2979"/>
        <v>X</v>
      </c>
      <c r="L13029" s="1" t="str">
        <f t="shared" si="2979"/>
        <v>X</v>
      </c>
      <c r="M13029" s="1" t="str">
        <f t="shared" si="2979"/>
        <v>X</v>
      </c>
      <c r="N13029" t="s">
        <v>27</v>
      </c>
    </row>
    <row r="13030" spans="1:14" x14ac:dyDescent="0.25">
      <c r="A13030" t="s">
        <v>44</v>
      </c>
      <c r="B13030" t="s">
        <v>40</v>
      </c>
      <c r="C13030" t="s">
        <v>38</v>
      </c>
      <c r="D13030" t="s">
        <v>31</v>
      </c>
      <c r="E13030" t="s">
        <v>15</v>
      </c>
      <c r="F13030" t="s">
        <v>19</v>
      </c>
      <c r="G13030" s="1" t="str">
        <f t="shared" si="2979"/>
        <v>X</v>
      </c>
      <c r="H13030" s="1" t="str">
        <f t="shared" si="2979"/>
        <v>X</v>
      </c>
      <c r="I13030" s="1" t="str">
        <f t="shared" si="2979"/>
        <v>X</v>
      </c>
      <c r="J13030" s="1" t="str">
        <f t="shared" si="2979"/>
        <v>X</v>
      </c>
      <c r="K13030" s="1" t="str">
        <f t="shared" si="2979"/>
        <v>X</v>
      </c>
      <c r="L13030" s="1" t="str">
        <f t="shared" si="2979"/>
        <v>X</v>
      </c>
      <c r="M13030" s="1" t="str">
        <f t="shared" si="2979"/>
        <v>X</v>
      </c>
      <c r="N13030" t="s">
        <v>27</v>
      </c>
    </row>
    <row r="13031" spans="1:14" x14ac:dyDescent="0.25">
      <c r="A13031" t="s">
        <v>44</v>
      </c>
      <c r="B13031" t="s">
        <v>40</v>
      </c>
      <c r="C13031" t="s">
        <v>38</v>
      </c>
      <c r="D13031" t="s">
        <v>31</v>
      </c>
      <c r="E13031" t="s">
        <v>15</v>
      </c>
      <c r="F13031" t="s">
        <v>20</v>
      </c>
      <c r="G13031" s="2">
        <f>VALUE(273.29)</f>
        <v>273.29000000000002</v>
      </c>
      <c r="H13031" s="3">
        <f>VALUE(151.77)</f>
        <v>151.77000000000001</v>
      </c>
      <c r="I13031" s="4">
        <f>VALUE(3259)</f>
        <v>3259</v>
      </c>
      <c r="J13031" s="1">
        <f>VALUE(3443)</f>
        <v>3443</v>
      </c>
      <c r="K13031" s="6">
        <f>VALUE(3693)</f>
        <v>3693</v>
      </c>
      <c r="L13031" s="7">
        <f>VALUE(5605)</f>
        <v>5605</v>
      </c>
      <c r="M13031" s="1">
        <f>VALUE(7790)</f>
        <v>7790</v>
      </c>
      <c r="N13031" t="s">
        <v>25</v>
      </c>
    </row>
    <row r="13032" spans="1:14" x14ac:dyDescent="0.25">
      <c r="A13032" t="s">
        <v>44</v>
      </c>
      <c r="B13032" t="s">
        <v>40</v>
      </c>
      <c r="C13032" t="s">
        <v>38</v>
      </c>
      <c r="D13032" t="s">
        <v>31</v>
      </c>
      <c r="E13032" t="s">
        <v>21</v>
      </c>
      <c r="F13032" t="s">
        <v>15</v>
      </c>
      <c r="G13032" s="1" t="str">
        <f t="shared" ref="G13032:M13044" si="2980">"X"</f>
        <v>X</v>
      </c>
      <c r="H13032" s="1" t="str">
        <f t="shared" si="2980"/>
        <v>X</v>
      </c>
      <c r="I13032" s="1" t="str">
        <f t="shared" si="2980"/>
        <v>X</v>
      </c>
      <c r="J13032" s="1" t="str">
        <f t="shared" si="2980"/>
        <v>X</v>
      </c>
      <c r="K13032" s="1" t="str">
        <f t="shared" si="2980"/>
        <v>X</v>
      </c>
      <c r="L13032" s="1" t="str">
        <f t="shared" si="2980"/>
        <v>X</v>
      </c>
      <c r="M13032" s="1" t="str">
        <f t="shared" si="2980"/>
        <v>X</v>
      </c>
      <c r="N13032" t="s">
        <v>27</v>
      </c>
    </row>
    <row r="13033" spans="1:14" x14ac:dyDescent="0.25">
      <c r="A13033" t="s">
        <v>44</v>
      </c>
      <c r="B13033" t="s">
        <v>40</v>
      </c>
      <c r="C13033" t="s">
        <v>38</v>
      </c>
      <c r="D13033" t="s">
        <v>31</v>
      </c>
      <c r="E13033" t="s">
        <v>21</v>
      </c>
      <c r="F13033" t="s">
        <v>17</v>
      </c>
      <c r="G13033" s="1" t="str">
        <f t="shared" si="2980"/>
        <v>X</v>
      </c>
      <c r="H13033" s="1" t="str">
        <f t="shared" si="2980"/>
        <v>X</v>
      </c>
      <c r="I13033" s="1" t="str">
        <f t="shared" si="2980"/>
        <v>X</v>
      </c>
      <c r="J13033" s="1" t="str">
        <f t="shared" si="2980"/>
        <v>X</v>
      </c>
      <c r="K13033" s="1" t="str">
        <f t="shared" si="2980"/>
        <v>X</v>
      </c>
      <c r="L13033" s="1" t="str">
        <f t="shared" si="2980"/>
        <v>X</v>
      </c>
      <c r="M13033" s="1" t="str">
        <f t="shared" si="2980"/>
        <v>X</v>
      </c>
      <c r="N13033" t="s">
        <v>27</v>
      </c>
    </row>
    <row r="13034" spans="1:14" x14ac:dyDescent="0.25">
      <c r="A13034" t="s">
        <v>44</v>
      </c>
      <c r="B13034" t="s">
        <v>40</v>
      </c>
      <c r="C13034" t="s">
        <v>38</v>
      </c>
      <c r="D13034" t="s">
        <v>31</v>
      </c>
      <c r="E13034" t="s">
        <v>21</v>
      </c>
      <c r="F13034" t="s">
        <v>18</v>
      </c>
      <c r="G13034" s="1" t="str">
        <f t="shared" si="2980"/>
        <v>X</v>
      </c>
      <c r="H13034" s="1" t="str">
        <f t="shared" si="2980"/>
        <v>X</v>
      </c>
      <c r="I13034" s="1" t="str">
        <f t="shared" si="2980"/>
        <v>X</v>
      </c>
      <c r="J13034" s="1" t="str">
        <f t="shared" si="2980"/>
        <v>X</v>
      </c>
      <c r="K13034" s="1" t="str">
        <f t="shared" si="2980"/>
        <v>X</v>
      </c>
      <c r="L13034" s="1" t="str">
        <f t="shared" si="2980"/>
        <v>X</v>
      </c>
      <c r="M13034" s="1" t="str">
        <f t="shared" si="2980"/>
        <v>X</v>
      </c>
      <c r="N13034" t="s">
        <v>27</v>
      </c>
    </row>
    <row r="13035" spans="1:14" x14ac:dyDescent="0.25">
      <c r="A13035" t="s">
        <v>44</v>
      </c>
      <c r="B13035" t="s">
        <v>40</v>
      </c>
      <c r="C13035" t="s">
        <v>38</v>
      </c>
      <c r="D13035" t="s">
        <v>31</v>
      </c>
      <c r="E13035" t="s">
        <v>21</v>
      </c>
      <c r="F13035" t="s">
        <v>19</v>
      </c>
      <c r="G13035" s="1" t="str">
        <f t="shared" si="2980"/>
        <v>X</v>
      </c>
      <c r="H13035" s="1" t="str">
        <f t="shared" si="2980"/>
        <v>X</v>
      </c>
      <c r="I13035" s="1" t="str">
        <f t="shared" si="2980"/>
        <v>X</v>
      </c>
      <c r="J13035" s="1" t="str">
        <f t="shared" si="2980"/>
        <v>X</v>
      </c>
      <c r="K13035" s="1" t="str">
        <f t="shared" si="2980"/>
        <v>X</v>
      </c>
      <c r="L13035" s="1" t="str">
        <f t="shared" si="2980"/>
        <v>X</v>
      </c>
      <c r="M13035" s="1" t="str">
        <f t="shared" si="2980"/>
        <v>X</v>
      </c>
      <c r="N13035" t="s">
        <v>27</v>
      </c>
    </row>
    <row r="13036" spans="1:14" x14ac:dyDescent="0.25">
      <c r="A13036" t="s">
        <v>44</v>
      </c>
      <c r="B13036" t="s">
        <v>40</v>
      </c>
      <c r="C13036" t="s">
        <v>38</v>
      </c>
      <c r="D13036" t="s">
        <v>31</v>
      </c>
      <c r="E13036" t="s">
        <v>21</v>
      </c>
      <c r="F13036" t="s">
        <v>20</v>
      </c>
      <c r="G13036" s="1" t="str">
        <f t="shared" si="2980"/>
        <v>X</v>
      </c>
      <c r="H13036" s="1" t="str">
        <f t="shared" si="2980"/>
        <v>X</v>
      </c>
      <c r="I13036" s="1" t="str">
        <f t="shared" si="2980"/>
        <v>X</v>
      </c>
      <c r="J13036" s="1" t="str">
        <f t="shared" si="2980"/>
        <v>X</v>
      </c>
      <c r="K13036" s="1" t="str">
        <f t="shared" si="2980"/>
        <v>X</v>
      </c>
      <c r="L13036" s="1" t="str">
        <f t="shared" si="2980"/>
        <v>X</v>
      </c>
      <c r="M13036" s="1" t="str">
        <f t="shared" si="2980"/>
        <v>X</v>
      </c>
      <c r="N13036" t="s">
        <v>27</v>
      </c>
    </row>
    <row r="13037" spans="1:14" x14ac:dyDescent="0.25">
      <c r="A13037" t="s">
        <v>44</v>
      </c>
      <c r="B13037" t="s">
        <v>40</v>
      </c>
      <c r="C13037" t="s">
        <v>38</v>
      </c>
      <c r="D13037" t="s">
        <v>31</v>
      </c>
      <c r="E13037" t="s">
        <v>22</v>
      </c>
      <c r="F13037" t="s">
        <v>15</v>
      </c>
      <c r="G13037" s="1" t="str">
        <f t="shared" si="2980"/>
        <v>X</v>
      </c>
      <c r="H13037" s="1" t="str">
        <f t="shared" si="2980"/>
        <v>X</v>
      </c>
      <c r="I13037" s="1" t="str">
        <f t="shared" si="2980"/>
        <v>X</v>
      </c>
      <c r="J13037" s="1" t="str">
        <f t="shared" si="2980"/>
        <v>X</v>
      </c>
      <c r="K13037" s="1" t="str">
        <f t="shared" si="2980"/>
        <v>X</v>
      </c>
      <c r="L13037" s="1" t="str">
        <f t="shared" si="2980"/>
        <v>X</v>
      </c>
      <c r="M13037" s="1" t="str">
        <f t="shared" si="2980"/>
        <v>X</v>
      </c>
      <c r="N13037" t="s">
        <v>27</v>
      </c>
    </row>
    <row r="13038" spans="1:14" x14ac:dyDescent="0.25">
      <c r="A13038" t="s">
        <v>44</v>
      </c>
      <c r="B13038" t="s">
        <v>40</v>
      </c>
      <c r="C13038" t="s">
        <v>38</v>
      </c>
      <c r="D13038" t="s">
        <v>31</v>
      </c>
      <c r="E13038" t="s">
        <v>22</v>
      </c>
      <c r="F13038" t="s">
        <v>17</v>
      </c>
      <c r="G13038" s="1" t="str">
        <f t="shared" si="2980"/>
        <v>X</v>
      </c>
      <c r="H13038" s="1" t="str">
        <f t="shared" si="2980"/>
        <v>X</v>
      </c>
      <c r="I13038" s="1" t="str">
        <f t="shared" si="2980"/>
        <v>X</v>
      </c>
      <c r="J13038" s="1" t="str">
        <f t="shared" si="2980"/>
        <v>X</v>
      </c>
      <c r="K13038" s="1" t="str">
        <f t="shared" si="2980"/>
        <v>X</v>
      </c>
      <c r="L13038" s="1" t="str">
        <f t="shared" si="2980"/>
        <v>X</v>
      </c>
      <c r="M13038" s="1" t="str">
        <f t="shared" si="2980"/>
        <v>X</v>
      </c>
      <c r="N13038" t="s">
        <v>27</v>
      </c>
    </row>
    <row r="13039" spans="1:14" x14ac:dyDescent="0.25">
      <c r="A13039" t="s">
        <v>44</v>
      </c>
      <c r="B13039" t="s">
        <v>40</v>
      </c>
      <c r="C13039" t="s">
        <v>38</v>
      </c>
      <c r="D13039" t="s">
        <v>31</v>
      </c>
      <c r="E13039" t="s">
        <v>22</v>
      </c>
      <c r="F13039" t="s">
        <v>18</v>
      </c>
      <c r="G13039" s="1" t="str">
        <f t="shared" si="2980"/>
        <v>X</v>
      </c>
      <c r="H13039" s="1" t="str">
        <f t="shared" si="2980"/>
        <v>X</v>
      </c>
      <c r="I13039" s="1" t="str">
        <f t="shared" si="2980"/>
        <v>X</v>
      </c>
      <c r="J13039" s="1" t="str">
        <f t="shared" si="2980"/>
        <v>X</v>
      </c>
      <c r="K13039" s="1" t="str">
        <f t="shared" si="2980"/>
        <v>X</v>
      </c>
      <c r="L13039" s="1" t="str">
        <f t="shared" si="2980"/>
        <v>X</v>
      </c>
      <c r="M13039" s="1" t="str">
        <f t="shared" si="2980"/>
        <v>X</v>
      </c>
      <c r="N13039" t="s">
        <v>27</v>
      </c>
    </row>
    <row r="13040" spans="1:14" x14ac:dyDescent="0.25">
      <c r="A13040" t="s">
        <v>44</v>
      </c>
      <c r="B13040" t="s">
        <v>40</v>
      </c>
      <c r="C13040" t="s">
        <v>38</v>
      </c>
      <c r="D13040" t="s">
        <v>31</v>
      </c>
      <c r="E13040" t="s">
        <v>22</v>
      </c>
      <c r="F13040" t="s">
        <v>19</v>
      </c>
      <c r="G13040" s="1" t="str">
        <f t="shared" si="2980"/>
        <v>X</v>
      </c>
      <c r="H13040" s="1" t="str">
        <f t="shared" si="2980"/>
        <v>X</v>
      </c>
      <c r="I13040" s="1" t="str">
        <f t="shared" si="2980"/>
        <v>X</v>
      </c>
      <c r="J13040" s="1" t="str">
        <f t="shared" si="2980"/>
        <v>X</v>
      </c>
      <c r="K13040" s="1" t="str">
        <f t="shared" si="2980"/>
        <v>X</v>
      </c>
      <c r="L13040" s="1" t="str">
        <f t="shared" si="2980"/>
        <v>X</v>
      </c>
      <c r="M13040" s="1" t="str">
        <f t="shared" si="2980"/>
        <v>X</v>
      </c>
      <c r="N13040" t="s">
        <v>27</v>
      </c>
    </row>
    <row r="13041" spans="1:14" x14ac:dyDescent="0.25">
      <c r="A13041" t="s">
        <v>44</v>
      </c>
      <c r="B13041" t="s">
        <v>40</v>
      </c>
      <c r="C13041" t="s">
        <v>38</v>
      </c>
      <c r="D13041" t="s">
        <v>31</v>
      </c>
      <c r="E13041" t="s">
        <v>22</v>
      </c>
      <c r="F13041" t="s">
        <v>20</v>
      </c>
      <c r="G13041" s="1" t="str">
        <f t="shared" si="2980"/>
        <v>X</v>
      </c>
      <c r="H13041" s="1" t="str">
        <f t="shared" si="2980"/>
        <v>X</v>
      </c>
      <c r="I13041" s="1" t="str">
        <f t="shared" si="2980"/>
        <v>X</v>
      </c>
      <c r="J13041" s="1" t="str">
        <f t="shared" si="2980"/>
        <v>X</v>
      </c>
      <c r="K13041" s="1" t="str">
        <f t="shared" si="2980"/>
        <v>X</v>
      </c>
      <c r="L13041" s="1" t="str">
        <f t="shared" si="2980"/>
        <v>X</v>
      </c>
      <c r="M13041" s="1" t="str">
        <f t="shared" si="2980"/>
        <v>X</v>
      </c>
      <c r="N13041" t="s">
        <v>27</v>
      </c>
    </row>
    <row r="13042" spans="1:14" x14ac:dyDescent="0.25">
      <c r="A13042" t="s">
        <v>44</v>
      </c>
      <c r="B13042" t="s">
        <v>40</v>
      </c>
      <c r="C13042" t="s">
        <v>38</v>
      </c>
      <c r="D13042" t="s">
        <v>31</v>
      </c>
      <c r="E13042" t="s">
        <v>23</v>
      </c>
      <c r="F13042" t="s">
        <v>15</v>
      </c>
      <c r="G13042" s="1" t="str">
        <f t="shared" si="2980"/>
        <v>X</v>
      </c>
      <c r="H13042" s="1" t="str">
        <f t="shared" si="2980"/>
        <v>X</v>
      </c>
      <c r="I13042" s="1" t="str">
        <f t="shared" si="2980"/>
        <v>X</v>
      </c>
      <c r="J13042" s="1" t="str">
        <f t="shared" si="2980"/>
        <v>X</v>
      </c>
      <c r="K13042" s="1" t="str">
        <f t="shared" si="2980"/>
        <v>X</v>
      </c>
      <c r="L13042" s="1" t="str">
        <f t="shared" si="2980"/>
        <v>X</v>
      </c>
      <c r="M13042" s="1" t="str">
        <f t="shared" si="2980"/>
        <v>X</v>
      </c>
      <c r="N13042" t="s">
        <v>27</v>
      </c>
    </row>
    <row r="13043" spans="1:14" x14ac:dyDescent="0.25">
      <c r="A13043" t="s">
        <v>44</v>
      </c>
      <c r="B13043" t="s">
        <v>40</v>
      </c>
      <c r="C13043" t="s">
        <v>38</v>
      </c>
      <c r="D13043" t="s">
        <v>31</v>
      </c>
      <c r="E13043" t="s">
        <v>23</v>
      </c>
      <c r="F13043" t="s">
        <v>17</v>
      </c>
      <c r="G13043" s="1" t="str">
        <f t="shared" si="2980"/>
        <v>X</v>
      </c>
      <c r="H13043" s="1" t="str">
        <f t="shared" si="2980"/>
        <v>X</v>
      </c>
      <c r="I13043" s="1" t="str">
        <f t="shared" si="2980"/>
        <v>X</v>
      </c>
      <c r="J13043" s="1" t="str">
        <f t="shared" si="2980"/>
        <v>X</v>
      </c>
      <c r="K13043" s="1" t="str">
        <f t="shared" si="2980"/>
        <v>X</v>
      </c>
      <c r="L13043" s="1" t="str">
        <f t="shared" si="2980"/>
        <v>X</v>
      </c>
      <c r="M13043" s="1" t="str">
        <f t="shared" si="2980"/>
        <v>X</v>
      </c>
      <c r="N13043" t="s">
        <v>27</v>
      </c>
    </row>
    <row r="13044" spans="1:14" x14ac:dyDescent="0.25">
      <c r="A13044" t="s">
        <v>44</v>
      </c>
      <c r="B13044" t="s">
        <v>40</v>
      </c>
      <c r="C13044" t="s">
        <v>38</v>
      </c>
      <c r="D13044" t="s">
        <v>31</v>
      </c>
      <c r="E13044" t="s">
        <v>23</v>
      </c>
      <c r="F13044" t="s">
        <v>18</v>
      </c>
      <c r="G13044" s="1" t="str">
        <f t="shared" si="2980"/>
        <v>X</v>
      </c>
      <c r="H13044" s="1" t="str">
        <f t="shared" si="2980"/>
        <v>X</v>
      </c>
      <c r="I13044" s="1" t="str">
        <f t="shared" si="2980"/>
        <v>X</v>
      </c>
      <c r="J13044" s="1" t="str">
        <f t="shared" si="2980"/>
        <v>X</v>
      </c>
      <c r="K13044" s="1" t="str">
        <f t="shared" si="2980"/>
        <v>X</v>
      </c>
      <c r="L13044" s="1" t="str">
        <f t="shared" si="2980"/>
        <v>X</v>
      </c>
      <c r="M13044" s="1" t="str">
        <f t="shared" si="2980"/>
        <v>X</v>
      </c>
      <c r="N13044" t="s">
        <v>27</v>
      </c>
    </row>
    <row r="13045" spans="1:14" x14ac:dyDescent="0.25">
      <c r="A13045" t="s">
        <v>44</v>
      </c>
      <c r="B13045" t="s">
        <v>40</v>
      </c>
      <c r="C13045" t="s">
        <v>38</v>
      </c>
      <c r="D13045" t="s">
        <v>31</v>
      </c>
      <c r="E13045" t="s">
        <v>23</v>
      </c>
      <c r="F13045" t="s">
        <v>19</v>
      </c>
      <c r="G13045" s="1" t="str">
        <f t="shared" ref="G13045:M13045" si="2981">"..."</f>
        <v>...</v>
      </c>
      <c r="H13045" s="1" t="str">
        <f t="shared" si="2981"/>
        <v>...</v>
      </c>
      <c r="I13045" s="1" t="str">
        <f t="shared" si="2981"/>
        <v>...</v>
      </c>
      <c r="J13045" s="1" t="str">
        <f t="shared" si="2981"/>
        <v>...</v>
      </c>
      <c r="K13045" s="1" t="str">
        <f t="shared" si="2981"/>
        <v>...</v>
      </c>
      <c r="L13045" s="1" t="str">
        <f t="shared" si="2981"/>
        <v>...</v>
      </c>
      <c r="M13045" s="1" t="str">
        <f t="shared" si="2981"/>
        <v>...</v>
      </c>
      <c r="N13045" t="s">
        <v>30</v>
      </c>
    </row>
    <row r="13046" spans="1:14" x14ac:dyDescent="0.25">
      <c r="A13046" t="s">
        <v>44</v>
      </c>
      <c r="B13046" t="s">
        <v>40</v>
      </c>
      <c r="C13046" t="s">
        <v>38</v>
      </c>
      <c r="D13046" t="s">
        <v>31</v>
      </c>
      <c r="E13046" t="s">
        <v>23</v>
      </c>
      <c r="F13046" t="s">
        <v>20</v>
      </c>
      <c r="G13046" s="1" t="str">
        <f t="shared" ref="G13046:M13046" si="2982">"X"</f>
        <v>X</v>
      </c>
      <c r="H13046" s="1" t="str">
        <f t="shared" si="2982"/>
        <v>X</v>
      </c>
      <c r="I13046" s="1" t="str">
        <f t="shared" si="2982"/>
        <v>X</v>
      </c>
      <c r="J13046" s="1" t="str">
        <f t="shared" si="2982"/>
        <v>X</v>
      </c>
      <c r="K13046" s="1" t="str">
        <f t="shared" si="2982"/>
        <v>X</v>
      </c>
      <c r="L13046" s="1" t="str">
        <f t="shared" si="2982"/>
        <v>X</v>
      </c>
      <c r="M13046" s="1" t="str">
        <f t="shared" si="2982"/>
        <v>X</v>
      </c>
      <c r="N13046" t="s">
        <v>27</v>
      </c>
    </row>
    <row r="13047" spans="1:14" x14ac:dyDescent="0.25">
      <c r="A13047" t="s">
        <v>44</v>
      </c>
      <c r="B13047" t="s">
        <v>40</v>
      </c>
      <c r="C13047" t="s">
        <v>38</v>
      </c>
      <c r="D13047" t="s">
        <v>31</v>
      </c>
      <c r="E13047" t="s">
        <v>26</v>
      </c>
      <c r="F13047" t="s">
        <v>15</v>
      </c>
      <c r="G13047" s="1" t="str">
        <f t="shared" ref="G13047:M13051" si="2983">"..."</f>
        <v>...</v>
      </c>
      <c r="H13047" s="1" t="str">
        <f t="shared" si="2983"/>
        <v>...</v>
      </c>
      <c r="I13047" s="1" t="str">
        <f t="shared" si="2983"/>
        <v>...</v>
      </c>
      <c r="J13047" s="1" t="str">
        <f t="shared" si="2983"/>
        <v>...</v>
      </c>
      <c r="K13047" s="1" t="str">
        <f t="shared" si="2983"/>
        <v>...</v>
      </c>
      <c r="L13047" s="1" t="str">
        <f t="shared" si="2983"/>
        <v>...</v>
      </c>
      <c r="M13047" s="1" t="str">
        <f t="shared" si="2983"/>
        <v>...</v>
      </c>
      <c r="N13047" t="s">
        <v>30</v>
      </c>
    </row>
    <row r="13048" spans="1:14" x14ac:dyDescent="0.25">
      <c r="A13048" t="s">
        <v>44</v>
      </c>
      <c r="B13048" t="s">
        <v>40</v>
      </c>
      <c r="C13048" t="s">
        <v>38</v>
      </c>
      <c r="D13048" t="s">
        <v>31</v>
      </c>
      <c r="E13048" t="s">
        <v>26</v>
      </c>
      <c r="F13048" t="s">
        <v>17</v>
      </c>
      <c r="G13048" s="1" t="str">
        <f t="shared" si="2983"/>
        <v>...</v>
      </c>
      <c r="H13048" s="1" t="str">
        <f t="shared" si="2983"/>
        <v>...</v>
      </c>
      <c r="I13048" s="1" t="str">
        <f t="shared" si="2983"/>
        <v>...</v>
      </c>
      <c r="J13048" s="1" t="str">
        <f t="shared" si="2983"/>
        <v>...</v>
      </c>
      <c r="K13048" s="1" t="str">
        <f t="shared" si="2983"/>
        <v>...</v>
      </c>
      <c r="L13048" s="1" t="str">
        <f t="shared" si="2983"/>
        <v>...</v>
      </c>
      <c r="M13048" s="1" t="str">
        <f t="shared" si="2983"/>
        <v>...</v>
      </c>
      <c r="N13048" t="s">
        <v>30</v>
      </c>
    </row>
    <row r="13049" spans="1:14" x14ac:dyDescent="0.25">
      <c r="A13049" t="s">
        <v>44</v>
      </c>
      <c r="B13049" t="s">
        <v>40</v>
      </c>
      <c r="C13049" t="s">
        <v>38</v>
      </c>
      <c r="D13049" t="s">
        <v>31</v>
      </c>
      <c r="E13049" t="s">
        <v>26</v>
      </c>
      <c r="F13049" t="s">
        <v>18</v>
      </c>
      <c r="G13049" s="1" t="str">
        <f t="shared" si="2983"/>
        <v>...</v>
      </c>
      <c r="H13049" s="1" t="str">
        <f t="shared" si="2983"/>
        <v>...</v>
      </c>
      <c r="I13049" s="1" t="str">
        <f t="shared" si="2983"/>
        <v>...</v>
      </c>
      <c r="J13049" s="1" t="str">
        <f t="shared" si="2983"/>
        <v>...</v>
      </c>
      <c r="K13049" s="1" t="str">
        <f t="shared" si="2983"/>
        <v>...</v>
      </c>
      <c r="L13049" s="1" t="str">
        <f t="shared" si="2983"/>
        <v>...</v>
      </c>
      <c r="M13049" s="1" t="str">
        <f t="shared" si="2983"/>
        <v>...</v>
      </c>
      <c r="N13049" t="s">
        <v>30</v>
      </c>
    </row>
    <row r="13050" spans="1:14" x14ac:dyDescent="0.25">
      <c r="A13050" t="s">
        <v>44</v>
      </c>
      <c r="B13050" t="s">
        <v>40</v>
      </c>
      <c r="C13050" t="s">
        <v>38</v>
      </c>
      <c r="D13050" t="s">
        <v>31</v>
      </c>
      <c r="E13050" t="s">
        <v>26</v>
      </c>
      <c r="F13050" t="s">
        <v>19</v>
      </c>
      <c r="G13050" s="1" t="str">
        <f t="shared" si="2983"/>
        <v>...</v>
      </c>
      <c r="H13050" s="1" t="str">
        <f t="shared" si="2983"/>
        <v>...</v>
      </c>
      <c r="I13050" s="1" t="str">
        <f t="shared" si="2983"/>
        <v>...</v>
      </c>
      <c r="J13050" s="1" t="str">
        <f t="shared" si="2983"/>
        <v>...</v>
      </c>
      <c r="K13050" s="1" t="str">
        <f t="shared" si="2983"/>
        <v>...</v>
      </c>
      <c r="L13050" s="1" t="str">
        <f t="shared" si="2983"/>
        <v>...</v>
      </c>
      <c r="M13050" s="1" t="str">
        <f t="shared" si="2983"/>
        <v>...</v>
      </c>
      <c r="N13050" t="s">
        <v>30</v>
      </c>
    </row>
    <row r="13051" spans="1:14" x14ac:dyDescent="0.25">
      <c r="A13051" t="s">
        <v>44</v>
      </c>
      <c r="B13051" t="s">
        <v>40</v>
      </c>
      <c r="C13051" t="s">
        <v>38</v>
      </c>
      <c r="D13051" t="s">
        <v>31</v>
      </c>
      <c r="E13051" t="s">
        <v>26</v>
      </c>
      <c r="F13051" t="s">
        <v>20</v>
      </c>
      <c r="G13051" s="1" t="str">
        <f t="shared" si="2983"/>
        <v>...</v>
      </c>
      <c r="H13051" s="1" t="str">
        <f t="shared" si="2983"/>
        <v>...</v>
      </c>
      <c r="I13051" s="1" t="str">
        <f t="shared" si="2983"/>
        <v>...</v>
      </c>
      <c r="J13051" s="1" t="str">
        <f t="shared" si="2983"/>
        <v>...</v>
      </c>
      <c r="K13051" s="1" t="str">
        <f t="shared" si="2983"/>
        <v>...</v>
      </c>
      <c r="L13051" s="1" t="str">
        <f t="shared" si="2983"/>
        <v>...</v>
      </c>
      <c r="M13051" s="1" t="str">
        <f t="shared" si="2983"/>
        <v>...</v>
      </c>
      <c r="N13051" t="s">
        <v>30</v>
      </c>
    </row>
    <row r="13052" spans="1:14" x14ac:dyDescent="0.25">
      <c r="A13052" t="s">
        <v>44</v>
      </c>
      <c r="B13052" t="s">
        <v>40</v>
      </c>
      <c r="C13052" t="s">
        <v>38</v>
      </c>
      <c r="D13052" t="s">
        <v>32</v>
      </c>
      <c r="E13052" t="s">
        <v>15</v>
      </c>
      <c r="F13052" t="s">
        <v>15</v>
      </c>
      <c r="G13052" s="2">
        <f>VALUE(4235.29)</f>
        <v>4235.29</v>
      </c>
      <c r="H13052" s="1">
        <f>VALUE(2977.36)</f>
        <v>2977.36</v>
      </c>
      <c r="I13052" s="1">
        <f>VALUE(3002)</f>
        <v>3002</v>
      </c>
      <c r="J13052" s="1">
        <f>VALUE(3303)</f>
        <v>3303</v>
      </c>
      <c r="K13052" s="1">
        <f>VALUE(3881)</f>
        <v>3881</v>
      </c>
      <c r="L13052" s="1">
        <f>VALUE(5321)</f>
        <v>5321</v>
      </c>
      <c r="M13052" s="1">
        <f>VALUE(7351)</f>
        <v>7351</v>
      </c>
      <c r="N13052" t="s">
        <v>25</v>
      </c>
    </row>
    <row r="13053" spans="1:14" x14ac:dyDescent="0.25">
      <c r="A13053" t="s">
        <v>44</v>
      </c>
      <c r="B13053" t="s">
        <v>40</v>
      </c>
      <c r="C13053" t="s">
        <v>38</v>
      </c>
      <c r="D13053" t="s">
        <v>32</v>
      </c>
      <c r="E13053" t="s">
        <v>15</v>
      </c>
      <c r="F13053" t="s">
        <v>17</v>
      </c>
      <c r="G13053" s="2">
        <f>VALUE(237.57)</f>
        <v>237.57</v>
      </c>
      <c r="H13053" s="3">
        <f>VALUE(211.08)</f>
        <v>211.08</v>
      </c>
      <c r="I13053" s="1">
        <f>VALUE(4151)</f>
        <v>4151</v>
      </c>
      <c r="J13053" s="1">
        <f>VALUE(5210)</f>
        <v>5210</v>
      </c>
      <c r="K13053" s="1">
        <f>VALUE(7059)</f>
        <v>7059</v>
      </c>
      <c r="L13053" s="7">
        <f>VALUE(9207)</f>
        <v>9207</v>
      </c>
      <c r="M13053" s="8">
        <f>VALUE(16247)</f>
        <v>16247</v>
      </c>
      <c r="N13053" t="s">
        <v>25</v>
      </c>
    </row>
    <row r="13054" spans="1:14" x14ac:dyDescent="0.25">
      <c r="A13054" t="s">
        <v>44</v>
      </c>
      <c r="B13054" t="s">
        <v>40</v>
      </c>
      <c r="C13054" t="s">
        <v>38</v>
      </c>
      <c r="D13054" t="s">
        <v>32</v>
      </c>
      <c r="E13054" t="s">
        <v>15</v>
      </c>
      <c r="F13054" t="s">
        <v>18</v>
      </c>
      <c r="G13054" s="2">
        <f>VALUE(239.8)</f>
        <v>239.8</v>
      </c>
      <c r="H13054" s="3">
        <f>VALUE(210.93)</f>
        <v>210.93</v>
      </c>
      <c r="I13054" s="1">
        <f>VALUE(3403)</f>
        <v>3403</v>
      </c>
      <c r="J13054" s="5">
        <f>VALUE(4465)</f>
        <v>4465</v>
      </c>
      <c r="K13054" s="1">
        <f>VALUE(5784)</f>
        <v>5784</v>
      </c>
      <c r="L13054" s="1">
        <f>VALUE(7423)</f>
        <v>7423</v>
      </c>
      <c r="M13054" s="8">
        <f>VALUE(9512)</f>
        <v>9512</v>
      </c>
      <c r="N13054" t="s">
        <v>25</v>
      </c>
    </row>
    <row r="13055" spans="1:14" x14ac:dyDescent="0.25">
      <c r="A13055" t="s">
        <v>44</v>
      </c>
      <c r="B13055" t="s">
        <v>40</v>
      </c>
      <c r="C13055" t="s">
        <v>38</v>
      </c>
      <c r="D13055" t="s">
        <v>32</v>
      </c>
      <c r="E13055" t="s">
        <v>15</v>
      </c>
      <c r="F13055" t="s">
        <v>19</v>
      </c>
      <c r="G13055" s="2">
        <f>VALUE(235.62)</f>
        <v>235.62</v>
      </c>
      <c r="H13055" s="3">
        <f>VALUE(210.1)</f>
        <v>210.1</v>
      </c>
      <c r="I13055" s="4">
        <f>VALUE(3123)</f>
        <v>3123</v>
      </c>
      <c r="J13055" s="1">
        <f>VALUE(3466)</f>
        <v>3466</v>
      </c>
      <c r="K13055" s="1">
        <f>VALUE(4760)</f>
        <v>4760</v>
      </c>
      <c r="L13055" s="1">
        <f>VALUE(6554)</f>
        <v>6554</v>
      </c>
      <c r="M13055" s="1">
        <f>VALUE(7809)</f>
        <v>7809</v>
      </c>
      <c r="N13055" t="s">
        <v>25</v>
      </c>
    </row>
    <row r="13056" spans="1:14" x14ac:dyDescent="0.25">
      <c r="A13056" t="s">
        <v>44</v>
      </c>
      <c r="B13056" t="s">
        <v>40</v>
      </c>
      <c r="C13056" t="s">
        <v>38</v>
      </c>
      <c r="D13056" t="s">
        <v>32</v>
      </c>
      <c r="E13056" t="s">
        <v>15</v>
      </c>
      <c r="F13056" t="s">
        <v>20</v>
      </c>
      <c r="G13056" s="2">
        <f>VALUE(3522.3)</f>
        <v>3522.3</v>
      </c>
      <c r="H13056" s="1">
        <f>VALUE(2345.25)</f>
        <v>2345.25</v>
      </c>
      <c r="I13056" s="1">
        <f>VALUE(2998)</f>
        <v>2998</v>
      </c>
      <c r="J13056" s="1">
        <f>VALUE(3246)</f>
        <v>3246</v>
      </c>
      <c r="K13056" s="1">
        <f>VALUE(3671)</f>
        <v>3671</v>
      </c>
      <c r="L13056" s="1">
        <f>VALUE(4550)</f>
        <v>4550</v>
      </c>
      <c r="M13056" s="1">
        <f>VALUE(5914)</f>
        <v>5914</v>
      </c>
      <c r="N13056" t="s">
        <v>25</v>
      </c>
    </row>
    <row r="13057" spans="1:14" x14ac:dyDescent="0.25">
      <c r="A13057" t="s">
        <v>44</v>
      </c>
      <c r="B13057" t="s">
        <v>40</v>
      </c>
      <c r="C13057" t="s">
        <v>38</v>
      </c>
      <c r="D13057" t="s">
        <v>32</v>
      </c>
      <c r="E13057" t="s">
        <v>21</v>
      </c>
      <c r="F13057" t="s">
        <v>15</v>
      </c>
      <c r="G13057" s="2">
        <f>VALUE(484.54)</f>
        <v>484.54</v>
      </c>
      <c r="H13057" s="3">
        <f>VALUE(361.18)</f>
        <v>361.18</v>
      </c>
      <c r="I13057" s="4">
        <f>VALUE(3349)</f>
        <v>3349</v>
      </c>
      <c r="J13057" s="5">
        <f>VALUE(4536)</f>
        <v>4536</v>
      </c>
      <c r="K13057" s="6">
        <f>VALUE(7172)</f>
        <v>7172</v>
      </c>
      <c r="L13057" s="7">
        <f>VALUE(8655)</f>
        <v>8655</v>
      </c>
      <c r="M13057" s="8">
        <f>VALUE(13191)</f>
        <v>13191</v>
      </c>
      <c r="N13057" t="s">
        <v>24</v>
      </c>
    </row>
    <row r="13058" spans="1:14" x14ac:dyDescent="0.25">
      <c r="A13058" t="s">
        <v>44</v>
      </c>
      <c r="B13058" t="s">
        <v>40</v>
      </c>
      <c r="C13058" t="s">
        <v>38</v>
      </c>
      <c r="D13058" t="s">
        <v>32</v>
      </c>
      <c r="E13058" t="s">
        <v>21</v>
      </c>
      <c r="F13058" t="s">
        <v>17</v>
      </c>
      <c r="G13058" s="1" t="str">
        <f t="shared" ref="G13058:M13060" si="2984">"X"</f>
        <v>X</v>
      </c>
      <c r="H13058" s="1" t="str">
        <f t="shared" si="2984"/>
        <v>X</v>
      </c>
      <c r="I13058" s="1" t="str">
        <f t="shared" si="2984"/>
        <v>X</v>
      </c>
      <c r="J13058" s="1" t="str">
        <f t="shared" si="2984"/>
        <v>X</v>
      </c>
      <c r="K13058" s="1" t="str">
        <f t="shared" si="2984"/>
        <v>X</v>
      </c>
      <c r="L13058" s="1" t="str">
        <f t="shared" si="2984"/>
        <v>X</v>
      </c>
      <c r="M13058" s="1" t="str">
        <f t="shared" si="2984"/>
        <v>X</v>
      </c>
      <c r="N13058" t="s">
        <v>27</v>
      </c>
    </row>
    <row r="13059" spans="1:14" x14ac:dyDescent="0.25">
      <c r="A13059" t="s">
        <v>44</v>
      </c>
      <c r="B13059" t="s">
        <v>40</v>
      </c>
      <c r="C13059" t="s">
        <v>38</v>
      </c>
      <c r="D13059" t="s">
        <v>32</v>
      </c>
      <c r="E13059" t="s">
        <v>21</v>
      </c>
      <c r="F13059" t="s">
        <v>18</v>
      </c>
      <c r="G13059" s="1" t="str">
        <f t="shared" si="2984"/>
        <v>X</v>
      </c>
      <c r="H13059" s="1" t="str">
        <f t="shared" si="2984"/>
        <v>X</v>
      </c>
      <c r="I13059" s="1" t="str">
        <f t="shared" si="2984"/>
        <v>X</v>
      </c>
      <c r="J13059" s="1" t="str">
        <f t="shared" si="2984"/>
        <v>X</v>
      </c>
      <c r="K13059" s="1" t="str">
        <f t="shared" si="2984"/>
        <v>X</v>
      </c>
      <c r="L13059" s="1" t="str">
        <f t="shared" si="2984"/>
        <v>X</v>
      </c>
      <c r="M13059" s="1" t="str">
        <f t="shared" si="2984"/>
        <v>X</v>
      </c>
      <c r="N13059" t="s">
        <v>27</v>
      </c>
    </row>
    <row r="13060" spans="1:14" x14ac:dyDescent="0.25">
      <c r="A13060" t="s">
        <v>44</v>
      </c>
      <c r="B13060" t="s">
        <v>40</v>
      </c>
      <c r="C13060" t="s">
        <v>38</v>
      </c>
      <c r="D13060" t="s">
        <v>32</v>
      </c>
      <c r="E13060" t="s">
        <v>21</v>
      </c>
      <c r="F13060" t="s">
        <v>19</v>
      </c>
      <c r="G13060" s="1" t="str">
        <f t="shared" si="2984"/>
        <v>X</v>
      </c>
      <c r="H13060" s="1" t="str">
        <f t="shared" si="2984"/>
        <v>X</v>
      </c>
      <c r="I13060" s="1" t="str">
        <f t="shared" si="2984"/>
        <v>X</v>
      </c>
      <c r="J13060" s="1" t="str">
        <f t="shared" si="2984"/>
        <v>X</v>
      </c>
      <c r="K13060" s="1" t="str">
        <f t="shared" si="2984"/>
        <v>X</v>
      </c>
      <c r="L13060" s="1" t="str">
        <f t="shared" si="2984"/>
        <v>X</v>
      </c>
      <c r="M13060" s="1" t="str">
        <f t="shared" si="2984"/>
        <v>X</v>
      </c>
      <c r="N13060" t="s">
        <v>27</v>
      </c>
    </row>
    <row r="13061" spans="1:14" x14ac:dyDescent="0.25">
      <c r="A13061" t="s">
        <v>44</v>
      </c>
      <c r="B13061" t="s">
        <v>40</v>
      </c>
      <c r="C13061" t="s">
        <v>38</v>
      </c>
      <c r="D13061" t="s">
        <v>32</v>
      </c>
      <c r="E13061" t="s">
        <v>21</v>
      </c>
      <c r="F13061" t="s">
        <v>20</v>
      </c>
      <c r="G13061" s="2">
        <f>VALUE(239.99)</f>
        <v>239.99</v>
      </c>
      <c r="H13061" s="3">
        <f>VALUE(150.47)</f>
        <v>150.47</v>
      </c>
      <c r="I13061" s="4">
        <f>VALUE(1078)</f>
        <v>1078</v>
      </c>
      <c r="J13061" s="5">
        <f>VALUE(4165)</f>
        <v>4165</v>
      </c>
      <c r="K13061" s="6">
        <f>VALUE(5812)</f>
        <v>5812</v>
      </c>
      <c r="L13061" s="1">
        <f>VALUE(8066)</f>
        <v>8066</v>
      </c>
      <c r="M13061" s="8">
        <f>VALUE(12133)</f>
        <v>12133</v>
      </c>
      <c r="N13061" t="s">
        <v>25</v>
      </c>
    </row>
    <row r="13062" spans="1:14" x14ac:dyDescent="0.25">
      <c r="A13062" t="s">
        <v>44</v>
      </c>
      <c r="B13062" t="s">
        <v>40</v>
      </c>
      <c r="C13062" t="s">
        <v>38</v>
      </c>
      <c r="D13062" t="s">
        <v>32</v>
      </c>
      <c r="E13062" t="s">
        <v>22</v>
      </c>
      <c r="F13062" t="s">
        <v>15</v>
      </c>
      <c r="G13062" s="2">
        <f>VALUE(854.53)</f>
        <v>854.53</v>
      </c>
      <c r="H13062" s="3">
        <f>VALUE(690.93)</f>
        <v>690.93</v>
      </c>
      <c r="I13062" s="1">
        <f>VALUE(3488)</f>
        <v>3488</v>
      </c>
      <c r="J13062" s="1">
        <f>VALUE(4521)</f>
        <v>4521</v>
      </c>
      <c r="K13062" s="1">
        <f>VALUE(5591)</f>
        <v>5591</v>
      </c>
      <c r="L13062" s="1">
        <f>VALUE(7040)</f>
        <v>7040</v>
      </c>
      <c r="M13062" s="1">
        <f>VALUE(7905)</f>
        <v>7905</v>
      </c>
      <c r="N13062" t="s">
        <v>25</v>
      </c>
    </row>
    <row r="13063" spans="1:14" x14ac:dyDescent="0.25">
      <c r="A13063" t="s">
        <v>44</v>
      </c>
      <c r="B13063" t="s">
        <v>40</v>
      </c>
      <c r="C13063" t="s">
        <v>38</v>
      </c>
      <c r="D13063" t="s">
        <v>32</v>
      </c>
      <c r="E13063" t="s">
        <v>22</v>
      </c>
      <c r="F13063" t="s">
        <v>17</v>
      </c>
      <c r="G13063" s="1" t="str">
        <f t="shared" ref="G13063:M13065" si="2985">"X"</f>
        <v>X</v>
      </c>
      <c r="H13063" s="1" t="str">
        <f t="shared" si="2985"/>
        <v>X</v>
      </c>
      <c r="I13063" s="1" t="str">
        <f t="shared" si="2985"/>
        <v>X</v>
      </c>
      <c r="J13063" s="1" t="str">
        <f t="shared" si="2985"/>
        <v>X</v>
      </c>
      <c r="K13063" s="1" t="str">
        <f t="shared" si="2985"/>
        <v>X</v>
      </c>
      <c r="L13063" s="1" t="str">
        <f t="shared" si="2985"/>
        <v>X</v>
      </c>
      <c r="M13063" s="1" t="str">
        <f t="shared" si="2985"/>
        <v>X</v>
      </c>
      <c r="N13063" t="s">
        <v>27</v>
      </c>
    </row>
    <row r="13064" spans="1:14" x14ac:dyDescent="0.25">
      <c r="A13064" t="s">
        <v>44</v>
      </c>
      <c r="B13064" t="s">
        <v>40</v>
      </c>
      <c r="C13064" t="s">
        <v>38</v>
      </c>
      <c r="D13064" t="s">
        <v>32</v>
      </c>
      <c r="E13064" t="s">
        <v>22</v>
      </c>
      <c r="F13064" t="s">
        <v>18</v>
      </c>
      <c r="G13064" s="1" t="str">
        <f t="shared" si="2985"/>
        <v>X</v>
      </c>
      <c r="H13064" s="1" t="str">
        <f t="shared" si="2985"/>
        <v>X</v>
      </c>
      <c r="I13064" s="1" t="str">
        <f t="shared" si="2985"/>
        <v>X</v>
      </c>
      <c r="J13064" s="1" t="str">
        <f t="shared" si="2985"/>
        <v>X</v>
      </c>
      <c r="K13064" s="1" t="str">
        <f t="shared" si="2985"/>
        <v>X</v>
      </c>
      <c r="L13064" s="1" t="str">
        <f t="shared" si="2985"/>
        <v>X</v>
      </c>
      <c r="M13064" s="1" t="str">
        <f t="shared" si="2985"/>
        <v>X</v>
      </c>
      <c r="N13064" t="s">
        <v>27</v>
      </c>
    </row>
    <row r="13065" spans="1:14" x14ac:dyDescent="0.25">
      <c r="A13065" t="s">
        <v>44</v>
      </c>
      <c r="B13065" t="s">
        <v>40</v>
      </c>
      <c r="C13065" t="s">
        <v>38</v>
      </c>
      <c r="D13065" t="s">
        <v>32</v>
      </c>
      <c r="E13065" t="s">
        <v>22</v>
      </c>
      <c r="F13065" t="s">
        <v>19</v>
      </c>
      <c r="G13065" s="1" t="str">
        <f t="shared" si="2985"/>
        <v>X</v>
      </c>
      <c r="H13065" s="1" t="str">
        <f t="shared" si="2985"/>
        <v>X</v>
      </c>
      <c r="I13065" s="1" t="str">
        <f t="shared" si="2985"/>
        <v>X</v>
      </c>
      <c r="J13065" s="1" t="str">
        <f t="shared" si="2985"/>
        <v>X</v>
      </c>
      <c r="K13065" s="1" t="str">
        <f t="shared" si="2985"/>
        <v>X</v>
      </c>
      <c r="L13065" s="1" t="str">
        <f t="shared" si="2985"/>
        <v>X</v>
      </c>
      <c r="M13065" s="1" t="str">
        <f t="shared" si="2985"/>
        <v>X</v>
      </c>
      <c r="N13065" t="s">
        <v>27</v>
      </c>
    </row>
    <row r="13066" spans="1:14" x14ac:dyDescent="0.25">
      <c r="A13066" t="s">
        <v>44</v>
      </c>
      <c r="B13066" t="s">
        <v>40</v>
      </c>
      <c r="C13066" t="s">
        <v>38</v>
      </c>
      <c r="D13066" t="s">
        <v>32</v>
      </c>
      <c r="E13066" t="s">
        <v>22</v>
      </c>
      <c r="F13066" t="s">
        <v>20</v>
      </c>
      <c r="G13066" s="2">
        <f>VALUE(553.6)</f>
        <v>553.6</v>
      </c>
      <c r="H13066" s="3">
        <f>VALUE(423.66)</f>
        <v>423.66</v>
      </c>
      <c r="I13066" s="1">
        <f>VALUE(3353)</f>
        <v>3353</v>
      </c>
      <c r="J13066" s="1">
        <f>VALUE(4397)</f>
        <v>4397</v>
      </c>
      <c r="K13066" s="1">
        <f>VALUE(5411)</f>
        <v>5411</v>
      </c>
      <c r="L13066" s="1">
        <f>VALUE(6100)</f>
        <v>6100</v>
      </c>
      <c r="M13066" s="1">
        <f>VALUE(7737)</f>
        <v>7737</v>
      </c>
      <c r="N13066" t="s">
        <v>25</v>
      </c>
    </row>
    <row r="13067" spans="1:14" x14ac:dyDescent="0.25">
      <c r="A13067" t="s">
        <v>44</v>
      </c>
      <c r="B13067" t="s">
        <v>40</v>
      </c>
      <c r="C13067" t="s">
        <v>38</v>
      </c>
      <c r="D13067" t="s">
        <v>32</v>
      </c>
      <c r="E13067" t="s">
        <v>23</v>
      </c>
      <c r="F13067" t="s">
        <v>15</v>
      </c>
      <c r="G13067" s="2">
        <f>VALUE(2886.54)</f>
        <v>2886.54</v>
      </c>
      <c r="H13067" s="3">
        <f>VALUE(1915.74)</f>
        <v>1915.74</v>
      </c>
      <c r="I13067" s="1">
        <f>VALUE(2988)</f>
        <v>2988</v>
      </c>
      <c r="J13067" s="1">
        <f>VALUE(3182)</f>
        <v>3182</v>
      </c>
      <c r="K13067" s="1">
        <f>VALUE(3578)</f>
        <v>3578</v>
      </c>
      <c r="L13067" s="1">
        <f>VALUE(4090)</f>
        <v>4090</v>
      </c>
      <c r="M13067" s="1">
        <f>VALUE(4597)</f>
        <v>4597</v>
      </c>
      <c r="N13067" t="s">
        <v>25</v>
      </c>
    </row>
    <row r="13068" spans="1:14" x14ac:dyDescent="0.25">
      <c r="A13068" t="s">
        <v>44</v>
      </c>
      <c r="B13068" t="s">
        <v>40</v>
      </c>
      <c r="C13068" t="s">
        <v>38</v>
      </c>
      <c r="D13068" t="s">
        <v>32</v>
      </c>
      <c r="E13068" t="s">
        <v>23</v>
      </c>
      <c r="F13068" t="s">
        <v>17</v>
      </c>
      <c r="G13068" s="1" t="str">
        <f t="shared" ref="G13068:M13070" si="2986">"X"</f>
        <v>X</v>
      </c>
      <c r="H13068" s="1" t="str">
        <f t="shared" si="2986"/>
        <v>X</v>
      </c>
      <c r="I13068" s="1" t="str">
        <f t="shared" si="2986"/>
        <v>X</v>
      </c>
      <c r="J13068" s="1" t="str">
        <f t="shared" si="2986"/>
        <v>X</v>
      </c>
      <c r="K13068" s="1" t="str">
        <f t="shared" si="2986"/>
        <v>X</v>
      </c>
      <c r="L13068" s="1" t="str">
        <f t="shared" si="2986"/>
        <v>X</v>
      </c>
      <c r="M13068" s="1" t="str">
        <f t="shared" si="2986"/>
        <v>X</v>
      </c>
      <c r="N13068" t="s">
        <v>27</v>
      </c>
    </row>
    <row r="13069" spans="1:14" x14ac:dyDescent="0.25">
      <c r="A13069" t="s">
        <v>44</v>
      </c>
      <c r="B13069" t="s">
        <v>40</v>
      </c>
      <c r="C13069" t="s">
        <v>38</v>
      </c>
      <c r="D13069" t="s">
        <v>32</v>
      </c>
      <c r="E13069" t="s">
        <v>23</v>
      </c>
      <c r="F13069" t="s">
        <v>18</v>
      </c>
      <c r="G13069" s="1" t="str">
        <f t="shared" si="2986"/>
        <v>X</v>
      </c>
      <c r="H13069" s="1" t="str">
        <f t="shared" si="2986"/>
        <v>X</v>
      </c>
      <c r="I13069" s="1" t="str">
        <f t="shared" si="2986"/>
        <v>X</v>
      </c>
      <c r="J13069" s="1" t="str">
        <f t="shared" si="2986"/>
        <v>X</v>
      </c>
      <c r="K13069" s="1" t="str">
        <f t="shared" si="2986"/>
        <v>X</v>
      </c>
      <c r="L13069" s="1" t="str">
        <f t="shared" si="2986"/>
        <v>X</v>
      </c>
      <c r="M13069" s="1" t="str">
        <f t="shared" si="2986"/>
        <v>X</v>
      </c>
      <c r="N13069" t="s">
        <v>27</v>
      </c>
    </row>
    <row r="13070" spans="1:14" x14ac:dyDescent="0.25">
      <c r="A13070" t="s">
        <v>44</v>
      </c>
      <c r="B13070" t="s">
        <v>40</v>
      </c>
      <c r="C13070" t="s">
        <v>38</v>
      </c>
      <c r="D13070" t="s">
        <v>32</v>
      </c>
      <c r="E13070" t="s">
        <v>23</v>
      </c>
      <c r="F13070" t="s">
        <v>19</v>
      </c>
      <c r="G13070" s="1" t="str">
        <f t="shared" si="2986"/>
        <v>X</v>
      </c>
      <c r="H13070" s="1" t="str">
        <f t="shared" si="2986"/>
        <v>X</v>
      </c>
      <c r="I13070" s="1" t="str">
        <f t="shared" si="2986"/>
        <v>X</v>
      </c>
      <c r="J13070" s="1" t="str">
        <f t="shared" si="2986"/>
        <v>X</v>
      </c>
      <c r="K13070" s="1" t="str">
        <f t="shared" si="2986"/>
        <v>X</v>
      </c>
      <c r="L13070" s="1" t="str">
        <f t="shared" si="2986"/>
        <v>X</v>
      </c>
      <c r="M13070" s="1" t="str">
        <f t="shared" si="2986"/>
        <v>X</v>
      </c>
      <c r="N13070" t="s">
        <v>27</v>
      </c>
    </row>
    <row r="13071" spans="1:14" x14ac:dyDescent="0.25">
      <c r="A13071" t="s">
        <v>44</v>
      </c>
      <c r="B13071" t="s">
        <v>40</v>
      </c>
      <c r="C13071" t="s">
        <v>38</v>
      </c>
      <c r="D13071" t="s">
        <v>32</v>
      </c>
      <c r="E13071" t="s">
        <v>23</v>
      </c>
      <c r="F13071" t="s">
        <v>20</v>
      </c>
      <c r="G13071" s="2">
        <f>VALUE(2719.03)</f>
        <v>2719.03</v>
      </c>
      <c r="H13071" s="3">
        <f>VALUE(1761.61)</f>
        <v>1761.61</v>
      </c>
      <c r="I13071" s="1">
        <f>VALUE(2981)</f>
        <v>2981</v>
      </c>
      <c r="J13071" s="1">
        <f>VALUE(3171)</f>
        <v>3171</v>
      </c>
      <c r="K13071" s="1">
        <f>VALUE(3562)</f>
        <v>3562</v>
      </c>
      <c r="L13071" s="1">
        <f>VALUE(3987)</f>
        <v>3987</v>
      </c>
      <c r="M13071" s="1">
        <f>VALUE(4589)</f>
        <v>4589</v>
      </c>
      <c r="N13071" t="s">
        <v>25</v>
      </c>
    </row>
    <row r="13072" spans="1:14" x14ac:dyDescent="0.25">
      <c r="A13072" t="s">
        <v>44</v>
      </c>
      <c r="B13072" t="s">
        <v>40</v>
      </c>
      <c r="C13072" t="s">
        <v>38</v>
      </c>
      <c r="D13072" t="s">
        <v>32</v>
      </c>
      <c r="E13072" t="s">
        <v>26</v>
      </c>
      <c r="F13072" t="s">
        <v>15</v>
      </c>
      <c r="G13072" s="1" t="str">
        <f t="shared" ref="G13072:M13072" si="2987">"X"</f>
        <v>X</v>
      </c>
      <c r="H13072" s="1" t="str">
        <f t="shared" si="2987"/>
        <v>X</v>
      </c>
      <c r="I13072" s="1" t="str">
        <f t="shared" si="2987"/>
        <v>X</v>
      </c>
      <c r="J13072" s="1" t="str">
        <f t="shared" si="2987"/>
        <v>X</v>
      </c>
      <c r="K13072" s="1" t="str">
        <f t="shared" si="2987"/>
        <v>X</v>
      </c>
      <c r="L13072" s="1" t="str">
        <f t="shared" si="2987"/>
        <v>X</v>
      </c>
      <c r="M13072" s="1" t="str">
        <f t="shared" si="2987"/>
        <v>X</v>
      </c>
      <c r="N13072" t="s">
        <v>27</v>
      </c>
    </row>
    <row r="13073" spans="1:14" x14ac:dyDescent="0.25">
      <c r="A13073" t="s">
        <v>44</v>
      </c>
      <c r="B13073" t="s">
        <v>40</v>
      </c>
      <c r="C13073" t="s">
        <v>38</v>
      </c>
      <c r="D13073" t="s">
        <v>32</v>
      </c>
      <c r="E13073" t="s">
        <v>26</v>
      </c>
      <c r="F13073" t="s">
        <v>17</v>
      </c>
      <c r="G13073" s="1" t="str">
        <f t="shared" ref="G13073:M13075" si="2988">"..."</f>
        <v>...</v>
      </c>
      <c r="H13073" s="1" t="str">
        <f t="shared" si="2988"/>
        <v>...</v>
      </c>
      <c r="I13073" s="1" t="str">
        <f t="shared" si="2988"/>
        <v>...</v>
      </c>
      <c r="J13073" s="1" t="str">
        <f t="shared" si="2988"/>
        <v>...</v>
      </c>
      <c r="K13073" s="1" t="str">
        <f t="shared" si="2988"/>
        <v>...</v>
      </c>
      <c r="L13073" s="1" t="str">
        <f t="shared" si="2988"/>
        <v>...</v>
      </c>
      <c r="M13073" s="1" t="str">
        <f t="shared" si="2988"/>
        <v>...</v>
      </c>
      <c r="N13073" t="s">
        <v>30</v>
      </c>
    </row>
    <row r="13074" spans="1:14" x14ac:dyDescent="0.25">
      <c r="A13074" t="s">
        <v>44</v>
      </c>
      <c r="B13074" t="s">
        <v>40</v>
      </c>
      <c r="C13074" t="s">
        <v>38</v>
      </c>
      <c r="D13074" t="s">
        <v>32</v>
      </c>
      <c r="E13074" t="s">
        <v>26</v>
      </c>
      <c r="F13074" t="s">
        <v>18</v>
      </c>
      <c r="G13074" s="1" t="str">
        <f t="shared" si="2988"/>
        <v>...</v>
      </c>
      <c r="H13074" s="1" t="str">
        <f t="shared" si="2988"/>
        <v>...</v>
      </c>
      <c r="I13074" s="1" t="str">
        <f t="shared" si="2988"/>
        <v>...</v>
      </c>
      <c r="J13074" s="1" t="str">
        <f t="shared" si="2988"/>
        <v>...</v>
      </c>
      <c r="K13074" s="1" t="str">
        <f t="shared" si="2988"/>
        <v>...</v>
      </c>
      <c r="L13074" s="1" t="str">
        <f t="shared" si="2988"/>
        <v>...</v>
      </c>
      <c r="M13074" s="1" t="str">
        <f t="shared" si="2988"/>
        <v>...</v>
      </c>
      <c r="N13074" t="s">
        <v>30</v>
      </c>
    </row>
    <row r="13075" spans="1:14" x14ac:dyDescent="0.25">
      <c r="A13075" t="s">
        <v>44</v>
      </c>
      <c r="B13075" t="s">
        <v>40</v>
      </c>
      <c r="C13075" t="s">
        <v>38</v>
      </c>
      <c r="D13075" t="s">
        <v>32</v>
      </c>
      <c r="E13075" t="s">
        <v>26</v>
      </c>
      <c r="F13075" t="s">
        <v>19</v>
      </c>
      <c r="G13075" s="1" t="str">
        <f t="shared" si="2988"/>
        <v>...</v>
      </c>
      <c r="H13075" s="1" t="str">
        <f t="shared" si="2988"/>
        <v>...</v>
      </c>
      <c r="I13075" s="1" t="str">
        <f t="shared" si="2988"/>
        <v>...</v>
      </c>
      <c r="J13075" s="1" t="str">
        <f t="shared" si="2988"/>
        <v>...</v>
      </c>
      <c r="K13075" s="1" t="str">
        <f t="shared" si="2988"/>
        <v>...</v>
      </c>
      <c r="L13075" s="1" t="str">
        <f t="shared" si="2988"/>
        <v>...</v>
      </c>
      <c r="M13075" s="1" t="str">
        <f t="shared" si="2988"/>
        <v>...</v>
      </c>
      <c r="N13075" t="s">
        <v>30</v>
      </c>
    </row>
    <row r="13076" spans="1:14" x14ac:dyDescent="0.25">
      <c r="A13076" t="s">
        <v>44</v>
      </c>
      <c r="B13076" t="s">
        <v>40</v>
      </c>
      <c r="C13076" t="s">
        <v>38</v>
      </c>
      <c r="D13076" t="s">
        <v>32</v>
      </c>
      <c r="E13076" t="s">
        <v>26</v>
      </c>
      <c r="F13076" t="s">
        <v>20</v>
      </c>
      <c r="G13076" s="1" t="str">
        <f t="shared" ref="G13076:M13079" si="2989">"X"</f>
        <v>X</v>
      </c>
      <c r="H13076" s="1" t="str">
        <f t="shared" si="2989"/>
        <v>X</v>
      </c>
      <c r="I13076" s="1" t="str">
        <f t="shared" si="2989"/>
        <v>X</v>
      </c>
      <c r="J13076" s="1" t="str">
        <f t="shared" si="2989"/>
        <v>X</v>
      </c>
      <c r="K13076" s="1" t="str">
        <f t="shared" si="2989"/>
        <v>X</v>
      </c>
      <c r="L13076" s="1" t="str">
        <f t="shared" si="2989"/>
        <v>X</v>
      </c>
      <c r="M13076" s="1" t="str">
        <f t="shared" si="2989"/>
        <v>X</v>
      </c>
      <c r="N13076" t="s">
        <v>27</v>
      </c>
    </row>
    <row r="13077" spans="1:14" x14ac:dyDescent="0.25">
      <c r="A13077" t="s">
        <v>44</v>
      </c>
      <c r="B13077" t="s">
        <v>40</v>
      </c>
      <c r="C13077" t="s">
        <v>38</v>
      </c>
      <c r="D13077" t="s">
        <v>33</v>
      </c>
      <c r="E13077" t="s">
        <v>15</v>
      </c>
      <c r="F13077" t="s">
        <v>15</v>
      </c>
      <c r="G13077" s="1" t="str">
        <f t="shared" si="2989"/>
        <v>X</v>
      </c>
      <c r="H13077" s="1" t="str">
        <f t="shared" si="2989"/>
        <v>X</v>
      </c>
      <c r="I13077" s="1" t="str">
        <f t="shared" si="2989"/>
        <v>X</v>
      </c>
      <c r="J13077" s="1" t="str">
        <f t="shared" si="2989"/>
        <v>X</v>
      </c>
      <c r="K13077" s="1" t="str">
        <f t="shared" si="2989"/>
        <v>X</v>
      </c>
      <c r="L13077" s="1" t="str">
        <f t="shared" si="2989"/>
        <v>X</v>
      </c>
      <c r="M13077" s="1" t="str">
        <f t="shared" si="2989"/>
        <v>X</v>
      </c>
      <c r="N13077" t="s">
        <v>27</v>
      </c>
    </row>
    <row r="13078" spans="1:14" x14ac:dyDescent="0.25">
      <c r="A13078" t="s">
        <v>44</v>
      </c>
      <c r="B13078" t="s">
        <v>40</v>
      </c>
      <c r="C13078" t="s">
        <v>38</v>
      </c>
      <c r="D13078" t="s">
        <v>33</v>
      </c>
      <c r="E13078" t="s">
        <v>15</v>
      </c>
      <c r="F13078" t="s">
        <v>17</v>
      </c>
      <c r="G13078" s="1" t="str">
        <f t="shared" si="2989"/>
        <v>X</v>
      </c>
      <c r="H13078" s="1" t="str">
        <f t="shared" si="2989"/>
        <v>X</v>
      </c>
      <c r="I13078" s="1" t="str">
        <f t="shared" si="2989"/>
        <v>X</v>
      </c>
      <c r="J13078" s="1" t="str">
        <f t="shared" si="2989"/>
        <v>X</v>
      </c>
      <c r="K13078" s="1" t="str">
        <f t="shared" si="2989"/>
        <v>X</v>
      </c>
      <c r="L13078" s="1" t="str">
        <f t="shared" si="2989"/>
        <v>X</v>
      </c>
      <c r="M13078" s="1" t="str">
        <f t="shared" si="2989"/>
        <v>X</v>
      </c>
      <c r="N13078" t="s">
        <v>27</v>
      </c>
    </row>
    <row r="13079" spans="1:14" x14ac:dyDescent="0.25">
      <c r="A13079" t="s">
        <v>44</v>
      </c>
      <c r="B13079" t="s">
        <v>40</v>
      </c>
      <c r="C13079" t="s">
        <v>38</v>
      </c>
      <c r="D13079" t="s">
        <v>33</v>
      </c>
      <c r="E13079" t="s">
        <v>15</v>
      </c>
      <c r="F13079" t="s">
        <v>18</v>
      </c>
      <c r="G13079" s="1" t="str">
        <f t="shared" si="2989"/>
        <v>X</v>
      </c>
      <c r="H13079" s="1" t="str">
        <f t="shared" si="2989"/>
        <v>X</v>
      </c>
      <c r="I13079" s="1" t="str">
        <f t="shared" si="2989"/>
        <v>X</v>
      </c>
      <c r="J13079" s="1" t="str">
        <f t="shared" si="2989"/>
        <v>X</v>
      </c>
      <c r="K13079" s="1" t="str">
        <f t="shared" si="2989"/>
        <v>X</v>
      </c>
      <c r="L13079" s="1" t="str">
        <f t="shared" si="2989"/>
        <v>X</v>
      </c>
      <c r="M13079" s="1" t="str">
        <f t="shared" si="2989"/>
        <v>X</v>
      </c>
      <c r="N13079" t="s">
        <v>27</v>
      </c>
    </row>
    <row r="13080" spans="1:14" x14ac:dyDescent="0.25">
      <c r="A13080" t="s">
        <v>44</v>
      </c>
      <c r="B13080" t="s">
        <v>40</v>
      </c>
      <c r="C13080" t="s">
        <v>38</v>
      </c>
      <c r="D13080" t="s">
        <v>33</v>
      </c>
      <c r="E13080" t="s">
        <v>15</v>
      </c>
      <c r="F13080" t="s">
        <v>19</v>
      </c>
      <c r="G13080" s="1" t="str">
        <f t="shared" ref="G13080:M13080" si="2990">"..."</f>
        <v>...</v>
      </c>
      <c r="H13080" s="1" t="str">
        <f t="shared" si="2990"/>
        <v>...</v>
      </c>
      <c r="I13080" s="1" t="str">
        <f t="shared" si="2990"/>
        <v>...</v>
      </c>
      <c r="J13080" s="1" t="str">
        <f t="shared" si="2990"/>
        <v>...</v>
      </c>
      <c r="K13080" s="1" t="str">
        <f t="shared" si="2990"/>
        <v>...</v>
      </c>
      <c r="L13080" s="1" t="str">
        <f t="shared" si="2990"/>
        <v>...</v>
      </c>
      <c r="M13080" s="1" t="str">
        <f t="shared" si="2990"/>
        <v>...</v>
      </c>
      <c r="N13080" t="s">
        <v>30</v>
      </c>
    </row>
    <row r="13081" spans="1:14" x14ac:dyDescent="0.25">
      <c r="A13081" t="s">
        <v>44</v>
      </c>
      <c r="B13081" t="s">
        <v>40</v>
      </c>
      <c r="C13081" t="s">
        <v>38</v>
      </c>
      <c r="D13081" t="s">
        <v>33</v>
      </c>
      <c r="E13081" t="s">
        <v>15</v>
      </c>
      <c r="F13081" t="s">
        <v>20</v>
      </c>
      <c r="G13081" s="1" t="str">
        <f t="shared" ref="G13081:M13083" si="2991">"X"</f>
        <v>X</v>
      </c>
      <c r="H13081" s="1" t="str">
        <f t="shared" si="2991"/>
        <v>X</v>
      </c>
      <c r="I13081" s="1" t="str">
        <f t="shared" si="2991"/>
        <v>X</v>
      </c>
      <c r="J13081" s="1" t="str">
        <f t="shared" si="2991"/>
        <v>X</v>
      </c>
      <c r="K13081" s="1" t="str">
        <f t="shared" si="2991"/>
        <v>X</v>
      </c>
      <c r="L13081" s="1" t="str">
        <f t="shared" si="2991"/>
        <v>X</v>
      </c>
      <c r="M13081" s="1" t="str">
        <f t="shared" si="2991"/>
        <v>X</v>
      </c>
      <c r="N13081" t="s">
        <v>27</v>
      </c>
    </row>
    <row r="13082" spans="1:14" x14ac:dyDescent="0.25">
      <c r="A13082" t="s">
        <v>44</v>
      </c>
      <c r="B13082" t="s">
        <v>40</v>
      </c>
      <c r="C13082" t="s">
        <v>38</v>
      </c>
      <c r="D13082" t="s">
        <v>33</v>
      </c>
      <c r="E13082" t="s">
        <v>21</v>
      </c>
      <c r="F13082" t="s">
        <v>15</v>
      </c>
      <c r="G13082" s="1" t="str">
        <f t="shared" si="2991"/>
        <v>X</v>
      </c>
      <c r="H13082" s="1" t="str">
        <f t="shared" si="2991"/>
        <v>X</v>
      </c>
      <c r="I13082" s="1" t="str">
        <f t="shared" si="2991"/>
        <v>X</v>
      </c>
      <c r="J13082" s="1" t="str">
        <f t="shared" si="2991"/>
        <v>X</v>
      </c>
      <c r="K13082" s="1" t="str">
        <f t="shared" si="2991"/>
        <v>X</v>
      </c>
      <c r="L13082" s="1" t="str">
        <f t="shared" si="2991"/>
        <v>X</v>
      </c>
      <c r="M13082" s="1" t="str">
        <f t="shared" si="2991"/>
        <v>X</v>
      </c>
      <c r="N13082" t="s">
        <v>27</v>
      </c>
    </row>
    <row r="13083" spans="1:14" x14ac:dyDescent="0.25">
      <c r="A13083" t="s">
        <v>44</v>
      </c>
      <c r="B13083" t="s">
        <v>40</v>
      </c>
      <c r="C13083" t="s">
        <v>38</v>
      </c>
      <c r="D13083" t="s">
        <v>33</v>
      </c>
      <c r="E13083" t="s">
        <v>21</v>
      </c>
      <c r="F13083" t="s">
        <v>17</v>
      </c>
      <c r="G13083" s="1" t="str">
        <f t="shared" si="2991"/>
        <v>X</v>
      </c>
      <c r="H13083" s="1" t="str">
        <f t="shared" si="2991"/>
        <v>X</v>
      </c>
      <c r="I13083" s="1" t="str">
        <f t="shared" si="2991"/>
        <v>X</v>
      </c>
      <c r="J13083" s="1" t="str">
        <f t="shared" si="2991"/>
        <v>X</v>
      </c>
      <c r="K13083" s="1" t="str">
        <f t="shared" si="2991"/>
        <v>X</v>
      </c>
      <c r="L13083" s="1" t="str">
        <f t="shared" si="2991"/>
        <v>X</v>
      </c>
      <c r="M13083" s="1" t="str">
        <f t="shared" si="2991"/>
        <v>X</v>
      </c>
      <c r="N13083" t="s">
        <v>27</v>
      </c>
    </row>
    <row r="13084" spans="1:14" x14ac:dyDescent="0.25">
      <c r="A13084" t="s">
        <v>44</v>
      </c>
      <c r="B13084" t="s">
        <v>40</v>
      </c>
      <c r="C13084" t="s">
        <v>38</v>
      </c>
      <c r="D13084" t="s">
        <v>33</v>
      </c>
      <c r="E13084" t="s">
        <v>21</v>
      </c>
      <c r="F13084" t="s">
        <v>18</v>
      </c>
      <c r="G13084" s="1" t="str">
        <f t="shared" ref="G13084:M13085" si="2992">"..."</f>
        <v>...</v>
      </c>
      <c r="H13084" s="1" t="str">
        <f t="shared" si="2992"/>
        <v>...</v>
      </c>
      <c r="I13084" s="1" t="str">
        <f t="shared" si="2992"/>
        <v>...</v>
      </c>
      <c r="J13084" s="1" t="str">
        <f t="shared" si="2992"/>
        <v>...</v>
      </c>
      <c r="K13084" s="1" t="str">
        <f t="shared" si="2992"/>
        <v>...</v>
      </c>
      <c r="L13084" s="1" t="str">
        <f t="shared" si="2992"/>
        <v>...</v>
      </c>
      <c r="M13084" s="1" t="str">
        <f t="shared" si="2992"/>
        <v>...</v>
      </c>
      <c r="N13084" t="s">
        <v>30</v>
      </c>
    </row>
    <row r="13085" spans="1:14" x14ac:dyDescent="0.25">
      <c r="A13085" t="s">
        <v>44</v>
      </c>
      <c r="B13085" t="s">
        <v>40</v>
      </c>
      <c r="C13085" t="s">
        <v>38</v>
      </c>
      <c r="D13085" t="s">
        <v>33</v>
      </c>
      <c r="E13085" t="s">
        <v>21</v>
      </c>
      <c r="F13085" t="s">
        <v>19</v>
      </c>
      <c r="G13085" s="1" t="str">
        <f t="shared" si="2992"/>
        <v>...</v>
      </c>
      <c r="H13085" s="1" t="str">
        <f t="shared" si="2992"/>
        <v>...</v>
      </c>
      <c r="I13085" s="1" t="str">
        <f t="shared" si="2992"/>
        <v>...</v>
      </c>
      <c r="J13085" s="1" t="str">
        <f t="shared" si="2992"/>
        <v>...</v>
      </c>
      <c r="K13085" s="1" t="str">
        <f t="shared" si="2992"/>
        <v>...</v>
      </c>
      <c r="L13085" s="1" t="str">
        <f t="shared" si="2992"/>
        <v>...</v>
      </c>
      <c r="M13085" s="1" t="str">
        <f t="shared" si="2992"/>
        <v>...</v>
      </c>
      <c r="N13085" t="s">
        <v>30</v>
      </c>
    </row>
    <row r="13086" spans="1:14" x14ac:dyDescent="0.25">
      <c r="A13086" t="s">
        <v>44</v>
      </c>
      <c r="B13086" t="s">
        <v>40</v>
      </c>
      <c r="C13086" t="s">
        <v>38</v>
      </c>
      <c r="D13086" t="s">
        <v>33</v>
      </c>
      <c r="E13086" t="s">
        <v>21</v>
      </c>
      <c r="F13086" t="s">
        <v>20</v>
      </c>
      <c r="G13086" s="1" t="str">
        <f t="shared" ref="G13086:M13087" si="2993">"X"</f>
        <v>X</v>
      </c>
      <c r="H13086" s="1" t="str">
        <f t="shared" si="2993"/>
        <v>X</v>
      </c>
      <c r="I13086" s="1" t="str">
        <f t="shared" si="2993"/>
        <v>X</v>
      </c>
      <c r="J13086" s="1" t="str">
        <f t="shared" si="2993"/>
        <v>X</v>
      </c>
      <c r="K13086" s="1" t="str">
        <f t="shared" si="2993"/>
        <v>X</v>
      </c>
      <c r="L13086" s="1" t="str">
        <f t="shared" si="2993"/>
        <v>X</v>
      </c>
      <c r="M13086" s="1" t="str">
        <f t="shared" si="2993"/>
        <v>X</v>
      </c>
      <c r="N13086" t="s">
        <v>27</v>
      </c>
    </row>
    <row r="13087" spans="1:14" x14ac:dyDescent="0.25">
      <c r="A13087" t="s">
        <v>44</v>
      </c>
      <c r="B13087" t="s">
        <v>40</v>
      </c>
      <c r="C13087" t="s">
        <v>38</v>
      </c>
      <c r="D13087" t="s">
        <v>33</v>
      </c>
      <c r="E13087" t="s">
        <v>22</v>
      </c>
      <c r="F13087" t="s">
        <v>15</v>
      </c>
      <c r="G13087" s="1" t="str">
        <f t="shared" si="2993"/>
        <v>X</v>
      </c>
      <c r="H13087" s="1" t="str">
        <f t="shared" si="2993"/>
        <v>X</v>
      </c>
      <c r="I13087" s="1" t="str">
        <f t="shared" si="2993"/>
        <v>X</v>
      </c>
      <c r="J13087" s="1" t="str">
        <f t="shared" si="2993"/>
        <v>X</v>
      </c>
      <c r="K13087" s="1" t="str">
        <f t="shared" si="2993"/>
        <v>X</v>
      </c>
      <c r="L13087" s="1" t="str">
        <f t="shared" si="2993"/>
        <v>X</v>
      </c>
      <c r="M13087" s="1" t="str">
        <f t="shared" si="2993"/>
        <v>X</v>
      </c>
      <c r="N13087" t="s">
        <v>27</v>
      </c>
    </row>
    <row r="13088" spans="1:14" x14ac:dyDescent="0.25">
      <c r="A13088" t="s">
        <v>44</v>
      </c>
      <c r="B13088" t="s">
        <v>40</v>
      </c>
      <c r="C13088" t="s">
        <v>38</v>
      </c>
      <c r="D13088" t="s">
        <v>33</v>
      </c>
      <c r="E13088" t="s">
        <v>22</v>
      </c>
      <c r="F13088" t="s">
        <v>17</v>
      </c>
      <c r="G13088" s="1" t="str">
        <f t="shared" ref="G13088:M13088" si="2994">"..."</f>
        <v>...</v>
      </c>
      <c r="H13088" s="1" t="str">
        <f t="shared" si="2994"/>
        <v>...</v>
      </c>
      <c r="I13088" s="1" t="str">
        <f t="shared" si="2994"/>
        <v>...</v>
      </c>
      <c r="J13088" s="1" t="str">
        <f t="shared" si="2994"/>
        <v>...</v>
      </c>
      <c r="K13088" s="1" t="str">
        <f t="shared" si="2994"/>
        <v>...</v>
      </c>
      <c r="L13088" s="1" t="str">
        <f t="shared" si="2994"/>
        <v>...</v>
      </c>
      <c r="M13088" s="1" t="str">
        <f t="shared" si="2994"/>
        <v>...</v>
      </c>
      <c r="N13088" t="s">
        <v>30</v>
      </c>
    </row>
    <row r="13089" spans="1:14" x14ac:dyDescent="0.25">
      <c r="A13089" t="s">
        <v>44</v>
      </c>
      <c r="B13089" t="s">
        <v>40</v>
      </c>
      <c r="C13089" t="s">
        <v>38</v>
      </c>
      <c r="D13089" t="s">
        <v>33</v>
      </c>
      <c r="E13089" t="s">
        <v>22</v>
      </c>
      <c r="F13089" t="s">
        <v>18</v>
      </c>
      <c r="G13089" s="1" t="str">
        <f t="shared" ref="G13089:M13089" si="2995">"X"</f>
        <v>X</v>
      </c>
      <c r="H13089" s="1" t="str">
        <f t="shared" si="2995"/>
        <v>X</v>
      </c>
      <c r="I13089" s="1" t="str">
        <f t="shared" si="2995"/>
        <v>X</v>
      </c>
      <c r="J13089" s="1" t="str">
        <f t="shared" si="2995"/>
        <v>X</v>
      </c>
      <c r="K13089" s="1" t="str">
        <f t="shared" si="2995"/>
        <v>X</v>
      </c>
      <c r="L13089" s="1" t="str">
        <f t="shared" si="2995"/>
        <v>X</v>
      </c>
      <c r="M13089" s="1" t="str">
        <f t="shared" si="2995"/>
        <v>X</v>
      </c>
      <c r="N13089" t="s">
        <v>27</v>
      </c>
    </row>
    <row r="13090" spans="1:14" x14ac:dyDescent="0.25">
      <c r="A13090" t="s">
        <v>44</v>
      </c>
      <c r="B13090" t="s">
        <v>40</v>
      </c>
      <c r="C13090" t="s">
        <v>38</v>
      </c>
      <c r="D13090" t="s">
        <v>33</v>
      </c>
      <c r="E13090" t="s">
        <v>22</v>
      </c>
      <c r="F13090" t="s">
        <v>19</v>
      </c>
      <c r="G13090" s="1" t="str">
        <f t="shared" ref="G13090:M13090" si="2996">"..."</f>
        <v>...</v>
      </c>
      <c r="H13090" s="1" t="str">
        <f t="shared" si="2996"/>
        <v>...</v>
      </c>
      <c r="I13090" s="1" t="str">
        <f t="shared" si="2996"/>
        <v>...</v>
      </c>
      <c r="J13090" s="1" t="str">
        <f t="shared" si="2996"/>
        <v>...</v>
      </c>
      <c r="K13090" s="1" t="str">
        <f t="shared" si="2996"/>
        <v>...</v>
      </c>
      <c r="L13090" s="1" t="str">
        <f t="shared" si="2996"/>
        <v>...</v>
      </c>
      <c r="M13090" s="1" t="str">
        <f t="shared" si="2996"/>
        <v>...</v>
      </c>
      <c r="N13090" t="s">
        <v>30</v>
      </c>
    </row>
    <row r="13091" spans="1:14" x14ac:dyDescent="0.25">
      <c r="A13091" t="s">
        <v>44</v>
      </c>
      <c r="B13091" t="s">
        <v>40</v>
      </c>
      <c r="C13091" t="s">
        <v>38</v>
      </c>
      <c r="D13091" t="s">
        <v>33</v>
      </c>
      <c r="E13091" t="s">
        <v>22</v>
      </c>
      <c r="F13091" t="s">
        <v>20</v>
      </c>
      <c r="G13091" s="1" t="str">
        <f t="shared" ref="G13091:M13092" si="2997">"X"</f>
        <v>X</v>
      </c>
      <c r="H13091" s="1" t="str">
        <f t="shared" si="2997"/>
        <v>X</v>
      </c>
      <c r="I13091" s="1" t="str">
        <f t="shared" si="2997"/>
        <v>X</v>
      </c>
      <c r="J13091" s="1" t="str">
        <f t="shared" si="2997"/>
        <v>X</v>
      </c>
      <c r="K13091" s="1" t="str">
        <f t="shared" si="2997"/>
        <v>X</v>
      </c>
      <c r="L13091" s="1" t="str">
        <f t="shared" si="2997"/>
        <v>X</v>
      </c>
      <c r="M13091" s="1" t="str">
        <f t="shared" si="2997"/>
        <v>X</v>
      </c>
      <c r="N13091" t="s">
        <v>27</v>
      </c>
    </row>
    <row r="13092" spans="1:14" x14ac:dyDescent="0.25">
      <c r="A13092" t="s">
        <v>44</v>
      </c>
      <c r="B13092" t="s">
        <v>40</v>
      </c>
      <c r="C13092" t="s">
        <v>38</v>
      </c>
      <c r="D13092" t="s">
        <v>33</v>
      </c>
      <c r="E13092" t="s">
        <v>23</v>
      </c>
      <c r="F13092" t="s">
        <v>15</v>
      </c>
      <c r="G13092" s="1" t="str">
        <f t="shared" si="2997"/>
        <v>X</v>
      </c>
      <c r="H13092" s="1" t="str">
        <f t="shared" si="2997"/>
        <v>X</v>
      </c>
      <c r="I13092" s="1" t="str">
        <f t="shared" si="2997"/>
        <v>X</v>
      </c>
      <c r="J13092" s="1" t="str">
        <f t="shared" si="2997"/>
        <v>X</v>
      </c>
      <c r="K13092" s="1" t="str">
        <f t="shared" si="2997"/>
        <v>X</v>
      </c>
      <c r="L13092" s="1" t="str">
        <f t="shared" si="2997"/>
        <v>X</v>
      </c>
      <c r="M13092" s="1" t="str">
        <f t="shared" si="2997"/>
        <v>X</v>
      </c>
      <c r="N13092" t="s">
        <v>27</v>
      </c>
    </row>
    <row r="13093" spans="1:14" x14ac:dyDescent="0.25">
      <c r="A13093" t="s">
        <v>44</v>
      </c>
      <c r="B13093" t="s">
        <v>40</v>
      </c>
      <c r="C13093" t="s">
        <v>38</v>
      </c>
      <c r="D13093" t="s">
        <v>33</v>
      </c>
      <c r="E13093" t="s">
        <v>23</v>
      </c>
      <c r="F13093" t="s">
        <v>17</v>
      </c>
      <c r="G13093" s="1" t="str">
        <f t="shared" ref="G13093:M13095" si="2998">"..."</f>
        <v>...</v>
      </c>
      <c r="H13093" s="1" t="str">
        <f t="shared" si="2998"/>
        <v>...</v>
      </c>
      <c r="I13093" s="1" t="str">
        <f t="shared" si="2998"/>
        <v>...</v>
      </c>
      <c r="J13093" s="1" t="str">
        <f t="shared" si="2998"/>
        <v>...</v>
      </c>
      <c r="K13093" s="1" t="str">
        <f t="shared" si="2998"/>
        <v>...</v>
      </c>
      <c r="L13093" s="1" t="str">
        <f t="shared" si="2998"/>
        <v>...</v>
      </c>
      <c r="M13093" s="1" t="str">
        <f t="shared" si="2998"/>
        <v>...</v>
      </c>
      <c r="N13093" t="s">
        <v>30</v>
      </c>
    </row>
    <row r="13094" spans="1:14" x14ac:dyDescent="0.25">
      <c r="A13094" t="s">
        <v>44</v>
      </c>
      <c r="B13094" t="s">
        <v>40</v>
      </c>
      <c r="C13094" t="s">
        <v>38</v>
      </c>
      <c r="D13094" t="s">
        <v>33</v>
      </c>
      <c r="E13094" t="s">
        <v>23</v>
      </c>
      <c r="F13094" t="s">
        <v>18</v>
      </c>
      <c r="G13094" s="1" t="str">
        <f t="shared" si="2998"/>
        <v>...</v>
      </c>
      <c r="H13094" s="1" t="str">
        <f t="shared" si="2998"/>
        <v>...</v>
      </c>
      <c r="I13094" s="1" t="str">
        <f t="shared" si="2998"/>
        <v>...</v>
      </c>
      <c r="J13094" s="1" t="str">
        <f t="shared" si="2998"/>
        <v>...</v>
      </c>
      <c r="K13094" s="1" t="str">
        <f t="shared" si="2998"/>
        <v>...</v>
      </c>
      <c r="L13094" s="1" t="str">
        <f t="shared" si="2998"/>
        <v>...</v>
      </c>
      <c r="M13094" s="1" t="str">
        <f t="shared" si="2998"/>
        <v>...</v>
      </c>
      <c r="N13094" t="s">
        <v>30</v>
      </c>
    </row>
    <row r="13095" spans="1:14" x14ac:dyDescent="0.25">
      <c r="A13095" t="s">
        <v>44</v>
      </c>
      <c r="B13095" t="s">
        <v>40</v>
      </c>
      <c r="C13095" t="s">
        <v>38</v>
      </c>
      <c r="D13095" t="s">
        <v>33</v>
      </c>
      <c r="E13095" t="s">
        <v>23</v>
      </c>
      <c r="F13095" t="s">
        <v>19</v>
      </c>
      <c r="G13095" s="1" t="str">
        <f t="shared" si="2998"/>
        <v>...</v>
      </c>
      <c r="H13095" s="1" t="str">
        <f t="shared" si="2998"/>
        <v>...</v>
      </c>
      <c r="I13095" s="1" t="str">
        <f t="shared" si="2998"/>
        <v>...</v>
      </c>
      <c r="J13095" s="1" t="str">
        <f t="shared" si="2998"/>
        <v>...</v>
      </c>
      <c r="K13095" s="1" t="str">
        <f t="shared" si="2998"/>
        <v>...</v>
      </c>
      <c r="L13095" s="1" t="str">
        <f t="shared" si="2998"/>
        <v>...</v>
      </c>
      <c r="M13095" s="1" t="str">
        <f t="shared" si="2998"/>
        <v>...</v>
      </c>
      <c r="N13095" t="s">
        <v>30</v>
      </c>
    </row>
    <row r="13096" spans="1:14" x14ac:dyDescent="0.25">
      <c r="A13096" t="s">
        <v>44</v>
      </c>
      <c r="B13096" t="s">
        <v>40</v>
      </c>
      <c r="C13096" t="s">
        <v>38</v>
      </c>
      <c r="D13096" t="s">
        <v>33</v>
      </c>
      <c r="E13096" t="s">
        <v>23</v>
      </c>
      <c r="F13096" t="s">
        <v>20</v>
      </c>
      <c r="G13096" s="1" t="str">
        <f t="shared" ref="G13096:M13096" si="2999">"X"</f>
        <v>X</v>
      </c>
      <c r="H13096" s="1" t="str">
        <f t="shared" si="2999"/>
        <v>X</v>
      </c>
      <c r="I13096" s="1" t="str">
        <f t="shared" si="2999"/>
        <v>X</v>
      </c>
      <c r="J13096" s="1" t="str">
        <f t="shared" si="2999"/>
        <v>X</v>
      </c>
      <c r="K13096" s="1" t="str">
        <f t="shared" si="2999"/>
        <v>X</v>
      </c>
      <c r="L13096" s="1" t="str">
        <f t="shared" si="2999"/>
        <v>X</v>
      </c>
      <c r="M13096" s="1" t="str">
        <f t="shared" si="2999"/>
        <v>X</v>
      </c>
      <c r="N13096" t="s">
        <v>27</v>
      </c>
    </row>
    <row r="13097" spans="1:14" x14ac:dyDescent="0.25">
      <c r="A13097" t="s">
        <v>44</v>
      </c>
      <c r="B13097" t="s">
        <v>40</v>
      </c>
      <c r="C13097" t="s">
        <v>38</v>
      </c>
      <c r="D13097" t="s">
        <v>33</v>
      </c>
      <c r="E13097" t="s">
        <v>26</v>
      </c>
      <c r="F13097" t="s">
        <v>15</v>
      </c>
      <c r="G13097" s="1" t="str">
        <f t="shared" ref="G13097:M13101" si="3000">"..."</f>
        <v>...</v>
      </c>
      <c r="H13097" s="1" t="str">
        <f t="shared" si="3000"/>
        <v>...</v>
      </c>
      <c r="I13097" s="1" t="str">
        <f t="shared" si="3000"/>
        <v>...</v>
      </c>
      <c r="J13097" s="1" t="str">
        <f t="shared" si="3000"/>
        <v>...</v>
      </c>
      <c r="K13097" s="1" t="str">
        <f t="shared" si="3000"/>
        <v>...</v>
      </c>
      <c r="L13097" s="1" t="str">
        <f t="shared" si="3000"/>
        <v>...</v>
      </c>
      <c r="M13097" s="1" t="str">
        <f t="shared" si="3000"/>
        <v>...</v>
      </c>
      <c r="N13097" t="s">
        <v>30</v>
      </c>
    </row>
    <row r="13098" spans="1:14" x14ac:dyDescent="0.25">
      <c r="A13098" t="s">
        <v>44</v>
      </c>
      <c r="B13098" t="s">
        <v>40</v>
      </c>
      <c r="C13098" t="s">
        <v>38</v>
      </c>
      <c r="D13098" t="s">
        <v>33</v>
      </c>
      <c r="E13098" t="s">
        <v>26</v>
      </c>
      <c r="F13098" t="s">
        <v>17</v>
      </c>
      <c r="G13098" s="1" t="str">
        <f t="shared" si="3000"/>
        <v>...</v>
      </c>
      <c r="H13098" s="1" t="str">
        <f t="shared" si="3000"/>
        <v>...</v>
      </c>
      <c r="I13098" s="1" t="str">
        <f t="shared" si="3000"/>
        <v>...</v>
      </c>
      <c r="J13098" s="1" t="str">
        <f t="shared" si="3000"/>
        <v>...</v>
      </c>
      <c r="K13098" s="1" t="str">
        <f t="shared" si="3000"/>
        <v>...</v>
      </c>
      <c r="L13098" s="1" t="str">
        <f t="shared" si="3000"/>
        <v>...</v>
      </c>
      <c r="M13098" s="1" t="str">
        <f t="shared" si="3000"/>
        <v>...</v>
      </c>
      <c r="N13098" t="s">
        <v>30</v>
      </c>
    </row>
    <row r="13099" spans="1:14" x14ac:dyDescent="0.25">
      <c r="A13099" t="s">
        <v>44</v>
      </c>
      <c r="B13099" t="s">
        <v>40</v>
      </c>
      <c r="C13099" t="s">
        <v>38</v>
      </c>
      <c r="D13099" t="s">
        <v>33</v>
      </c>
      <c r="E13099" t="s">
        <v>26</v>
      </c>
      <c r="F13099" t="s">
        <v>18</v>
      </c>
      <c r="G13099" s="1" t="str">
        <f t="shared" si="3000"/>
        <v>...</v>
      </c>
      <c r="H13099" s="1" t="str">
        <f t="shared" si="3000"/>
        <v>...</v>
      </c>
      <c r="I13099" s="1" t="str">
        <f t="shared" si="3000"/>
        <v>...</v>
      </c>
      <c r="J13099" s="1" t="str">
        <f t="shared" si="3000"/>
        <v>...</v>
      </c>
      <c r="K13099" s="1" t="str">
        <f t="shared" si="3000"/>
        <v>...</v>
      </c>
      <c r="L13099" s="1" t="str">
        <f t="shared" si="3000"/>
        <v>...</v>
      </c>
      <c r="M13099" s="1" t="str">
        <f t="shared" si="3000"/>
        <v>...</v>
      </c>
      <c r="N13099" t="s">
        <v>30</v>
      </c>
    </row>
    <row r="13100" spans="1:14" x14ac:dyDescent="0.25">
      <c r="A13100" t="s">
        <v>44</v>
      </c>
      <c r="B13100" t="s">
        <v>40</v>
      </c>
      <c r="C13100" t="s">
        <v>38</v>
      </c>
      <c r="D13100" t="s">
        <v>33</v>
      </c>
      <c r="E13100" t="s">
        <v>26</v>
      </c>
      <c r="F13100" t="s">
        <v>19</v>
      </c>
      <c r="G13100" s="1" t="str">
        <f t="shared" si="3000"/>
        <v>...</v>
      </c>
      <c r="H13100" s="1" t="str">
        <f t="shared" si="3000"/>
        <v>...</v>
      </c>
      <c r="I13100" s="1" t="str">
        <f t="shared" si="3000"/>
        <v>...</v>
      </c>
      <c r="J13100" s="1" t="str">
        <f t="shared" si="3000"/>
        <v>...</v>
      </c>
      <c r="K13100" s="1" t="str">
        <f t="shared" si="3000"/>
        <v>...</v>
      </c>
      <c r="L13100" s="1" t="str">
        <f t="shared" si="3000"/>
        <v>...</v>
      </c>
      <c r="M13100" s="1" t="str">
        <f t="shared" si="3000"/>
        <v>...</v>
      </c>
      <c r="N13100" t="s">
        <v>30</v>
      </c>
    </row>
    <row r="13101" spans="1:14" x14ac:dyDescent="0.25">
      <c r="A13101" t="s">
        <v>44</v>
      </c>
      <c r="B13101" t="s">
        <v>40</v>
      </c>
      <c r="C13101" t="s">
        <v>38</v>
      </c>
      <c r="D13101" t="s">
        <v>33</v>
      </c>
      <c r="E13101" t="s">
        <v>26</v>
      </c>
      <c r="F13101" t="s">
        <v>20</v>
      </c>
      <c r="G13101" s="1" t="str">
        <f t="shared" si="3000"/>
        <v>...</v>
      </c>
      <c r="H13101" s="1" t="str">
        <f t="shared" si="3000"/>
        <v>...</v>
      </c>
      <c r="I13101" s="1" t="str">
        <f t="shared" si="3000"/>
        <v>...</v>
      </c>
      <c r="J13101" s="1" t="str">
        <f t="shared" si="3000"/>
        <v>...</v>
      </c>
      <c r="K13101" s="1" t="str">
        <f t="shared" si="3000"/>
        <v>...</v>
      </c>
      <c r="L13101" s="1" t="str">
        <f t="shared" si="3000"/>
        <v>...</v>
      </c>
      <c r="M13101" s="1" t="str">
        <f t="shared" si="3000"/>
        <v>...</v>
      </c>
      <c r="N13101" t="s">
        <v>30</v>
      </c>
    </row>
    <row r="13102" spans="1:14" x14ac:dyDescent="0.25">
      <c r="A13102" t="s">
        <v>44</v>
      </c>
      <c r="B13102" t="s">
        <v>40</v>
      </c>
      <c r="C13102" t="s">
        <v>38</v>
      </c>
      <c r="D13102" t="s">
        <v>34</v>
      </c>
      <c r="E13102" t="s">
        <v>15</v>
      </c>
      <c r="F13102" t="s">
        <v>15</v>
      </c>
      <c r="G13102" s="1" t="str">
        <f t="shared" ref="G13102:M13102" si="3001">"X"</f>
        <v>X</v>
      </c>
      <c r="H13102" s="1" t="str">
        <f t="shared" si="3001"/>
        <v>X</v>
      </c>
      <c r="I13102" s="1" t="str">
        <f t="shared" si="3001"/>
        <v>X</v>
      </c>
      <c r="J13102" s="1" t="str">
        <f t="shared" si="3001"/>
        <v>X</v>
      </c>
      <c r="K13102" s="1" t="str">
        <f t="shared" si="3001"/>
        <v>X</v>
      </c>
      <c r="L13102" s="1" t="str">
        <f t="shared" si="3001"/>
        <v>X</v>
      </c>
      <c r="M13102" s="1" t="str">
        <f t="shared" si="3001"/>
        <v>X</v>
      </c>
      <c r="N13102" t="s">
        <v>27</v>
      </c>
    </row>
    <row r="13103" spans="1:14" x14ac:dyDescent="0.25">
      <c r="A13103" t="s">
        <v>44</v>
      </c>
      <c r="B13103" t="s">
        <v>40</v>
      </c>
      <c r="C13103" t="s">
        <v>38</v>
      </c>
      <c r="D13103" t="s">
        <v>34</v>
      </c>
      <c r="E13103" t="s">
        <v>15</v>
      </c>
      <c r="F13103" t="s">
        <v>17</v>
      </c>
      <c r="G13103" s="1" t="str">
        <f t="shared" ref="G13103:M13105" si="3002">"..."</f>
        <v>...</v>
      </c>
      <c r="H13103" s="1" t="str">
        <f t="shared" si="3002"/>
        <v>...</v>
      </c>
      <c r="I13103" s="1" t="str">
        <f t="shared" si="3002"/>
        <v>...</v>
      </c>
      <c r="J13103" s="1" t="str">
        <f t="shared" si="3002"/>
        <v>...</v>
      </c>
      <c r="K13103" s="1" t="str">
        <f t="shared" si="3002"/>
        <v>...</v>
      </c>
      <c r="L13103" s="1" t="str">
        <f t="shared" si="3002"/>
        <v>...</v>
      </c>
      <c r="M13103" s="1" t="str">
        <f t="shared" si="3002"/>
        <v>...</v>
      </c>
      <c r="N13103" t="s">
        <v>30</v>
      </c>
    </row>
    <row r="13104" spans="1:14" x14ac:dyDescent="0.25">
      <c r="A13104" t="s">
        <v>44</v>
      </c>
      <c r="B13104" t="s">
        <v>40</v>
      </c>
      <c r="C13104" t="s">
        <v>38</v>
      </c>
      <c r="D13104" t="s">
        <v>34</v>
      </c>
      <c r="E13104" t="s">
        <v>15</v>
      </c>
      <c r="F13104" t="s">
        <v>18</v>
      </c>
      <c r="G13104" s="1" t="str">
        <f t="shared" si="3002"/>
        <v>...</v>
      </c>
      <c r="H13104" s="1" t="str">
        <f t="shared" si="3002"/>
        <v>...</v>
      </c>
      <c r="I13104" s="1" t="str">
        <f t="shared" si="3002"/>
        <v>...</v>
      </c>
      <c r="J13104" s="1" t="str">
        <f t="shared" si="3002"/>
        <v>...</v>
      </c>
      <c r="K13104" s="1" t="str">
        <f t="shared" si="3002"/>
        <v>...</v>
      </c>
      <c r="L13104" s="1" t="str">
        <f t="shared" si="3002"/>
        <v>...</v>
      </c>
      <c r="M13104" s="1" t="str">
        <f t="shared" si="3002"/>
        <v>...</v>
      </c>
      <c r="N13104" t="s">
        <v>30</v>
      </c>
    </row>
    <row r="13105" spans="1:14" x14ac:dyDescent="0.25">
      <c r="A13105" t="s">
        <v>44</v>
      </c>
      <c r="B13105" t="s">
        <v>40</v>
      </c>
      <c r="C13105" t="s">
        <v>38</v>
      </c>
      <c r="D13105" t="s">
        <v>34</v>
      </c>
      <c r="E13105" t="s">
        <v>15</v>
      </c>
      <c r="F13105" t="s">
        <v>19</v>
      </c>
      <c r="G13105" s="1" t="str">
        <f t="shared" si="3002"/>
        <v>...</v>
      </c>
      <c r="H13105" s="1" t="str">
        <f t="shared" si="3002"/>
        <v>...</v>
      </c>
      <c r="I13105" s="1" t="str">
        <f t="shared" si="3002"/>
        <v>...</v>
      </c>
      <c r="J13105" s="1" t="str">
        <f t="shared" si="3002"/>
        <v>...</v>
      </c>
      <c r="K13105" s="1" t="str">
        <f t="shared" si="3002"/>
        <v>...</v>
      </c>
      <c r="L13105" s="1" t="str">
        <f t="shared" si="3002"/>
        <v>...</v>
      </c>
      <c r="M13105" s="1" t="str">
        <f t="shared" si="3002"/>
        <v>...</v>
      </c>
      <c r="N13105" t="s">
        <v>30</v>
      </c>
    </row>
    <row r="13106" spans="1:14" x14ac:dyDescent="0.25">
      <c r="A13106" t="s">
        <v>44</v>
      </c>
      <c r="B13106" t="s">
        <v>40</v>
      </c>
      <c r="C13106" t="s">
        <v>38</v>
      </c>
      <c r="D13106" t="s">
        <v>34</v>
      </c>
      <c r="E13106" t="s">
        <v>15</v>
      </c>
      <c r="F13106" t="s">
        <v>20</v>
      </c>
      <c r="G13106" s="1" t="str">
        <f t="shared" ref="G13106:M13106" si="3003">"X"</f>
        <v>X</v>
      </c>
      <c r="H13106" s="1" t="str">
        <f t="shared" si="3003"/>
        <v>X</v>
      </c>
      <c r="I13106" s="1" t="str">
        <f t="shared" si="3003"/>
        <v>X</v>
      </c>
      <c r="J13106" s="1" t="str">
        <f t="shared" si="3003"/>
        <v>X</v>
      </c>
      <c r="K13106" s="1" t="str">
        <f t="shared" si="3003"/>
        <v>X</v>
      </c>
      <c r="L13106" s="1" t="str">
        <f t="shared" si="3003"/>
        <v>X</v>
      </c>
      <c r="M13106" s="1" t="str">
        <f t="shared" si="3003"/>
        <v>X</v>
      </c>
      <c r="N13106" t="s">
        <v>27</v>
      </c>
    </row>
    <row r="13107" spans="1:14" x14ac:dyDescent="0.25">
      <c r="A13107" t="s">
        <v>44</v>
      </c>
      <c r="B13107" t="s">
        <v>40</v>
      </c>
      <c r="C13107" t="s">
        <v>38</v>
      </c>
      <c r="D13107" t="s">
        <v>34</v>
      </c>
      <c r="E13107" t="s">
        <v>21</v>
      </c>
      <c r="F13107" t="s">
        <v>15</v>
      </c>
      <c r="G13107" s="1" t="str">
        <f t="shared" ref="G13107:M13111" si="3004">"..."</f>
        <v>...</v>
      </c>
      <c r="H13107" s="1" t="str">
        <f t="shared" si="3004"/>
        <v>...</v>
      </c>
      <c r="I13107" s="1" t="str">
        <f t="shared" si="3004"/>
        <v>...</v>
      </c>
      <c r="J13107" s="1" t="str">
        <f t="shared" si="3004"/>
        <v>...</v>
      </c>
      <c r="K13107" s="1" t="str">
        <f t="shared" si="3004"/>
        <v>...</v>
      </c>
      <c r="L13107" s="1" t="str">
        <f t="shared" si="3004"/>
        <v>...</v>
      </c>
      <c r="M13107" s="1" t="str">
        <f t="shared" si="3004"/>
        <v>...</v>
      </c>
      <c r="N13107" t="s">
        <v>30</v>
      </c>
    </row>
    <row r="13108" spans="1:14" x14ac:dyDescent="0.25">
      <c r="A13108" t="s">
        <v>44</v>
      </c>
      <c r="B13108" t="s">
        <v>40</v>
      </c>
      <c r="C13108" t="s">
        <v>38</v>
      </c>
      <c r="D13108" t="s">
        <v>34</v>
      </c>
      <c r="E13108" t="s">
        <v>21</v>
      </c>
      <c r="F13108" t="s">
        <v>17</v>
      </c>
      <c r="G13108" s="1" t="str">
        <f t="shared" si="3004"/>
        <v>...</v>
      </c>
      <c r="H13108" s="1" t="str">
        <f t="shared" si="3004"/>
        <v>...</v>
      </c>
      <c r="I13108" s="1" t="str">
        <f t="shared" si="3004"/>
        <v>...</v>
      </c>
      <c r="J13108" s="1" t="str">
        <f t="shared" si="3004"/>
        <v>...</v>
      </c>
      <c r="K13108" s="1" t="str">
        <f t="shared" si="3004"/>
        <v>...</v>
      </c>
      <c r="L13108" s="1" t="str">
        <f t="shared" si="3004"/>
        <v>...</v>
      </c>
      <c r="M13108" s="1" t="str">
        <f t="shared" si="3004"/>
        <v>...</v>
      </c>
      <c r="N13108" t="s">
        <v>30</v>
      </c>
    </row>
    <row r="13109" spans="1:14" x14ac:dyDescent="0.25">
      <c r="A13109" t="s">
        <v>44</v>
      </c>
      <c r="B13109" t="s">
        <v>40</v>
      </c>
      <c r="C13109" t="s">
        <v>38</v>
      </c>
      <c r="D13109" t="s">
        <v>34</v>
      </c>
      <c r="E13109" t="s">
        <v>21</v>
      </c>
      <c r="F13109" t="s">
        <v>18</v>
      </c>
      <c r="G13109" s="1" t="str">
        <f t="shared" si="3004"/>
        <v>...</v>
      </c>
      <c r="H13109" s="1" t="str">
        <f t="shared" si="3004"/>
        <v>...</v>
      </c>
      <c r="I13109" s="1" t="str">
        <f t="shared" si="3004"/>
        <v>...</v>
      </c>
      <c r="J13109" s="1" t="str">
        <f t="shared" si="3004"/>
        <v>...</v>
      </c>
      <c r="K13109" s="1" t="str">
        <f t="shared" si="3004"/>
        <v>...</v>
      </c>
      <c r="L13109" s="1" t="str">
        <f t="shared" si="3004"/>
        <v>...</v>
      </c>
      <c r="M13109" s="1" t="str">
        <f t="shared" si="3004"/>
        <v>...</v>
      </c>
      <c r="N13109" t="s">
        <v>30</v>
      </c>
    </row>
    <row r="13110" spans="1:14" x14ac:dyDescent="0.25">
      <c r="A13110" t="s">
        <v>44</v>
      </c>
      <c r="B13110" t="s">
        <v>40</v>
      </c>
      <c r="C13110" t="s">
        <v>38</v>
      </c>
      <c r="D13110" t="s">
        <v>34</v>
      </c>
      <c r="E13110" t="s">
        <v>21</v>
      </c>
      <c r="F13110" t="s">
        <v>19</v>
      </c>
      <c r="G13110" s="1" t="str">
        <f t="shared" si="3004"/>
        <v>...</v>
      </c>
      <c r="H13110" s="1" t="str">
        <f t="shared" si="3004"/>
        <v>...</v>
      </c>
      <c r="I13110" s="1" t="str">
        <f t="shared" si="3004"/>
        <v>...</v>
      </c>
      <c r="J13110" s="1" t="str">
        <f t="shared" si="3004"/>
        <v>...</v>
      </c>
      <c r="K13110" s="1" t="str">
        <f t="shared" si="3004"/>
        <v>...</v>
      </c>
      <c r="L13110" s="1" t="str">
        <f t="shared" si="3004"/>
        <v>...</v>
      </c>
      <c r="M13110" s="1" t="str">
        <f t="shared" si="3004"/>
        <v>...</v>
      </c>
      <c r="N13110" t="s">
        <v>30</v>
      </c>
    </row>
    <row r="13111" spans="1:14" x14ac:dyDescent="0.25">
      <c r="A13111" t="s">
        <v>44</v>
      </c>
      <c r="B13111" t="s">
        <v>40</v>
      </c>
      <c r="C13111" t="s">
        <v>38</v>
      </c>
      <c r="D13111" t="s">
        <v>34</v>
      </c>
      <c r="E13111" t="s">
        <v>21</v>
      </c>
      <c r="F13111" t="s">
        <v>20</v>
      </c>
      <c r="G13111" s="1" t="str">
        <f t="shared" si="3004"/>
        <v>...</v>
      </c>
      <c r="H13111" s="1" t="str">
        <f t="shared" si="3004"/>
        <v>...</v>
      </c>
      <c r="I13111" s="1" t="str">
        <f t="shared" si="3004"/>
        <v>...</v>
      </c>
      <c r="J13111" s="1" t="str">
        <f t="shared" si="3004"/>
        <v>...</v>
      </c>
      <c r="K13111" s="1" t="str">
        <f t="shared" si="3004"/>
        <v>...</v>
      </c>
      <c r="L13111" s="1" t="str">
        <f t="shared" si="3004"/>
        <v>...</v>
      </c>
      <c r="M13111" s="1" t="str">
        <f t="shared" si="3004"/>
        <v>...</v>
      </c>
      <c r="N13111" t="s">
        <v>30</v>
      </c>
    </row>
    <row r="13112" spans="1:14" x14ac:dyDescent="0.25">
      <c r="A13112" t="s">
        <v>44</v>
      </c>
      <c r="B13112" t="s">
        <v>40</v>
      </c>
      <c r="C13112" t="s">
        <v>38</v>
      </c>
      <c r="D13112" t="s">
        <v>34</v>
      </c>
      <c r="E13112" t="s">
        <v>22</v>
      </c>
      <c r="F13112" t="s">
        <v>15</v>
      </c>
      <c r="G13112" s="1" t="str">
        <f t="shared" ref="G13112:M13112" si="3005">"X"</f>
        <v>X</v>
      </c>
      <c r="H13112" s="1" t="str">
        <f t="shared" si="3005"/>
        <v>X</v>
      </c>
      <c r="I13112" s="1" t="str">
        <f t="shared" si="3005"/>
        <v>X</v>
      </c>
      <c r="J13112" s="1" t="str">
        <f t="shared" si="3005"/>
        <v>X</v>
      </c>
      <c r="K13112" s="1" t="str">
        <f t="shared" si="3005"/>
        <v>X</v>
      </c>
      <c r="L13112" s="1" t="str">
        <f t="shared" si="3005"/>
        <v>X</v>
      </c>
      <c r="M13112" s="1" t="str">
        <f t="shared" si="3005"/>
        <v>X</v>
      </c>
      <c r="N13112" t="s">
        <v>27</v>
      </c>
    </row>
    <row r="13113" spans="1:14" x14ac:dyDescent="0.25">
      <c r="A13113" t="s">
        <v>44</v>
      </c>
      <c r="B13113" t="s">
        <v>40</v>
      </c>
      <c r="C13113" t="s">
        <v>38</v>
      </c>
      <c r="D13113" t="s">
        <v>34</v>
      </c>
      <c r="E13113" t="s">
        <v>22</v>
      </c>
      <c r="F13113" t="s">
        <v>17</v>
      </c>
      <c r="G13113" s="1" t="str">
        <f t="shared" ref="G13113:M13115" si="3006">"..."</f>
        <v>...</v>
      </c>
      <c r="H13113" s="1" t="str">
        <f t="shared" si="3006"/>
        <v>...</v>
      </c>
      <c r="I13113" s="1" t="str">
        <f t="shared" si="3006"/>
        <v>...</v>
      </c>
      <c r="J13113" s="1" t="str">
        <f t="shared" si="3006"/>
        <v>...</v>
      </c>
      <c r="K13113" s="1" t="str">
        <f t="shared" si="3006"/>
        <v>...</v>
      </c>
      <c r="L13113" s="1" t="str">
        <f t="shared" si="3006"/>
        <v>...</v>
      </c>
      <c r="M13113" s="1" t="str">
        <f t="shared" si="3006"/>
        <v>...</v>
      </c>
      <c r="N13113" t="s">
        <v>30</v>
      </c>
    </row>
    <row r="13114" spans="1:14" x14ac:dyDescent="0.25">
      <c r="A13114" t="s">
        <v>44</v>
      </c>
      <c r="B13114" t="s">
        <v>40</v>
      </c>
      <c r="C13114" t="s">
        <v>38</v>
      </c>
      <c r="D13114" t="s">
        <v>34</v>
      </c>
      <c r="E13114" t="s">
        <v>22</v>
      </c>
      <c r="F13114" t="s">
        <v>18</v>
      </c>
      <c r="G13114" s="1" t="str">
        <f t="shared" si="3006"/>
        <v>...</v>
      </c>
      <c r="H13114" s="1" t="str">
        <f t="shared" si="3006"/>
        <v>...</v>
      </c>
      <c r="I13114" s="1" t="str">
        <f t="shared" si="3006"/>
        <v>...</v>
      </c>
      <c r="J13114" s="1" t="str">
        <f t="shared" si="3006"/>
        <v>...</v>
      </c>
      <c r="K13114" s="1" t="str">
        <f t="shared" si="3006"/>
        <v>...</v>
      </c>
      <c r="L13114" s="1" t="str">
        <f t="shared" si="3006"/>
        <v>...</v>
      </c>
      <c r="M13114" s="1" t="str">
        <f t="shared" si="3006"/>
        <v>...</v>
      </c>
      <c r="N13114" t="s">
        <v>30</v>
      </c>
    </row>
    <row r="13115" spans="1:14" x14ac:dyDescent="0.25">
      <c r="A13115" t="s">
        <v>44</v>
      </c>
      <c r="B13115" t="s">
        <v>40</v>
      </c>
      <c r="C13115" t="s">
        <v>38</v>
      </c>
      <c r="D13115" t="s">
        <v>34</v>
      </c>
      <c r="E13115" t="s">
        <v>22</v>
      </c>
      <c r="F13115" t="s">
        <v>19</v>
      </c>
      <c r="G13115" s="1" t="str">
        <f t="shared" si="3006"/>
        <v>...</v>
      </c>
      <c r="H13115" s="1" t="str">
        <f t="shared" si="3006"/>
        <v>...</v>
      </c>
      <c r="I13115" s="1" t="str">
        <f t="shared" si="3006"/>
        <v>...</v>
      </c>
      <c r="J13115" s="1" t="str">
        <f t="shared" si="3006"/>
        <v>...</v>
      </c>
      <c r="K13115" s="1" t="str">
        <f t="shared" si="3006"/>
        <v>...</v>
      </c>
      <c r="L13115" s="1" t="str">
        <f t="shared" si="3006"/>
        <v>...</v>
      </c>
      <c r="M13115" s="1" t="str">
        <f t="shared" si="3006"/>
        <v>...</v>
      </c>
      <c r="N13115" t="s">
        <v>30</v>
      </c>
    </row>
    <row r="13116" spans="1:14" x14ac:dyDescent="0.25">
      <c r="A13116" t="s">
        <v>44</v>
      </c>
      <c r="B13116" t="s">
        <v>40</v>
      </c>
      <c r="C13116" t="s">
        <v>38</v>
      </c>
      <c r="D13116" t="s">
        <v>34</v>
      </c>
      <c r="E13116" t="s">
        <v>22</v>
      </c>
      <c r="F13116" t="s">
        <v>20</v>
      </c>
      <c r="G13116" s="1" t="str">
        <f t="shared" ref="G13116:M13117" si="3007">"X"</f>
        <v>X</v>
      </c>
      <c r="H13116" s="1" t="str">
        <f t="shared" si="3007"/>
        <v>X</v>
      </c>
      <c r="I13116" s="1" t="str">
        <f t="shared" si="3007"/>
        <v>X</v>
      </c>
      <c r="J13116" s="1" t="str">
        <f t="shared" si="3007"/>
        <v>X</v>
      </c>
      <c r="K13116" s="1" t="str">
        <f t="shared" si="3007"/>
        <v>X</v>
      </c>
      <c r="L13116" s="1" t="str">
        <f t="shared" si="3007"/>
        <v>X</v>
      </c>
      <c r="M13116" s="1" t="str">
        <f t="shared" si="3007"/>
        <v>X</v>
      </c>
      <c r="N13116" t="s">
        <v>27</v>
      </c>
    </row>
    <row r="13117" spans="1:14" x14ac:dyDescent="0.25">
      <c r="A13117" t="s">
        <v>44</v>
      </c>
      <c r="B13117" t="s">
        <v>40</v>
      </c>
      <c r="C13117" t="s">
        <v>38</v>
      </c>
      <c r="D13117" t="s">
        <v>34</v>
      </c>
      <c r="E13117" t="s">
        <v>23</v>
      </c>
      <c r="F13117" t="s">
        <v>15</v>
      </c>
      <c r="G13117" s="1" t="str">
        <f t="shared" si="3007"/>
        <v>X</v>
      </c>
      <c r="H13117" s="1" t="str">
        <f t="shared" si="3007"/>
        <v>X</v>
      </c>
      <c r="I13117" s="1" t="str">
        <f t="shared" si="3007"/>
        <v>X</v>
      </c>
      <c r="J13117" s="1" t="str">
        <f t="shared" si="3007"/>
        <v>X</v>
      </c>
      <c r="K13117" s="1" t="str">
        <f t="shared" si="3007"/>
        <v>X</v>
      </c>
      <c r="L13117" s="1" t="str">
        <f t="shared" si="3007"/>
        <v>X</v>
      </c>
      <c r="M13117" s="1" t="str">
        <f t="shared" si="3007"/>
        <v>X</v>
      </c>
      <c r="N13117" t="s">
        <v>27</v>
      </c>
    </row>
    <row r="13118" spans="1:14" x14ac:dyDescent="0.25">
      <c r="A13118" t="s">
        <v>44</v>
      </c>
      <c r="B13118" t="s">
        <v>40</v>
      </c>
      <c r="C13118" t="s">
        <v>38</v>
      </c>
      <c r="D13118" t="s">
        <v>34</v>
      </c>
      <c r="E13118" t="s">
        <v>23</v>
      </c>
      <c r="F13118" t="s">
        <v>17</v>
      </c>
      <c r="G13118" s="1" t="str">
        <f t="shared" ref="G13118:M13120" si="3008">"..."</f>
        <v>...</v>
      </c>
      <c r="H13118" s="1" t="str">
        <f t="shared" si="3008"/>
        <v>...</v>
      </c>
      <c r="I13118" s="1" t="str">
        <f t="shared" si="3008"/>
        <v>...</v>
      </c>
      <c r="J13118" s="1" t="str">
        <f t="shared" si="3008"/>
        <v>...</v>
      </c>
      <c r="K13118" s="1" t="str">
        <f t="shared" si="3008"/>
        <v>...</v>
      </c>
      <c r="L13118" s="1" t="str">
        <f t="shared" si="3008"/>
        <v>...</v>
      </c>
      <c r="M13118" s="1" t="str">
        <f t="shared" si="3008"/>
        <v>...</v>
      </c>
      <c r="N13118" t="s">
        <v>30</v>
      </c>
    </row>
    <row r="13119" spans="1:14" x14ac:dyDescent="0.25">
      <c r="A13119" t="s">
        <v>44</v>
      </c>
      <c r="B13119" t="s">
        <v>40</v>
      </c>
      <c r="C13119" t="s">
        <v>38</v>
      </c>
      <c r="D13119" t="s">
        <v>34</v>
      </c>
      <c r="E13119" t="s">
        <v>23</v>
      </c>
      <c r="F13119" t="s">
        <v>18</v>
      </c>
      <c r="G13119" s="1" t="str">
        <f t="shared" si="3008"/>
        <v>...</v>
      </c>
      <c r="H13119" s="1" t="str">
        <f t="shared" si="3008"/>
        <v>...</v>
      </c>
      <c r="I13119" s="1" t="str">
        <f t="shared" si="3008"/>
        <v>...</v>
      </c>
      <c r="J13119" s="1" t="str">
        <f t="shared" si="3008"/>
        <v>...</v>
      </c>
      <c r="K13119" s="1" t="str">
        <f t="shared" si="3008"/>
        <v>...</v>
      </c>
      <c r="L13119" s="1" t="str">
        <f t="shared" si="3008"/>
        <v>...</v>
      </c>
      <c r="M13119" s="1" t="str">
        <f t="shared" si="3008"/>
        <v>...</v>
      </c>
      <c r="N13119" t="s">
        <v>30</v>
      </c>
    </row>
    <row r="13120" spans="1:14" x14ac:dyDescent="0.25">
      <c r="A13120" t="s">
        <v>44</v>
      </c>
      <c r="B13120" t="s">
        <v>40</v>
      </c>
      <c r="C13120" t="s">
        <v>38</v>
      </c>
      <c r="D13120" t="s">
        <v>34</v>
      </c>
      <c r="E13120" t="s">
        <v>23</v>
      </c>
      <c r="F13120" t="s">
        <v>19</v>
      </c>
      <c r="G13120" s="1" t="str">
        <f t="shared" si="3008"/>
        <v>...</v>
      </c>
      <c r="H13120" s="1" t="str">
        <f t="shared" si="3008"/>
        <v>...</v>
      </c>
      <c r="I13120" s="1" t="str">
        <f t="shared" si="3008"/>
        <v>...</v>
      </c>
      <c r="J13120" s="1" t="str">
        <f t="shared" si="3008"/>
        <v>...</v>
      </c>
      <c r="K13120" s="1" t="str">
        <f t="shared" si="3008"/>
        <v>...</v>
      </c>
      <c r="L13120" s="1" t="str">
        <f t="shared" si="3008"/>
        <v>...</v>
      </c>
      <c r="M13120" s="1" t="str">
        <f t="shared" si="3008"/>
        <v>...</v>
      </c>
      <c r="N13120" t="s">
        <v>30</v>
      </c>
    </row>
    <row r="13121" spans="1:14" x14ac:dyDescent="0.25">
      <c r="A13121" t="s">
        <v>44</v>
      </c>
      <c r="B13121" t="s">
        <v>40</v>
      </c>
      <c r="C13121" t="s">
        <v>38</v>
      </c>
      <c r="D13121" t="s">
        <v>34</v>
      </c>
      <c r="E13121" t="s">
        <v>23</v>
      </c>
      <c r="F13121" t="s">
        <v>20</v>
      </c>
      <c r="G13121" s="1" t="str">
        <f t="shared" ref="G13121:M13121" si="3009">"X"</f>
        <v>X</v>
      </c>
      <c r="H13121" s="1" t="str">
        <f t="shared" si="3009"/>
        <v>X</v>
      </c>
      <c r="I13121" s="1" t="str">
        <f t="shared" si="3009"/>
        <v>X</v>
      </c>
      <c r="J13121" s="1" t="str">
        <f t="shared" si="3009"/>
        <v>X</v>
      </c>
      <c r="K13121" s="1" t="str">
        <f t="shared" si="3009"/>
        <v>X</v>
      </c>
      <c r="L13121" s="1" t="str">
        <f t="shared" si="3009"/>
        <v>X</v>
      </c>
      <c r="M13121" s="1" t="str">
        <f t="shared" si="3009"/>
        <v>X</v>
      </c>
      <c r="N13121" t="s">
        <v>27</v>
      </c>
    </row>
    <row r="13122" spans="1:14" x14ac:dyDescent="0.25">
      <c r="A13122" t="s">
        <v>44</v>
      </c>
      <c r="B13122" t="s">
        <v>40</v>
      </c>
      <c r="C13122" t="s">
        <v>38</v>
      </c>
      <c r="D13122" t="s">
        <v>34</v>
      </c>
      <c r="E13122" t="s">
        <v>26</v>
      </c>
      <c r="F13122" t="s">
        <v>15</v>
      </c>
      <c r="G13122" s="1" t="str">
        <f t="shared" ref="G13122:M13126" si="3010">"..."</f>
        <v>...</v>
      </c>
      <c r="H13122" s="1" t="str">
        <f t="shared" si="3010"/>
        <v>...</v>
      </c>
      <c r="I13122" s="1" t="str">
        <f t="shared" si="3010"/>
        <v>...</v>
      </c>
      <c r="J13122" s="1" t="str">
        <f t="shared" si="3010"/>
        <v>...</v>
      </c>
      <c r="K13122" s="1" t="str">
        <f t="shared" si="3010"/>
        <v>...</v>
      </c>
      <c r="L13122" s="1" t="str">
        <f t="shared" si="3010"/>
        <v>...</v>
      </c>
      <c r="M13122" s="1" t="str">
        <f t="shared" si="3010"/>
        <v>...</v>
      </c>
      <c r="N13122" t="s">
        <v>30</v>
      </c>
    </row>
    <row r="13123" spans="1:14" x14ac:dyDescent="0.25">
      <c r="A13123" t="s">
        <v>44</v>
      </c>
      <c r="B13123" t="s">
        <v>40</v>
      </c>
      <c r="C13123" t="s">
        <v>38</v>
      </c>
      <c r="D13123" t="s">
        <v>34</v>
      </c>
      <c r="E13123" t="s">
        <v>26</v>
      </c>
      <c r="F13123" t="s">
        <v>17</v>
      </c>
      <c r="G13123" s="1" t="str">
        <f t="shared" si="3010"/>
        <v>...</v>
      </c>
      <c r="H13123" s="1" t="str">
        <f t="shared" si="3010"/>
        <v>...</v>
      </c>
      <c r="I13123" s="1" t="str">
        <f t="shared" si="3010"/>
        <v>...</v>
      </c>
      <c r="J13123" s="1" t="str">
        <f t="shared" si="3010"/>
        <v>...</v>
      </c>
      <c r="K13123" s="1" t="str">
        <f t="shared" si="3010"/>
        <v>...</v>
      </c>
      <c r="L13123" s="1" t="str">
        <f t="shared" si="3010"/>
        <v>...</v>
      </c>
      <c r="M13123" s="1" t="str">
        <f t="shared" si="3010"/>
        <v>...</v>
      </c>
      <c r="N13123" t="s">
        <v>30</v>
      </c>
    </row>
    <row r="13124" spans="1:14" x14ac:dyDescent="0.25">
      <c r="A13124" t="s">
        <v>44</v>
      </c>
      <c r="B13124" t="s">
        <v>40</v>
      </c>
      <c r="C13124" t="s">
        <v>38</v>
      </c>
      <c r="D13124" t="s">
        <v>34</v>
      </c>
      <c r="E13124" t="s">
        <v>26</v>
      </c>
      <c r="F13124" t="s">
        <v>18</v>
      </c>
      <c r="G13124" s="1" t="str">
        <f t="shared" si="3010"/>
        <v>...</v>
      </c>
      <c r="H13124" s="1" t="str">
        <f t="shared" si="3010"/>
        <v>...</v>
      </c>
      <c r="I13124" s="1" t="str">
        <f t="shared" si="3010"/>
        <v>...</v>
      </c>
      <c r="J13124" s="1" t="str">
        <f t="shared" si="3010"/>
        <v>...</v>
      </c>
      <c r="K13124" s="1" t="str">
        <f t="shared" si="3010"/>
        <v>...</v>
      </c>
      <c r="L13124" s="1" t="str">
        <f t="shared" si="3010"/>
        <v>...</v>
      </c>
      <c r="M13124" s="1" t="str">
        <f t="shared" si="3010"/>
        <v>...</v>
      </c>
      <c r="N13124" t="s">
        <v>30</v>
      </c>
    </row>
    <row r="13125" spans="1:14" x14ac:dyDescent="0.25">
      <c r="A13125" t="s">
        <v>44</v>
      </c>
      <c r="B13125" t="s">
        <v>40</v>
      </c>
      <c r="C13125" t="s">
        <v>38</v>
      </c>
      <c r="D13125" t="s">
        <v>34</v>
      </c>
      <c r="E13125" t="s">
        <v>26</v>
      </c>
      <c r="F13125" t="s">
        <v>19</v>
      </c>
      <c r="G13125" s="1" t="str">
        <f t="shared" si="3010"/>
        <v>...</v>
      </c>
      <c r="H13125" s="1" t="str">
        <f t="shared" si="3010"/>
        <v>...</v>
      </c>
      <c r="I13125" s="1" t="str">
        <f t="shared" si="3010"/>
        <v>...</v>
      </c>
      <c r="J13125" s="1" t="str">
        <f t="shared" si="3010"/>
        <v>...</v>
      </c>
      <c r="K13125" s="1" t="str">
        <f t="shared" si="3010"/>
        <v>...</v>
      </c>
      <c r="L13125" s="1" t="str">
        <f t="shared" si="3010"/>
        <v>...</v>
      </c>
      <c r="M13125" s="1" t="str">
        <f t="shared" si="3010"/>
        <v>...</v>
      </c>
      <c r="N13125" t="s">
        <v>30</v>
      </c>
    </row>
    <row r="13126" spans="1:14" x14ac:dyDescent="0.25">
      <c r="A13126" t="s">
        <v>44</v>
      </c>
      <c r="B13126" t="s">
        <v>40</v>
      </c>
      <c r="C13126" t="s">
        <v>38</v>
      </c>
      <c r="D13126" t="s">
        <v>34</v>
      </c>
      <c r="E13126" t="s">
        <v>26</v>
      </c>
      <c r="F13126" t="s">
        <v>20</v>
      </c>
      <c r="G13126" s="1" t="str">
        <f t="shared" si="3010"/>
        <v>...</v>
      </c>
      <c r="H13126" s="1" t="str">
        <f t="shared" si="3010"/>
        <v>...</v>
      </c>
      <c r="I13126" s="1" t="str">
        <f t="shared" si="3010"/>
        <v>...</v>
      </c>
      <c r="J13126" s="1" t="str">
        <f t="shared" si="3010"/>
        <v>...</v>
      </c>
      <c r="K13126" s="1" t="str">
        <f t="shared" si="3010"/>
        <v>...</v>
      </c>
      <c r="L13126" s="1" t="str">
        <f t="shared" si="3010"/>
        <v>...</v>
      </c>
      <c r="M13126" s="1" t="str">
        <f t="shared" si="3010"/>
        <v>...</v>
      </c>
      <c r="N13126" t="s">
        <v>30</v>
      </c>
    </row>
    <row r="13127" spans="1:14" x14ac:dyDescent="0.25">
      <c r="A13127" t="s">
        <v>45</v>
      </c>
      <c r="B13127" t="s">
        <v>15</v>
      </c>
      <c r="C13127" t="s">
        <v>15</v>
      </c>
      <c r="D13127" t="s">
        <v>15</v>
      </c>
      <c r="E13127" t="s">
        <v>15</v>
      </c>
      <c r="F13127" t="s">
        <v>15</v>
      </c>
      <c r="G13127" s="1">
        <f>VALUE(127664.95)</f>
        <v>127664.95</v>
      </c>
      <c r="H13127" s="1">
        <f>VALUE(112985.81)</f>
        <v>112985.81</v>
      </c>
      <c r="I13127" s="1">
        <f>VALUE(3415)</f>
        <v>3415</v>
      </c>
      <c r="J13127" s="1">
        <f>VALUE(4068)</f>
        <v>4068</v>
      </c>
      <c r="K13127" s="1">
        <f>VALUE(5163)</f>
        <v>5163</v>
      </c>
      <c r="L13127" s="1">
        <f>VALUE(6666)</f>
        <v>6666</v>
      </c>
      <c r="M13127" s="1">
        <f>VALUE(9217)</f>
        <v>9217</v>
      </c>
      <c r="N13127" t="s">
        <v>16</v>
      </c>
    </row>
    <row r="13128" spans="1:14" x14ac:dyDescent="0.25">
      <c r="A13128" t="s">
        <v>45</v>
      </c>
      <c r="B13128" t="s">
        <v>15</v>
      </c>
      <c r="C13128" t="s">
        <v>15</v>
      </c>
      <c r="D13128" t="s">
        <v>15</v>
      </c>
      <c r="E13128" t="s">
        <v>15</v>
      </c>
      <c r="F13128" t="s">
        <v>17</v>
      </c>
      <c r="G13128" s="1">
        <f>VALUE(18666.54)</f>
        <v>18666.54</v>
      </c>
      <c r="H13128" s="1">
        <f>VALUE(17367.61)</f>
        <v>17367.61</v>
      </c>
      <c r="I13128" s="1">
        <f>VALUE(4500)</f>
        <v>4500</v>
      </c>
      <c r="J13128" s="1">
        <f>VALUE(5848)</f>
        <v>5848</v>
      </c>
      <c r="K13128" s="1">
        <f>VALUE(8125)</f>
        <v>8125</v>
      </c>
      <c r="L13128" s="1">
        <f>VALUE(11833)</f>
        <v>11833</v>
      </c>
      <c r="M13128" s="1">
        <f>VALUE(17591)</f>
        <v>17591</v>
      </c>
      <c r="N13128" t="s">
        <v>16</v>
      </c>
    </row>
    <row r="13129" spans="1:14" x14ac:dyDescent="0.25">
      <c r="A13129" t="s">
        <v>45</v>
      </c>
      <c r="B13129" t="s">
        <v>15</v>
      </c>
      <c r="C13129" t="s">
        <v>15</v>
      </c>
      <c r="D13129" t="s">
        <v>15</v>
      </c>
      <c r="E13129" t="s">
        <v>15</v>
      </c>
      <c r="F13129" t="s">
        <v>18</v>
      </c>
      <c r="G13129" s="1">
        <f>VALUE(12289.58)</f>
        <v>12289.58</v>
      </c>
      <c r="H13129" s="1">
        <f>VALUE(10988.99)</f>
        <v>10988.99</v>
      </c>
      <c r="I13129" s="1">
        <f>VALUE(4172)</f>
        <v>4172</v>
      </c>
      <c r="J13129" s="1">
        <f>VALUE(5093)</f>
        <v>5093</v>
      </c>
      <c r="K13129" s="1">
        <f>VALUE(6182)</f>
        <v>6182</v>
      </c>
      <c r="L13129" s="1">
        <f>VALUE(8088)</f>
        <v>8088</v>
      </c>
      <c r="M13129" s="1">
        <f>VALUE(10167)</f>
        <v>10167</v>
      </c>
      <c r="N13129" t="s">
        <v>16</v>
      </c>
    </row>
    <row r="13130" spans="1:14" x14ac:dyDescent="0.25">
      <c r="A13130" t="s">
        <v>45</v>
      </c>
      <c r="B13130" t="s">
        <v>15</v>
      </c>
      <c r="C13130" t="s">
        <v>15</v>
      </c>
      <c r="D13130" t="s">
        <v>15</v>
      </c>
      <c r="E13130" t="s">
        <v>15</v>
      </c>
      <c r="F13130" t="s">
        <v>19</v>
      </c>
      <c r="G13130" s="1">
        <f>VALUE(13208.6)</f>
        <v>13208.6</v>
      </c>
      <c r="H13130" s="1">
        <f>VALUE(12290.61)</f>
        <v>12290.61</v>
      </c>
      <c r="I13130" s="1">
        <f>VALUE(3786)</f>
        <v>3786</v>
      </c>
      <c r="J13130" s="1">
        <f>VALUE(4500)</f>
        <v>4500</v>
      </c>
      <c r="K13130" s="1">
        <f>VALUE(5544)</f>
        <v>5544</v>
      </c>
      <c r="L13130" s="1">
        <f>VALUE(6836)</f>
        <v>6836</v>
      </c>
      <c r="M13130" s="1">
        <f>VALUE(8480)</f>
        <v>8480</v>
      </c>
      <c r="N13130" t="s">
        <v>16</v>
      </c>
    </row>
    <row r="13131" spans="1:14" x14ac:dyDescent="0.25">
      <c r="A13131" t="s">
        <v>45</v>
      </c>
      <c r="B13131" t="s">
        <v>15</v>
      </c>
      <c r="C13131" t="s">
        <v>15</v>
      </c>
      <c r="D13131" t="s">
        <v>15</v>
      </c>
      <c r="E13131" t="s">
        <v>15</v>
      </c>
      <c r="F13131" t="s">
        <v>20</v>
      </c>
      <c r="G13131" s="1">
        <f>VALUE(83500.23)</f>
        <v>83500.23</v>
      </c>
      <c r="H13131" s="1">
        <f>VALUE(72338.6)</f>
        <v>72338.600000000006</v>
      </c>
      <c r="I13131" s="1">
        <f>VALUE(3273)</f>
        <v>3273</v>
      </c>
      <c r="J13131" s="1">
        <f>VALUE(3768)</f>
        <v>3768</v>
      </c>
      <c r="K13131" s="1">
        <f>VALUE(4619)</f>
        <v>4619</v>
      </c>
      <c r="L13131" s="1">
        <f>VALUE(5697)</f>
        <v>5697</v>
      </c>
      <c r="M13131" s="1">
        <f>VALUE(6892)</f>
        <v>6892</v>
      </c>
      <c r="N13131" t="s">
        <v>16</v>
      </c>
    </row>
    <row r="13132" spans="1:14" x14ac:dyDescent="0.25">
      <c r="A13132" t="s">
        <v>45</v>
      </c>
      <c r="B13132" t="s">
        <v>15</v>
      </c>
      <c r="C13132" t="s">
        <v>15</v>
      </c>
      <c r="D13132" t="s">
        <v>15</v>
      </c>
      <c r="E13132" t="s">
        <v>21</v>
      </c>
      <c r="F13132" t="s">
        <v>15</v>
      </c>
      <c r="G13132" s="1">
        <f>VALUE(36951.27)</f>
        <v>36951.269999999997</v>
      </c>
      <c r="H13132" s="1">
        <f>VALUE(33118.69)</f>
        <v>33118.69</v>
      </c>
      <c r="I13132" s="1">
        <f>VALUE(3908)</f>
        <v>3908</v>
      </c>
      <c r="J13132" s="1">
        <f>VALUE(4952)</f>
        <v>4952</v>
      </c>
      <c r="K13132" s="1">
        <f>VALUE(6584)</f>
        <v>6584</v>
      </c>
      <c r="L13132" s="1">
        <f>VALUE(8998)</f>
        <v>8998</v>
      </c>
      <c r="M13132" s="1">
        <f>VALUE(13192)</f>
        <v>13192</v>
      </c>
      <c r="N13132" t="s">
        <v>16</v>
      </c>
    </row>
    <row r="13133" spans="1:14" x14ac:dyDescent="0.25">
      <c r="A13133" t="s">
        <v>45</v>
      </c>
      <c r="B13133" t="s">
        <v>15</v>
      </c>
      <c r="C13133" t="s">
        <v>15</v>
      </c>
      <c r="D13133" t="s">
        <v>15</v>
      </c>
      <c r="E13133" t="s">
        <v>21</v>
      </c>
      <c r="F13133" t="s">
        <v>17</v>
      </c>
      <c r="G13133" s="1">
        <f>VALUE(11525.52)</f>
        <v>11525.52</v>
      </c>
      <c r="H13133" s="1">
        <f>VALUE(10615.76)</f>
        <v>10615.76</v>
      </c>
      <c r="I13133" s="1">
        <f>VALUE(5000)</f>
        <v>5000</v>
      </c>
      <c r="J13133" s="1">
        <f>VALUE(6666)</f>
        <v>6666</v>
      </c>
      <c r="K13133" s="1">
        <f>VALUE(8797)</f>
        <v>8797</v>
      </c>
      <c r="L13133" s="1">
        <f>VALUE(13192)</f>
        <v>13192</v>
      </c>
      <c r="M13133" s="1">
        <f>VALUE(19408)</f>
        <v>19408</v>
      </c>
      <c r="N13133" t="s">
        <v>16</v>
      </c>
    </row>
    <row r="13134" spans="1:14" x14ac:dyDescent="0.25">
      <c r="A13134" t="s">
        <v>45</v>
      </c>
      <c r="B13134" t="s">
        <v>15</v>
      </c>
      <c r="C13134" t="s">
        <v>15</v>
      </c>
      <c r="D13134" t="s">
        <v>15</v>
      </c>
      <c r="E13134" t="s">
        <v>21</v>
      </c>
      <c r="F13134" t="s">
        <v>18</v>
      </c>
      <c r="G13134" s="2">
        <f>VALUE(5529.14)</f>
        <v>5529.14</v>
      </c>
      <c r="H13134" s="3">
        <f>VALUE(5011.43)</f>
        <v>5011.43</v>
      </c>
      <c r="I13134" s="1">
        <f>VALUE(4794)</f>
        <v>4794</v>
      </c>
      <c r="J13134" s="1">
        <f>VALUE(5658)</f>
        <v>5658</v>
      </c>
      <c r="K13134" s="1">
        <f>VALUE(7363)</f>
        <v>7363</v>
      </c>
      <c r="L13134" s="1">
        <f>VALUE(9242)</f>
        <v>9242</v>
      </c>
      <c r="M13134" s="1">
        <f>VALUE(11404)</f>
        <v>11404</v>
      </c>
      <c r="N13134" t="s">
        <v>25</v>
      </c>
    </row>
    <row r="13135" spans="1:14" x14ac:dyDescent="0.25">
      <c r="A13135" t="s">
        <v>45</v>
      </c>
      <c r="B13135" t="s">
        <v>15</v>
      </c>
      <c r="C13135" t="s">
        <v>15</v>
      </c>
      <c r="D13135" t="s">
        <v>15</v>
      </c>
      <c r="E13135" t="s">
        <v>21</v>
      </c>
      <c r="F13135" t="s">
        <v>19</v>
      </c>
      <c r="G13135" s="1">
        <f>VALUE(4312.36)</f>
        <v>4312.3599999999997</v>
      </c>
      <c r="H13135" s="1">
        <f>VALUE(3875.16)</f>
        <v>3875.16</v>
      </c>
      <c r="I13135" s="1">
        <f>VALUE(4000)</f>
        <v>4000</v>
      </c>
      <c r="J13135" s="1">
        <f>VALUE(4911)</f>
        <v>4911</v>
      </c>
      <c r="K13135" s="1">
        <f>VALUE(6386)</f>
        <v>6386</v>
      </c>
      <c r="L13135" s="1">
        <f>VALUE(8013)</f>
        <v>8013</v>
      </c>
      <c r="M13135" s="1">
        <f>VALUE(10278)</f>
        <v>10278</v>
      </c>
      <c r="N13135" t="s">
        <v>16</v>
      </c>
    </row>
    <row r="13136" spans="1:14" x14ac:dyDescent="0.25">
      <c r="A13136" t="s">
        <v>45</v>
      </c>
      <c r="B13136" t="s">
        <v>15</v>
      </c>
      <c r="C13136" t="s">
        <v>15</v>
      </c>
      <c r="D13136" t="s">
        <v>15</v>
      </c>
      <c r="E13136" t="s">
        <v>21</v>
      </c>
      <c r="F13136" t="s">
        <v>20</v>
      </c>
      <c r="G13136" s="1">
        <f>VALUE(15584.25)</f>
        <v>15584.25</v>
      </c>
      <c r="H13136" s="1">
        <f>VALUE(13616.34)</f>
        <v>13616.34</v>
      </c>
      <c r="I13136" s="1">
        <f>VALUE(3535)</f>
        <v>3535</v>
      </c>
      <c r="J13136" s="1">
        <f>VALUE(4194)</f>
        <v>4194</v>
      </c>
      <c r="K13136" s="1">
        <f>VALUE(5333)</f>
        <v>5333</v>
      </c>
      <c r="L13136" s="1">
        <f>VALUE(6811)</f>
        <v>6811</v>
      </c>
      <c r="M13136" s="1">
        <f>VALUE(8752)</f>
        <v>8752</v>
      </c>
      <c r="N13136" t="s">
        <v>16</v>
      </c>
    </row>
    <row r="13137" spans="1:14" x14ac:dyDescent="0.25">
      <c r="A13137" t="s">
        <v>45</v>
      </c>
      <c r="B13137" t="s">
        <v>15</v>
      </c>
      <c r="C13137" t="s">
        <v>15</v>
      </c>
      <c r="D13137" t="s">
        <v>15</v>
      </c>
      <c r="E13137" t="s">
        <v>22</v>
      </c>
      <c r="F13137" t="s">
        <v>15</v>
      </c>
      <c r="G13137" s="1">
        <f>VALUE(51673.08)</f>
        <v>51673.08</v>
      </c>
      <c r="H13137" s="1">
        <f>VALUE(46203.92)</f>
        <v>46203.92</v>
      </c>
      <c r="I13137" s="1">
        <f>VALUE(3571)</f>
        <v>3571</v>
      </c>
      <c r="J13137" s="1">
        <f>VALUE(4282)</f>
        <v>4282</v>
      </c>
      <c r="K13137" s="1">
        <f>VALUE(5267)</f>
        <v>5267</v>
      </c>
      <c r="L13137" s="1">
        <f>VALUE(6410)</f>
        <v>6410</v>
      </c>
      <c r="M13137" s="1">
        <f>VALUE(8099)</f>
        <v>8099</v>
      </c>
      <c r="N13137" t="s">
        <v>16</v>
      </c>
    </row>
    <row r="13138" spans="1:14" x14ac:dyDescent="0.25">
      <c r="A13138" t="s">
        <v>45</v>
      </c>
      <c r="B13138" t="s">
        <v>15</v>
      </c>
      <c r="C13138" t="s">
        <v>15</v>
      </c>
      <c r="D13138" t="s">
        <v>15</v>
      </c>
      <c r="E13138" t="s">
        <v>22</v>
      </c>
      <c r="F13138" t="s">
        <v>17</v>
      </c>
      <c r="G13138" s="1">
        <f>VALUE(5997.67)</f>
        <v>5997.67</v>
      </c>
      <c r="H13138" s="3">
        <f>VALUE(5643.53)</f>
        <v>5643.53</v>
      </c>
      <c r="I13138" s="1">
        <f>VALUE(4049)</f>
        <v>4049</v>
      </c>
      <c r="J13138" s="1">
        <f>VALUE(5397)</f>
        <v>5397</v>
      </c>
      <c r="K13138" s="1">
        <f>VALUE(7269)</f>
        <v>7269</v>
      </c>
      <c r="L13138" s="7">
        <f>VALUE(10725)</f>
        <v>10725</v>
      </c>
      <c r="M13138" s="8">
        <f>VALUE(14836)</f>
        <v>14836</v>
      </c>
      <c r="N13138" t="s">
        <v>25</v>
      </c>
    </row>
    <row r="13139" spans="1:14" x14ac:dyDescent="0.25">
      <c r="A13139" t="s">
        <v>45</v>
      </c>
      <c r="B13139" t="s">
        <v>15</v>
      </c>
      <c r="C13139" t="s">
        <v>15</v>
      </c>
      <c r="D13139" t="s">
        <v>15</v>
      </c>
      <c r="E13139" t="s">
        <v>22</v>
      </c>
      <c r="F13139" t="s">
        <v>18</v>
      </c>
      <c r="G13139" s="2">
        <f>VALUE(5328.09)</f>
        <v>5328.09</v>
      </c>
      <c r="H13139" s="3">
        <f>VALUE(4694.45)</f>
        <v>4694.45</v>
      </c>
      <c r="I13139" s="1">
        <f>VALUE(4128)</f>
        <v>4128</v>
      </c>
      <c r="J13139" s="1">
        <f>VALUE(4875)</f>
        <v>4875</v>
      </c>
      <c r="K13139" s="1">
        <f>VALUE(5611)</f>
        <v>5611</v>
      </c>
      <c r="L13139" s="1">
        <f>VALUE(7096)</f>
        <v>7096</v>
      </c>
      <c r="M13139" s="1">
        <f>VALUE(9025)</f>
        <v>9025</v>
      </c>
      <c r="N13139" t="s">
        <v>25</v>
      </c>
    </row>
    <row r="13140" spans="1:14" x14ac:dyDescent="0.25">
      <c r="A13140" t="s">
        <v>45</v>
      </c>
      <c r="B13140" t="s">
        <v>15</v>
      </c>
      <c r="C13140" t="s">
        <v>15</v>
      </c>
      <c r="D13140" t="s">
        <v>15</v>
      </c>
      <c r="E13140" t="s">
        <v>22</v>
      </c>
      <c r="F13140" t="s">
        <v>19</v>
      </c>
      <c r="G13140" s="1">
        <f>VALUE(6740.1)</f>
        <v>6740.1</v>
      </c>
      <c r="H13140" s="1">
        <f>VALUE(6360.79)</f>
        <v>6360.79</v>
      </c>
      <c r="I13140" s="1">
        <f>VALUE(3817)</f>
        <v>3817</v>
      </c>
      <c r="J13140" s="1">
        <f>VALUE(4572)</f>
        <v>4572</v>
      </c>
      <c r="K13140" s="1">
        <f>VALUE(5522)</f>
        <v>5522</v>
      </c>
      <c r="L13140" s="1">
        <f>VALUE(6572)</f>
        <v>6572</v>
      </c>
      <c r="M13140" s="1">
        <f>VALUE(7777)</f>
        <v>7777</v>
      </c>
      <c r="N13140" t="s">
        <v>16</v>
      </c>
    </row>
    <row r="13141" spans="1:14" x14ac:dyDescent="0.25">
      <c r="A13141" t="s">
        <v>45</v>
      </c>
      <c r="B13141" t="s">
        <v>15</v>
      </c>
      <c r="C13141" t="s">
        <v>15</v>
      </c>
      <c r="D13141" t="s">
        <v>15</v>
      </c>
      <c r="E13141" t="s">
        <v>22</v>
      </c>
      <c r="F13141" t="s">
        <v>20</v>
      </c>
      <c r="G13141" s="1">
        <f>VALUE(33607.22)</f>
        <v>33607.22</v>
      </c>
      <c r="H13141" s="1">
        <f>VALUE(29505.15)</f>
        <v>29505.15</v>
      </c>
      <c r="I13141" s="1">
        <f>VALUE(3451)</f>
        <v>3451</v>
      </c>
      <c r="J13141" s="1">
        <f>VALUE(4083)</f>
        <v>4083</v>
      </c>
      <c r="K13141" s="1">
        <f>VALUE(4915)</f>
        <v>4915</v>
      </c>
      <c r="L13141" s="1">
        <f>VALUE(5882)</f>
        <v>5882</v>
      </c>
      <c r="M13141" s="1">
        <f>VALUE(6917)</f>
        <v>6917</v>
      </c>
      <c r="N13141" t="s">
        <v>16</v>
      </c>
    </row>
    <row r="13142" spans="1:14" x14ac:dyDescent="0.25">
      <c r="A13142" t="s">
        <v>45</v>
      </c>
      <c r="B13142" t="s">
        <v>15</v>
      </c>
      <c r="C13142" t="s">
        <v>15</v>
      </c>
      <c r="D13142" t="s">
        <v>15</v>
      </c>
      <c r="E13142" t="s">
        <v>23</v>
      </c>
      <c r="F13142" t="s">
        <v>15</v>
      </c>
      <c r="G13142" s="1">
        <f>VALUE(37871.58)</f>
        <v>37871.58</v>
      </c>
      <c r="H13142" s="1">
        <f>VALUE(32716.22)</f>
        <v>32716.22</v>
      </c>
      <c r="I13142" s="1">
        <f>VALUE(3134)</f>
        <v>3134</v>
      </c>
      <c r="J13142" s="1">
        <f>VALUE(3529)</f>
        <v>3529</v>
      </c>
      <c r="K13142" s="1">
        <f>VALUE(4198)</f>
        <v>4198</v>
      </c>
      <c r="L13142" s="1">
        <f>VALUE(5169)</f>
        <v>5169</v>
      </c>
      <c r="M13142" s="1">
        <f>VALUE(6145)</f>
        <v>6145</v>
      </c>
      <c r="N13142" t="s">
        <v>16</v>
      </c>
    </row>
    <row r="13143" spans="1:14" x14ac:dyDescent="0.25">
      <c r="A13143" t="s">
        <v>45</v>
      </c>
      <c r="B13143" t="s">
        <v>15</v>
      </c>
      <c r="C13143" t="s">
        <v>15</v>
      </c>
      <c r="D13143" t="s">
        <v>15</v>
      </c>
      <c r="E13143" t="s">
        <v>23</v>
      </c>
      <c r="F13143" t="s">
        <v>17</v>
      </c>
      <c r="G13143" s="2">
        <f>VALUE(1044.36)</f>
        <v>1044.3599999999999</v>
      </c>
      <c r="H13143" s="3">
        <f>VALUE(1016.05)</f>
        <v>1016.05</v>
      </c>
      <c r="I13143" s="1">
        <f>VALUE(3569)</f>
        <v>3569</v>
      </c>
      <c r="J13143" s="5">
        <f>VALUE(4830)</f>
        <v>4830</v>
      </c>
      <c r="K13143" s="6">
        <f>VALUE(5714)</f>
        <v>5714</v>
      </c>
      <c r="L13143" s="7">
        <f>VALUE(7583)</f>
        <v>7583</v>
      </c>
      <c r="M13143" s="8">
        <f>VALUE(9046)</f>
        <v>9046</v>
      </c>
      <c r="N13143" t="s">
        <v>25</v>
      </c>
    </row>
    <row r="13144" spans="1:14" x14ac:dyDescent="0.25">
      <c r="A13144" t="s">
        <v>45</v>
      </c>
      <c r="B13144" t="s">
        <v>15</v>
      </c>
      <c r="C13144" t="s">
        <v>15</v>
      </c>
      <c r="D13144" t="s">
        <v>15</v>
      </c>
      <c r="E13144" t="s">
        <v>23</v>
      </c>
      <c r="F13144" t="s">
        <v>18</v>
      </c>
      <c r="G13144" s="2">
        <f>VALUE(1312.99)</f>
        <v>1312.99</v>
      </c>
      <c r="H13144" s="3">
        <f>VALUE(1180.57)</f>
        <v>1180.57</v>
      </c>
      <c r="I13144" s="1">
        <f>VALUE(3729)</f>
        <v>3729</v>
      </c>
      <c r="J13144" s="1">
        <f>VALUE(4299)</f>
        <v>4299</v>
      </c>
      <c r="K13144" s="1">
        <f>VALUE(5093)</f>
        <v>5093</v>
      </c>
      <c r="L13144" s="1">
        <f>VALUE(5691)</f>
        <v>5691</v>
      </c>
      <c r="M13144" s="8">
        <f>VALUE(6932)</f>
        <v>6932</v>
      </c>
      <c r="N13144" t="s">
        <v>25</v>
      </c>
    </row>
    <row r="13145" spans="1:14" x14ac:dyDescent="0.25">
      <c r="A13145" t="s">
        <v>45</v>
      </c>
      <c r="B13145" t="s">
        <v>15</v>
      </c>
      <c r="C13145" t="s">
        <v>15</v>
      </c>
      <c r="D13145" t="s">
        <v>15</v>
      </c>
      <c r="E13145" t="s">
        <v>23</v>
      </c>
      <c r="F13145" t="s">
        <v>19</v>
      </c>
      <c r="G13145" s="2">
        <f>VALUE(2123.06)</f>
        <v>2123.06</v>
      </c>
      <c r="H13145" s="3">
        <f>VALUE(2022.81)</f>
        <v>2022.81</v>
      </c>
      <c r="I13145" s="1">
        <f>VALUE(3568)</f>
        <v>3568</v>
      </c>
      <c r="J13145" s="1">
        <f>VALUE(3997)</f>
        <v>3997</v>
      </c>
      <c r="K13145" s="1">
        <f>VALUE(4720)</f>
        <v>4720</v>
      </c>
      <c r="L13145" s="1">
        <f>VALUE(5608)</f>
        <v>5608</v>
      </c>
      <c r="M13145" s="1">
        <f>VALUE(6807)</f>
        <v>6807</v>
      </c>
      <c r="N13145" t="s">
        <v>25</v>
      </c>
    </row>
    <row r="13146" spans="1:14" x14ac:dyDescent="0.25">
      <c r="A13146" t="s">
        <v>45</v>
      </c>
      <c r="B13146" t="s">
        <v>15</v>
      </c>
      <c r="C13146" t="s">
        <v>15</v>
      </c>
      <c r="D13146" t="s">
        <v>15</v>
      </c>
      <c r="E13146" t="s">
        <v>23</v>
      </c>
      <c r="F13146" t="s">
        <v>20</v>
      </c>
      <c r="G13146" s="1">
        <f>VALUE(33391.17)</f>
        <v>33391.17</v>
      </c>
      <c r="H13146" s="1">
        <f>VALUE(28496.79)</f>
        <v>28496.79</v>
      </c>
      <c r="I13146" s="1">
        <f>VALUE(3088)</f>
        <v>3088</v>
      </c>
      <c r="J13146" s="1">
        <f>VALUE(3487)</f>
        <v>3487</v>
      </c>
      <c r="K13146" s="1">
        <f>VALUE(4097)</f>
        <v>4097</v>
      </c>
      <c r="L13146" s="1">
        <f>VALUE(5033)</f>
        <v>5033</v>
      </c>
      <c r="M13146" s="1">
        <f>VALUE(5979)</f>
        <v>5979</v>
      </c>
      <c r="N13146" t="s">
        <v>16</v>
      </c>
    </row>
    <row r="13147" spans="1:14" x14ac:dyDescent="0.25">
      <c r="A13147" t="s">
        <v>45</v>
      </c>
      <c r="B13147" t="s">
        <v>15</v>
      </c>
      <c r="C13147" t="s">
        <v>15</v>
      </c>
      <c r="D13147" t="s">
        <v>15</v>
      </c>
      <c r="E13147" t="s">
        <v>26</v>
      </c>
      <c r="F13147" t="s">
        <v>15</v>
      </c>
      <c r="G13147" s="2">
        <f>VALUE(1169.02)</f>
        <v>1169.02</v>
      </c>
      <c r="H13147" s="3">
        <f>VALUE(946.98)</f>
        <v>946.98</v>
      </c>
      <c r="I13147" s="4">
        <f>VALUE(3207)</f>
        <v>3207</v>
      </c>
      <c r="J13147" s="1">
        <f>VALUE(3769)</f>
        <v>3769</v>
      </c>
      <c r="K13147" s="6">
        <f>VALUE(5334)</f>
        <v>5334</v>
      </c>
      <c r="L13147" s="1">
        <f>VALUE(7799)</f>
        <v>7799</v>
      </c>
      <c r="M13147" s="1">
        <f>VALUE(10157)</f>
        <v>10157</v>
      </c>
      <c r="N13147" t="s">
        <v>25</v>
      </c>
    </row>
    <row r="13148" spans="1:14" x14ac:dyDescent="0.25">
      <c r="A13148" t="s">
        <v>45</v>
      </c>
      <c r="B13148" t="s">
        <v>15</v>
      </c>
      <c r="C13148" t="s">
        <v>15</v>
      </c>
      <c r="D13148" t="s">
        <v>15</v>
      </c>
      <c r="E13148" t="s">
        <v>26</v>
      </c>
      <c r="F13148" t="s">
        <v>17</v>
      </c>
      <c r="G13148" s="1" t="str">
        <f t="shared" ref="G13148:M13148" si="3011">"X"</f>
        <v>X</v>
      </c>
      <c r="H13148" s="1" t="str">
        <f t="shared" si="3011"/>
        <v>X</v>
      </c>
      <c r="I13148" s="1" t="str">
        <f t="shared" si="3011"/>
        <v>X</v>
      </c>
      <c r="J13148" s="1" t="str">
        <f t="shared" si="3011"/>
        <v>X</v>
      </c>
      <c r="K13148" s="1" t="str">
        <f t="shared" si="3011"/>
        <v>X</v>
      </c>
      <c r="L13148" s="1" t="str">
        <f t="shared" si="3011"/>
        <v>X</v>
      </c>
      <c r="M13148" s="1" t="str">
        <f t="shared" si="3011"/>
        <v>X</v>
      </c>
      <c r="N13148" t="s">
        <v>27</v>
      </c>
    </row>
    <row r="13149" spans="1:14" x14ac:dyDescent="0.25">
      <c r="A13149" t="s">
        <v>45</v>
      </c>
      <c r="B13149" t="s">
        <v>15</v>
      </c>
      <c r="C13149" t="s">
        <v>15</v>
      </c>
      <c r="D13149" t="s">
        <v>15</v>
      </c>
      <c r="E13149" t="s">
        <v>26</v>
      </c>
      <c r="F13149" t="s">
        <v>18</v>
      </c>
      <c r="G13149" s="2">
        <f>VALUE(119.36)</f>
        <v>119.36</v>
      </c>
      <c r="H13149" s="3">
        <f>VALUE(102.54)</f>
        <v>102.54</v>
      </c>
      <c r="I13149" s="1">
        <f>VALUE(5343)</f>
        <v>5343</v>
      </c>
      <c r="J13149" s="1">
        <f>VALUE(7255)</f>
        <v>7255</v>
      </c>
      <c r="K13149" s="1">
        <f>VALUE(8381)</f>
        <v>8381</v>
      </c>
      <c r="L13149" s="1">
        <f>VALUE(10068)</f>
        <v>10068</v>
      </c>
      <c r="M13149" s="1">
        <f>VALUE(11500)</f>
        <v>11500</v>
      </c>
      <c r="N13149" t="s">
        <v>25</v>
      </c>
    </row>
    <row r="13150" spans="1:14" x14ac:dyDescent="0.25">
      <c r="A13150" t="s">
        <v>45</v>
      </c>
      <c r="B13150" t="s">
        <v>15</v>
      </c>
      <c r="C13150" t="s">
        <v>15</v>
      </c>
      <c r="D13150" t="s">
        <v>15</v>
      </c>
      <c r="E13150" t="s">
        <v>26</v>
      </c>
      <c r="F13150" t="s">
        <v>19</v>
      </c>
      <c r="G13150" s="1" t="str">
        <f t="shared" ref="G13150:M13150" si="3012">"X"</f>
        <v>X</v>
      </c>
      <c r="H13150" s="1" t="str">
        <f t="shared" si="3012"/>
        <v>X</v>
      </c>
      <c r="I13150" s="1" t="str">
        <f t="shared" si="3012"/>
        <v>X</v>
      </c>
      <c r="J13150" s="1" t="str">
        <f t="shared" si="3012"/>
        <v>X</v>
      </c>
      <c r="K13150" s="1" t="str">
        <f t="shared" si="3012"/>
        <v>X</v>
      </c>
      <c r="L13150" s="1" t="str">
        <f t="shared" si="3012"/>
        <v>X</v>
      </c>
      <c r="M13150" s="1" t="str">
        <f t="shared" si="3012"/>
        <v>X</v>
      </c>
      <c r="N13150" t="s">
        <v>27</v>
      </c>
    </row>
    <row r="13151" spans="1:14" x14ac:dyDescent="0.25">
      <c r="A13151" t="s">
        <v>45</v>
      </c>
      <c r="B13151" t="s">
        <v>15</v>
      </c>
      <c r="C13151" t="s">
        <v>15</v>
      </c>
      <c r="D13151" t="s">
        <v>15</v>
      </c>
      <c r="E13151" t="s">
        <v>26</v>
      </c>
      <c r="F13151" t="s">
        <v>20</v>
      </c>
      <c r="G13151" s="2">
        <f>VALUE(917.59)</f>
        <v>917.59</v>
      </c>
      <c r="H13151" s="3">
        <f>VALUE(720.32)</f>
        <v>720.32</v>
      </c>
      <c r="I13151" s="4">
        <f>VALUE(3207)</f>
        <v>3207</v>
      </c>
      <c r="J13151" s="5">
        <f>VALUE(3619)</f>
        <v>3619</v>
      </c>
      <c r="K13151" s="6">
        <f>VALUE(4753)</f>
        <v>4753</v>
      </c>
      <c r="L13151" s="1">
        <f>VALUE(6934)</f>
        <v>6934</v>
      </c>
      <c r="M13151" s="1">
        <f>VALUE(8769)</f>
        <v>8769</v>
      </c>
      <c r="N13151" t="s">
        <v>25</v>
      </c>
    </row>
    <row r="13152" spans="1:14" x14ac:dyDescent="0.25">
      <c r="A13152" t="s">
        <v>45</v>
      </c>
      <c r="B13152" t="s">
        <v>15</v>
      </c>
      <c r="C13152" t="s">
        <v>15</v>
      </c>
      <c r="D13152" t="s">
        <v>28</v>
      </c>
      <c r="E13152" t="s">
        <v>15</v>
      </c>
      <c r="F13152" t="s">
        <v>15</v>
      </c>
      <c r="G13152" s="1">
        <f>VALUE(49121.5)</f>
        <v>49121.5</v>
      </c>
      <c r="H13152" s="1">
        <f>VALUE(41452.34)</f>
        <v>41452.339999999997</v>
      </c>
      <c r="I13152" s="1">
        <f>VALUE(3948)</f>
        <v>3948</v>
      </c>
      <c r="J13152" s="1">
        <f>VALUE(4734)</f>
        <v>4734</v>
      </c>
      <c r="K13152" s="1">
        <f>VALUE(5936)</f>
        <v>5936</v>
      </c>
      <c r="L13152" s="1">
        <f>VALUE(7937)</f>
        <v>7937</v>
      </c>
      <c r="M13152" s="1">
        <f>VALUE(10980)</f>
        <v>10980</v>
      </c>
      <c r="N13152" t="s">
        <v>16</v>
      </c>
    </row>
    <row r="13153" spans="1:14" x14ac:dyDescent="0.25">
      <c r="A13153" t="s">
        <v>45</v>
      </c>
      <c r="B13153" t="s">
        <v>15</v>
      </c>
      <c r="C13153" t="s">
        <v>15</v>
      </c>
      <c r="D13153" t="s">
        <v>28</v>
      </c>
      <c r="E13153" t="s">
        <v>15</v>
      </c>
      <c r="F13153" t="s">
        <v>17</v>
      </c>
      <c r="G13153" s="1">
        <f>VALUE(11002.49)</f>
        <v>11002.49</v>
      </c>
      <c r="H13153" s="1">
        <f>VALUE(10133.75)</f>
        <v>10133.75</v>
      </c>
      <c r="I13153" s="1">
        <f>VALUE(4643)</f>
        <v>4643</v>
      </c>
      <c r="J13153" s="1">
        <f>VALUE(6029)</f>
        <v>6029</v>
      </c>
      <c r="K13153" s="6">
        <f>VALUE(8400)</f>
        <v>8400</v>
      </c>
      <c r="L13153" s="1">
        <f>VALUE(12263)</f>
        <v>12263</v>
      </c>
      <c r="M13153" s="1">
        <f>VALUE(17507)</f>
        <v>17507</v>
      </c>
      <c r="N13153" t="s">
        <v>25</v>
      </c>
    </row>
    <row r="13154" spans="1:14" x14ac:dyDescent="0.25">
      <c r="A13154" t="s">
        <v>45</v>
      </c>
      <c r="B13154" t="s">
        <v>15</v>
      </c>
      <c r="C13154" t="s">
        <v>15</v>
      </c>
      <c r="D13154" t="s">
        <v>28</v>
      </c>
      <c r="E13154" t="s">
        <v>15</v>
      </c>
      <c r="F13154" t="s">
        <v>18</v>
      </c>
      <c r="G13154" s="2">
        <f>VALUE(5892.61)</f>
        <v>5892.61</v>
      </c>
      <c r="H13154" s="3">
        <f>VALUE(4987.22)</f>
        <v>4987.22</v>
      </c>
      <c r="I13154" s="1">
        <f>VALUE(4395)</f>
        <v>4395</v>
      </c>
      <c r="J13154" s="1">
        <f>VALUE(5417)</f>
        <v>5417</v>
      </c>
      <c r="K13154" s="1">
        <f>VALUE(6771)</f>
        <v>6771</v>
      </c>
      <c r="L13154" s="1">
        <f>VALUE(8889)</f>
        <v>8889</v>
      </c>
      <c r="M13154" s="1">
        <f>VALUE(10345)</f>
        <v>10345</v>
      </c>
      <c r="N13154" t="s">
        <v>25</v>
      </c>
    </row>
    <row r="13155" spans="1:14" x14ac:dyDescent="0.25">
      <c r="A13155" t="s">
        <v>45</v>
      </c>
      <c r="B13155" t="s">
        <v>15</v>
      </c>
      <c r="C13155" t="s">
        <v>15</v>
      </c>
      <c r="D13155" t="s">
        <v>28</v>
      </c>
      <c r="E13155" t="s">
        <v>15</v>
      </c>
      <c r="F13155" t="s">
        <v>19</v>
      </c>
      <c r="G13155" s="1">
        <f>VALUE(5685.37)</f>
        <v>5685.37</v>
      </c>
      <c r="H13155" s="1">
        <f>VALUE(5052.08)</f>
        <v>5052.08</v>
      </c>
      <c r="I13155" s="1">
        <f>VALUE(4189)</f>
        <v>4189</v>
      </c>
      <c r="J13155" s="1">
        <f>VALUE(4972)</f>
        <v>4972</v>
      </c>
      <c r="K13155" s="1">
        <f>VALUE(6153)</f>
        <v>6153</v>
      </c>
      <c r="L13155" s="1">
        <f>VALUE(7188)</f>
        <v>7188</v>
      </c>
      <c r="M13155" s="1">
        <f>VALUE(9114)</f>
        <v>9114</v>
      </c>
      <c r="N13155" t="s">
        <v>16</v>
      </c>
    </row>
    <row r="13156" spans="1:14" x14ac:dyDescent="0.25">
      <c r="A13156" t="s">
        <v>45</v>
      </c>
      <c r="B13156" t="s">
        <v>15</v>
      </c>
      <c r="C13156" t="s">
        <v>15</v>
      </c>
      <c r="D13156" t="s">
        <v>28</v>
      </c>
      <c r="E13156" t="s">
        <v>15</v>
      </c>
      <c r="F13156" t="s">
        <v>20</v>
      </c>
      <c r="G13156" s="1">
        <f>VALUE(26541.03)</f>
        <v>26541.03</v>
      </c>
      <c r="H13156" s="1">
        <f>VALUE(21279.29)</f>
        <v>21279.29</v>
      </c>
      <c r="I13156" s="1">
        <f>VALUE(3750)</f>
        <v>3750</v>
      </c>
      <c r="J13156" s="1">
        <f>VALUE(4334)</f>
        <v>4334</v>
      </c>
      <c r="K13156" s="1">
        <f>VALUE(5278)</f>
        <v>5278</v>
      </c>
      <c r="L13156" s="1">
        <f>VALUE(6369)</f>
        <v>6369</v>
      </c>
      <c r="M13156" s="1">
        <f>VALUE(7694)</f>
        <v>7694</v>
      </c>
      <c r="N13156" t="s">
        <v>16</v>
      </c>
    </row>
    <row r="13157" spans="1:14" x14ac:dyDescent="0.25">
      <c r="A13157" t="s">
        <v>45</v>
      </c>
      <c r="B13157" t="s">
        <v>15</v>
      </c>
      <c r="C13157" t="s">
        <v>15</v>
      </c>
      <c r="D13157" t="s">
        <v>28</v>
      </c>
      <c r="E13157" t="s">
        <v>21</v>
      </c>
      <c r="F13157" t="s">
        <v>15</v>
      </c>
      <c r="G13157" s="1">
        <f>VALUE(16308.2)</f>
        <v>16308.2</v>
      </c>
      <c r="H13157" s="1">
        <f>VALUE(14125.72)</f>
        <v>14125.72</v>
      </c>
      <c r="I13157" s="1">
        <f>VALUE(4500)</f>
        <v>4500</v>
      </c>
      <c r="J13157" s="1">
        <f>VALUE(5550)</f>
        <v>5550</v>
      </c>
      <c r="K13157" s="1">
        <f>VALUE(7579)</f>
        <v>7579</v>
      </c>
      <c r="L13157" s="1">
        <f>VALUE(10254)</f>
        <v>10254</v>
      </c>
      <c r="M13157" s="1">
        <f>VALUE(14630)</f>
        <v>14630</v>
      </c>
      <c r="N13157" t="s">
        <v>16</v>
      </c>
    </row>
    <row r="13158" spans="1:14" x14ac:dyDescent="0.25">
      <c r="A13158" t="s">
        <v>45</v>
      </c>
      <c r="B13158" t="s">
        <v>15</v>
      </c>
      <c r="C13158" t="s">
        <v>15</v>
      </c>
      <c r="D13158" t="s">
        <v>28</v>
      </c>
      <c r="E13158" t="s">
        <v>21</v>
      </c>
      <c r="F13158" t="s">
        <v>17</v>
      </c>
      <c r="G13158" s="2">
        <f>VALUE(6584.68)</f>
        <v>6584.68</v>
      </c>
      <c r="H13158" s="3">
        <f>VALUE(6034.1)</f>
        <v>6034.1</v>
      </c>
      <c r="I13158" s="1">
        <f>VALUE(5004)</f>
        <v>5004</v>
      </c>
      <c r="J13158" s="1">
        <f>VALUE(6930)</f>
        <v>6930</v>
      </c>
      <c r="K13158" s="1">
        <f>VALUE(9291)</f>
        <v>9291</v>
      </c>
      <c r="L13158" s="1">
        <f>VALUE(13333)</f>
        <v>13333</v>
      </c>
      <c r="M13158" s="1">
        <f>VALUE(18902)</f>
        <v>18902</v>
      </c>
      <c r="N13158" t="s">
        <v>25</v>
      </c>
    </row>
    <row r="13159" spans="1:14" x14ac:dyDescent="0.25">
      <c r="A13159" t="s">
        <v>45</v>
      </c>
      <c r="B13159" t="s">
        <v>15</v>
      </c>
      <c r="C13159" t="s">
        <v>15</v>
      </c>
      <c r="D13159" t="s">
        <v>28</v>
      </c>
      <c r="E13159" t="s">
        <v>21</v>
      </c>
      <c r="F13159" t="s">
        <v>18</v>
      </c>
      <c r="G13159" s="2">
        <f>VALUE(2520.11)</f>
        <v>2520.11</v>
      </c>
      <c r="H13159" s="3">
        <f>VALUE(2182.07)</f>
        <v>2182.0700000000002</v>
      </c>
      <c r="I13159" s="1">
        <f>VALUE(5159)</f>
        <v>5159</v>
      </c>
      <c r="J13159" s="1">
        <f>VALUE(6519)</f>
        <v>6519</v>
      </c>
      <c r="K13159" s="1">
        <f>VALUE(8018)</f>
        <v>8018</v>
      </c>
      <c r="L13159" s="1">
        <f>VALUE(9802)</f>
        <v>9802</v>
      </c>
      <c r="M13159" s="1">
        <f>VALUE(11551)</f>
        <v>11551</v>
      </c>
      <c r="N13159" t="s">
        <v>25</v>
      </c>
    </row>
    <row r="13160" spans="1:14" x14ac:dyDescent="0.25">
      <c r="A13160" t="s">
        <v>45</v>
      </c>
      <c r="B13160" t="s">
        <v>15</v>
      </c>
      <c r="C13160" t="s">
        <v>15</v>
      </c>
      <c r="D13160" t="s">
        <v>28</v>
      </c>
      <c r="E13160" t="s">
        <v>21</v>
      </c>
      <c r="F13160" t="s">
        <v>19</v>
      </c>
      <c r="G13160" s="2">
        <f>VALUE(1740.31)</f>
        <v>1740.31</v>
      </c>
      <c r="H13160" s="3">
        <f>VALUE(1465.22)</f>
        <v>1465.22</v>
      </c>
      <c r="I13160" s="1">
        <f>VALUE(4739)</f>
        <v>4739</v>
      </c>
      <c r="J13160" s="1">
        <f>VALUE(5819)</f>
        <v>5819</v>
      </c>
      <c r="K13160" s="1">
        <f>VALUE(6999)</f>
        <v>6999</v>
      </c>
      <c r="L13160" s="1">
        <f>VALUE(8517)</f>
        <v>8517</v>
      </c>
      <c r="M13160" s="1">
        <f>VALUE(10784)</f>
        <v>10784</v>
      </c>
      <c r="N13160" t="s">
        <v>25</v>
      </c>
    </row>
    <row r="13161" spans="1:14" x14ac:dyDescent="0.25">
      <c r="A13161" t="s">
        <v>45</v>
      </c>
      <c r="B13161" t="s">
        <v>15</v>
      </c>
      <c r="C13161" t="s">
        <v>15</v>
      </c>
      <c r="D13161" t="s">
        <v>28</v>
      </c>
      <c r="E13161" t="s">
        <v>21</v>
      </c>
      <c r="F13161" t="s">
        <v>20</v>
      </c>
      <c r="G13161" s="1">
        <f>VALUE(5463.1)</f>
        <v>5463.1</v>
      </c>
      <c r="H13161" s="3">
        <f>VALUE(4444.33)</f>
        <v>4444.33</v>
      </c>
      <c r="I13161" s="1">
        <f>VALUE(4094)</f>
        <v>4094</v>
      </c>
      <c r="J13161" s="5">
        <f>VALUE(4889)</f>
        <v>4889</v>
      </c>
      <c r="K13161" s="1">
        <f>VALUE(5818)</f>
        <v>5818</v>
      </c>
      <c r="L13161" s="1">
        <f>VALUE(7606)</f>
        <v>7606</v>
      </c>
      <c r="M13161" s="1">
        <f>VALUE(9667)</f>
        <v>9667</v>
      </c>
      <c r="N13161" t="s">
        <v>25</v>
      </c>
    </row>
    <row r="13162" spans="1:14" x14ac:dyDescent="0.25">
      <c r="A13162" t="s">
        <v>45</v>
      </c>
      <c r="B13162" t="s">
        <v>15</v>
      </c>
      <c r="C13162" t="s">
        <v>15</v>
      </c>
      <c r="D13162" t="s">
        <v>28</v>
      </c>
      <c r="E13162" t="s">
        <v>22</v>
      </c>
      <c r="F13162" t="s">
        <v>15</v>
      </c>
      <c r="G13162" s="1">
        <f>VALUE(26792.36)</f>
        <v>26792.36</v>
      </c>
      <c r="H13162" s="1">
        <f>VALUE(22946.53)</f>
        <v>22946.53</v>
      </c>
      <c r="I13162" s="1">
        <f>VALUE(3900)</f>
        <v>3900</v>
      </c>
      <c r="J13162" s="1">
        <f>VALUE(4620)</f>
        <v>4620</v>
      </c>
      <c r="K13162" s="1">
        <f>VALUE(5616)</f>
        <v>5616</v>
      </c>
      <c r="L13162" s="1">
        <f>VALUE(6842)</f>
        <v>6842</v>
      </c>
      <c r="M13162" s="1">
        <f>VALUE(9002)</f>
        <v>9002</v>
      </c>
      <c r="N13162" t="s">
        <v>16</v>
      </c>
    </row>
    <row r="13163" spans="1:14" x14ac:dyDescent="0.25">
      <c r="A13163" t="s">
        <v>45</v>
      </c>
      <c r="B13163" t="s">
        <v>15</v>
      </c>
      <c r="C13163" t="s">
        <v>15</v>
      </c>
      <c r="D13163" t="s">
        <v>28</v>
      </c>
      <c r="E13163" t="s">
        <v>22</v>
      </c>
      <c r="F13163" t="s">
        <v>17</v>
      </c>
      <c r="G13163" s="2">
        <f>VALUE(4001.47)</f>
        <v>4001.47</v>
      </c>
      <c r="H13163" s="3">
        <f>VALUE(3694.32)</f>
        <v>3694.32</v>
      </c>
      <c r="I13163" s="4">
        <f>VALUE(3852)</f>
        <v>3852</v>
      </c>
      <c r="J13163" s="1">
        <f>VALUE(5500)</f>
        <v>5500</v>
      </c>
      <c r="K13163" s="6">
        <f>VALUE(7873)</f>
        <v>7873</v>
      </c>
      <c r="L13163" s="7">
        <f>VALUE(10834)</f>
        <v>10834</v>
      </c>
      <c r="M13163" s="8">
        <f>VALUE(16183)</f>
        <v>16183</v>
      </c>
      <c r="N13163" t="s">
        <v>25</v>
      </c>
    </row>
    <row r="13164" spans="1:14" x14ac:dyDescent="0.25">
      <c r="A13164" t="s">
        <v>45</v>
      </c>
      <c r="B13164" t="s">
        <v>15</v>
      </c>
      <c r="C13164" t="s">
        <v>15</v>
      </c>
      <c r="D13164" t="s">
        <v>28</v>
      </c>
      <c r="E13164" t="s">
        <v>22</v>
      </c>
      <c r="F13164" t="s">
        <v>18</v>
      </c>
      <c r="G13164" s="2">
        <f>VALUE(3125.1)</f>
        <v>3125.1</v>
      </c>
      <c r="H13164" s="3">
        <f>VALUE(2629.21)</f>
        <v>2629.21</v>
      </c>
      <c r="I13164" s="1">
        <f>VALUE(4128)</f>
        <v>4128</v>
      </c>
      <c r="J13164" s="1">
        <f>VALUE(4960)</f>
        <v>4960</v>
      </c>
      <c r="K13164" s="1">
        <f>VALUE(5989)</f>
        <v>5989</v>
      </c>
      <c r="L13164" s="1">
        <f>VALUE(7541)</f>
        <v>7541</v>
      </c>
      <c r="M13164" s="1">
        <f>VALUE(9345)</f>
        <v>9345</v>
      </c>
      <c r="N13164" t="s">
        <v>25</v>
      </c>
    </row>
    <row r="13165" spans="1:14" x14ac:dyDescent="0.25">
      <c r="A13165" t="s">
        <v>45</v>
      </c>
      <c r="B13165" t="s">
        <v>15</v>
      </c>
      <c r="C13165" t="s">
        <v>15</v>
      </c>
      <c r="D13165" t="s">
        <v>28</v>
      </c>
      <c r="E13165" t="s">
        <v>22</v>
      </c>
      <c r="F13165" t="s">
        <v>19</v>
      </c>
      <c r="G13165" s="2">
        <f>VALUE(3533.72)</f>
        <v>3533.72</v>
      </c>
      <c r="H13165" s="3">
        <f>VALUE(3236.86)</f>
        <v>3236.86</v>
      </c>
      <c r="I13165" s="1">
        <f>VALUE(4129)</f>
        <v>4129</v>
      </c>
      <c r="J13165" s="1">
        <f>VALUE(4846)</f>
        <v>4846</v>
      </c>
      <c r="K13165" s="1">
        <f>VALUE(5957)</f>
        <v>5957</v>
      </c>
      <c r="L13165" s="1">
        <f>VALUE(6699)</f>
        <v>6699</v>
      </c>
      <c r="M13165" s="1">
        <f>VALUE(8045)</f>
        <v>8045</v>
      </c>
      <c r="N13165" t="s">
        <v>25</v>
      </c>
    </row>
    <row r="13166" spans="1:14" x14ac:dyDescent="0.25">
      <c r="A13166" t="s">
        <v>45</v>
      </c>
      <c r="B13166" t="s">
        <v>15</v>
      </c>
      <c r="C13166" t="s">
        <v>15</v>
      </c>
      <c r="D13166" t="s">
        <v>28</v>
      </c>
      <c r="E13166" t="s">
        <v>22</v>
      </c>
      <c r="F13166" t="s">
        <v>20</v>
      </c>
      <c r="G13166" s="1">
        <f>VALUE(16132.07)</f>
        <v>16132.07</v>
      </c>
      <c r="H13166" s="1">
        <f>VALUE(13386.14)</f>
        <v>13386.14</v>
      </c>
      <c r="I13166" s="1">
        <f>VALUE(3817)</f>
        <v>3817</v>
      </c>
      <c r="J13166" s="1">
        <f>VALUE(4425)</f>
        <v>4425</v>
      </c>
      <c r="K13166" s="1">
        <f>VALUE(5317)</f>
        <v>5317</v>
      </c>
      <c r="L13166" s="1">
        <f>VALUE(6286)</f>
        <v>6286</v>
      </c>
      <c r="M13166" s="1">
        <f>VALUE(7263)</f>
        <v>7263</v>
      </c>
      <c r="N13166" t="s">
        <v>16</v>
      </c>
    </row>
    <row r="13167" spans="1:14" x14ac:dyDescent="0.25">
      <c r="A13167" t="s">
        <v>45</v>
      </c>
      <c r="B13167" t="s">
        <v>15</v>
      </c>
      <c r="C13167" t="s">
        <v>15</v>
      </c>
      <c r="D13167" t="s">
        <v>28</v>
      </c>
      <c r="E13167" t="s">
        <v>23</v>
      </c>
      <c r="F13167" t="s">
        <v>15</v>
      </c>
      <c r="G13167" s="1">
        <f>VALUE(5582.61)</f>
        <v>5582.61</v>
      </c>
      <c r="H13167" s="1">
        <f>VALUE(4047.1)</f>
        <v>4047.1</v>
      </c>
      <c r="I13167" s="1">
        <f>VALUE(3518)</f>
        <v>3518</v>
      </c>
      <c r="J13167" s="1">
        <f>VALUE(3951)</f>
        <v>3951</v>
      </c>
      <c r="K13167" s="1">
        <f>VALUE(4643)</f>
        <v>4643</v>
      </c>
      <c r="L13167" s="1">
        <f>VALUE(5542)</f>
        <v>5542</v>
      </c>
      <c r="M13167" s="1">
        <f>VALUE(6857)</f>
        <v>6857</v>
      </c>
      <c r="N13167" t="s">
        <v>16</v>
      </c>
    </row>
    <row r="13168" spans="1:14" x14ac:dyDescent="0.25">
      <c r="A13168" t="s">
        <v>45</v>
      </c>
      <c r="B13168" t="s">
        <v>15</v>
      </c>
      <c r="C13168" t="s">
        <v>15</v>
      </c>
      <c r="D13168" t="s">
        <v>28</v>
      </c>
      <c r="E13168" t="s">
        <v>23</v>
      </c>
      <c r="F13168" t="s">
        <v>17</v>
      </c>
      <c r="G13168" s="2">
        <f>VALUE(342.16)</f>
        <v>342.16</v>
      </c>
      <c r="H13168" s="3">
        <f>VALUE(337.77)</f>
        <v>337.77</v>
      </c>
      <c r="I13168" s="4">
        <f>VALUE(4333)</f>
        <v>4333</v>
      </c>
      <c r="J13168" s="1">
        <f>VALUE(5404)</f>
        <v>5404</v>
      </c>
      <c r="K13168" s="1">
        <f>VALUE(5440)</f>
        <v>5440</v>
      </c>
      <c r="L13168" s="7">
        <f>VALUE(7619)</f>
        <v>7619</v>
      </c>
      <c r="M13168" s="8">
        <f>VALUE(11966)</f>
        <v>11966</v>
      </c>
      <c r="N13168" t="s">
        <v>25</v>
      </c>
    </row>
    <row r="13169" spans="1:14" x14ac:dyDescent="0.25">
      <c r="A13169" t="s">
        <v>45</v>
      </c>
      <c r="B13169" t="s">
        <v>15</v>
      </c>
      <c r="C13169" t="s">
        <v>15</v>
      </c>
      <c r="D13169" t="s">
        <v>28</v>
      </c>
      <c r="E13169" t="s">
        <v>23</v>
      </c>
      <c r="F13169" t="s">
        <v>18</v>
      </c>
      <c r="G13169" s="1" t="str">
        <f t="shared" ref="G13169:M13169" si="3013">"X"</f>
        <v>X</v>
      </c>
      <c r="H13169" s="1" t="str">
        <f t="shared" si="3013"/>
        <v>X</v>
      </c>
      <c r="I13169" s="1" t="str">
        <f t="shared" si="3013"/>
        <v>X</v>
      </c>
      <c r="J13169" s="1" t="str">
        <f t="shared" si="3013"/>
        <v>X</v>
      </c>
      <c r="K13169" s="1" t="str">
        <f t="shared" si="3013"/>
        <v>X</v>
      </c>
      <c r="L13169" s="1" t="str">
        <f t="shared" si="3013"/>
        <v>X</v>
      </c>
      <c r="M13169" s="1" t="str">
        <f t="shared" si="3013"/>
        <v>X</v>
      </c>
      <c r="N13169" t="s">
        <v>27</v>
      </c>
    </row>
    <row r="13170" spans="1:14" x14ac:dyDescent="0.25">
      <c r="A13170" t="s">
        <v>45</v>
      </c>
      <c r="B13170" t="s">
        <v>15</v>
      </c>
      <c r="C13170" t="s">
        <v>15</v>
      </c>
      <c r="D13170" t="s">
        <v>28</v>
      </c>
      <c r="E13170" t="s">
        <v>23</v>
      </c>
      <c r="F13170" t="s">
        <v>19</v>
      </c>
      <c r="G13170" s="2">
        <f>VALUE(405.63)</f>
        <v>405.63</v>
      </c>
      <c r="H13170" s="3">
        <f>VALUE(344)</f>
        <v>344</v>
      </c>
      <c r="I13170" s="1">
        <f>VALUE(3738)</f>
        <v>3738</v>
      </c>
      <c r="J13170" s="1">
        <f>VALUE(4469)</f>
        <v>4469</v>
      </c>
      <c r="K13170" s="1">
        <f>VALUE(5336)</f>
        <v>5336</v>
      </c>
      <c r="L13170" s="1">
        <f>VALUE(6769)</f>
        <v>6769</v>
      </c>
      <c r="M13170" s="1">
        <f>VALUE(10256)</f>
        <v>10256</v>
      </c>
      <c r="N13170" t="s">
        <v>25</v>
      </c>
    </row>
    <row r="13171" spans="1:14" x14ac:dyDescent="0.25">
      <c r="A13171" t="s">
        <v>45</v>
      </c>
      <c r="B13171" t="s">
        <v>15</v>
      </c>
      <c r="C13171" t="s">
        <v>15</v>
      </c>
      <c r="D13171" t="s">
        <v>28</v>
      </c>
      <c r="E13171" t="s">
        <v>23</v>
      </c>
      <c r="F13171" t="s">
        <v>20</v>
      </c>
      <c r="G13171" s="1">
        <f>VALUE(4638.95)</f>
        <v>4638.95</v>
      </c>
      <c r="H13171" s="1">
        <f>VALUE(3223.08)</f>
        <v>3223.08</v>
      </c>
      <c r="I13171" s="1">
        <f>VALUE(3467)</f>
        <v>3467</v>
      </c>
      <c r="J13171" s="1">
        <f>VALUE(3836)</f>
        <v>3836</v>
      </c>
      <c r="K13171" s="1">
        <f>VALUE(4473)</f>
        <v>4473</v>
      </c>
      <c r="L13171" s="1">
        <f>VALUE(5346)</f>
        <v>5346</v>
      </c>
      <c r="M13171" s="1">
        <f>VALUE(6195)</f>
        <v>6195</v>
      </c>
      <c r="N13171" t="s">
        <v>16</v>
      </c>
    </row>
    <row r="13172" spans="1:14" x14ac:dyDescent="0.25">
      <c r="A13172" t="s">
        <v>45</v>
      </c>
      <c r="B13172" t="s">
        <v>15</v>
      </c>
      <c r="C13172" t="s">
        <v>15</v>
      </c>
      <c r="D13172" t="s">
        <v>28</v>
      </c>
      <c r="E13172" t="s">
        <v>26</v>
      </c>
      <c r="F13172" t="s">
        <v>15</v>
      </c>
      <c r="G13172" s="2">
        <f>VALUE(438.33)</f>
        <v>438.33</v>
      </c>
      <c r="H13172" s="3">
        <f>VALUE(332.99)</f>
        <v>332.99</v>
      </c>
      <c r="I13172" s="4">
        <f>VALUE(3151)</f>
        <v>3151</v>
      </c>
      <c r="J13172" s="5">
        <f>VALUE(4094)</f>
        <v>4094</v>
      </c>
      <c r="K13172" s="6">
        <f>VALUE(6070)</f>
        <v>6070</v>
      </c>
      <c r="L13172" s="1">
        <f>VALUE(8235)</f>
        <v>8235</v>
      </c>
      <c r="M13172" s="1">
        <f>VALUE(10805)</f>
        <v>10805</v>
      </c>
      <c r="N13172" t="s">
        <v>25</v>
      </c>
    </row>
    <row r="13173" spans="1:14" x14ac:dyDescent="0.25">
      <c r="A13173" t="s">
        <v>45</v>
      </c>
      <c r="B13173" t="s">
        <v>15</v>
      </c>
      <c r="C13173" t="s">
        <v>15</v>
      </c>
      <c r="D13173" t="s">
        <v>28</v>
      </c>
      <c r="E13173" t="s">
        <v>26</v>
      </c>
      <c r="F13173" t="s">
        <v>17</v>
      </c>
      <c r="G13173" s="1" t="str">
        <f t="shared" ref="G13173:M13175" si="3014">"X"</f>
        <v>X</v>
      </c>
      <c r="H13173" s="1" t="str">
        <f t="shared" si="3014"/>
        <v>X</v>
      </c>
      <c r="I13173" s="1" t="str">
        <f t="shared" si="3014"/>
        <v>X</v>
      </c>
      <c r="J13173" s="1" t="str">
        <f t="shared" si="3014"/>
        <v>X</v>
      </c>
      <c r="K13173" s="1" t="str">
        <f t="shared" si="3014"/>
        <v>X</v>
      </c>
      <c r="L13173" s="1" t="str">
        <f t="shared" si="3014"/>
        <v>X</v>
      </c>
      <c r="M13173" s="1" t="str">
        <f t="shared" si="3014"/>
        <v>X</v>
      </c>
      <c r="N13173" t="s">
        <v>27</v>
      </c>
    </row>
    <row r="13174" spans="1:14" x14ac:dyDescent="0.25">
      <c r="A13174" t="s">
        <v>45</v>
      </c>
      <c r="B13174" t="s">
        <v>15</v>
      </c>
      <c r="C13174" t="s">
        <v>15</v>
      </c>
      <c r="D13174" t="s">
        <v>28</v>
      </c>
      <c r="E13174" t="s">
        <v>26</v>
      </c>
      <c r="F13174" t="s">
        <v>18</v>
      </c>
      <c r="G13174" s="1" t="str">
        <f t="shared" si="3014"/>
        <v>X</v>
      </c>
      <c r="H13174" s="1" t="str">
        <f t="shared" si="3014"/>
        <v>X</v>
      </c>
      <c r="I13174" s="1" t="str">
        <f t="shared" si="3014"/>
        <v>X</v>
      </c>
      <c r="J13174" s="1" t="str">
        <f t="shared" si="3014"/>
        <v>X</v>
      </c>
      <c r="K13174" s="1" t="str">
        <f t="shared" si="3014"/>
        <v>X</v>
      </c>
      <c r="L13174" s="1" t="str">
        <f t="shared" si="3014"/>
        <v>X</v>
      </c>
      <c r="M13174" s="1" t="str">
        <f t="shared" si="3014"/>
        <v>X</v>
      </c>
      <c r="N13174" t="s">
        <v>27</v>
      </c>
    </row>
    <row r="13175" spans="1:14" x14ac:dyDescent="0.25">
      <c r="A13175" t="s">
        <v>45</v>
      </c>
      <c r="B13175" t="s">
        <v>15</v>
      </c>
      <c r="C13175" t="s">
        <v>15</v>
      </c>
      <c r="D13175" t="s">
        <v>28</v>
      </c>
      <c r="E13175" t="s">
        <v>26</v>
      </c>
      <c r="F13175" t="s">
        <v>19</v>
      </c>
      <c r="G13175" s="1" t="str">
        <f t="shared" si="3014"/>
        <v>X</v>
      </c>
      <c r="H13175" s="1" t="str">
        <f t="shared" si="3014"/>
        <v>X</v>
      </c>
      <c r="I13175" s="1" t="str">
        <f t="shared" si="3014"/>
        <v>X</v>
      </c>
      <c r="J13175" s="1" t="str">
        <f t="shared" si="3014"/>
        <v>X</v>
      </c>
      <c r="K13175" s="1" t="str">
        <f t="shared" si="3014"/>
        <v>X</v>
      </c>
      <c r="L13175" s="1" t="str">
        <f t="shared" si="3014"/>
        <v>X</v>
      </c>
      <c r="M13175" s="1" t="str">
        <f t="shared" si="3014"/>
        <v>X</v>
      </c>
      <c r="N13175" t="s">
        <v>27</v>
      </c>
    </row>
    <row r="13176" spans="1:14" x14ac:dyDescent="0.25">
      <c r="A13176" t="s">
        <v>45</v>
      </c>
      <c r="B13176" t="s">
        <v>15</v>
      </c>
      <c r="C13176" t="s">
        <v>15</v>
      </c>
      <c r="D13176" t="s">
        <v>28</v>
      </c>
      <c r="E13176" t="s">
        <v>26</v>
      </c>
      <c r="F13176" t="s">
        <v>20</v>
      </c>
      <c r="G13176" s="2">
        <f>VALUE(306.91)</f>
        <v>306.91000000000003</v>
      </c>
      <c r="H13176" s="3">
        <f>VALUE(225.74)</f>
        <v>225.74</v>
      </c>
      <c r="I13176" s="1">
        <f>VALUE(3178)</f>
        <v>3178</v>
      </c>
      <c r="J13176" s="1">
        <f>VALUE(4094)</f>
        <v>4094</v>
      </c>
      <c r="K13176" s="1">
        <f>VALUE(6070)</f>
        <v>6070</v>
      </c>
      <c r="L13176" s="1">
        <f>VALUE(8101)</f>
        <v>8101</v>
      </c>
      <c r="M13176" s="1">
        <f>VALUE(9842)</f>
        <v>9842</v>
      </c>
      <c r="N13176" t="s">
        <v>25</v>
      </c>
    </row>
    <row r="13177" spans="1:14" x14ac:dyDescent="0.25">
      <c r="A13177" t="s">
        <v>45</v>
      </c>
      <c r="B13177" t="s">
        <v>15</v>
      </c>
      <c r="C13177" t="s">
        <v>15</v>
      </c>
      <c r="D13177" t="s">
        <v>29</v>
      </c>
      <c r="E13177" t="s">
        <v>15</v>
      </c>
      <c r="F13177" t="s">
        <v>15</v>
      </c>
      <c r="G13177" s="1">
        <f>VALUE(16800.61)</f>
        <v>16800.61</v>
      </c>
      <c r="H13177" s="1">
        <f>VALUE(14460.11)</f>
        <v>14460.11</v>
      </c>
      <c r="I13177" s="1">
        <f>VALUE(3663)</f>
        <v>3663</v>
      </c>
      <c r="J13177" s="1">
        <f>VALUE(4333)</f>
        <v>4333</v>
      </c>
      <c r="K13177" s="1">
        <f>VALUE(5496)</f>
        <v>5496</v>
      </c>
      <c r="L13177" s="1">
        <f>VALUE(6985)</f>
        <v>6985</v>
      </c>
      <c r="M13177" s="1">
        <f>VALUE(9365)</f>
        <v>9365</v>
      </c>
      <c r="N13177" t="s">
        <v>16</v>
      </c>
    </row>
    <row r="13178" spans="1:14" x14ac:dyDescent="0.25">
      <c r="A13178" t="s">
        <v>45</v>
      </c>
      <c r="B13178" t="s">
        <v>15</v>
      </c>
      <c r="C13178" t="s">
        <v>15</v>
      </c>
      <c r="D13178" t="s">
        <v>29</v>
      </c>
      <c r="E13178" t="s">
        <v>15</v>
      </c>
      <c r="F13178" t="s">
        <v>17</v>
      </c>
      <c r="G13178" s="2">
        <f>VALUE(2758.24)</f>
        <v>2758.24</v>
      </c>
      <c r="H13178" s="3">
        <f>VALUE(2612.49)</f>
        <v>2612.4899999999998</v>
      </c>
      <c r="I13178" s="4">
        <f>VALUE(4830)</f>
        <v>4830</v>
      </c>
      <c r="J13178" s="5">
        <f>VALUE(6316)</f>
        <v>6316</v>
      </c>
      <c r="K13178" s="1">
        <f>VALUE(7619)</f>
        <v>7619</v>
      </c>
      <c r="L13178" s="7">
        <f>VALUE(10950)</f>
        <v>10950</v>
      </c>
      <c r="M13178" s="8">
        <f>VALUE(18055)</f>
        <v>18055</v>
      </c>
      <c r="N13178" t="s">
        <v>25</v>
      </c>
    </row>
    <row r="13179" spans="1:14" x14ac:dyDescent="0.25">
      <c r="A13179" t="s">
        <v>45</v>
      </c>
      <c r="B13179" t="s">
        <v>15</v>
      </c>
      <c r="C13179" t="s">
        <v>15</v>
      </c>
      <c r="D13179" t="s">
        <v>29</v>
      </c>
      <c r="E13179" t="s">
        <v>15</v>
      </c>
      <c r="F13179" t="s">
        <v>18</v>
      </c>
      <c r="G13179" s="2">
        <f>VALUE(1797.07)</f>
        <v>1797.07</v>
      </c>
      <c r="H13179" s="3">
        <f>VALUE(1695.07)</f>
        <v>1695.07</v>
      </c>
      <c r="I13179" s="1">
        <f>VALUE(4286)</f>
        <v>4286</v>
      </c>
      <c r="J13179" s="1">
        <f>VALUE(5333)</f>
        <v>5333</v>
      </c>
      <c r="K13179" s="1">
        <f>VALUE(5813)</f>
        <v>5813</v>
      </c>
      <c r="L13179" s="1">
        <f>VALUE(7475)</f>
        <v>7475</v>
      </c>
      <c r="M13179" s="1">
        <f>VALUE(10310)</f>
        <v>10310</v>
      </c>
      <c r="N13179" t="s">
        <v>25</v>
      </c>
    </row>
    <row r="13180" spans="1:14" x14ac:dyDescent="0.25">
      <c r="A13180" t="s">
        <v>45</v>
      </c>
      <c r="B13180" t="s">
        <v>15</v>
      </c>
      <c r="C13180" t="s">
        <v>15</v>
      </c>
      <c r="D13180" t="s">
        <v>29</v>
      </c>
      <c r="E13180" t="s">
        <v>15</v>
      </c>
      <c r="F13180" t="s">
        <v>19</v>
      </c>
      <c r="G13180" s="2">
        <f>VALUE(1728.62)</f>
        <v>1728.62</v>
      </c>
      <c r="H13180" s="3">
        <f>VALUE(1667.19)</f>
        <v>1667.19</v>
      </c>
      <c r="I13180" s="1">
        <f>VALUE(3872)</f>
        <v>3872</v>
      </c>
      <c r="J13180" s="1">
        <f>VALUE(4534)</f>
        <v>4534</v>
      </c>
      <c r="K13180" s="1">
        <f>VALUE(5657)</f>
        <v>5657</v>
      </c>
      <c r="L13180" s="1">
        <f>VALUE(7126)</f>
        <v>7126</v>
      </c>
      <c r="M13180" s="1">
        <f>VALUE(8815)</f>
        <v>8815</v>
      </c>
      <c r="N13180" t="s">
        <v>25</v>
      </c>
    </row>
    <row r="13181" spans="1:14" x14ac:dyDescent="0.25">
      <c r="A13181" t="s">
        <v>45</v>
      </c>
      <c r="B13181" t="s">
        <v>15</v>
      </c>
      <c r="C13181" t="s">
        <v>15</v>
      </c>
      <c r="D13181" t="s">
        <v>29</v>
      </c>
      <c r="E13181" t="s">
        <v>15</v>
      </c>
      <c r="F13181" t="s">
        <v>20</v>
      </c>
      <c r="G13181" s="1">
        <f>VALUE(10516.68)</f>
        <v>10516.68</v>
      </c>
      <c r="H13181" s="1">
        <f>VALUE(8485.36)</f>
        <v>8485.36</v>
      </c>
      <c r="I13181" s="1">
        <f>VALUE(3544)</f>
        <v>3544</v>
      </c>
      <c r="J13181" s="1">
        <f>VALUE(4060)</f>
        <v>4060</v>
      </c>
      <c r="K13181" s="1">
        <f>VALUE(4912)</f>
        <v>4912</v>
      </c>
      <c r="L13181" s="1">
        <f>VALUE(5937)</f>
        <v>5937</v>
      </c>
      <c r="M13181" s="1">
        <f>VALUE(7211)</f>
        <v>7211</v>
      </c>
      <c r="N13181" t="s">
        <v>16</v>
      </c>
    </row>
    <row r="13182" spans="1:14" x14ac:dyDescent="0.25">
      <c r="A13182" t="s">
        <v>45</v>
      </c>
      <c r="B13182" t="s">
        <v>15</v>
      </c>
      <c r="C13182" t="s">
        <v>15</v>
      </c>
      <c r="D13182" t="s">
        <v>29</v>
      </c>
      <c r="E13182" t="s">
        <v>21</v>
      </c>
      <c r="F13182" t="s">
        <v>15</v>
      </c>
      <c r="G13182" s="2">
        <f>VALUE(4139.24)</f>
        <v>4139.24</v>
      </c>
      <c r="H13182" s="3">
        <f>VALUE(3818.85)</f>
        <v>3818.85</v>
      </c>
      <c r="I13182" s="1">
        <f>VALUE(4972)</f>
        <v>4972</v>
      </c>
      <c r="J13182" s="1">
        <f>VALUE(5943)</f>
        <v>5943</v>
      </c>
      <c r="K13182" s="1">
        <f>VALUE(7500)</f>
        <v>7500</v>
      </c>
      <c r="L13182" s="7">
        <f>VALUE(9917)</f>
        <v>9917</v>
      </c>
      <c r="M13182" s="8">
        <f>VALUE(15269)</f>
        <v>15269</v>
      </c>
      <c r="N13182" t="s">
        <v>25</v>
      </c>
    </row>
    <row r="13183" spans="1:14" x14ac:dyDescent="0.25">
      <c r="A13183" t="s">
        <v>45</v>
      </c>
      <c r="B13183" t="s">
        <v>15</v>
      </c>
      <c r="C13183" t="s">
        <v>15</v>
      </c>
      <c r="D13183" t="s">
        <v>29</v>
      </c>
      <c r="E13183" t="s">
        <v>21</v>
      </c>
      <c r="F13183" t="s">
        <v>17</v>
      </c>
      <c r="G13183" s="2">
        <f>VALUE(1662.71)</f>
        <v>1662.71</v>
      </c>
      <c r="H13183" s="3">
        <f>VALUE(1555.64)</f>
        <v>1555.64</v>
      </c>
      <c r="I13183" s="4">
        <f>VALUE(5594)</f>
        <v>5594</v>
      </c>
      <c r="J13183" s="5">
        <f>VALUE(6870)</f>
        <v>6870</v>
      </c>
      <c r="K13183" s="6">
        <f>VALUE(7982)</f>
        <v>7982</v>
      </c>
      <c r="L13183" s="7">
        <f>VALUE(12901)</f>
        <v>12901</v>
      </c>
      <c r="M13183" s="8">
        <f>VALUE(22573)</f>
        <v>22573</v>
      </c>
      <c r="N13183" t="s">
        <v>24</v>
      </c>
    </row>
    <row r="13184" spans="1:14" x14ac:dyDescent="0.25">
      <c r="A13184" t="s">
        <v>45</v>
      </c>
      <c r="B13184" t="s">
        <v>15</v>
      </c>
      <c r="C13184" t="s">
        <v>15</v>
      </c>
      <c r="D13184" t="s">
        <v>29</v>
      </c>
      <c r="E13184" t="s">
        <v>21</v>
      </c>
      <c r="F13184" t="s">
        <v>18</v>
      </c>
      <c r="G13184" s="2">
        <f>VALUE(897.24)</f>
        <v>897.24</v>
      </c>
      <c r="H13184" s="3">
        <f>VALUE(863.38)</f>
        <v>863.38</v>
      </c>
      <c r="I13184" s="1">
        <f>VALUE(5333)</f>
        <v>5333</v>
      </c>
      <c r="J13184" s="1">
        <f>VALUE(5333)</f>
        <v>5333</v>
      </c>
      <c r="K13184" s="1">
        <f>VALUE(6389)</f>
        <v>6389</v>
      </c>
      <c r="L13184" s="1">
        <f>VALUE(8656)</f>
        <v>8656</v>
      </c>
      <c r="M13184" s="1">
        <f>VALUE(11174)</f>
        <v>11174</v>
      </c>
      <c r="N13184" t="s">
        <v>25</v>
      </c>
    </row>
    <row r="13185" spans="1:14" x14ac:dyDescent="0.25">
      <c r="A13185" t="s">
        <v>45</v>
      </c>
      <c r="B13185" t="s">
        <v>15</v>
      </c>
      <c r="C13185" t="s">
        <v>15</v>
      </c>
      <c r="D13185" t="s">
        <v>29</v>
      </c>
      <c r="E13185" t="s">
        <v>21</v>
      </c>
      <c r="F13185" t="s">
        <v>19</v>
      </c>
      <c r="G13185" s="2">
        <f>VALUE(391.54)</f>
        <v>391.54</v>
      </c>
      <c r="H13185" s="3">
        <f>VALUE(359.96)</f>
        <v>359.96</v>
      </c>
      <c r="I13185" s="1">
        <f>VALUE(4911)</f>
        <v>4911</v>
      </c>
      <c r="J13185" s="1">
        <f>VALUE(6150)</f>
        <v>6150</v>
      </c>
      <c r="K13185" s="1">
        <f>VALUE(7706)</f>
        <v>7706</v>
      </c>
      <c r="L13185" s="7">
        <f>VALUE(10265)</f>
        <v>10265</v>
      </c>
      <c r="M13185" s="1">
        <f>VALUE(14277)</f>
        <v>14277</v>
      </c>
      <c r="N13185" t="s">
        <v>25</v>
      </c>
    </row>
    <row r="13186" spans="1:14" x14ac:dyDescent="0.25">
      <c r="A13186" t="s">
        <v>45</v>
      </c>
      <c r="B13186" t="s">
        <v>15</v>
      </c>
      <c r="C13186" t="s">
        <v>15</v>
      </c>
      <c r="D13186" t="s">
        <v>29</v>
      </c>
      <c r="E13186" t="s">
        <v>21</v>
      </c>
      <c r="F13186" t="s">
        <v>20</v>
      </c>
      <c r="G13186" s="2">
        <f>VALUE(1187.75)</f>
        <v>1187.75</v>
      </c>
      <c r="H13186" s="3">
        <f>VALUE(1039.87)</f>
        <v>1039.8699999999999</v>
      </c>
      <c r="I13186" s="1">
        <f>VALUE(4307)</f>
        <v>4307</v>
      </c>
      <c r="J13186" s="1">
        <f>VALUE(5302)</f>
        <v>5302</v>
      </c>
      <c r="K13186" s="1">
        <f>VALUE(6499)</f>
        <v>6499</v>
      </c>
      <c r="L13186" s="1">
        <f>VALUE(8808)</f>
        <v>8808</v>
      </c>
      <c r="M13186" s="8">
        <f>VALUE(10838)</f>
        <v>10838</v>
      </c>
      <c r="N13186" t="s">
        <v>25</v>
      </c>
    </row>
    <row r="13187" spans="1:14" x14ac:dyDescent="0.25">
      <c r="A13187" t="s">
        <v>45</v>
      </c>
      <c r="B13187" t="s">
        <v>15</v>
      </c>
      <c r="C13187" t="s">
        <v>15</v>
      </c>
      <c r="D13187" t="s">
        <v>29</v>
      </c>
      <c r="E13187" t="s">
        <v>22</v>
      </c>
      <c r="F13187" t="s">
        <v>15</v>
      </c>
      <c r="G13187" s="1">
        <f>VALUE(6092.44)</f>
        <v>6092.44</v>
      </c>
      <c r="H13187" s="1">
        <f>VALUE(5562.56)</f>
        <v>5562.56</v>
      </c>
      <c r="I13187" s="1">
        <f>VALUE(3934)</f>
        <v>3934</v>
      </c>
      <c r="J13187" s="1">
        <f>VALUE(4545)</f>
        <v>4545</v>
      </c>
      <c r="K13187" s="1">
        <f>VALUE(5436)</f>
        <v>5436</v>
      </c>
      <c r="L13187" s="1">
        <f>VALUE(6521)</f>
        <v>6521</v>
      </c>
      <c r="M13187" s="1">
        <f>VALUE(8118)</f>
        <v>8118</v>
      </c>
      <c r="N13187" t="s">
        <v>16</v>
      </c>
    </row>
    <row r="13188" spans="1:14" x14ac:dyDescent="0.25">
      <c r="A13188" t="s">
        <v>45</v>
      </c>
      <c r="B13188" t="s">
        <v>15</v>
      </c>
      <c r="C13188" t="s">
        <v>15</v>
      </c>
      <c r="D13188" t="s">
        <v>29</v>
      </c>
      <c r="E13188" t="s">
        <v>22</v>
      </c>
      <c r="F13188" t="s">
        <v>17</v>
      </c>
      <c r="G13188" s="2">
        <f>VALUE(761.62)</f>
        <v>761.62</v>
      </c>
      <c r="H13188" s="3">
        <f>VALUE(733.97)</f>
        <v>733.97</v>
      </c>
      <c r="I13188" s="4">
        <f>VALUE(4440)</f>
        <v>4440</v>
      </c>
      <c r="J13188" s="1">
        <f>VALUE(6127)</f>
        <v>6127</v>
      </c>
      <c r="K13188" s="1">
        <f>VALUE(7119)</f>
        <v>7119</v>
      </c>
      <c r="L13188" s="7">
        <f>VALUE(10585)</f>
        <v>10585</v>
      </c>
      <c r="M13188" s="8">
        <f>VALUE(14040)</f>
        <v>14040</v>
      </c>
      <c r="N13188" t="s">
        <v>25</v>
      </c>
    </row>
    <row r="13189" spans="1:14" x14ac:dyDescent="0.25">
      <c r="A13189" t="s">
        <v>45</v>
      </c>
      <c r="B13189" t="s">
        <v>15</v>
      </c>
      <c r="C13189" t="s">
        <v>15</v>
      </c>
      <c r="D13189" t="s">
        <v>29</v>
      </c>
      <c r="E13189" t="s">
        <v>22</v>
      </c>
      <c r="F13189" t="s">
        <v>18</v>
      </c>
      <c r="G13189" s="2">
        <f>VALUE(639.08)</f>
        <v>639.08000000000004</v>
      </c>
      <c r="H13189" s="3">
        <f>VALUE(612.3)</f>
        <v>612.29999999999995</v>
      </c>
      <c r="I13189" s="4">
        <f>VALUE(4388)</f>
        <v>4388</v>
      </c>
      <c r="J13189" s="1">
        <f>VALUE(5004)</f>
        <v>5004</v>
      </c>
      <c r="K13189" s="1">
        <f>VALUE(5611)</f>
        <v>5611</v>
      </c>
      <c r="L13189" s="1">
        <f>VALUE(6608)</f>
        <v>6608</v>
      </c>
      <c r="M13189" s="1">
        <f>VALUE(8730)</f>
        <v>8730</v>
      </c>
      <c r="N13189" t="s">
        <v>25</v>
      </c>
    </row>
    <row r="13190" spans="1:14" x14ac:dyDescent="0.25">
      <c r="A13190" t="s">
        <v>45</v>
      </c>
      <c r="B13190" t="s">
        <v>15</v>
      </c>
      <c r="C13190" t="s">
        <v>15</v>
      </c>
      <c r="D13190" t="s">
        <v>29</v>
      </c>
      <c r="E13190" t="s">
        <v>22</v>
      </c>
      <c r="F13190" t="s">
        <v>19</v>
      </c>
      <c r="G13190" s="2">
        <f>VALUE(800.71)</f>
        <v>800.71</v>
      </c>
      <c r="H13190" s="3">
        <f>VALUE(782.51)</f>
        <v>782.51</v>
      </c>
      <c r="I13190" s="1">
        <f>VALUE(4283)</f>
        <v>4283</v>
      </c>
      <c r="J13190" s="1">
        <f>VALUE(4664)</f>
        <v>4664</v>
      </c>
      <c r="K13190" s="1">
        <f>VALUE(5714)</f>
        <v>5714</v>
      </c>
      <c r="L13190" s="1">
        <f>VALUE(6798)</f>
        <v>6798</v>
      </c>
      <c r="M13190" s="1">
        <f>VALUE(8040)</f>
        <v>8040</v>
      </c>
      <c r="N13190" t="s">
        <v>25</v>
      </c>
    </row>
    <row r="13191" spans="1:14" x14ac:dyDescent="0.25">
      <c r="A13191" t="s">
        <v>45</v>
      </c>
      <c r="B13191" t="s">
        <v>15</v>
      </c>
      <c r="C13191" t="s">
        <v>15</v>
      </c>
      <c r="D13191" t="s">
        <v>29</v>
      </c>
      <c r="E13191" t="s">
        <v>22</v>
      </c>
      <c r="F13191" t="s">
        <v>20</v>
      </c>
      <c r="G13191" s="2">
        <f>VALUE(3891.03)</f>
        <v>3891.03</v>
      </c>
      <c r="H13191" s="3">
        <f>VALUE(3433.78)</f>
        <v>3433.78</v>
      </c>
      <c r="I13191" s="1">
        <f>VALUE(3812)</f>
        <v>3812</v>
      </c>
      <c r="J13191" s="1">
        <f>VALUE(4300)</f>
        <v>4300</v>
      </c>
      <c r="K13191" s="1">
        <f>VALUE(5159)</f>
        <v>5159</v>
      </c>
      <c r="L13191" s="1">
        <f>VALUE(5935)</f>
        <v>5935</v>
      </c>
      <c r="M13191" s="1">
        <f>VALUE(7211)</f>
        <v>7211</v>
      </c>
      <c r="N13191" t="s">
        <v>25</v>
      </c>
    </row>
    <row r="13192" spans="1:14" x14ac:dyDescent="0.25">
      <c r="A13192" t="s">
        <v>45</v>
      </c>
      <c r="B13192" t="s">
        <v>15</v>
      </c>
      <c r="C13192" t="s">
        <v>15</v>
      </c>
      <c r="D13192" t="s">
        <v>29</v>
      </c>
      <c r="E13192" t="s">
        <v>23</v>
      </c>
      <c r="F13192" t="s">
        <v>15</v>
      </c>
      <c r="G13192" s="1">
        <f>VALUE(6351.89)</f>
        <v>6351.89</v>
      </c>
      <c r="H13192" s="1">
        <f>VALUE(4922.96)</f>
        <v>4922.96</v>
      </c>
      <c r="I13192" s="1">
        <f>VALUE(3467)</f>
        <v>3467</v>
      </c>
      <c r="J13192" s="1">
        <f>VALUE(3796)</f>
        <v>3796</v>
      </c>
      <c r="K13192" s="1">
        <f>VALUE(4500)</f>
        <v>4500</v>
      </c>
      <c r="L13192" s="1">
        <f>VALUE(5590)</f>
        <v>5590</v>
      </c>
      <c r="M13192" s="8">
        <f>VALUE(6500)</f>
        <v>6500</v>
      </c>
      <c r="N13192" t="s">
        <v>25</v>
      </c>
    </row>
    <row r="13193" spans="1:14" x14ac:dyDescent="0.25">
      <c r="A13193" t="s">
        <v>45</v>
      </c>
      <c r="B13193" t="s">
        <v>15</v>
      </c>
      <c r="C13193" t="s">
        <v>15</v>
      </c>
      <c r="D13193" t="s">
        <v>29</v>
      </c>
      <c r="E13193" t="s">
        <v>23</v>
      </c>
      <c r="F13193" t="s">
        <v>17</v>
      </c>
      <c r="G13193" s="1" t="str">
        <f t="shared" ref="G13193:M13193" si="3015">"X"</f>
        <v>X</v>
      </c>
      <c r="H13193" s="1" t="str">
        <f t="shared" si="3015"/>
        <v>X</v>
      </c>
      <c r="I13193" s="1" t="str">
        <f t="shared" si="3015"/>
        <v>X</v>
      </c>
      <c r="J13193" s="1" t="str">
        <f t="shared" si="3015"/>
        <v>X</v>
      </c>
      <c r="K13193" s="1" t="str">
        <f t="shared" si="3015"/>
        <v>X</v>
      </c>
      <c r="L13193" s="1" t="str">
        <f t="shared" si="3015"/>
        <v>X</v>
      </c>
      <c r="M13193" s="1" t="str">
        <f t="shared" si="3015"/>
        <v>X</v>
      </c>
      <c r="N13193" t="s">
        <v>27</v>
      </c>
    </row>
    <row r="13194" spans="1:14" x14ac:dyDescent="0.25">
      <c r="A13194" t="s">
        <v>45</v>
      </c>
      <c r="B13194" t="s">
        <v>15</v>
      </c>
      <c r="C13194" t="s">
        <v>15</v>
      </c>
      <c r="D13194" t="s">
        <v>29</v>
      </c>
      <c r="E13194" t="s">
        <v>23</v>
      </c>
      <c r="F13194" t="s">
        <v>18</v>
      </c>
      <c r="G13194" s="2">
        <f>VALUE(249.85)</f>
        <v>249.85</v>
      </c>
      <c r="H13194" s="3">
        <f>VALUE(208.5)</f>
        <v>208.5</v>
      </c>
      <c r="I13194" s="1">
        <f>VALUE(3545)</f>
        <v>3545</v>
      </c>
      <c r="J13194" s="1">
        <f>VALUE(4017)</f>
        <v>4017</v>
      </c>
      <c r="K13194" s="1">
        <f>VALUE(4715)</f>
        <v>4715</v>
      </c>
      <c r="L13194" s="1">
        <f>VALUE(5489)</f>
        <v>5489</v>
      </c>
      <c r="M13194" s="8">
        <f>VALUE(6752)</f>
        <v>6752</v>
      </c>
      <c r="N13194" t="s">
        <v>25</v>
      </c>
    </row>
    <row r="13195" spans="1:14" x14ac:dyDescent="0.25">
      <c r="A13195" t="s">
        <v>45</v>
      </c>
      <c r="B13195" t="s">
        <v>15</v>
      </c>
      <c r="C13195" t="s">
        <v>15</v>
      </c>
      <c r="D13195" t="s">
        <v>29</v>
      </c>
      <c r="E13195" t="s">
        <v>23</v>
      </c>
      <c r="F13195" t="s">
        <v>19</v>
      </c>
      <c r="G13195" s="2">
        <f>VALUE(534.62)</f>
        <v>534.62</v>
      </c>
      <c r="H13195" s="3">
        <f>VALUE(522.75)</f>
        <v>522.75</v>
      </c>
      <c r="I13195" s="1">
        <f>VALUE(3586)</f>
        <v>3586</v>
      </c>
      <c r="J13195" s="1">
        <f>VALUE(4014)</f>
        <v>4014</v>
      </c>
      <c r="K13195" s="1">
        <f>VALUE(4712)</f>
        <v>4712</v>
      </c>
      <c r="L13195" s="1">
        <f>VALUE(5608)</f>
        <v>5608</v>
      </c>
      <c r="M13195" s="1">
        <f>VALUE(7054)</f>
        <v>7054</v>
      </c>
      <c r="N13195" t="s">
        <v>25</v>
      </c>
    </row>
    <row r="13196" spans="1:14" x14ac:dyDescent="0.25">
      <c r="A13196" t="s">
        <v>45</v>
      </c>
      <c r="B13196" t="s">
        <v>15</v>
      </c>
      <c r="C13196" t="s">
        <v>15</v>
      </c>
      <c r="D13196" t="s">
        <v>29</v>
      </c>
      <c r="E13196" t="s">
        <v>23</v>
      </c>
      <c r="F13196" t="s">
        <v>20</v>
      </c>
      <c r="G13196" s="1">
        <f>VALUE(5253.48)</f>
        <v>5253.48</v>
      </c>
      <c r="H13196" s="1">
        <f>VALUE(3888.66)</f>
        <v>3888.66</v>
      </c>
      <c r="I13196" s="1">
        <f>VALUE(3459)</f>
        <v>3459</v>
      </c>
      <c r="J13196" s="1">
        <f>VALUE(3738)</f>
        <v>3738</v>
      </c>
      <c r="K13196" s="1">
        <f>VALUE(4423)</f>
        <v>4423</v>
      </c>
      <c r="L13196" s="1">
        <f>VALUE(5537)</f>
        <v>5537</v>
      </c>
      <c r="M13196" s="1">
        <f>VALUE(6223)</f>
        <v>6223</v>
      </c>
      <c r="N13196" t="s">
        <v>16</v>
      </c>
    </row>
    <row r="13197" spans="1:14" x14ac:dyDescent="0.25">
      <c r="A13197" t="s">
        <v>45</v>
      </c>
      <c r="B13197" t="s">
        <v>15</v>
      </c>
      <c r="C13197" t="s">
        <v>15</v>
      </c>
      <c r="D13197" t="s">
        <v>29</v>
      </c>
      <c r="E13197" t="s">
        <v>26</v>
      </c>
      <c r="F13197" t="s">
        <v>15</v>
      </c>
      <c r="G13197" s="2">
        <f>VALUE(217.04)</f>
        <v>217.04</v>
      </c>
      <c r="H13197" s="3">
        <f>VALUE(155.74)</f>
        <v>155.74</v>
      </c>
      <c r="I13197" s="4">
        <f>VALUE(3207)</f>
        <v>3207</v>
      </c>
      <c r="J13197" s="5">
        <f>VALUE(3467)</f>
        <v>3467</v>
      </c>
      <c r="K13197" s="6">
        <f>VALUE(5600)</f>
        <v>5600</v>
      </c>
      <c r="L13197" s="7">
        <f>VALUE(8376)</f>
        <v>8376</v>
      </c>
      <c r="M13197" s="1">
        <f>VALUE(12453)</f>
        <v>12453</v>
      </c>
      <c r="N13197" t="s">
        <v>25</v>
      </c>
    </row>
    <row r="13198" spans="1:14" x14ac:dyDescent="0.25">
      <c r="A13198" t="s">
        <v>45</v>
      </c>
      <c r="B13198" t="s">
        <v>15</v>
      </c>
      <c r="C13198" t="s">
        <v>15</v>
      </c>
      <c r="D13198" t="s">
        <v>29</v>
      </c>
      <c r="E13198" t="s">
        <v>26</v>
      </c>
      <c r="F13198" t="s">
        <v>17</v>
      </c>
      <c r="G13198" s="1" t="str">
        <f t="shared" ref="G13198:M13201" si="3016">"X"</f>
        <v>X</v>
      </c>
      <c r="H13198" s="1" t="str">
        <f t="shared" si="3016"/>
        <v>X</v>
      </c>
      <c r="I13198" s="1" t="str">
        <f t="shared" si="3016"/>
        <v>X</v>
      </c>
      <c r="J13198" s="1" t="str">
        <f t="shared" si="3016"/>
        <v>X</v>
      </c>
      <c r="K13198" s="1" t="str">
        <f t="shared" si="3016"/>
        <v>X</v>
      </c>
      <c r="L13198" s="1" t="str">
        <f t="shared" si="3016"/>
        <v>X</v>
      </c>
      <c r="M13198" s="1" t="str">
        <f t="shared" si="3016"/>
        <v>X</v>
      </c>
      <c r="N13198" t="s">
        <v>27</v>
      </c>
    </row>
    <row r="13199" spans="1:14" x14ac:dyDescent="0.25">
      <c r="A13199" t="s">
        <v>45</v>
      </c>
      <c r="B13199" t="s">
        <v>15</v>
      </c>
      <c r="C13199" t="s">
        <v>15</v>
      </c>
      <c r="D13199" t="s">
        <v>29</v>
      </c>
      <c r="E13199" t="s">
        <v>26</v>
      </c>
      <c r="F13199" t="s">
        <v>18</v>
      </c>
      <c r="G13199" s="1" t="str">
        <f t="shared" si="3016"/>
        <v>X</v>
      </c>
      <c r="H13199" s="1" t="str">
        <f t="shared" si="3016"/>
        <v>X</v>
      </c>
      <c r="I13199" s="1" t="str">
        <f t="shared" si="3016"/>
        <v>X</v>
      </c>
      <c r="J13199" s="1" t="str">
        <f t="shared" si="3016"/>
        <v>X</v>
      </c>
      <c r="K13199" s="1" t="str">
        <f t="shared" si="3016"/>
        <v>X</v>
      </c>
      <c r="L13199" s="1" t="str">
        <f t="shared" si="3016"/>
        <v>X</v>
      </c>
      <c r="M13199" s="1" t="str">
        <f t="shared" si="3016"/>
        <v>X</v>
      </c>
      <c r="N13199" t="s">
        <v>27</v>
      </c>
    </row>
    <row r="13200" spans="1:14" x14ac:dyDescent="0.25">
      <c r="A13200" t="s">
        <v>45</v>
      </c>
      <c r="B13200" t="s">
        <v>15</v>
      </c>
      <c r="C13200" t="s">
        <v>15</v>
      </c>
      <c r="D13200" t="s">
        <v>29</v>
      </c>
      <c r="E13200" t="s">
        <v>26</v>
      </c>
      <c r="F13200" t="s">
        <v>19</v>
      </c>
      <c r="G13200" s="1" t="str">
        <f t="shared" si="3016"/>
        <v>X</v>
      </c>
      <c r="H13200" s="1" t="str">
        <f t="shared" si="3016"/>
        <v>X</v>
      </c>
      <c r="I13200" s="1" t="str">
        <f t="shared" si="3016"/>
        <v>X</v>
      </c>
      <c r="J13200" s="1" t="str">
        <f t="shared" si="3016"/>
        <v>X</v>
      </c>
      <c r="K13200" s="1" t="str">
        <f t="shared" si="3016"/>
        <v>X</v>
      </c>
      <c r="L13200" s="1" t="str">
        <f t="shared" si="3016"/>
        <v>X</v>
      </c>
      <c r="M13200" s="1" t="str">
        <f t="shared" si="3016"/>
        <v>X</v>
      </c>
      <c r="N13200" t="s">
        <v>27</v>
      </c>
    </row>
    <row r="13201" spans="1:14" x14ac:dyDescent="0.25">
      <c r="A13201" t="s">
        <v>45</v>
      </c>
      <c r="B13201" t="s">
        <v>15</v>
      </c>
      <c r="C13201" t="s">
        <v>15</v>
      </c>
      <c r="D13201" t="s">
        <v>29</v>
      </c>
      <c r="E13201" t="s">
        <v>26</v>
      </c>
      <c r="F13201" t="s">
        <v>20</v>
      </c>
      <c r="G13201" s="1" t="str">
        <f t="shared" si="3016"/>
        <v>X</v>
      </c>
      <c r="H13201" s="1" t="str">
        <f t="shared" si="3016"/>
        <v>X</v>
      </c>
      <c r="I13201" s="1" t="str">
        <f t="shared" si="3016"/>
        <v>X</v>
      </c>
      <c r="J13201" s="1" t="str">
        <f t="shared" si="3016"/>
        <v>X</v>
      </c>
      <c r="K13201" s="1" t="str">
        <f t="shared" si="3016"/>
        <v>X</v>
      </c>
      <c r="L13201" s="1" t="str">
        <f t="shared" si="3016"/>
        <v>X</v>
      </c>
      <c r="M13201" s="1" t="str">
        <f t="shared" si="3016"/>
        <v>X</v>
      </c>
      <c r="N13201" t="s">
        <v>27</v>
      </c>
    </row>
    <row r="13202" spans="1:14" x14ac:dyDescent="0.25">
      <c r="A13202" t="s">
        <v>45</v>
      </c>
      <c r="B13202" t="s">
        <v>15</v>
      </c>
      <c r="C13202" t="s">
        <v>15</v>
      </c>
      <c r="D13202" t="s">
        <v>31</v>
      </c>
      <c r="E13202" t="s">
        <v>15</v>
      </c>
      <c r="F13202" t="s">
        <v>15</v>
      </c>
      <c r="G13202" s="1">
        <f>VALUE(10977.91)</f>
        <v>10977.91</v>
      </c>
      <c r="H13202" s="1">
        <f>VALUE(9983.63)</f>
        <v>9983.6299999999992</v>
      </c>
      <c r="I13202" s="1">
        <f>VALUE(3495)</f>
        <v>3495</v>
      </c>
      <c r="J13202" s="1">
        <f>VALUE(3977)</f>
        <v>3977</v>
      </c>
      <c r="K13202" s="1">
        <f>VALUE(5093)</f>
        <v>5093</v>
      </c>
      <c r="L13202" s="1">
        <f>VALUE(6589)</f>
        <v>6589</v>
      </c>
      <c r="M13202" s="8">
        <f>VALUE(9653)</f>
        <v>9653</v>
      </c>
      <c r="N13202" t="s">
        <v>25</v>
      </c>
    </row>
    <row r="13203" spans="1:14" x14ac:dyDescent="0.25">
      <c r="A13203" t="s">
        <v>45</v>
      </c>
      <c r="B13203" t="s">
        <v>15</v>
      </c>
      <c r="C13203" t="s">
        <v>15</v>
      </c>
      <c r="D13203" t="s">
        <v>31</v>
      </c>
      <c r="E13203" t="s">
        <v>15</v>
      </c>
      <c r="F13203" t="s">
        <v>17</v>
      </c>
      <c r="G13203" s="2">
        <f>VALUE(1666.59)</f>
        <v>1666.59</v>
      </c>
      <c r="H13203" s="3">
        <f>VALUE(1657.79)</f>
        <v>1657.79</v>
      </c>
      <c r="I13203" s="4">
        <f>VALUE(4602)</f>
        <v>4602</v>
      </c>
      <c r="J13203" s="1">
        <f>VALUE(5768)</f>
        <v>5768</v>
      </c>
      <c r="K13203" s="6">
        <f>VALUE(8661)</f>
        <v>8661</v>
      </c>
      <c r="L13203" s="7">
        <f>VALUE(12800)</f>
        <v>12800</v>
      </c>
      <c r="M13203" s="8">
        <f>VALUE(20690)</f>
        <v>20690</v>
      </c>
      <c r="N13203" t="s">
        <v>25</v>
      </c>
    </row>
    <row r="13204" spans="1:14" x14ac:dyDescent="0.25">
      <c r="A13204" t="s">
        <v>45</v>
      </c>
      <c r="B13204" t="s">
        <v>15</v>
      </c>
      <c r="C13204" t="s">
        <v>15</v>
      </c>
      <c r="D13204" t="s">
        <v>31</v>
      </c>
      <c r="E13204" t="s">
        <v>15</v>
      </c>
      <c r="F13204" t="s">
        <v>18</v>
      </c>
      <c r="G13204" s="2">
        <f>VALUE(1038.87)</f>
        <v>1038.8699999999999</v>
      </c>
      <c r="H13204" s="3">
        <f>VALUE(993.26)</f>
        <v>993.26</v>
      </c>
      <c r="I13204" s="4">
        <f>VALUE(3972)</f>
        <v>3972</v>
      </c>
      <c r="J13204" s="1">
        <f>VALUE(5093)</f>
        <v>5093</v>
      </c>
      <c r="K13204" s="1">
        <f>VALUE(5579)</f>
        <v>5579</v>
      </c>
      <c r="L13204" s="7">
        <f>VALUE(7742)</f>
        <v>7742</v>
      </c>
      <c r="M13204" s="8">
        <f>VALUE(10494)</f>
        <v>10494</v>
      </c>
      <c r="N13204" t="s">
        <v>25</v>
      </c>
    </row>
    <row r="13205" spans="1:14" x14ac:dyDescent="0.25">
      <c r="A13205" t="s">
        <v>45</v>
      </c>
      <c r="B13205" t="s">
        <v>15</v>
      </c>
      <c r="C13205" t="s">
        <v>15</v>
      </c>
      <c r="D13205" t="s">
        <v>31</v>
      </c>
      <c r="E13205" t="s">
        <v>15</v>
      </c>
      <c r="F13205" t="s">
        <v>19</v>
      </c>
      <c r="G13205" s="2">
        <f>VALUE(1058.24)</f>
        <v>1058.24</v>
      </c>
      <c r="H13205" s="3">
        <f>VALUE(1026.91)</f>
        <v>1026.9100000000001</v>
      </c>
      <c r="I13205" s="1">
        <f>VALUE(3584)</f>
        <v>3584</v>
      </c>
      <c r="J13205" s="1">
        <f>VALUE(4209)</f>
        <v>4209</v>
      </c>
      <c r="K13205" s="6">
        <f>VALUE(5404)</f>
        <v>5404</v>
      </c>
      <c r="L13205" s="1">
        <f>VALUE(7000)</f>
        <v>7000</v>
      </c>
      <c r="M13205" s="1">
        <f>VALUE(8571)</f>
        <v>8571</v>
      </c>
      <c r="N13205" t="s">
        <v>25</v>
      </c>
    </row>
    <row r="13206" spans="1:14" x14ac:dyDescent="0.25">
      <c r="A13206" t="s">
        <v>45</v>
      </c>
      <c r="B13206" t="s">
        <v>15</v>
      </c>
      <c r="C13206" t="s">
        <v>15</v>
      </c>
      <c r="D13206" t="s">
        <v>31</v>
      </c>
      <c r="E13206" t="s">
        <v>15</v>
      </c>
      <c r="F13206" t="s">
        <v>20</v>
      </c>
      <c r="G13206" s="1">
        <f>VALUE(7214.21)</f>
        <v>7214.21</v>
      </c>
      <c r="H13206" s="1">
        <f>VALUE(6305.67)</f>
        <v>6305.67</v>
      </c>
      <c r="I13206" s="1">
        <f>VALUE(3437)</f>
        <v>3437</v>
      </c>
      <c r="J13206" s="1">
        <f>VALUE(3833)</f>
        <v>3833</v>
      </c>
      <c r="K13206" s="1">
        <f>VALUE(4436)</f>
        <v>4436</v>
      </c>
      <c r="L13206" s="1">
        <f>VALUE(5672)</f>
        <v>5672</v>
      </c>
      <c r="M13206" s="1">
        <f>VALUE(6825)</f>
        <v>6825</v>
      </c>
      <c r="N13206" t="s">
        <v>16</v>
      </c>
    </row>
    <row r="13207" spans="1:14" x14ac:dyDescent="0.25">
      <c r="A13207" t="s">
        <v>45</v>
      </c>
      <c r="B13207" t="s">
        <v>15</v>
      </c>
      <c r="C13207" t="s">
        <v>15</v>
      </c>
      <c r="D13207" t="s">
        <v>31</v>
      </c>
      <c r="E13207" t="s">
        <v>21</v>
      </c>
      <c r="F13207" t="s">
        <v>15</v>
      </c>
      <c r="G13207" s="2">
        <f>VALUE(4243.31)</f>
        <v>4243.3100000000004</v>
      </c>
      <c r="H13207" s="3">
        <f>VALUE(3995.99)</f>
        <v>3995.99</v>
      </c>
      <c r="I13207" s="1">
        <f>VALUE(3911)</f>
        <v>3911</v>
      </c>
      <c r="J13207" s="1">
        <f>VALUE(4747)</f>
        <v>4747</v>
      </c>
      <c r="K13207" s="1">
        <f>VALUE(6275)</f>
        <v>6275</v>
      </c>
      <c r="L13207" s="1">
        <f>VALUE(8905)</f>
        <v>8905</v>
      </c>
      <c r="M13207" s="8">
        <f>VALUE(13217)</f>
        <v>13217</v>
      </c>
      <c r="N13207" t="s">
        <v>25</v>
      </c>
    </row>
    <row r="13208" spans="1:14" x14ac:dyDescent="0.25">
      <c r="A13208" t="s">
        <v>45</v>
      </c>
      <c r="B13208" t="s">
        <v>15</v>
      </c>
      <c r="C13208" t="s">
        <v>15</v>
      </c>
      <c r="D13208" t="s">
        <v>31</v>
      </c>
      <c r="E13208" t="s">
        <v>21</v>
      </c>
      <c r="F13208" t="s">
        <v>17</v>
      </c>
      <c r="G13208" s="2">
        <f>VALUE(1241.81)</f>
        <v>1241.81</v>
      </c>
      <c r="H13208" s="3">
        <f>VALUE(1234.32)</f>
        <v>1234.32</v>
      </c>
      <c r="I13208" s="4">
        <f>VALUE(4651)</f>
        <v>4651</v>
      </c>
      <c r="J13208" s="5">
        <f>VALUE(5778)</f>
        <v>5778</v>
      </c>
      <c r="K13208" s="6">
        <f>VALUE(9350)</f>
        <v>9350</v>
      </c>
      <c r="L13208" s="7">
        <f>VALUE(14421)</f>
        <v>14421</v>
      </c>
      <c r="M13208" s="8">
        <f>VALUE(23608)</f>
        <v>23608</v>
      </c>
      <c r="N13208" t="s">
        <v>24</v>
      </c>
    </row>
    <row r="13209" spans="1:14" x14ac:dyDescent="0.25">
      <c r="A13209" t="s">
        <v>45</v>
      </c>
      <c r="B13209" t="s">
        <v>15</v>
      </c>
      <c r="C13209" t="s">
        <v>15</v>
      </c>
      <c r="D13209" t="s">
        <v>31</v>
      </c>
      <c r="E13209" t="s">
        <v>21</v>
      </c>
      <c r="F13209" t="s">
        <v>18</v>
      </c>
      <c r="G13209" s="2">
        <f>VALUE(446.96)</f>
        <v>446.96</v>
      </c>
      <c r="H13209" s="3">
        <f>VALUE(417.28)</f>
        <v>417.28</v>
      </c>
      <c r="I13209" s="4">
        <f>VALUE(4429)</f>
        <v>4429</v>
      </c>
      <c r="J13209" s="5">
        <f>VALUE(5523)</f>
        <v>5523</v>
      </c>
      <c r="K13209" s="6">
        <f>VALUE(7525)</f>
        <v>7525</v>
      </c>
      <c r="L13209" s="1">
        <f>VALUE(9405)</f>
        <v>9405</v>
      </c>
      <c r="M13209" s="1">
        <f>VALUE(12947)</f>
        <v>12947</v>
      </c>
      <c r="N13209" t="s">
        <v>25</v>
      </c>
    </row>
    <row r="13210" spans="1:14" x14ac:dyDescent="0.25">
      <c r="A13210" t="s">
        <v>45</v>
      </c>
      <c r="B13210" t="s">
        <v>15</v>
      </c>
      <c r="C13210" t="s">
        <v>15</v>
      </c>
      <c r="D13210" t="s">
        <v>31</v>
      </c>
      <c r="E13210" t="s">
        <v>21</v>
      </c>
      <c r="F13210" t="s">
        <v>19</v>
      </c>
      <c r="G13210" s="2">
        <f>VALUE(483.25)</f>
        <v>483.25</v>
      </c>
      <c r="H13210" s="3">
        <f>VALUE(451.71)</f>
        <v>451.71</v>
      </c>
      <c r="I13210" s="4">
        <f>VALUE(4000)</f>
        <v>4000</v>
      </c>
      <c r="J13210" s="5">
        <f>VALUE(4545)</f>
        <v>4545</v>
      </c>
      <c r="K13210" s="6">
        <f>VALUE(6370)</f>
        <v>6370</v>
      </c>
      <c r="L13210" s="7">
        <f>VALUE(7578)</f>
        <v>7578</v>
      </c>
      <c r="M13210" s="1">
        <f>VALUE(9335)</f>
        <v>9335</v>
      </c>
      <c r="N13210" t="s">
        <v>25</v>
      </c>
    </row>
    <row r="13211" spans="1:14" x14ac:dyDescent="0.25">
      <c r="A13211" t="s">
        <v>45</v>
      </c>
      <c r="B13211" t="s">
        <v>15</v>
      </c>
      <c r="C13211" t="s">
        <v>15</v>
      </c>
      <c r="D13211" t="s">
        <v>31</v>
      </c>
      <c r="E13211" t="s">
        <v>21</v>
      </c>
      <c r="F13211" t="s">
        <v>20</v>
      </c>
      <c r="G13211" s="2">
        <f>VALUE(2071.29)</f>
        <v>2071.29</v>
      </c>
      <c r="H13211" s="3">
        <f>VALUE(1892.68)</f>
        <v>1892.68</v>
      </c>
      <c r="I13211" s="1">
        <f>VALUE(3816)</f>
        <v>3816</v>
      </c>
      <c r="J13211" s="1">
        <f>VALUE(4170)</f>
        <v>4170</v>
      </c>
      <c r="K13211" s="1">
        <f>VALUE(5417)</f>
        <v>5417</v>
      </c>
      <c r="L13211" s="1">
        <f>VALUE(6645)</f>
        <v>6645</v>
      </c>
      <c r="M13211" s="8">
        <f>VALUE(8424)</f>
        <v>8424</v>
      </c>
      <c r="N13211" t="s">
        <v>25</v>
      </c>
    </row>
    <row r="13212" spans="1:14" x14ac:dyDescent="0.25">
      <c r="A13212" t="s">
        <v>45</v>
      </c>
      <c r="B13212" t="s">
        <v>15</v>
      </c>
      <c r="C13212" t="s">
        <v>15</v>
      </c>
      <c r="D13212" t="s">
        <v>31</v>
      </c>
      <c r="E13212" t="s">
        <v>22</v>
      </c>
      <c r="F13212" t="s">
        <v>15</v>
      </c>
      <c r="G13212" s="2">
        <f>VALUE(2652.82)</f>
        <v>2652.82</v>
      </c>
      <c r="H13212" s="3">
        <f>VALUE(2502.8)</f>
        <v>2502.8000000000002</v>
      </c>
      <c r="I13212" s="1">
        <f>VALUE(3469)</f>
        <v>3469</v>
      </c>
      <c r="J13212" s="1">
        <f>VALUE(4127)</f>
        <v>4127</v>
      </c>
      <c r="K13212" s="1">
        <f>VALUE(5053)</f>
        <v>5053</v>
      </c>
      <c r="L13212" s="1">
        <f>VALUE(6138)</f>
        <v>6138</v>
      </c>
      <c r="M13212" s="1">
        <f>VALUE(8406)</f>
        <v>8406</v>
      </c>
      <c r="N13212" t="s">
        <v>25</v>
      </c>
    </row>
    <row r="13213" spans="1:14" x14ac:dyDescent="0.25">
      <c r="A13213" t="s">
        <v>45</v>
      </c>
      <c r="B13213" t="s">
        <v>15</v>
      </c>
      <c r="C13213" t="s">
        <v>15</v>
      </c>
      <c r="D13213" t="s">
        <v>31</v>
      </c>
      <c r="E13213" t="s">
        <v>22</v>
      </c>
      <c r="F13213" t="s">
        <v>17</v>
      </c>
      <c r="G13213" s="2">
        <f>VALUE(338.22)</f>
        <v>338.22</v>
      </c>
      <c r="H13213" s="3">
        <f>VALUE(343.21)</f>
        <v>343.21</v>
      </c>
      <c r="I13213" s="4">
        <f>VALUE(3859)</f>
        <v>3859</v>
      </c>
      <c r="J13213" s="1">
        <f>VALUE(5346)</f>
        <v>5346</v>
      </c>
      <c r="K13213" s="6">
        <f>VALUE(7250)</f>
        <v>7250</v>
      </c>
      <c r="L13213" s="7">
        <f>VALUE(9778)</f>
        <v>9778</v>
      </c>
      <c r="M13213" s="8">
        <f>VALUE(12800)</f>
        <v>12800</v>
      </c>
      <c r="N13213" t="s">
        <v>25</v>
      </c>
    </row>
    <row r="13214" spans="1:14" x14ac:dyDescent="0.25">
      <c r="A13214" t="s">
        <v>45</v>
      </c>
      <c r="B13214" t="s">
        <v>15</v>
      </c>
      <c r="C13214" t="s">
        <v>15</v>
      </c>
      <c r="D13214" t="s">
        <v>31</v>
      </c>
      <c r="E13214" t="s">
        <v>22</v>
      </c>
      <c r="F13214" t="s">
        <v>18</v>
      </c>
      <c r="G13214" s="2">
        <f>VALUE(335.1)</f>
        <v>335.1</v>
      </c>
      <c r="H13214" s="3">
        <f>VALUE(324.53)</f>
        <v>324.52999999999997</v>
      </c>
      <c r="I13214" s="4">
        <f>VALUE(4127)</f>
        <v>4127</v>
      </c>
      <c r="J13214" s="5">
        <f>VALUE(5218)</f>
        <v>5218</v>
      </c>
      <c r="K13214" s="1">
        <f>VALUE(5579)</f>
        <v>5579</v>
      </c>
      <c r="L13214" s="1">
        <f>VALUE(5579)</f>
        <v>5579</v>
      </c>
      <c r="M13214" s="1">
        <f>VALUE(7936)</f>
        <v>7936</v>
      </c>
      <c r="N13214" t="s">
        <v>25</v>
      </c>
    </row>
    <row r="13215" spans="1:14" x14ac:dyDescent="0.25">
      <c r="A13215" t="s">
        <v>45</v>
      </c>
      <c r="B13215" t="s">
        <v>15</v>
      </c>
      <c r="C13215" t="s">
        <v>15</v>
      </c>
      <c r="D13215" t="s">
        <v>31</v>
      </c>
      <c r="E13215" t="s">
        <v>22</v>
      </c>
      <c r="F13215" t="s">
        <v>19</v>
      </c>
      <c r="G13215" s="2">
        <f>VALUE(415.84)</f>
        <v>415.84</v>
      </c>
      <c r="H13215" s="3">
        <f>VALUE(418.57)</f>
        <v>418.57</v>
      </c>
      <c r="I13215" s="4">
        <f>VALUE(3335)</f>
        <v>3335</v>
      </c>
      <c r="J13215" s="1">
        <f>VALUE(4127)</f>
        <v>4127</v>
      </c>
      <c r="K13215" s="6">
        <f>VALUE(5142)</f>
        <v>5142</v>
      </c>
      <c r="L13215" s="7">
        <f>VALUE(6338)</f>
        <v>6338</v>
      </c>
      <c r="M13215" s="8">
        <f>VALUE(7809)</f>
        <v>7809</v>
      </c>
      <c r="N13215" t="s">
        <v>25</v>
      </c>
    </row>
    <row r="13216" spans="1:14" x14ac:dyDescent="0.25">
      <c r="A13216" t="s">
        <v>45</v>
      </c>
      <c r="B13216" t="s">
        <v>15</v>
      </c>
      <c r="C13216" t="s">
        <v>15</v>
      </c>
      <c r="D13216" t="s">
        <v>31</v>
      </c>
      <c r="E13216" t="s">
        <v>22</v>
      </c>
      <c r="F13216" t="s">
        <v>20</v>
      </c>
      <c r="G13216" s="1">
        <f>VALUE(1563.66)</f>
        <v>1563.66</v>
      </c>
      <c r="H13216" s="1">
        <f>VALUE(1416.49)</f>
        <v>1416.49</v>
      </c>
      <c r="I13216" s="1">
        <f>VALUE(3453)</f>
        <v>3453</v>
      </c>
      <c r="J13216" s="1">
        <f>VALUE(3924)</f>
        <v>3924</v>
      </c>
      <c r="K13216" s="1">
        <f>VALUE(4576)</f>
        <v>4576</v>
      </c>
      <c r="L13216" s="1">
        <f>VALUE(5525)</f>
        <v>5525</v>
      </c>
      <c r="M13216" s="1">
        <f>VALUE(6662)</f>
        <v>6662</v>
      </c>
      <c r="N13216" t="s">
        <v>16</v>
      </c>
    </row>
    <row r="13217" spans="1:14" x14ac:dyDescent="0.25">
      <c r="A13217" t="s">
        <v>45</v>
      </c>
      <c r="B13217" t="s">
        <v>15</v>
      </c>
      <c r="C13217" t="s">
        <v>15</v>
      </c>
      <c r="D13217" t="s">
        <v>31</v>
      </c>
      <c r="E13217" t="s">
        <v>23</v>
      </c>
      <c r="F13217" t="s">
        <v>15</v>
      </c>
      <c r="G13217" s="2">
        <f>VALUE(3926.67)</f>
        <v>3926.67</v>
      </c>
      <c r="H13217" s="3">
        <f>VALUE(3368.09)</f>
        <v>3368.09</v>
      </c>
      <c r="I13217" s="1">
        <f>VALUE(3399)</f>
        <v>3399</v>
      </c>
      <c r="J13217" s="1">
        <f>VALUE(3636)</f>
        <v>3636</v>
      </c>
      <c r="K13217" s="1">
        <f>VALUE(4141)</f>
        <v>4141</v>
      </c>
      <c r="L13217" s="1">
        <f>VALUE(5093)</f>
        <v>5093</v>
      </c>
      <c r="M13217" s="1">
        <f>VALUE(5972)</f>
        <v>5972</v>
      </c>
      <c r="N13217" t="s">
        <v>25</v>
      </c>
    </row>
    <row r="13218" spans="1:14" x14ac:dyDescent="0.25">
      <c r="A13218" t="s">
        <v>45</v>
      </c>
      <c r="B13218" t="s">
        <v>15</v>
      </c>
      <c r="C13218" t="s">
        <v>15</v>
      </c>
      <c r="D13218" t="s">
        <v>31</v>
      </c>
      <c r="E13218" t="s">
        <v>23</v>
      </c>
      <c r="F13218" t="s">
        <v>17</v>
      </c>
      <c r="G13218" s="1" t="str">
        <f t="shared" ref="G13218:M13219" si="3017">"X"</f>
        <v>X</v>
      </c>
      <c r="H13218" s="1" t="str">
        <f t="shared" si="3017"/>
        <v>X</v>
      </c>
      <c r="I13218" s="1" t="str">
        <f t="shared" si="3017"/>
        <v>X</v>
      </c>
      <c r="J13218" s="1" t="str">
        <f t="shared" si="3017"/>
        <v>X</v>
      </c>
      <c r="K13218" s="1" t="str">
        <f t="shared" si="3017"/>
        <v>X</v>
      </c>
      <c r="L13218" s="1" t="str">
        <f t="shared" si="3017"/>
        <v>X</v>
      </c>
      <c r="M13218" s="1" t="str">
        <f t="shared" si="3017"/>
        <v>X</v>
      </c>
      <c r="N13218" t="s">
        <v>27</v>
      </c>
    </row>
    <row r="13219" spans="1:14" x14ac:dyDescent="0.25">
      <c r="A13219" t="s">
        <v>45</v>
      </c>
      <c r="B13219" t="s">
        <v>15</v>
      </c>
      <c r="C13219" t="s">
        <v>15</v>
      </c>
      <c r="D13219" t="s">
        <v>31</v>
      </c>
      <c r="E13219" t="s">
        <v>23</v>
      </c>
      <c r="F13219" t="s">
        <v>18</v>
      </c>
      <c r="G13219" s="1" t="str">
        <f t="shared" si="3017"/>
        <v>X</v>
      </c>
      <c r="H13219" s="1" t="str">
        <f t="shared" si="3017"/>
        <v>X</v>
      </c>
      <c r="I13219" s="1" t="str">
        <f t="shared" si="3017"/>
        <v>X</v>
      </c>
      <c r="J13219" s="1" t="str">
        <f t="shared" si="3017"/>
        <v>X</v>
      </c>
      <c r="K13219" s="1" t="str">
        <f t="shared" si="3017"/>
        <v>X</v>
      </c>
      <c r="L13219" s="1" t="str">
        <f t="shared" si="3017"/>
        <v>X</v>
      </c>
      <c r="M13219" s="1" t="str">
        <f t="shared" si="3017"/>
        <v>X</v>
      </c>
      <c r="N13219" t="s">
        <v>27</v>
      </c>
    </row>
    <row r="13220" spans="1:14" x14ac:dyDescent="0.25">
      <c r="A13220" t="s">
        <v>45</v>
      </c>
      <c r="B13220" t="s">
        <v>15</v>
      </c>
      <c r="C13220" t="s">
        <v>15</v>
      </c>
      <c r="D13220" t="s">
        <v>31</v>
      </c>
      <c r="E13220" t="s">
        <v>23</v>
      </c>
      <c r="F13220" t="s">
        <v>19</v>
      </c>
      <c r="G13220" s="2">
        <f>VALUE(159.15)</f>
        <v>159.15</v>
      </c>
      <c r="H13220" s="3">
        <f>VALUE(156.63)</f>
        <v>156.63</v>
      </c>
      <c r="I13220" s="4">
        <f>VALUE(2927)</f>
        <v>2927</v>
      </c>
      <c r="J13220" s="5">
        <f>VALUE(3653)</f>
        <v>3653</v>
      </c>
      <c r="K13220" s="1">
        <f>VALUE(4262)</f>
        <v>4262</v>
      </c>
      <c r="L13220" s="7">
        <f>VALUE(5040)</f>
        <v>5040</v>
      </c>
      <c r="M13220" s="1">
        <f>VALUE(7042)</f>
        <v>7042</v>
      </c>
      <c r="N13220" t="s">
        <v>25</v>
      </c>
    </row>
    <row r="13221" spans="1:14" x14ac:dyDescent="0.25">
      <c r="A13221" t="s">
        <v>45</v>
      </c>
      <c r="B13221" t="s">
        <v>15</v>
      </c>
      <c r="C13221" t="s">
        <v>15</v>
      </c>
      <c r="D13221" t="s">
        <v>31</v>
      </c>
      <c r="E13221" t="s">
        <v>23</v>
      </c>
      <c r="F13221" t="s">
        <v>20</v>
      </c>
      <c r="G13221" s="2">
        <f>VALUE(3441.42)</f>
        <v>3441.42</v>
      </c>
      <c r="H13221" s="3">
        <f>VALUE(2897.66)</f>
        <v>2897.66</v>
      </c>
      <c r="I13221" s="1">
        <f>VALUE(3413)</f>
        <v>3413</v>
      </c>
      <c r="J13221" s="1">
        <f>VALUE(3599)</f>
        <v>3599</v>
      </c>
      <c r="K13221" s="1">
        <f>VALUE(4127)</f>
        <v>4127</v>
      </c>
      <c r="L13221" s="1">
        <f>VALUE(4929)</f>
        <v>4929</v>
      </c>
      <c r="M13221" s="1">
        <f>VALUE(5891)</f>
        <v>5891</v>
      </c>
      <c r="N13221" t="s">
        <v>25</v>
      </c>
    </row>
    <row r="13222" spans="1:14" x14ac:dyDescent="0.25">
      <c r="A13222" t="s">
        <v>45</v>
      </c>
      <c r="B13222" t="s">
        <v>15</v>
      </c>
      <c r="C13222" t="s">
        <v>15</v>
      </c>
      <c r="D13222" t="s">
        <v>31</v>
      </c>
      <c r="E13222" t="s">
        <v>26</v>
      </c>
      <c r="F13222" t="s">
        <v>15</v>
      </c>
      <c r="G13222" s="1" t="str">
        <f t="shared" ref="G13222:M13224" si="3018">"X"</f>
        <v>X</v>
      </c>
      <c r="H13222" s="1" t="str">
        <f t="shared" si="3018"/>
        <v>X</v>
      </c>
      <c r="I13222" s="1" t="str">
        <f t="shared" si="3018"/>
        <v>X</v>
      </c>
      <c r="J13222" s="1" t="str">
        <f t="shared" si="3018"/>
        <v>X</v>
      </c>
      <c r="K13222" s="1" t="str">
        <f t="shared" si="3018"/>
        <v>X</v>
      </c>
      <c r="L13222" s="1" t="str">
        <f t="shared" si="3018"/>
        <v>X</v>
      </c>
      <c r="M13222" s="1" t="str">
        <f t="shared" si="3018"/>
        <v>X</v>
      </c>
      <c r="N13222" t="s">
        <v>27</v>
      </c>
    </row>
    <row r="13223" spans="1:14" x14ac:dyDescent="0.25">
      <c r="A13223" t="s">
        <v>45</v>
      </c>
      <c r="B13223" t="s">
        <v>15</v>
      </c>
      <c r="C13223" t="s">
        <v>15</v>
      </c>
      <c r="D13223" t="s">
        <v>31</v>
      </c>
      <c r="E13223" t="s">
        <v>26</v>
      </c>
      <c r="F13223" t="s">
        <v>17</v>
      </c>
      <c r="G13223" s="1" t="str">
        <f t="shared" si="3018"/>
        <v>X</v>
      </c>
      <c r="H13223" s="1" t="str">
        <f t="shared" si="3018"/>
        <v>X</v>
      </c>
      <c r="I13223" s="1" t="str">
        <f t="shared" si="3018"/>
        <v>X</v>
      </c>
      <c r="J13223" s="1" t="str">
        <f t="shared" si="3018"/>
        <v>X</v>
      </c>
      <c r="K13223" s="1" t="str">
        <f t="shared" si="3018"/>
        <v>X</v>
      </c>
      <c r="L13223" s="1" t="str">
        <f t="shared" si="3018"/>
        <v>X</v>
      </c>
      <c r="M13223" s="1" t="str">
        <f t="shared" si="3018"/>
        <v>X</v>
      </c>
      <c r="N13223" t="s">
        <v>27</v>
      </c>
    </row>
    <row r="13224" spans="1:14" x14ac:dyDescent="0.25">
      <c r="A13224" t="s">
        <v>45</v>
      </c>
      <c r="B13224" t="s">
        <v>15</v>
      </c>
      <c r="C13224" t="s">
        <v>15</v>
      </c>
      <c r="D13224" t="s">
        <v>31</v>
      </c>
      <c r="E13224" t="s">
        <v>26</v>
      </c>
      <c r="F13224" t="s">
        <v>18</v>
      </c>
      <c r="G13224" s="1" t="str">
        <f t="shared" si="3018"/>
        <v>X</v>
      </c>
      <c r="H13224" s="1" t="str">
        <f t="shared" si="3018"/>
        <v>X</v>
      </c>
      <c r="I13224" s="1" t="str">
        <f t="shared" si="3018"/>
        <v>X</v>
      </c>
      <c r="J13224" s="1" t="str">
        <f t="shared" si="3018"/>
        <v>X</v>
      </c>
      <c r="K13224" s="1" t="str">
        <f t="shared" si="3018"/>
        <v>X</v>
      </c>
      <c r="L13224" s="1" t="str">
        <f t="shared" si="3018"/>
        <v>X</v>
      </c>
      <c r="M13224" s="1" t="str">
        <f t="shared" si="3018"/>
        <v>X</v>
      </c>
      <c r="N13224" t="s">
        <v>27</v>
      </c>
    </row>
    <row r="13225" spans="1:14" x14ac:dyDescent="0.25">
      <c r="A13225" t="s">
        <v>45</v>
      </c>
      <c r="B13225" t="s">
        <v>15</v>
      </c>
      <c r="C13225" t="s">
        <v>15</v>
      </c>
      <c r="D13225" t="s">
        <v>31</v>
      </c>
      <c r="E13225" t="s">
        <v>26</v>
      </c>
      <c r="F13225" t="s">
        <v>19</v>
      </c>
      <c r="G13225" s="1" t="str">
        <f t="shared" ref="G13225:M13225" si="3019">"..."</f>
        <v>...</v>
      </c>
      <c r="H13225" s="1" t="str">
        <f t="shared" si="3019"/>
        <v>...</v>
      </c>
      <c r="I13225" s="1" t="str">
        <f t="shared" si="3019"/>
        <v>...</v>
      </c>
      <c r="J13225" s="1" t="str">
        <f t="shared" si="3019"/>
        <v>...</v>
      </c>
      <c r="K13225" s="1" t="str">
        <f t="shared" si="3019"/>
        <v>...</v>
      </c>
      <c r="L13225" s="1" t="str">
        <f t="shared" si="3019"/>
        <v>...</v>
      </c>
      <c r="M13225" s="1" t="str">
        <f t="shared" si="3019"/>
        <v>...</v>
      </c>
      <c r="N13225" t="s">
        <v>30</v>
      </c>
    </row>
    <row r="13226" spans="1:14" x14ac:dyDescent="0.25">
      <c r="A13226" t="s">
        <v>45</v>
      </c>
      <c r="B13226" t="s">
        <v>15</v>
      </c>
      <c r="C13226" t="s">
        <v>15</v>
      </c>
      <c r="D13226" t="s">
        <v>31</v>
      </c>
      <c r="E13226" t="s">
        <v>26</v>
      </c>
      <c r="F13226" t="s">
        <v>20</v>
      </c>
      <c r="G13226" s="1" t="str">
        <f t="shared" ref="G13226:M13226" si="3020">"X"</f>
        <v>X</v>
      </c>
      <c r="H13226" s="1" t="str">
        <f t="shared" si="3020"/>
        <v>X</v>
      </c>
      <c r="I13226" s="1" t="str">
        <f t="shared" si="3020"/>
        <v>X</v>
      </c>
      <c r="J13226" s="1" t="str">
        <f t="shared" si="3020"/>
        <v>X</v>
      </c>
      <c r="K13226" s="1" t="str">
        <f t="shared" si="3020"/>
        <v>X</v>
      </c>
      <c r="L13226" s="1" t="str">
        <f t="shared" si="3020"/>
        <v>X</v>
      </c>
      <c r="M13226" s="1" t="str">
        <f t="shared" si="3020"/>
        <v>X</v>
      </c>
      <c r="N13226" t="s">
        <v>27</v>
      </c>
    </row>
    <row r="13227" spans="1:14" x14ac:dyDescent="0.25">
      <c r="A13227" t="s">
        <v>45</v>
      </c>
      <c r="B13227" t="s">
        <v>15</v>
      </c>
      <c r="C13227" t="s">
        <v>15</v>
      </c>
      <c r="D13227" t="s">
        <v>32</v>
      </c>
      <c r="E13227" t="s">
        <v>15</v>
      </c>
      <c r="F13227" t="s">
        <v>15</v>
      </c>
      <c r="G13227" s="1">
        <f>VALUE(48624.74)</f>
        <v>48624.74</v>
      </c>
      <c r="H13227" s="1">
        <f>VALUE(45178.87)</f>
        <v>45178.87</v>
      </c>
      <c r="I13227" s="1">
        <f>VALUE(3143)</f>
        <v>3143</v>
      </c>
      <c r="J13227" s="1">
        <f>VALUE(3596)</f>
        <v>3596</v>
      </c>
      <c r="K13227" s="1">
        <f>VALUE(4477)</f>
        <v>4477</v>
      </c>
      <c r="L13227" s="1">
        <f>VALUE(5605)</f>
        <v>5605</v>
      </c>
      <c r="M13227" s="1">
        <f>VALUE(7056)</f>
        <v>7056</v>
      </c>
      <c r="N13227" t="s">
        <v>16</v>
      </c>
    </row>
    <row r="13228" spans="1:14" x14ac:dyDescent="0.25">
      <c r="A13228" t="s">
        <v>45</v>
      </c>
      <c r="B13228" t="s">
        <v>15</v>
      </c>
      <c r="C13228" t="s">
        <v>15</v>
      </c>
      <c r="D13228" t="s">
        <v>32</v>
      </c>
      <c r="E13228" t="s">
        <v>15</v>
      </c>
      <c r="F13228" t="s">
        <v>17</v>
      </c>
      <c r="G13228" s="2">
        <f>VALUE(3068.42)</f>
        <v>3068.42</v>
      </c>
      <c r="H13228" s="3">
        <f>VALUE(2808.6)</f>
        <v>2808.6</v>
      </c>
      <c r="I13228" s="1">
        <f>VALUE(4208)</f>
        <v>4208</v>
      </c>
      <c r="J13228" s="1">
        <f>VALUE(5257)</f>
        <v>5257</v>
      </c>
      <c r="K13228" s="1">
        <f>VALUE(6934)</f>
        <v>6934</v>
      </c>
      <c r="L13228" s="1">
        <f>VALUE(10016)</f>
        <v>10016</v>
      </c>
      <c r="M13228" s="1">
        <f>VALUE(14558)</f>
        <v>14558</v>
      </c>
      <c r="N13228" t="s">
        <v>25</v>
      </c>
    </row>
    <row r="13229" spans="1:14" x14ac:dyDescent="0.25">
      <c r="A13229" t="s">
        <v>45</v>
      </c>
      <c r="B13229" t="s">
        <v>15</v>
      </c>
      <c r="C13229" t="s">
        <v>15</v>
      </c>
      <c r="D13229" t="s">
        <v>32</v>
      </c>
      <c r="E13229" t="s">
        <v>15</v>
      </c>
      <c r="F13229" t="s">
        <v>18</v>
      </c>
      <c r="G13229" s="2">
        <f>VALUE(3376.11)</f>
        <v>3376.11</v>
      </c>
      <c r="H13229" s="3">
        <f>VALUE(3175.73)</f>
        <v>3175.73</v>
      </c>
      <c r="I13229" s="1">
        <f>VALUE(4115)</f>
        <v>4115</v>
      </c>
      <c r="J13229" s="1">
        <f>VALUE(4767)</f>
        <v>4767</v>
      </c>
      <c r="K13229" s="1">
        <f>VALUE(5658)</f>
        <v>5658</v>
      </c>
      <c r="L13229" s="1">
        <f>VALUE(7293)</f>
        <v>7293</v>
      </c>
      <c r="M13229" s="1">
        <f>VALUE(9749)</f>
        <v>9749</v>
      </c>
      <c r="N13229" t="s">
        <v>25</v>
      </c>
    </row>
    <row r="13230" spans="1:14" x14ac:dyDescent="0.25">
      <c r="A13230" t="s">
        <v>45</v>
      </c>
      <c r="B13230" t="s">
        <v>15</v>
      </c>
      <c r="C13230" t="s">
        <v>15</v>
      </c>
      <c r="D13230" t="s">
        <v>32</v>
      </c>
      <c r="E13230" t="s">
        <v>15</v>
      </c>
      <c r="F13230" t="s">
        <v>19</v>
      </c>
      <c r="G13230" s="1">
        <f>VALUE(4627.73)</f>
        <v>4627.7299999999996</v>
      </c>
      <c r="H13230" s="1">
        <f>VALUE(4440.14)</f>
        <v>4440.1400000000003</v>
      </c>
      <c r="I13230" s="1">
        <f>VALUE(3509)</f>
        <v>3509</v>
      </c>
      <c r="J13230" s="1">
        <f>VALUE(4204)</f>
        <v>4204</v>
      </c>
      <c r="K13230" s="1">
        <f>VALUE(5038)</f>
        <v>5038</v>
      </c>
      <c r="L13230" s="1">
        <f>VALUE(6163)</f>
        <v>6163</v>
      </c>
      <c r="M13230" s="1">
        <f>VALUE(7443)</f>
        <v>7443</v>
      </c>
      <c r="N13230" t="s">
        <v>16</v>
      </c>
    </row>
    <row r="13231" spans="1:14" x14ac:dyDescent="0.25">
      <c r="A13231" t="s">
        <v>45</v>
      </c>
      <c r="B13231" t="s">
        <v>15</v>
      </c>
      <c r="C13231" t="s">
        <v>15</v>
      </c>
      <c r="D13231" t="s">
        <v>32</v>
      </c>
      <c r="E13231" t="s">
        <v>15</v>
      </c>
      <c r="F13231" t="s">
        <v>20</v>
      </c>
      <c r="G13231" s="1">
        <f>VALUE(37552.48)</f>
        <v>37552.480000000003</v>
      </c>
      <c r="H13231" s="1">
        <f>VALUE(34754.4)</f>
        <v>34754.400000000001</v>
      </c>
      <c r="I13231" s="1">
        <f>VALUE(3057)</f>
        <v>3057</v>
      </c>
      <c r="J13231" s="1">
        <f>VALUE(3487)</f>
        <v>3487</v>
      </c>
      <c r="K13231" s="1">
        <f>VALUE(4230)</f>
        <v>4230</v>
      </c>
      <c r="L13231" s="1">
        <f>VALUE(5227)</f>
        <v>5227</v>
      </c>
      <c r="M13231" s="1">
        <f>VALUE(6252)</f>
        <v>6252</v>
      </c>
      <c r="N13231" t="s">
        <v>16</v>
      </c>
    </row>
    <row r="13232" spans="1:14" x14ac:dyDescent="0.25">
      <c r="A13232" t="s">
        <v>45</v>
      </c>
      <c r="B13232" t="s">
        <v>15</v>
      </c>
      <c r="C13232" t="s">
        <v>15</v>
      </c>
      <c r="D13232" t="s">
        <v>32</v>
      </c>
      <c r="E13232" t="s">
        <v>21</v>
      </c>
      <c r="F13232" t="s">
        <v>15</v>
      </c>
      <c r="G13232" s="1">
        <f>VALUE(11734.23)</f>
        <v>11734.23</v>
      </c>
      <c r="H13232" s="1">
        <f>VALUE(10718.07)</f>
        <v>10718.07</v>
      </c>
      <c r="I13232" s="1">
        <f>VALUE(3413)</f>
        <v>3413</v>
      </c>
      <c r="J13232" s="1">
        <f>VALUE(4181)</f>
        <v>4181</v>
      </c>
      <c r="K13232" s="1">
        <f>VALUE(5374)</f>
        <v>5374</v>
      </c>
      <c r="L13232" s="1">
        <f>VALUE(7168)</f>
        <v>7168</v>
      </c>
      <c r="M13232" s="1">
        <f>VALUE(9798)</f>
        <v>9798</v>
      </c>
      <c r="N13232" t="s">
        <v>16</v>
      </c>
    </row>
    <row r="13233" spans="1:14" x14ac:dyDescent="0.25">
      <c r="A13233" t="s">
        <v>45</v>
      </c>
      <c r="B13233" t="s">
        <v>15</v>
      </c>
      <c r="C13233" t="s">
        <v>15</v>
      </c>
      <c r="D13233" t="s">
        <v>32</v>
      </c>
      <c r="E13233" t="s">
        <v>21</v>
      </c>
      <c r="F13233" t="s">
        <v>17</v>
      </c>
      <c r="G13233" s="2">
        <f>VALUE(1908.81)</f>
        <v>1908.81</v>
      </c>
      <c r="H13233" s="3">
        <f>VALUE(1674.28)</f>
        <v>1674.28</v>
      </c>
      <c r="I13233" s="4">
        <f>VALUE(4334)</f>
        <v>4334</v>
      </c>
      <c r="J13233" s="1">
        <f>VALUE(5800)</f>
        <v>5800</v>
      </c>
      <c r="K13233" s="1">
        <f>VALUE(7953)</f>
        <v>7953</v>
      </c>
      <c r="L13233" s="7">
        <f>VALUE(11586)</f>
        <v>11586</v>
      </c>
      <c r="M13233" s="8">
        <f>VALUE(17962)</f>
        <v>17962</v>
      </c>
      <c r="N13233" t="s">
        <v>25</v>
      </c>
    </row>
    <row r="13234" spans="1:14" x14ac:dyDescent="0.25">
      <c r="A13234" t="s">
        <v>45</v>
      </c>
      <c r="B13234" t="s">
        <v>15</v>
      </c>
      <c r="C13234" t="s">
        <v>15</v>
      </c>
      <c r="D13234" t="s">
        <v>32</v>
      </c>
      <c r="E13234" t="s">
        <v>21</v>
      </c>
      <c r="F13234" t="s">
        <v>18</v>
      </c>
      <c r="G13234" s="2">
        <f>VALUE(1548.67)</f>
        <v>1548.67</v>
      </c>
      <c r="H13234" s="3">
        <f>VALUE(1460.87)</f>
        <v>1460.87</v>
      </c>
      <c r="I13234" s="1">
        <f>VALUE(4333)</f>
        <v>4333</v>
      </c>
      <c r="J13234" s="1">
        <f>VALUE(5088)</f>
        <v>5088</v>
      </c>
      <c r="K13234" s="1">
        <f>VALUE(6492)</f>
        <v>6492</v>
      </c>
      <c r="L13234" s="1">
        <f>VALUE(8494)</f>
        <v>8494</v>
      </c>
      <c r="M13234" s="1">
        <f>VALUE(11111)</f>
        <v>11111</v>
      </c>
      <c r="N13234" t="s">
        <v>25</v>
      </c>
    </row>
    <row r="13235" spans="1:14" x14ac:dyDescent="0.25">
      <c r="A13235" t="s">
        <v>45</v>
      </c>
      <c r="B13235" t="s">
        <v>15</v>
      </c>
      <c r="C13235" t="s">
        <v>15</v>
      </c>
      <c r="D13235" t="s">
        <v>32</v>
      </c>
      <c r="E13235" t="s">
        <v>21</v>
      </c>
      <c r="F13235" t="s">
        <v>19</v>
      </c>
      <c r="G13235" s="2">
        <f>VALUE(1666.71)</f>
        <v>1666.71</v>
      </c>
      <c r="H13235" s="3">
        <f>VALUE(1569.02)</f>
        <v>1569.02</v>
      </c>
      <c r="I13235" s="1">
        <f>VALUE(3405)</f>
        <v>3405</v>
      </c>
      <c r="J13235" s="1">
        <f>VALUE(4230)</f>
        <v>4230</v>
      </c>
      <c r="K13235" s="1">
        <f>VALUE(5387)</f>
        <v>5387</v>
      </c>
      <c r="L13235" s="1">
        <f>VALUE(6940)</f>
        <v>6940</v>
      </c>
      <c r="M13235" s="1">
        <f>VALUE(8568)</f>
        <v>8568</v>
      </c>
      <c r="N13235" t="s">
        <v>25</v>
      </c>
    </row>
    <row r="13236" spans="1:14" x14ac:dyDescent="0.25">
      <c r="A13236" t="s">
        <v>45</v>
      </c>
      <c r="B13236" t="s">
        <v>15</v>
      </c>
      <c r="C13236" t="s">
        <v>15</v>
      </c>
      <c r="D13236" t="s">
        <v>32</v>
      </c>
      <c r="E13236" t="s">
        <v>21</v>
      </c>
      <c r="F13236" t="s">
        <v>20</v>
      </c>
      <c r="G13236" s="1">
        <f>VALUE(6610.04)</f>
        <v>6610.04</v>
      </c>
      <c r="H13236" s="1">
        <f>VALUE(6013.9)</f>
        <v>6013.9</v>
      </c>
      <c r="I13236" s="1">
        <f>VALUE(3281)</f>
        <v>3281</v>
      </c>
      <c r="J13236" s="1">
        <f>VALUE(3812)</f>
        <v>3812</v>
      </c>
      <c r="K13236" s="1">
        <f>VALUE(4740)</f>
        <v>4740</v>
      </c>
      <c r="L13236" s="1">
        <f>VALUE(5959)</f>
        <v>5959</v>
      </c>
      <c r="M13236" s="1">
        <f>VALUE(7690)</f>
        <v>7690</v>
      </c>
      <c r="N13236" t="s">
        <v>16</v>
      </c>
    </row>
    <row r="13237" spans="1:14" x14ac:dyDescent="0.25">
      <c r="A13237" t="s">
        <v>45</v>
      </c>
      <c r="B13237" t="s">
        <v>15</v>
      </c>
      <c r="C13237" t="s">
        <v>15</v>
      </c>
      <c r="D13237" t="s">
        <v>32</v>
      </c>
      <c r="E13237" t="s">
        <v>22</v>
      </c>
      <c r="F13237" t="s">
        <v>15</v>
      </c>
      <c r="G13237" s="1">
        <f>VALUE(15637.91)</f>
        <v>15637.91</v>
      </c>
      <c r="H13237" s="1">
        <f>VALUE(14751.34)</f>
        <v>14751.34</v>
      </c>
      <c r="I13237" s="1">
        <f>VALUE(3276)</f>
        <v>3276</v>
      </c>
      <c r="J13237" s="1">
        <f>VALUE(3810)</f>
        <v>3810</v>
      </c>
      <c r="K13237" s="1">
        <f>VALUE(4699)</f>
        <v>4699</v>
      </c>
      <c r="L13237" s="1">
        <f>VALUE(5633)</f>
        <v>5633</v>
      </c>
      <c r="M13237" s="1">
        <f>VALUE(6815)</f>
        <v>6815</v>
      </c>
      <c r="N13237" t="s">
        <v>16</v>
      </c>
    </row>
    <row r="13238" spans="1:14" x14ac:dyDescent="0.25">
      <c r="A13238" t="s">
        <v>45</v>
      </c>
      <c r="B13238" t="s">
        <v>15</v>
      </c>
      <c r="C13238" t="s">
        <v>15</v>
      </c>
      <c r="D13238" t="s">
        <v>32</v>
      </c>
      <c r="E13238" t="s">
        <v>22</v>
      </c>
      <c r="F13238" t="s">
        <v>17</v>
      </c>
      <c r="G13238" s="2">
        <f>VALUE(865.25)</f>
        <v>865.25</v>
      </c>
      <c r="H13238" s="3">
        <f>VALUE(847.09)</f>
        <v>847.09</v>
      </c>
      <c r="I13238" s="1">
        <f>VALUE(4293)</f>
        <v>4293</v>
      </c>
      <c r="J13238" s="1">
        <f>VALUE(4847)</f>
        <v>4847</v>
      </c>
      <c r="K13238" s="6">
        <f>VALUE(6042)</f>
        <v>6042</v>
      </c>
      <c r="L13238" s="1">
        <f>VALUE(8467)</f>
        <v>8467</v>
      </c>
      <c r="M13238" s="8">
        <f>VALUE(11852)</f>
        <v>11852</v>
      </c>
      <c r="N13238" t="s">
        <v>25</v>
      </c>
    </row>
    <row r="13239" spans="1:14" x14ac:dyDescent="0.25">
      <c r="A13239" t="s">
        <v>45</v>
      </c>
      <c r="B13239" t="s">
        <v>15</v>
      </c>
      <c r="C13239" t="s">
        <v>15</v>
      </c>
      <c r="D13239" t="s">
        <v>32</v>
      </c>
      <c r="E13239" t="s">
        <v>22</v>
      </c>
      <c r="F13239" t="s">
        <v>18</v>
      </c>
      <c r="G13239" s="2">
        <f>VALUE(1183.91)</f>
        <v>1183.9100000000001</v>
      </c>
      <c r="H13239" s="3">
        <f>VALUE(1098.65)</f>
        <v>1098.6500000000001</v>
      </c>
      <c r="I13239" s="4">
        <f>VALUE(4000)</f>
        <v>4000</v>
      </c>
      <c r="J13239" s="1">
        <f>VALUE(4584)</f>
        <v>4584</v>
      </c>
      <c r="K13239" s="1">
        <f>VALUE(5525)</f>
        <v>5525</v>
      </c>
      <c r="L13239" s="1">
        <f>VALUE(6500)</f>
        <v>6500</v>
      </c>
      <c r="M13239" s="1">
        <f>VALUE(7857)</f>
        <v>7857</v>
      </c>
      <c r="N13239" t="s">
        <v>25</v>
      </c>
    </row>
    <row r="13240" spans="1:14" x14ac:dyDescent="0.25">
      <c r="A13240" t="s">
        <v>45</v>
      </c>
      <c r="B13240" t="s">
        <v>15</v>
      </c>
      <c r="C13240" t="s">
        <v>15</v>
      </c>
      <c r="D13240" t="s">
        <v>32</v>
      </c>
      <c r="E13240" t="s">
        <v>22</v>
      </c>
      <c r="F13240" t="s">
        <v>19</v>
      </c>
      <c r="G13240" s="2">
        <f>VALUE(1953.08)</f>
        <v>1953.08</v>
      </c>
      <c r="H13240" s="3">
        <f>VALUE(1886.5)</f>
        <v>1886.5</v>
      </c>
      <c r="I13240" s="1">
        <f>VALUE(3576)</f>
        <v>3576</v>
      </c>
      <c r="J13240" s="1">
        <f>VALUE(4235)</f>
        <v>4235</v>
      </c>
      <c r="K13240" s="1">
        <f>VALUE(5147)</f>
        <v>5147</v>
      </c>
      <c r="L13240" s="1">
        <f>VALUE(6031)</f>
        <v>6031</v>
      </c>
      <c r="M13240" s="1">
        <f>VALUE(7177)</f>
        <v>7177</v>
      </c>
      <c r="N13240" t="s">
        <v>25</v>
      </c>
    </row>
    <row r="13241" spans="1:14" x14ac:dyDescent="0.25">
      <c r="A13241" t="s">
        <v>45</v>
      </c>
      <c r="B13241" t="s">
        <v>15</v>
      </c>
      <c r="C13241" t="s">
        <v>15</v>
      </c>
      <c r="D13241" t="s">
        <v>32</v>
      </c>
      <c r="E13241" t="s">
        <v>22</v>
      </c>
      <c r="F13241" t="s">
        <v>20</v>
      </c>
      <c r="G13241" s="1">
        <f>VALUE(11635.67)</f>
        <v>11635.67</v>
      </c>
      <c r="H13241" s="1">
        <f>VALUE(10919.1)</f>
        <v>10919.1</v>
      </c>
      <c r="I13241" s="1">
        <f>VALUE(3201)</f>
        <v>3201</v>
      </c>
      <c r="J13241" s="1">
        <f>VALUE(3666)</f>
        <v>3666</v>
      </c>
      <c r="K13241" s="1">
        <f>VALUE(4473)</f>
        <v>4473</v>
      </c>
      <c r="L13241" s="1">
        <f>VALUE(5384)</f>
        <v>5384</v>
      </c>
      <c r="M13241" s="1">
        <f>VALUE(6250)</f>
        <v>6250</v>
      </c>
      <c r="N13241" t="s">
        <v>16</v>
      </c>
    </row>
    <row r="13242" spans="1:14" x14ac:dyDescent="0.25">
      <c r="A13242" t="s">
        <v>45</v>
      </c>
      <c r="B13242" t="s">
        <v>15</v>
      </c>
      <c r="C13242" t="s">
        <v>15</v>
      </c>
      <c r="D13242" t="s">
        <v>32</v>
      </c>
      <c r="E13242" t="s">
        <v>23</v>
      </c>
      <c r="F13242" t="s">
        <v>15</v>
      </c>
      <c r="G13242" s="1">
        <f>VALUE(20921.51)</f>
        <v>20921.509999999998</v>
      </c>
      <c r="H13242" s="1">
        <f>VALUE(19393.37)</f>
        <v>19393.37</v>
      </c>
      <c r="I13242" s="1">
        <f>VALUE(3001)</f>
        <v>3001</v>
      </c>
      <c r="J13242" s="1">
        <f>VALUE(3381)</f>
        <v>3381</v>
      </c>
      <c r="K13242" s="1">
        <f>VALUE(3999)</f>
        <v>3999</v>
      </c>
      <c r="L13242" s="1">
        <f>VALUE(4952)</f>
        <v>4952</v>
      </c>
      <c r="M13242" s="1">
        <f>VALUE(5857)</f>
        <v>5857</v>
      </c>
      <c r="N13242" t="s">
        <v>16</v>
      </c>
    </row>
    <row r="13243" spans="1:14" x14ac:dyDescent="0.25">
      <c r="A13243" t="s">
        <v>45</v>
      </c>
      <c r="B13243" t="s">
        <v>15</v>
      </c>
      <c r="C13243" t="s">
        <v>15</v>
      </c>
      <c r="D13243" t="s">
        <v>32</v>
      </c>
      <c r="E13243" t="s">
        <v>23</v>
      </c>
      <c r="F13243" t="s">
        <v>17</v>
      </c>
      <c r="G13243" s="2">
        <f>VALUE(290.73)</f>
        <v>290.73</v>
      </c>
      <c r="H13243" s="3">
        <f>VALUE(283.57)</f>
        <v>283.57</v>
      </c>
      <c r="I13243" s="1">
        <f>VALUE(3365)</f>
        <v>3365</v>
      </c>
      <c r="J13243" s="5">
        <f>VALUE(4162)</f>
        <v>4162</v>
      </c>
      <c r="K13243" s="1">
        <f>VALUE(5069)</f>
        <v>5069</v>
      </c>
      <c r="L13243" s="7">
        <f>VALUE(6118)</f>
        <v>6118</v>
      </c>
      <c r="M13243" s="1">
        <f>VALUE(7458)</f>
        <v>7458</v>
      </c>
      <c r="N13243" t="s">
        <v>25</v>
      </c>
    </row>
    <row r="13244" spans="1:14" x14ac:dyDescent="0.25">
      <c r="A13244" t="s">
        <v>45</v>
      </c>
      <c r="B13244" t="s">
        <v>15</v>
      </c>
      <c r="C13244" t="s">
        <v>15</v>
      </c>
      <c r="D13244" t="s">
        <v>32</v>
      </c>
      <c r="E13244" t="s">
        <v>23</v>
      </c>
      <c r="F13244" t="s">
        <v>18</v>
      </c>
      <c r="G13244" s="2">
        <f>VALUE(602.66)</f>
        <v>602.66</v>
      </c>
      <c r="H13244" s="3">
        <f>VALUE(574.94)</f>
        <v>574.94000000000005</v>
      </c>
      <c r="I13244" s="1">
        <f>VALUE(3856)</f>
        <v>3856</v>
      </c>
      <c r="J13244" s="1">
        <f>VALUE(4550)</f>
        <v>4550</v>
      </c>
      <c r="K13244" s="1">
        <f>VALUE(5186)</f>
        <v>5186</v>
      </c>
      <c r="L13244" s="1">
        <f>VALUE(5691)</f>
        <v>5691</v>
      </c>
      <c r="M13244" s="8">
        <f>VALUE(7038)</f>
        <v>7038</v>
      </c>
      <c r="N13244" t="s">
        <v>25</v>
      </c>
    </row>
    <row r="13245" spans="1:14" x14ac:dyDescent="0.25">
      <c r="A13245" t="s">
        <v>45</v>
      </c>
      <c r="B13245" t="s">
        <v>15</v>
      </c>
      <c r="C13245" t="s">
        <v>15</v>
      </c>
      <c r="D13245" t="s">
        <v>32</v>
      </c>
      <c r="E13245" t="s">
        <v>23</v>
      </c>
      <c r="F13245" t="s">
        <v>19</v>
      </c>
      <c r="G13245" s="2">
        <f>VALUE(991.11)</f>
        <v>991.11</v>
      </c>
      <c r="H13245" s="3">
        <f>VALUE(969.53)</f>
        <v>969.53</v>
      </c>
      <c r="I13245" s="4">
        <f>VALUE(3509)</f>
        <v>3509</v>
      </c>
      <c r="J13245" s="1">
        <f>VALUE(3946)</f>
        <v>3946</v>
      </c>
      <c r="K13245" s="1">
        <f>VALUE(4658)</f>
        <v>4658</v>
      </c>
      <c r="L13245" s="1">
        <f>VALUE(5280)</f>
        <v>5280</v>
      </c>
      <c r="M13245" s="1">
        <f>VALUE(6116)</f>
        <v>6116</v>
      </c>
      <c r="N13245" t="s">
        <v>25</v>
      </c>
    </row>
    <row r="13246" spans="1:14" x14ac:dyDescent="0.25">
      <c r="A13246" t="s">
        <v>45</v>
      </c>
      <c r="B13246" t="s">
        <v>15</v>
      </c>
      <c r="C13246" t="s">
        <v>15</v>
      </c>
      <c r="D13246" t="s">
        <v>32</v>
      </c>
      <c r="E13246" t="s">
        <v>23</v>
      </c>
      <c r="F13246" t="s">
        <v>20</v>
      </c>
      <c r="G13246" s="1">
        <f>VALUE(19037.01)</f>
        <v>19037.009999999998</v>
      </c>
      <c r="H13246" s="1">
        <f>VALUE(17565.33)</f>
        <v>17565.330000000002</v>
      </c>
      <c r="I13246" s="1">
        <f>VALUE(2998)</f>
        <v>2998</v>
      </c>
      <c r="J13246" s="1">
        <f>VALUE(3342)</f>
        <v>3342</v>
      </c>
      <c r="K13246" s="1">
        <f>VALUE(3900)</f>
        <v>3900</v>
      </c>
      <c r="L13246" s="1">
        <f>VALUE(4792)</f>
        <v>4792</v>
      </c>
      <c r="M13246" s="1">
        <f>VALUE(5742)</f>
        <v>5742</v>
      </c>
      <c r="N13246" t="s">
        <v>16</v>
      </c>
    </row>
    <row r="13247" spans="1:14" x14ac:dyDescent="0.25">
      <c r="A13247" t="s">
        <v>45</v>
      </c>
      <c r="B13247" t="s">
        <v>15</v>
      </c>
      <c r="C13247" t="s">
        <v>15</v>
      </c>
      <c r="D13247" t="s">
        <v>32</v>
      </c>
      <c r="E13247" t="s">
        <v>26</v>
      </c>
      <c r="F13247" t="s">
        <v>15</v>
      </c>
      <c r="G13247" s="2">
        <f>VALUE(331.09)</f>
        <v>331.09</v>
      </c>
      <c r="H13247" s="3">
        <f>VALUE(316.09)</f>
        <v>316.08999999999997</v>
      </c>
      <c r="I13247" s="1">
        <f>VALUE(3420)</f>
        <v>3420</v>
      </c>
      <c r="J13247" s="1">
        <f>VALUE(3769)</f>
        <v>3769</v>
      </c>
      <c r="K13247" s="6">
        <f>VALUE(4570)</f>
        <v>4570</v>
      </c>
      <c r="L13247" s="7">
        <f>VALUE(6341)</f>
        <v>6341</v>
      </c>
      <c r="M13247" s="1">
        <f>VALUE(8464)</f>
        <v>8464</v>
      </c>
      <c r="N13247" t="s">
        <v>25</v>
      </c>
    </row>
    <row r="13248" spans="1:14" x14ac:dyDescent="0.25">
      <c r="A13248" t="s">
        <v>45</v>
      </c>
      <c r="B13248" t="s">
        <v>15</v>
      </c>
      <c r="C13248" t="s">
        <v>15</v>
      </c>
      <c r="D13248" t="s">
        <v>32</v>
      </c>
      <c r="E13248" t="s">
        <v>26</v>
      </c>
      <c r="F13248" t="s">
        <v>17</v>
      </c>
      <c r="G13248" s="1" t="str">
        <f t="shared" ref="G13248:M13250" si="3021">"X"</f>
        <v>X</v>
      </c>
      <c r="H13248" s="1" t="str">
        <f t="shared" si="3021"/>
        <v>X</v>
      </c>
      <c r="I13248" s="1" t="str">
        <f t="shared" si="3021"/>
        <v>X</v>
      </c>
      <c r="J13248" s="1" t="str">
        <f t="shared" si="3021"/>
        <v>X</v>
      </c>
      <c r="K13248" s="1" t="str">
        <f t="shared" si="3021"/>
        <v>X</v>
      </c>
      <c r="L13248" s="1" t="str">
        <f t="shared" si="3021"/>
        <v>X</v>
      </c>
      <c r="M13248" s="1" t="str">
        <f t="shared" si="3021"/>
        <v>X</v>
      </c>
      <c r="N13248" t="s">
        <v>27</v>
      </c>
    </row>
    <row r="13249" spans="1:14" x14ac:dyDescent="0.25">
      <c r="A13249" t="s">
        <v>45</v>
      </c>
      <c r="B13249" t="s">
        <v>15</v>
      </c>
      <c r="C13249" t="s">
        <v>15</v>
      </c>
      <c r="D13249" t="s">
        <v>32</v>
      </c>
      <c r="E13249" t="s">
        <v>26</v>
      </c>
      <c r="F13249" t="s">
        <v>18</v>
      </c>
      <c r="G13249" s="1" t="str">
        <f t="shared" si="3021"/>
        <v>X</v>
      </c>
      <c r="H13249" s="1" t="str">
        <f t="shared" si="3021"/>
        <v>X</v>
      </c>
      <c r="I13249" s="1" t="str">
        <f t="shared" si="3021"/>
        <v>X</v>
      </c>
      <c r="J13249" s="1" t="str">
        <f t="shared" si="3021"/>
        <v>X</v>
      </c>
      <c r="K13249" s="1" t="str">
        <f t="shared" si="3021"/>
        <v>X</v>
      </c>
      <c r="L13249" s="1" t="str">
        <f t="shared" si="3021"/>
        <v>X</v>
      </c>
      <c r="M13249" s="1" t="str">
        <f t="shared" si="3021"/>
        <v>X</v>
      </c>
      <c r="N13249" t="s">
        <v>27</v>
      </c>
    </row>
    <row r="13250" spans="1:14" x14ac:dyDescent="0.25">
      <c r="A13250" t="s">
        <v>45</v>
      </c>
      <c r="B13250" t="s">
        <v>15</v>
      </c>
      <c r="C13250" t="s">
        <v>15</v>
      </c>
      <c r="D13250" t="s">
        <v>32</v>
      </c>
      <c r="E13250" t="s">
        <v>26</v>
      </c>
      <c r="F13250" t="s">
        <v>19</v>
      </c>
      <c r="G13250" s="1" t="str">
        <f t="shared" si="3021"/>
        <v>X</v>
      </c>
      <c r="H13250" s="1" t="str">
        <f t="shared" si="3021"/>
        <v>X</v>
      </c>
      <c r="I13250" s="1" t="str">
        <f t="shared" si="3021"/>
        <v>X</v>
      </c>
      <c r="J13250" s="1" t="str">
        <f t="shared" si="3021"/>
        <v>X</v>
      </c>
      <c r="K13250" s="1" t="str">
        <f t="shared" si="3021"/>
        <v>X</v>
      </c>
      <c r="L13250" s="1" t="str">
        <f t="shared" si="3021"/>
        <v>X</v>
      </c>
      <c r="M13250" s="1" t="str">
        <f t="shared" si="3021"/>
        <v>X</v>
      </c>
      <c r="N13250" t="s">
        <v>27</v>
      </c>
    </row>
    <row r="13251" spans="1:14" x14ac:dyDescent="0.25">
      <c r="A13251" t="s">
        <v>45</v>
      </c>
      <c r="B13251" t="s">
        <v>15</v>
      </c>
      <c r="C13251" t="s">
        <v>15</v>
      </c>
      <c r="D13251" t="s">
        <v>32</v>
      </c>
      <c r="E13251" t="s">
        <v>26</v>
      </c>
      <c r="F13251" t="s">
        <v>20</v>
      </c>
      <c r="G13251" s="2">
        <f>VALUE(269.76)</f>
        <v>269.76</v>
      </c>
      <c r="H13251" s="3">
        <f>VALUE(256.07)</f>
        <v>256.07</v>
      </c>
      <c r="I13251" s="1">
        <f>VALUE(3258)</f>
        <v>3258</v>
      </c>
      <c r="J13251" s="5">
        <f>VALUE(3619)</f>
        <v>3619</v>
      </c>
      <c r="K13251" s="1">
        <f>VALUE(4463)</f>
        <v>4463</v>
      </c>
      <c r="L13251" s="1">
        <f>VALUE(5599)</f>
        <v>5599</v>
      </c>
      <c r="M13251" s="8">
        <f>VALUE(7218)</f>
        <v>7218</v>
      </c>
      <c r="N13251" t="s">
        <v>25</v>
      </c>
    </row>
    <row r="13252" spans="1:14" x14ac:dyDescent="0.25">
      <c r="A13252" t="s">
        <v>45</v>
      </c>
      <c r="B13252" t="s">
        <v>15</v>
      </c>
      <c r="C13252" t="s">
        <v>15</v>
      </c>
      <c r="D13252" t="s">
        <v>33</v>
      </c>
      <c r="E13252" t="s">
        <v>15</v>
      </c>
      <c r="F13252" t="s">
        <v>15</v>
      </c>
      <c r="G13252" s="2">
        <f>VALUE(661.66)</f>
        <v>661.66</v>
      </c>
      <c r="H13252" s="3">
        <f>VALUE(632.82)</f>
        <v>632.82000000000005</v>
      </c>
      <c r="I13252" s="1">
        <f>VALUE(3356)</f>
        <v>3356</v>
      </c>
      <c r="J13252" s="5">
        <f>VALUE(3975)</f>
        <v>3975</v>
      </c>
      <c r="K13252" s="1">
        <f>VALUE(5540)</f>
        <v>5540</v>
      </c>
      <c r="L13252" s="7">
        <f>VALUE(6824)</f>
        <v>6824</v>
      </c>
      <c r="M13252" s="8">
        <f>VALUE(9109)</f>
        <v>9109</v>
      </c>
      <c r="N13252" t="s">
        <v>25</v>
      </c>
    </row>
    <row r="13253" spans="1:14" x14ac:dyDescent="0.25">
      <c r="A13253" t="s">
        <v>45</v>
      </c>
      <c r="B13253" t="s">
        <v>15</v>
      </c>
      <c r="C13253" t="s">
        <v>15</v>
      </c>
      <c r="D13253" t="s">
        <v>33</v>
      </c>
      <c r="E13253" t="s">
        <v>15</v>
      </c>
      <c r="F13253" t="s">
        <v>17</v>
      </c>
      <c r="G13253" s="1" t="str">
        <f t="shared" ref="G13253:M13255" si="3022">"X"</f>
        <v>X</v>
      </c>
      <c r="H13253" s="1" t="str">
        <f t="shared" si="3022"/>
        <v>X</v>
      </c>
      <c r="I13253" s="1" t="str">
        <f t="shared" si="3022"/>
        <v>X</v>
      </c>
      <c r="J13253" s="1" t="str">
        <f t="shared" si="3022"/>
        <v>X</v>
      </c>
      <c r="K13253" s="1" t="str">
        <f t="shared" si="3022"/>
        <v>X</v>
      </c>
      <c r="L13253" s="1" t="str">
        <f t="shared" si="3022"/>
        <v>X</v>
      </c>
      <c r="M13253" s="1" t="str">
        <f t="shared" si="3022"/>
        <v>X</v>
      </c>
      <c r="N13253" t="s">
        <v>27</v>
      </c>
    </row>
    <row r="13254" spans="1:14" x14ac:dyDescent="0.25">
      <c r="A13254" t="s">
        <v>45</v>
      </c>
      <c r="B13254" t="s">
        <v>15</v>
      </c>
      <c r="C13254" t="s">
        <v>15</v>
      </c>
      <c r="D13254" t="s">
        <v>33</v>
      </c>
      <c r="E13254" t="s">
        <v>15</v>
      </c>
      <c r="F13254" t="s">
        <v>18</v>
      </c>
      <c r="G13254" s="1" t="str">
        <f t="shared" si="3022"/>
        <v>X</v>
      </c>
      <c r="H13254" s="1" t="str">
        <f t="shared" si="3022"/>
        <v>X</v>
      </c>
      <c r="I13254" s="1" t="str">
        <f t="shared" si="3022"/>
        <v>X</v>
      </c>
      <c r="J13254" s="1" t="str">
        <f t="shared" si="3022"/>
        <v>X</v>
      </c>
      <c r="K13254" s="1" t="str">
        <f t="shared" si="3022"/>
        <v>X</v>
      </c>
      <c r="L13254" s="1" t="str">
        <f t="shared" si="3022"/>
        <v>X</v>
      </c>
      <c r="M13254" s="1" t="str">
        <f t="shared" si="3022"/>
        <v>X</v>
      </c>
      <c r="N13254" t="s">
        <v>27</v>
      </c>
    </row>
    <row r="13255" spans="1:14" x14ac:dyDescent="0.25">
      <c r="A13255" t="s">
        <v>45</v>
      </c>
      <c r="B13255" t="s">
        <v>15</v>
      </c>
      <c r="C13255" t="s">
        <v>15</v>
      </c>
      <c r="D13255" t="s">
        <v>33</v>
      </c>
      <c r="E13255" t="s">
        <v>15</v>
      </c>
      <c r="F13255" t="s">
        <v>19</v>
      </c>
      <c r="G13255" s="1" t="str">
        <f t="shared" si="3022"/>
        <v>X</v>
      </c>
      <c r="H13255" s="1" t="str">
        <f t="shared" si="3022"/>
        <v>X</v>
      </c>
      <c r="I13255" s="1" t="str">
        <f t="shared" si="3022"/>
        <v>X</v>
      </c>
      <c r="J13255" s="1" t="str">
        <f t="shared" si="3022"/>
        <v>X</v>
      </c>
      <c r="K13255" s="1" t="str">
        <f t="shared" si="3022"/>
        <v>X</v>
      </c>
      <c r="L13255" s="1" t="str">
        <f t="shared" si="3022"/>
        <v>X</v>
      </c>
      <c r="M13255" s="1" t="str">
        <f t="shared" si="3022"/>
        <v>X</v>
      </c>
      <c r="N13255" t="s">
        <v>27</v>
      </c>
    </row>
    <row r="13256" spans="1:14" x14ac:dyDescent="0.25">
      <c r="A13256" t="s">
        <v>45</v>
      </c>
      <c r="B13256" t="s">
        <v>15</v>
      </c>
      <c r="C13256" t="s">
        <v>15</v>
      </c>
      <c r="D13256" t="s">
        <v>33</v>
      </c>
      <c r="E13256" t="s">
        <v>15</v>
      </c>
      <c r="F13256" t="s">
        <v>20</v>
      </c>
      <c r="G13256" s="2">
        <f>VALUE(455.52)</f>
        <v>455.52</v>
      </c>
      <c r="H13256" s="3">
        <f>VALUE(443.24)</f>
        <v>443.24</v>
      </c>
      <c r="I13256" s="1">
        <f>VALUE(3356)</f>
        <v>3356</v>
      </c>
      <c r="J13256" s="5">
        <f>VALUE(3685)</f>
        <v>3685</v>
      </c>
      <c r="K13256" s="6">
        <f>VALUE(4917)</f>
        <v>4917</v>
      </c>
      <c r="L13256" s="1">
        <f>VALUE(5840)</f>
        <v>5840</v>
      </c>
      <c r="M13256" s="1">
        <f>VALUE(6803)</f>
        <v>6803</v>
      </c>
      <c r="N13256" t="s">
        <v>25</v>
      </c>
    </row>
    <row r="13257" spans="1:14" x14ac:dyDescent="0.25">
      <c r="A13257" t="s">
        <v>45</v>
      </c>
      <c r="B13257" t="s">
        <v>15</v>
      </c>
      <c r="C13257" t="s">
        <v>15</v>
      </c>
      <c r="D13257" t="s">
        <v>33</v>
      </c>
      <c r="E13257" t="s">
        <v>21</v>
      </c>
      <c r="F13257" t="s">
        <v>15</v>
      </c>
      <c r="G13257" s="1" t="str">
        <f t="shared" ref="G13257:M13266" si="3023">"X"</f>
        <v>X</v>
      </c>
      <c r="H13257" s="1" t="str">
        <f t="shared" si="3023"/>
        <v>X</v>
      </c>
      <c r="I13257" s="1" t="str">
        <f t="shared" si="3023"/>
        <v>X</v>
      </c>
      <c r="J13257" s="1" t="str">
        <f t="shared" si="3023"/>
        <v>X</v>
      </c>
      <c r="K13257" s="1" t="str">
        <f t="shared" si="3023"/>
        <v>X</v>
      </c>
      <c r="L13257" s="1" t="str">
        <f t="shared" si="3023"/>
        <v>X</v>
      </c>
      <c r="M13257" s="1" t="str">
        <f t="shared" si="3023"/>
        <v>X</v>
      </c>
      <c r="N13257" t="s">
        <v>27</v>
      </c>
    </row>
    <row r="13258" spans="1:14" x14ac:dyDescent="0.25">
      <c r="A13258" t="s">
        <v>45</v>
      </c>
      <c r="B13258" t="s">
        <v>15</v>
      </c>
      <c r="C13258" t="s">
        <v>15</v>
      </c>
      <c r="D13258" t="s">
        <v>33</v>
      </c>
      <c r="E13258" t="s">
        <v>21</v>
      </c>
      <c r="F13258" t="s">
        <v>17</v>
      </c>
      <c r="G13258" s="1" t="str">
        <f t="shared" si="3023"/>
        <v>X</v>
      </c>
      <c r="H13258" s="1" t="str">
        <f t="shared" si="3023"/>
        <v>X</v>
      </c>
      <c r="I13258" s="1" t="str">
        <f t="shared" si="3023"/>
        <v>X</v>
      </c>
      <c r="J13258" s="1" t="str">
        <f t="shared" si="3023"/>
        <v>X</v>
      </c>
      <c r="K13258" s="1" t="str">
        <f t="shared" si="3023"/>
        <v>X</v>
      </c>
      <c r="L13258" s="1" t="str">
        <f t="shared" si="3023"/>
        <v>X</v>
      </c>
      <c r="M13258" s="1" t="str">
        <f t="shared" si="3023"/>
        <v>X</v>
      </c>
      <c r="N13258" t="s">
        <v>27</v>
      </c>
    </row>
    <row r="13259" spans="1:14" x14ac:dyDescent="0.25">
      <c r="A13259" t="s">
        <v>45</v>
      </c>
      <c r="B13259" t="s">
        <v>15</v>
      </c>
      <c r="C13259" t="s">
        <v>15</v>
      </c>
      <c r="D13259" t="s">
        <v>33</v>
      </c>
      <c r="E13259" t="s">
        <v>21</v>
      </c>
      <c r="F13259" t="s">
        <v>18</v>
      </c>
      <c r="G13259" s="1" t="str">
        <f t="shared" si="3023"/>
        <v>X</v>
      </c>
      <c r="H13259" s="1" t="str">
        <f t="shared" si="3023"/>
        <v>X</v>
      </c>
      <c r="I13259" s="1" t="str">
        <f t="shared" si="3023"/>
        <v>X</v>
      </c>
      <c r="J13259" s="1" t="str">
        <f t="shared" si="3023"/>
        <v>X</v>
      </c>
      <c r="K13259" s="1" t="str">
        <f t="shared" si="3023"/>
        <v>X</v>
      </c>
      <c r="L13259" s="1" t="str">
        <f t="shared" si="3023"/>
        <v>X</v>
      </c>
      <c r="M13259" s="1" t="str">
        <f t="shared" si="3023"/>
        <v>X</v>
      </c>
      <c r="N13259" t="s">
        <v>27</v>
      </c>
    </row>
    <row r="13260" spans="1:14" x14ac:dyDescent="0.25">
      <c r="A13260" t="s">
        <v>45</v>
      </c>
      <c r="B13260" t="s">
        <v>15</v>
      </c>
      <c r="C13260" t="s">
        <v>15</v>
      </c>
      <c r="D13260" t="s">
        <v>33</v>
      </c>
      <c r="E13260" t="s">
        <v>21</v>
      </c>
      <c r="F13260" t="s">
        <v>19</v>
      </c>
      <c r="G13260" s="1" t="str">
        <f t="shared" si="3023"/>
        <v>X</v>
      </c>
      <c r="H13260" s="1" t="str">
        <f t="shared" si="3023"/>
        <v>X</v>
      </c>
      <c r="I13260" s="1" t="str">
        <f t="shared" si="3023"/>
        <v>X</v>
      </c>
      <c r="J13260" s="1" t="str">
        <f t="shared" si="3023"/>
        <v>X</v>
      </c>
      <c r="K13260" s="1" t="str">
        <f t="shared" si="3023"/>
        <v>X</v>
      </c>
      <c r="L13260" s="1" t="str">
        <f t="shared" si="3023"/>
        <v>X</v>
      </c>
      <c r="M13260" s="1" t="str">
        <f t="shared" si="3023"/>
        <v>X</v>
      </c>
      <c r="N13260" t="s">
        <v>27</v>
      </c>
    </row>
    <row r="13261" spans="1:14" x14ac:dyDescent="0.25">
      <c r="A13261" t="s">
        <v>45</v>
      </c>
      <c r="B13261" t="s">
        <v>15</v>
      </c>
      <c r="C13261" t="s">
        <v>15</v>
      </c>
      <c r="D13261" t="s">
        <v>33</v>
      </c>
      <c r="E13261" t="s">
        <v>21</v>
      </c>
      <c r="F13261" t="s">
        <v>20</v>
      </c>
      <c r="G13261" s="1" t="str">
        <f t="shared" si="3023"/>
        <v>X</v>
      </c>
      <c r="H13261" s="1" t="str">
        <f t="shared" si="3023"/>
        <v>X</v>
      </c>
      <c r="I13261" s="1" t="str">
        <f t="shared" si="3023"/>
        <v>X</v>
      </c>
      <c r="J13261" s="1" t="str">
        <f t="shared" si="3023"/>
        <v>X</v>
      </c>
      <c r="K13261" s="1" t="str">
        <f t="shared" si="3023"/>
        <v>X</v>
      </c>
      <c r="L13261" s="1" t="str">
        <f t="shared" si="3023"/>
        <v>X</v>
      </c>
      <c r="M13261" s="1" t="str">
        <f t="shared" si="3023"/>
        <v>X</v>
      </c>
      <c r="N13261" t="s">
        <v>27</v>
      </c>
    </row>
    <row r="13262" spans="1:14" x14ac:dyDescent="0.25">
      <c r="A13262" t="s">
        <v>45</v>
      </c>
      <c r="B13262" t="s">
        <v>15</v>
      </c>
      <c r="C13262" t="s">
        <v>15</v>
      </c>
      <c r="D13262" t="s">
        <v>33</v>
      </c>
      <c r="E13262" t="s">
        <v>22</v>
      </c>
      <c r="F13262" t="s">
        <v>15</v>
      </c>
      <c r="G13262" s="1" t="str">
        <f t="shared" si="3023"/>
        <v>X</v>
      </c>
      <c r="H13262" s="1" t="str">
        <f t="shared" si="3023"/>
        <v>X</v>
      </c>
      <c r="I13262" s="1" t="str">
        <f t="shared" si="3023"/>
        <v>X</v>
      </c>
      <c r="J13262" s="1" t="str">
        <f t="shared" si="3023"/>
        <v>X</v>
      </c>
      <c r="K13262" s="1" t="str">
        <f t="shared" si="3023"/>
        <v>X</v>
      </c>
      <c r="L13262" s="1" t="str">
        <f t="shared" si="3023"/>
        <v>X</v>
      </c>
      <c r="M13262" s="1" t="str">
        <f t="shared" si="3023"/>
        <v>X</v>
      </c>
      <c r="N13262" t="s">
        <v>27</v>
      </c>
    </row>
    <row r="13263" spans="1:14" x14ac:dyDescent="0.25">
      <c r="A13263" t="s">
        <v>45</v>
      </c>
      <c r="B13263" t="s">
        <v>15</v>
      </c>
      <c r="C13263" t="s">
        <v>15</v>
      </c>
      <c r="D13263" t="s">
        <v>33</v>
      </c>
      <c r="E13263" t="s">
        <v>22</v>
      </c>
      <c r="F13263" t="s">
        <v>17</v>
      </c>
      <c r="G13263" s="1" t="str">
        <f t="shared" si="3023"/>
        <v>X</v>
      </c>
      <c r="H13263" s="1" t="str">
        <f t="shared" si="3023"/>
        <v>X</v>
      </c>
      <c r="I13263" s="1" t="str">
        <f t="shared" si="3023"/>
        <v>X</v>
      </c>
      <c r="J13263" s="1" t="str">
        <f t="shared" si="3023"/>
        <v>X</v>
      </c>
      <c r="K13263" s="1" t="str">
        <f t="shared" si="3023"/>
        <v>X</v>
      </c>
      <c r="L13263" s="1" t="str">
        <f t="shared" si="3023"/>
        <v>X</v>
      </c>
      <c r="M13263" s="1" t="str">
        <f t="shared" si="3023"/>
        <v>X</v>
      </c>
      <c r="N13263" t="s">
        <v>27</v>
      </c>
    </row>
    <row r="13264" spans="1:14" x14ac:dyDescent="0.25">
      <c r="A13264" t="s">
        <v>45</v>
      </c>
      <c r="B13264" t="s">
        <v>15</v>
      </c>
      <c r="C13264" t="s">
        <v>15</v>
      </c>
      <c r="D13264" t="s">
        <v>33</v>
      </c>
      <c r="E13264" t="s">
        <v>22</v>
      </c>
      <c r="F13264" t="s">
        <v>18</v>
      </c>
      <c r="G13264" s="1" t="str">
        <f t="shared" si="3023"/>
        <v>X</v>
      </c>
      <c r="H13264" s="1" t="str">
        <f t="shared" si="3023"/>
        <v>X</v>
      </c>
      <c r="I13264" s="1" t="str">
        <f t="shared" si="3023"/>
        <v>X</v>
      </c>
      <c r="J13264" s="1" t="str">
        <f t="shared" si="3023"/>
        <v>X</v>
      </c>
      <c r="K13264" s="1" t="str">
        <f t="shared" si="3023"/>
        <v>X</v>
      </c>
      <c r="L13264" s="1" t="str">
        <f t="shared" si="3023"/>
        <v>X</v>
      </c>
      <c r="M13264" s="1" t="str">
        <f t="shared" si="3023"/>
        <v>X</v>
      </c>
      <c r="N13264" t="s">
        <v>27</v>
      </c>
    </row>
    <row r="13265" spans="1:14" x14ac:dyDescent="0.25">
      <c r="A13265" t="s">
        <v>45</v>
      </c>
      <c r="B13265" t="s">
        <v>15</v>
      </c>
      <c r="C13265" t="s">
        <v>15</v>
      </c>
      <c r="D13265" t="s">
        <v>33</v>
      </c>
      <c r="E13265" t="s">
        <v>22</v>
      </c>
      <c r="F13265" t="s">
        <v>19</v>
      </c>
      <c r="G13265" s="1" t="str">
        <f t="shared" si="3023"/>
        <v>X</v>
      </c>
      <c r="H13265" s="1" t="str">
        <f t="shared" si="3023"/>
        <v>X</v>
      </c>
      <c r="I13265" s="1" t="str">
        <f t="shared" si="3023"/>
        <v>X</v>
      </c>
      <c r="J13265" s="1" t="str">
        <f t="shared" si="3023"/>
        <v>X</v>
      </c>
      <c r="K13265" s="1" t="str">
        <f t="shared" si="3023"/>
        <v>X</v>
      </c>
      <c r="L13265" s="1" t="str">
        <f t="shared" si="3023"/>
        <v>X</v>
      </c>
      <c r="M13265" s="1" t="str">
        <f t="shared" si="3023"/>
        <v>X</v>
      </c>
      <c r="N13265" t="s">
        <v>27</v>
      </c>
    </row>
    <row r="13266" spans="1:14" x14ac:dyDescent="0.25">
      <c r="A13266" t="s">
        <v>45</v>
      </c>
      <c r="B13266" t="s">
        <v>15</v>
      </c>
      <c r="C13266" t="s">
        <v>15</v>
      </c>
      <c r="D13266" t="s">
        <v>33</v>
      </c>
      <c r="E13266" t="s">
        <v>22</v>
      </c>
      <c r="F13266" t="s">
        <v>20</v>
      </c>
      <c r="G13266" s="1" t="str">
        <f t="shared" si="3023"/>
        <v>X</v>
      </c>
      <c r="H13266" s="1" t="str">
        <f t="shared" si="3023"/>
        <v>X</v>
      </c>
      <c r="I13266" s="1" t="str">
        <f t="shared" si="3023"/>
        <v>X</v>
      </c>
      <c r="J13266" s="1" t="str">
        <f t="shared" si="3023"/>
        <v>X</v>
      </c>
      <c r="K13266" s="1" t="str">
        <f t="shared" si="3023"/>
        <v>X</v>
      </c>
      <c r="L13266" s="1" t="str">
        <f t="shared" si="3023"/>
        <v>X</v>
      </c>
      <c r="M13266" s="1" t="str">
        <f t="shared" si="3023"/>
        <v>X</v>
      </c>
      <c r="N13266" t="s">
        <v>27</v>
      </c>
    </row>
    <row r="13267" spans="1:14" x14ac:dyDescent="0.25">
      <c r="A13267" t="s">
        <v>45</v>
      </c>
      <c r="B13267" t="s">
        <v>15</v>
      </c>
      <c r="C13267" t="s">
        <v>15</v>
      </c>
      <c r="D13267" t="s">
        <v>33</v>
      </c>
      <c r="E13267" t="s">
        <v>23</v>
      </c>
      <c r="F13267" t="s">
        <v>15</v>
      </c>
      <c r="G13267" s="2">
        <f>VALUE(316.04)</f>
        <v>316.04000000000002</v>
      </c>
      <c r="H13267" s="3">
        <f>VALUE(311.48)</f>
        <v>311.48</v>
      </c>
      <c r="I13267" s="1">
        <f>VALUE(3356)</f>
        <v>3356</v>
      </c>
      <c r="J13267" s="5">
        <f>VALUE(3544)</f>
        <v>3544</v>
      </c>
      <c r="K13267" s="6">
        <f>VALUE(5155)</f>
        <v>5155</v>
      </c>
      <c r="L13267" s="1">
        <f>VALUE(5826)</f>
        <v>5826</v>
      </c>
      <c r="M13267" s="1">
        <f>VALUE(6166)</f>
        <v>6166</v>
      </c>
      <c r="N13267" t="s">
        <v>25</v>
      </c>
    </row>
    <row r="13268" spans="1:14" x14ac:dyDescent="0.25">
      <c r="A13268" t="s">
        <v>45</v>
      </c>
      <c r="B13268" t="s">
        <v>15</v>
      </c>
      <c r="C13268" t="s">
        <v>15</v>
      </c>
      <c r="D13268" t="s">
        <v>33</v>
      </c>
      <c r="E13268" t="s">
        <v>23</v>
      </c>
      <c r="F13268" t="s">
        <v>17</v>
      </c>
      <c r="G13268" s="1" t="str">
        <f t="shared" ref="G13268:M13268" si="3024">"..."</f>
        <v>...</v>
      </c>
      <c r="H13268" s="1" t="str">
        <f t="shared" si="3024"/>
        <v>...</v>
      </c>
      <c r="I13268" s="1" t="str">
        <f t="shared" si="3024"/>
        <v>...</v>
      </c>
      <c r="J13268" s="1" t="str">
        <f t="shared" si="3024"/>
        <v>...</v>
      </c>
      <c r="K13268" s="1" t="str">
        <f t="shared" si="3024"/>
        <v>...</v>
      </c>
      <c r="L13268" s="1" t="str">
        <f t="shared" si="3024"/>
        <v>...</v>
      </c>
      <c r="M13268" s="1" t="str">
        <f t="shared" si="3024"/>
        <v>...</v>
      </c>
      <c r="N13268" t="s">
        <v>30</v>
      </c>
    </row>
    <row r="13269" spans="1:14" x14ac:dyDescent="0.25">
      <c r="A13269" t="s">
        <v>45</v>
      </c>
      <c r="B13269" t="s">
        <v>15</v>
      </c>
      <c r="C13269" t="s">
        <v>15</v>
      </c>
      <c r="D13269" t="s">
        <v>33</v>
      </c>
      <c r="E13269" t="s">
        <v>23</v>
      </c>
      <c r="F13269" t="s">
        <v>18</v>
      </c>
      <c r="G13269" s="1" t="str">
        <f t="shared" ref="G13269:M13270" si="3025">"X"</f>
        <v>X</v>
      </c>
      <c r="H13269" s="1" t="str">
        <f t="shared" si="3025"/>
        <v>X</v>
      </c>
      <c r="I13269" s="1" t="str">
        <f t="shared" si="3025"/>
        <v>X</v>
      </c>
      <c r="J13269" s="1" t="str">
        <f t="shared" si="3025"/>
        <v>X</v>
      </c>
      <c r="K13269" s="1" t="str">
        <f t="shared" si="3025"/>
        <v>X</v>
      </c>
      <c r="L13269" s="1" t="str">
        <f t="shared" si="3025"/>
        <v>X</v>
      </c>
      <c r="M13269" s="1" t="str">
        <f t="shared" si="3025"/>
        <v>X</v>
      </c>
      <c r="N13269" t="s">
        <v>27</v>
      </c>
    </row>
    <row r="13270" spans="1:14" x14ac:dyDescent="0.25">
      <c r="A13270" t="s">
        <v>45</v>
      </c>
      <c r="B13270" t="s">
        <v>15</v>
      </c>
      <c r="C13270" t="s">
        <v>15</v>
      </c>
      <c r="D13270" t="s">
        <v>33</v>
      </c>
      <c r="E13270" t="s">
        <v>23</v>
      </c>
      <c r="F13270" t="s">
        <v>19</v>
      </c>
      <c r="G13270" s="1" t="str">
        <f t="shared" si="3025"/>
        <v>X</v>
      </c>
      <c r="H13270" s="1" t="str">
        <f t="shared" si="3025"/>
        <v>X</v>
      </c>
      <c r="I13270" s="1" t="str">
        <f t="shared" si="3025"/>
        <v>X</v>
      </c>
      <c r="J13270" s="1" t="str">
        <f t="shared" si="3025"/>
        <v>X</v>
      </c>
      <c r="K13270" s="1" t="str">
        <f t="shared" si="3025"/>
        <v>X</v>
      </c>
      <c r="L13270" s="1" t="str">
        <f t="shared" si="3025"/>
        <v>X</v>
      </c>
      <c r="M13270" s="1" t="str">
        <f t="shared" si="3025"/>
        <v>X</v>
      </c>
      <c r="N13270" t="s">
        <v>27</v>
      </c>
    </row>
    <row r="13271" spans="1:14" x14ac:dyDescent="0.25">
      <c r="A13271" t="s">
        <v>45</v>
      </c>
      <c r="B13271" t="s">
        <v>15</v>
      </c>
      <c r="C13271" t="s">
        <v>15</v>
      </c>
      <c r="D13271" t="s">
        <v>33</v>
      </c>
      <c r="E13271" t="s">
        <v>23</v>
      </c>
      <c r="F13271" t="s">
        <v>20</v>
      </c>
      <c r="G13271" s="2">
        <f>VALUE(309.95)</f>
        <v>309.95</v>
      </c>
      <c r="H13271" s="3">
        <f>VALUE(304.99)</f>
        <v>304.99</v>
      </c>
      <c r="I13271" s="1">
        <f>VALUE(3356)</f>
        <v>3356</v>
      </c>
      <c r="J13271" s="5">
        <f>VALUE(3544)</f>
        <v>3544</v>
      </c>
      <c r="K13271" s="6">
        <f>VALUE(5155)</f>
        <v>5155</v>
      </c>
      <c r="L13271" s="1">
        <f>VALUE(5826)</f>
        <v>5826</v>
      </c>
      <c r="M13271" s="1">
        <f>VALUE(6152)</f>
        <v>6152</v>
      </c>
      <c r="N13271" t="s">
        <v>25</v>
      </c>
    </row>
    <row r="13272" spans="1:14" x14ac:dyDescent="0.25">
      <c r="A13272" t="s">
        <v>45</v>
      </c>
      <c r="B13272" t="s">
        <v>15</v>
      </c>
      <c r="C13272" t="s">
        <v>15</v>
      </c>
      <c r="D13272" t="s">
        <v>33</v>
      </c>
      <c r="E13272" t="s">
        <v>26</v>
      </c>
      <c r="F13272" t="s">
        <v>15</v>
      </c>
      <c r="G13272" s="1" t="str">
        <f t="shared" ref="G13272:M13272" si="3026">"X"</f>
        <v>X</v>
      </c>
      <c r="H13272" s="1" t="str">
        <f t="shared" si="3026"/>
        <v>X</v>
      </c>
      <c r="I13272" s="1" t="str">
        <f t="shared" si="3026"/>
        <v>X</v>
      </c>
      <c r="J13272" s="1" t="str">
        <f t="shared" si="3026"/>
        <v>X</v>
      </c>
      <c r="K13272" s="1" t="str">
        <f t="shared" si="3026"/>
        <v>X</v>
      </c>
      <c r="L13272" s="1" t="str">
        <f t="shared" si="3026"/>
        <v>X</v>
      </c>
      <c r="M13272" s="1" t="str">
        <f t="shared" si="3026"/>
        <v>X</v>
      </c>
      <c r="N13272" t="s">
        <v>27</v>
      </c>
    </row>
    <row r="13273" spans="1:14" x14ac:dyDescent="0.25">
      <c r="A13273" t="s">
        <v>45</v>
      </c>
      <c r="B13273" t="s">
        <v>15</v>
      </c>
      <c r="C13273" t="s">
        <v>15</v>
      </c>
      <c r="D13273" t="s">
        <v>33</v>
      </c>
      <c r="E13273" t="s">
        <v>26</v>
      </c>
      <c r="F13273" t="s">
        <v>17</v>
      </c>
      <c r="G13273" s="1" t="str">
        <f t="shared" ref="G13273:M13275" si="3027">"..."</f>
        <v>...</v>
      </c>
      <c r="H13273" s="1" t="str">
        <f t="shared" si="3027"/>
        <v>...</v>
      </c>
      <c r="I13273" s="1" t="str">
        <f t="shared" si="3027"/>
        <v>...</v>
      </c>
      <c r="J13273" s="1" t="str">
        <f t="shared" si="3027"/>
        <v>...</v>
      </c>
      <c r="K13273" s="1" t="str">
        <f t="shared" si="3027"/>
        <v>...</v>
      </c>
      <c r="L13273" s="1" t="str">
        <f t="shared" si="3027"/>
        <v>...</v>
      </c>
      <c r="M13273" s="1" t="str">
        <f t="shared" si="3027"/>
        <v>...</v>
      </c>
      <c r="N13273" t="s">
        <v>30</v>
      </c>
    </row>
    <row r="13274" spans="1:14" x14ac:dyDescent="0.25">
      <c r="A13274" t="s">
        <v>45</v>
      </c>
      <c r="B13274" t="s">
        <v>15</v>
      </c>
      <c r="C13274" t="s">
        <v>15</v>
      </c>
      <c r="D13274" t="s">
        <v>33</v>
      </c>
      <c r="E13274" t="s">
        <v>26</v>
      </c>
      <c r="F13274" t="s">
        <v>18</v>
      </c>
      <c r="G13274" s="1" t="str">
        <f t="shared" si="3027"/>
        <v>...</v>
      </c>
      <c r="H13274" s="1" t="str">
        <f t="shared" si="3027"/>
        <v>...</v>
      </c>
      <c r="I13274" s="1" t="str">
        <f t="shared" si="3027"/>
        <v>...</v>
      </c>
      <c r="J13274" s="1" t="str">
        <f t="shared" si="3027"/>
        <v>...</v>
      </c>
      <c r="K13274" s="1" t="str">
        <f t="shared" si="3027"/>
        <v>...</v>
      </c>
      <c r="L13274" s="1" t="str">
        <f t="shared" si="3027"/>
        <v>...</v>
      </c>
      <c r="M13274" s="1" t="str">
        <f t="shared" si="3027"/>
        <v>...</v>
      </c>
      <c r="N13274" t="s">
        <v>30</v>
      </c>
    </row>
    <row r="13275" spans="1:14" x14ac:dyDescent="0.25">
      <c r="A13275" t="s">
        <v>45</v>
      </c>
      <c r="B13275" t="s">
        <v>15</v>
      </c>
      <c r="C13275" t="s">
        <v>15</v>
      </c>
      <c r="D13275" t="s">
        <v>33</v>
      </c>
      <c r="E13275" t="s">
        <v>26</v>
      </c>
      <c r="F13275" t="s">
        <v>19</v>
      </c>
      <c r="G13275" s="1" t="str">
        <f t="shared" si="3027"/>
        <v>...</v>
      </c>
      <c r="H13275" s="1" t="str">
        <f t="shared" si="3027"/>
        <v>...</v>
      </c>
      <c r="I13275" s="1" t="str">
        <f t="shared" si="3027"/>
        <v>...</v>
      </c>
      <c r="J13275" s="1" t="str">
        <f t="shared" si="3027"/>
        <v>...</v>
      </c>
      <c r="K13275" s="1" t="str">
        <f t="shared" si="3027"/>
        <v>...</v>
      </c>
      <c r="L13275" s="1" t="str">
        <f t="shared" si="3027"/>
        <v>...</v>
      </c>
      <c r="M13275" s="1" t="str">
        <f t="shared" si="3027"/>
        <v>...</v>
      </c>
      <c r="N13275" t="s">
        <v>30</v>
      </c>
    </row>
    <row r="13276" spans="1:14" x14ac:dyDescent="0.25">
      <c r="A13276" t="s">
        <v>45</v>
      </c>
      <c r="B13276" t="s">
        <v>15</v>
      </c>
      <c r="C13276" t="s">
        <v>15</v>
      </c>
      <c r="D13276" t="s">
        <v>33</v>
      </c>
      <c r="E13276" t="s">
        <v>26</v>
      </c>
      <c r="F13276" t="s">
        <v>20</v>
      </c>
      <c r="G13276" s="1" t="str">
        <f t="shared" ref="G13276:M13276" si="3028">"X"</f>
        <v>X</v>
      </c>
      <c r="H13276" s="1" t="str">
        <f t="shared" si="3028"/>
        <v>X</v>
      </c>
      <c r="I13276" s="1" t="str">
        <f t="shared" si="3028"/>
        <v>X</v>
      </c>
      <c r="J13276" s="1" t="str">
        <f t="shared" si="3028"/>
        <v>X</v>
      </c>
      <c r="K13276" s="1" t="str">
        <f t="shared" si="3028"/>
        <v>X</v>
      </c>
      <c r="L13276" s="1" t="str">
        <f t="shared" si="3028"/>
        <v>X</v>
      </c>
      <c r="M13276" s="1" t="str">
        <f t="shared" si="3028"/>
        <v>X</v>
      </c>
      <c r="N13276" t="s">
        <v>27</v>
      </c>
    </row>
    <row r="13277" spans="1:14" x14ac:dyDescent="0.25">
      <c r="A13277" t="s">
        <v>45</v>
      </c>
      <c r="B13277" t="s">
        <v>15</v>
      </c>
      <c r="C13277" t="s">
        <v>15</v>
      </c>
      <c r="D13277" t="s">
        <v>34</v>
      </c>
      <c r="E13277" t="s">
        <v>15</v>
      </c>
      <c r="F13277" t="s">
        <v>15</v>
      </c>
      <c r="G13277" s="2">
        <f>VALUE(1478.53)</f>
        <v>1478.53</v>
      </c>
      <c r="H13277" s="3">
        <f>VALUE(1278.04)</f>
        <v>1278.04</v>
      </c>
      <c r="I13277" s="1">
        <f>VALUE(3292)</f>
        <v>3292</v>
      </c>
      <c r="J13277" s="1">
        <f>VALUE(3582)</f>
        <v>3582</v>
      </c>
      <c r="K13277" s="1">
        <f>VALUE(4364)</f>
        <v>4364</v>
      </c>
      <c r="L13277" s="1">
        <f>VALUE(5688)</f>
        <v>5688</v>
      </c>
      <c r="M13277" s="1">
        <f>VALUE(6563)</f>
        <v>6563</v>
      </c>
      <c r="N13277" t="s">
        <v>25</v>
      </c>
    </row>
    <row r="13278" spans="1:14" x14ac:dyDescent="0.25">
      <c r="A13278" t="s">
        <v>45</v>
      </c>
      <c r="B13278" t="s">
        <v>15</v>
      </c>
      <c r="C13278" t="s">
        <v>15</v>
      </c>
      <c r="D13278" t="s">
        <v>34</v>
      </c>
      <c r="E13278" t="s">
        <v>15</v>
      </c>
      <c r="F13278" t="s">
        <v>17</v>
      </c>
      <c r="G13278" s="1" t="str">
        <f t="shared" ref="G13278:M13280" si="3029">"X"</f>
        <v>X</v>
      </c>
      <c r="H13278" s="1" t="str">
        <f t="shared" si="3029"/>
        <v>X</v>
      </c>
      <c r="I13278" s="1" t="str">
        <f t="shared" si="3029"/>
        <v>X</v>
      </c>
      <c r="J13278" s="1" t="str">
        <f t="shared" si="3029"/>
        <v>X</v>
      </c>
      <c r="K13278" s="1" t="str">
        <f t="shared" si="3029"/>
        <v>X</v>
      </c>
      <c r="L13278" s="1" t="str">
        <f t="shared" si="3029"/>
        <v>X</v>
      </c>
      <c r="M13278" s="1" t="str">
        <f t="shared" si="3029"/>
        <v>X</v>
      </c>
      <c r="N13278" t="s">
        <v>27</v>
      </c>
    </row>
    <row r="13279" spans="1:14" x14ac:dyDescent="0.25">
      <c r="A13279" t="s">
        <v>45</v>
      </c>
      <c r="B13279" t="s">
        <v>15</v>
      </c>
      <c r="C13279" t="s">
        <v>15</v>
      </c>
      <c r="D13279" t="s">
        <v>34</v>
      </c>
      <c r="E13279" t="s">
        <v>15</v>
      </c>
      <c r="F13279" t="s">
        <v>18</v>
      </c>
      <c r="G13279" s="1" t="str">
        <f t="shared" si="3029"/>
        <v>X</v>
      </c>
      <c r="H13279" s="1" t="str">
        <f t="shared" si="3029"/>
        <v>X</v>
      </c>
      <c r="I13279" s="1" t="str">
        <f t="shared" si="3029"/>
        <v>X</v>
      </c>
      <c r="J13279" s="1" t="str">
        <f t="shared" si="3029"/>
        <v>X</v>
      </c>
      <c r="K13279" s="1" t="str">
        <f t="shared" si="3029"/>
        <v>X</v>
      </c>
      <c r="L13279" s="1" t="str">
        <f t="shared" si="3029"/>
        <v>X</v>
      </c>
      <c r="M13279" s="1" t="str">
        <f t="shared" si="3029"/>
        <v>X</v>
      </c>
      <c r="N13279" t="s">
        <v>27</v>
      </c>
    </row>
    <row r="13280" spans="1:14" x14ac:dyDescent="0.25">
      <c r="A13280" t="s">
        <v>45</v>
      </c>
      <c r="B13280" t="s">
        <v>15</v>
      </c>
      <c r="C13280" t="s">
        <v>15</v>
      </c>
      <c r="D13280" t="s">
        <v>34</v>
      </c>
      <c r="E13280" t="s">
        <v>15</v>
      </c>
      <c r="F13280" t="s">
        <v>19</v>
      </c>
      <c r="G13280" s="1" t="str">
        <f t="shared" si="3029"/>
        <v>X</v>
      </c>
      <c r="H13280" s="1" t="str">
        <f t="shared" si="3029"/>
        <v>X</v>
      </c>
      <c r="I13280" s="1" t="str">
        <f t="shared" si="3029"/>
        <v>X</v>
      </c>
      <c r="J13280" s="1" t="str">
        <f t="shared" si="3029"/>
        <v>X</v>
      </c>
      <c r="K13280" s="1" t="str">
        <f t="shared" si="3029"/>
        <v>X</v>
      </c>
      <c r="L13280" s="1" t="str">
        <f t="shared" si="3029"/>
        <v>X</v>
      </c>
      <c r="M13280" s="1" t="str">
        <f t="shared" si="3029"/>
        <v>X</v>
      </c>
      <c r="N13280" t="s">
        <v>27</v>
      </c>
    </row>
    <row r="13281" spans="1:14" x14ac:dyDescent="0.25">
      <c r="A13281" t="s">
        <v>45</v>
      </c>
      <c r="B13281" t="s">
        <v>15</v>
      </c>
      <c r="C13281" t="s">
        <v>15</v>
      </c>
      <c r="D13281" t="s">
        <v>34</v>
      </c>
      <c r="E13281" t="s">
        <v>15</v>
      </c>
      <c r="F13281" t="s">
        <v>20</v>
      </c>
      <c r="G13281" s="2">
        <f>VALUE(1220.31)</f>
        <v>1220.31</v>
      </c>
      <c r="H13281" s="3">
        <f>VALUE(1070.64)</f>
        <v>1070.6400000000001</v>
      </c>
      <c r="I13281" s="1">
        <f>VALUE(3167)</f>
        <v>3167</v>
      </c>
      <c r="J13281" s="1">
        <f>VALUE(3523)</f>
        <v>3523</v>
      </c>
      <c r="K13281" s="1">
        <f>VALUE(4168)</f>
        <v>4168</v>
      </c>
      <c r="L13281" s="1">
        <f>VALUE(5205)</f>
        <v>5205</v>
      </c>
      <c r="M13281" s="1">
        <f>VALUE(6221)</f>
        <v>6221</v>
      </c>
      <c r="N13281" t="s">
        <v>25</v>
      </c>
    </row>
    <row r="13282" spans="1:14" x14ac:dyDescent="0.25">
      <c r="A13282" t="s">
        <v>45</v>
      </c>
      <c r="B13282" t="s">
        <v>15</v>
      </c>
      <c r="C13282" t="s">
        <v>15</v>
      </c>
      <c r="D13282" t="s">
        <v>34</v>
      </c>
      <c r="E13282" t="s">
        <v>21</v>
      </c>
      <c r="F13282" t="s">
        <v>15</v>
      </c>
      <c r="G13282" s="2">
        <f>VALUE(279.13)</f>
        <v>279.13</v>
      </c>
      <c r="H13282" s="3">
        <f>VALUE(236.23)</f>
        <v>236.23</v>
      </c>
      <c r="I13282" s="4">
        <f>VALUE(3683)</f>
        <v>3683</v>
      </c>
      <c r="J13282" s="1">
        <f>VALUE(3954)</f>
        <v>3954</v>
      </c>
      <c r="K13282" s="6">
        <f>VALUE(5082)</f>
        <v>5082</v>
      </c>
      <c r="L13282" s="7">
        <f>VALUE(6563)</f>
        <v>6563</v>
      </c>
      <c r="M13282" s="8">
        <f>VALUE(10109)</f>
        <v>10109</v>
      </c>
      <c r="N13282" t="s">
        <v>25</v>
      </c>
    </row>
    <row r="13283" spans="1:14" x14ac:dyDescent="0.25">
      <c r="A13283" t="s">
        <v>45</v>
      </c>
      <c r="B13283" t="s">
        <v>15</v>
      </c>
      <c r="C13283" t="s">
        <v>15</v>
      </c>
      <c r="D13283" t="s">
        <v>34</v>
      </c>
      <c r="E13283" t="s">
        <v>21</v>
      </c>
      <c r="F13283" t="s">
        <v>17</v>
      </c>
      <c r="G13283" s="1" t="str">
        <f t="shared" ref="G13283:M13285" si="3030">"X"</f>
        <v>X</v>
      </c>
      <c r="H13283" s="1" t="str">
        <f t="shared" si="3030"/>
        <v>X</v>
      </c>
      <c r="I13283" s="1" t="str">
        <f t="shared" si="3030"/>
        <v>X</v>
      </c>
      <c r="J13283" s="1" t="str">
        <f t="shared" si="3030"/>
        <v>X</v>
      </c>
      <c r="K13283" s="1" t="str">
        <f t="shared" si="3030"/>
        <v>X</v>
      </c>
      <c r="L13283" s="1" t="str">
        <f t="shared" si="3030"/>
        <v>X</v>
      </c>
      <c r="M13283" s="1" t="str">
        <f t="shared" si="3030"/>
        <v>X</v>
      </c>
      <c r="N13283" t="s">
        <v>27</v>
      </c>
    </row>
    <row r="13284" spans="1:14" x14ac:dyDescent="0.25">
      <c r="A13284" t="s">
        <v>45</v>
      </c>
      <c r="B13284" t="s">
        <v>15</v>
      </c>
      <c r="C13284" t="s">
        <v>15</v>
      </c>
      <c r="D13284" t="s">
        <v>34</v>
      </c>
      <c r="E13284" t="s">
        <v>21</v>
      </c>
      <c r="F13284" t="s">
        <v>18</v>
      </c>
      <c r="G13284" s="1" t="str">
        <f t="shared" si="3030"/>
        <v>X</v>
      </c>
      <c r="H13284" s="1" t="str">
        <f t="shared" si="3030"/>
        <v>X</v>
      </c>
      <c r="I13284" s="1" t="str">
        <f t="shared" si="3030"/>
        <v>X</v>
      </c>
      <c r="J13284" s="1" t="str">
        <f t="shared" si="3030"/>
        <v>X</v>
      </c>
      <c r="K13284" s="1" t="str">
        <f t="shared" si="3030"/>
        <v>X</v>
      </c>
      <c r="L13284" s="1" t="str">
        <f t="shared" si="3030"/>
        <v>X</v>
      </c>
      <c r="M13284" s="1" t="str">
        <f t="shared" si="3030"/>
        <v>X</v>
      </c>
      <c r="N13284" t="s">
        <v>27</v>
      </c>
    </row>
    <row r="13285" spans="1:14" x14ac:dyDescent="0.25">
      <c r="A13285" t="s">
        <v>45</v>
      </c>
      <c r="B13285" t="s">
        <v>15</v>
      </c>
      <c r="C13285" t="s">
        <v>15</v>
      </c>
      <c r="D13285" t="s">
        <v>34</v>
      </c>
      <c r="E13285" t="s">
        <v>21</v>
      </c>
      <c r="F13285" t="s">
        <v>19</v>
      </c>
      <c r="G13285" s="1" t="str">
        <f t="shared" si="3030"/>
        <v>X</v>
      </c>
      <c r="H13285" s="1" t="str">
        <f t="shared" si="3030"/>
        <v>X</v>
      </c>
      <c r="I13285" s="1" t="str">
        <f t="shared" si="3030"/>
        <v>X</v>
      </c>
      <c r="J13285" s="1" t="str">
        <f t="shared" si="3030"/>
        <v>X</v>
      </c>
      <c r="K13285" s="1" t="str">
        <f t="shared" si="3030"/>
        <v>X</v>
      </c>
      <c r="L13285" s="1" t="str">
        <f t="shared" si="3030"/>
        <v>X</v>
      </c>
      <c r="M13285" s="1" t="str">
        <f t="shared" si="3030"/>
        <v>X</v>
      </c>
      <c r="N13285" t="s">
        <v>27</v>
      </c>
    </row>
    <row r="13286" spans="1:14" x14ac:dyDescent="0.25">
      <c r="A13286" t="s">
        <v>45</v>
      </c>
      <c r="B13286" t="s">
        <v>15</v>
      </c>
      <c r="C13286" t="s">
        <v>15</v>
      </c>
      <c r="D13286" t="s">
        <v>34</v>
      </c>
      <c r="E13286" t="s">
        <v>21</v>
      </c>
      <c r="F13286" t="s">
        <v>20</v>
      </c>
      <c r="G13286" s="2">
        <f>VALUE(176.77)</f>
        <v>176.77</v>
      </c>
      <c r="H13286" s="3">
        <f>VALUE(155.03)</f>
        <v>155.03</v>
      </c>
      <c r="I13286" s="1">
        <f>VALUE(3410)</f>
        <v>3410</v>
      </c>
      <c r="J13286" s="1">
        <f>VALUE(3866)</f>
        <v>3866</v>
      </c>
      <c r="K13286" s="1">
        <f>VALUE(4353)</f>
        <v>4353</v>
      </c>
      <c r="L13286" s="7">
        <f>VALUE(5349)</f>
        <v>5349</v>
      </c>
      <c r="M13286" s="8">
        <f>VALUE(6867)</f>
        <v>6867</v>
      </c>
      <c r="N13286" t="s">
        <v>25</v>
      </c>
    </row>
    <row r="13287" spans="1:14" x14ac:dyDescent="0.25">
      <c r="A13287" t="s">
        <v>45</v>
      </c>
      <c r="B13287" t="s">
        <v>15</v>
      </c>
      <c r="C13287" t="s">
        <v>15</v>
      </c>
      <c r="D13287" t="s">
        <v>34</v>
      </c>
      <c r="E13287" t="s">
        <v>22</v>
      </c>
      <c r="F13287" t="s">
        <v>15</v>
      </c>
      <c r="G13287" s="2">
        <f>VALUE(402.31)</f>
        <v>402.31</v>
      </c>
      <c r="H13287" s="3">
        <f>VALUE(346.79)</f>
        <v>346.79</v>
      </c>
      <c r="I13287" s="1">
        <f>VALUE(3148)</f>
        <v>3148</v>
      </c>
      <c r="J13287" s="1">
        <f>VALUE(3661)</f>
        <v>3661</v>
      </c>
      <c r="K13287" s="1">
        <f>VALUE(4254)</f>
        <v>4254</v>
      </c>
      <c r="L13287" s="7">
        <f>VALUE(5054)</f>
        <v>5054</v>
      </c>
      <c r="M13287" s="1">
        <f>VALUE(6533)</f>
        <v>6533</v>
      </c>
      <c r="N13287" t="s">
        <v>25</v>
      </c>
    </row>
    <row r="13288" spans="1:14" x14ac:dyDescent="0.25">
      <c r="A13288" t="s">
        <v>45</v>
      </c>
      <c r="B13288" t="s">
        <v>15</v>
      </c>
      <c r="C13288" t="s">
        <v>15</v>
      </c>
      <c r="D13288" t="s">
        <v>34</v>
      </c>
      <c r="E13288" t="s">
        <v>22</v>
      </c>
      <c r="F13288" t="s">
        <v>17</v>
      </c>
      <c r="G13288" s="1" t="str">
        <f t="shared" ref="G13288:M13290" si="3031">"X"</f>
        <v>X</v>
      </c>
      <c r="H13288" s="1" t="str">
        <f t="shared" si="3031"/>
        <v>X</v>
      </c>
      <c r="I13288" s="1" t="str">
        <f t="shared" si="3031"/>
        <v>X</v>
      </c>
      <c r="J13288" s="1" t="str">
        <f t="shared" si="3031"/>
        <v>X</v>
      </c>
      <c r="K13288" s="1" t="str">
        <f t="shared" si="3031"/>
        <v>X</v>
      </c>
      <c r="L13288" s="1" t="str">
        <f t="shared" si="3031"/>
        <v>X</v>
      </c>
      <c r="M13288" s="1" t="str">
        <f t="shared" si="3031"/>
        <v>X</v>
      </c>
      <c r="N13288" t="s">
        <v>27</v>
      </c>
    </row>
    <row r="13289" spans="1:14" x14ac:dyDescent="0.25">
      <c r="A13289" t="s">
        <v>45</v>
      </c>
      <c r="B13289" t="s">
        <v>15</v>
      </c>
      <c r="C13289" t="s">
        <v>15</v>
      </c>
      <c r="D13289" t="s">
        <v>34</v>
      </c>
      <c r="E13289" t="s">
        <v>22</v>
      </c>
      <c r="F13289" t="s">
        <v>18</v>
      </c>
      <c r="G13289" s="1" t="str">
        <f t="shared" si="3031"/>
        <v>X</v>
      </c>
      <c r="H13289" s="1" t="str">
        <f t="shared" si="3031"/>
        <v>X</v>
      </c>
      <c r="I13289" s="1" t="str">
        <f t="shared" si="3031"/>
        <v>X</v>
      </c>
      <c r="J13289" s="1" t="str">
        <f t="shared" si="3031"/>
        <v>X</v>
      </c>
      <c r="K13289" s="1" t="str">
        <f t="shared" si="3031"/>
        <v>X</v>
      </c>
      <c r="L13289" s="1" t="str">
        <f t="shared" si="3031"/>
        <v>X</v>
      </c>
      <c r="M13289" s="1" t="str">
        <f t="shared" si="3031"/>
        <v>X</v>
      </c>
      <c r="N13289" t="s">
        <v>27</v>
      </c>
    </row>
    <row r="13290" spans="1:14" x14ac:dyDescent="0.25">
      <c r="A13290" t="s">
        <v>45</v>
      </c>
      <c r="B13290" t="s">
        <v>15</v>
      </c>
      <c r="C13290" t="s">
        <v>15</v>
      </c>
      <c r="D13290" t="s">
        <v>34</v>
      </c>
      <c r="E13290" t="s">
        <v>22</v>
      </c>
      <c r="F13290" t="s">
        <v>19</v>
      </c>
      <c r="G13290" s="1" t="str">
        <f t="shared" si="3031"/>
        <v>X</v>
      </c>
      <c r="H13290" s="1" t="str">
        <f t="shared" si="3031"/>
        <v>X</v>
      </c>
      <c r="I13290" s="1" t="str">
        <f t="shared" si="3031"/>
        <v>X</v>
      </c>
      <c r="J13290" s="1" t="str">
        <f t="shared" si="3031"/>
        <v>X</v>
      </c>
      <c r="K13290" s="1" t="str">
        <f t="shared" si="3031"/>
        <v>X</v>
      </c>
      <c r="L13290" s="1" t="str">
        <f t="shared" si="3031"/>
        <v>X</v>
      </c>
      <c r="M13290" s="1" t="str">
        <f t="shared" si="3031"/>
        <v>X</v>
      </c>
      <c r="N13290" t="s">
        <v>27</v>
      </c>
    </row>
    <row r="13291" spans="1:14" x14ac:dyDescent="0.25">
      <c r="A13291" t="s">
        <v>45</v>
      </c>
      <c r="B13291" t="s">
        <v>15</v>
      </c>
      <c r="C13291" t="s">
        <v>15</v>
      </c>
      <c r="D13291" t="s">
        <v>34</v>
      </c>
      <c r="E13291" t="s">
        <v>22</v>
      </c>
      <c r="F13291" t="s">
        <v>20</v>
      </c>
      <c r="G13291" s="2">
        <f>VALUE(317.74)</f>
        <v>317.74</v>
      </c>
      <c r="H13291" s="3">
        <f>VALUE(285.53)</f>
        <v>285.52999999999997</v>
      </c>
      <c r="I13291" s="1">
        <f>VALUE(3142)</f>
        <v>3142</v>
      </c>
      <c r="J13291" s="1">
        <f>VALUE(3552)</f>
        <v>3552</v>
      </c>
      <c r="K13291" s="1">
        <f>VALUE(4129)</f>
        <v>4129</v>
      </c>
      <c r="L13291" s="7">
        <f>VALUE(4785)</f>
        <v>4785</v>
      </c>
      <c r="M13291" s="1">
        <f>VALUE(6153)</f>
        <v>6153</v>
      </c>
      <c r="N13291" t="s">
        <v>25</v>
      </c>
    </row>
    <row r="13292" spans="1:14" x14ac:dyDescent="0.25">
      <c r="A13292" t="s">
        <v>45</v>
      </c>
      <c r="B13292" t="s">
        <v>15</v>
      </c>
      <c r="C13292" t="s">
        <v>15</v>
      </c>
      <c r="D13292" t="s">
        <v>34</v>
      </c>
      <c r="E13292" t="s">
        <v>23</v>
      </c>
      <c r="F13292" t="s">
        <v>15</v>
      </c>
      <c r="G13292" s="2">
        <f>VALUE(772.86)</f>
        <v>772.86</v>
      </c>
      <c r="H13292" s="3">
        <f>VALUE(673.22)</f>
        <v>673.22</v>
      </c>
      <c r="I13292" s="1">
        <f>VALUE(3204)</f>
        <v>3204</v>
      </c>
      <c r="J13292" s="1">
        <f>VALUE(3496)</f>
        <v>3496</v>
      </c>
      <c r="K13292" s="1">
        <f>VALUE(4202)</f>
        <v>4202</v>
      </c>
      <c r="L13292" s="7">
        <f>VALUE(5484)</f>
        <v>5484</v>
      </c>
      <c r="M13292" s="1">
        <f>VALUE(6221)</f>
        <v>6221</v>
      </c>
      <c r="N13292" t="s">
        <v>25</v>
      </c>
    </row>
    <row r="13293" spans="1:14" x14ac:dyDescent="0.25">
      <c r="A13293" t="s">
        <v>45</v>
      </c>
      <c r="B13293" t="s">
        <v>15</v>
      </c>
      <c r="C13293" t="s">
        <v>15</v>
      </c>
      <c r="D13293" t="s">
        <v>34</v>
      </c>
      <c r="E13293" t="s">
        <v>23</v>
      </c>
      <c r="F13293" t="s">
        <v>17</v>
      </c>
      <c r="G13293" s="1" t="str">
        <f t="shared" ref="G13293:M13295" si="3032">"X"</f>
        <v>X</v>
      </c>
      <c r="H13293" s="1" t="str">
        <f t="shared" si="3032"/>
        <v>X</v>
      </c>
      <c r="I13293" s="1" t="str">
        <f t="shared" si="3032"/>
        <v>X</v>
      </c>
      <c r="J13293" s="1" t="str">
        <f t="shared" si="3032"/>
        <v>X</v>
      </c>
      <c r="K13293" s="1" t="str">
        <f t="shared" si="3032"/>
        <v>X</v>
      </c>
      <c r="L13293" s="1" t="str">
        <f t="shared" si="3032"/>
        <v>X</v>
      </c>
      <c r="M13293" s="1" t="str">
        <f t="shared" si="3032"/>
        <v>X</v>
      </c>
      <c r="N13293" t="s">
        <v>27</v>
      </c>
    </row>
    <row r="13294" spans="1:14" x14ac:dyDescent="0.25">
      <c r="A13294" t="s">
        <v>45</v>
      </c>
      <c r="B13294" t="s">
        <v>15</v>
      </c>
      <c r="C13294" t="s">
        <v>15</v>
      </c>
      <c r="D13294" t="s">
        <v>34</v>
      </c>
      <c r="E13294" t="s">
        <v>23</v>
      </c>
      <c r="F13294" t="s">
        <v>18</v>
      </c>
      <c r="G13294" s="1" t="str">
        <f t="shared" si="3032"/>
        <v>X</v>
      </c>
      <c r="H13294" s="1" t="str">
        <f t="shared" si="3032"/>
        <v>X</v>
      </c>
      <c r="I13294" s="1" t="str">
        <f t="shared" si="3032"/>
        <v>X</v>
      </c>
      <c r="J13294" s="1" t="str">
        <f t="shared" si="3032"/>
        <v>X</v>
      </c>
      <c r="K13294" s="1" t="str">
        <f t="shared" si="3032"/>
        <v>X</v>
      </c>
      <c r="L13294" s="1" t="str">
        <f t="shared" si="3032"/>
        <v>X</v>
      </c>
      <c r="M13294" s="1" t="str">
        <f t="shared" si="3032"/>
        <v>X</v>
      </c>
      <c r="N13294" t="s">
        <v>27</v>
      </c>
    </row>
    <row r="13295" spans="1:14" x14ac:dyDescent="0.25">
      <c r="A13295" t="s">
        <v>45</v>
      </c>
      <c r="B13295" t="s">
        <v>15</v>
      </c>
      <c r="C13295" t="s">
        <v>15</v>
      </c>
      <c r="D13295" t="s">
        <v>34</v>
      </c>
      <c r="E13295" t="s">
        <v>23</v>
      </c>
      <c r="F13295" t="s">
        <v>19</v>
      </c>
      <c r="G13295" s="1" t="str">
        <f t="shared" si="3032"/>
        <v>X</v>
      </c>
      <c r="H13295" s="1" t="str">
        <f t="shared" si="3032"/>
        <v>X</v>
      </c>
      <c r="I13295" s="1" t="str">
        <f t="shared" si="3032"/>
        <v>X</v>
      </c>
      <c r="J13295" s="1" t="str">
        <f t="shared" si="3032"/>
        <v>X</v>
      </c>
      <c r="K13295" s="1" t="str">
        <f t="shared" si="3032"/>
        <v>X</v>
      </c>
      <c r="L13295" s="1" t="str">
        <f t="shared" si="3032"/>
        <v>X</v>
      </c>
      <c r="M13295" s="1" t="str">
        <f t="shared" si="3032"/>
        <v>X</v>
      </c>
      <c r="N13295" t="s">
        <v>27</v>
      </c>
    </row>
    <row r="13296" spans="1:14" x14ac:dyDescent="0.25">
      <c r="A13296" t="s">
        <v>45</v>
      </c>
      <c r="B13296" t="s">
        <v>15</v>
      </c>
      <c r="C13296" t="s">
        <v>15</v>
      </c>
      <c r="D13296" t="s">
        <v>34</v>
      </c>
      <c r="E13296" t="s">
        <v>23</v>
      </c>
      <c r="F13296" t="s">
        <v>20</v>
      </c>
      <c r="G13296" s="2">
        <f>VALUE(710.36)</f>
        <v>710.36</v>
      </c>
      <c r="H13296" s="3">
        <f>VALUE(617.07)</f>
        <v>617.07000000000005</v>
      </c>
      <c r="I13296" s="1">
        <f>VALUE(3146)</f>
        <v>3146</v>
      </c>
      <c r="J13296" s="1">
        <f>VALUE(3451)</f>
        <v>3451</v>
      </c>
      <c r="K13296" s="1">
        <f>VALUE(4119)</f>
        <v>4119</v>
      </c>
      <c r="L13296" s="1">
        <f>VALUE(5484)</f>
        <v>5484</v>
      </c>
      <c r="M13296" s="1">
        <f>VALUE(6221)</f>
        <v>6221</v>
      </c>
      <c r="N13296" t="s">
        <v>25</v>
      </c>
    </row>
    <row r="13297" spans="1:14" x14ac:dyDescent="0.25">
      <c r="A13297" t="s">
        <v>45</v>
      </c>
      <c r="B13297" t="s">
        <v>15</v>
      </c>
      <c r="C13297" t="s">
        <v>15</v>
      </c>
      <c r="D13297" t="s">
        <v>34</v>
      </c>
      <c r="E13297" t="s">
        <v>26</v>
      </c>
      <c r="F13297" t="s">
        <v>15</v>
      </c>
      <c r="G13297" s="1" t="str">
        <f t="shared" ref="G13297:M13297" si="3033">"X"</f>
        <v>X</v>
      </c>
      <c r="H13297" s="1" t="str">
        <f t="shared" si="3033"/>
        <v>X</v>
      </c>
      <c r="I13297" s="1" t="str">
        <f t="shared" si="3033"/>
        <v>X</v>
      </c>
      <c r="J13297" s="1" t="str">
        <f t="shared" si="3033"/>
        <v>X</v>
      </c>
      <c r="K13297" s="1" t="str">
        <f t="shared" si="3033"/>
        <v>X</v>
      </c>
      <c r="L13297" s="1" t="str">
        <f t="shared" si="3033"/>
        <v>X</v>
      </c>
      <c r="M13297" s="1" t="str">
        <f t="shared" si="3033"/>
        <v>X</v>
      </c>
      <c r="N13297" t="s">
        <v>27</v>
      </c>
    </row>
    <row r="13298" spans="1:14" x14ac:dyDescent="0.25">
      <c r="A13298" t="s">
        <v>45</v>
      </c>
      <c r="B13298" t="s">
        <v>15</v>
      </c>
      <c r="C13298" t="s">
        <v>15</v>
      </c>
      <c r="D13298" t="s">
        <v>34</v>
      </c>
      <c r="E13298" t="s">
        <v>26</v>
      </c>
      <c r="F13298" t="s">
        <v>17</v>
      </c>
      <c r="G13298" s="1" t="str">
        <f t="shared" ref="G13298:M13299" si="3034">"..."</f>
        <v>...</v>
      </c>
      <c r="H13298" s="1" t="str">
        <f t="shared" si="3034"/>
        <v>...</v>
      </c>
      <c r="I13298" s="1" t="str">
        <f t="shared" si="3034"/>
        <v>...</v>
      </c>
      <c r="J13298" s="1" t="str">
        <f t="shared" si="3034"/>
        <v>...</v>
      </c>
      <c r="K13298" s="1" t="str">
        <f t="shared" si="3034"/>
        <v>...</v>
      </c>
      <c r="L13298" s="1" t="str">
        <f t="shared" si="3034"/>
        <v>...</v>
      </c>
      <c r="M13298" s="1" t="str">
        <f t="shared" si="3034"/>
        <v>...</v>
      </c>
      <c r="N13298" t="s">
        <v>30</v>
      </c>
    </row>
    <row r="13299" spans="1:14" x14ac:dyDescent="0.25">
      <c r="A13299" t="s">
        <v>45</v>
      </c>
      <c r="B13299" t="s">
        <v>15</v>
      </c>
      <c r="C13299" t="s">
        <v>15</v>
      </c>
      <c r="D13299" t="s">
        <v>34</v>
      </c>
      <c r="E13299" t="s">
        <v>26</v>
      </c>
      <c r="F13299" t="s">
        <v>18</v>
      </c>
      <c r="G13299" s="1" t="str">
        <f t="shared" si="3034"/>
        <v>...</v>
      </c>
      <c r="H13299" s="1" t="str">
        <f t="shared" si="3034"/>
        <v>...</v>
      </c>
      <c r="I13299" s="1" t="str">
        <f t="shared" si="3034"/>
        <v>...</v>
      </c>
      <c r="J13299" s="1" t="str">
        <f t="shared" si="3034"/>
        <v>...</v>
      </c>
      <c r="K13299" s="1" t="str">
        <f t="shared" si="3034"/>
        <v>...</v>
      </c>
      <c r="L13299" s="1" t="str">
        <f t="shared" si="3034"/>
        <v>...</v>
      </c>
      <c r="M13299" s="1" t="str">
        <f t="shared" si="3034"/>
        <v>...</v>
      </c>
      <c r="N13299" t="s">
        <v>30</v>
      </c>
    </row>
    <row r="13300" spans="1:14" x14ac:dyDescent="0.25">
      <c r="A13300" t="s">
        <v>45</v>
      </c>
      <c r="B13300" t="s">
        <v>15</v>
      </c>
      <c r="C13300" t="s">
        <v>15</v>
      </c>
      <c r="D13300" t="s">
        <v>34</v>
      </c>
      <c r="E13300" t="s">
        <v>26</v>
      </c>
      <c r="F13300" t="s">
        <v>19</v>
      </c>
      <c r="G13300" s="1" t="str">
        <f t="shared" ref="G13300:M13301" si="3035">"X"</f>
        <v>X</v>
      </c>
      <c r="H13300" s="1" t="str">
        <f t="shared" si="3035"/>
        <v>X</v>
      </c>
      <c r="I13300" s="1" t="str">
        <f t="shared" si="3035"/>
        <v>X</v>
      </c>
      <c r="J13300" s="1" t="str">
        <f t="shared" si="3035"/>
        <v>X</v>
      </c>
      <c r="K13300" s="1" t="str">
        <f t="shared" si="3035"/>
        <v>X</v>
      </c>
      <c r="L13300" s="1" t="str">
        <f t="shared" si="3035"/>
        <v>X</v>
      </c>
      <c r="M13300" s="1" t="str">
        <f t="shared" si="3035"/>
        <v>X</v>
      </c>
      <c r="N13300" t="s">
        <v>27</v>
      </c>
    </row>
    <row r="13301" spans="1:14" x14ac:dyDescent="0.25">
      <c r="A13301" t="s">
        <v>45</v>
      </c>
      <c r="B13301" t="s">
        <v>15</v>
      </c>
      <c r="C13301" t="s">
        <v>15</v>
      </c>
      <c r="D13301" t="s">
        <v>34</v>
      </c>
      <c r="E13301" t="s">
        <v>26</v>
      </c>
      <c r="F13301" t="s">
        <v>20</v>
      </c>
      <c r="G13301" s="1" t="str">
        <f t="shared" si="3035"/>
        <v>X</v>
      </c>
      <c r="H13301" s="1" t="str">
        <f t="shared" si="3035"/>
        <v>X</v>
      </c>
      <c r="I13301" s="1" t="str">
        <f t="shared" si="3035"/>
        <v>X</v>
      </c>
      <c r="J13301" s="1" t="str">
        <f t="shared" si="3035"/>
        <v>X</v>
      </c>
      <c r="K13301" s="1" t="str">
        <f t="shared" si="3035"/>
        <v>X</v>
      </c>
      <c r="L13301" s="1" t="str">
        <f t="shared" si="3035"/>
        <v>X</v>
      </c>
      <c r="M13301" s="1" t="str">
        <f t="shared" si="3035"/>
        <v>X</v>
      </c>
      <c r="N13301" t="s">
        <v>27</v>
      </c>
    </row>
    <row r="13302" spans="1:14" x14ac:dyDescent="0.25">
      <c r="A13302" t="s">
        <v>45</v>
      </c>
      <c r="B13302" t="s">
        <v>15</v>
      </c>
      <c r="C13302" t="s">
        <v>35</v>
      </c>
      <c r="D13302" t="s">
        <v>15</v>
      </c>
      <c r="E13302" t="s">
        <v>15</v>
      </c>
      <c r="F13302" t="s">
        <v>15</v>
      </c>
      <c r="G13302" s="1">
        <f>VALUE(5426.18)</f>
        <v>5426.18</v>
      </c>
      <c r="H13302" s="3">
        <f>VALUE(4808.86)</f>
        <v>4808.8599999999997</v>
      </c>
      <c r="I13302" s="1">
        <f>VALUE(3088)</f>
        <v>3088</v>
      </c>
      <c r="J13302" s="1">
        <f>VALUE(3499)</f>
        <v>3499</v>
      </c>
      <c r="K13302" s="1">
        <f>VALUE(4058)</f>
        <v>4058</v>
      </c>
      <c r="L13302" s="1">
        <f>VALUE(4540)</f>
        <v>4540</v>
      </c>
      <c r="M13302" s="1">
        <f>VALUE(5405)</f>
        <v>5405</v>
      </c>
      <c r="N13302" t="s">
        <v>25</v>
      </c>
    </row>
    <row r="13303" spans="1:14" x14ac:dyDescent="0.25">
      <c r="A13303" t="s">
        <v>45</v>
      </c>
      <c r="B13303" t="s">
        <v>15</v>
      </c>
      <c r="C13303" t="s">
        <v>35</v>
      </c>
      <c r="D13303" t="s">
        <v>15</v>
      </c>
      <c r="E13303" t="s">
        <v>15</v>
      </c>
      <c r="F13303" t="s">
        <v>17</v>
      </c>
      <c r="G13303" s="1" t="str">
        <f t="shared" ref="G13303:M13304" si="3036">"X"</f>
        <v>X</v>
      </c>
      <c r="H13303" s="1" t="str">
        <f t="shared" si="3036"/>
        <v>X</v>
      </c>
      <c r="I13303" s="1" t="str">
        <f t="shared" si="3036"/>
        <v>X</v>
      </c>
      <c r="J13303" s="1" t="str">
        <f t="shared" si="3036"/>
        <v>X</v>
      </c>
      <c r="K13303" s="1" t="str">
        <f t="shared" si="3036"/>
        <v>X</v>
      </c>
      <c r="L13303" s="1" t="str">
        <f t="shared" si="3036"/>
        <v>X</v>
      </c>
      <c r="M13303" s="1" t="str">
        <f t="shared" si="3036"/>
        <v>X</v>
      </c>
      <c r="N13303" t="s">
        <v>27</v>
      </c>
    </row>
    <row r="13304" spans="1:14" x14ac:dyDescent="0.25">
      <c r="A13304" t="s">
        <v>45</v>
      </c>
      <c r="B13304" t="s">
        <v>15</v>
      </c>
      <c r="C13304" t="s">
        <v>35</v>
      </c>
      <c r="D13304" t="s">
        <v>15</v>
      </c>
      <c r="E13304" t="s">
        <v>15</v>
      </c>
      <c r="F13304" t="s">
        <v>18</v>
      </c>
      <c r="G13304" s="1" t="str">
        <f t="shared" si="3036"/>
        <v>X</v>
      </c>
      <c r="H13304" s="1" t="str">
        <f t="shared" si="3036"/>
        <v>X</v>
      </c>
      <c r="I13304" s="1" t="str">
        <f t="shared" si="3036"/>
        <v>X</v>
      </c>
      <c r="J13304" s="1" t="str">
        <f t="shared" si="3036"/>
        <v>X</v>
      </c>
      <c r="K13304" s="1" t="str">
        <f t="shared" si="3036"/>
        <v>X</v>
      </c>
      <c r="L13304" s="1" t="str">
        <f t="shared" si="3036"/>
        <v>X</v>
      </c>
      <c r="M13304" s="1" t="str">
        <f t="shared" si="3036"/>
        <v>X</v>
      </c>
      <c r="N13304" t="s">
        <v>27</v>
      </c>
    </row>
    <row r="13305" spans="1:14" x14ac:dyDescent="0.25">
      <c r="A13305" t="s">
        <v>45</v>
      </c>
      <c r="B13305" t="s">
        <v>15</v>
      </c>
      <c r="C13305" t="s">
        <v>35</v>
      </c>
      <c r="D13305" t="s">
        <v>15</v>
      </c>
      <c r="E13305" t="s">
        <v>15</v>
      </c>
      <c r="F13305" t="s">
        <v>19</v>
      </c>
      <c r="G13305" s="2">
        <f>VALUE(291.61)</f>
        <v>291.61</v>
      </c>
      <c r="H13305" s="3">
        <f>VALUE(274.27)</f>
        <v>274.27</v>
      </c>
      <c r="I13305" s="1">
        <f>VALUE(3077)</f>
        <v>3077</v>
      </c>
      <c r="J13305" s="1">
        <f>VALUE(3883)</f>
        <v>3883</v>
      </c>
      <c r="K13305" s="1">
        <f>VALUE(4201)</f>
        <v>4201</v>
      </c>
      <c r="L13305" s="1">
        <f>VALUE(4969)</f>
        <v>4969</v>
      </c>
      <c r="M13305" s="1">
        <f>VALUE(6043)</f>
        <v>6043</v>
      </c>
      <c r="N13305" t="s">
        <v>25</v>
      </c>
    </row>
    <row r="13306" spans="1:14" x14ac:dyDescent="0.25">
      <c r="A13306" t="s">
        <v>45</v>
      </c>
      <c r="B13306" t="s">
        <v>15</v>
      </c>
      <c r="C13306" t="s">
        <v>35</v>
      </c>
      <c r="D13306" t="s">
        <v>15</v>
      </c>
      <c r="E13306" t="s">
        <v>15</v>
      </c>
      <c r="F13306" t="s">
        <v>20</v>
      </c>
      <c r="G13306" s="2">
        <f>VALUE(4809.51)</f>
        <v>4809.51</v>
      </c>
      <c r="H13306" s="3">
        <f>VALUE(4230.92)</f>
        <v>4230.92</v>
      </c>
      <c r="I13306" s="1">
        <f>VALUE(3143)</f>
        <v>3143</v>
      </c>
      <c r="J13306" s="1">
        <f>VALUE(3499)</f>
        <v>3499</v>
      </c>
      <c r="K13306" s="1">
        <f>VALUE(4020)</f>
        <v>4020</v>
      </c>
      <c r="L13306" s="1">
        <f>VALUE(4470)</f>
        <v>4470</v>
      </c>
      <c r="M13306" s="8">
        <f>VALUE(5326)</f>
        <v>5326</v>
      </c>
      <c r="N13306" t="s">
        <v>25</v>
      </c>
    </row>
    <row r="13307" spans="1:14" x14ac:dyDescent="0.25">
      <c r="A13307" t="s">
        <v>45</v>
      </c>
      <c r="B13307" t="s">
        <v>15</v>
      </c>
      <c r="C13307" t="s">
        <v>35</v>
      </c>
      <c r="D13307" t="s">
        <v>15</v>
      </c>
      <c r="E13307" t="s">
        <v>21</v>
      </c>
      <c r="F13307" t="s">
        <v>15</v>
      </c>
      <c r="G13307" s="2">
        <f>VALUE(713.49)</f>
        <v>713.49</v>
      </c>
      <c r="H13307" s="3">
        <f>VALUE(678.33)</f>
        <v>678.33</v>
      </c>
      <c r="I13307" s="1">
        <f>VALUE(3211)</f>
        <v>3211</v>
      </c>
      <c r="J13307" s="1">
        <f>VALUE(3806)</f>
        <v>3806</v>
      </c>
      <c r="K13307" s="1">
        <f>VALUE(4178)</f>
        <v>4178</v>
      </c>
      <c r="L13307" s="7">
        <f>VALUE(4964)</f>
        <v>4964</v>
      </c>
      <c r="M13307" s="1">
        <f>VALUE(5814)</f>
        <v>5814</v>
      </c>
      <c r="N13307" t="s">
        <v>25</v>
      </c>
    </row>
    <row r="13308" spans="1:14" x14ac:dyDescent="0.25">
      <c r="A13308" t="s">
        <v>45</v>
      </c>
      <c r="B13308" t="s">
        <v>15</v>
      </c>
      <c r="C13308" t="s">
        <v>35</v>
      </c>
      <c r="D13308" t="s">
        <v>15</v>
      </c>
      <c r="E13308" t="s">
        <v>21</v>
      </c>
      <c r="F13308" t="s">
        <v>17</v>
      </c>
      <c r="G13308" s="1" t="str">
        <f t="shared" ref="G13308:M13310" si="3037">"X"</f>
        <v>X</v>
      </c>
      <c r="H13308" s="1" t="str">
        <f t="shared" si="3037"/>
        <v>X</v>
      </c>
      <c r="I13308" s="1" t="str">
        <f t="shared" si="3037"/>
        <v>X</v>
      </c>
      <c r="J13308" s="1" t="str">
        <f t="shared" si="3037"/>
        <v>X</v>
      </c>
      <c r="K13308" s="1" t="str">
        <f t="shared" si="3037"/>
        <v>X</v>
      </c>
      <c r="L13308" s="1" t="str">
        <f t="shared" si="3037"/>
        <v>X</v>
      </c>
      <c r="M13308" s="1" t="str">
        <f t="shared" si="3037"/>
        <v>X</v>
      </c>
      <c r="N13308" t="s">
        <v>27</v>
      </c>
    </row>
    <row r="13309" spans="1:14" x14ac:dyDescent="0.25">
      <c r="A13309" t="s">
        <v>45</v>
      </c>
      <c r="B13309" t="s">
        <v>15</v>
      </c>
      <c r="C13309" t="s">
        <v>35</v>
      </c>
      <c r="D13309" t="s">
        <v>15</v>
      </c>
      <c r="E13309" t="s">
        <v>21</v>
      </c>
      <c r="F13309" t="s">
        <v>18</v>
      </c>
      <c r="G13309" s="1" t="str">
        <f t="shared" si="3037"/>
        <v>X</v>
      </c>
      <c r="H13309" s="1" t="str">
        <f t="shared" si="3037"/>
        <v>X</v>
      </c>
      <c r="I13309" s="1" t="str">
        <f t="shared" si="3037"/>
        <v>X</v>
      </c>
      <c r="J13309" s="1" t="str">
        <f t="shared" si="3037"/>
        <v>X</v>
      </c>
      <c r="K13309" s="1" t="str">
        <f t="shared" si="3037"/>
        <v>X</v>
      </c>
      <c r="L13309" s="1" t="str">
        <f t="shared" si="3037"/>
        <v>X</v>
      </c>
      <c r="M13309" s="1" t="str">
        <f t="shared" si="3037"/>
        <v>X</v>
      </c>
      <c r="N13309" t="s">
        <v>27</v>
      </c>
    </row>
    <row r="13310" spans="1:14" x14ac:dyDescent="0.25">
      <c r="A13310" t="s">
        <v>45</v>
      </c>
      <c r="B13310" t="s">
        <v>15</v>
      </c>
      <c r="C13310" t="s">
        <v>35</v>
      </c>
      <c r="D13310" t="s">
        <v>15</v>
      </c>
      <c r="E13310" t="s">
        <v>21</v>
      </c>
      <c r="F13310" t="s">
        <v>19</v>
      </c>
      <c r="G13310" s="1" t="str">
        <f t="shared" si="3037"/>
        <v>X</v>
      </c>
      <c r="H13310" s="1" t="str">
        <f t="shared" si="3037"/>
        <v>X</v>
      </c>
      <c r="I13310" s="1" t="str">
        <f t="shared" si="3037"/>
        <v>X</v>
      </c>
      <c r="J13310" s="1" t="str">
        <f t="shared" si="3037"/>
        <v>X</v>
      </c>
      <c r="K13310" s="1" t="str">
        <f t="shared" si="3037"/>
        <v>X</v>
      </c>
      <c r="L13310" s="1" t="str">
        <f t="shared" si="3037"/>
        <v>X</v>
      </c>
      <c r="M13310" s="1" t="str">
        <f t="shared" si="3037"/>
        <v>X</v>
      </c>
      <c r="N13310" t="s">
        <v>27</v>
      </c>
    </row>
    <row r="13311" spans="1:14" x14ac:dyDescent="0.25">
      <c r="A13311" t="s">
        <v>45</v>
      </c>
      <c r="B13311" t="s">
        <v>15</v>
      </c>
      <c r="C13311" t="s">
        <v>35</v>
      </c>
      <c r="D13311" t="s">
        <v>15</v>
      </c>
      <c r="E13311" t="s">
        <v>21</v>
      </c>
      <c r="F13311" t="s">
        <v>20</v>
      </c>
      <c r="G13311" s="2">
        <f>VALUE(561.79)</f>
        <v>561.79</v>
      </c>
      <c r="H13311" s="3">
        <f>VALUE(538.37)</f>
        <v>538.37</v>
      </c>
      <c r="I13311" s="1">
        <f>VALUE(3083)</f>
        <v>3083</v>
      </c>
      <c r="J13311" s="1">
        <f>VALUE(3718)</f>
        <v>3718</v>
      </c>
      <c r="K13311" s="1">
        <f>VALUE(4178)</f>
        <v>4178</v>
      </c>
      <c r="L13311" s="7">
        <f>VALUE(4475)</f>
        <v>4475</v>
      </c>
      <c r="M13311" s="1">
        <f>VALUE(5649)</f>
        <v>5649</v>
      </c>
      <c r="N13311" t="s">
        <v>25</v>
      </c>
    </row>
    <row r="13312" spans="1:14" x14ac:dyDescent="0.25">
      <c r="A13312" t="s">
        <v>45</v>
      </c>
      <c r="B13312" t="s">
        <v>15</v>
      </c>
      <c r="C13312" t="s">
        <v>35</v>
      </c>
      <c r="D13312" t="s">
        <v>15</v>
      </c>
      <c r="E13312" t="s">
        <v>22</v>
      </c>
      <c r="F13312" t="s">
        <v>15</v>
      </c>
      <c r="G13312" s="2">
        <f>VALUE(2994.51)</f>
        <v>2994.51</v>
      </c>
      <c r="H13312" s="3">
        <f>VALUE(2726.51)</f>
        <v>2726.51</v>
      </c>
      <c r="I13312" s="1">
        <f>VALUE(3147)</f>
        <v>3147</v>
      </c>
      <c r="J13312" s="1">
        <f>VALUE(3569)</f>
        <v>3569</v>
      </c>
      <c r="K13312" s="1">
        <f>VALUE(4082)</f>
        <v>4082</v>
      </c>
      <c r="L13312" s="1">
        <f>VALUE(4595)</f>
        <v>4595</v>
      </c>
      <c r="M13312" s="1">
        <f>VALUE(5247)</f>
        <v>5247</v>
      </c>
      <c r="N13312" t="s">
        <v>25</v>
      </c>
    </row>
    <row r="13313" spans="1:14" x14ac:dyDescent="0.25">
      <c r="A13313" t="s">
        <v>45</v>
      </c>
      <c r="B13313" t="s">
        <v>15</v>
      </c>
      <c r="C13313" t="s">
        <v>35</v>
      </c>
      <c r="D13313" t="s">
        <v>15</v>
      </c>
      <c r="E13313" t="s">
        <v>22</v>
      </c>
      <c r="F13313" t="s">
        <v>17</v>
      </c>
      <c r="G13313" s="1" t="str">
        <f t="shared" ref="G13313:M13314" si="3038">"X"</f>
        <v>X</v>
      </c>
      <c r="H13313" s="1" t="str">
        <f t="shared" si="3038"/>
        <v>X</v>
      </c>
      <c r="I13313" s="1" t="str">
        <f t="shared" si="3038"/>
        <v>X</v>
      </c>
      <c r="J13313" s="1" t="str">
        <f t="shared" si="3038"/>
        <v>X</v>
      </c>
      <c r="K13313" s="1" t="str">
        <f t="shared" si="3038"/>
        <v>X</v>
      </c>
      <c r="L13313" s="1" t="str">
        <f t="shared" si="3038"/>
        <v>X</v>
      </c>
      <c r="M13313" s="1" t="str">
        <f t="shared" si="3038"/>
        <v>X</v>
      </c>
      <c r="N13313" t="s">
        <v>27</v>
      </c>
    </row>
    <row r="13314" spans="1:14" x14ac:dyDescent="0.25">
      <c r="A13314" t="s">
        <v>45</v>
      </c>
      <c r="B13314" t="s">
        <v>15</v>
      </c>
      <c r="C13314" t="s">
        <v>35</v>
      </c>
      <c r="D13314" t="s">
        <v>15</v>
      </c>
      <c r="E13314" t="s">
        <v>22</v>
      </c>
      <c r="F13314" t="s">
        <v>18</v>
      </c>
      <c r="G13314" s="1" t="str">
        <f t="shared" si="3038"/>
        <v>X</v>
      </c>
      <c r="H13314" s="1" t="str">
        <f t="shared" si="3038"/>
        <v>X</v>
      </c>
      <c r="I13314" s="1" t="str">
        <f t="shared" si="3038"/>
        <v>X</v>
      </c>
      <c r="J13314" s="1" t="str">
        <f t="shared" si="3038"/>
        <v>X</v>
      </c>
      <c r="K13314" s="1" t="str">
        <f t="shared" si="3038"/>
        <v>X</v>
      </c>
      <c r="L13314" s="1" t="str">
        <f t="shared" si="3038"/>
        <v>X</v>
      </c>
      <c r="M13314" s="1" t="str">
        <f t="shared" si="3038"/>
        <v>X</v>
      </c>
      <c r="N13314" t="s">
        <v>27</v>
      </c>
    </row>
    <row r="13315" spans="1:14" x14ac:dyDescent="0.25">
      <c r="A13315" t="s">
        <v>45</v>
      </c>
      <c r="B13315" t="s">
        <v>15</v>
      </c>
      <c r="C13315" t="s">
        <v>35</v>
      </c>
      <c r="D13315" t="s">
        <v>15</v>
      </c>
      <c r="E13315" t="s">
        <v>22</v>
      </c>
      <c r="F13315" t="s">
        <v>19</v>
      </c>
      <c r="G13315" s="2">
        <f>VALUE(220.38)</f>
        <v>220.38</v>
      </c>
      <c r="H13315" s="3">
        <f>VALUE(207.04)</f>
        <v>207.04</v>
      </c>
      <c r="I13315" s="1">
        <f>VALUE(3077)</f>
        <v>3077</v>
      </c>
      <c r="J13315" s="1">
        <f>VALUE(3815)</f>
        <v>3815</v>
      </c>
      <c r="K13315" s="1">
        <f>VALUE(4150)</f>
        <v>4150</v>
      </c>
      <c r="L13315" s="1">
        <f>VALUE(4427)</f>
        <v>4427</v>
      </c>
      <c r="M13315" s="1">
        <f>VALUE(5403)</f>
        <v>5403</v>
      </c>
      <c r="N13315" t="s">
        <v>25</v>
      </c>
    </row>
    <row r="13316" spans="1:14" x14ac:dyDescent="0.25">
      <c r="A13316" t="s">
        <v>45</v>
      </c>
      <c r="B13316" t="s">
        <v>15</v>
      </c>
      <c r="C13316" t="s">
        <v>35</v>
      </c>
      <c r="D13316" t="s">
        <v>15</v>
      </c>
      <c r="E13316" t="s">
        <v>22</v>
      </c>
      <c r="F13316" t="s">
        <v>20</v>
      </c>
      <c r="G13316" s="2">
        <f>VALUE(2572.63)</f>
        <v>2572.63</v>
      </c>
      <c r="H13316" s="3">
        <f>VALUE(2327.46)</f>
        <v>2327.46</v>
      </c>
      <c r="I13316" s="1">
        <f>VALUE(3200)</f>
        <v>3200</v>
      </c>
      <c r="J13316" s="1">
        <f>VALUE(3569)</f>
        <v>3569</v>
      </c>
      <c r="K13316" s="1">
        <f>VALUE(4058)</f>
        <v>4058</v>
      </c>
      <c r="L13316" s="1">
        <f>VALUE(4595)</f>
        <v>4595</v>
      </c>
      <c r="M13316" s="1">
        <f>VALUE(5247)</f>
        <v>5247</v>
      </c>
      <c r="N13316" t="s">
        <v>25</v>
      </c>
    </row>
    <row r="13317" spans="1:14" x14ac:dyDescent="0.25">
      <c r="A13317" t="s">
        <v>45</v>
      </c>
      <c r="B13317" t="s">
        <v>15</v>
      </c>
      <c r="C13317" t="s">
        <v>35</v>
      </c>
      <c r="D13317" t="s">
        <v>15</v>
      </c>
      <c r="E13317" t="s">
        <v>23</v>
      </c>
      <c r="F13317" t="s">
        <v>15</v>
      </c>
      <c r="G13317" s="2">
        <f>VALUE(1579.53)</f>
        <v>1579.53</v>
      </c>
      <c r="H13317" s="3">
        <f>VALUE(1306.93)</f>
        <v>1306.93</v>
      </c>
      <c r="I13317" s="1">
        <f>VALUE(2988)</f>
        <v>2988</v>
      </c>
      <c r="J13317" s="1">
        <f>VALUE(3388)</f>
        <v>3388</v>
      </c>
      <c r="K13317" s="1">
        <f>VALUE(3800)</f>
        <v>3800</v>
      </c>
      <c r="L13317" s="1">
        <f>VALUE(4277)</f>
        <v>4277</v>
      </c>
      <c r="M13317" s="8">
        <f>VALUE(5147)</f>
        <v>5147</v>
      </c>
      <c r="N13317" t="s">
        <v>25</v>
      </c>
    </row>
    <row r="13318" spans="1:14" x14ac:dyDescent="0.25">
      <c r="A13318" t="s">
        <v>45</v>
      </c>
      <c r="B13318" t="s">
        <v>15</v>
      </c>
      <c r="C13318" t="s">
        <v>35</v>
      </c>
      <c r="D13318" t="s">
        <v>15</v>
      </c>
      <c r="E13318" t="s">
        <v>23</v>
      </c>
      <c r="F13318" t="s">
        <v>17</v>
      </c>
      <c r="G13318" s="1" t="str">
        <f t="shared" ref="G13318:M13320" si="3039">"X"</f>
        <v>X</v>
      </c>
      <c r="H13318" s="1" t="str">
        <f t="shared" si="3039"/>
        <v>X</v>
      </c>
      <c r="I13318" s="1" t="str">
        <f t="shared" si="3039"/>
        <v>X</v>
      </c>
      <c r="J13318" s="1" t="str">
        <f t="shared" si="3039"/>
        <v>X</v>
      </c>
      <c r="K13318" s="1" t="str">
        <f t="shared" si="3039"/>
        <v>X</v>
      </c>
      <c r="L13318" s="1" t="str">
        <f t="shared" si="3039"/>
        <v>X</v>
      </c>
      <c r="M13318" s="1" t="str">
        <f t="shared" si="3039"/>
        <v>X</v>
      </c>
      <c r="N13318" t="s">
        <v>27</v>
      </c>
    </row>
    <row r="13319" spans="1:14" x14ac:dyDescent="0.25">
      <c r="A13319" t="s">
        <v>45</v>
      </c>
      <c r="B13319" t="s">
        <v>15</v>
      </c>
      <c r="C13319" t="s">
        <v>35</v>
      </c>
      <c r="D13319" t="s">
        <v>15</v>
      </c>
      <c r="E13319" t="s">
        <v>23</v>
      </c>
      <c r="F13319" t="s">
        <v>18</v>
      </c>
      <c r="G13319" s="1" t="str">
        <f t="shared" si="3039"/>
        <v>X</v>
      </c>
      <c r="H13319" s="1" t="str">
        <f t="shared" si="3039"/>
        <v>X</v>
      </c>
      <c r="I13319" s="1" t="str">
        <f t="shared" si="3039"/>
        <v>X</v>
      </c>
      <c r="J13319" s="1" t="str">
        <f t="shared" si="3039"/>
        <v>X</v>
      </c>
      <c r="K13319" s="1" t="str">
        <f t="shared" si="3039"/>
        <v>X</v>
      </c>
      <c r="L13319" s="1" t="str">
        <f t="shared" si="3039"/>
        <v>X</v>
      </c>
      <c r="M13319" s="1" t="str">
        <f t="shared" si="3039"/>
        <v>X</v>
      </c>
      <c r="N13319" t="s">
        <v>27</v>
      </c>
    </row>
    <row r="13320" spans="1:14" x14ac:dyDescent="0.25">
      <c r="A13320" t="s">
        <v>45</v>
      </c>
      <c r="B13320" t="s">
        <v>15</v>
      </c>
      <c r="C13320" t="s">
        <v>35</v>
      </c>
      <c r="D13320" t="s">
        <v>15</v>
      </c>
      <c r="E13320" t="s">
        <v>23</v>
      </c>
      <c r="F13320" t="s">
        <v>19</v>
      </c>
      <c r="G13320" s="1" t="str">
        <f t="shared" si="3039"/>
        <v>X</v>
      </c>
      <c r="H13320" s="1" t="str">
        <f t="shared" si="3039"/>
        <v>X</v>
      </c>
      <c r="I13320" s="1" t="str">
        <f t="shared" si="3039"/>
        <v>X</v>
      </c>
      <c r="J13320" s="1" t="str">
        <f t="shared" si="3039"/>
        <v>X</v>
      </c>
      <c r="K13320" s="1" t="str">
        <f t="shared" si="3039"/>
        <v>X</v>
      </c>
      <c r="L13320" s="1" t="str">
        <f t="shared" si="3039"/>
        <v>X</v>
      </c>
      <c r="M13320" s="1" t="str">
        <f t="shared" si="3039"/>
        <v>X</v>
      </c>
      <c r="N13320" t="s">
        <v>27</v>
      </c>
    </row>
    <row r="13321" spans="1:14" x14ac:dyDescent="0.25">
      <c r="A13321" t="s">
        <v>45</v>
      </c>
      <c r="B13321" t="s">
        <v>15</v>
      </c>
      <c r="C13321" t="s">
        <v>35</v>
      </c>
      <c r="D13321" t="s">
        <v>15</v>
      </c>
      <c r="E13321" t="s">
        <v>23</v>
      </c>
      <c r="F13321" t="s">
        <v>20</v>
      </c>
      <c r="G13321" s="2">
        <f>VALUE(1542.15)</f>
        <v>1542.15</v>
      </c>
      <c r="H13321" s="3">
        <f>VALUE(1274)</f>
        <v>1274</v>
      </c>
      <c r="I13321" s="1">
        <f>VALUE(3000)</f>
        <v>3000</v>
      </c>
      <c r="J13321" s="1">
        <f>VALUE(3398)</f>
        <v>3398</v>
      </c>
      <c r="K13321" s="1">
        <f>VALUE(3809)</f>
        <v>3809</v>
      </c>
      <c r="L13321" s="1">
        <f>VALUE(4277)</f>
        <v>4277</v>
      </c>
      <c r="M13321" s="8">
        <f>VALUE(5147)</f>
        <v>5147</v>
      </c>
      <c r="N13321" t="s">
        <v>25</v>
      </c>
    </row>
    <row r="13322" spans="1:14" x14ac:dyDescent="0.25">
      <c r="A13322" t="s">
        <v>45</v>
      </c>
      <c r="B13322" t="s">
        <v>15</v>
      </c>
      <c r="C13322" t="s">
        <v>35</v>
      </c>
      <c r="D13322" t="s">
        <v>15</v>
      </c>
      <c r="E13322" t="s">
        <v>26</v>
      </c>
      <c r="F13322" t="s">
        <v>15</v>
      </c>
      <c r="G13322" s="1" t="str">
        <f t="shared" ref="G13322:M13322" si="3040">"X"</f>
        <v>X</v>
      </c>
      <c r="H13322" s="1" t="str">
        <f t="shared" si="3040"/>
        <v>X</v>
      </c>
      <c r="I13322" s="1" t="str">
        <f t="shared" si="3040"/>
        <v>X</v>
      </c>
      <c r="J13322" s="1" t="str">
        <f t="shared" si="3040"/>
        <v>X</v>
      </c>
      <c r="K13322" s="1" t="str">
        <f t="shared" si="3040"/>
        <v>X</v>
      </c>
      <c r="L13322" s="1" t="str">
        <f t="shared" si="3040"/>
        <v>X</v>
      </c>
      <c r="M13322" s="1" t="str">
        <f t="shared" si="3040"/>
        <v>X</v>
      </c>
      <c r="N13322" t="s">
        <v>27</v>
      </c>
    </row>
    <row r="13323" spans="1:14" x14ac:dyDescent="0.25">
      <c r="A13323" t="s">
        <v>45</v>
      </c>
      <c r="B13323" t="s">
        <v>15</v>
      </c>
      <c r="C13323" t="s">
        <v>35</v>
      </c>
      <c r="D13323" t="s">
        <v>15</v>
      </c>
      <c r="E13323" t="s">
        <v>26</v>
      </c>
      <c r="F13323" t="s">
        <v>17</v>
      </c>
      <c r="G13323" s="1" t="str">
        <f t="shared" ref="G13323:M13324" si="3041">"..."</f>
        <v>...</v>
      </c>
      <c r="H13323" s="1" t="str">
        <f t="shared" si="3041"/>
        <v>...</v>
      </c>
      <c r="I13323" s="1" t="str">
        <f t="shared" si="3041"/>
        <v>...</v>
      </c>
      <c r="J13323" s="1" t="str">
        <f t="shared" si="3041"/>
        <v>...</v>
      </c>
      <c r="K13323" s="1" t="str">
        <f t="shared" si="3041"/>
        <v>...</v>
      </c>
      <c r="L13323" s="1" t="str">
        <f t="shared" si="3041"/>
        <v>...</v>
      </c>
      <c r="M13323" s="1" t="str">
        <f t="shared" si="3041"/>
        <v>...</v>
      </c>
      <c r="N13323" t="s">
        <v>30</v>
      </c>
    </row>
    <row r="13324" spans="1:14" x14ac:dyDescent="0.25">
      <c r="A13324" t="s">
        <v>45</v>
      </c>
      <c r="B13324" t="s">
        <v>15</v>
      </c>
      <c r="C13324" t="s">
        <v>35</v>
      </c>
      <c r="D13324" t="s">
        <v>15</v>
      </c>
      <c r="E13324" t="s">
        <v>26</v>
      </c>
      <c r="F13324" t="s">
        <v>18</v>
      </c>
      <c r="G13324" s="1" t="str">
        <f t="shared" si="3041"/>
        <v>...</v>
      </c>
      <c r="H13324" s="1" t="str">
        <f t="shared" si="3041"/>
        <v>...</v>
      </c>
      <c r="I13324" s="1" t="str">
        <f t="shared" si="3041"/>
        <v>...</v>
      </c>
      <c r="J13324" s="1" t="str">
        <f t="shared" si="3041"/>
        <v>...</v>
      </c>
      <c r="K13324" s="1" t="str">
        <f t="shared" si="3041"/>
        <v>...</v>
      </c>
      <c r="L13324" s="1" t="str">
        <f t="shared" si="3041"/>
        <v>...</v>
      </c>
      <c r="M13324" s="1" t="str">
        <f t="shared" si="3041"/>
        <v>...</v>
      </c>
      <c r="N13324" t="s">
        <v>30</v>
      </c>
    </row>
    <row r="13325" spans="1:14" x14ac:dyDescent="0.25">
      <c r="A13325" t="s">
        <v>45</v>
      </c>
      <c r="B13325" t="s">
        <v>15</v>
      </c>
      <c r="C13325" t="s">
        <v>35</v>
      </c>
      <c r="D13325" t="s">
        <v>15</v>
      </c>
      <c r="E13325" t="s">
        <v>26</v>
      </c>
      <c r="F13325" t="s">
        <v>19</v>
      </c>
      <c r="G13325" s="1" t="str">
        <f t="shared" ref="G13325:M13326" si="3042">"X"</f>
        <v>X</v>
      </c>
      <c r="H13325" s="1" t="str">
        <f t="shared" si="3042"/>
        <v>X</v>
      </c>
      <c r="I13325" s="1" t="str">
        <f t="shared" si="3042"/>
        <v>X</v>
      </c>
      <c r="J13325" s="1" t="str">
        <f t="shared" si="3042"/>
        <v>X</v>
      </c>
      <c r="K13325" s="1" t="str">
        <f t="shared" si="3042"/>
        <v>X</v>
      </c>
      <c r="L13325" s="1" t="str">
        <f t="shared" si="3042"/>
        <v>X</v>
      </c>
      <c r="M13325" s="1" t="str">
        <f t="shared" si="3042"/>
        <v>X</v>
      </c>
      <c r="N13325" t="s">
        <v>27</v>
      </c>
    </row>
    <row r="13326" spans="1:14" x14ac:dyDescent="0.25">
      <c r="A13326" t="s">
        <v>45</v>
      </c>
      <c r="B13326" t="s">
        <v>15</v>
      </c>
      <c r="C13326" t="s">
        <v>35</v>
      </c>
      <c r="D13326" t="s">
        <v>15</v>
      </c>
      <c r="E13326" t="s">
        <v>26</v>
      </c>
      <c r="F13326" t="s">
        <v>20</v>
      </c>
      <c r="G13326" s="1" t="str">
        <f t="shared" si="3042"/>
        <v>X</v>
      </c>
      <c r="H13326" s="1" t="str">
        <f t="shared" si="3042"/>
        <v>X</v>
      </c>
      <c r="I13326" s="1" t="str">
        <f t="shared" si="3042"/>
        <v>X</v>
      </c>
      <c r="J13326" s="1" t="str">
        <f t="shared" si="3042"/>
        <v>X</v>
      </c>
      <c r="K13326" s="1" t="str">
        <f t="shared" si="3042"/>
        <v>X</v>
      </c>
      <c r="L13326" s="1" t="str">
        <f t="shared" si="3042"/>
        <v>X</v>
      </c>
      <c r="M13326" s="1" t="str">
        <f t="shared" si="3042"/>
        <v>X</v>
      </c>
      <c r="N13326" t="s">
        <v>27</v>
      </c>
    </row>
    <row r="13327" spans="1:14" x14ac:dyDescent="0.25">
      <c r="A13327" t="s">
        <v>45</v>
      </c>
      <c r="B13327" t="s">
        <v>15</v>
      </c>
      <c r="C13327" t="s">
        <v>35</v>
      </c>
      <c r="D13327" t="s">
        <v>28</v>
      </c>
      <c r="E13327" t="s">
        <v>15</v>
      </c>
      <c r="F13327" t="s">
        <v>15</v>
      </c>
      <c r="G13327" s="2">
        <f>VALUE(2841.19)</f>
        <v>2841.19</v>
      </c>
      <c r="H13327" s="3">
        <f>VALUE(2507.23)</f>
        <v>2507.23</v>
      </c>
      <c r="I13327" s="1">
        <f>VALUE(3249)</f>
        <v>3249</v>
      </c>
      <c r="J13327" s="1">
        <f>VALUE(3721)</f>
        <v>3721</v>
      </c>
      <c r="K13327" s="1">
        <f>VALUE(4178)</f>
        <v>4178</v>
      </c>
      <c r="L13327" s="1">
        <f>VALUE(4778)</f>
        <v>4778</v>
      </c>
      <c r="M13327" s="1">
        <f>VALUE(5722)</f>
        <v>5722</v>
      </c>
      <c r="N13327" t="s">
        <v>25</v>
      </c>
    </row>
    <row r="13328" spans="1:14" x14ac:dyDescent="0.25">
      <c r="A13328" t="s">
        <v>45</v>
      </c>
      <c r="B13328" t="s">
        <v>15</v>
      </c>
      <c r="C13328" t="s">
        <v>35</v>
      </c>
      <c r="D13328" t="s">
        <v>28</v>
      </c>
      <c r="E13328" t="s">
        <v>15</v>
      </c>
      <c r="F13328" t="s">
        <v>17</v>
      </c>
      <c r="G13328" s="1" t="str">
        <f t="shared" ref="G13328:M13329" si="3043">"X"</f>
        <v>X</v>
      </c>
      <c r="H13328" s="1" t="str">
        <f t="shared" si="3043"/>
        <v>X</v>
      </c>
      <c r="I13328" s="1" t="str">
        <f t="shared" si="3043"/>
        <v>X</v>
      </c>
      <c r="J13328" s="1" t="str">
        <f t="shared" si="3043"/>
        <v>X</v>
      </c>
      <c r="K13328" s="1" t="str">
        <f t="shared" si="3043"/>
        <v>X</v>
      </c>
      <c r="L13328" s="1" t="str">
        <f t="shared" si="3043"/>
        <v>X</v>
      </c>
      <c r="M13328" s="1" t="str">
        <f t="shared" si="3043"/>
        <v>X</v>
      </c>
      <c r="N13328" t="s">
        <v>27</v>
      </c>
    </row>
    <row r="13329" spans="1:14" x14ac:dyDescent="0.25">
      <c r="A13329" t="s">
        <v>45</v>
      </c>
      <c r="B13329" t="s">
        <v>15</v>
      </c>
      <c r="C13329" t="s">
        <v>35</v>
      </c>
      <c r="D13329" t="s">
        <v>28</v>
      </c>
      <c r="E13329" t="s">
        <v>15</v>
      </c>
      <c r="F13329" t="s">
        <v>18</v>
      </c>
      <c r="G13329" s="1" t="str">
        <f t="shared" si="3043"/>
        <v>X</v>
      </c>
      <c r="H13329" s="1" t="str">
        <f t="shared" si="3043"/>
        <v>X</v>
      </c>
      <c r="I13329" s="1" t="str">
        <f t="shared" si="3043"/>
        <v>X</v>
      </c>
      <c r="J13329" s="1" t="str">
        <f t="shared" si="3043"/>
        <v>X</v>
      </c>
      <c r="K13329" s="1" t="str">
        <f t="shared" si="3043"/>
        <v>X</v>
      </c>
      <c r="L13329" s="1" t="str">
        <f t="shared" si="3043"/>
        <v>X</v>
      </c>
      <c r="M13329" s="1" t="str">
        <f t="shared" si="3043"/>
        <v>X</v>
      </c>
      <c r="N13329" t="s">
        <v>27</v>
      </c>
    </row>
    <row r="13330" spans="1:14" x14ac:dyDescent="0.25">
      <c r="A13330" t="s">
        <v>45</v>
      </c>
      <c r="B13330" t="s">
        <v>15</v>
      </c>
      <c r="C13330" t="s">
        <v>35</v>
      </c>
      <c r="D13330" t="s">
        <v>28</v>
      </c>
      <c r="E13330" t="s">
        <v>15</v>
      </c>
      <c r="F13330" t="s">
        <v>19</v>
      </c>
      <c r="G13330" s="2">
        <f>VALUE(201.72)</f>
        <v>201.72</v>
      </c>
      <c r="H13330" s="3">
        <f>VALUE(193.7)</f>
        <v>193.7</v>
      </c>
      <c r="I13330" s="4">
        <f>VALUE(2890)</f>
        <v>2890</v>
      </c>
      <c r="J13330" s="1">
        <f>VALUE(3929)</f>
        <v>3929</v>
      </c>
      <c r="K13330" s="1">
        <f>VALUE(4201)</f>
        <v>4201</v>
      </c>
      <c r="L13330" s="1">
        <f>VALUE(5257)</f>
        <v>5257</v>
      </c>
      <c r="M13330" s="1">
        <f>VALUE(6043)</f>
        <v>6043</v>
      </c>
      <c r="N13330" t="s">
        <v>25</v>
      </c>
    </row>
    <row r="13331" spans="1:14" x14ac:dyDescent="0.25">
      <c r="A13331" t="s">
        <v>45</v>
      </c>
      <c r="B13331" t="s">
        <v>15</v>
      </c>
      <c r="C13331" t="s">
        <v>35</v>
      </c>
      <c r="D13331" t="s">
        <v>28</v>
      </c>
      <c r="E13331" t="s">
        <v>15</v>
      </c>
      <c r="F13331" t="s">
        <v>20</v>
      </c>
      <c r="G13331" s="2">
        <f>VALUE(2427.74)</f>
        <v>2427.7399999999998</v>
      </c>
      <c r="H13331" s="3">
        <f>VALUE(2115.7)</f>
        <v>2115.6999999999998</v>
      </c>
      <c r="I13331" s="1">
        <f>VALUE(3269)</f>
        <v>3269</v>
      </c>
      <c r="J13331" s="1">
        <f>VALUE(3716)</f>
        <v>3716</v>
      </c>
      <c r="K13331" s="1">
        <f>VALUE(4163)</f>
        <v>4163</v>
      </c>
      <c r="L13331" s="1">
        <f>VALUE(4665)</f>
        <v>4665</v>
      </c>
      <c r="M13331" s="1">
        <f>VALUE(5660)</f>
        <v>5660</v>
      </c>
      <c r="N13331" t="s">
        <v>25</v>
      </c>
    </row>
    <row r="13332" spans="1:14" x14ac:dyDescent="0.25">
      <c r="A13332" t="s">
        <v>45</v>
      </c>
      <c r="B13332" t="s">
        <v>15</v>
      </c>
      <c r="C13332" t="s">
        <v>35</v>
      </c>
      <c r="D13332" t="s">
        <v>28</v>
      </c>
      <c r="E13332" t="s">
        <v>21</v>
      </c>
      <c r="F13332" t="s">
        <v>15</v>
      </c>
      <c r="G13332" s="2">
        <f>VALUE(464.52)</f>
        <v>464.52</v>
      </c>
      <c r="H13332" s="3">
        <f>VALUE(451.99)</f>
        <v>451.99</v>
      </c>
      <c r="I13332" s="4">
        <f>VALUE(3611)</f>
        <v>3611</v>
      </c>
      <c r="J13332" s="1">
        <f>VALUE(3964)</f>
        <v>3964</v>
      </c>
      <c r="K13332" s="1">
        <f>VALUE(4178)</f>
        <v>4178</v>
      </c>
      <c r="L13332" s="1">
        <f>VALUE(4909)</f>
        <v>4909</v>
      </c>
      <c r="M13332" s="1">
        <f>VALUE(5722)</f>
        <v>5722</v>
      </c>
      <c r="N13332" t="s">
        <v>25</v>
      </c>
    </row>
    <row r="13333" spans="1:14" x14ac:dyDescent="0.25">
      <c r="A13333" t="s">
        <v>45</v>
      </c>
      <c r="B13333" t="s">
        <v>15</v>
      </c>
      <c r="C13333" t="s">
        <v>35</v>
      </c>
      <c r="D13333" t="s">
        <v>28</v>
      </c>
      <c r="E13333" t="s">
        <v>21</v>
      </c>
      <c r="F13333" t="s">
        <v>17</v>
      </c>
      <c r="G13333" s="1" t="str">
        <f t="shared" ref="G13333:M13335" si="3044">"X"</f>
        <v>X</v>
      </c>
      <c r="H13333" s="1" t="str">
        <f t="shared" si="3044"/>
        <v>X</v>
      </c>
      <c r="I13333" s="1" t="str">
        <f t="shared" si="3044"/>
        <v>X</v>
      </c>
      <c r="J13333" s="1" t="str">
        <f t="shared" si="3044"/>
        <v>X</v>
      </c>
      <c r="K13333" s="1" t="str">
        <f t="shared" si="3044"/>
        <v>X</v>
      </c>
      <c r="L13333" s="1" t="str">
        <f t="shared" si="3044"/>
        <v>X</v>
      </c>
      <c r="M13333" s="1" t="str">
        <f t="shared" si="3044"/>
        <v>X</v>
      </c>
      <c r="N13333" t="s">
        <v>27</v>
      </c>
    </row>
    <row r="13334" spans="1:14" x14ac:dyDescent="0.25">
      <c r="A13334" t="s">
        <v>45</v>
      </c>
      <c r="B13334" t="s">
        <v>15</v>
      </c>
      <c r="C13334" t="s">
        <v>35</v>
      </c>
      <c r="D13334" t="s">
        <v>28</v>
      </c>
      <c r="E13334" t="s">
        <v>21</v>
      </c>
      <c r="F13334" t="s">
        <v>18</v>
      </c>
      <c r="G13334" s="1" t="str">
        <f t="shared" si="3044"/>
        <v>X</v>
      </c>
      <c r="H13334" s="1" t="str">
        <f t="shared" si="3044"/>
        <v>X</v>
      </c>
      <c r="I13334" s="1" t="str">
        <f t="shared" si="3044"/>
        <v>X</v>
      </c>
      <c r="J13334" s="1" t="str">
        <f t="shared" si="3044"/>
        <v>X</v>
      </c>
      <c r="K13334" s="1" t="str">
        <f t="shared" si="3044"/>
        <v>X</v>
      </c>
      <c r="L13334" s="1" t="str">
        <f t="shared" si="3044"/>
        <v>X</v>
      </c>
      <c r="M13334" s="1" t="str">
        <f t="shared" si="3044"/>
        <v>X</v>
      </c>
      <c r="N13334" t="s">
        <v>27</v>
      </c>
    </row>
    <row r="13335" spans="1:14" x14ac:dyDescent="0.25">
      <c r="A13335" t="s">
        <v>45</v>
      </c>
      <c r="B13335" t="s">
        <v>15</v>
      </c>
      <c r="C13335" t="s">
        <v>35</v>
      </c>
      <c r="D13335" t="s">
        <v>28</v>
      </c>
      <c r="E13335" t="s">
        <v>21</v>
      </c>
      <c r="F13335" t="s">
        <v>19</v>
      </c>
      <c r="G13335" s="1" t="str">
        <f t="shared" si="3044"/>
        <v>X</v>
      </c>
      <c r="H13335" s="1" t="str">
        <f t="shared" si="3044"/>
        <v>X</v>
      </c>
      <c r="I13335" s="1" t="str">
        <f t="shared" si="3044"/>
        <v>X</v>
      </c>
      <c r="J13335" s="1" t="str">
        <f t="shared" si="3044"/>
        <v>X</v>
      </c>
      <c r="K13335" s="1" t="str">
        <f t="shared" si="3044"/>
        <v>X</v>
      </c>
      <c r="L13335" s="1" t="str">
        <f t="shared" si="3044"/>
        <v>X</v>
      </c>
      <c r="M13335" s="1" t="str">
        <f t="shared" si="3044"/>
        <v>X</v>
      </c>
      <c r="N13335" t="s">
        <v>27</v>
      </c>
    </row>
    <row r="13336" spans="1:14" x14ac:dyDescent="0.25">
      <c r="A13336" t="s">
        <v>45</v>
      </c>
      <c r="B13336" t="s">
        <v>15</v>
      </c>
      <c r="C13336" t="s">
        <v>35</v>
      </c>
      <c r="D13336" t="s">
        <v>28</v>
      </c>
      <c r="E13336" t="s">
        <v>21</v>
      </c>
      <c r="F13336" t="s">
        <v>20</v>
      </c>
      <c r="G13336" s="2">
        <f>VALUE(364.21)</f>
        <v>364.21</v>
      </c>
      <c r="H13336" s="3">
        <f>VALUE(360.85)</f>
        <v>360.85</v>
      </c>
      <c r="I13336" s="4">
        <f>VALUE(3250)</f>
        <v>3250</v>
      </c>
      <c r="J13336" s="1">
        <f>VALUE(3964)</f>
        <v>3964</v>
      </c>
      <c r="K13336" s="1">
        <f>VALUE(4178)</f>
        <v>4178</v>
      </c>
      <c r="L13336" s="1">
        <f>VALUE(4178)</f>
        <v>4178</v>
      </c>
      <c r="M13336" s="1">
        <f>VALUE(5649)</f>
        <v>5649</v>
      </c>
      <c r="N13336" t="s">
        <v>25</v>
      </c>
    </row>
    <row r="13337" spans="1:14" x14ac:dyDescent="0.25">
      <c r="A13337" t="s">
        <v>45</v>
      </c>
      <c r="B13337" t="s">
        <v>15</v>
      </c>
      <c r="C13337" t="s">
        <v>35</v>
      </c>
      <c r="D13337" t="s">
        <v>28</v>
      </c>
      <c r="E13337" t="s">
        <v>22</v>
      </c>
      <c r="F13337" t="s">
        <v>15</v>
      </c>
      <c r="G13337" s="2">
        <f>VALUE(1914.4)</f>
        <v>1914.4</v>
      </c>
      <c r="H13337" s="3">
        <f>VALUE(1743.82)</f>
        <v>1743.82</v>
      </c>
      <c r="I13337" s="1">
        <f>VALUE(3269)</f>
        <v>3269</v>
      </c>
      <c r="J13337" s="1">
        <f>VALUE(3714)</f>
        <v>3714</v>
      </c>
      <c r="K13337" s="1">
        <f>VALUE(4127)</f>
        <v>4127</v>
      </c>
      <c r="L13337" s="1">
        <f>VALUE(4725)</f>
        <v>4725</v>
      </c>
      <c r="M13337" s="1">
        <f>VALUE(5650)</f>
        <v>5650</v>
      </c>
      <c r="N13337" t="s">
        <v>25</v>
      </c>
    </row>
    <row r="13338" spans="1:14" x14ac:dyDescent="0.25">
      <c r="A13338" t="s">
        <v>45</v>
      </c>
      <c r="B13338" t="s">
        <v>15</v>
      </c>
      <c r="C13338" t="s">
        <v>35</v>
      </c>
      <c r="D13338" t="s">
        <v>28</v>
      </c>
      <c r="E13338" t="s">
        <v>22</v>
      </c>
      <c r="F13338" t="s">
        <v>17</v>
      </c>
      <c r="G13338" s="1" t="str">
        <f t="shared" ref="G13338:M13339" si="3045">"X"</f>
        <v>X</v>
      </c>
      <c r="H13338" s="1" t="str">
        <f t="shared" si="3045"/>
        <v>X</v>
      </c>
      <c r="I13338" s="1" t="str">
        <f t="shared" si="3045"/>
        <v>X</v>
      </c>
      <c r="J13338" s="1" t="str">
        <f t="shared" si="3045"/>
        <v>X</v>
      </c>
      <c r="K13338" s="1" t="str">
        <f t="shared" si="3045"/>
        <v>X</v>
      </c>
      <c r="L13338" s="1" t="str">
        <f t="shared" si="3045"/>
        <v>X</v>
      </c>
      <c r="M13338" s="1" t="str">
        <f t="shared" si="3045"/>
        <v>X</v>
      </c>
      <c r="N13338" t="s">
        <v>27</v>
      </c>
    </row>
    <row r="13339" spans="1:14" x14ac:dyDescent="0.25">
      <c r="A13339" t="s">
        <v>45</v>
      </c>
      <c r="B13339" t="s">
        <v>15</v>
      </c>
      <c r="C13339" t="s">
        <v>35</v>
      </c>
      <c r="D13339" t="s">
        <v>28</v>
      </c>
      <c r="E13339" t="s">
        <v>22</v>
      </c>
      <c r="F13339" t="s">
        <v>18</v>
      </c>
      <c r="G13339" s="1" t="str">
        <f t="shared" si="3045"/>
        <v>X</v>
      </c>
      <c r="H13339" s="1" t="str">
        <f t="shared" si="3045"/>
        <v>X</v>
      </c>
      <c r="I13339" s="1" t="str">
        <f t="shared" si="3045"/>
        <v>X</v>
      </c>
      <c r="J13339" s="1" t="str">
        <f t="shared" si="3045"/>
        <v>X</v>
      </c>
      <c r="K13339" s="1" t="str">
        <f t="shared" si="3045"/>
        <v>X</v>
      </c>
      <c r="L13339" s="1" t="str">
        <f t="shared" si="3045"/>
        <v>X</v>
      </c>
      <c r="M13339" s="1" t="str">
        <f t="shared" si="3045"/>
        <v>X</v>
      </c>
      <c r="N13339" t="s">
        <v>27</v>
      </c>
    </row>
    <row r="13340" spans="1:14" x14ac:dyDescent="0.25">
      <c r="A13340" t="s">
        <v>45</v>
      </c>
      <c r="B13340" t="s">
        <v>15</v>
      </c>
      <c r="C13340" t="s">
        <v>35</v>
      </c>
      <c r="D13340" t="s">
        <v>28</v>
      </c>
      <c r="E13340" t="s">
        <v>22</v>
      </c>
      <c r="F13340" t="s">
        <v>19</v>
      </c>
      <c r="G13340" s="2">
        <f>VALUE(149.05)</f>
        <v>149.05000000000001</v>
      </c>
      <c r="H13340" s="3">
        <f>VALUE(143.75)</f>
        <v>143.75</v>
      </c>
      <c r="I13340" s="4">
        <f>VALUE(2890)</f>
        <v>2890</v>
      </c>
      <c r="J13340" s="1">
        <f>VALUE(3900)</f>
        <v>3900</v>
      </c>
      <c r="K13340" s="1">
        <f>VALUE(4150)</f>
        <v>4150</v>
      </c>
      <c r="L13340" s="1">
        <f>VALUE(4427)</f>
        <v>4427</v>
      </c>
      <c r="M13340" s="1">
        <f>VALUE(5577)</f>
        <v>5577</v>
      </c>
      <c r="N13340" t="s">
        <v>25</v>
      </c>
    </row>
    <row r="13341" spans="1:14" x14ac:dyDescent="0.25">
      <c r="A13341" t="s">
        <v>45</v>
      </c>
      <c r="B13341" t="s">
        <v>15</v>
      </c>
      <c r="C13341" t="s">
        <v>35</v>
      </c>
      <c r="D13341" t="s">
        <v>28</v>
      </c>
      <c r="E13341" t="s">
        <v>22</v>
      </c>
      <c r="F13341" t="s">
        <v>20</v>
      </c>
      <c r="G13341" s="2">
        <f>VALUE(1614.08)</f>
        <v>1614.08</v>
      </c>
      <c r="H13341" s="3">
        <f>VALUE(1455.43)</f>
        <v>1455.43</v>
      </c>
      <c r="I13341" s="1">
        <f>VALUE(3293)</f>
        <v>3293</v>
      </c>
      <c r="J13341" s="1">
        <f>VALUE(3687)</f>
        <v>3687</v>
      </c>
      <c r="K13341" s="1">
        <f>VALUE(4134)</f>
        <v>4134</v>
      </c>
      <c r="L13341" s="1">
        <f>VALUE(4743)</f>
        <v>4743</v>
      </c>
      <c r="M13341" s="8">
        <f>VALUE(5761)</f>
        <v>5761</v>
      </c>
      <c r="N13341" t="s">
        <v>25</v>
      </c>
    </row>
    <row r="13342" spans="1:14" x14ac:dyDescent="0.25">
      <c r="A13342" t="s">
        <v>45</v>
      </c>
      <c r="B13342" t="s">
        <v>15</v>
      </c>
      <c r="C13342" t="s">
        <v>35</v>
      </c>
      <c r="D13342" t="s">
        <v>28</v>
      </c>
      <c r="E13342" t="s">
        <v>23</v>
      </c>
      <c r="F13342" t="s">
        <v>15</v>
      </c>
      <c r="G13342" s="2">
        <f>VALUE(415.17)</f>
        <v>415.17</v>
      </c>
      <c r="H13342" s="3">
        <f>VALUE(277.5)</f>
        <v>277.5</v>
      </c>
      <c r="I13342" s="4">
        <f>VALUE(2024)</f>
        <v>2024</v>
      </c>
      <c r="J13342" s="1">
        <f>VALUE(3500)</f>
        <v>3500</v>
      </c>
      <c r="K13342" s="1">
        <f>VALUE(4050)</f>
        <v>4050</v>
      </c>
      <c r="L13342" s="7">
        <f>VALUE(4524)</f>
        <v>4524</v>
      </c>
      <c r="M13342" s="8">
        <f>VALUE(6037)</f>
        <v>6037</v>
      </c>
      <c r="N13342" t="s">
        <v>25</v>
      </c>
    </row>
    <row r="13343" spans="1:14" x14ac:dyDescent="0.25">
      <c r="A13343" t="s">
        <v>45</v>
      </c>
      <c r="B13343" t="s">
        <v>15</v>
      </c>
      <c r="C13343" t="s">
        <v>35</v>
      </c>
      <c r="D13343" t="s">
        <v>28</v>
      </c>
      <c r="E13343" t="s">
        <v>23</v>
      </c>
      <c r="F13343" t="s">
        <v>17</v>
      </c>
      <c r="G13343" s="1" t="str">
        <f t="shared" ref="G13343:M13345" si="3046">"X"</f>
        <v>X</v>
      </c>
      <c r="H13343" s="1" t="str">
        <f t="shared" si="3046"/>
        <v>X</v>
      </c>
      <c r="I13343" s="1" t="str">
        <f t="shared" si="3046"/>
        <v>X</v>
      </c>
      <c r="J13343" s="1" t="str">
        <f t="shared" si="3046"/>
        <v>X</v>
      </c>
      <c r="K13343" s="1" t="str">
        <f t="shared" si="3046"/>
        <v>X</v>
      </c>
      <c r="L13343" s="1" t="str">
        <f t="shared" si="3046"/>
        <v>X</v>
      </c>
      <c r="M13343" s="1" t="str">
        <f t="shared" si="3046"/>
        <v>X</v>
      </c>
      <c r="N13343" t="s">
        <v>27</v>
      </c>
    </row>
    <row r="13344" spans="1:14" x14ac:dyDescent="0.25">
      <c r="A13344" t="s">
        <v>45</v>
      </c>
      <c r="B13344" t="s">
        <v>15</v>
      </c>
      <c r="C13344" t="s">
        <v>35</v>
      </c>
      <c r="D13344" t="s">
        <v>28</v>
      </c>
      <c r="E13344" t="s">
        <v>23</v>
      </c>
      <c r="F13344" t="s">
        <v>18</v>
      </c>
      <c r="G13344" s="1" t="str">
        <f t="shared" si="3046"/>
        <v>X</v>
      </c>
      <c r="H13344" s="1" t="str">
        <f t="shared" si="3046"/>
        <v>X</v>
      </c>
      <c r="I13344" s="1" t="str">
        <f t="shared" si="3046"/>
        <v>X</v>
      </c>
      <c r="J13344" s="1" t="str">
        <f t="shared" si="3046"/>
        <v>X</v>
      </c>
      <c r="K13344" s="1" t="str">
        <f t="shared" si="3046"/>
        <v>X</v>
      </c>
      <c r="L13344" s="1" t="str">
        <f t="shared" si="3046"/>
        <v>X</v>
      </c>
      <c r="M13344" s="1" t="str">
        <f t="shared" si="3046"/>
        <v>X</v>
      </c>
      <c r="N13344" t="s">
        <v>27</v>
      </c>
    </row>
    <row r="13345" spans="1:14" x14ac:dyDescent="0.25">
      <c r="A13345" t="s">
        <v>45</v>
      </c>
      <c r="B13345" t="s">
        <v>15</v>
      </c>
      <c r="C13345" t="s">
        <v>35</v>
      </c>
      <c r="D13345" t="s">
        <v>28</v>
      </c>
      <c r="E13345" t="s">
        <v>23</v>
      </c>
      <c r="F13345" t="s">
        <v>19</v>
      </c>
      <c r="G13345" s="1" t="str">
        <f t="shared" si="3046"/>
        <v>X</v>
      </c>
      <c r="H13345" s="1" t="str">
        <f t="shared" si="3046"/>
        <v>X</v>
      </c>
      <c r="I13345" s="1" t="str">
        <f t="shared" si="3046"/>
        <v>X</v>
      </c>
      <c r="J13345" s="1" t="str">
        <f t="shared" si="3046"/>
        <v>X</v>
      </c>
      <c r="K13345" s="1" t="str">
        <f t="shared" si="3046"/>
        <v>X</v>
      </c>
      <c r="L13345" s="1" t="str">
        <f t="shared" si="3046"/>
        <v>X</v>
      </c>
      <c r="M13345" s="1" t="str">
        <f t="shared" si="3046"/>
        <v>X</v>
      </c>
      <c r="N13345" t="s">
        <v>27</v>
      </c>
    </row>
    <row r="13346" spans="1:14" x14ac:dyDescent="0.25">
      <c r="A13346" t="s">
        <v>45</v>
      </c>
      <c r="B13346" t="s">
        <v>15</v>
      </c>
      <c r="C13346" t="s">
        <v>35</v>
      </c>
      <c r="D13346" t="s">
        <v>28</v>
      </c>
      <c r="E13346" t="s">
        <v>23</v>
      </c>
      <c r="F13346" t="s">
        <v>20</v>
      </c>
      <c r="G13346" s="2">
        <f>VALUE(408.06)</f>
        <v>408.06</v>
      </c>
      <c r="H13346" s="3">
        <f>VALUE(271.5)</f>
        <v>271.5</v>
      </c>
      <c r="I13346" s="4">
        <f>VALUE(1900)</f>
        <v>1900</v>
      </c>
      <c r="J13346" s="1">
        <f>VALUE(3500)</f>
        <v>3500</v>
      </c>
      <c r="K13346" s="1">
        <f>VALUE(4050)</f>
        <v>4050</v>
      </c>
      <c r="L13346" s="7">
        <f>VALUE(4490)</f>
        <v>4490</v>
      </c>
      <c r="M13346" s="8">
        <f>VALUE(6045)</f>
        <v>6045</v>
      </c>
      <c r="N13346" t="s">
        <v>25</v>
      </c>
    </row>
    <row r="13347" spans="1:14" x14ac:dyDescent="0.25">
      <c r="A13347" t="s">
        <v>45</v>
      </c>
      <c r="B13347" t="s">
        <v>15</v>
      </c>
      <c r="C13347" t="s">
        <v>35</v>
      </c>
      <c r="D13347" t="s">
        <v>28</v>
      </c>
      <c r="E13347" t="s">
        <v>26</v>
      </c>
      <c r="F13347" t="s">
        <v>15</v>
      </c>
      <c r="G13347" s="1" t="str">
        <f t="shared" ref="G13347:M13347" si="3047">"X"</f>
        <v>X</v>
      </c>
      <c r="H13347" s="1" t="str">
        <f t="shared" si="3047"/>
        <v>X</v>
      </c>
      <c r="I13347" s="1" t="str">
        <f t="shared" si="3047"/>
        <v>X</v>
      </c>
      <c r="J13347" s="1" t="str">
        <f t="shared" si="3047"/>
        <v>X</v>
      </c>
      <c r="K13347" s="1" t="str">
        <f t="shared" si="3047"/>
        <v>X</v>
      </c>
      <c r="L13347" s="1" t="str">
        <f t="shared" si="3047"/>
        <v>X</v>
      </c>
      <c r="M13347" s="1" t="str">
        <f t="shared" si="3047"/>
        <v>X</v>
      </c>
      <c r="N13347" t="s">
        <v>27</v>
      </c>
    </row>
    <row r="13348" spans="1:14" x14ac:dyDescent="0.25">
      <c r="A13348" t="s">
        <v>45</v>
      </c>
      <c r="B13348" t="s">
        <v>15</v>
      </c>
      <c r="C13348" t="s">
        <v>35</v>
      </c>
      <c r="D13348" t="s">
        <v>28</v>
      </c>
      <c r="E13348" t="s">
        <v>26</v>
      </c>
      <c r="F13348" t="s">
        <v>17</v>
      </c>
      <c r="G13348" s="1" t="str">
        <f t="shared" ref="G13348:M13349" si="3048">"..."</f>
        <v>...</v>
      </c>
      <c r="H13348" s="1" t="str">
        <f t="shared" si="3048"/>
        <v>...</v>
      </c>
      <c r="I13348" s="1" t="str">
        <f t="shared" si="3048"/>
        <v>...</v>
      </c>
      <c r="J13348" s="1" t="str">
        <f t="shared" si="3048"/>
        <v>...</v>
      </c>
      <c r="K13348" s="1" t="str">
        <f t="shared" si="3048"/>
        <v>...</v>
      </c>
      <c r="L13348" s="1" t="str">
        <f t="shared" si="3048"/>
        <v>...</v>
      </c>
      <c r="M13348" s="1" t="str">
        <f t="shared" si="3048"/>
        <v>...</v>
      </c>
      <c r="N13348" t="s">
        <v>30</v>
      </c>
    </row>
    <row r="13349" spans="1:14" x14ac:dyDescent="0.25">
      <c r="A13349" t="s">
        <v>45</v>
      </c>
      <c r="B13349" t="s">
        <v>15</v>
      </c>
      <c r="C13349" t="s">
        <v>35</v>
      </c>
      <c r="D13349" t="s">
        <v>28</v>
      </c>
      <c r="E13349" t="s">
        <v>26</v>
      </c>
      <c r="F13349" t="s">
        <v>18</v>
      </c>
      <c r="G13349" s="1" t="str">
        <f t="shared" si="3048"/>
        <v>...</v>
      </c>
      <c r="H13349" s="1" t="str">
        <f t="shared" si="3048"/>
        <v>...</v>
      </c>
      <c r="I13349" s="1" t="str">
        <f t="shared" si="3048"/>
        <v>...</v>
      </c>
      <c r="J13349" s="1" t="str">
        <f t="shared" si="3048"/>
        <v>...</v>
      </c>
      <c r="K13349" s="1" t="str">
        <f t="shared" si="3048"/>
        <v>...</v>
      </c>
      <c r="L13349" s="1" t="str">
        <f t="shared" si="3048"/>
        <v>...</v>
      </c>
      <c r="M13349" s="1" t="str">
        <f t="shared" si="3048"/>
        <v>...</v>
      </c>
      <c r="N13349" t="s">
        <v>30</v>
      </c>
    </row>
    <row r="13350" spans="1:14" x14ac:dyDescent="0.25">
      <c r="A13350" t="s">
        <v>45</v>
      </c>
      <c r="B13350" t="s">
        <v>15</v>
      </c>
      <c r="C13350" t="s">
        <v>35</v>
      </c>
      <c r="D13350" t="s">
        <v>28</v>
      </c>
      <c r="E13350" t="s">
        <v>26</v>
      </c>
      <c r="F13350" t="s">
        <v>19</v>
      </c>
      <c r="G13350" s="1" t="str">
        <f t="shared" ref="G13350:M13351" si="3049">"X"</f>
        <v>X</v>
      </c>
      <c r="H13350" s="1" t="str">
        <f t="shared" si="3049"/>
        <v>X</v>
      </c>
      <c r="I13350" s="1" t="str">
        <f t="shared" si="3049"/>
        <v>X</v>
      </c>
      <c r="J13350" s="1" t="str">
        <f t="shared" si="3049"/>
        <v>X</v>
      </c>
      <c r="K13350" s="1" t="str">
        <f t="shared" si="3049"/>
        <v>X</v>
      </c>
      <c r="L13350" s="1" t="str">
        <f t="shared" si="3049"/>
        <v>X</v>
      </c>
      <c r="M13350" s="1" t="str">
        <f t="shared" si="3049"/>
        <v>X</v>
      </c>
      <c r="N13350" t="s">
        <v>27</v>
      </c>
    </row>
    <row r="13351" spans="1:14" x14ac:dyDescent="0.25">
      <c r="A13351" t="s">
        <v>45</v>
      </c>
      <c r="B13351" t="s">
        <v>15</v>
      </c>
      <c r="C13351" t="s">
        <v>35</v>
      </c>
      <c r="D13351" t="s">
        <v>28</v>
      </c>
      <c r="E13351" t="s">
        <v>26</v>
      </c>
      <c r="F13351" t="s">
        <v>20</v>
      </c>
      <c r="G13351" s="1" t="str">
        <f t="shared" si="3049"/>
        <v>X</v>
      </c>
      <c r="H13351" s="1" t="str">
        <f t="shared" si="3049"/>
        <v>X</v>
      </c>
      <c r="I13351" s="1" t="str">
        <f t="shared" si="3049"/>
        <v>X</v>
      </c>
      <c r="J13351" s="1" t="str">
        <f t="shared" si="3049"/>
        <v>X</v>
      </c>
      <c r="K13351" s="1" t="str">
        <f t="shared" si="3049"/>
        <v>X</v>
      </c>
      <c r="L13351" s="1" t="str">
        <f t="shared" si="3049"/>
        <v>X</v>
      </c>
      <c r="M13351" s="1" t="str">
        <f t="shared" si="3049"/>
        <v>X</v>
      </c>
      <c r="N13351" t="s">
        <v>27</v>
      </c>
    </row>
    <row r="13352" spans="1:14" x14ac:dyDescent="0.25">
      <c r="A13352" t="s">
        <v>45</v>
      </c>
      <c r="B13352" t="s">
        <v>15</v>
      </c>
      <c r="C13352" t="s">
        <v>35</v>
      </c>
      <c r="D13352" t="s">
        <v>29</v>
      </c>
      <c r="E13352" t="s">
        <v>15</v>
      </c>
      <c r="F13352" t="s">
        <v>15</v>
      </c>
      <c r="G13352" s="2">
        <f>VALUE(469.27)</f>
        <v>469.27</v>
      </c>
      <c r="H13352" s="3">
        <f>VALUE(436.55)</f>
        <v>436.55</v>
      </c>
      <c r="I13352" s="1">
        <f>VALUE(3177)</f>
        <v>3177</v>
      </c>
      <c r="J13352" s="1">
        <f>VALUE(3512)</f>
        <v>3512</v>
      </c>
      <c r="K13352" s="1">
        <f>VALUE(4089)</f>
        <v>4089</v>
      </c>
      <c r="L13352" s="1">
        <f>VALUE(4445)</f>
        <v>4445</v>
      </c>
      <c r="M13352" s="1">
        <f>VALUE(4972)</f>
        <v>4972</v>
      </c>
      <c r="N13352" t="s">
        <v>25</v>
      </c>
    </row>
    <row r="13353" spans="1:14" x14ac:dyDescent="0.25">
      <c r="A13353" t="s">
        <v>45</v>
      </c>
      <c r="B13353" t="s">
        <v>15</v>
      </c>
      <c r="C13353" t="s">
        <v>35</v>
      </c>
      <c r="D13353" t="s">
        <v>29</v>
      </c>
      <c r="E13353" t="s">
        <v>15</v>
      </c>
      <c r="F13353" t="s">
        <v>17</v>
      </c>
      <c r="G13353" s="1" t="str">
        <f t="shared" ref="G13353:M13355" si="3050">"X"</f>
        <v>X</v>
      </c>
      <c r="H13353" s="1" t="str">
        <f t="shared" si="3050"/>
        <v>X</v>
      </c>
      <c r="I13353" s="1" t="str">
        <f t="shared" si="3050"/>
        <v>X</v>
      </c>
      <c r="J13353" s="1" t="str">
        <f t="shared" si="3050"/>
        <v>X</v>
      </c>
      <c r="K13353" s="1" t="str">
        <f t="shared" si="3050"/>
        <v>X</v>
      </c>
      <c r="L13353" s="1" t="str">
        <f t="shared" si="3050"/>
        <v>X</v>
      </c>
      <c r="M13353" s="1" t="str">
        <f t="shared" si="3050"/>
        <v>X</v>
      </c>
      <c r="N13353" t="s">
        <v>27</v>
      </c>
    </row>
    <row r="13354" spans="1:14" x14ac:dyDescent="0.25">
      <c r="A13354" t="s">
        <v>45</v>
      </c>
      <c r="B13354" t="s">
        <v>15</v>
      </c>
      <c r="C13354" t="s">
        <v>35</v>
      </c>
      <c r="D13354" t="s">
        <v>29</v>
      </c>
      <c r="E13354" t="s">
        <v>15</v>
      </c>
      <c r="F13354" t="s">
        <v>18</v>
      </c>
      <c r="G13354" s="1" t="str">
        <f t="shared" si="3050"/>
        <v>X</v>
      </c>
      <c r="H13354" s="1" t="str">
        <f t="shared" si="3050"/>
        <v>X</v>
      </c>
      <c r="I13354" s="1" t="str">
        <f t="shared" si="3050"/>
        <v>X</v>
      </c>
      <c r="J13354" s="1" t="str">
        <f t="shared" si="3050"/>
        <v>X</v>
      </c>
      <c r="K13354" s="1" t="str">
        <f t="shared" si="3050"/>
        <v>X</v>
      </c>
      <c r="L13354" s="1" t="str">
        <f t="shared" si="3050"/>
        <v>X</v>
      </c>
      <c r="M13354" s="1" t="str">
        <f t="shared" si="3050"/>
        <v>X</v>
      </c>
      <c r="N13354" t="s">
        <v>27</v>
      </c>
    </row>
    <row r="13355" spans="1:14" x14ac:dyDescent="0.25">
      <c r="A13355" t="s">
        <v>45</v>
      </c>
      <c r="B13355" t="s">
        <v>15</v>
      </c>
      <c r="C13355" t="s">
        <v>35</v>
      </c>
      <c r="D13355" t="s">
        <v>29</v>
      </c>
      <c r="E13355" t="s">
        <v>15</v>
      </c>
      <c r="F13355" t="s">
        <v>19</v>
      </c>
      <c r="G13355" s="1" t="str">
        <f t="shared" si="3050"/>
        <v>X</v>
      </c>
      <c r="H13355" s="1" t="str">
        <f t="shared" si="3050"/>
        <v>X</v>
      </c>
      <c r="I13355" s="1" t="str">
        <f t="shared" si="3050"/>
        <v>X</v>
      </c>
      <c r="J13355" s="1" t="str">
        <f t="shared" si="3050"/>
        <v>X</v>
      </c>
      <c r="K13355" s="1" t="str">
        <f t="shared" si="3050"/>
        <v>X</v>
      </c>
      <c r="L13355" s="1" t="str">
        <f t="shared" si="3050"/>
        <v>X</v>
      </c>
      <c r="M13355" s="1" t="str">
        <f t="shared" si="3050"/>
        <v>X</v>
      </c>
      <c r="N13355" t="s">
        <v>27</v>
      </c>
    </row>
    <row r="13356" spans="1:14" x14ac:dyDescent="0.25">
      <c r="A13356" t="s">
        <v>45</v>
      </c>
      <c r="B13356" t="s">
        <v>15</v>
      </c>
      <c r="C13356" t="s">
        <v>35</v>
      </c>
      <c r="D13356" t="s">
        <v>29</v>
      </c>
      <c r="E13356" t="s">
        <v>15</v>
      </c>
      <c r="F13356" t="s">
        <v>20</v>
      </c>
      <c r="G13356" s="2">
        <f>VALUE(386.7)</f>
        <v>386.7</v>
      </c>
      <c r="H13356" s="3">
        <f>VALUE(354.98)</f>
        <v>354.98</v>
      </c>
      <c r="I13356" s="4">
        <f>VALUE(3177)</f>
        <v>3177</v>
      </c>
      <c r="J13356" s="5">
        <f>VALUE(3466)</f>
        <v>3466</v>
      </c>
      <c r="K13356" s="6">
        <f>VALUE(4089)</f>
        <v>4089</v>
      </c>
      <c r="L13356" s="7">
        <f>VALUE(4294)</f>
        <v>4294</v>
      </c>
      <c r="M13356" s="1">
        <f>VALUE(4966)</f>
        <v>4966</v>
      </c>
      <c r="N13356" t="s">
        <v>25</v>
      </c>
    </row>
    <row r="13357" spans="1:14" x14ac:dyDescent="0.25">
      <c r="A13357" t="s">
        <v>45</v>
      </c>
      <c r="B13357" t="s">
        <v>15</v>
      </c>
      <c r="C13357" t="s">
        <v>35</v>
      </c>
      <c r="D13357" t="s">
        <v>29</v>
      </c>
      <c r="E13357" t="s">
        <v>21</v>
      </c>
      <c r="F13357" t="s">
        <v>15</v>
      </c>
      <c r="G13357" s="1" t="str">
        <f t="shared" ref="G13357:M13361" si="3051">"X"</f>
        <v>X</v>
      </c>
      <c r="H13357" s="1" t="str">
        <f t="shared" si="3051"/>
        <v>X</v>
      </c>
      <c r="I13357" s="1" t="str">
        <f t="shared" si="3051"/>
        <v>X</v>
      </c>
      <c r="J13357" s="1" t="str">
        <f t="shared" si="3051"/>
        <v>X</v>
      </c>
      <c r="K13357" s="1" t="str">
        <f t="shared" si="3051"/>
        <v>X</v>
      </c>
      <c r="L13357" s="1" t="str">
        <f t="shared" si="3051"/>
        <v>X</v>
      </c>
      <c r="M13357" s="1" t="str">
        <f t="shared" si="3051"/>
        <v>X</v>
      </c>
      <c r="N13357" t="s">
        <v>27</v>
      </c>
    </row>
    <row r="13358" spans="1:14" x14ac:dyDescent="0.25">
      <c r="A13358" t="s">
        <v>45</v>
      </c>
      <c r="B13358" t="s">
        <v>15</v>
      </c>
      <c r="C13358" t="s">
        <v>35</v>
      </c>
      <c r="D13358" t="s">
        <v>29</v>
      </c>
      <c r="E13358" t="s">
        <v>21</v>
      </c>
      <c r="F13358" t="s">
        <v>17</v>
      </c>
      <c r="G13358" s="1" t="str">
        <f t="shared" si="3051"/>
        <v>X</v>
      </c>
      <c r="H13358" s="1" t="str">
        <f t="shared" si="3051"/>
        <v>X</v>
      </c>
      <c r="I13358" s="1" t="str">
        <f t="shared" si="3051"/>
        <v>X</v>
      </c>
      <c r="J13358" s="1" t="str">
        <f t="shared" si="3051"/>
        <v>X</v>
      </c>
      <c r="K13358" s="1" t="str">
        <f t="shared" si="3051"/>
        <v>X</v>
      </c>
      <c r="L13358" s="1" t="str">
        <f t="shared" si="3051"/>
        <v>X</v>
      </c>
      <c r="M13358" s="1" t="str">
        <f t="shared" si="3051"/>
        <v>X</v>
      </c>
      <c r="N13358" t="s">
        <v>27</v>
      </c>
    </row>
    <row r="13359" spans="1:14" x14ac:dyDescent="0.25">
      <c r="A13359" t="s">
        <v>45</v>
      </c>
      <c r="B13359" t="s">
        <v>15</v>
      </c>
      <c r="C13359" t="s">
        <v>35</v>
      </c>
      <c r="D13359" t="s">
        <v>29</v>
      </c>
      <c r="E13359" t="s">
        <v>21</v>
      </c>
      <c r="F13359" t="s">
        <v>18</v>
      </c>
      <c r="G13359" s="1" t="str">
        <f t="shared" si="3051"/>
        <v>X</v>
      </c>
      <c r="H13359" s="1" t="str">
        <f t="shared" si="3051"/>
        <v>X</v>
      </c>
      <c r="I13359" s="1" t="str">
        <f t="shared" si="3051"/>
        <v>X</v>
      </c>
      <c r="J13359" s="1" t="str">
        <f t="shared" si="3051"/>
        <v>X</v>
      </c>
      <c r="K13359" s="1" t="str">
        <f t="shared" si="3051"/>
        <v>X</v>
      </c>
      <c r="L13359" s="1" t="str">
        <f t="shared" si="3051"/>
        <v>X</v>
      </c>
      <c r="M13359" s="1" t="str">
        <f t="shared" si="3051"/>
        <v>X</v>
      </c>
      <c r="N13359" t="s">
        <v>27</v>
      </c>
    </row>
    <row r="13360" spans="1:14" x14ac:dyDescent="0.25">
      <c r="A13360" t="s">
        <v>45</v>
      </c>
      <c r="B13360" t="s">
        <v>15</v>
      </c>
      <c r="C13360" t="s">
        <v>35</v>
      </c>
      <c r="D13360" t="s">
        <v>29</v>
      </c>
      <c r="E13360" t="s">
        <v>21</v>
      </c>
      <c r="F13360" t="s">
        <v>19</v>
      </c>
      <c r="G13360" s="1" t="str">
        <f t="shared" si="3051"/>
        <v>X</v>
      </c>
      <c r="H13360" s="1" t="str">
        <f t="shared" si="3051"/>
        <v>X</v>
      </c>
      <c r="I13360" s="1" t="str">
        <f t="shared" si="3051"/>
        <v>X</v>
      </c>
      <c r="J13360" s="1" t="str">
        <f t="shared" si="3051"/>
        <v>X</v>
      </c>
      <c r="K13360" s="1" t="str">
        <f t="shared" si="3051"/>
        <v>X</v>
      </c>
      <c r="L13360" s="1" t="str">
        <f t="shared" si="3051"/>
        <v>X</v>
      </c>
      <c r="M13360" s="1" t="str">
        <f t="shared" si="3051"/>
        <v>X</v>
      </c>
      <c r="N13360" t="s">
        <v>27</v>
      </c>
    </row>
    <row r="13361" spans="1:14" x14ac:dyDescent="0.25">
      <c r="A13361" t="s">
        <v>45</v>
      </c>
      <c r="B13361" t="s">
        <v>15</v>
      </c>
      <c r="C13361" t="s">
        <v>35</v>
      </c>
      <c r="D13361" t="s">
        <v>29</v>
      </c>
      <c r="E13361" t="s">
        <v>21</v>
      </c>
      <c r="F13361" t="s">
        <v>20</v>
      </c>
      <c r="G13361" s="1" t="str">
        <f t="shared" si="3051"/>
        <v>X</v>
      </c>
      <c r="H13361" s="1" t="str">
        <f t="shared" si="3051"/>
        <v>X</v>
      </c>
      <c r="I13361" s="1" t="str">
        <f t="shared" si="3051"/>
        <v>X</v>
      </c>
      <c r="J13361" s="1" t="str">
        <f t="shared" si="3051"/>
        <v>X</v>
      </c>
      <c r="K13361" s="1" t="str">
        <f t="shared" si="3051"/>
        <v>X</v>
      </c>
      <c r="L13361" s="1" t="str">
        <f t="shared" si="3051"/>
        <v>X</v>
      </c>
      <c r="M13361" s="1" t="str">
        <f t="shared" si="3051"/>
        <v>X</v>
      </c>
      <c r="N13361" t="s">
        <v>27</v>
      </c>
    </row>
    <row r="13362" spans="1:14" x14ac:dyDescent="0.25">
      <c r="A13362" t="s">
        <v>45</v>
      </c>
      <c r="B13362" t="s">
        <v>15</v>
      </c>
      <c r="C13362" t="s">
        <v>35</v>
      </c>
      <c r="D13362" t="s">
        <v>29</v>
      </c>
      <c r="E13362" t="s">
        <v>22</v>
      </c>
      <c r="F13362" t="s">
        <v>15</v>
      </c>
      <c r="G13362" s="2">
        <f>VALUE(304.66)</f>
        <v>304.66000000000003</v>
      </c>
      <c r="H13362" s="3">
        <f>VALUE(298.91)</f>
        <v>298.91000000000003</v>
      </c>
      <c r="I13362" s="1">
        <f>VALUE(3177)</f>
        <v>3177</v>
      </c>
      <c r="J13362" s="1">
        <f>VALUE(3611)</f>
        <v>3611</v>
      </c>
      <c r="K13362" s="1">
        <f>VALUE(4089)</f>
        <v>4089</v>
      </c>
      <c r="L13362" s="1">
        <f>VALUE(4337)</f>
        <v>4337</v>
      </c>
      <c r="M13362" s="1">
        <f>VALUE(4776)</f>
        <v>4776</v>
      </c>
      <c r="N13362" t="s">
        <v>25</v>
      </c>
    </row>
    <row r="13363" spans="1:14" x14ac:dyDescent="0.25">
      <c r="A13363" t="s">
        <v>45</v>
      </c>
      <c r="B13363" t="s">
        <v>15</v>
      </c>
      <c r="C13363" t="s">
        <v>35</v>
      </c>
      <c r="D13363" t="s">
        <v>29</v>
      </c>
      <c r="E13363" t="s">
        <v>22</v>
      </c>
      <c r="F13363" t="s">
        <v>17</v>
      </c>
      <c r="G13363" s="1" t="str">
        <f t="shared" ref="G13363:M13363" si="3052">"..."</f>
        <v>...</v>
      </c>
      <c r="H13363" s="1" t="str">
        <f t="shared" si="3052"/>
        <v>...</v>
      </c>
      <c r="I13363" s="1" t="str">
        <f t="shared" si="3052"/>
        <v>...</v>
      </c>
      <c r="J13363" s="1" t="str">
        <f t="shared" si="3052"/>
        <v>...</v>
      </c>
      <c r="K13363" s="1" t="str">
        <f t="shared" si="3052"/>
        <v>...</v>
      </c>
      <c r="L13363" s="1" t="str">
        <f t="shared" si="3052"/>
        <v>...</v>
      </c>
      <c r="M13363" s="1" t="str">
        <f t="shared" si="3052"/>
        <v>...</v>
      </c>
      <c r="N13363" t="s">
        <v>30</v>
      </c>
    </row>
    <row r="13364" spans="1:14" x14ac:dyDescent="0.25">
      <c r="A13364" t="s">
        <v>45</v>
      </c>
      <c r="B13364" t="s">
        <v>15</v>
      </c>
      <c r="C13364" t="s">
        <v>35</v>
      </c>
      <c r="D13364" t="s">
        <v>29</v>
      </c>
      <c r="E13364" t="s">
        <v>22</v>
      </c>
      <c r="F13364" t="s">
        <v>18</v>
      </c>
      <c r="G13364" s="1" t="str">
        <f t="shared" ref="G13364:M13365" si="3053">"X"</f>
        <v>X</v>
      </c>
      <c r="H13364" s="1" t="str">
        <f t="shared" si="3053"/>
        <v>X</v>
      </c>
      <c r="I13364" s="1" t="str">
        <f t="shared" si="3053"/>
        <v>X</v>
      </c>
      <c r="J13364" s="1" t="str">
        <f t="shared" si="3053"/>
        <v>X</v>
      </c>
      <c r="K13364" s="1" t="str">
        <f t="shared" si="3053"/>
        <v>X</v>
      </c>
      <c r="L13364" s="1" t="str">
        <f t="shared" si="3053"/>
        <v>X</v>
      </c>
      <c r="M13364" s="1" t="str">
        <f t="shared" si="3053"/>
        <v>X</v>
      </c>
      <c r="N13364" t="s">
        <v>27</v>
      </c>
    </row>
    <row r="13365" spans="1:14" x14ac:dyDescent="0.25">
      <c r="A13365" t="s">
        <v>45</v>
      </c>
      <c r="B13365" t="s">
        <v>15</v>
      </c>
      <c r="C13365" t="s">
        <v>35</v>
      </c>
      <c r="D13365" t="s">
        <v>29</v>
      </c>
      <c r="E13365" t="s">
        <v>22</v>
      </c>
      <c r="F13365" t="s">
        <v>19</v>
      </c>
      <c r="G13365" s="1" t="str">
        <f t="shared" si="3053"/>
        <v>X</v>
      </c>
      <c r="H13365" s="1" t="str">
        <f t="shared" si="3053"/>
        <v>X</v>
      </c>
      <c r="I13365" s="1" t="str">
        <f t="shared" si="3053"/>
        <v>X</v>
      </c>
      <c r="J13365" s="1" t="str">
        <f t="shared" si="3053"/>
        <v>X</v>
      </c>
      <c r="K13365" s="1" t="str">
        <f t="shared" si="3053"/>
        <v>X</v>
      </c>
      <c r="L13365" s="1" t="str">
        <f t="shared" si="3053"/>
        <v>X</v>
      </c>
      <c r="M13365" s="1" t="str">
        <f t="shared" si="3053"/>
        <v>X</v>
      </c>
      <c r="N13365" t="s">
        <v>27</v>
      </c>
    </row>
    <row r="13366" spans="1:14" x14ac:dyDescent="0.25">
      <c r="A13366" t="s">
        <v>45</v>
      </c>
      <c r="B13366" t="s">
        <v>15</v>
      </c>
      <c r="C13366" t="s">
        <v>35</v>
      </c>
      <c r="D13366" t="s">
        <v>29</v>
      </c>
      <c r="E13366" t="s">
        <v>22</v>
      </c>
      <c r="F13366" t="s">
        <v>20</v>
      </c>
      <c r="G13366" s="2">
        <f>VALUE(244.44)</f>
        <v>244.44</v>
      </c>
      <c r="H13366" s="3">
        <f>VALUE(239.07)</f>
        <v>239.07</v>
      </c>
      <c r="I13366" s="1">
        <f>VALUE(3177)</f>
        <v>3177</v>
      </c>
      <c r="J13366" s="1">
        <f>VALUE(3611)</f>
        <v>3611</v>
      </c>
      <c r="K13366" s="1">
        <f>VALUE(4089)</f>
        <v>4089</v>
      </c>
      <c r="L13366" s="1">
        <f>VALUE(4393)</f>
        <v>4393</v>
      </c>
      <c r="M13366" s="1">
        <f>VALUE(4776)</f>
        <v>4776</v>
      </c>
      <c r="N13366" t="s">
        <v>25</v>
      </c>
    </row>
    <row r="13367" spans="1:14" x14ac:dyDescent="0.25">
      <c r="A13367" t="s">
        <v>45</v>
      </c>
      <c r="B13367" t="s">
        <v>15</v>
      </c>
      <c r="C13367" t="s">
        <v>35</v>
      </c>
      <c r="D13367" t="s">
        <v>29</v>
      </c>
      <c r="E13367" t="s">
        <v>23</v>
      </c>
      <c r="F13367" t="s">
        <v>15</v>
      </c>
      <c r="G13367" s="1" t="str">
        <f t="shared" ref="G13367:M13367" si="3054">"X"</f>
        <v>X</v>
      </c>
      <c r="H13367" s="1" t="str">
        <f t="shared" si="3054"/>
        <v>X</v>
      </c>
      <c r="I13367" s="1" t="str">
        <f t="shared" si="3054"/>
        <v>X</v>
      </c>
      <c r="J13367" s="1" t="str">
        <f t="shared" si="3054"/>
        <v>X</v>
      </c>
      <c r="K13367" s="1" t="str">
        <f t="shared" si="3054"/>
        <v>X</v>
      </c>
      <c r="L13367" s="1" t="str">
        <f t="shared" si="3054"/>
        <v>X</v>
      </c>
      <c r="M13367" s="1" t="str">
        <f t="shared" si="3054"/>
        <v>X</v>
      </c>
      <c r="N13367" t="s">
        <v>27</v>
      </c>
    </row>
    <row r="13368" spans="1:14" x14ac:dyDescent="0.25">
      <c r="A13368" t="s">
        <v>45</v>
      </c>
      <c r="B13368" t="s">
        <v>15</v>
      </c>
      <c r="C13368" t="s">
        <v>35</v>
      </c>
      <c r="D13368" t="s">
        <v>29</v>
      </c>
      <c r="E13368" t="s">
        <v>23</v>
      </c>
      <c r="F13368" t="s">
        <v>17</v>
      </c>
      <c r="G13368" s="1" t="str">
        <f t="shared" ref="G13368:M13369" si="3055">"..."</f>
        <v>...</v>
      </c>
      <c r="H13368" s="1" t="str">
        <f t="shared" si="3055"/>
        <v>...</v>
      </c>
      <c r="I13368" s="1" t="str">
        <f t="shared" si="3055"/>
        <v>...</v>
      </c>
      <c r="J13368" s="1" t="str">
        <f t="shared" si="3055"/>
        <v>...</v>
      </c>
      <c r="K13368" s="1" t="str">
        <f t="shared" si="3055"/>
        <v>...</v>
      </c>
      <c r="L13368" s="1" t="str">
        <f t="shared" si="3055"/>
        <v>...</v>
      </c>
      <c r="M13368" s="1" t="str">
        <f t="shared" si="3055"/>
        <v>...</v>
      </c>
      <c r="N13368" t="s">
        <v>30</v>
      </c>
    </row>
    <row r="13369" spans="1:14" x14ac:dyDescent="0.25">
      <c r="A13369" t="s">
        <v>45</v>
      </c>
      <c r="B13369" t="s">
        <v>15</v>
      </c>
      <c r="C13369" t="s">
        <v>35</v>
      </c>
      <c r="D13369" t="s">
        <v>29</v>
      </c>
      <c r="E13369" t="s">
        <v>23</v>
      </c>
      <c r="F13369" t="s">
        <v>18</v>
      </c>
      <c r="G13369" s="1" t="str">
        <f t="shared" si="3055"/>
        <v>...</v>
      </c>
      <c r="H13369" s="1" t="str">
        <f t="shared" si="3055"/>
        <v>...</v>
      </c>
      <c r="I13369" s="1" t="str">
        <f t="shared" si="3055"/>
        <v>...</v>
      </c>
      <c r="J13369" s="1" t="str">
        <f t="shared" si="3055"/>
        <v>...</v>
      </c>
      <c r="K13369" s="1" t="str">
        <f t="shared" si="3055"/>
        <v>...</v>
      </c>
      <c r="L13369" s="1" t="str">
        <f t="shared" si="3055"/>
        <v>...</v>
      </c>
      <c r="M13369" s="1" t="str">
        <f t="shared" si="3055"/>
        <v>...</v>
      </c>
      <c r="N13369" t="s">
        <v>30</v>
      </c>
    </row>
    <row r="13370" spans="1:14" x14ac:dyDescent="0.25">
      <c r="A13370" t="s">
        <v>45</v>
      </c>
      <c r="B13370" t="s">
        <v>15</v>
      </c>
      <c r="C13370" t="s">
        <v>35</v>
      </c>
      <c r="D13370" t="s">
        <v>29</v>
      </c>
      <c r="E13370" t="s">
        <v>23</v>
      </c>
      <c r="F13370" t="s">
        <v>19</v>
      </c>
      <c r="G13370" s="1" t="str">
        <f t="shared" ref="G13370:M13372" si="3056">"X"</f>
        <v>X</v>
      </c>
      <c r="H13370" s="1" t="str">
        <f t="shared" si="3056"/>
        <v>X</v>
      </c>
      <c r="I13370" s="1" t="str">
        <f t="shared" si="3056"/>
        <v>X</v>
      </c>
      <c r="J13370" s="1" t="str">
        <f t="shared" si="3056"/>
        <v>X</v>
      </c>
      <c r="K13370" s="1" t="str">
        <f t="shared" si="3056"/>
        <v>X</v>
      </c>
      <c r="L13370" s="1" t="str">
        <f t="shared" si="3056"/>
        <v>X</v>
      </c>
      <c r="M13370" s="1" t="str">
        <f t="shared" si="3056"/>
        <v>X</v>
      </c>
      <c r="N13370" t="s">
        <v>27</v>
      </c>
    </row>
    <row r="13371" spans="1:14" x14ac:dyDescent="0.25">
      <c r="A13371" t="s">
        <v>45</v>
      </c>
      <c r="B13371" t="s">
        <v>15</v>
      </c>
      <c r="C13371" t="s">
        <v>35</v>
      </c>
      <c r="D13371" t="s">
        <v>29</v>
      </c>
      <c r="E13371" t="s">
        <v>23</v>
      </c>
      <c r="F13371" t="s">
        <v>20</v>
      </c>
      <c r="G13371" s="1" t="str">
        <f t="shared" si="3056"/>
        <v>X</v>
      </c>
      <c r="H13371" s="1" t="str">
        <f t="shared" si="3056"/>
        <v>X</v>
      </c>
      <c r="I13371" s="1" t="str">
        <f t="shared" si="3056"/>
        <v>X</v>
      </c>
      <c r="J13371" s="1" t="str">
        <f t="shared" si="3056"/>
        <v>X</v>
      </c>
      <c r="K13371" s="1" t="str">
        <f t="shared" si="3056"/>
        <v>X</v>
      </c>
      <c r="L13371" s="1" t="str">
        <f t="shared" si="3056"/>
        <v>X</v>
      </c>
      <c r="M13371" s="1" t="str">
        <f t="shared" si="3056"/>
        <v>X</v>
      </c>
      <c r="N13371" t="s">
        <v>27</v>
      </c>
    </row>
    <row r="13372" spans="1:14" x14ac:dyDescent="0.25">
      <c r="A13372" t="s">
        <v>45</v>
      </c>
      <c r="B13372" t="s">
        <v>15</v>
      </c>
      <c r="C13372" t="s">
        <v>35</v>
      </c>
      <c r="D13372" t="s">
        <v>29</v>
      </c>
      <c r="E13372" t="s">
        <v>26</v>
      </c>
      <c r="F13372" t="s">
        <v>15</v>
      </c>
      <c r="G13372" s="1" t="str">
        <f t="shared" si="3056"/>
        <v>X</v>
      </c>
      <c r="H13372" s="1" t="str">
        <f t="shared" si="3056"/>
        <v>X</v>
      </c>
      <c r="I13372" s="1" t="str">
        <f t="shared" si="3056"/>
        <v>X</v>
      </c>
      <c r="J13372" s="1" t="str">
        <f t="shared" si="3056"/>
        <v>X</v>
      </c>
      <c r="K13372" s="1" t="str">
        <f t="shared" si="3056"/>
        <v>X</v>
      </c>
      <c r="L13372" s="1" t="str">
        <f t="shared" si="3056"/>
        <v>X</v>
      </c>
      <c r="M13372" s="1" t="str">
        <f t="shared" si="3056"/>
        <v>X</v>
      </c>
      <c r="N13372" t="s">
        <v>27</v>
      </c>
    </row>
    <row r="13373" spans="1:14" x14ac:dyDescent="0.25">
      <c r="A13373" t="s">
        <v>45</v>
      </c>
      <c r="B13373" t="s">
        <v>15</v>
      </c>
      <c r="C13373" t="s">
        <v>35</v>
      </c>
      <c r="D13373" t="s">
        <v>29</v>
      </c>
      <c r="E13373" t="s">
        <v>26</v>
      </c>
      <c r="F13373" t="s">
        <v>17</v>
      </c>
      <c r="G13373" s="1" t="str">
        <f t="shared" ref="G13373:M13375" si="3057">"..."</f>
        <v>...</v>
      </c>
      <c r="H13373" s="1" t="str">
        <f t="shared" si="3057"/>
        <v>...</v>
      </c>
      <c r="I13373" s="1" t="str">
        <f t="shared" si="3057"/>
        <v>...</v>
      </c>
      <c r="J13373" s="1" t="str">
        <f t="shared" si="3057"/>
        <v>...</v>
      </c>
      <c r="K13373" s="1" t="str">
        <f t="shared" si="3057"/>
        <v>...</v>
      </c>
      <c r="L13373" s="1" t="str">
        <f t="shared" si="3057"/>
        <v>...</v>
      </c>
      <c r="M13373" s="1" t="str">
        <f t="shared" si="3057"/>
        <v>...</v>
      </c>
      <c r="N13373" t="s">
        <v>30</v>
      </c>
    </row>
    <row r="13374" spans="1:14" x14ac:dyDescent="0.25">
      <c r="A13374" t="s">
        <v>45</v>
      </c>
      <c r="B13374" t="s">
        <v>15</v>
      </c>
      <c r="C13374" t="s">
        <v>35</v>
      </c>
      <c r="D13374" t="s">
        <v>29</v>
      </c>
      <c r="E13374" t="s">
        <v>26</v>
      </c>
      <c r="F13374" t="s">
        <v>18</v>
      </c>
      <c r="G13374" s="1" t="str">
        <f t="shared" si="3057"/>
        <v>...</v>
      </c>
      <c r="H13374" s="1" t="str">
        <f t="shared" si="3057"/>
        <v>...</v>
      </c>
      <c r="I13374" s="1" t="str">
        <f t="shared" si="3057"/>
        <v>...</v>
      </c>
      <c r="J13374" s="1" t="str">
        <f t="shared" si="3057"/>
        <v>...</v>
      </c>
      <c r="K13374" s="1" t="str">
        <f t="shared" si="3057"/>
        <v>...</v>
      </c>
      <c r="L13374" s="1" t="str">
        <f t="shared" si="3057"/>
        <v>...</v>
      </c>
      <c r="M13374" s="1" t="str">
        <f t="shared" si="3057"/>
        <v>...</v>
      </c>
      <c r="N13374" t="s">
        <v>30</v>
      </c>
    </row>
    <row r="13375" spans="1:14" x14ac:dyDescent="0.25">
      <c r="A13375" t="s">
        <v>45</v>
      </c>
      <c r="B13375" t="s">
        <v>15</v>
      </c>
      <c r="C13375" t="s">
        <v>35</v>
      </c>
      <c r="D13375" t="s">
        <v>29</v>
      </c>
      <c r="E13375" t="s">
        <v>26</v>
      </c>
      <c r="F13375" t="s">
        <v>19</v>
      </c>
      <c r="G13375" s="1" t="str">
        <f t="shared" si="3057"/>
        <v>...</v>
      </c>
      <c r="H13375" s="1" t="str">
        <f t="shared" si="3057"/>
        <v>...</v>
      </c>
      <c r="I13375" s="1" t="str">
        <f t="shared" si="3057"/>
        <v>...</v>
      </c>
      <c r="J13375" s="1" t="str">
        <f t="shared" si="3057"/>
        <v>...</v>
      </c>
      <c r="K13375" s="1" t="str">
        <f t="shared" si="3057"/>
        <v>...</v>
      </c>
      <c r="L13375" s="1" t="str">
        <f t="shared" si="3057"/>
        <v>...</v>
      </c>
      <c r="M13375" s="1" t="str">
        <f t="shared" si="3057"/>
        <v>...</v>
      </c>
      <c r="N13375" t="s">
        <v>30</v>
      </c>
    </row>
    <row r="13376" spans="1:14" x14ac:dyDescent="0.25">
      <c r="A13376" t="s">
        <v>45</v>
      </c>
      <c r="B13376" t="s">
        <v>15</v>
      </c>
      <c r="C13376" t="s">
        <v>35</v>
      </c>
      <c r="D13376" t="s">
        <v>29</v>
      </c>
      <c r="E13376" t="s">
        <v>26</v>
      </c>
      <c r="F13376" t="s">
        <v>20</v>
      </c>
      <c r="G13376" s="1" t="str">
        <f t="shared" ref="G13376:M13376" si="3058">"X"</f>
        <v>X</v>
      </c>
      <c r="H13376" s="1" t="str">
        <f t="shared" si="3058"/>
        <v>X</v>
      </c>
      <c r="I13376" s="1" t="str">
        <f t="shared" si="3058"/>
        <v>X</v>
      </c>
      <c r="J13376" s="1" t="str">
        <f t="shared" si="3058"/>
        <v>X</v>
      </c>
      <c r="K13376" s="1" t="str">
        <f t="shared" si="3058"/>
        <v>X</v>
      </c>
      <c r="L13376" s="1" t="str">
        <f t="shared" si="3058"/>
        <v>X</v>
      </c>
      <c r="M13376" s="1" t="str">
        <f t="shared" si="3058"/>
        <v>X</v>
      </c>
      <c r="N13376" t="s">
        <v>27</v>
      </c>
    </row>
    <row r="13377" spans="1:14" x14ac:dyDescent="0.25">
      <c r="A13377" t="s">
        <v>45</v>
      </c>
      <c r="B13377" t="s">
        <v>15</v>
      </c>
      <c r="C13377" t="s">
        <v>35</v>
      </c>
      <c r="D13377" t="s">
        <v>31</v>
      </c>
      <c r="E13377" t="s">
        <v>15</v>
      </c>
      <c r="F13377" t="s">
        <v>15</v>
      </c>
      <c r="G13377" s="2">
        <f>VALUE(567.71)</f>
        <v>567.71</v>
      </c>
      <c r="H13377" s="3">
        <f>VALUE(498.3)</f>
        <v>498.3</v>
      </c>
      <c r="I13377" s="1">
        <f>VALUE(3048)</f>
        <v>3048</v>
      </c>
      <c r="J13377" s="1">
        <f>VALUE(3472)</f>
        <v>3472</v>
      </c>
      <c r="K13377" s="1">
        <f>VALUE(4129)</f>
        <v>4129</v>
      </c>
      <c r="L13377" s="1">
        <f>VALUE(4277)</f>
        <v>4277</v>
      </c>
      <c r="M13377" s="1">
        <f>VALUE(4850)</f>
        <v>4850</v>
      </c>
      <c r="N13377" t="s">
        <v>25</v>
      </c>
    </row>
    <row r="13378" spans="1:14" x14ac:dyDescent="0.25">
      <c r="A13378" t="s">
        <v>45</v>
      </c>
      <c r="B13378" t="s">
        <v>15</v>
      </c>
      <c r="C13378" t="s">
        <v>35</v>
      </c>
      <c r="D13378" t="s">
        <v>31</v>
      </c>
      <c r="E13378" t="s">
        <v>15</v>
      </c>
      <c r="F13378" t="s">
        <v>17</v>
      </c>
      <c r="G13378" s="1" t="str">
        <f t="shared" ref="G13378:M13380" si="3059">"X"</f>
        <v>X</v>
      </c>
      <c r="H13378" s="1" t="str">
        <f t="shared" si="3059"/>
        <v>X</v>
      </c>
      <c r="I13378" s="1" t="str">
        <f t="shared" si="3059"/>
        <v>X</v>
      </c>
      <c r="J13378" s="1" t="str">
        <f t="shared" si="3059"/>
        <v>X</v>
      </c>
      <c r="K13378" s="1" t="str">
        <f t="shared" si="3059"/>
        <v>X</v>
      </c>
      <c r="L13378" s="1" t="str">
        <f t="shared" si="3059"/>
        <v>X</v>
      </c>
      <c r="M13378" s="1" t="str">
        <f t="shared" si="3059"/>
        <v>X</v>
      </c>
      <c r="N13378" t="s">
        <v>27</v>
      </c>
    </row>
    <row r="13379" spans="1:14" x14ac:dyDescent="0.25">
      <c r="A13379" t="s">
        <v>45</v>
      </c>
      <c r="B13379" t="s">
        <v>15</v>
      </c>
      <c r="C13379" t="s">
        <v>35</v>
      </c>
      <c r="D13379" t="s">
        <v>31</v>
      </c>
      <c r="E13379" t="s">
        <v>15</v>
      </c>
      <c r="F13379" t="s">
        <v>18</v>
      </c>
      <c r="G13379" s="1" t="str">
        <f t="shared" si="3059"/>
        <v>X</v>
      </c>
      <c r="H13379" s="1" t="str">
        <f t="shared" si="3059"/>
        <v>X</v>
      </c>
      <c r="I13379" s="1" t="str">
        <f t="shared" si="3059"/>
        <v>X</v>
      </c>
      <c r="J13379" s="1" t="str">
        <f t="shared" si="3059"/>
        <v>X</v>
      </c>
      <c r="K13379" s="1" t="str">
        <f t="shared" si="3059"/>
        <v>X</v>
      </c>
      <c r="L13379" s="1" t="str">
        <f t="shared" si="3059"/>
        <v>X</v>
      </c>
      <c r="M13379" s="1" t="str">
        <f t="shared" si="3059"/>
        <v>X</v>
      </c>
      <c r="N13379" t="s">
        <v>27</v>
      </c>
    </row>
    <row r="13380" spans="1:14" x14ac:dyDescent="0.25">
      <c r="A13380" t="s">
        <v>45</v>
      </c>
      <c r="B13380" t="s">
        <v>15</v>
      </c>
      <c r="C13380" t="s">
        <v>35</v>
      </c>
      <c r="D13380" t="s">
        <v>31</v>
      </c>
      <c r="E13380" t="s">
        <v>15</v>
      </c>
      <c r="F13380" t="s">
        <v>19</v>
      </c>
      <c r="G13380" s="1" t="str">
        <f t="shared" si="3059"/>
        <v>X</v>
      </c>
      <c r="H13380" s="1" t="str">
        <f t="shared" si="3059"/>
        <v>X</v>
      </c>
      <c r="I13380" s="1" t="str">
        <f t="shared" si="3059"/>
        <v>X</v>
      </c>
      <c r="J13380" s="1" t="str">
        <f t="shared" si="3059"/>
        <v>X</v>
      </c>
      <c r="K13380" s="1" t="str">
        <f t="shared" si="3059"/>
        <v>X</v>
      </c>
      <c r="L13380" s="1" t="str">
        <f t="shared" si="3059"/>
        <v>X</v>
      </c>
      <c r="M13380" s="1" t="str">
        <f t="shared" si="3059"/>
        <v>X</v>
      </c>
      <c r="N13380" t="s">
        <v>27</v>
      </c>
    </row>
    <row r="13381" spans="1:14" x14ac:dyDescent="0.25">
      <c r="A13381" t="s">
        <v>45</v>
      </c>
      <c r="B13381" t="s">
        <v>15</v>
      </c>
      <c r="C13381" t="s">
        <v>35</v>
      </c>
      <c r="D13381" t="s">
        <v>31</v>
      </c>
      <c r="E13381" t="s">
        <v>15</v>
      </c>
      <c r="F13381" t="s">
        <v>20</v>
      </c>
      <c r="G13381" s="2">
        <f>VALUE(515.91)</f>
        <v>515.91</v>
      </c>
      <c r="H13381" s="3">
        <f>VALUE(447.85)</f>
        <v>447.85</v>
      </c>
      <c r="I13381" s="4">
        <f>VALUE(3294)</f>
        <v>3294</v>
      </c>
      <c r="J13381" s="1">
        <f>VALUE(3555)</f>
        <v>3555</v>
      </c>
      <c r="K13381" s="1">
        <f>VALUE(4129)</f>
        <v>4129</v>
      </c>
      <c r="L13381" s="1">
        <f>VALUE(4277)</f>
        <v>4277</v>
      </c>
      <c r="M13381" s="1">
        <f>VALUE(4850)</f>
        <v>4850</v>
      </c>
      <c r="N13381" t="s">
        <v>25</v>
      </c>
    </row>
    <row r="13382" spans="1:14" x14ac:dyDescent="0.25">
      <c r="A13382" t="s">
        <v>45</v>
      </c>
      <c r="B13382" t="s">
        <v>15</v>
      </c>
      <c r="C13382" t="s">
        <v>35</v>
      </c>
      <c r="D13382" t="s">
        <v>31</v>
      </c>
      <c r="E13382" t="s">
        <v>21</v>
      </c>
      <c r="F13382" t="s">
        <v>15</v>
      </c>
      <c r="G13382" s="1" t="str">
        <f t="shared" ref="G13382:M13384" si="3060">"X"</f>
        <v>X</v>
      </c>
      <c r="H13382" s="1" t="str">
        <f t="shared" si="3060"/>
        <v>X</v>
      </c>
      <c r="I13382" s="1" t="str">
        <f t="shared" si="3060"/>
        <v>X</v>
      </c>
      <c r="J13382" s="1" t="str">
        <f t="shared" si="3060"/>
        <v>X</v>
      </c>
      <c r="K13382" s="1" t="str">
        <f t="shared" si="3060"/>
        <v>X</v>
      </c>
      <c r="L13382" s="1" t="str">
        <f t="shared" si="3060"/>
        <v>X</v>
      </c>
      <c r="M13382" s="1" t="str">
        <f t="shared" si="3060"/>
        <v>X</v>
      </c>
      <c r="N13382" t="s">
        <v>27</v>
      </c>
    </row>
    <row r="13383" spans="1:14" x14ac:dyDescent="0.25">
      <c r="A13383" t="s">
        <v>45</v>
      </c>
      <c r="B13383" t="s">
        <v>15</v>
      </c>
      <c r="C13383" t="s">
        <v>35</v>
      </c>
      <c r="D13383" t="s">
        <v>31</v>
      </c>
      <c r="E13383" t="s">
        <v>21</v>
      </c>
      <c r="F13383" t="s">
        <v>17</v>
      </c>
      <c r="G13383" s="1" t="str">
        <f t="shared" si="3060"/>
        <v>X</v>
      </c>
      <c r="H13383" s="1" t="str">
        <f t="shared" si="3060"/>
        <v>X</v>
      </c>
      <c r="I13383" s="1" t="str">
        <f t="shared" si="3060"/>
        <v>X</v>
      </c>
      <c r="J13383" s="1" t="str">
        <f t="shared" si="3060"/>
        <v>X</v>
      </c>
      <c r="K13383" s="1" t="str">
        <f t="shared" si="3060"/>
        <v>X</v>
      </c>
      <c r="L13383" s="1" t="str">
        <f t="shared" si="3060"/>
        <v>X</v>
      </c>
      <c r="M13383" s="1" t="str">
        <f t="shared" si="3060"/>
        <v>X</v>
      </c>
      <c r="N13383" t="s">
        <v>27</v>
      </c>
    </row>
    <row r="13384" spans="1:14" x14ac:dyDescent="0.25">
      <c r="A13384" t="s">
        <v>45</v>
      </c>
      <c r="B13384" t="s">
        <v>15</v>
      </c>
      <c r="C13384" t="s">
        <v>35</v>
      </c>
      <c r="D13384" t="s">
        <v>31</v>
      </c>
      <c r="E13384" t="s">
        <v>21</v>
      </c>
      <c r="F13384" t="s">
        <v>18</v>
      </c>
      <c r="G13384" s="1" t="str">
        <f t="shared" si="3060"/>
        <v>X</v>
      </c>
      <c r="H13384" s="1" t="str">
        <f t="shared" si="3060"/>
        <v>X</v>
      </c>
      <c r="I13384" s="1" t="str">
        <f t="shared" si="3060"/>
        <v>X</v>
      </c>
      <c r="J13384" s="1" t="str">
        <f t="shared" si="3060"/>
        <v>X</v>
      </c>
      <c r="K13384" s="1" t="str">
        <f t="shared" si="3060"/>
        <v>X</v>
      </c>
      <c r="L13384" s="1" t="str">
        <f t="shared" si="3060"/>
        <v>X</v>
      </c>
      <c r="M13384" s="1" t="str">
        <f t="shared" si="3060"/>
        <v>X</v>
      </c>
      <c r="N13384" t="s">
        <v>27</v>
      </c>
    </row>
    <row r="13385" spans="1:14" x14ac:dyDescent="0.25">
      <c r="A13385" t="s">
        <v>45</v>
      </c>
      <c r="B13385" t="s">
        <v>15</v>
      </c>
      <c r="C13385" t="s">
        <v>35</v>
      </c>
      <c r="D13385" t="s">
        <v>31</v>
      </c>
      <c r="E13385" t="s">
        <v>21</v>
      </c>
      <c r="F13385" t="s">
        <v>19</v>
      </c>
      <c r="G13385" s="1" t="str">
        <f t="shared" ref="G13385:M13385" si="3061">"..."</f>
        <v>...</v>
      </c>
      <c r="H13385" s="1" t="str">
        <f t="shared" si="3061"/>
        <v>...</v>
      </c>
      <c r="I13385" s="1" t="str">
        <f t="shared" si="3061"/>
        <v>...</v>
      </c>
      <c r="J13385" s="1" t="str">
        <f t="shared" si="3061"/>
        <v>...</v>
      </c>
      <c r="K13385" s="1" t="str">
        <f t="shared" si="3061"/>
        <v>...</v>
      </c>
      <c r="L13385" s="1" t="str">
        <f t="shared" si="3061"/>
        <v>...</v>
      </c>
      <c r="M13385" s="1" t="str">
        <f t="shared" si="3061"/>
        <v>...</v>
      </c>
      <c r="N13385" t="s">
        <v>30</v>
      </c>
    </row>
    <row r="13386" spans="1:14" x14ac:dyDescent="0.25">
      <c r="A13386" t="s">
        <v>45</v>
      </c>
      <c r="B13386" t="s">
        <v>15</v>
      </c>
      <c r="C13386" t="s">
        <v>35</v>
      </c>
      <c r="D13386" t="s">
        <v>31</v>
      </c>
      <c r="E13386" t="s">
        <v>21</v>
      </c>
      <c r="F13386" t="s">
        <v>20</v>
      </c>
      <c r="G13386" s="1" t="str">
        <f t="shared" ref="G13386:M13394" si="3062">"X"</f>
        <v>X</v>
      </c>
      <c r="H13386" s="1" t="str">
        <f t="shared" si="3062"/>
        <v>X</v>
      </c>
      <c r="I13386" s="1" t="str">
        <f t="shared" si="3062"/>
        <v>X</v>
      </c>
      <c r="J13386" s="1" t="str">
        <f t="shared" si="3062"/>
        <v>X</v>
      </c>
      <c r="K13386" s="1" t="str">
        <f t="shared" si="3062"/>
        <v>X</v>
      </c>
      <c r="L13386" s="1" t="str">
        <f t="shared" si="3062"/>
        <v>X</v>
      </c>
      <c r="M13386" s="1" t="str">
        <f t="shared" si="3062"/>
        <v>X</v>
      </c>
      <c r="N13386" t="s">
        <v>27</v>
      </c>
    </row>
    <row r="13387" spans="1:14" x14ac:dyDescent="0.25">
      <c r="A13387" t="s">
        <v>45</v>
      </c>
      <c r="B13387" t="s">
        <v>15</v>
      </c>
      <c r="C13387" t="s">
        <v>35</v>
      </c>
      <c r="D13387" t="s">
        <v>31</v>
      </c>
      <c r="E13387" t="s">
        <v>22</v>
      </c>
      <c r="F13387" t="s">
        <v>15</v>
      </c>
      <c r="G13387" s="1" t="str">
        <f t="shared" si="3062"/>
        <v>X</v>
      </c>
      <c r="H13387" s="1" t="str">
        <f t="shared" si="3062"/>
        <v>X</v>
      </c>
      <c r="I13387" s="1" t="str">
        <f t="shared" si="3062"/>
        <v>X</v>
      </c>
      <c r="J13387" s="1" t="str">
        <f t="shared" si="3062"/>
        <v>X</v>
      </c>
      <c r="K13387" s="1" t="str">
        <f t="shared" si="3062"/>
        <v>X</v>
      </c>
      <c r="L13387" s="1" t="str">
        <f t="shared" si="3062"/>
        <v>X</v>
      </c>
      <c r="M13387" s="1" t="str">
        <f t="shared" si="3062"/>
        <v>X</v>
      </c>
      <c r="N13387" t="s">
        <v>27</v>
      </c>
    </row>
    <row r="13388" spans="1:14" x14ac:dyDescent="0.25">
      <c r="A13388" t="s">
        <v>45</v>
      </c>
      <c r="B13388" t="s">
        <v>15</v>
      </c>
      <c r="C13388" t="s">
        <v>35</v>
      </c>
      <c r="D13388" t="s">
        <v>31</v>
      </c>
      <c r="E13388" t="s">
        <v>22</v>
      </c>
      <c r="F13388" t="s">
        <v>17</v>
      </c>
      <c r="G13388" s="1" t="str">
        <f t="shared" si="3062"/>
        <v>X</v>
      </c>
      <c r="H13388" s="1" t="str">
        <f t="shared" si="3062"/>
        <v>X</v>
      </c>
      <c r="I13388" s="1" t="str">
        <f t="shared" si="3062"/>
        <v>X</v>
      </c>
      <c r="J13388" s="1" t="str">
        <f t="shared" si="3062"/>
        <v>X</v>
      </c>
      <c r="K13388" s="1" t="str">
        <f t="shared" si="3062"/>
        <v>X</v>
      </c>
      <c r="L13388" s="1" t="str">
        <f t="shared" si="3062"/>
        <v>X</v>
      </c>
      <c r="M13388" s="1" t="str">
        <f t="shared" si="3062"/>
        <v>X</v>
      </c>
      <c r="N13388" t="s">
        <v>27</v>
      </c>
    </row>
    <row r="13389" spans="1:14" x14ac:dyDescent="0.25">
      <c r="A13389" t="s">
        <v>45</v>
      </c>
      <c r="B13389" t="s">
        <v>15</v>
      </c>
      <c r="C13389" t="s">
        <v>35</v>
      </c>
      <c r="D13389" t="s">
        <v>31</v>
      </c>
      <c r="E13389" t="s">
        <v>22</v>
      </c>
      <c r="F13389" t="s">
        <v>18</v>
      </c>
      <c r="G13389" s="1" t="str">
        <f t="shared" si="3062"/>
        <v>X</v>
      </c>
      <c r="H13389" s="1" t="str">
        <f t="shared" si="3062"/>
        <v>X</v>
      </c>
      <c r="I13389" s="1" t="str">
        <f t="shared" si="3062"/>
        <v>X</v>
      </c>
      <c r="J13389" s="1" t="str">
        <f t="shared" si="3062"/>
        <v>X</v>
      </c>
      <c r="K13389" s="1" t="str">
        <f t="shared" si="3062"/>
        <v>X</v>
      </c>
      <c r="L13389" s="1" t="str">
        <f t="shared" si="3062"/>
        <v>X</v>
      </c>
      <c r="M13389" s="1" t="str">
        <f t="shared" si="3062"/>
        <v>X</v>
      </c>
      <c r="N13389" t="s">
        <v>27</v>
      </c>
    </row>
    <row r="13390" spans="1:14" x14ac:dyDescent="0.25">
      <c r="A13390" t="s">
        <v>45</v>
      </c>
      <c r="B13390" t="s">
        <v>15</v>
      </c>
      <c r="C13390" t="s">
        <v>35</v>
      </c>
      <c r="D13390" t="s">
        <v>31</v>
      </c>
      <c r="E13390" t="s">
        <v>22</v>
      </c>
      <c r="F13390" t="s">
        <v>19</v>
      </c>
      <c r="G13390" s="1" t="str">
        <f t="shared" si="3062"/>
        <v>X</v>
      </c>
      <c r="H13390" s="1" t="str">
        <f t="shared" si="3062"/>
        <v>X</v>
      </c>
      <c r="I13390" s="1" t="str">
        <f t="shared" si="3062"/>
        <v>X</v>
      </c>
      <c r="J13390" s="1" t="str">
        <f t="shared" si="3062"/>
        <v>X</v>
      </c>
      <c r="K13390" s="1" t="str">
        <f t="shared" si="3062"/>
        <v>X</v>
      </c>
      <c r="L13390" s="1" t="str">
        <f t="shared" si="3062"/>
        <v>X</v>
      </c>
      <c r="M13390" s="1" t="str">
        <f t="shared" si="3062"/>
        <v>X</v>
      </c>
      <c r="N13390" t="s">
        <v>27</v>
      </c>
    </row>
    <row r="13391" spans="1:14" x14ac:dyDescent="0.25">
      <c r="A13391" t="s">
        <v>45</v>
      </c>
      <c r="B13391" t="s">
        <v>15</v>
      </c>
      <c r="C13391" t="s">
        <v>35</v>
      </c>
      <c r="D13391" t="s">
        <v>31</v>
      </c>
      <c r="E13391" t="s">
        <v>22</v>
      </c>
      <c r="F13391" t="s">
        <v>20</v>
      </c>
      <c r="G13391" s="1" t="str">
        <f t="shared" si="3062"/>
        <v>X</v>
      </c>
      <c r="H13391" s="1" t="str">
        <f t="shared" si="3062"/>
        <v>X</v>
      </c>
      <c r="I13391" s="1" t="str">
        <f t="shared" si="3062"/>
        <v>X</v>
      </c>
      <c r="J13391" s="1" t="str">
        <f t="shared" si="3062"/>
        <v>X</v>
      </c>
      <c r="K13391" s="1" t="str">
        <f t="shared" si="3062"/>
        <v>X</v>
      </c>
      <c r="L13391" s="1" t="str">
        <f t="shared" si="3062"/>
        <v>X</v>
      </c>
      <c r="M13391" s="1" t="str">
        <f t="shared" si="3062"/>
        <v>X</v>
      </c>
      <c r="N13391" t="s">
        <v>27</v>
      </c>
    </row>
    <row r="13392" spans="1:14" x14ac:dyDescent="0.25">
      <c r="A13392" t="s">
        <v>45</v>
      </c>
      <c r="B13392" t="s">
        <v>15</v>
      </c>
      <c r="C13392" t="s">
        <v>35</v>
      </c>
      <c r="D13392" t="s">
        <v>31</v>
      </c>
      <c r="E13392" t="s">
        <v>23</v>
      </c>
      <c r="F13392" t="s">
        <v>15</v>
      </c>
      <c r="G13392" s="1" t="str">
        <f t="shared" si="3062"/>
        <v>X</v>
      </c>
      <c r="H13392" s="1" t="str">
        <f t="shared" si="3062"/>
        <v>X</v>
      </c>
      <c r="I13392" s="1" t="str">
        <f t="shared" si="3062"/>
        <v>X</v>
      </c>
      <c r="J13392" s="1" t="str">
        <f t="shared" si="3062"/>
        <v>X</v>
      </c>
      <c r="K13392" s="1" t="str">
        <f t="shared" si="3062"/>
        <v>X</v>
      </c>
      <c r="L13392" s="1" t="str">
        <f t="shared" si="3062"/>
        <v>X</v>
      </c>
      <c r="M13392" s="1" t="str">
        <f t="shared" si="3062"/>
        <v>X</v>
      </c>
      <c r="N13392" t="s">
        <v>27</v>
      </c>
    </row>
    <row r="13393" spans="1:14" x14ac:dyDescent="0.25">
      <c r="A13393" t="s">
        <v>45</v>
      </c>
      <c r="B13393" t="s">
        <v>15</v>
      </c>
      <c r="C13393" t="s">
        <v>35</v>
      </c>
      <c r="D13393" t="s">
        <v>31</v>
      </c>
      <c r="E13393" t="s">
        <v>23</v>
      </c>
      <c r="F13393" t="s">
        <v>17</v>
      </c>
      <c r="G13393" s="1" t="str">
        <f t="shared" si="3062"/>
        <v>X</v>
      </c>
      <c r="H13393" s="1" t="str">
        <f t="shared" si="3062"/>
        <v>X</v>
      </c>
      <c r="I13393" s="1" t="str">
        <f t="shared" si="3062"/>
        <v>X</v>
      </c>
      <c r="J13393" s="1" t="str">
        <f t="shared" si="3062"/>
        <v>X</v>
      </c>
      <c r="K13393" s="1" t="str">
        <f t="shared" si="3062"/>
        <v>X</v>
      </c>
      <c r="L13393" s="1" t="str">
        <f t="shared" si="3062"/>
        <v>X</v>
      </c>
      <c r="M13393" s="1" t="str">
        <f t="shared" si="3062"/>
        <v>X</v>
      </c>
      <c r="N13393" t="s">
        <v>27</v>
      </c>
    </row>
    <row r="13394" spans="1:14" x14ac:dyDescent="0.25">
      <c r="A13394" t="s">
        <v>45</v>
      </c>
      <c r="B13394" t="s">
        <v>15</v>
      </c>
      <c r="C13394" t="s">
        <v>35</v>
      </c>
      <c r="D13394" t="s">
        <v>31</v>
      </c>
      <c r="E13394" t="s">
        <v>23</v>
      </c>
      <c r="F13394" t="s">
        <v>18</v>
      </c>
      <c r="G13394" s="1" t="str">
        <f t="shared" si="3062"/>
        <v>X</v>
      </c>
      <c r="H13394" s="1" t="str">
        <f t="shared" si="3062"/>
        <v>X</v>
      </c>
      <c r="I13394" s="1" t="str">
        <f t="shared" si="3062"/>
        <v>X</v>
      </c>
      <c r="J13394" s="1" t="str">
        <f t="shared" si="3062"/>
        <v>X</v>
      </c>
      <c r="K13394" s="1" t="str">
        <f t="shared" si="3062"/>
        <v>X</v>
      </c>
      <c r="L13394" s="1" t="str">
        <f t="shared" si="3062"/>
        <v>X</v>
      </c>
      <c r="M13394" s="1" t="str">
        <f t="shared" si="3062"/>
        <v>X</v>
      </c>
      <c r="N13394" t="s">
        <v>27</v>
      </c>
    </row>
    <row r="13395" spans="1:14" x14ac:dyDescent="0.25">
      <c r="A13395" t="s">
        <v>45</v>
      </c>
      <c r="B13395" t="s">
        <v>15</v>
      </c>
      <c r="C13395" t="s">
        <v>35</v>
      </c>
      <c r="D13395" t="s">
        <v>31</v>
      </c>
      <c r="E13395" t="s">
        <v>23</v>
      </c>
      <c r="F13395" t="s">
        <v>19</v>
      </c>
      <c r="G13395" s="1" t="str">
        <f t="shared" ref="G13395:M13395" si="3063">"..."</f>
        <v>...</v>
      </c>
      <c r="H13395" s="1" t="str">
        <f t="shared" si="3063"/>
        <v>...</v>
      </c>
      <c r="I13395" s="1" t="str">
        <f t="shared" si="3063"/>
        <v>...</v>
      </c>
      <c r="J13395" s="1" t="str">
        <f t="shared" si="3063"/>
        <v>...</v>
      </c>
      <c r="K13395" s="1" t="str">
        <f t="shared" si="3063"/>
        <v>...</v>
      </c>
      <c r="L13395" s="1" t="str">
        <f t="shared" si="3063"/>
        <v>...</v>
      </c>
      <c r="M13395" s="1" t="str">
        <f t="shared" si="3063"/>
        <v>...</v>
      </c>
      <c r="N13395" t="s">
        <v>30</v>
      </c>
    </row>
    <row r="13396" spans="1:14" x14ac:dyDescent="0.25">
      <c r="A13396" t="s">
        <v>45</v>
      </c>
      <c r="B13396" t="s">
        <v>15</v>
      </c>
      <c r="C13396" t="s">
        <v>35</v>
      </c>
      <c r="D13396" t="s">
        <v>31</v>
      </c>
      <c r="E13396" t="s">
        <v>23</v>
      </c>
      <c r="F13396" t="s">
        <v>20</v>
      </c>
      <c r="G13396" s="1" t="str">
        <f t="shared" ref="G13396:M13397" si="3064">"X"</f>
        <v>X</v>
      </c>
      <c r="H13396" s="1" t="str">
        <f t="shared" si="3064"/>
        <v>X</v>
      </c>
      <c r="I13396" s="1" t="str">
        <f t="shared" si="3064"/>
        <v>X</v>
      </c>
      <c r="J13396" s="1" t="str">
        <f t="shared" si="3064"/>
        <v>X</v>
      </c>
      <c r="K13396" s="1" t="str">
        <f t="shared" si="3064"/>
        <v>X</v>
      </c>
      <c r="L13396" s="1" t="str">
        <f t="shared" si="3064"/>
        <v>X</v>
      </c>
      <c r="M13396" s="1" t="str">
        <f t="shared" si="3064"/>
        <v>X</v>
      </c>
      <c r="N13396" t="s">
        <v>27</v>
      </c>
    </row>
    <row r="13397" spans="1:14" x14ac:dyDescent="0.25">
      <c r="A13397" t="s">
        <v>45</v>
      </c>
      <c r="B13397" t="s">
        <v>15</v>
      </c>
      <c r="C13397" t="s">
        <v>35</v>
      </c>
      <c r="D13397" t="s">
        <v>31</v>
      </c>
      <c r="E13397" t="s">
        <v>26</v>
      </c>
      <c r="F13397" t="s">
        <v>15</v>
      </c>
      <c r="G13397" s="1" t="str">
        <f t="shared" si="3064"/>
        <v>X</v>
      </c>
      <c r="H13397" s="1" t="str">
        <f t="shared" si="3064"/>
        <v>X</v>
      </c>
      <c r="I13397" s="1" t="str">
        <f t="shared" si="3064"/>
        <v>X</v>
      </c>
      <c r="J13397" s="1" t="str">
        <f t="shared" si="3064"/>
        <v>X</v>
      </c>
      <c r="K13397" s="1" t="str">
        <f t="shared" si="3064"/>
        <v>X</v>
      </c>
      <c r="L13397" s="1" t="str">
        <f t="shared" si="3064"/>
        <v>X</v>
      </c>
      <c r="M13397" s="1" t="str">
        <f t="shared" si="3064"/>
        <v>X</v>
      </c>
      <c r="N13397" t="s">
        <v>27</v>
      </c>
    </row>
    <row r="13398" spans="1:14" x14ac:dyDescent="0.25">
      <c r="A13398" t="s">
        <v>45</v>
      </c>
      <c r="B13398" t="s">
        <v>15</v>
      </c>
      <c r="C13398" t="s">
        <v>35</v>
      </c>
      <c r="D13398" t="s">
        <v>31</v>
      </c>
      <c r="E13398" t="s">
        <v>26</v>
      </c>
      <c r="F13398" t="s">
        <v>17</v>
      </c>
      <c r="G13398" s="1" t="str">
        <f t="shared" ref="G13398:M13400" si="3065">"..."</f>
        <v>...</v>
      </c>
      <c r="H13398" s="1" t="str">
        <f t="shared" si="3065"/>
        <v>...</v>
      </c>
      <c r="I13398" s="1" t="str">
        <f t="shared" si="3065"/>
        <v>...</v>
      </c>
      <c r="J13398" s="1" t="str">
        <f t="shared" si="3065"/>
        <v>...</v>
      </c>
      <c r="K13398" s="1" t="str">
        <f t="shared" si="3065"/>
        <v>...</v>
      </c>
      <c r="L13398" s="1" t="str">
        <f t="shared" si="3065"/>
        <v>...</v>
      </c>
      <c r="M13398" s="1" t="str">
        <f t="shared" si="3065"/>
        <v>...</v>
      </c>
      <c r="N13398" t="s">
        <v>30</v>
      </c>
    </row>
    <row r="13399" spans="1:14" x14ac:dyDescent="0.25">
      <c r="A13399" t="s">
        <v>45</v>
      </c>
      <c r="B13399" t="s">
        <v>15</v>
      </c>
      <c r="C13399" t="s">
        <v>35</v>
      </c>
      <c r="D13399" t="s">
        <v>31</v>
      </c>
      <c r="E13399" t="s">
        <v>26</v>
      </c>
      <c r="F13399" t="s">
        <v>18</v>
      </c>
      <c r="G13399" s="1" t="str">
        <f t="shared" si="3065"/>
        <v>...</v>
      </c>
      <c r="H13399" s="1" t="str">
        <f t="shared" si="3065"/>
        <v>...</v>
      </c>
      <c r="I13399" s="1" t="str">
        <f t="shared" si="3065"/>
        <v>...</v>
      </c>
      <c r="J13399" s="1" t="str">
        <f t="shared" si="3065"/>
        <v>...</v>
      </c>
      <c r="K13399" s="1" t="str">
        <f t="shared" si="3065"/>
        <v>...</v>
      </c>
      <c r="L13399" s="1" t="str">
        <f t="shared" si="3065"/>
        <v>...</v>
      </c>
      <c r="M13399" s="1" t="str">
        <f t="shared" si="3065"/>
        <v>...</v>
      </c>
      <c r="N13399" t="s">
        <v>30</v>
      </c>
    </row>
    <row r="13400" spans="1:14" x14ac:dyDescent="0.25">
      <c r="A13400" t="s">
        <v>45</v>
      </c>
      <c r="B13400" t="s">
        <v>15</v>
      </c>
      <c r="C13400" t="s">
        <v>35</v>
      </c>
      <c r="D13400" t="s">
        <v>31</v>
      </c>
      <c r="E13400" t="s">
        <v>26</v>
      </c>
      <c r="F13400" t="s">
        <v>19</v>
      </c>
      <c r="G13400" s="1" t="str">
        <f t="shared" si="3065"/>
        <v>...</v>
      </c>
      <c r="H13400" s="1" t="str">
        <f t="shared" si="3065"/>
        <v>...</v>
      </c>
      <c r="I13400" s="1" t="str">
        <f t="shared" si="3065"/>
        <v>...</v>
      </c>
      <c r="J13400" s="1" t="str">
        <f t="shared" si="3065"/>
        <v>...</v>
      </c>
      <c r="K13400" s="1" t="str">
        <f t="shared" si="3065"/>
        <v>...</v>
      </c>
      <c r="L13400" s="1" t="str">
        <f t="shared" si="3065"/>
        <v>...</v>
      </c>
      <c r="M13400" s="1" t="str">
        <f t="shared" si="3065"/>
        <v>...</v>
      </c>
      <c r="N13400" t="s">
        <v>30</v>
      </c>
    </row>
    <row r="13401" spans="1:14" x14ac:dyDescent="0.25">
      <c r="A13401" t="s">
        <v>45</v>
      </c>
      <c r="B13401" t="s">
        <v>15</v>
      </c>
      <c r="C13401" t="s">
        <v>35</v>
      </c>
      <c r="D13401" t="s">
        <v>31</v>
      </c>
      <c r="E13401" t="s">
        <v>26</v>
      </c>
      <c r="F13401" t="s">
        <v>20</v>
      </c>
      <c r="G13401" s="1" t="str">
        <f t="shared" ref="G13401:M13401" si="3066">"X"</f>
        <v>X</v>
      </c>
      <c r="H13401" s="1" t="str">
        <f t="shared" si="3066"/>
        <v>X</v>
      </c>
      <c r="I13401" s="1" t="str">
        <f t="shared" si="3066"/>
        <v>X</v>
      </c>
      <c r="J13401" s="1" t="str">
        <f t="shared" si="3066"/>
        <v>X</v>
      </c>
      <c r="K13401" s="1" t="str">
        <f t="shared" si="3066"/>
        <v>X</v>
      </c>
      <c r="L13401" s="1" t="str">
        <f t="shared" si="3066"/>
        <v>X</v>
      </c>
      <c r="M13401" s="1" t="str">
        <f t="shared" si="3066"/>
        <v>X</v>
      </c>
      <c r="N13401" t="s">
        <v>27</v>
      </c>
    </row>
    <row r="13402" spans="1:14" x14ac:dyDescent="0.25">
      <c r="A13402" t="s">
        <v>45</v>
      </c>
      <c r="B13402" t="s">
        <v>15</v>
      </c>
      <c r="C13402" t="s">
        <v>35</v>
      </c>
      <c r="D13402" t="s">
        <v>32</v>
      </c>
      <c r="E13402" t="s">
        <v>15</v>
      </c>
      <c r="F13402" t="s">
        <v>15</v>
      </c>
      <c r="G13402" s="2">
        <f>VALUE(1340.59)</f>
        <v>1340.59</v>
      </c>
      <c r="H13402" s="3">
        <f>VALUE(1175.35)</f>
        <v>1175.3499999999999</v>
      </c>
      <c r="I13402" s="1">
        <f>VALUE(2824)</f>
        <v>2824</v>
      </c>
      <c r="J13402" s="1">
        <f>VALUE(3268)</f>
        <v>3268</v>
      </c>
      <c r="K13402" s="1">
        <f>VALUE(3671)</f>
        <v>3671</v>
      </c>
      <c r="L13402" s="1">
        <f>VALUE(4201)</f>
        <v>4201</v>
      </c>
      <c r="M13402" s="1">
        <f>VALUE(5152)</f>
        <v>5152</v>
      </c>
      <c r="N13402" t="s">
        <v>25</v>
      </c>
    </row>
    <row r="13403" spans="1:14" x14ac:dyDescent="0.25">
      <c r="A13403" t="s">
        <v>45</v>
      </c>
      <c r="B13403" t="s">
        <v>15</v>
      </c>
      <c r="C13403" t="s">
        <v>35</v>
      </c>
      <c r="D13403" t="s">
        <v>32</v>
      </c>
      <c r="E13403" t="s">
        <v>15</v>
      </c>
      <c r="F13403" t="s">
        <v>17</v>
      </c>
      <c r="G13403" s="1" t="str">
        <f t="shared" ref="G13403:M13405" si="3067">"X"</f>
        <v>X</v>
      </c>
      <c r="H13403" s="1" t="str">
        <f t="shared" si="3067"/>
        <v>X</v>
      </c>
      <c r="I13403" s="1" t="str">
        <f t="shared" si="3067"/>
        <v>X</v>
      </c>
      <c r="J13403" s="1" t="str">
        <f t="shared" si="3067"/>
        <v>X</v>
      </c>
      <c r="K13403" s="1" t="str">
        <f t="shared" si="3067"/>
        <v>X</v>
      </c>
      <c r="L13403" s="1" t="str">
        <f t="shared" si="3067"/>
        <v>X</v>
      </c>
      <c r="M13403" s="1" t="str">
        <f t="shared" si="3067"/>
        <v>X</v>
      </c>
      <c r="N13403" t="s">
        <v>27</v>
      </c>
    </row>
    <row r="13404" spans="1:14" x14ac:dyDescent="0.25">
      <c r="A13404" t="s">
        <v>45</v>
      </c>
      <c r="B13404" t="s">
        <v>15</v>
      </c>
      <c r="C13404" t="s">
        <v>35</v>
      </c>
      <c r="D13404" t="s">
        <v>32</v>
      </c>
      <c r="E13404" t="s">
        <v>15</v>
      </c>
      <c r="F13404" t="s">
        <v>18</v>
      </c>
      <c r="G13404" s="1" t="str">
        <f t="shared" si="3067"/>
        <v>X</v>
      </c>
      <c r="H13404" s="1" t="str">
        <f t="shared" si="3067"/>
        <v>X</v>
      </c>
      <c r="I13404" s="1" t="str">
        <f t="shared" si="3067"/>
        <v>X</v>
      </c>
      <c r="J13404" s="1" t="str">
        <f t="shared" si="3067"/>
        <v>X</v>
      </c>
      <c r="K13404" s="1" t="str">
        <f t="shared" si="3067"/>
        <v>X</v>
      </c>
      <c r="L13404" s="1" t="str">
        <f t="shared" si="3067"/>
        <v>X</v>
      </c>
      <c r="M13404" s="1" t="str">
        <f t="shared" si="3067"/>
        <v>X</v>
      </c>
      <c r="N13404" t="s">
        <v>27</v>
      </c>
    </row>
    <row r="13405" spans="1:14" x14ac:dyDescent="0.25">
      <c r="A13405" t="s">
        <v>45</v>
      </c>
      <c r="B13405" t="s">
        <v>15</v>
      </c>
      <c r="C13405" t="s">
        <v>35</v>
      </c>
      <c r="D13405" t="s">
        <v>32</v>
      </c>
      <c r="E13405" t="s">
        <v>15</v>
      </c>
      <c r="F13405" t="s">
        <v>19</v>
      </c>
      <c r="G13405" s="1" t="str">
        <f t="shared" si="3067"/>
        <v>X</v>
      </c>
      <c r="H13405" s="1" t="str">
        <f t="shared" si="3067"/>
        <v>X</v>
      </c>
      <c r="I13405" s="1" t="str">
        <f t="shared" si="3067"/>
        <v>X</v>
      </c>
      <c r="J13405" s="1" t="str">
        <f t="shared" si="3067"/>
        <v>X</v>
      </c>
      <c r="K13405" s="1" t="str">
        <f t="shared" si="3067"/>
        <v>X</v>
      </c>
      <c r="L13405" s="1" t="str">
        <f t="shared" si="3067"/>
        <v>X</v>
      </c>
      <c r="M13405" s="1" t="str">
        <f t="shared" si="3067"/>
        <v>X</v>
      </c>
      <c r="N13405" t="s">
        <v>27</v>
      </c>
    </row>
    <row r="13406" spans="1:14" x14ac:dyDescent="0.25">
      <c r="A13406" t="s">
        <v>45</v>
      </c>
      <c r="B13406" t="s">
        <v>15</v>
      </c>
      <c r="C13406" t="s">
        <v>35</v>
      </c>
      <c r="D13406" t="s">
        <v>32</v>
      </c>
      <c r="E13406" t="s">
        <v>15</v>
      </c>
      <c r="F13406" t="s">
        <v>20</v>
      </c>
      <c r="G13406" s="2">
        <f>VALUE(1283.14)</f>
        <v>1283.1400000000001</v>
      </c>
      <c r="H13406" s="3">
        <f>VALUE(1127.93)</f>
        <v>1127.93</v>
      </c>
      <c r="I13406" s="1">
        <f>VALUE(2824)</f>
        <v>2824</v>
      </c>
      <c r="J13406" s="1">
        <f>VALUE(3276)</f>
        <v>3276</v>
      </c>
      <c r="K13406" s="1">
        <f>VALUE(3682)</f>
        <v>3682</v>
      </c>
      <c r="L13406" s="1">
        <f>VALUE(4207)</f>
        <v>4207</v>
      </c>
      <c r="M13406" s="1">
        <f>VALUE(5152)</f>
        <v>5152</v>
      </c>
      <c r="N13406" t="s">
        <v>25</v>
      </c>
    </row>
    <row r="13407" spans="1:14" x14ac:dyDescent="0.25">
      <c r="A13407" t="s">
        <v>45</v>
      </c>
      <c r="B13407" t="s">
        <v>15</v>
      </c>
      <c r="C13407" t="s">
        <v>35</v>
      </c>
      <c r="D13407" t="s">
        <v>32</v>
      </c>
      <c r="E13407" t="s">
        <v>21</v>
      </c>
      <c r="F13407" t="s">
        <v>15</v>
      </c>
      <c r="G13407" s="1" t="str">
        <f t="shared" ref="G13407:M13407" si="3068">"X"</f>
        <v>X</v>
      </c>
      <c r="H13407" s="1" t="str">
        <f t="shared" si="3068"/>
        <v>X</v>
      </c>
      <c r="I13407" s="1" t="str">
        <f t="shared" si="3068"/>
        <v>X</v>
      </c>
      <c r="J13407" s="1" t="str">
        <f t="shared" si="3068"/>
        <v>X</v>
      </c>
      <c r="K13407" s="1" t="str">
        <f t="shared" si="3068"/>
        <v>X</v>
      </c>
      <c r="L13407" s="1" t="str">
        <f t="shared" si="3068"/>
        <v>X</v>
      </c>
      <c r="M13407" s="1" t="str">
        <f t="shared" si="3068"/>
        <v>X</v>
      </c>
      <c r="N13407" t="s">
        <v>27</v>
      </c>
    </row>
    <row r="13408" spans="1:14" x14ac:dyDescent="0.25">
      <c r="A13408" t="s">
        <v>45</v>
      </c>
      <c r="B13408" t="s">
        <v>15</v>
      </c>
      <c r="C13408" t="s">
        <v>35</v>
      </c>
      <c r="D13408" t="s">
        <v>32</v>
      </c>
      <c r="E13408" t="s">
        <v>21</v>
      </c>
      <c r="F13408" t="s">
        <v>17</v>
      </c>
      <c r="G13408" s="1" t="str">
        <f t="shared" ref="G13408:M13408" si="3069">"..."</f>
        <v>...</v>
      </c>
      <c r="H13408" s="1" t="str">
        <f t="shared" si="3069"/>
        <v>...</v>
      </c>
      <c r="I13408" s="1" t="str">
        <f t="shared" si="3069"/>
        <v>...</v>
      </c>
      <c r="J13408" s="1" t="str">
        <f t="shared" si="3069"/>
        <v>...</v>
      </c>
      <c r="K13408" s="1" t="str">
        <f t="shared" si="3069"/>
        <v>...</v>
      </c>
      <c r="L13408" s="1" t="str">
        <f t="shared" si="3069"/>
        <v>...</v>
      </c>
      <c r="M13408" s="1" t="str">
        <f t="shared" si="3069"/>
        <v>...</v>
      </c>
      <c r="N13408" t="s">
        <v>30</v>
      </c>
    </row>
    <row r="13409" spans="1:14" x14ac:dyDescent="0.25">
      <c r="A13409" t="s">
        <v>45</v>
      </c>
      <c r="B13409" t="s">
        <v>15</v>
      </c>
      <c r="C13409" t="s">
        <v>35</v>
      </c>
      <c r="D13409" t="s">
        <v>32</v>
      </c>
      <c r="E13409" t="s">
        <v>21</v>
      </c>
      <c r="F13409" t="s">
        <v>18</v>
      </c>
      <c r="G13409" s="1" t="str">
        <f t="shared" ref="G13409:M13411" si="3070">"X"</f>
        <v>X</v>
      </c>
      <c r="H13409" s="1" t="str">
        <f t="shared" si="3070"/>
        <v>X</v>
      </c>
      <c r="I13409" s="1" t="str">
        <f t="shared" si="3070"/>
        <v>X</v>
      </c>
      <c r="J13409" s="1" t="str">
        <f t="shared" si="3070"/>
        <v>X</v>
      </c>
      <c r="K13409" s="1" t="str">
        <f t="shared" si="3070"/>
        <v>X</v>
      </c>
      <c r="L13409" s="1" t="str">
        <f t="shared" si="3070"/>
        <v>X</v>
      </c>
      <c r="M13409" s="1" t="str">
        <f t="shared" si="3070"/>
        <v>X</v>
      </c>
      <c r="N13409" t="s">
        <v>27</v>
      </c>
    </row>
    <row r="13410" spans="1:14" x14ac:dyDescent="0.25">
      <c r="A13410" t="s">
        <v>45</v>
      </c>
      <c r="B13410" t="s">
        <v>15</v>
      </c>
      <c r="C13410" t="s">
        <v>35</v>
      </c>
      <c r="D13410" t="s">
        <v>32</v>
      </c>
      <c r="E13410" t="s">
        <v>21</v>
      </c>
      <c r="F13410" t="s">
        <v>19</v>
      </c>
      <c r="G13410" s="1" t="str">
        <f t="shared" si="3070"/>
        <v>X</v>
      </c>
      <c r="H13410" s="1" t="str">
        <f t="shared" si="3070"/>
        <v>X</v>
      </c>
      <c r="I13410" s="1" t="str">
        <f t="shared" si="3070"/>
        <v>X</v>
      </c>
      <c r="J13410" s="1" t="str">
        <f t="shared" si="3070"/>
        <v>X</v>
      </c>
      <c r="K13410" s="1" t="str">
        <f t="shared" si="3070"/>
        <v>X</v>
      </c>
      <c r="L13410" s="1" t="str">
        <f t="shared" si="3070"/>
        <v>X</v>
      </c>
      <c r="M13410" s="1" t="str">
        <f t="shared" si="3070"/>
        <v>X</v>
      </c>
      <c r="N13410" t="s">
        <v>27</v>
      </c>
    </row>
    <row r="13411" spans="1:14" x14ac:dyDescent="0.25">
      <c r="A13411" t="s">
        <v>45</v>
      </c>
      <c r="B13411" t="s">
        <v>15</v>
      </c>
      <c r="C13411" t="s">
        <v>35</v>
      </c>
      <c r="D13411" t="s">
        <v>32</v>
      </c>
      <c r="E13411" t="s">
        <v>21</v>
      </c>
      <c r="F13411" t="s">
        <v>20</v>
      </c>
      <c r="G13411" s="1" t="str">
        <f t="shared" si="3070"/>
        <v>X</v>
      </c>
      <c r="H13411" s="1" t="str">
        <f t="shared" si="3070"/>
        <v>X</v>
      </c>
      <c r="I13411" s="1" t="str">
        <f t="shared" si="3070"/>
        <v>X</v>
      </c>
      <c r="J13411" s="1" t="str">
        <f t="shared" si="3070"/>
        <v>X</v>
      </c>
      <c r="K13411" s="1" t="str">
        <f t="shared" si="3070"/>
        <v>X</v>
      </c>
      <c r="L13411" s="1" t="str">
        <f t="shared" si="3070"/>
        <v>X</v>
      </c>
      <c r="M13411" s="1" t="str">
        <f t="shared" si="3070"/>
        <v>X</v>
      </c>
      <c r="N13411" t="s">
        <v>27</v>
      </c>
    </row>
    <row r="13412" spans="1:14" x14ac:dyDescent="0.25">
      <c r="A13412" t="s">
        <v>45</v>
      </c>
      <c r="B13412" t="s">
        <v>15</v>
      </c>
      <c r="C13412" t="s">
        <v>35</v>
      </c>
      <c r="D13412" t="s">
        <v>32</v>
      </c>
      <c r="E13412" t="s">
        <v>22</v>
      </c>
      <c r="F13412" t="s">
        <v>15</v>
      </c>
      <c r="G13412" s="2">
        <f>VALUE(586.2)</f>
        <v>586.20000000000005</v>
      </c>
      <c r="H13412" s="3">
        <f>VALUE(509.29)</f>
        <v>509.29</v>
      </c>
      <c r="I13412" s="4">
        <f>VALUE(2674)</f>
        <v>2674</v>
      </c>
      <c r="J13412" s="5">
        <f>VALUE(3131)</f>
        <v>3131</v>
      </c>
      <c r="K13412" s="1">
        <f>VALUE(3709)</f>
        <v>3709</v>
      </c>
      <c r="L13412" s="1">
        <f>VALUE(4266)</f>
        <v>4266</v>
      </c>
      <c r="M13412" s="1">
        <f>VALUE(5152)</f>
        <v>5152</v>
      </c>
      <c r="N13412" t="s">
        <v>25</v>
      </c>
    </row>
    <row r="13413" spans="1:14" x14ac:dyDescent="0.25">
      <c r="A13413" t="s">
        <v>45</v>
      </c>
      <c r="B13413" t="s">
        <v>15</v>
      </c>
      <c r="C13413" t="s">
        <v>35</v>
      </c>
      <c r="D13413" t="s">
        <v>32</v>
      </c>
      <c r="E13413" t="s">
        <v>22</v>
      </c>
      <c r="F13413" t="s">
        <v>17</v>
      </c>
      <c r="G13413" s="1" t="str">
        <f t="shared" ref="G13413:M13415" si="3071">"X"</f>
        <v>X</v>
      </c>
      <c r="H13413" s="1" t="str">
        <f t="shared" si="3071"/>
        <v>X</v>
      </c>
      <c r="I13413" s="1" t="str">
        <f t="shared" si="3071"/>
        <v>X</v>
      </c>
      <c r="J13413" s="1" t="str">
        <f t="shared" si="3071"/>
        <v>X</v>
      </c>
      <c r="K13413" s="1" t="str">
        <f t="shared" si="3071"/>
        <v>X</v>
      </c>
      <c r="L13413" s="1" t="str">
        <f t="shared" si="3071"/>
        <v>X</v>
      </c>
      <c r="M13413" s="1" t="str">
        <f t="shared" si="3071"/>
        <v>X</v>
      </c>
      <c r="N13413" t="s">
        <v>27</v>
      </c>
    </row>
    <row r="13414" spans="1:14" x14ac:dyDescent="0.25">
      <c r="A13414" t="s">
        <v>45</v>
      </c>
      <c r="B13414" t="s">
        <v>15</v>
      </c>
      <c r="C13414" t="s">
        <v>35</v>
      </c>
      <c r="D13414" t="s">
        <v>32</v>
      </c>
      <c r="E13414" t="s">
        <v>22</v>
      </c>
      <c r="F13414" t="s">
        <v>18</v>
      </c>
      <c r="G13414" s="1" t="str">
        <f t="shared" si="3071"/>
        <v>X</v>
      </c>
      <c r="H13414" s="1" t="str">
        <f t="shared" si="3071"/>
        <v>X</v>
      </c>
      <c r="I13414" s="1" t="str">
        <f t="shared" si="3071"/>
        <v>X</v>
      </c>
      <c r="J13414" s="1" t="str">
        <f t="shared" si="3071"/>
        <v>X</v>
      </c>
      <c r="K13414" s="1" t="str">
        <f t="shared" si="3071"/>
        <v>X</v>
      </c>
      <c r="L13414" s="1" t="str">
        <f t="shared" si="3071"/>
        <v>X</v>
      </c>
      <c r="M13414" s="1" t="str">
        <f t="shared" si="3071"/>
        <v>X</v>
      </c>
      <c r="N13414" t="s">
        <v>27</v>
      </c>
    </row>
    <row r="13415" spans="1:14" x14ac:dyDescent="0.25">
      <c r="A13415" t="s">
        <v>45</v>
      </c>
      <c r="B13415" t="s">
        <v>15</v>
      </c>
      <c r="C13415" t="s">
        <v>35</v>
      </c>
      <c r="D13415" t="s">
        <v>32</v>
      </c>
      <c r="E13415" t="s">
        <v>22</v>
      </c>
      <c r="F13415" t="s">
        <v>19</v>
      </c>
      <c r="G13415" s="1" t="str">
        <f t="shared" si="3071"/>
        <v>X</v>
      </c>
      <c r="H13415" s="1" t="str">
        <f t="shared" si="3071"/>
        <v>X</v>
      </c>
      <c r="I13415" s="1" t="str">
        <f t="shared" si="3071"/>
        <v>X</v>
      </c>
      <c r="J13415" s="1" t="str">
        <f t="shared" si="3071"/>
        <v>X</v>
      </c>
      <c r="K13415" s="1" t="str">
        <f t="shared" si="3071"/>
        <v>X</v>
      </c>
      <c r="L13415" s="1" t="str">
        <f t="shared" si="3071"/>
        <v>X</v>
      </c>
      <c r="M13415" s="1" t="str">
        <f t="shared" si="3071"/>
        <v>X</v>
      </c>
      <c r="N13415" t="s">
        <v>27</v>
      </c>
    </row>
    <row r="13416" spans="1:14" x14ac:dyDescent="0.25">
      <c r="A13416" t="s">
        <v>45</v>
      </c>
      <c r="B13416" t="s">
        <v>15</v>
      </c>
      <c r="C13416" t="s">
        <v>35</v>
      </c>
      <c r="D13416" t="s">
        <v>32</v>
      </c>
      <c r="E13416" t="s">
        <v>22</v>
      </c>
      <c r="F13416" t="s">
        <v>20</v>
      </c>
      <c r="G13416" s="2">
        <f>VALUE(545.28)</f>
        <v>545.28</v>
      </c>
      <c r="H13416" s="3">
        <f>VALUE(478.55)</f>
        <v>478.55</v>
      </c>
      <c r="I13416" s="4">
        <f>VALUE(2674)</f>
        <v>2674</v>
      </c>
      <c r="J13416" s="5">
        <f>VALUE(3143)</f>
        <v>3143</v>
      </c>
      <c r="K13416" s="1">
        <f>VALUE(3671)</f>
        <v>3671</v>
      </c>
      <c r="L13416" s="1">
        <f>VALUE(4266)</f>
        <v>4266</v>
      </c>
      <c r="M13416" s="1">
        <f>VALUE(5126)</f>
        <v>5126</v>
      </c>
      <c r="N13416" t="s">
        <v>25</v>
      </c>
    </row>
    <row r="13417" spans="1:14" x14ac:dyDescent="0.25">
      <c r="A13417" t="s">
        <v>45</v>
      </c>
      <c r="B13417" t="s">
        <v>15</v>
      </c>
      <c r="C13417" t="s">
        <v>35</v>
      </c>
      <c r="D13417" t="s">
        <v>32</v>
      </c>
      <c r="E13417" t="s">
        <v>23</v>
      </c>
      <c r="F13417" t="s">
        <v>15</v>
      </c>
      <c r="G13417" s="2">
        <f>VALUE(622.15)</f>
        <v>622.15</v>
      </c>
      <c r="H13417" s="3">
        <f>VALUE(550.35)</f>
        <v>550.35</v>
      </c>
      <c r="I13417" s="1">
        <f>VALUE(3000)</f>
        <v>3000</v>
      </c>
      <c r="J13417" s="1">
        <f>VALUE(3330)</f>
        <v>3330</v>
      </c>
      <c r="K13417" s="1">
        <f>VALUE(3692)</f>
        <v>3692</v>
      </c>
      <c r="L13417" s="1">
        <f>VALUE(4190)</f>
        <v>4190</v>
      </c>
      <c r="M13417" s="1">
        <f>VALUE(5274)</f>
        <v>5274</v>
      </c>
      <c r="N13417" t="s">
        <v>25</v>
      </c>
    </row>
    <row r="13418" spans="1:14" x14ac:dyDescent="0.25">
      <c r="A13418" t="s">
        <v>45</v>
      </c>
      <c r="B13418" t="s">
        <v>15</v>
      </c>
      <c r="C13418" t="s">
        <v>35</v>
      </c>
      <c r="D13418" t="s">
        <v>32</v>
      </c>
      <c r="E13418" t="s">
        <v>23</v>
      </c>
      <c r="F13418" t="s">
        <v>17</v>
      </c>
      <c r="G13418" s="1" t="str">
        <f t="shared" ref="G13418:M13419" si="3072">"..."</f>
        <v>...</v>
      </c>
      <c r="H13418" s="1" t="str">
        <f t="shared" si="3072"/>
        <v>...</v>
      </c>
      <c r="I13418" s="1" t="str">
        <f t="shared" si="3072"/>
        <v>...</v>
      </c>
      <c r="J13418" s="1" t="str">
        <f t="shared" si="3072"/>
        <v>...</v>
      </c>
      <c r="K13418" s="1" t="str">
        <f t="shared" si="3072"/>
        <v>...</v>
      </c>
      <c r="L13418" s="1" t="str">
        <f t="shared" si="3072"/>
        <v>...</v>
      </c>
      <c r="M13418" s="1" t="str">
        <f t="shared" si="3072"/>
        <v>...</v>
      </c>
      <c r="N13418" t="s">
        <v>30</v>
      </c>
    </row>
    <row r="13419" spans="1:14" x14ac:dyDescent="0.25">
      <c r="A13419" t="s">
        <v>45</v>
      </c>
      <c r="B13419" t="s">
        <v>15</v>
      </c>
      <c r="C13419" t="s">
        <v>35</v>
      </c>
      <c r="D13419" t="s">
        <v>32</v>
      </c>
      <c r="E13419" t="s">
        <v>23</v>
      </c>
      <c r="F13419" t="s">
        <v>18</v>
      </c>
      <c r="G13419" s="1" t="str">
        <f t="shared" si="3072"/>
        <v>...</v>
      </c>
      <c r="H13419" s="1" t="str">
        <f t="shared" si="3072"/>
        <v>...</v>
      </c>
      <c r="I13419" s="1" t="str">
        <f t="shared" si="3072"/>
        <v>...</v>
      </c>
      <c r="J13419" s="1" t="str">
        <f t="shared" si="3072"/>
        <v>...</v>
      </c>
      <c r="K13419" s="1" t="str">
        <f t="shared" si="3072"/>
        <v>...</v>
      </c>
      <c r="L13419" s="1" t="str">
        <f t="shared" si="3072"/>
        <v>...</v>
      </c>
      <c r="M13419" s="1" t="str">
        <f t="shared" si="3072"/>
        <v>...</v>
      </c>
      <c r="N13419" t="s">
        <v>30</v>
      </c>
    </row>
    <row r="13420" spans="1:14" x14ac:dyDescent="0.25">
      <c r="A13420" t="s">
        <v>45</v>
      </c>
      <c r="B13420" t="s">
        <v>15</v>
      </c>
      <c r="C13420" t="s">
        <v>35</v>
      </c>
      <c r="D13420" t="s">
        <v>32</v>
      </c>
      <c r="E13420" t="s">
        <v>23</v>
      </c>
      <c r="F13420" t="s">
        <v>19</v>
      </c>
      <c r="G13420" s="1" t="str">
        <f t="shared" ref="G13420:M13420" si="3073">"X"</f>
        <v>X</v>
      </c>
      <c r="H13420" s="1" t="str">
        <f t="shared" si="3073"/>
        <v>X</v>
      </c>
      <c r="I13420" s="1" t="str">
        <f t="shared" si="3073"/>
        <v>X</v>
      </c>
      <c r="J13420" s="1" t="str">
        <f t="shared" si="3073"/>
        <v>X</v>
      </c>
      <c r="K13420" s="1" t="str">
        <f t="shared" si="3073"/>
        <v>X</v>
      </c>
      <c r="L13420" s="1" t="str">
        <f t="shared" si="3073"/>
        <v>X</v>
      </c>
      <c r="M13420" s="1" t="str">
        <f t="shared" si="3073"/>
        <v>X</v>
      </c>
      <c r="N13420" t="s">
        <v>27</v>
      </c>
    </row>
    <row r="13421" spans="1:14" x14ac:dyDescent="0.25">
      <c r="A13421" t="s">
        <v>45</v>
      </c>
      <c r="B13421" t="s">
        <v>15</v>
      </c>
      <c r="C13421" t="s">
        <v>35</v>
      </c>
      <c r="D13421" t="s">
        <v>32</v>
      </c>
      <c r="E13421" t="s">
        <v>23</v>
      </c>
      <c r="F13421" t="s">
        <v>20</v>
      </c>
      <c r="G13421" s="2">
        <f>VALUE(619.77)</f>
        <v>619.77</v>
      </c>
      <c r="H13421" s="3">
        <f>VALUE(548.01)</f>
        <v>548.01</v>
      </c>
      <c r="I13421" s="1">
        <f>VALUE(3002)</f>
        <v>3002</v>
      </c>
      <c r="J13421" s="1">
        <f>VALUE(3341)</f>
        <v>3341</v>
      </c>
      <c r="K13421" s="1">
        <f>VALUE(3692)</f>
        <v>3692</v>
      </c>
      <c r="L13421" s="1">
        <f>VALUE(4190)</f>
        <v>4190</v>
      </c>
      <c r="M13421" s="1">
        <f>VALUE(5274)</f>
        <v>5274</v>
      </c>
      <c r="N13421" t="s">
        <v>25</v>
      </c>
    </row>
    <row r="13422" spans="1:14" x14ac:dyDescent="0.25">
      <c r="A13422" t="s">
        <v>45</v>
      </c>
      <c r="B13422" t="s">
        <v>15</v>
      </c>
      <c r="C13422" t="s">
        <v>35</v>
      </c>
      <c r="D13422" t="s">
        <v>32</v>
      </c>
      <c r="E13422" t="s">
        <v>26</v>
      </c>
      <c r="F13422" t="s">
        <v>15</v>
      </c>
      <c r="G13422" s="1" t="str">
        <f t="shared" ref="G13422:M13422" si="3074">"X"</f>
        <v>X</v>
      </c>
      <c r="H13422" s="1" t="str">
        <f t="shared" si="3074"/>
        <v>X</v>
      </c>
      <c r="I13422" s="1" t="str">
        <f t="shared" si="3074"/>
        <v>X</v>
      </c>
      <c r="J13422" s="1" t="str">
        <f t="shared" si="3074"/>
        <v>X</v>
      </c>
      <c r="K13422" s="1" t="str">
        <f t="shared" si="3074"/>
        <v>X</v>
      </c>
      <c r="L13422" s="1" t="str">
        <f t="shared" si="3074"/>
        <v>X</v>
      </c>
      <c r="M13422" s="1" t="str">
        <f t="shared" si="3074"/>
        <v>X</v>
      </c>
      <c r="N13422" t="s">
        <v>27</v>
      </c>
    </row>
    <row r="13423" spans="1:14" x14ac:dyDescent="0.25">
      <c r="A13423" t="s">
        <v>45</v>
      </c>
      <c r="B13423" t="s">
        <v>15</v>
      </c>
      <c r="C13423" t="s">
        <v>35</v>
      </c>
      <c r="D13423" t="s">
        <v>32</v>
      </c>
      <c r="E13423" t="s">
        <v>26</v>
      </c>
      <c r="F13423" t="s">
        <v>17</v>
      </c>
      <c r="G13423" s="1" t="str">
        <f t="shared" ref="G13423:M13425" si="3075">"..."</f>
        <v>...</v>
      </c>
      <c r="H13423" s="1" t="str">
        <f t="shared" si="3075"/>
        <v>...</v>
      </c>
      <c r="I13423" s="1" t="str">
        <f t="shared" si="3075"/>
        <v>...</v>
      </c>
      <c r="J13423" s="1" t="str">
        <f t="shared" si="3075"/>
        <v>...</v>
      </c>
      <c r="K13423" s="1" t="str">
        <f t="shared" si="3075"/>
        <v>...</v>
      </c>
      <c r="L13423" s="1" t="str">
        <f t="shared" si="3075"/>
        <v>...</v>
      </c>
      <c r="M13423" s="1" t="str">
        <f t="shared" si="3075"/>
        <v>...</v>
      </c>
      <c r="N13423" t="s">
        <v>30</v>
      </c>
    </row>
    <row r="13424" spans="1:14" x14ac:dyDescent="0.25">
      <c r="A13424" t="s">
        <v>45</v>
      </c>
      <c r="B13424" t="s">
        <v>15</v>
      </c>
      <c r="C13424" t="s">
        <v>35</v>
      </c>
      <c r="D13424" t="s">
        <v>32</v>
      </c>
      <c r="E13424" t="s">
        <v>26</v>
      </c>
      <c r="F13424" t="s">
        <v>18</v>
      </c>
      <c r="G13424" s="1" t="str">
        <f t="shared" si="3075"/>
        <v>...</v>
      </c>
      <c r="H13424" s="1" t="str">
        <f t="shared" si="3075"/>
        <v>...</v>
      </c>
      <c r="I13424" s="1" t="str">
        <f t="shared" si="3075"/>
        <v>...</v>
      </c>
      <c r="J13424" s="1" t="str">
        <f t="shared" si="3075"/>
        <v>...</v>
      </c>
      <c r="K13424" s="1" t="str">
        <f t="shared" si="3075"/>
        <v>...</v>
      </c>
      <c r="L13424" s="1" t="str">
        <f t="shared" si="3075"/>
        <v>...</v>
      </c>
      <c r="M13424" s="1" t="str">
        <f t="shared" si="3075"/>
        <v>...</v>
      </c>
      <c r="N13424" t="s">
        <v>30</v>
      </c>
    </row>
    <row r="13425" spans="1:14" x14ac:dyDescent="0.25">
      <c r="A13425" t="s">
        <v>45</v>
      </c>
      <c r="B13425" t="s">
        <v>15</v>
      </c>
      <c r="C13425" t="s">
        <v>35</v>
      </c>
      <c r="D13425" t="s">
        <v>32</v>
      </c>
      <c r="E13425" t="s">
        <v>26</v>
      </c>
      <c r="F13425" t="s">
        <v>19</v>
      </c>
      <c r="G13425" s="1" t="str">
        <f t="shared" si="3075"/>
        <v>...</v>
      </c>
      <c r="H13425" s="1" t="str">
        <f t="shared" si="3075"/>
        <v>...</v>
      </c>
      <c r="I13425" s="1" t="str">
        <f t="shared" si="3075"/>
        <v>...</v>
      </c>
      <c r="J13425" s="1" t="str">
        <f t="shared" si="3075"/>
        <v>...</v>
      </c>
      <c r="K13425" s="1" t="str">
        <f t="shared" si="3075"/>
        <v>...</v>
      </c>
      <c r="L13425" s="1" t="str">
        <f t="shared" si="3075"/>
        <v>...</v>
      </c>
      <c r="M13425" s="1" t="str">
        <f t="shared" si="3075"/>
        <v>...</v>
      </c>
      <c r="N13425" t="s">
        <v>30</v>
      </c>
    </row>
    <row r="13426" spans="1:14" x14ac:dyDescent="0.25">
      <c r="A13426" t="s">
        <v>45</v>
      </c>
      <c r="B13426" t="s">
        <v>15</v>
      </c>
      <c r="C13426" t="s">
        <v>35</v>
      </c>
      <c r="D13426" t="s">
        <v>32</v>
      </c>
      <c r="E13426" t="s">
        <v>26</v>
      </c>
      <c r="F13426" t="s">
        <v>20</v>
      </c>
      <c r="G13426" s="1" t="str">
        <f t="shared" ref="G13426:M13427" si="3076">"X"</f>
        <v>X</v>
      </c>
      <c r="H13426" s="1" t="str">
        <f t="shared" si="3076"/>
        <v>X</v>
      </c>
      <c r="I13426" s="1" t="str">
        <f t="shared" si="3076"/>
        <v>X</v>
      </c>
      <c r="J13426" s="1" t="str">
        <f t="shared" si="3076"/>
        <v>X</v>
      </c>
      <c r="K13426" s="1" t="str">
        <f t="shared" si="3076"/>
        <v>X</v>
      </c>
      <c r="L13426" s="1" t="str">
        <f t="shared" si="3076"/>
        <v>X</v>
      </c>
      <c r="M13426" s="1" t="str">
        <f t="shared" si="3076"/>
        <v>X</v>
      </c>
      <c r="N13426" t="s">
        <v>27</v>
      </c>
    </row>
    <row r="13427" spans="1:14" x14ac:dyDescent="0.25">
      <c r="A13427" t="s">
        <v>45</v>
      </c>
      <c r="B13427" t="s">
        <v>15</v>
      </c>
      <c r="C13427" t="s">
        <v>35</v>
      </c>
      <c r="D13427" t="s">
        <v>33</v>
      </c>
      <c r="E13427" t="s">
        <v>15</v>
      </c>
      <c r="F13427" t="s">
        <v>15</v>
      </c>
      <c r="G13427" s="1" t="str">
        <f t="shared" si="3076"/>
        <v>X</v>
      </c>
      <c r="H13427" s="1" t="str">
        <f t="shared" si="3076"/>
        <v>X</v>
      </c>
      <c r="I13427" s="1" t="str">
        <f t="shared" si="3076"/>
        <v>X</v>
      </c>
      <c r="J13427" s="1" t="str">
        <f t="shared" si="3076"/>
        <v>X</v>
      </c>
      <c r="K13427" s="1" t="str">
        <f t="shared" si="3076"/>
        <v>X</v>
      </c>
      <c r="L13427" s="1" t="str">
        <f t="shared" si="3076"/>
        <v>X</v>
      </c>
      <c r="M13427" s="1" t="str">
        <f t="shared" si="3076"/>
        <v>X</v>
      </c>
      <c r="N13427" t="s">
        <v>27</v>
      </c>
    </row>
    <row r="13428" spans="1:14" x14ac:dyDescent="0.25">
      <c r="A13428" t="s">
        <v>45</v>
      </c>
      <c r="B13428" t="s">
        <v>15</v>
      </c>
      <c r="C13428" t="s">
        <v>35</v>
      </c>
      <c r="D13428" t="s">
        <v>33</v>
      </c>
      <c r="E13428" t="s">
        <v>15</v>
      </c>
      <c r="F13428" t="s">
        <v>17</v>
      </c>
      <c r="G13428" s="1" t="str">
        <f t="shared" ref="G13428:M13429" si="3077">"..."</f>
        <v>...</v>
      </c>
      <c r="H13428" s="1" t="str">
        <f t="shared" si="3077"/>
        <v>...</v>
      </c>
      <c r="I13428" s="1" t="str">
        <f t="shared" si="3077"/>
        <v>...</v>
      </c>
      <c r="J13428" s="1" t="str">
        <f t="shared" si="3077"/>
        <v>...</v>
      </c>
      <c r="K13428" s="1" t="str">
        <f t="shared" si="3077"/>
        <v>...</v>
      </c>
      <c r="L13428" s="1" t="str">
        <f t="shared" si="3077"/>
        <v>...</v>
      </c>
      <c r="M13428" s="1" t="str">
        <f t="shared" si="3077"/>
        <v>...</v>
      </c>
      <c r="N13428" t="s">
        <v>30</v>
      </c>
    </row>
    <row r="13429" spans="1:14" x14ac:dyDescent="0.25">
      <c r="A13429" t="s">
        <v>45</v>
      </c>
      <c r="B13429" t="s">
        <v>15</v>
      </c>
      <c r="C13429" t="s">
        <v>35</v>
      </c>
      <c r="D13429" t="s">
        <v>33</v>
      </c>
      <c r="E13429" t="s">
        <v>15</v>
      </c>
      <c r="F13429" t="s">
        <v>18</v>
      </c>
      <c r="G13429" s="1" t="str">
        <f t="shared" si="3077"/>
        <v>...</v>
      </c>
      <c r="H13429" s="1" t="str">
        <f t="shared" si="3077"/>
        <v>...</v>
      </c>
      <c r="I13429" s="1" t="str">
        <f t="shared" si="3077"/>
        <v>...</v>
      </c>
      <c r="J13429" s="1" t="str">
        <f t="shared" si="3077"/>
        <v>...</v>
      </c>
      <c r="K13429" s="1" t="str">
        <f t="shared" si="3077"/>
        <v>...</v>
      </c>
      <c r="L13429" s="1" t="str">
        <f t="shared" si="3077"/>
        <v>...</v>
      </c>
      <c r="M13429" s="1" t="str">
        <f t="shared" si="3077"/>
        <v>...</v>
      </c>
      <c r="N13429" t="s">
        <v>30</v>
      </c>
    </row>
    <row r="13430" spans="1:14" x14ac:dyDescent="0.25">
      <c r="A13430" t="s">
        <v>45</v>
      </c>
      <c r="B13430" t="s">
        <v>15</v>
      </c>
      <c r="C13430" t="s">
        <v>35</v>
      </c>
      <c r="D13430" t="s">
        <v>33</v>
      </c>
      <c r="E13430" t="s">
        <v>15</v>
      </c>
      <c r="F13430" t="s">
        <v>19</v>
      </c>
      <c r="G13430" s="1" t="str">
        <f t="shared" ref="G13430:M13432" si="3078">"X"</f>
        <v>X</v>
      </c>
      <c r="H13430" s="1" t="str">
        <f t="shared" si="3078"/>
        <v>X</v>
      </c>
      <c r="I13430" s="1" t="str">
        <f t="shared" si="3078"/>
        <v>X</v>
      </c>
      <c r="J13430" s="1" t="str">
        <f t="shared" si="3078"/>
        <v>X</v>
      </c>
      <c r="K13430" s="1" t="str">
        <f t="shared" si="3078"/>
        <v>X</v>
      </c>
      <c r="L13430" s="1" t="str">
        <f t="shared" si="3078"/>
        <v>X</v>
      </c>
      <c r="M13430" s="1" t="str">
        <f t="shared" si="3078"/>
        <v>X</v>
      </c>
      <c r="N13430" t="s">
        <v>27</v>
      </c>
    </row>
    <row r="13431" spans="1:14" x14ac:dyDescent="0.25">
      <c r="A13431" t="s">
        <v>45</v>
      </c>
      <c r="B13431" t="s">
        <v>15</v>
      </c>
      <c r="C13431" t="s">
        <v>35</v>
      </c>
      <c r="D13431" t="s">
        <v>33</v>
      </c>
      <c r="E13431" t="s">
        <v>15</v>
      </c>
      <c r="F13431" t="s">
        <v>20</v>
      </c>
      <c r="G13431" s="1" t="str">
        <f t="shared" si="3078"/>
        <v>X</v>
      </c>
      <c r="H13431" s="1" t="str">
        <f t="shared" si="3078"/>
        <v>X</v>
      </c>
      <c r="I13431" s="1" t="str">
        <f t="shared" si="3078"/>
        <v>X</v>
      </c>
      <c r="J13431" s="1" t="str">
        <f t="shared" si="3078"/>
        <v>X</v>
      </c>
      <c r="K13431" s="1" t="str">
        <f t="shared" si="3078"/>
        <v>X</v>
      </c>
      <c r="L13431" s="1" t="str">
        <f t="shared" si="3078"/>
        <v>X</v>
      </c>
      <c r="M13431" s="1" t="str">
        <f t="shared" si="3078"/>
        <v>X</v>
      </c>
      <c r="N13431" t="s">
        <v>27</v>
      </c>
    </row>
    <row r="13432" spans="1:14" x14ac:dyDescent="0.25">
      <c r="A13432" t="s">
        <v>45</v>
      </c>
      <c r="B13432" t="s">
        <v>15</v>
      </c>
      <c r="C13432" t="s">
        <v>35</v>
      </c>
      <c r="D13432" t="s">
        <v>33</v>
      </c>
      <c r="E13432" t="s">
        <v>21</v>
      </c>
      <c r="F13432" t="s">
        <v>15</v>
      </c>
      <c r="G13432" s="1" t="str">
        <f t="shared" si="3078"/>
        <v>X</v>
      </c>
      <c r="H13432" s="1" t="str">
        <f t="shared" si="3078"/>
        <v>X</v>
      </c>
      <c r="I13432" s="1" t="str">
        <f t="shared" si="3078"/>
        <v>X</v>
      </c>
      <c r="J13432" s="1" t="str">
        <f t="shared" si="3078"/>
        <v>X</v>
      </c>
      <c r="K13432" s="1" t="str">
        <f t="shared" si="3078"/>
        <v>X</v>
      </c>
      <c r="L13432" s="1" t="str">
        <f t="shared" si="3078"/>
        <v>X</v>
      </c>
      <c r="M13432" s="1" t="str">
        <f t="shared" si="3078"/>
        <v>X</v>
      </c>
      <c r="N13432" t="s">
        <v>27</v>
      </c>
    </row>
    <row r="13433" spans="1:14" x14ac:dyDescent="0.25">
      <c r="A13433" t="s">
        <v>45</v>
      </c>
      <c r="B13433" t="s">
        <v>15</v>
      </c>
      <c r="C13433" t="s">
        <v>35</v>
      </c>
      <c r="D13433" t="s">
        <v>33</v>
      </c>
      <c r="E13433" t="s">
        <v>21</v>
      </c>
      <c r="F13433" t="s">
        <v>17</v>
      </c>
      <c r="G13433" s="1" t="str">
        <f t="shared" ref="G13433:M13434" si="3079">"..."</f>
        <v>...</v>
      </c>
      <c r="H13433" s="1" t="str">
        <f t="shared" si="3079"/>
        <v>...</v>
      </c>
      <c r="I13433" s="1" t="str">
        <f t="shared" si="3079"/>
        <v>...</v>
      </c>
      <c r="J13433" s="1" t="str">
        <f t="shared" si="3079"/>
        <v>...</v>
      </c>
      <c r="K13433" s="1" t="str">
        <f t="shared" si="3079"/>
        <v>...</v>
      </c>
      <c r="L13433" s="1" t="str">
        <f t="shared" si="3079"/>
        <v>...</v>
      </c>
      <c r="M13433" s="1" t="str">
        <f t="shared" si="3079"/>
        <v>...</v>
      </c>
      <c r="N13433" t="s">
        <v>30</v>
      </c>
    </row>
    <row r="13434" spans="1:14" x14ac:dyDescent="0.25">
      <c r="A13434" t="s">
        <v>45</v>
      </c>
      <c r="B13434" t="s">
        <v>15</v>
      </c>
      <c r="C13434" t="s">
        <v>35</v>
      </c>
      <c r="D13434" t="s">
        <v>33</v>
      </c>
      <c r="E13434" t="s">
        <v>21</v>
      </c>
      <c r="F13434" t="s">
        <v>18</v>
      </c>
      <c r="G13434" s="1" t="str">
        <f t="shared" si="3079"/>
        <v>...</v>
      </c>
      <c r="H13434" s="1" t="str">
        <f t="shared" si="3079"/>
        <v>...</v>
      </c>
      <c r="I13434" s="1" t="str">
        <f t="shared" si="3079"/>
        <v>...</v>
      </c>
      <c r="J13434" s="1" t="str">
        <f t="shared" si="3079"/>
        <v>...</v>
      </c>
      <c r="K13434" s="1" t="str">
        <f t="shared" si="3079"/>
        <v>...</v>
      </c>
      <c r="L13434" s="1" t="str">
        <f t="shared" si="3079"/>
        <v>...</v>
      </c>
      <c r="M13434" s="1" t="str">
        <f t="shared" si="3079"/>
        <v>...</v>
      </c>
      <c r="N13434" t="s">
        <v>30</v>
      </c>
    </row>
    <row r="13435" spans="1:14" x14ac:dyDescent="0.25">
      <c r="A13435" t="s">
        <v>45</v>
      </c>
      <c r="B13435" t="s">
        <v>15</v>
      </c>
      <c r="C13435" t="s">
        <v>35</v>
      </c>
      <c r="D13435" t="s">
        <v>33</v>
      </c>
      <c r="E13435" t="s">
        <v>21</v>
      </c>
      <c r="F13435" t="s">
        <v>19</v>
      </c>
      <c r="G13435" s="1" t="str">
        <f t="shared" ref="G13435:M13437" si="3080">"X"</f>
        <v>X</v>
      </c>
      <c r="H13435" s="1" t="str">
        <f t="shared" si="3080"/>
        <v>X</v>
      </c>
      <c r="I13435" s="1" t="str">
        <f t="shared" si="3080"/>
        <v>X</v>
      </c>
      <c r="J13435" s="1" t="str">
        <f t="shared" si="3080"/>
        <v>X</v>
      </c>
      <c r="K13435" s="1" t="str">
        <f t="shared" si="3080"/>
        <v>X</v>
      </c>
      <c r="L13435" s="1" t="str">
        <f t="shared" si="3080"/>
        <v>X</v>
      </c>
      <c r="M13435" s="1" t="str">
        <f t="shared" si="3080"/>
        <v>X</v>
      </c>
      <c r="N13435" t="s">
        <v>27</v>
      </c>
    </row>
    <row r="13436" spans="1:14" x14ac:dyDescent="0.25">
      <c r="A13436" t="s">
        <v>45</v>
      </c>
      <c r="B13436" t="s">
        <v>15</v>
      </c>
      <c r="C13436" t="s">
        <v>35</v>
      </c>
      <c r="D13436" t="s">
        <v>33</v>
      </c>
      <c r="E13436" t="s">
        <v>21</v>
      </c>
      <c r="F13436" t="s">
        <v>20</v>
      </c>
      <c r="G13436" s="1" t="str">
        <f t="shared" si="3080"/>
        <v>X</v>
      </c>
      <c r="H13436" s="1" t="str">
        <f t="shared" si="3080"/>
        <v>X</v>
      </c>
      <c r="I13436" s="1" t="str">
        <f t="shared" si="3080"/>
        <v>X</v>
      </c>
      <c r="J13436" s="1" t="str">
        <f t="shared" si="3080"/>
        <v>X</v>
      </c>
      <c r="K13436" s="1" t="str">
        <f t="shared" si="3080"/>
        <v>X</v>
      </c>
      <c r="L13436" s="1" t="str">
        <f t="shared" si="3080"/>
        <v>X</v>
      </c>
      <c r="M13436" s="1" t="str">
        <f t="shared" si="3080"/>
        <v>X</v>
      </c>
      <c r="N13436" t="s">
        <v>27</v>
      </c>
    </row>
    <row r="13437" spans="1:14" x14ac:dyDescent="0.25">
      <c r="A13437" t="s">
        <v>45</v>
      </c>
      <c r="B13437" t="s">
        <v>15</v>
      </c>
      <c r="C13437" t="s">
        <v>35</v>
      </c>
      <c r="D13437" t="s">
        <v>33</v>
      </c>
      <c r="E13437" t="s">
        <v>22</v>
      </c>
      <c r="F13437" t="s">
        <v>15</v>
      </c>
      <c r="G13437" s="1" t="str">
        <f t="shared" si="3080"/>
        <v>X</v>
      </c>
      <c r="H13437" s="1" t="str">
        <f t="shared" si="3080"/>
        <v>X</v>
      </c>
      <c r="I13437" s="1" t="str">
        <f t="shared" si="3080"/>
        <v>X</v>
      </c>
      <c r="J13437" s="1" t="str">
        <f t="shared" si="3080"/>
        <v>X</v>
      </c>
      <c r="K13437" s="1" t="str">
        <f t="shared" si="3080"/>
        <v>X</v>
      </c>
      <c r="L13437" s="1" t="str">
        <f t="shared" si="3080"/>
        <v>X</v>
      </c>
      <c r="M13437" s="1" t="str">
        <f t="shared" si="3080"/>
        <v>X</v>
      </c>
      <c r="N13437" t="s">
        <v>27</v>
      </c>
    </row>
    <row r="13438" spans="1:14" x14ac:dyDescent="0.25">
      <c r="A13438" t="s">
        <v>45</v>
      </c>
      <c r="B13438" t="s">
        <v>15</v>
      </c>
      <c r="C13438" t="s">
        <v>35</v>
      </c>
      <c r="D13438" t="s">
        <v>33</v>
      </c>
      <c r="E13438" t="s">
        <v>22</v>
      </c>
      <c r="F13438" t="s">
        <v>17</v>
      </c>
      <c r="G13438" s="1" t="str">
        <f t="shared" ref="G13438:M13439" si="3081">"..."</f>
        <v>...</v>
      </c>
      <c r="H13438" s="1" t="str">
        <f t="shared" si="3081"/>
        <v>...</v>
      </c>
      <c r="I13438" s="1" t="str">
        <f t="shared" si="3081"/>
        <v>...</v>
      </c>
      <c r="J13438" s="1" t="str">
        <f t="shared" si="3081"/>
        <v>...</v>
      </c>
      <c r="K13438" s="1" t="str">
        <f t="shared" si="3081"/>
        <v>...</v>
      </c>
      <c r="L13438" s="1" t="str">
        <f t="shared" si="3081"/>
        <v>...</v>
      </c>
      <c r="M13438" s="1" t="str">
        <f t="shared" si="3081"/>
        <v>...</v>
      </c>
      <c r="N13438" t="s">
        <v>30</v>
      </c>
    </row>
    <row r="13439" spans="1:14" x14ac:dyDescent="0.25">
      <c r="A13439" t="s">
        <v>45</v>
      </c>
      <c r="B13439" t="s">
        <v>15</v>
      </c>
      <c r="C13439" t="s">
        <v>35</v>
      </c>
      <c r="D13439" t="s">
        <v>33</v>
      </c>
      <c r="E13439" t="s">
        <v>22</v>
      </c>
      <c r="F13439" t="s">
        <v>18</v>
      </c>
      <c r="G13439" s="1" t="str">
        <f t="shared" si="3081"/>
        <v>...</v>
      </c>
      <c r="H13439" s="1" t="str">
        <f t="shared" si="3081"/>
        <v>...</v>
      </c>
      <c r="I13439" s="1" t="str">
        <f t="shared" si="3081"/>
        <v>...</v>
      </c>
      <c r="J13439" s="1" t="str">
        <f t="shared" si="3081"/>
        <v>...</v>
      </c>
      <c r="K13439" s="1" t="str">
        <f t="shared" si="3081"/>
        <v>...</v>
      </c>
      <c r="L13439" s="1" t="str">
        <f t="shared" si="3081"/>
        <v>...</v>
      </c>
      <c r="M13439" s="1" t="str">
        <f t="shared" si="3081"/>
        <v>...</v>
      </c>
      <c r="N13439" t="s">
        <v>30</v>
      </c>
    </row>
    <row r="13440" spans="1:14" x14ac:dyDescent="0.25">
      <c r="A13440" t="s">
        <v>45</v>
      </c>
      <c r="B13440" t="s">
        <v>15</v>
      </c>
      <c r="C13440" t="s">
        <v>35</v>
      </c>
      <c r="D13440" t="s">
        <v>33</v>
      </c>
      <c r="E13440" t="s">
        <v>22</v>
      </c>
      <c r="F13440" t="s">
        <v>19</v>
      </c>
      <c r="G13440" s="1" t="str">
        <f t="shared" ref="G13440:M13442" si="3082">"X"</f>
        <v>X</v>
      </c>
      <c r="H13440" s="1" t="str">
        <f t="shared" si="3082"/>
        <v>X</v>
      </c>
      <c r="I13440" s="1" t="str">
        <f t="shared" si="3082"/>
        <v>X</v>
      </c>
      <c r="J13440" s="1" t="str">
        <f t="shared" si="3082"/>
        <v>X</v>
      </c>
      <c r="K13440" s="1" t="str">
        <f t="shared" si="3082"/>
        <v>X</v>
      </c>
      <c r="L13440" s="1" t="str">
        <f t="shared" si="3082"/>
        <v>X</v>
      </c>
      <c r="M13440" s="1" t="str">
        <f t="shared" si="3082"/>
        <v>X</v>
      </c>
      <c r="N13440" t="s">
        <v>27</v>
      </c>
    </row>
    <row r="13441" spans="1:14" x14ac:dyDescent="0.25">
      <c r="A13441" t="s">
        <v>45</v>
      </c>
      <c r="B13441" t="s">
        <v>15</v>
      </c>
      <c r="C13441" t="s">
        <v>35</v>
      </c>
      <c r="D13441" t="s">
        <v>33</v>
      </c>
      <c r="E13441" t="s">
        <v>22</v>
      </c>
      <c r="F13441" t="s">
        <v>20</v>
      </c>
      <c r="G13441" s="1" t="str">
        <f t="shared" si="3082"/>
        <v>X</v>
      </c>
      <c r="H13441" s="1" t="str">
        <f t="shared" si="3082"/>
        <v>X</v>
      </c>
      <c r="I13441" s="1" t="str">
        <f t="shared" si="3082"/>
        <v>X</v>
      </c>
      <c r="J13441" s="1" t="str">
        <f t="shared" si="3082"/>
        <v>X</v>
      </c>
      <c r="K13441" s="1" t="str">
        <f t="shared" si="3082"/>
        <v>X</v>
      </c>
      <c r="L13441" s="1" t="str">
        <f t="shared" si="3082"/>
        <v>X</v>
      </c>
      <c r="M13441" s="1" t="str">
        <f t="shared" si="3082"/>
        <v>X</v>
      </c>
      <c r="N13441" t="s">
        <v>27</v>
      </c>
    </row>
    <row r="13442" spans="1:14" x14ac:dyDescent="0.25">
      <c r="A13442" t="s">
        <v>45</v>
      </c>
      <c r="B13442" t="s">
        <v>15</v>
      </c>
      <c r="C13442" t="s">
        <v>35</v>
      </c>
      <c r="D13442" t="s">
        <v>33</v>
      </c>
      <c r="E13442" t="s">
        <v>23</v>
      </c>
      <c r="F13442" t="s">
        <v>15</v>
      </c>
      <c r="G13442" s="1" t="str">
        <f t="shared" si="3082"/>
        <v>X</v>
      </c>
      <c r="H13442" s="1" t="str">
        <f t="shared" si="3082"/>
        <v>X</v>
      </c>
      <c r="I13442" s="1" t="str">
        <f t="shared" si="3082"/>
        <v>X</v>
      </c>
      <c r="J13442" s="1" t="str">
        <f t="shared" si="3082"/>
        <v>X</v>
      </c>
      <c r="K13442" s="1" t="str">
        <f t="shared" si="3082"/>
        <v>X</v>
      </c>
      <c r="L13442" s="1" t="str">
        <f t="shared" si="3082"/>
        <v>X</v>
      </c>
      <c r="M13442" s="1" t="str">
        <f t="shared" si="3082"/>
        <v>X</v>
      </c>
      <c r="N13442" t="s">
        <v>27</v>
      </c>
    </row>
    <row r="13443" spans="1:14" x14ac:dyDescent="0.25">
      <c r="A13443" t="s">
        <v>45</v>
      </c>
      <c r="B13443" t="s">
        <v>15</v>
      </c>
      <c r="C13443" t="s">
        <v>35</v>
      </c>
      <c r="D13443" t="s">
        <v>33</v>
      </c>
      <c r="E13443" t="s">
        <v>23</v>
      </c>
      <c r="F13443" t="s">
        <v>17</v>
      </c>
      <c r="G13443" s="1" t="str">
        <f t="shared" ref="G13443:M13445" si="3083">"..."</f>
        <v>...</v>
      </c>
      <c r="H13443" s="1" t="str">
        <f t="shared" si="3083"/>
        <v>...</v>
      </c>
      <c r="I13443" s="1" t="str">
        <f t="shared" si="3083"/>
        <v>...</v>
      </c>
      <c r="J13443" s="1" t="str">
        <f t="shared" si="3083"/>
        <v>...</v>
      </c>
      <c r="K13443" s="1" t="str">
        <f t="shared" si="3083"/>
        <v>...</v>
      </c>
      <c r="L13443" s="1" t="str">
        <f t="shared" si="3083"/>
        <v>...</v>
      </c>
      <c r="M13443" s="1" t="str">
        <f t="shared" si="3083"/>
        <v>...</v>
      </c>
      <c r="N13443" t="s">
        <v>30</v>
      </c>
    </row>
    <row r="13444" spans="1:14" x14ac:dyDescent="0.25">
      <c r="A13444" t="s">
        <v>45</v>
      </c>
      <c r="B13444" t="s">
        <v>15</v>
      </c>
      <c r="C13444" t="s">
        <v>35</v>
      </c>
      <c r="D13444" t="s">
        <v>33</v>
      </c>
      <c r="E13444" t="s">
        <v>23</v>
      </c>
      <c r="F13444" t="s">
        <v>18</v>
      </c>
      <c r="G13444" s="1" t="str">
        <f t="shared" si="3083"/>
        <v>...</v>
      </c>
      <c r="H13444" s="1" t="str">
        <f t="shared" si="3083"/>
        <v>...</v>
      </c>
      <c r="I13444" s="1" t="str">
        <f t="shared" si="3083"/>
        <v>...</v>
      </c>
      <c r="J13444" s="1" t="str">
        <f t="shared" si="3083"/>
        <v>...</v>
      </c>
      <c r="K13444" s="1" t="str">
        <f t="shared" si="3083"/>
        <v>...</v>
      </c>
      <c r="L13444" s="1" t="str">
        <f t="shared" si="3083"/>
        <v>...</v>
      </c>
      <c r="M13444" s="1" t="str">
        <f t="shared" si="3083"/>
        <v>...</v>
      </c>
      <c r="N13444" t="s">
        <v>30</v>
      </c>
    </row>
    <row r="13445" spans="1:14" x14ac:dyDescent="0.25">
      <c r="A13445" t="s">
        <v>45</v>
      </c>
      <c r="B13445" t="s">
        <v>15</v>
      </c>
      <c r="C13445" t="s">
        <v>35</v>
      </c>
      <c r="D13445" t="s">
        <v>33</v>
      </c>
      <c r="E13445" t="s">
        <v>23</v>
      </c>
      <c r="F13445" t="s">
        <v>19</v>
      </c>
      <c r="G13445" s="1" t="str">
        <f t="shared" si="3083"/>
        <v>...</v>
      </c>
      <c r="H13445" s="1" t="str">
        <f t="shared" si="3083"/>
        <v>...</v>
      </c>
      <c r="I13445" s="1" t="str">
        <f t="shared" si="3083"/>
        <v>...</v>
      </c>
      <c r="J13445" s="1" t="str">
        <f t="shared" si="3083"/>
        <v>...</v>
      </c>
      <c r="K13445" s="1" t="str">
        <f t="shared" si="3083"/>
        <v>...</v>
      </c>
      <c r="L13445" s="1" t="str">
        <f t="shared" si="3083"/>
        <v>...</v>
      </c>
      <c r="M13445" s="1" t="str">
        <f t="shared" si="3083"/>
        <v>...</v>
      </c>
      <c r="N13445" t="s">
        <v>30</v>
      </c>
    </row>
    <row r="13446" spans="1:14" x14ac:dyDescent="0.25">
      <c r="A13446" t="s">
        <v>45</v>
      </c>
      <c r="B13446" t="s">
        <v>15</v>
      </c>
      <c r="C13446" t="s">
        <v>35</v>
      </c>
      <c r="D13446" t="s">
        <v>33</v>
      </c>
      <c r="E13446" t="s">
        <v>23</v>
      </c>
      <c r="F13446" t="s">
        <v>20</v>
      </c>
      <c r="G13446" s="1" t="str">
        <f t="shared" ref="G13446:M13446" si="3084">"X"</f>
        <v>X</v>
      </c>
      <c r="H13446" s="1" t="str">
        <f t="shared" si="3084"/>
        <v>X</v>
      </c>
      <c r="I13446" s="1" t="str">
        <f t="shared" si="3084"/>
        <v>X</v>
      </c>
      <c r="J13446" s="1" t="str">
        <f t="shared" si="3084"/>
        <v>X</v>
      </c>
      <c r="K13446" s="1" t="str">
        <f t="shared" si="3084"/>
        <v>X</v>
      </c>
      <c r="L13446" s="1" t="str">
        <f t="shared" si="3084"/>
        <v>X</v>
      </c>
      <c r="M13446" s="1" t="str">
        <f t="shared" si="3084"/>
        <v>X</v>
      </c>
      <c r="N13446" t="s">
        <v>27</v>
      </c>
    </row>
    <row r="13447" spans="1:14" x14ac:dyDescent="0.25">
      <c r="A13447" t="s">
        <v>45</v>
      </c>
      <c r="B13447" t="s">
        <v>15</v>
      </c>
      <c r="C13447" t="s">
        <v>35</v>
      </c>
      <c r="D13447" t="s">
        <v>33</v>
      </c>
      <c r="E13447" t="s">
        <v>26</v>
      </c>
      <c r="F13447" t="s">
        <v>15</v>
      </c>
      <c r="G13447" s="1" t="str">
        <f t="shared" ref="G13447:M13451" si="3085">"..."</f>
        <v>...</v>
      </c>
      <c r="H13447" s="1" t="str">
        <f t="shared" si="3085"/>
        <v>...</v>
      </c>
      <c r="I13447" s="1" t="str">
        <f t="shared" si="3085"/>
        <v>...</v>
      </c>
      <c r="J13447" s="1" t="str">
        <f t="shared" si="3085"/>
        <v>...</v>
      </c>
      <c r="K13447" s="1" t="str">
        <f t="shared" si="3085"/>
        <v>...</v>
      </c>
      <c r="L13447" s="1" t="str">
        <f t="shared" si="3085"/>
        <v>...</v>
      </c>
      <c r="M13447" s="1" t="str">
        <f t="shared" si="3085"/>
        <v>...</v>
      </c>
      <c r="N13447" t="s">
        <v>30</v>
      </c>
    </row>
    <row r="13448" spans="1:14" x14ac:dyDescent="0.25">
      <c r="A13448" t="s">
        <v>45</v>
      </c>
      <c r="B13448" t="s">
        <v>15</v>
      </c>
      <c r="C13448" t="s">
        <v>35</v>
      </c>
      <c r="D13448" t="s">
        <v>33</v>
      </c>
      <c r="E13448" t="s">
        <v>26</v>
      </c>
      <c r="F13448" t="s">
        <v>17</v>
      </c>
      <c r="G13448" s="1" t="str">
        <f t="shared" si="3085"/>
        <v>...</v>
      </c>
      <c r="H13448" s="1" t="str">
        <f t="shared" si="3085"/>
        <v>...</v>
      </c>
      <c r="I13448" s="1" t="str">
        <f t="shared" si="3085"/>
        <v>...</v>
      </c>
      <c r="J13448" s="1" t="str">
        <f t="shared" si="3085"/>
        <v>...</v>
      </c>
      <c r="K13448" s="1" t="str">
        <f t="shared" si="3085"/>
        <v>...</v>
      </c>
      <c r="L13448" s="1" t="str">
        <f t="shared" si="3085"/>
        <v>...</v>
      </c>
      <c r="M13448" s="1" t="str">
        <f t="shared" si="3085"/>
        <v>...</v>
      </c>
      <c r="N13448" t="s">
        <v>30</v>
      </c>
    </row>
    <row r="13449" spans="1:14" x14ac:dyDescent="0.25">
      <c r="A13449" t="s">
        <v>45</v>
      </c>
      <c r="B13449" t="s">
        <v>15</v>
      </c>
      <c r="C13449" t="s">
        <v>35</v>
      </c>
      <c r="D13449" t="s">
        <v>33</v>
      </c>
      <c r="E13449" t="s">
        <v>26</v>
      </c>
      <c r="F13449" t="s">
        <v>18</v>
      </c>
      <c r="G13449" s="1" t="str">
        <f t="shared" si="3085"/>
        <v>...</v>
      </c>
      <c r="H13449" s="1" t="str">
        <f t="shared" si="3085"/>
        <v>...</v>
      </c>
      <c r="I13449" s="1" t="str">
        <f t="shared" si="3085"/>
        <v>...</v>
      </c>
      <c r="J13449" s="1" t="str">
        <f t="shared" si="3085"/>
        <v>...</v>
      </c>
      <c r="K13449" s="1" t="str">
        <f t="shared" si="3085"/>
        <v>...</v>
      </c>
      <c r="L13449" s="1" t="str">
        <f t="shared" si="3085"/>
        <v>...</v>
      </c>
      <c r="M13449" s="1" t="str">
        <f t="shared" si="3085"/>
        <v>...</v>
      </c>
      <c r="N13449" t="s">
        <v>30</v>
      </c>
    </row>
    <row r="13450" spans="1:14" x14ac:dyDescent="0.25">
      <c r="A13450" t="s">
        <v>45</v>
      </c>
      <c r="B13450" t="s">
        <v>15</v>
      </c>
      <c r="C13450" t="s">
        <v>35</v>
      </c>
      <c r="D13450" t="s">
        <v>33</v>
      </c>
      <c r="E13450" t="s">
        <v>26</v>
      </c>
      <c r="F13450" t="s">
        <v>19</v>
      </c>
      <c r="G13450" s="1" t="str">
        <f t="shared" si="3085"/>
        <v>...</v>
      </c>
      <c r="H13450" s="1" t="str">
        <f t="shared" si="3085"/>
        <v>...</v>
      </c>
      <c r="I13450" s="1" t="str">
        <f t="shared" si="3085"/>
        <v>...</v>
      </c>
      <c r="J13450" s="1" t="str">
        <f t="shared" si="3085"/>
        <v>...</v>
      </c>
      <c r="K13450" s="1" t="str">
        <f t="shared" si="3085"/>
        <v>...</v>
      </c>
      <c r="L13450" s="1" t="str">
        <f t="shared" si="3085"/>
        <v>...</v>
      </c>
      <c r="M13450" s="1" t="str">
        <f t="shared" si="3085"/>
        <v>...</v>
      </c>
      <c r="N13450" t="s">
        <v>30</v>
      </c>
    </row>
    <row r="13451" spans="1:14" x14ac:dyDescent="0.25">
      <c r="A13451" t="s">
        <v>45</v>
      </c>
      <c r="B13451" t="s">
        <v>15</v>
      </c>
      <c r="C13451" t="s">
        <v>35</v>
      </c>
      <c r="D13451" t="s">
        <v>33</v>
      </c>
      <c r="E13451" t="s">
        <v>26</v>
      </c>
      <c r="F13451" t="s">
        <v>20</v>
      </c>
      <c r="G13451" s="1" t="str">
        <f t="shared" si="3085"/>
        <v>...</v>
      </c>
      <c r="H13451" s="1" t="str">
        <f t="shared" si="3085"/>
        <v>...</v>
      </c>
      <c r="I13451" s="1" t="str">
        <f t="shared" si="3085"/>
        <v>...</v>
      </c>
      <c r="J13451" s="1" t="str">
        <f t="shared" si="3085"/>
        <v>...</v>
      </c>
      <c r="K13451" s="1" t="str">
        <f t="shared" si="3085"/>
        <v>...</v>
      </c>
      <c r="L13451" s="1" t="str">
        <f t="shared" si="3085"/>
        <v>...</v>
      </c>
      <c r="M13451" s="1" t="str">
        <f t="shared" si="3085"/>
        <v>...</v>
      </c>
      <c r="N13451" t="s">
        <v>30</v>
      </c>
    </row>
    <row r="13452" spans="1:14" x14ac:dyDescent="0.25">
      <c r="A13452" t="s">
        <v>45</v>
      </c>
      <c r="B13452" t="s">
        <v>15</v>
      </c>
      <c r="C13452" t="s">
        <v>35</v>
      </c>
      <c r="D13452" t="s">
        <v>34</v>
      </c>
      <c r="E13452" t="s">
        <v>15</v>
      </c>
      <c r="F13452" t="s">
        <v>15</v>
      </c>
      <c r="G13452" s="1" t="str">
        <f t="shared" ref="G13452:M13452" si="3086">"X"</f>
        <v>X</v>
      </c>
      <c r="H13452" s="1" t="str">
        <f t="shared" si="3086"/>
        <v>X</v>
      </c>
      <c r="I13452" s="1" t="str">
        <f t="shared" si="3086"/>
        <v>X</v>
      </c>
      <c r="J13452" s="1" t="str">
        <f t="shared" si="3086"/>
        <v>X</v>
      </c>
      <c r="K13452" s="1" t="str">
        <f t="shared" si="3086"/>
        <v>X</v>
      </c>
      <c r="L13452" s="1" t="str">
        <f t="shared" si="3086"/>
        <v>X</v>
      </c>
      <c r="M13452" s="1" t="str">
        <f t="shared" si="3086"/>
        <v>X</v>
      </c>
      <c r="N13452" t="s">
        <v>27</v>
      </c>
    </row>
    <row r="13453" spans="1:14" x14ac:dyDescent="0.25">
      <c r="A13453" t="s">
        <v>45</v>
      </c>
      <c r="B13453" t="s">
        <v>15</v>
      </c>
      <c r="C13453" t="s">
        <v>35</v>
      </c>
      <c r="D13453" t="s">
        <v>34</v>
      </c>
      <c r="E13453" t="s">
        <v>15</v>
      </c>
      <c r="F13453" t="s">
        <v>17</v>
      </c>
      <c r="G13453" s="1" t="str">
        <f t="shared" ref="G13453:M13453" si="3087">"..."</f>
        <v>...</v>
      </c>
      <c r="H13453" s="1" t="str">
        <f t="shared" si="3087"/>
        <v>...</v>
      </c>
      <c r="I13453" s="1" t="str">
        <f t="shared" si="3087"/>
        <v>...</v>
      </c>
      <c r="J13453" s="1" t="str">
        <f t="shared" si="3087"/>
        <v>...</v>
      </c>
      <c r="K13453" s="1" t="str">
        <f t="shared" si="3087"/>
        <v>...</v>
      </c>
      <c r="L13453" s="1" t="str">
        <f t="shared" si="3087"/>
        <v>...</v>
      </c>
      <c r="M13453" s="1" t="str">
        <f t="shared" si="3087"/>
        <v>...</v>
      </c>
      <c r="N13453" t="s">
        <v>30</v>
      </c>
    </row>
    <row r="13454" spans="1:14" x14ac:dyDescent="0.25">
      <c r="A13454" t="s">
        <v>45</v>
      </c>
      <c r="B13454" t="s">
        <v>15</v>
      </c>
      <c r="C13454" t="s">
        <v>35</v>
      </c>
      <c r="D13454" t="s">
        <v>34</v>
      </c>
      <c r="E13454" t="s">
        <v>15</v>
      </c>
      <c r="F13454" t="s">
        <v>18</v>
      </c>
      <c r="G13454" s="1" t="str">
        <f t="shared" ref="G13454:M13457" si="3088">"X"</f>
        <v>X</v>
      </c>
      <c r="H13454" s="1" t="str">
        <f t="shared" si="3088"/>
        <v>X</v>
      </c>
      <c r="I13454" s="1" t="str">
        <f t="shared" si="3088"/>
        <v>X</v>
      </c>
      <c r="J13454" s="1" t="str">
        <f t="shared" si="3088"/>
        <v>X</v>
      </c>
      <c r="K13454" s="1" t="str">
        <f t="shared" si="3088"/>
        <v>X</v>
      </c>
      <c r="L13454" s="1" t="str">
        <f t="shared" si="3088"/>
        <v>X</v>
      </c>
      <c r="M13454" s="1" t="str">
        <f t="shared" si="3088"/>
        <v>X</v>
      </c>
      <c r="N13454" t="s">
        <v>27</v>
      </c>
    </row>
    <row r="13455" spans="1:14" x14ac:dyDescent="0.25">
      <c r="A13455" t="s">
        <v>45</v>
      </c>
      <c r="B13455" t="s">
        <v>15</v>
      </c>
      <c r="C13455" t="s">
        <v>35</v>
      </c>
      <c r="D13455" t="s">
        <v>34</v>
      </c>
      <c r="E13455" t="s">
        <v>15</v>
      </c>
      <c r="F13455" t="s">
        <v>19</v>
      </c>
      <c r="G13455" s="1" t="str">
        <f t="shared" si="3088"/>
        <v>X</v>
      </c>
      <c r="H13455" s="1" t="str">
        <f t="shared" si="3088"/>
        <v>X</v>
      </c>
      <c r="I13455" s="1" t="str">
        <f t="shared" si="3088"/>
        <v>X</v>
      </c>
      <c r="J13455" s="1" t="str">
        <f t="shared" si="3088"/>
        <v>X</v>
      </c>
      <c r="K13455" s="1" t="str">
        <f t="shared" si="3088"/>
        <v>X</v>
      </c>
      <c r="L13455" s="1" t="str">
        <f t="shared" si="3088"/>
        <v>X</v>
      </c>
      <c r="M13455" s="1" t="str">
        <f t="shared" si="3088"/>
        <v>X</v>
      </c>
      <c r="N13455" t="s">
        <v>27</v>
      </c>
    </row>
    <row r="13456" spans="1:14" x14ac:dyDescent="0.25">
      <c r="A13456" t="s">
        <v>45</v>
      </c>
      <c r="B13456" t="s">
        <v>15</v>
      </c>
      <c r="C13456" t="s">
        <v>35</v>
      </c>
      <c r="D13456" t="s">
        <v>34</v>
      </c>
      <c r="E13456" t="s">
        <v>15</v>
      </c>
      <c r="F13456" t="s">
        <v>20</v>
      </c>
      <c r="G13456" s="1" t="str">
        <f t="shared" si="3088"/>
        <v>X</v>
      </c>
      <c r="H13456" s="1" t="str">
        <f t="shared" si="3088"/>
        <v>X</v>
      </c>
      <c r="I13456" s="1" t="str">
        <f t="shared" si="3088"/>
        <v>X</v>
      </c>
      <c r="J13456" s="1" t="str">
        <f t="shared" si="3088"/>
        <v>X</v>
      </c>
      <c r="K13456" s="1" t="str">
        <f t="shared" si="3088"/>
        <v>X</v>
      </c>
      <c r="L13456" s="1" t="str">
        <f t="shared" si="3088"/>
        <v>X</v>
      </c>
      <c r="M13456" s="1" t="str">
        <f t="shared" si="3088"/>
        <v>X</v>
      </c>
      <c r="N13456" t="s">
        <v>27</v>
      </c>
    </row>
    <row r="13457" spans="1:14" x14ac:dyDescent="0.25">
      <c r="A13457" t="s">
        <v>45</v>
      </c>
      <c r="B13457" t="s">
        <v>15</v>
      </c>
      <c r="C13457" t="s">
        <v>35</v>
      </c>
      <c r="D13457" t="s">
        <v>34</v>
      </c>
      <c r="E13457" t="s">
        <v>21</v>
      </c>
      <c r="F13457" t="s">
        <v>15</v>
      </c>
      <c r="G13457" s="1" t="str">
        <f t="shared" si="3088"/>
        <v>X</v>
      </c>
      <c r="H13457" s="1" t="str">
        <f t="shared" si="3088"/>
        <v>X</v>
      </c>
      <c r="I13457" s="1" t="str">
        <f t="shared" si="3088"/>
        <v>X</v>
      </c>
      <c r="J13457" s="1" t="str">
        <f t="shared" si="3088"/>
        <v>X</v>
      </c>
      <c r="K13457" s="1" t="str">
        <f t="shared" si="3088"/>
        <v>X</v>
      </c>
      <c r="L13457" s="1" t="str">
        <f t="shared" si="3088"/>
        <v>X</v>
      </c>
      <c r="M13457" s="1" t="str">
        <f t="shared" si="3088"/>
        <v>X</v>
      </c>
      <c r="N13457" t="s">
        <v>27</v>
      </c>
    </row>
    <row r="13458" spans="1:14" x14ac:dyDescent="0.25">
      <c r="A13458" t="s">
        <v>45</v>
      </c>
      <c r="B13458" t="s">
        <v>15</v>
      </c>
      <c r="C13458" t="s">
        <v>35</v>
      </c>
      <c r="D13458" t="s">
        <v>34</v>
      </c>
      <c r="E13458" t="s">
        <v>21</v>
      </c>
      <c r="F13458" t="s">
        <v>17</v>
      </c>
      <c r="G13458" s="1" t="str">
        <f t="shared" ref="G13458:M13459" si="3089">"..."</f>
        <v>...</v>
      </c>
      <c r="H13458" s="1" t="str">
        <f t="shared" si="3089"/>
        <v>...</v>
      </c>
      <c r="I13458" s="1" t="str">
        <f t="shared" si="3089"/>
        <v>...</v>
      </c>
      <c r="J13458" s="1" t="str">
        <f t="shared" si="3089"/>
        <v>...</v>
      </c>
      <c r="K13458" s="1" t="str">
        <f t="shared" si="3089"/>
        <v>...</v>
      </c>
      <c r="L13458" s="1" t="str">
        <f t="shared" si="3089"/>
        <v>...</v>
      </c>
      <c r="M13458" s="1" t="str">
        <f t="shared" si="3089"/>
        <v>...</v>
      </c>
      <c r="N13458" t="s">
        <v>30</v>
      </c>
    </row>
    <row r="13459" spans="1:14" x14ac:dyDescent="0.25">
      <c r="A13459" t="s">
        <v>45</v>
      </c>
      <c r="B13459" t="s">
        <v>15</v>
      </c>
      <c r="C13459" t="s">
        <v>35</v>
      </c>
      <c r="D13459" t="s">
        <v>34</v>
      </c>
      <c r="E13459" t="s">
        <v>21</v>
      </c>
      <c r="F13459" t="s">
        <v>18</v>
      </c>
      <c r="G13459" s="1" t="str">
        <f t="shared" si="3089"/>
        <v>...</v>
      </c>
      <c r="H13459" s="1" t="str">
        <f t="shared" si="3089"/>
        <v>...</v>
      </c>
      <c r="I13459" s="1" t="str">
        <f t="shared" si="3089"/>
        <v>...</v>
      </c>
      <c r="J13459" s="1" t="str">
        <f t="shared" si="3089"/>
        <v>...</v>
      </c>
      <c r="K13459" s="1" t="str">
        <f t="shared" si="3089"/>
        <v>...</v>
      </c>
      <c r="L13459" s="1" t="str">
        <f t="shared" si="3089"/>
        <v>...</v>
      </c>
      <c r="M13459" s="1" t="str">
        <f t="shared" si="3089"/>
        <v>...</v>
      </c>
      <c r="N13459" t="s">
        <v>30</v>
      </c>
    </row>
    <row r="13460" spans="1:14" x14ac:dyDescent="0.25">
      <c r="A13460" t="s">
        <v>45</v>
      </c>
      <c r="B13460" t="s">
        <v>15</v>
      </c>
      <c r="C13460" t="s">
        <v>35</v>
      </c>
      <c r="D13460" t="s">
        <v>34</v>
      </c>
      <c r="E13460" t="s">
        <v>21</v>
      </c>
      <c r="F13460" t="s">
        <v>19</v>
      </c>
      <c r="G13460" s="1" t="str">
        <f t="shared" ref="G13460:M13462" si="3090">"X"</f>
        <v>X</v>
      </c>
      <c r="H13460" s="1" t="str">
        <f t="shared" si="3090"/>
        <v>X</v>
      </c>
      <c r="I13460" s="1" t="str">
        <f t="shared" si="3090"/>
        <v>X</v>
      </c>
      <c r="J13460" s="1" t="str">
        <f t="shared" si="3090"/>
        <v>X</v>
      </c>
      <c r="K13460" s="1" t="str">
        <f t="shared" si="3090"/>
        <v>X</v>
      </c>
      <c r="L13460" s="1" t="str">
        <f t="shared" si="3090"/>
        <v>X</v>
      </c>
      <c r="M13460" s="1" t="str">
        <f t="shared" si="3090"/>
        <v>X</v>
      </c>
      <c r="N13460" t="s">
        <v>27</v>
      </c>
    </row>
    <row r="13461" spans="1:14" x14ac:dyDescent="0.25">
      <c r="A13461" t="s">
        <v>45</v>
      </c>
      <c r="B13461" t="s">
        <v>15</v>
      </c>
      <c r="C13461" t="s">
        <v>35</v>
      </c>
      <c r="D13461" t="s">
        <v>34</v>
      </c>
      <c r="E13461" t="s">
        <v>21</v>
      </c>
      <c r="F13461" t="s">
        <v>20</v>
      </c>
      <c r="G13461" s="1" t="str">
        <f t="shared" si="3090"/>
        <v>X</v>
      </c>
      <c r="H13461" s="1" t="str">
        <f t="shared" si="3090"/>
        <v>X</v>
      </c>
      <c r="I13461" s="1" t="str">
        <f t="shared" si="3090"/>
        <v>X</v>
      </c>
      <c r="J13461" s="1" t="str">
        <f t="shared" si="3090"/>
        <v>X</v>
      </c>
      <c r="K13461" s="1" t="str">
        <f t="shared" si="3090"/>
        <v>X</v>
      </c>
      <c r="L13461" s="1" t="str">
        <f t="shared" si="3090"/>
        <v>X</v>
      </c>
      <c r="M13461" s="1" t="str">
        <f t="shared" si="3090"/>
        <v>X</v>
      </c>
      <c r="N13461" t="s">
        <v>27</v>
      </c>
    </row>
    <row r="13462" spans="1:14" x14ac:dyDescent="0.25">
      <c r="A13462" t="s">
        <v>45</v>
      </c>
      <c r="B13462" t="s">
        <v>15</v>
      </c>
      <c r="C13462" t="s">
        <v>35</v>
      </c>
      <c r="D13462" t="s">
        <v>34</v>
      </c>
      <c r="E13462" t="s">
        <v>22</v>
      </c>
      <c r="F13462" t="s">
        <v>15</v>
      </c>
      <c r="G13462" s="1" t="str">
        <f t="shared" si="3090"/>
        <v>X</v>
      </c>
      <c r="H13462" s="1" t="str">
        <f t="shared" si="3090"/>
        <v>X</v>
      </c>
      <c r="I13462" s="1" t="str">
        <f t="shared" si="3090"/>
        <v>X</v>
      </c>
      <c r="J13462" s="1" t="str">
        <f t="shared" si="3090"/>
        <v>X</v>
      </c>
      <c r="K13462" s="1" t="str">
        <f t="shared" si="3090"/>
        <v>X</v>
      </c>
      <c r="L13462" s="1" t="str">
        <f t="shared" si="3090"/>
        <v>X</v>
      </c>
      <c r="M13462" s="1" t="str">
        <f t="shared" si="3090"/>
        <v>X</v>
      </c>
      <c r="N13462" t="s">
        <v>27</v>
      </c>
    </row>
    <row r="13463" spans="1:14" x14ac:dyDescent="0.25">
      <c r="A13463" t="s">
        <v>45</v>
      </c>
      <c r="B13463" t="s">
        <v>15</v>
      </c>
      <c r="C13463" t="s">
        <v>35</v>
      </c>
      <c r="D13463" t="s">
        <v>34</v>
      </c>
      <c r="E13463" t="s">
        <v>22</v>
      </c>
      <c r="F13463" t="s">
        <v>17</v>
      </c>
      <c r="G13463" s="1" t="str">
        <f t="shared" ref="G13463:M13465" si="3091">"..."</f>
        <v>...</v>
      </c>
      <c r="H13463" s="1" t="str">
        <f t="shared" si="3091"/>
        <v>...</v>
      </c>
      <c r="I13463" s="1" t="str">
        <f t="shared" si="3091"/>
        <v>...</v>
      </c>
      <c r="J13463" s="1" t="str">
        <f t="shared" si="3091"/>
        <v>...</v>
      </c>
      <c r="K13463" s="1" t="str">
        <f t="shared" si="3091"/>
        <v>...</v>
      </c>
      <c r="L13463" s="1" t="str">
        <f t="shared" si="3091"/>
        <v>...</v>
      </c>
      <c r="M13463" s="1" t="str">
        <f t="shared" si="3091"/>
        <v>...</v>
      </c>
      <c r="N13463" t="s">
        <v>30</v>
      </c>
    </row>
    <row r="13464" spans="1:14" x14ac:dyDescent="0.25">
      <c r="A13464" t="s">
        <v>45</v>
      </c>
      <c r="B13464" t="s">
        <v>15</v>
      </c>
      <c r="C13464" t="s">
        <v>35</v>
      </c>
      <c r="D13464" t="s">
        <v>34</v>
      </c>
      <c r="E13464" t="s">
        <v>22</v>
      </c>
      <c r="F13464" t="s">
        <v>18</v>
      </c>
      <c r="G13464" s="1" t="str">
        <f t="shared" si="3091"/>
        <v>...</v>
      </c>
      <c r="H13464" s="1" t="str">
        <f t="shared" si="3091"/>
        <v>...</v>
      </c>
      <c r="I13464" s="1" t="str">
        <f t="shared" si="3091"/>
        <v>...</v>
      </c>
      <c r="J13464" s="1" t="str">
        <f t="shared" si="3091"/>
        <v>...</v>
      </c>
      <c r="K13464" s="1" t="str">
        <f t="shared" si="3091"/>
        <v>...</v>
      </c>
      <c r="L13464" s="1" t="str">
        <f t="shared" si="3091"/>
        <v>...</v>
      </c>
      <c r="M13464" s="1" t="str">
        <f t="shared" si="3091"/>
        <v>...</v>
      </c>
      <c r="N13464" t="s">
        <v>30</v>
      </c>
    </row>
    <row r="13465" spans="1:14" x14ac:dyDescent="0.25">
      <c r="A13465" t="s">
        <v>45</v>
      </c>
      <c r="B13465" t="s">
        <v>15</v>
      </c>
      <c r="C13465" t="s">
        <v>35</v>
      </c>
      <c r="D13465" t="s">
        <v>34</v>
      </c>
      <c r="E13465" t="s">
        <v>22</v>
      </c>
      <c r="F13465" t="s">
        <v>19</v>
      </c>
      <c r="G13465" s="1" t="str">
        <f t="shared" si="3091"/>
        <v>...</v>
      </c>
      <c r="H13465" s="1" t="str">
        <f t="shared" si="3091"/>
        <v>...</v>
      </c>
      <c r="I13465" s="1" t="str">
        <f t="shared" si="3091"/>
        <v>...</v>
      </c>
      <c r="J13465" s="1" t="str">
        <f t="shared" si="3091"/>
        <v>...</v>
      </c>
      <c r="K13465" s="1" t="str">
        <f t="shared" si="3091"/>
        <v>...</v>
      </c>
      <c r="L13465" s="1" t="str">
        <f t="shared" si="3091"/>
        <v>...</v>
      </c>
      <c r="M13465" s="1" t="str">
        <f t="shared" si="3091"/>
        <v>...</v>
      </c>
      <c r="N13465" t="s">
        <v>30</v>
      </c>
    </row>
    <row r="13466" spans="1:14" x14ac:dyDescent="0.25">
      <c r="A13466" t="s">
        <v>45</v>
      </c>
      <c r="B13466" t="s">
        <v>15</v>
      </c>
      <c r="C13466" t="s">
        <v>35</v>
      </c>
      <c r="D13466" t="s">
        <v>34</v>
      </c>
      <c r="E13466" t="s">
        <v>22</v>
      </c>
      <c r="F13466" t="s">
        <v>20</v>
      </c>
      <c r="G13466" s="1" t="str">
        <f t="shared" ref="G13466:M13467" si="3092">"X"</f>
        <v>X</v>
      </c>
      <c r="H13466" s="1" t="str">
        <f t="shared" si="3092"/>
        <v>X</v>
      </c>
      <c r="I13466" s="1" t="str">
        <f t="shared" si="3092"/>
        <v>X</v>
      </c>
      <c r="J13466" s="1" t="str">
        <f t="shared" si="3092"/>
        <v>X</v>
      </c>
      <c r="K13466" s="1" t="str">
        <f t="shared" si="3092"/>
        <v>X</v>
      </c>
      <c r="L13466" s="1" t="str">
        <f t="shared" si="3092"/>
        <v>X</v>
      </c>
      <c r="M13466" s="1" t="str">
        <f t="shared" si="3092"/>
        <v>X</v>
      </c>
      <c r="N13466" t="s">
        <v>27</v>
      </c>
    </row>
    <row r="13467" spans="1:14" x14ac:dyDescent="0.25">
      <c r="A13467" t="s">
        <v>45</v>
      </c>
      <c r="B13467" t="s">
        <v>15</v>
      </c>
      <c r="C13467" t="s">
        <v>35</v>
      </c>
      <c r="D13467" t="s">
        <v>34</v>
      </c>
      <c r="E13467" t="s">
        <v>23</v>
      </c>
      <c r="F13467" t="s">
        <v>15</v>
      </c>
      <c r="G13467" s="1" t="str">
        <f t="shared" si="3092"/>
        <v>X</v>
      </c>
      <c r="H13467" s="1" t="str">
        <f t="shared" si="3092"/>
        <v>X</v>
      </c>
      <c r="I13467" s="1" t="str">
        <f t="shared" si="3092"/>
        <v>X</v>
      </c>
      <c r="J13467" s="1" t="str">
        <f t="shared" si="3092"/>
        <v>X</v>
      </c>
      <c r="K13467" s="1" t="str">
        <f t="shared" si="3092"/>
        <v>X</v>
      </c>
      <c r="L13467" s="1" t="str">
        <f t="shared" si="3092"/>
        <v>X</v>
      </c>
      <c r="M13467" s="1" t="str">
        <f t="shared" si="3092"/>
        <v>X</v>
      </c>
      <c r="N13467" t="s">
        <v>27</v>
      </c>
    </row>
    <row r="13468" spans="1:14" x14ac:dyDescent="0.25">
      <c r="A13468" t="s">
        <v>45</v>
      </c>
      <c r="B13468" t="s">
        <v>15</v>
      </c>
      <c r="C13468" t="s">
        <v>35</v>
      </c>
      <c r="D13468" t="s">
        <v>34</v>
      </c>
      <c r="E13468" t="s">
        <v>23</v>
      </c>
      <c r="F13468" t="s">
        <v>17</v>
      </c>
      <c r="G13468" s="1" t="str">
        <f t="shared" ref="G13468:M13468" si="3093">"..."</f>
        <v>...</v>
      </c>
      <c r="H13468" s="1" t="str">
        <f t="shared" si="3093"/>
        <v>...</v>
      </c>
      <c r="I13468" s="1" t="str">
        <f t="shared" si="3093"/>
        <v>...</v>
      </c>
      <c r="J13468" s="1" t="str">
        <f t="shared" si="3093"/>
        <v>...</v>
      </c>
      <c r="K13468" s="1" t="str">
        <f t="shared" si="3093"/>
        <v>...</v>
      </c>
      <c r="L13468" s="1" t="str">
        <f t="shared" si="3093"/>
        <v>...</v>
      </c>
      <c r="M13468" s="1" t="str">
        <f t="shared" si="3093"/>
        <v>...</v>
      </c>
      <c r="N13468" t="s">
        <v>30</v>
      </c>
    </row>
    <row r="13469" spans="1:14" x14ac:dyDescent="0.25">
      <c r="A13469" t="s">
        <v>45</v>
      </c>
      <c r="B13469" t="s">
        <v>15</v>
      </c>
      <c r="C13469" t="s">
        <v>35</v>
      </c>
      <c r="D13469" t="s">
        <v>34</v>
      </c>
      <c r="E13469" t="s">
        <v>23</v>
      </c>
      <c r="F13469" t="s">
        <v>18</v>
      </c>
      <c r="G13469" s="1" t="str">
        <f t="shared" ref="G13469:M13469" si="3094">"X"</f>
        <v>X</v>
      </c>
      <c r="H13469" s="1" t="str">
        <f t="shared" si="3094"/>
        <v>X</v>
      </c>
      <c r="I13469" s="1" t="str">
        <f t="shared" si="3094"/>
        <v>X</v>
      </c>
      <c r="J13469" s="1" t="str">
        <f t="shared" si="3094"/>
        <v>X</v>
      </c>
      <c r="K13469" s="1" t="str">
        <f t="shared" si="3094"/>
        <v>X</v>
      </c>
      <c r="L13469" s="1" t="str">
        <f t="shared" si="3094"/>
        <v>X</v>
      </c>
      <c r="M13469" s="1" t="str">
        <f t="shared" si="3094"/>
        <v>X</v>
      </c>
      <c r="N13469" t="s">
        <v>27</v>
      </c>
    </row>
    <row r="13470" spans="1:14" x14ac:dyDescent="0.25">
      <c r="A13470" t="s">
        <v>45</v>
      </c>
      <c r="B13470" t="s">
        <v>15</v>
      </c>
      <c r="C13470" t="s">
        <v>35</v>
      </c>
      <c r="D13470" t="s">
        <v>34</v>
      </c>
      <c r="E13470" t="s">
        <v>23</v>
      </c>
      <c r="F13470" t="s">
        <v>19</v>
      </c>
      <c r="G13470" s="1" t="str">
        <f t="shared" ref="G13470:M13470" si="3095">"..."</f>
        <v>...</v>
      </c>
      <c r="H13470" s="1" t="str">
        <f t="shared" si="3095"/>
        <v>...</v>
      </c>
      <c r="I13470" s="1" t="str">
        <f t="shared" si="3095"/>
        <v>...</v>
      </c>
      <c r="J13470" s="1" t="str">
        <f t="shared" si="3095"/>
        <v>...</v>
      </c>
      <c r="K13470" s="1" t="str">
        <f t="shared" si="3095"/>
        <v>...</v>
      </c>
      <c r="L13470" s="1" t="str">
        <f t="shared" si="3095"/>
        <v>...</v>
      </c>
      <c r="M13470" s="1" t="str">
        <f t="shared" si="3095"/>
        <v>...</v>
      </c>
      <c r="N13470" t="s">
        <v>30</v>
      </c>
    </row>
    <row r="13471" spans="1:14" x14ac:dyDescent="0.25">
      <c r="A13471" t="s">
        <v>45</v>
      </c>
      <c r="B13471" t="s">
        <v>15</v>
      </c>
      <c r="C13471" t="s">
        <v>35</v>
      </c>
      <c r="D13471" t="s">
        <v>34</v>
      </c>
      <c r="E13471" t="s">
        <v>23</v>
      </c>
      <c r="F13471" t="s">
        <v>20</v>
      </c>
      <c r="G13471" s="1" t="str">
        <f t="shared" ref="G13471:M13472" si="3096">"X"</f>
        <v>X</v>
      </c>
      <c r="H13471" s="1" t="str">
        <f t="shared" si="3096"/>
        <v>X</v>
      </c>
      <c r="I13471" s="1" t="str">
        <f t="shared" si="3096"/>
        <v>X</v>
      </c>
      <c r="J13471" s="1" t="str">
        <f t="shared" si="3096"/>
        <v>X</v>
      </c>
      <c r="K13471" s="1" t="str">
        <f t="shared" si="3096"/>
        <v>X</v>
      </c>
      <c r="L13471" s="1" t="str">
        <f t="shared" si="3096"/>
        <v>X</v>
      </c>
      <c r="M13471" s="1" t="str">
        <f t="shared" si="3096"/>
        <v>X</v>
      </c>
      <c r="N13471" t="s">
        <v>27</v>
      </c>
    </row>
    <row r="13472" spans="1:14" x14ac:dyDescent="0.25">
      <c r="A13472" t="s">
        <v>45</v>
      </c>
      <c r="B13472" t="s">
        <v>15</v>
      </c>
      <c r="C13472" t="s">
        <v>35</v>
      </c>
      <c r="D13472" t="s">
        <v>34</v>
      </c>
      <c r="E13472" t="s">
        <v>26</v>
      </c>
      <c r="F13472" t="s">
        <v>15</v>
      </c>
      <c r="G13472" s="1" t="str">
        <f t="shared" si="3096"/>
        <v>X</v>
      </c>
      <c r="H13472" s="1" t="str">
        <f t="shared" si="3096"/>
        <v>X</v>
      </c>
      <c r="I13472" s="1" t="str">
        <f t="shared" si="3096"/>
        <v>X</v>
      </c>
      <c r="J13472" s="1" t="str">
        <f t="shared" si="3096"/>
        <v>X</v>
      </c>
      <c r="K13472" s="1" t="str">
        <f t="shared" si="3096"/>
        <v>X</v>
      </c>
      <c r="L13472" s="1" t="str">
        <f t="shared" si="3096"/>
        <v>X</v>
      </c>
      <c r="M13472" s="1" t="str">
        <f t="shared" si="3096"/>
        <v>X</v>
      </c>
      <c r="N13472" t="s">
        <v>27</v>
      </c>
    </row>
    <row r="13473" spans="1:14" x14ac:dyDescent="0.25">
      <c r="A13473" t="s">
        <v>45</v>
      </c>
      <c r="B13473" t="s">
        <v>15</v>
      </c>
      <c r="C13473" t="s">
        <v>35</v>
      </c>
      <c r="D13473" t="s">
        <v>34</v>
      </c>
      <c r="E13473" t="s">
        <v>26</v>
      </c>
      <c r="F13473" t="s">
        <v>17</v>
      </c>
      <c r="G13473" s="1" t="str">
        <f t="shared" ref="G13473:M13475" si="3097">"..."</f>
        <v>...</v>
      </c>
      <c r="H13473" s="1" t="str">
        <f t="shared" si="3097"/>
        <v>...</v>
      </c>
      <c r="I13473" s="1" t="str">
        <f t="shared" si="3097"/>
        <v>...</v>
      </c>
      <c r="J13473" s="1" t="str">
        <f t="shared" si="3097"/>
        <v>...</v>
      </c>
      <c r="K13473" s="1" t="str">
        <f t="shared" si="3097"/>
        <v>...</v>
      </c>
      <c r="L13473" s="1" t="str">
        <f t="shared" si="3097"/>
        <v>...</v>
      </c>
      <c r="M13473" s="1" t="str">
        <f t="shared" si="3097"/>
        <v>...</v>
      </c>
      <c r="N13473" t="s">
        <v>30</v>
      </c>
    </row>
    <row r="13474" spans="1:14" x14ac:dyDescent="0.25">
      <c r="A13474" t="s">
        <v>45</v>
      </c>
      <c r="B13474" t="s">
        <v>15</v>
      </c>
      <c r="C13474" t="s">
        <v>35</v>
      </c>
      <c r="D13474" t="s">
        <v>34</v>
      </c>
      <c r="E13474" t="s">
        <v>26</v>
      </c>
      <c r="F13474" t="s">
        <v>18</v>
      </c>
      <c r="G13474" s="1" t="str">
        <f t="shared" si="3097"/>
        <v>...</v>
      </c>
      <c r="H13474" s="1" t="str">
        <f t="shared" si="3097"/>
        <v>...</v>
      </c>
      <c r="I13474" s="1" t="str">
        <f t="shared" si="3097"/>
        <v>...</v>
      </c>
      <c r="J13474" s="1" t="str">
        <f t="shared" si="3097"/>
        <v>...</v>
      </c>
      <c r="K13474" s="1" t="str">
        <f t="shared" si="3097"/>
        <v>...</v>
      </c>
      <c r="L13474" s="1" t="str">
        <f t="shared" si="3097"/>
        <v>...</v>
      </c>
      <c r="M13474" s="1" t="str">
        <f t="shared" si="3097"/>
        <v>...</v>
      </c>
      <c r="N13474" t="s">
        <v>30</v>
      </c>
    </row>
    <row r="13475" spans="1:14" x14ac:dyDescent="0.25">
      <c r="A13475" t="s">
        <v>45</v>
      </c>
      <c r="B13475" t="s">
        <v>15</v>
      </c>
      <c r="C13475" t="s">
        <v>35</v>
      </c>
      <c r="D13475" t="s">
        <v>34</v>
      </c>
      <c r="E13475" t="s">
        <v>26</v>
      </c>
      <c r="F13475" t="s">
        <v>19</v>
      </c>
      <c r="G13475" s="1" t="str">
        <f t="shared" si="3097"/>
        <v>...</v>
      </c>
      <c r="H13475" s="1" t="str">
        <f t="shared" si="3097"/>
        <v>...</v>
      </c>
      <c r="I13475" s="1" t="str">
        <f t="shared" si="3097"/>
        <v>...</v>
      </c>
      <c r="J13475" s="1" t="str">
        <f t="shared" si="3097"/>
        <v>...</v>
      </c>
      <c r="K13475" s="1" t="str">
        <f t="shared" si="3097"/>
        <v>...</v>
      </c>
      <c r="L13475" s="1" t="str">
        <f t="shared" si="3097"/>
        <v>...</v>
      </c>
      <c r="M13475" s="1" t="str">
        <f t="shared" si="3097"/>
        <v>...</v>
      </c>
      <c r="N13475" t="s">
        <v>30</v>
      </c>
    </row>
    <row r="13476" spans="1:14" x14ac:dyDescent="0.25">
      <c r="A13476" t="s">
        <v>45</v>
      </c>
      <c r="B13476" t="s">
        <v>15</v>
      </c>
      <c r="C13476" t="s">
        <v>35</v>
      </c>
      <c r="D13476" t="s">
        <v>34</v>
      </c>
      <c r="E13476" t="s">
        <v>26</v>
      </c>
      <c r="F13476" t="s">
        <v>20</v>
      </c>
      <c r="G13476" s="1" t="str">
        <f t="shared" ref="G13476:M13476" si="3098">"X"</f>
        <v>X</v>
      </c>
      <c r="H13476" s="1" t="str">
        <f t="shared" si="3098"/>
        <v>X</v>
      </c>
      <c r="I13476" s="1" t="str">
        <f t="shared" si="3098"/>
        <v>X</v>
      </c>
      <c r="J13476" s="1" t="str">
        <f t="shared" si="3098"/>
        <v>X</v>
      </c>
      <c r="K13476" s="1" t="str">
        <f t="shared" si="3098"/>
        <v>X</v>
      </c>
      <c r="L13476" s="1" t="str">
        <f t="shared" si="3098"/>
        <v>X</v>
      </c>
      <c r="M13476" s="1" t="str">
        <f t="shared" si="3098"/>
        <v>X</v>
      </c>
      <c r="N13476" t="s">
        <v>27</v>
      </c>
    </row>
    <row r="13477" spans="1:14" x14ac:dyDescent="0.25">
      <c r="A13477" t="s">
        <v>45</v>
      </c>
      <c r="B13477" t="s">
        <v>15</v>
      </c>
      <c r="C13477" t="s">
        <v>36</v>
      </c>
      <c r="D13477" t="s">
        <v>15</v>
      </c>
      <c r="E13477" t="s">
        <v>15</v>
      </c>
      <c r="F13477" t="s">
        <v>15</v>
      </c>
      <c r="G13477" s="1">
        <f>VALUE(28418.82)</f>
        <v>28418.82</v>
      </c>
      <c r="H13477" s="1">
        <f>VALUE(26304.83)</f>
        <v>26304.83</v>
      </c>
      <c r="I13477" s="1">
        <f>VALUE(3289)</f>
        <v>3289</v>
      </c>
      <c r="J13477" s="1">
        <f>VALUE(3785)</f>
        <v>3785</v>
      </c>
      <c r="K13477" s="1">
        <f>VALUE(4585)</f>
        <v>4585</v>
      </c>
      <c r="L13477" s="1">
        <f>VALUE(5525)</f>
        <v>5525</v>
      </c>
      <c r="M13477" s="1">
        <f>VALUE(6700)</f>
        <v>6700</v>
      </c>
      <c r="N13477" t="s">
        <v>16</v>
      </c>
    </row>
    <row r="13478" spans="1:14" x14ac:dyDescent="0.25">
      <c r="A13478" t="s">
        <v>45</v>
      </c>
      <c r="B13478" t="s">
        <v>15</v>
      </c>
      <c r="C13478" t="s">
        <v>36</v>
      </c>
      <c r="D13478" t="s">
        <v>15</v>
      </c>
      <c r="E13478" t="s">
        <v>15</v>
      </c>
      <c r="F13478" t="s">
        <v>17</v>
      </c>
      <c r="G13478" s="2">
        <f>VALUE(1960.58)</f>
        <v>1960.58</v>
      </c>
      <c r="H13478" s="3">
        <f>VALUE(1820.18)</f>
        <v>1820.18</v>
      </c>
      <c r="I13478" s="4">
        <f>VALUE(3978)</f>
        <v>3978</v>
      </c>
      <c r="J13478" s="1">
        <f>VALUE(4873)</f>
        <v>4873</v>
      </c>
      <c r="K13478" s="1">
        <f>VALUE(5917)</f>
        <v>5917</v>
      </c>
      <c r="L13478" s="1">
        <f>VALUE(7894)</f>
        <v>7894</v>
      </c>
      <c r="M13478" s="8">
        <f>VALUE(9563)</f>
        <v>9563</v>
      </c>
      <c r="N13478" t="s">
        <v>25</v>
      </c>
    </row>
    <row r="13479" spans="1:14" x14ac:dyDescent="0.25">
      <c r="A13479" t="s">
        <v>45</v>
      </c>
      <c r="B13479" t="s">
        <v>15</v>
      </c>
      <c r="C13479" t="s">
        <v>36</v>
      </c>
      <c r="D13479" t="s">
        <v>15</v>
      </c>
      <c r="E13479" t="s">
        <v>15</v>
      </c>
      <c r="F13479" t="s">
        <v>18</v>
      </c>
      <c r="G13479" s="2">
        <f>VALUE(2356.46)</f>
        <v>2356.46</v>
      </c>
      <c r="H13479" s="3">
        <f>VALUE(2250.54)</f>
        <v>2250.54</v>
      </c>
      <c r="I13479" s="1">
        <f>VALUE(4063)</f>
        <v>4063</v>
      </c>
      <c r="J13479" s="1">
        <f>VALUE(4633)</f>
        <v>4633</v>
      </c>
      <c r="K13479" s="1">
        <f>VALUE(5417)</f>
        <v>5417</v>
      </c>
      <c r="L13479" s="1">
        <f>VALUE(6283)</f>
        <v>6283</v>
      </c>
      <c r="M13479" s="1">
        <f>VALUE(7721)</f>
        <v>7721</v>
      </c>
      <c r="N13479" t="s">
        <v>25</v>
      </c>
    </row>
    <row r="13480" spans="1:14" x14ac:dyDescent="0.25">
      <c r="A13480" t="s">
        <v>45</v>
      </c>
      <c r="B13480" t="s">
        <v>15</v>
      </c>
      <c r="C13480" t="s">
        <v>36</v>
      </c>
      <c r="D13480" t="s">
        <v>15</v>
      </c>
      <c r="E13480" t="s">
        <v>15</v>
      </c>
      <c r="F13480" t="s">
        <v>19</v>
      </c>
      <c r="G13480" s="1">
        <f>VALUE(2877.81)</f>
        <v>2877.81</v>
      </c>
      <c r="H13480" s="1">
        <f>VALUE(2720.63)</f>
        <v>2720.63</v>
      </c>
      <c r="I13480" s="1">
        <f>VALUE(3383)</f>
        <v>3383</v>
      </c>
      <c r="J13480" s="1">
        <f>VALUE(4002)</f>
        <v>4002</v>
      </c>
      <c r="K13480" s="1">
        <f>VALUE(4846)</f>
        <v>4846</v>
      </c>
      <c r="L13480" s="1">
        <f>VALUE(6042)</f>
        <v>6042</v>
      </c>
      <c r="M13480" s="1">
        <f>VALUE(7176)</f>
        <v>7176</v>
      </c>
      <c r="N13480" t="s">
        <v>16</v>
      </c>
    </row>
    <row r="13481" spans="1:14" x14ac:dyDescent="0.25">
      <c r="A13481" t="s">
        <v>45</v>
      </c>
      <c r="B13481" t="s">
        <v>15</v>
      </c>
      <c r="C13481" t="s">
        <v>36</v>
      </c>
      <c r="D13481" t="s">
        <v>15</v>
      </c>
      <c r="E13481" t="s">
        <v>15</v>
      </c>
      <c r="F13481" t="s">
        <v>20</v>
      </c>
      <c r="G13481" s="1">
        <f>VALUE(21223.97)</f>
        <v>21223.97</v>
      </c>
      <c r="H13481" s="1">
        <f>VALUE(19513.48)</f>
        <v>19513.48</v>
      </c>
      <c r="I13481" s="1">
        <f>VALUE(3235)</f>
        <v>3235</v>
      </c>
      <c r="J13481" s="1">
        <f>VALUE(3624)</f>
        <v>3624</v>
      </c>
      <c r="K13481" s="1">
        <f>VALUE(4343)</f>
        <v>4343</v>
      </c>
      <c r="L13481" s="1">
        <f>VALUE(5255)</f>
        <v>5255</v>
      </c>
      <c r="M13481" s="1">
        <f>VALUE(6151)</f>
        <v>6151</v>
      </c>
      <c r="N13481" t="s">
        <v>16</v>
      </c>
    </row>
    <row r="13482" spans="1:14" x14ac:dyDescent="0.25">
      <c r="A13482" t="s">
        <v>45</v>
      </c>
      <c r="B13482" t="s">
        <v>15</v>
      </c>
      <c r="C13482" t="s">
        <v>36</v>
      </c>
      <c r="D13482" t="s">
        <v>15</v>
      </c>
      <c r="E13482" t="s">
        <v>21</v>
      </c>
      <c r="F13482" t="s">
        <v>15</v>
      </c>
      <c r="G13482" s="1">
        <f>VALUE(9817.96)</f>
        <v>9817.9599999999991</v>
      </c>
      <c r="H13482" s="1">
        <f>VALUE(9161.16)</f>
        <v>9161.16</v>
      </c>
      <c r="I13482" s="1">
        <f>VALUE(3473)</f>
        <v>3473</v>
      </c>
      <c r="J13482" s="1">
        <f>VALUE(4208)</f>
        <v>4208</v>
      </c>
      <c r="K13482" s="1">
        <f>VALUE(5099)</f>
        <v>5099</v>
      </c>
      <c r="L13482" s="1">
        <f>VALUE(6266)</f>
        <v>6266</v>
      </c>
      <c r="M13482" s="1">
        <f>VALUE(7542)</f>
        <v>7542</v>
      </c>
      <c r="N13482" t="s">
        <v>16</v>
      </c>
    </row>
    <row r="13483" spans="1:14" x14ac:dyDescent="0.25">
      <c r="A13483" t="s">
        <v>45</v>
      </c>
      <c r="B13483" t="s">
        <v>15</v>
      </c>
      <c r="C13483" t="s">
        <v>36</v>
      </c>
      <c r="D13483" t="s">
        <v>15</v>
      </c>
      <c r="E13483" t="s">
        <v>21</v>
      </c>
      <c r="F13483" t="s">
        <v>17</v>
      </c>
      <c r="G13483" s="2">
        <f>VALUE(1275.77)</f>
        <v>1275.77</v>
      </c>
      <c r="H13483" s="3">
        <f>VALUE(1175.55)</f>
        <v>1175.55</v>
      </c>
      <c r="I13483" s="4">
        <f>VALUE(4261)</f>
        <v>4261</v>
      </c>
      <c r="J13483" s="1">
        <f>VALUE(5024)</f>
        <v>5024</v>
      </c>
      <c r="K13483" s="6">
        <f>VALUE(6031)</f>
        <v>6031</v>
      </c>
      <c r="L13483" s="7">
        <f>VALUE(7415)</f>
        <v>7415</v>
      </c>
      <c r="M13483" s="8">
        <f>VALUE(10204)</f>
        <v>10204</v>
      </c>
      <c r="N13483" t="s">
        <v>25</v>
      </c>
    </row>
    <row r="13484" spans="1:14" x14ac:dyDescent="0.25">
      <c r="A13484" t="s">
        <v>45</v>
      </c>
      <c r="B13484" t="s">
        <v>15</v>
      </c>
      <c r="C13484" t="s">
        <v>36</v>
      </c>
      <c r="D13484" t="s">
        <v>15</v>
      </c>
      <c r="E13484" t="s">
        <v>21</v>
      </c>
      <c r="F13484" t="s">
        <v>18</v>
      </c>
      <c r="G13484" s="2">
        <f>VALUE(1050.72)</f>
        <v>1050.72</v>
      </c>
      <c r="H13484" s="3">
        <f>VALUE(981.73)</f>
        <v>981.73</v>
      </c>
      <c r="I13484" s="1">
        <f>VALUE(4117)</f>
        <v>4117</v>
      </c>
      <c r="J13484" s="1">
        <f>VALUE(4951)</f>
        <v>4951</v>
      </c>
      <c r="K13484" s="1">
        <f>VALUE(5831)</f>
        <v>5831</v>
      </c>
      <c r="L13484" s="1">
        <f>VALUE(7083)</f>
        <v>7083</v>
      </c>
      <c r="M13484" s="1">
        <f>VALUE(8667)</f>
        <v>8667</v>
      </c>
      <c r="N13484" t="s">
        <v>25</v>
      </c>
    </row>
    <row r="13485" spans="1:14" x14ac:dyDescent="0.25">
      <c r="A13485" t="s">
        <v>45</v>
      </c>
      <c r="B13485" t="s">
        <v>15</v>
      </c>
      <c r="C13485" t="s">
        <v>36</v>
      </c>
      <c r="D13485" t="s">
        <v>15</v>
      </c>
      <c r="E13485" t="s">
        <v>21</v>
      </c>
      <c r="F13485" t="s">
        <v>19</v>
      </c>
      <c r="G13485" s="2">
        <f>VALUE(1411.37)</f>
        <v>1411.37</v>
      </c>
      <c r="H13485" s="3">
        <f>VALUE(1308.75)</f>
        <v>1308.75</v>
      </c>
      <c r="I13485" s="1">
        <f>VALUE(3250)</f>
        <v>3250</v>
      </c>
      <c r="J13485" s="5">
        <f>VALUE(4209)</f>
        <v>4209</v>
      </c>
      <c r="K13485" s="1">
        <f>VALUE(5363)</f>
        <v>5363</v>
      </c>
      <c r="L13485" s="1">
        <f>VALUE(6588)</f>
        <v>6588</v>
      </c>
      <c r="M13485" s="1">
        <f>VALUE(7632)</f>
        <v>7632</v>
      </c>
      <c r="N13485" t="s">
        <v>25</v>
      </c>
    </row>
    <row r="13486" spans="1:14" x14ac:dyDescent="0.25">
      <c r="A13486" t="s">
        <v>45</v>
      </c>
      <c r="B13486" t="s">
        <v>15</v>
      </c>
      <c r="C13486" t="s">
        <v>36</v>
      </c>
      <c r="D13486" t="s">
        <v>15</v>
      </c>
      <c r="E13486" t="s">
        <v>21</v>
      </c>
      <c r="F13486" t="s">
        <v>20</v>
      </c>
      <c r="G13486" s="1">
        <f>VALUE(6080.1)</f>
        <v>6080.1</v>
      </c>
      <c r="H13486" s="1">
        <f>VALUE(5695.13)</f>
        <v>5695.13</v>
      </c>
      <c r="I13486" s="1">
        <f>VALUE(3445)</f>
        <v>3445</v>
      </c>
      <c r="J13486" s="1">
        <f>VALUE(3955)</f>
        <v>3955</v>
      </c>
      <c r="K13486" s="1">
        <f>VALUE(4889)</f>
        <v>4889</v>
      </c>
      <c r="L13486" s="1">
        <f>VALUE(5682)</f>
        <v>5682</v>
      </c>
      <c r="M13486" s="1">
        <f>VALUE(6790)</f>
        <v>6790</v>
      </c>
      <c r="N13486" t="s">
        <v>16</v>
      </c>
    </row>
    <row r="13487" spans="1:14" x14ac:dyDescent="0.25">
      <c r="A13487" t="s">
        <v>45</v>
      </c>
      <c r="B13487" t="s">
        <v>15</v>
      </c>
      <c r="C13487" t="s">
        <v>36</v>
      </c>
      <c r="D13487" t="s">
        <v>15</v>
      </c>
      <c r="E13487" t="s">
        <v>22</v>
      </c>
      <c r="F13487" t="s">
        <v>15</v>
      </c>
      <c r="G13487" s="1">
        <f>VALUE(11278.81)</f>
        <v>11278.81</v>
      </c>
      <c r="H13487" s="1">
        <f>VALUE(10560.7)</f>
        <v>10560.7</v>
      </c>
      <c r="I13487" s="1">
        <f>VALUE(3394)</f>
        <v>3394</v>
      </c>
      <c r="J13487" s="1">
        <f>VALUE(3931)</f>
        <v>3931</v>
      </c>
      <c r="K13487" s="1">
        <f>VALUE(4643)</f>
        <v>4643</v>
      </c>
      <c r="L13487" s="1">
        <f>VALUE(5426)</f>
        <v>5426</v>
      </c>
      <c r="M13487" s="1">
        <f>VALUE(6321)</f>
        <v>6321</v>
      </c>
      <c r="N13487" t="s">
        <v>16</v>
      </c>
    </row>
    <row r="13488" spans="1:14" x14ac:dyDescent="0.25">
      <c r="A13488" t="s">
        <v>45</v>
      </c>
      <c r="B13488" t="s">
        <v>15</v>
      </c>
      <c r="C13488" t="s">
        <v>36</v>
      </c>
      <c r="D13488" t="s">
        <v>15</v>
      </c>
      <c r="E13488" t="s">
        <v>22</v>
      </c>
      <c r="F13488" t="s">
        <v>17</v>
      </c>
      <c r="G13488" s="2">
        <f>VALUE(628.11)</f>
        <v>628.11</v>
      </c>
      <c r="H13488" s="3">
        <f>VALUE(587.25)</f>
        <v>587.25</v>
      </c>
      <c r="I13488" s="4">
        <f>VALUE(3721)</f>
        <v>3721</v>
      </c>
      <c r="J13488" s="1">
        <f>VALUE(4850)</f>
        <v>4850</v>
      </c>
      <c r="K13488" s="1">
        <f>VALUE(5979)</f>
        <v>5979</v>
      </c>
      <c r="L13488" s="1">
        <f>VALUE(8367)</f>
        <v>8367</v>
      </c>
      <c r="M13488" s="8">
        <f>VALUE(8645)</f>
        <v>8645</v>
      </c>
      <c r="N13488" t="s">
        <v>25</v>
      </c>
    </row>
    <row r="13489" spans="1:14" x14ac:dyDescent="0.25">
      <c r="A13489" t="s">
        <v>45</v>
      </c>
      <c r="B13489" t="s">
        <v>15</v>
      </c>
      <c r="C13489" t="s">
        <v>36</v>
      </c>
      <c r="D13489" t="s">
        <v>15</v>
      </c>
      <c r="E13489" t="s">
        <v>22</v>
      </c>
      <c r="F13489" t="s">
        <v>18</v>
      </c>
      <c r="G13489" s="2">
        <f>VALUE(1023.26)</f>
        <v>1023.26</v>
      </c>
      <c r="H13489" s="3">
        <f>VALUE(989.21)</f>
        <v>989.21</v>
      </c>
      <c r="I13489" s="4">
        <f>VALUE(4116)</f>
        <v>4116</v>
      </c>
      <c r="J13489" s="1">
        <f>VALUE(4512)</f>
        <v>4512</v>
      </c>
      <c r="K13489" s="1">
        <f>VALUE(5308)</f>
        <v>5308</v>
      </c>
      <c r="L13489" s="1">
        <f>VALUE(5779)</f>
        <v>5779</v>
      </c>
      <c r="M13489" s="1">
        <f>VALUE(6509)</f>
        <v>6509</v>
      </c>
      <c r="N13489" t="s">
        <v>25</v>
      </c>
    </row>
    <row r="13490" spans="1:14" x14ac:dyDescent="0.25">
      <c r="A13490" t="s">
        <v>45</v>
      </c>
      <c r="B13490" t="s">
        <v>15</v>
      </c>
      <c r="C13490" t="s">
        <v>36</v>
      </c>
      <c r="D13490" t="s">
        <v>15</v>
      </c>
      <c r="E13490" t="s">
        <v>22</v>
      </c>
      <c r="F13490" t="s">
        <v>19</v>
      </c>
      <c r="G13490" s="2">
        <f>VALUE(1210.45)</f>
        <v>1210.45</v>
      </c>
      <c r="H13490" s="3">
        <f>VALUE(1171.74)</f>
        <v>1171.74</v>
      </c>
      <c r="I13490" s="1">
        <f>VALUE(3412)</f>
        <v>3412</v>
      </c>
      <c r="J13490" s="1">
        <f>VALUE(4024)</f>
        <v>4024</v>
      </c>
      <c r="K13490" s="1">
        <f>VALUE(4664)</f>
        <v>4664</v>
      </c>
      <c r="L13490" s="1">
        <f>VALUE(5471)</f>
        <v>5471</v>
      </c>
      <c r="M13490" s="1">
        <f>VALUE(6588)</f>
        <v>6588</v>
      </c>
      <c r="N13490" t="s">
        <v>25</v>
      </c>
    </row>
    <row r="13491" spans="1:14" x14ac:dyDescent="0.25">
      <c r="A13491" t="s">
        <v>45</v>
      </c>
      <c r="B13491" t="s">
        <v>15</v>
      </c>
      <c r="C13491" t="s">
        <v>36</v>
      </c>
      <c r="D13491" t="s">
        <v>15</v>
      </c>
      <c r="E13491" t="s">
        <v>22</v>
      </c>
      <c r="F13491" t="s">
        <v>20</v>
      </c>
      <c r="G13491" s="1">
        <f>VALUE(8416.99)</f>
        <v>8416.99</v>
      </c>
      <c r="H13491" s="1">
        <f>VALUE(7812.5)</f>
        <v>7812.5</v>
      </c>
      <c r="I13491" s="1">
        <f>VALUE(3333)</f>
        <v>3333</v>
      </c>
      <c r="J13491" s="1">
        <f>VALUE(3836)</f>
        <v>3836</v>
      </c>
      <c r="K13491" s="1">
        <f>VALUE(4504)</f>
        <v>4504</v>
      </c>
      <c r="L13491" s="1">
        <f>VALUE(5240)</f>
        <v>5240</v>
      </c>
      <c r="M13491" s="1">
        <f>VALUE(6049)</f>
        <v>6049</v>
      </c>
      <c r="N13491" t="s">
        <v>16</v>
      </c>
    </row>
    <row r="13492" spans="1:14" x14ac:dyDescent="0.25">
      <c r="A13492" t="s">
        <v>45</v>
      </c>
      <c r="B13492" t="s">
        <v>15</v>
      </c>
      <c r="C13492" t="s">
        <v>36</v>
      </c>
      <c r="D13492" t="s">
        <v>15</v>
      </c>
      <c r="E13492" t="s">
        <v>23</v>
      </c>
      <c r="F13492" t="s">
        <v>15</v>
      </c>
      <c r="G13492" s="1">
        <f>VALUE(7081.49)</f>
        <v>7081.49</v>
      </c>
      <c r="H13492" s="1">
        <f>VALUE(6368.59)</f>
        <v>6368.59</v>
      </c>
      <c r="I13492" s="1">
        <f>VALUE(3099)</f>
        <v>3099</v>
      </c>
      <c r="J13492" s="1">
        <f>VALUE(3422)</f>
        <v>3422</v>
      </c>
      <c r="K13492" s="1">
        <f>VALUE(3839)</f>
        <v>3839</v>
      </c>
      <c r="L13492" s="1">
        <f>VALUE(4545)</f>
        <v>4545</v>
      </c>
      <c r="M13492" s="1">
        <f>VALUE(5416)</f>
        <v>5416</v>
      </c>
      <c r="N13492" t="s">
        <v>16</v>
      </c>
    </row>
    <row r="13493" spans="1:14" x14ac:dyDescent="0.25">
      <c r="A13493" t="s">
        <v>45</v>
      </c>
      <c r="B13493" t="s">
        <v>15</v>
      </c>
      <c r="C13493" t="s">
        <v>36</v>
      </c>
      <c r="D13493" t="s">
        <v>15</v>
      </c>
      <c r="E13493" t="s">
        <v>23</v>
      </c>
      <c r="F13493" t="s">
        <v>17</v>
      </c>
      <c r="G13493" s="1" t="str">
        <f t="shared" ref="G13493:M13494" si="3099">"X"</f>
        <v>X</v>
      </c>
      <c r="H13493" s="1" t="str">
        <f t="shared" si="3099"/>
        <v>X</v>
      </c>
      <c r="I13493" s="1" t="str">
        <f t="shared" si="3099"/>
        <v>X</v>
      </c>
      <c r="J13493" s="1" t="str">
        <f t="shared" si="3099"/>
        <v>X</v>
      </c>
      <c r="K13493" s="1" t="str">
        <f t="shared" si="3099"/>
        <v>X</v>
      </c>
      <c r="L13493" s="1" t="str">
        <f t="shared" si="3099"/>
        <v>X</v>
      </c>
      <c r="M13493" s="1" t="str">
        <f t="shared" si="3099"/>
        <v>X</v>
      </c>
      <c r="N13493" t="s">
        <v>27</v>
      </c>
    </row>
    <row r="13494" spans="1:14" x14ac:dyDescent="0.25">
      <c r="A13494" t="s">
        <v>45</v>
      </c>
      <c r="B13494" t="s">
        <v>15</v>
      </c>
      <c r="C13494" t="s">
        <v>36</v>
      </c>
      <c r="D13494" t="s">
        <v>15</v>
      </c>
      <c r="E13494" t="s">
        <v>23</v>
      </c>
      <c r="F13494" t="s">
        <v>18</v>
      </c>
      <c r="G13494" s="1" t="str">
        <f t="shared" si="3099"/>
        <v>X</v>
      </c>
      <c r="H13494" s="1" t="str">
        <f t="shared" si="3099"/>
        <v>X</v>
      </c>
      <c r="I13494" s="1" t="str">
        <f t="shared" si="3099"/>
        <v>X</v>
      </c>
      <c r="J13494" s="1" t="str">
        <f t="shared" si="3099"/>
        <v>X</v>
      </c>
      <c r="K13494" s="1" t="str">
        <f t="shared" si="3099"/>
        <v>X</v>
      </c>
      <c r="L13494" s="1" t="str">
        <f t="shared" si="3099"/>
        <v>X</v>
      </c>
      <c r="M13494" s="1" t="str">
        <f t="shared" si="3099"/>
        <v>X</v>
      </c>
      <c r="N13494" t="s">
        <v>27</v>
      </c>
    </row>
    <row r="13495" spans="1:14" x14ac:dyDescent="0.25">
      <c r="A13495" t="s">
        <v>45</v>
      </c>
      <c r="B13495" t="s">
        <v>15</v>
      </c>
      <c r="C13495" t="s">
        <v>36</v>
      </c>
      <c r="D13495" t="s">
        <v>15</v>
      </c>
      <c r="E13495" t="s">
        <v>23</v>
      </c>
      <c r="F13495" t="s">
        <v>19</v>
      </c>
      <c r="G13495" s="2">
        <f>VALUE(254.51)</f>
        <v>254.51</v>
      </c>
      <c r="H13495" s="3">
        <f>VALUE(238.62)</f>
        <v>238.62</v>
      </c>
      <c r="I13495" s="4">
        <f>VALUE(3422)</f>
        <v>3422</v>
      </c>
      <c r="J13495" s="1">
        <f>VALUE(3665)</f>
        <v>3665</v>
      </c>
      <c r="K13495" s="1">
        <f>VALUE(4199)</f>
        <v>4199</v>
      </c>
      <c r="L13495" s="1">
        <f>VALUE(4972)</f>
        <v>4972</v>
      </c>
      <c r="M13495" s="8">
        <f>VALUE(5826)</f>
        <v>5826</v>
      </c>
      <c r="N13495" t="s">
        <v>25</v>
      </c>
    </row>
    <row r="13496" spans="1:14" x14ac:dyDescent="0.25">
      <c r="A13496" t="s">
        <v>45</v>
      </c>
      <c r="B13496" t="s">
        <v>15</v>
      </c>
      <c r="C13496" t="s">
        <v>36</v>
      </c>
      <c r="D13496" t="s">
        <v>15</v>
      </c>
      <c r="E13496" t="s">
        <v>23</v>
      </c>
      <c r="F13496" t="s">
        <v>20</v>
      </c>
      <c r="G13496" s="1">
        <f>VALUE(6514.42)</f>
        <v>6514.42</v>
      </c>
      <c r="H13496" s="1">
        <f>VALUE(5819.15)</f>
        <v>5819.15</v>
      </c>
      <c r="I13496" s="1">
        <f>VALUE(3083)</f>
        <v>3083</v>
      </c>
      <c r="J13496" s="1">
        <f>VALUE(3402)</f>
        <v>3402</v>
      </c>
      <c r="K13496" s="1">
        <f>VALUE(3800)</f>
        <v>3800</v>
      </c>
      <c r="L13496" s="1">
        <f>VALUE(4435)</f>
        <v>4435</v>
      </c>
      <c r="M13496" s="1">
        <f>VALUE(5391)</f>
        <v>5391</v>
      </c>
      <c r="N13496" t="s">
        <v>16</v>
      </c>
    </row>
    <row r="13497" spans="1:14" x14ac:dyDescent="0.25">
      <c r="A13497" t="s">
        <v>45</v>
      </c>
      <c r="B13497" t="s">
        <v>15</v>
      </c>
      <c r="C13497" t="s">
        <v>36</v>
      </c>
      <c r="D13497" t="s">
        <v>15</v>
      </c>
      <c r="E13497" t="s">
        <v>26</v>
      </c>
      <c r="F13497" t="s">
        <v>15</v>
      </c>
      <c r="G13497" s="2">
        <f>VALUE(240.56)</f>
        <v>240.56</v>
      </c>
      <c r="H13497" s="3">
        <f>VALUE(214.38)</f>
        <v>214.38</v>
      </c>
      <c r="I13497" s="1">
        <f>VALUE(3258)</f>
        <v>3258</v>
      </c>
      <c r="J13497" s="1">
        <f>VALUE(3674)</f>
        <v>3674</v>
      </c>
      <c r="K13497" s="6">
        <f>VALUE(4503)</f>
        <v>4503</v>
      </c>
      <c r="L13497" s="1">
        <f>VALUE(6736)</f>
        <v>6736</v>
      </c>
      <c r="M13497" s="1">
        <f>VALUE(8131)</f>
        <v>8131</v>
      </c>
      <c r="N13497" t="s">
        <v>25</v>
      </c>
    </row>
    <row r="13498" spans="1:14" x14ac:dyDescent="0.25">
      <c r="A13498" t="s">
        <v>45</v>
      </c>
      <c r="B13498" t="s">
        <v>15</v>
      </c>
      <c r="C13498" t="s">
        <v>36</v>
      </c>
      <c r="D13498" t="s">
        <v>15</v>
      </c>
      <c r="E13498" t="s">
        <v>26</v>
      </c>
      <c r="F13498" t="s">
        <v>17</v>
      </c>
      <c r="G13498" s="1" t="str">
        <f t="shared" ref="G13498:M13500" si="3100">"X"</f>
        <v>X</v>
      </c>
      <c r="H13498" s="1" t="str">
        <f t="shared" si="3100"/>
        <v>X</v>
      </c>
      <c r="I13498" s="1" t="str">
        <f t="shared" si="3100"/>
        <v>X</v>
      </c>
      <c r="J13498" s="1" t="str">
        <f t="shared" si="3100"/>
        <v>X</v>
      </c>
      <c r="K13498" s="1" t="str">
        <f t="shared" si="3100"/>
        <v>X</v>
      </c>
      <c r="L13498" s="1" t="str">
        <f t="shared" si="3100"/>
        <v>X</v>
      </c>
      <c r="M13498" s="1" t="str">
        <f t="shared" si="3100"/>
        <v>X</v>
      </c>
      <c r="N13498" t="s">
        <v>27</v>
      </c>
    </row>
    <row r="13499" spans="1:14" x14ac:dyDescent="0.25">
      <c r="A13499" t="s">
        <v>45</v>
      </c>
      <c r="B13499" t="s">
        <v>15</v>
      </c>
      <c r="C13499" t="s">
        <v>36</v>
      </c>
      <c r="D13499" t="s">
        <v>15</v>
      </c>
      <c r="E13499" t="s">
        <v>26</v>
      </c>
      <c r="F13499" t="s">
        <v>18</v>
      </c>
      <c r="G13499" s="1" t="str">
        <f t="shared" si="3100"/>
        <v>X</v>
      </c>
      <c r="H13499" s="1" t="str">
        <f t="shared" si="3100"/>
        <v>X</v>
      </c>
      <c r="I13499" s="1" t="str">
        <f t="shared" si="3100"/>
        <v>X</v>
      </c>
      <c r="J13499" s="1" t="str">
        <f t="shared" si="3100"/>
        <v>X</v>
      </c>
      <c r="K13499" s="1" t="str">
        <f t="shared" si="3100"/>
        <v>X</v>
      </c>
      <c r="L13499" s="1" t="str">
        <f t="shared" si="3100"/>
        <v>X</v>
      </c>
      <c r="M13499" s="1" t="str">
        <f t="shared" si="3100"/>
        <v>X</v>
      </c>
      <c r="N13499" t="s">
        <v>27</v>
      </c>
    </row>
    <row r="13500" spans="1:14" x14ac:dyDescent="0.25">
      <c r="A13500" t="s">
        <v>45</v>
      </c>
      <c r="B13500" t="s">
        <v>15</v>
      </c>
      <c r="C13500" t="s">
        <v>36</v>
      </c>
      <c r="D13500" t="s">
        <v>15</v>
      </c>
      <c r="E13500" t="s">
        <v>26</v>
      </c>
      <c r="F13500" t="s">
        <v>19</v>
      </c>
      <c r="G13500" s="1" t="str">
        <f t="shared" si="3100"/>
        <v>X</v>
      </c>
      <c r="H13500" s="1" t="str">
        <f t="shared" si="3100"/>
        <v>X</v>
      </c>
      <c r="I13500" s="1" t="str">
        <f t="shared" si="3100"/>
        <v>X</v>
      </c>
      <c r="J13500" s="1" t="str">
        <f t="shared" si="3100"/>
        <v>X</v>
      </c>
      <c r="K13500" s="1" t="str">
        <f t="shared" si="3100"/>
        <v>X</v>
      </c>
      <c r="L13500" s="1" t="str">
        <f t="shared" si="3100"/>
        <v>X</v>
      </c>
      <c r="M13500" s="1" t="str">
        <f t="shared" si="3100"/>
        <v>X</v>
      </c>
      <c r="N13500" t="s">
        <v>27</v>
      </c>
    </row>
    <row r="13501" spans="1:14" x14ac:dyDescent="0.25">
      <c r="A13501" t="s">
        <v>45</v>
      </c>
      <c r="B13501" t="s">
        <v>15</v>
      </c>
      <c r="C13501" t="s">
        <v>36</v>
      </c>
      <c r="D13501" t="s">
        <v>15</v>
      </c>
      <c r="E13501" t="s">
        <v>26</v>
      </c>
      <c r="F13501" t="s">
        <v>20</v>
      </c>
      <c r="G13501" s="2">
        <f>VALUE(212.46)</f>
        <v>212.46</v>
      </c>
      <c r="H13501" s="3">
        <f>VALUE(186.7)</f>
        <v>186.7</v>
      </c>
      <c r="I13501" s="1">
        <f>VALUE(3258)</f>
        <v>3258</v>
      </c>
      <c r="J13501" s="1">
        <f>VALUE(3747)</f>
        <v>3747</v>
      </c>
      <c r="K13501" s="6">
        <f>VALUE(4503)</f>
        <v>4503</v>
      </c>
      <c r="L13501" s="1">
        <f>VALUE(6447)</f>
        <v>6447</v>
      </c>
      <c r="M13501" s="1">
        <f>VALUE(7905)</f>
        <v>7905</v>
      </c>
      <c r="N13501" t="s">
        <v>25</v>
      </c>
    </row>
    <row r="13502" spans="1:14" x14ac:dyDescent="0.25">
      <c r="A13502" t="s">
        <v>45</v>
      </c>
      <c r="B13502" t="s">
        <v>15</v>
      </c>
      <c r="C13502" t="s">
        <v>36</v>
      </c>
      <c r="D13502" t="s">
        <v>28</v>
      </c>
      <c r="E13502" t="s">
        <v>15</v>
      </c>
      <c r="F13502" t="s">
        <v>15</v>
      </c>
      <c r="G13502" s="1">
        <f>VALUE(9205.74)</f>
        <v>9205.74</v>
      </c>
      <c r="H13502" s="1">
        <f>VALUE(8409.83)</f>
        <v>8409.83</v>
      </c>
      <c r="I13502" s="1">
        <f>VALUE(3875)</f>
        <v>3875</v>
      </c>
      <c r="J13502" s="1">
        <f>VALUE(4381)</f>
        <v>4381</v>
      </c>
      <c r="K13502" s="1">
        <f>VALUE(5079)</f>
        <v>5079</v>
      </c>
      <c r="L13502" s="1">
        <f>VALUE(6009)</f>
        <v>6009</v>
      </c>
      <c r="M13502" s="1">
        <f>VALUE(7179)</f>
        <v>7179</v>
      </c>
      <c r="N13502" t="s">
        <v>16</v>
      </c>
    </row>
    <row r="13503" spans="1:14" x14ac:dyDescent="0.25">
      <c r="A13503" t="s">
        <v>45</v>
      </c>
      <c r="B13503" t="s">
        <v>15</v>
      </c>
      <c r="C13503" t="s">
        <v>36</v>
      </c>
      <c r="D13503" t="s">
        <v>28</v>
      </c>
      <c r="E13503" t="s">
        <v>15</v>
      </c>
      <c r="F13503" t="s">
        <v>17</v>
      </c>
      <c r="G13503" s="2">
        <f>VALUE(1080.35)</f>
        <v>1080.3499999999999</v>
      </c>
      <c r="H13503" s="3">
        <f>VALUE(1011.29)</f>
        <v>1011.29</v>
      </c>
      <c r="I13503" s="4">
        <f>VALUE(4333)</f>
        <v>4333</v>
      </c>
      <c r="J13503" s="1">
        <f>VALUE(4965)</f>
        <v>4965</v>
      </c>
      <c r="K13503" s="1">
        <f>VALUE(5542)</f>
        <v>5542</v>
      </c>
      <c r="L13503" s="7">
        <f>VALUE(7416)</f>
        <v>7416</v>
      </c>
      <c r="M13503" s="8">
        <f>VALUE(8367)</f>
        <v>8367</v>
      </c>
      <c r="N13503" t="s">
        <v>25</v>
      </c>
    </row>
    <row r="13504" spans="1:14" x14ac:dyDescent="0.25">
      <c r="A13504" t="s">
        <v>45</v>
      </c>
      <c r="B13504" t="s">
        <v>15</v>
      </c>
      <c r="C13504" t="s">
        <v>36</v>
      </c>
      <c r="D13504" t="s">
        <v>28</v>
      </c>
      <c r="E13504" t="s">
        <v>15</v>
      </c>
      <c r="F13504" t="s">
        <v>18</v>
      </c>
      <c r="G13504" s="2">
        <f>VALUE(975.26)</f>
        <v>975.26</v>
      </c>
      <c r="H13504" s="3">
        <f>VALUE(939.17)</f>
        <v>939.17</v>
      </c>
      <c r="I13504" s="1">
        <f>VALUE(4134)</f>
        <v>4134</v>
      </c>
      <c r="J13504" s="1">
        <f>VALUE(4807)</f>
        <v>4807</v>
      </c>
      <c r="K13504" s="1">
        <f>VALUE(5715)</f>
        <v>5715</v>
      </c>
      <c r="L13504" s="7">
        <f>VALUE(6341)</f>
        <v>6341</v>
      </c>
      <c r="M13504" s="1">
        <f>VALUE(7887)</f>
        <v>7887</v>
      </c>
      <c r="N13504" t="s">
        <v>25</v>
      </c>
    </row>
    <row r="13505" spans="1:14" x14ac:dyDescent="0.25">
      <c r="A13505" t="s">
        <v>45</v>
      </c>
      <c r="B13505" t="s">
        <v>15</v>
      </c>
      <c r="C13505" t="s">
        <v>36</v>
      </c>
      <c r="D13505" t="s">
        <v>28</v>
      </c>
      <c r="E13505" t="s">
        <v>15</v>
      </c>
      <c r="F13505" t="s">
        <v>19</v>
      </c>
      <c r="G13505" s="2">
        <f>VALUE(1161.48)</f>
        <v>1161.48</v>
      </c>
      <c r="H13505" s="3">
        <f>VALUE(1081.1)</f>
        <v>1081.0999999999999</v>
      </c>
      <c r="I13505" s="1">
        <f>VALUE(3902)</f>
        <v>3902</v>
      </c>
      <c r="J13505" s="1">
        <f>VALUE(4540)</f>
        <v>4540</v>
      </c>
      <c r="K13505" s="1">
        <f>VALUE(5250)</f>
        <v>5250</v>
      </c>
      <c r="L13505" s="1">
        <f>VALUE(6369)</f>
        <v>6369</v>
      </c>
      <c r="M13505" s="1">
        <f>VALUE(7367)</f>
        <v>7367</v>
      </c>
      <c r="N13505" t="s">
        <v>25</v>
      </c>
    </row>
    <row r="13506" spans="1:14" x14ac:dyDescent="0.25">
      <c r="A13506" t="s">
        <v>45</v>
      </c>
      <c r="B13506" t="s">
        <v>15</v>
      </c>
      <c r="C13506" t="s">
        <v>36</v>
      </c>
      <c r="D13506" t="s">
        <v>28</v>
      </c>
      <c r="E13506" t="s">
        <v>15</v>
      </c>
      <c r="F13506" t="s">
        <v>20</v>
      </c>
      <c r="G13506" s="1">
        <f>VALUE(5988.65)</f>
        <v>5988.65</v>
      </c>
      <c r="H13506" s="1">
        <f>VALUE(5378.27)</f>
        <v>5378.27</v>
      </c>
      <c r="I13506" s="1">
        <f>VALUE(3810)</f>
        <v>3810</v>
      </c>
      <c r="J13506" s="1">
        <f>VALUE(4275)</f>
        <v>4275</v>
      </c>
      <c r="K13506" s="1">
        <f>VALUE(4934)</f>
        <v>4934</v>
      </c>
      <c r="L13506" s="1">
        <f>VALUE(5633)</f>
        <v>5633</v>
      </c>
      <c r="M13506" s="1">
        <f>VALUE(6624)</f>
        <v>6624</v>
      </c>
      <c r="N13506" t="s">
        <v>16</v>
      </c>
    </row>
    <row r="13507" spans="1:14" x14ac:dyDescent="0.25">
      <c r="A13507" t="s">
        <v>45</v>
      </c>
      <c r="B13507" t="s">
        <v>15</v>
      </c>
      <c r="C13507" t="s">
        <v>36</v>
      </c>
      <c r="D13507" t="s">
        <v>28</v>
      </c>
      <c r="E13507" t="s">
        <v>21</v>
      </c>
      <c r="F13507" t="s">
        <v>15</v>
      </c>
      <c r="G13507" s="2">
        <f>VALUE(3390.46)</f>
        <v>3390.46</v>
      </c>
      <c r="H13507" s="3">
        <f>VALUE(3108.81)</f>
        <v>3108.81</v>
      </c>
      <c r="I13507" s="1">
        <f>VALUE(4257)</f>
        <v>4257</v>
      </c>
      <c r="J13507" s="1">
        <f>VALUE(4889)</f>
        <v>4889</v>
      </c>
      <c r="K13507" s="1">
        <f>VALUE(5458)</f>
        <v>5458</v>
      </c>
      <c r="L13507" s="1">
        <f>VALUE(6576)</f>
        <v>6576</v>
      </c>
      <c r="M13507" s="1">
        <f>VALUE(7750)</f>
        <v>7750</v>
      </c>
      <c r="N13507" t="s">
        <v>25</v>
      </c>
    </row>
    <row r="13508" spans="1:14" x14ac:dyDescent="0.25">
      <c r="A13508" t="s">
        <v>45</v>
      </c>
      <c r="B13508" t="s">
        <v>15</v>
      </c>
      <c r="C13508" t="s">
        <v>36</v>
      </c>
      <c r="D13508" t="s">
        <v>28</v>
      </c>
      <c r="E13508" t="s">
        <v>21</v>
      </c>
      <c r="F13508" t="s">
        <v>17</v>
      </c>
      <c r="G13508" s="2">
        <f>VALUE(647.53)</f>
        <v>647.53</v>
      </c>
      <c r="H13508" s="3">
        <f>VALUE(611.65)</f>
        <v>611.65</v>
      </c>
      <c r="I13508" s="1">
        <f>VALUE(4500)</f>
        <v>4500</v>
      </c>
      <c r="J13508" s="1">
        <f>VALUE(5024)</f>
        <v>5024</v>
      </c>
      <c r="K13508" s="1">
        <f>VALUE(5458)</f>
        <v>5458</v>
      </c>
      <c r="L13508" s="1">
        <f>VALUE(6930)</f>
        <v>6930</v>
      </c>
      <c r="M13508" s="8">
        <f>VALUE(8430)</f>
        <v>8430</v>
      </c>
      <c r="N13508" t="s">
        <v>25</v>
      </c>
    </row>
    <row r="13509" spans="1:14" x14ac:dyDescent="0.25">
      <c r="A13509" t="s">
        <v>45</v>
      </c>
      <c r="B13509" t="s">
        <v>15</v>
      </c>
      <c r="C13509" t="s">
        <v>36</v>
      </c>
      <c r="D13509" t="s">
        <v>28</v>
      </c>
      <c r="E13509" t="s">
        <v>21</v>
      </c>
      <c r="F13509" t="s">
        <v>18</v>
      </c>
      <c r="G13509" s="2">
        <f>VALUE(414.26)</f>
        <v>414.26</v>
      </c>
      <c r="H13509" s="3">
        <f>VALUE(387.05)</f>
        <v>387.05</v>
      </c>
      <c r="I13509" s="4">
        <f>VALUE(4101)</f>
        <v>4101</v>
      </c>
      <c r="J13509" s="1">
        <f>VALUE(5200)</f>
        <v>5200</v>
      </c>
      <c r="K13509" s="1">
        <f>VALUE(6064)</f>
        <v>6064</v>
      </c>
      <c r="L13509" s="1">
        <f>VALUE(7593)</f>
        <v>7593</v>
      </c>
      <c r="M13509" s="8">
        <f>VALUE(8631)</f>
        <v>8631</v>
      </c>
      <c r="N13509" t="s">
        <v>25</v>
      </c>
    </row>
    <row r="13510" spans="1:14" x14ac:dyDescent="0.25">
      <c r="A13510" t="s">
        <v>45</v>
      </c>
      <c r="B13510" t="s">
        <v>15</v>
      </c>
      <c r="C13510" t="s">
        <v>36</v>
      </c>
      <c r="D13510" t="s">
        <v>28</v>
      </c>
      <c r="E13510" t="s">
        <v>21</v>
      </c>
      <c r="F13510" t="s">
        <v>19</v>
      </c>
      <c r="G13510" s="2">
        <f>VALUE(514.49)</f>
        <v>514.49</v>
      </c>
      <c r="H13510" s="3">
        <f>VALUE(455.04)</f>
        <v>455.04</v>
      </c>
      <c r="I13510" s="1">
        <f>VALUE(4622)</f>
        <v>4622</v>
      </c>
      <c r="J13510" s="1">
        <f>VALUE(5409)</f>
        <v>5409</v>
      </c>
      <c r="K13510" s="1">
        <f>VALUE(6261)</f>
        <v>6261</v>
      </c>
      <c r="L13510" s="1">
        <f>VALUE(7176)</f>
        <v>7176</v>
      </c>
      <c r="M13510" s="1">
        <f>VALUE(8056)</f>
        <v>8056</v>
      </c>
      <c r="N13510" t="s">
        <v>25</v>
      </c>
    </row>
    <row r="13511" spans="1:14" x14ac:dyDescent="0.25">
      <c r="A13511" t="s">
        <v>45</v>
      </c>
      <c r="B13511" t="s">
        <v>15</v>
      </c>
      <c r="C13511" t="s">
        <v>36</v>
      </c>
      <c r="D13511" t="s">
        <v>28</v>
      </c>
      <c r="E13511" t="s">
        <v>21</v>
      </c>
      <c r="F13511" t="s">
        <v>20</v>
      </c>
      <c r="G13511" s="2">
        <f>VALUE(1814.18)</f>
        <v>1814.18</v>
      </c>
      <c r="H13511" s="3">
        <f>VALUE(1655.07)</f>
        <v>1655.07</v>
      </c>
      <c r="I13511" s="1">
        <f>VALUE(4233)</f>
        <v>4233</v>
      </c>
      <c r="J13511" s="5">
        <f>VALUE(4889)</f>
        <v>4889</v>
      </c>
      <c r="K13511" s="1">
        <f>VALUE(5308)</f>
        <v>5308</v>
      </c>
      <c r="L13511" s="7">
        <f>VALUE(5976)</f>
        <v>5976</v>
      </c>
      <c r="M13511" s="1">
        <f>VALUE(7060)</f>
        <v>7060</v>
      </c>
      <c r="N13511" t="s">
        <v>25</v>
      </c>
    </row>
    <row r="13512" spans="1:14" x14ac:dyDescent="0.25">
      <c r="A13512" t="s">
        <v>45</v>
      </c>
      <c r="B13512" t="s">
        <v>15</v>
      </c>
      <c r="C13512" t="s">
        <v>36</v>
      </c>
      <c r="D13512" t="s">
        <v>28</v>
      </c>
      <c r="E13512" t="s">
        <v>22</v>
      </c>
      <c r="F13512" t="s">
        <v>15</v>
      </c>
      <c r="G13512" s="1">
        <f>VALUE(5030.91)</f>
        <v>5030.91</v>
      </c>
      <c r="H13512" s="1">
        <f>VALUE(4672.77)</f>
        <v>4672.7700000000004</v>
      </c>
      <c r="I13512" s="1">
        <f>VALUE(3843)</f>
        <v>3843</v>
      </c>
      <c r="J13512" s="1">
        <f>VALUE(4281)</f>
        <v>4281</v>
      </c>
      <c r="K13512" s="1">
        <f>VALUE(4884)</f>
        <v>4884</v>
      </c>
      <c r="L13512" s="1">
        <f>VALUE(5652)</f>
        <v>5652</v>
      </c>
      <c r="M13512" s="1">
        <f>VALUE(6674)</f>
        <v>6674</v>
      </c>
      <c r="N13512" t="s">
        <v>16</v>
      </c>
    </row>
    <row r="13513" spans="1:14" x14ac:dyDescent="0.25">
      <c r="A13513" t="s">
        <v>45</v>
      </c>
      <c r="B13513" t="s">
        <v>15</v>
      </c>
      <c r="C13513" t="s">
        <v>36</v>
      </c>
      <c r="D13513" t="s">
        <v>28</v>
      </c>
      <c r="E13513" t="s">
        <v>22</v>
      </c>
      <c r="F13513" t="s">
        <v>17</v>
      </c>
      <c r="G13513" s="2">
        <f>VALUE(413.14)</f>
        <v>413.14</v>
      </c>
      <c r="H13513" s="3">
        <f>VALUE(380.25)</f>
        <v>380.25</v>
      </c>
      <c r="I13513" s="4">
        <f>VALUE(3810)</f>
        <v>3810</v>
      </c>
      <c r="J13513" s="5">
        <f>VALUE(4910)</f>
        <v>4910</v>
      </c>
      <c r="K13513" s="1">
        <f>VALUE(6058)</f>
        <v>6058</v>
      </c>
      <c r="L13513" s="1">
        <f>VALUE(8367)</f>
        <v>8367</v>
      </c>
      <c r="M13513" s="8">
        <f>VALUE(8367)</f>
        <v>8367</v>
      </c>
      <c r="N13513" t="s">
        <v>25</v>
      </c>
    </row>
    <row r="13514" spans="1:14" x14ac:dyDescent="0.25">
      <c r="A13514" t="s">
        <v>45</v>
      </c>
      <c r="B13514" t="s">
        <v>15</v>
      </c>
      <c r="C13514" t="s">
        <v>36</v>
      </c>
      <c r="D13514" t="s">
        <v>28</v>
      </c>
      <c r="E13514" t="s">
        <v>22</v>
      </c>
      <c r="F13514" t="s">
        <v>18</v>
      </c>
      <c r="G13514" s="2">
        <f>VALUE(549.9)</f>
        <v>549.9</v>
      </c>
      <c r="H13514" s="3">
        <f>VALUE(540.63)</f>
        <v>540.63</v>
      </c>
      <c r="I13514" s="1">
        <f>VALUE(4155)</f>
        <v>4155</v>
      </c>
      <c r="J13514" s="1">
        <f>VALUE(4678)</f>
        <v>4678</v>
      </c>
      <c r="K13514" s="1">
        <f>VALUE(5308)</f>
        <v>5308</v>
      </c>
      <c r="L13514" s="1">
        <f>VALUE(6283)</f>
        <v>6283</v>
      </c>
      <c r="M13514" s="1">
        <f>VALUE(6683)</f>
        <v>6683</v>
      </c>
      <c r="N13514" t="s">
        <v>25</v>
      </c>
    </row>
    <row r="13515" spans="1:14" x14ac:dyDescent="0.25">
      <c r="A13515" t="s">
        <v>45</v>
      </c>
      <c r="B13515" t="s">
        <v>15</v>
      </c>
      <c r="C13515" t="s">
        <v>36</v>
      </c>
      <c r="D13515" t="s">
        <v>28</v>
      </c>
      <c r="E13515" t="s">
        <v>22</v>
      </c>
      <c r="F13515" t="s">
        <v>19</v>
      </c>
      <c r="G13515" s="2">
        <f>VALUE(592.85)</f>
        <v>592.85</v>
      </c>
      <c r="H13515" s="3">
        <f>VALUE(581.61)</f>
        <v>581.61</v>
      </c>
      <c r="I13515" s="1">
        <f>VALUE(3764)</f>
        <v>3764</v>
      </c>
      <c r="J13515" s="1">
        <f>VALUE(4171)</f>
        <v>4171</v>
      </c>
      <c r="K13515" s="1">
        <f>VALUE(4846)</f>
        <v>4846</v>
      </c>
      <c r="L13515" s="1">
        <f>VALUE(5316)</f>
        <v>5316</v>
      </c>
      <c r="M13515" s="1">
        <f>VALUE(6510)</f>
        <v>6510</v>
      </c>
      <c r="N13515" t="s">
        <v>25</v>
      </c>
    </row>
    <row r="13516" spans="1:14" x14ac:dyDescent="0.25">
      <c r="A13516" t="s">
        <v>45</v>
      </c>
      <c r="B13516" t="s">
        <v>15</v>
      </c>
      <c r="C13516" t="s">
        <v>36</v>
      </c>
      <c r="D13516" t="s">
        <v>28</v>
      </c>
      <c r="E13516" t="s">
        <v>22</v>
      </c>
      <c r="F13516" t="s">
        <v>20</v>
      </c>
      <c r="G13516" s="1">
        <f>VALUE(3475.02)</f>
        <v>3475.02</v>
      </c>
      <c r="H13516" s="1">
        <f>VALUE(3170.28)</f>
        <v>3170.28</v>
      </c>
      <c r="I13516" s="1">
        <f>VALUE(3800)</f>
        <v>3800</v>
      </c>
      <c r="J13516" s="1">
        <f>VALUE(4227)</f>
        <v>4227</v>
      </c>
      <c r="K13516" s="1">
        <f>VALUE(4786)</f>
        <v>4786</v>
      </c>
      <c r="L13516" s="1">
        <f>VALUE(5471)</f>
        <v>5471</v>
      </c>
      <c r="M13516" s="1">
        <f>VALUE(6213)</f>
        <v>6213</v>
      </c>
      <c r="N13516" t="s">
        <v>16</v>
      </c>
    </row>
    <row r="13517" spans="1:14" x14ac:dyDescent="0.25">
      <c r="A13517" t="s">
        <v>45</v>
      </c>
      <c r="B13517" t="s">
        <v>15</v>
      </c>
      <c r="C13517" t="s">
        <v>36</v>
      </c>
      <c r="D13517" t="s">
        <v>28</v>
      </c>
      <c r="E13517" t="s">
        <v>23</v>
      </c>
      <c r="F13517" t="s">
        <v>15</v>
      </c>
      <c r="G13517" s="2">
        <f>VALUE(695.52)</f>
        <v>695.52</v>
      </c>
      <c r="H13517" s="3">
        <f>VALUE(546.9)</f>
        <v>546.9</v>
      </c>
      <c r="I13517" s="1">
        <f>VALUE(3527)</f>
        <v>3527</v>
      </c>
      <c r="J13517" s="1">
        <f>VALUE(3819)</f>
        <v>3819</v>
      </c>
      <c r="K13517" s="1">
        <f>VALUE(4345)</f>
        <v>4345</v>
      </c>
      <c r="L13517" s="1">
        <f>VALUE(5223)</f>
        <v>5223</v>
      </c>
      <c r="M13517" s="1">
        <f>VALUE(6341)</f>
        <v>6341</v>
      </c>
      <c r="N13517" t="s">
        <v>25</v>
      </c>
    </row>
    <row r="13518" spans="1:14" x14ac:dyDescent="0.25">
      <c r="A13518" t="s">
        <v>45</v>
      </c>
      <c r="B13518" t="s">
        <v>15</v>
      </c>
      <c r="C13518" t="s">
        <v>36</v>
      </c>
      <c r="D13518" t="s">
        <v>28</v>
      </c>
      <c r="E13518" t="s">
        <v>23</v>
      </c>
      <c r="F13518" t="s">
        <v>17</v>
      </c>
      <c r="G13518" s="1" t="str">
        <f t="shared" ref="G13518:M13520" si="3101">"X"</f>
        <v>X</v>
      </c>
      <c r="H13518" s="1" t="str">
        <f t="shared" si="3101"/>
        <v>X</v>
      </c>
      <c r="I13518" s="1" t="str">
        <f t="shared" si="3101"/>
        <v>X</v>
      </c>
      <c r="J13518" s="1" t="str">
        <f t="shared" si="3101"/>
        <v>X</v>
      </c>
      <c r="K13518" s="1" t="str">
        <f t="shared" si="3101"/>
        <v>X</v>
      </c>
      <c r="L13518" s="1" t="str">
        <f t="shared" si="3101"/>
        <v>X</v>
      </c>
      <c r="M13518" s="1" t="str">
        <f t="shared" si="3101"/>
        <v>X</v>
      </c>
      <c r="N13518" t="s">
        <v>27</v>
      </c>
    </row>
    <row r="13519" spans="1:14" x14ac:dyDescent="0.25">
      <c r="A13519" t="s">
        <v>45</v>
      </c>
      <c r="B13519" t="s">
        <v>15</v>
      </c>
      <c r="C13519" t="s">
        <v>36</v>
      </c>
      <c r="D13519" t="s">
        <v>28</v>
      </c>
      <c r="E13519" t="s">
        <v>23</v>
      </c>
      <c r="F13519" t="s">
        <v>18</v>
      </c>
      <c r="G13519" s="1" t="str">
        <f t="shared" si="3101"/>
        <v>X</v>
      </c>
      <c r="H13519" s="1" t="str">
        <f t="shared" si="3101"/>
        <v>X</v>
      </c>
      <c r="I13519" s="1" t="str">
        <f t="shared" si="3101"/>
        <v>X</v>
      </c>
      <c r="J13519" s="1" t="str">
        <f t="shared" si="3101"/>
        <v>X</v>
      </c>
      <c r="K13519" s="1" t="str">
        <f t="shared" si="3101"/>
        <v>X</v>
      </c>
      <c r="L13519" s="1" t="str">
        <f t="shared" si="3101"/>
        <v>X</v>
      </c>
      <c r="M13519" s="1" t="str">
        <f t="shared" si="3101"/>
        <v>X</v>
      </c>
      <c r="N13519" t="s">
        <v>27</v>
      </c>
    </row>
    <row r="13520" spans="1:14" x14ac:dyDescent="0.25">
      <c r="A13520" t="s">
        <v>45</v>
      </c>
      <c r="B13520" t="s">
        <v>15</v>
      </c>
      <c r="C13520" t="s">
        <v>36</v>
      </c>
      <c r="D13520" t="s">
        <v>28</v>
      </c>
      <c r="E13520" t="s">
        <v>23</v>
      </c>
      <c r="F13520" t="s">
        <v>19</v>
      </c>
      <c r="G13520" s="1" t="str">
        <f t="shared" si="3101"/>
        <v>X</v>
      </c>
      <c r="H13520" s="1" t="str">
        <f t="shared" si="3101"/>
        <v>X</v>
      </c>
      <c r="I13520" s="1" t="str">
        <f t="shared" si="3101"/>
        <v>X</v>
      </c>
      <c r="J13520" s="1" t="str">
        <f t="shared" si="3101"/>
        <v>X</v>
      </c>
      <c r="K13520" s="1" t="str">
        <f t="shared" si="3101"/>
        <v>X</v>
      </c>
      <c r="L13520" s="1" t="str">
        <f t="shared" si="3101"/>
        <v>X</v>
      </c>
      <c r="M13520" s="1" t="str">
        <f t="shared" si="3101"/>
        <v>X</v>
      </c>
      <c r="N13520" t="s">
        <v>27</v>
      </c>
    </row>
    <row r="13521" spans="1:14" x14ac:dyDescent="0.25">
      <c r="A13521" t="s">
        <v>45</v>
      </c>
      <c r="B13521" t="s">
        <v>15</v>
      </c>
      <c r="C13521" t="s">
        <v>36</v>
      </c>
      <c r="D13521" t="s">
        <v>28</v>
      </c>
      <c r="E13521" t="s">
        <v>23</v>
      </c>
      <c r="F13521" t="s">
        <v>20</v>
      </c>
      <c r="G13521" s="2">
        <f>VALUE(623.01)</f>
        <v>623.01</v>
      </c>
      <c r="H13521" s="3">
        <f>VALUE(483.15)</f>
        <v>483.15</v>
      </c>
      <c r="I13521" s="1">
        <f>VALUE(3503)</f>
        <v>3503</v>
      </c>
      <c r="J13521" s="1">
        <f>VALUE(3786)</f>
        <v>3786</v>
      </c>
      <c r="K13521" s="1">
        <f>VALUE(4213)</f>
        <v>4213</v>
      </c>
      <c r="L13521" s="1">
        <f>VALUE(5079)</f>
        <v>5079</v>
      </c>
      <c r="M13521" s="1">
        <f>VALUE(6067)</f>
        <v>6067</v>
      </c>
      <c r="N13521" t="s">
        <v>25</v>
      </c>
    </row>
    <row r="13522" spans="1:14" x14ac:dyDescent="0.25">
      <c r="A13522" t="s">
        <v>45</v>
      </c>
      <c r="B13522" t="s">
        <v>15</v>
      </c>
      <c r="C13522" t="s">
        <v>36</v>
      </c>
      <c r="D13522" t="s">
        <v>28</v>
      </c>
      <c r="E13522" t="s">
        <v>26</v>
      </c>
      <c r="F13522" t="s">
        <v>15</v>
      </c>
      <c r="G13522" s="1" t="str">
        <f t="shared" ref="G13522:M13523" si="3102">"X"</f>
        <v>X</v>
      </c>
      <c r="H13522" s="1" t="str">
        <f t="shared" si="3102"/>
        <v>X</v>
      </c>
      <c r="I13522" s="1" t="str">
        <f t="shared" si="3102"/>
        <v>X</v>
      </c>
      <c r="J13522" s="1" t="str">
        <f t="shared" si="3102"/>
        <v>X</v>
      </c>
      <c r="K13522" s="1" t="str">
        <f t="shared" si="3102"/>
        <v>X</v>
      </c>
      <c r="L13522" s="1" t="str">
        <f t="shared" si="3102"/>
        <v>X</v>
      </c>
      <c r="M13522" s="1" t="str">
        <f t="shared" si="3102"/>
        <v>X</v>
      </c>
      <c r="N13522" t="s">
        <v>27</v>
      </c>
    </row>
    <row r="13523" spans="1:14" x14ac:dyDescent="0.25">
      <c r="A13523" t="s">
        <v>45</v>
      </c>
      <c r="B13523" t="s">
        <v>15</v>
      </c>
      <c r="C13523" t="s">
        <v>36</v>
      </c>
      <c r="D13523" t="s">
        <v>28</v>
      </c>
      <c r="E13523" t="s">
        <v>26</v>
      </c>
      <c r="F13523" t="s">
        <v>17</v>
      </c>
      <c r="G13523" s="1" t="str">
        <f t="shared" si="3102"/>
        <v>X</v>
      </c>
      <c r="H13523" s="1" t="str">
        <f t="shared" si="3102"/>
        <v>X</v>
      </c>
      <c r="I13523" s="1" t="str">
        <f t="shared" si="3102"/>
        <v>X</v>
      </c>
      <c r="J13523" s="1" t="str">
        <f t="shared" si="3102"/>
        <v>X</v>
      </c>
      <c r="K13523" s="1" t="str">
        <f t="shared" si="3102"/>
        <v>X</v>
      </c>
      <c r="L13523" s="1" t="str">
        <f t="shared" si="3102"/>
        <v>X</v>
      </c>
      <c r="M13523" s="1" t="str">
        <f t="shared" si="3102"/>
        <v>X</v>
      </c>
      <c r="N13523" t="s">
        <v>27</v>
      </c>
    </row>
    <row r="13524" spans="1:14" x14ac:dyDescent="0.25">
      <c r="A13524" t="s">
        <v>45</v>
      </c>
      <c r="B13524" t="s">
        <v>15</v>
      </c>
      <c r="C13524" t="s">
        <v>36</v>
      </c>
      <c r="D13524" t="s">
        <v>28</v>
      </c>
      <c r="E13524" t="s">
        <v>26</v>
      </c>
      <c r="F13524" t="s">
        <v>18</v>
      </c>
      <c r="G13524" s="1" t="str">
        <f t="shared" ref="G13524:M13525" si="3103">"..."</f>
        <v>...</v>
      </c>
      <c r="H13524" s="1" t="str">
        <f t="shared" si="3103"/>
        <v>...</v>
      </c>
      <c r="I13524" s="1" t="str">
        <f t="shared" si="3103"/>
        <v>...</v>
      </c>
      <c r="J13524" s="1" t="str">
        <f t="shared" si="3103"/>
        <v>...</v>
      </c>
      <c r="K13524" s="1" t="str">
        <f t="shared" si="3103"/>
        <v>...</v>
      </c>
      <c r="L13524" s="1" t="str">
        <f t="shared" si="3103"/>
        <v>...</v>
      </c>
      <c r="M13524" s="1" t="str">
        <f t="shared" si="3103"/>
        <v>...</v>
      </c>
      <c r="N13524" t="s">
        <v>30</v>
      </c>
    </row>
    <row r="13525" spans="1:14" x14ac:dyDescent="0.25">
      <c r="A13525" t="s">
        <v>45</v>
      </c>
      <c r="B13525" t="s">
        <v>15</v>
      </c>
      <c r="C13525" t="s">
        <v>36</v>
      </c>
      <c r="D13525" t="s">
        <v>28</v>
      </c>
      <c r="E13525" t="s">
        <v>26</v>
      </c>
      <c r="F13525" t="s">
        <v>19</v>
      </c>
      <c r="G13525" s="1" t="str">
        <f t="shared" si="3103"/>
        <v>...</v>
      </c>
      <c r="H13525" s="1" t="str">
        <f t="shared" si="3103"/>
        <v>...</v>
      </c>
      <c r="I13525" s="1" t="str">
        <f t="shared" si="3103"/>
        <v>...</v>
      </c>
      <c r="J13525" s="1" t="str">
        <f t="shared" si="3103"/>
        <v>...</v>
      </c>
      <c r="K13525" s="1" t="str">
        <f t="shared" si="3103"/>
        <v>...</v>
      </c>
      <c r="L13525" s="1" t="str">
        <f t="shared" si="3103"/>
        <v>...</v>
      </c>
      <c r="M13525" s="1" t="str">
        <f t="shared" si="3103"/>
        <v>...</v>
      </c>
      <c r="N13525" t="s">
        <v>30</v>
      </c>
    </row>
    <row r="13526" spans="1:14" x14ac:dyDescent="0.25">
      <c r="A13526" t="s">
        <v>45</v>
      </c>
      <c r="B13526" t="s">
        <v>15</v>
      </c>
      <c r="C13526" t="s">
        <v>36</v>
      </c>
      <c r="D13526" t="s">
        <v>28</v>
      </c>
      <c r="E13526" t="s">
        <v>26</v>
      </c>
      <c r="F13526" t="s">
        <v>20</v>
      </c>
      <c r="G13526" s="1" t="str">
        <f t="shared" ref="G13526:M13526" si="3104">"X"</f>
        <v>X</v>
      </c>
      <c r="H13526" s="1" t="str">
        <f t="shared" si="3104"/>
        <v>X</v>
      </c>
      <c r="I13526" s="1" t="str">
        <f t="shared" si="3104"/>
        <v>X</v>
      </c>
      <c r="J13526" s="1" t="str">
        <f t="shared" si="3104"/>
        <v>X</v>
      </c>
      <c r="K13526" s="1" t="str">
        <f t="shared" si="3104"/>
        <v>X</v>
      </c>
      <c r="L13526" s="1" t="str">
        <f t="shared" si="3104"/>
        <v>X</v>
      </c>
      <c r="M13526" s="1" t="str">
        <f t="shared" si="3104"/>
        <v>X</v>
      </c>
      <c r="N13526" t="s">
        <v>27</v>
      </c>
    </row>
    <row r="13527" spans="1:14" x14ac:dyDescent="0.25">
      <c r="A13527" t="s">
        <v>45</v>
      </c>
      <c r="B13527" t="s">
        <v>15</v>
      </c>
      <c r="C13527" t="s">
        <v>36</v>
      </c>
      <c r="D13527" t="s">
        <v>29</v>
      </c>
      <c r="E13527" t="s">
        <v>15</v>
      </c>
      <c r="F13527" t="s">
        <v>15</v>
      </c>
      <c r="G13527" s="2">
        <f>VALUE(2288.05)</f>
        <v>2288.0500000000002</v>
      </c>
      <c r="H13527" s="3">
        <f>VALUE(1995.94)</f>
        <v>1995.94</v>
      </c>
      <c r="I13527" s="1">
        <f>VALUE(3544)</f>
        <v>3544</v>
      </c>
      <c r="J13527" s="1">
        <f>VALUE(4128)</f>
        <v>4128</v>
      </c>
      <c r="K13527" s="1">
        <f>VALUE(4893)</f>
        <v>4893</v>
      </c>
      <c r="L13527" s="1">
        <f>VALUE(5633)</f>
        <v>5633</v>
      </c>
      <c r="M13527" s="1">
        <f>VALUE(6948)</f>
        <v>6948</v>
      </c>
      <c r="N13527" t="s">
        <v>25</v>
      </c>
    </row>
    <row r="13528" spans="1:14" x14ac:dyDescent="0.25">
      <c r="A13528" t="s">
        <v>45</v>
      </c>
      <c r="B13528" t="s">
        <v>15</v>
      </c>
      <c r="C13528" t="s">
        <v>36</v>
      </c>
      <c r="D13528" t="s">
        <v>29</v>
      </c>
      <c r="E13528" t="s">
        <v>15</v>
      </c>
      <c r="F13528" t="s">
        <v>17</v>
      </c>
      <c r="G13528" s="1" t="str">
        <f t="shared" ref="G13528:M13528" si="3105">"X"</f>
        <v>X</v>
      </c>
      <c r="H13528" s="1" t="str">
        <f t="shared" si="3105"/>
        <v>X</v>
      </c>
      <c r="I13528" s="1" t="str">
        <f t="shared" si="3105"/>
        <v>X</v>
      </c>
      <c r="J13528" s="1" t="str">
        <f t="shared" si="3105"/>
        <v>X</v>
      </c>
      <c r="K13528" s="1" t="str">
        <f t="shared" si="3105"/>
        <v>X</v>
      </c>
      <c r="L13528" s="1" t="str">
        <f t="shared" si="3105"/>
        <v>X</v>
      </c>
      <c r="M13528" s="1" t="str">
        <f t="shared" si="3105"/>
        <v>X</v>
      </c>
      <c r="N13528" t="s">
        <v>27</v>
      </c>
    </row>
    <row r="13529" spans="1:14" x14ac:dyDescent="0.25">
      <c r="A13529" t="s">
        <v>45</v>
      </c>
      <c r="B13529" t="s">
        <v>15</v>
      </c>
      <c r="C13529" t="s">
        <v>36</v>
      </c>
      <c r="D13529" t="s">
        <v>29</v>
      </c>
      <c r="E13529" t="s">
        <v>15</v>
      </c>
      <c r="F13529" t="s">
        <v>18</v>
      </c>
      <c r="G13529" s="2">
        <f>VALUE(149.33)</f>
        <v>149.33000000000001</v>
      </c>
      <c r="H13529" s="3">
        <f>VALUE(150.74)</f>
        <v>150.74</v>
      </c>
      <c r="I13529" s="4">
        <f>VALUE(3544)</f>
        <v>3544</v>
      </c>
      <c r="J13529" s="5">
        <f>VALUE(4433)</f>
        <v>4433</v>
      </c>
      <c r="K13529" s="1">
        <f>VALUE(5147)</f>
        <v>5147</v>
      </c>
      <c r="L13529" s="1">
        <f>VALUE(6781)</f>
        <v>6781</v>
      </c>
      <c r="M13529" s="1">
        <f>VALUE(7984)</f>
        <v>7984</v>
      </c>
      <c r="N13529" t="s">
        <v>25</v>
      </c>
    </row>
    <row r="13530" spans="1:14" x14ac:dyDescent="0.25">
      <c r="A13530" t="s">
        <v>45</v>
      </c>
      <c r="B13530" t="s">
        <v>15</v>
      </c>
      <c r="C13530" t="s">
        <v>36</v>
      </c>
      <c r="D13530" t="s">
        <v>29</v>
      </c>
      <c r="E13530" t="s">
        <v>15</v>
      </c>
      <c r="F13530" t="s">
        <v>19</v>
      </c>
      <c r="G13530" s="2">
        <f>VALUE(197.36)</f>
        <v>197.36</v>
      </c>
      <c r="H13530" s="3">
        <f>VALUE(189.25)</f>
        <v>189.25</v>
      </c>
      <c r="I13530" s="4">
        <f>VALUE(3755)</f>
        <v>3755</v>
      </c>
      <c r="J13530" s="1">
        <f>VALUE(4386)</f>
        <v>4386</v>
      </c>
      <c r="K13530" s="6">
        <f>VALUE(4911)</f>
        <v>4911</v>
      </c>
      <c r="L13530" s="1">
        <f>VALUE(6141)</f>
        <v>6141</v>
      </c>
      <c r="M13530" s="1">
        <f>VALUE(6881)</f>
        <v>6881</v>
      </c>
      <c r="N13530" t="s">
        <v>25</v>
      </c>
    </row>
    <row r="13531" spans="1:14" x14ac:dyDescent="0.25">
      <c r="A13531" t="s">
        <v>45</v>
      </c>
      <c r="B13531" t="s">
        <v>15</v>
      </c>
      <c r="C13531" t="s">
        <v>36</v>
      </c>
      <c r="D13531" t="s">
        <v>29</v>
      </c>
      <c r="E13531" t="s">
        <v>15</v>
      </c>
      <c r="F13531" t="s">
        <v>20</v>
      </c>
      <c r="G13531" s="2">
        <f>VALUE(1788.28)</f>
        <v>1788.28</v>
      </c>
      <c r="H13531" s="3">
        <f>VALUE(1508.91)</f>
        <v>1508.91</v>
      </c>
      <c r="I13531" s="1">
        <f>VALUE(3520)</f>
        <v>3520</v>
      </c>
      <c r="J13531" s="1">
        <f>VALUE(4005)</f>
        <v>4005</v>
      </c>
      <c r="K13531" s="1">
        <f>VALUE(4762)</f>
        <v>4762</v>
      </c>
      <c r="L13531" s="1">
        <f>VALUE(5501)</f>
        <v>5501</v>
      </c>
      <c r="M13531" s="1">
        <f>VALUE(6114)</f>
        <v>6114</v>
      </c>
      <c r="N13531" t="s">
        <v>25</v>
      </c>
    </row>
    <row r="13532" spans="1:14" x14ac:dyDescent="0.25">
      <c r="A13532" t="s">
        <v>45</v>
      </c>
      <c r="B13532" t="s">
        <v>15</v>
      </c>
      <c r="C13532" t="s">
        <v>36</v>
      </c>
      <c r="D13532" t="s">
        <v>29</v>
      </c>
      <c r="E13532" t="s">
        <v>21</v>
      </c>
      <c r="F13532" t="s">
        <v>15</v>
      </c>
      <c r="G13532" s="2">
        <f>VALUE(363.68)</f>
        <v>363.68</v>
      </c>
      <c r="H13532" s="3">
        <f>VALUE(348.78)</f>
        <v>348.78</v>
      </c>
      <c r="I13532" s="4">
        <f>VALUE(4286)</f>
        <v>4286</v>
      </c>
      <c r="J13532" s="1">
        <f>VALUE(4911)</f>
        <v>4911</v>
      </c>
      <c r="K13532" s="1">
        <f>VALUE(5608)</f>
        <v>5608</v>
      </c>
      <c r="L13532" s="1">
        <f>VALUE(6931)</f>
        <v>6931</v>
      </c>
      <c r="M13532" s="8">
        <f>VALUE(8193)</f>
        <v>8193</v>
      </c>
      <c r="N13532" t="s">
        <v>25</v>
      </c>
    </row>
    <row r="13533" spans="1:14" x14ac:dyDescent="0.25">
      <c r="A13533" t="s">
        <v>45</v>
      </c>
      <c r="B13533" t="s">
        <v>15</v>
      </c>
      <c r="C13533" t="s">
        <v>36</v>
      </c>
      <c r="D13533" t="s">
        <v>29</v>
      </c>
      <c r="E13533" t="s">
        <v>21</v>
      </c>
      <c r="F13533" t="s">
        <v>17</v>
      </c>
      <c r="G13533" s="1" t="str">
        <f t="shared" ref="G13533:M13535" si="3106">"X"</f>
        <v>X</v>
      </c>
      <c r="H13533" s="1" t="str">
        <f t="shared" si="3106"/>
        <v>X</v>
      </c>
      <c r="I13533" s="1" t="str">
        <f t="shared" si="3106"/>
        <v>X</v>
      </c>
      <c r="J13533" s="1" t="str">
        <f t="shared" si="3106"/>
        <v>X</v>
      </c>
      <c r="K13533" s="1" t="str">
        <f t="shared" si="3106"/>
        <v>X</v>
      </c>
      <c r="L13533" s="1" t="str">
        <f t="shared" si="3106"/>
        <v>X</v>
      </c>
      <c r="M13533" s="1" t="str">
        <f t="shared" si="3106"/>
        <v>X</v>
      </c>
      <c r="N13533" t="s">
        <v>27</v>
      </c>
    </row>
    <row r="13534" spans="1:14" x14ac:dyDescent="0.25">
      <c r="A13534" t="s">
        <v>45</v>
      </c>
      <c r="B13534" t="s">
        <v>15</v>
      </c>
      <c r="C13534" t="s">
        <v>36</v>
      </c>
      <c r="D13534" t="s">
        <v>29</v>
      </c>
      <c r="E13534" t="s">
        <v>21</v>
      </c>
      <c r="F13534" t="s">
        <v>18</v>
      </c>
      <c r="G13534" s="1" t="str">
        <f t="shared" si="3106"/>
        <v>X</v>
      </c>
      <c r="H13534" s="1" t="str">
        <f t="shared" si="3106"/>
        <v>X</v>
      </c>
      <c r="I13534" s="1" t="str">
        <f t="shared" si="3106"/>
        <v>X</v>
      </c>
      <c r="J13534" s="1" t="str">
        <f t="shared" si="3106"/>
        <v>X</v>
      </c>
      <c r="K13534" s="1" t="str">
        <f t="shared" si="3106"/>
        <v>X</v>
      </c>
      <c r="L13534" s="1" t="str">
        <f t="shared" si="3106"/>
        <v>X</v>
      </c>
      <c r="M13534" s="1" t="str">
        <f t="shared" si="3106"/>
        <v>X</v>
      </c>
      <c r="N13534" t="s">
        <v>27</v>
      </c>
    </row>
    <row r="13535" spans="1:14" x14ac:dyDescent="0.25">
      <c r="A13535" t="s">
        <v>45</v>
      </c>
      <c r="B13535" t="s">
        <v>15</v>
      </c>
      <c r="C13535" t="s">
        <v>36</v>
      </c>
      <c r="D13535" t="s">
        <v>29</v>
      </c>
      <c r="E13535" t="s">
        <v>21</v>
      </c>
      <c r="F13535" t="s">
        <v>19</v>
      </c>
      <c r="G13535" s="1" t="str">
        <f t="shared" si="3106"/>
        <v>X</v>
      </c>
      <c r="H13535" s="1" t="str">
        <f t="shared" si="3106"/>
        <v>X</v>
      </c>
      <c r="I13535" s="1" t="str">
        <f t="shared" si="3106"/>
        <v>X</v>
      </c>
      <c r="J13535" s="1" t="str">
        <f t="shared" si="3106"/>
        <v>X</v>
      </c>
      <c r="K13535" s="1" t="str">
        <f t="shared" si="3106"/>
        <v>X</v>
      </c>
      <c r="L13535" s="1" t="str">
        <f t="shared" si="3106"/>
        <v>X</v>
      </c>
      <c r="M13535" s="1" t="str">
        <f t="shared" si="3106"/>
        <v>X</v>
      </c>
      <c r="N13535" t="s">
        <v>27</v>
      </c>
    </row>
    <row r="13536" spans="1:14" x14ac:dyDescent="0.25">
      <c r="A13536" t="s">
        <v>45</v>
      </c>
      <c r="B13536" t="s">
        <v>15</v>
      </c>
      <c r="C13536" t="s">
        <v>36</v>
      </c>
      <c r="D13536" t="s">
        <v>29</v>
      </c>
      <c r="E13536" t="s">
        <v>21</v>
      </c>
      <c r="F13536" t="s">
        <v>20</v>
      </c>
      <c r="G13536" s="2">
        <f>VALUE(222.8)</f>
        <v>222.8</v>
      </c>
      <c r="H13536" s="3">
        <f>VALUE(209.94)</f>
        <v>209.94</v>
      </c>
      <c r="I13536" s="1">
        <f>VALUE(3971)</f>
        <v>3971</v>
      </c>
      <c r="J13536" s="1">
        <f>VALUE(4792)</f>
        <v>4792</v>
      </c>
      <c r="K13536" s="1">
        <f>VALUE(5417)</f>
        <v>5417</v>
      </c>
      <c r="L13536" s="1">
        <f>VALUE(6275)</f>
        <v>6275</v>
      </c>
      <c r="M13536" s="1">
        <f>VALUE(7096)</f>
        <v>7096</v>
      </c>
      <c r="N13536" t="s">
        <v>25</v>
      </c>
    </row>
    <row r="13537" spans="1:14" x14ac:dyDescent="0.25">
      <c r="A13537" t="s">
        <v>45</v>
      </c>
      <c r="B13537" t="s">
        <v>15</v>
      </c>
      <c r="C13537" t="s">
        <v>36</v>
      </c>
      <c r="D13537" t="s">
        <v>29</v>
      </c>
      <c r="E13537" t="s">
        <v>22</v>
      </c>
      <c r="F13537" t="s">
        <v>15</v>
      </c>
      <c r="G13537" s="2">
        <f>VALUE(1101.74)</f>
        <v>1101.74</v>
      </c>
      <c r="H13537" s="3">
        <f>VALUE(1045.22)</f>
        <v>1045.22</v>
      </c>
      <c r="I13537" s="1">
        <f>VALUE(3648)</f>
        <v>3648</v>
      </c>
      <c r="J13537" s="1">
        <f>VALUE(4283)</f>
        <v>4283</v>
      </c>
      <c r="K13537" s="1">
        <f>VALUE(4908)</f>
        <v>4908</v>
      </c>
      <c r="L13537" s="1">
        <f>VALUE(5548)</f>
        <v>5548</v>
      </c>
      <c r="M13537" s="1">
        <f>VALUE(6848)</f>
        <v>6848</v>
      </c>
      <c r="N13537" t="s">
        <v>25</v>
      </c>
    </row>
    <row r="13538" spans="1:14" x14ac:dyDescent="0.25">
      <c r="A13538" t="s">
        <v>45</v>
      </c>
      <c r="B13538" t="s">
        <v>15</v>
      </c>
      <c r="C13538" t="s">
        <v>36</v>
      </c>
      <c r="D13538" t="s">
        <v>29</v>
      </c>
      <c r="E13538" t="s">
        <v>22</v>
      </c>
      <c r="F13538" t="s">
        <v>17</v>
      </c>
      <c r="G13538" s="1" t="str">
        <f t="shared" ref="G13538:M13540" si="3107">"X"</f>
        <v>X</v>
      </c>
      <c r="H13538" s="1" t="str">
        <f t="shared" si="3107"/>
        <v>X</v>
      </c>
      <c r="I13538" s="1" t="str">
        <f t="shared" si="3107"/>
        <v>X</v>
      </c>
      <c r="J13538" s="1" t="str">
        <f t="shared" si="3107"/>
        <v>X</v>
      </c>
      <c r="K13538" s="1" t="str">
        <f t="shared" si="3107"/>
        <v>X</v>
      </c>
      <c r="L13538" s="1" t="str">
        <f t="shared" si="3107"/>
        <v>X</v>
      </c>
      <c r="M13538" s="1" t="str">
        <f t="shared" si="3107"/>
        <v>X</v>
      </c>
      <c r="N13538" t="s">
        <v>27</v>
      </c>
    </row>
    <row r="13539" spans="1:14" x14ac:dyDescent="0.25">
      <c r="A13539" t="s">
        <v>45</v>
      </c>
      <c r="B13539" t="s">
        <v>15</v>
      </c>
      <c r="C13539" t="s">
        <v>36</v>
      </c>
      <c r="D13539" t="s">
        <v>29</v>
      </c>
      <c r="E13539" t="s">
        <v>22</v>
      </c>
      <c r="F13539" t="s">
        <v>18</v>
      </c>
      <c r="G13539" s="1" t="str">
        <f t="shared" si="3107"/>
        <v>X</v>
      </c>
      <c r="H13539" s="1" t="str">
        <f t="shared" si="3107"/>
        <v>X</v>
      </c>
      <c r="I13539" s="1" t="str">
        <f t="shared" si="3107"/>
        <v>X</v>
      </c>
      <c r="J13539" s="1" t="str">
        <f t="shared" si="3107"/>
        <v>X</v>
      </c>
      <c r="K13539" s="1" t="str">
        <f t="shared" si="3107"/>
        <v>X</v>
      </c>
      <c r="L13539" s="1" t="str">
        <f t="shared" si="3107"/>
        <v>X</v>
      </c>
      <c r="M13539" s="1" t="str">
        <f t="shared" si="3107"/>
        <v>X</v>
      </c>
      <c r="N13539" t="s">
        <v>27</v>
      </c>
    </row>
    <row r="13540" spans="1:14" x14ac:dyDescent="0.25">
      <c r="A13540" t="s">
        <v>45</v>
      </c>
      <c r="B13540" t="s">
        <v>15</v>
      </c>
      <c r="C13540" t="s">
        <v>36</v>
      </c>
      <c r="D13540" t="s">
        <v>29</v>
      </c>
      <c r="E13540" t="s">
        <v>22</v>
      </c>
      <c r="F13540" t="s">
        <v>19</v>
      </c>
      <c r="G13540" s="1" t="str">
        <f t="shared" si="3107"/>
        <v>X</v>
      </c>
      <c r="H13540" s="1" t="str">
        <f t="shared" si="3107"/>
        <v>X</v>
      </c>
      <c r="I13540" s="1" t="str">
        <f t="shared" si="3107"/>
        <v>X</v>
      </c>
      <c r="J13540" s="1" t="str">
        <f t="shared" si="3107"/>
        <v>X</v>
      </c>
      <c r="K13540" s="1" t="str">
        <f t="shared" si="3107"/>
        <v>X</v>
      </c>
      <c r="L13540" s="1" t="str">
        <f t="shared" si="3107"/>
        <v>X</v>
      </c>
      <c r="M13540" s="1" t="str">
        <f t="shared" si="3107"/>
        <v>X</v>
      </c>
      <c r="N13540" t="s">
        <v>27</v>
      </c>
    </row>
    <row r="13541" spans="1:14" x14ac:dyDescent="0.25">
      <c r="A13541" t="s">
        <v>45</v>
      </c>
      <c r="B13541" t="s">
        <v>15</v>
      </c>
      <c r="C13541" t="s">
        <v>36</v>
      </c>
      <c r="D13541" t="s">
        <v>29</v>
      </c>
      <c r="E13541" t="s">
        <v>22</v>
      </c>
      <c r="F13541" t="s">
        <v>20</v>
      </c>
      <c r="G13541" s="2">
        <f>VALUE(829.79)</f>
        <v>829.79</v>
      </c>
      <c r="H13541" s="3">
        <f>VALUE(780.44)</f>
        <v>780.44</v>
      </c>
      <c r="I13541" s="4">
        <f>VALUE(3575)</f>
        <v>3575</v>
      </c>
      <c r="J13541" s="1">
        <f>VALUE(4146)</f>
        <v>4146</v>
      </c>
      <c r="K13541" s="1">
        <f>VALUE(4762)</f>
        <v>4762</v>
      </c>
      <c r="L13541" s="1">
        <f>VALUE(5333)</f>
        <v>5333</v>
      </c>
      <c r="M13541" s="1">
        <f>VALUE(5970)</f>
        <v>5970</v>
      </c>
      <c r="N13541" t="s">
        <v>25</v>
      </c>
    </row>
    <row r="13542" spans="1:14" x14ac:dyDescent="0.25">
      <c r="A13542" t="s">
        <v>45</v>
      </c>
      <c r="B13542" t="s">
        <v>15</v>
      </c>
      <c r="C13542" t="s">
        <v>36</v>
      </c>
      <c r="D13542" t="s">
        <v>29</v>
      </c>
      <c r="E13542" t="s">
        <v>23</v>
      </c>
      <c r="F13542" t="s">
        <v>15</v>
      </c>
      <c r="G13542" s="2">
        <f>VALUE(795.8)</f>
        <v>795.8</v>
      </c>
      <c r="H13542" s="3">
        <f>VALUE(582.93)</f>
        <v>582.92999999999995</v>
      </c>
      <c r="I13542" s="1">
        <f>VALUE(3421)</f>
        <v>3421</v>
      </c>
      <c r="J13542" s="1">
        <f>VALUE(3586)</f>
        <v>3586</v>
      </c>
      <c r="K13542" s="1">
        <f>VALUE(4233)</f>
        <v>4233</v>
      </c>
      <c r="L13542" s="1">
        <f>VALUE(5417)</f>
        <v>5417</v>
      </c>
      <c r="M13542" s="1">
        <f>VALUE(5690)</f>
        <v>5690</v>
      </c>
      <c r="N13542" t="s">
        <v>25</v>
      </c>
    </row>
    <row r="13543" spans="1:14" x14ac:dyDescent="0.25">
      <c r="A13543" t="s">
        <v>45</v>
      </c>
      <c r="B13543" t="s">
        <v>15</v>
      </c>
      <c r="C13543" t="s">
        <v>36</v>
      </c>
      <c r="D13543" t="s">
        <v>29</v>
      </c>
      <c r="E13543" t="s">
        <v>23</v>
      </c>
      <c r="F13543" t="s">
        <v>17</v>
      </c>
      <c r="G13543" s="1" t="str">
        <f t="shared" ref="G13543:M13545" si="3108">"X"</f>
        <v>X</v>
      </c>
      <c r="H13543" s="1" t="str">
        <f t="shared" si="3108"/>
        <v>X</v>
      </c>
      <c r="I13543" s="1" t="str">
        <f t="shared" si="3108"/>
        <v>X</v>
      </c>
      <c r="J13543" s="1" t="str">
        <f t="shared" si="3108"/>
        <v>X</v>
      </c>
      <c r="K13543" s="1" t="str">
        <f t="shared" si="3108"/>
        <v>X</v>
      </c>
      <c r="L13543" s="1" t="str">
        <f t="shared" si="3108"/>
        <v>X</v>
      </c>
      <c r="M13543" s="1" t="str">
        <f t="shared" si="3108"/>
        <v>X</v>
      </c>
      <c r="N13543" t="s">
        <v>27</v>
      </c>
    </row>
    <row r="13544" spans="1:14" x14ac:dyDescent="0.25">
      <c r="A13544" t="s">
        <v>45</v>
      </c>
      <c r="B13544" t="s">
        <v>15</v>
      </c>
      <c r="C13544" t="s">
        <v>36</v>
      </c>
      <c r="D13544" t="s">
        <v>29</v>
      </c>
      <c r="E13544" t="s">
        <v>23</v>
      </c>
      <c r="F13544" t="s">
        <v>18</v>
      </c>
      <c r="G13544" s="1" t="str">
        <f t="shared" si="3108"/>
        <v>X</v>
      </c>
      <c r="H13544" s="1" t="str">
        <f t="shared" si="3108"/>
        <v>X</v>
      </c>
      <c r="I13544" s="1" t="str">
        <f t="shared" si="3108"/>
        <v>X</v>
      </c>
      <c r="J13544" s="1" t="str">
        <f t="shared" si="3108"/>
        <v>X</v>
      </c>
      <c r="K13544" s="1" t="str">
        <f t="shared" si="3108"/>
        <v>X</v>
      </c>
      <c r="L13544" s="1" t="str">
        <f t="shared" si="3108"/>
        <v>X</v>
      </c>
      <c r="M13544" s="1" t="str">
        <f t="shared" si="3108"/>
        <v>X</v>
      </c>
      <c r="N13544" t="s">
        <v>27</v>
      </c>
    </row>
    <row r="13545" spans="1:14" x14ac:dyDescent="0.25">
      <c r="A13545" t="s">
        <v>45</v>
      </c>
      <c r="B13545" t="s">
        <v>15</v>
      </c>
      <c r="C13545" t="s">
        <v>36</v>
      </c>
      <c r="D13545" t="s">
        <v>29</v>
      </c>
      <c r="E13545" t="s">
        <v>23</v>
      </c>
      <c r="F13545" t="s">
        <v>19</v>
      </c>
      <c r="G13545" s="1" t="str">
        <f t="shared" si="3108"/>
        <v>X</v>
      </c>
      <c r="H13545" s="1" t="str">
        <f t="shared" si="3108"/>
        <v>X</v>
      </c>
      <c r="I13545" s="1" t="str">
        <f t="shared" si="3108"/>
        <v>X</v>
      </c>
      <c r="J13545" s="1" t="str">
        <f t="shared" si="3108"/>
        <v>X</v>
      </c>
      <c r="K13545" s="1" t="str">
        <f t="shared" si="3108"/>
        <v>X</v>
      </c>
      <c r="L13545" s="1" t="str">
        <f t="shared" si="3108"/>
        <v>X</v>
      </c>
      <c r="M13545" s="1" t="str">
        <f t="shared" si="3108"/>
        <v>X</v>
      </c>
      <c r="N13545" t="s">
        <v>27</v>
      </c>
    </row>
    <row r="13546" spans="1:14" x14ac:dyDescent="0.25">
      <c r="A13546" t="s">
        <v>45</v>
      </c>
      <c r="B13546" t="s">
        <v>15</v>
      </c>
      <c r="C13546" t="s">
        <v>36</v>
      </c>
      <c r="D13546" t="s">
        <v>29</v>
      </c>
      <c r="E13546" t="s">
        <v>23</v>
      </c>
      <c r="F13546" t="s">
        <v>20</v>
      </c>
      <c r="G13546" s="2">
        <f>VALUE(713.52)</f>
        <v>713.52</v>
      </c>
      <c r="H13546" s="3">
        <f>VALUE(504.47)</f>
        <v>504.47</v>
      </c>
      <c r="I13546" s="1">
        <f>VALUE(3422)</f>
        <v>3422</v>
      </c>
      <c r="J13546" s="1">
        <f>VALUE(3637)</f>
        <v>3637</v>
      </c>
      <c r="K13546" s="1">
        <f>VALUE(4236)</f>
        <v>4236</v>
      </c>
      <c r="L13546" s="1">
        <f>VALUE(5550)</f>
        <v>5550</v>
      </c>
      <c r="M13546" s="1">
        <f>VALUE(5690)</f>
        <v>5690</v>
      </c>
      <c r="N13546" t="s">
        <v>25</v>
      </c>
    </row>
    <row r="13547" spans="1:14" x14ac:dyDescent="0.25">
      <c r="A13547" t="s">
        <v>45</v>
      </c>
      <c r="B13547" t="s">
        <v>15</v>
      </c>
      <c r="C13547" t="s">
        <v>36</v>
      </c>
      <c r="D13547" t="s">
        <v>29</v>
      </c>
      <c r="E13547" t="s">
        <v>26</v>
      </c>
      <c r="F13547" t="s">
        <v>15</v>
      </c>
      <c r="G13547" s="1" t="str">
        <f t="shared" ref="G13547:M13548" si="3109">"X"</f>
        <v>X</v>
      </c>
      <c r="H13547" s="1" t="str">
        <f t="shared" si="3109"/>
        <v>X</v>
      </c>
      <c r="I13547" s="1" t="str">
        <f t="shared" si="3109"/>
        <v>X</v>
      </c>
      <c r="J13547" s="1" t="str">
        <f t="shared" si="3109"/>
        <v>X</v>
      </c>
      <c r="K13547" s="1" t="str">
        <f t="shared" si="3109"/>
        <v>X</v>
      </c>
      <c r="L13547" s="1" t="str">
        <f t="shared" si="3109"/>
        <v>X</v>
      </c>
      <c r="M13547" s="1" t="str">
        <f t="shared" si="3109"/>
        <v>X</v>
      </c>
      <c r="N13547" t="s">
        <v>27</v>
      </c>
    </row>
    <row r="13548" spans="1:14" x14ac:dyDescent="0.25">
      <c r="A13548" t="s">
        <v>45</v>
      </c>
      <c r="B13548" t="s">
        <v>15</v>
      </c>
      <c r="C13548" t="s">
        <v>36</v>
      </c>
      <c r="D13548" t="s">
        <v>29</v>
      </c>
      <c r="E13548" t="s">
        <v>26</v>
      </c>
      <c r="F13548" t="s">
        <v>17</v>
      </c>
      <c r="G13548" s="1" t="str">
        <f t="shared" si="3109"/>
        <v>X</v>
      </c>
      <c r="H13548" s="1" t="str">
        <f t="shared" si="3109"/>
        <v>X</v>
      </c>
      <c r="I13548" s="1" t="str">
        <f t="shared" si="3109"/>
        <v>X</v>
      </c>
      <c r="J13548" s="1" t="str">
        <f t="shared" si="3109"/>
        <v>X</v>
      </c>
      <c r="K13548" s="1" t="str">
        <f t="shared" si="3109"/>
        <v>X</v>
      </c>
      <c r="L13548" s="1" t="str">
        <f t="shared" si="3109"/>
        <v>X</v>
      </c>
      <c r="M13548" s="1" t="str">
        <f t="shared" si="3109"/>
        <v>X</v>
      </c>
      <c r="N13548" t="s">
        <v>27</v>
      </c>
    </row>
    <row r="13549" spans="1:14" x14ac:dyDescent="0.25">
      <c r="A13549" t="s">
        <v>45</v>
      </c>
      <c r="B13549" t="s">
        <v>15</v>
      </c>
      <c r="C13549" t="s">
        <v>36</v>
      </c>
      <c r="D13549" t="s">
        <v>29</v>
      </c>
      <c r="E13549" t="s">
        <v>26</v>
      </c>
      <c r="F13549" t="s">
        <v>18</v>
      </c>
      <c r="G13549" s="1" t="str">
        <f t="shared" ref="G13549:M13550" si="3110">"..."</f>
        <v>...</v>
      </c>
      <c r="H13549" s="1" t="str">
        <f t="shared" si="3110"/>
        <v>...</v>
      </c>
      <c r="I13549" s="1" t="str">
        <f t="shared" si="3110"/>
        <v>...</v>
      </c>
      <c r="J13549" s="1" t="str">
        <f t="shared" si="3110"/>
        <v>...</v>
      </c>
      <c r="K13549" s="1" t="str">
        <f t="shared" si="3110"/>
        <v>...</v>
      </c>
      <c r="L13549" s="1" t="str">
        <f t="shared" si="3110"/>
        <v>...</v>
      </c>
      <c r="M13549" s="1" t="str">
        <f t="shared" si="3110"/>
        <v>...</v>
      </c>
      <c r="N13549" t="s">
        <v>30</v>
      </c>
    </row>
    <row r="13550" spans="1:14" x14ac:dyDescent="0.25">
      <c r="A13550" t="s">
        <v>45</v>
      </c>
      <c r="B13550" t="s">
        <v>15</v>
      </c>
      <c r="C13550" t="s">
        <v>36</v>
      </c>
      <c r="D13550" t="s">
        <v>29</v>
      </c>
      <c r="E13550" t="s">
        <v>26</v>
      </c>
      <c r="F13550" t="s">
        <v>19</v>
      </c>
      <c r="G13550" s="1" t="str">
        <f t="shared" si="3110"/>
        <v>...</v>
      </c>
      <c r="H13550" s="1" t="str">
        <f t="shared" si="3110"/>
        <v>...</v>
      </c>
      <c r="I13550" s="1" t="str">
        <f t="shared" si="3110"/>
        <v>...</v>
      </c>
      <c r="J13550" s="1" t="str">
        <f t="shared" si="3110"/>
        <v>...</v>
      </c>
      <c r="K13550" s="1" t="str">
        <f t="shared" si="3110"/>
        <v>...</v>
      </c>
      <c r="L13550" s="1" t="str">
        <f t="shared" si="3110"/>
        <v>...</v>
      </c>
      <c r="M13550" s="1" t="str">
        <f t="shared" si="3110"/>
        <v>...</v>
      </c>
      <c r="N13550" t="s">
        <v>30</v>
      </c>
    </row>
    <row r="13551" spans="1:14" x14ac:dyDescent="0.25">
      <c r="A13551" t="s">
        <v>45</v>
      </c>
      <c r="B13551" t="s">
        <v>15</v>
      </c>
      <c r="C13551" t="s">
        <v>36</v>
      </c>
      <c r="D13551" t="s">
        <v>29</v>
      </c>
      <c r="E13551" t="s">
        <v>26</v>
      </c>
      <c r="F13551" t="s">
        <v>20</v>
      </c>
      <c r="G13551" s="1" t="str">
        <f t="shared" ref="G13551:M13551" si="3111">"X"</f>
        <v>X</v>
      </c>
      <c r="H13551" s="1" t="str">
        <f t="shared" si="3111"/>
        <v>X</v>
      </c>
      <c r="I13551" s="1" t="str">
        <f t="shared" si="3111"/>
        <v>X</v>
      </c>
      <c r="J13551" s="1" t="str">
        <f t="shared" si="3111"/>
        <v>X</v>
      </c>
      <c r="K13551" s="1" t="str">
        <f t="shared" si="3111"/>
        <v>X</v>
      </c>
      <c r="L13551" s="1" t="str">
        <f t="shared" si="3111"/>
        <v>X</v>
      </c>
      <c r="M13551" s="1" t="str">
        <f t="shared" si="3111"/>
        <v>X</v>
      </c>
      <c r="N13551" t="s">
        <v>27</v>
      </c>
    </row>
    <row r="13552" spans="1:14" x14ac:dyDescent="0.25">
      <c r="A13552" t="s">
        <v>45</v>
      </c>
      <c r="B13552" t="s">
        <v>15</v>
      </c>
      <c r="C13552" t="s">
        <v>36</v>
      </c>
      <c r="D13552" t="s">
        <v>31</v>
      </c>
      <c r="E13552" t="s">
        <v>15</v>
      </c>
      <c r="F13552" t="s">
        <v>15</v>
      </c>
      <c r="G13552" s="2">
        <f>VALUE(3729.22)</f>
        <v>3729.22</v>
      </c>
      <c r="H13552" s="3">
        <f>VALUE(3534.53)</f>
        <v>3534.53</v>
      </c>
      <c r="I13552" s="1">
        <f>VALUE(3467)</f>
        <v>3467</v>
      </c>
      <c r="J13552" s="1">
        <f>VALUE(3910)</f>
        <v>3910</v>
      </c>
      <c r="K13552" s="1">
        <f>VALUE(4688)</f>
        <v>4688</v>
      </c>
      <c r="L13552" s="1">
        <f>VALUE(5834)</f>
        <v>5834</v>
      </c>
      <c r="M13552" s="1">
        <f>VALUE(7167)</f>
        <v>7167</v>
      </c>
      <c r="N13552" t="s">
        <v>25</v>
      </c>
    </row>
    <row r="13553" spans="1:14" x14ac:dyDescent="0.25">
      <c r="A13553" t="s">
        <v>45</v>
      </c>
      <c r="B13553" t="s">
        <v>15</v>
      </c>
      <c r="C13553" t="s">
        <v>36</v>
      </c>
      <c r="D13553" t="s">
        <v>31</v>
      </c>
      <c r="E13553" t="s">
        <v>15</v>
      </c>
      <c r="F13553" t="s">
        <v>17</v>
      </c>
      <c r="G13553" s="2">
        <f>VALUE(261.81)</f>
        <v>261.81</v>
      </c>
      <c r="H13553" s="3">
        <f>VALUE(267.37)</f>
        <v>267.37</v>
      </c>
      <c r="I13553" s="4">
        <f>VALUE(3500)</f>
        <v>3500</v>
      </c>
      <c r="J13553" s="5">
        <f>VALUE(4683)</f>
        <v>4683</v>
      </c>
      <c r="K13553" s="6">
        <f>VALUE(5628)</f>
        <v>5628</v>
      </c>
      <c r="L13553" s="7">
        <f>VALUE(7708)</f>
        <v>7708</v>
      </c>
      <c r="M13553" s="8">
        <f>VALUE(11416)</f>
        <v>11416</v>
      </c>
      <c r="N13553" t="s">
        <v>24</v>
      </c>
    </row>
    <row r="13554" spans="1:14" x14ac:dyDescent="0.25">
      <c r="A13554" t="s">
        <v>45</v>
      </c>
      <c r="B13554" t="s">
        <v>15</v>
      </c>
      <c r="C13554" t="s">
        <v>36</v>
      </c>
      <c r="D13554" t="s">
        <v>31</v>
      </c>
      <c r="E13554" t="s">
        <v>15</v>
      </c>
      <c r="F13554" t="s">
        <v>18</v>
      </c>
      <c r="G13554" s="2">
        <f>VALUE(368.83)</f>
        <v>368.83</v>
      </c>
      <c r="H13554" s="3">
        <f>VALUE(337.76)</f>
        <v>337.76</v>
      </c>
      <c r="I13554" s="4">
        <f>VALUE(4184)</f>
        <v>4184</v>
      </c>
      <c r="J13554" s="1">
        <f>VALUE(5093)</f>
        <v>5093</v>
      </c>
      <c r="K13554" s="1">
        <f>VALUE(5093)</f>
        <v>5093</v>
      </c>
      <c r="L13554" s="1">
        <f>VALUE(5958)</f>
        <v>5958</v>
      </c>
      <c r="M13554" s="1">
        <f>VALUE(7597)</f>
        <v>7597</v>
      </c>
      <c r="N13554" t="s">
        <v>25</v>
      </c>
    </row>
    <row r="13555" spans="1:14" x14ac:dyDescent="0.25">
      <c r="A13555" t="s">
        <v>45</v>
      </c>
      <c r="B13555" t="s">
        <v>15</v>
      </c>
      <c r="C13555" t="s">
        <v>36</v>
      </c>
      <c r="D13555" t="s">
        <v>31</v>
      </c>
      <c r="E13555" t="s">
        <v>15</v>
      </c>
      <c r="F13555" t="s">
        <v>19</v>
      </c>
      <c r="G13555" s="2">
        <f>VALUE(387.23)</f>
        <v>387.23</v>
      </c>
      <c r="H13555" s="3">
        <f>VALUE(376.69)</f>
        <v>376.69</v>
      </c>
      <c r="I13555" s="1">
        <f>VALUE(3586)</f>
        <v>3586</v>
      </c>
      <c r="J13555" s="1">
        <f>VALUE(4127)</f>
        <v>4127</v>
      </c>
      <c r="K13555" s="6">
        <f>VALUE(5142)</f>
        <v>5142</v>
      </c>
      <c r="L13555" s="1">
        <f>VALUE(6588)</f>
        <v>6588</v>
      </c>
      <c r="M13555" s="1">
        <f>VALUE(8571)</f>
        <v>8571</v>
      </c>
      <c r="N13555" t="s">
        <v>25</v>
      </c>
    </row>
    <row r="13556" spans="1:14" x14ac:dyDescent="0.25">
      <c r="A13556" t="s">
        <v>45</v>
      </c>
      <c r="B13556" t="s">
        <v>15</v>
      </c>
      <c r="C13556" t="s">
        <v>36</v>
      </c>
      <c r="D13556" t="s">
        <v>31</v>
      </c>
      <c r="E13556" t="s">
        <v>15</v>
      </c>
      <c r="F13556" t="s">
        <v>20</v>
      </c>
      <c r="G13556" s="2">
        <f>VALUE(2711.35)</f>
        <v>2711.35</v>
      </c>
      <c r="H13556" s="3">
        <f>VALUE(2552.71)</f>
        <v>2552.71</v>
      </c>
      <c r="I13556" s="1">
        <f>VALUE(3438)</f>
        <v>3438</v>
      </c>
      <c r="J13556" s="1">
        <f>VALUE(3839)</f>
        <v>3839</v>
      </c>
      <c r="K13556" s="1">
        <f>VALUE(4333)</f>
        <v>4333</v>
      </c>
      <c r="L13556" s="1">
        <f>VALUE(5515)</f>
        <v>5515</v>
      </c>
      <c r="M13556" s="1">
        <f>VALUE(6625)</f>
        <v>6625</v>
      </c>
      <c r="N13556" t="s">
        <v>25</v>
      </c>
    </row>
    <row r="13557" spans="1:14" x14ac:dyDescent="0.25">
      <c r="A13557" t="s">
        <v>45</v>
      </c>
      <c r="B13557" t="s">
        <v>15</v>
      </c>
      <c r="C13557" t="s">
        <v>36</v>
      </c>
      <c r="D13557" t="s">
        <v>31</v>
      </c>
      <c r="E13557" t="s">
        <v>21</v>
      </c>
      <c r="F13557" t="s">
        <v>15</v>
      </c>
      <c r="G13557" s="2">
        <f>VALUE(1553.24)</f>
        <v>1553.24</v>
      </c>
      <c r="H13557" s="3">
        <f>VALUE(1486.5)</f>
        <v>1486.5</v>
      </c>
      <c r="I13557" s="1">
        <f>VALUE(3908)</f>
        <v>3908</v>
      </c>
      <c r="J13557" s="1">
        <f>VALUE(4209)</f>
        <v>4209</v>
      </c>
      <c r="K13557" s="1">
        <f>VALUE(5481)</f>
        <v>5481</v>
      </c>
      <c r="L13557" s="1">
        <f>VALUE(6863)</f>
        <v>6863</v>
      </c>
      <c r="M13557" s="8">
        <f>VALUE(8869)</f>
        <v>8869</v>
      </c>
      <c r="N13557" t="s">
        <v>25</v>
      </c>
    </row>
    <row r="13558" spans="1:14" x14ac:dyDescent="0.25">
      <c r="A13558" t="s">
        <v>45</v>
      </c>
      <c r="B13558" t="s">
        <v>15</v>
      </c>
      <c r="C13558" t="s">
        <v>36</v>
      </c>
      <c r="D13558" t="s">
        <v>31</v>
      </c>
      <c r="E13558" t="s">
        <v>21</v>
      </c>
      <c r="F13558" t="s">
        <v>17</v>
      </c>
      <c r="G13558" s="1" t="str">
        <f t="shared" ref="G13558:M13560" si="3112">"X"</f>
        <v>X</v>
      </c>
      <c r="H13558" s="1" t="str">
        <f t="shared" si="3112"/>
        <v>X</v>
      </c>
      <c r="I13558" s="1" t="str">
        <f t="shared" si="3112"/>
        <v>X</v>
      </c>
      <c r="J13558" s="1" t="str">
        <f t="shared" si="3112"/>
        <v>X</v>
      </c>
      <c r="K13558" s="1" t="str">
        <f t="shared" si="3112"/>
        <v>X</v>
      </c>
      <c r="L13558" s="1" t="str">
        <f t="shared" si="3112"/>
        <v>X</v>
      </c>
      <c r="M13558" s="1" t="str">
        <f t="shared" si="3112"/>
        <v>X</v>
      </c>
      <c r="N13558" t="s">
        <v>27</v>
      </c>
    </row>
    <row r="13559" spans="1:14" x14ac:dyDescent="0.25">
      <c r="A13559" t="s">
        <v>45</v>
      </c>
      <c r="B13559" t="s">
        <v>15</v>
      </c>
      <c r="C13559" t="s">
        <v>36</v>
      </c>
      <c r="D13559" t="s">
        <v>31</v>
      </c>
      <c r="E13559" t="s">
        <v>21</v>
      </c>
      <c r="F13559" t="s">
        <v>18</v>
      </c>
      <c r="G13559" s="1" t="str">
        <f t="shared" si="3112"/>
        <v>X</v>
      </c>
      <c r="H13559" s="1" t="str">
        <f t="shared" si="3112"/>
        <v>X</v>
      </c>
      <c r="I13559" s="1" t="str">
        <f t="shared" si="3112"/>
        <v>X</v>
      </c>
      <c r="J13559" s="1" t="str">
        <f t="shared" si="3112"/>
        <v>X</v>
      </c>
      <c r="K13559" s="1" t="str">
        <f t="shared" si="3112"/>
        <v>X</v>
      </c>
      <c r="L13559" s="1" t="str">
        <f t="shared" si="3112"/>
        <v>X</v>
      </c>
      <c r="M13559" s="1" t="str">
        <f t="shared" si="3112"/>
        <v>X</v>
      </c>
      <c r="N13559" t="s">
        <v>27</v>
      </c>
    </row>
    <row r="13560" spans="1:14" x14ac:dyDescent="0.25">
      <c r="A13560" t="s">
        <v>45</v>
      </c>
      <c r="B13560" t="s">
        <v>15</v>
      </c>
      <c r="C13560" t="s">
        <v>36</v>
      </c>
      <c r="D13560" t="s">
        <v>31</v>
      </c>
      <c r="E13560" t="s">
        <v>21</v>
      </c>
      <c r="F13560" t="s">
        <v>19</v>
      </c>
      <c r="G13560" s="1" t="str">
        <f t="shared" si="3112"/>
        <v>X</v>
      </c>
      <c r="H13560" s="1" t="str">
        <f t="shared" si="3112"/>
        <v>X</v>
      </c>
      <c r="I13560" s="1" t="str">
        <f t="shared" si="3112"/>
        <v>X</v>
      </c>
      <c r="J13560" s="1" t="str">
        <f t="shared" si="3112"/>
        <v>X</v>
      </c>
      <c r="K13560" s="1" t="str">
        <f t="shared" si="3112"/>
        <v>X</v>
      </c>
      <c r="L13560" s="1" t="str">
        <f t="shared" si="3112"/>
        <v>X</v>
      </c>
      <c r="M13560" s="1" t="str">
        <f t="shared" si="3112"/>
        <v>X</v>
      </c>
      <c r="N13560" t="s">
        <v>27</v>
      </c>
    </row>
    <row r="13561" spans="1:14" x14ac:dyDescent="0.25">
      <c r="A13561" t="s">
        <v>45</v>
      </c>
      <c r="B13561" t="s">
        <v>15</v>
      </c>
      <c r="C13561" t="s">
        <v>36</v>
      </c>
      <c r="D13561" t="s">
        <v>31</v>
      </c>
      <c r="E13561" t="s">
        <v>21</v>
      </c>
      <c r="F13561" t="s">
        <v>20</v>
      </c>
      <c r="G13561" s="2">
        <f>VALUE(982.3)</f>
        <v>982.3</v>
      </c>
      <c r="H13561" s="3">
        <f>VALUE(948.69)</f>
        <v>948.69</v>
      </c>
      <c r="I13561" s="1">
        <f>VALUE(3888)</f>
        <v>3888</v>
      </c>
      <c r="J13561" s="1">
        <f>VALUE(3911)</f>
        <v>3911</v>
      </c>
      <c r="K13561" s="1">
        <f>VALUE(5216)</f>
        <v>5216</v>
      </c>
      <c r="L13561" s="1">
        <f>VALUE(6310)</f>
        <v>6310</v>
      </c>
      <c r="M13561" s="8">
        <f>VALUE(7646)</f>
        <v>7646</v>
      </c>
      <c r="N13561" t="s">
        <v>25</v>
      </c>
    </row>
    <row r="13562" spans="1:14" x14ac:dyDescent="0.25">
      <c r="A13562" t="s">
        <v>45</v>
      </c>
      <c r="B13562" t="s">
        <v>15</v>
      </c>
      <c r="C13562" t="s">
        <v>36</v>
      </c>
      <c r="D13562" t="s">
        <v>31</v>
      </c>
      <c r="E13562" t="s">
        <v>22</v>
      </c>
      <c r="F13562" t="s">
        <v>15</v>
      </c>
      <c r="G13562" s="2">
        <f>VALUE(918.08)</f>
        <v>918.08</v>
      </c>
      <c r="H13562" s="3">
        <f>VALUE(880.85)</f>
        <v>880.85</v>
      </c>
      <c r="I13562" s="1">
        <f>VALUE(3403)</f>
        <v>3403</v>
      </c>
      <c r="J13562" s="1">
        <f>VALUE(3855)</f>
        <v>3855</v>
      </c>
      <c r="K13562" s="1">
        <f>VALUE(4603)</f>
        <v>4603</v>
      </c>
      <c r="L13562" s="1">
        <f>VALUE(5452)</f>
        <v>5452</v>
      </c>
      <c r="M13562" s="1">
        <f>VALUE(6588)</f>
        <v>6588</v>
      </c>
      <c r="N13562" t="s">
        <v>25</v>
      </c>
    </row>
    <row r="13563" spans="1:14" x14ac:dyDescent="0.25">
      <c r="A13563" t="s">
        <v>45</v>
      </c>
      <c r="B13563" t="s">
        <v>15</v>
      </c>
      <c r="C13563" t="s">
        <v>36</v>
      </c>
      <c r="D13563" t="s">
        <v>31</v>
      </c>
      <c r="E13563" t="s">
        <v>22</v>
      </c>
      <c r="F13563" t="s">
        <v>17</v>
      </c>
      <c r="G13563" s="1" t="str">
        <f t="shared" ref="G13563:M13565" si="3113">"X"</f>
        <v>X</v>
      </c>
      <c r="H13563" s="1" t="str">
        <f t="shared" si="3113"/>
        <v>X</v>
      </c>
      <c r="I13563" s="1" t="str">
        <f t="shared" si="3113"/>
        <v>X</v>
      </c>
      <c r="J13563" s="1" t="str">
        <f t="shared" si="3113"/>
        <v>X</v>
      </c>
      <c r="K13563" s="1" t="str">
        <f t="shared" si="3113"/>
        <v>X</v>
      </c>
      <c r="L13563" s="1" t="str">
        <f t="shared" si="3113"/>
        <v>X</v>
      </c>
      <c r="M13563" s="1" t="str">
        <f t="shared" si="3113"/>
        <v>X</v>
      </c>
      <c r="N13563" t="s">
        <v>27</v>
      </c>
    </row>
    <row r="13564" spans="1:14" x14ac:dyDescent="0.25">
      <c r="A13564" t="s">
        <v>45</v>
      </c>
      <c r="B13564" t="s">
        <v>15</v>
      </c>
      <c r="C13564" t="s">
        <v>36</v>
      </c>
      <c r="D13564" t="s">
        <v>31</v>
      </c>
      <c r="E13564" t="s">
        <v>22</v>
      </c>
      <c r="F13564" t="s">
        <v>18</v>
      </c>
      <c r="G13564" s="1" t="str">
        <f t="shared" si="3113"/>
        <v>X</v>
      </c>
      <c r="H13564" s="1" t="str">
        <f t="shared" si="3113"/>
        <v>X</v>
      </c>
      <c r="I13564" s="1" t="str">
        <f t="shared" si="3113"/>
        <v>X</v>
      </c>
      <c r="J13564" s="1" t="str">
        <f t="shared" si="3113"/>
        <v>X</v>
      </c>
      <c r="K13564" s="1" t="str">
        <f t="shared" si="3113"/>
        <v>X</v>
      </c>
      <c r="L13564" s="1" t="str">
        <f t="shared" si="3113"/>
        <v>X</v>
      </c>
      <c r="M13564" s="1" t="str">
        <f t="shared" si="3113"/>
        <v>X</v>
      </c>
      <c r="N13564" t="s">
        <v>27</v>
      </c>
    </row>
    <row r="13565" spans="1:14" x14ac:dyDescent="0.25">
      <c r="A13565" t="s">
        <v>45</v>
      </c>
      <c r="B13565" t="s">
        <v>15</v>
      </c>
      <c r="C13565" t="s">
        <v>36</v>
      </c>
      <c r="D13565" t="s">
        <v>31</v>
      </c>
      <c r="E13565" t="s">
        <v>22</v>
      </c>
      <c r="F13565" t="s">
        <v>19</v>
      </c>
      <c r="G13565" s="1" t="str">
        <f t="shared" si="3113"/>
        <v>X</v>
      </c>
      <c r="H13565" s="1" t="str">
        <f t="shared" si="3113"/>
        <v>X</v>
      </c>
      <c r="I13565" s="1" t="str">
        <f t="shared" si="3113"/>
        <v>X</v>
      </c>
      <c r="J13565" s="1" t="str">
        <f t="shared" si="3113"/>
        <v>X</v>
      </c>
      <c r="K13565" s="1" t="str">
        <f t="shared" si="3113"/>
        <v>X</v>
      </c>
      <c r="L13565" s="1" t="str">
        <f t="shared" si="3113"/>
        <v>X</v>
      </c>
      <c r="M13565" s="1" t="str">
        <f t="shared" si="3113"/>
        <v>X</v>
      </c>
      <c r="N13565" t="s">
        <v>27</v>
      </c>
    </row>
    <row r="13566" spans="1:14" x14ac:dyDescent="0.25">
      <c r="A13566" t="s">
        <v>45</v>
      </c>
      <c r="B13566" t="s">
        <v>15</v>
      </c>
      <c r="C13566" t="s">
        <v>36</v>
      </c>
      <c r="D13566" t="s">
        <v>31</v>
      </c>
      <c r="E13566" t="s">
        <v>22</v>
      </c>
      <c r="F13566" t="s">
        <v>20</v>
      </c>
      <c r="G13566" s="2">
        <f>VALUE(682.35)</f>
        <v>682.35</v>
      </c>
      <c r="H13566" s="3">
        <f>VALUE(642.85)</f>
        <v>642.85</v>
      </c>
      <c r="I13566" s="1">
        <f>VALUE(3466)</f>
        <v>3466</v>
      </c>
      <c r="J13566" s="1">
        <f>VALUE(3884)</f>
        <v>3884</v>
      </c>
      <c r="K13566" s="1">
        <f>VALUE(4479)</f>
        <v>4479</v>
      </c>
      <c r="L13566" s="1">
        <f>VALUE(5286)</f>
        <v>5286</v>
      </c>
      <c r="M13566" s="1">
        <f>VALUE(6412)</f>
        <v>6412</v>
      </c>
      <c r="N13566" t="s">
        <v>25</v>
      </c>
    </row>
    <row r="13567" spans="1:14" x14ac:dyDescent="0.25">
      <c r="A13567" t="s">
        <v>45</v>
      </c>
      <c r="B13567" t="s">
        <v>15</v>
      </c>
      <c r="C13567" t="s">
        <v>36</v>
      </c>
      <c r="D13567" t="s">
        <v>31</v>
      </c>
      <c r="E13567" t="s">
        <v>23</v>
      </c>
      <c r="F13567" t="s">
        <v>15</v>
      </c>
      <c r="G13567" s="2">
        <f>VALUE(1217.12)</f>
        <v>1217.1199999999999</v>
      </c>
      <c r="H13567" s="3">
        <f>VALUE(1132.26)</f>
        <v>1132.26</v>
      </c>
      <c r="I13567" s="1">
        <f>VALUE(3371)</f>
        <v>3371</v>
      </c>
      <c r="J13567" s="1">
        <f>VALUE(3593)</f>
        <v>3593</v>
      </c>
      <c r="K13567" s="1">
        <f>VALUE(4097)</f>
        <v>4097</v>
      </c>
      <c r="L13567" s="1">
        <f>VALUE(5000)</f>
        <v>5000</v>
      </c>
      <c r="M13567" s="1">
        <f>VALUE(5262)</f>
        <v>5262</v>
      </c>
      <c r="N13567" t="s">
        <v>25</v>
      </c>
    </row>
    <row r="13568" spans="1:14" x14ac:dyDescent="0.25">
      <c r="A13568" t="s">
        <v>45</v>
      </c>
      <c r="B13568" t="s">
        <v>15</v>
      </c>
      <c r="C13568" t="s">
        <v>36</v>
      </c>
      <c r="D13568" t="s">
        <v>31</v>
      </c>
      <c r="E13568" t="s">
        <v>23</v>
      </c>
      <c r="F13568" t="s">
        <v>17</v>
      </c>
      <c r="G13568" s="1" t="str">
        <f t="shared" ref="G13568:M13570" si="3114">"X"</f>
        <v>X</v>
      </c>
      <c r="H13568" s="1" t="str">
        <f t="shared" si="3114"/>
        <v>X</v>
      </c>
      <c r="I13568" s="1" t="str">
        <f t="shared" si="3114"/>
        <v>X</v>
      </c>
      <c r="J13568" s="1" t="str">
        <f t="shared" si="3114"/>
        <v>X</v>
      </c>
      <c r="K13568" s="1" t="str">
        <f t="shared" si="3114"/>
        <v>X</v>
      </c>
      <c r="L13568" s="1" t="str">
        <f t="shared" si="3114"/>
        <v>X</v>
      </c>
      <c r="M13568" s="1" t="str">
        <f t="shared" si="3114"/>
        <v>X</v>
      </c>
      <c r="N13568" t="s">
        <v>27</v>
      </c>
    </row>
    <row r="13569" spans="1:14" x14ac:dyDescent="0.25">
      <c r="A13569" t="s">
        <v>45</v>
      </c>
      <c r="B13569" t="s">
        <v>15</v>
      </c>
      <c r="C13569" t="s">
        <v>36</v>
      </c>
      <c r="D13569" t="s">
        <v>31</v>
      </c>
      <c r="E13569" t="s">
        <v>23</v>
      </c>
      <c r="F13569" t="s">
        <v>18</v>
      </c>
      <c r="G13569" s="1" t="str">
        <f t="shared" si="3114"/>
        <v>X</v>
      </c>
      <c r="H13569" s="1" t="str">
        <f t="shared" si="3114"/>
        <v>X</v>
      </c>
      <c r="I13569" s="1" t="str">
        <f t="shared" si="3114"/>
        <v>X</v>
      </c>
      <c r="J13569" s="1" t="str">
        <f t="shared" si="3114"/>
        <v>X</v>
      </c>
      <c r="K13569" s="1" t="str">
        <f t="shared" si="3114"/>
        <v>X</v>
      </c>
      <c r="L13569" s="1" t="str">
        <f t="shared" si="3114"/>
        <v>X</v>
      </c>
      <c r="M13569" s="1" t="str">
        <f t="shared" si="3114"/>
        <v>X</v>
      </c>
      <c r="N13569" t="s">
        <v>27</v>
      </c>
    </row>
    <row r="13570" spans="1:14" x14ac:dyDescent="0.25">
      <c r="A13570" t="s">
        <v>45</v>
      </c>
      <c r="B13570" t="s">
        <v>15</v>
      </c>
      <c r="C13570" t="s">
        <v>36</v>
      </c>
      <c r="D13570" t="s">
        <v>31</v>
      </c>
      <c r="E13570" t="s">
        <v>23</v>
      </c>
      <c r="F13570" t="s">
        <v>19</v>
      </c>
      <c r="G13570" s="1" t="str">
        <f t="shared" si="3114"/>
        <v>X</v>
      </c>
      <c r="H13570" s="1" t="str">
        <f t="shared" si="3114"/>
        <v>X</v>
      </c>
      <c r="I13570" s="1" t="str">
        <f t="shared" si="3114"/>
        <v>X</v>
      </c>
      <c r="J13570" s="1" t="str">
        <f t="shared" si="3114"/>
        <v>X</v>
      </c>
      <c r="K13570" s="1" t="str">
        <f t="shared" si="3114"/>
        <v>X</v>
      </c>
      <c r="L13570" s="1" t="str">
        <f t="shared" si="3114"/>
        <v>X</v>
      </c>
      <c r="M13570" s="1" t="str">
        <f t="shared" si="3114"/>
        <v>X</v>
      </c>
      <c r="N13570" t="s">
        <v>27</v>
      </c>
    </row>
    <row r="13571" spans="1:14" x14ac:dyDescent="0.25">
      <c r="A13571" t="s">
        <v>45</v>
      </c>
      <c r="B13571" t="s">
        <v>15</v>
      </c>
      <c r="C13571" t="s">
        <v>36</v>
      </c>
      <c r="D13571" t="s">
        <v>31</v>
      </c>
      <c r="E13571" t="s">
        <v>23</v>
      </c>
      <c r="F13571" t="s">
        <v>20</v>
      </c>
      <c r="G13571" s="2">
        <f>VALUE(1008.94)</f>
        <v>1008.94</v>
      </c>
      <c r="H13571" s="3">
        <f>VALUE(929.27)</f>
        <v>929.27</v>
      </c>
      <c r="I13571" s="1">
        <f>VALUE(3334)</f>
        <v>3334</v>
      </c>
      <c r="J13571" s="1">
        <f>VALUE(3554)</f>
        <v>3554</v>
      </c>
      <c r="K13571" s="1">
        <f>VALUE(3918)</f>
        <v>3918</v>
      </c>
      <c r="L13571" s="1">
        <f>VALUE(4474)</f>
        <v>4474</v>
      </c>
      <c r="M13571" s="1">
        <f>VALUE(5380)</f>
        <v>5380</v>
      </c>
      <c r="N13571" t="s">
        <v>25</v>
      </c>
    </row>
    <row r="13572" spans="1:14" x14ac:dyDescent="0.25">
      <c r="A13572" t="s">
        <v>45</v>
      </c>
      <c r="B13572" t="s">
        <v>15</v>
      </c>
      <c r="C13572" t="s">
        <v>36</v>
      </c>
      <c r="D13572" t="s">
        <v>31</v>
      </c>
      <c r="E13572" t="s">
        <v>26</v>
      </c>
      <c r="F13572" t="s">
        <v>15</v>
      </c>
      <c r="G13572" s="1" t="str">
        <f t="shared" ref="G13572:M13572" si="3115">"X"</f>
        <v>X</v>
      </c>
      <c r="H13572" s="1" t="str">
        <f t="shared" si="3115"/>
        <v>X</v>
      </c>
      <c r="I13572" s="1" t="str">
        <f t="shared" si="3115"/>
        <v>X</v>
      </c>
      <c r="J13572" s="1" t="str">
        <f t="shared" si="3115"/>
        <v>X</v>
      </c>
      <c r="K13572" s="1" t="str">
        <f t="shared" si="3115"/>
        <v>X</v>
      </c>
      <c r="L13572" s="1" t="str">
        <f t="shared" si="3115"/>
        <v>X</v>
      </c>
      <c r="M13572" s="1" t="str">
        <f t="shared" si="3115"/>
        <v>X</v>
      </c>
      <c r="N13572" t="s">
        <v>27</v>
      </c>
    </row>
    <row r="13573" spans="1:14" x14ac:dyDescent="0.25">
      <c r="A13573" t="s">
        <v>45</v>
      </c>
      <c r="B13573" t="s">
        <v>15</v>
      </c>
      <c r="C13573" t="s">
        <v>36</v>
      </c>
      <c r="D13573" t="s">
        <v>31</v>
      </c>
      <c r="E13573" t="s">
        <v>26</v>
      </c>
      <c r="F13573" t="s">
        <v>17</v>
      </c>
      <c r="G13573" s="1" t="str">
        <f t="shared" ref="G13573:M13573" si="3116">"..."</f>
        <v>...</v>
      </c>
      <c r="H13573" s="1" t="str">
        <f t="shared" si="3116"/>
        <v>...</v>
      </c>
      <c r="I13573" s="1" t="str">
        <f t="shared" si="3116"/>
        <v>...</v>
      </c>
      <c r="J13573" s="1" t="str">
        <f t="shared" si="3116"/>
        <v>...</v>
      </c>
      <c r="K13573" s="1" t="str">
        <f t="shared" si="3116"/>
        <v>...</v>
      </c>
      <c r="L13573" s="1" t="str">
        <f t="shared" si="3116"/>
        <v>...</v>
      </c>
      <c r="M13573" s="1" t="str">
        <f t="shared" si="3116"/>
        <v>...</v>
      </c>
      <c r="N13573" t="s">
        <v>30</v>
      </c>
    </row>
    <row r="13574" spans="1:14" x14ac:dyDescent="0.25">
      <c r="A13574" t="s">
        <v>45</v>
      </c>
      <c r="B13574" t="s">
        <v>15</v>
      </c>
      <c r="C13574" t="s">
        <v>36</v>
      </c>
      <c r="D13574" t="s">
        <v>31</v>
      </c>
      <c r="E13574" t="s">
        <v>26</v>
      </c>
      <c r="F13574" t="s">
        <v>18</v>
      </c>
      <c r="G13574" s="1" t="str">
        <f t="shared" ref="G13574:M13574" si="3117">"X"</f>
        <v>X</v>
      </c>
      <c r="H13574" s="1" t="str">
        <f t="shared" si="3117"/>
        <v>X</v>
      </c>
      <c r="I13574" s="1" t="str">
        <f t="shared" si="3117"/>
        <v>X</v>
      </c>
      <c r="J13574" s="1" t="str">
        <f t="shared" si="3117"/>
        <v>X</v>
      </c>
      <c r="K13574" s="1" t="str">
        <f t="shared" si="3117"/>
        <v>X</v>
      </c>
      <c r="L13574" s="1" t="str">
        <f t="shared" si="3117"/>
        <v>X</v>
      </c>
      <c r="M13574" s="1" t="str">
        <f t="shared" si="3117"/>
        <v>X</v>
      </c>
      <c r="N13574" t="s">
        <v>27</v>
      </c>
    </row>
    <row r="13575" spans="1:14" x14ac:dyDescent="0.25">
      <c r="A13575" t="s">
        <v>45</v>
      </c>
      <c r="B13575" t="s">
        <v>15</v>
      </c>
      <c r="C13575" t="s">
        <v>36</v>
      </c>
      <c r="D13575" t="s">
        <v>31</v>
      </c>
      <c r="E13575" t="s">
        <v>26</v>
      </c>
      <c r="F13575" t="s">
        <v>19</v>
      </c>
      <c r="G13575" s="1" t="str">
        <f t="shared" ref="G13575:M13575" si="3118">"..."</f>
        <v>...</v>
      </c>
      <c r="H13575" s="1" t="str">
        <f t="shared" si="3118"/>
        <v>...</v>
      </c>
      <c r="I13575" s="1" t="str">
        <f t="shared" si="3118"/>
        <v>...</v>
      </c>
      <c r="J13575" s="1" t="str">
        <f t="shared" si="3118"/>
        <v>...</v>
      </c>
      <c r="K13575" s="1" t="str">
        <f t="shared" si="3118"/>
        <v>...</v>
      </c>
      <c r="L13575" s="1" t="str">
        <f t="shared" si="3118"/>
        <v>...</v>
      </c>
      <c r="M13575" s="1" t="str">
        <f t="shared" si="3118"/>
        <v>...</v>
      </c>
      <c r="N13575" t="s">
        <v>30</v>
      </c>
    </row>
    <row r="13576" spans="1:14" x14ac:dyDescent="0.25">
      <c r="A13576" t="s">
        <v>45</v>
      </c>
      <c r="B13576" t="s">
        <v>15</v>
      </c>
      <c r="C13576" t="s">
        <v>36</v>
      </c>
      <c r="D13576" t="s">
        <v>31</v>
      </c>
      <c r="E13576" t="s">
        <v>26</v>
      </c>
      <c r="F13576" t="s">
        <v>20</v>
      </c>
      <c r="G13576" s="1" t="str">
        <f t="shared" ref="G13576:M13576" si="3119">"X"</f>
        <v>X</v>
      </c>
      <c r="H13576" s="1" t="str">
        <f t="shared" si="3119"/>
        <v>X</v>
      </c>
      <c r="I13576" s="1" t="str">
        <f t="shared" si="3119"/>
        <v>X</v>
      </c>
      <c r="J13576" s="1" t="str">
        <f t="shared" si="3119"/>
        <v>X</v>
      </c>
      <c r="K13576" s="1" t="str">
        <f t="shared" si="3119"/>
        <v>X</v>
      </c>
      <c r="L13576" s="1" t="str">
        <f t="shared" si="3119"/>
        <v>X</v>
      </c>
      <c r="M13576" s="1" t="str">
        <f t="shared" si="3119"/>
        <v>X</v>
      </c>
      <c r="N13576" t="s">
        <v>27</v>
      </c>
    </row>
    <row r="13577" spans="1:14" x14ac:dyDescent="0.25">
      <c r="A13577" t="s">
        <v>45</v>
      </c>
      <c r="B13577" t="s">
        <v>15</v>
      </c>
      <c r="C13577" t="s">
        <v>36</v>
      </c>
      <c r="D13577" t="s">
        <v>32</v>
      </c>
      <c r="E13577" t="s">
        <v>15</v>
      </c>
      <c r="F13577" t="s">
        <v>15</v>
      </c>
      <c r="G13577" s="1">
        <f>VALUE(12436.62)</f>
        <v>12436.62</v>
      </c>
      <c r="H13577" s="1">
        <f>VALUE(11670.12)</f>
        <v>11670.12</v>
      </c>
      <c r="I13577" s="1">
        <f>VALUE(3086)</f>
        <v>3086</v>
      </c>
      <c r="J13577" s="1">
        <f>VALUE(3451)</f>
        <v>3451</v>
      </c>
      <c r="K13577" s="1">
        <f>VALUE(4115)</f>
        <v>4115</v>
      </c>
      <c r="L13577" s="1">
        <f>VALUE(5006)</f>
        <v>5006</v>
      </c>
      <c r="M13577" s="1">
        <f>VALUE(5958)</f>
        <v>5958</v>
      </c>
      <c r="N13577" t="s">
        <v>16</v>
      </c>
    </row>
    <row r="13578" spans="1:14" x14ac:dyDescent="0.25">
      <c r="A13578" t="s">
        <v>45</v>
      </c>
      <c r="B13578" t="s">
        <v>15</v>
      </c>
      <c r="C13578" t="s">
        <v>36</v>
      </c>
      <c r="D13578" t="s">
        <v>32</v>
      </c>
      <c r="E13578" t="s">
        <v>15</v>
      </c>
      <c r="F13578" t="s">
        <v>17</v>
      </c>
      <c r="G13578" s="2">
        <f>VALUE(408.28)</f>
        <v>408.28</v>
      </c>
      <c r="H13578" s="3">
        <f>VALUE(348.57)</f>
        <v>348.57</v>
      </c>
      <c r="I13578" s="4">
        <f>VALUE(3550)</f>
        <v>3550</v>
      </c>
      <c r="J13578" s="1">
        <f>VALUE(4555)</f>
        <v>4555</v>
      </c>
      <c r="K13578" s="6">
        <f>VALUE(6322)</f>
        <v>6322</v>
      </c>
      <c r="L13578" s="1">
        <f>VALUE(7122)</f>
        <v>7122</v>
      </c>
      <c r="M13578" s="1">
        <f>VALUE(8383)</f>
        <v>8383</v>
      </c>
      <c r="N13578" t="s">
        <v>25</v>
      </c>
    </row>
    <row r="13579" spans="1:14" x14ac:dyDescent="0.25">
      <c r="A13579" t="s">
        <v>45</v>
      </c>
      <c r="B13579" t="s">
        <v>15</v>
      </c>
      <c r="C13579" t="s">
        <v>36</v>
      </c>
      <c r="D13579" t="s">
        <v>32</v>
      </c>
      <c r="E13579" t="s">
        <v>15</v>
      </c>
      <c r="F13579" t="s">
        <v>18</v>
      </c>
      <c r="G13579" s="2">
        <f>VALUE(794.17)</f>
        <v>794.17</v>
      </c>
      <c r="H13579" s="3">
        <f>VALUE(779.61)</f>
        <v>779.61</v>
      </c>
      <c r="I13579" s="4">
        <f>VALUE(3773)</f>
        <v>3773</v>
      </c>
      <c r="J13579" s="1">
        <f>VALUE(4520)</f>
        <v>4520</v>
      </c>
      <c r="K13579" s="1">
        <f>VALUE(5302)</f>
        <v>5302</v>
      </c>
      <c r="L13579" s="1">
        <f>VALUE(5685)</f>
        <v>5685</v>
      </c>
      <c r="M13579" s="8">
        <f>VALUE(7042)</f>
        <v>7042</v>
      </c>
      <c r="N13579" t="s">
        <v>25</v>
      </c>
    </row>
    <row r="13580" spans="1:14" x14ac:dyDescent="0.25">
      <c r="A13580" t="s">
        <v>45</v>
      </c>
      <c r="B13580" t="s">
        <v>15</v>
      </c>
      <c r="C13580" t="s">
        <v>36</v>
      </c>
      <c r="D13580" t="s">
        <v>32</v>
      </c>
      <c r="E13580" t="s">
        <v>15</v>
      </c>
      <c r="F13580" t="s">
        <v>19</v>
      </c>
      <c r="G13580" s="2">
        <f>VALUE(1097.76)</f>
        <v>1097.76</v>
      </c>
      <c r="H13580" s="3">
        <f>VALUE(1041.64)</f>
        <v>1041.6400000000001</v>
      </c>
      <c r="I13580" s="1">
        <f>VALUE(3166)</f>
        <v>3166</v>
      </c>
      <c r="J13580" s="1">
        <f>VALUE(3450)</f>
        <v>3450</v>
      </c>
      <c r="K13580" s="1">
        <f>VALUE(4235)</f>
        <v>4235</v>
      </c>
      <c r="L13580" s="1">
        <f>VALUE(5229)</f>
        <v>5229</v>
      </c>
      <c r="M13580" s="1">
        <f>VALUE(6282)</f>
        <v>6282</v>
      </c>
      <c r="N13580" t="s">
        <v>25</v>
      </c>
    </row>
    <row r="13581" spans="1:14" x14ac:dyDescent="0.25">
      <c r="A13581" t="s">
        <v>45</v>
      </c>
      <c r="B13581" t="s">
        <v>15</v>
      </c>
      <c r="C13581" t="s">
        <v>36</v>
      </c>
      <c r="D13581" t="s">
        <v>32</v>
      </c>
      <c r="E13581" t="s">
        <v>15</v>
      </c>
      <c r="F13581" t="s">
        <v>20</v>
      </c>
      <c r="G13581" s="1">
        <f>VALUE(10136.41)</f>
        <v>10136.41</v>
      </c>
      <c r="H13581" s="1">
        <f>VALUE(9500.3)</f>
        <v>9500.2999999999993</v>
      </c>
      <c r="I13581" s="1">
        <f>VALUE(3059)</f>
        <v>3059</v>
      </c>
      <c r="J13581" s="1">
        <f>VALUE(3425)</f>
        <v>3425</v>
      </c>
      <c r="K13581" s="1">
        <f>VALUE(3968)</f>
        <v>3968</v>
      </c>
      <c r="L13581" s="1">
        <f>VALUE(4783)</f>
        <v>4783</v>
      </c>
      <c r="M13581" s="1">
        <f>VALUE(5646)</f>
        <v>5646</v>
      </c>
      <c r="N13581" t="s">
        <v>16</v>
      </c>
    </row>
    <row r="13582" spans="1:14" x14ac:dyDescent="0.25">
      <c r="A13582" t="s">
        <v>45</v>
      </c>
      <c r="B13582" t="s">
        <v>15</v>
      </c>
      <c r="C13582" t="s">
        <v>36</v>
      </c>
      <c r="D13582" t="s">
        <v>32</v>
      </c>
      <c r="E13582" t="s">
        <v>21</v>
      </c>
      <c r="F13582" t="s">
        <v>15</v>
      </c>
      <c r="G13582" s="1">
        <f>VALUE(4296.69)</f>
        <v>4296.6899999999996</v>
      </c>
      <c r="H13582" s="1">
        <f>VALUE(4029.94)</f>
        <v>4029.94</v>
      </c>
      <c r="I13582" s="1">
        <f>VALUE(3226)</f>
        <v>3226</v>
      </c>
      <c r="J13582" s="1">
        <f>VALUE(3664)</f>
        <v>3664</v>
      </c>
      <c r="K13582" s="1">
        <f>VALUE(4512)</f>
        <v>4512</v>
      </c>
      <c r="L13582" s="1">
        <f>VALUE(5552)</f>
        <v>5552</v>
      </c>
      <c r="M13582" s="1">
        <f>VALUE(6762)</f>
        <v>6762</v>
      </c>
      <c r="N13582" t="s">
        <v>16</v>
      </c>
    </row>
    <row r="13583" spans="1:14" x14ac:dyDescent="0.25">
      <c r="A13583" t="s">
        <v>45</v>
      </c>
      <c r="B13583" t="s">
        <v>15</v>
      </c>
      <c r="C13583" t="s">
        <v>36</v>
      </c>
      <c r="D13583" t="s">
        <v>32</v>
      </c>
      <c r="E13583" t="s">
        <v>21</v>
      </c>
      <c r="F13583" t="s">
        <v>17</v>
      </c>
      <c r="G13583" s="2">
        <f>VALUE(339.73)</f>
        <v>339.73</v>
      </c>
      <c r="H13583" s="3">
        <f>VALUE(280.29)</f>
        <v>280.29000000000002</v>
      </c>
      <c r="I13583" s="4">
        <f>VALUE(3873)</f>
        <v>3873</v>
      </c>
      <c r="J13583" s="5">
        <f>VALUE(4555)</f>
        <v>4555</v>
      </c>
      <c r="K13583" s="1">
        <f>VALUE(6865)</f>
        <v>6865</v>
      </c>
      <c r="L13583" s="1">
        <f>VALUE(7429)</f>
        <v>7429</v>
      </c>
      <c r="M13583" s="1">
        <f>VALUE(8523)</f>
        <v>8523</v>
      </c>
      <c r="N13583" t="s">
        <v>25</v>
      </c>
    </row>
    <row r="13584" spans="1:14" x14ac:dyDescent="0.25">
      <c r="A13584" t="s">
        <v>45</v>
      </c>
      <c r="B13584" t="s">
        <v>15</v>
      </c>
      <c r="C13584" t="s">
        <v>36</v>
      </c>
      <c r="D13584" t="s">
        <v>32</v>
      </c>
      <c r="E13584" t="s">
        <v>21</v>
      </c>
      <c r="F13584" t="s">
        <v>18</v>
      </c>
      <c r="G13584" s="2">
        <f>VALUE(378.82)</f>
        <v>378.82</v>
      </c>
      <c r="H13584" s="3">
        <f>VALUE(375.14)</f>
        <v>375.14</v>
      </c>
      <c r="I13584" s="1">
        <f>VALUE(4118)</f>
        <v>4118</v>
      </c>
      <c r="J13584" s="1">
        <f>VALUE(4658)</f>
        <v>4658</v>
      </c>
      <c r="K13584" s="1">
        <f>VALUE(5467)</f>
        <v>5467</v>
      </c>
      <c r="L13584" s="7">
        <f>VALUE(6662)</f>
        <v>6662</v>
      </c>
      <c r="M13584" s="8">
        <f>VALUE(8327)</f>
        <v>8327</v>
      </c>
      <c r="N13584" t="s">
        <v>25</v>
      </c>
    </row>
    <row r="13585" spans="1:14" x14ac:dyDescent="0.25">
      <c r="A13585" t="s">
        <v>45</v>
      </c>
      <c r="B13585" t="s">
        <v>15</v>
      </c>
      <c r="C13585" t="s">
        <v>36</v>
      </c>
      <c r="D13585" t="s">
        <v>32</v>
      </c>
      <c r="E13585" t="s">
        <v>21</v>
      </c>
      <c r="F13585" t="s">
        <v>19</v>
      </c>
      <c r="G13585" s="2">
        <f>VALUE(629.16)</f>
        <v>629.16</v>
      </c>
      <c r="H13585" s="3">
        <f>VALUE(599.56)</f>
        <v>599.55999999999995</v>
      </c>
      <c r="I13585" s="4">
        <f>VALUE(3166)</f>
        <v>3166</v>
      </c>
      <c r="J13585" s="5">
        <f>VALUE(3409)</f>
        <v>3409</v>
      </c>
      <c r="K13585" s="1">
        <f>VALUE(4333)</f>
        <v>4333</v>
      </c>
      <c r="L13585" s="1">
        <f>VALUE(5392)</f>
        <v>5392</v>
      </c>
      <c r="M13585" s="1">
        <f>VALUE(6456)</f>
        <v>6456</v>
      </c>
      <c r="N13585" t="s">
        <v>25</v>
      </c>
    </row>
    <row r="13586" spans="1:14" x14ac:dyDescent="0.25">
      <c r="A13586" t="s">
        <v>45</v>
      </c>
      <c r="B13586" t="s">
        <v>15</v>
      </c>
      <c r="C13586" t="s">
        <v>36</v>
      </c>
      <c r="D13586" t="s">
        <v>32</v>
      </c>
      <c r="E13586" t="s">
        <v>21</v>
      </c>
      <c r="F13586" t="s">
        <v>20</v>
      </c>
      <c r="G13586" s="1">
        <f>VALUE(2948.98)</f>
        <v>2948.98</v>
      </c>
      <c r="H13586" s="1">
        <f>VALUE(2774.95)</f>
        <v>2774.95</v>
      </c>
      <c r="I13586" s="1">
        <f>VALUE(3226)</f>
        <v>3226</v>
      </c>
      <c r="J13586" s="1">
        <f>VALUE(3600)</f>
        <v>3600</v>
      </c>
      <c r="K13586" s="1">
        <f>VALUE(4336)</f>
        <v>4336</v>
      </c>
      <c r="L13586" s="1">
        <f>VALUE(5260)</f>
        <v>5260</v>
      </c>
      <c r="M13586" s="1">
        <f>VALUE(6183)</f>
        <v>6183</v>
      </c>
      <c r="N13586" t="s">
        <v>16</v>
      </c>
    </row>
    <row r="13587" spans="1:14" x14ac:dyDescent="0.25">
      <c r="A13587" t="s">
        <v>45</v>
      </c>
      <c r="B13587" t="s">
        <v>15</v>
      </c>
      <c r="C13587" t="s">
        <v>36</v>
      </c>
      <c r="D13587" t="s">
        <v>32</v>
      </c>
      <c r="E13587" t="s">
        <v>22</v>
      </c>
      <c r="F13587" t="s">
        <v>15</v>
      </c>
      <c r="G13587" s="2">
        <f>VALUE(4042.86)</f>
        <v>4042.86</v>
      </c>
      <c r="H13587" s="3">
        <f>VALUE(3800.7)</f>
        <v>3800.7</v>
      </c>
      <c r="I13587" s="1">
        <f>VALUE(3075)</f>
        <v>3075</v>
      </c>
      <c r="J13587" s="1">
        <f>VALUE(3487)</f>
        <v>3487</v>
      </c>
      <c r="K13587" s="1">
        <f>VALUE(4229)</f>
        <v>4229</v>
      </c>
      <c r="L13587" s="1">
        <f>VALUE(5089)</f>
        <v>5089</v>
      </c>
      <c r="M13587" s="1">
        <f>VALUE(5690)</f>
        <v>5690</v>
      </c>
      <c r="N13587" t="s">
        <v>25</v>
      </c>
    </row>
    <row r="13588" spans="1:14" x14ac:dyDescent="0.25">
      <c r="A13588" t="s">
        <v>45</v>
      </c>
      <c r="B13588" t="s">
        <v>15</v>
      </c>
      <c r="C13588" t="s">
        <v>36</v>
      </c>
      <c r="D13588" t="s">
        <v>32</v>
      </c>
      <c r="E13588" t="s">
        <v>22</v>
      </c>
      <c r="F13588" t="s">
        <v>17</v>
      </c>
      <c r="G13588" s="1" t="str">
        <f t="shared" ref="G13588:M13589" si="3120">"X"</f>
        <v>X</v>
      </c>
      <c r="H13588" s="1" t="str">
        <f t="shared" si="3120"/>
        <v>X</v>
      </c>
      <c r="I13588" s="1" t="str">
        <f t="shared" si="3120"/>
        <v>X</v>
      </c>
      <c r="J13588" s="1" t="str">
        <f t="shared" si="3120"/>
        <v>X</v>
      </c>
      <c r="K13588" s="1" t="str">
        <f t="shared" si="3120"/>
        <v>X</v>
      </c>
      <c r="L13588" s="1" t="str">
        <f t="shared" si="3120"/>
        <v>X</v>
      </c>
      <c r="M13588" s="1" t="str">
        <f t="shared" si="3120"/>
        <v>X</v>
      </c>
      <c r="N13588" t="s">
        <v>27</v>
      </c>
    </row>
    <row r="13589" spans="1:14" x14ac:dyDescent="0.25">
      <c r="A13589" t="s">
        <v>45</v>
      </c>
      <c r="B13589" t="s">
        <v>15</v>
      </c>
      <c r="C13589" t="s">
        <v>36</v>
      </c>
      <c r="D13589" t="s">
        <v>32</v>
      </c>
      <c r="E13589" t="s">
        <v>22</v>
      </c>
      <c r="F13589" t="s">
        <v>18</v>
      </c>
      <c r="G13589" s="1" t="str">
        <f t="shared" si="3120"/>
        <v>X</v>
      </c>
      <c r="H13589" s="1" t="str">
        <f t="shared" si="3120"/>
        <v>X</v>
      </c>
      <c r="I13589" s="1" t="str">
        <f t="shared" si="3120"/>
        <v>X</v>
      </c>
      <c r="J13589" s="1" t="str">
        <f t="shared" si="3120"/>
        <v>X</v>
      </c>
      <c r="K13589" s="1" t="str">
        <f t="shared" si="3120"/>
        <v>X</v>
      </c>
      <c r="L13589" s="1" t="str">
        <f t="shared" si="3120"/>
        <v>X</v>
      </c>
      <c r="M13589" s="1" t="str">
        <f t="shared" si="3120"/>
        <v>X</v>
      </c>
      <c r="N13589" t="s">
        <v>27</v>
      </c>
    </row>
    <row r="13590" spans="1:14" x14ac:dyDescent="0.25">
      <c r="A13590" t="s">
        <v>45</v>
      </c>
      <c r="B13590" t="s">
        <v>15</v>
      </c>
      <c r="C13590" t="s">
        <v>36</v>
      </c>
      <c r="D13590" t="s">
        <v>32</v>
      </c>
      <c r="E13590" t="s">
        <v>22</v>
      </c>
      <c r="F13590" t="s">
        <v>19</v>
      </c>
      <c r="G13590" s="2">
        <f>VALUE(354.94)</f>
        <v>354.94</v>
      </c>
      <c r="H13590" s="3">
        <f>VALUE(325.88)</f>
        <v>325.88</v>
      </c>
      <c r="I13590" s="1">
        <f>VALUE(3150)</f>
        <v>3150</v>
      </c>
      <c r="J13590" s="1">
        <f>VALUE(3571)</f>
        <v>3571</v>
      </c>
      <c r="K13590" s="1">
        <f>VALUE(4235)</f>
        <v>4235</v>
      </c>
      <c r="L13590" s="1">
        <f>VALUE(5200)</f>
        <v>5200</v>
      </c>
      <c r="M13590" s="8">
        <f>VALUE(6057)</f>
        <v>6057</v>
      </c>
      <c r="N13590" t="s">
        <v>25</v>
      </c>
    </row>
    <row r="13591" spans="1:14" x14ac:dyDescent="0.25">
      <c r="A13591" t="s">
        <v>45</v>
      </c>
      <c r="B13591" t="s">
        <v>15</v>
      </c>
      <c r="C13591" t="s">
        <v>36</v>
      </c>
      <c r="D13591" t="s">
        <v>32</v>
      </c>
      <c r="E13591" t="s">
        <v>22</v>
      </c>
      <c r="F13591" t="s">
        <v>20</v>
      </c>
      <c r="G13591" s="1">
        <f>VALUE(3290.55)</f>
        <v>3290.55</v>
      </c>
      <c r="H13591" s="1">
        <f>VALUE(3085.77)</f>
        <v>3085.77</v>
      </c>
      <c r="I13591" s="1">
        <f>VALUE(3080)</f>
        <v>3080</v>
      </c>
      <c r="J13591" s="1">
        <f>VALUE(3451)</f>
        <v>3451</v>
      </c>
      <c r="K13591" s="1">
        <f>VALUE(4110)</f>
        <v>4110</v>
      </c>
      <c r="L13591" s="1">
        <f>VALUE(4897)</f>
        <v>4897</v>
      </c>
      <c r="M13591" s="1">
        <f>VALUE(5650)</f>
        <v>5650</v>
      </c>
      <c r="N13591" t="s">
        <v>16</v>
      </c>
    </row>
    <row r="13592" spans="1:14" x14ac:dyDescent="0.25">
      <c r="A13592" t="s">
        <v>45</v>
      </c>
      <c r="B13592" t="s">
        <v>15</v>
      </c>
      <c r="C13592" t="s">
        <v>36</v>
      </c>
      <c r="D13592" t="s">
        <v>32</v>
      </c>
      <c r="E13592" t="s">
        <v>23</v>
      </c>
      <c r="F13592" t="s">
        <v>15</v>
      </c>
      <c r="G13592" s="1">
        <f>VALUE(4021.35)</f>
        <v>4021.35</v>
      </c>
      <c r="H13592" s="1">
        <f>VALUE(3768.14)</f>
        <v>3768.14</v>
      </c>
      <c r="I13592" s="1">
        <f>VALUE(3012)</f>
        <v>3012</v>
      </c>
      <c r="J13592" s="1">
        <f>VALUE(3298)</f>
        <v>3298</v>
      </c>
      <c r="K13592" s="1">
        <f>VALUE(3665)</f>
        <v>3665</v>
      </c>
      <c r="L13592" s="1">
        <f>VALUE(4341)</f>
        <v>4341</v>
      </c>
      <c r="M13592" s="1">
        <f>VALUE(5072)</f>
        <v>5072</v>
      </c>
      <c r="N13592" t="s">
        <v>16</v>
      </c>
    </row>
    <row r="13593" spans="1:14" x14ac:dyDescent="0.25">
      <c r="A13593" t="s">
        <v>45</v>
      </c>
      <c r="B13593" t="s">
        <v>15</v>
      </c>
      <c r="C13593" t="s">
        <v>36</v>
      </c>
      <c r="D13593" t="s">
        <v>32</v>
      </c>
      <c r="E13593" t="s">
        <v>23</v>
      </c>
      <c r="F13593" t="s">
        <v>17</v>
      </c>
      <c r="G13593" s="1" t="str">
        <f t="shared" ref="G13593:M13595" si="3121">"X"</f>
        <v>X</v>
      </c>
      <c r="H13593" s="1" t="str">
        <f t="shared" si="3121"/>
        <v>X</v>
      </c>
      <c r="I13593" s="1" t="str">
        <f t="shared" si="3121"/>
        <v>X</v>
      </c>
      <c r="J13593" s="1" t="str">
        <f t="shared" si="3121"/>
        <v>X</v>
      </c>
      <c r="K13593" s="1" t="str">
        <f t="shared" si="3121"/>
        <v>X</v>
      </c>
      <c r="L13593" s="1" t="str">
        <f t="shared" si="3121"/>
        <v>X</v>
      </c>
      <c r="M13593" s="1" t="str">
        <f t="shared" si="3121"/>
        <v>X</v>
      </c>
      <c r="N13593" t="s">
        <v>27</v>
      </c>
    </row>
    <row r="13594" spans="1:14" x14ac:dyDescent="0.25">
      <c r="A13594" t="s">
        <v>45</v>
      </c>
      <c r="B13594" t="s">
        <v>15</v>
      </c>
      <c r="C13594" t="s">
        <v>36</v>
      </c>
      <c r="D13594" t="s">
        <v>32</v>
      </c>
      <c r="E13594" t="s">
        <v>23</v>
      </c>
      <c r="F13594" t="s">
        <v>18</v>
      </c>
      <c r="G13594" s="1" t="str">
        <f t="shared" si="3121"/>
        <v>X</v>
      </c>
      <c r="H13594" s="1" t="str">
        <f t="shared" si="3121"/>
        <v>X</v>
      </c>
      <c r="I13594" s="1" t="str">
        <f t="shared" si="3121"/>
        <v>X</v>
      </c>
      <c r="J13594" s="1" t="str">
        <f t="shared" si="3121"/>
        <v>X</v>
      </c>
      <c r="K13594" s="1" t="str">
        <f t="shared" si="3121"/>
        <v>X</v>
      </c>
      <c r="L13594" s="1" t="str">
        <f t="shared" si="3121"/>
        <v>X</v>
      </c>
      <c r="M13594" s="1" t="str">
        <f t="shared" si="3121"/>
        <v>X</v>
      </c>
      <c r="N13594" t="s">
        <v>27</v>
      </c>
    </row>
    <row r="13595" spans="1:14" x14ac:dyDescent="0.25">
      <c r="A13595" t="s">
        <v>45</v>
      </c>
      <c r="B13595" t="s">
        <v>15</v>
      </c>
      <c r="C13595" t="s">
        <v>36</v>
      </c>
      <c r="D13595" t="s">
        <v>32</v>
      </c>
      <c r="E13595" t="s">
        <v>23</v>
      </c>
      <c r="F13595" t="s">
        <v>19</v>
      </c>
      <c r="G13595" s="1" t="str">
        <f t="shared" si="3121"/>
        <v>X</v>
      </c>
      <c r="H13595" s="1" t="str">
        <f t="shared" si="3121"/>
        <v>X</v>
      </c>
      <c r="I13595" s="1" t="str">
        <f t="shared" si="3121"/>
        <v>X</v>
      </c>
      <c r="J13595" s="1" t="str">
        <f t="shared" si="3121"/>
        <v>X</v>
      </c>
      <c r="K13595" s="1" t="str">
        <f t="shared" si="3121"/>
        <v>X</v>
      </c>
      <c r="L13595" s="1" t="str">
        <f t="shared" si="3121"/>
        <v>X</v>
      </c>
      <c r="M13595" s="1" t="str">
        <f t="shared" si="3121"/>
        <v>X</v>
      </c>
      <c r="N13595" t="s">
        <v>27</v>
      </c>
    </row>
    <row r="13596" spans="1:14" x14ac:dyDescent="0.25">
      <c r="A13596" t="s">
        <v>45</v>
      </c>
      <c r="B13596" t="s">
        <v>15</v>
      </c>
      <c r="C13596" t="s">
        <v>36</v>
      </c>
      <c r="D13596" t="s">
        <v>32</v>
      </c>
      <c r="E13596" t="s">
        <v>23</v>
      </c>
      <c r="F13596" t="s">
        <v>20</v>
      </c>
      <c r="G13596" s="1">
        <f>VALUE(3829.17)</f>
        <v>3829.17</v>
      </c>
      <c r="H13596" s="1">
        <f>VALUE(3576.37)</f>
        <v>3576.37</v>
      </c>
      <c r="I13596" s="1">
        <f>VALUE(3006)</f>
        <v>3006</v>
      </c>
      <c r="J13596" s="1">
        <f>VALUE(3289)</f>
        <v>3289</v>
      </c>
      <c r="K13596" s="1">
        <f>VALUE(3608)</f>
        <v>3608</v>
      </c>
      <c r="L13596" s="1">
        <f>VALUE(4319)</f>
        <v>4319</v>
      </c>
      <c r="M13596" s="1">
        <f>VALUE(5066)</f>
        <v>5066</v>
      </c>
      <c r="N13596" t="s">
        <v>16</v>
      </c>
    </row>
    <row r="13597" spans="1:14" x14ac:dyDescent="0.25">
      <c r="A13597" t="s">
        <v>45</v>
      </c>
      <c r="B13597" t="s">
        <v>15</v>
      </c>
      <c r="C13597" t="s">
        <v>36</v>
      </c>
      <c r="D13597" t="s">
        <v>32</v>
      </c>
      <c r="E13597" t="s">
        <v>26</v>
      </c>
      <c r="F13597" t="s">
        <v>15</v>
      </c>
      <c r="G13597" s="1" t="str">
        <f t="shared" ref="G13597:M13597" si="3122">"X"</f>
        <v>X</v>
      </c>
      <c r="H13597" s="1" t="str">
        <f t="shared" si="3122"/>
        <v>X</v>
      </c>
      <c r="I13597" s="1" t="str">
        <f t="shared" si="3122"/>
        <v>X</v>
      </c>
      <c r="J13597" s="1" t="str">
        <f t="shared" si="3122"/>
        <v>X</v>
      </c>
      <c r="K13597" s="1" t="str">
        <f t="shared" si="3122"/>
        <v>X</v>
      </c>
      <c r="L13597" s="1" t="str">
        <f t="shared" si="3122"/>
        <v>X</v>
      </c>
      <c r="M13597" s="1" t="str">
        <f t="shared" si="3122"/>
        <v>X</v>
      </c>
      <c r="N13597" t="s">
        <v>27</v>
      </c>
    </row>
    <row r="13598" spans="1:14" x14ac:dyDescent="0.25">
      <c r="A13598" t="s">
        <v>45</v>
      </c>
      <c r="B13598" t="s">
        <v>15</v>
      </c>
      <c r="C13598" t="s">
        <v>36</v>
      </c>
      <c r="D13598" t="s">
        <v>32</v>
      </c>
      <c r="E13598" t="s">
        <v>26</v>
      </c>
      <c r="F13598" t="s">
        <v>17</v>
      </c>
      <c r="G13598" s="1" t="str">
        <f t="shared" ref="G13598:M13598" si="3123">"..."</f>
        <v>...</v>
      </c>
      <c r="H13598" s="1" t="str">
        <f t="shared" si="3123"/>
        <v>...</v>
      </c>
      <c r="I13598" s="1" t="str">
        <f t="shared" si="3123"/>
        <v>...</v>
      </c>
      <c r="J13598" s="1" t="str">
        <f t="shared" si="3123"/>
        <v>...</v>
      </c>
      <c r="K13598" s="1" t="str">
        <f t="shared" si="3123"/>
        <v>...</v>
      </c>
      <c r="L13598" s="1" t="str">
        <f t="shared" si="3123"/>
        <v>...</v>
      </c>
      <c r="M13598" s="1" t="str">
        <f t="shared" si="3123"/>
        <v>...</v>
      </c>
      <c r="N13598" t="s">
        <v>30</v>
      </c>
    </row>
    <row r="13599" spans="1:14" x14ac:dyDescent="0.25">
      <c r="A13599" t="s">
        <v>45</v>
      </c>
      <c r="B13599" t="s">
        <v>15</v>
      </c>
      <c r="C13599" t="s">
        <v>36</v>
      </c>
      <c r="D13599" t="s">
        <v>32</v>
      </c>
      <c r="E13599" t="s">
        <v>26</v>
      </c>
      <c r="F13599" t="s">
        <v>18</v>
      </c>
      <c r="G13599" s="1" t="str">
        <f t="shared" ref="G13599:M13601" si="3124">"X"</f>
        <v>X</v>
      </c>
      <c r="H13599" s="1" t="str">
        <f t="shared" si="3124"/>
        <v>X</v>
      </c>
      <c r="I13599" s="1" t="str">
        <f t="shared" si="3124"/>
        <v>X</v>
      </c>
      <c r="J13599" s="1" t="str">
        <f t="shared" si="3124"/>
        <v>X</v>
      </c>
      <c r="K13599" s="1" t="str">
        <f t="shared" si="3124"/>
        <v>X</v>
      </c>
      <c r="L13599" s="1" t="str">
        <f t="shared" si="3124"/>
        <v>X</v>
      </c>
      <c r="M13599" s="1" t="str">
        <f t="shared" si="3124"/>
        <v>X</v>
      </c>
      <c r="N13599" t="s">
        <v>27</v>
      </c>
    </row>
    <row r="13600" spans="1:14" x14ac:dyDescent="0.25">
      <c r="A13600" t="s">
        <v>45</v>
      </c>
      <c r="B13600" t="s">
        <v>15</v>
      </c>
      <c r="C13600" t="s">
        <v>36</v>
      </c>
      <c r="D13600" t="s">
        <v>32</v>
      </c>
      <c r="E13600" t="s">
        <v>26</v>
      </c>
      <c r="F13600" t="s">
        <v>19</v>
      </c>
      <c r="G13600" s="1" t="str">
        <f t="shared" si="3124"/>
        <v>X</v>
      </c>
      <c r="H13600" s="1" t="str">
        <f t="shared" si="3124"/>
        <v>X</v>
      </c>
      <c r="I13600" s="1" t="str">
        <f t="shared" si="3124"/>
        <v>X</v>
      </c>
      <c r="J13600" s="1" t="str">
        <f t="shared" si="3124"/>
        <v>X</v>
      </c>
      <c r="K13600" s="1" t="str">
        <f t="shared" si="3124"/>
        <v>X</v>
      </c>
      <c r="L13600" s="1" t="str">
        <f t="shared" si="3124"/>
        <v>X</v>
      </c>
      <c r="M13600" s="1" t="str">
        <f t="shared" si="3124"/>
        <v>X</v>
      </c>
      <c r="N13600" t="s">
        <v>27</v>
      </c>
    </row>
    <row r="13601" spans="1:14" x14ac:dyDescent="0.25">
      <c r="A13601" t="s">
        <v>45</v>
      </c>
      <c r="B13601" t="s">
        <v>15</v>
      </c>
      <c r="C13601" t="s">
        <v>36</v>
      </c>
      <c r="D13601" t="s">
        <v>32</v>
      </c>
      <c r="E13601" t="s">
        <v>26</v>
      </c>
      <c r="F13601" t="s">
        <v>20</v>
      </c>
      <c r="G13601" s="1" t="str">
        <f t="shared" si="3124"/>
        <v>X</v>
      </c>
      <c r="H13601" s="1" t="str">
        <f t="shared" si="3124"/>
        <v>X</v>
      </c>
      <c r="I13601" s="1" t="str">
        <f t="shared" si="3124"/>
        <v>X</v>
      </c>
      <c r="J13601" s="1" t="str">
        <f t="shared" si="3124"/>
        <v>X</v>
      </c>
      <c r="K13601" s="1" t="str">
        <f t="shared" si="3124"/>
        <v>X</v>
      </c>
      <c r="L13601" s="1" t="str">
        <f t="shared" si="3124"/>
        <v>X</v>
      </c>
      <c r="M13601" s="1" t="str">
        <f t="shared" si="3124"/>
        <v>X</v>
      </c>
      <c r="N13601" t="s">
        <v>27</v>
      </c>
    </row>
    <row r="13602" spans="1:14" x14ac:dyDescent="0.25">
      <c r="A13602" t="s">
        <v>45</v>
      </c>
      <c r="B13602" t="s">
        <v>15</v>
      </c>
      <c r="C13602" t="s">
        <v>36</v>
      </c>
      <c r="D13602" t="s">
        <v>33</v>
      </c>
      <c r="E13602" t="s">
        <v>15</v>
      </c>
      <c r="F13602" t="s">
        <v>15</v>
      </c>
      <c r="G13602" s="2">
        <f>VALUE(241.75)</f>
        <v>241.75</v>
      </c>
      <c r="H13602" s="3">
        <f>VALUE(236.12)</f>
        <v>236.12</v>
      </c>
      <c r="I13602" s="1">
        <f>VALUE(3306)</f>
        <v>3306</v>
      </c>
      <c r="J13602" s="5">
        <f>VALUE(3730)</f>
        <v>3730</v>
      </c>
      <c r="K13602" s="6">
        <f>VALUE(4982)</f>
        <v>4982</v>
      </c>
      <c r="L13602" s="7">
        <f>VALUE(6094)</f>
        <v>6094</v>
      </c>
      <c r="M13602" s="8">
        <f>VALUE(7791)</f>
        <v>7791</v>
      </c>
      <c r="N13602" t="s">
        <v>25</v>
      </c>
    </row>
    <row r="13603" spans="1:14" x14ac:dyDescent="0.25">
      <c r="A13603" t="s">
        <v>45</v>
      </c>
      <c r="B13603" t="s">
        <v>15</v>
      </c>
      <c r="C13603" t="s">
        <v>36</v>
      </c>
      <c r="D13603" t="s">
        <v>33</v>
      </c>
      <c r="E13603" t="s">
        <v>15</v>
      </c>
      <c r="F13603" t="s">
        <v>17</v>
      </c>
      <c r="G13603" s="1" t="str">
        <f t="shared" ref="G13603:M13605" si="3125">"X"</f>
        <v>X</v>
      </c>
      <c r="H13603" s="1" t="str">
        <f t="shared" si="3125"/>
        <v>X</v>
      </c>
      <c r="I13603" s="1" t="str">
        <f t="shared" si="3125"/>
        <v>X</v>
      </c>
      <c r="J13603" s="1" t="str">
        <f t="shared" si="3125"/>
        <v>X</v>
      </c>
      <c r="K13603" s="1" t="str">
        <f t="shared" si="3125"/>
        <v>X</v>
      </c>
      <c r="L13603" s="1" t="str">
        <f t="shared" si="3125"/>
        <v>X</v>
      </c>
      <c r="M13603" s="1" t="str">
        <f t="shared" si="3125"/>
        <v>X</v>
      </c>
      <c r="N13603" t="s">
        <v>27</v>
      </c>
    </row>
    <row r="13604" spans="1:14" x14ac:dyDescent="0.25">
      <c r="A13604" t="s">
        <v>45</v>
      </c>
      <c r="B13604" t="s">
        <v>15</v>
      </c>
      <c r="C13604" t="s">
        <v>36</v>
      </c>
      <c r="D13604" t="s">
        <v>33</v>
      </c>
      <c r="E13604" t="s">
        <v>15</v>
      </c>
      <c r="F13604" t="s">
        <v>18</v>
      </c>
      <c r="G13604" s="1" t="str">
        <f t="shared" si="3125"/>
        <v>X</v>
      </c>
      <c r="H13604" s="1" t="str">
        <f t="shared" si="3125"/>
        <v>X</v>
      </c>
      <c r="I13604" s="1" t="str">
        <f t="shared" si="3125"/>
        <v>X</v>
      </c>
      <c r="J13604" s="1" t="str">
        <f t="shared" si="3125"/>
        <v>X</v>
      </c>
      <c r="K13604" s="1" t="str">
        <f t="shared" si="3125"/>
        <v>X</v>
      </c>
      <c r="L13604" s="1" t="str">
        <f t="shared" si="3125"/>
        <v>X</v>
      </c>
      <c r="M13604" s="1" t="str">
        <f t="shared" si="3125"/>
        <v>X</v>
      </c>
      <c r="N13604" t="s">
        <v>27</v>
      </c>
    </row>
    <row r="13605" spans="1:14" x14ac:dyDescent="0.25">
      <c r="A13605" t="s">
        <v>45</v>
      </c>
      <c r="B13605" t="s">
        <v>15</v>
      </c>
      <c r="C13605" t="s">
        <v>36</v>
      </c>
      <c r="D13605" t="s">
        <v>33</v>
      </c>
      <c r="E13605" t="s">
        <v>15</v>
      </c>
      <c r="F13605" t="s">
        <v>19</v>
      </c>
      <c r="G13605" s="1" t="str">
        <f t="shared" si="3125"/>
        <v>X</v>
      </c>
      <c r="H13605" s="1" t="str">
        <f t="shared" si="3125"/>
        <v>X</v>
      </c>
      <c r="I13605" s="1" t="str">
        <f t="shared" si="3125"/>
        <v>X</v>
      </c>
      <c r="J13605" s="1" t="str">
        <f t="shared" si="3125"/>
        <v>X</v>
      </c>
      <c r="K13605" s="1" t="str">
        <f t="shared" si="3125"/>
        <v>X</v>
      </c>
      <c r="L13605" s="1" t="str">
        <f t="shared" si="3125"/>
        <v>X</v>
      </c>
      <c r="M13605" s="1" t="str">
        <f t="shared" si="3125"/>
        <v>X</v>
      </c>
      <c r="N13605" t="s">
        <v>27</v>
      </c>
    </row>
    <row r="13606" spans="1:14" x14ac:dyDescent="0.25">
      <c r="A13606" t="s">
        <v>45</v>
      </c>
      <c r="B13606" t="s">
        <v>15</v>
      </c>
      <c r="C13606" t="s">
        <v>36</v>
      </c>
      <c r="D13606" t="s">
        <v>33</v>
      </c>
      <c r="E13606" t="s">
        <v>15</v>
      </c>
      <c r="F13606" t="s">
        <v>20</v>
      </c>
      <c r="G13606" s="2">
        <f>VALUE(157.64)</f>
        <v>157.63999999999999</v>
      </c>
      <c r="H13606" s="3">
        <f>VALUE(161.99)</f>
        <v>161.99</v>
      </c>
      <c r="I13606" s="1">
        <f>VALUE(3146)</f>
        <v>3146</v>
      </c>
      <c r="J13606" s="1">
        <f>VALUE(3422)</f>
        <v>3422</v>
      </c>
      <c r="K13606" s="6">
        <f>VALUE(4195)</f>
        <v>4195</v>
      </c>
      <c r="L13606" s="7">
        <f>VALUE(5365)</f>
        <v>5365</v>
      </c>
      <c r="M13606" s="1">
        <f>VALUE(5991)</f>
        <v>5991</v>
      </c>
      <c r="N13606" t="s">
        <v>25</v>
      </c>
    </row>
    <row r="13607" spans="1:14" x14ac:dyDescent="0.25">
      <c r="A13607" t="s">
        <v>45</v>
      </c>
      <c r="B13607" t="s">
        <v>15</v>
      </c>
      <c r="C13607" t="s">
        <v>36</v>
      </c>
      <c r="D13607" t="s">
        <v>33</v>
      </c>
      <c r="E13607" t="s">
        <v>21</v>
      </c>
      <c r="F13607" t="s">
        <v>15</v>
      </c>
      <c r="G13607" s="1" t="str">
        <f t="shared" ref="G13607:M13617" si="3126">"X"</f>
        <v>X</v>
      </c>
      <c r="H13607" s="1" t="str">
        <f t="shared" si="3126"/>
        <v>X</v>
      </c>
      <c r="I13607" s="1" t="str">
        <f t="shared" si="3126"/>
        <v>X</v>
      </c>
      <c r="J13607" s="1" t="str">
        <f t="shared" si="3126"/>
        <v>X</v>
      </c>
      <c r="K13607" s="1" t="str">
        <f t="shared" si="3126"/>
        <v>X</v>
      </c>
      <c r="L13607" s="1" t="str">
        <f t="shared" si="3126"/>
        <v>X</v>
      </c>
      <c r="M13607" s="1" t="str">
        <f t="shared" si="3126"/>
        <v>X</v>
      </c>
      <c r="N13607" t="s">
        <v>27</v>
      </c>
    </row>
    <row r="13608" spans="1:14" x14ac:dyDescent="0.25">
      <c r="A13608" t="s">
        <v>45</v>
      </c>
      <c r="B13608" t="s">
        <v>15</v>
      </c>
      <c r="C13608" t="s">
        <v>36</v>
      </c>
      <c r="D13608" t="s">
        <v>33</v>
      </c>
      <c r="E13608" t="s">
        <v>21</v>
      </c>
      <c r="F13608" t="s">
        <v>17</v>
      </c>
      <c r="G13608" s="1" t="str">
        <f t="shared" si="3126"/>
        <v>X</v>
      </c>
      <c r="H13608" s="1" t="str">
        <f t="shared" si="3126"/>
        <v>X</v>
      </c>
      <c r="I13608" s="1" t="str">
        <f t="shared" si="3126"/>
        <v>X</v>
      </c>
      <c r="J13608" s="1" t="str">
        <f t="shared" si="3126"/>
        <v>X</v>
      </c>
      <c r="K13608" s="1" t="str">
        <f t="shared" si="3126"/>
        <v>X</v>
      </c>
      <c r="L13608" s="1" t="str">
        <f t="shared" si="3126"/>
        <v>X</v>
      </c>
      <c r="M13608" s="1" t="str">
        <f t="shared" si="3126"/>
        <v>X</v>
      </c>
      <c r="N13608" t="s">
        <v>27</v>
      </c>
    </row>
    <row r="13609" spans="1:14" x14ac:dyDescent="0.25">
      <c r="A13609" t="s">
        <v>45</v>
      </c>
      <c r="B13609" t="s">
        <v>15</v>
      </c>
      <c r="C13609" t="s">
        <v>36</v>
      </c>
      <c r="D13609" t="s">
        <v>33</v>
      </c>
      <c r="E13609" t="s">
        <v>21</v>
      </c>
      <c r="F13609" t="s">
        <v>18</v>
      </c>
      <c r="G13609" s="1" t="str">
        <f t="shared" si="3126"/>
        <v>X</v>
      </c>
      <c r="H13609" s="1" t="str">
        <f t="shared" si="3126"/>
        <v>X</v>
      </c>
      <c r="I13609" s="1" t="str">
        <f t="shared" si="3126"/>
        <v>X</v>
      </c>
      <c r="J13609" s="1" t="str">
        <f t="shared" si="3126"/>
        <v>X</v>
      </c>
      <c r="K13609" s="1" t="str">
        <f t="shared" si="3126"/>
        <v>X</v>
      </c>
      <c r="L13609" s="1" t="str">
        <f t="shared" si="3126"/>
        <v>X</v>
      </c>
      <c r="M13609" s="1" t="str">
        <f t="shared" si="3126"/>
        <v>X</v>
      </c>
      <c r="N13609" t="s">
        <v>27</v>
      </c>
    </row>
    <row r="13610" spans="1:14" x14ac:dyDescent="0.25">
      <c r="A13610" t="s">
        <v>45</v>
      </c>
      <c r="B13610" t="s">
        <v>15</v>
      </c>
      <c r="C13610" t="s">
        <v>36</v>
      </c>
      <c r="D13610" t="s">
        <v>33</v>
      </c>
      <c r="E13610" t="s">
        <v>21</v>
      </c>
      <c r="F13610" t="s">
        <v>19</v>
      </c>
      <c r="G13610" s="1" t="str">
        <f t="shared" si="3126"/>
        <v>X</v>
      </c>
      <c r="H13610" s="1" t="str">
        <f t="shared" si="3126"/>
        <v>X</v>
      </c>
      <c r="I13610" s="1" t="str">
        <f t="shared" si="3126"/>
        <v>X</v>
      </c>
      <c r="J13610" s="1" t="str">
        <f t="shared" si="3126"/>
        <v>X</v>
      </c>
      <c r="K13610" s="1" t="str">
        <f t="shared" si="3126"/>
        <v>X</v>
      </c>
      <c r="L13610" s="1" t="str">
        <f t="shared" si="3126"/>
        <v>X</v>
      </c>
      <c r="M13610" s="1" t="str">
        <f t="shared" si="3126"/>
        <v>X</v>
      </c>
      <c r="N13610" t="s">
        <v>27</v>
      </c>
    </row>
    <row r="13611" spans="1:14" x14ac:dyDescent="0.25">
      <c r="A13611" t="s">
        <v>45</v>
      </c>
      <c r="B13611" t="s">
        <v>15</v>
      </c>
      <c r="C13611" t="s">
        <v>36</v>
      </c>
      <c r="D13611" t="s">
        <v>33</v>
      </c>
      <c r="E13611" t="s">
        <v>21</v>
      </c>
      <c r="F13611" t="s">
        <v>20</v>
      </c>
      <c r="G13611" s="1" t="str">
        <f t="shared" si="3126"/>
        <v>X</v>
      </c>
      <c r="H13611" s="1" t="str">
        <f t="shared" si="3126"/>
        <v>X</v>
      </c>
      <c r="I13611" s="1" t="str">
        <f t="shared" si="3126"/>
        <v>X</v>
      </c>
      <c r="J13611" s="1" t="str">
        <f t="shared" si="3126"/>
        <v>X</v>
      </c>
      <c r="K13611" s="1" t="str">
        <f t="shared" si="3126"/>
        <v>X</v>
      </c>
      <c r="L13611" s="1" t="str">
        <f t="shared" si="3126"/>
        <v>X</v>
      </c>
      <c r="M13611" s="1" t="str">
        <f t="shared" si="3126"/>
        <v>X</v>
      </c>
      <c r="N13611" t="s">
        <v>27</v>
      </c>
    </row>
    <row r="13612" spans="1:14" x14ac:dyDescent="0.25">
      <c r="A13612" t="s">
        <v>45</v>
      </c>
      <c r="B13612" t="s">
        <v>15</v>
      </c>
      <c r="C13612" t="s">
        <v>36</v>
      </c>
      <c r="D13612" t="s">
        <v>33</v>
      </c>
      <c r="E13612" t="s">
        <v>22</v>
      </c>
      <c r="F13612" t="s">
        <v>15</v>
      </c>
      <c r="G13612" s="1" t="str">
        <f t="shared" si="3126"/>
        <v>X</v>
      </c>
      <c r="H13612" s="1" t="str">
        <f t="shared" si="3126"/>
        <v>X</v>
      </c>
      <c r="I13612" s="1" t="str">
        <f t="shared" si="3126"/>
        <v>X</v>
      </c>
      <c r="J13612" s="1" t="str">
        <f t="shared" si="3126"/>
        <v>X</v>
      </c>
      <c r="K13612" s="1" t="str">
        <f t="shared" si="3126"/>
        <v>X</v>
      </c>
      <c r="L13612" s="1" t="str">
        <f t="shared" si="3126"/>
        <v>X</v>
      </c>
      <c r="M13612" s="1" t="str">
        <f t="shared" si="3126"/>
        <v>X</v>
      </c>
      <c r="N13612" t="s">
        <v>27</v>
      </c>
    </row>
    <row r="13613" spans="1:14" x14ac:dyDescent="0.25">
      <c r="A13613" t="s">
        <v>45</v>
      </c>
      <c r="B13613" t="s">
        <v>15</v>
      </c>
      <c r="C13613" t="s">
        <v>36</v>
      </c>
      <c r="D13613" t="s">
        <v>33</v>
      </c>
      <c r="E13613" t="s">
        <v>22</v>
      </c>
      <c r="F13613" t="s">
        <v>17</v>
      </c>
      <c r="G13613" s="1" t="str">
        <f t="shared" si="3126"/>
        <v>X</v>
      </c>
      <c r="H13613" s="1" t="str">
        <f t="shared" si="3126"/>
        <v>X</v>
      </c>
      <c r="I13613" s="1" t="str">
        <f t="shared" si="3126"/>
        <v>X</v>
      </c>
      <c r="J13613" s="1" t="str">
        <f t="shared" si="3126"/>
        <v>X</v>
      </c>
      <c r="K13613" s="1" t="str">
        <f t="shared" si="3126"/>
        <v>X</v>
      </c>
      <c r="L13613" s="1" t="str">
        <f t="shared" si="3126"/>
        <v>X</v>
      </c>
      <c r="M13613" s="1" t="str">
        <f t="shared" si="3126"/>
        <v>X</v>
      </c>
      <c r="N13613" t="s">
        <v>27</v>
      </c>
    </row>
    <row r="13614" spans="1:14" x14ac:dyDescent="0.25">
      <c r="A13614" t="s">
        <v>45</v>
      </c>
      <c r="B13614" t="s">
        <v>15</v>
      </c>
      <c r="C13614" t="s">
        <v>36</v>
      </c>
      <c r="D13614" t="s">
        <v>33</v>
      </c>
      <c r="E13614" t="s">
        <v>22</v>
      </c>
      <c r="F13614" t="s">
        <v>18</v>
      </c>
      <c r="G13614" s="1" t="str">
        <f t="shared" si="3126"/>
        <v>X</v>
      </c>
      <c r="H13614" s="1" t="str">
        <f t="shared" si="3126"/>
        <v>X</v>
      </c>
      <c r="I13614" s="1" t="str">
        <f t="shared" si="3126"/>
        <v>X</v>
      </c>
      <c r="J13614" s="1" t="str">
        <f t="shared" si="3126"/>
        <v>X</v>
      </c>
      <c r="K13614" s="1" t="str">
        <f t="shared" si="3126"/>
        <v>X</v>
      </c>
      <c r="L13614" s="1" t="str">
        <f t="shared" si="3126"/>
        <v>X</v>
      </c>
      <c r="M13614" s="1" t="str">
        <f t="shared" si="3126"/>
        <v>X</v>
      </c>
      <c r="N13614" t="s">
        <v>27</v>
      </c>
    </row>
    <row r="13615" spans="1:14" x14ac:dyDescent="0.25">
      <c r="A13615" t="s">
        <v>45</v>
      </c>
      <c r="B13615" t="s">
        <v>15</v>
      </c>
      <c r="C13615" t="s">
        <v>36</v>
      </c>
      <c r="D13615" t="s">
        <v>33</v>
      </c>
      <c r="E13615" t="s">
        <v>22</v>
      </c>
      <c r="F13615" t="s">
        <v>19</v>
      </c>
      <c r="G13615" s="1" t="str">
        <f t="shared" si="3126"/>
        <v>X</v>
      </c>
      <c r="H13615" s="1" t="str">
        <f t="shared" si="3126"/>
        <v>X</v>
      </c>
      <c r="I13615" s="1" t="str">
        <f t="shared" si="3126"/>
        <v>X</v>
      </c>
      <c r="J13615" s="1" t="str">
        <f t="shared" si="3126"/>
        <v>X</v>
      </c>
      <c r="K13615" s="1" t="str">
        <f t="shared" si="3126"/>
        <v>X</v>
      </c>
      <c r="L13615" s="1" t="str">
        <f t="shared" si="3126"/>
        <v>X</v>
      </c>
      <c r="M13615" s="1" t="str">
        <f t="shared" si="3126"/>
        <v>X</v>
      </c>
      <c r="N13615" t="s">
        <v>27</v>
      </c>
    </row>
    <row r="13616" spans="1:14" x14ac:dyDescent="0.25">
      <c r="A13616" t="s">
        <v>45</v>
      </c>
      <c r="B13616" t="s">
        <v>15</v>
      </c>
      <c r="C13616" t="s">
        <v>36</v>
      </c>
      <c r="D13616" t="s">
        <v>33</v>
      </c>
      <c r="E13616" t="s">
        <v>22</v>
      </c>
      <c r="F13616" t="s">
        <v>20</v>
      </c>
      <c r="G13616" s="1" t="str">
        <f t="shared" si="3126"/>
        <v>X</v>
      </c>
      <c r="H13616" s="1" t="str">
        <f t="shared" si="3126"/>
        <v>X</v>
      </c>
      <c r="I13616" s="1" t="str">
        <f t="shared" si="3126"/>
        <v>X</v>
      </c>
      <c r="J13616" s="1" t="str">
        <f t="shared" si="3126"/>
        <v>X</v>
      </c>
      <c r="K13616" s="1" t="str">
        <f t="shared" si="3126"/>
        <v>X</v>
      </c>
      <c r="L13616" s="1" t="str">
        <f t="shared" si="3126"/>
        <v>X</v>
      </c>
      <c r="M13616" s="1" t="str">
        <f t="shared" si="3126"/>
        <v>X</v>
      </c>
      <c r="N13616" t="s">
        <v>27</v>
      </c>
    </row>
    <row r="13617" spans="1:14" x14ac:dyDescent="0.25">
      <c r="A13617" t="s">
        <v>45</v>
      </c>
      <c r="B13617" t="s">
        <v>15</v>
      </c>
      <c r="C13617" t="s">
        <v>36</v>
      </c>
      <c r="D13617" t="s">
        <v>33</v>
      </c>
      <c r="E13617" t="s">
        <v>23</v>
      </c>
      <c r="F13617" t="s">
        <v>15</v>
      </c>
      <c r="G13617" s="1" t="str">
        <f t="shared" si="3126"/>
        <v>X</v>
      </c>
      <c r="H13617" s="1" t="str">
        <f t="shared" si="3126"/>
        <v>X</v>
      </c>
      <c r="I13617" s="1" t="str">
        <f t="shared" si="3126"/>
        <v>X</v>
      </c>
      <c r="J13617" s="1" t="str">
        <f t="shared" si="3126"/>
        <v>X</v>
      </c>
      <c r="K13617" s="1" t="str">
        <f t="shared" si="3126"/>
        <v>X</v>
      </c>
      <c r="L13617" s="1" t="str">
        <f t="shared" si="3126"/>
        <v>X</v>
      </c>
      <c r="M13617" s="1" t="str">
        <f t="shared" si="3126"/>
        <v>X</v>
      </c>
      <c r="N13617" t="s">
        <v>27</v>
      </c>
    </row>
    <row r="13618" spans="1:14" x14ac:dyDescent="0.25">
      <c r="A13618" t="s">
        <v>45</v>
      </c>
      <c r="B13618" t="s">
        <v>15</v>
      </c>
      <c r="C13618" t="s">
        <v>36</v>
      </c>
      <c r="D13618" t="s">
        <v>33</v>
      </c>
      <c r="E13618" t="s">
        <v>23</v>
      </c>
      <c r="F13618" t="s">
        <v>17</v>
      </c>
      <c r="G13618" s="1" t="str">
        <f t="shared" ref="G13618:M13619" si="3127">"..."</f>
        <v>...</v>
      </c>
      <c r="H13618" s="1" t="str">
        <f t="shared" si="3127"/>
        <v>...</v>
      </c>
      <c r="I13618" s="1" t="str">
        <f t="shared" si="3127"/>
        <v>...</v>
      </c>
      <c r="J13618" s="1" t="str">
        <f t="shared" si="3127"/>
        <v>...</v>
      </c>
      <c r="K13618" s="1" t="str">
        <f t="shared" si="3127"/>
        <v>...</v>
      </c>
      <c r="L13618" s="1" t="str">
        <f t="shared" si="3127"/>
        <v>...</v>
      </c>
      <c r="M13618" s="1" t="str">
        <f t="shared" si="3127"/>
        <v>...</v>
      </c>
      <c r="N13618" t="s">
        <v>30</v>
      </c>
    </row>
    <row r="13619" spans="1:14" x14ac:dyDescent="0.25">
      <c r="A13619" t="s">
        <v>45</v>
      </c>
      <c r="B13619" t="s">
        <v>15</v>
      </c>
      <c r="C13619" t="s">
        <v>36</v>
      </c>
      <c r="D13619" t="s">
        <v>33</v>
      </c>
      <c r="E13619" t="s">
        <v>23</v>
      </c>
      <c r="F13619" t="s">
        <v>18</v>
      </c>
      <c r="G13619" s="1" t="str">
        <f t="shared" si="3127"/>
        <v>...</v>
      </c>
      <c r="H13619" s="1" t="str">
        <f t="shared" si="3127"/>
        <v>...</v>
      </c>
      <c r="I13619" s="1" t="str">
        <f t="shared" si="3127"/>
        <v>...</v>
      </c>
      <c r="J13619" s="1" t="str">
        <f t="shared" si="3127"/>
        <v>...</v>
      </c>
      <c r="K13619" s="1" t="str">
        <f t="shared" si="3127"/>
        <v>...</v>
      </c>
      <c r="L13619" s="1" t="str">
        <f t="shared" si="3127"/>
        <v>...</v>
      </c>
      <c r="M13619" s="1" t="str">
        <f t="shared" si="3127"/>
        <v>...</v>
      </c>
      <c r="N13619" t="s">
        <v>30</v>
      </c>
    </row>
    <row r="13620" spans="1:14" x14ac:dyDescent="0.25">
      <c r="A13620" t="s">
        <v>45</v>
      </c>
      <c r="B13620" t="s">
        <v>15</v>
      </c>
      <c r="C13620" t="s">
        <v>36</v>
      </c>
      <c r="D13620" t="s">
        <v>33</v>
      </c>
      <c r="E13620" t="s">
        <v>23</v>
      </c>
      <c r="F13620" t="s">
        <v>19</v>
      </c>
      <c r="G13620" s="1" t="str">
        <f t="shared" ref="G13620:M13622" si="3128">"X"</f>
        <v>X</v>
      </c>
      <c r="H13620" s="1" t="str">
        <f t="shared" si="3128"/>
        <v>X</v>
      </c>
      <c r="I13620" s="1" t="str">
        <f t="shared" si="3128"/>
        <v>X</v>
      </c>
      <c r="J13620" s="1" t="str">
        <f t="shared" si="3128"/>
        <v>X</v>
      </c>
      <c r="K13620" s="1" t="str">
        <f t="shared" si="3128"/>
        <v>X</v>
      </c>
      <c r="L13620" s="1" t="str">
        <f t="shared" si="3128"/>
        <v>X</v>
      </c>
      <c r="M13620" s="1" t="str">
        <f t="shared" si="3128"/>
        <v>X</v>
      </c>
      <c r="N13620" t="s">
        <v>27</v>
      </c>
    </row>
    <row r="13621" spans="1:14" x14ac:dyDescent="0.25">
      <c r="A13621" t="s">
        <v>45</v>
      </c>
      <c r="B13621" t="s">
        <v>15</v>
      </c>
      <c r="C13621" t="s">
        <v>36</v>
      </c>
      <c r="D13621" t="s">
        <v>33</v>
      </c>
      <c r="E13621" t="s">
        <v>23</v>
      </c>
      <c r="F13621" t="s">
        <v>20</v>
      </c>
      <c r="G13621" s="1" t="str">
        <f t="shared" si="3128"/>
        <v>X</v>
      </c>
      <c r="H13621" s="1" t="str">
        <f t="shared" si="3128"/>
        <v>X</v>
      </c>
      <c r="I13621" s="1" t="str">
        <f t="shared" si="3128"/>
        <v>X</v>
      </c>
      <c r="J13621" s="1" t="str">
        <f t="shared" si="3128"/>
        <v>X</v>
      </c>
      <c r="K13621" s="1" t="str">
        <f t="shared" si="3128"/>
        <v>X</v>
      </c>
      <c r="L13621" s="1" t="str">
        <f t="shared" si="3128"/>
        <v>X</v>
      </c>
      <c r="M13621" s="1" t="str">
        <f t="shared" si="3128"/>
        <v>X</v>
      </c>
      <c r="N13621" t="s">
        <v>27</v>
      </c>
    </row>
    <row r="13622" spans="1:14" x14ac:dyDescent="0.25">
      <c r="A13622" t="s">
        <v>45</v>
      </c>
      <c r="B13622" t="s">
        <v>15</v>
      </c>
      <c r="C13622" t="s">
        <v>36</v>
      </c>
      <c r="D13622" t="s">
        <v>33</v>
      </c>
      <c r="E13622" t="s">
        <v>26</v>
      </c>
      <c r="F13622" t="s">
        <v>15</v>
      </c>
      <c r="G13622" s="1" t="str">
        <f t="shared" si="3128"/>
        <v>X</v>
      </c>
      <c r="H13622" s="1" t="str">
        <f t="shared" si="3128"/>
        <v>X</v>
      </c>
      <c r="I13622" s="1" t="str">
        <f t="shared" si="3128"/>
        <v>X</v>
      </c>
      <c r="J13622" s="1" t="str">
        <f t="shared" si="3128"/>
        <v>X</v>
      </c>
      <c r="K13622" s="1" t="str">
        <f t="shared" si="3128"/>
        <v>X</v>
      </c>
      <c r="L13622" s="1" t="str">
        <f t="shared" si="3128"/>
        <v>X</v>
      </c>
      <c r="M13622" s="1" t="str">
        <f t="shared" si="3128"/>
        <v>X</v>
      </c>
      <c r="N13622" t="s">
        <v>27</v>
      </c>
    </row>
    <row r="13623" spans="1:14" x14ac:dyDescent="0.25">
      <c r="A13623" t="s">
        <v>45</v>
      </c>
      <c r="B13623" t="s">
        <v>15</v>
      </c>
      <c r="C13623" t="s">
        <v>36</v>
      </c>
      <c r="D13623" t="s">
        <v>33</v>
      </c>
      <c r="E13623" t="s">
        <v>26</v>
      </c>
      <c r="F13623" t="s">
        <v>17</v>
      </c>
      <c r="G13623" s="1" t="str">
        <f t="shared" ref="G13623:M13625" si="3129">"..."</f>
        <v>...</v>
      </c>
      <c r="H13623" s="1" t="str">
        <f t="shared" si="3129"/>
        <v>...</v>
      </c>
      <c r="I13623" s="1" t="str">
        <f t="shared" si="3129"/>
        <v>...</v>
      </c>
      <c r="J13623" s="1" t="str">
        <f t="shared" si="3129"/>
        <v>...</v>
      </c>
      <c r="K13623" s="1" t="str">
        <f t="shared" si="3129"/>
        <v>...</v>
      </c>
      <c r="L13623" s="1" t="str">
        <f t="shared" si="3129"/>
        <v>...</v>
      </c>
      <c r="M13623" s="1" t="str">
        <f t="shared" si="3129"/>
        <v>...</v>
      </c>
      <c r="N13623" t="s">
        <v>30</v>
      </c>
    </row>
    <row r="13624" spans="1:14" x14ac:dyDescent="0.25">
      <c r="A13624" t="s">
        <v>45</v>
      </c>
      <c r="B13624" t="s">
        <v>15</v>
      </c>
      <c r="C13624" t="s">
        <v>36</v>
      </c>
      <c r="D13624" t="s">
        <v>33</v>
      </c>
      <c r="E13624" t="s">
        <v>26</v>
      </c>
      <c r="F13624" t="s">
        <v>18</v>
      </c>
      <c r="G13624" s="1" t="str">
        <f t="shared" si="3129"/>
        <v>...</v>
      </c>
      <c r="H13624" s="1" t="str">
        <f t="shared" si="3129"/>
        <v>...</v>
      </c>
      <c r="I13624" s="1" t="str">
        <f t="shared" si="3129"/>
        <v>...</v>
      </c>
      <c r="J13624" s="1" t="str">
        <f t="shared" si="3129"/>
        <v>...</v>
      </c>
      <c r="K13624" s="1" t="str">
        <f t="shared" si="3129"/>
        <v>...</v>
      </c>
      <c r="L13624" s="1" t="str">
        <f t="shared" si="3129"/>
        <v>...</v>
      </c>
      <c r="M13624" s="1" t="str">
        <f t="shared" si="3129"/>
        <v>...</v>
      </c>
      <c r="N13624" t="s">
        <v>30</v>
      </c>
    </row>
    <row r="13625" spans="1:14" x14ac:dyDescent="0.25">
      <c r="A13625" t="s">
        <v>45</v>
      </c>
      <c r="B13625" t="s">
        <v>15</v>
      </c>
      <c r="C13625" t="s">
        <v>36</v>
      </c>
      <c r="D13625" t="s">
        <v>33</v>
      </c>
      <c r="E13625" t="s">
        <v>26</v>
      </c>
      <c r="F13625" t="s">
        <v>19</v>
      </c>
      <c r="G13625" s="1" t="str">
        <f t="shared" si="3129"/>
        <v>...</v>
      </c>
      <c r="H13625" s="1" t="str">
        <f t="shared" si="3129"/>
        <v>...</v>
      </c>
      <c r="I13625" s="1" t="str">
        <f t="shared" si="3129"/>
        <v>...</v>
      </c>
      <c r="J13625" s="1" t="str">
        <f t="shared" si="3129"/>
        <v>...</v>
      </c>
      <c r="K13625" s="1" t="str">
        <f t="shared" si="3129"/>
        <v>...</v>
      </c>
      <c r="L13625" s="1" t="str">
        <f t="shared" si="3129"/>
        <v>...</v>
      </c>
      <c r="M13625" s="1" t="str">
        <f t="shared" si="3129"/>
        <v>...</v>
      </c>
      <c r="N13625" t="s">
        <v>30</v>
      </c>
    </row>
    <row r="13626" spans="1:14" x14ac:dyDescent="0.25">
      <c r="A13626" t="s">
        <v>45</v>
      </c>
      <c r="B13626" t="s">
        <v>15</v>
      </c>
      <c r="C13626" t="s">
        <v>36</v>
      </c>
      <c r="D13626" t="s">
        <v>33</v>
      </c>
      <c r="E13626" t="s">
        <v>26</v>
      </c>
      <c r="F13626" t="s">
        <v>20</v>
      </c>
      <c r="G13626" s="1" t="str">
        <f t="shared" ref="G13626:M13626" si="3130">"X"</f>
        <v>X</v>
      </c>
      <c r="H13626" s="1" t="str">
        <f t="shared" si="3130"/>
        <v>X</v>
      </c>
      <c r="I13626" s="1" t="str">
        <f t="shared" si="3130"/>
        <v>X</v>
      </c>
      <c r="J13626" s="1" t="str">
        <f t="shared" si="3130"/>
        <v>X</v>
      </c>
      <c r="K13626" s="1" t="str">
        <f t="shared" si="3130"/>
        <v>X</v>
      </c>
      <c r="L13626" s="1" t="str">
        <f t="shared" si="3130"/>
        <v>X</v>
      </c>
      <c r="M13626" s="1" t="str">
        <f t="shared" si="3130"/>
        <v>X</v>
      </c>
      <c r="N13626" t="s">
        <v>27</v>
      </c>
    </row>
    <row r="13627" spans="1:14" x14ac:dyDescent="0.25">
      <c r="A13627" t="s">
        <v>45</v>
      </c>
      <c r="B13627" t="s">
        <v>15</v>
      </c>
      <c r="C13627" t="s">
        <v>36</v>
      </c>
      <c r="D13627" t="s">
        <v>34</v>
      </c>
      <c r="E13627" t="s">
        <v>15</v>
      </c>
      <c r="F13627" t="s">
        <v>15</v>
      </c>
      <c r="G13627" s="2">
        <f>VALUE(517.44)</f>
        <v>517.44000000000005</v>
      </c>
      <c r="H13627" s="3">
        <f>VALUE(458.29)</f>
        <v>458.29</v>
      </c>
      <c r="I13627" s="1">
        <f>VALUE(3146)</f>
        <v>3146</v>
      </c>
      <c r="J13627" s="1">
        <f>VALUE(3429)</f>
        <v>3429</v>
      </c>
      <c r="K13627" s="1">
        <f>VALUE(3919)</f>
        <v>3919</v>
      </c>
      <c r="L13627" s="7">
        <f>VALUE(4585)</f>
        <v>4585</v>
      </c>
      <c r="M13627" s="1">
        <f>VALUE(5298)</f>
        <v>5298</v>
      </c>
      <c r="N13627" t="s">
        <v>25</v>
      </c>
    </row>
    <row r="13628" spans="1:14" x14ac:dyDescent="0.25">
      <c r="A13628" t="s">
        <v>45</v>
      </c>
      <c r="B13628" t="s">
        <v>15</v>
      </c>
      <c r="C13628" t="s">
        <v>36</v>
      </c>
      <c r="D13628" t="s">
        <v>34</v>
      </c>
      <c r="E13628" t="s">
        <v>15</v>
      </c>
      <c r="F13628" t="s">
        <v>17</v>
      </c>
      <c r="G13628" s="1" t="str">
        <f t="shared" ref="G13628:M13630" si="3131">"X"</f>
        <v>X</v>
      </c>
      <c r="H13628" s="1" t="str">
        <f t="shared" si="3131"/>
        <v>X</v>
      </c>
      <c r="I13628" s="1" t="str">
        <f t="shared" si="3131"/>
        <v>X</v>
      </c>
      <c r="J13628" s="1" t="str">
        <f t="shared" si="3131"/>
        <v>X</v>
      </c>
      <c r="K13628" s="1" t="str">
        <f t="shared" si="3131"/>
        <v>X</v>
      </c>
      <c r="L13628" s="1" t="str">
        <f t="shared" si="3131"/>
        <v>X</v>
      </c>
      <c r="M13628" s="1" t="str">
        <f t="shared" si="3131"/>
        <v>X</v>
      </c>
      <c r="N13628" t="s">
        <v>27</v>
      </c>
    </row>
    <row r="13629" spans="1:14" x14ac:dyDescent="0.25">
      <c r="A13629" t="s">
        <v>45</v>
      </c>
      <c r="B13629" t="s">
        <v>15</v>
      </c>
      <c r="C13629" t="s">
        <v>36</v>
      </c>
      <c r="D13629" t="s">
        <v>34</v>
      </c>
      <c r="E13629" t="s">
        <v>15</v>
      </c>
      <c r="F13629" t="s">
        <v>18</v>
      </c>
      <c r="G13629" s="1" t="str">
        <f t="shared" si="3131"/>
        <v>X</v>
      </c>
      <c r="H13629" s="1" t="str">
        <f t="shared" si="3131"/>
        <v>X</v>
      </c>
      <c r="I13629" s="1" t="str">
        <f t="shared" si="3131"/>
        <v>X</v>
      </c>
      <c r="J13629" s="1" t="str">
        <f t="shared" si="3131"/>
        <v>X</v>
      </c>
      <c r="K13629" s="1" t="str">
        <f t="shared" si="3131"/>
        <v>X</v>
      </c>
      <c r="L13629" s="1" t="str">
        <f t="shared" si="3131"/>
        <v>X</v>
      </c>
      <c r="M13629" s="1" t="str">
        <f t="shared" si="3131"/>
        <v>X</v>
      </c>
      <c r="N13629" t="s">
        <v>27</v>
      </c>
    </row>
    <row r="13630" spans="1:14" x14ac:dyDescent="0.25">
      <c r="A13630" t="s">
        <v>45</v>
      </c>
      <c r="B13630" t="s">
        <v>15</v>
      </c>
      <c r="C13630" t="s">
        <v>36</v>
      </c>
      <c r="D13630" t="s">
        <v>34</v>
      </c>
      <c r="E13630" t="s">
        <v>15</v>
      </c>
      <c r="F13630" t="s">
        <v>19</v>
      </c>
      <c r="G13630" s="1" t="str">
        <f t="shared" si="3131"/>
        <v>X</v>
      </c>
      <c r="H13630" s="1" t="str">
        <f t="shared" si="3131"/>
        <v>X</v>
      </c>
      <c r="I13630" s="1" t="str">
        <f t="shared" si="3131"/>
        <v>X</v>
      </c>
      <c r="J13630" s="1" t="str">
        <f t="shared" si="3131"/>
        <v>X</v>
      </c>
      <c r="K13630" s="1" t="str">
        <f t="shared" si="3131"/>
        <v>X</v>
      </c>
      <c r="L13630" s="1" t="str">
        <f t="shared" si="3131"/>
        <v>X</v>
      </c>
      <c r="M13630" s="1" t="str">
        <f t="shared" si="3131"/>
        <v>X</v>
      </c>
      <c r="N13630" t="s">
        <v>27</v>
      </c>
    </row>
    <row r="13631" spans="1:14" x14ac:dyDescent="0.25">
      <c r="A13631" t="s">
        <v>45</v>
      </c>
      <c r="B13631" t="s">
        <v>15</v>
      </c>
      <c r="C13631" t="s">
        <v>36</v>
      </c>
      <c r="D13631" t="s">
        <v>34</v>
      </c>
      <c r="E13631" t="s">
        <v>15</v>
      </c>
      <c r="F13631" t="s">
        <v>20</v>
      </c>
      <c r="G13631" s="2">
        <f>VALUE(441.64)</f>
        <v>441.64</v>
      </c>
      <c r="H13631" s="3">
        <f>VALUE(411.3)</f>
        <v>411.3</v>
      </c>
      <c r="I13631" s="1">
        <f>VALUE(3054)</f>
        <v>3054</v>
      </c>
      <c r="J13631" s="1">
        <f>VALUE(3421)</f>
        <v>3421</v>
      </c>
      <c r="K13631" s="1">
        <f>VALUE(3809)</f>
        <v>3809</v>
      </c>
      <c r="L13631" s="7">
        <f>VALUE(4387)</f>
        <v>4387</v>
      </c>
      <c r="M13631" s="1">
        <f>VALUE(5205)</f>
        <v>5205</v>
      </c>
      <c r="N13631" t="s">
        <v>25</v>
      </c>
    </row>
    <row r="13632" spans="1:14" x14ac:dyDescent="0.25">
      <c r="A13632" t="s">
        <v>45</v>
      </c>
      <c r="B13632" t="s">
        <v>15</v>
      </c>
      <c r="C13632" t="s">
        <v>36</v>
      </c>
      <c r="D13632" t="s">
        <v>34</v>
      </c>
      <c r="E13632" t="s">
        <v>21</v>
      </c>
      <c r="F13632" t="s">
        <v>15</v>
      </c>
      <c r="G13632" s="1" t="str">
        <f t="shared" ref="G13632:M13641" si="3132">"X"</f>
        <v>X</v>
      </c>
      <c r="H13632" s="1" t="str">
        <f t="shared" si="3132"/>
        <v>X</v>
      </c>
      <c r="I13632" s="1" t="str">
        <f t="shared" si="3132"/>
        <v>X</v>
      </c>
      <c r="J13632" s="1" t="str">
        <f t="shared" si="3132"/>
        <v>X</v>
      </c>
      <c r="K13632" s="1" t="str">
        <f t="shared" si="3132"/>
        <v>X</v>
      </c>
      <c r="L13632" s="1" t="str">
        <f t="shared" si="3132"/>
        <v>X</v>
      </c>
      <c r="M13632" s="1" t="str">
        <f t="shared" si="3132"/>
        <v>X</v>
      </c>
      <c r="N13632" t="s">
        <v>27</v>
      </c>
    </row>
    <row r="13633" spans="1:14" x14ac:dyDescent="0.25">
      <c r="A13633" t="s">
        <v>45</v>
      </c>
      <c r="B13633" t="s">
        <v>15</v>
      </c>
      <c r="C13633" t="s">
        <v>36</v>
      </c>
      <c r="D13633" t="s">
        <v>34</v>
      </c>
      <c r="E13633" t="s">
        <v>21</v>
      </c>
      <c r="F13633" t="s">
        <v>17</v>
      </c>
      <c r="G13633" s="1" t="str">
        <f t="shared" si="3132"/>
        <v>X</v>
      </c>
      <c r="H13633" s="1" t="str">
        <f t="shared" si="3132"/>
        <v>X</v>
      </c>
      <c r="I13633" s="1" t="str">
        <f t="shared" si="3132"/>
        <v>X</v>
      </c>
      <c r="J13633" s="1" t="str">
        <f t="shared" si="3132"/>
        <v>X</v>
      </c>
      <c r="K13633" s="1" t="str">
        <f t="shared" si="3132"/>
        <v>X</v>
      </c>
      <c r="L13633" s="1" t="str">
        <f t="shared" si="3132"/>
        <v>X</v>
      </c>
      <c r="M13633" s="1" t="str">
        <f t="shared" si="3132"/>
        <v>X</v>
      </c>
      <c r="N13633" t="s">
        <v>27</v>
      </c>
    </row>
    <row r="13634" spans="1:14" x14ac:dyDescent="0.25">
      <c r="A13634" t="s">
        <v>45</v>
      </c>
      <c r="B13634" t="s">
        <v>15</v>
      </c>
      <c r="C13634" t="s">
        <v>36</v>
      </c>
      <c r="D13634" t="s">
        <v>34</v>
      </c>
      <c r="E13634" t="s">
        <v>21</v>
      </c>
      <c r="F13634" t="s">
        <v>18</v>
      </c>
      <c r="G13634" s="1" t="str">
        <f t="shared" si="3132"/>
        <v>X</v>
      </c>
      <c r="H13634" s="1" t="str">
        <f t="shared" si="3132"/>
        <v>X</v>
      </c>
      <c r="I13634" s="1" t="str">
        <f t="shared" si="3132"/>
        <v>X</v>
      </c>
      <c r="J13634" s="1" t="str">
        <f t="shared" si="3132"/>
        <v>X</v>
      </c>
      <c r="K13634" s="1" t="str">
        <f t="shared" si="3132"/>
        <v>X</v>
      </c>
      <c r="L13634" s="1" t="str">
        <f t="shared" si="3132"/>
        <v>X</v>
      </c>
      <c r="M13634" s="1" t="str">
        <f t="shared" si="3132"/>
        <v>X</v>
      </c>
      <c r="N13634" t="s">
        <v>27</v>
      </c>
    </row>
    <row r="13635" spans="1:14" x14ac:dyDescent="0.25">
      <c r="A13635" t="s">
        <v>45</v>
      </c>
      <c r="B13635" t="s">
        <v>15</v>
      </c>
      <c r="C13635" t="s">
        <v>36</v>
      </c>
      <c r="D13635" t="s">
        <v>34</v>
      </c>
      <c r="E13635" t="s">
        <v>21</v>
      </c>
      <c r="F13635" t="s">
        <v>19</v>
      </c>
      <c r="G13635" s="1" t="str">
        <f t="shared" si="3132"/>
        <v>X</v>
      </c>
      <c r="H13635" s="1" t="str">
        <f t="shared" si="3132"/>
        <v>X</v>
      </c>
      <c r="I13635" s="1" t="str">
        <f t="shared" si="3132"/>
        <v>X</v>
      </c>
      <c r="J13635" s="1" t="str">
        <f t="shared" si="3132"/>
        <v>X</v>
      </c>
      <c r="K13635" s="1" t="str">
        <f t="shared" si="3132"/>
        <v>X</v>
      </c>
      <c r="L13635" s="1" t="str">
        <f t="shared" si="3132"/>
        <v>X</v>
      </c>
      <c r="M13635" s="1" t="str">
        <f t="shared" si="3132"/>
        <v>X</v>
      </c>
      <c r="N13635" t="s">
        <v>27</v>
      </c>
    </row>
    <row r="13636" spans="1:14" x14ac:dyDescent="0.25">
      <c r="A13636" t="s">
        <v>45</v>
      </c>
      <c r="B13636" t="s">
        <v>15</v>
      </c>
      <c r="C13636" t="s">
        <v>36</v>
      </c>
      <c r="D13636" t="s">
        <v>34</v>
      </c>
      <c r="E13636" t="s">
        <v>21</v>
      </c>
      <c r="F13636" t="s">
        <v>20</v>
      </c>
      <c r="G13636" s="1" t="str">
        <f t="shared" si="3132"/>
        <v>X</v>
      </c>
      <c r="H13636" s="1" t="str">
        <f t="shared" si="3132"/>
        <v>X</v>
      </c>
      <c r="I13636" s="1" t="str">
        <f t="shared" si="3132"/>
        <v>X</v>
      </c>
      <c r="J13636" s="1" t="str">
        <f t="shared" si="3132"/>
        <v>X</v>
      </c>
      <c r="K13636" s="1" t="str">
        <f t="shared" si="3132"/>
        <v>X</v>
      </c>
      <c r="L13636" s="1" t="str">
        <f t="shared" si="3132"/>
        <v>X</v>
      </c>
      <c r="M13636" s="1" t="str">
        <f t="shared" si="3132"/>
        <v>X</v>
      </c>
      <c r="N13636" t="s">
        <v>27</v>
      </c>
    </row>
    <row r="13637" spans="1:14" x14ac:dyDescent="0.25">
      <c r="A13637" t="s">
        <v>45</v>
      </c>
      <c r="B13637" t="s">
        <v>15</v>
      </c>
      <c r="C13637" t="s">
        <v>36</v>
      </c>
      <c r="D13637" t="s">
        <v>34</v>
      </c>
      <c r="E13637" t="s">
        <v>22</v>
      </c>
      <c r="F13637" t="s">
        <v>15</v>
      </c>
      <c r="G13637" s="1" t="str">
        <f t="shared" si="3132"/>
        <v>X</v>
      </c>
      <c r="H13637" s="1" t="str">
        <f t="shared" si="3132"/>
        <v>X</v>
      </c>
      <c r="I13637" s="1" t="str">
        <f t="shared" si="3132"/>
        <v>X</v>
      </c>
      <c r="J13637" s="1" t="str">
        <f t="shared" si="3132"/>
        <v>X</v>
      </c>
      <c r="K13637" s="1" t="str">
        <f t="shared" si="3132"/>
        <v>X</v>
      </c>
      <c r="L13637" s="1" t="str">
        <f t="shared" si="3132"/>
        <v>X</v>
      </c>
      <c r="M13637" s="1" t="str">
        <f t="shared" si="3132"/>
        <v>X</v>
      </c>
      <c r="N13637" t="s">
        <v>27</v>
      </c>
    </row>
    <row r="13638" spans="1:14" x14ac:dyDescent="0.25">
      <c r="A13638" t="s">
        <v>45</v>
      </c>
      <c r="B13638" t="s">
        <v>15</v>
      </c>
      <c r="C13638" t="s">
        <v>36</v>
      </c>
      <c r="D13638" t="s">
        <v>34</v>
      </c>
      <c r="E13638" t="s">
        <v>22</v>
      </c>
      <c r="F13638" t="s">
        <v>17</v>
      </c>
      <c r="G13638" s="1" t="str">
        <f t="shared" si="3132"/>
        <v>X</v>
      </c>
      <c r="H13638" s="1" t="str">
        <f t="shared" si="3132"/>
        <v>X</v>
      </c>
      <c r="I13638" s="1" t="str">
        <f t="shared" si="3132"/>
        <v>X</v>
      </c>
      <c r="J13638" s="1" t="str">
        <f t="shared" si="3132"/>
        <v>X</v>
      </c>
      <c r="K13638" s="1" t="str">
        <f t="shared" si="3132"/>
        <v>X</v>
      </c>
      <c r="L13638" s="1" t="str">
        <f t="shared" si="3132"/>
        <v>X</v>
      </c>
      <c r="M13638" s="1" t="str">
        <f t="shared" si="3132"/>
        <v>X</v>
      </c>
      <c r="N13638" t="s">
        <v>27</v>
      </c>
    </row>
    <row r="13639" spans="1:14" x14ac:dyDescent="0.25">
      <c r="A13639" t="s">
        <v>45</v>
      </c>
      <c r="B13639" t="s">
        <v>15</v>
      </c>
      <c r="C13639" t="s">
        <v>36</v>
      </c>
      <c r="D13639" t="s">
        <v>34</v>
      </c>
      <c r="E13639" t="s">
        <v>22</v>
      </c>
      <c r="F13639" t="s">
        <v>18</v>
      </c>
      <c r="G13639" s="1" t="str">
        <f t="shared" si="3132"/>
        <v>X</v>
      </c>
      <c r="H13639" s="1" t="str">
        <f t="shared" si="3132"/>
        <v>X</v>
      </c>
      <c r="I13639" s="1" t="str">
        <f t="shared" si="3132"/>
        <v>X</v>
      </c>
      <c r="J13639" s="1" t="str">
        <f t="shared" si="3132"/>
        <v>X</v>
      </c>
      <c r="K13639" s="1" t="str">
        <f t="shared" si="3132"/>
        <v>X</v>
      </c>
      <c r="L13639" s="1" t="str">
        <f t="shared" si="3132"/>
        <v>X</v>
      </c>
      <c r="M13639" s="1" t="str">
        <f t="shared" si="3132"/>
        <v>X</v>
      </c>
      <c r="N13639" t="s">
        <v>27</v>
      </c>
    </row>
    <row r="13640" spans="1:14" x14ac:dyDescent="0.25">
      <c r="A13640" t="s">
        <v>45</v>
      </c>
      <c r="B13640" t="s">
        <v>15</v>
      </c>
      <c r="C13640" t="s">
        <v>36</v>
      </c>
      <c r="D13640" t="s">
        <v>34</v>
      </c>
      <c r="E13640" t="s">
        <v>22</v>
      </c>
      <c r="F13640" t="s">
        <v>19</v>
      </c>
      <c r="G13640" s="1" t="str">
        <f t="shared" si="3132"/>
        <v>X</v>
      </c>
      <c r="H13640" s="1" t="str">
        <f t="shared" si="3132"/>
        <v>X</v>
      </c>
      <c r="I13640" s="1" t="str">
        <f t="shared" si="3132"/>
        <v>X</v>
      </c>
      <c r="J13640" s="1" t="str">
        <f t="shared" si="3132"/>
        <v>X</v>
      </c>
      <c r="K13640" s="1" t="str">
        <f t="shared" si="3132"/>
        <v>X</v>
      </c>
      <c r="L13640" s="1" t="str">
        <f t="shared" si="3132"/>
        <v>X</v>
      </c>
      <c r="M13640" s="1" t="str">
        <f t="shared" si="3132"/>
        <v>X</v>
      </c>
      <c r="N13640" t="s">
        <v>27</v>
      </c>
    </row>
    <row r="13641" spans="1:14" x14ac:dyDescent="0.25">
      <c r="A13641" t="s">
        <v>45</v>
      </c>
      <c r="B13641" t="s">
        <v>15</v>
      </c>
      <c r="C13641" t="s">
        <v>36</v>
      </c>
      <c r="D13641" t="s">
        <v>34</v>
      </c>
      <c r="E13641" t="s">
        <v>22</v>
      </c>
      <c r="F13641" t="s">
        <v>20</v>
      </c>
      <c r="G13641" s="1" t="str">
        <f t="shared" si="3132"/>
        <v>X</v>
      </c>
      <c r="H13641" s="1" t="str">
        <f t="shared" si="3132"/>
        <v>X</v>
      </c>
      <c r="I13641" s="1" t="str">
        <f t="shared" si="3132"/>
        <v>X</v>
      </c>
      <c r="J13641" s="1" t="str">
        <f t="shared" si="3132"/>
        <v>X</v>
      </c>
      <c r="K13641" s="1" t="str">
        <f t="shared" si="3132"/>
        <v>X</v>
      </c>
      <c r="L13641" s="1" t="str">
        <f t="shared" si="3132"/>
        <v>X</v>
      </c>
      <c r="M13641" s="1" t="str">
        <f t="shared" si="3132"/>
        <v>X</v>
      </c>
      <c r="N13641" t="s">
        <v>27</v>
      </c>
    </row>
    <row r="13642" spans="1:14" x14ac:dyDescent="0.25">
      <c r="A13642" t="s">
        <v>45</v>
      </c>
      <c r="B13642" t="s">
        <v>15</v>
      </c>
      <c r="C13642" t="s">
        <v>36</v>
      </c>
      <c r="D13642" t="s">
        <v>34</v>
      </c>
      <c r="E13642" t="s">
        <v>23</v>
      </c>
      <c r="F13642" t="s">
        <v>15</v>
      </c>
      <c r="G13642" s="2">
        <f>VALUE(249.09)</f>
        <v>249.09</v>
      </c>
      <c r="H13642" s="3">
        <f>VALUE(232.66)</f>
        <v>232.66</v>
      </c>
      <c r="I13642" s="1">
        <f>VALUE(3146)</f>
        <v>3146</v>
      </c>
      <c r="J13642" s="1">
        <f>VALUE(3421)</f>
        <v>3421</v>
      </c>
      <c r="K13642" s="1">
        <f>VALUE(3708)</f>
        <v>3708</v>
      </c>
      <c r="L13642" s="7">
        <f>VALUE(4465)</f>
        <v>4465</v>
      </c>
      <c r="M13642" s="1">
        <f>VALUE(5205)</f>
        <v>5205</v>
      </c>
      <c r="N13642" t="s">
        <v>25</v>
      </c>
    </row>
    <row r="13643" spans="1:14" x14ac:dyDescent="0.25">
      <c r="A13643" t="s">
        <v>45</v>
      </c>
      <c r="B13643" t="s">
        <v>15</v>
      </c>
      <c r="C13643" t="s">
        <v>36</v>
      </c>
      <c r="D13643" t="s">
        <v>34</v>
      </c>
      <c r="E13643" t="s">
        <v>23</v>
      </c>
      <c r="F13643" t="s">
        <v>17</v>
      </c>
      <c r="G13643" s="1" t="str">
        <f t="shared" ref="G13643:M13643" si="3133">"X"</f>
        <v>X</v>
      </c>
      <c r="H13643" s="1" t="str">
        <f t="shared" si="3133"/>
        <v>X</v>
      </c>
      <c r="I13643" s="1" t="str">
        <f t="shared" si="3133"/>
        <v>X</v>
      </c>
      <c r="J13643" s="1" t="str">
        <f t="shared" si="3133"/>
        <v>X</v>
      </c>
      <c r="K13643" s="1" t="str">
        <f t="shared" si="3133"/>
        <v>X</v>
      </c>
      <c r="L13643" s="1" t="str">
        <f t="shared" si="3133"/>
        <v>X</v>
      </c>
      <c r="M13643" s="1" t="str">
        <f t="shared" si="3133"/>
        <v>X</v>
      </c>
      <c r="N13643" t="s">
        <v>27</v>
      </c>
    </row>
    <row r="13644" spans="1:14" x14ac:dyDescent="0.25">
      <c r="A13644" t="s">
        <v>45</v>
      </c>
      <c r="B13644" t="s">
        <v>15</v>
      </c>
      <c r="C13644" t="s">
        <v>36</v>
      </c>
      <c r="D13644" t="s">
        <v>34</v>
      </c>
      <c r="E13644" t="s">
        <v>23</v>
      </c>
      <c r="F13644" t="s">
        <v>18</v>
      </c>
      <c r="G13644" s="1" t="str">
        <f t="shared" ref="G13644:M13644" si="3134">"..."</f>
        <v>...</v>
      </c>
      <c r="H13644" s="1" t="str">
        <f t="shared" si="3134"/>
        <v>...</v>
      </c>
      <c r="I13644" s="1" t="str">
        <f t="shared" si="3134"/>
        <v>...</v>
      </c>
      <c r="J13644" s="1" t="str">
        <f t="shared" si="3134"/>
        <v>...</v>
      </c>
      <c r="K13644" s="1" t="str">
        <f t="shared" si="3134"/>
        <v>...</v>
      </c>
      <c r="L13644" s="1" t="str">
        <f t="shared" si="3134"/>
        <v>...</v>
      </c>
      <c r="M13644" s="1" t="str">
        <f t="shared" si="3134"/>
        <v>...</v>
      </c>
      <c r="N13644" t="s">
        <v>30</v>
      </c>
    </row>
    <row r="13645" spans="1:14" x14ac:dyDescent="0.25">
      <c r="A13645" t="s">
        <v>45</v>
      </c>
      <c r="B13645" t="s">
        <v>15</v>
      </c>
      <c r="C13645" t="s">
        <v>36</v>
      </c>
      <c r="D13645" t="s">
        <v>34</v>
      </c>
      <c r="E13645" t="s">
        <v>23</v>
      </c>
      <c r="F13645" t="s">
        <v>19</v>
      </c>
      <c r="G13645" s="1" t="str">
        <f t="shared" ref="G13645:M13645" si="3135">"X"</f>
        <v>X</v>
      </c>
      <c r="H13645" s="1" t="str">
        <f t="shared" si="3135"/>
        <v>X</v>
      </c>
      <c r="I13645" s="1" t="str">
        <f t="shared" si="3135"/>
        <v>X</v>
      </c>
      <c r="J13645" s="1" t="str">
        <f t="shared" si="3135"/>
        <v>X</v>
      </c>
      <c r="K13645" s="1" t="str">
        <f t="shared" si="3135"/>
        <v>X</v>
      </c>
      <c r="L13645" s="1" t="str">
        <f t="shared" si="3135"/>
        <v>X</v>
      </c>
      <c r="M13645" s="1" t="str">
        <f t="shared" si="3135"/>
        <v>X</v>
      </c>
      <c r="N13645" t="s">
        <v>27</v>
      </c>
    </row>
    <row r="13646" spans="1:14" x14ac:dyDescent="0.25">
      <c r="A13646" t="s">
        <v>45</v>
      </c>
      <c r="B13646" t="s">
        <v>15</v>
      </c>
      <c r="C13646" t="s">
        <v>36</v>
      </c>
      <c r="D13646" t="s">
        <v>34</v>
      </c>
      <c r="E13646" t="s">
        <v>23</v>
      </c>
      <c r="F13646" t="s">
        <v>20</v>
      </c>
      <c r="G13646" s="2">
        <f>VALUE(238.36)</f>
        <v>238.36</v>
      </c>
      <c r="H13646" s="3">
        <f>VALUE(221.49)</f>
        <v>221.49</v>
      </c>
      <c r="I13646" s="1">
        <f>VALUE(3146)</f>
        <v>3146</v>
      </c>
      <c r="J13646" s="1">
        <f>VALUE(3421)</f>
        <v>3421</v>
      </c>
      <c r="K13646" s="1">
        <f>VALUE(3708)</f>
        <v>3708</v>
      </c>
      <c r="L13646" s="7">
        <f>VALUE(4297)</f>
        <v>4297</v>
      </c>
      <c r="M13646" s="1">
        <f>VALUE(5205)</f>
        <v>5205</v>
      </c>
      <c r="N13646" t="s">
        <v>25</v>
      </c>
    </row>
    <row r="13647" spans="1:14" x14ac:dyDescent="0.25">
      <c r="A13647" t="s">
        <v>45</v>
      </c>
      <c r="B13647" t="s">
        <v>15</v>
      </c>
      <c r="C13647" t="s">
        <v>36</v>
      </c>
      <c r="D13647" t="s">
        <v>34</v>
      </c>
      <c r="E13647" t="s">
        <v>26</v>
      </c>
      <c r="F13647" t="s">
        <v>15</v>
      </c>
      <c r="G13647" s="1" t="str">
        <f t="shared" ref="G13647:M13647" si="3136">"X"</f>
        <v>X</v>
      </c>
      <c r="H13647" s="1" t="str">
        <f t="shared" si="3136"/>
        <v>X</v>
      </c>
      <c r="I13647" s="1" t="str">
        <f t="shared" si="3136"/>
        <v>X</v>
      </c>
      <c r="J13647" s="1" t="str">
        <f t="shared" si="3136"/>
        <v>X</v>
      </c>
      <c r="K13647" s="1" t="str">
        <f t="shared" si="3136"/>
        <v>X</v>
      </c>
      <c r="L13647" s="1" t="str">
        <f t="shared" si="3136"/>
        <v>X</v>
      </c>
      <c r="M13647" s="1" t="str">
        <f t="shared" si="3136"/>
        <v>X</v>
      </c>
      <c r="N13647" t="s">
        <v>27</v>
      </c>
    </row>
    <row r="13648" spans="1:14" x14ac:dyDescent="0.25">
      <c r="A13648" t="s">
        <v>45</v>
      </c>
      <c r="B13648" t="s">
        <v>15</v>
      </c>
      <c r="C13648" t="s">
        <v>36</v>
      </c>
      <c r="D13648" t="s">
        <v>34</v>
      </c>
      <c r="E13648" t="s">
        <v>26</v>
      </c>
      <c r="F13648" t="s">
        <v>17</v>
      </c>
      <c r="G13648" s="1" t="str">
        <f t="shared" ref="G13648:M13650" si="3137">"..."</f>
        <v>...</v>
      </c>
      <c r="H13648" s="1" t="str">
        <f t="shared" si="3137"/>
        <v>...</v>
      </c>
      <c r="I13648" s="1" t="str">
        <f t="shared" si="3137"/>
        <v>...</v>
      </c>
      <c r="J13648" s="1" t="str">
        <f t="shared" si="3137"/>
        <v>...</v>
      </c>
      <c r="K13648" s="1" t="str">
        <f t="shared" si="3137"/>
        <v>...</v>
      </c>
      <c r="L13648" s="1" t="str">
        <f t="shared" si="3137"/>
        <v>...</v>
      </c>
      <c r="M13648" s="1" t="str">
        <f t="shared" si="3137"/>
        <v>...</v>
      </c>
      <c r="N13648" t="s">
        <v>30</v>
      </c>
    </row>
    <row r="13649" spans="1:14" x14ac:dyDescent="0.25">
      <c r="A13649" t="s">
        <v>45</v>
      </c>
      <c r="B13649" t="s">
        <v>15</v>
      </c>
      <c r="C13649" t="s">
        <v>36</v>
      </c>
      <c r="D13649" t="s">
        <v>34</v>
      </c>
      <c r="E13649" t="s">
        <v>26</v>
      </c>
      <c r="F13649" t="s">
        <v>18</v>
      </c>
      <c r="G13649" s="1" t="str">
        <f t="shared" si="3137"/>
        <v>...</v>
      </c>
      <c r="H13649" s="1" t="str">
        <f t="shared" si="3137"/>
        <v>...</v>
      </c>
      <c r="I13649" s="1" t="str">
        <f t="shared" si="3137"/>
        <v>...</v>
      </c>
      <c r="J13649" s="1" t="str">
        <f t="shared" si="3137"/>
        <v>...</v>
      </c>
      <c r="K13649" s="1" t="str">
        <f t="shared" si="3137"/>
        <v>...</v>
      </c>
      <c r="L13649" s="1" t="str">
        <f t="shared" si="3137"/>
        <v>...</v>
      </c>
      <c r="M13649" s="1" t="str">
        <f t="shared" si="3137"/>
        <v>...</v>
      </c>
      <c r="N13649" t="s">
        <v>30</v>
      </c>
    </row>
    <row r="13650" spans="1:14" x14ac:dyDescent="0.25">
      <c r="A13650" t="s">
        <v>45</v>
      </c>
      <c r="B13650" t="s">
        <v>15</v>
      </c>
      <c r="C13650" t="s">
        <v>36</v>
      </c>
      <c r="D13650" t="s">
        <v>34</v>
      </c>
      <c r="E13650" t="s">
        <v>26</v>
      </c>
      <c r="F13650" t="s">
        <v>19</v>
      </c>
      <c r="G13650" s="1" t="str">
        <f t="shared" si="3137"/>
        <v>...</v>
      </c>
      <c r="H13650" s="1" t="str">
        <f t="shared" si="3137"/>
        <v>...</v>
      </c>
      <c r="I13650" s="1" t="str">
        <f t="shared" si="3137"/>
        <v>...</v>
      </c>
      <c r="J13650" s="1" t="str">
        <f t="shared" si="3137"/>
        <v>...</v>
      </c>
      <c r="K13650" s="1" t="str">
        <f t="shared" si="3137"/>
        <v>...</v>
      </c>
      <c r="L13650" s="1" t="str">
        <f t="shared" si="3137"/>
        <v>...</v>
      </c>
      <c r="M13650" s="1" t="str">
        <f t="shared" si="3137"/>
        <v>...</v>
      </c>
      <c r="N13650" t="s">
        <v>30</v>
      </c>
    </row>
    <row r="13651" spans="1:14" x14ac:dyDescent="0.25">
      <c r="A13651" t="s">
        <v>45</v>
      </c>
      <c r="B13651" t="s">
        <v>15</v>
      </c>
      <c r="C13651" t="s">
        <v>36</v>
      </c>
      <c r="D13651" t="s">
        <v>34</v>
      </c>
      <c r="E13651" t="s">
        <v>26</v>
      </c>
      <c r="F13651" t="s">
        <v>20</v>
      </c>
      <c r="G13651" s="1" t="str">
        <f t="shared" ref="G13651:M13651" si="3138">"X"</f>
        <v>X</v>
      </c>
      <c r="H13651" s="1" t="str">
        <f t="shared" si="3138"/>
        <v>X</v>
      </c>
      <c r="I13651" s="1" t="str">
        <f t="shared" si="3138"/>
        <v>X</v>
      </c>
      <c r="J13651" s="1" t="str">
        <f t="shared" si="3138"/>
        <v>X</v>
      </c>
      <c r="K13651" s="1" t="str">
        <f t="shared" si="3138"/>
        <v>X</v>
      </c>
      <c r="L13651" s="1" t="str">
        <f t="shared" si="3138"/>
        <v>X</v>
      </c>
      <c r="M13651" s="1" t="str">
        <f t="shared" si="3138"/>
        <v>X</v>
      </c>
      <c r="N13651" t="s">
        <v>27</v>
      </c>
    </row>
    <row r="13652" spans="1:14" x14ac:dyDescent="0.25">
      <c r="A13652" t="s">
        <v>45</v>
      </c>
      <c r="B13652" t="s">
        <v>15</v>
      </c>
      <c r="C13652" t="s">
        <v>37</v>
      </c>
      <c r="D13652" t="s">
        <v>15</v>
      </c>
      <c r="E13652" t="s">
        <v>15</v>
      </c>
      <c r="F13652" t="s">
        <v>15</v>
      </c>
      <c r="G13652" s="1">
        <f>VALUE(54640.55)</f>
        <v>54640.55</v>
      </c>
      <c r="H13652" s="1">
        <f>VALUE(48709.29)</f>
        <v>48709.29</v>
      </c>
      <c r="I13652" s="1">
        <f>VALUE(3465)</f>
        <v>3465</v>
      </c>
      <c r="J13652" s="1">
        <f>VALUE(4217)</f>
        <v>4217</v>
      </c>
      <c r="K13652" s="1">
        <f>VALUE(5391)</f>
        <v>5391</v>
      </c>
      <c r="L13652" s="1">
        <f>VALUE(6965)</f>
        <v>6965</v>
      </c>
      <c r="M13652" s="1">
        <f>VALUE(9466)</f>
        <v>9466</v>
      </c>
      <c r="N13652" t="s">
        <v>16</v>
      </c>
    </row>
    <row r="13653" spans="1:14" x14ac:dyDescent="0.25">
      <c r="A13653" t="s">
        <v>45</v>
      </c>
      <c r="B13653" t="s">
        <v>15</v>
      </c>
      <c r="C13653" t="s">
        <v>37</v>
      </c>
      <c r="D13653" t="s">
        <v>15</v>
      </c>
      <c r="E13653" t="s">
        <v>15</v>
      </c>
      <c r="F13653" t="s">
        <v>17</v>
      </c>
      <c r="G13653" s="1">
        <f>VALUE(7850.79)</f>
        <v>7850.79</v>
      </c>
      <c r="H13653" s="1">
        <f>VALUE(7386.69)</f>
        <v>7386.69</v>
      </c>
      <c r="I13653" s="1">
        <f>VALUE(4666)</f>
        <v>4666</v>
      </c>
      <c r="J13653" s="1">
        <f>VALUE(6190)</f>
        <v>6190</v>
      </c>
      <c r="K13653" s="1">
        <f>VALUE(8223)</f>
        <v>8223</v>
      </c>
      <c r="L13653" s="1">
        <f>VALUE(11953)</f>
        <v>11953</v>
      </c>
      <c r="M13653" s="1">
        <f>VALUE(17195)</f>
        <v>17195</v>
      </c>
      <c r="N13653" t="s">
        <v>16</v>
      </c>
    </row>
    <row r="13654" spans="1:14" x14ac:dyDescent="0.25">
      <c r="A13654" t="s">
        <v>45</v>
      </c>
      <c r="B13654" t="s">
        <v>15</v>
      </c>
      <c r="C13654" t="s">
        <v>37</v>
      </c>
      <c r="D13654" t="s">
        <v>15</v>
      </c>
      <c r="E13654" t="s">
        <v>15</v>
      </c>
      <c r="F13654" t="s">
        <v>18</v>
      </c>
      <c r="G13654" s="2">
        <f>VALUE(5833.48)</f>
        <v>5833.48</v>
      </c>
      <c r="H13654" s="3">
        <f>VALUE(5300.38)</f>
        <v>5300.38</v>
      </c>
      <c r="I13654" s="1">
        <f>VALUE(4394)</f>
        <v>4394</v>
      </c>
      <c r="J13654" s="1">
        <f>VALUE(5417)</f>
        <v>5417</v>
      </c>
      <c r="K13654" s="1">
        <f>VALUE(6552)</f>
        <v>6552</v>
      </c>
      <c r="L13654" s="1">
        <f>VALUE(8655)</f>
        <v>8655</v>
      </c>
      <c r="M13654" s="1">
        <f>VALUE(10596)</f>
        <v>10596</v>
      </c>
      <c r="N13654" t="s">
        <v>25</v>
      </c>
    </row>
    <row r="13655" spans="1:14" x14ac:dyDescent="0.25">
      <c r="A13655" t="s">
        <v>45</v>
      </c>
      <c r="B13655" t="s">
        <v>15</v>
      </c>
      <c r="C13655" t="s">
        <v>37</v>
      </c>
      <c r="D13655" t="s">
        <v>15</v>
      </c>
      <c r="E13655" t="s">
        <v>15</v>
      </c>
      <c r="F13655" t="s">
        <v>19</v>
      </c>
      <c r="G13655" s="1">
        <f>VALUE(6043.74)</f>
        <v>6043.74</v>
      </c>
      <c r="H13655" s="1">
        <f>VALUE(5724.5)</f>
        <v>5724.5</v>
      </c>
      <c r="I13655" s="1">
        <f>VALUE(4117)</f>
        <v>4117</v>
      </c>
      <c r="J13655" s="1">
        <f>VALUE(4729)</f>
        <v>4729</v>
      </c>
      <c r="K13655" s="1">
        <f>VALUE(5813)</f>
        <v>5813</v>
      </c>
      <c r="L13655" s="1">
        <f>VALUE(6985)</f>
        <v>6985</v>
      </c>
      <c r="M13655" s="1">
        <f>VALUE(8850)</f>
        <v>8850</v>
      </c>
      <c r="N13655" t="s">
        <v>16</v>
      </c>
    </row>
    <row r="13656" spans="1:14" x14ac:dyDescent="0.25">
      <c r="A13656" t="s">
        <v>45</v>
      </c>
      <c r="B13656" t="s">
        <v>15</v>
      </c>
      <c r="C13656" t="s">
        <v>37</v>
      </c>
      <c r="D13656" t="s">
        <v>15</v>
      </c>
      <c r="E13656" t="s">
        <v>15</v>
      </c>
      <c r="F13656" t="s">
        <v>20</v>
      </c>
      <c r="G13656" s="1">
        <f>VALUE(34912.54)</f>
        <v>34912.54</v>
      </c>
      <c r="H13656" s="1">
        <f>VALUE(30297.72)</f>
        <v>30297.72</v>
      </c>
      <c r="I13656" s="1">
        <f>VALUE(3314)</f>
        <v>3314</v>
      </c>
      <c r="J13656" s="1">
        <f>VALUE(3828)</f>
        <v>3828</v>
      </c>
      <c r="K13656" s="1">
        <f>VALUE(4734)</f>
        <v>4734</v>
      </c>
      <c r="L13656" s="1">
        <f>VALUE(5880)</f>
        <v>5880</v>
      </c>
      <c r="M13656" s="1">
        <f>VALUE(7143)</f>
        <v>7143</v>
      </c>
      <c r="N13656" t="s">
        <v>16</v>
      </c>
    </row>
    <row r="13657" spans="1:14" x14ac:dyDescent="0.25">
      <c r="A13657" t="s">
        <v>45</v>
      </c>
      <c r="B13657" t="s">
        <v>15</v>
      </c>
      <c r="C13657" t="s">
        <v>37</v>
      </c>
      <c r="D13657" t="s">
        <v>15</v>
      </c>
      <c r="E13657" t="s">
        <v>21</v>
      </c>
      <c r="F13657" t="s">
        <v>15</v>
      </c>
      <c r="G13657" s="1">
        <f>VALUE(16527.56)</f>
        <v>16527.560000000001</v>
      </c>
      <c r="H13657" s="1">
        <f>VALUE(14753.9)</f>
        <v>14753.9</v>
      </c>
      <c r="I13657" s="1">
        <f>VALUE(4271)</f>
        <v>4271</v>
      </c>
      <c r="J13657" s="1">
        <f>VALUE(5426)</f>
        <v>5426</v>
      </c>
      <c r="K13657" s="1">
        <f>VALUE(7300)</f>
        <v>7300</v>
      </c>
      <c r="L13657" s="1">
        <f>VALUE(9365)</f>
        <v>9365</v>
      </c>
      <c r="M13657" s="1">
        <f>VALUE(13722)</f>
        <v>13722</v>
      </c>
      <c r="N13657" t="s">
        <v>16</v>
      </c>
    </row>
    <row r="13658" spans="1:14" x14ac:dyDescent="0.25">
      <c r="A13658" t="s">
        <v>45</v>
      </c>
      <c r="B13658" t="s">
        <v>15</v>
      </c>
      <c r="C13658" t="s">
        <v>37</v>
      </c>
      <c r="D13658" t="s">
        <v>15</v>
      </c>
      <c r="E13658" t="s">
        <v>21</v>
      </c>
      <c r="F13658" t="s">
        <v>17</v>
      </c>
      <c r="G13658" s="2">
        <f>VALUE(5263.94)</f>
        <v>5263.94</v>
      </c>
      <c r="H13658" s="3">
        <f>VALUE(4913.05)</f>
        <v>4913.05</v>
      </c>
      <c r="I13658" s="4">
        <f>VALUE(5415)</f>
        <v>5415</v>
      </c>
      <c r="J13658" s="1">
        <f>VALUE(7034)</f>
        <v>7034</v>
      </c>
      <c r="K13658" s="6">
        <f>VALUE(8905)</f>
        <v>8905</v>
      </c>
      <c r="L13658" s="7">
        <f>VALUE(13217)</f>
        <v>13217</v>
      </c>
      <c r="M13658" s="1">
        <f>VALUE(18960)</f>
        <v>18960</v>
      </c>
      <c r="N13658" t="s">
        <v>25</v>
      </c>
    </row>
    <row r="13659" spans="1:14" x14ac:dyDescent="0.25">
      <c r="A13659" t="s">
        <v>45</v>
      </c>
      <c r="B13659" t="s">
        <v>15</v>
      </c>
      <c r="C13659" t="s">
        <v>37</v>
      </c>
      <c r="D13659" t="s">
        <v>15</v>
      </c>
      <c r="E13659" t="s">
        <v>21</v>
      </c>
      <c r="F13659" t="s">
        <v>18</v>
      </c>
      <c r="G13659" s="2">
        <f>VALUE(2976)</f>
        <v>2976</v>
      </c>
      <c r="H13659" s="3">
        <f>VALUE(2721.06)</f>
        <v>2721.06</v>
      </c>
      <c r="I13659" s="1">
        <f>VALUE(4841)</f>
        <v>4841</v>
      </c>
      <c r="J13659" s="5">
        <f>VALUE(6378)</f>
        <v>6378</v>
      </c>
      <c r="K13659" s="1">
        <f>VALUE(7989)</f>
        <v>7989</v>
      </c>
      <c r="L13659" s="1">
        <f>VALUE(9319)</f>
        <v>9319</v>
      </c>
      <c r="M13659" s="1">
        <f>VALUE(11875)</f>
        <v>11875</v>
      </c>
      <c r="N13659" t="s">
        <v>25</v>
      </c>
    </row>
    <row r="13660" spans="1:14" x14ac:dyDescent="0.25">
      <c r="A13660" t="s">
        <v>45</v>
      </c>
      <c r="B13660" t="s">
        <v>15</v>
      </c>
      <c r="C13660" t="s">
        <v>37</v>
      </c>
      <c r="D13660" t="s">
        <v>15</v>
      </c>
      <c r="E13660" t="s">
        <v>21</v>
      </c>
      <c r="F13660" t="s">
        <v>19</v>
      </c>
      <c r="G13660" s="1">
        <f>VALUE(1919.13)</f>
        <v>1919.13</v>
      </c>
      <c r="H13660" s="1">
        <f>VALUE(1753.78)</f>
        <v>1753.78</v>
      </c>
      <c r="I13660" s="1">
        <f>VALUE(4459)</f>
        <v>4459</v>
      </c>
      <c r="J13660" s="1">
        <f>VALUE(5417)</f>
        <v>5417</v>
      </c>
      <c r="K13660" s="1">
        <f>VALUE(6900)</f>
        <v>6900</v>
      </c>
      <c r="L13660" s="1">
        <f>VALUE(8480)</f>
        <v>8480</v>
      </c>
      <c r="M13660" s="1">
        <f>VALUE(11633)</f>
        <v>11633</v>
      </c>
      <c r="N13660" t="s">
        <v>16</v>
      </c>
    </row>
    <row r="13661" spans="1:14" x14ac:dyDescent="0.25">
      <c r="A13661" t="s">
        <v>45</v>
      </c>
      <c r="B13661" t="s">
        <v>15</v>
      </c>
      <c r="C13661" t="s">
        <v>37</v>
      </c>
      <c r="D13661" t="s">
        <v>15</v>
      </c>
      <c r="E13661" t="s">
        <v>21</v>
      </c>
      <c r="F13661" t="s">
        <v>20</v>
      </c>
      <c r="G13661" s="1">
        <f>VALUE(6368.49)</f>
        <v>6368.49</v>
      </c>
      <c r="H13661" s="1">
        <f>VALUE(5366.01)</f>
        <v>5366.01</v>
      </c>
      <c r="I13661" s="1">
        <f>VALUE(3786)</f>
        <v>3786</v>
      </c>
      <c r="J13661" s="1">
        <f>VALUE(4540)</f>
        <v>4540</v>
      </c>
      <c r="K13661" s="1">
        <f>VALUE(5817)</f>
        <v>5817</v>
      </c>
      <c r="L13661" s="1">
        <f>VALUE(7478)</f>
        <v>7478</v>
      </c>
      <c r="M13661" s="1">
        <f>VALUE(9116)</f>
        <v>9116</v>
      </c>
      <c r="N13661" t="s">
        <v>16</v>
      </c>
    </row>
    <row r="13662" spans="1:14" x14ac:dyDescent="0.25">
      <c r="A13662" t="s">
        <v>45</v>
      </c>
      <c r="B13662" t="s">
        <v>15</v>
      </c>
      <c r="C13662" t="s">
        <v>37</v>
      </c>
      <c r="D13662" t="s">
        <v>15</v>
      </c>
      <c r="E13662" t="s">
        <v>22</v>
      </c>
      <c r="F13662" t="s">
        <v>15</v>
      </c>
      <c r="G13662" s="1">
        <f>VALUE(21689.36)</f>
        <v>21689.360000000001</v>
      </c>
      <c r="H13662" s="1">
        <f>VALUE(19638.87)</f>
        <v>19638.87</v>
      </c>
      <c r="I13662" s="1">
        <f>VALUE(3740)</f>
        <v>3740</v>
      </c>
      <c r="J13662" s="1">
        <f>VALUE(4496)</f>
        <v>4496</v>
      </c>
      <c r="K13662" s="1">
        <f>VALUE(5429)</f>
        <v>5429</v>
      </c>
      <c r="L13662" s="1">
        <f>VALUE(6476)</f>
        <v>6476</v>
      </c>
      <c r="M13662" s="1">
        <f>VALUE(7949)</f>
        <v>7949</v>
      </c>
      <c r="N13662" t="s">
        <v>16</v>
      </c>
    </row>
    <row r="13663" spans="1:14" x14ac:dyDescent="0.25">
      <c r="A13663" t="s">
        <v>45</v>
      </c>
      <c r="B13663" t="s">
        <v>15</v>
      </c>
      <c r="C13663" t="s">
        <v>37</v>
      </c>
      <c r="D13663" t="s">
        <v>15</v>
      </c>
      <c r="E13663" t="s">
        <v>22</v>
      </c>
      <c r="F13663" t="s">
        <v>17</v>
      </c>
      <c r="G13663" s="2">
        <f>VALUE(2170.66)</f>
        <v>2170.66</v>
      </c>
      <c r="H13663" s="3">
        <f>VALUE(2055.02)</f>
        <v>2055.02</v>
      </c>
      <c r="I13663" s="1">
        <f>VALUE(4312)</f>
        <v>4312</v>
      </c>
      <c r="J13663" s="1">
        <f>VALUE(5500)</f>
        <v>5500</v>
      </c>
      <c r="K13663" s="1">
        <f>VALUE(7000)</f>
        <v>7000</v>
      </c>
      <c r="L13663" s="1">
        <f>VALUE(9829)</f>
        <v>9829</v>
      </c>
      <c r="M13663" s="8">
        <f>VALUE(13682)</f>
        <v>13682</v>
      </c>
      <c r="N13663" t="s">
        <v>25</v>
      </c>
    </row>
    <row r="13664" spans="1:14" x14ac:dyDescent="0.25">
      <c r="A13664" t="s">
        <v>45</v>
      </c>
      <c r="B13664" t="s">
        <v>15</v>
      </c>
      <c r="C13664" t="s">
        <v>37</v>
      </c>
      <c r="D13664" t="s">
        <v>15</v>
      </c>
      <c r="E13664" t="s">
        <v>22</v>
      </c>
      <c r="F13664" t="s">
        <v>18</v>
      </c>
      <c r="G13664" s="2">
        <f>VALUE(2389.98)</f>
        <v>2389.98</v>
      </c>
      <c r="H13664" s="3">
        <f>VALUE(2150.25)</f>
        <v>2150.25</v>
      </c>
      <c r="I13664" s="1">
        <f>VALUE(4433)</f>
        <v>4433</v>
      </c>
      <c r="J13664" s="1">
        <f>VALUE(5254)</f>
        <v>5254</v>
      </c>
      <c r="K13664" s="1">
        <f>VALUE(5611)</f>
        <v>5611</v>
      </c>
      <c r="L13664" s="1">
        <f>VALUE(7096)</f>
        <v>7096</v>
      </c>
      <c r="M13664" s="1">
        <f>VALUE(9242)</f>
        <v>9242</v>
      </c>
      <c r="N13664" t="s">
        <v>25</v>
      </c>
    </row>
    <row r="13665" spans="1:14" x14ac:dyDescent="0.25">
      <c r="A13665" t="s">
        <v>45</v>
      </c>
      <c r="B13665" t="s">
        <v>15</v>
      </c>
      <c r="C13665" t="s">
        <v>37</v>
      </c>
      <c r="D13665" t="s">
        <v>15</v>
      </c>
      <c r="E13665" t="s">
        <v>22</v>
      </c>
      <c r="F13665" t="s">
        <v>19</v>
      </c>
      <c r="G13665" s="2">
        <f>VALUE(3245.5)</f>
        <v>3245.5</v>
      </c>
      <c r="H13665" s="3">
        <f>VALUE(3103.51)</f>
        <v>3103.51</v>
      </c>
      <c r="I13665" s="1">
        <f>VALUE(4257)</f>
        <v>4257</v>
      </c>
      <c r="J13665" s="1">
        <f>VALUE(4761)</f>
        <v>4761</v>
      </c>
      <c r="K13665" s="1">
        <f>VALUE(5778)</f>
        <v>5778</v>
      </c>
      <c r="L13665" s="1">
        <f>VALUE(6560)</f>
        <v>6560</v>
      </c>
      <c r="M13665" s="1">
        <f>VALUE(7654)</f>
        <v>7654</v>
      </c>
      <c r="N13665" t="s">
        <v>25</v>
      </c>
    </row>
    <row r="13666" spans="1:14" x14ac:dyDescent="0.25">
      <c r="A13666" t="s">
        <v>45</v>
      </c>
      <c r="B13666" t="s">
        <v>15</v>
      </c>
      <c r="C13666" t="s">
        <v>37</v>
      </c>
      <c r="D13666" t="s">
        <v>15</v>
      </c>
      <c r="E13666" t="s">
        <v>22</v>
      </c>
      <c r="F13666" t="s">
        <v>20</v>
      </c>
      <c r="G13666" s="1">
        <f>VALUE(13883.22)</f>
        <v>13883.22</v>
      </c>
      <c r="H13666" s="1">
        <f>VALUE(12330.09)</f>
        <v>12330.09</v>
      </c>
      <c r="I13666" s="1">
        <f>VALUE(3550)</f>
        <v>3550</v>
      </c>
      <c r="J13666" s="1">
        <f>VALUE(4256)</f>
        <v>4256</v>
      </c>
      <c r="K13666" s="1">
        <f>VALUE(5137)</f>
        <v>5137</v>
      </c>
      <c r="L13666" s="1">
        <f>VALUE(6009)</f>
        <v>6009</v>
      </c>
      <c r="M13666" s="1">
        <f>VALUE(7082)</f>
        <v>7082</v>
      </c>
      <c r="N13666" t="s">
        <v>16</v>
      </c>
    </row>
    <row r="13667" spans="1:14" x14ac:dyDescent="0.25">
      <c r="A13667" t="s">
        <v>45</v>
      </c>
      <c r="B13667" t="s">
        <v>15</v>
      </c>
      <c r="C13667" t="s">
        <v>37</v>
      </c>
      <c r="D13667" t="s">
        <v>15</v>
      </c>
      <c r="E13667" t="s">
        <v>23</v>
      </c>
      <c r="F13667" t="s">
        <v>15</v>
      </c>
      <c r="G13667" s="1">
        <f>VALUE(16044.71)</f>
        <v>16044.71</v>
      </c>
      <c r="H13667" s="1">
        <f>VALUE(13975.43)</f>
        <v>13975.43</v>
      </c>
      <c r="I13667" s="1">
        <f>VALUE(3134)</f>
        <v>3134</v>
      </c>
      <c r="J13667" s="1">
        <f>VALUE(3530)</f>
        <v>3530</v>
      </c>
      <c r="K13667" s="1">
        <f>VALUE(4193)</f>
        <v>4193</v>
      </c>
      <c r="L13667" s="1">
        <f>VALUE(5128)</f>
        <v>5128</v>
      </c>
      <c r="M13667" s="1">
        <f>VALUE(6044)</f>
        <v>6044</v>
      </c>
      <c r="N13667" t="s">
        <v>16</v>
      </c>
    </row>
    <row r="13668" spans="1:14" x14ac:dyDescent="0.25">
      <c r="A13668" t="s">
        <v>45</v>
      </c>
      <c r="B13668" t="s">
        <v>15</v>
      </c>
      <c r="C13668" t="s">
        <v>37</v>
      </c>
      <c r="D13668" t="s">
        <v>15</v>
      </c>
      <c r="E13668" t="s">
        <v>23</v>
      </c>
      <c r="F13668" t="s">
        <v>17</v>
      </c>
      <c r="G13668" s="2">
        <f>VALUE(399.97)</f>
        <v>399.97</v>
      </c>
      <c r="H13668" s="3">
        <f>VALUE(402.81)</f>
        <v>402.81</v>
      </c>
      <c r="I13668" s="1">
        <f>VALUE(3569)</f>
        <v>3569</v>
      </c>
      <c r="J13668" s="5">
        <f>VALUE(4550)</f>
        <v>4550</v>
      </c>
      <c r="K13668" s="6">
        <f>VALUE(5915)</f>
        <v>5915</v>
      </c>
      <c r="L13668" s="7">
        <f>VALUE(7908)</f>
        <v>7908</v>
      </c>
      <c r="M13668" s="8">
        <f>VALUE(8291)</f>
        <v>8291</v>
      </c>
      <c r="N13668" t="s">
        <v>25</v>
      </c>
    </row>
    <row r="13669" spans="1:14" x14ac:dyDescent="0.25">
      <c r="A13669" t="s">
        <v>45</v>
      </c>
      <c r="B13669" t="s">
        <v>15</v>
      </c>
      <c r="C13669" t="s">
        <v>37</v>
      </c>
      <c r="D13669" t="s">
        <v>15</v>
      </c>
      <c r="E13669" t="s">
        <v>23</v>
      </c>
      <c r="F13669" t="s">
        <v>18</v>
      </c>
      <c r="G13669" s="2">
        <f>VALUE(394.38)</f>
        <v>394.38</v>
      </c>
      <c r="H13669" s="3">
        <f>VALUE(360.14)</f>
        <v>360.14</v>
      </c>
      <c r="I13669" s="4">
        <f>VALUE(3719)</f>
        <v>3719</v>
      </c>
      <c r="J13669" s="1">
        <f>VALUE(4036)</f>
        <v>4036</v>
      </c>
      <c r="K13669" s="1">
        <f>VALUE(4659)</f>
        <v>4659</v>
      </c>
      <c r="L13669" s="7">
        <f>VALUE(5647)</f>
        <v>5647</v>
      </c>
      <c r="M13669" s="8">
        <f>VALUE(6932)</f>
        <v>6932</v>
      </c>
      <c r="N13669" t="s">
        <v>25</v>
      </c>
    </row>
    <row r="13670" spans="1:14" x14ac:dyDescent="0.25">
      <c r="A13670" t="s">
        <v>45</v>
      </c>
      <c r="B13670" t="s">
        <v>15</v>
      </c>
      <c r="C13670" t="s">
        <v>37</v>
      </c>
      <c r="D13670" t="s">
        <v>15</v>
      </c>
      <c r="E13670" t="s">
        <v>23</v>
      </c>
      <c r="F13670" t="s">
        <v>19</v>
      </c>
      <c r="G13670" s="2">
        <f>VALUE(872.55)</f>
        <v>872.55</v>
      </c>
      <c r="H13670" s="3">
        <f>VALUE(862.43)</f>
        <v>862.43</v>
      </c>
      <c r="I13670" s="1">
        <f>VALUE(3611)</f>
        <v>3611</v>
      </c>
      <c r="J13670" s="1">
        <f>VALUE(4119)</f>
        <v>4119</v>
      </c>
      <c r="K13670" s="1">
        <f>VALUE(4653)</f>
        <v>4653</v>
      </c>
      <c r="L13670" s="1">
        <f>VALUE(5379)</f>
        <v>5379</v>
      </c>
      <c r="M13670" s="1">
        <f>VALUE(6330)</f>
        <v>6330</v>
      </c>
      <c r="N13670" t="s">
        <v>25</v>
      </c>
    </row>
    <row r="13671" spans="1:14" x14ac:dyDescent="0.25">
      <c r="A13671" t="s">
        <v>45</v>
      </c>
      <c r="B13671" t="s">
        <v>15</v>
      </c>
      <c r="C13671" t="s">
        <v>37</v>
      </c>
      <c r="D13671" t="s">
        <v>15</v>
      </c>
      <c r="E13671" t="s">
        <v>23</v>
      </c>
      <c r="F13671" t="s">
        <v>20</v>
      </c>
      <c r="G13671" s="1">
        <f>VALUE(14377.81)</f>
        <v>14377.81</v>
      </c>
      <c r="H13671" s="1">
        <f>VALUE(12350.05)</f>
        <v>12350.05</v>
      </c>
      <c r="I13671" s="1">
        <f>VALUE(3092)</f>
        <v>3092</v>
      </c>
      <c r="J13671" s="1">
        <f>VALUE(3484)</f>
        <v>3484</v>
      </c>
      <c r="K13671" s="1">
        <f>VALUE(4110)</f>
        <v>4110</v>
      </c>
      <c r="L13671" s="1">
        <f>VALUE(5025)</f>
        <v>5025</v>
      </c>
      <c r="M13671" s="1">
        <f>VALUE(5937)</f>
        <v>5937</v>
      </c>
      <c r="N13671" t="s">
        <v>16</v>
      </c>
    </row>
    <row r="13672" spans="1:14" x14ac:dyDescent="0.25">
      <c r="A13672" t="s">
        <v>45</v>
      </c>
      <c r="B13672" t="s">
        <v>15</v>
      </c>
      <c r="C13672" t="s">
        <v>37</v>
      </c>
      <c r="D13672" t="s">
        <v>15</v>
      </c>
      <c r="E13672" t="s">
        <v>26</v>
      </c>
      <c r="F13672" t="s">
        <v>15</v>
      </c>
      <c r="G13672" s="2">
        <f>VALUE(378.92)</f>
        <v>378.92</v>
      </c>
      <c r="H13672" s="3">
        <f>VALUE(341.09)</f>
        <v>341.09</v>
      </c>
      <c r="I13672" s="1">
        <f>VALUE(3578)</f>
        <v>3578</v>
      </c>
      <c r="J13672" s="1">
        <f>VALUE(4275)</f>
        <v>4275</v>
      </c>
      <c r="K13672" s="1">
        <f>VALUE(6678)</f>
        <v>6678</v>
      </c>
      <c r="L13672" s="1">
        <f>VALUE(8742)</f>
        <v>8742</v>
      </c>
      <c r="M13672" s="1">
        <f>VALUE(11862)</f>
        <v>11862</v>
      </c>
      <c r="N13672" t="s">
        <v>25</v>
      </c>
    </row>
    <row r="13673" spans="1:14" x14ac:dyDescent="0.25">
      <c r="A13673" t="s">
        <v>45</v>
      </c>
      <c r="B13673" t="s">
        <v>15</v>
      </c>
      <c r="C13673" t="s">
        <v>37</v>
      </c>
      <c r="D13673" t="s">
        <v>15</v>
      </c>
      <c r="E13673" t="s">
        <v>26</v>
      </c>
      <c r="F13673" t="s">
        <v>17</v>
      </c>
      <c r="G13673" s="1" t="str">
        <f t="shared" ref="G13673:M13675" si="3139">"X"</f>
        <v>X</v>
      </c>
      <c r="H13673" s="1" t="str">
        <f t="shared" si="3139"/>
        <v>X</v>
      </c>
      <c r="I13673" s="1" t="str">
        <f t="shared" si="3139"/>
        <v>X</v>
      </c>
      <c r="J13673" s="1" t="str">
        <f t="shared" si="3139"/>
        <v>X</v>
      </c>
      <c r="K13673" s="1" t="str">
        <f t="shared" si="3139"/>
        <v>X</v>
      </c>
      <c r="L13673" s="1" t="str">
        <f t="shared" si="3139"/>
        <v>X</v>
      </c>
      <c r="M13673" s="1" t="str">
        <f t="shared" si="3139"/>
        <v>X</v>
      </c>
      <c r="N13673" t="s">
        <v>27</v>
      </c>
    </row>
    <row r="13674" spans="1:14" x14ac:dyDescent="0.25">
      <c r="A13674" t="s">
        <v>45</v>
      </c>
      <c r="B13674" t="s">
        <v>15</v>
      </c>
      <c r="C13674" t="s">
        <v>37</v>
      </c>
      <c r="D13674" t="s">
        <v>15</v>
      </c>
      <c r="E13674" t="s">
        <v>26</v>
      </c>
      <c r="F13674" t="s">
        <v>18</v>
      </c>
      <c r="G13674" s="1" t="str">
        <f t="shared" si="3139"/>
        <v>X</v>
      </c>
      <c r="H13674" s="1" t="str">
        <f t="shared" si="3139"/>
        <v>X</v>
      </c>
      <c r="I13674" s="1" t="str">
        <f t="shared" si="3139"/>
        <v>X</v>
      </c>
      <c r="J13674" s="1" t="str">
        <f t="shared" si="3139"/>
        <v>X</v>
      </c>
      <c r="K13674" s="1" t="str">
        <f t="shared" si="3139"/>
        <v>X</v>
      </c>
      <c r="L13674" s="1" t="str">
        <f t="shared" si="3139"/>
        <v>X</v>
      </c>
      <c r="M13674" s="1" t="str">
        <f t="shared" si="3139"/>
        <v>X</v>
      </c>
      <c r="N13674" t="s">
        <v>27</v>
      </c>
    </row>
    <row r="13675" spans="1:14" x14ac:dyDescent="0.25">
      <c r="A13675" t="s">
        <v>45</v>
      </c>
      <c r="B13675" t="s">
        <v>15</v>
      </c>
      <c r="C13675" t="s">
        <v>37</v>
      </c>
      <c r="D13675" t="s">
        <v>15</v>
      </c>
      <c r="E13675" t="s">
        <v>26</v>
      </c>
      <c r="F13675" t="s">
        <v>19</v>
      </c>
      <c r="G13675" s="1" t="str">
        <f t="shared" si="3139"/>
        <v>X</v>
      </c>
      <c r="H13675" s="1" t="str">
        <f t="shared" si="3139"/>
        <v>X</v>
      </c>
      <c r="I13675" s="1" t="str">
        <f t="shared" si="3139"/>
        <v>X</v>
      </c>
      <c r="J13675" s="1" t="str">
        <f t="shared" si="3139"/>
        <v>X</v>
      </c>
      <c r="K13675" s="1" t="str">
        <f t="shared" si="3139"/>
        <v>X</v>
      </c>
      <c r="L13675" s="1" t="str">
        <f t="shared" si="3139"/>
        <v>X</v>
      </c>
      <c r="M13675" s="1" t="str">
        <f t="shared" si="3139"/>
        <v>X</v>
      </c>
      <c r="N13675" t="s">
        <v>27</v>
      </c>
    </row>
    <row r="13676" spans="1:14" x14ac:dyDescent="0.25">
      <c r="A13676" t="s">
        <v>45</v>
      </c>
      <c r="B13676" t="s">
        <v>15</v>
      </c>
      <c r="C13676" t="s">
        <v>37</v>
      </c>
      <c r="D13676" t="s">
        <v>15</v>
      </c>
      <c r="E13676" t="s">
        <v>26</v>
      </c>
      <c r="F13676" t="s">
        <v>20</v>
      </c>
      <c r="G13676" s="2">
        <f>VALUE(283.02)</f>
        <v>283.02</v>
      </c>
      <c r="H13676" s="3">
        <f>VALUE(251.57)</f>
        <v>251.57</v>
      </c>
      <c r="I13676" s="1">
        <f>VALUE(3467)</f>
        <v>3467</v>
      </c>
      <c r="J13676" s="1">
        <f>VALUE(3984)</f>
        <v>3984</v>
      </c>
      <c r="K13676" s="1">
        <f>VALUE(5599)</f>
        <v>5599</v>
      </c>
      <c r="L13676" s="1">
        <f>VALUE(8235)</f>
        <v>8235</v>
      </c>
      <c r="M13676" s="1">
        <f>VALUE(10930)</f>
        <v>10930</v>
      </c>
      <c r="N13676" t="s">
        <v>25</v>
      </c>
    </row>
    <row r="13677" spans="1:14" x14ac:dyDescent="0.25">
      <c r="A13677" t="s">
        <v>45</v>
      </c>
      <c r="B13677" t="s">
        <v>15</v>
      </c>
      <c r="C13677" t="s">
        <v>37</v>
      </c>
      <c r="D13677" t="s">
        <v>28</v>
      </c>
      <c r="E13677" t="s">
        <v>15</v>
      </c>
      <c r="F13677" t="s">
        <v>15</v>
      </c>
      <c r="G13677" s="1">
        <f>VALUE(18295.55)</f>
        <v>18295.55</v>
      </c>
      <c r="H13677" s="1">
        <f>VALUE(15652.3)</f>
        <v>15652.3</v>
      </c>
      <c r="I13677" s="1">
        <f>VALUE(4264)</f>
        <v>4264</v>
      </c>
      <c r="J13677" s="1">
        <f>VALUE(5165)</f>
        <v>5165</v>
      </c>
      <c r="K13677" s="1">
        <f>VALUE(6381)</f>
        <v>6381</v>
      </c>
      <c r="L13677" s="1">
        <f>VALUE(8212)</f>
        <v>8212</v>
      </c>
      <c r="M13677" s="1">
        <f>VALUE(11111)</f>
        <v>11111</v>
      </c>
      <c r="N13677" t="s">
        <v>16</v>
      </c>
    </row>
    <row r="13678" spans="1:14" x14ac:dyDescent="0.25">
      <c r="A13678" t="s">
        <v>45</v>
      </c>
      <c r="B13678" t="s">
        <v>15</v>
      </c>
      <c r="C13678" t="s">
        <v>37</v>
      </c>
      <c r="D13678" t="s">
        <v>28</v>
      </c>
      <c r="E13678" t="s">
        <v>15</v>
      </c>
      <c r="F13678" t="s">
        <v>17</v>
      </c>
      <c r="G13678" s="2">
        <f>VALUE(4247.82)</f>
        <v>4247.82</v>
      </c>
      <c r="H13678" s="3">
        <f>VALUE(3948.07)</f>
        <v>3948.07</v>
      </c>
      <c r="I13678" s="1">
        <f>VALUE(5159)</f>
        <v>5159</v>
      </c>
      <c r="J13678" s="1">
        <f>VALUE(6626)</f>
        <v>6626</v>
      </c>
      <c r="K13678" s="6">
        <f>VALUE(8223)</f>
        <v>8223</v>
      </c>
      <c r="L13678" s="7">
        <f>VALUE(12219)</f>
        <v>12219</v>
      </c>
      <c r="M13678" s="8">
        <f>VALUE(17157)</f>
        <v>17157</v>
      </c>
      <c r="N13678" t="s">
        <v>25</v>
      </c>
    </row>
    <row r="13679" spans="1:14" x14ac:dyDescent="0.25">
      <c r="A13679" t="s">
        <v>45</v>
      </c>
      <c r="B13679" t="s">
        <v>15</v>
      </c>
      <c r="C13679" t="s">
        <v>37</v>
      </c>
      <c r="D13679" t="s">
        <v>28</v>
      </c>
      <c r="E13679" t="s">
        <v>15</v>
      </c>
      <c r="F13679" t="s">
        <v>18</v>
      </c>
      <c r="G13679" s="2">
        <f>VALUE(2486.27)</f>
        <v>2486.27</v>
      </c>
      <c r="H13679" s="3">
        <f>VALUE(2200.34)</f>
        <v>2200.34</v>
      </c>
      <c r="I13679" s="1">
        <f>VALUE(5048)</f>
        <v>5048</v>
      </c>
      <c r="J13679" s="1">
        <f>VALUE(5800)</f>
        <v>5800</v>
      </c>
      <c r="K13679" s="6">
        <f>VALUE(7684)</f>
        <v>7684</v>
      </c>
      <c r="L13679" s="1">
        <f>VALUE(8900)</f>
        <v>8900</v>
      </c>
      <c r="M13679" s="1">
        <f>VALUE(10541)</f>
        <v>10541</v>
      </c>
      <c r="N13679" t="s">
        <v>25</v>
      </c>
    </row>
    <row r="13680" spans="1:14" x14ac:dyDescent="0.25">
      <c r="A13680" t="s">
        <v>45</v>
      </c>
      <c r="B13680" t="s">
        <v>15</v>
      </c>
      <c r="C13680" t="s">
        <v>37</v>
      </c>
      <c r="D13680" t="s">
        <v>28</v>
      </c>
      <c r="E13680" t="s">
        <v>15</v>
      </c>
      <c r="F13680" t="s">
        <v>19</v>
      </c>
      <c r="G13680" s="2">
        <f>VALUE(2433.85)</f>
        <v>2433.85</v>
      </c>
      <c r="H13680" s="3">
        <f>VALUE(2214.41)</f>
        <v>2214.41</v>
      </c>
      <c r="I13680" s="1">
        <f>VALUE(4542)</f>
        <v>4542</v>
      </c>
      <c r="J13680" s="1">
        <f>VALUE(5350)</f>
        <v>5350</v>
      </c>
      <c r="K13680" s="1">
        <f>VALUE(6370)</f>
        <v>6370</v>
      </c>
      <c r="L13680" s="1">
        <f>VALUE(7200)</f>
        <v>7200</v>
      </c>
      <c r="M13680" s="1">
        <f>VALUE(9429)</f>
        <v>9429</v>
      </c>
      <c r="N13680" t="s">
        <v>25</v>
      </c>
    </row>
    <row r="13681" spans="1:14" x14ac:dyDescent="0.25">
      <c r="A13681" t="s">
        <v>45</v>
      </c>
      <c r="B13681" t="s">
        <v>15</v>
      </c>
      <c r="C13681" t="s">
        <v>37</v>
      </c>
      <c r="D13681" t="s">
        <v>28</v>
      </c>
      <c r="E13681" t="s">
        <v>15</v>
      </c>
      <c r="F13681" t="s">
        <v>20</v>
      </c>
      <c r="G13681" s="1">
        <f>VALUE(9127.61)</f>
        <v>9127.61</v>
      </c>
      <c r="H13681" s="1">
        <f>VALUE(7289.48)</f>
        <v>7289.48</v>
      </c>
      <c r="I13681" s="1">
        <f>VALUE(3976)</f>
        <v>3976</v>
      </c>
      <c r="J13681" s="1">
        <f>VALUE(4643)</f>
        <v>4643</v>
      </c>
      <c r="K13681" s="1">
        <f>VALUE(5542)</f>
        <v>5542</v>
      </c>
      <c r="L13681" s="1">
        <f>VALUE(6684)</f>
        <v>6684</v>
      </c>
      <c r="M13681" s="1">
        <f>VALUE(7980)</f>
        <v>7980</v>
      </c>
      <c r="N13681" t="s">
        <v>16</v>
      </c>
    </row>
    <row r="13682" spans="1:14" x14ac:dyDescent="0.25">
      <c r="A13682" t="s">
        <v>45</v>
      </c>
      <c r="B13682" t="s">
        <v>15</v>
      </c>
      <c r="C13682" t="s">
        <v>37</v>
      </c>
      <c r="D13682" t="s">
        <v>28</v>
      </c>
      <c r="E13682" t="s">
        <v>21</v>
      </c>
      <c r="F13682" t="s">
        <v>15</v>
      </c>
      <c r="G13682" s="1">
        <f>VALUE(6608.8)</f>
        <v>6608.8</v>
      </c>
      <c r="H13682" s="3">
        <f>VALUE(5693.1)</f>
        <v>5693.1</v>
      </c>
      <c r="I13682" s="1">
        <f>VALUE(5159)</f>
        <v>5159</v>
      </c>
      <c r="J13682" s="1">
        <f>VALUE(6553)</f>
        <v>6553</v>
      </c>
      <c r="K13682" s="1">
        <f>VALUE(8095)</f>
        <v>8095</v>
      </c>
      <c r="L13682" s="1">
        <f>VALUE(10472)</f>
        <v>10472</v>
      </c>
      <c r="M13682" s="1">
        <f>VALUE(15209)</f>
        <v>15209</v>
      </c>
      <c r="N13682" t="s">
        <v>25</v>
      </c>
    </row>
    <row r="13683" spans="1:14" x14ac:dyDescent="0.25">
      <c r="A13683" t="s">
        <v>45</v>
      </c>
      <c r="B13683" t="s">
        <v>15</v>
      </c>
      <c r="C13683" t="s">
        <v>37</v>
      </c>
      <c r="D13683" t="s">
        <v>28</v>
      </c>
      <c r="E13683" t="s">
        <v>21</v>
      </c>
      <c r="F13683" t="s">
        <v>17</v>
      </c>
      <c r="G13683" s="2">
        <f>VALUE(2807.16)</f>
        <v>2807.16</v>
      </c>
      <c r="H13683" s="3">
        <f>VALUE(2592.75)</f>
        <v>2592.75</v>
      </c>
      <c r="I13683" s="4">
        <f>VALUE(5448)</f>
        <v>5448</v>
      </c>
      <c r="J13683" s="5">
        <f>VALUE(7300)</f>
        <v>7300</v>
      </c>
      <c r="K13683" s="6">
        <f>VALUE(8850)</f>
        <v>8850</v>
      </c>
      <c r="L13683" s="7">
        <f>VALUE(13095)</f>
        <v>13095</v>
      </c>
      <c r="M13683" s="8">
        <f>VALUE(18524)</f>
        <v>18524</v>
      </c>
      <c r="N13683" t="s">
        <v>24</v>
      </c>
    </row>
    <row r="13684" spans="1:14" x14ac:dyDescent="0.25">
      <c r="A13684" t="s">
        <v>45</v>
      </c>
      <c r="B13684" t="s">
        <v>15</v>
      </c>
      <c r="C13684" t="s">
        <v>37</v>
      </c>
      <c r="D13684" t="s">
        <v>28</v>
      </c>
      <c r="E13684" t="s">
        <v>21</v>
      </c>
      <c r="F13684" t="s">
        <v>18</v>
      </c>
      <c r="G13684" s="2">
        <f>VALUE(1210.06)</f>
        <v>1210.06</v>
      </c>
      <c r="H13684" s="3">
        <f>VALUE(1088.14)</f>
        <v>1088.1400000000001</v>
      </c>
      <c r="I13684" s="1">
        <f>VALUE(5817)</f>
        <v>5817</v>
      </c>
      <c r="J13684" s="1">
        <f>VALUE(7540)</f>
        <v>7540</v>
      </c>
      <c r="K13684" s="1">
        <f>VALUE(8404)</f>
        <v>8404</v>
      </c>
      <c r="L13684" s="1">
        <f>VALUE(9611)</f>
        <v>9611</v>
      </c>
      <c r="M13684" s="1">
        <f>VALUE(11347)</f>
        <v>11347</v>
      </c>
      <c r="N13684" t="s">
        <v>25</v>
      </c>
    </row>
    <row r="13685" spans="1:14" x14ac:dyDescent="0.25">
      <c r="A13685" t="s">
        <v>45</v>
      </c>
      <c r="B13685" t="s">
        <v>15</v>
      </c>
      <c r="C13685" t="s">
        <v>37</v>
      </c>
      <c r="D13685" t="s">
        <v>28</v>
      </c>
      <c r="E13685" t="s">
        <v>21</v>
      </c>
      <c r="F13685" t="s">
        <v>19</v>
      </c>
      <c r="G13685" s="2">
        <f>VALUE(647.29)</f>
        <v>647.29</v>
      </c>
      <c r="H13685" s="3">
        <f>VALUE(556.12)</f>
        <v>556.12</v>
      </c>
      <c r="I13685" s="1">
        <f>VALUE(5251)</f>
        <v>5251</v>
      </c>
      <c r="J13685" s="1">
        <f>VALUE(6548)</f>
        <v>6548</v>
      </c>
      <c r="K13685" s="1">
        <f>VALUE(7501)</f>
        <v>7501</v>
      </c>
      <c r="L13685" s="1">
        <f>VALUE(9664)</f>
        <v>9664</v>
      </c>
      <c r="M13685" s="8">
        <f>VALUE(11951)</f>
        <v>11951</v>
      </c>
      <c r="N13685" t="s">
        <v>25</v>
      </c>
    </row>
    <row r="13686" spans="1:14" x14ac:dyDescent="0.25">
      <c r="A13686" t="s">
        <v>45</v>
      </c>
      <c r="B13686" t="s">
        <v>15</v>
      </c>
      <c r="C13686" t="s">
        <v>37</v>
      </c>
      <c r="D13686" t="s">
        <v>28</v>
      </c>
      <c r="E13686" t="s">
        <v>21</v>
      </c>
      <c r="F13686" t="s">
        <v>20</v>
      </c>
      <c r="G13686" s="2">
        <f>VALUE(1944.29)</f>
        <v>1944.29</v>
      </c>
      <c r="H13686" s="1">
        <f>VALUE(1456.09)</f>
        <v>1456.09</v>
      </c>
      <c r="I13686" s="1">
        <f>VALUE(4416)</f>
        <v>4416</v>
      </c>
      <c r="J13686" s="1">
        <f>VALUE(5463)</f>
        <v>5463</v>
      </c>
      <c r="K13686" s="1">
        <f>VALUE(6750)</f>
        <v>6750</v>
      </c>
      <c r="L13686" s="1">
        <f>VALUE(8238)</f>
        <v>8238</v>
      </c>
      <c r="M13686" s="8">
        <f>VALUE(10317)</f>
        <v>10317</v>
      </c>
      <c r="N13686" t="s">
        <v>25</v>
      </c>
    </row>
    <row r="13687" spans="1:14" x14ac:dyDescent="0.25">
      <c r="A13687" t="s">
        <v>45</v>
      </c>
      <c r="B13687" t="s">
        <v>15</v>
      </c>
      <c r="C13687" t="s">
        <v>37</v>
      </c>
      <c r="D13687" t="s">
        <v>28</v>
      </c>
      <c r="E13687" t="s">
        <v>22</v>
      </c>
      <c r="F13687" t="s">
        <v>15</v>
      </c>
      <c r="G13687" s="1">
        <f>VALUE(9752.45)</f>
        <v>9752.4500000000007</v>
      </c>
      <c r="H13687" s="1">
        <f>VALUE(8446.97)</f>
        <v>8446.9699999999993</v>
      </c>
      <c r="I13687" s="1">
        <f>VALUE(4307)</f>
        <v>4307</v>
      </c>
      <c r="J13687" s="1">
        <f>VALUE(4990)</f>
        <v>4990</v>
      </c>
      <c r="K13687" s="1">
        <f>VALUE(5934)</f>
        <v>5934</v>
      </c>
      <c r="L13687" s="1">
        <f>VALUE(6950)</f>
        <v>6950</v>
      </c>
      <c r="M13687" s="1">
        <f>VALUE(9027)</f>
        <v>9027</v>
      </c>
      <c r="N13687" t="s">
        <v>16</v>
      </c>
    </row>
    <row r="13688" spans="1:14" x14ac:dyDescent="0.25">
      <c r="A13688" t="s">
        <v>45</v>
      </c>
      <c r="B13688" t="s">
        <v>15</v>
      </c>
      <c r="C13688" t="s">
        <v>37</v>
      </c>
      <c r="D13688" t="s">
        <v>28</v>
      </c>
      <c r="E13688" t="s">
        <v>22</v>
      </c>
      <c r="F13688" t="s">
        <v>17</v>
      </c>
      <c r="G13688" s="2">
        <f>VALUE(1314.77)</f>
        <v>1314.77</v>
      </c>
      <c r="H13688" s="3">
        <f>VALUE(1228.04)</f>
        <v>1228.04</v>
      </c>
      <c r="I13688" s="4">
        <f>VALUE(4312)</f>
        <v>4312</v>
      </c>
      <c r="J13688" s="1">
        <f>VALUE(5904)</f>
        <v>5904</v>
      </c>
      <c r="K13688" s="6">
        <f>VALUE(7137)</f>
        <v>7137</v>
      </c>
      <c r="L13688" s="1">
        <f>VALUE(10184)</f>
        <v>10184</v>
      </c>
      <c r="M13688" s="8">
        <f>VALUE(13820)</f>
        <v>13820</v>
      </c>
      <c r="N13688" t="s">
        <v>25</v>
      </c>
    </row>
    <row r="13689" spans="1:14" x14ac:dyDescent="0.25">
      <c r="A13689" t="s">
        <v>45</v>
      </c>
      <c r="B13689" t="s">
        <v>15</v>
      </c>
      <c r="C13689" t="s">
        <v>37</v>
      </c>
      <c r="D13689" t="s">
        <v>28</v>
      </c>
      <c r="E13689" t="s">
        <v>22</v>
      </c>
      <c r="F13689" t="s">
        <v>18</v>
      </c>
      <c r="G13689" s="2">
        <f>VALUE(1205.19)</f>
        <v>1205.19</v>
      </c>
      <c r="H13689" s="3">
        <f>VALUE(1050.15)</f>
        <v>1050.1500000000001</v>
      </c>
      <c r="I13689" s="1">
        <f>VALUE(4648)</f>
        <v>4648</v>
      </c>
      <c r="J13689" s="1">
        <f>VALUE(5457)</f>
        <v>5457</v>
      </c>
      <c r="K13689" s="1">
        <f>VALUE(6229)</f>
        <v>6229</v>
      </c>
      <c r="L13689" s="1">
        <f>VALUE(7939)</f>
        <v>7939</v>
      </c>
      <c r="M13689" s="1">
        <f>VALUE(9921)</f>
        <v>9921</v>
      </c>
      <c r="N13689" t="s">
        <v>25</v>
      </c>
    </row>
    <row r="13690" spans="1:14" x14ac:dyDescent="0.25">
      <c r="A13690" t="s">
        <v>45</v>
      </c>
      <c r="B13690" t="s">
        <v>15</v>
      </c>
      <c r="C13690" t="s">
        <v>37</v>
      </c>
      <c r="D13690" t="s">
        <v>28</v>
      </c>
      <c r="E13690" t="s">
        <v>22</v>
      </c>
      <c r="F13690" t="s">
        <v>19</v>
      </c>
      <c r="G13690" s="2">
        <f>VALUE(1664.44)</f>
        <v>1664.44</v>
      </c>
      <c r="H13690" s="3">
        <f>VALUE(1544.41)</f>
        <v>1544.41</v>
      </c>
      <c r="I13690" s="1">
        <f>VALUE(4619)</f>
        <v>4619</v>
      </c>
      <c r="J13690" s="1">
        <f>VALUE(5296)</f>
        <v>5296</v>
      </c>
      <c r="K13690" s="1">
        <f>VALUE(6153)</f>
        <v>6153</v>
      </c>
      <c r="L13690" s="1">
        <f>VALUE(6684)</f>
        <v>6684</v>
      </c>
      <c r="M13690" s="1">
        <f>VALUE(8024)</f>
        <v>8024</v>
      </c>
      <c r="N13690" t="s">
        <v>25</v>
      </c>
    </row>
    <row r="13691" spans="1:14" x14ac:dyDescent="0.25">
      <c r="A13691" t="s">
        <v>45</v>
      </c>
      <c r="B13691" t="s">
        <v>15</v>
      </c>
      <c r="C13691" t="s">
        <v>37</v>
      </c>
      <c r="D13691" t="s">
        <v>28</v>
      </c>
      <c r="E13691" t="s">
        <v>22</v>
      </c>
      <c r="F13691" t="s">
        <v>20</v>
      </c>
      <c r="G13691" s="1">
        <f>VALUE(5568.05)</f>
        <v>5568.05</v>
      </c>
      <c r="H13691" s="1">
        <f>VALUE(4624.37)</f>
        <v>4624.37</v>
      </c>
      <c r="I13691" s="1">
        <f>VALUE(4111)</f>
        <v>4111</v>
      </c>
      <c r="J13691" s="1">
        <f>VALUE(4770)</f>
        <v>4770</v>
      </c>
      <c r="K13691" s="1">
        <f>VALUE(5571)</f>
        <v>5571</v>
      </c>
      <c r="L13691" s="1">
        <f>VALUE(6458)</f>
        <v>6458</v>
      </c>
      <c r="M13691" s="1">
        <f>VALUE(7454)</f>
        <v>7454</v>
      </c>
      <c r="N13691" t="s">
        <v>16</v>
      </c>
    </row>
    <row r="13692" spans="1:14" x14ac:dyDescent="0.25">
      <c r="A13692" t="s">
        <v>45</v>
      </c>
      <c r="B13692" t="s">
        <v>15</v>
      </c>
      <c r="C13692" t="s">
        <v>37</v>
      </c>
      <c r="D13692" t="s">
        <v>28</v>
      </c>
      <c r="E13692" t="s">
        <v>23</v>
      </c>
      <c r="F13692" t="s">
        <v>15</v>
      </c>
      <c r="G13692" s="2">
        <f>VALUE(1829.87)</f>
        <v>1829.87</v>
      </c>
      <c r="H13692" s="3">
        <f>VALUE(1426.36)</f>
        <v>1426.36</v>
      </c>
      <c r="I13692" s="1">
        <f>VALUE(3560)</f>
        <v>3560</v>
      </c>
      <c r="J13692" s="1">
        <f>VALUE(4047)</f>
        <v>4047</v>
      </c>
      <c r="K13692" s="1">
        <f>VALUE(4667)</f>
        <v>4667</v>
      </c>
      <c r="L13692" s="1">
        <f>VALUE(5542)</f>
        <v>5542</v>
      </c>
      <c r="M13692" s="1">
        <f>VALUE(6635)</f>
        <v>6635</v>
      </c>
      <c r="N13692" t="s">
        <v>25</v>
      </c>
    </row>
    <row r="13693" spans="1:14" x14ac:dyDescent="0.25">
      <c r="A13693" t="s">
        <v>45</v>
      </c>
      <c r="B13693" t="s">
        <v>15</v>
      </c>
      <c r="C13693" t="s">
        <v>37</v>
      </c>
      <c r="D13693" t="s">
        <v>28</v>
      </c>
      <c r="E13693" t="s">
        <v>23</v>
      </c>
      <c r="F13693" t="s">
        <v>17</v>
      </c>
      <c r="G13693" s="1" t="str">
        <f t="shared" ref="G13693:M13695" si="3140">"X"</f>
        <v>X</v>
      </c>
      <c r="H13693" s="1" t="str">
        <f t="shared" si="3140"/>
        <v>X</v>
      </c>
      <c r="I13693" s="1" t="str">
        <f t="shared" si="3140"/>
        <v>X</v>
      </c>
      <c r="J13693" s="1" t="str">
        <f t="shared" si="3140"/>
        <v>X</v>
      </c>
      <c r="K13693" s="1" t="str">
        <f t="shared" si="3140"/>
        <v>X</v>
      </c>
      <c r="L13693" s="1" t="str">
        <f t="shared" si="3140"/>
        <v>X</v>
      </c>
      <c r="M13693" s="1" t="str">
        <f t="shared" si="3140"/>
        <v>X</v>
      </c>
      <c r="N13693" t="s">
        <v>27</v>
      </c>
    </row>
    <row r="13694" spans="1:14" x14ac:dyDescent="0.25">
      <c r="A13694" t="s">
        <v>45</v>
      </c>
      <c r="B13694" t="s">
        <v>15</v>
      </c>
      <c r="C13694" t="s">
        <v>37</v>
      </c>
      <c r="D13694" t="s">
        <v>28</v>
      </c>
      <c r="E13694" t="s">
        <v>23</v>
      </c>
      <c r="F13694" t="s">
        <v>18</v>
      </c>
      <c r="G13694" s="1" t="str">
        <f t="shared" si="3140"/>
        <v>X</v>
      </c>
      <c r="H13694" s="1" t="str">
        <f t="shared" si="3140"/>
        <v>X</v>
      </c>
      <c r="I13694" s="1" t="str">
        <f t="shared" si="3140"/>
        <v>X</v>
      </c>
      <c r="J13694" s="1" t="str">
        <f t="shared" si="3140"/>
        <v>X</v>
      </c>
      <c r="K13694" s="1" t="str">
        <f t="shared" si="3140"/>
        <v>X</v>
      </c>
      <c r="L13694" s="1" t="str">
        <f t="shared" si="3140"/>
        <v>X</v>
      </c>
      <c r="M13694" s="1" t="str">
        <f t="shared" si="3140"/>
        <v>X</v>
      </c>
      <c r="N13694" t="s">
        <v>27</v>
      </c>
    </row>
    <row r="13695" spans="1:14" x14ac:dyDescent="0.25">
      <c r="A13695" t="s">
        <v>45</v>
      </c>
      <c r="B13695" t="s">
        <v>15</v>
      </c>
      <c r="C13695" t="s">
        <v>37</v>
      </c>
      <c r="D13695" t="s">
        <v>28</v>
      </c>
      <c r="E13695" t="s">
        <v>23</v>
      </c>
      <c r="F13695" t="s">
        <v>19</v>
      </c>
      <c r="G13695" s="1" t="str">
        <f t="shared" si="3140"/>
        <v>X</v>
      </c>
      <c r="H13695" s="1" t="str">
        <f t="shared" si="3140"/>
        <v>X</v>
      </c>
      <c r="I13695" s="1" t="str">
        <f t="shared" si="3140"/>
        <v>X</v>
      </c>
      <c r="J13695" s="1" t="str">
        <f t="shared" si="3140"/>
        <v>X</v>
      </c>
      <c r="K13695" s="1" t="str">
        <f t="shared" si="3140"/>
        <v>X</v>
      </c>
      <c r="L13695" s="1" t="str">
        <f t="shared" si="3140"/>
        <v>X</v>
      </c>
      <c r="M13695" s="1" t="str">
        <f t="shared" si="3140"/>
        <v>X</v>
      </c>
      <c r="N13695" t="s">
        <v>27</v>
      </c>
    </row>
    <row r="13696" spans="1:14" x14ac:dyDescent="0.25">
      <c r="A13696" t="s">
        <v>45</v>
      </c>
      <c r="B13696" t="s">
        <v>15</v>
      </c>
      <c r="C13696" t="s">
        <v>37</v>
      </c>
      <c r="D13696" t="s">
        <v>28</v>
      </c>
      <c r="E13696" t="s">
        <v>23</v>
      </c>
      <c r="F13696" t="s">
        <v>20</v>
      </c>
      <c r="G13696" s="2">
        <f>VALUE(1540.18)</f>
        <v>1540.18</v>
      </c>
      <c r="H13696" s="3">
        <f>VALUE(1147.75)</f>
        <v>1147.75</v>
      </c>
      <c r="I13696" s="1">
        <f>VALUE(3547)</f>
        <v>3547</v>
      </c>
      <c r="J13696" s="1">
        <f>VALUE(3953)</f>
        <v>3953</v>
      </c>
      <c r="K13696" s="1">
        <f>VALUE(4611)</f>
        <v>4611</v>
      </c>
      <c r="L13696" s="1">
        <f>VALUE(5515)</f>
        <v>5515</v>
      </c>
      <c r="M13696" s="1">
        <f>VALUE(6101)</f>
        <v>6101</v>
      </c>
      <c r="N13696" t="s">
        <v>25</v>
      </c>
    </row>
    <row r="13697" spans="1:14" x14ac:dyDescent="0.25">
      <c r="A13697" t="s">
        <v>45</v>
      </c>
      <c r="B13697" t="s">
        <v>15</v>
      </c>
      <c r="C13697" t="s">
        <v>37</v>
      </c>
      <c r="D13697" t="s">
        <v>28</v>
      </c>
      <c r="E13697" t="s">
        <v>26</v>
      </c>
      <c r="F13697" t="s">
        <v>15</v>
      </c>
      <c r="G13697" s="1" t="str">
        <f t="shared" ref="G13697:M13699" si="3141">"X"</f>
        <v>X</v>
      </c>
      <c r="H13697" s="1" t="str">
        <f t="shared" si="3141"/>
        <v>X</v>
      </c>
      <c r="I13697" s="1" t="str">
        <f t="shared" si="3141"/>
        <v>X</v>
      </c>
      <c r="J13697" s="1" t="str">
        <f t="shared" si="3141"/>
        <v>X</v>
      </c>
      <c r="K13697" s="1" t="str">
        <f t="shared" si="3141"/>
        <v>X</v>
      </c>
      <c r="L13697" s="1" t="str">
        <f t="shared" si="3141"/>
        <v>X</v>
      </c>
      <c r="M13697" s="1" t="str">
        <f t="shared" si="3141"/>
        <v>X</v>
      </c>
      <c r="N13697" t="s">
        <v>27</v>
      </c>
    </row>
    <row r="13698" spans="1:14" x14ac:dyDescent="0.25">
      <c r="A13698" t="s">
        <v>45</v>
      </c>
      <c r="B13698" t="s">
        <v>15</v>
      </c>
      <c r="C13698" t="s">
        <v>37</v>
      </c>
      <c r="D13698" t="s">
        <v>28</v>
      </c>
      <c r="E13698" t="s">
        <v>26</v>
      </c>
      <c r="F13698" t="s">
        <v>17</v>
      </c>
      <c r="G13698" s="1" t="str">
        <f t="shared" si="3141"/>
        <v>X</v>
      </c>
      <c r="H13698" s="1" t="str">
        <f t="shared" si="3141"/>
        <v>X</v>
      </c>
      <c r="I13698" s="1" t="str">
        <f t="shared" si="3141"/>
        <v>X</v>
      </c>
      <c r="J13698" s="1" t="str">
        <f t="shared" si="3141"/>
        <v>X</v>
      </c>
      <c r="K13698" s="1" t="str">
        <f t="shared" si="3141"/>
        <v>X</v>
      </c>
      <c r="L13698" s="1" t="str">
        <f t="shared" si="3141"/>
        <v>X</v>
      </c>
      <c r="M13698" s="1" t="str">
        <f t="shared" si="3141"/>
        <v>X</v>
      </c>
      <c r="N13698" t="s">
        <v>27</v>
      </c>
    </row>
    <row r="13699" spans="1:14" x14ac:dyDescent="0.25">
      <c r="A13699" t="s">
        <v>45</v>
      </c>
      <c r="B13699" t="s">
        <v>15</v>
      </c>
      <c r="C13699" t="s">
        <v>37</v>
      </c>
      <c r="D13699" t="s">
        <v>28</v>
      </c>
      <c r="E13699" t="s">
        <v>26</v>
      </c>
      <c r="F13699" t="s">
        <v>18</v>
      </c>
      <c r="G13699" s="1" t="str">
        <f t="shared" si="3141"/>
        <v>X</v>
      </c>
      <c r="H13699" s="1" t="str">
        <f t="shared" si="3141"/>
        <v>X</v>
      </c>
      <c r="I13699" s="1" t="str">
        <f t="shared" si="3141"/>
        <v>X</v>
      </c>
      <c r="J13699" s="1" t="str">
        <f t="shared" si="3141"/>
        <v>X</v>
      </c>
      <c r="K13699" s="1" t="str">
        <f t="shared" si="3141"/>
        <v>X</v>
      </c>
      <c r="L13699" s="1" t="str">
        <f t="shared" si="3141"/>
        <v>X</v>
      </c>
      <c r="M13699" s="1" t="str">
        <f t="shared" si="3141"/>
        <v>X</v>
      </c>
      <c r="N13699" t="s">
        <v>27</v>
      </c>
    </row>
    <row r="13700" spans="1:14" x14ac:dyDescent="0.25">
      <c r="A13700" t="s">
        <v>45</v>
      </c>
      <c r="B13700" t="s">
        <v>15</v>
      </c>
      <c r="C13700" t="s">
        <v>37</v>
      </c>
      <c r="D13700" t="s">
        <v>28</v>
      </c>
      <c r="E13700" t="s">
        <v>26</v>
      </c>
      <c r="F13700" t="s">
        <v>19</v>
      </c>
      <c r="G13700" s="1" t="str">
        <f t="shared" ref="G13700:M13700" si="3142">"..."</f>
        <v>...</v>
      </c>
      <c r="H13700" s="1" t="str">
        <f t="shared" si="3142"/>
        <v>...</v>
      </c>
      <c r="I13700" s="1" t="str">
        <f t="shared" si="3142"/>
        <v>...</v>
      </c>
      <c r="J13700" s="1" t="str">
        <f t="shared" si="3142"/>
        <v>...</v>
      </c>
      <c r="K13700" s="1" t="str">
        <f t="shared" si="3142"/>
        <v>...</v>
      </c>
      <c r="L13700" s="1" t="str">
        <f t="shared" si="3142"/>
        <v>...</v>
      </c>
      <c r="M13700" s="1" t="str">
        <f t="shared" si="3142"/>
        <v>...</v>
      </c>
      <c r="N13700" t="s">
        <v>30</v>
      </c>
    </row>
    <row r="13701" spans="1:14" x14ac:dyDescent="0.25">
      <c r="A13701" t="s">
        <v>45</v>
      </c>
      <c r="B13701" t="s">
        <v>15</v>
      </c>
      <c r="C13701" t="s">
        <v>37</v>
      </c>
      <c r="D13701" t="s">
        <v>28</v>
      </c>
      <c r="E13701" t="s">
        <v>26</v>
      </c>
      <c r="F13701" t="s">
        <v>20</v>
      </c>
      <c r="G13701" s="1" t="str">
        <f t="shared" ref="G13701:M13701" si="3143">"X"</f>
        <v>X</v>
      </c>
      <c r="H13701" s="1" t="str">
        <f t="shared" si="3143"/>
        <v>X</v>
      </c>
      <c r="I13701" s="1" t="str">
        <f t="shared" si="3143"/>
        <v>X</v>
      </c>
      <c r="J13701" s="1" t="str">
        <f t="shared" si="3143"/>
        <v>X</v>
      </c>
      <c r="K13701" s="1" t="str">
        <f t="shared" si="3143"/>
        <v>X</v>
      </c>
      <c r="L13701" s="1" t="str">
        <f t="shared" si="3143"/>
        <v>X</v>
      </c>
      <c r="M13701" s="1" t="str">
        <f t="shared" si="3143"/>
        <v>X</v>
      </c>
      <c r="N13701" t="s">
        <v>27</v>
      </c>
    </row>
    <row r="13702" spans="1:14" x14ac:dyDescent="0.25">
      <c r="A13702" t="s">
        <v>45</v>
      </c>
      <c r="B13702" t="s">
        <v>15</v>
      </c>
      <c r="C13702" t="s">
        <v>37</v>
      </c>
      <c r="D13702" t="s">
        <v>29</v>
      </c>
      <c r="E13702" t="s">
        <v>15</v>
      </c>
      <c r="F13702" t="s">
        <v>15</v>
      </c>
      <c r="G13702" s="1">
        <f>VALUE(7901.72)</f>
        <v>7901.72</v>
      </c>
      <c r="H13702" s="1">
        <f>VALUE(6736.08)</f>
        <v>6736.08</v>
      </c>
      <c r="I13702" s="1">
        <f>VALUE(3766)</f>
        <v>3766</v>
      </c>
      <c r="J13702" s="1">
        <f>VALUE(4471)</f>
        <v>4471</v>
      </c>
      <c r="K13702" s="1">
        <f>VALUE(5611)</f>
        <v>5611</v>
      </c>
      <c r="L13702" s="1">
        <f>VALUE(7250)</f>
        <v>7250</v>
      </c>
      <c r="M13702" s="1">
        <f>VALUE(10283)</f>
        <v>10283</v>
      </c>
      <c r="N13702" t="s">
        <v>16</v>
      </c>
    </row>
    <row r="13703" spans="1:14" x14ac:dyDescent="0.25">
      <c r="A13703" t="s">
        <v>45</v>
      </c>
      <c r="B13703" t="s">
        <v>15</v>
      </c>
      <c r="C13703" t="s">
        <v>37</v>
      </c>
      <c r="D13703" t="s">
        <v>29</v>
      </c>
      <c r="E13703" t="s">
        <v>15</v>
      </c>
      <c r="F13703" t="s">
        <v>17</v>
      </c>
      <c r="G13703" s="2">
        <f>VALUE(1154.96)</f>
        <v>1154.96</v>
      </c>
      <c r="H13703" s="3">
        <f>VALUE(1098.04)</f>
        <v>1098.04</v>
      </c>
      <c r="I13703" s="4">
        <f>VALUE(4417)</f>
        <v>4417</v>
      </c>
      <c r="J13703" s="5">
        <f>VALUE(6728)</f>
        <v>6728</v>
      </c>
      <c r="K13703" s="6">
        <f>VALUE(7908)</f>
        <v>7908</v>
      </c>
      <c r="L13703" s="7">
        <f>VALUE(11697)</f>
        <v>11697</v>
      </c>
      <c r="M13703" s="8">
        <f>VALUE(18055)</f>
        <v>18055</v>
      </c>
      <c r="N13703" t="s">
        <v>24</v>
      </c>
    </row>
    <row r="13704" spans="1:14" x14ac:dyDescent="0.25">
      <c r="A13704" t="s">
        <v>45</v>
      </c>
      <c r="B13704" t="s">
        <v>15</v>
      </c>
      <c r="C13704" t="s">
        <v>37</v>
      </c>
      <c r="D13704" t="s">
        <v>29</v>
      </c>
      <c r="E13704" t="s">
        <v>15</v>
      </c>
      <c r="F13704" t="s">
        <v>18</v>
      </c>
      <c r="G13704" s="2">
        <f>VALUE(1054)</f>
        <v>1054</v>
      </c>
      <c r="H13704" s="3">
        <f>VALUE(979)</f>
        <v>979</v>
      </c>
      <c r="I13704" s="1">
        <f>VALUE(4643)</f>
        <v>4643</v>
      </c>
      <c r="J13704" s="1">
        <f>VALUE(5611)</f>
        <v>5611</v>
      </c>
      <c r="K13704" s="1">
        <f>VALUE(6389)</f>
        <v>6389</v>
      </c>
      <c r="L13704" s="1">
        <f>VALUE(7540)</f>
        <v>7540</v>
      </c>
      <c r="M13704" s="8">
        <f>VALUE(10996)</f>
        <v>10996</v>
      </c>
      <c r="N13704" t="s">
        <v>25</v>
      </c>
    </row>
    <row r="13705" spans="1:14" x14ac:dyDescent="0.25">
      <c r="A13705" t="s">
        <v>45</v>
      </c>
      <c r="B13705" t="s">
        <v>15</v>
      </c>
      <c r="C13705" t="s">
        <v>37</v>
      </c>
      <c r="D13705" t="s">
        <v>29</v>
      </c>
      <c r="E13705" t="s">
        <v>15</v>
      </c>
      <c r="F13705" t="s">
        <v>19</v>
      </c>
      <c r="G13705" s="2">
        <f>VALUE(891.49)</f>
        <v>891.49</v>
      </c>
      <c r="H13705" s="3">
        <f>VALUE(857.48)</f>
        <v>857.48</v>
      </c>
      <c r="I13705" s="1">
        <f>VALUE(4219)</f>
        <v>4219</v>
      </c>
      <c r="J13705" s="1">
        <f>VALUE(4729)</f>
        <v>4729</v>
      </c>
      <c r="K13705" s="1">
        <f>VALUE(5819)</f>
        <v>5819</v>
      </c>
      <c r="L13705" s="1">
        <f>VALUE(7192)</f>
        <v>7192</v>
      </c>
      <c r="M13705" s="8">
        <f>VALUE(10000)</f>
        <v>10000</v>
      </c>
      <c r="N13705" t="s">
        <v>25</v>
      </c>
    </row>
    <row r="13706" spans="1:14" x14ac:dyDescent="0.25">
      <c r="A13706" t="s">
        <v>45</v>
      </c>
      <c r="B13706" t="s">
        <v>15</v>
      </c>
      <c r="C13706" t="s">
        <v>37</v>
      </c>
      <c r="D13706" t="s">
        <v>29</v>
      </c>
      <c r="E13706" t="s">
        <v>15</v>
      </c>
      <c r="F13706" t="s">
        <v>20</v>
      </c>
      <c r="G13706" s="1">
        <f>VALUE(4801.27)</f>
        <v>4801.2700000000004</v>
      </c>
      <c r="H13706" s="1">
        <f>VALUE(3801.56)</f>
        <v>3801.56</v>
      </c>
      <c r="I13706" s="1">
        <f>VALUE(3597)</f>
        <v>3597</v>
      </c>
      <c r="J13706" s="1">
        <f>VALUE(4113)</f>
        <v>4113</v>
      </c>
      <c r="K13706" s="1">
        <f>VALUE(5058)</f>
        <v>5058</v>
      </c>
      <c r="L13706" s="1">
        <f>VALUE(6187)</f>
        <v>6187</v>
      </c>
      <c r="M13706" s="1">
        <f>VALUE(7573)</f>
        <v>7573</v>
      </c>
      <c r="N13706" t="s">
        <v>16</v>
      </c>
    </row>
    <row r="13707" spans="1:14" x14ac:dyDescent="0.25">
      <c r="A13707" t="s">
        <v>45</v>
      </c>
      <c r="B13707" t="s">
        <v>15</v>
      </c>
      <c r="C13707" t="s">
        <v>37</v>
      </c>
      <c r="D13707" t="s">
        <v>29</v>
      </c>
      <c r="E13707" t="s">
        <v>21</v>
      </c>
      <c r="F13707" t="s">
        <v>15</v>
      </c>
      <c r="G13707" s="2">
        <f>VALUE(2217.31)</f>
        <v>2217.31</v>
      </c>
      <c r="H13707" s="3">
        <f>VALUE(2027.39)</f>
        <v>2027.39</v>
      </c>
      <c r="I13707" s="1">
        <f>VALUE(4996)</f>
        <v>4996</v>
      </c>
      <c r="J13707" s="5">
        <f>VALUE(6389)</f>
        <v>6389</v>
      </c>
      <c r="K13707" s="1">
        <f>VALUE(7550)</f>
        <v>7550</v>
      </c>
      <c r="L13707" s="7">
        <f>VALUE(10346)</f>
        <v>10346</v>
      </c>
      <c r="M13707" s="1">
        <f>VALUE(15237)</f>
        <v>15237</v>
      </c>
      <c r="N13707" t="s">
        <v>25</v>
      </c>
    </row>
    <row r="13708" spans="1:14" x14ac:dyDescent="0.25">
      <c r="A13708" t="s">
        <v>45</v>
      </c>
      <c r="B13708" t="s">
        <v>15</v>
      </c>
      <c r="C13708" t="s">
        <v>37</v>
      </c>
      <c r="D13708" t="s">
        <v>29</v>
      </c>
      <c r="E13708" t="s">
        <v>21</v>
      </c>
      <c r="F13708" t="s">
        <v>17</v>
      </c>
      <c r="G13708" s="2">
        <f>VALUE(771.23)</f>
        <v>771.23</v>
      </c>
      <c r="H13708" s="3">
        <f>VALUE(732.9)</f>
        <v>732.9</v>
      </c>
      <c r="I13708" s="1">
        <f>VALUE(5958)</f>
        <v>5958</v>
      </c>
      <c r="J13708" s="1">
        <f>VALUE(7500)</f>
        <v>7500</v>
      </c>
      <c r="K13708" s="1">
        <f>VALUE(8719)</f>
        <v>8719</v>
      </c>
      <c r="L13708" s="7">
        <f>VALUE(13303)</f>
        <v>13303</v>
      </c>
      <c r="M13708" s="8">
        <f>VALUE(20833)</f>
        <v>20833</v>
      </c>
      <c r="N13708" t="s">
        <v>25</v>
      </c>
    </row>
    <row r="13709" spans="1:14" x14ac:dyDescent="0.25">
      <c r="A13709" t="s">
        <v>45</v>
      </c>
      <c r="B13709" t="s">
        <v>15</v>
      </c>
      <c r="C13709" t="s">
        <v>37</v>
      </c>
      <c r="D13709" t="s">
        <v>29</v>
      </c>
      <c r="E13709" t="s">
        <v>21</v>
      </c>
      <c r="F13709" t="s">
        <v>18</v>
      </c>
      <c r="G13709" s="2">
        <f>VALUE(529.95)</f>
        <v>529.95000000000005</v>
      </c>
      <c r="H13709" s="3">
        <f>VALUE(489.66)</f>
        <v>489.66</v>
      </c>
      <c r="I13709" s="1">
        <f>VALUE(5596)</f>
        <v>5596</v>
      </c>
      <c r="J13709" s="1">
        <f>VALUE(6389)</f>
        <v>6389</v>
      </c>
      <c r="K13709" s="1">
        <f>VALUE(6500)</f>
        <v>6500</v>
      </c>
      <c r="L13709" s="1">
        <f>VALUE(8745)</f>
        <v>8745</v>
      </c>
      <c r="M13709" s="8">
        <f>VALUE(11925)</f>
        <v>11925</v>
      </c>
      <c r="N13709" t="s">
        <v>25</v>
      </c>
    </row>
    <row r="13710" spans="1:14" x14ac:dyDescent="0.25">
      <c r="A13710" t="s">
        <v>45</v>
      </c>
      <c r="B13710" t="s">
        <v>15</v>
      </c>
      <c r="C13710" t="s">
        <v>37</v>
      </c>
      <c r="D13710" t="s">
        <v>29</v>
      </c>
      <c r="E13710" t="s">
        <v>21</v>
      </c>
      <c r="F13710" t="s">
        <v>19</v>
      </c>
      <c r="G13710" s="2">
        <f>VALUE(248.65)</f>
        <v>248.65</v>
      </c>
      <c r="H13710" s="3">
        <f>VALUE(227.36)</f>
        <v>227.36</v>
      </c>
      <c r="I13710" s="1">
        <f>VALUE(5000)</f>
        <v>5000</v>
      </c>
      <c r="J13710" s="5">
        <f>VALUE(6424)</f>
        <v>6424</v>
      </c>
      <c r="K13710" s="1">
        <f>VALUE(7897)</f>
        <v>7897</v>
      </c>
      <c r="L13710" s="7">
        <f>VALUE(10998)</f>
        <v>10998</v>
      </c>
      <c r="M13710" s="1">
        <f>VALUE(15237)</f>
        <v>15237</v>
      </c>
      <c r="N13710" t="s">
        <v>25</v>
      </c>
    </row>
    <row r="13711" spans="1:14" x14ac:dyDescent="0.25">
      <c r="A13711" t="s">
        <v>45</v>
      </c>
      <c r="B13711" t="s">
        <v>15</v>
      </c>
      <c r="C13711" t="s">
        <v>37</v>
      </c>
      <c r="D13711" t="s">
        <v>29</v>
      </c>
      <c r="E13711" t="s">
        <v>21</v>
      </c>
      <c r="F13711" t="s">
        <v>20</v>
      </c>
      <c r="G13711" s="2">
        <f>VALUE(667.48)</f>
        <v>667.48</v>
      </c>
      <c r="H13711" s="3">
        <f>VALUE(577.47)</f>
        <v>577.47</v>
      </c>
      <c r="I13711" s="1">
        <f>VALUE(4235)</f>
        <v>4235</v>
      </c>
      <c r="J13711" s="5">
        <f>VALUE(5302)</f>
        <v>5302</v>
      </c>
      <c r="K13711" s="1">
        <f>VALUE(6810)</f>
        <v>6810</v>
      </c>
      <c r="L13711" s="1">
        <f>VALUE(8916)</f>
        <v>8916</v>
      </c>
      <c r="M13711" s="8">
        <f>VALUE(11250)</f>
        <v>11250</v>
      </c>
      <c r="N13711" t="s">
        <v>25</v>
      </c>
    </row>
    <row r="13712" spans="1:14" x14ac:dyDescent="0.25">
      <c r="A13712" t="s">
        <v>45</v>
      </c>
      <c r="B13712" t="s">
        <v>15</v>
      </c>
      <c r="C13712" t="s">
        <v>37</v>
      </c>
      <c r="D13712" t="s">
        <v>29</v>
      </c>
      <c r="E13712" t="s">
        <v>22</v>
      </c>
      <c r="F13712" t="s">
        <v>15</v>
      </c>
      <c r="G13712" s="2">
        <f>VALUE(2894.8)</f>
        <v>2894.8</v>
      </c>
      <c r="H13712" s="3">
        <f>VALUE(2589.45)</f>
        <v>2589.4499999999998</v>
      </c>
      <c r="I13712" s="1">
        <f>VALUE(4078)</f>
        <v>4078</v>
      </c>
      <c r="J13712" s="1">
        <f>VALUE(4809)</f>
        <v>4809</v>
      </c>
      <c r="K13712" s="1">
        <f>VALUE(5611)</f>
        <v>5611</v>
      </c>
      <c r="L13712" s="1">
        <f>VALUE(6608)</f>
        <v>6608</v>
      </c>
      <c r="M13712" s="8">
        <f>VALUE(7739)</f>
        <v>7739</v>
      </c>
      <c r="N13712" t="s">
        <v>25</v>
      </c>
    </row>
    <row r="13713" spans="1:14" x14ac:dyDescent="0.25">
      <c r="A13713" t="s">
        <v>45</v>
      </c>
      <c r="B13713" t="s">
        <v>15</v>
      </c>
      <c r="C13713" t="s">
        <v>37</v>
      </c>
      <c r="D13713" t="s">
        <v>29</v>
      </c>
      <c r="E13713" t="s">
        <v>22</v>
      </c>
      <c r="F13713" t="s">
        <v>17</v>
      </c>
      <c r="G13713" s="2">
        <f>VALUE(215.75)</f>
        <v>215.75</v>
      </c>
      <c r="H13713" s="3">
        <f>VALUE(198.24)</f>
        <v>198.24</v>
      </c>
      <c r="I13713" s="4">
        <f>VALUE(3544)</f>
        <v>3544</v>
      </c>
      <c r="J13713" s="5">
        <f>VALUE(4833)</f>
        <v>4833</v>
      </c>
      <c r="K13713" s="6">
        <f>VALUE(7426)</f>
        <v>7426</v>
      </c>
      <c r="L13713" s="1">
        <f>VALUE(10762)</f>
        <v>10762</v>
      </c>
      <c r="M13713" s="8">
        <f>VALUE(13514)</f>
        <v>13514</v>
      </c>
      <c r="N13713" t="s">
        <v>25</v>
      </c>
    </row>
    <row r="13714" spans="1:14" x14ac:dyDescent="0.25">
      <c r="A13714" t="s">
        <v>45</v>
      </c>
      <c r="B13714" t="s">
        <v>15</v>
      </c>
      <c r="C13714" t="s">
        <v>37</v>
      </c>
      <c r="D13714" t="s">
        <v>29</v>
      </c>
      <c r="E13714" t="s">
        <v>22</v>
      </c>
      <c r="F13714" t="s">
        <v>18</v>
      </c>
      <c r="G13714" s="2">
        <f>VALUE(415.34)</f>
        <v>415.34</v>
      </c>
      <c r="H13714" s="3">
        <f>VALUE(390.72)</f>
        <v>390.72</v>
      </c>
      <c r="I13714" s="4">
        <f>VALUE(4643)</f>
        <v>4643</v>
      </c>
      <c r="J13714" s="1">
        <f>VALUE(5497)</f>
        <v>5497</v>
      </c>
      <c r="K13714" s="1">
        <f>VALUE(5611)</f>
        <v>5611</v>
      </c>
      <c r="L13714" s="7">
        <f>VALUE(6446)</f>
        <v>6446</v>
      </c>
      <c r="M13714" s="8">
        <f>VALUE(9126)</f>
        <v>9126</v>
      </c>
      <c r="N13714" t="s">
        <v>25</v>
      </c>
    </row>
    <row r="13715" spans="1:14" x14ac:dyDescent="0.25">
      <c r="A13715" t="s">
        <v>45</v>
      </c>
      <c r="B13715" t="s">
        <v>15</v>
      </c>
      <c r="C13715" t="s">
        <v>37</v>
      </c>
      <c r="D13715" t="s">
        <v>29</v>
      </c>
      <c r="E13715" t="s">
        <v>22</v>
      </c>
      <c r="F13715" t="s">
        <v>19</v>
      </c>
      <c r="G13715" s="2">
        <f>VALUE(411.05)</f>
        <v>411.05</v>
      </c>
      <c r="H13715" s="3">
        <f>VALUE(403.65)</f>
        <v>403.65</v>
      </c>
      <c r="I13715" s="1">
        <f>VALUE(4515)</f>
        <v>4515</v>
      </c>
      <c r="J13715" s="1">
        <f>VALUE(4890)</f>
        <v>4890</v>
      </c>
      <c r="K13715" s="1">
        <f>VALUE(5851)</f>
        <v>5851</v>
      </c>
      <c r="L13715" s="1">
        <f>VALUE(6798)</f>
        <v>6798</v>
      </c>
      <c r="M13715" s="8">
        <f>VALUE(7749)</f>
        <v>7749</v>
      </c>
      <c r="N13715" t="s">
        <v>25</v>
      </c>
    </row>
    <row r="13716" spans="1:14" x14ac:dyDescent="0.25">
      <c r="A13716" t="s">
        <v>45</v>
      </c>
      <c r="B13716" t="s">
        <v>15</v>
      </c>
      <c r="C13716" t="s">
        <v>37</v>
      </c>
      <c r="D13716" t="s">
        <v>29</v>
      </c>
      <c r="E13716" t="s">
        <v>22</v>
      </c>
      <c r="F13716" t="s">
        <v>20</v>
      </c>
      <c r="G13716" s="2">
        <f>VALUE(1852.66)</f>
        <v>1852.66</v>
      </c>
      <c r="H13716" s="3">
        <f>VALUE(1596.84)</f>
        <v>1596.84</v>
      </c>
      <c r="I13716" s="1">
        <f>VALUE(3997)</f>
        <v>3997</v>
      </c>
      <c r="J13716" s="1">
        <f>VALUE(4620)</f>
        <v>4620</v>
      </c>
      <c r="K13716" s="1">
        <f>VALUE(5330)</f>
        <v>5330</v>
      </c>
      <c r="L13716" s="7">
        <f>VALUE(6291)</f>
        <v>6291</v>
      </c>
      <c r="M13716" s="1">
        <f>VALUE(7211)</f>
        <v>7211</v>
      </c>
      <c r="N13716" t="s">
        <v>25</v>
      </c>
    </row>
    <row r="13717" spans="1:14" x14ac:dyDescent="0.25">
      <c r="A13717" t="s">
        <v>45</v>
      </c>
      <c r="B13717" t="s">
        <v>15</v>
      </c>
      <c r="C13717" t="s">
        <v>37</v>
      </c>
      <c r="D13717" t="s">
        <v>29</v>
      </c>
      <c r="E13717" t="s">
        <v>23</v>
      </c>
      <c r="F13717" t="s">
        <v>15</v>
      </c>
      <c r="G13717" s="2">
        <f>VALUE(2704.16)</f>
        <v>2704.16</v>
      </c>
      <c r="H13717" s="3">
        <f>VALUE(2048.75)</f>
        <v>2048.75</v>
      </c>
      <c r="I13717" s="1">
        <f>VALUE(3487)</f>
        <v>3487</v>
      </c>
      <c r="J13717" s="1">
        <f>VALUE(3766)</f>
        <v>3766</v>
      </c>
      <c r="K13717" s="1">
        <f>VALUE(4345)</f>
        <v>4345</v>
      </c>
      <c r="L13717" s="1">
        <f>VALUE(5462)</f>
        <v>5462</v>
      </c>
      <c r="M13717" s="8">
        <f>VALUE(6434)</f>
        <v>6434</v>
      </c>
      <c r="N13717" t="s">
        <v>25</v>
      </c>
    </row>
    <row r="13718" spans="1:14" x14ac:dyDescent="0.25">
      <c r="A13718" t="s">
        <v>45</v>
      </c>
      <c r="B13718" t="s">
        <v>15</v>
      </c>
      <c r="C13718" t="s">
        <v>37</v>
      </c>
      <c r="D13718" t="s">
        <v>29</v>
      </c>
      <c r="E13718" t="s">
        <v>23</v>
      </c>
      <c r="F13718" t="s">
        <v>17</v>
      </c>
      <c r="G13718" s="1" t="str">
        <f t="shared" ref="G13718:M13719" si="3144">"X"</f>
        <v>X</v>
      </c>
      <c r="H13718" s="1" t="str">
        <f t="shared" si="3144"/>
        <v>X</v>
      </c>
      <c r="I13718" s="1" t="str">
        <f t="shared" si="3144"/>
        <v>X</v>
      </c>
      <c r="J13718" s="1" t="str">
        <f t="shared" si="3144"/>
        <v>X</v>
      </c>
      <c r="K13718" s="1" t="str">
        <f t="shared" si="3144"/>
        <v>X</v>
      </c>
      <c r="L13718" s="1" t="str">
        <f t="shared" si="3144"/>
        <v>X</v>
      </c>
      <c r="M13718" s="1" t="str">
        <f t="shared" si="3144"/>
        <v>X</v>
      </c>
      <c r="N13718" t="s">
        <v>27</v>
      </c>
    </row>
    <row r="13719" spans="1:14" x14ac:dyDescent="0.25">
      <c r="A13719" t="s">
        <v>45</v>
      </c>
      <c r="B13719" t="s">
        <v>15</v>
      </c>
      <c r="C13719" t="s">
        <v>37</v>
      </c>
      <c r="D13719" t="s">
        <v>29</v>
      </c>
      <c r="E13719" t="s">
        <v>23</v>
      </c>
      <c r="F13719" t="s">
        <v>18</v>
      </c>
      <c r="G13719" s="1" t="str">
        <f t="shared" si="3144"/>
        <v>X</v>
      </c>
      <c r="H13719" s="1" t="str">
        <f t="shared" si="3144"/>
        <v>X</v>
      </c>
      <c r="I13719" s="1" t="str">
        <f t="shared" si="3144"/>
        <v>X</v>
      </c>
      <c r="J13719" s="1" t="str">
        <f t="shared" si="3144"/>
        <v>X</v>
      </c>
      <c r="K13719" s="1" t="str">
        <f t="shared" si="3144"/>
        <v>X</v>
      </c>
      <c r="L13719" s="1" t="str">
        <f t="shared" si="3144"/>
        <v>X</v>
      </c>
      <c r="M13719" s="1" t="str">
        <f t="shared" si="3144"/>
        <v>X</v>
      </c>
      <c r="N13719" t="s">
        <v>27</v>
      </c>
    </row>
    <row r="13720" spans="1:14" x14ac:dyDescent="0.25">
      <c r="A13720" t="s">
        <v>45</v>
      </c>
      <c r="B13720" t="s">
        <v>15</v>
      </c>
      <c r="C13720" t="s">
        <v>37</v>
      </c>
      <c r="D13720" t="s">
        <v>29</v>
      </c>
      <c r="E13720" t="s">
        <v>23</v>
      </c>
      <c r="F13720" t="s">
        <v>19</v>
      </c>
      <c r="G13720" s="2">
        <f>VALUE(231.79)</f>
        <v>231.79</v>
      </c>
      <c r="H13720" s="3">
        <f>VALUE(226.47)</f>
        <v>226.47</v>
      </c>
      <c r="I13720" s="1">
        <f>VALUE(3611)</f>
        <v>3611</v>
      </c>
      <c r="J13720" s="1">
        <f>VALUE(4127)</f>
        <v>4127</v>
      </c>
      <c r="K13720" s="1">
        <f>VALUE(4425)</f>
        <v>4425</v>
      </c>
      <c r="L13720" s="1">
        <f>VALUE(5606)</f>
        <v>5606</v>
      </c>
      <c r="M13720" s="1">
        <f>VALUE(6392)</f>
        <v>6392</v>
      </c>
      <c r="N13720" t="s">
        <v>25</v>
      </c>
    </row>
    <row r="13721" spans="1:14" x14ac:dyDescent="0.25">
      <c r="A13721" t="s">
        <v>45</v>
      </c>
      <c r="B13721" t="s">
        <v>15</v>
      </c>
      <c r="C13721" t="s">
        <v>37</v>
      </c>
      <c r="D13721" t="s">
        <v>29</v>
      </c>
      <c r="E13721" t="s">
        <v>23</v>
      </c>
      <c r="F13721" t="s">
        <v>20</v>
      </c>
      <c r="G13721" s="2">
        <f>VALUE(2214.51)</f>
        <v>2214.5100000000002</v>
      </c>
      <c r="H13721" s="1">
        <f>VALUE(1574.85)</f>
        <v>1574.85</v>
      </c>
      <c r="I13721" s="1">
        <f>VALUE(3459)</f>
        <v>3459</v>
      </c>
      <c r="J13721" s="1">
        <f>VALUE(3731)</f>
        <v>3731</v>
      </c>
      <c r="K13721" s="1">
        <f>VALUE(4294)</f>
        <v>4294</v>
      </c>
      <c r="L13721" s="1">
        <f>VALUE(5176)</f>
        <v>5176</v>
      </c>
      <c r="M13721" s="1">
        <f>VALUE(6027)</f>
        <v>6027</v>
      </c>
      <c r="N13721" t="s">
        <v>25</v>
      </c>
    </row>
    <row r="13722" spans="1:14" x14ac:dyDescent="0.25">
      <c r="A13722" t="s">
        <v>45</v>
      </c>
      <c r="B13722" t="s">
        <v>15</v>
      </c>
      <c r="C13722" t="s">
        <v>37</v>
      </c>
      <c r="D13722" t="s">
        <v>29</v>
      </c>
      <c r="E13722" t="s">
        <v>26</v>
      </c>
      <c r="F13722" t="s">
        <v>15</v>
      </c>
      <c r="G13722" s="1" t="str">
        <f t="shared" ref="G13722:M13724" si="3145">"X"</f>
        <v>X</v>
      </c>
      <c r="H13722" s="1" t="str">
        <f t="shared" si="3145"/>
        <v>X</v>
      </c>
      <c r="I13722" s="1" t="str">
        <f t="shared" si="3145"/>
        <v>X</v>
      </c>
      <c r="J13722" s="1" t="str">
        <f t="shared" si="3145"/>
        <v>X</v>
      </c>
      <c r="K13722" s="1" t="str">
        <f t="shared" si="3145"/>
        <v>X</v>
      </c>
      <c r="L13722" s="1" t="str">
        <f t="shared" si="3145"/>
        <v>X</v>
      </c>
      <c r="M13722" s="1" t="str">
        <f t="shared" si="3145"/>
        <v>X</v>
      </c>
      <c r="N13722" t="s">
        <v>27</v>
      </c>
    </row>
    <row r="13723" spans="1:14" x14ac:dyDescent="0.25">
      <c r="A13723" t="s">
        <v>45</v>
      </c>
      <c r="B13723" t="s">
        <v>15</v>
      </c>
      <c r="C13723" t="s">
        <v>37</v>
      </c>
      <c r="D13723" t="s">
        <v>29</v>
      </c>
      <c r="E13723" t="s">
        <v>26</v>
      </c>
      <c r="F13723" t="s">
        <v>17</v>
      </c>
      <c r="G13723" s="1" t="str">
        <f t="shared" si="3145"/>
        <v>X</v>
      </c>
      <c r="H13723" s="1" t="str">
        <f t="shared" si="3145"/>
        <v>X</v>
      </c>
      <c r="I13723" s="1" t="str">
        <f t="shared" si="3145"/>
        <v>X</v>
      </c>
      <c r="J13723" s="1" t="str">
        <f t="shared" si="3145"/>
        <v>X</v>
      </c>
      <c r="K13723" s="1" t="str">
        <f t="shared" si="3145"/>
        <v>X</v>
      </c>
      <c r="L13723" s="1" t="str">
        <f t="shared" si="3145"/>
        <v>X</v>
      </c>
      <c r="M13723" s="1" t="str">
        <f t="shared" si="3145"/>
        <v>X</v>
      </c>
      <c r="N13723" t="s">
        <v>27</v>
      </c>
    </row>
    <row r="13724" spans="1:14" x14ac:dyDescent="0.25">
      <c r="A13724" t="s">
        <v>45</v>
      </c>
      <c r="B13724" t="s">
        <v>15</v>
      </c>
      <c r="C13724" t="s">
        <v>37</v>
      </c>
      <c r="D13724" t="s">
        <v>29</v>
      </c>
      <c r="E13724" t="s">
        <v>26</v>
      </c>
      <c r="F13724" t="s">
        <v>18</v>
      </c>
      <c r="G13724" s="1" t="str">
        <f t="shared" si="3145"/>
        <v>X</v>
      </c>
      <c r="H13724" s="1" t="str">
        <f t="shared" si="3145"/>
        <v>X</v>
      </c>
      <c r="I13724" s="1" t="str">
        <f t="shared" si="3145"/>
        <v>X</v>
      </c>
      <c r="J13724" s="1" t="str">
        <f t="shared" si="3145"/>
        <v>X</v>
      </c>
      <c r="K13724" s="1" t="str">
        <f t="shared" si="3145"/>
        <v>X</v>
      </c>
      <c r="L13724" s="1" t="str">
        <f t="shared" si="3145"/>
        <v>X</v>
      </c>
      <c r="M13724" s="1" t="str">
        <f t="shared" si="3145"/>
        <v>X</v>
      </c>
      <c r="N13724" t="s">
        <v>27</v>
      </c>
    </row>
    <row r="13725" spans="1:14" x14ac:dyDescent="0.25">
      <c r="A13725" t="s">
        <v>45</v>
      </c>
      <c r="B13725" t="s">
        <v>15</v>
      </c>
      <c r="C13725" t="s">
        <v>37</v>
      </c>
      <c r="D13725" t="s">
        <v>29</v>
      </c>
      <c r="E13725" t="s">
        <v>26</v>
      </c>
      <c r="F13725" t="s">
        <v>19</v>
      </c>
      <c r="G13725" s="1" t="str">
        <f t="shared" ref="G13725:M13725" si="3146">"..."</f>
        <v>...</v>
      </c>
      <c r="H13725" s="1" t="str">
        <f t="shared" si="3146"/>
        <v>...</v>
      </c>
      <c r="I13725" s="1" t="str">
        <f t="shared" si="3146"/>
        <v>...</v>
      </c>
      <c r="J13725" s="1" t="str">
        <f t="shared" si="3146"/>
        <v>...</v>
      </c>
      <c r="K13725" s="1" t="str">
        <f t="shared" si="3146"/>
        <v>...</v>
      </c>
      <c r="L13725" s="1" t="str">
        <f t="shared" si="3146"/>
        <v>...</v>
      </c>
      <c r="M13725" s="1" t="str">
        <f t="shared" si="3146"/>
        <v>...</v>
      </c>
      <c r="N13725" t="s">
        <v>30</v>
      </c>
    </row>
    <row r="13726" spans="1:14" x14ac:dyDescent="0.25">
      <c r="A13726" t="s">
        <v>45</v>
      </c>
      <c r="B13726" t="s">
        <v>15</v>
      </c>
      <c r="C13726" t="s">
        <v>37</v>
      </c>
      <c r="D13726" t="s">
        <v>29</v>
      </c>
      <c r="E13726" t="s">
        <v>26</v>
      </c>
      <c r="F13726" t="s">
        <v>20</v>
      </c>
      <c r="G13726" s="1" t="str">
        <f t="shared" ref="G13726:M13726" si="3147">"X"</f>
        <v>X</v>
      </c>
      <c r="H13726" s="1" t="str">
        <f t="shared" si="3147"/>
        <v>X</v>
      </c>
      <c r="I13726" s="1" t="str">
        <f t="shared" si="3147"/>
        <v>X</v>
      </c>
      <c r="J13726" s="1" t="str">
        <f t="shared" si="3147"/>
        <v>X</v>
      </c>
      <c r="K13726" s="1" t="str">
        <f t="shared" si="3147"/>
        <v>X</v>
      </c>
      <c r="L13726" s="1" t="str">
        <f t="shared" si="3147"/>
        <v>X</v>
      </c>
      <c r="M13726" s="1" t="str">
        <f t="shared" si="3147"/>
        <v>X</v>
      </c>
      <c r="N13726" t="s">
        <v>27</v>
      </c>
    </row>
    <row r="13727" spans="1:14" x14ac:dyDescent="0.25">
      <c r="A13727" t="s">
        <v>45</v>
      </c>
      <c r="B13727" t="s">
        <v>15</v>
      </c>
      <c r="C13727" t="s">
        <v>37</v>
      </c>
      <c r="D13727" t="s">
        <v>31</v>
      </c>
      <c r="E13727" t="s">
        <v>15</v>
      </c>
      <c r="F13727" t="s">
        <v>15</v>
      </c>
      <c r="G13727" s="1">
        <f>VALUE(5180.42)</f>
        <v>5180.42</v>
      </c>
      <c r="H13727" s="3">
        <f>VALUE(4608.66)</f>
        <v>4608.66</v>
      </c>
      <c r="I13727" s="1">
        <f>VALUE(3552)</f>
        <v>3552</v>
      </c>
      <c r="J13727" s="1">
        <f>VALUE(4203)</f>
        <v>4203</v>
      </c>
      <c r="K13727" s="1">
        <f>VALUE(5504)</f>
        <v>5504</v>
      </c>
      <c r="L13727" s="7">
        <f>VALUE(7160)</f>
        <v>7160</v>
      </c>
      <c r="M13727" s="8">
        <f>VALUE(11058)</f>
        <v>11058</v>
      </c>
      <c r="N13727" t="s">
        <v>25</v>
      </c>
    </row>
    <row r="13728" spans="1:14" x14ac:dyDescent="0.25">
      <c r="A13728" t="s">
        <v>45</v>
      </c>
      <c r="B13728" t="s">
        <v>15</v>
      </c>
      <c r="C13728" t="s">
        <v>37</v>
      </c>
      <c r="D13728" t="s">
        <v>31</v>
      </c>
      <c r="E13728" t="s">
        <v>15</v>
      </c>
      <c r="F13728" t="s">
        <v>17</v>
      </c>
      <c r="G13728" s="2">
        <f>VALUE(920.23)</f>
        <v>920.23</v>
      </c>
      <c r="H13728" s="3">
        <f>VALUE(928.83)</f>
        <v>928.83</v>
      </c>
      <c r="I13728" s="4">
        <f>VALUE(4651)</f>
        <v>4651</v>
      </c>
      <c r="J13728" s="1">
        <f>VALUE(5778)</f>
        <v>5778</v>
      </c>
      <c r="K13728" s="6">
        <f>VALUE(8839)</f>
        <v>8839</v>
      </c>
      <c r="L13728" s="7">
        <f>VALUE(13217)</f>
        <v>13217</v>
      </c>
      <c r="M13728" s="8">
        <f>VALUE(19819)</f>
        <v>19819</v>
      </c>
      <c r="N13728" t="s">
        <v>25</v>
      </c>
    </row>
    <row r="13729" spans="1:14" x14ac:dyDescent="0.25">
      <c r="A13729" t="s">
        <v>45</v>
      </c>
      <c r="B13729" t="s">
        <v>15</v>
      </c>
      <c r="C13729" t="s">
        <v>37</v>
      </c>
      <c r="D13729" t="s">
        <v>31</v>
      </c>
      <c r="E13729" t="s">
        <v>15</v>
      </c>
      <c r="F13729" t="s">
        <v>18</v>
      </c>
      <c r="G13729" s="2">
        <f>VALUE(535.45)</f>
        <v>535.45000000000005</v>
      </c>
      <c r="H13729" s="3">
        <f>VALUE(530.28)</f>
        <v>530.28</v>
      </c>
      <c r="I13729" s="4">
        <f>VALUE(4127)</f>
        <v>4127</v>
      </c>
      <c r="J13729" s="1">
        <f>VALUE(5326)</f>
        <v>5326</v>
      </c>
      <c r="K13729" s="1">
        <f>VALUE(5579)</f>
        <v>5579</v>
      </c>
      <c r="L13729" s="1">
        <f>VALUE(8547)</f>
        <v>8547</v>
      </c>
      <c r="M13729" s="1">
        <f>VALUE(11700)</f>
        <v>11700</v>
      </c>
      <c r="N13729" t="s">
        <v>25</v>
      </c>
    </row>
    <row r="13730" spans="1:14" x14ac:dyDescent="0.25">
      <c r="A13730" t="s">
        <v>45</v>
      </c>
      <c r="B13730" t="s">
        <v>15</v>
      </c>
      <c r="C13730" t="s">
        <v>37</v>
      </c>
      <c r="D13730" t="s">
        <v>31</v>
      </c>
      <c r="E13730" t="s">
        <v>15</v>
      </c>
      <c r="F13730" t="s">
        <v>19</v>
      </c>
      <c r="G13730" s="2">
        <f>VALUE(486.05)</f>
        <v>486.05</v>
      </c>
      <c r="H13730" s="3">
        <f>VALUE(472.94)</f>
        <v>472.94</v>
      </c>
      <c r="I13730" s="1">
        <f>VALUE(3919)</f>
        <v>3919</v>
      </c>
      <c r="J13730" s="1">
        <f>VALUE(4395)</f>
        <v>4395</v>
      </c>
      <c r="K13730" s="6">
        <f>VALUE(5470)</f>
        <v>5470</v>
      </c>
      <c r="L13730" s="1">
        <f>VALUE(7199)</f>
        <v>7199</v>
      </c>
      <c r="M13730" s="1">
        <f>VALUE(9335)</f>
        <v>9335</v>
      </c>
      <c r="N13730" t="s">
        <v>25</v>
      </c>
    </row>
    <row r="13731" spans="1:14" x14ac:dyDescent="0.25">
      <c r="A13731" t="s">
        <v>45</v>
      </c>
      <c r="B13731" t="s">
        <v>15</v>
      </c>
      <c r="C13731" t="s">
        <v>37</v>
      </c>
      <c r="D13731" t="s">
        <v>31</v>
      </c>
      <c r="E13731" t="s">
        <v>15</v>
      </c>
      <c r="F13731" t="s">
        <v>20</v>
      </c>
      <c r="G13731" s="2">
        <f>VALUE(3238.69)</f>
        <v>3238.69</v>
      </c>
      <c r="H13731" s="3">
        <f>VALUE(2676.61)</f>
        <v>2676.61</v>
      </c>
      <c r="I13731" s="1">
        <f>VALUE(3467)</f>
        <v>3467</v>
      </c>
      <c r="J13731" s="1">
        <f>VALUE(3893)</f>
        <v>3893</v>
      </c>
      <c r="K13731" s="1">
        <f>VALUE(4725)</f>
        <v>4725</v>
      </c>
      <c r="L13731" s="1">
        <f>VALUE(5958)</f>
        <v>5958</v>
      </c>
      <c r="M13731" s="1">
        <f>VALUE(7116)</f>
        <v>7116</v>
      </c>
      <c r="N13731" t="s">
        <v>25</v>
      </c>
    </row>
    <row r="13732" spans="1:14" x14ac:dyDescent="0.25">
      <c r="A13732" t="s">
        <v>45</v>
      </c>
      <c r="B13732" t="s">
        <v>15</v>
      </c>
      <c r="C13732" t="s">
        <v>37</v>
      </c>
      <c r="D13732" t="s">
        <v>31</v>
      </c>
      <c r="E13732" t="s">
        <v>21</v>
      </c>
      <c r="F13732" t="s">
        <v>15</v>
      </c>
      <c r="G13732" s="2">
        <f>VALUE(2038.92)</f>
        <v>2038.92</v>
      </c>
      <c r="H13732" s="3">
        <f>VALUE(1906.74)</f>
        <v>1906.74</v>
      </c>
      <c r="I13732" s="4">
        <f>VALUE(4333)</f>
        <v>4333</v>
      </c>
      <c r="J13732" s="5">
        <f>VALUE(5294)</f>
        <v>5294</v>
      </c>
      <c r="K13732" s="1">
        <f>VALUE(6737)</f>
        <v>6737</v>
      </c>
      <c r="L13732" s="7">
        <f>VALUE(9592)</f>
        <v>9592</v>
      </c>
      <c r="M13732" s="8">
        <f>VALUE(15931)</f>
        <v>15931</v>
      </c>
      <c r="N13732" t="s">
        <v>25</v>
      </c>
    </row>
    <row r="13733" spans="1:14" x14ac:dyDescent="0.25">
      <c r="A13733" t="s">
        <v>45</v>
      </c>
      <c r="B13733" t="s">
        <v>15</v>
      </c>
      <c r="C13733" t="s">
        <v>37</v>
      </c>
      <c r="D13733" t="s">
        <v>31</v>
      </c>
      <c r="E13733" t="s">
        <v>21</v>
      </c>
      <c r="F13733" t="s">
        <v>17</v>
      </c>
      <c r="G13733" s="2">
        <f>VALUE(675.59)</f>
        <v>675.59</v>
      </c>
      <c r="H13733" s="3">
        <f>VALUE(683.65)</f>
        <v>683.65</v>
      </c>
      <c r="I13733" s="4">
        <f>VALUE(4651)</f>
        <v>4651</v>
      </c>
      <c r="J13733" s="1">
        <f>VALUE(5778)</f>
        <v>5778</v>
      </c>
      <c r="K13733" s="6">
        <f>VALUE(9750)</f>
        <v>9750</v>
      </c>
      <c r="L13733" s="7">
        <f>VALUE(15861)</f>
        <v>15861</v>
      </c>
      <c r="M13733" s="8">
        <f>VALUE(22557)</f>
        <v>22557</v>
      </c>
      <c r="N13733" t="s">
        <v>25</v>
      </c>
    </row>
    <row r="13734" spans="1:14" x14ac:dyDescent="0.25">
      <c r="A13734" t="s">
        <v>45</v>
      </c>
      <c r="B13734" t="s">
        <v>15</v>
      </c>
      <c r="C13734" t="s">
        <v>37</v>
      </c>
      <c r="D13734" t="s">
        <v>31</v>
      </c>
      <c r="E13734" t="s">
        <v>21</v>
      </c>
      <c r="F13734" t="s">
        <v>18</v>
      </c>
      <c r="G13734" s="2">
        <f>VALUE(237.42)</f>
        <v>237.42</v>
      </c>
      <c r="H13734" s="3">
        <f>VALUE(233.84)</f>
        <v>233.84</v>
      </c>
      <c r="I13734" s="4">
        <f>VALUE(4794)</f>
        <v>4794</v>
      </c>
      <c r="J13734" s="5">
        <f>VALUE(5709)</f>
        <v>5709</v>
      </c>
      <c r="K13734" s="6">
        <f>VALUE(7936)</f>
        <v>7936</v>
      </c>
      <c r="L13734" s="7">
        <f>VALUE(10987)</f>
        <v>10987</v>
      </c>
      <c r="M13734" s="8">
        <f>VALUE(13678)</f>
        <v>13678</v>
      </c>
      <c r="N13734" t="s">
        <v>24</v>
      </c>
    </row>
    <row r="13735" spans="1:14" x14ac:dyDescent="0.25">
      <c r="A13735" t="s">
        <v>45</v>
      </c>
      <c r="B13735" t="s">
        <v>15</v>
      </c>
      <c r="C13735" t="s">
        <v>37</v>
      </c>
      <c r="D13735" t="s">
        <v>31</v>
      </c>
      <c r="E13735" t="s">
        <v>21</v>
      </c>
      <c r="F13735" t="s">
        <v>19</v>
      </c>
      <c r="G13735" s="2">
        <f>VALUE(234.64)</f>
        <v>234.64</v>
      </c>
      <c r="H13735" s="3">
        <f>VALUE(222.99)</f>
        <v>222.99</v>
      </c>
      <c r="I13735" s="4">
        <f>VALUE(4000)</f>
        <v>4000</v>
      </c>
      <c r="J13735" s="5">
        <f>VALUE(5146)</f>
        <v>5146</v>
      </c>
      <c r="K13735" s="6">
        <f>VALUE(6887)</f>
        <v>6887</v>
      </c>
      <c r="L13735" s="7">
        <f>VALUE(7874)</f>
        <v>7874</v>
      </c>
      <c r="M13735" s="1">
        <f>VALUE(9626)</f>
        <v>9626</v>
      </c>
      <c r="N13735" t="s">
        <v>25</v>
      </c>
    </row>
    <row r="13736" spans="1:14" x14ac:dyDescent="0.25">
      <c r="A13736" t="s">
        <v>45</v>
      </c>
      <c r="B13736" t="s">
        <v>15</v>
      </c>
      <c r="C13736" t="s">
        <v>37</v>
      </c>
      <c r="D13736" t="s">
        <v>31</v>
      </c>
      <c r="E13736" t="s">
        <v>21</v>
      </c>
      <c r="F13736" t="s">
        <v>20</v>
      </c>
      <c r="G13736" s="2">
        <f>VALUE(891.27)</f>
        <v>891.27</v>
      </c>
      <c r="H13736" s="3">
        <f>VALUE(766.26)</f>
        <v>766.26</v>
      </c>
      <c r="I13736" s="1">
        <f>VALUE(3893)</f>
        <v>3893</v>
      </c>
      <c r="J13736" s="5">
        <f>VALUE(4475)</f>
        <v>4475</v>
      </c>
      <c r="K13736" s="1">
        <f>VALUE(5867)</f>
        <v>5867</v>
      </c>
      <c r="L13736" s="1">
        <f>VALUE(6892)</f>
        <v>6892</v>
      </c>
      <c r="M13736" s="1">
        <f>VALUE(8942)</f>
        <v>8942</v>
      </c>
      <c r="N13736" t="s">
        <v>25</v>
      </c>
    </row>
    <row r="13737" spans="1:14" x14ac:dyDescent="0.25">
      <c r="A13737" t="s">
        <v>45</v>
      </c>
      <c r="B13737" t="s">
        <v>15</v>
      </c>
      <c r="C13737" t="s">
        <v>37</v>
      </c>
      <c r="D13737" t="s">
        <v>31</v>
      </c>
      <c r="E13737" t="s">
        <v>22</v>
      </c>
      <c r="F13737" t="s">
        <v>15</v>
      </c>
      <c r="G13737" s="2">
        <f>VALUE(1274.45)</f>
        <v>1274.45</v>
      </c>
      <c r="H13737" s="3">
        <f>VALUE(1202.31)</f>
        <v>1202.31</v>
      </c>
      <c r="I13737" s="1">
        <f>VALUE(3617)</f>
        <v>3617</v>
      </c>
      <c r="J13737" s="1">
        <f>VALUE(4463)</f>
        <v>4463</v>
      </c>
      <c r="K13737" s="1">
        <f>VALUE(5579)</f>
        <v>5579</v>
      </c>
      <c r="L13737" s="7">
        <f>VALUE(6492)</f>
        <v>6492</v>
      </c>
      <c r="M13737" s="8">
        <f>VALUE(8791)</f>
        <v>8791</v>
      </c>
      <c r="N13737" t="s">
        <v>25</v>
      </c>
    </row>
    <row r="13738" spans="1:14" x14ac:dyDescent="0.25">
      <c r="A13738" t="s">
        <v>45</v>
      </c>
      <c r="B13738" t="s">
        <v>15</v>
      </c>
      <c r="C13738" t="s">
        <v>37</v>
      </c>
      <c r="D13738" t="s">
        <v>31</v>
      </c>
      <c r="E13738" t="s">
        <v>22</v>
      </c>
      <c r="F13738" t="s">
        <v>17</v>
      </c>
      <c r="G13738" s="1" t="str">
        <f t="shared" ref="G13738:M13739" si="3148">"X"</f>
        <v>X</v>
      </c>
      <c r="H13738" s="1" t="str">
        <f t="shared" si="3148"/>
        <v>X</v>
      </c>
      <c r="I13738" s="1" t="str">
        <f t="shared" si="3148"/>
        <v>X</v>
      </c>
      <c r="J13738" s="1" t="str">
        <f t="shared" si="3148"/>
        <v>X</v>
      </c>
      <c r="K13738" s="1" t="str">
        <f t="shared" si="3148"/>
        <v>X</v>
      </c>
      <c r="L13738" s="1" t="str">
        <f t="shared" si="3148"/>
        <v>X</v>
      </c>
      <c r="M13738" s="1" t="str">
        <f t="shared" si="3148"/>
        <v>X</v>
      </c>
      <c r="N13738" t="s">
        <v>27</v>
      </c>
    </row>
    <row r="13739" spans="1:14" x14ac:dyDescent="0.25">
      <c r="A13739" t="s">
        <v>45</v>
      </c>
      <c r="B13739" t="s">
        <v>15</v>
      </c>
      <c r="C13739" t="s">
        <v>37</v>
      </c>
      <c r="D13739" t="s">
        <v>31</v>
      </c>
      <c r="E13739" t="s">
        <v>22</v>
      </c>
      <c r="F13739" t="s">
        <v>18</v>
      </c>
      <c r="G13739" s="1" t="str">
        <f t="shared" si="3148"/>
        <v>X</v>
      </c>
      <c r="H13739" s="1" t="str">
        <f t="shared" si="3148"/>
        <v>X</v>
      </c>
      <c r="I13739" s="1" t="str">
        <f t="shared" si="3148"/>
        <v>X</v>
      </c>
      <c r="J13739" s="1" t="str">
        <f t="shared" si="3148"/>
        <v>X</v>
      </c>
      <c r="K13739" s="1" t="str">
        <f t="shared" si="3148"/>
        <v>X</v>
      </c>
      <c r="L13739" s="1" t="str">
        <f t="shared" si="3148"/>
        <v>X</v>
      </c>
      <c r="M13739" s="1" t="str">
        <f t="shared" si="3148"/>
        <v>X</v>
      </c>
      <c r="N13739" t="s">
        <v>27</v>
      </c>
    </row>
    <row r="13740" spans="1:14" x14ac:dyDescent="0.25">
      <c r="A13740" t="s">
        <v>45</v>
      </c>
      <c r="B13740" t="s">
        <v>15</v>
      </c>
      <c r="C13740" t="s">
        <v>37</v>
      </c>
      <c r="D13740" t="s">
        <v>31</v>
      </c>
      <c r="E13740" t="s">
        <v>22</v>
      </c>
      <c r="F13740" t="s">
        <v>19</v>
      </c>
      <c r="G13740" s="2">
        <f>VALUE(185.93)</f>
        <v>185.93</v>
      </c>
      <c r="H13740" s="3">
        <f>VALUE(182.75)</f>
        <v>182.75</v>
      </c>
      <c r="I13740" s="1">
        <f>VALUE(3919)</f>
        <v>3919</v>
      </c>
      <c r="J13740" s="1">
        <f>VALUE(4467)</f>
        <v>4467</v>
      </c>
      <c r="K13740" s="1">
        <f>VALUE(5404)</f>
        <v>5404</v>
      </c>
      <c r="L13740" s="1">
        <f>VALUE(6659)</f>
        <v>6659</v>
      </c>
      <c r="M13740" s="1">
        <f>VALUE(7938)</f>
        <v>7938</v>
      </c>
      <c r="N13740" t="s">
        <v>25</v>
      </c>
    </row>
    <row r="13741" spans="1:14" x14ac:dyDescent="0.25">
      <c r="A13741" t="s">
        <v>45</v>
      </c>
      <c r="B13741" t="s">
        <v>15</v>
      </c>
      <c r="C13741" t="s">
        <v>37</v>
      </c>
      <c r="D13741" t="s">
        <v>31</v>
      </c>
      <c r="E13741" t="s">
        <v>22</v>
      </c>
      <c r="F13741" t="s">
        <v>20</v>
      </c>
      <c r="G13741" s="2">
        <f>VALUE(635.17)</f>
        <v>635.16999999999996</v>
      </c>
      <c r="H13741" s="3">
        <f>VALUE(567.09)</f>
        <v>567.09</v>
      </c>
      <c r="I13741" s="1">
        <f>VALUE(3478)</f>
        <v>3478</v>
      </c>
      <c r="J13741" s="1">
        <f>VALUE(4177)</f>
        <v>4177</v>
      </c>
      <c r="K13741" s="1">
        <f>VALUE(4954)</f>
        <v>4954</v>
      </c>
      <c r="L13741" s="1">
        <f>VALUE(6012)</f>
        <v>6012</v>
      </c>
      <c r="M13741" s="8">
        <f>VALUE(7556)</f>
        <v>7556</v>
      </c>
      <c r="N13741" t="s">
        <v>25</v>
      </c>
    </row>
    <row r="13742" spans="1:14" x14ac:dyDescent="0.25">
      <c r="A13742" t="s">
        <v>45</v>
      </c>
      <c r="B13742" t="s">
        <v>15</v>
      </c>
      <c r="C13742" t="s">
        <v>37</v>
      </c>
      <c r="D13742" t="s">
        <v>31</v>
      </c>
      <c r="E13742" t="s">
        <v>23</v>
      </c>
      <c r="F13742" t="s">
        <v>15</v>
      </c>
      <c r="G13742" s="2">
        <f>VALUE(1811.27)</f>
        <v>1811.27</v>
      </c>
      <c r="H13742" s="3">
        <f>VALUE(1444.2)</f>
        <v>1444.2</v>
      </c>
      <c r="I13742" s="1">
        <f>VALUE(3422)</f>
        <v>3422</v>
      </c>
      <c r="J13742" s="1">
        <f>VALUE(3665)</f>
        <v>3665</v>
      </c>
      <c r="K13742" s="1">
        <f>VALUE(4167)</f>
        <v>4167</v>
      </c>
      <c r="L13742" s="1">
        <f>VALUE(5382)</f>
        <v>5382</v>
      </c>
      <c r="M13742" s="1">
        <f>VALUE(6138)</f>
        <v>6138</v>
      </c>
      <c r="N13742" t="s">
        <v>25</v>
      </c>
    </row>
    <row r="13743" spans="1:14" x14ac:dyDescent="0.25">
      <c r="A13743" t="s">
        <v>45</v>
      </c>
      <c r="B13743" t="s">
        <v>15</v>
      </c>
      <c r="C13743" t="s">
        <v>37</v>
      </c>
      <c r="D13743" t="s">
        <v>31</v>
      </c>
      <c r="E13743" t="s">
        <v>23</v>
      </c>
      <c r="F13743" t="s">
        <v>17</v>
      </c>
      <c r="G13743" s="1" t="str">
        <f t="shared" ref="G13743:M13745" si="3149">"X"</f>
        <v>X</v>
      </c>
      <c r="H13743" s="1" t="str">
        <f t="shared" si="3149"/>
        <v>X</v>
      </c>
      <c r="I13743" s="1" t="str">
        <f t="shared" si="3149"/>
        <v>X</v>
      </c>
      <c r="J13743" s="1" t="str">
        <f t="shared" si="3149"/>
        <v>X</v>
      </c>
      <c r="K13743" s="1" t="str">
        <f t="shared" si="3149"/>
        <v>X</v>
      </c>
      <c r="L13743" s="1" t="str">
        <f t="shared" si="3149"/>
        <v>X</v>
      </c>
      <c r="M13743" s="1" t="str">
        <f t="shared" si="3149"/>
        <v>X</v>
      </c>
      <c r="N13743" t="s">
        <v>27</v>
      </c>
    </row>
    <row r="13744" spans="1:14" x14ac:dyDescent="0.25">
      <c r="A13744" t="s">
        <v>45</v>
      </c>
      <c r="B13744" t="s">
        <v>15</v>
      </c>
      <c r="C13744" t="s">
        <v>37</v>
      </c>
      <c r="D13744" t="s">
        <v>31</v>
      </c>
      <c r="E13744" t="s">
        <v>23</v>
      </c>
      <c r="F13744" t="s">
        <v>18</v>
      </c>
      <c r="G13744" s="1" t="str">
        <f t="shared" si="3149"/>
        <v>X</v>
      </c>
      <c r="H13744" s="1" t="str">
        <f t="shared" si="3149"/>
        <v>X</v>
      </c>
      <c r="I13744" s="1" t="str">
        <f t="shared" si="3149"/>
        <v>X</v>
      </c>
      <c r="J13744" s="1" t="str">
        <f t="shared" si="3149"/>
        <v>X</v>
      </c>
      <c r="K13744" s="1" t="str">
        <f t="shared" si="3149"/>
        <v>X</v>
      </c>
      <c r="L13744" s="1" t="str">
        <f t="shared" si="3149"/>
        <v>X</v>
      </c>
      <c r="M13744" s="1" t="str">
        <f t="shared" si="3149"/>
        <v>X</v>
      </c>
      <c r="N13744" t="s">
        <v>27</v>
      </c>
    </row>
    <row r="13745" spans="1:14" x14ac:dyDescent="0.25">
      <c r="A13745" t="s">
        <v>45</v>
      </c>
      <c r="B13745" t="s">
        <v>15</v>
      </c>
      <c r="C13745" t="s">
        <v>37</v>
      </c>
      <c r="D13745" t="s">
        <v>31</v>
      </c>
      <c r="E13745" t="s">
        <v>23</v>
      </c>
      <c r="F13745" t="s">
        <v>19</v>
      </c>
      <c r="G13745" s="1" t="str">
        <f t="shared" si="3149"/>
        <v>X</v>
      </c>
      <c r="H13745" s="1" t="str">
        <f t="shared" si="3149"/>
        <v>X</v>
      </c>
      <c r="I13745" s="1" t="str">
        <f t="shared" si="3149"/>
        <v>X</v>
      </c>
      <c r="J13745" s="1" t="str">
        <f t="shared" si="3149"/>
        <v>X</v>
      </c>
      <c r="K13745" s="1" t="str">
        <f t="shared" si="3149"/>
        <v>X</v>
      </c>
      <c r="L13745" s="1" t="str">
        <f t="shared" si="3149"/>
        <v>X</v>
      </c>
      <c r="M13745" s="1" t="str">
        <f t="shared" si="3149"/>
        <v>X</v>
      </c>
      <c r="N13745" t="s">
        <v>27</v>
      </c>
    </row>
    <row r="13746" spans="1:14" x14ac:dyDescent="0.25">
      <c r="A13746" t="s">
        <v>45</v>
      </c>
      <c r="B13746" t="s">
        <v>15</v>
      </c>
      <c r="C13746" t="s">
        <v>37</v>
      </c>
      <c r="D13746" t="s">
        <v>31</v>
      </c>
      <c r="E13746" t="s">
        <v>23</v>
      </c>
      <c r="F13746" t="s">
        <v>20</v>
      </c>
      <c r="G13746" s="2">
        <f>VALUE(1668.2)</f>
        <v>1668.2</v>
      </c>
      <c r="H13746" s="3">
        <f>VALUE(1300.17)</f>
        <v>1300.17</v>
      </c>
      <c r="I13746" s="1">
        <f>VALUE(3422)</f>
        <v>3422</v>
      </c>
      <c r="J13746" s="1">
        <f>VALUE(3621)</f>
        <v>3621</v>
      </c>
      <c r="K13746" s="1">
        <f>VALUE(4125)</f>
        <v>4125</v>
      </c>
      <c r="L13746" s="1">
        <f>VALUE(5357)</f>
        <v>5357</v>
      </c>
      <c r="M13746" s="1">
        <f>VALUE(6078)</f>
        <v>6078</v>
      </c>
      <c r="N13746" t="s">
        <v>25</v>
      </c>
    </row>
    <row r="13747" spans="1:14" x14ac:dyDescent="0.25">
      <c r="A13747" t="s">
        <v>45</v>
      </c>
      <c r="B13747" t="s">
        <v>15</v>
      </c>
      <c r="C13747" t="s">
        <v>37</v>
      </c>
      <c r="D13747" t="s">
        <v>31</v>
      </c>
      <c r="E13747" t="s">
        <v>26</v>
      </c>
      <c r="F13747" t="s">
        <v>15</v>
      </c>
      <c r="G13747" s="1" t="str">
        <f t="shared" ref="G13747:M13747" si="3150">"X"</f>
        <v>X</v>
      </c>
      <c r="H13747" s="1" t="str">
        <f t="shared" si="3150"/>
        <v>X</v>
      </c>
      <c r="I13747" s="1" t="str">
        <f t="shared" si="3150"/>
        <v>X</v>
      </c>
      <c r="J13747" s="1" t="str">
        <f t="shared" si="3150"/>
        <v>X</v>
      </c>
      <c r="K13747" s="1" t="str">
        <f t="shared" si="3150"/>
        <v>X</v>
      </c>
      <c r="L13747" s="1" t="str">
        <f t="shared" si="3150"/>
        <v>X</v>
      </c>
      <c r="M13747" s="1" t="str">
        <f t="shared" si="3150"/>
        <v>X</v>
      </c>
      <c r="N13747" t="s">
        <v>27</v>
      </c>
    </row>
    <row r="13748" spans="1:14" x14ac:dyDescent="0.25">
      <c r="A13748" t="s">
        <v>45</v>
      </c>
      <c r="B13748" t="s">
        <v>15</v>
      </c>
      <c r="C13748" t="s">
        <v>37</v>
      </c>
      <c r="D13748" t="s">
        <v>31</v>
      </c>
      <c r="E13748" t="s">
        <v>26</v>
      </c>
      <c r="F13748" t="s">
        <v>17</v>
      </c>
      <c r="G13748" s="1" t="str">
        <f t="shared" ref="G13748:M13748" si="3151">"..."</f>
        <v>...</v>
      </c>
      <c r="H13748" s="1" t="str">
        <f t="shared" si="3151"/>
        <v>...</v>
      </c>
      <c r="I13748" s="1" t="str">
        <f t="shared" si="3151"/>
        <v>...</v>
      </c>
      <c r="J13748" s="1" t="str">
        <f t="shared" si="3151"/>
        <v>...</v>
      </c>
      <c r="K13748" s="1" t="str">
        <f t="shared" si="3151"/>
        <v>...</v>
      </c>
      <c r="L13748" s="1" t="str">
        <f t="shared" si="3151"/>
        <v>...</v>
      </c>
      <c r="M13748" s="1" t="str">
        <f t="shared" si="3151"/>
        <v>...</v>
      </c>
      <c r="N13748" t="s">
        <v>30</v>
      </c>
    </row>
    <row r="13749" spans="1:14" x14ac:dyDescent="0.25">
      <c r="A13749" t="s">
        <v>45</v>
      </c>
      <c r="B13749" t="s">
        <v>15</v>
      </c>
      <c r="C13749" t="s">
        <v>37</v>
      </c>
      <c r="D13749" t="s">
        <v>31</v>
      </c>
      <c r="E13749" t="s">
        <v>26</v>
      </c>
      <c r="F13749" t="s">
        <v>18</v>
      </c>
      <c r="G13749" s="1" t="str">
        <f t="shared" ref="G13749:M13749" si="3152">"X"</f>
        <v>X</v>
      </c>
      <c r="H13749" s="1" t="str">
        <f t="shared" si="3152"/>
        <v>X</v>
      </c>
      <c r="I13749" s="1" t="str">
        <f t="shared" si="3152"/>
        <v>X</v>
      </c>
      <c r="J13749" s="1" t="str">
        <f t="shared" si="3152"/>
        <v>X</v>
      </c>
      <c r="K13749" s="1" t="str">
        <f t="shared" si="3152"/>
        <v>X</v>
      </c>
      <c r="L13749" s="1" t="str">
        <f t="shared" si="3152"/>
        <v>X</v>
      </c>
      <c r="M13749" s="1" t="str">
        <f t="shared" si="3152"/>
        <v>X</v>
      </c>
      <c r="N13749" t="s">
        <v>27</v>
      </c>
    </row>
    <row r="13750" spans="1:14" x14ac:dyDescent="0.25">
      <c r="A13750" t="s">
        <v>45</v>
      </c>
      <c r="B13750" t="s">
        <v>15</v>
      </c>
      <c r="C13750" t="s">
        <v>37</v>
      </c>
      <c r="D13750" t="s">
        <v>31</v>
      </c>
      <c r="E13750" t="s">
        <v>26</v>
      </c>
      <c r="F13750" t="s">
        <v>19</v>
      </c>
      <c r="G13750" s="1" t="str">
        <f t="shared" ref="G13750:M13750" si="3153">"..."</f>
        <v>...</v>
      </c>
      <c r="H13750" s="1" t="str">
        <f t="shared" si="3153"/>
        <v>...</v>
      </c>
      <c r="I13750" s="1" t="str">
        <f t="shared" si="3153"/>
        <v>...</v>
      </c>
      <c r="J13750" s="1" t="str">
        <f t="shared" si="3153"/>
        <v>...</v>
      </c>
      <c r="K13750" s="1" t="str">
        <f t="shared" si="3153"/>
        <v>...</v>
      </c>
      <c r="L13750" s="1" t="str">
        <f t="shared" si="3153"/>
        <v>...</v>
      </c>
      <c r="M13750" s="1" t="str">
        <f t="shared" si="3153"/>
        <v>...</v>
      </c>
      <c r="N13750" t="s">
        <v>30</v>
      </c>
    </row>
    <row r="13751" spans="1:14" x14ac:dyDescent="0.25">
      <c r="A13751" t="s">
        <v>45</v>
      </c>
      <c r="B13751" t="s">
        <v>15</v>
      </c>
      <c r="C13751" t="s">
        <v>37</v>
      </c>
      <c r="D13751" t="s">
        <v>31</v>
      </c>
      <c r="E13751" t="s">
        <v>26</v>
      </c>
      <c r="F13751" t="s">
        <v>20</v>
      </c>
      <c r="G13751" s="1" t="str">
        <f t="shared" ref="G13751:M13751" si="3154">"X"</f>
        <v>X</v>
      </c>
      <c r="H13751" s="1" t="str">
        <f t="shared" si="3154"/>
        <v>X</v>
      </c>
      <c r="I13751" s="1" t="str">
        <f t="shared" si="3154"/>
        <v>X</v>
      </c>
      <c r="J13751" s="1" t="str">
        <f t="shared" si="3154"/>
        <v>X</v>
      </c>
      <c r="K13751" s="1" t="str">
        <f t="shared" si="3154"/>
        <v>X</v>
      </c>
      <c r="L13751" s="1" t="str">
        <f t="shared" si="3154"/>
        <v>X</v>
      </c>
      <c r="M13751" s="1" t="str">
        <f t="shared" si="3154"/>
        <v>X</v>
      </c>
      <c r="N13751" t="s">
        <v>27</v>
      </c>
    </row>
    <row r="13752" spans="1:14" x14ac:dyDescent="0.25">
      <c r="A13752" t="s">
        <v>45</v>
      </c>
      <c r="B13752" t="s">
        <v>15</v>
      </c>
      <c r="C13752" t="s">
        <v>37</v>
      </c>
      <c r="D13752" t="s">
        <v>32</v>
      </c>
      <c r="E13752" t="s">
        <v>15</v>
      </c>
      <c r="F13752" t="s">
        <v>15</v>
      </c>
      <c r="G13752" s="1">
        <f>VALUE(22516.14)</f>
        <v>22516.14</v>
      </c>
      <c r="H13752" s="1">
        <f>VALUE(21063.31)</f>
        <v>21063.31</v>
      </c>
      <c r="I13752" s="1">
        <f>VALUE(3207)</f>
        <v>3207</v>
      </c>
      <c r="J13752" s="1">
        <f>VALUE(3720)</f>
        <v>3720</v>
      </c>
      <c r="K13752" s="1">
        <f>VALUE(4615)</f>
        <v>4615</v>
      </c>
      <c r="L13752" s="1">
        <f>VALUE(5757)</f>
        <v>5757</v>
      </c>
      <c r="M13752" s="1">
        <f>VALUE(7389)</f>
        <v>7389</v>
      </c>
      <c r="N13752" t="s">
        <v>16</v>
      </c>
    </row>
    <row r="13753" spans="1:14" x14ac:dyDescent="0.25">
      <c r="A13753" t="s">
        <v>45</v>
      </c>
      <c r="B13753" t="s">
        <v>15</v>
      </c>
      <c r="C13753" t="s">
        <v>37</v>
      </c>
      <c r="D13753" t="s">
        <v>32</v>
      </c>
      <c r="E13753" t="s">
        <v>15</v>
      </c>
      <c r="F13753" t="s">
        <v>17</v>
      </c>
      <c r="G13753" s="2">
        <f>VALUE(1475.18)</f>
        <v>1475.18</v>
      </c>
      <c r="H13753" s="3">
        <f>VALUE(1359.87)</f>
        <v>1359.87</v>
      </c>
      <c r="I13753" s="4">
        <f>VALUE(4292)</f>
        <v>4292</v>
      </c>
      <c r="J13753" s="1">
        <f>VALUE(5291)</f>
        <v>5291</v>
      </c>
      <c r="K13753" s="1">
        <f>VALUE(7364)</f>
        <v>7364</v>
      </c>
      <c r="L13753" s="7">
        <f>VALUE(10553)</f>
        <v>10553</v>
      </c>
      <c r="M13753" s="1">
        <f>VALUE(14558)</f>
        <v>14558</v>
      </c>
      <c r="N13753" t="s">
        <v>25</v>
      </c>
    </row>
    <row r="13754" spans="1:14" x14ac:dyDescent="0.25">
      <c r="A13754" t="s">
        <v>45</v>
      </c>
      <c r="B13754" t="s">
        <v>15</v>
      </c>
      <c r="C13754" t="s">
        <v>37</v>
      </c>
      <c r="D13754" t="s">
        <v>32</v>
      </c>
      <c r="E13754" t="s">
        <v>15</v>
      </c>
      <c r="F13754" t="s">
        <v>18</v>
      </c>
      <c r="G13754" s="2">
        <f>VALUE(1687.23)</f>
        <v>1687.23</v>
      </c>
      <c r="H13754" s="1">
        <f>VALUE(1532.01)</f>
        <v>1532.01</v>
      </c>
      <c r="I13754" s="1">
        <f>VALUE(4088)</f>
        <v>4088</v>
      </c>
      <c r="J13754" s="1">
        <f>VALUE(4767)</f>
        <v>4767</v>
      </c>
      <c r="K13754" s="1">
        <f>VALUE(6042)</f>
        <v>6042</v>
      </c>
      <c r="L13754" s="1">
        <f>VALUE(7978)</f>
        <v>7978</v>
      </c>
      <c r="M13754" s="8">
        <f>VALUE(10087)</f>
        <v>10087</v>
      </c>
      <c r="N13754" t="s">
        <v>25</v>
      </c>
    </row>
    <row r="13755" spans="1:14" x14ac:dyDescent="0.25">
      <c r="A13755" t="s">
        <v>45</v>
      </c>
      <c r="B13755" t="s">
        <v>15</v>
      </c>
      <c r="C13755" t="s">
        <v>37</v>
      </c>
      <c r="D13755" t="s">
        <v>32</v>
      </c>
      <c r="E13755" t="s">
        <v>15</v>
      </c>
      <c r="F13755" t="s">
        <v>19</v>
      </c>
      <c r="G13755" s="1">
        <f>VALUE(2178.85)</f>
        <v>2178.85</v>
      </c>
      <c r="H13755" s="1">
        <f>VALUE(2127.94)</f>
        <v>2127.94</v>
      </c>
      <c r="I13755" s="1">
        <f>VALUE(3823)</f>
        <v>3823</v>
      </c>
      <c r="J13755" s="1">
        <f>VALUE(4425)</f>
        <v>4425</v>
      </c>
      <c r="K13755" s="1">
        <f>VALUE(5233)</f>
        <v>5233</v>
      </c>
      <c r="L13755" s="1">
        <f>VALUE(6386)</f>
        <v>6386</v>
      </c>
      <c r="M13755" s="1">
        <f>VALUE(7643)</f>
        <v>7643</v>
      </c>
      <c r="N13755" t="s">
        <v>16</v>
      </c>
    </row>
    <row r="13756" spans="1:14" x14ac:dyDescent="0.25">
      <c r="A13756" t="s">
        <v>45</v>
      </c>
      <c r="B13756" t="s">
        <v>15</v>
      </c>
      <c r="C13756" t="s">
        <v>37</v>
      </c>
      <c r="D13756" t="s">
        <v>32</v>
      </c>
      <c r="E13756" t="s">
        <v>15</v>
      </c>
      <c r="F13756" t="s">
        <v>20</v>
      </c>
      <c r="G13756" s="1">
        <f>VALUE(17174.88)</f>
        <v>17174.88</v>
      </c>
      <c r="H13756" s="1">
        <f>VALUE(16043.49)</f>
        <v>16043.49</v>
      </c>
      <c r="I13756" s="1">
        <f>VALUE(3099)</f>
        <v>3099</v>
      </c>
      <c r="J13756" s="1">
        <f>VALUE(3535)</f>
        <v>3535</v>
      </c>
      <c r="K13756" s="1">
        <f>VALUE(4343)</f>
        <v>4343</v>
      </c>
      <c r="L13756" s="1">
        <f>VALUE(5308)</f>
        <v>5308</v>
      </c>
      <c r="M13756" s="1">
        <f>VALUE(6359)</f>
        <v>6359</v>
      </c>
      <c r="N13756" t="s">
        <v>16</v>
      </c>
    </row>
    <row r="13757" spans="1:14" x14ac:dyDescent="0.25">
      <c r="A13757" t="s">
        <v>45</v>
      </c>
      <c r="B13757" t="s">
        <v>15</v>
      </c>
      <c r="C13757" t="s">
        <v>37</v>
      </c>
      <c r="D13757" t="s">
        <v>32</v>
      </c>
      <c r="E13757" t="s">
        <v>21</v>
      </c>
      <c r="F13757" t="s">
        <v>15</v>
      </c>
      <c r="G13757" s="1">
        <f>VALUE(5445.37)</f>
        <v>5445.37</v>
      </c>
      <c r="H13757" s="1">
        <f>VALUE(4932.46)</f>
        <v>4932.46</v>
      </c>
      <c r="I13757" s="1">
        <f>VALUE(3743)</f>
        <v>3743</v>
      </c>
      <c r="J13757" s="1">
        <f>VALUE(4588)</f>
        <v>4588</v>
      </c>
      <c r="K13757" s="1">
        <f>VALUE(5958)</f>
        <v>5958</v>
      </c>
      <c r="L13757" s="1">
        <f>VALUE(7969)</f>
        <v>7969</v>
      </c>
      <c r="M13757" s="1">
        <f>VALUE(10765)</f>
        <v>10765</v>
      </c>
      <c r="N13757" t="s">
        <v>16</v>
      </c>
    </row>
    <row r="13758" spans="1:14" x14ac:dyDescent="0.25">
      <c r="A13758" t="s">
        <v>45</v>
      </c>
      <c r="B13758" t="s">
        <v>15</v>
      </c>
      <c r="C13758" t="s">
        <v>37</v>
      </c>
      <c r="D13758" t="s">
        <v>32</v>
      </c>
      <c r="E13758" t="s">
        <v>21</v>
      </c>
      <c r="F13758" t="s">
        <v>17</v>
      </c>
      <c r="G13758" s="2">
        <f>VALUE(961.93)</f>
        <v>961.93</v>
      </c>
      <c r="H13758" s="3">
        <f>VALUE(854.99)</f>
        <v>854.99</v>
      </c>
      <c r="I13758" s="4">
        <f>VALUE(4658)</f>
        <v>4658</v>
      </c>
      <c r="J13758" s="1">
        <f>VALUE(6031)</f>
        <v>6031</v>
      </c>
      <c r="K13758" s="1">
        <f>VALUE(8650)</f>
        <v>8650</v>
      </c>
      <c r="L13758" s="7">
        <f>VALUE(11858)</f>
        <v>11858</v>
      </c>
      <c r="M13758" s="8">
        <f>VALUE(14558)</f>
        <v>14558</v>
      </c>
      <c r="N13758" t="s">
        <v>25</v>
      </c>
    </row>
    <row r="13759" spans="1:14" x14ac:dyDescent="0.25">
      <c r="A13759" t="s">
        <v>45</v>
      </c>
      <c r="B13759" t="s">
        <v>15</v>
      </c>
      <c r="C13759" t="s">
        <v>37</v>
      </c>
      <c r="D13759" t="s">
        <v>32</v>
      </c>
      <c r="E13759" t="s">
        <v>21</v>
      </c>
      <c r="F13759" t="s">
        <v>18</v>
      </c>
      <c r="G13759" s="2">
        <f>VALUE(940.72)</f>
        <v>940.72</v>
      </c>
      <c r="H13759" s="3">
        <f>VALUE(862.84)</f>
        <v>862.84</v>
      </c>
      <c r="I13759" s="1">
        <f>VALUE(4334)</f>
        <v>4334</v>
      </c>
      <c r="J13759" s="1">
        <f>VALUE(5092)</f>
        <v>5092</v>
      </c>
      <c r="K13759" s="1">
        <f>VALUE(6919)</f>
        <v>6919</v>
      </c>
      <c r="L13759" s="1">
        <f>VALUE(9031)</f>
        <v>9031</v>
      </c>
      <c r="M13759" s="1">
        <f>VALUE(11410)</f>
        <v>11410</v>
      </c>
      <c r="N13759" t="s">
        <v>25</v>
      </c>
    </row>
    <row r="13760" spans="1:14" x14ac:dyDescent="0.25">
      <c r="A13760" t="s">
        <v>45</v>
      </c>
      <c r="B13760" t="s">
        <v>15</v>
      </c>
      <c r="C13760" t="s">
        <v>37</v>
      </c>
      <c r="D13760" t="s">
        <v>32</v>
      </c>
      <c r="E13760" t="s">
        <v>21</v>
      </c>
      <c r="F13760" t="s">
        <v>19</v>
      </c>
      <c r="G13760" s="2">
        <f>VALUE(780.34)</f>
        <v>780.34</v>
      </c>
      <c r="H13760" s="3">
        <f>VALUE(738.68)</f>
        <v>738.68</v>
      </c>
      <c r="I13760" s="1">
        <f>VALUE(4200)</f>
        <v>4200</v>
      </c>
      <c r="J13760" s="1">
        <f>VALUE(4980)</f>
        <v>4980</v>
      </c>
      <c r="K13760" s="1">
        <f>VALUE(6229)</f>
        <v>6229</v>
      </c>
      <c r="L13760" s="1">
        <f>VALUE(7537)</f>
        <v>7537</v>
      </c>
      <c r="M13760" s="8">
        <f>VALUE(9478)</f>
        <v>9478</v>
      </c>
      <c r="N13760" t="s">
        <v>25</v>
      </c>
    </row>
    <row r="13761" spans="1:14" x14ac:dyDescent="0.25">
      <c r="A13761" t="s">
        <v>45</v>
      </c>
      <c r="B13761" t="s">
        <v>15</v>
      </c>
      <c r="C13761" t="s">
        <v>37</v>
      </c>
      <c r="D13761" t="s">
        <v>32</v>
      </c>
      <c r="E13761" t="s">
        <v>21</v>
      </c>
      <c r="F13761" t="s">
        <v>20</v>
      </c>
      <c r="G13761" s="1">
        <f>VALUE(2762.38)</f>
        <v>2762.38</v>
      </c>
      <c r="H13761" s="1">
        <f>VALUE(2475.95)</f>
        <v>2475.9499999999998</v>
      </c>
      <c r="I13761" s="1">
        <f>VALUE(3409)</f>
        <v>3409</v>
      </c>
      <c r="J13761" s="1">
        <f>VALUE(4100)</f>
        <v>4100</v>
      </c>
      <c r="K13761" s="1">
        <f>VALUE(5158)</f>
        <v>5158</v>
      </c>
      <c r="L13761" s="1">
        <f>VALUE(6583)</f>
        <v>6583</v>
      </c>
      <c r="M13761" s="1">
        <f>VALUE(8088)</f>
        <v>8088</v>
      </c>
      <c r="N13761" t="s">
        <v>16</v>
      </c>
    </row>
    <row r="13762" spans="1:14" x14ac:dyDescent="0.25">
      <c r="A13762" t="s">
        <v>45</v>
      </c>
      <c r="B13762" t="s">
        <v>15</v>
      </c>
      <c r="C13762" t="s">
        <v>37</v>
      </c>
      <c r="D13762" t="s">
        <v>32</v>
      </c>
      <c r="E13762" t="s">
        <v>22</v>
      </c>
      <c r="F13762" t="s">
        <v>15</v>
      </c>
      <c r="G13762" s="1">
        <f>VALUE(7583.84)</f>
        <v>7583.84</v>
      </c>
      <c r="H13762" s="1">
        <f>VALUE(7240.84)</f>
        <v>7240.84</v>
      </c>
      <c r="I13762" s="1">
        <f>VALUE(3411)</f>
        <v>3411</v>
      </c>
      <c r="J13762" s="1">
        <f>VALUE(3971)</f>
        <v>3971</v>
      </c>
      <c r="K13762" s="1">
        <f>VALUE(4744)</f>
        <v>4744</v>
      </c>
      <c r="L13762" s="1">
        <f>VALUE(5668)</f>
        <v>5668</v>
      </c>
      <c r="M13762" s="1">
        <f>VALUE(6733)</f>
        <v>6733</v>
      </c>
      <c r="N13762" t="s">
        <v>16</v>
      </c>
    </row>
    <row r="13763" spans="1:14" x14ac:dyDescent="0.25">
      <c r="A13763" t="s">
        <v>45</v>
      </c>
      <c r="B13763" t="s">
        <v>15</v>
      </c>
      <c r="C13763" t="s">
        <v>37</v>
      </c>
      <c r="D13763" t="s">
        <v>32</v>
      </c>
      <c r="E13763" t="s">
        <v>22</v>
      </c>
      <c r="F13763" t="s">
        <v>17</v>
      </c>
      <c r="G13763" s="2">
        <f>VALUE(420.88)</f>
        <v>420.88</v>
      </c>
      <c r="H13763" s="3">
        <f>VALUE(409.96)</f>
        <v>409.96</v>
      </c>
      <c r="I13763" s="4">
        <f>VALUE(4388)</f>
        <v>4388</v>
      </c>
      <c r="J13763" s="5">
        <f>VALUE(4620)</f>
        <v>4620</v>
      </c>
      <c r="K13763" s="6">
        <f>VALUE(5833)</f>
        <v>5833</v>
      </c>
      <c r="L13763" s="7">
        <f>VALUE(8038)</f>
        <v>8038</v>
      </c>
      <c r="M13763" s="8">
        <f>VALUE(10796)</f>
        <v>10796</v>
      </c>
      <c r="N13763" t="s">
        <v>24</v>
      </c>
    </row>
    <row r="13764" spans="1:14" x14ac:dyDescent="0.25">
      <c r="A13764" t="s">
        <v>45</v>
      </c>
      <c r="B13764" t="s">
        <v>15</v>
      </c>
      <c r="C13764" t="s">
        <v>37</v>
      </c>
      <c r="D13764" t="s">
        <v>32</v>
      </c>
      <c r="E13764" t="s">
        <v>22</v>
      </c>
      <c r="F13764" t="s">
        <v>18</v>
      </c>
      <c r="G13764" s="2">
        <f>VALUE(521.54)</f>
        <v>521.54</v>
      </c>
      <c r="H13764" s="3">
        <f>VALUE(464)</f>
        <v>464</v>
      </c>
      <c r="I13764" s="1">
        <f>VALUE(4000)</f>
        <v>4000</v>
      </c>
      <c r="J13764" s="1">
        <f>VALUE(4533)</f>
        <v>4533</v>
      </c>
      <c r="K13764" s="1">
        <f>VALUE(5325)</f>
        <v>5325</v>
      </c>
      <c r="L13764" s="1">
        <f>VALUE(6421)</f>
        <v>6421</v>
      </c>
      <c r="M13764" s="1">
        <f>VALUE(8049)</f>
        <v>8049</v>
      </c>
      <c r="N13764" t="s">
        <v>25</v>
      </c>
    </row>
    <row r="13765" spans="1:14" x14ac:dyDescent="0.25">
      <c r="A13765" t="s">
        <v>45</v>
      </c>
      <c r="B13765" t="s">
        <v>15</v>
      </c>
      <c r="C13765" t="s">
        <v>37</v>
      </c>
      <c r="D13765" t="s">
        <v>32</v>
      </c>
      <c r="E13765" t="s">
        <v>22</v>
      </c>
      <c r="F13765" t="s">
        <v>19</v>
      </c>
      <c r="G13765" s="2">
        <f>VALUE(961.55)</f>
        <v>961.55</v>
      </c>
      <c r="H13765" s="3">
        <f>VALUE(949.05)</f>
        <v>949.05</v>
      </c>
      <c r="I13765" s="1">
        <f>VALUE(3814)</f>
        <v>3814</v>
      </c>
      <c r="J13765" s="1">
        <f>VALUE(4333)</f>
        <v>4333</v>
      </c>
      <c r="K13765" s="1">
        <f>VALUE(5079)</f>
        <v>5079</v>
      </c>
      <c r="L13765" s="1">
        <f>VALUE(5848)</f>
        <v>5848</v>
      </c>
      <c r="M13765" s="1">
        <f>VALUE(7079)</f>
        <v>7079</v>
      </c>
      <c r="N13765" t="s">
        <v>25</v>
      </c>
    </row>
    <row r="13766" spans="1:14" x14ac:dyDescent="0.25">
      <c r="A13766" t="s">
        <v>45</v>
      </c>
      <c r="B13766" t="s">
        <v>15</v>
      </c>
      <c r="C13766" t="s">
        <v>37</v>
      </c>
      <c r="D13766" t="s">
        <v>32</v>
      </c>
      <c r="E13766" t="s">
        <v>22</v>
      </c>
      <c r="F13766" t="s">
        <v>20</v>
      </c>
      <c r="G13766" s="1">
        <f>VALUE(5679.87)</f>
        <v>5679.87</v>
      </c>
      <c r="H13766" s="1">
        <f>VALUE(5417.83)</f>
        <v>5417.83</v>
      </c>
      <c r="I13766" s="1">
        <f>VALUE(3326)</f>
        <v>3326</v>
      </c>
      <c r="J13766" s="1">
        <f>VALUE(3819)</f>
        <v>3819</v>
      </c>
      <c r="K13766" s="1">
        <f>VALUE(4657)</f>
        <v>4657</v>
      </c>
      <c r="L13766" s="1">
        <f>VALUE(5470)</f>
        <v>5470</v>
      </c>
      <c r="M13766" s="1">
        <f>VALUE(6298)</f>
        <v>6298</v>
      </c>
      <c r="N13766" t="s">
        <v>16</v>
      </c>
    </row>
    <row r="13767" spans="1:14" x14ac:dyDescent="0.25">
      <c r="A13767" t="s">
        <v>45</v>
      </c>
      <c r="B13767" t="s">
        <v>15</v>
      </c>
      <c r="C13767" t="s">
        <v>37</v>
      </c>
      <c r="D13767" t="s">
        <v>32</v>
      </c>
      <c r="E13767" t="s">
        <v>23</v>
      </c>
      <c r="F13767" t="s">
        <v>15</v>
      </c>
      <c r="G13767" s="1">
        <f>VALUE(9355.61)</f>
        <v>9355.61</v>
      </c>
      <c r="H13767" s="1">
        <f>VALUE(8761.81)</f>
        <v>8761.81</v>
      </c>
      <c r="I13767" s="1">
        <f>VALUE(3001)</f>
        <v>3001</v>
      </c>
      <c r="J13767" s="1">
        <f>VALUE(3378)</f>
        <v>3378</v>
      </c>
      <c r="K13767" s="1">
        <f>VALUE(4017)</f>
        <v>4017</v>
      </c>
      <c r="L13767" s="1">
        <f>VALUE(4922)</f>
        <v>4922</v>
      </c>
      <c r="M13767" s="1">
        <f>VALUE(5829)</f>
        <v>5829</v>
      </c>
      <c r="N13767" t="s">
        <v>16</v>
      </c>
    </row>
    <row r="13768" spans="1:14" x14ac:dyDescent="0.25">
      <c r="A13768" t="s">
        <v>45</v>
      </c>
      <c r="B13768" t="s">
        <v>15</v>
      </c>
      <c r="C13768" t="s">
        <v>37</v>
      </c>
      <c r="D13768" t="s">
        <v>32</v>
      </c>
      <c r="E13768" t="s">
        <v>23</v>
      </c>
      <c r="F13768" t="s">
        <v>17</v>
      </c>
      <c r="G13768" s="1" t="str">
        <f t="shared" ref="G13768:M13768" si="3155">"X"</f>
        <v>X</v>
      </c>
      <c r="H13768" s="1" t="str">
        <f t="shared" si="3155"/>
        <v>X</v>
      </c>
      <c r="I13768" s="1" t="str">
        <f t="shared" si="3155"/>
        <v>X</v>
      </c>
      <c r="J13768" s="1" t="str">
        <f t="shared" si="3155"/>
        <v>X</v>
      </c>
      <c r="K13768" s="1" t="str">
        <f t="shared" si="3155"/>
        <v>X</v>
      </c>
      <c r="L13768" s="1" t="str">
        <f t="shared" si="3155"/>
        <v>X</v>
      </c>
      <c r="M13768" s="1" t="str">
        <f t="shared" si="3155"/>
        <v>X</v>
      </c>
      <c r="N13768" t="s">
        <v>27</v>
      </c>
    </row>
    <row r="13769" spans="1:14" x14ac:dyDescent="0.25">
      <c r="A13769" t="s">
        <v>45</v>
      </c>
      <c r="B13769" t="s">
        <v>15</v>
      </c>
      <c r="C13769" t="s">
        <v>37</v>
      </c>
      <c r="D13769" t="s">
        <v>32</v>
      </c>
      <c r="E13769" t="s">
        <v>23</v>
      </c>
      <c r="F13769" t="s">
        <v>18</v>
      </c>
      <c r="G13769" s="2">
        <f>VALUE(199.16)</f>
        <v>199.16</v>
      </c>
      <c r="H13769" s="3">
        <f>VALUE(179.1)</f>
        <v>179.1</v>
      </c>
      <c r="I13769" s="1">
        <f>VALUE(3570)</f>
        <v>3570</v>
      </c>
      <c r="J13769" s="1">
        <f>VALUE(4146)</f>
        <v>4146</v>
      </c>
      <c r="K13769" s="1">
        <f>VALUE(4692)</f>
        <v>4692</v>
      </c>
      <c r="L13769" s="7">
        <f>VALUE(5577)</f>
        <v>5577</v>
      </c>
      <c r="M13769" s="8">
        <f>VALUE(6813)</f>
        <v>6813</v>
      </c>
      <c r="N13769" t="s">
        <v>25</v>
      </c>
    </row>
    <row r="13770" spans="1:14" x14ac:dyDescent="0.25">
      <c r="A13770" t="s">
        <v>45</v>
      </c>
      <c r="B13770" t="s">
        <v>15</v>
      </c>
      <c r="C13770" t="s">
        <v>37</v>
      </c>
      <c r="D13770" t="s">
        <v>32</v>
      </c>
      <c r="E13770" t="s">
        <v>23</v>
      </c>
      <c r="F13770" t="s">
        <v>19</v>
      </c>
      <c r="G13770" s="2">
        <f>VALUE(430.4)</f>
        <v>430.4</v>
      </c>
      <c r="H13770" s="3">
        <f>VALUE(435.43)</f>
        <v>435.43</v>
      </c>
      <c r="I13770" s="1">
        <f>VALUE(3623)</f>
        <v>3623</v>
      </c>
      <c r="J13770" s="1">
        <f>VALUE(4131)</f>
        <v>4131</v>
      </c>
      <c r="K13770" s="1">
        <f>VALUE(4739)</f>
        <v>4739</v>
      </c>
      <c r="L13770" s="1">
        <f>VALUE(5363)</f>
        <v>5363</v>
      </c>
      <c r="M13770" s="1">
        <f>VALUE(6145)</f>
        <v>6145</v>
      </c>
      <c r="N13770" t="s">
        <v>25</v>
      </c>
    </row>
    <row r="13771" spans="1:14" x14ac:dyDescent="0.25">
      <c r="A13771" t="s">
        <v>45</v>
      </c>
      <c r="B13771" t="s">
        <v>15</v>
      </c>
      <c r="C13771" t="s">
        <v>37</v>
      </c>
      <c r="D13771" t="s">
        <v>32</v>
      </c>
      <c r="E13771" t="s">
        <v>23</v>
      </c>
      <c r="F13771" t="s">
        <v>20</v>
      </c>
      <c r="G13771" s="1">
        <f>VALUE(8637.31)</f>
        <v>8637.31</v>
      </c>
      <c r="H13771" s="1">
        <f>VALUE(8056.02)</f>
        <v>8056.02</v>
      </c>
      <c r="I13771" s="1">
        <f>VALUE(2996)</f>
        <v>2996</v>
      </c>
      <c r="J13771" s="1">
        <f>VALUE(3344)</f>
        <v>3344</v>
      </c>
      <c r="K13771" s="1">
        <f>VALUE(3943)</f>
        <v>3943</v>
      </c>
      <c r="L13771" s="1">
        <f>VALUE(4817)</f>
        <v>4817</v>
      </c>
      <c r="M13771" s="1">
        <f>VALUE(5762)</f>
        <v>5762</v>
      </c>
      <c r="N13771" t="s">
        <v>16</v>
      </c>
    </row>
    <row r="13772" spans="1:14" x14ac:dyDescent="0.25">
      <c r="A13772" t="s">
        <v>45</v>
      </c>
      <c r="B13772" t="s">
        <v>15</v>
      </c>
      <c r="C13772" t="s">
        <v>37</v>
      </c>
      <c r="D13772" t="s">
        <v>32</v>
      </c>
      <c r="E13772" t="s">
        <v>26</v>
      </c>
      <c r="F13772" t="s">
        <v>15</v>
      </c>
      <c r="G13772" s="2">
        <f>VALUE(131.32)</f>
        <v>131.32</v>
      </c>
      <c r="H13772" s="3">
        <f>VALUE(128.2)</f>
        <v>128.19999999999999</v>
      </c>
      <c r="I13772" s="1">
        <f>VALUE(3500)</f>
        <v>3500</v>
      </c>
      <c r="J13772" s="1">
        <f>VALUE(4275)</f>
        <v>4275</v>
      </c>
      <c r="K13772" s="1">
        <f>VALUE(5599)</f>
        <v>5599</v>
      </c>
      <c r="L13772" s="1">
        <f>VALUE(7799)</f>
        <v>7799</v>
      </c>
      <c r="M13772" s="1">
        <f>VALUE(8769)</f>
        <v>8769</v>
      </c>
      <c r="N13772" t="s">
        <v>25</v>
      </c>
    </row>
    <row r="13773" spans="1:14" x14ac:dyDescent="0.25">
      <c r="A13773" t="s">
        <v>45</v>
      </c>
      <c r="B13773" t="s">
        <v>15</v>
      </c>
      <c r="C13773" t="s">
        <v>37</v>
      </c>
      <c r="D13773" t="s">
        <v>32</v>
      </c>
      <c r="E13773" t="s">
        <v>26</v>
      </c>
      <c r="F13773" t="s">
        <v>17</v>
      </c>
      <c r="G13773" s="1" t="str">
        <f t="shared" ref="G13773:M13776" si="3156">"X"</f>
        <v>X</v>
      </c>
      <c r="H13773" s="1" t="str">
        <f t="shared" si="3156"/>
        <v>X</v>
      </c>
      <c r="I13773" s="1" t="str">
        <f t="shared" si="3156"/>
        <v>X</v>
      </c>
      <c r="J13773" s="1" t="str">
        <f t="shared" si="3156"/>
        <v>X</v>
      </c>
      <c r="K13773" s="1" t="str">
        <f t="shared" si="3156"/>
        <v>X</v>
      </c>
      <c r="L13773" s="1" t="str">
        <f t="shared" si="3156"/>
        <v>X</v>
      </c>
      <c r="M13773" s="1" t="str">
        <f t="shared" si="3156"/>
        <v>X</v>
      </c>
      <c r="N13773" t="s">
        <v>27</v>
      </c>
    </row>
    <row r="13774" spans="1:14" x14ac:dyDescent="0.25">
      <c r="A13774" t="s">
        <v>45</v>
      </c>
      <c r="B13774" t="s">
        <v>15</v>
      </c>
      <c r="C13774" t="s">
        <v>37</v>
      </c>
      <c r="D13774" t="s">
        <v>32</v>
      </c>
      <c r="E13774" t="s">
        <v>26</v>
      </c>
      <c r="F13774" t="s">
        <v>18</v>
      </c>
      <c r="G13774" s="1" t="str">
        <f t="shared" si="3156"/>
        <v>X</v>
      </c>
      <c r="H13774" s="1" t="str">
        <f t="shared" si="3156"/>
        <v>X</v>
      </c>
      <c r="I13774" s="1" t="str">
        <f t="shared" si="3156"/>
        <v>X</v>
      </c>
      <c r="J13774" s="1" t="str">
        <f t="shared" si="3156"/>
        <v>X</v>
      </c>
      <c r="K13774" s="1" t="str">
        <f t="shared" si="3156"/>
        <v>X</v>
      </c>
      <c r="L13774" s="1" t="str">
        <f t="shared" si="3156"/>
        <v>X</v>
      </c>
      <c r="M13774" s="1" t="str">
        <f t="shared" si="3156"/>
        <v>X</v>
      </c>
      <c r="N13774" t="s">
        <v>27</v>
      </c>
    </row>
    <row r="13775" spans="1:14" x14ac:dyDescent="0.25">
      <c r="A13775" t="s">
        <v>45</v>
      </c>
      <c r="B13775" t="s">
        <v>15</v>
      </c>
      <c r="C13775" t="s">
        <v>37</v>
      </c>
      <c r="D13775" t="s">
        <v>32</v>
      </c>
      <c r="E13775" t="s">
        <v>26</v>
      </c>
      <c r="F13775" t="s">
        <v>19</v>
      </c>
      <c r="G13775" s="1" t="str">
        <f t="shared" si="3156"/>
        <v>X</v>
      </c>
      <c r="H13775" s="1" t="str">
        <f t="shared" si="3156"/>
        <v>X</v>
      </c>
      <c r="I13775" s="1" t="str">
        <f t="shared" si="3156"/>
        <v>X</v>
      </c>
      <c r="J13775" s="1" t="str">
        <f t="shared" si="3156"/>
        <v>X</v>
      </c>
      <c r="K13775" s="1" t="str">
        <f t="shared" si="3156"/>
        <v>X</v>
      </c>
      <c r="L13775" s="1" t="str">
        <f t="shared" si="3156"/>
        <v>X</v>
      </c>
      <c r="M13775" s="1" t="str">
        <f t="shared" si="3156"/>
        <v>X</v>
      </c>
      <c r="N13775" t="s">
        <v>27</v>
      </c>
    </row>
    <row r="13776" spans="1:14" x14ac:dyDescent="0.25">
      <c r="A13776" t="s">
        <v>45</v>
      </c>
      <c r="B13776" t="s">
        <v>15</v>
      </c>
      <c r="C13776" t="s">
        <v>37</v>
      </c>
      <c r="D13776" t="s">
        <v>32</v>
      </c>
      <c r="E13776" t="s">
        <v>26</v>
      </c>
      <c r="F13776" t="s">
        <v>20</v>
      </c>
      <c r="G13776" s="1" t="str">
        <f t="shared" si="3156"/>
        <v>X</v>
      </c>
      <c r="H13776" s="1" t="str">
        <f t="shared" si="3156"/>
        <v>X</v>
      </c>
      <c r="I13776" s="1" t="str">
        <f t="shared" si="3156"/>
        <v>X</v>
      </c>
      <c r="J13776" s="1" t="str">
        <f t="shared" si="3156"/>
        <v>X</v>
      </c>
      <c r="K13776" s="1" t="str">
        <f t="shared" si="3156"/>
        <v>X</v>
      </c>
      <c r="L13776" s="1" t="str">
        <f t="shared" si="3156"/>
        <v>X</v>
      </c>
      <c r="M13776" s="1" t="str">
        <f t="shared" si="3156"/>
        <v>X</v>
      </c>
      <c r="N13776" t="s">
        <v>27</v>
      </c>
    </row>
    <row r="13777" spans="1:14" x14ac:dyDescent="0.25">
      <c r="A13777" t="s">
        <v>45</v>
      </c>
      <c r="B13777" t="s">
        <v>15</v>
      </c>
      <c r="C13777" t="s">
        <v>37</v>
      </c>
      <c r="D13777" t="s">
        <v>33</v>
      </c>
      <c r="E13777" t="s">
        <v>15</v>
      </c>
      <c r="F13777" t="s">
        <v>15</v>
      </c>
      <c r="G13777" s="2">
        <f>VALUE(234.73)</f>
        <v>234.73</v>
      </c>
      <c r="H13777" s="3">
        <f>VALUE(228.1)</f>
        <v>228.1</v>
      </c>
      <c r="I13777" s="1">
        <f>VALUE(3356)</f>
        <v>3356</v>
      </c>
      <c r="J13777" s="5">
        <f>VALUE(4400)</f>
        <v>4400</v>
      </c>
      <c r="K13777" s="1">
        <f>VALUE(5826)</f>
        <v>5826</v>
      </c>
      <c r="L13777" s="7">
        <f>VALUE(7064)</f>
        <v>7064</v>
      </c>
      <c r="M13777" s="8">
        <f>VALUE(10336)</f>
        <v>10336</v>
      </c>
      <c r="N13777" t="s">
        <v>25</v>
      </c>
    </row>
    <row r="13778" spans="1:14" x14ac:dyDescent="0.25">
      <c r="A13778" t="s">
        <v>45</v>
      </c>
      <c r="B13778" t="s">
        <v>15</v>
      </c>
      <c r="C13778" t="s">
        <v>37</v>
      </c>
      <c r="D13778" t="s">
        <v>33</v>
      </c>
      <c r="E13778" t="s">
        <v>15</v>
      </c>
      <c r="F13778" t="s">
        <v>17</v>
      </c>
      <c r="G13778" s="1" t="str">
        <f t="shared" ref="G13778:M13780" si="3157">"X"</f>
        <v>X</v>
      </c>
      <c r="H13778" s="1" t="str">
        <f t="shared" si="3157"/>
        <v>X</v>
      </c>
      <c r="I13778" s="1" t="str">
        <f t="shared" si="3157"/>
        <v>X</v>
      </c>
      <c r="J13778" s="1" t="str">
        <f t="shared" si="3157"/>
        <v>X</v>
      </c>
      <c r="K13778" s="1" t="str">
        <f t="shared" si="3157"/>
        <v>X</v>
      </c>
      <c r="L13778" s="1" t="str">
        <f t="shared" si="3157"/>
        <v>X</v>
      </c>
      <c r="M13778" s="1" t="str">
        <f t="shared" si="3157"/>
        <v>X</v>
      </c>
      <c r="N13778" t="s">
        <v>27</v>
      </c>
    </row>
    <row r="13779" spans="1:14" x14ac:dyDescent="0.25">
      <c r="A13779" t="s">
        <v>45</v>
      </c>
      <c r="B13779" t="s">
        <v>15</v>
      </c>
      <c r="C13779" t="s">
        <v>37</v>
      </c>
      <c r="D13779" t="s">
        <v>33</v>
      </c>
      <c r="E13779" t="s">
        <v>15</v>
      </c>
      <c r="F13779" t="s">
        <v>18</v>
      </c>
      <c r="G13779" s="1" t="str">
        <f t="shared" si="3157"/>
        <v>X</v>
      </c>
      <c r="H13779" s="1" t="str">
        <f t="shared" si="3157"/>
        <v>X</v>
      </c>
      <c r="I13779" s="1" t="str">
        <f t="shared" si="3157"/>
        <v>X</v>
      </c>
      <c r="J13779" s="1" t="str">
        <f t="shared" si="3157"/>
        <v>X</v>
      </c>
      <c r="K13779" s="1" t="str">
        <f t="shared" si="3157"/>
        <v>X</v>
      </c>
      <c r="L13779" s="1" t="str">
        <f t="shared" si="3157"/>
        <v>X</v>
      </c>
      <c r="M13779" s="1" t="str">
        <f t="shared" si="3157"/>
        <v>X</v>
      </c>
      <c r="N13779" t="s">
        <v>27</v>
      </c>
    </row>
    <row r="13780" spans="1:14" x14ac:dyDescent="0.25">
      <c r="A13780" t="s">
        <v>45</v>
      </c>
      <c r="B13780" t="s">
        <v>15</v>
      </c>
      <c r="C13780" t="s">
        <v>37</v>
      </c>
      <c r="D13780" t="s">
        <v>33</v>
      </c>
      <c r="E13780" t="s">
        <v>15</v>
      </c>
      <c r="F13780" t="s">
        <v>19</v>
      </c>
      <c r="G13780" s="1" t="str">
        <f t="shared" si="3157"/>
        <v>X</v>
      </c>
      <c r="H13780" s="1" t="str">
        <f t="shared" si="3157"/>
        <v>X</v>
      </c>
      <c r="I13780" s="1" t="str">
        <f t="shared" si="3157"/>
        <v>X</v>
      </c>
      <c r="J13780" s="1" t="str">
        <f t="shared" si="3157"/>
        <v>X</v>
      </c>
      <c r="K13780" s="1" t="str">
        <f t="shared" si="3157"/>
        <v>X</v>
      </c>
      <c r="L13780" s="1" t="str">
        <f t="shared" si="3157"/>
        <v>X</v>
      </c>
      <c r="M13780" s="1" t="str">
        <f t="shared" si="3157"/>
        <v>X</v>
      </c>
      <c r="N13780" t="s">
        <v>27</v>
      </c>
    </row>
    <row r="13781" spans="1:14" x14ac:dyDescent="0.25">
      <c r="A13781" t="s">
        <v>45</v>
      </c>
      <c r="B13781" t="s">
        <v>15</v>
      </c>
      <c r="C13781" t="s">
        <v>37</v>
      </c>
      <c r="D13781" t="s">
        <v>33</v>
      </c>
      <c r="E13781" t="s">
        <v>15</v>
      </c>
      <c r="F13781" t="s">
        <v>20</v>
      </c>
      <c r="G13781" s="2">
        <f>VALUE(153.95)</f>
        <v>153.94999999999999</v>
      </c>
      <c r="H13781" s="3">
        <f>VALUE(147.96)</f>
        <v>147.96</v>
      </c>
      <c r="I13781" s="1">
        <f>VALUE(3421)</f>
        <v>3421</v>
      </c>
      <c r="J13781" s="5">
        <f>VALUE(4357)</f>
        <v>4357</v>
      </c>
      <c r="K13781" s="1">
        <f>VALUE(5608)</f>
        <v>5608</v>
      </c>
      <c r="L13781" s="1">
        <f>VALUE(6152)</f>
        <v>6152</v>
      </c>
      <c r="M13781" s="1">
        <f>VALUE(7245)</f>
        <v>7245</v>
      </c>
      <c r="N13781" t="s">
        <v>25</v>
      </c>
    </row>
    <row r="13782" spans="1:14" x14ac:dyDescent="0.25">
      <c r="A13782" t="s">
        <v>45</v>
      </c>
      <c r="B13782" t="s">
        <v>15</v>
      </c>
      <c r="C13782" t="s">
        <v>37</v>
      </c>
      <c r="D13782" t="s">
        <v>33</v>
      </c>
      <c r="E13782" t="s">
        <v>21</v>
      </c>
      <c r="F13782" t="s">
        <v>15</v>
      </c>
      <c r="G13782" s="1" t="str">
        <f t="shared" ref="G13782:M13787" si="3158">"X"</f>
        <v>X</v>
      </c>
      <c r="H13782" s="1" t="str">
        <f t="shared" si="3158"/>
        <v>X</v>
      </c>
      <c r="I13782" s="1" t="str">
        <f t="shared" si="3158"/>
        <v>X</v>
      </c>
      <c r="J13782" s="1" t="str">
        <f t="shared" si="3158"/>
        <v>X</v>
      </c>
      <c r="K13782" s="1" t="str">
        <f t="shared" si="3158"/>
        <v>X</v>
      </c>
      <c r="L13782" s="1" t="str">
        <f t="shared" si="3158"/>
        <v>X</v>
      </c>
      <c r="M13782" s="1" t="str">
        <f t="shared" si="3158"/>
        <v>X</v>
      </c>
      <c r="N13782" t="s">
        <v>27</v>
      </c>
    </row>
    <row r="13783" spans="1:14" x14ac:dyDescent="0.25">
      <c r="A13783" t="s">
        <v>45</v>
      </c>
      <c r="B13783" t="s">
        <v>15</v>
      </c>
      <c r="C13783" t="s">
        <v>37</v>
      </c>
      <c r="D13783" t="s">
        <v>33</v>
      </c>
      <c r="E13783" t="s">
        <v>21</v>
      </c>
      <c r="F13783" t="s">
        <v>17</v>
      </c>
      <c r="G13783" s="1" t="str">
        <f t="shared" si="3158"/>
        <v>X</v>
      </c>
      <c r="H13783" s="1" t="str">
        <f t="shared" si="3158"/>
        <v>X</v>
      </c>
      <c r="I13783" s="1" t="str">
        <f t="shared" si="3158"/>
        <v>X</v>
      </c>
      <c r="J13783" s="1" t="str">
        <f t="shared" si="3158"/>
        <v>X</v>
      </c>
      <c r="K13783" s="1" t="str">
        <f t="shared" si="3158"/>
        <v>X</v>
      </c>
      <c r="L13783" s="1" t="str">
        <f t="shared" si="3158"/>
        <v>X</v>
      </c>
      <c r="M13783" s="1" t="str">
        <f t="shared" si="3158"/>
        <v>X</v>
      </c>
      <c r="N13783" t="s">
        <v>27</v>
      </c>
    </row>
    <row r="13784" spans="1:14" x14ac:dyDescent="0.25">
      <c r="A13784" t="s">
        <v>45</v>
      </c>
      <c r="B13784" t="s">
        <v>15</v>
      </c>
      <c r="C13784" t="s">
        <v>37</v>
      </c>
      <c r="D13784" t="s">
        <v>33</v>
      </c>
      <c r="E13784" t="s">
        <v>21</v>
      </c>
      <c r="F13784" t="s">
        <v>18</v>
      </c>
      <c r="G13784" s="1" t="str">
        <f t="shared" si="3158"/>
        <v>X</v>
      </c>
      <c r="H13784" s="1" t="str">
        <f t="shared" si="3158"/>
        <v>X</v>
      </c>
      <c r="I13784" s="1" t="str">
        <f t="shared" si="3158"/>
        <v>X</v>
      </c>
      <c r="J13784" s="1" t="str">
        <f t="shared" si="3158"/>
        <v>X</v>
      </c>
      <c r="K13784" s="1" t="str">
        <f t="shared" si="3158"/>
        <v>X</v>
      </c>
      <c r="L13784" s="1" t="str">
        <f t="shared" si="3158"/>
        <v>X</v>
      </c>
      <c r="M13784" s="1" t="str">
        <f t="shared" si="3158"/>
        <v>X</v>
      </c>
      <c r="N13784" t="s">
        <v>27</v>
      </c>
    </row>
    <row r="13785" spans="1:14" x14ac:dyDescent="0.25">
      <c r="A13785" t="s">
        <v>45</v>
      </c>
      <c r="B13785" t="s">
        <v>15</v>
      </c>
      <c r="C13785" t="s">
        <v>37</v>
      </c>
      <c r="D13785" t="s">
        <v>33</v>
      </c>
      <c r="E13785" t="s">
        <v>21</v>
      </c>
      <c r="F13785" t="s">
        <v>19</v>
      </c>
      <c r="G13785" s="1" t="str">
        <f t="shared" si="3158"/>
        <v>X</v>
      </c>
      <c r="H13785" s="1" t="str">
        <f t="shared" si="3158"/>
        <v>X</v>
      </c>
      <c r="I13785" s="1" t="str">
        <f t="shared" si="3158"/>
        <v>X</v>
      </c>
      <c r="J13785" s="1" t="str">
        <f t="shared" si="3158"/>
        <v>X</v>
      </c>
      <c r="K13785" s="1" t="str">
        <f t="shared" si="3158"/>
        <v>X</v>
      </c>
      <c r="L13785" s="1" t="str">
        <f t="shared" si="3158"/>
        <v>X</v>
      </c>
      <c r="M13785" s="1" t="str">
        <f t="shared" si="3158"/>
        <v>X</v>
      </c>
      <c r="N13785" t="s">
        <v>27</v>
      </c>
    </row>
    <row r="13786" spans="1:14" x14ac:dyDescent="0.25">
      <c r="A13786" t="s">
        <v>45</v>
      </c>
      <c r="B13786" t="s">
        <v>15</v>
      </c>
      <c r="C13786" t="s">
        <v>37</v>
      </c>
      <c r="D13786" t="s">
        <v>33</v>
      </c>
      <c r="E13786" t="s">
        <v>21</v>
      </c>
      <c r="F13786" t="s">
        <v>20</v>
      </c>
      <c r="G13786" s="1" t="str">
        <f t="shared" si="3158"/>
        <v>X</v>
      </c>
      <c r="H13786" s="1" t="str">
        <f t="shared" si="3158"/>
        <v>X</v>
      </c>
      <c r="I13786" s="1" t="str">
        <f t="shared" si="3158"/>
        <v>X</v>
      </c>
      <c r="J13786" s="1" t="str">
        <f t="shared" si="3158"/>
        <v>X</v>
      </c>
      <c r="K13786" s="1" t="str">
        <f t="shared" si="3158"/>
        <v>X</v>
      </c>
      <c r="L13786" s="1" t="str">
        <f t="shared" si="3158"/>
        <v>X</v>
      </c>
      <c r="M13786" s="1" t="str">
        <f t="shared" si="3158"/>
        <v>X</v>
      </c>
      <c r="N13786" t="s">
        <v>27</v>
      </c>
    </row>
    <row r="13787" spans="1:14" x14ac:dyDescent="0.25">
      <c r="A13787" t="s">
        <v>45</v>
      </c>
      <c r="B13787" t="s">
        <v>15</v>
      </c>
      <c r="C13787" t="s">
        <v>37</v>
      </c>
      <c r="D13787" t="s">
        <v>33</v>
      </c>
      <c r="E13787" t="s">
        <v>22</v>
      </c>
      <c r="F13787" t="s">
        <v>15</v>
      </c>
      <c r="G13787" s="1" t="str">
        <f t="shared" si="3158"/>
        <v>X</v>
      </c>
      <c r="H13787" s="1" t="str">
        <f t="shared" si="3158"/>
        <v>X</v>
      </c>
      <c r="I13787" s="1" t="str">
        <f t="shared" si="3158"/>
        <v>X</v>
      </c>
      <c r="J13787" s="1" t="str">
        <f t="shared" si="3158"/>
        <v>X</v>
      </c>
      <c r="K13787" s="1" t="str">
        <f t="shared" si="3158"/>
        <v>X</v>
      </c>
      <c r="L13787" s="1" t="str">
        <f t="shared" si="3158"/>
        <v>X</v>
      </c>
      <c r="M13787" s="1" t="str">
        <f t="shared" si="3158"/>
        <v>X</v>
      </c>
      <c r="N13787" t="s">
        <v>27</v>
      </c>
    </row>
    <row r="13788" spans="1:14" x14ac:dyDescent="0.25">
      <c r="A13788" t="s">
        <v>45</v>
      </c>
      <c r="B13788" t="s">
        <v>15</v>
      </c>
      <c r="C13788" t="s">
        <v>37</v>
      </c>
      <c r="D13788" t="s">
        <v>33</v>
      </c>
      <c r="E13788" t="s">
        <v>22</v>
      </c>
      <c r="F13788" t="s">
        <v>17</v>
      </c>
      <c r="G13788" s="1" t="str">
        <f t="shared" ref="G13788:M13788" si="3159">"..."</f>
        <v>...</v>
      </c>
      <c r="H13788" s="1" t="str">
        <f t="shared" si="3159"/>
        <v>...</v>
      </c>
      <c r="I13788" s="1" t="str">
        <f t="shared" si="3159"/>
        <v>...</v>
      </c>
      <c r="J13788" s="1" t="str">
        <f t="shared" si="3159"/>
        <v>...</v>
      </c>
      <c r="K13788" s="1" t="str">
        <f t="shared" si="3159"/>
        <v>...</v>
      </c>
      <c r="L13788" s="1" t="str">
        <f t="shared" si="3159"/>
        <v>...</v>
      </c>
      <c r="M13788" s="1" t="str">
        <f t="shared" si="3159"/>
        <v>...</v>
      </c>
      <c r="N13788" t="s">
        <v>30</v>
      </c>
    </row>
    <row r="13789" spans="1:14" x14ac:dyDescent="0.25">
      <c r="A13789" t="s">
        <v>45</v>
      </c>
      <c r="B13789" t="s">
        <v>15</v>
      </c>
      <c r="C13789" t="s">
        <v>37</v>
      </c>
      <c r="D13789" t="s">
        <v>33</v>
      </c>
      <c r="E13789" t="s">
        <v>22</v>
      </c>
      <c r="F13789" t="s">
        <v>18</v>
      </c>
      <c r="G13789" s="1" t="str">
        <f t="shared" ref="G13789:M13791" si="3160">"X"</f>
        <v>X</v>
      </c>
      <c r="H13789" s="1" t="str">
        <f t="shared" si="3160"/>
        <v>X</v>
      </c>
      <c r="I13789" s="1" t="str">
        <f t="shared" si="3160"/>
        <v>X</v>
      </c>
      <c r="J13789" s="1" t="str">
        <f t="shared" si="3160"/>
        <v>X</v>
      </c>
      <c r="K13789" s="1" t="str">
        <f t="shared" si="3160"/>
        <v>X</v>
      </c>
      <c r="L13789" s="1" t="str">
        <f t="shared" si="3160"/>
        <v>X</v>
      </c>
      <c r="M13789" s="1" t="str">
        <f t="shared" si="3160"/>
        <v>X</v>
      </c>
      <c r="N13789" t="s">
        <v>27</v>
      </c>
    </row>
    <row r="13790" spans="1:14" x14ac:dyDescent="0.25">
      <c r="A13790" t="s">
        <v>45</v>
      </c>
      <c r="B13790" t="s">
        <v>15</v>
      </c>
      <c r="C13790" t="s">
        <v>37</v>
      </c>
      <c r="D13790" t="s">
        <v>33</v>
      </c>
      <c r="E13790" t="s">
        <v>22</v>
      </c>
      <c r="F13790" t="s">
        <v>19</v>
      </c>
      <c r="G13790" s="1" t="str">
        <f t="shared" si="3160"/>
        <v>X</v>
      </c>
      <c r="H13790" s="1" t="str">
        <f t="shared" si="3160"/>
        <v>X</v>
      </c>
      <c r="I13790" s="1" t="str">
        <f t="shared" si="3160"/>
        <v>X</v>
      </c>
      <c r="J13790" s="1" t="str">
        <f t="shared" si="3160"/>
        <v>X</v>
      </c>
      <c r="K13790" s="1" t="str">
        <f t="shared" si="3160"/>
        <v>X</v>
      </c>
      <c r="L13790" s="1" t="str">
        <f t="shared" si="3160"/>
        <v>X</v>
      </c>
      <c r="M13790" s="1" t="str">
        <f t="shared" si="3160"/>
        <v>X</v>
      </c>
      <c r="N13790" t="s">
        <v>27</v>
      </c>
    </row>
    <row r="13791" spans="1:14" x14ac:dyDescent="0.25">
      <c r="A13791" t="s">
        <v>45</v>
      </c>
      <c r="B13791" t="s">
        <v>15</v>
      </c>
      <c r="C13791" t="s">
        <v>37</v>
      </c>
      <c r="D13791" t="s">
        <v>33</v>
      </c>
      <c r="E13791" t="s">
        <v>22</v>
      </c>
      <c r="F13791" t="s">
        <v>20</v>
      </c>
      <c r="G13791" s="1" t="str">
        <f t="shared" si="3160"/>
        <v>X</v>
      </c>
      <c r="H13791" s="1" t="str">
        <f t="shared" si="3160"/>
        <v>X</v>
      </c>
      <c r="I13791" s="1" t="str">
        <f t="shared" si="3160"/>
        <v>X</v>
      </c>
      <c r="J13791" s="1" t="str">
        <f t="shared" si="3160"/>
        <v>X</v>
      </c>
      <c r="K13791" s="1" t="str">
        <f t="shared" si="3160"/>
        <v>X</v>
      </c>
      <c r="L13791" s="1" t="str">
        <f t="shared" si="3160"/>
        <v>X</v>
      </c>
      <c r="M13791" s="1" t="str">
        <f t="shared" si="3160"/>
        <v>X</v>
      </c>
      <c r="N13791" t="s">
        <v>27</v>
      </c>
    </row>
    <row r="13792" spans="1:14" x14ac:dyDescent="0.25">
      <c r="A13792" t="s">
        <v>45</v>
      </c>
      <c r="B13792" t="s">
        <v>15</v>
      </c>
      <c r="C13792" t="s">
        <v>37</v>
      </c>
      <c r="D13792" t="s">
        <v>33</v>
      </c>
      <c r="E13792" t="s">
        <v>23</v>
      </c>
      <c r="F13792" t="s">
        <v>15</v>
      </c>
      <c r="G13792" s="2">
        <f>VALUE(108.37)</f>
        <v>108.37</v>
      </c>
      <c r="H13792" s="3">
        <f>VALUE(104.25)</f>
        <v>104.25</v>
      </c>
      <c r="I13792" s="4">
        <f>VALUE(3420)</f>
        <v>3420</v>
      </c>
      <c r="J13792" s="5">
        <f>VALUE(4357)</f>
        <v>4357</v>
      </c>
      <c r="K13792" s="6">
        <f>VALUE(5595)</f>
        <v>5595</v>
      </c>
      <c r="L13792" s="1">
        <f>VALUE(5931)</f>
        <v>5931</v>
      </c>
      <c r="M13792" s="1">
        <f>VALUE(6345)</f>
        <v>6345</v>
      </c>
      <c r="N13792" t="s">
        <v>25</v>
      </c>
    </row>
    <row r="13793" spans="1:14" x14ac:dyDescent="0.25">
      <c r="A13793" t="s">
        <v>45</v>
      </c>
      <c r="B13793" t="s">
        <v>15</v>
      </c>
      <c r="C13793" t="s">
        <v>37</v>
      </c>
      <c r="D13793" t="s">
        <v>33</v>
      </c>
      <c r="E13793" t="s">
        <v>23</v>
      </c>
      <c r="F13793" t="s">
        <v>17</v>
      </c>
      <c r="G13793" s="1" t="str">
        <f t="shared" ref="G13793:M13794" si="3161">"..."</f>
        <v>...</v>
      </c>
      <c r="H13793" s="1" t="str">
        <f t="shared" si="3161"/>
        <v>...</v>
      </c>
      <c r="I13793" s="1" t="str">
        <f t="shared" si="3161"/>
        <v>...</v>
      </c>
      <c r="J13793" s="1" t="str">
        <f t="shared" si="3161"/>
        <v>...</v>
      </c>
      <c r="K13793" s="1" t="str">
        <f t="shared" si="3161"/>
        <v>...</v>
      </c>
      <c r="L13793" s="1" t="str">
        <f t="shared" si="3161"/>
        <v>...</v>
      </c>
      <c r="M13793" s="1" t="str">
        <f t="shared" si="3161"/>
        <v>...</v>
      </c>
      <c r="N13793" t="s">
        <v>30</v>
      </c>
    </row>
    <row r="13794" spans="1:14" x14ac:dyDescent="0.25">
      <c r="A13794" t="s">
        <v>45</v>
      </c>
      <c r="B13794" t="s">
        <v>15</v>
      </c>
      <c r="C13794" t="s">
        <v>37</v>
      </c>
      <c r="D13794" t="s">
        <v>33</v>
      </c>
      <c r="E13794" t="s">
        <v>23</v>
      </c>
      <c r="F13794" t="s">
        <v>18</v>
      </c>
      <c r="G13794" s="1" t="str">
        <f t="shared" si="3161"/>
        <v>...</v>
      </c>
      <c r="H13794" s="1" t="str">
        <f t="shared" si="3161"/>
        <v>...</v>
      </c>
      <c r="I13794" s="1" t="str">
        <f t="shared" si="3161"/>
        <v>...</v>
      </c>
      <c r="J13794" s="1" t="str">
        <f t="shared" si="3161"/>
        <v>...</v>
      </c>
      <c r="K13794" s="1" t="str">
        <f t="shared" si="3161"/>
        <v>...</v>
      </c>
      <c r="L13794" s="1" t="str">
        <f t="shared" si="3161"/>
        <v>...</v>
      </c>
      <c r="M13794" s="1" t="str">
        <f t="shared" si="3161"/>
        <v>...</v>
      </c>
      <c r="N13794" t="s">
        <v>30</v>
      </c>
    </row>
    <row r="13795" spans="1:14" x14ac:dyDescent="0.25">
      <c r="A13795" t="s">
        <v>45</v>
      </c>
      <c r="B13795" t="s">
        <v>15</v>
      </c>
      <c r="C13795" t="s">
        <v>37</v>
      </c>
      <c r="D13795" t="s">
        <v>33</v>
      </c>
      <c r="E13795" t="s">
        <v>23</v>
      </c>
      <c r="F13795" t="s">
        <v>19</v>
      </c>
      <c r="G13795" s="1" t="str">
        <f t="shared" ref="G13795:M13795" si="3162">"X"</f>
        <v>X</v>
      </c>
      <c r="H13795" s="1" t="str">
        <f t="shared" si="3162"/>
        <v>X</v>
      </c>
      <c r="I13795" s="1" t="str">
        <f t="shared" si="3162"/>
        <v>X</v>
      </c>
      <c r="J13795" s="1" t="str">
        <f t="shared" si="3162"/>
        <v>X</v>
      </c>
      <c r="K13795" s="1" t="str">
        <f t="shared" si="3162"/>
        <v>X</v>
      </c>
      <c r="L13795" s="1" t="str">
        <f t="shared" si="3162"/>
        <v>X</v>
      </c>
      <c r="M13795" s="1" t="str">
        <f t="shared" si="3162"/>
        <v>X</v>
      </c>
      <c r="N13795" t="s">
        <v>27</v>
      </c>
    </row>
    <row r="13796" spans="1:14" x14ac:dyDescent="0.25">
      <c r="A13796" t="s">
        <v>45</v>
      </c>
      <c r="B13796" t="s">
        <v>15</v>
      </c>
      <c r="C13796" t="s">
        <v>37</v>
      </c>
      <c r="D13796" t="s">
        <v>33</v>
      </c>
      <c r="E13796" t="s">
        <v>23</v>
      </c>
      <c r="F13796" t="s">
        <v>20</v>
      </c>
      <c r="G13796" s="2">
        <f>VALUE(105.73)</f>
        <v>105.73</v>
      </c>
      <c r="H13796" s="3">
        <f>VALUE(101.32)</f>
        <v>101.32</v>
      </c>
      <c r="I13796" s="4">
        <f>VALUE(3420)</f>
        <v>3420</v>
      </c>
      <c r="J13796" s="5">
        <f>VALUE(4334)</f>
        <v>4334</v>
      </c>
      <c r="K13796" s="6">
        <f>VALUE(5595)</f>
        <v>5595</v>
      </c>
      <c r="L13796" s="1">
        <f>VALUE(5884)</f>
        <v>5884</v>
      </c>
      <c r="M13796" s="1">
        <f>VALUE(6220)</f>
        <v>6220</v>
      </c>
      <c r="N13796" t="s">
        <v>25</v>
      </c>
    </row>
    <row r="13797" spans="1:14" x14ac:dyDescent="0.25">
      <c r="A13797" t="s">
        <v>45</v>
      </c>
      <c r="B13797" t="s">
        <v>15</v>
      </c>
      <c r="C13797" t="s">
        <v>37</v>
      </c>
      <c r="D13797" t="s">
        <v>33</v>
      </c>
      <c r="E13797" t="s">
        <v>26</v>
      </c>
      <c r="F13797" t="s">
        <v>15</v>
      </c>
      <c r="G13797" s="1" t="str">
        <f t="shared" ref="G13797:M13801" si="3163">"..."</f>
        <v>...</v>
      </c>
      <c r="H13797" s="1" t="str">
        <f t="shared" si="3163"/>
        <v>...</v>
      </c>
      <c r="I13797" s="1" t="str">
        <f t="shared" si="3163"/>
        <v>...</v>
      </c>
      <c r="J13797" s="1" t="str">
        <f t="shared" si="3163"/>
        <v>...</v>
      </c>
      <c r="K13797" s="1" t="str">
        <f t="shared" si="3163"/>
        <v>...</v>
      </c>
      <c r="L13797" s="1" t="str">
        <f t="shared" si="3163"/>
        <v>...</v>
      </c>
      <c r="M13797" s="1" t="str">
        <f t="shared" si="3163"/>
        <v>...</v>
      </c>
      <c r="N13797" t="s">
        <v>30</v>
      </c>
    </row>
    <row r="13798" spans="1:14" x14ac:dyDescent="0.25">
      <c r="A13798" t="s">
        <v>45</v>
      </c>
      <c r="B13798" t="s">
        <v>15</v>
      </c>
      <c r="C13798" t="s">
        <v>37</v>
      </c>
      <c r="D13798" t="s">
        <v>33</v>
      </c>
      <c r="E13798" t="s">
        <v>26</v>
      </c>
      <c r="F13798" t="s">
        <v>17</v>
      </c>
      <c r="G13798" s="1" t="str">
        <f t="shared" si="3163"/>
        <v>...</v>
      </c>
      <c r="H13798" s="1" t="str">
        <f t="shared" si="3163"/>
        <v>...</v>
      </c>
      <c r="I13798" s="1" t="str">
        <f t="shared" si="3163"/>
        <v>...</v>
      </c>
      <c r="J13798" s="1" t="str">
        <f t="shared" si="3163"/>
        <v>...</v>
      </c>
      <c r="K13798" s="1" t="str">
        <f t="shared" si="3163"/>
        <v>...</v>
      </c>
      <c r="L13798" s="1" t="str">
        <f t="shared" si="3163"/>
        <v>...</v>
      </c>
      <c r="M13798" s="1" t="str">
        <f t="shared" si="3163"/>
        <v>...</v>
      </c>
      <c r="N13798" t="s">
        <v>30</v>
      </c>
    </row>
    <row r="13799" spans="1:14" x14ac:dyDescent="0.25">
      <c r="A13799" t="s">
        <v>45</v>
      </c>
      <c r="B13799" t="s">
        <v>15</v>
      </c>
      <c r="C13799" t="s">
        <v>37</v>
      </c>
      <c r="D13799" t="s">
        <v>33</v>
      </c>
      <c r="E13799" t="s">
        <v>26</v>
      </c>
      <c r="F13799" t="s">
        <v>18</v>
      </c>
      <c r="G13799" s="1" t="str">
        <f t="shared" si="3163"/>
        <v>...</v>
      </c>
      <c r="H13799" s="1" t="str">
        <f t="shared" si="3163"/>
        <v>...</v>
      </c>
      <c r="I13799" s="1" t="str">
        <f t="shared" si="3163"/>
        <v>...</v>
      </c>
      <c r="J13799" s="1" t="str">
        <f t="shared" si="3163"/>
        <v>...</v>
      </c>
      <c r="K13799" s="1" t="str">
        <f t="shared" si="3163"/>
        <v>...</v>
      </c>
      <c r="L13799" s="1" t="str">
        <f t="shared" si="3163"/>
        <v>...</v>
      </c>
      <c r="M13799" s="1" t="str">
        <f t="shared" si="3163"/>
        <v>...</v>
      </c>
      <c r="N13799" t="s">
        <v>30</v>
      </c>
    </row>
    <row r="13800" spans="1:14" x14ac:dyDescent="0.25">
      <c r="A13800" t="s">
        <v>45</v>
      </c>
      <c r="B13800" t="s">
        <v>15</v>
      </c>
      <c r="C13800" t="s">
        <v>37</v>
      </c>
      <c r="D13800" t="s">
        <v>33</v>
      </c>
      <c r="E13800" t="s">
        <v>26</v>
      </c>
      <c r="F13800" t="s">
        <v>19</v>
      </c>
      <c r="G13800" s="1" t="str">
        <f t="shared" si="3163"/>
        <v>...</v>
      </c>
      <c r="H13800" s="1" t="str">
        <f t="shared" si="3163"/>
        <v>...</v>
      </c>
      <c r="I13800" s="1" t="str">
        <f t="shared" si="3163"/>
        <v>...</v>
      </c>
      <c r="J13800" s="1" t="str">
        <f t="shared" si="3163"/>
        <v>...</v>
      </c>
      <c r="K13800" s="1" t="str">
        <f t="shared" si="3163"/>
        <v>...</v>
      </c>
      <c r="L13800" s="1" t="str">
        <f t="shared" si="3163"/>
        <v>...</v>
      </c>
      <c r="M13800" s="1" t="str">
        <f t="shared" si="3163"/>
        <v>...</v>
      </c>
      <c r="N13800" t="s">
        <v>30</v>
      </c>
    </row>
    <row r="13801" spans="1:14" x14ac:dyDescent="0.25">
      <c r="A13801" t="s">
        <v>45</v>
      </c>
      <c r="B13801" t="s">
        <v>15</v>
      </c>
      <c r="C13801" t="s">
        <v>37</v>
      </c>
      <c r="D13801" t="s">
        <v>33</v>
      </c>
      <c r="E13801" t="s">
        <v>26</v>
      </c>
      <c r="F13801" t="s">
        <v>20</v>
      </c>
      <c r="G13801" s="1" t="str">
        <f t="shared" si="3163"/>
        <v>...</v>
      </c>
      <c r="H13801" s="1" t="str">
        <f t="shared" si="3163"/>
        <v>...</v>
      </c>
      <c r="I13801" s="1" t="str">
        <f t="shared" si="3163"/>
        <v>...</v>
      </c>
      <c r="J13801" s="1" t="str">
        <f t="shared" si="3163"/>
        <v>...</v>
      </c>
      <c r="K13801" s="1" t="str">
        <f t="shared" si="3163"/>
        <v>...</v>
      </c>
      <c r="L13801" s="1" t="str">
        <f t="shared" si="3163"/>
        <v>...</v>
      </c>
      <c r="M13801" s="1" t="str">
        <f t="shared" si="3163"/>
        <v>...</v>
      </c>
      <c r="N13801" t="s">
        <v>30</v>
      </c>
    </row>
    <row r="13802" spans="1:14" x14ac:dyDescent="0.25">
      <c r="A13802" t="s">
        <v>45</v>
      </c>
      <c r="B13802" t="s">
        <v>15</v>
      </c>
      <c r="C13802" t="s">
        <v>37</v>
      </c>
      <c r="D13802" t="s">
        <v>34</v>
      </c>
      <c r="E13802" t="s">
        <v>15</v>
      </c>
      <c r="F13802" t="s">
        <v>15</v>
      </c>
      <c r="G13802" s="2">
        <f>VALUE(511.99)</f>
        <v>511.99</v>
      </c>
      <c r="H13802" s="3">
        <f>VALUE(420.84)</f>
        <v>420.84</v>
      </c>
      <c r="I13802" s="1">
        <f>VALUE(3450)</f>
        <v>3450</v>
      </c>
      <c r="J13802" s="1">
        <f>VALUE(4023)</f>
        <v>4023</v>
      </c>
      <c r="K13802" s="1">
        <f>VALUE(4790)</f>
        <v>4790</v>
      </c>
      <c r="L13802" s="1">
        <f>VALUE(6153)</f>
        <v>6153</v>
      </c>
      <c r="M13802" s="8">
        <f>VALUE(7518)</f>
        <v>7518</v>
      </c>
      <c r="N13802" t="s">
        <v>25</v>
      </c>
    </row>
    <row r="13803" spans="1:14" x14ac:dyDescent="0.25">
      <c r="A13803" t="s">
        <v>45</v>
      </c>
      <c r="B13803" t="s">
        <v>15</v>
      </c>
      <c r="C13803" t="s">
        <v>37</v>
      </c>
      <c r="D13803" t="s">
        <v>34</v>
      </c>
      <c r="E13803" t="s">
        <v>15</v>
      </c>
      <c r="F13803" t="s">
        <v>17</v>
      </c>
      <c r="G13803" s="1" t="str">
        <f t="shared" ref="G13803:M13805" si="3164">"X"</f>
        <v>X</v>
      </c>
      <c r="H13803" s="1" t="str">
        <f t="shared" si="3164"/>
        <v>X</v>
      </c>
      <c r="I13803" s="1" t="str">
        <f t="shared" si="3164"/>
        <v>X</v>
      </c>
      <c r="J13803" s="1" t="str">
        <f t="shared" si="3164"/>
        <v>X</v>
      </c>
      <c r="K13803" s="1" t="str">
        <f t="shared" si="3164"/>
        <v>X</v>
      </c>
      <c r="L13803" s="1" t="str">
        <f t="shared" si="3164"/>
        <v>X</v>
      </c>
      <c r="M13803" s="1" t="str">
        <f t="shared" si="3164"/>
        <v>X</v>
      </c>
      <c r="N13803" t="s">
        <v>27</v>
      </c>
    </row>
    <row r="13804" spans="1:14" x14ac:dyDescent="0.25">
      <c r="A13804" t="s">
        <v>45</v>
      </c>
      <c r="B13804" t="s">
        <v>15</v>
      </c>
      <c r="C13804" t="s">
        <v>37</v>
      </c>
      <c r="D13804" t="s">
        <v>34</v>
      </c>
      <c r="E13804" t="s">
        <v>15</v>
      </c>
      <c r="F13804" t="s">
        <v>18</v>
      </c>
      <c r="G13804" s="1" t="str">
        <f t="shared" si="3164"/>
        <v>X</v>
      </c>
      <c r="H13804" s="1" t="str">
        <f t="shared" si="3164"/>
        <v>X</v>
      </c>
      <c r="I13804" s="1" t="str">
        <f t="shared" si="3164"/>
        <v>X</v>
      </c>
      <c r="J13804" s="1" t="str">
        <f t="shared" si="3164"/>
        <v>X</v>
      </c>
      <c r="K13804" s="1" t="str">
        <f t="shared" si="3164"/>
        <v>X</v>
      </c>
      <c r="L13804" s="1" t="str">
        <f t="shared" si="3164"/>
        <v>X</v>
      </c>
      <c r="M13804" s="1" t="str">
        <f t="shared" si="3164"/>
        <v>X</v>
      </c>
      <c r="N13804" t="s">
        <v>27</v>
      </c>
    </row>
    <row r="13805" spans="1:14" x14ac:dyDescent="0.25">
      <c r="A13805" t="s">
        <v>45</v>
      </c>
      <c r="B13805" t="s">
        <v>15</v>
      </c>
      <c r="C13805" t="s">
        <v>37</v>
      </c>
      <c r="D13805" t="s">
        <v>34</v>
      </c>
      <c r="E13805" t="s">
        <v>15</v>
      </c>
      <c r="F13805" t="s">
        <v>19</v>
      </c>
      <c r="G13805" s="1" t="str">
        <f t="shared" si="3164"/>
        <v>X</v>
      </c>
      <c r="H13805" s="1" t="str">
        <f t="shared" si="3164"/>
        <v>X</v>
      </c>
      <c r="I13805" s="1" t="str">
        <f t="shared" si="3164"/>
        <v>X</v>
      </c>
      <c r="J13805" s="1" t="str">
        <f t="shared" si="3164"/>
        <v>X</v>
      </c>
      <c r="K13805" s="1" t="str">
        <f t="shared" si="3164"/>
        <v>X</v>
      </c>
      <c r="L13805" s="1" t="str">
        <f t="shared" si="3164"/>
        <v>X</v>
      </c>
      <c r="M13805" s="1" t="str">
        <f t="shared" si="3164"/>
        <v>X</v>
      </c>
      <c r="N13805" t="s">
        <v>27</v>
      </c>
    </row>
    <row r="13806" spans="1:14" x14ac:dyDescent="0.25">
      <c r="A13806" t="s">
        <v>45</v>
      </c>
      <c r="B13806" t="s">
        <v>15</v>
      </c>
      <c r="C13806" t="s">
        <v>37</v>
      </c>
      <c r="D13806" t="s">
        <v>34</v>
      </c>
      <c r="E13806" t="s">
        <v>15</v>
      </c>
      <c r="F13806" t="s">
        <v>20</v>
      </c>
      <c r="G13806" s="2">
        <f>VALUE(416.14)</f>
        <v>416.14</v>
      </c>
      <c r="H13806" s="3">
        <f>VALUE(338.62)</f>
        <v>338.62</v>
      </c>
      <c r="I13806" s="1">
        <f>VALUE(3444)</f>
        <v>3444</v>
      </c>
      <c r="J13806" s="1">
        <f>VALUE(3942)</f>
        <v>3942</v>
      </c>
      <c r="K13806" s="1">
        <f>VALUE(4597)</f>
        <v>4597</v>
      </c>
      <c r="L13806" s="7">
        <f>VALUE(5563)</f>
        <v>5563</v>
      </c>
      <c r="M13806" s="1">
        <f>VALUE(6398)</f>
        <v>6398</v>
      </c>
      <c r="N13806" t="s">
        <v>25</v>
      </c>
    </row>
    <row r="13807" spans="1:14" x14ac:dyDescent="0.25">
      <c r="A13807" t="s">
        <v>45</v>
      </c>
      <c r="B13807" t="s">
        <v>15</v>
      </c>
      <c r="C13807" t="s">
        <v>37</v>
      </c>
      <c r="D13807" t="s">
        <v>34</v>
      </c>
      <c r="E13807" t="s">
        <v>21</v>
      </c>
      <c r="F13807" t="s">
        <v>15</v>
      </c>
      <c r="G13807" s="1" t="str">
        <f t="shared" ref="G13807:M13816" si="3165">"X"</f>
        <v>X</v>
      </c>
      <c r="H13807" s="1" t="str">
        <f t="shared" si="3165"/>
        <v>X</v>
      </c>
      <c r="I13807" s="1" t="str">
        <f t="shared" si="3165"/>
        <v>X</v>
      </c>
      <c r="J13807" s="1" t="str">
        <f t="shared" si="3165"/>
        <v>X</v>
      </c>
      <c r="K13807" s="1" t="str">
        <f t="shared" si="3165"/>
        <v>X</v>
      </c>
      <c r="L13807" s="1" t="str">
        <f t="shared" si="3165"/>
        <v>X</v>
      </c>
      <c r="M13807" s="1" t="str">
        <f t="shared" si="3165"/>
        <v>X</v>
      </c>
      <c r="N13807" t="s">
        <v>27</v>
      </c>
    </row>
    <row r="13808" spans="1:14" x14ac:dyDescent="0.25">
      <c r="A13808" t="s">
        <v>45</v>
      </c>
      <c r="B13808" t="s">
        <v>15</v>
      </c>
      <c r="C13808" t="s">
        <v>37</v>
      </c>
      <c r="D13808" t="s">
        <v>34</v>
      </c>
      <c r="E13808" t="s">
        <v>21</v>
      </c>
      <c r="F13808" t="s">
        <v>17</v>
      </c>
      <c r="G13808" s="1" t="str">
        <f t="shared" si="3165"/>
        <v>X</v>
      </c>
      <c r="H13808" s="1" t="str">
        <f t="shared" si="3165"/>
        <v>X</v>
      </c>
      <c r="I13808" s="1" t="str">
        <f t="shared" si="3165"/>
        <v>X</v>
      </c>
      <c r="J13808" s="1" t="str">
        <f t="shared" si="3165"/>
        <v>X</v>
      </c>
      <c r="K13808" s="1" t="str">
        <f t="shared" si="3165"/>
        <v>X</v>
      </c>
      <c r="L13808" s="1" t="str">
        <f t="shared" si="3165"/>
        <v>X</v>
      </c>
      <c r="M13808" s="1" t="str">
        <f t="shared" si="3165"/>
        <v>X</v>
      </c>
      <c r="N13808" t="s">
        <v>27</v>
      </c>
    </row>
    <row r="13809" spans="1:14" x14ac:dyDescent="0.25">
      <c r="A13809" t="s">
        <v>45</v>
      </c>
      <c r="B13809" t="s">
        <v>15</v>
      </c>
      <c r="C13809" t="s">
        <v>37</v>
      </c>
      <c r="D13809" t="s">
        <v>34</v>
      </c>
      <c r="E13809" t="s">
        <v>21</v>
      </c>
      <c r="F13809" t="s">
        <v>18</v>
      </c>
      <c r="G13809" s="1" t="str">
        <f t="shared" si="3165"/>
        <v>X</v>
      </c>
      <c r="H13809" s="1" t="str">
        <f t="shared" si="3165"/>
        <v>X</v>
      </c>
      <c r="I13809" s="1" t="str">
        <f t="shared" si="3165"/>
        <v>X</v>
      </c>
      <c r="J13809" s="1" t="str">
        <f t="shared" si="3165"/>
        <v>X</v>
      </c>
      <c r="K13809" s="1" t="str">
        <f t="shared" si="3165"/>
        <v>X</v>
      </c>
      <c r="L13809" s="1" t="str">
        <f t="shared" si="3165"/>
        <v>X</v>
      </c>
      <c r="M13809" s="1" t="str">
        <f t="shared" si="3165"/>
        <v>X</v>
      </c>
      <c r="N13809" t="s">
        <v>27</v>
      </c>
    </row>
    <row r="13810" spans="1:14" x14ac:dyDescent="0.25">
      <c r="A13810" t="s">
        <v>45</v>
      </c>
      <c r="B13810" t="s">
        <v>15</v>
      </c>
      <c r="C13810" t="s">
        <v>37</v>
      </c>
      <c r="D13810" t="s">
        <v>34</v>
      </c>
      <c r="E13810" t="s">
        <v>21</v>
      </c>
      <c r="F13810" t="s">
        <v>19</v>
      </c>
      <c r="G13810" s="1" t="str">
        <f t="shared" si="3165"/>
        <v>X</v>
      </c>
      <c r="H13810" s="1" t="str">
        <f t="shared" si="3165"/>
        <v>X</v>
      </c>
      <c r="I13810" s="1" t="str">
        <f t="shared" si="3165"/>
        <v>X</v>
      </c>
      <c r="J13810" s="1" t="str">
        <f t="shared" si="3165"/>
        <v>X</v>
      </c>
      <c r="K13810" s="1" t="str">
        <f t="shared" si="3165"/>
        <v>X</v>
      </c>
      <c r="L13810" s="1" t="str">
        <f t="shared" si="3165"/>
        <v>X</v>
      </c>
      <c r="M13810" s="1" t="str">
        <f t="shared" si="3165"/>
        <v>X</v>
      </c>
      <c r="N13810" t="s">
        <v>27</v>
      </c>
    </row>
    <row r="13811" spans="1:14" x14ac:dyDescent="0.25">
      <c r="A13811" t="s">
        <v>45</v>
      </c>
      <c r="B13811" t="s">
        <v>15</v>
      </c>
      <c r="C13811" t="s">
        <v>37</v>
      </c>
      <c r="D13811" t="s">
        <v>34</v>
      </c>
      <c r="E13811" t="s">
        <v>21</v>
      </c>
      <c r="F13811" t="s">
        <v>20</v>
      </c>
      <c r="G13811" s="1" t="str">
        <f t="shared" si="3165"/>
        <v>X</v>
      </c>
      <c r="H13811" s="1" t="str">
        <f t="shared" si="3165"/>
        <v>X</v>
      </c>
      <c r="I13811" s="1" t="str">
        <f t="shared" si="3165"/>
        <v>X</v>
      </c>
      <c r="J13811" s="1" t="str">
        <f t="shared" si="3165"/>
        <v>X</v>
      </c>
      <c r="K13811" s="1" t="str">
        <f t="shared" si="3165"/>
        <v>X</v>
      </c>
      <c r="L13811" s="1" t="str">
        <f t="shared" si="3165"/>
        <v>X</v>
      </c>
      <c r="M13811" s="1" t="str">
        <f t="shared" si="3165"/>
        <v>X</v>
      </c>
      <c r="N13811" t="s">
        <v>27</v>
      </c>
    </row>
    <row r="13812" spans="1:14" x14ac:dyDescent="0.25">
      <c r="A13812" t="s">
        <v>45</v>
      </c>
      <c r="B13812" t="s">
        <v>15</v>
      </c>
      <c r="C13812" t="s">
        <v>37</v>
      </c>
      <c r="D13812" t="s">
        <v>34</v>
      </c>
      <c r="E13812" t="s">
        <v>22</v>
      </c>
      <c r="F13812" t="s">
        <v>15</v>
      </c>
      <c r="G13812" s="1" t="str">
        <f t="shared" si="3165"/>
        <v>X</v>
      </c>
      <c r="H13812" s="1" t="str">
        <f t="shared" si="3165"/>
        <v>X</v>
      </c>
      <c r="I13812" s="1" t="str">
        <f t="shared" si="3165"/>
        <v>X</v>
      </c>
      <c r="J13812" s="1" t="str">
        <f t="shared" si="3165"/>
        <v>X</v>
      </c>
      <c r="K13812" s="1" t="str">
        <f t="shared" si="3165"/>
        <v>X</v>
      </c>
      <c r="L13812" s="1" t="str">
        <f t="shared" si="3165"/>
        <v>X</v>
      </c>
      <c r="M13812" s="1" t="str">
        <f t="shared" si="3165"/>
        <v>X</v>
      </c>
      <c r="N13812" t="s">
        <v>27</v>
      </c>
    </row>
    <row r="13813" spans="1:14" x14ac:dyDescent="0.25">
      <c r="A13813" t="s">
        <v>45</v>
      </c>
      <c r="B13813" t="s">
        <v>15</v>
      </c>
      <c r="C13813" t="s">
        <v>37</v>
      </c>
      <c r="D13813" t="s">
        <v>34</v>
      </c>
      <c r="E13813" t="s">
        <v>22</v>
      </c>
      <c r="F13813" t="s">
        <v>17</v>
      </c>
      <c r="G13813" s="1" t="str">
        <f t="shared" si="3165"/>
        <v>X</v>
      </c>
      <c r="H13813" s="1" t="str">
        <f t="shared" si="3165"/>
        <v>X</v>
      </c>
      <c r="I13813" s="1" t="str">
        <f t="shared" si="3165"/>
        <v>X</v>
      </c>
      <c r="J13813" s="1" t="str">
        <f t="shared" si="3165"/>
        <v>X</v>
      </c>
      <c r="K13813" s="1" t="str">
        <f t="shared" si="3165"/>
        <v>X</v>
      </c>
      <c r="L13813" s="1" t="str">
        <f t="shared" si="3165"/>
        <v>X</v>
      </c>
      <c r="M13813" s="1" t="str">
        <f t="shared" si="3165"/>
        <v>X</v>
      </c>
      <c r="N13813" t="s">
        <v>27</v>
      </c>
    </row>
    <row r="13814" spans="1:14" x14ac:dyDescent="0.25">
      <c r="A13814" t="s">
        <v>45</v>
      </c>
      <c r="B13814" t="s">
        <v>15</v>
      </c>
      <c r="C13814" t="s">
        <v>37</v>
      </c>
      <c r="D13814" t="s">
        <v>34</v>
      </c>
      <c r="E13814" t="s">
        <v>22</v>
      </c>
      <c r="F13814" t="s">
        <v>18</v>
      </c>
      <c r="G13814" s="1" t="str">
        <f t="shared" si="3165"/>
        <v>X</v>
      </c>
      <c r="H13814" s="1" t="str">
        <f t="shared" si="3165"/>
        <v>X</v>
      </c>
      <c r="I13814" s="1" t="str">
        <f t="shared" si="3165"/>
        <v>X</v>
      </c>
      <c r="J13814" s="1" t="str">
        <f t="shared" si="3165"/>
        <v>X</v>
      </c>
      <c r="K13814" s="1" t="str">
        <f t="shared" si="3165"/>
        <v>X</v>
      </c>
      <c r="L13814" s="1" t="str">
        <f t="shared" si="3165"/>
        <v>X</v>
      </c>
      <c r="M13814" s="1" t="str">
        <f t="shared" si="3165"/>
        <v>X</v>
      </c>
      <c r="N13814" t="s">
        <v>27</v>
      </c>
    </row>
    <row r="13815" spans="1:14" x14ac:dyDescent="0.25">
      <c r="A13815" t="s">
        <v>45</v>
      </c>
      <c r="B13815" t="s">
        <v>15</v>
      </c>
      <c r="C13815" t="s">
        <v>37</v>
      </c>
      <c r="D13815" t="s">
        <v>34</v>
      </c>
      <c r="E13815" t="s">
        <v>22</v>
      </c>
      <c r="F13815" t="s">
        <v>19</v>
      </c>
      <c r="G13815" s="1" t="str">
        <f t="shared" si="3165"/>
        <v>X</v>
      </c>
      <c r="H13815" s="1" t="str">
        <f t="shared" si="3165"/>
        <v>X</v>
      </c>
      <c r="I13815" s="1" t="str">
        <f t="shared" si="3165"/>
        <v>X</v>
      </c>
      <c r="J13815" s="1" t="str">
        <f t="shared" si="3165"/>
        <v>X</v>
      </c>
      <c r="K13815" s="1" t="str">
        <f t="shared" si="3165"/>
        <v>X</v>
      </c>
      <c r="L13815" s="1" t="str">
        <f t="shared" si="3165"/>
        <v>X</v>
      </c>
      <c r="M13815" s="1" t="str">
        <f t="shared" si="3165"/>
        <v>X</v>
      </c>
      <c r="N13815" t="s">
        <v>27</v>
      </c>
    </row>
    <row r="13816" spans="1:14" x14ac:dyDescent="0.25">
      <c r="A13816" t="s">
        <v>45</v>
      </c>
      <c r="B13816" t="s">
        <v>15</v>
      </c>
      <c r="C13816" t="s">
        <v>37</v>
      </c>
      <c r="D13816" t="s">
        <v>34</v>
      </c>
      <c r="E13816" t="s">
        <v>22</v>
      </c>
      <c r="F13816" t="s">
        <v>20</v>
      </c>
      <c r="G13816" s="1" t="str">
        <f t="shared" si="3165"/>
        <v>X</v>
      </c>
      <c r="H13816" s="1" t="str">
        <f t="shared" si="3165"/>
        <v>X</v>
      </c>
      <c r="I13816" s="1" t="str">
        <f t="shared" si="3165"/>
        <v>X</v>
      </c>
      <c r="J13816" s="1" t="str">
        <f t="shared" si="3165"/>
        <v>X</v>
      </c>
      <c r="K13816" s="1" t="str">
        <f t="shared" si="3165"/>
        <v>X</v>
      </c>
      <c r="L13816" s="1" t="str">
        <f t="shared" si="3165"/>
        <v>X</v>
      </c>
      <c r="M13816" s="1" t="str">
        <f t="shared" si="3165"/>
        <v>X</v>
      </c>
      <c r="N13816" t="s">
        <v>27</v>
      </c>
    </row>
    <row r="13817" spans="1:14" x14ac:dyDescent="0.25">
      <c r="A13817" t="s">
        <v>45</v>
      </c>
      <c r="B13817" t="s">
        <v>15</v>
      </c>
      <c r="C13817" t="s">
        <v>37</v>
      </c>
      <c r="D13817" t="s">
        <v>34</v>
      </c>
      <c r="E13817" t="s">
        <v>23</v>
      </c>
      <c r="F13817" t="s">
        <v>15</v>
      </c>
      <c r="G13817" s="2">
        <f>VALUE(235.43)</f>
        <v>235.43</v>
      </c>
      <c r="H13817" s="3">
        <f>VALUE(190.06)</f>
        <v>190.06</v>
      </c>
      <c r="I13817" s="1">
        <f>VALUE(3425)</f>
        <v>3425</v>
      </c>
      <c r="J13817" s="5">
        <f>VALUE(3741)</f>
        <v>3741</v>
      </c>
      <c r="K13817" s="1">
        <f>VALUE(4818)</f>
        <v>4818</v>
      </c>
      <c r="L13817" s="7">
        <f>VALUE(5563)</f>
        <v>5563</v>
      </c>
      <c r="M13817" s="1">
        <f>VALUE(6394)</f>
        <v>6394</v>
      </c>
      <c r="N13817" t="s">
        <v>25</v>
      </c>
    </row>
    <row r="13818" spans="1:14" x14ac:dyDescent="0.25">
      <c r="A13818" t="s">
        <v>45</v>
      </c>
      <c r="B13818" t="s">
        <v>15</v>
      </c>
      <c r="C13818" t="s">
        <v>37</v>
      </c>
      <c r="D13818" t="s">
        <v>34</v>
      </c>
      <c r="E13818" t="s">
        <v>23</v>
      </c>
      <c r="F13818" t="s">
        <v>17</v>
      </c>
      <c r="G13818" s="1" t="str">
        <f t="shared" ref="G13818:M13818" si="3166">"..."</f>
        <v>...</v>
      </c>
      <c r="H13818" s="1" t="str">
        <f t="shared" si="3166"/>
        <v>...</v>
      </c>
      <c r="I13818" s="1" t="str">
        <f t="shared" si="3166"/>
        <v>...</v>
      </c>
      <c r="J13818" s="1" t="str">
        <f t="shared" si="3166"/>
        <v>...</v>
      </c>
      <c r="K13818" s="1" t="str">
        <f t="shared" si="3166"/>
        <v>...</v>
      </c>
      <c r="L13818" s="1" t="str">
        <f t="shared" si="3166"/>
        <v>...</v>
      </c>
      <c r="M13818" s="1" t="str">
        <f t="shared" si="3166"/>
        <v>...</v>
      </c>
      <c r="N13818" t="s">
        <v>30</v>
      </c>
    </row>
    <row r="13819" spans="1:14" x14ac:dyDescent="0.25">
      <c r="A13819" t="s">
        <v>45</v>
      </c>
      <c r="B13819" t="s">
        <v>15</v>
      </c>
      <c r="C13819" t="s">
        <v>37</v>
      </c>
      <c r="D13819" t="s">
        <v>34</v>
      </c>
      <c r="E13819" t="s">
        <v>23</v>
      </c>
      <c r="F13819" t="s">
        <v>18</v>
      </c>
      <c r="G13819" s="1" t="str">
        <f t="shared" ref="G13819:M13820" si="3167">"X"</f>
        <v>X</v>
      </c>
      <c r="H13819" s="1" t="str">
        <f t="shared" si="3167"/>
        <v>X</v>
      </c>
      <c r="I13819" s="1" t="str">
        <f t="shared" si="3167"/>
        <v>X</v>
      </c>
      <c r="J13819" s="1" t="str">
        <f t="shared" si="3167"/>
        <v>X</v>
      </c>
      <c r="K13819" s="1" t="str">
        <f t="shared" si="3167"/>
        <v>X</v>
      </c>
      <c r="L13819" s="1" t="str">
        <f t="shared" si="3167"/>
        <v>X</v>
      </c>
      <c r="M13819" s="1" t="str">
        <f t="shared" si="3167"/>
        <v>X</v>
      </c>
      <c r="N13819" t="s">
        <v>27</v>
      </c>
    </row>
    <row r="13820" spans="1:14" x14ac:dyDescent="0.25">
      <c r="A13820" t="s">
        <v>45</v>
      </c>
      <c r="B13820" t="s">
        <v>15</v>
      </c>
      <c r="C13820" t="s">
        <v>37</v>
      </c>
      <c r="D13820" t="s">
        <v>34</v>
      </c>
      <c r="E13820" t="s">
        <v>23</v>
      </c>
      <c r="F13820" t="s">
        <v>19</v>
      </c>
      <c r="G13820" s="1" t="str">
        <f t="shared" si="3167"/>
        <v>X</v>
      </c>
      <c r="H13820" s="1" t="str">
        <f t="shared" si="3167"/>
        <v>X</v>
      </c>
      <c r="I13820" s="1" t="str">
        <f t="shared" si="3167"/>
        <v>X</v>
      </c>
      <c r="J13820" s="1" t="str">
        <f t="shared" si="3167"/>
        <v>X</v>
      </c>
      <c r="K13820" s="1" t="str">
        <f t="shared" si="3167"/>
        <v>X</v>
      </c>
      <c r="L13820" s="1" t="str">
        <f t="shared" si="3167"/>
        <v>X</v>
      </c>
      <c r="M13820" s="1" t="str">
        <f t="shared" si="3167"/>
        <v>X</v>
      </c>
      <c r="N13820" t="s">
        <v>27</v>
      </c>
    </row>
    <row r="13821" spans="1:14" x14ac:dyDescent="0.25">
      <c r="A13821" t="s">
        <v>45</v>
      </c>
      <c r="B13821" t="s">
        <v>15</v>
      </c>
      <c r="C13821" t="s">
        <v>37</v>
      </c>
      <c r="D13821" t="s">
        <v>34</v>
      </c>
      <c r="E13821" t="s">
        <v>23</v>
      </c>
      <c r="F13821" t="s">
        <v>20</v>
      </c>
      <c r="G13821" s="2">
        <f>VALUE(211.88)</f>
        <v>211.88</v>
      </c>
      <c r="H13821" s="3">
        <f>VALUE(169.94)</f>
        <v>169.94</v>
      </c>
      <c r="I13821" s="1">
        <f>VALUE(3421)</f>
        <v>3421</v>
      </c>
      <c r="J13821" s="5">
        <f>VALUE(3741)</f>
        <v>3741</v>
      </c>
      <c r="K13821" s="1">
        <f>VALUE(4597)</f>
        <v>4597</v>
      </c>
      <c r="L13821" s="7">
        <f>VALUE(5517)</f>
        <v>5517</v>
      </c>
      <c r="M13821" s="1">
        <f>VALUE(6299)</f>
        <v>6299</v>
      </c>
      <c r="N13821" t="s">
        <v>25</v>
      </c>
    </row>
    <row r="13822" spans="1:14" x14ac:dyDescent="0.25">
      <c r="A13822" t="s">
        <v>45</v>
      </c>
      <c r="B13822" t="s">
        <v>15</v>
      </c>
      <c r="C13822" t="s">
        <v>37</v>
      </c>
      <c r="D13822" t="s">
        <v>34</v>
      </c>
      <c r="E13822" t="s">
        <v>26</v>
      </c>
      <c r="F13822" t="s">
        <v>15</v>
      </c>
      <c r="G13822" s="1" t="str">
        <f t="shared" ref="G13822:M13822" si="3168">"X"</f>
        <v>X</v>
      </c>
      <c r="H13822" s="1" t="str">
        <f t="shared" si="3168"/>
        <v>X</v>
      </c>
      <c r="I13822" s="1" t="str">
        <f t="shared" si="3168"/>
        <v>X</v>
      </c>
      <c r="J13822" s="1" t="str">
        <f t="shared" si="3168"/>
        <v>X</v>
      </c>
      <c r="K13822" s="1" t="str">
        <f t="shared" si="3168"/>
        <v>X</v>
      </c>
      <c r="L13822" s="1" t="str">
        <f t="shared" si="3168"/>
        <v>X</v>
      </c>
      <c r="M13822" s="1" t="str">
        <f t="shared" si="3168"/>
        <v>X</v>
      </c>
      <c r="N13822" t="s">
        <v>27</v>
      </c>
    </row>
    <row r="13823" spans="1:14" x14ac:dyDescent="0.25">
      <c r="A13823" t="s">
        <v>45</v>
      </c>
      <c r="B13823" t="s">
        <v>15</v>
      </c>
      <c r="C13823" t="s">
        <v>37</v>
      </c>
      <c r="D13823" t="s">
        <v>34</v>
      </c>
      <c r="E13823" t="s">
        <v>26</v>
      </c>
      <c r="F13823" t="s">
        <v>17</v>
      </c>
      <c r="G13823" s="1" t="str">
        <f t="shared" ref="G13823:M13825" si="3169">"..."</f>
        <v>...</v>
      </c>
      <c r="H13823" s="1" t="str">
        <f t="shared" si="3169"/>
        <v>...</v>
      </c>
      <c r="I13823" s="1" t="str">
        <f t="shared" si="3169"/>
        <v>...</v>
      </c>
      <c r="J13823" s="1" t="str">
        <f t="shared" si="3169"/>
        <v>...</v>
      </c>
      <c r="K13823" s="1" t="str">
        <f t="shared" si="3169"/>
        <v>...</v>
      </c>
      <c r="L13823" s="1" t="str">
        <f t="shared" si="3169"/>
        <v>...</v>
      </c>
      <c r="M13823" s="1" t="str">
        <f t="shared" si="3169"/>
        <v>...</v>
      </c>
      <c r="N13823" t="s">
        <v>30</v>
      </c>
    </row>
    <row r="13824" spans="1:14" x14ac:dyDescent="0.25">
      <c r="A13824" t="s">
        <v>45</v>
      </c>
      <c r="B13824" t="s">
        <v>15</v>
      </c>
      <c r="C13824" t="s">
        <v>37</v>
      </c>
      <c r="D13824" t="s">
        <v>34</v>
      </c>
      <c r="E13824" t="s">
        <v>26</v>
      </c>
      <c r="F13824" t="s">
        <v>18</v>
      </c>
      <c r="G13824" s="1" t="str">
        <f t="shared" si="3169"/>
        <v>...</v>
      </c>
      <c r="H13824" s="1" t="str">
        <f t="shared" si="3169"/>
        <v>...</v>
      </c>
      <c r="I13824" s="1" t="str">
        <f t="shared" si="3169"/>
        <v>...</v>
      </c>
      <c r="J13824" s="1" t="str">
        <f t="shared" si="3169"/>
        <v>...</v>
      </c>
      <c r="K13824" s="1" t="str">
        <f t="shared" si="3169"/>
        <v>...</v>
      </c>
      <c r="L13824" s="1" t="str">
        <f t="shared" si="3169"/>
        <v>...</v>
      </c>
      <c r="M13824" s="1" t="str">
        <f t="shared" si="3169"/>
        <v>...</v>
      </c>
      <c r="N13824" t="s">
        <v>30</v>
      </c>
    </row>
    <row r="13825" spans="1:14" x14ac:dyDescent="0.25">
      <c r="A13825" t="s">
        <v>45</v>
      </c>
      <c r="B13825" t="s">
        <v>15</v>
      </c>
      <c r="C13825" t="s">
        <v>37</v>
      </c>
      <c r="D13825" t="s">
        <v>34</v>
      </c>
      <c r="E13825" t="s">
        <v>26</v>
      </c>
      <c r="F13825" t="s">
        <v>19</v>
      </c>
      <c r="G13825" s="1" t="str">
        <f t="shared" si="3169"/>
        <v>...</v>
      </c>
      <c r="H13825" s="1" t="str">
        <f t="shared" si="3169"/>
        <v>...</v>
      </c>
      <c r="I13825" s="1" t="str">
        <f t="shared" si="3169"/>
        <v>...</v>
      </c>
      <c r="J13825" s="1" t="str">
        <f t="shared" si="3169"/>
        <v>...</v>
      </c>
      <c r="K13825" s="1" t="str">
        <f t="shared" si="3169"/>
        <v>...</v>
      </c>
      <c r="L13825" s="1" t="str">
        <f t="shared" si="3169"/>
        <v>...</v>
      </c>
      <c r="M13825" s="1" t="str">
        <f t="shared" si="3169"/>
        <v>...</v>
      </c>
      <c r="N13825" t="s">
        <v>30</v>
      </c>
    </row>
    <row r="13826" spans="1:14" x14ac:dyDescent="0.25">
      <c r="A13826" t="s">
        <v>45</v>
      </c>
      <c r="B13826" t="s">
        <v>15</v>
      </c>
      <c r="C13826" t="s">
        <v>37</v>
      </c>
      <c r="D13826" t="s">
        <v>34</v>
      </c>
      <c r="E13826" t="s">
        <v>26</v>
      </c>
      <c r="F13826" t="s">
        <v>20</v>
      </c>
      <c r="G13826" s="1" t="str">
        <f t="shared" ref="G13826:M13826" si="3170">"X"</f>
        <v>X</v>
      </c>
      <c r="H13826" s="1" t="str">
        <f t="shared" si="3170"/>
        <v>X</v>
      </c>
      <c r="I13826" s="1" t="str">
        <f t="shared" si="3170"/>
        <v>X</v>
      </c>
      <c r="J13826" s="1" t="str">
        <f t="shared" si="3170"/>
        <v>X</v>
      </c>
      <c r="K13826" s="1" t="str">
        <f t="shared" si="3170"/>
        <v>X</v>
      </c>
      <c r="L13826" s="1" t="str">
        <f t="shared" si="3170"/>
        <v>X</v>
      </c>
      <c r="M13826" s="1" t="str">
        <f t="shared" si="3170"/>
        <v>X</v>
      </c>
      <c r="N13826" t="s">
        <v>27</v>
      </c>
    </row>
    <row r="13827" spans="1:14" x14ac:dyDescent="0.25">
      <c r="A13827" t="s">
        <v>45</v>
      </c>
      <c r="B13827" t="s">
        <v>15</v>
      </c>
      <c r="C13827" t="s">
        <v>38</v>
      </c>
      <c r="D13827" t="s">
        <v>15</v>
      </c>
      <c r="E13827" t="s">
        <v>15</v>
      </c>
      <c r="F13827" t="s">
        <v>15</v>
      </c>
      <c r="G13827" s="1">
        <f>VALUE(39179.4)</f>
        <v>39179.4</v>
      </c>
      <c r="H13827" s="1">
        <f>VALUE(33162.83)</f>
        <v>33162.83</v>
      </c>
      <c r="I13827" s="1">
        <f>VALUE(3542)</f>
        <v>3542</v>
      </c>
      <c r="J13827" s="1">
        <f>VALUE(4434)</f>
        <v>4434</v>
      </c>
      <c r="K13827" s="1">
        <f>VALUE(5697)</f>
        <v>5697</v>
      </c>
      <c r="L13827" s="1">
        <f>VALUE(7702)</f>
        <v>7702</v>
      </c>
      <c r="M13827" s="1">
        <f>VALUE(11418)</f>
        <v>11418</v>
      </c>
      <c r="N13827" t="s">
        <v>16</v>
      </c>
    </row>
    <row r="13828" spans="1:14" x14ac:dyDescent="0.25">
      <c r="A13828" t="s">
        <v>45</v>
      </c>
      <c r="B13828" t="s">
        <v>15</v>
      </c>
      <c r="C13828" t="s">
        <v>38</v>
      </c>
      <c r="D13828" t="s">
        <v>15</v>
      </c>
      <c r="E13828" t="s">
        <v>15</v>
      </c>
      <c r="F13828" t="s">
        <v>17</v>
      </c>
      <c r="G13828" s="1">
        <f>VALUE(8770.76)</f>
        <v>8770.76</v>
      </c>
      <c r="H13828" s="1">
        <f>VALUE(8081.44)</f>
        <v>8081.44</v>
      </c>
      <c r="I13828" s="4">
        <f>VALUE(4541)</f>
        <v>4541</v>
      </c>
      <c r="J13828" s="1">
        <f>VALUE(6190)</f>
        <v>6190</v>
      </c>
      <c r="K13828" s="6">
        <f>VALUE(8749)</f>
        <v>8749</v>
      </c>
      <c r="L13828" s="1">
        <f>VALUE(12706)</f>
        <v>12706</v>
      </c>
      <c r="M13828" s="1">
        <f>VALUE(18972)</f>
        <v>18972</v>
      </c>
      <c r="N13828" t="s">
        <v>25</v>
      </c>
    </row>
    <row r="13829" spans="1:14" x14ac:dyDescent="0.25">
      <c r="A13829" t="s">
        <v>45</v>
      </c>
      <c r="B13829" t="s">
        <v>15</v>
      </c>
      <c r="C13829" t="s">
        <v>38</v>
      </c>
      <c r="D13829" t="s">
        <v>15</v>
      </c>
      <c r="E13829" t="s">
        <v>15</v>
      </c>
      <c r="F13829" t="s">
        <v>18</v>
      </c>
      <c r="G13829" s="2">
        <f>VALUE(3858.99)</f>
        <v>3858.99</v>
      </c>
      <c r="H13829" s="3">
        <f>VALUE(3213.7)</f>
        <v>3213.7</v>
      </c>
      <c r="I13829" s="1">
        <f>VALUE(4439)</f>
        <v>4439</v>
      </c>
      <c r="J13829" s="1">
        <f>VALUE(5333)</f>
        <v>5333</v>
      </c>
      <c r="K13829" s="1">
        <f>VALUE(6519)</f>
        <v>6519</v>
      </c>
      <c r="L13829" s="1">
        <f>VALUE(8805)</f>
        <v>8805</v>
      </c>
      <c r="M13829" s="1">
        <f>VALUE(10952)</f>
        <v>10952</v>
      </c>
      <c r="N13829" t="s">
        <v>25</v>
      </c>
    </row>
    <row r="13830" spans="1:14" x14ac:dyDescent="0.25">
      <c r="A13830" t="s">
        <v>45</v>
      </c>
      <c r="B13830" t="s">
        <v>15</v>
      </c>
      <c r="C13830" t="s">
        <v>38</v>
      </c>
      <c r="D13830" t="s">
        <v>15</v>
      </c>
      <c r="E13830" t="s">
        <v>15</v>
      </c>
      <c r="F13830" t="s">
        <v>19</v>
      </c>
      <c r="G13830" s="1">
        <f>VALUE(3995.44)</f>
        <v>3995.44</v>
      </c>
      <c r="H13830" s="1">
        <f>VALUE(3571.21)</f>
        <v>3571.21</v>
      </c>
      <c r="I13830" s="1">
        <f>VALUE(3835)</f>
        <v>3835</v>
      </c>
      <c r="J13830" s="1">
        <f>VALUE(4664)</f>
        <v>4664</v>
      </c>
      <c r="K13830" s="1">
        <f>VALUE(5878)</f>
        <v>5878</v>
      </c>
      <c r="L13830" s="1">
        <f>VALUE(7356)</f>
        <v>7356</v>
      </c>
      <c r="M13830" s="1">
        <f>VALUE(9060)</f>
        <v>9060</v>
      </c>
      <c r="N13830" t="s">
        <v>16</v>
      </c>
    </row>
    <row r="13831" spans="1:14" x14ac:dyDescent="0.25">
      <c r="A13831" t="s">
        <v>45</v>
      </c>
      <c r="B13831" t="s">
        <v>15</v>
      </c>
      <c r="C13831" t="s">
        <v>38</v>
      </c>
      <c r="D13831" t="s">
        <v>15</v>
      </c>
      <c r="E13831" t="s">
        <v>15</v>
      </c>
      <c r="F13831" t="s">
        <v>20</v>
      </c>
      <c r="G13831" s="1">
        <f>VALUE(22554.21)</f>
        <v>22554.21</v>
      </c>
      <c r="H13831" s="1">
        <f>VALUE(18296.48)</f>
        <v>18296.48</v>
      </c>
      <c r="I13831" s="1">
        <f>VALUE(3293)</f>
        <v>3293</v>
      </c>
      <c r="J13831" s="1">
        <f>VALUE(3957)</f>
        <v>3957</v>
      </c>
      <c r="K13831" s="1">
        <f>VALUE(5075)</f>
        <v>5075</v>
      </c>
      <c r="L13831" s="1">
        <f>VALUE(6203)</f>
        <v>6203</v>
      </c>
      <c r="M13831" s="1">
        <f>VALUE(7515)</f>
        <v>7515</v>
      </c>
      <c r="N13831" t="s">
        <v>16</v>
      </c>
    </row>
    <row r="13832" spans="1:14" x14ac:dyDescent="0.25">
      <c r="A13832" t="s">
        <v>45</v>
      </c>
      <c r="B13832" t="s">
        <v>15</v>
      </c>
      <c r="C13832" t="s">
        <v>38</v>
      </c>
      <c r="D13832" t="s">
        <v>15</v>
      </c>
      <c r="E13832" t="s">
        <v>21</v>
      </c>
      <c r="F13832" t="s">
        <v>15</v>
      </c>
      <c r="G13832" s="1">
        <f>VALUE(9892.26)</f>
        <v>9892.26</v>
      </c>
      <c r="H13832" s="1">
        <f>VALUE(8525.3)</f>
        <v>8525.2999999999993</v>
      </c>
      <c r="I13832" s="1">
        <f>VALUE(4666)</f>
        <v>4666</v>
      </c>
      <c r="J13832" s="1">
        <f>VALUE(6200)</f>
        <v>6200</v>
      </c>
      <c r="K13832" s="1">
        <f>VALUE(8400)</f>
        <v>8400</v>
      </c>
      <c r="L13832" s="1">
        <f>VALUE(11739)</f>
        <v>11739</v>
      </c>
      <c r="M13832" s="1">
        <f>VALUE(17143)</f>
        <v>17143</v>
      </c>
      <c r="N13832" t="s">
        <v>16</v>
      </c>
    </row>
    <row r="13833" spans="1:14" x14ac:dyDescent="0.25">
      <c r="A13833" t="s">
        <v>45</v>
      </c>
      <c r="B13833" t="s">
        <v>15</v>
      </c>
      <c r="C13833" t="s">
        <v>38</v>
      </c>
      <c r="D13833" t="s">
        <v>15</v>
      </c>
      <c r="E13833" t="s">
        <v>21</v>
      </c>
      <c r="F13833" t="s">
        <v>17</v>
      </c>
      <c r="G13833" s="2">
        <f>VALUE(4951.87)</f>
        <v>4951.87</v>
      </c>
      <c r="H13833" s="3">
        <f>VALUE(4497.59)</f>
        <v>4497.59</v>
      </c>
      <c r="I13833" s="4">
        <f>VALUE(5280)</f>
        <v>5280</v>
      </c>
      <c r="J13833" s="1">
        <f>VALUE(7138)</f>
        <v>7138</v>
      </c>
      <c r="K13833" s="6">
        <f>VALUE(10142)</f>
        <v>10142</v>
      </c>
      <c r="L13833" s="7">
        <f>VALUE(14421)</f>
        <v>14421</v>
      </c>
      <c r="M13833" s="8">
        <f>VALUE(21350)</f>
        <v>21350</v>
      </c>
      <c r="N13833" t="s">
        <v>25</v>
      </c>
    </row>
    <row r="13834" spans="1:14" x14ac:dyDescent="0.25">
      <c r="A13834" t="s">
        <v>45</v>
      </c>
      <c r="B13834" t="s">
        <v>15</v>
      </c>
      <c r="C13834" t="s">
        <v>38</v>
      </c>
      <c r="D13834" t="s">
        <v>15</v>
      </c>
      <c r="E13834" t="s">
        <v>21</v>
      </c>
      <c r="F13834" t="s">
        <v>18</v>
      </c>
      <c r="G13834" s="2">
        <f>VALUE(1440.35)</f>
        <v>1440.35</v>
      </c>
      <c r="H13834" s="3">
        <f>VALUE(1250.04)</f>
        <v>1250.04</v>
      </c>
      <c r="I13834" s="1">
        <f>VALUE(5333)</f>
        <v>5333</v>
      </c>
      <c r="J13834" s="1">
        <f>VALUE(6194)</f>
        <v>6194</v>
      </c>
      <c r="K13834" s="1">
        <f>VALUE(8135.5)</f>
        <v>8135.5</v>
      </c>
      <c r="L13834" s="1">
        <f>VALUE(10133)</f>
        <v>10133</v>
      </c>
      <c r="M13834" s="1">
        <f>VALUE(12381)</f>
        <v>12381</v>
      </c>
      <c r="N13834" t="s">
        <v>25</v>
      </c>
    </row>
    <row r="13835" spans="1:14" x14ac:dyDescent="0.25">
      <c r="A13835" t="s">
        <v>45</v>
      </c>
      <c r="B13835" t="s">
        <v>15</v>
      </c>
      <c r="C13835" t="s">
        <v>38</v>
      </c>
      <c r="D13835" t="s">
        <v>15</v>
      </c>
      <c r="E13835" t="s">
        <v>21</v>
      </c>
      <c r="F13835" t="s">
        <v>19</v>
      </c>
      <c r="G13835" s="2">
        <f>VALUE(926.17)</f>
        <v>926.17</v>
      </c>
      <c r="H13835" s="3">
        <f>VALUE(760.84)</f>
        <v>760.84</v>
      </c>
      <c r="I13835" s="1">
        <f>VALUE(4494)</f>
        <v>4494</v>
      </c>
      <c r="J13835" s="1">
        <f>VALUE(5295)</f>
        <v>5295</v>
      </c>
      <c r="K13835" s="1">
        <f>VALUE(7248)</f>
        <v>7248</v>
      </c>
      <c r="L13835" s="1">
        <f>VALUE(8931)</f>
        <v>8931</v>
      </c>
      <c r="M13835" s="1">
        <f>VALUE(11650)</f>
        <v>11650</v>
      </c>
      <c r="N13835" t="s">
        <v>25</v>
      </c>
    </row>
    <row r="13836" spans="1:14" x14ac:dyDescent="0.25">
      <c r="A13836" t="s">
        <v>45</v>
      </c>
      <c r="B13836" t="s">
        <v>15</v>
      </c>
      <c r="C13836" t="s">
        <v>38</v>
      </c>
      <c r="D13836" t="s">
        <v>15</v>
      </c>
      <c r="E13836" t="s">
        <v>21</v>
      </c>
      <c r="F13836" t="s">
        <v>20</v>
      </c>
      <c r="G13836" s="1">
        <f>VALUE(2573.87)</f>
        <v>2573.87</v>
      </c>
      <c r="H13836" s="1">
        <f>VALUE(2016.83)</f>
        <v>2016.83</v>
      </c>
      <c r="I13836" s="1">
        <f>VALUE(3575)</f>
        <v>3575</v>
      </c>
      <c r="J13836" s="1">
        <f>VALUE(5113)</f>
        <v>5113</v>
      </c>
      <c r="K13836" s="1">
        <f>VALUE(6849)</f>
        <v>6849</v>
      </c>
      <c r="L13836" s="1">
        <f>VALUE(9019)</f>
        <v>9019</v>
      </c>
      <c r="M13836" s="8">
        <f>VALUE(11006)</f>
        <v>11006</v>
      </c>
      <c r="N13836" t="s">
        <v>25</v>
      </c>
    </row>
    <row r="13837" spans="1:14" x14ac:dyDescent="0.25">
      <c r="A13837" t="s">
        <v>45</v>
      </c>
      <c r="B13837" t="s">
        <v>15</v>
      </c>
      <c r="C13837" t="s">
        <v>38</v>
      </c>
      <c r="D13837" t="s">
        <v>15</v>
      </c>
      <c r="E13837" t="s">
        <v>22</v>
      </c>
      <c r="F13837" t="s">
        <v>15</v>
      </c>
      <c r="G13837" s="1">
        <f>VALUE(15710.4)</f>
        <v>15710.4</v>
      </c>
      <c r="H13837" s="1">
        <f>VALUE(13277.84)</f>
        <v>13277.84</v>
      </c>
      <c r="I13837" s="1">
        <f>VALUE(3904)</f>
        <v>3904</v>
      </c>
      <c r="J13837" s="1">
        <f>VALUE(4844)</f>
        <v>4844</v>
      </c>
      <c r="K13837" s="1">
        <f>VALUE(5916)</f>
        <v>5916</v>
      </c>
      <c r="L13837" s="1">
        <f>VALUE(7460)</f>
        <v>7460</v>
      </c>
      <c r="M13837" s="1">
        <f>VALUE(10042)</f>
        <v>10042</v>
      </c>
      <c r="N13837" t="s">
        <v>16</v>
      </c>
    </row>
    <row r="13838" spans="1:14" x14ac:dyDescent="0.25">
      <c r="A13838" t="s">
        <v>45</v>
      </c>
      <c r="B13838" t="s">
        <v>15</v>
      </c>
      <c r="C13838" t="s">
        <v>38</v>
      </c>
      <c r="D13838" t="s">
        <v>15</v>
      </c>
      <c r="E13838" t="s">
        <v>22</v>
      </c>
      <c r="F13838" t="s">
        <v>17</v>
      </c>
      <c r="G13838" s="2">
        <f>VALUE(3151.51)</f>
        <v>3151.51</v>
      </c>
      <c r="H13838" s="3">
        <f>VALUE(2953.65)</f>
        <v>2953.65</v>
      </c>
      <c r="I13838" s="4">
        <f>VALUE(4000)</f>
        <v>4000</v>
      </c>
      <c r="J13838" s="5">
        <f>VALUE(5569)</f>
        <v>5569</v>
      </c>
      <c r="K13838" s="6">
        <f>VALUE(8016)</f>
        <v>8016</v>
      </c>
      <c r="L13838" s="1">
        <f>VALUE(11608)</f>
        <v>11608</v>
      </c>
      <c r="M13838" s="1">
        <f>VALUE(16807)</f>
        <v>16807</v>
      </c>
      <c r="N13838" t="s">
        <v>25</v>
      </c>
    </row>
    <row r="13839" spans="1:14" x14ac:dyDescent="0.25">
      <c r="A13839" t="s">
        <v>45</v>
      </c>
      <c r="B13839" t="s">
        <v>15</v>
      </c>
      <c r="C13839" t="s">
        <v>38</v>
      </c>
      <c r="D13839" t="s">
        <v>15</v>
      </c>
      <c r="E13839" t="s">
        <v>22</v>
      </c>
      <c r="F13839" t="s">
        <v>18</v>
      </c>
      <c r="G13839" s="2">
        <f>VALUE(1760.74)</f>
        <v>1760.74</v>
      </c>
      <c r="H13839" s="3">
        <f>VALUE(1410.59)</f>
        <v>1410.59</v>
      </c>
      <c r="I13839" s="1">
        <f>VALUE(4128)</f>
        <v>4128</v>
      </c>
      <c r="J13839" s="1">
        <f>VALUE(5000)</f>
        <v>5000</v>
      </c>
      <c r="K13839" s="1">
        <f>VALUE(6457)</f>
        <v>6457</v>
      </c>
      <c r="L13839" s="1">
        <f>VALUE(7951)</f>
        <v>7951</v>
      </c>
      <c r="M13839" s="8">
        <f>VALUE(9635)</f>
        <v>9635</v>
      </c>
      <c r="N13839" t="s">
        <v>25</v>
      </c>
    </row>
    <row r="13840" spans="1:14" x14ac:dyDescent="0.25">
      <c r="A13840" t="s">
        <v>45</v>
      </c>
      <c r="B13840" t="s">
        <v>15</v>
      </c>
      <c r="C13840" t="s">
        <v>38</v>
      </c>
      <c r="D13840" t="s">
        <v>15</v>
      </c>
      <c r="E13840" t="s">
        <v>22</v>
      </c>
      <c r="F13840" t="s">
        <v>19</v>
      </c>
      <c r="G13840" s="1">
        <f>VALUE(2063.77)</f>
        <v>2063.77</v>
      </c>
      <c r="H13840" s="1">
        <f>VALUE(1878.5)</f>
        <v>1878.5</v>
      </c>
      <c r="I13840" s="4">
        <f>VALUE(3867)</f>
        <v>3867</v>
      </c>
      <c r="J13840" s="1">
        <f>VALUE(5013)</f>
        <v>5013</v>
      </c>
      <c r="K13840" s="1">
        <f>VALUE(5982)</f>
        <v>5982</v>
      </c>
      <c r="L13840" s="1">
        <f>VALUE(7167)</f>
        <v>7167</v>
      </c>
      <c r="M13840" s="1">
        <f>VALUE(8559)</f>
        <v>8559</v>
      </c>
      <c r="N13840" t="s">
        <v>25</v>
      </c>
    </row>
    <row r="13841" spans="1:14" x14ac:dyDescent="0.25">
      <c r="A13841" t="s">
        <v>45</v>
      </c>
      <c r="B13841" t="s">
        <v>15</v>
      </c>
      <c r="C13841" t="s">
        <v>38</v>
      </c>
      <c r="D13841" t="s">
        <v>15</v>
      </c>
      <c r="E13841" t="s">
        <v>22</v>
      </c>
      <c r="F13841" t="s">
        <v>20</v>
      </c>
      <c r="G13841" s="1">
        <f>VALUE(8734.38)</f>
        <v>8734.3799999999992</v>
      </c>
      <c r="H13841" s="1">
        <f>VALUE(7035.1)</f>
        <v>7035.1</v>
      </c>
      <c r="I13841" s="1">
        <f>VALUE(3800)</f>
        <v>3800</v>
      </c>
      <c r="J13841" s="1">
        <f>VALUE(4601)</f>
        <v>4601</v>
      </c>
      <c r="K13841" s="1">
        <f>VALUE(5508)</f>
        <v>5508</v>
      </c>
      <c r="L13841" s="1">
        <f>VALUE(6505)</f>
        <v>6505</v>
      </c>
      <c r="M13841" s="1">
        <f>VALUE(7585)</f>
        <v>7585</v>
      </c>
      <c r="N13841" t="s">
        <v>16</v>
      </c>
    </row>
    <row r="13842" spans="1:14" x14ac:dyDescent="0.25">
      <c r="A13842" t="s">
        <v>45</v>
      </c>
      <c r="B13842" t="s">
        <v>15</v>
      </c>
      <c r="C13842" t="s">
        <v>38</v>
      </c>
      <c r="D13842" t="s">
        <v>15</v>
      </c>
      <c r="E13842" t="s">
        <v>23</v>
      </c>
      <c r="F13842" t="s">
        <v>15</v>
      </c>
      <c r="G13842" s="1">
        <f>VALUE(13165.85)</f>
        <v>13165.85</v>
      </c>
      <c r="H13842" s="1">
        <f>VALUE(11065.27)</f>
        <v>11065.27</v>
      </c>
      <c r="I13842" s="1">
        <f>VALUE(3170)</f>
        <v>3170</v>
      </c>
      <c r="J13842" s="1">
        <f>VALUE(3667)</f>
        <v>3667</v>
      </c>
      <c r="K13842" s="1">
        <f>VALUE(4546)</f>
        <v>4546</v>
      </c>
      <c r="L13842" s="1">
        <f>VALUE(5611)</f>
        <v>5611</v>
      </c>
      <c r="M13842" s="1">
        <f>VALUE(6530)</f>
        <v>6530</v>
      </c>
      <c r="N13842" t="s">
        <v>16</v>
      </c>
    </row>
    <row r="13843" spans="1:14" x14ac:dyDescent="0.25">
      <c r="A13843" t="s">
        <v>45</v>
      </c>
      <c r="B13843" t="s">
        <v>15</v>
      </c>
      <c r="C13843" t="s">
        <v>38</v>
      </c>
      <c r="D13843" t="s">
        <v>15</v>
      </c>
      <c r="E13843" t="s">
        <v>23</v>
      </c>
      <c r="F13843" t="s">
        <v>17</v>
      </c>
      <c r="G13843" s="2">
        <f>VALUE(601.68)</f>
        <v>601.67999999999995</v>
      </c>
      <c r="H13843" s="3">
        <f>VALUE(570.27)</f>
        <v>570.27</v>
      </c>
      <c r="I13843" s="4">
        <f>VALUE(3507)</f>
        <v>3507</v>
      </c>
      <c r="J13843" s="5">
        <f>VALUE(5000)</f>
        <v>5000</v>
      </c>
      <c r="K13843" s="6">
        <f>VALUE(5440)</f>
        <v>5440</v>
      </c>
      <c r="L13843" s="7">
        <f>VALUE(7583)</f>
        <v>7583</v>
      </c>
      <c r="M13843" s="8">
        <f>VALUE(9524)</f>
        <v>9524</v>
      </c>
      <c r="N13843" t="s">
        <v>24</v>
      </c>
    </row>
    <row r="13844" spans="1:14" x14ac:dyDescent="0.25">
      <c r="A13844" t="s">
        <v>45</v>
      </c>
      <c r="B13844" t="s">
        <v>15</v>
      </c>
      <c r="C13844" t="s">
        <v>38</v>
      </c>
      <c r="D13844" t="s">
        <v>15</v>
      </c>
      <c r="E13844" t="s">
        <v>23</v>
      </c>
      <c r="F13844" t="s">
        <v>18</v>
      </c>
      <c r="G13844" s="2">
        <f>VALUE(621.21)</f>
        <v>621.21</v>
      </c>
      <c r="H13844" s="3">
        <f>VALUE(529.09)</f>
        <v>529.09</v>
      </c>
      <c r="I13844" s="1">
        <f>VALUE(4213)</f>
        <v>4213</v>
      </c>
      <c r="J13844" s="1">
        <f>VALUE(4715)</f>
        <v>4715</v>
      </c>
      <c r="K13844" s="1">
        <f>VALUE(5489)</f>
        <v>5489</v>
      </c>
      <c r="L13844" s="1">
        <f>VALUE(5691)</f>
        <v>5691</v>
      </c>
      <c r="M13844" s="1">
        <f>VALUE(7648)</f>
        <v>7648</v>
      </c>
      <c r="N13844" t="s">
        <v>25</v>
      </c>
    </row>
    <row r="13845" spans="1:14" x14ac:dyDescent="0.25">
      <c r="A13845" t="s">
        <v>45</v>
      </c>
      <c r="B13845" t="s">
        <v>15</v>
      </c>
      <c r="C13845" t="s">
        <v>38</v>
      </c>
      <c r="D13845" t="s">
        <v>15</v>
      </c>
      <c r="E13845" t="s">
        <v>23</v>
      </c>
      <c r="F13845" t="s">
        <v>19</v>
      </c>
      <c r="G13845" s="2">
        <f>VALUE(986.17)</f>
        <v>986.17</v>
      </c>
      <c r="H13845" s="3">
        <f>VALUE(912.32)</f>
        <v>912.32</v>
      </c>
      <c r="I13845" s="4">
        <f>VALUE(3509)</f>
        <v>3509</v>
      </c>
      <c r="J13845" s="1">
        <f>VALUE(4169)</f>
        <v>4169</v>
      </c>
      <c r="K13845" s="1">
        <f>VALUE(4945)</f>
        <v>4945</v>
      </c>
      <c r="L13845" s="1">
        <f>VALUE(6080)</f>
        <v>6080</v>
      </c>
      <c r="M13845" s="1">
        <f>VALUE(7583)</f>
        <v>7583</v>
      </c>
      <c r="N13845" t="s">
        <v>25</v>
      </c>
    </row>
    <row r="13846" spans="1:14" x14ac:dyDescent="0.25">
      <c r="A13846" t="s">
        <v>45</v>
      </c>
      <c r="B13846" t="s">
        <v>15</v>
      </c>
      <c r="C13846" t="s">
        <v>38</v>
      </c>
      <c r="D13846" t="s">
        <v>15</v>
      </c>
      <c r="E13846" t="s">
        <v>23</v>
      </c>
      <c r="F13846" t="s">
        <v>20</v>
      </c>
      <c r="G13846" s="1">
        <f>VALUE(10956.79)</f>
        <v>10956.79</v>
      </c>
      <c r="H13846" s="1">
        <f>VALUE(9053.59)</f>
        <v>9053.59</v>
      </c>
      <c r="I13846" s="1">
        <f>VALUE(3110)</f>
        <v>3110</v>
      </c>
      <c r="J13846" s="1">
        <f>VALUE(3579)</f>
        <v>3579</v>
      </c>
      <c r="K13846" s="1">
        <f>VALUE(4388)</f>
        <v>4388</v>
      </c>
      <c r="L13846" s="1">
        <f>VALUE(5377)</f>
        <v>5377</v>
      </c>
      <c r="M13846" s="1">
        <f>VALUE(6230)</f>
        <v>6230</v>
      </c>
      <c r="N13846" t="s">
        <v>16</v>
      </c>
    </row>
    <row r="13847" spans="1:14" x14ac:dyDescent="0.25">
      <c r="A13847" t="s">
        <v>45</v>
      </c>
      <c r="B13847" t="s">
        <v>15</v>
      </c>
      <c r="C13847" t="s">
        <v>38</v>
      </c>
      <c r="D13847" t="s">
        <v>15</v>
      </c>
      <c r="E13847" t="s">
        <v>26</v>
      </c>
      <c r="F13847" t="s">
        <v>15</v>
      </c>
      <c r="G13847" s="2">
        <f>VALUE(410.89)</f>
        <v>410.89</v>
      </c>
      <c r="H13847" s="3">
        <f>VALUE(294.42)</f>
        <v>294.42</v>
      </c>
      <c r="I13847" s="1">
        <f>VALUE(3371)</f>
        <v>3371</v>
      </c>
      <c r="J13847" s="5">
        <f>VALUE(4000)</f>
        <v>4000</v>
      </c>
      <c r="K13847" s="6">
        <f>VALUE(5379)</f>
        <v>5379</v>
      </c>
      <c r="L13847" s="7">
        <f>VALUE(7584)</f>
        <v>7584</v>
      </c>
      <c r="M13847" s="8">
        <f>VALUE(11028)</f>
        <v>11028</v>
      </c>
      <c r="N13847" t="s">
        <v>25</v>
      </c>
    </row>
    <row r="13848" spans="1:14" x14ac:dyDescent="0.25">
      <c r="A13848" t="s">
        <v>45</v>
      </c>
      <c r="B13848" t="s">
        <v>15</v>
      </c>
      <c r="C13848" t="s">
        <v>38</v>
      </c>
      <c r="D13848" t="s">
        <v>15</v>
      </c>
      <c r="E13848" t="s">
        <v>26</v>
      </c>
      <c r="F13848" t="s">
        <v>17</v>
      </c>
      <c r="G13848" s="1" t="str">
        <f t="shared" ref="G13848:M13850" si="3171">"X"</f>
        <v>X</v>
      </c>
      <c r="H13848" s="1" t="str">
        <f t="shared" si="3171"/>
        <v>X</v>
      </c>
      <c r="I13848" s="1" t="str">
        <f t="shared" si="3171"/>
        <v>X</v>
      </c>
      <c r="J13848" s="1" t="str">
        <f t="shared" si="3171"/>
        <v>X</v>
      </c>
      <c r="K13848" s="1" t="str">
        <f t="shared" si="3171"/>
        <v>X</v>
      </c>
      <c r="L13848" s="1" t="str">
        <f t="shared" si="3171"/>
        <v>X</v>
      </c>
      <c r="M13848" s="1" t="str">
        <f t="shared" si="3171"/>
        <v>X</v>
      </c>
      <c r="N13848" t="s">
        <v>27</v>
      </c>
    </row>
    <row r="13849" spans="1:14" x14ac:dyDescent="0.25">
      <c r="A13849" t="s">
        <v>45</v>
      </c>
      <c r="B13849" t="s">
        <v>15</v>
      </c>
      <c r="C13849" t="s">
        <v>38</v>
      </c>
      <c r="D13849" t="s">
        <v>15</v>
      </c>
      <c r="E13849" t="s">
        <v>26</v>
      </c>
      <c r="F13849" t="s">
        <v>18</v>
      </c>
      <c r="G13849" s="1" t="str">
        <f t="shared" si="3171"/>
        <v>X</v>
      </c>
      <c r="H13849" s="1" t="str">
        <f t="shared" si="3171"/>
        <v>X</v>
      </c>
      <c r="I13849" s="1" t="str">
        <f t="shared" si="3171"/>
        <v>X</v>
      </c>
      <c r="J13849" s="1" t="str">
        <f t="shared" si="3171"/>
        <v>X</v>
      </c>
      <c r="K13849" s="1" t="str">
        <f t="shared" si="3171"/>
        <v>X</v>
      </c>
      <c r="L13849" s="1" t="str">
        <f t="shared" si="3171"/>
        <v>X</v>
      </c>
      <c r="M13849" s="1" t="str">
        <f t="shared" si="3171"/>
        <v>X</v>
      </c>
      <c r="N13849" t="s">
        <v>27</v>
      </c>
    </row>
    <row r="13850" spans="1:14" x14ac:dyDescent="0.25">
      <c r="A13850" t="s">
        <v>45</v>
      </c>
      <c r="B13850" t="s">
        <v>15</v>
      </c>
      <c r="C13850" t="s">
        <v>38</v>
      </c>
      <c r="D13850" t="s">
        <v>15</v>
      </c>
      <c r="E13850" t="s">
        <v>26</v>
      </c>
      <c r="F13850" t="s">
        <v>19</v>
      </c>
      <c r="G13850" s="1" t="str">
        <f t="shared" si="3171"/>
        <v>X</v>
      </c>
      <c r="H13850" s="1" t="str">
        <f t="shared" si="3171"/>
        <v>X</v>
      </c>
      <c r="I13850" s="1" t="str">
        <f t="shared" si="3171"/>
        <v>X</v>
      </c>
      <c r="J13850" s="1" t="str">
        <f t="shared" si="3171"/>
        <v>X</v>
      </c>
      <c r="K13850" s="1" t="str">
        <f t="shared" si="3171"/>
        <v>X</v>
      </c>
      <c r="L13850" s="1" t="str">
        <f t="shared" si="3171"/>
        <v>X</v>
      </c>
      <c r="M13850" s="1" t="str">
        <f t="shared" si="3171"/>
        <v>X</v>
      </c>
      <c r="N13850" t="s">
        <v>27</v>
      </c>
    </row>
    <row r="13851" spans="1:14" x14ac:dyDescent="0.25">
      <c r="A13851" t="s">
        <v>45</v>
      </c>
      <c r="B13851" t="s">
        <v>15</v>
      </c>
      <c r="C13851" t="s">
        <v>38</v>
      </c>
      <c r="D13851" t="s">
        <v>15</v>
      </c>
      <c r="E13851" t="s">
        <v>26</v>
      </c>
      <c r="F13851" t="s">
        <v>20</v>
      </c>
      <c r="G13851" s="2">
        <f>VALUE(289.17)</f>
        <v>289.17</v>
      </c>
      <c r="H13851" s="3">
        <f>VALUE(190.96)</f>
        <v>190.96</v>
      </c>
      <c r="I13851" s="1">
        <f>VALUE(3371)</f>
        <v>3371</v>
      </c>
      <c r="J13851" s="1">
        <f>VALUE(3955)</f>
        <v>3955</v>
      </c>
      <c r="K13851" s="1">
        <f>VALUE(4963)</f>
        <v>4963</v>
      </c>
      <c r="L13851" s="1">
        <f>VALUE(7036)</f>
        <v>7036</v>
      </c>
      <c r="M13851" s="1">
        <f>VALUE(9842)</f>
        <v>9842</v>
      </c>
      <c r="N13851" t="s">
        <v>25</v>
      </c>
    </row>
    <row r="13852" spans="1:14" x14ac:dyDescent="0.25">
      <c r="A13852" t="s">
        <v>45</v>
      </c>
      <c r="B13852" t="s">
        <v>15</v>
      </c>
      <c r="C13852" t="s">
        <v>38</v>
      </c>
      <c r="D13852" t="s">
        <v>28</v>
      </c>
      <c r="E13852" t="s">
        <v>15</v>
      </c>
      <c r="F13852" t="s">
        <v>15</v>
      </c>
      <c r="G13852" s="1">
        <f>VALUE(18779.02)</f>
        <v>18779.02</v>
      </c>
      <c r="H13852" s="1">
        <f>VALUE(14882.98)</f>
        <v>14882.98</v>
      </c>
      <c r="I13852" s="1">
        <f>VALUE(4115)</f>
        <v>4115</v>
      </c>
      <c r="J13852" s="1">
        <f>VALUE(5166)</f>
        <v>5166</v>
      </c>
      <c r="K13852" s="1">
        <f>VALUE(6596)</f>
        <v>6596</v>
      </c>
      <c r="L13852" s="1">
        <f>VALUE(9509)</f>
        <v>9509</v>
      </c>
      <c r="M13852" s="1">
        <f>VALUE(13325)</f>
        <v>13325</v>
      </c>
      <c r="N13852" t="s">
        <v>16</v>
      </c>
    </row>
    <row r="13853" spans="1:14" x14ac:dyDescent="0.25">
      <c r="A13853" t="s">
        <v>45</v>
      </c>
      <c r="B13853" t="s">
        <v>15</v>
      </c>
      <c r="C13853" t="s">
        <v>38</v>
      </c>
      <c r="D13853" t="s">
        <v>28</v>
      </c>
      <c r="E13853" t="s">
        <v>15</v>
      </c>
      <c r="F13853" t="s">
        <v>17</v>
      </c>
      <c r="G13853" s="2">
        <f>VALUE(5626.17)</f>
        <v>5626.17</v>
      </c>
      <c r="H13853" s="3">
        <f>VALUE(5129.7)</f>
        <v>5129.7</v>
      </c>
      <c r="I13853" s="4">
        <f>VALUE(4541)</f>
        <v>4541</v>
      </c>
      <c r="J13853" s="5">
        <f>VALUE(6256)</f>
        <v>6256</v>
      </c>
      <c r="K13853" s="6">
        <f>VALUE(9750)</f>
        <v>9750</v>
      </c>
      <c r="L13853" s="1">
        <f>VALUE(13333)</f>
        <v>13333</v>
      </c>
      <c r="M13853" s="1">
        <f>VALUE(18902)</f>
        <v>18902</v>
      </c>
      <c r="N13853" t="s">
        <v>25</v>
      </c>
    </row>
    <row r="13854" spans="1:14" x14ac:dyDescent="0.25">
      <c r="A13854" t="s">
        <v>45</v>
      </c>
      <c r="B13854" t="s">
        <v>15</v>
      </c>
      <c r="C13854" t="s">
        <v>38</v>
      </c>
      <c r="D13854" t="s">
        <v>28</v>
      </c>
      <c r="E13854" t="s">
        <v>15</v>
      </c>
      <c r="F13854" t="s">
        <v>18</v>
      </c>
      <c r="G13854" s="2">
        <f>VALUE(2267.5)</f>
        <v>2267.5</v>
      </c>
      <c r="H13854" s="3">
        <f>VALUE(1694.57)</f>
        <v>1694.57</v>
      </c>
      <c r="I13854" s="1">
        <f>VALUE(4273)</f>
        <v>4273</v>
      </c>
      <c r="J13854" s="1">
        <f>VALUE(5635)</f>
        <v>5635</v>
      </c>
      <c r="K13854" s="1">
        <f>VALUE(7393)</f>
        <v>7393</v>
      </c>
      <c r="L13854" s="1">
        <f>VALUE(9635)</f>
        <v>9635</v>
      </c>
      <c r="M13854" s="1">
        <f>VALUE(11709)</f>
        <v>11709</v>
      </c>
      <c r="N13854" t="s">
        <v>25</v>
      </c>
    </row>
    <row r="13855" spans="1:14" x14ac:dyDescent="0.25">
      <c r="A13855" t="s">
        <v>45</v>
      </c>
      <c r="B13855" t="s">
        <v>15</v>
      </c>
      <c r="C13855" t="s">
        <v>38</v>
      </c>
      <c r="D13855" t="s">
        <v>28</v>
      </c>
      <c r="E13855" t="s">
        <v>15</v>
      </c>
      <c r="F13855" t="s">
        <v>19</v>
      </c>
      <c r="G13855" s="2">
        <f>VALUE(1888.32)</f>
        <v>1888.32</v>
      </c>
      <c r="H13855" s="3">
        <f>VALUE(1562.87)</f>
        <v>1562.87</v>
      </c>
      <c r="I13855" s="1">
        <f>VALUE(4503)</f>
        <v>4503</v>
      </c>
      <c r="J13855" s="1">
        <f>VALUE(5376)</f>
        <v>5376</v>
      </c>
      <c r="K13855" s="1">
        <f>VALUE(6627)</f>
        <v>6627</v>
      </c>
      <c r="L13855" s="1">
        <f>VALUE(7998)</f>
        <v>7998</v>
      </c>
      <c r="M13855" s="1">
        <f>VALUE(9964)</f>
        <v>9964</v>
      </c>
      <c r="N13855" t="s">
        <v>25</v>
      </c>
    </row>
    <row r="13856" spans="1:14" x14ac:dyDescent="0.25">
      <c r="A13856" t="s">
        <v>45</v>
      </c>
      <c r="B13856" t="s">
        <v>15</v>
      </c>
      <c r="C13856" t="s">
        <v>38</v>
      </c>
      <c r="D13856" t="s">
        <v>28</v>
      </c>
      <c r="E13856" t="s">
        <v>15</v>
      </c>
      <c r="F13856" t="s">
        <v>20</v>
      </c>
      <c r="G13856" s="1">
        <f>VALUE(8997.03)</f>
        <v>8997.0300000000007</v>
      </c>
      <c r="H13856" s="1">
        <f>VALUE(6495.84)</f>
        <v>6495.84</v>
      </c>
      <c r="I13856" s="1">
        <f>VALUE(3785)</f>
        <v>3785</v>
      </c>
      <c r="J13856" s="1">
        <f>VALUE(4695)</f>
        <v>4695</v>
      </c>
      <c r="K13856" s="1">
        <f>VALUE(5674)</f>
        <v>5674</v>
      </c>
      <c r="L13856" s="1">
        <f>VALUE(6860)</f>
        <v>6860</v>
      </c>
      <c r="M13856" s="1">
        <f>VALUE(8478)</f>
        <v>8478</v>
      </c>
      <c r="N13856" t="s">
        <v>16</v>
      </c>
    </row>
    <row r="13857" spans="1:14" x14ac:dyDescent="0.25">
      <c r="A13857" t="s">
        <v>45</v>
      </c>
      <c r="B13857" t="s">
        <v>15</v>
      </c>
      <c r="C13857" t="s">
        <v>38</v>
      </c>
      <c r="D13857" t="s">
        <v>28</v>
      </c>
      <c r="E13857" t="s">
        <v>21</v>
      </c>
      <c r="F13857" t="s">
        <v>15</v>
      </c>
      <c r="G13857" s="1">
        <f>VALUE(5844.42)</f>
        <v>5844.42</v>
      </c>
      <c r="H13857" s="1">
        <f>VALUE(4871.82)</f>
        <v>4871.82</v>
      </c>
      <c r="I13857" s="1">
        <f>VALUE(5000)</f>
        <v>5000</v>
      </c>
      <c r="J13857" s="1">
        <f>VALUE(6707)</f>
        <v>6707</v>
      </c>
      <c r="K13857" s="1">
        <f>VALUE(9293)</f>
        <v>9293</v>
      </c>
      <c r="L13857" s="1">
        <f>VALUE(12381)</f>
        <v>12381</v>
      </c>
      <c r="M13857" s="1">
        <f>VALUE(17143)</f>
        <v>17143</v>
      </c>
      <c r="N13857" t="s">
        <v>16</v>
      </c>
    </row>
    <row r="13858" spans="1:14" x14ac:dyDescent="0.25">
      <c r="A13858" t="s">
        <v>45</v>
      </c>
      <c r="B13858" t="s">
        <v>15</v>
      </c>
      <c r="C13858" t="s">
        <v>38</v>
      </c>
      <c r="D13858" t="s">
        <v>28</v>
      </c>
      <c r="E13858" t="s">
        <v>21</v>
      </c>
      <c r="F13858" t="s">
        <v>17</v>
      </c>
      <c r="G13858" s="2">
        <f>VALUE(3116.03)</f>
        <v>3116.03</v>
      </c>
      <c r="H13858" s="3">
        <f>VALUE(2819.4)</f>
        <v>2819.4</v>
      </c>
      <c r="I13858" s="4">
        <f>VALUE(5138)</f>
        <v>5138</v>
      </c>
      <c r="J13858" s="1">
        <f>VALUE(7999)</f>
        <v>7999</v>
      </c>
      <c r="K13858" s="1">
        <f>VALUE(10833)</f>
        <v>10833</v>
      </c>
      <c r="L13858" s="1">
        <f>VALUE(14445)</f>
        <v>14445</v>
      </c>
      <c r="M13858" s="1">
        <f>VALUE(20352)</f>
        <v>20352</v>
      </c>
      <c r="N13858" t="s">
        <v>25</v>
      </c>
    </row>
    <row r="13859" spans="1:14" x14ac:dyDescent="0.25">
      <c r="A13859" t="s">
        <v>45</v>
      </c>
      <c r="B13859" t="s">
        <v>15</v>
      </c>
      <c r="C13859" t="s">
        <v>38</v>
      </c>
      <c r="D13859" t="s">
        <v>28</v>
      </c>
      <c r="E13859" t="s">
        <v>21</v>
      </c>
      <c r="F13859" t="s">
        <v>18</v>
      </c>
      <c r="G13859" s="2">
        <f>VALUE(852.16)</f>
        <v>852.16</v>
      </c>
      <c r="H13859" s="3">
        <f>VALUE(665.82)</f>
        <v>665.82</v>
      </c>
      <c r="I13859" s="4">
        <f>VALUE(6350)</f>
        <v>6350</v>
      </c>
      <c r="J13859" s="1">
        <f>VALUE(6558)</f>
        <v>6558</v>
      </c>
      <c r="K13859" s="1">
        <f>VALUE(9154)</f>
        <v>9154</v>
      </c>
      <c r="L13859" s="1">
        <f>VALUE(10217)</f>
        <v>10217</v>
      </c>
      <c r="M13859" s="1">
        <f>VALUE(12381)</f>
        <v>12381</v>
      </c>
      <c r="N13859" t="s">
        <v>25</v>
      </c>
    </row>
    <row r="13860" spans="1:14" x14ac:dyDescent="0.25">
      <c r="A13860" t="s">
        <v>45</v>
      </c>
      <c r="B13860" t="s">
        <v>15</v>
      </c>
      <c r="C13860" t="s">
        <v>38</v>
      </c>
      <c r="D13860" t="s">
        <v>28</v>
      </c>
      <c r="E13860" t="s">
        <v>21</v>
      </c>
      <c r="F13860" t="s">
        <v>19</v>
      </c>
      <c r="G13860" s="2">
        <f>VALUE(535.81)</f>
        <v>535.80999999999995</v>
      </c>
      <c r="H13860" s="3">
        <f>VALUE(414.28)</f>
        <v>414.28</v>
      </c>
      <c r="I13860" s="1">
        <f>VALUE(4631)</f>
        <v>4631</v>
      </c>
      <c r="J13860" s="5">
        <f>VALUE(6081)</f>
        <v>6081</v>
      </c>
      <c r="K13860" s="1">
        <f>VALUE(7479)</f>
        <v>7479</v>
      </c>
      <c r="L13860" s="1">
        <f>VALUE(9507)</f>
        <v>9507</v>
      </c>
      <c r="M13860" s="1">
        <f>VALUE(12121)</f>
        <v>12121</v>
      </c>
      <c r="N13860" t="s">
        <v>25</v>
      </c>
    </row>
    <row r="13861" spans="1:14" x14ac:dyDescent="0.25">
      <c r="A13861" t="s">
        <v>45</v>
      </c>
      <c r="B13861" t="s">
        <v>15</v>
      </c>
      <c r="C13861" t="s">
        <v>38</v>
      </c>
      <c r="D13861" t="s">
        <v>28</v>
      </c>
      <c r="E13861" t="s">
        <v>21</v>
      </c>
      <c r="F13861" t="s">
        <v>20</v>
      </c>
      <c r="G13861" s="2">
        <f>VALUE(1340.42)</f>
        <v>1340.42</v>
      </c>
      <c r="H13861" s="3">
        <f>VALUE(972.32)</f>
        <v>972.32</v>
      </c>
      <c r="I13861" s="4">
        <f>VALUE(3765)</f>
        <v>3765</v>
      </c>
      <c r="J13861" s="5">
        <f>VALUE(5943)</f>
        <v>5943</v>
      </c>
      <c r="K13861" s="6">
        <f>VALUE(7564)</f>
        <v>7564</v>
      </c>
      <c r="L13861" s="1">
        <f>VALUE(9534)</f>
        <v>9534</v>
      </c>
      <c r="M13861" s="8">
        <f>VALUE(11765)</f>
        <v>11765</v>
      </c>
      <c r="N13861" t="s">
        <v>25</v>
      </c>
    </row>
    <row r="13862" spans="1:14" x14ac:dyDescent="0.25">
      <c r="A13862" t="s">
        <v>45</v>
      </c>
      <c r="B13862" t="s">
        <v>15</v>
      </c>
      <c r="C13862" t="s">
        <v>38</v>
      </c>
      <c r="D13862" t="s">
        <v>28</v>
      </c>
      <c r="E13862" t="s">
        <v>22</v>
      </c>
      <c r="F13862" t="s">
        <v>15</v>
      </c>
      <c r="G13862" s="1">
        <f>VALUE(10094.6)</f>
        <v>10094.6</v>
      </c>
      <c r="H13862" s="1">
        <f>VALUE(8082.97)</f>
        <v>8082.97</v>
      </c>
      <c r="I13862" s="1">
        <f>VALUE(4128)</f>
        <v>4128</v>
      </c>
      <c r="J13862" s="1">
        <f>VALUE(5096)</f>
        <v>5096</v>
      </c>
      <c r="K13862" s="1">
        <f>VALUE(6215)</f>
        <v>6215</v>
      </c>
      <c r="L13862" s="1">
        <f>VALUE(7855)</f>
        <v>7855</v>
      </c>
      <c r="M13862" s="1">
        <f>VALUE(10833)</f>
        <v>10833</v>
      </c>
      <c r="N13862" t="s">
        <v>16</v>
      </c>
    </row>
    <row r="13863" spans="1:14" x14ac:dyDescent="0.25">
      <c r="A13863" t="s">
        <v>45</v>
      </c>
      <c r="B13863" t="s">
        <v>15</v>
      </c>
      <c r="C13863" t="s">
        <v>38</v>
      </c>
      <c r="D13863" t="s">
        <v>28</v>
      </c>
      <c r="E13863" t="s">
        <v>22</v>
      </c>
      <c r="F13863" t="s">
        <v>17</v>
      </c>
      <c r="G13863" s="2">
        <f>VALUE(2241.17)</f>
        <v>2241.17</v>
      </c>
      <c r="H13863" s="3">
        <f>VALUE(2052.37)</f>
        <v>2052.37</v>
      </c>
      <c r="I13863" s="4">
        <f>VALUE(3790)</f>
        <v>3790</v>
      </c>
      <c r="J13863" s="5">
        <f>VALUE(5500)</f>
        <v>5500</v>
      </c>
      <c r="K13863" s="6">
        <f>VALUE(8275)</f>
        <v>8275</v>
      </c>
      <c r="L13863" s="7">
        <f>VALUE(11671)</f>
        <v>11671</v>
      </c>
      <c r="M13863" s="1">
        <f>VALUE(17751)</f>
        <v>17751</v>
      </c>
      <c r="N13863" t="s">
        <v>25</v>
      </c>
    </row>
    <row r="13864" spans="1:14" x14ac:dyDescent="0.25">
      <c r="A13864" t="s">
        <v>45</v>
      </c>
      <c r="B13864" t="s">
        <v>15</v>
      </c>
      <c r="C13864" t="s">
        <v>38</v>
      </c>
      <c r="D13864" t="s">
        <v>28</v>
      </c>
      <c r="E13864" t="s">
        <v>22</v>
      </c>
      <c r="F13864" t="s">
        <v>18</v>
      </c>
      <c r="G13864" s="2">
        <f>VALUE(1251.13)</f>
        <v>1251.1300000000001</v>
      </c>
      <c r="H13864" s="3">
        <f>VALUE(927.45)</f>
        <v>927.45</v>
      </c>
      <c r="I13864" s="1">
        <f>VALUE(4128)</f>
        <v>4128</v>
      </c>
      <c r="J13864" s="1">
        <f>VALUE(4939)</f>
        <v>4939</v>
      </c>
      <c r="K13864" s="1">
        <f>VALUE(6535)</f>
        <v>6535</v>
      </c>
      <c r="L13864" s="1">
        <f>VALUE(8054)</f>
        <v>8054</v>
      </c>
      <c r="M13864" s="8">
        <f>VALUE(9789)</f>
        <v>9789</v>
      </c>
      <c r="N13864" t="s">
        <v>25</v>
      </c>
    </row>
    <row r="13865" spans="1:14" x14ac:dyDescent="0.25">
      <c r="A13865" t="s">
        <v>45</v>
      </c>
      <c r="B13865" t="s">
        <v>15</v>
      </c>
      <c r="C13865" t="s">
        <v>38</v>
      </c>
      <c r="D13865" t="s">
        <v>28</v>
      </c>
      <c r="E13865" t="s">
        <v>22</v>
      </c>
      <c r="F13865" t="s">
        <v>19</v>
      </c>
      <c r="G13865" s="2">
        <f>VALUE(1127.38)</f>
        <v>1127.3800000000001</v>
      </c>
      <c r="H13865" s="3">
        <f>VALUE(967.09)</f>
        <v>967.09</v>
      </c>
      <c r="I13865" s="1">
        <f>VALUE(4540)</f>
        <v>4540</v>
      </c>
      <c r="J13865" s="1">
        <f>VALUE(5365)</f>
        <v>5365</v>
      </c>
      <c r="K13865" s="1">
        <f>VALUE(6351)</f>
        <v>6351</v>
      </c>
      <c r="L13865" s="1">
        <f>VALUE(7316)</f>
        <v>7316</v>
      </c>
      <c r="M13865" s="1">
        <f>VALUE(8884)</f>
        <v>8884</v>
      </c>
      <c r="N13865" t="s">
        <v>25</v>
      </c>
    </row>
    <row r="13866" spans="1:14" x14ac:dyDescent="0.25">
      <c r="A13866" t="s">
        <v>45</v>
      </c>
      <c r="B13866" t="s">
        <v>15</v>
      </c>
      <c r="C13866" t="s">
        <v>38</v>
      </c>
      <c r="D13866" t="s">
        <v>28</v>
      </c>
      <c r="E13866" t="s">
        <v>22</v>
      </c>
      <c r="F13866" t="s">
        <v>20</v>
      </c>
      <c r="G13866" s="2">
        <f>VALUE(5474.92)</f>
        <v>5474.92</v>
      </c>
      <c r="H13866" s="3">
        <f>VALUE(4136.06)</f>
        <v>4136.0600000000004</v>
      </c>
      <c r="I13866" s="1">
        <f>VALUE(4232)</f>
        <v>4232</v>
      </c>
      <c r="J13866" s="1">
        <f>VALUE(5025)</f>
        <v>5025</v>
      </c>
      <c r="K13866" s="1">
        <f>VALUE(5791)</f>
        <v>5791</v>
      </c>
      <c r="L13866" s="1">
        <f>VALUE(6784)</f>
        <v>6784</v>
      </c>
      <c r="M13866" s="1">
        <f>VALUE(7742)</f>
        <v>7742</v>
      </c>
      <c r="N13866" t="s">
        <v>25</v>
      </c>
    </row>
    <row r="13867" spans="1:14" x14ac:dyDescent="0.25">
      <c r="A13867" t="s">
        <v>45</v>
      </c>
      <c r="B13867" t="s">
        <v>15</v>
      </c>
      <c r="C13867" t="s">
        <v>38</v>
      </c>
      <c r="D13867" t="s">
        <v>28</v>
      </c>
      <c r="E13867" t="s">
        <v>23</v>
      </c>
      <c r="F13867" t="s">
        <v>15</v>
      </c>
      <c r="G13867" s="2">
        <f>VALUE(2642.05)</f>
        <v>2642.05</v>
      </c>
      <c r="H13867" s="3">
        <f>VALUE(1796.34)</f>
        <v>1796.34</v>
      </c>
      <c r="I13867" s="1">
        <f>VALUE(3549)</f>
        <v>3549</v>
      </c>
      <c r="J13867" s="1">
        <f>VALUE(4142)</f>
        <v>4142</v>
      </c>
      <c r="K13867" s="1">
        <f>VALUE(4853)</f>
        <v>4853</v>
      </c>
      <c r="L13867" s="1">
        <f>VALUE(5706)</f>
        <v>5706</v>
      </c>
      <c r="M13867" s="8">
        <f>VALUE(7292)</f>
        <v>7292</v>
      </c>
      <c r="N13867" t="s">
        <v>25</v>
      </c>
    </row>
    <row r="13868" spans="1:14" x14ac:dyDescent="0.25">
      <c r="A13868" t="s">
        <v>45</v>
      </c>
      <c r="B13868" t="s">
        <v>15</v>
      </c>
      <c r="C13868" t="s">
        <v>38</v>
      </c>
      <c r="D13868" t="s">
        <v>28</v>
      </c>
      <c r="E13868" t="s">
        <v>23</v>
      </c>
      <c r="F13868" t="s">
        <v>17</v>
      </c>
      <c r="G13868" s="1" t="str">
        <f t="shared" ref="G13868:M13869" si="3172">"X"</f>
        <v>X</v>
      </c>
      <c r="H13868" s="1" t="str">
        <f t="shared" si="3172"/>
        <v>X</v>
      </c>
      <c r="I13868" s="1" t="str">
        <f t="shared" si="3172"/>
        <v>X</v>
      </c>
      <c r="J13868" s="1" t="str">
        <f t="shared" si="3172"/>
        <v>X</v>
      </c>
      <c r="K13868" s="1" t="str">
        <f t="shared" si="3172"/>
        <v>X</v>
      </c>
      <c r="L13868" s="1" t="str">
        <f t="shared" si="3172"/>
        <v>X</v>
      </c>
      <c r="M13868" s="1" t="str">
        <f t="shared" si="3172"/>
        <v>X</v>
      </c>
      <c r="N13868" t="s">
        <v>27</v>
      </c>
    </row>
    <row r="13869" spans="1:14" x14ac:dyDescent="0.25">
      <c r="A13869" t="s">
        <v>45</v>
      </c>
      <c r="B13869" t="s">
        <v>15</v>
      </c>
      <c r="C13869" t="s">
        <v>38</v>
      </c>
      <c r="D13869" t="s">
        <v>28</v>
      </c>
      <c r="E13869" t="s">
        <v>23</v>
      </c>
      <c r="F13869" t="s">
        <v>18</v>
      </c>
      <c r="G13869" s="1" t="str">
        <f t="shared" si="3172"/>
        <v>X</v>
      </c>
      <c r="H13869" s="1" t="str">
        <f t="shared" si="3172"/>
        <v>X</v>
      </c>
      <c r="I13869" s="1" t="str">
        <f t="shared" si="3172"/>
        <v>X</v>
      </c>
      <c r="J13869" s="1" t="str">
        <f t="shared" si="3172"/>
        <v>X</v>
      </c>
      <c r="K13869" s="1" t="str">
        <f t="shared" si="3172"/>
        <v>X</v>
      </c>
      <c r="L13869" s="1" t="str">
        <f t="shared" si="3172"/>
        <v>X</v>
      </c>
      <c r="M13869" s="1" t="str">
        <f t="shared" si="3172"/>
        <v>X</v>
      </c>
      <c r="N13869" t="s">
        <v>27</v>
      </c>
    </row>
    <row r="13870" spans="1:14" x14ac:dyDescent="0.25">
      <c r="A13870" t="s">
        <v>45</v>
      </c>
      <c r="B13870" t="s">
        <v>15</v>
      </c>
      <c r="C13870" t="s">
        <v>38</v>
      </c>
      <c r="D13870" t="s">
        <v>28</v>
      </c>
      <c r="E13870" t="s">
        <v>23</v>
      </c>
      <c r="F13870" t="s">
        <v>19</v>
      </c>
      <c r="G13870" s="2">
        <f>VALUE(225.13)</f>
        <v>225.13</v>
      </c>
      <c r="H13870" s="3">
        <f>VALUE(181.5)</f>
        <v>181.5</v>
      </c>
      <c r="I13870" s="1">
        <f>VALUE(4241)</f>
        <v>4241</v>
      </c>
      <c r="J13870" s="1">
        <f>VALUE(5056)</f>
        <v>5056</v>
      </c>
      <c r="K13870" s="1">
        <f>VALUE(6438)</f>
        <v>6438</v>
      </c>
      <c r="L13870" s="7">
        <f>VALUE(9841)</f>
        <v>9841</v>
      </c>
      <c r="M13870" s="1">
        <f>VALUE(10256)</f>
        <v>10256</v>
      </c>
      <c r="N13870" t="s">
        <v>25</v>
      </c>
    </row>
    <row r="13871" spans="1:14" x14ac:dyDescent="0.25">
      <c r="A13871" t="s">
        <v>45</v>
      </c>
      <c r="B13871" t="s">
        <v>15</v>
      </c>
      <c r="C13871" t="s">
        <v>38</v>
      </c>
      <c r="D13871" t="s">
        <v>28</v>
      </c>
      <c r="E13871" t="s">
        <v>23</v>
      </c>
      <c r="F13871" t="s">
        <v>20</v>
      </c>
      <c r="G13871" s="2">
        <f>VALUE(2067.7)</f>
        <v>2067.6999999999998</v>
      </c>
      <c r="H13871" s="1">
        <f>VALUE(1320.68)</f>
        <v>1320.68</v>
      </c>
      <c r="I13871" s="1">
        <f>VALUE(3433)</f>
        <v>3433</v>
      </c>
      <c r="J13871" s="1">
        <f>VALUE(3885)</f>
        <v>3885</v>
      </c>
      <c r="K13871" s="1">
        <f>VALUE(4600)</f>
        <v>4600</v>
      </c>
      <c r="L13871" s="1">
        <f>VALUE(5412)</f>
        <v>5412</v>
      </c>
      <c r="M13871" s="1">
        <f>VALUE(6323)</f>
        <v>6323</v>
      </c>
      <c r="N13871" t="s">
        <v>25</v>
      </c>
    </row>
    <row r="13872" spans="1:14" x14ac:dyDescent="0.25">
      <c r="A13872" t="s">
        <v>45</v>
      </c>
      <c r="B13872" t="s">
        <v>15</v>
      </c>
      <c r="C13872" t="s">
        <v>38</v>
      </c>
      <c r="D13872" t="s">
        <v>28</v>
      </c>
      <c r="E13872" t="s">
        <v>26</v>
      </c>
      <c r="F13872" t="s">
        <v>15</v>
      </c>
      <c r="G13872" s="2">
        <f>VALUE(197.95)</f>
        <v>197.95</v>
      </c>
      <c r="H13872" s="3">
        <f>VALUE(131.85)</f>
        <v>131.85</v>
      </c>
      <c r="I13872" s="4">
        <f>VALUE(3111)</f>
        <v>3111</v>
      </c>
      <c r="J13872" s="5">
        <f>VALUE(4334)</f>
        <v>4334</v>
      </c>
      <c r="K13872" s="6">
        <f>VALUE(5848)</f>
        <v>5848</v>
      </c>
      <c r="L13872" s="7">
        <f>VALUE(9071)</f>
        <v>9071</v>
      </c>
      <c r="M13872" s="8">
        <f>VALUE(11526)</f>
        <v>11526</v>
      </c>
      <c r="N13872" t="s">
        <v>24</v>
      </c>
    </row>
    <row r="13873" spans="1:14" x14ac:dyDescent="0.25">
      <c r="A13873" t="s">
        <v>45</v>
      </c>
      <c r="B13873" t="s">
        <v>15</v>
      </c>
      <c r="C13873" t="s">
        <v>38</v>
      </c>
      <c r="D13873" t="s">
        <v>28</v>
      </c>
      <c r="E13873" t="s">
        <v>26</v>
      </c>
      <c r="F13873" t="s">
        <v>17</v>
      </c>
      <c r="G13873" s="1" t="str">
        <f t="shared" ref="G13873:M13874" si="3173">"X"</f>
        <v>X</v>
      </c>
      <c r="H13873" s="1" t="str">
        <f t="shared" si="3173"/>
        <v>X</v>
      </c>
      <c r="I13873" s="1" t="str">
        <f t="shared" si="3173"/>
        <v>X</v>
      </c>
      <c r="J13873" s="1" t="str">
        <f t="shared" si="3173"/>
        <v>X</v>
      </c>
      <c r="K13873" s="1" t="str">
        <f t="shared" si="3173"/>
        <v>X</v>
      </c>
      <c r="L13873" s="1" t="str">
        <f t="shared" si="3173"/>
        <v>X</v>
      </c>
      <c r="M13873" s="1" t="str">
        <f t="shared" si="3173"/>
        <v>X</v>
      </c>
      <c r="N13873" t="s">
        <v>27</v>
      </c>
    </row>
    <row r="13874" spans="1:14" x14ac:dyDescent="0.25">
      <c r="A13874" t="s">
        <v>45</v>
      </c>
      <c r="B13874" t="s">
        <v>15</v>
      </c>
      <c r="C13874" t="s">
        <v>38</v>
      </c>
      <c r="D13874" t="s">
        <v>28</v>
      </c>
      <c r="E13874" t="s">
        <v>26</v>
      </c>
      <c r="F13874" t="s">
        <v>18</v>
      </c>
      <c r="G13874" s="1" t="str">
        <f t="shared" si="3173"/>
        <v>X</v>
      </c>
      <c r="H13874" s="1" t="str">
        <f t="shared" si="3173"/>
        <v>X</v>
      </c>
      <c r="I13874" s="1" t="str">
        <f t="shared" si="3173"/>
        <v>X</v>
      </c>
      <c r="J13874" s="1" t="str">
        <f t="shared" si="3173"/>
        <v>X</v>
      </c>
      <c r="K13874" s="1" t="str">
        <f t="shared" si="3173"/>
        <v>X</v>
      </c>
      <c r="L13874" s="1" t="str">
        <f t="shared" si="3173"/>
        <v>X</v>
      </c>
      <c r="M13874" s="1" t="str">
        <f t="shared" si="3173"/>
        <v>X</v>
      </c>
      <c r="N13874" t="s">
        <v>27</v>
      </c>
    </row>
    <row r="13875" spans="1:14" x14ac:dyDescent="0.25">
      <c r="A13875" t="s">
        <v>45</v>
      </c>
      <c r="B13875" t="s">
        <v>15</v>
      </c>
      <c r="C13875" t="s">
        <v>38</v>
      </c>
      <c r="D13875" t="s">
        <v>28</v>
      </c>
      <c r="E13875" t="s">
        <v>26</v>
      </c>
      <c r="F13875" t="s">
        <v>19</v>
      </c>
      <c r="G13875" s="1" t="str">
        <f t="shared" ref="G13875:M13875" si="3174">"..."</f>
        <v>...</v>
      </c>
      <c r="H13875" s="1" t="str">
        <f t="shared" si="3174"/>
        <v>...</v>
      </c>
      <c r="I13875" s="1" t="str">
        <f t="shared" si="3174"/>
        <v>...</v>
      </c>
      <c r="J13875" s="1" t="str">
        <f t="shared" si="3174"/>
        <v>...</v>
      </c>
      <c r="K13875" s="1" t="str">
        <f t="shared" si="3174"/>
        <v>...</v>
      </c>
      <c r="L13875" s="1" t="str">
        <f t="shared" si="3174"/>
        <v>...</v>
      </c>
      <c r="M13875" s="1" t="str">
        <f t="shared" si="3174"/>
        <v>...</v>
      </c>
      <c r="N13875" t="s">
        <v>30</v>
      </c>
    </row>
    <row r="13876" spans="1:14" x14ac:dyDescent="0.25">
      <c r="A13876" t="s">
        <v>45</v>
      </c>
      <c r="B13876" t="s">
        <v>15</v>
      </c>
      <c r="C13876" t="s">
        <v>38</v>
      </c>
      <c r="D13876" t="s">
        <v>28</v>
      </c>
      <c r="E13876" t="s">
        <v>26</v>
      </c>
      <c r="F13876" t="s">
        <v>20</v>
      </c>
      <c r="G13876" s="1" t="str">
        <f t="shared" ref="G13876:M13876" si="3175">"X"</f>
        <v>X</v>
      </c>
      <c r="H13876" s="1" t="str">
        <f t="shared" si="3175"/>
        <v>X</v>
      </c>
      <c r="I13876" s="1" t="str">
        <f t="shared" si="3175"/>
        <v>X</v>
      </c>
      <c r="J13876" s="1" t="str">
        <f t="shared" si="3175"/>
        <v>X</v>
      </c>
      <c r="K13876" s="1" t="str">
        <f t="shared" si="3175"/>
        <v>X</v>
      </c>
      <c r="L13876" s="1" t="str">
        <f t="shared" si="3175"/>
        <v>X</v>
      </c>
      <c r="M13876" s="1" t="str">
        <f t="shared" si="3175"/>
        <v>X</v>
      </c>
      <c r="N13876" t="s">
        <v>27</v>
      </c>
    </row>
    <row r="13877" spans="1:14" x14ac:dyDescent="0.25">
      <c r="A13877" t="s">
        <v>45</v>
      </c>
      <c r="B13877" t="s">
        <v>15</v>
      </c>
      <c r="C13877" t="s">
        <v>38</v>
      </c>
      <c r="D13877" t="s">
        <v>29</v>
      </c>
      <c r="E13877" t="s">
        <v>15</v>
      </c>
      <c r="F13877" t="s">
        <v>15</v>
      </c>
      <c r="G13877" s="2">
        <f>VALUE(6141.57)</f>
        <v>6141.57</v>
      </c>
      <c r="H13877" s="3">
        <f>VALUE(5291.54)</f>
        <v>5291.54</v>
      </c>
      <c r="I13877" s="1">
        <f>VALUE(3727)</f>
        <v>3727</v>
      </c>
      <c r="J13877" s="1">
        <f>VALUE(4587)</f>
        <v>4587</v>
      </c>
      <c r="K13877" s="1">
        <f>VALUE(5638)</f>
        <v>5638</v>
      </c>
      <c r="L13877" s="1">
        <f>VALUE(7293)</f>
        <v>7293</v>
      </c>
      <c r="M13877" s="8">
        <f>VALUE(10167)</f>
        <v>10167</v>
      </c>
      <c r="N13877" t="s">
        <v>25</v>
      </c>
    </row>
    <row r="13878" spans="1:14" x14ac:dyDescent="0.25">
      <c r="A13878" t="s">
        <v>45</v>
      </c>
      <c r="B13878" t="s">
        <v>15</v>
      </c>
      <c r="C13878" t="s">
        <v>38</v>
      </c>
      <c r="D13878" t="s">
        <v>29</v>
      </c>
      <c r="E13878" t="s">
        <v>15</v>
      </c>
      <c r="F13878" t="s">
        <v>17</v>
      </c>
      <c r="G13878" s="2">
        <f>VALUE(1443.26)</f>
        <v>1443.26</v>
      </c>
      <c r="H13878" s="3">
        <f>VALUE(1360.03)</f>
        <v>1360.03</v>
      </c>
      <c r="I13878" s="4">
        <f>VALUE(5030)</f>
        <v>5030</v>
      </c>
      <c r="J13878" s="5">
        <f>VALUE(6200)</f>
        <v>6200</v>
      </c>
      <c r="K13878" s="1">
        <f>VALUE(7583)</f>
        <v>7583</v>
      </c>
      <c r="L13878" s="7">
        <f>VALUE(10914)</f>
        <v>10914</v>
      </c>
      <c r="M13878" s="8">
        <f>VALUE(18625)</f>
        <v>18625</v>
      </c>
      <c r="N13878" t="s">
        <v>25</v>
      </c>
    </row>
    <row r="13879" spans="1:14" x14ac:dyDescent="0.25">
      <c r="A13879" t="s">
        <v>45</v>
      </c>
      <c r="B13879" t="s">
        <v>15</v>
      </c>
      <c r="C13879" t="s">
        <v>38</v>
      </c>
      <c r="D13879" t="s">
        <v>29</v>
      </c>
      <c r="E13879" t="s">
        <v>15</v>
      </c>
      <c r="F13879" t="s">
        <v>18</v>
      </c>
      <c r="G13879" s="2">
        <f>VALUE(567.2)</f>
        <v>567.20000000000005</v>
      </c>
      <c r="H13879" s="3">
        <f>VALUE(540.45)</f>
        <v>540.45000000000005</v>
      </c>
      <c r="I13879" s="1">
        <f>VALUE(4516)</f>
        <v>4516</v>
      </c>
      <c r="J13879" s="1">
        <f>VALUE(5333)</f>
        <v>5333</v>
      </c>
      <c r="K13879" s="1">
        <f>VALUE(5489)</f>
        <v>5489</v>
      </c>
      <c r="L13879" s="7">
        <f>VALUE(7998)</f>
        <v>7998</v>
      </c>
      <c r="M13879" s="8">
        <f>VALUE(9936)</f>
        <v>9936</v>
      </c>
      <c r="N13879" t="s">
        <v>25</v>
      </c>
    </row>
    <row r="13880" spans="1:14" x14ac:dyDescent="0.25">
      <c r="A13880" t="s">
        <v>45</v>
      </c>
      <c r="B13880" t="s">
        <v>15</v>
      </c>
      <c r="C13880" t="s">
        <v>38</v>
      </c>
      <c r="D13880" t="s">
        <v>29</v>
      </c>
      <c r="E13880" t="s">
        <v>15</v>
      </c>
      <c r="F13880" t="s">
        <v>19</v>
      </c>
      <c r="G13880" s="2">
        <f>VALUE(590.68)</f>
        <v>590.67999999999995</v>
      </c>
      <c r="H13880" s="3">
        <f>VALUE(571.15)</f>
        <v>571.15</v>
      </c>
      <c r="I13880" s="1">
        <f>VALUE(3803)</f>
        <v>3803</v>
      </c>
      <c r="J13880" s="1">
        <f>VALUE(4581)</f>
        <v>4581</v>
      </c>
      <c r="K13880" s="1">
        <f>VALUE(5688)</f>
        <v>5688</v>
      </c>
      <c r="L13880" s="1">
        <f>VALUE(7583)</f>
        <v>7583</v>
      </c>
      <c r="M13880" s="8">
        <f>VALUE(8738)</f>
        <v>8738</v>
      </c>
      <c r="N13880" t="s">
        <v>25</v>
      </c>
    </row>
    <row r="13881" spans="1:14" x14ac:dyDescent="0.25">
      <c r="A13881" t="s">
        <v>45</v>
      </c>
      <c r="B13881" t="s">
        <v>15</v>
      </c>
      <c r="C13881" t="s">
        <v>38</v>
      </c>
      <c r="D13881" t="s">
        <v>29</v>
      </c>
      <c r="E13881" t="s">
        <v>15</v>
      </c>
      <c r="F13881" t="s">
        <v>20</v>
      </c>
      <c r="G13881" s="1">
        <f>VALUE(3540.43)</f>
        <v>3540.43</v>
      </c>
      <c r="H13881" s="1">
        <f>VALUE(2819.91)</f>
        <v>2819.91</v>
      </c>
      <c r="I13881" s="1">
        <f>VALUE(3556)</f>
        <v>3556</v>
      </c>
      <c r="J13881" s="1">
        <f>VALUE(4127)</f>
        <v>4127</v>
      </c>
      <c r="K13881" s="1">
        <f>VALUE(5064)</f>
        <v>5064</v>
      </c>
      <c r="L13881" s="1">
        <f>VALUE(6163)</f>
        <v>6163</v>
      </c>
      <c r="M13881" s="1">
        <f>VALUE(7145)</f>
        <v>7145</v>
      </c>
      <c r="N13881" t="s">
        <v>16</v>
      </c>
    </row>
    <row r="13882" spans="1:14" x14ac:dyDescent="0.25">
      <c r="A13882" t="s">
        <v>45</v>
      </c>
      <c r="B13882" t="s">
        <v>15</v>
      </c>
      <c r="C13882" t="s">
        <v>38</v>
      </c>
      <c r="D13882" t="s">
        <v>29</v>
      </c>
      <c r="E13882" t="s">
        <v>21</v>
      </c>
      <c r="F13882" t="s">
        <v>15</v>
      </c>
      <c r="G13882" s="2">
        <f>VALUE(1524.45)</f>
        <v>1524.45</v>
      </c>
      <c r="H13882" s="3">
        <f>VALUE(1410.58)</f>
        <v>1410.58</v>
      </c>
      <c r="I13882" s="4">
        <f>VALUE(5333)</f>
        <v>5333</v>
      </c>
      <c r="J13882" s="5">
        <f>VALUE(5952)</f>
        <v>5952</v>
      </c>
      <c r="K13882" s="1">
        <f>VALUE(7960)</f>
        <v>7960</v>
      </c>
      <c r="L13882" s="7">
        <f>VALUE(10636)</f>
        <v>10636</v>
      </c>
      <c r="M13882" s="8">
        <f>VALUE(17938)</f>
        <v>17938</v>
      </c>
      <c r="N13882" t="s">
        <v>25</v>
      </c>
    </row>
    <row r="13883" spans="1:14" x14ac:dyDescent="0.25">
      <c r="A13883" t="s">
        <v>45</v>
      </c>
      <c r="B13883" t="s">
        <v>15</v>
      </c>
      <c r="C13883" t="s">
        <v>38</v>
      </c>
      <c r="D13883" t="s">
        <v>29</v>
      </c>
      <c r="E13883" t="s">
        <v>21</v>
      </c>
      <c r="F13883" t="s">
        <v>17</v>
      </c>
      <c r="G13883" s="2">
        <f>VALUE(853.04)</f>
        <v>853.04</v>
      </c>
      <c r="H13883" s="3">
        <f>VALUE(783.8)</f>
        <v>783.8</v>
      </c>
      <c r="I13883" s="4">
        <f>VALUE(5442)</f>
        <v>5442</v>
      </c>
      <c r="J13883" s="5">
        <f>VALUE(6870)</f>
        <v>6870</v>
      </c>
      <c r="K13883" s="6">
        <f>VALUE(7982)</f>
        <v>7982</v>
      </c>
      <c r="L13883" s="7">
        <f>VALUE(12458)</f>
        <v>12458</v>
      </c>
      <c r="M13883" s="8">
        <f>VALUE(24851)</f>
        <v>24851</v>
      </c>
      <c r="N13883" t="s">
        <v>24</v>
      </c>
    </row>
    <row r="13884" spans="1:14" x14ac:dyDescent="0.25">
      <c r="A13884" t="s">
        <v>45</v>
      </c>
      <c r="B13884" t="s">
        <v>15</v>
      </c>
      <c r="C13884" t="s">
        <v>38</v>
      </c>
      <c r="D13884" t="s">
        <v>29</v>
      </c>
      <c r="E13884" t="s">
        <v>21</v>
      </c>
      <c r="F13884" t="s">
        <v>18</v>
      </c>
      <c r="G13884" s="1" t="str">
        <f t="shared" ref="G13884:M13885" si="3176">"X"</f>
        <v>X</v>
      </c>
      <c r="H13884" s="1" t="str">
        <f t="shared" si="3176"/>
        <v>X</v>
      </c>
      <c r="I13884" s="1" t="str">
        <f t="shared" si="3176"/>
        <v>X</v>
      </c>
      <c r="J13884" s="1" t="str">
        <f t="shared" si="3176"/>
        <v>X</v>
      </c>
      <c r="K13884" s="1" t="str">
        <f t="shared" si="3176"/>
        <v>X</v>
      </c>
      <c r="L13884" s="1" t="str">
        <f t="shared" si="3176"/>
        <v>X</v>
      </c>
      <c r="M13884" s="1" t="str">
        <f t="shared" si="3176"/>
        <v>X</v>
      </c>
      <c r="N13884" t="s">
        <v>27</v>
      </c>
    </row>
    <row r="13885" spans="1:14" x14ac:dyDescent="0.25">
      <c r="A13885" t="s">
        <v>45</v>
      </c>
      <c r="B13885" t="s">
        <v>15</v>
      </c>
      <c r="C13885" t="s">
        <v>38</v>
      </c>
      <c r="D13885" t="s">
        <v>29</v>
      </c>
      <c r="E13885" t="s">
        <v>21</v>
      </c>
      <c r="F13885" t="s">
        <v>19</v>
      </c>
      <c r="G13885" s="1" t="str">
        <f t="shared" si="3176"/>
        <v>X</v>
      </c>
      <c r="H13885" s="1" t="str">
        <f t="shared" si="3176"/>
        <v>X</v>
      </c>
      <c r="I13885" s="1" t="str">
        <f t="shared" si="3176"/>
        <v>X</v>
      </c>
      <c r="J13885" s="1" t="str">
        <f t="shared" si="3176"/>
        <v>X</v>
      </c>
      <c r="K13885" s="1" t="str">
        <f t="shared" si="3176"/>
        <v>X</v>
      </c>
      <c r="L13885" s="1" t="str">
        <f t="shared" si="3176"/>
        <v>X</v>
      </c>
      <c r="M13885" s="1" t="str">
        <f t="shared" si="3176"/>
        <v>X</v>
      </c>
      <c r="N13885" t="s">
        <v>27</v>
      </c>
    </row>
    <row r="13886" spans="1:14" x14ac:dyDescent="0.25">
      <c r="A13886" t="s">
        <v>45</v>
      </c>
      <c r="B13886" t="s">
        <v>15</v>
      </c>
      <c r="C13886" t="s">
        <v>38</v>
      </c>
      <c r="D13886" t="s">
        <v>29</v>
      </c>
      <c r="E13886" t="s">
        <v>21</v>
      </c>
      <c r="F13886" t="s">
        <v>20</v>
      </c>
      <c r="G13886" s="2">
        <f>VALUE(282.81)</f>
        <v>282.81</v>
      </c>
      <c r="H13886" s="3">
        <f>VALUE(239.16)</f>
        <v>239.16</v>
      </c>
      <c r="I13886" s="4">
        <f>VALUE(4906)</f>
        <v>4906</v>
      </c>
      <c r="J13886" s="1">
        <f>VALUE(6031)</f>
        <v>6031</v>
      </c>
      <c r="K13886" s="6">
        <f>VALUE(7701)</f>
        <v>7701</v>
      </c>
      <c r="L13886" s="7">
        <f>VALUE(10550)</f>
        <v>10550</v>
      </c>
      <c r="M13886" s="8">
        <f>VALUE(11418)</f>
        <v>11418</v>
      </c>
      <c r="N13886" t="s">
        <v>25</v>
      </c>
    </row>
    <row r="13887" spans="1:14" x14ac:dyDescent="0.25">
      <c r="A13887" t="s">
        <v>45</v>
      </c>
      <c r="B13887" t="s">
        <v>15</v>
      </c>
      <c r="C13887" t="s">
        <v>38</v>
      </c>
      <c r="D13887" t="s">
        <v>29</v>
      </c>
      <c r="E13887" t="s">
        <v>22</v>
      </c>
      <c r="F13887" t="s">
        <v>15</v>
      </c>
      <c r="G13887" s="2">
        <f>VALUE(1791.24)</f>
        <v>1791.24</v>
      </c>
      <c r="H13887" s="3">
        <f>VALUE(1628.98)</f>
        <v>1628.98</v>
      </c>
      <c r="I13887" s="1">
        <f>VALUE(4070)</f>
        <v>4070</v>
      </c>
      <c r="J13887" s="1">
        <f>VALUE(4993)</f>
        <v>4993</v>
      </c>
      <c r="K13887" s="1">
        <f>VALUE(5946)</f>
        <v>5946</v>
      </c>
      <c r="L13887" s="1">
        <f>VALUE(7145)</f>
        <v>7145</v>
      </c>
      <c r="M13887" s="8">
        <f>VALUE(9583)</f>
        <v>9583</v>
      </c>
      <c r="N13887" t="s">
        <v>25</v>
      </c>
    </row>
    <row r="13888" spans="1:14" x14ac:dyDescent="0.25">
      <c r="A13888" t="s">
        <v>45</v>
      </c>
      <c r="B13888" t="s">
        <v>15</v>
      </c>
      <c r="C13888" t="s">
        <v>38</v>
      </c>
      <c r="D13888" t="s">
        <v>29</v>
      </c>
      <c r="E13888" t="s">
        <v>22</v>
      </c>
      <c r="F13888" t="s">
        <v>17</v>
      </c>
      <c r="G13888" s="2">
        <f>VALUE(439.52)</f>
        <v>439.52</v>
      </c>
      <c r="H13888" s="3">
        <f>VALUE(435.67)</f>
        <v>435.67</v>
      </c>
      <c r="I13888" s="4">
        <f>VALUE(5379)</f>
        <v>5379</v>
      </c>
      <c r="J13888" s="1">
        <f>VALUE(6200)</f>
        <v>6200</v>
      </c>
      <c r="K13888" s="6">
        <f>VALUE(6933)</f>
        <v>6933</v>
      </c>
      <c r="L13888" s="7">
        <f>VALUE(10094)</f>
        <v>10094</v>
      </c>
      <c r="M13888" s="8">
        <f>VALUE(16375)</f>
        <v>16375</v>
      </c>
      <c r="N13888" t="s">
        <v>25</v>
      </c>
    </row>
    <row r="13889" spans="1:14" x14ac:dyDescent="0.25">
      <c r="A13889" t="s">
        <v>45</v>
      </c>
      <c r="B13889" t="s">
        <v>15</v>
      </c>
      <c r="C13889" t="s">
        <v>38</v>
      </c>
      <c r="D13889" t="s">
        <v>29</v>
      </c>
      <c r="E13889" t="s">
        <v>22</v>
      </c>
      <c r="F13889" t="s">
        <v>18</v>
      </c>
      <c r="G13889" s="1" t="str">
        <f t="shared" ref="G13889:M13889" si="3177">"X"</f>
        <v>X</v>
      </c>
      <c r="H13889" s="1" t="str">
        <f t="shared" si="3177"/>
        <v>X</v>
      </c>
      <c r="I13889" s="1" t="str">
        <f t="shared" si="3177"/>
        <v>X</v>
      </c>
      <c r="J13889" s="1" t="str">
        <f t="shared" si="3177"/>
        <v>X</v>
      </c>
      <c r="K13889" s="1" t="str">
        <f t="shared" si="3177"/>
        <v>X</v>
      </c>
      <c r="L13889" s="1" t="str">
        <f t="shared" si="3177"/>
        <v>X</v>
      </c>
      <c r="M13889" s="1" t="str">
        <f t="shared" si="3177"/>
        <v>X</v>
      </c>
      <c r="N13889" t="s">
        <v>27</v>
      </c>
    </row>
    <row r="13890" spans="1:14" x14ac:dyDescent="0.25">
      <c r="A13890" t="s">
        <v>45</v>
      </c>
      <c r="B13890" t="s">
        <v>15</v>
      </c>
      <c r="C13890" t="s">
        <v>38</v>
      </c>
      <c r="D13890" t="s">
        <v>29</v>
      </c>
      <c r="E13890" t="s">
        <v>22</v>
      </c>
      <c r="F13890" t="s">
        <v>19</v>
      </c>
      <c r="G13890" s="2">
        <f>VALUE(238.23)</f>
        <v>238.23</v>
      </c>
      <c r="H13890" s="3">
        <f>VALUE(228.21)</f>
        <v>228.21</v>
      </c>
      <c r="I13890" s="1">
        <f>VALUE(3867)</f>
        <v>3867</v>
      </c>
      <c r="J13890" s="5">
        <f>VALUE(5207)</f>
        <v>5207</v>
      </c>
      <c r="K13890" s="1">
        <f>VALUE(6139)</f>
        <v>6139</v>
      </c>
      <c r="L13890" s="1">
        <f>VALUE(7616)</f>
        <v>7616</v>
      </c>
      <c r="M13890" s="1">
        <f>VALUE(8736)</f>
        <v>8736</v>
      </c>
      <c r="N13890" t="s">
        <v>25</v>
      </c>
    </row>
    <row r="13891" spans="1:14" x14ac:dyDescent="0.25">
      <c r="A13891" t="s">
        <v>45</v>
      </c>
      <c r="B13891" t="s">
        <v>15</v>
      </c>
      <c r="C13891" t="s">
        <v>38</v>
      </c>
      <c r="D13891" t="s">
        <v>29</v>
      </c>
      <c r="E13891" t="s">
        <v>22</v>
      </c>
      <c r="F13891" t="s">
        <v>20</v>
      </c>
      <c r="G13891" s="2">
        <f>VALUE(964.14)</f>
        <v>964.14</v>
      </c>
      <c r="H13891" s="3">
        <f>VALUE(817.43)</f>
        <v>817.43</v>
      </c>
      <c r="I13891" s="1">
        <f>VALUE(4000)</f>
        <v>4000</v>
      </c>
      <c r="J13891" s="1">
        <f>VALUE(4687)</f>
        <v>4687</v>
      </c>
      <c r="K13891" s="1">
        <f>VALUE(5474)</f>
        <v>5474</v>
      </c>
      <c r="L13891" s="1">
        <f>VALUE(6223)</f>
        <v>6223</v>
      </c>
      <c r="M13891" s="1">
        <f>VALUE(7449)</f>
        <v>7449</v>
      </c>
      <c r="N13891" t="s">
        <v>25</v>
      </c>
    </row>
    <row r="13892" spans="1:14" x14ac:dyDescent="0.25">
      <c r="A13892" t="s">
        <v>45</v>
      </c>
      <c r="B13892" t="s">
        <v>15</v>
      </c>
      <c r="C13892" t="s">
        <v>38</v>
      </c>
      <c r="D13892" t="s">
        <v>29</v>
      </c>
      <c r="E13892" t="s">
        <v>23</v>
      </c>
      <c r="F13892" t="s">
        <v>15</v>
      </c>
      <c r="G13892" s="2">
        <f>VALUE(2754.98)</f>
        <v>2754.98</v>
      </c>
      <c r="H13892" s="3">
        <f>VALUE(2219.6)</f>
        <v>2219.6</v>
      </c>
      <c r="I13892" s="1">
        <f>VALUE(3500)</f>
        <v>3500</v>
      </c>
      <c r="J13892" s="1">
        <f>VALUE(3906)</f>
        <v>3906</v>
      </c>
      <c r="K13892" s="1">
        <f>VALUE(4765)</f>
        <v>4765</v>
      </c>
      <c r="L13892" s="1">
        <f>VALUE(5916)</f>
        <v>5916</v>
      </c>
      <c r="M13892" s="8">
        <f>VALUE(6809)</f>
        <v>6809</v>
      </c>
      <c r="N13892" t="s">
        <v>25</v>
      </c>
    </row>
    <row r="13893" spans="1:14" x14ac:dyDescent="0.25">
      <c r="A13893" t="s">
        <v>45</v>
      </c>
      <c r="B13893" t="s">
        <v>15</v>
      </c>
      <c r="C13893" t="s">
        <v>38</v>
      </c>
      <c r="D13893" t="s">
        <v>29</v>
      </c>
      <c r="E13893" t="s">
        <v>23</v>
      </c>
      <c r="F13893" t="s">
        <v>17</v>
      </c>
      <c r="G13893" s="1" t="str">
        <f t="shared" ref="G13893:M13894" si="3178">"X"</f>
        <v>X</v>
      </c>
      <c r="H13893" s="1" t="str">
        <f t="shared" si="3178"/>
        <v>X</v>
      </c>
      <c r="I13893" s="1" t="str">
        <f t="shared" si="3178"/>
        <v>X</v>
      </c>
      <c r="J13893" s="1" t="str">
        <f t="shared" si="3178"/>
        <v>X</v>
      </c>
      <c r="K13893" s="1" t="str">
        <f t="shared" si="3178"/>
        <v>X</v>
      </c>
      <c r="L13893" s="1" t="str">
        <f t="shared" si="3178"/>
        <v>X</v>
      </c>
      <c r="M13893" s="1" t="str">
        <f t="shared" si="3178"/>
        <v>X</v>
      </c>
      <c r="N13893" t="s">
        <v>27</v>
      </c>
    </row>
    <row r="13894" spans="1:14" x14ac:dyDescent="0.25">
      <c r="A13894" t="s">
        <v>45</v>
      </c>
      <c r="B13894" t="s">
        <v>15</v>
      </c>
      <c r="C13894" t="s">
        <v>38</v>
      </c>
      <c r="D13894" t="s">
        <v>29</v>
      </c>
      <c r="E13894" t="s">
        <v>23</v>
      </c>
      <c r="F13894" t="s">
        <v>18</v>
      </c>
      <c r="G13894" s="1" t="str">
        <f t="shared" si="3178"/>
        <v>X</v>
      </c>
      <c r="H13894" s="1" t="str">
        <f t="shared" si="3178"/>
        <v>X</v>
      </c>
      <c r="I13894" s="1" t="str">
        <f t="shared" si="3178"/>
        <v>X</v>
      </c>
      <c r="J13894" s="1" t="str">
        <f t="shared" si="3178"/>
        <v>X</v>
      </c>
      <c r="K13894" s="1" t="str">
        <f t="shared" si="3178"/>
        <v>X</v>
      </c>
      <c r="L13894" s="1" t="str">
        <f t="shared" si="3178"/>
        <v>X</v>
      </c>
      <c r="M13894" s="1" t="str">
        <f t="shared" si="3178"/>
        <v>X</v>
      </c>
      <c r="N13894" t="s">
        <v>27</v>
      </c>
    </row>
    <row r="13895" spans="1:14" x14ac:dyDescent="0.25">
      <c r="A13895" t="s">
        <v>45</v>
      </c>
      <c r="B13895" t="s">
        <v>15</v>
      </c>
      <c r="C13895" t="s">
        <v>38</v>
      </c>
      <c r="D13895" t="s">
        <v>29</v>
      </c>
      <c r="E13895" t="s">
        <v>23</v>
      </c>
      <c r="F13895" t="s">
        <v>19</v>
      </c>
      <c r="G13895" s="2">
        <f>VALUE(263.16)</f>
        <v>263.16000000000003</v>
      </c>
      <c r="H13895" s="3">
        <f>VALUE(262.09)</f>
        <v>262.08999999999997</v>
      </c>
      <c r="I13895" s="4">
        <f>VALUE(3722)</f>
        <v>3722</v>
      </c>
      <c r="J13895" s="1">
        <f>VALUE(3934)</f>
        <v>3934</v>
      </c>
      <c r="K13895" s="1">
        <f>VALUE(4925)</f>
        <v>4925</v>
      </c>
      <c r="L13895" s="7">
        <f>VALUE(6048)</f>
        <v>6048</v>
      </c>
      <c r="M13895" s="1">
        <f>VALUE(7583)</f>
        <v>7583</v>
      </c>
      <c r="N13895" t="s">
        <v>25</v>
      </c>
    </row>
    <row r="13896" spans="1:14" x14ac:dyDescent="0.25">
      <c r="A13896" t="s">
        <v>45</v>
      </c>
      <c r="B13896" t="s">
        <v>15</v>
      </c>
      <c r="C13896" t="s">
        <v>38</v>
      </c>
      <c r="D13896" t="s">
        <v>29</v>
      </c>
      <c r="E13896" t="s">
        <v>23</v>
      </c>
      <c r="F13896" t="s">
        <v>20</v>
      </c>
      <c r="G13896" s="2">
        <f>VALUE(2231.71)</f>
        <v>2231.71</v>
      </c>
      <c r="H13896" s="3">
        <f>VALUE(1740.59)</f>
        <v>1740.59</v>
      </c>
      <c r="I13896" s="1">
        <f>VALUE(3500)</f>
        <v>3500</v>
      </c>
      <c r="J13896" s="1">
        <f>VALUE(3886)</f>
        <v>3886</v>
      </c>
      <c r="K13896" s="1">
        <f>VALUE(4669)</f>
        <v>4669</v>
      </c>
      <c r="L13896" s="1">
        <f>VALUE(5726)</f>
        <v>5726</v>
      </c>
      <c r="M13896" s="1">
        <f>VALUE(6262)</f>
        <v>6262</v>
      </c>
      <c r="N13896" t="s">
        <v>25</v>
      </c>
    </row>
    <row r="13897" spans="1:14" x14ac:dyDescent="0.25">
      <c r="A13897" t="s">
        <v>45</v>
      </c>
      <c r="B13897" t="s">
        <v>15</v>
      </c>
      <c r="C13897" t="s">
        <v>38</v>
      </c>
      <c r="D13897" t="s">
        <v>29</v>
      </c>
      <c r="E13897" t="s">
        <v>26</v>
      </c>
      <c r="F13897" t="s">
        <v>15</v>
      </c>
      <c r="G13897" s="1" t="str">
        <f t="shared" ref="G13897:M13898" si="3179">"X"</f>
        <v>X</v>
      </c>
      <c r="H13897" s="1" t="str">
        <f t="shared" si="3179"/>
        <v>X</v>
      </c>
      <c r="I13897" s="1" t="str">
        <f t="shared" si="3179"/>
        <v>X</v>
      </c>
      <c r="J13897" s="1" t="str">
        <f t="shared" si="3179"/>
        <v>X</v>
      </c>
      <c r="K13897" s="1" t="str">
        <f t="shared" si="3179"/>
        <v>X</v>
      </c>
      <c r="L13897" s="1" t="str">
        <f t="shared" si="3179"/>
        <v>X</v>
      </c>
      <c r="M13897" s="1" t="str">
        <f t="shared" si="3179"/>
        <v>X</v>
      </c>
      <c r="N13897" t="s">
        <v>27</v>
      </c>
    </row>
    <row r="13898" spans="1:14" x14ac:dyDescent="0.25">
      <c r="A13898" t="s">
        <v>45</v>
      </c>
      <c r="B13898" t="s">
        <v>15</v>
      </c>
      <c r="C13898" t="s">
        <v>38</v>
      </c>
      <c r="D13898" t="s">
        <v>29</v>
      </c>
      <c r="E13898" t="s">
        <v>26</v>
      </c>
      <c r="F13898" t="s">
        <v>17</v>
      </c>
      <c r="G13898" s="1" t="str">
        <f t="shared" si="3179"/>
        <v>X</v>
      </c>
      <c r="H13898" s="1" t="str">
        <f t="shared" si="3179"/>
        <v>X</v>
      </c>
      <c r="I13898" s="1" t="str">
        <f t="shared" si="3179"/>
        <v>X</v>
      </c>
      <c r="J13898" s="1" t="str">
        <f t="shared" si="3179"/>
        <v>X</v>
      </c>
      <c r="K13898" s="1" t="str">
        <f t="shared" si="3179"/>
        <v>X</v>
      </c>
      <c r="L13898" s="1" t="str">
        <f t="shared" si="3179"/>
        <v>X</v>
      </c>
      <c r="M13898" s="1" t="str">
        <f t="shared" si="3179"/>
        <v>X</v>
      </c>
      <c r="N13898" t="s">
        <v>27</v>
      </c>
    </row>
    <row r="13899" spans="1:14" x14ac:dyDescent="0.25">
      <c r="A13899" t="s">
        <v>45</v>
      </c>
      <c r="B13899" t="s">
        <v>15</v>
      </c>
      <c r="C13899" t="s">
        <v>38</v>
      </c>
      <c r="D13899" t="s">
        <v>29</v>
      </c>
      <c r="E13899" t="s">
        <v>26</v>
      </c>
      <c r="F13899" t="s">
        <v>18</v>
      </c>
      <c r="G13899" s="1" t="str">
        <f t="shared" ref="G13899:M13899" si="3180">"..."</f>
        <v>...</v>
      </c>
      <c r="H13899" s="1" t="str">
        <f t="shared" si="3180"/>
        <v>...</v>
      </c>
      <c r="I13899" s="1" t="str">
        <f t="shared" si="3180"/>
        <v>...</v>
      </c>
      <c r="J13899" s="1" t="str">
        <f t="shared" si="3180"/>
        <v>...</v>
      </c>
      <c r="K13899" s="1" t="str">
        <f t="shared" si="3180"/>
        <v>...</v>
      </c>
      <c r="L13899" s="1" t="str">
        <f t="shared" si="3180"/>
        <v>...</v>
      </c>
      <c r="M13899" s="1" t="str">
        <f t="shared" si="3180"/>
        <v>...</v>
      </c>
      <c r="N13899" t="s">
        <v>30</v>
      </c>
    </row>
    <row r="13900" spans="1:14" x14ac:dyDescent="0.25">
      <c r="A13900" t="s">
        <v>45</v>
      </c>
      <c r="B13900" t="s">
        <v>15</v>
      </c>
      <c r="C13900" t="s">
        <v>38</v>
      </c>
      <c r="D13900" t="s">
        <v>29</v>
      </c>
      <c r="E13900" t="s">
        <v>26</v>
      </c>
      <c r="F13900" t="s">
        <v>19</v>
      </c>
      <c r="G13900" s="1" t="str">
        <f t="shared" ref="G13900:M13901" si="3181">"X"</f>
        <v>X</v>
      </c>
      <c r="H13900" s="1" t="str">
        <f t="shared" si="3181"/>
        <v>X</v>
      </c>
      <c r="I13900" s="1" t="str">
        <f t="shared" si="3181"/>
        <v>X</v>
      </c>
      <c r="J13900" s="1" t="str">
        <f t="shared" si="3181"/>
        <v>X</v>
      </c>
      <c r="K13900" s="1" t="str">
        <f t="shared" si="3181"/>
        <v>X</v>
      </c>
      <c r="L13900" s="1" t="str">
        <f t="shared" si="3181"/>
        <v>X</v>
      </c>
      <c r="M13900" s="1" t="str">
        <f t="shared" si="3181"/>
        <v>X</v>
      </c>
      <c r="N13900" t="s">
        <v>27</v>
      </c>
    </row>
    <row r="13901" spans="1:14" x14ac:dyDescent="0.25">
      <c r="A13901" t="s">
        <v>45</v>
      </c>
      <c r="B13901" t="s">
        <v>15</v>
      </c>
      <c r="C13901" t="s">
        <v>38</v>
      </c>
      <c r="D13901" t="s">
        <v>29</v>
      </c>
      <c r="E13901" t="s">
        <v>26</v>
      </c>
      <c r="F13901" t="s">
        <v>20</v>
      </c>
      <c r="G13901" s="1" t="str">
        <f t="shared" si="3181"/>
        <v>X</v>
      </c>
      <c r="H13901" s="1" t="str">
        <f t="shared" si="3181"/>
        <v>X</v>
      </c>
      <c r="I13901" s="1" t="str">
        <f t="shared" si="3181"/>
        <v>X</v>
      </c>
      <c r="J13901" s="1" t="str">
        <f t="shared" si="3181"/>
        <v>X</v>
      </c>
      <c r="K13901" s="1" t="str">
        <f t="shared" si="3181"/>
        <v>X</v>
      </c>
      <c r="L13901" s="1" t="str">
        <f t="shared" si="3181"/>
        <v>X</v>
      </c>
      <c r="M13901" s="1" t="str">
        <f t="shared" si="3181"/>
        <v>X</v>
      </c>
      <c r="N13901" t="s">
        <v>27</v>
      </c>
    </row>
    <row r="13902" spans="1:14" x14ac:dyDescent="0.25">
      <c r="A13902" t="s">
        <v>45</v>
      </c>
      <c r="B13902" t="s">
        <v>15</v>
      </c>
      <c r="C13902" t="s">
        <v>38</v>
      </c>
      <c r="D13902" t="s">
        <v>31</v>
      </c>
      <c r="E13902" t="s">
        <v>15</v>
      </c>
      <c r="F13902" t="s">
        <v>15</v>
      </c>
      <c r="G13902" s="2">
        <f>VALUE(1500.56)</f>
        <v>1500.56</v>
      </c>
      <c r="H13902" s="3">
        <f>VALUE(1342.14)</f>
        <v>1342.14</v>
      </c>
      <c r="I13902" s="1">
        <f>VALUE(3500)</f>
        <v>3500</v>
      </c>
      <c r="J13902" s="1">
        <f>VALUE(4163)</f>
        <v>4163</v>
      </c>
      <c r="K13902" s="1">
        <f>VALUE(5857)</f>
        <v>5857</v>
      </c>
      <c r="L13902" s="7">
        <f>VALUE(9364)</f>
        <v>9364</v>
      </c>
      <c r="M13902" s="8">
        <f>VALUE(15257)</f>
        <v>15257</v>
      </c>
      <c r="N13902" t="s">
        <v>25</v>
      </c>
    </row>
    <row r="13903" spans="1:14" x14ac:dyDescent="0.25">
      <c r="A13903" t="s">
        <v>45</v>
      </c>
      <c r="B13903" t="s">
        <v>15</v>
      </c>
      <c r="C13903" t="s">
        <v>38</v>
      </c>
      <c r="D13903" t="s">
        <v>31</v>
      </c>
      <c r="E13903" t="s">
        <v>15</v>
      </c>
      <c r="F13903" t="s">
        <v>17</v>
      </c>
      <c r="G13903" s="2">
        <f>VALUE(463.2)</f>
        <v>463.2</v>
      </c>
      <c r="H13903" s="3">
        <f>VALUE(440.93)</f>
        <v>440.93</v>
      </c>
      <c r="I13903" s="4">
        <f>VALUE(5417)</f>
        <v>5417</v>
      </c>
      <c r="J13903" s="5">
        <f>VALUE(6870)</f>
        <v>6870</v>
      </c>
      <c r="K13903" s="6">
        <f>VALUE(9802)</f>
        <v>9802</v>
      </c>
      <c r="L13903" s="7">
        <f>VALUE(16000)</f>
        <v>16000</v>
      </c>
      <c r="M13903" s="8">
        <f>VALUE(24989)</f>
        <v>24989</v>
      </c>
      <c r="N13903" t="s">
        <v>24</v>
      </c>
    </row>
    <row r="13904" spans="1:14" x14ac:dyDescent="0.25">
      <c r="A13904" t="s">
        <v>45</v>
      </c>
      <c r="B13904" t="s">
        <v>15</v>
      </c>
      <c r="C13904" t="s">
        <v>38</v>
      </c>
      <c r="D13904" t="s">
        <v>31</v>
      </c>
      <c r="E13904" t="s">
        <v>15</v>
      </c>
      <c r="F13904" t="s">
        <v>18</v>
      </c>
      <c r="G13904" s="1" t="str">
        <f t="shared" ref="G13904:M13905" si="3182">"X"</f>
        <v>X</v>
      </c>
      <c r="H13904" s="1" t="str">
        <f t="shared" si="3182"/>
        <v>X</v>
      </c>
      <c r="I13904" s="1" t="str">
        <f t="shared" si="3182"/>
        <v>X</v>
      </c>
      <c r="J13904" s="1" t="str">
        <f t="shared" si="3182"/>
        <v>X</v>
      </c>
      <c r="K13904" s="1" t="str">
        <f t="shared" si="3182"/>
        <v>X</v>
      </c>
      <c r="L13904" s="1" t="str">
        <f t="shared" si="3182"/>
        <v>X</v>
      </c>
      <c r="M13904" s="1" t="str">
        <f t="shared" si="3182"/>
        <v>X</v>
      </c>
      <c r="N13904" t="s">
        <v>27</v>
      </c>
    </row>
    <row r="13905" spans="1:14" x14ac:dyDescent="0.25">
      <c r="A13905" t="s">
        <v>45</v>
      </c>
      <c r="B13905" t="s">
        <v>15</v>
      </c>
      <c r="C13905" t="s">
        <v>38</v>
      </c>
      <c r="D13905" t="s">
        <v>31</v>
      </c>
      <c r="E13905" t="s">
        <v>15</v>
      </c>
      <c r="F13905" t="s">
        <v>19</v>
      </c>
      <c r="G13905" s="1" t="str">
        <f t="shared" si="3182"/>
        <v>X</v>
      </c>
      <c r="H13905" s="1" t="str">
        <f t="shared" si="3182"/>
        <v>X</v>
      </c>
      <c r="I13905" s="1" t="str">
        <f t="shared" si="3182"/>
        <v>X</v>
      </c>
      <c r="J13905" s="1" t="str">
        <f t="shared" si="3182"/>
        <v>X</v>
      </c>
      <c r="K13905" s="1" t="str">
        <f t="shared" si="3182"/>
        <v>X</v>
      </c>
      <c r="L13905" s="1" t="str">
        <f t="shared" si="3182"/>
        <v>X</v>
      </c>
      <c r="M13905" s="1" t="str">
        <f t="shared" si="3182"/>
        <v>X</v>
      </c>
      <c r="N13905" t="s">
        <v>27</v>
      </c>
    </row>
    <row r="13906" spans="1:14" x14ac:dyDescent="0.25">
      <c r="A13906" t="s">
        <v>45</v>
      </c>
      <c r="B13906" t="s">
        <v>15</v>
      </c>
      <c r="C13906" t="s">
        <v>38</v>
      </c>
      <c r="D13906" t="s">
        <v>31</v>
      </c>
      <c r="E13906" t="s">
        <v>15</v>
      </c>
      <c r="F13906" t="s">
        <v>20</v>
      </c>
      <c r="G13906" s="2">
        <f>VALUE(748.26)</f>
        <v>748.26</v>
      </c>
      <c r="H13906" s="3">
        <f>VALUE(628.5)</f>
        <v>628.5</v>
      </c>
      <c r="I13906" s="1">
        <f>VALUE(3421)</f>
        <v>3421</v>
      </c>
      <c r="J13906" s="1">
        <f>VALUE(3714)</f>
        <v>3714</v>
      </c>
      <c r="K13906" s="1">
        <f>VALUE(4489)</f>
        <v>4489</v>
      </c>
      <c r="L13906" s="1">
        <f>VALUE(5785)</f>
        <v>5785</v>
      </c>
      <c r="M13906" s="1">
        <f>VALUE(6796)</f>
        <v>6796</v>
      </c>
      <c r="N13906" t="s">
        <v>25</v>
      </c>
    </row>
    <row r="13907" spans="1:14" x14ac:dyDescent="0.25">
      <c r="A13907" t="s">
        <v>45</v>
      </c>
      <c r="B13907" t="s">
        <v>15</v>
      </c>
      <c r="C13907" t="s">
        <v>38</v>
      </c>
      <c r="D13907" t="s">
        <v>31</v>
      </c>
      <c r="E13907" t="s">
        <v>21</v>
      </c>
      <c r="F13907" t="s">
        <v>15</v>
      </c>
      <c r="G13907" s="2">
        <f>VALUE(577.49)</f>
        <v>577.49</v>
      </c>
      <c r="H13907" s="3">
        <f>VALUE(531.87)</f>
        <v>531.87</v>
      </c>
      <c r="I13907" s="4">
        <f>VALUE(3810)</f>
        <v>3810</v>
      </c>
      <c r="J13907" s="5">
        <f>VALUE(6267)</f>
        <v>6267</v>
      </c>
      <c r="K13907" s="6">
        <f>VALUE(9350)</f>
        <v>9350</v>
      </c>
      <c r="L13907" s="7">
        <f>VALUE(12792)</f>
        <v>12792</v>
      </c>
      <c r="M13907" s="8">
        <f>VALUE(24989)</f>
        <v>24989</v>
      </c>
      <c r="N13907" t="s">
        <v>24</v>
      </c>
    </row>
    <row r="13908" spans="1:14" x14ac:dyDescent="0.25">
      <c r="A13908" t="s">
        <v>45</v>
      </c>
      <c r="B13908" t="s">
        <v>15</v>
      </c>
      <c r="C13908" t="s">
        <v>38</v>
      </c>
      <c r="D13908" t="s">
        <v>31</v>
      </c>
      <c r="E13908" t="s">
        <v>21</v>
      </c>
      <c r="F13908" t="s">
        <v>17</v>
      </c>
      <c r="G13908" s="2">
        <f>VALUE(342.2)</f>
        <v>342.2</v>
      </c>
      <c r="H13908" s="3">
        <f>VALUE(324.56)</f>
        <v>324.56</v>
      </c>
      <c r="I13908" s="4">
        <f>VALUE(6267)</f>
        <v>6267</v>
      </c>
      <c r="J13908" s="5">
        <f>VALUE(7633)</f>
        <v>7633</v>
      </c>
      <c r="K13908" s="6">
        <f>VALUE(11002)</f>
        <v>11002</v>
      </c>
      <c r="L13908" s="7">
        <f>VALUE(16731)</f>
        <v>16731</v>
      </c>
      <c r="M13908" s="8">
        <f>VALUE(27991)</f>
        <v>27991</v>
      </c>
      <c r="N13908" t="s">
        <v>24</v>
      </c>
    </row>
    <row r="13909" spans="1:14" x14ac:dyDescent="0.25">
      <c r="A13909" t="s">
        <v>45</v>
      </c>
      <c r="B13909" t="s">
        <v>15</v>
      </c>
      <c r="C13909" t="s">
        <v>38</v>
      </c>
      <c r="D13909" t="s">
        <v>31</v>
      </c>
      <c r="E13909" t="s">
        <v>21</v>
      </c>
      <c r="F13909" t="s">
        <v>18</v>
      </c>
      <c r="G13909" s="1" t="str">
        <f t="shared" ref="G13909:M13911" si="3183">"X"</f>
        <v>X</v>
      </c>
      <c r="H13909" s="1" t="str">
        <f t="shared" si="3183"/>
        <v>X</v>
      </c>
      <c r="I13909" s="1" t="str">
        <f t="shared" si="3183"/>
        <v>X</v>
      </c>
      <c r="J13909" s="1" t="str">
        <f t="shared" si="3183"/>
        <v>X</v>
      </c>
      <c r="K13909" s="1" t="str">
        <f t="shared" si="3183"/>
        <v>X</v>
      </c>
      <c r="L13909" s="1" t="str">
        <f t="shared" si="3183"/>
        <v>X</v>
      </c>
      <c r="M13909" s="1" t="str">
        <f t="shared" si="3183"/>
        <v>X</v>
      </c>
      <c r="N13909" t="s">
        <v>27</v>
      </c>
    </row>
    <row r="13910" spans="1:14" x14ac:dyDescent="0.25">
      <c r="A13910" t="s">
        <v>45</v>
      </c>
      <c r="B13910" t="s">
        <v>15</v>
      </c>
      <c r="C13910" t="s">
        <v>38</v>
      </c>
      <c r="D13910" t="s">
        <v>31</v>
      </c>
      <c r="E13910" t="s">
        <v>21</v>
      </c>
      <c r="F13910" t="s">
        <v>19</v>
      </c>
      <c r="G13910" s="1" t="str">
        <f t="shared" si="3183"/>
        <v>X</v>
      </c>
      <c r="H13910" s="1" t="str">
        <f t="shared" si="3183"/>
        <v>X</v>
      </c>
      <c r="I13910" s="1" t="str">
        <f t="shared" si="3183"/>
        <v>X</v>
      </c>
      <c r="J13910" s="1" t="str">
        <f t="shared" si="3183"/>
        <v>X</v>
      </c>
      <c r="K13910" s="1" t="str">
        <f t="shared" si="3183"/>
        <v>X</v>
      </c>
      <c r="L13910" s="1" t="str">
        <f t="shared" si="3183"/>
        <v>X</v>
      </c>
      <c r="M13910" s="1" t="str">
        <f t="shared" si="3183"/>
        <v>X</v>
      </c>
      <c r="N13910" t="s">
        <v>27</v>
      </c>
    </row>
    <row r="13911" spans="1:14" x14ac:dyDescent="0.25">
      <c r="A13911" t="s">
        <v>45</v>
      </c>
      <c r="B13911" t="s">
        <v>15</v>
      </c>
      <c r="C13911" t="s">
        <v>38</v>
      </c>
      <c r="D13911" t="s">
        <v>31</v>
      </c>
      <c r="E13911" t="s">
        <v>21</v>
      </c>
      <c r="F13911" t="s">
        <v>20</v>
      </c>
      <c r="G13911" s="1" t="str">
        <f t="shared" si="3183"/>
        <v>X</v>
      </c>
      <c r="H13911" s="1" t="str">
        <f t="shared" si="3183"/>
        <v>X</v>
      </c>
      <c r="I13911" s="1" t="str">
        <f t="shared" si="3183"/>
        <v>X</v>
      </c>
      <c r="J13911" s="1" t="str">
        <f t="shared" si="3183"/>
        <v>X</v>
      </c>
      <c r="K13911" s="1" t="str">
        <f t="shared" si="3183"/>
        <v>X</v>
      </c>
      <c r="L13911" s="1" t="str">
        <f t="shared" si="3183"/>
        <v>X</v>
      </c>
      <c r="M13911" s="1" t="str">
        <f t="shared" si="3183"/>
        <v>X</v>
      </c>
      <c r="N13911" t="s">
        <v>27</v>
      </c>
    </row>
    <row r="13912" spans="1:14" x14ac:dyDescent="0.25">
      <c r="A13912" t="s">
        <v>45</v>
      </c>
      <c r="B13912" t="s">
        <v>15</v>
      </c>
      <c r="C13912" t="s">
        <v>38</v>
      </c>
      <c r="D13912" t="s">
        <v>31</v>
      </c>
      <c r="E13912" t="s">
        <v>22</v>
      </c>
      <c r="F13912" t="s">
        <v>15</v>
      </c>
      <c r="G13912" s="2">
        <f>VALUE(335.78)</f>
        <v>335.78</v>
      </c>
      <c r="H13912" s="3">
        <f>VALUE(306.92)</f>
        <v>306.92</v>
      </c>
      <c r="I13912" s="4">
        <f>VALUE(3200)</f>
        <v>3200</v>
      </c>
      <c r="J13912" s="5">
        <f>VALUE(4260)</f>
        <v>4260</v>
      </c>
      <c r="K13912" s="6">
        <f>VALUE(5386)</f>
        <v>5386</v>
      </c>
      <c r="L13912" s="7">
        <f>VALUE(7750)</f>
        <v>7750</v>
      </c>
      <c r="M13912" s="1">
        <f>VALUE(11880)</f>
        <v>11880</v>
      </c>
      <c r="N13912" t="s">
        <v>25</v>
      </c>
    </row>
    <row r="13913" spans="1:14" x14ac:dyDescent="0.25">
      <c r="A13913" t="s">
        <v>45</v>
      </c>
      <c r="B13913" t="s">
        <v>15</v>
      </c>
      <c r="C13913" t="s">
        <v>38</v>
      </c>
      <c r="D13913" t="s">
        <v>31</v>
      </c>
      <c r="E13913" t="s">
        <v>22</v>
      </c>
      <c r="F13913" t="s">
        <v>17</v>
      </c>
      <c r="G13913" s="1" t="str">
        <f t="shared" ref="G13913:M13916" si="3184">"X"</f>
        <v>X</v>
      </c>
      <c r="H13913" s="1" t="str">
        <f t="shared" si="3184"/>
        <v>X</v>
      </c>
      <c r="I13913" s="1" t="str">
        <f t="shared" si="3184"/>
        <v>X</v>
      </c>
      <c r="J13913" s="1" t="str">
        <f t="shared" si="3184"/>
        <v>X</v>
      </c>
      <c r="K13913" s="1" t="str">
        <f t="shared" si="3184"/>
        <v>X</v>
      </c>
      <c r="L13913" s="1" t="str">
        <f t="shared" si="3184"/>
        <v>X</v>
      </c>
      <c r="M13913" s="1" t="str">
        <f t="shared" si="3184"/>
        <v>X</v>
      </c>
      <c r="N13913" t="s">
        <v>27</v>
      </c>
    </row>
    <row r="13914" spans="1:14" x14ac:dyDescent="0.25">
      <c r="A13914" t="s">
        <v>45</v>
      </c>
      <c r="B13914" t="s">
        <v>15</v>
      </c>
      <c r="C13914" t="s">
        <v>38</v>
      </c>
      <c r="D13914" t="s">
        <v>31</v>
      </c>
      <c r="E13914" t="s">
        <v>22</v>
      </c>
      <c r="F13914" t="s">
        <v>18</v>
      </c>
      <c r="G13914" s="1" t="str">
        <f t="shared" si="3184"/>
        <v>X</v>
      </c>
      <c r="H13914" s="1" t="str">
        <f t="shared" si="3184"/>
        <v>X</v>
      </c>
      <c r="I13914" s="1" t="str">
        <f t="shared" si="3184"/>
        <v>X</v>
      </c>
      <c r="J13914" s="1" t="str">
        <f t="shared" si="3184"/>
        <v>X</v>
      </c>
      <c r="K13914" s="1" t="str">
        <f t="shared" si="3184"/>
        <v>X</v>
      </c>
      <c r="L13914" s="1" t="str">
        <f t="shared" si="3184"/>
        <v>X</v>
      </c>
      <c r="M13914" s="1" t="str">
        <f t="shared" si="3184"/>
        <v>X</v>
      </c>
      <c r="N13914" t="s">
        <v>27</v>
      </c>
    </row>
    <row r="13915" spans="1:14" x14ac:dyDescent="0.25">
      <c r="A13915" t="s">
        <v>45</v>
      </c>
      <c r="B13915" t="s">
        <v>15</v>
      </c>
      <c r="C13915" t="s">
        <v>38</v>
      </c>
      <c r="D13915" t="s">
        <v>31</v>
      </c>
      <c r="E13915" t="s">
        <v>22</v>
      </c>
      <c r="F13915" t="s">
        <v>19</v>
      </c>
      <c r="G13915" s="1" t="str">
        <f t="shared" si="3184"/>
        <v>X</v>
      </c>
      <c r="H13915" s="1" t="str">
        <f t="shared" si="3184"/>
        <v>X</v>
      </c>
      <c r="I13915" s="1" t="str">
        <f t="shared" si="3184"/>
        <v>X</v>
      </c>
      <c r="J13915" s="1" t="str">
        <f t="shared" si="3184"/>
        <v>X</v>
      </c>
      <c r="K13915" s="1" t="str">
        <f t="shared" si="3184"/>
        <v>X</v>
      </c>
      <c r="L13915" s="1" t="str">
        <f t="shared" si="3184"/>
        <v>X</v>
      </c>
      <c r="M13915" s="1" t="str">
        <f t="shared" si="3184"/>
        <v>X</v>
      </c>
      <c r="N13915" t="s">
        <v>27</v>
      </c>
    </row>
    <row r="13916" spans="1:14" x14ac:dyDescent="0.25">
      <c r="A13916" t="s">
        <v>45</v>
      </c>
      <c r="B13916" t="s">
        <v>15</v>
      </c>
      <c r="C13916" t="s">
        <v>38</v>
      </c>
      <c r="D13916" t="s">
        <v>31</v>
      </c>
      <c r="E13916" t="s">
        <v>22</v>
      </c>
      <c r="F13916" t="s">
        <v>20</v>
      </c>
      <c r="G13916" s="1" t="str">
        <f t="shared" si="3184"/>
        <v>X</v>
      </c>
      <c r="H13916" s="1" t="str">
        <f t="shared" si="3184"/>
        <v>X</v>
      </c>
      <c r="I13916" s="1" t="str">
        <f t="shared" si="3184"/>
        <v>X</v>
      </c>
      <c r="J13916" s="1" t="str">
        <f t="shared" si="3184"/>
        <v>X</v>
      </c>
      <c r="K13916" s="1" t="str">
        <f t="shared" si="3184"/>
        <v>X</v>
      </c>
      <c r="L13916" s="1" t="str">
        <f t="shared" si="3184"/>
        <v>X</v>
      </c>
      <c r="M13916" s="1" t="str">
        <f t="shared" si="3184"/>
        <v>X</v>
      </c>
      <c r="N13916" t="s">
        <v>27</v>
      </c>
    </row>
    <row r="13917" spans="1:14" x14ac:dyDescent="0.25">
      <c r="A13917" t="s">
        <v>45</v>
      </c>
      <c r="B13917" t="s">
        <v>15</v>
      </c>
      <c r="C13917" t="s">
        <v>38</v>
      </c>
      <c r="D13917" t="s">
        <v>31</v>
      </c>
      <c r="E13917" t="s">
        <v>23</v>
      </c>
      <c r="F13917" t="s">
        <v>15</v>
      </c>
      <c r="G13917" s="2">
        <f>VALUE(569.96)</f>
        <v>569.96</v>
      </c>
      <c r="H13917" s="3">
        <f>VALUE(490.43)</f>
        <v>490.43</v>
      </c>
      <c r="I13917" s="4">
        <f>VALUE(3283)</f>
        <v>3283</v>
      </c>
      <c r="J13917" s="1">
        <f>VALUE(3779)</f>
        <v>3779</v>
      </c>
      <c r="K13917" s="6">
        <f>VALUE(4793)</f>
        <v>4793</v>
      </c>
      <c r="L13917" s="1">
        <f>VALUE(5891)</f>
        <v>5891</v>
      </c>
      <c r="M13917" s="1">
        <f>VALUE(6785)</f>
        <v>6785</v>
      </c>
      <c r="N13917" t="s">
        <v>25</v>
      </c>
    </row>
    <row r="13918" spans="1:14" x14ac:dyDescent="0.25">
      <c r="A13918" t="s">
        <v>45</v>
      </c>
      <c r="B13918" t="s">
        <v>15</v>
      </c>
      <c r="C13918" t="s">
        <v>38</v>
      </c>
      <c r="D13918" t="s">
        <v>31</v>
      </c>
      <c r="E13918" t="s">
        <v>23</v>
      </c>
      <c r="F13918" t="s">
        <v>17</v>
      </c>
      <c r="G13918" s="1" t="str">
        <f t="shared" ref="G13918:M13920" si="3185">"X"</f>
        <v>X</v>
      </c>
      <c r="H13918" s="1" t="str">
        <f t="shared" si="3185"/>
        <v>X</v>
      </c>
      <c r="I13918" s="1" t="str">
        <f t="shared" si="3185"/>
        <v>X</v>
      </c>
      <c r="J13918" s="1" t="str">
        <f t="shared" si="3185"/>
        <v>X</v>
      </c>
      <c r="K13918" s="1" t="str">
        <f t="shared" si="3185"/>
        <v>X</v>
      </c>
      <c r="L13918" s="1" t="str">
        <f t="shared" si="3185"/>
        <v>X</v>
      </c>
      <c r="M13918" s="1" t="str">
        <f t="shared" si="3185"/>
        <v>X</v>
      </c>
      <c r="N13918" t="s">
        <v>27</v>
      </c>
    </row>
    <row r="13919" spans="1:14" x14ac:dyDescent="0.25">
      <c r="A13919" t="s">
        <v>45</v>
      </c>
      <c r="B13919" t="s">
        <v>15</v>
      </c>
      <c r="C13919" t="s">
        <v>38</v>
      </c>
      <c r="D13919" t="s">
        <v>31</v>
      </c>
      <c r="E13919" t="s">
        <v>23</v>
      </c>
      <c r="F13919" t="s">
        <v>18</v>
      </c>
      <c r="G13919" s="1" t="str">
        <f t="shared" si="3185"/>
        <v>X</v>
      </c>
      <c r="H13919" s="1" t="str">
        <f t="shared" si="3185"/>
        <v>X</v>
      </c>
      <c r="I13919" s="1" t="str">
        <f t="shared" si="3185"/>
        <v>X</v>
      </c>
      <c r="J13919" s="1" t="str">
        <f t="shared" si="3185"/>
        <v>X</v>
      </c>
      <c r="K13919" s="1" t="str">
        <f t="shared" si="3185"/>
        <v>X</v>
      </c>
      <c r="L13919" s="1" t="str">
        <f t="shared" si="3185"/>
        <v>X</v>
      </c>
      <c r="M13919" s="1" t="str">
        <f t="shared" si="3185"/>
        <v>X</v>
      </c>
      <c r="N13919" t="s">
        <v>27</v>
      </c>
    </row>
    <row r="13920" spans="1:14" x14ac:dyDescent="0.25">
      <c r="A13920" t="s">
        <v>45</v>
      </c>
      <c r="B13920" t="s">
        <v>15</v>
      </c>
      <c r="C13920" t="s">
        <v>38</v>
      </c>
      <c r="D13920" t="s">
        <v>31</v>
      </c>
      <c r="E13920" t="s">
        <v>23</v>
      </c>
      <c r="F13920" t="s">
        <v>19</v>
      </c>
      <c r="G13920" s="1" t="str">
        <f t="shared" si="3185"/>
        <v>X</v>
      </c>
      <c r="H13920" s="1" t="str">
        <f t="shared" si="3185"/>
        <v>X</v>
      </c>
      <c r="I13920" s="1" t="str">
        <f t="shared" si="3185"/>
        <v>X</v>
      </c>
      <c r="J13920" s="1" t="str">
        <f t="shared" si="3185"/>
        <v>X</v>
      </c>
      <c r="K13920" s="1" t="str">
        <f t="shared" si="3185"/>
        <v>X</v>
      </c>
      <c r="L13920" s="1" t="str">
        <f t="shared" si="3185"/>
        <v>X</v>
      </c>
      <c r="M13920" s="1" t="str">
        <f t="shared" si="3185"/>
        <v>X</v>
      </c>
      <c r="N13920" t="s">
        <v>27</v>
      </c>
    </row>
    <row r="13921" spans="1:14" x14ac:dyDescent="0.25">
      <c r="A13921" t="s">
        <v>45</v>
      </c>
      <c r="B13921" t="s">
        <v>15</v>
      </c>
      <c r="C13921" t="s">
        <v>38</v>
      </c>
      <c r="D13921" t="s">
        <v>31</v>
      </c>
      <c r="E13921" t="s">
        <v>23</v>
      </c>
      <c r="F13921" t="s">
        <v>20</v>
      </c>
      <c r="G13921" s="2">
        <f>VALUE(452.81)</f>
        <v>452.81</v>
      </c>
      <c r="H13921" s="3">
        <f>VALUE(384.76)</f>
        <v>384.76</v>
      </c>
      <c r="I13921" s="1">
        <f>VALUE(3421)</f>
        <v>3421</v>
      </c>
      <c r="J13921" s="1">
        <f>VALUE(3779)</f>
        <v>3779</v>
      </c>
      <c r="K13921" s="1">
        <f>VALUE(4701)</f>
        <v>4701</v>
      </c>
      <c r="L13921" s="1">
        <f>VALUE(5712)</f>
        <v>5712</v>
      </c>
      <c r="M13921" s="1">
        <f>VALUE(6237)</f>
        <v>6237</v>
      </c>
      <c r="N13921" t="s">
        <v>25</v>
      </c>
    </row>
    <row r="13922" spans="1:14" x14ac:dyDescent="0.25">
      <c r="A13922" t="s">
        <v>45</v>
      </c>
      <c r="B13922" t="s">
        <v>15</v>
      </c>
      <c r="C13922" t="s">
        <v>38</v>
      </c>
      <c r="D13922" t="s">
        <v>31</v>
      </c>
      <c r="E13922" t="s">
        <v>26</v>
      </c>
      <c r="F13922" t="s">
        <v>15</v>
      </c>
      <c r="G13922" s="1" t="str">
        <f t="shared" ref="G13922:M13924" si="3186">"X"</f>
        <v>X</v>
      </c>
      <c r="H13922" s="1" t="str">
        <f t="shared" si="3186"/>
        <v>X</v>
      </c>
      <c r="I13922" s="1" t="str">
        <f t="shared" si="3186"/>
        <v>X</v>
      </c>
      <c r="J13922" s="1" t="str">
        <f t="shared" si="3186"/>
        <v>X</v>
      </c>
      <c r="K13922" s="1" t="str">
        <f t="shared" si="3186"/>
        <v>X</v>
      </c>
      <c r="L13922" s="1" t="str">
        <f t="shared" si="3186"/>
        <v>X</v>
      </c>
      <c r="M13922" s="1" t="str">
        <f t="shared" si="3186"/>
        <v>X</v>
      </c>
      <c r="N13922" t="s">
        <v>27</v>
      </c>
    </row>
    <row r="13923" spans="1:14" x14ac:dyDescent="0.25">
      <c r="A13923" t="s">
        <v>45</v>
      </c>
      <c r="B13923" t="s">
        <v>15</v>
      </c>
      <c r="C13923" t="s">
        <v>38</v>
      </c>
      <c r="D13923" t="s">
        <v>31</v>
      </c>
      <c r="E13923" t="s">
        <v>26</v>
      </c>
      <c r="F13923" t="s">
        <v>17</v>
      </c>
      <c r="G13923" s="1" t="str">
        <f t="shared" si="3186"/>
        <v>X</v>
      </c>
      <c r="H13923" s="1" t="str">
        <f t="shared" si="3186"/>
        <v>X</v>
      </c>
      <c r="I13923" s="1" t="str">
        <f t="shared" si="3186"/>
        <v>X</v>
      </c>
      <c r="J13923" s="1" t="str">
        <f t="shared" si="3186"/>
        <v>X</v>
      </c>
      <c r="K13923" s="1" t="str">
        <f t="shared" si="3186"/>
        <v>X</v>
      </c>
      <c r="L13923" s="1" t="str">
        <f t="shared" si="3186"/>
        <v>X</v>
      </c>
      <c r="M13923" s="1" t="str">
        <f t="shared" si="3186"/>
        <v>X</v>
      </c>
      <c r="N13923" t="s">
        <v>27</v>
      </c>
    </row>
    <row r="13924" spans="1:14" x14ac:dyDescent="0.25">
      <c r="A13924" t="s">
        <v>45</v>
      </c>
      <c r="B13924" t="s">
        <v>15</v>
      </c>
      <c r="C13924" t="s">
        <v>38</v>
      </c>
      <c r="D13924" t="s">
        <v>31</v>
      </c>
      <c r="E13924" t="s">
        <v>26</v>
      </c>
      <c r="F13924" t="s">
        <v>18</v>
      </c>
      <c r="G13924" s="1" t="str">
        <f t="shared" si="3186"/>
        <v>X</v>
      </c>
      <c r="H13924" s="1" t="str">
        <f t="shared" si="3186"/>
        <v>X</v>
      </c>
      <c r="I13924" s="1" t="str">
        <f t="shared" si="3186"/>
        <v>X</v>
      </c>
      <c r="J13924" s="1" t="str">
        <f t="shared" si="3186"/>
        <v>X</v>
      </c>
      <c r="K13924" s="1" t="str">
        <f t="shared" si="3186"/>
        <v>X</v>
      </c>
      <c r="L13924" s="1" t="str">
        <f t="shared" si="3186"/>
        <v>X</v>
      </c>
      <c r="M13924" s="1" t="str">
        <f t="shared" si="3186"/>
        <v>X</v>
      </c>
      <c r="N13924" t="s">
        <v>27</v>
      </c>
    </row>
    <row r="13925" spans="1:14" x14ac:dyDescent="0.25">
      <c r="A13925" t="s">
        <v>45</v>
      </c>
      <c r="B13925" t="s">
        <v>15</v>
      </c>
      <c r="C13925" t="s">
        <v>38</v>
      </c>
      <c r="D13925" t="s">
        <v>31</v>
      </c>
      <c r="E13925" t="s">
        <v>26</v>
      </c>
      <c r="F13925" t="s">
        <v>19</v>
      </c>
      <c r="G13925" s="1" t="str">
        <f t="shared" ref="G13925:M13925" si="3187">"..."</f>
        <v>...</v>
      </c>
      <c r="H13925" s="1" t="str">
        <f t="shared" si="3187"/>
        <v>...</v>
      </c>
      <c r="I13925" s="1" t="str">
        <f t="shared" si="3187"/>
        <v>...</v>
      </c>
      <c r="J13925" s="1" t="str">
        <f t="shared" si="3187"/>
        <v>...</v>
      </c>
      <c r="K13925" s="1" t="str">
        <f t="shared" si="3187"/>
        <v>...</v>
      </c>
      <c r="L13925" s="1" t="str">
        <f t="shared" si="3187"/>
        <v>...</v>
      </c>
      <c r="M13925" s="1" t="str">
        <f t="shared" si="3187"/>
        <v>...</v>
      </c>
      <c r="N13925" t="s">
        <v>30</v>
      </c>
    </row>
    <row r="13926" spans="1:14" x14ac:dyDescent="0.25">
      <c r="A13926" t="s">
        <v>45</v>
      </c>
      <c r="B13926" t="s">
        <v>15</v>
      </c>
      <c r="C13926" t="s">
        <v>38</v>
      </c>
      <c r="D13926" t="s">
        <v>31</v>
      </c>
      <c r="E13926" t="s">
        <v>26</v>
      </c>
      <c r="F13926" t="s">
        <v>20</v>
      </c>
      <c r="G13926" s="1" t="str">
        <f t="shared" ref="G13926:M13926" si="3188">"X"</f>
        <v>X</v>
      </c>
      <c r="H13926" s="1" t="str">
        <f t="shared" si="3188"/>
        <v>X</v>
      </c>
      <c r="I13926" s="1" t="str">
        <f t="shared" si="3188"/>
        <v>X</v>
      </c>
      <c r="J13926" s="1" t="str">
        <f t="shared" si="3188"/>
        <v>X</v>
      </c>
      <c r="K13926" s="1" t="str">
        <f t="shared" si="3188"/>
        <v>X</v>
      </c>
      <c r="L13926" s="1" t="str">
        <f t="shared" si="3188"/>
        <v>X</v>
      </c>
      <c r="M13926" s="1" t="str">
        <f t="shared" si="3188"/>
        <v>X</v>
      </c>
      <c r="N13926" t="s">
        <v>27</v>
      </c>
    </row>
    <row r="13927" spans="1:14" x14ac:dyDescent="0.25">
      <c r="A13927" t="s">
        <v>45</v>
      </c>
      <c r="B13927" t="s">
        <v>15</v>
      </c>
      <c r="C13927" t="s">
        <v>38</v>
      </c>
      <c r="D13927" t="s">
        <v>32</v>
      </c>
      <c r="E13927" t="s">
        <v>15</v>
      </c>
      <c r="F13927" t="s">
        <v>15</v>
      </c>
      <c r="G13927" s="1">
        <f>VALUE(12331.39)</f>
        <v>12331.39</v>
      </c>
      <c r="H13927" s="1">
        <f>VALUE(11270.09)</f>
        <v>11270.09</v>
      </c>
      <c r="I13927" s="1">
        <f>VALUE(3144)</f>
        <v>3144</v>
      </c>
      <c r="J13927" s="1">
        <f>VALUE(3774)</f>
        <v>3774</v>
      </c>
      <c r="K13927" s="1">
        <f>VALUE(4901)</f>
        <v>4901</v>
      </c>
      <c r="L13927" s="1">
        <f>VALUE(6057)</f>
        <v>6057</v>
      </c>
      <c r="M13927" s="1">
        <f>VALUE(7790)</f>
        <v>7790</v>
      </c>
      <c r="N13927" t="s">
        <v>16</v>
      </c>
    </row>
    <row r="13928" spans="1:14" x14ac:dyDescent="0.25">
      <c r="A13928" t="s">
        <v>45</v>
      </c>
      <c r="B13928" t="s">
        <v>15</v>
      </c>
      <c r="C13928" t="s">
        <v>38</v>
      </c>
      <c r="D13928" t="s">
        <v>32</v>
      </c>
      <c r="E13928" t="s">
        <v>15</v>
      </c>
      <c r="F13928" t="s">
        <v>17</v>
      </c>
      <c r="G13928" s="2">
        <f>VALUE(1176.99)</f>
        <v>1176.99</v>
      </c>
      <c r="H13928" s="3">
        <f>VALUE(1093.59)</f>
        <v>1093.5899999999999</v>
      </c>
      <c r="I13928" s="4">
        <f>VALUE(4293)</f>
        <v>4293</v>
      </c>
      <c r="J13928" s="1">
        <f>VALUE(5414)</f>
        <v>5414</v>
      </c>
      <c r="K13928" s="1">
        <f>VALUE(7222)</f>
        <v>7222</v>
      </c>
      <c r="L13928" s="1">
        <f>VALUE(10871)</f>
        <v>10871</v>
      </c>
      <c r="M13928" s="1">
        <f>VALUE(18842)</f>
        <v>18842</v>
      </c>
      <c r="N13928" t="s">
        <v>25</v>
      </c>
    </row>
    <row r="13929" spans="1:14" x14ac:dyDescent="0.25">
      <c r="A13929" t="s">
        <v>45</v>
      </c>
      <c r="B13929" t="s">
        <v>15</v>
      </c>
      <c r="C13929" t="s">
        <v>38</v>
      </c>
      <c r="D13929" t="s">
        <v>32</v>
      </c>
      <c r="E13929" t="s">
        <v>15</v>
      </c>
      <c r="F13929" t="s">
        <v>18</v>
      </c>
      <c r="G13929" s="2">
        <f>VALUE(874.29)</f>
        <v>874.29</v>
      </c>
      <c r="H13929" s="3">
        <f>VALUE(844.27)</f>
        <v>844.27</v>
      </c>
      <c r="I13929" s="1">
        <f>VALUE(4585)</f>
        <v>4585</v>
      </c>
      <c r="J13929" s="1">
        <f>VALUE(5308)</f>
        <v>5308</v>
      </c>
      <c r="K13929" s="1">
        <f>VALUE(5691)</f>
        <v>5691</v>
      </c>
      <c r="L13929" s="1">
        <f>VALUE(7638)</f>
        <v>7638</v>
      </c>
      <c r="M13929" s="1">
        <f>VALUE(9830)</f>
        <v>9830</v>
      </c>
      <c r="N13929" t="s">
        <v>25</v>
      </c>
    </row>
    <row r="13930" spans="1:14" x14ac:dyDescent="0.25">
      <c r="A13930" t="s">
        <v>45</v>
      </c>
      <c r="B13930" t="s">
        <v>15</v>
      </c>
      <c r="C13930" t="s">
        <v>38</v>
      </c>
      <c r="D13930" t="s">
        <v>32</v>
      </c>
      <c r="E13930" t="s">
        <v>15</v>
      </c>
      <c r="F13930" t="s">
        <v>19</v>
      </c>
      <c r="G13930" s="2">
        <f>VALUE(1322.06)</f>
        <v>1322.06</v>
      </c>
      <c r="H13930" s="3">
        <f>VALUE(1249.55)</f>
        <v>1249.55</v>
      </c>
      <c r="I13930" s="1">
        <f>VALUE(3738)</f>
        <v>3738</v>
      </c>
      <c r="J13930" s="1">
        <f>VALUE(4383)</f>
        <v>4383</v>
      </c>
      <c r="K13930" s="1">
        <f>VALUE(5261)</f>
        <v>5261</v>
      </c>
      <c r="L13930" s="1">
        <f>VALUE(6383)</f>
        <v>6383</v>
      </c>
      <c r="M13930" s="1">
        <f>VALUE(7756)</f>
        <v>7756</v>
      </c>
      <c r="N13930" t="s">
        <v>25</v>
      </c>
    </row>
    <row r="13931" spans="1:14" x14ac:dyDescent="0.25">
      <c r="A13931" t="s">
        <v>45</v>
      </c>
      <c r="B13931" t="s">
        <v>15</v>
      </c>
      <c r="C13931" t="s">
        <v>38</v>
      </c>
      <c r="D13931" t="s">
        <v>32</v>
      </c>
      <c r="E13931" t="s">
        <v>15</v>
      </c>
      <c r="F13931" t="s">
        <v>20</v>
      </c>
      <c r="G13931" s="1">
        <f>VALUE(8958.05)</f>
        <v>8958.0499999999993</v>
      </c>
      <c r="H13931" s="1">
        <f>VALUE(8082.68)</f>
        <v>8082.68</v>
      </c>
      <c r="I13931" s="1">
        <f>VALUE(3001)</f>
        <v>3001</v>
      </c>
      <c r="J13931" s="1">
        <f>VALUE(3545)</f>
        <v>3545</v>
      </c>
      <c r="K13931" s="1">
        <f>VALUE(4452)</f>
        <v>4452</v>
      </c>
      <c r="L13931" s="1">
        <f>VALUE(5633)</f>
        <v>5633</v>
      </c>
      <c r="M13931" s="1">
        <f>VALUE(6751)</f>
        <v>6751</v>
      </c>
      <c r="N13931" t="s">
        <v>16</v>
      </c>
    </row>
    <row r="13932" spans="1:14" x14ac:dyDescent="0.25">
      <c r="A13932" t="s">
        <v>45</v>
      </c>
      <c r="B13932" t="s">
        <v>15</v>
      </c>
      <c r="C13932" t="s">
        <v>38</v>
      </c>
      <c r="D13932" t="s">
        <v>32</v>
      </c>
      <c r="E13932" t="s">
        <v>21</v>
      </c>
      <c r="F13932" t="s">
        <v>15</v>
      </c>
      <c r="G13932" s="2">
        <f>VALUE(1870)</f>
        <v>1870</v>
      </c>
      <c r="H13932" s="3">
        <f>VALUE(1650.14)</f>
        <v>1650.14</v>
      </c>
      <c r="I13932" s="1">
        <f>VALUE(3984)</f>
        <v>3984</v>
      </c>
      <c r="J13932" s="1">
        <f>VALUE(5241)</f>
        <v>5241</v>
      </c>
      <c r="K13932" s="1">
        <f>VALUE(6910)</f>
        <v>6910</v>
      </c>
      <c r="L13932" s="1">
        <f>VALUE(9569)</f>
        <v>9569</v>
      </c>
      <c r="M13932" s="8">
        <f>VALUE(14389)</f>
        <v>14389</v>
      </c>
      <c r="N13932" t="s">
        <v>25</v>
      </c>
    </row>
    <row r="13933" spans="1:14" x14ac:dyDescent="0.25">
      <c r="A13933" t="s">
        <v>45</v>
      </c>
      <c r="B13933" t="s">
        <v>15</v>
      </c>
      <c r="C13933" t="s">
        <v>38</v>
      </c>
      <c r="D13933" t="s">
        <v>32</v>
      </c>
      <c r="E13933" t="s">
        <v>21</v>
      </c>
      <c r="F13933" t="s">
        <v>17</v>
      </c>
      <c r="G13933" s="2">
        <f>VALUE(607.15)</f>
        <v>607.15</v>
      </c>
      <c r="H13933" s="3">
        <f>VALUE(539)</f>
        <v>539</v>
      </c>
      <c r="I13933" s="4">
        <f>VALUE(4875)</f>
        <v>4875</v>
      </c>
      <c r="J13933" s="5">
        <f>VALUE(5778)</f>
        <v>5778</v>
      </c>
      <c r="K13933" s="6">
        <f>VALUE(8852)</f>
        <v>8852</v>
      </c>
      <c r="L13933" s="7">
        <f>VALUE(14804)</f>
        <v>14804</v>
      </c>
      <c r="M13933" s="8">
        <f>VALUE(21125)</f>
        <v>21125</v>
      </c>
      <c r="N13933" t="s">
        <v>24</v>
      </c>
    </row>
    <row r="13934" spans="1:14" x14ac:dyDescent="0.25">
      <c r="A13934" t="s">
        <v>45</v>
      </c>
      <c r="B13934" t="s">
        <v>15</v>
      </c>
      <c r="C13934" t="s">
        <v>38</v>
      </c>
      <c r="D13934" t="s">
        <v>32</v>
      </c>
      <c r="E13934" t="s">
        <v>21</v>
      </c>
      <c r="F13934" t="s">
        <v>18</v>
      </c>
      <c r="G13934" s="2">
        <f>VALUE(217.51)</f>
        <v>217.51</v>
      </c>
      <c r="H13934" s="3">
        <f>VALUE(210.51)</f>
        <v>210.51</v>
      </c>
      <c r="I13934" s="1">
        <f>VALUE(5392)</f>
        <v>5392</v>
      </c>
      <c r="J13934" s="1">
        <f>VALUE(5984)</f>
        <v>5984</v>
      </c>
      <c r="K13934" s="6">
        <f>VALUE(7050)</f>
        <v>7050</v>
      </c>
      <c r="L13934" s="7">
        <f>VALUE(9481)</f>
        <v>9481</v>
      </c>
      <c r="M13934" s="8">
        <f>VALUE(14048)</f>
        <v>14048</v>
      </c>
      <c r="N13934" t="s">
        <v>25</v>
      </c>
    </row>
    <row r="13935" spans="1:14" x14ac:dyDescent="0.25">
      <c r="A13935" t="s">
        <v>45</v>
      </c>
      <c r="B13935" t="s">
        <v>15</v>
      </c>
      <c r="C13935" t="s">
        <v>38</v>
      </c>
      <c r="D13935" t="s">
        <v>32</v>
      </c>
      <c r="E13935" t="s">
        <v>21</v>
      </c>
      <c r="F13935" t="s">
        <v>19</v>
      </c>
      <c r="G13935" s="2">
        <f>VALUE(254.68)</f>
        <v>254.68</v>
      </c>
      <c r="H13935" s="3">
        <f>VALUE(228.82)</f>
        <v>228.82</v>
      </c>
      <c r="I13935" s="1">
        <f>VALUE(4230)</f>
        <v>4230</v>
      </c>
      <c r="J13935" s="1">
        <f>VALUE(4664)</f>
        <v>4664</v>
      </c>
      <c r="K13935" s="6">
        <f>VALUE(6224)</f>
        <v>6224</v>
      </c>
      <c r="L13935" s="1">
        <f>VALUE(7884)</f>
        <v>7884</v>
      </c>
      <c r="M13935" s="8">
        <f>VALUE(9333)</f>
        <v>9333</v>
      </c>
      <c r="N13935" t="s">
        <v>25</v>
      </c>
    </row>
    <row r="13936" spans="1:14" x14ac:dyDescent="0.25">
      <c r="A13936" t="s">
        <v>45</v>
      </c>
      <c r="B13936" t="s">
        <v>15</v>
      </c>
      <c r="C13936" t="s">
        <v>38</v>
      </c>
      <c r="D13936" t="s">
        <v>32</v>
      </c>
      <c r="E13936" t="s">
        <v>21</v>
      </c>
      <c r="F13936" t="s">
        <v>20</v>
      </c>
      <c r="G13936" s="2">
        <f>VALUE(790.66)</f>
        <v>790.66</v>
      </c>
      <c r="H13936" s="3">
        <f>VALUE(671.81)</f>
        <v>671.81</v>
      </c>
      <c r="I13936" s="1">
        <f>VALUE(3467)</f>
        <v>3467</v>
      </c>
      <c r="J13936" s="5">
        <f>VALUE(4314)</f>
        <v>4314</v>
      </c>
      <c r="K13936" s="1">
        <f>VALUE(5880)</f>
        <v>5880</v>
      </c>
      <c r="L13936" s="1">
        <f>VALUE(7894)</f>
        <v>7894</v>
      </c>
      <c r="M13936" s="8">
        <f>VALUE(9804)</f>
        <v>9804</v>
      </c>
      <c r="N13936" t="s">
        <v>25</v>
      </c>
    </row>
    <row r="13937" spans="1:14" x14ac:dyDescent="0.25">
      <c r="A13937" t="s">
        <v>45</v>
      </c>
      <c r="B13937" t="s">
        <v>15</v>
      </c>
      <c r="C13937" t="s">
        <v>38</v>
      </c>
      <c r="D13937" t="s">
        <v>32</v>
      </c>
      <c r="E13937" t="s">
        <v>22</v>
      </c>
      <c r="F13937" t="s">
        <v>15</v>
      </c>
      <c r="G13937" s="1">
        <f>VALUE(3425.01)</f>
        <v>3425.01</v>
      </c>
      <c r="H13937" s="1">
        <f>VALUE(3200.51)</f>
        <v>3200.51</v>
      </c>
      <c r="I13937" s="1">
        <f>VALUE(3530)</f>
        <v>3530</v>
      </c>
      <c r="J13937" s="1">
        <f>VALUE(4333)</f>
        <v>4333</v>
      </c>
      <c r="K13937" s="1">
        <f>VALUE(5384)</f>
        <v>5384</v>
      </c>
      <c r="L13937" s="1">
        <f>VALUE(6481)</f>
        <v>6481</v>
      </c>
      <c r="M13937" s="1">
        <f>VALUE(7956)</f>
        <v>7956</v>
      </c>
      <c r="N13937" t="s">
        <v>16</v>
      </c>
    </row>
    <row r="13938" spans="1:14" x14ac:dyDescent="0.25">
      <c r="A13938" t="s">
        <v>45</v>
      </c>
      <c r="B13938" t="s">
        <v>15</v>
      </c>
      <c r="C13938" t="s">
        <v>38</v>
      </c>
      <c r="D13938" t="s">
        <v>32</v>
      </c>
      <c r="E13938" t="s">
        <v>22</v>
      </c>
      <c r="F13938" t="s">
        <v>17</v>
      </c>
      <c r="G13938" s="2">
        <f>VALUE(376.67)</f>
        <v>376.67</v>
      </c>
      <c r="H13938" s="3">
        <f>VALUE(371.49)</f>
        <v>371.49</v>
      </c>
      <c r="I13938" s="4">
        <f>VALUE(4293)</f>
        <v>4293</v>
      </c>
      <c r="J13938" s="1">
        <f>VALUE(5258)</f>
        <v>5258</v>
      </c>
      <c r="K13938" s="1">
        <f>VALUE(7120)</f>
        <v>7120</v>
      </c>
      <c r="L13938" s="7">
        <f>VALUE(8924)</f>
        <v>8924</v>
      </c>
      <c r="M13938" s="1">
        <f>VALUE(12083)</f>
        <v>12083</v>
      </c>
      <c r="N13938" t="s">
        <v>25</v>
      </c>
    </row>
    <row r="13939" spans="1:14" x14ac:dyDescent="0.25">
      <c r="A13939" t="s">
        <v>45</v>
      </c>
      <c r="B13939" t="s">
        <v>15</v>
      </c>
      <c r="C13939" t="s">
        <v>38</v>
      </c>
      <c r="D13939" t="s">
        <v>32</v>
      </c>
      <c r="E13939" t="s">
        <v>22</v>
      </c>
      <c r="F13939" t="s">
        <v>18</v>
      </c>
      <c r="G13939" s="2">
        <f>VALUE(315.93)</f>
        <v>315.93</v>
      </c>
      <c r="H13939" s="3">
        <f>VALUE(297.21)</f>
        <v>297.20999999999998</v>
      </c>
      <c r="I13939" s="1">
        <f>VALUE(4635)</f>
        <v>4635</v>
      </c>
      <c r="J13939" s="1">
        <f>VALUE(5400)</f>
        <v>5400</v>
      </c>
      <c r="K13939" s="1">
        <f>VALUE(6338)</f>
        <v>6338</v>
      </c>
      <c r="L13939" s="1">
        <f>VALUE(7667)</f>
        <v>7667</v>
      </c>
      <c r="M13939" s="1">
        <f>VALUE(8751)</f>
        <v>8751</v>
      </c>
      <c r="N13939" t="s">
        <v>25</v>
      </c>
    </row>
    <row r="13940" spans="1:14" x14ac:dyDescent="0.25">
      <c r="A13940" t="s">
        <v>45</v>
      </c>
      <c r="B13940" t="s">
        <v>15</v>
      </c>
      <c r="C13940" t="s">
        <v>38</v>
      </c>
      <c r="D13940" t="s">
        <v>32</v>
      </c>
      <c r="E13940" t="s">
        <v>22</v>
      </c>
      <c r="F13940" t="s">
        <v>19</v>
      </c>
      <c r="G13940" s="2">
        <f>VALUE(612.44)</f>
        <v>612.44000000000005</v>
      </c>
      <c r="H13940" s="3">
        <f>VALUE(594.86)</f>
        <v>594.86</v>
      </c>
      <c r="I13940" s="1">
        <f>VALUE(3755)</f>
        <v>3755</v>
      </c>
      <c r="J13940" s="1">
        <f>VALUE(4820)</f>
        <v>4820</v>
      </c>
      <c r="K13940" s="1">
        <f>VALUE(5602)</f>
        <v>5602</v>
      </c>
      <c r="L13940" s="1">
        <f>VALUE(6690)</f>
        <v>6690</v>
      </c>
      <c r="M13940" s="1">
        <f>VALUE(7752)</f>
        <v>7752</v>
      </c>
      <c r="N13940" t="s">
        <v>25</v>
      </c>
    </row>
    <row r="13941" spans="1:14" x14ac:dyDescent="0.25">
      <c r="A13941" t="s">
        <v>45</v>
      </c>
      <c r="B13941" t="s">
        <v>15</v>
      </c>
      <c r="C13941" t="s">
        <v>38</v>
      </c>
      <c r="D13941" t="s">
        <v>32</v>
      </c>
      <c r="E13941" t="s">
        <v>22</v>
      </c>
      <c r="F13941" t="s">
        <v>20</v>
      </c>
      <c r="G13941" s="2">
        <f>VALUE(2119.97)</f>
        <v>2119.9699999999998</v>
      </c>
      <c r="H13941" s="1">
        <f>VALUE(1936.95)</f>
        <v>1936.95</v>
      </c>
      <c r="I13941" s="1">
        <f>VALUE(3250)</f>
        <v>3250</v>
      </c>
      <c r="J13941" s="1">
        <f>VALUE(4053)</f>
        <v>4053</v>
      </c>
      <c r="K13941" s="1">
        <f>VALUE(4962)</f>
        <v>4962</v>
      </c>
      <c r="L13941" s="1">
        <f>VALUE(5916)</f>
        <v>5916</v>
      </c>
      <c r="M13941" s="1">
        <f>VALUE(7036)</f>
        <v>7036</v>
      </c>
      <c r="N13941" t="s">
        <v>25</v>
      </c>
    </row>
    <row r="13942" spans="1:14" x14ac:dyDescent="0.25">
      <c r="A13942" t="s">
        <v>45</v>
      </c>
      <c r="B13942" t="s">
        <v>15</v>
      </c>
      <c r="C13942" t="s">
        <v>38</v>
      </c>
      <c r="D13942" t="s">
        <v>32</v>
      </c>
      <c r="E13942" t="s">
        <v>23</v>
      </c>
      <c r="F13942" t="s">
        <v>15</v>
      </c>
      <c r="G13942" s="1">
        <f>VALUE(6922.4)</f>
        <v>6922.4</v>
      </c>
      <c r="H13942" s="1">
        <f>VALUE(6313.07)</f>
        <v>6313.07</v>
      </c>
      <c r="I13942" s="1">
        <f>VALUE(3000)</f>
        <v>3000</v>
      </c>
      <c r="J13942" s="1">
        <f>VALUE(3509)</f>
        <v>3509</v>
      </c>
      <c r="K13942" s="1">
        <f>VALUE(4320)</f>
        <v>4320</v>
      </c>
      <c r="L13942" s="1">
        <f>VALUE(5327)</f>
        <v>5327</v>
      </c>
      <c r="M13942" s="1">
        <f>VALUE(6305)</f>
        <v>6305</v>
      </c>
      <c r="N13942" t="s">
        <v>16</v>
      </c>
    </row>
    <row r="13943" spans="1:14" x14ac:dyDescent="0.25">
      <c r="A13943" t="s">
        <v>45</v>
      </c>
      <c r="B13943" t="s">
        <v>15</v>
      </c>
      <c r="C13943" t="s">
        <v>38</v>
      </c>
      <c r="D13943" t="s">
        <v>32</v>
      </c>
      <c r="E13943" t="s">
        <v>23</v>
      </c>
      <c r="F13943" t="s">
        <v>17</v>
      </c>
      <c r="G13943" s="1" t="str">
        <f t="shared" ref="G13943:M13944" si="3189">"X"</f>
        <v>X</v>
      </c>
      <c r="H13943" s="1" t="str">
        <f t="shared" si="3189"/>
        <v>X</v>
      </c>
      <c r="I13943" s="1" t="str">
        <f t="shared" si="3189"/>
        <v>X</v>
      </c>
      <c r="J13943" s="1" t="str">
        <f t="shared" si="3189"/>
        <v>X</v>
      </c>
      <c r="K13943" s="1" t="str">
        <f t="shared" si="3189"/>
        <v>X</v>
      </c>
      <c r="L13943" s="1" t="str">
        <f t="shared" si="3189"/>
        <v>X</v>
      </c>
      <c r="M13943" s="1" t="str">
        <f t="shared" si="3189"/>
        <v>X</v>
      </c>
      <c r="N13943" t="s">
        <v>27</v>
      </c>
    </row>
    <row r="13944" spans="1:14" x14ac:dyDescent="0.25">
      <c r="A13944" t="s">
        <v>45</v>
      </c>
      <c r="B13944" t="s">
        <v>15</v>
      </c>
      <c r="C13944" t="s">
        <v>38</v>
      </c>
      <c r="D13944" t="s">
        <v>32</v>
      </c>
      <c r="E13944" t="s">
        <v>23</v>
      </c>
      <c r="F13944" t="s">
        <v>18</v>
      </c>
      <c r="G13944" s="1" t="str">
        <f t="shared" si="3189"/>
        <v>X</v>
      </c>
      <c r="H13944" s="1" t="str">
        <f t="shared" si="3189"/>
        <v>X</v>
      </c>
      <c r="I13944" s="1" t="str">
        <f t="shared" si="3189"/>
        <v>X</v>
      </c>
      <c r="J13944" s="1" t="str">
        <f t="shared" si="3189"/>
        <v>X</v>
      </c>
      <c r="K13944" s="1" t="str">
        <f t="shared" si="3189"/>
        <v>X</v>
      </c>
      <c r="L13944" s="1" t="str">
        <f t="shared" si="3189"/>
        <v>X</v>
      </c>
      <c r="M13944" s="1" t="str">
        <f t="shared" si="3189"/>
        <v>X</v>
      </c>
      <c r="N13944" t="s">
        <v>27</v>
      </c>
    </row>
    <row r="13945" spans="1:14" x14ac:dyDescent="0.25">
      <c r="A13945" t="s">
        <v>45</v>
      </c>
      <c r="B13945" t="s">
        <v>15</v>
      </c>
      <c r="C13945" t="s">
        <v>38</v>
      </c>
      <c r="D13945" t="s">
        <v>32</v>
      </c>
      <c r="E13945" t="s">
        <v>23</v>
      </c>
      <c r="F13945" t="s">
        <v>19</v>
      </c>
      <c r="G13945" s="2">
        <f>VALUE(446.15)</f>
        <v>446.15</v>
      </c>
      <c r="H13945" s="3">
        <f>VALUE(417.08)</f>
        <v>417.08</v>
      </c>
      <c r="I13945" s="4">
        <f>VALUE(3509)</f>
        <v>3509</v>
      </c>
      <c r="J13945" s="5">
        <f>VALUE(4163)</f>
        <v>4163</v>
      </c>
      <c r="K13945" s="1">
        <f>VALUE(4664)</f>
        <v>4664</v>
      </c>
      <c r="L13945" s="1">
        <f>VALUE(5330)</f>
        <v>5330</v>
      </c>
      <c r="M13945" s="1">
        <f>VALUE(6071)</f>
        <v>6071</v>
      </c>
      <c r="N13945" t="s">
        <v>25</v>
      </c>
    </row>
    <row r="13946" spans="1:14" x14ac:dyDescent="0.25">
      <c r="A13946" t="s">
        <v>45</v>
      </c>
      <c r="B13946" t="s">
        <v>15</v>
      </c>
      <c r="C13946" t="s">
        <v>38</v>
      </c>
      <c r="D13946" t="s">
        <v>32</v>
      </c>
      <c r="E13946" t="s">
        <v>23</v>
      </c>
      <c r="F13946" t="s">
        <v>20</v>
      </c>
      <c r="G13946" s="1">
        <f>VALUE(5950.76)</f>
        <v>5950.76</v>
      </c>
      <c r="H13946" s="1">
        <f>VALUE(5384.93)</f>
        <v>5384.93</v>
      </c>
      <c r="I13946" s="1">
        <f>VALUE(2976)</f>
        <v>2976</v>
      </c>
      <c r="J13946" s="1">
        <f>VALUE(3401)</f>
        <v>3401</v>
      </c>
      <c r="K13946" s="1">
        <f>VALUE(4160)</f>
        <v>4160</v>
      </c>
      <c r="L13946" s="1">
        <f>VALUE(5238)</f>
        <v>5238</v>
      </c>
      <c r="M13946" s="1">
        <f>VALUE(6199)</f>
        <v>6199</v>
      </c>
      <c r="N13946" t="s">
        <v>16</v>
      </c>
    </row>
    <row r="13947" spans="1:14" x14ac:dyDescent="0.25">
      <c r="A13947" t="s">
        <v>45</v>
      </c>
      <c r="B13947" t="s">
        <v>15</v>
      </c>
      <c r="C13947" t="s">
        <v>38</v>
      </c>
      <c r="D13947" t="s">
        <v>32</v>
      </c>
      <c r="E13947" t="s">
        <v>26</v>
      </c>
      <c r="F13947" t="s">
        <v>15</v>
      </c>
      <c r="G13947" s="1" t="str">
        <f t="shared" ref="G13947:M13947" si="3190">"X"</f>
        <v>X</v>
      </c>
      <c r="H13947" s="1" t="str">
        <f t="shared" si="3190"/>
        <v>X</v>
      </c>
      <c r="I13947" s="1" t="str">
        <f t="shared" si="3190"/>
        <v>X</v>
      </c>
      <c r="J13947" s="1" t="str">
        <f t="shared" si="3190"/>
        <v>X</v>
      </c>
      <c r="K13947" s="1" t="str">
        <f t="shared" si="3190"/>
        <v>X</v>
      </c>
      <c r="L13947" s="1" t="str">
        <f t="shared" si="3190"/>
        <v>X</v>
      </c>
      <c r="M13947" s="1" t="str">
        <f t="shared" si="3190"/>
        <v>X</v>
      </c>
      <c r="N13947" t="s">
        <v>27</v>
      </c>
    </row>
    <row r="13948" spans="1:14" x14ac:dyDescent="0.25">
      <c r="A13948" t="s">
        <v>45</v>
      </c>
      <c r="B13948" t="s">
        <v>15</v>
      </c>
      <c r="C13948" t="s">
        <v>38</v>
      </c>
      <c r="D13948" t="s">
        <v>32</v>
      </c>
      <c r="E13948" t="s">
        <v>26</v>
      </c>
      <c r="F13948" t="s">
        <v>17</v>
      </c>
      <c r="G13948" s="1" t="str">
        <f t="shared" ref="G13948:M13948" si="3191">"..."</f>
        <v>...</v>
      </c>
      <c r="H13948" s="1" t="str">
        <f t="shared" si="3191"/>
        <v>...</v>
      </c>
      <c r="I13948" s="1" t="str">
        <f t="shared" si="3191"/>
        <v>...</v>
      </c>
      <c r="J13948" s="1" t="str">
        <f t="shared" si="3191"/>
        <v>...</v>
      </c>
      <c r="K13948" s="1" t="str">
        <f t="shared" si="3191"/>
        <v>...</v>
      </c>
      <c r="L13948" s="1" t="str">
        <f t="shared" si="3191"/>
        <v>...</v>
      </c>
      <c r="M13948" s="1" t="str">
        <f t="shared" si="3191"/>
        <v>...</v>
      </c>
      <c r="N13948" t="s">
        <v>30</v>
      </c>
    </row>
    <row r="13949" spans="1:14" x14ac:dyDescent="0.25">
      <c r="A13949" t="s">
        <v>45</v>
      </c>
      <c r="B13949" t="s">
        <v>15</v>
      </c>
      <c r="C13949" t="s">
        <v>38</v>
      </c>
      <c r="D13949" t="s">
        <v>32</v>
      </c>
      <c r="E13949" t="s">
        <v>26</v>
      </c>
      <c r="F13949" t="s">
        <v>18</v>
      </c>
      <c r="G13949" s="1" t="str">
        <f t="shared" ref="G13949:M13951" si="3192">"X"</f>
        <v>X</v>
      </c>
      <c r="H13949" s="1" t="str">
        <f t="shared" si="3192"/>
        <v>X</v>
      </c>
      <c r="I13949" s="1" t="str">
        <f t="shared" si="3192"/>
        <v>X</v>
      </c>
      <c r="J13949" s="1" t="str">
        <f t="shared" si="3192"/>
        <v>X</v>
      </c>
      <c r="K13949" s="1" t="str">
        <f t="shared" si="3192"/>
        <v>X</v>
      </c>
      <c r="L13949" s="1" t="str">
        <f t="shared" si="3192"/>
        <v>X</v>
      </c>
      <c r="M13949" s="1" t="str">
        <f t="shared" si="3192"/>
        <v>X</v>
      </c>
      <c r="N13949" t="s">
        <v>27</v>
      </c>
    </row>
    <row r="13950" spans="1:14" x14ac:dyDescent="0.25">
      <c r="A13950" t="s">
        <v>45</v>
      </c>
      <c r="B13950" t="s">
        <v>15</v>
      </c>
      <c r="C13950" t="s">
        <v>38</v>
      </c>
      <c r="D13950" t="s">
        <v>32</v>
      </c>
      <c r="E13950" t="s">
        <v>26</v>
      </c>
      <c r="F13950" t="s">
        <v>19</v>
      </c>
      <c r="G13950" s="1" t="str">
        <f t="shared" si="3192"/>
        <v>X</v>
      </c>
      <c r="H13950" s="1" t="str">
        <f t="shared" si="3192"/>
        <v>X</v>
      </c>
      <c r="I13950" s="1" t="str">
        <f t="shared" si="3192"/>
        <v>X</v>
      </c>
      <c r="J13950" s="1" t="str">
        <f t="shared" si="3192"/>
        <v>X</v>
      </c>
      <c r="K13950" s="1" t="str">
        <f t="shared" si="3192"/>
        <v>X</v>
      </c>
      <c r="L13950" s="1" t="str">
        <f t="shared" si="3192"/>
        <v>X</v>
      </c>
      <c r="M13950" s="1" t="str">
        <f t="shared" si="3192"/>
        <v>X</v>
      </c>
      <c r="N13950" t="s">
        <v>27</v>
      </c>
    </row>
    <row r="13951" spans="1:14" x14ac:dyDescent="0.25">
      <c r="A13951" t="s">
        <v>45</v>
      </c>
      <c r="B13951" t="s">
        <v>15</v>
      </c>
      <c r="C13951" t="s">
        <v>38</v>
      </c>
      <c r="D13951" t="s">
        <v>32</v>
      </c>
      <c r="E13951" t="s">
        <v>26</v>
      </c>
      <c r="F13951" t="s">
        <v>20</v>
      </c>
      <c r="G13951" s="1" t="str">
        <f t="shared" si="3192"/>
        <v>X</v>
      </c>
      <c r="H13951" s="1" t="str">
        <f t="shared" si="3192"/>
        <v>X</v>
      </c>
      <c r="I13951" s="1" t="str">
        <f t="shared" si="3192"/>
        <v>X</v>
      </c>
      <c r="J13951" s="1" t="str">
        <f t="shared" si="3192"/>
        <v>X</v>
      </c>
      <c r="K13951" s="1" t="str">
        <f t="shared" si="3192"/>
        <v>X</v>
      </c>
      <c r="L13951" s="1" t="str">
        <f t="shared" si="3192"/>
        <v>X</v>
      </c>
      <c r="M13951" s="1" t="str">
        <f t="shared" si="3192"/>
        <v>X</v>
      </c>
      <c r="N13951" t="s">
        <v>27</v>
      </c>
    </row>
    <row r="13952" spans="1:14" x14ac:dyDescent="0.25">
      <c r="A13952" t="s">
        <v>45</v>
      </c>
      <c r="B13952" t="s">
        <v>15</v>
      </c>
      <c r="C13952" t="s">
        <v>38</v>
      </c>
      <c r="D13952" t="s">
        <v>33</v>
      </c>
      <c r="E13952" t="s">
        <v>15</v>
      </c>
      <c r="F13952" t="s">
        <v>15</v>
      </c>
      <c r="G13952" s="2">
        <f>VALUE(133.26)</f>
        <v>133.26</v>
      </c>
      <c r="H13952" s="3">
        <f>VALUE(120.45)</f>
        <v>120.45</v>
      </c>
      <c r="I13952" s="1">
        <f>VALUE(3544)</f>
        <v>3544</v>
      </c>
      <c r="J13952" s="5">
        <f>VALUE(4754)</f>
        <v>4754</v>
      </c>
      <c r="K13952" s="1">
        <f>VALUE(5949)</f>
        <v>5949</v>
      </c>
      <c r="L13952" s="7">
        <f>VALUE(7534)</f>
        <v>7534</v>
      </c>
      <c r="M13952" s="8">
        <f>VALUE(9500)</f>
        <v>9500</v>
      </c>
      <c r="N13952" t="s">
        <v>25</v>
      </c>
    </row>
    <row r="13953" spans="1:14" x14ac:dyDescent="0.25">
      <c r="A13953" t="s">
        <v>45</v>
      </c>
      <c r="B13953" t="s">
        <v>15</v>
      </c>
      <c r="C13953" t="s">
        <v>38</v>
      </c>
      <c r="D13953" t="s">
        <v>33</v>
      </c>
      <c r="E13953" t="s">
        <v>15</v>
      </c>
      <c r="F13953" t="s">
        <v>17</v>
      </c>
      <c r="G13953" s="1" t="str">
        <f t="shared" ref="G13953:M13963" si="3193">"X"</f>
        <v>X</v>
      </c>
      <c r="H13953" s="1" t="str">
        <f t="shared" si="3193"/>
        <v>X</v>
      </c>
      <c r="I13953" s="1" t="str">
        <f t="shared" si="3193"/>
        <v>X</v>
      </c>
      <c r="J13953" s="1" t="str">
        <f t="shared" si="3193"/>
        <v>X</v>
      </c>
      <c r="K13953" s="1" t="str">
        <f t="shared" si="3193"/>
        <v>X</v>
      </c>
      <c r="L13953" s="1" t="str">
        <f t="shared" si="3193"/>
        <v>X</v>
      </c>
      <c r="M13953" s="1" t="str">
        <f t="shared" si="3193"/>
        <v>X</v>
      </c>
      <c r="N13953" t="s">
        <v>27</v>
      </c>
    </row>
    <row r="13954" spans="1:14" x14ac:dyDescent="0.25">
      <c r="A13954" t="s">
        <v>45</v>
      </c>
      <c r="B13954" t="s">
        <v>15</v>
      </c>
      <c r="C13954" t="s">
        <v>38</v>
      </c>
      <c r="D13954" t="s">
        <v>33</v>
      </c>
      <c r="E13954" t="s">
        <v>15</v>
      </c>
      <c r="F13954" t="s">
        <v>18</v>
      </c>
      <c r="G13954" s="1" t="str">
        <f t="shared" si="3193"/>
        <v>X</v>
      </c>
      <c r="H13954" s="1" t="str">
        <f t="shared" si="3193"/>
        <v>X</v>
      </c>
      <c r="I13954" s="1" t="str">
        <f t="shared" si="3193"/>
        <v>X</v>
      </c>
      <c r="J13954" s="1" t="str">
        <f t="shared" si="3193"/>
        <v>X</v>
      </c>
      <c r="K13954" s="1" t="str">
        <f t="shared" si="3193"/>
        <v>X</v>
      </c>
      <c r="L13954" s="1" t="str">
        <f t="shared" si="3193"/>
        <v>X</v>
      </c>
      <c r="M13954" s="1" t="str">
        <f t="shared" si="3193"/>
        <v>X</v>
      </c>
      <c r="N13954" t="s">
        <v>27</v>
      </c>
    </row>
    <row r="13955" spans="1:14" x14ac:dyDescent="0.25">
      <c r="A13955" t="s">
        <v>45</v>
      </c>
      <c r="B13955" t="s">
        <v>15</v>
      </c>
      <c r="C13955" t="s">
        <v>38</v>
      </c>
      <c r="D13955" t="s">
        <v>33</v>
      </c>
      <c r="E13955" t="s">
        <v>15</v>
      </c>
      <c r="F13955" t="s">
        <v>19</v>
      </c>
      <c r="G13955" s="1" t="str">
        <f t="shared" si="3193"/>
        <v>X</v>
      </c>
      <c r="H13955" s="1" t="str">
        <f t="shared" si="3193"/>
        <v>X</v>
      </c>
      <c r="I13955" s="1" t="str">
        <f t="shared" si="3193"/>
        <v>X</v>
      </c>
      <c r="J13955" s="1" t="str">
        <f t="shared" si="3193"/>
        <v>X</v>
      </c>
      <c r="K13955" s="1" t="str">
        <f t="shared" si="3193"/>
        <v>X</v>
      </c>
      <c r="L13955" s="1" t="str">
        <f t="shared" si="3193"/>
        <v>X</v>
      </c>
      <c r="M13955" s="1" t="str">
        <f t="shared" si="3193"/>
        <v>X</v>
      </c>
      <c r="N13955" t="s">
        <v>27</v>
      </c>
    </row>
    <row r="13956" spans="1:14" x14ac:dyDescent="0.25">
      <c r="A13956" t="s">
        <v>45</v>
      </c>
      <c r="B13956" t="s">
        <v>15</v>
      </c>
      <c r="C13956" t="s">
        <v>38</v>
      </c>
      <c r="D13956" t="s">
        <v>33</v>
      </c>
      <c r="E13956" t="s">
        <v>15</v>
      </c>
      <c r="F13956" t="s">
        <v>20</v>
      </c>
      <c r="G13956" s="1" t="str">
        <f t="shared" si="3193"/>
        <v>X</v>
      </c>
      <c r="H13956" s="1" t="str">
        <f t="shared" si="3193"/>
        <v>X</v>
      </c>
      <c r="I13956" s="1" t="str">
        <f t="shared" si="3193"/>
        <v>X</v>
      </c>
      <c r="J13956" s="1" t="str">
        <f t="shared" si="3193"/>
        <v>X</v>
      </c>
      <c r="K13956" s="1" t="str">
        <f t="shared" si="3193"/>
        <v>X</v>
      </c>
      <c r="L13956" s="1" t="str">
        <f t="shared" si="3193"/>
        <v>X</v>
      </c>
      <c r="M13956" s="1" t="str">
        <f t="shared" si="3193"/>
        <v>X</v>
      </c>
      <c r="N13956" t="s">
        <v>27</v>
      </c>
    </row>
    <row r="13957" spans="1:14" x14ac:dyDescent="0.25">
      <c r="A13957" t="s">
        <v>45</v>
      </c>
      <c r="B13957" t="s">
        <v>15</v>
      </c>
      <c r="C13957" t="s">
        <v>38</v>
      </c>
      <c r="D13957" t="s">
        <v>33</v>
      </c>
      <c r="E13957" t="s">
        <v>21</v>
      </c>
      <c r="F13957" t="s">
        <v>15</v>
      </c>
      <c r="G13957" s="1" t="str">
        <f t="shared" si="3193"/>
        <v>X</v>
      </c>
      <c r="H13957" s="1" t="str">
        <f t="shared" si="3193"/>
        <v>X</v>
      </c>
      <c r="I13957" s="1" t="str">
        <f t="shared" si="3193"/>
        <v>X</v>
      </c>
      <c r="J13957" s="1" t="str">
        <f t="shared" si="3193"/>
        <v>X</v>
      </c>
      <c r="K13957" s="1" t="str">
        <f t="shared" si="3193"/>
        <v>X</v>
      </c>
      <c r="L13957" s="1" t="str">
        <f t="shared" si="3193"/>
        <v>X</v>
      </c>
      <c r="M13957" s="1" t="str">
        <f t="shared" si="3193"/>
        <v>X</v>
      </c>
      <c r="N13957" t="s">
        <v>27</v>
      </c>
    </row>
    <row r="13958" spans="1:14" x14ac:dyDescent="0.25">
      <c r="A13958" t="s">
        <v>45</v>
      </c>
      <c r="B13958" t="s">
        <v>15</v>
      </c>
      <c r="C13958" t="s">
        <v>38</v>
      </c>
      <c r="D13958" t="s">
        <v>33</v>
      </c>
      <c r="E13958" t="s">
        <v>21</v>
      </c>
      <c r="F13958" t="s">
        <v>17</v>
      </c>
      <c r="G13958" s="1" t="str">
        <f t="shared" si="3193"/>
        <v>X</v>
      </c>
      <c r="H13958" s="1" t="str">
        <f t="shared" si="3193"/>
        <v>X</v>
      </c>
      <c r="I13958" s="1" t="str">
        <f t="shared" si="3193"/>
        <v>X</v>
      </c>
      <c r="J13958" s="1" t="str">
        <f t="shared" si="3193"/>
        <v>X</v>
      </c>
      <c r="K13958" s="1" t="str">
        <f t="shared" si="3193"/>
        <v>X</v>
      </c>
      <c r="L13958" s="1" t="str">
        <f t="shared" si="3193"/>
        <v>X</v>
      </c>
      <c r="M13958" s="1" t="str">
        <f t="shared" si="3193"/>
        <v>X</v>
      </c>
      <c r="N13958" t="s">
        <v>27</v>
      </c>
    </row>
    <row r="13959" spans="1:14" x14ac:dyDescent="0.25">
      <c r="A13959" t="s">
        <v>45</v>
      </c>
      <c r="B13959" t="s">
        <v>15</v>
      </c>
      <c r="C13959" t="s">
        <v>38</v>
      </c>
      <c r="D13959" t="s">
        <v>33</v>
      </c>
      <c r="E13959" t="s">
        <v>21</v>
      </c>
      <c r="F13959" t="s">
        <v>18</v>
      </c>
      <c r="G13959" s="1" t="str">
        <f t="shared" si="3193"/>
        <v>X</v>
      </c>
      <c r="H13959" s="1" t="str">
        <f t="shared" si="3193"/>
        <v>X</v>
      </c>
      <c r="I13959" s="1" t="str">
        <f t="shared" si="3193"/>
        <v>X</v>
      </c>
      <c r="J13959" s="1" t="str">
        <f t="shared" si="3193"/>
        <v>X</v>
      </c>
      <c r="K13959" s="1" t="str">
        <f t="shared" si="3193"/>
        <v>X</v>
      </c>
      <c r="L13959" s="1" t="str">
        <f t="shared" si="3193"/>
        <v>X</v>
      </c>
      <c r="M13959" s="1" t="str">
        <f t="shared" si="3193"/>
        <v>X</v>
      </c>
      <c r="N13959" t="s">
        <v>27</v>
      </c>
    </row>
    <row r="13960" spans="1:14" x14ac:dyDescent="0.25">
      <c r="A13960" t="s">
        <v>45</v>
      </c>
      <c r="B13960" t="s">
        <v>15</v>
      </c>
      <c r="C13960" t="s">
        <v>38</v>
      </c>
      <c r="D13960" t="s">
        <v>33</v>
      </c>
      <c r="E13960" t="s">
        <v>21</v>
      </c>
      <c r="F13960" t="s">
        <v>19</v>
      </c>
      <c r="G13960" s="1" t="str">
        <f t="shared" si="3193"/>
        <v>X</v>
      </c>
      <c r="H13960" s="1" t="str">
        <f t="shared" si="3193"/>
        <v>X</v>
      </c>
      <c r="I13960" s="1" t="str">
        <f t="shared" si="3193"/>
        <v>X</v>
      </c>
      <c r="J13960" s="1" t="str">
        <f t="shared" si="3193"/>
        <v>X</v>
      </c>
      <c r="K13960" s="1" t="str">
        <f t="shared" si="3193"/>
        <v>X</v>
      </c>
      <c r="L13960" s="1" t="str">
        <f t="shared" si="3193"/>
        <v>X</v>
      </c>
      <c r="M13960" s="1" t="str">
        <f t="shared" si="3193"/>
        <v>X</v>
      </c>
      <c r="N13960" t="s">
        <v>27</v>
      </c>
    </row>
    <row r="13961" spans="1:14" x14ac:dyDescent="0.25">
      <c r="A13961" t="s">
        <v>45</v>
      </c>
      <c r="B13961" t="s">
        <v>15</v>
      </c>
      <c r="C13961" t="s">
        <v>38</v>
      </c>
      <c r="D13961" t="s">
        <v>33</v>
      </c>
      <c r="E13961" t="s">
        <v>21</v>
      </c>
      <c r="F13961" t="s">
        <v>20</v>
      </c>
      <c r="G13961" s="1" t="str">
        <f t="shared" si="3193"/>
        <v>X</v>
      </c>
      <c r="H13961" s="1" t="str">
        <f t="shared" si="3193"/>
        <v>X</v>
      </c>
      <c r="I13961" s="1" t="str">
        <f t="shared" si="3193"/>
        <v>X</v>
      </c>
      <c r="J13961" s="1" t="str">
        <f t="shared" si="3193"/>
        <v>X</v>
      </c>
      <c r="K13961" s="1" t="str">
        <f t="shared" si="3193"/>
        <v>X</v>
      </c>
      <c r="L13961" s="1" t="str">
        <f t="shared" si="3193"/>
        <v>X</v>
      </c>
      <c r="M13961" s="1" t="str">
        <f t="shared" si="3193"/>
        <v>X</v>
      </c>
      <c r="N13961" t="s">
        <v>27</v>
      </c>
    </row>
    <row r="13962" spans="1:14" x14ac:dyDescent="0.25">
      <c r="A13962" t="s">
        <v>45</v>
      </c>
      <c r="B13962" t="s">
        <v>15</v>
      </c>
      <c r="C13962" t="s">
        <v>38</v>
      </c>
      <c r="D13962" t="s">
        <v>33</v>
      </c>
      <c r="E13962" t="s">
        <v>22</v>
      </c>
      <c r="F13962" t="s">
        <v>15</v>
      </c>
      <c r="G13962" s="1" t="str">
        <f t="shared" si="3193"/>
        <v>X</v>
      </c>
      <c r="H13962" s="1" t="str">
        <f t="shared" si="3193"/>
        <v>X</v>
      </c>
      <c r="I13962" s="1" t="str">
        <f t="shared" si="3193"/>
        <v>X</v>
      </c>
      <c r="J13962" s="1" t="str">
        <f t="shared" si="3193"/>
        <v>X</v>
      </c>
      <c r="K13962" s="1" t="str">
        <f t="shared" si="3193"/>
        <v>X</v>
      </c>
      <c r="L13962" s="1" t="str">
        <f t="shared" si="3193"/>
        <v>X</v>
      </c>
      <c r="M13962" s="1" t="str">
        <f t="shared" si="3193"/>
        <v>X</v>
      </c>
      <c r="N13962" t="s">
        <v>27</v>
      </c>
    </row>
    <row r="13963" spans="1:14" x14ac:dyDescent="0.25">
      <c r="A13963" t="s">
        <v>45</v>
      </c>
      <c r="B13963" t="s">
        <v>15</v>
      </c>
      <c r="C13963" t="s">
        <v>38</v>
      </c>
      <c r="D13963" t="s">
        <v>33</v>
      </c>
      <c r="E13963" t="s">
        <v>22</v>
      </c>
      <c r="F13963" t="s">
        <v>17</v>
      </c>
      <c r="G13963" s="1" t="str">
        <f t="shared" si="3193"/>
        <v>X</v>
      </c>
      <c r="H13963" s="1" t="str">
        <f t="shared" si="3193"/>
        <v>X</v>
      </c>
      <c r="I13963" s="1" t="str">
        <f t="shared" si="3193"/>
        <v>X</v>
      </c>
      <c r="J13963" s="1" t="str">
        <f t="shared" si="3193"/>
        <v>X</v>
      </c>
      <c r="K13963" s="1" t="str">
        <f t="shared" si="3193"/>
        <v>X</v>
      </c>
      <c r="L13963" s="1" t="str">
        <f t="shared" si="3193"/>
        <v>X</v>
      </c>
      <c r="M13963" s="1" t="str">
        <f t="shared" si="3193"/>
        <v>X</v>
      </c>
      <c r="N13963" t="s">
        <v>27</v>
      </c>
    </row>
    <row r="13964" spans="1:14" x14ac:dyDescent="0.25">
      <c r="A13964" t="s">
        <v>45</v>
      </c>
      <c r="B13964" t="s">
        <v>15</v>
      </c>
      <c r="C13964" t="s">
        <v>38</v>
      </c>
      <c r="D13964" t="s">
        <v>33</v>
      </c>
      <c r="E13964" t="s">
        <v>22</v>
      </c>
      <c r="F13964" t="s">
        <v>18</v>
      </c>
      <c r="G13964" s="1" t="str">
        <f t="shared" ref="G13964:M13964" si="3194">"..."</f>
        <v>...</v>
      </c>
      <c r="H13964" s="1" t="str">
        <f t="shared" si="3194"/>
        <v>...</v>
      </c>
      <c r="I13964" s="1" t="str">
        <f t="shared" si="3194"/>
        <v>...</v>
      </c>
      <c r="J13964" s="1" t="str">
        <f t="shared" si="3194"/>
        <v>...</v>
      </c>
      <c r="K13964" s="1" t="str">
        <f t="shared" si="3194"/>
        <v>...</v>
      </c>
      <c r="L13964" s="1" t="str">
        <f t="shared" si="3194"/>
        <v>...</v>
      </c>
      <c r="M13964" s="1" t="str">
        <f t="shared" si="3194"/>
        <v>...</v>
      </c>
      <c r="N13964" t="s">
        <v>30</v>
      </c>
    </row>
    <row r="13965" spans="1:14" x14ac:dyDescent="0.25">
      <c r="A13965" t="s">
        <v>45</v>
      </c>
      <c r="B13965" t="s">
        <v>15</v>
      </c>
      <c r="C13965" t="s">
        <v>38</v>
      </c>
      <c r="D13965" t="s">
        <v>33</v>
      </c>
      <c r="E13965" t="s">
        <v>22</v>
      </c>
      <c r="F13965" t="s">
        <v>19</v>
      </c>
      <c r="G13965" s="1" t="str">
        <f t="shared" ref="G13965:M13967" si="3195">"X"</f>
        <v>X</v>
      </c>
      <c r="H13965" s="1" t="str">
        <f t="shared" si="3195"/>
        <v>X</v>
      </c>
      <c r="I13965" s="1" t="str">
        <f t="shared" si="3195"/>
        <v>X</v>
      </c>
      <c r="J13965" s="1" t="str">
        <f t="shared" si="3195"/>
        <v>X</v>
      </c>
      <c r="K13965" s="1" t="str">
        <f t="shared" si="3195"/>
        <v>X</v>
      </c>
      <c r="L13965" s="1" t="str">
        <f t="shared" si="3195"/>
        <v>X</v>
      </c>
      <c r="M13965" s="1" t="str">
        <f t="shared" si="3195"/>
        <v>X</v>
      </c>
      <c r="N13965" t="s">
        <v>27</v>
      </c>
    </row>
    <row r="13966" spans="1:14" x14ac:dyDescent="0.25">
      <c r="A13966" t="s">
        <v>45</v>
      </c>
      <c r="B13966" t="s">
        <v>15</v>
      </c>
      <c r="C13966" t="s">
        <v>38</v>
      </c>
      <c r="D13966" t="s">
        <v>33</v>
      </c>
      <c r="E13966" t="s">
        <v>22</v>
      </c>
      <c r="F13966" t="s">
        <v>20</v>
      </c>
      <c r="G13966" s="1" t="str">
        <f t="shared" si="3195"/>
        <v>X</v>
      </c>
      <c r="H13966" s="1" t="str">
        <f t="shared" si="3195"/>
        <v>X</v>
      </c>
      <c r="I13966" s="1" t="str">
        <f t="shared" si="3195"/>
        <v>X</v>
      </c>
      <c r="J13966" s="1" t="str">
        <f t="shared" si="3195"/>
        <v>X</v>
      </c>
      <c r="K13966" s="1" t="str">
        <f t="shared" si="3195"/>
        <v>X</v>
      </c>
      <c r="L13966" s="1" t="str">
        <f t="shared" si="3195"/>
        <v>X</v>
      </c>
      <c r="M13966" s="1" t="str">
        <f t="shared" si="3195"/>
        <v>X</v>
      </c>
      <c r="N13966" t="s">
        <v>27</v>
      </c>
    </row>
    <row r="13967" spans="1:14" x14ac:dyDescent="0.25">
      <c r="A13967" t="s">
        <v>45</v>
      </c>
      <c r="B13967" t="s">
        <v>15</v>
      </c>
      <c r="C13967" t="s">
        <v>38</v>
      </c>
      <c r="D13967" t="s">
        <v>33</v>
      </c>
      <c r="E13967" t="s">
        <v>23</v>
      </c>
      <c r="F13967" t="s">
        <v>15</v>
      </c>
      <c r="G13967" s="1" t="str">
        <f t="shared" si="3195"/>
        <v>X</v>
      </c>
      <c r="H13967" s="1" t="str">
        <f t="shared" si="3195"/>
        <v>X</v>
      </c>
      <c r="I13967" s="1" t="str">
        <f t="shared" si="3195"/>
        <v>X</v>
      </c>
      <c r="J13967" s="1" t="str">
        <f t="shared" si="3195"/>
        <v>X</v>
      </c>
      <c r="K13967" s="1" t="str">
        <f t="shared" si="3195"/>
        <v>X</v>
      </c>
      <c r="L13967" s="1" t="str">
        <f t="shared" si="3195"/>
        <v>X</v>
      </c>
      <c r="M13967" s="1" t="str">
        <f t="shared" si="3195"/>
        <v>X</v>
      </c>
      <c r="N13967" t="s">
        <v>27</v>
      </c>
    </row>
    <row r="13968" spans="1:14" x14ac:dyDescent="0.25">
      <c r="A13968" t="s">
        <v>45</v>
      </c>
      <c r="B13968" t="s">
        <v>15</v>
      </c>
      <c r="C13968" t="s">
        <v>38</v>
      </c>
      <c r="D13968" t="s">
        <v>33</v>
      </c>
      <c r="E13968" t="s">
        <v>23</v>
      </c>
      <c r="F13968" t="s">
        <v>17</v>
      </c>
      <c r="G13968" s="1" t="str">
        <f t="shared" ref="G13968:M13968" si="3196">"..."</f>
        <v>...</v>
      </c>
      <c r="H13968" s="1" t="str">
        <f t="shared" si="3196"/>
        <v>...</v>
      </c>
      <c r="I13968" s="1" t="str">
        <f t="shared" si="3196"/>
        <v>...</v>
      </c>
      <c r="J13968" s="1" t="str">
        <f t="shared" si="3196"/>
        <v>...</v>
      </c>
      <c r="K13968" s="1" t="str">
        <f t="shared" si="3196"/>
        <v>...</v>
      </c>
      <c r="L13968" s="1" t="str">
        <f t="shared" si="3196"/>
        <v>...</v>
      </c>
      <c r="M13968" s="1" t="str">
        <f t="shared" si="3196"/>
        <v>...</v>
      </c>
      <c r="N13968" t="s">
        <v>30</v>
      </c>
    </row>
    <row r="13969" spans="1:14" x14ac:dyDescent="0.25">
      <c r="A13969" t="s">
        <v>45</v>
      </c>
      <c r="B13969" t="s">
        <v>15</v>
      </c>
      <c r="C13969" t="s">
        <v>38</v>
      </c>
      <c r="D13969" t="s">
        <v>33</v>
      </c>
      <c r="E13969" t="s">
        <v>23</v>
      </c>
      <c r="F13969" t="s">
        <v>18</v>
      </c>
      <c r="G13969" s="1" t="str">
        <f t="shared" ref="G13969:M13969" si="3197">"X"</f>
        <v>X</v>
      </c>
      <c r="H13969" s="1" t="str">
        <f t="shared" si="3197"/>
        <v>X</v>
      </c>
      <c r="I13969" s="1" t="str">
        <f t="shared" si="3197"/>
        <v>X</v>
      </c>
      <c r="J13969" s="1" t="str">
        <f t="shared" si="3197"/>
        <v>X</v>
      </c>
      <c r="K13969" s="1" t="str">
        <f t="shared" si="3197"/>
        <v>X</v>
      </c>
      <c r="L13969" s="1" t="str">
        <f t="shared" si="3197"/>
        <v>X</v>
      </c>
      <c r="M13969" s="1" t="str">
        <f t="shared" si="3197"/>
        <v>X</v>
      </c>
      <c r="N13969" t="s">
        <v>27</v>
      </c>
    </row>
    <row r="13970" spans="1:14" x14ac:dyDescent="0.25">
      <c r="A13970" t="s">
        <v>45</v>
      </c>
      <c r="B13970" t="s">
        <v>15</v>
      </c>
      <c r="C13970" t="s">
        <v>38</v>
      </c>
      <c r="D13970" t="s">
        <v>33</v>
      </c>
      <c r="E13970" t="s">
        <v>23</v>
      </c>
      <c r="F13970" t="s">
        <v>19</v>
      </c>
      <c r="G13970" s="1" t="str">
        <f t="shared" ref="G13970:M13970" si="3198">"..."</f>
        <v>...</v>
      </c>
      <c r="H13970" s="1" t="str">
        <f t="shared" si="3198"/>
        <v>...</v>
      </c>
      <c r="I13970" s="1" t="str">
        <f t="shared" si="3198"/>
        <v>...</v>
      </c>
      <c r="J13970" s="1" t="str">
        <f t="shared" si="3198"/>
        <v>...</v>
      </c>
      <c r="K13970" s="1" t="str">
        <f t="shared" si="3198"/>
        <v>...</v>
      </c>
      <c r="L13970" s="1" t="str">
        <f t="shared" si="3198"/>
        <v>...</v>
      </c>
      <c r="M13970" s="1" t="str">
        <f t="shared" si="3198"/>
        <v>...</v>
      </c>
      <c r="N13970" t="s">
        <v>30</v>
      </c>
    </row>
    <row r="13971" spans="1:14" x14ac:dyDescent="0.25">
      <c r="A13971" t="s">
        <v>45</v>
      </c>
      <c r="B13971" t="s">
        <v>15</v>
      </c>
      <c r="C13971" t="s">
        <v>38</v>
      </c>
      <c r="D13971" t="s">
        <v>33</v>
      </c>
      <c r="E13971" t="s">
        <v>23</v>
      </c>
      <c r="F13971" t="s">
        <v>20</v>
      </c>
      <c r="G13971" s="1" t="str">
        <f t="shared" ref="G13971:M13971" si="3199">"X"</f>
        <v>X</v>
      </c>
      <c r="H13971" s="1" t="str">
        <f t="shared" si="3199"/>
        <v>X</v>
      </c>
      <c r="I13971" s="1" t="str">
        <f t="shared" si="3199"/>
        <v>X</v>
      </c>
      <c r="J13971" s="1" t="str">
        <f t="shared" si="3199"/>
        <v>X</v>
      </c>
      <c r="K13971" s="1" t="str">
        <f t="shared" si="3199"/>
        <v>X</v>
      </c>
      <c r="L13971" s="1" t="str">
        <f t="shared" si="3199"/>
        <v>X</v>
      </c>
      <c r="M13971" s="1" t="str">
        <f t="shared" si="3199"/>
        <v>X</v>
      </c>
      <c r="N13971" t="s">
        <v>27</v>
      </c>
    </row>
    <row r="13972" spans="1:14" x14ac:dyDescent="0.25">
      <c r="A13972" t="s">
        <v>45</v>
      </c>
      <c r="B13972" t="s">
        <v>15</v>
      </c>
      <c r="C13972" t="s">
        <v>38</v>
      </c>
      <c r="D13972" t="s">
        <v>33</v>
      </c>
      <c r="E13972" t="s">
        <v>26</v>
      </c>
      <c r="F13972" t="s">
        <v>15</v>
      </c>
      <c r="G13972" s="1" t="str">
        <f t="shared" ref="G13972:M13976" si="3200">"..."</f>
        <v>...</v>
      </c>
      <c r="H13972" s="1" t="str">
        <f t="shared" si="3200"/>
        <v>...</v>
      </c>
      <c r="I13972" s="1" t="str">
        <f t="shared" si="3200"/>
        <v>...</v>
      </c>
      <c r="J13972" s="1" t="str">
        <f t="shared" si="3200"/>
        <v>...</v>
      </c>
      <c r="K13972" s="1" t="str">
        <f t="shared" si="3200"/>
        <v>...</v>
      </c>
      <c r="L13972" s="1" t="str">
        <f t="shared" si="3200"/>
        <v>...</v>
      </c>
      <c r="M13972" s="1" t="str">
        <f t="shared" si="3200"/>
        <v>...</v>
      </c>
      <c r="N13972" t="s">
        <v>30</v>
      </c>
    </row>
    <row r="13973" spans="1:14" x14ac:dyDescent="0.25">
      <c r="A13973" t="s">
        <v>45</v>
      </c>
      <c r="B13973" t="s">
        <v>15</v>
      </c>
      <c r="C13973" t="s">
        <v>38</v>
      </c>
      <c r="D13973" t="s">
        <v>33</v>
      </c>
      <c r="E13973" t="s">
        <v>26</v>
      </c>
      <c r="F13973" t="s">
        <v>17</v>
      </c>
      <c r="G13973" s="1" t="str">
        <f t="shared" si="3200"/>
        <v>...</v>
      </c>
      <c r="H13973" s="1" t="str">
        <f t="shared" si="3200"/>
        <v>...</v>
      </c>
      <c r="I13973" s="1" t="str">
        <f t="shared" si="3200"/>
        <v>...</v>
      </c>
      <c r="J13973" s="1" t="str">
        <f t="shared" si="3200"/>
        <v>...</v>
      </c>
      <c r="K13973" s="1" t="str">
        <f t="shared" si="3200"/>
        <v>...</v>
      </c>
      <c r="L13973" s="1" t="str">
        <f t="shared" si="3200"/>
        <v>...</v>
      </c>
      <c r="M13973" s="1" t="str">
        <f t="shared" si="3200"/>
        <v>...</v>
      </c>
      <c r="N13973" t="s">
        <v>30</v>
      </c>
    </row>
    <row r="13974" spans="1:14" x14ac:dyDescent="0.25">
      <c r="A13974" t="s">
        <v>45</v>
      </c>
      <c r="B13974" t="s">
        <v>15</v>
      </c>
      <c r="C13974" t="s">
        <v>38</v>
      </c>
      <c r="D13974" t="s">
        <v>33</v>
      </c>
      <c r="E13974" t="s">
        <v>26</v>
      </c>
      <c r="F13974" t="s">
        <v>18</v>
      </c>
      <c r="G13974" s="1" t="str">
        <f t="shared" si="3200"/>
        <v>...</v>
      </c>
      <c r="H13974" s="1" t="str">
        <f t="shared" si="3200"/>
        <v>...</v>
      </c>
      <c r="I13974" s="1" t="str">
        <f t="shared" si="3200"/>
        <v>...</v>
      </c>
      <c r="J13974" s="1" t="str">
        <f t="shared" si="3200"/>
        <v>...</v>
      </c>
      <c r="K13974" s="1" t="str">
        <f t="shared" si="3200"/>
        <v>...</v>
      </c>
      <c r="L13974" s="1" t="str">
        <f t="shared" si="3200"/>
        <v>...</v>
      </c>
      <c r="M13974" s="1" t="str">
        <f t="shared" si="3200"/>
        <v>...</v>
      </c>
      <c r="N13974" t="s">
        <v>30</v>
      </c>
    </row>
    <row r="13975" spans="1:14" x14ac:dyDescent="0.25">
      <c r="A13975" t="s">
        <v>45</v>
      </c>
      <c r="B13975" t="s">
        <v>15</v>
      </c>
      <c r="C13975" t="s">
        <v>38</v>
      </c>
      <c r="D13975" t="s">
        <v>33</v>
      </c>
      <c r="E13975" t="s">
        <v>26</v>
      </c>
      <c r="F13975" t="s">
        <v>19</v>
      </c>
      <c r="G13975" s="1" t="str">
        <f t="shared" si="3200"/>
        <v>...</v>
      </c>
      <c r="H13975" s="1" t="str">
        <f t="shared" si="3200"/>
        <v>...</v>
      </c>
      <c r="I13975" s="1" t="str">
        <f t="shared" si="3200"/>
        <v>...</v>
      </c>
      <c r="J13975" s="1" t="str">
        <f t="shared" si="3200"/>
        <v>...</v>
      </c>
      <c r="K13975" s="1" t="str">
        <f t="shared" si="3200"/>
        <v>...</v>
      </c>
      <c r="L13975" s="1" t="str">
        <f t="shared" si="3200"/>
        <v>...</v>
      </c>
      <c r="M13975" s="1" t="str">
        <f t="shared" si="3200"/>
        <v>...</v>
      </c>
      <c r="N13975" t="s">
        <v>30</v>
      </c>
    </row>
    <row r="13976" spans="1:14" x14ac:dyDescent="0.25">
      <c r="A13976" t="s">
        <v>45</v>
      </c>
      <c r="B13976" t="s">
        <v>15</v>
      </c>
      <c r="C13976" t="s">
        <v>38</v>
      </c>
      <c r="D13976" t="s">
        <v>33</v>
      </c>
      <c r="E13976" t="s">
        <v>26</v>
      </c>
      <c r="F13976" t="s">
        <v>20</v>
      </c>
      <c r="G13976" s="1" t="str">
        <f t="shared" si="3200"/>
        <v>...</v>
      </c>
      <c r="H13976" s="1" t="str">
        <f t="shared" si="3200"/>
        <v>...</v>
      </c>
      <c r="I13976" s="1" t="str">
        <f t="shared" si="3200"/>
        <v>...</v>
      </c>
      <c r="J13976" s="1" t="str">
        <f t="shared" si="3200"/>
        <v>...</v>
      </c>
      <c r="K13976" s="1" t="str">
        <f t="shared" si="3200"/>
        <v>...</v>
      </c>
      <c r="L13976" s="1" t="str">
        <f t="shared" si="3200"/>
        <v>...</v>
      </c>
      <c r="M13976" s="1" t="str">
        <f t="shared" si="3200"/>
        <v>...</v>
      </c>
      <c r="N13976" t="s">
        <v>30</v>
      </c>
    </row>
    <row r="13977" spans="1:14" x14ac:dyDescent="0.25">
      <c r="A13977" t="s">
        <v>45</v>
      </c>
      <c r="B13977" t="s">
        <v>15</v>
      </c>
      <c r="C13977" t="s">
        <v>38</v>
      </c>
      <c r="D13977" t="s">
        <v>34</v>
      </c>
      <c r="E13977" t="s">
        <v>15</v>
      </c>
      <c r="F13977" t="s">
        <v>15</v>
      </c>
      <c r="G13977" s="2">
        <f>VALUE(293.6)</f>
        <v>293.60000000000002</v>
      </c>
      <c r="H13977" s="3">
        <f>VALUE(255.63)</f>
        <v>255.63</v>
      </c>
      <c r="I13977" s="4">
        <f>VALUE(3513)</f>
        <v>3513</v>
      </c>
      <c r="J13977" s="1">
        <f>VALUE(4446)</f>
        <v>4446</v>
      </c>
      <c r="K13977" s="6">
        <f>VALUE(5942)</f>
        <v>5942</v>
      </c>
      <c r="L13977" s="1">
        <f>VALUE(6221)</f>
        <v>6221</v>
      </c>
      <c r="M13977" s="1">
        <f>VALUE(6590)</f>
        <v>6590</v>
      </c>
      <c r="N13977" t="s">
        <v>25</v>
      </c>
    </row>
    <row r="13978" spans="1:14" x14ac:dyDescent="0.25">
      <c r="A13978" t="s">
        <v>45</v>
      </c>
      <c r="B13978" t="s">
        <v>15</v>
      </c>
      <c r="C13978" t="s">
        <v>38</v>
      </c>
      <c r="D13978" t="s">
        <v>34</v>
      </c>
      <c r="E13978" t="s">
        <v>15</v>
      </c>
      <c r="F13978" t="s">
        <v>17</v>
      </c>
      <c r="G13978" s="1" t="str">
        <f t="shared" ref="G13978:M13980" si="3201">"X"</f>
        <v>X</v>
      </c>
      <c r="H13978" s="1" t="str">
        <f t="shared" si="3201"/>
        <v>X</v>
      </c>
      <c r="I13978" s="1" t="str">
        <f t="shared" si="3201"/>
        <v>X</v>
      </c>
      <c r="J13978" s="1" t="str">
        <f t="shared" si="3201"/>
        <v>X</v>
      </c>
      <c r="K13978" s="1" t="str">
        <f t="shared" si="3201"/>
        <v>X</v>
      </c>
      <c r="L13978" s="1" t="str">
        <f t="shared" si="3201"/>
        <v>X</v>
      </c>
      <c r="M13978" s="1" t="str">
        <f t="shared" si="3201"/>
        <v>X</v>
      </c>
      <c r="N13978" t="s">
        <v>27</v>
      </c>
    </row>
    <row r="13979" spans="1:14" x14ac:dyDescent="0.25">
      <c r="A13979" t="s">
        <v>45</v>
      </c>
      <c r="B13979" t="s">
        <v>15</v>
      </c>
      <c r="C13979" t="s">
        <v>38</v>
      </c>
      <c r="D13979" t="s">
        <v>34</v>
      </c>
      <c r="E13979" t="s">
        <v>15</v>
      </c>
      <c r="F13979" t="s">
        <v>18</v>
      </c>
      <c r="G13979" s="1" t="str">
        <f t="shared" si="3201"/>
        <v>X</v>
      </c>
      <c r="H13979" s="1" t="str">
        <f t="shared" si="3201"/>
        <v>X</v>
      </c>
      <c r="I13979" s="1" t="str">
        <f t="shared" si="3201"/>
        <v>X</v>
      </c>
      <c r="J13979" s="1" t="str">
        <f t="shared" si="3201"/>
        <v>X</v>
      </c>
      <c r="K13979" s="1" t="str">
        <f t="shared" si="3201"/>
        <v>X</v>
      </c>
      <c r="L13979" s="1" t="str">
        <f t="shared" si="3201"/>
        <v>X</v>
      </c>
      <c r="M13979" s="1" t="str">
        <f t="shared" si="3201"/>
        <v>X</v>
      </c>
      <c r="N13979" t="s">
        <v>27</v>
      </c>
    </row>
    <row r="13980" spans="1:14" x14ac:dyDescent="0.25">
      <c r="A13980" t="s">
        <v>45</v>
      </c>
      <c r="B13980" t="s">
        <v>15</v>
      </c>
      <c r="C13980" t="s">
        <v>38</v>
      </c>
      <c r="D13980" t="s">
        <v>34</v>
      </c>
      <c r="E13980" t="s">
        <v>15</v>
      </c>
      <c r="F13980" t="s">
        <v>19</v>
      </c>
      <c r="G13980" s="1" t="str">
        <f t="shared" si="3201"/>
        <v>X</v>
      </c>
      <c r="H13980" s="1" t="str">
        <f t="shared" si="3201"/>
        <v>X</v>
      </c>
      <c r="I13980" s="1" t="str">
        <f t="shared" si="3201"/>
        <v>X</v>
      </c>
      <c r="J13980" s="1" t="str">
        <f t="shared" si="3201"/>
        <v>X</v>
      </c>
      <c r="K13980" s="1" t="str">
        <f t="shared" si="3201"/>
        <v>X</v>
      </c>
      <c r="L13980" s="1" t="str">
        <f t="shared" si="3201"/>
        <v>X</v>
      </c>
      <c r="M13980" s="1" t="str">
        <f t="shared" si="3201"/>
        <v>X</v>
      </c>
      <c r="N13980" t="s">
        <v>27</v>
      </c>
    </row>
    <row r="13981" spans="1:14" x14ac:dyDescent="0.25">
      <c r="A13981" t="s">
        <v>45</v>
      </c>
      <c r="B13981" t="s">
        <v>15</v>
      </c>
      <c r="C13981" t="s">
        <v>38</v>
      </c>
      <c r="D13981" t="s">
        <v>34</v>
      </c>
      <c r="E13981" t="s">
        <v>15</v>
      </c>
      <c r="F13981" t="s">
        <v>20</v>
      </c>
      <c r="G13981" s="2">
        <f>VALUE(216.01)</f>
        <v>216.01</v>
      </c>
      <c r="H13981" s="3">
        <f>VALUE(182.11)</f>
        <v>182.11</v>
      </c>
      <c r="I13981" s="1">
        <f>VALUE(3422)</f>
        <v>3422</v>
      </c>
      <c r="J13981" s="1">
        <f>VALUE(4167)</f>
        <v>4167</v>
      </c>
      <c r="K13981" s="1">
        <f>VALUE(5937)</f>
        <v>5937</v>
      </c>
      <c r="L13981" s="1">
        <f>VALUE(6221)</f>
        <v>6221</v>
      </c>
      <c r="M13981" s="1">
        <f>VALUE(6430)</f>
        <v>6430</v>
      </c>
      <c r="N13981" t="s">
        <v>25</v>
      </c>
    </row>
    <row r="13982" spans="1:14" x14ac:dyDescent="0.25">
      <c r="A13982" t="s">
        <v>45</v>
      </c>
      <c r="B13982" t="s">
        <v>15</v>
      </c>
      <c r="C13982" t="s">
        <v>38</v>
      </c>
      <c r="D13982" t="s">
        <v>34</v>
      </c>
      <c r="E13982" t="s">
        <v>21</v>
      </c>
      <c r="F13982" t="s">
        <v>15</v>
      </c>
      <c r="G13982" s="1" t="str">
        <f t="shared" ref="G13982:M13989" si="3202">"X"</f>
        <v>X</v>
      </c>
      <c r="H13982" s="1" t="str">
        <f t="shared" si="3202"/>
        <v>X</v>
      </c>
      <c r="I13982" s="1" t="str">
        <f t="shared" si="3202"/>
        <v>X</v>
      </c>
      <c r="J13982" s="1" t="str">
        <f t="shared" si="3202"/>
        <v>X</v>
      </c>
      <c r="K13982" s="1" t="str">
        <f t="shared" si="3202"/>
        <v>X</v>
      </c>
      <c r="L13982" s="1" t="str">
        <f t="shared" si="3202"/>
        <v>X</v>
      </c>
      <c r="M13982" s="1" t="str">
        <f t="shared" si="3202"/>
        <v>X</v>
      </c>
      <c r="N13982" t="s">
        <v>27</v>
      </c>
    </row>
    <row r="13983" spans="1:14" x14ac:dyDescent="0.25">
      <c r="A13983" t="s">
        <v>45</v>
      </c>
      <c r="B13983" t="s">
        <v>15</v>
      </c>
      <c r="C13983" t="s">
        <v>38</v>
      </c>
      <c r="D13983" t="s">
        <v>34</v>
      </c>
      <c r="E13983" t="s">
        <v>21</v>
      </c>
      <c r="F13983" t="s">
        <v>17</v>
      </c>
      <c r="G13983" s="1" t="str">
        <f t="shared" si="3202"/>
        <v>X</v>
      </c>
      <c r="H13983" s="1" t="str">
        <f t="shared" si="3202"/>
        <v>X</v>
      </c>
      <c r="I13983" s="1" t="str">
        <f t="shared" si="3202"/>
        <v>X</v>
      </c>
      <c r="J13983" s="1" t="str">
        <f t="shared" si="3202"/>
        <v>X</v>
      </c>
      <c r="K13983" s="1" t="str">
        <f t="shared" si="3202"/>
        <v>X</v>
      </c>
      <c r="L13983" s="1" t="str">
        <f t="shared" si="3202"/>
        <v>X</v>
      </c>
      <c r="M13983" s="1" t="str">
        <f t="shared" si="3202"/>
        <v>X</v>
      </c>
      <c r="N13983" t="s">
        <v>27</v>
      </c>
    </row>
    <row r="13984" spans="1:14" x14ac:dyDescent="0.25">
      <c r="A13984" t="s">
        <v>45</v>
      </c>
      <c r="B13984" t="s">
        <v>15</v>
      </c>
      <c r="C13984" t="s">
        <v>38</v>
      </c>
      <c r="D13984" t="s">
        <v>34</v>
      </c>
      <c r="E13984" t="s">
        <v>21</v>
      </c>
      <c r="F13984" t="s">
        <v>18</v>
      </c>
      <c r="G13984" s="1" t="str">
        <f t="shared" si="3202"/>
        <v>X</v>
      </c>
      <c r="H13984" s="1" t="str">
        <f t="shared" si="3202"/>
        <v>X</v>
      </c>
      <c r="I13984" s="1" t="str">
        <f t="shared" si="3202"/>
        <v>X</v>
      </c>
      <c r="J13984" s="1" t="str">
        <f t="shared" si="3202"/>
        <v>X</v>
      </c>
      <c r="K13984" s="1" t="str">
        <f t="shared" si="3202"/>
        <v>X</v>
      </c>
      <c r="L13984" s="1" t="str">
        <f t="shared" si="3202"/>
        <v>X</v>
      </c>
      <c r="M13984" s="1" t="str">
        <f t="shared" si="3202"/>
        <v>X</v>
      </c>
      <c r="N13984" t="s">
        <v>27</v>
      </c>
    </row>
    <row r="13985" spans="1:14" x14ac:dyDescent="0.25">
      <c r="A13985" t="s">
        <v>45</v>
      </c>
      <c r="B13985" t="s">
        <v>15</v>
      </c>
      <c r="C13985" t="s">
        <v>38</v>
      </c>
      <c r="D13985" t="s">
        <v>34</v>
      </c>
      <c r="E13985" t="s">
        <v>21</v>
      </c>
      <c r="F13985" t="s">
        <v>19</v>
      </c>
      <c r="G13985" s="1" t="str">
        <f t="shared" si="3202"/>
        <v>X</v>
      </c>
      <c r="H13985" s="1" t="str">
        <f t="shared" si="3202"/>
        <v>X</v>
      </c>
      <c r="I13985" s="1" t="str">
        <f t="shared" si="3202"/>
        <v>X</v>
      </c>
      <c r="J13985" s="1" t="str">
        <f t="shared" si="3202"/>
        <v>X</v>
      </c>
      <c r="K13985" s="1" t="str">
        <f t="shared" si="3202"/>
        <v>X</v>
      </c>
      <c r="L13985" s="1" t="str">
        <f t="shared" si="3202"/>
        <v>X</v>
      </c>
      <c r="M13985" s="1" t="str">
        <f t="shared" si="3202"/>
        <v>X</v>
      </c>
      <c r="N13985" t="s">
        <v>27</v>
      </c>
    </row>
    <row r="13986" spans="1:14" x14ac:dyDescent="0.25">
      <c r="A13986" t="s">
        <v>45</v>
      </c>
      <c r="B13986" t="s">
        <v>15</v>
      </c>
      <c r="C13986" t="s">
        <v>38</v>
      </c>
      <c r="D13986" t="s">
        <v>34</v>
      </c>
      <c r="E13986" t="s">
        <v>21</v>
      </c>
      <c r="F13986" t="s">
        <v>20</v>
      </c>
      <c r="G13986" s="1" t="str">
        <f t="shared" si="3202"/>
        <v>X</v>
      </c>
      <c r="H13986" s="1" t="str">
        <f t="shared" si="3202"/>
        <v>X</v>
      </c>
      <c r="I13986" s="1" t="str">
        <f t="shared" si="3202"/>
        <v>X</v>
      </c>
      <c r="J13986" s="1" t="str">
        <f t="shared" si="3202"/>
        <v>X</v>
      </c>
      <c r="K13986" s="1" t="str">
        <f t="shared" si="3202"/>
        <v>X</v>
      </c>
      <c r="L13986" s="1" t="str">
        <f t="shared" si="3202"/>
        <v>X</v>
      </c>
      <c r="M13986" s="1" t="str">
        <f t="shared" si="3202"/>
        <v>X</v>
      </c>
      <c r="N13986" t="s">
        <v>27</v>
      </c>
    </row>
    <row r="13987" spans="1:14" x14ac:dyDescent="0.25">
      <c r="A13987" t="s">
        <v>45</v>
      </c>
      <c r="B13987" t="s">
        <v>15</v>
      </c>
      <c r="C13987" t="s">
        <v>38</v>
      </c>
      <c r="D13987" t="s">
        <v>34</v>
      </c>
      <c r="E13987" t="s">
        <v>22</v>
      </c>
      <c r="F13987" t="s">
        <v>15</v>
      </c>
      <c r="G13987" s="1" t="str">
        <f t="shared" si="3202"/>
        <v>X</v>
      </c>
      <c r="H13987" s="1" t="str">
        <f t="shared" si="3202"/>
        <v>X</v>
      </c>
      <c r="I13987" s="1" t="str">
        <f t="shared" si="3202"/>
        <v>X</v>
      </c>
      <c r="J13987" s="1" t="str">
        <f t="shared" si="3202"/>
        <v>X</v>
      </c>
      <c r="K13987" s="1" t="str">
        <f t="shared" si="3202"/>
        <v>X</v>
      </c>
      <c r="L13987" s="1" t="str">
        <f t="shared" si="3202"/>
        <v>X</v>
      </c>
      <c r="M13987" s="1" t="str">
        <f t="shared" si="3202"/>
        <v>X</v>
      </c>
      <c r="N13987" t="s">
        <v>27</v>
      </c>
    </row>
    <row r="13988" spans="1:14" x14ac:dyDescent="0.25">
      <c r="A13988" t="s">
        <v>45</v>
      </c>
      <c r="B13988" t="s">
        <v>15</v>
      </c>
      <c r="C13988" t="s">
        <v>38</v>
      </c>
      <c r="D13988" t="s">
        <v>34</v>
      </c>
      <c r="E13988" t="s">
        <v>22</v>
      </c>
      <c r="F13988" t="s">
        <v>17</v>
      </c>
      <c r="G13988" s="1" t="str">
        <f t="shared" si="3202"/>
        <v>X</v>
      </c>
      <c r="H13988" s="1" t="str">
        <f t="shared" si="3202"/>
        <v>X</v>
      </c>
      <c r="I13988" s="1" t="str">
        <f t="shared" si="3202"/>
        <v>X</v>
      </c>
      <c r="J13988" s="1" t="str">
        <f t="shared" si="3202"/>
        <v>X</v>
      </c>
      <c r="K13988" s="1" t="str">
        <f t="shared" si="3202"/>
        <v>X</v>
      </c>
      <c r="L13988" s="1" t="str">
        <f t="shared" si="3202"/>
        <v>X</v>
      </c>
      <c r="M13988" s="1" t="str">
        <f t="shared" si="3202"/>
        <v>X</v>
      </c>
      <c r="N13988" t="s">
        <v>27</v>
      </c>
    </row>
    <row r="13989" spans="1:14" x14ac:dyDescent="0.25">
      <c r="A13989" t="s">
        <v>45</v>
      </c>
      <c r="B13989" t="s">
        <v>15</v>
      </c>
      <c r="C13989" t="s">
        <v>38</v>
      </c>
      <c r="D13989" t="s">
        <v>34</v>
      </c>
      <c r="E13989" t="s">
        <v>22</v>
      </c>
      <c r="F13989" t="s">
        <v>18</v>
      </c>
      <c r="G13989" s="1" t="str">
        <f t="shared" si="3202"/>
        <v>X</v>
      </c>
      <c r="H13989" s="1" t="str">
        <f t="shared" si="3202"/>
        <v>X</v>
      </c>
      <c r="I13989" s="1" t="str">
        <f t="shared" si="3202"/>
        <v>X</v>
      </c>
      <c r="J13989" s="1" t="str">
        <f t="shared" si="3202"/>
        <v>X</v>
      </c>
      <c r="K13989" s="1" t="str">
        <f t="shared" si="3202"/>
        <v>X</v>
      </c>
      <c r="L13989" s="1" t="str">
        <f t="shared" si="3202"/>
        <v>X</v>
      </c>
      <c r="M13989" s="1" t="str">
        <f t="shared" si="3202"/>
        <v>X</v>
      </c>
      <c r="N13989" t="s">
        <v>27</v>
      </c>
    </row>
    <row r="13990" spans="1:14" x14ac:dyDescent="0.25">
      <c r="A13990" t="s">
        <v>45</v>
      </c>
      <c r="B13990" t="s">
        <v>15</v>
      </c>
      <c r="C13990" t="s">
        <v>38</v>
      </c>
      <c r="D13990" t="s">
        <v>34</v>
      </c>
      <c r="E13990" t="s">
        <v>22</v>
      </c>
      <c r="F13990" t="s">
        <v>19</v>
      </c>
      <c r="G13990" s="1" t="str">
        <f t="shared" ref="G13990:M13990" si="3203">"..."</f>
        <v>...</v>
      </c>
      <c r="H13990" s="1" t="str">
        <f t="shared" si="3203"/>
        <v>...</v>
      </c>
      <c r="I13990" s="1" t="str">
        <f t="shared" si="3203"/>
        <v>...</v>
      </c>
      <c r="J13990" s="1" t="str">
        <f t="shared" si="3203"/>
        <v>...</v>
      </c>
      <c r="K13990" s="1" t="str">
        <f t="shared" si="3203"/>
        <v>...</v>
      </c>
      <c r="L13990" s="1" t="str">
        <f t="shared" si="3203"/>
        <v>...</v>
      </c>
      <c r="M13990" s="1" t="str">
        <f t="shared" si="3203"/>
        <v>...</v>
      </c>
      <c r="N13990" t="s">
        <v>30</v>
      </c>
    </row>
    <row r="13991" spans="1:14" x14ac:dyDescent="0.25">
      <c r="A13991" t="s">
        <v>45</v>
      </c>
      <c r="B13991" t="s">
        <v>15</v>
      </c>
      <c r="C13991" t="s">
        <v>38</v>
      </c>
      <c r="D13991" t="s">
        <v>34</v>
      </c>
      <c r="E13991" t="s">
        <v>22</v>
      </c>
      <c r="F13991" t="s">
        <v>20</v>
      </c>
      <c r="G13991" s="1" t="str">
        <f t="shared" ref="G13991:M13997" si="3204">"X"</f>
        <v>X</v>
      </c>
      <c r="H13991" s="1" t="str">
        <f t="shared" si="3204"/>
        <v>X</v>
      </c>
      <c r="I13991" s="1" t="str">
        <f t="shared" si="3204"/>
        <v>X</v>
      </c>
      <c r="J13991" s="1" t="str">
        <f t="shared" si="3204"/>
        <v>X</v>
      </c>
      <c r="K13991" s="1" t="str">
        <f t="shared" si="3204"/>
        <v>X</v>
      </c>
      <c r="L13991" s="1" t="str">
        <f t="shared" si="3204"/>
        <v>X</v>
      </c>
      <c r="M13991" s="1" t="str">
        <f t="shared" si="3204"/>
        <v>X</v>
      </c>
      <c r="N13991" t="s">
        <v>27</v>
      </c>
    </row>
    <row r="13992" spans="1:14" x14ac:dyDescent="0.25">
      <c r="A13992" t="s">
        <v>45</v>
      </c>
      <c r="B13992" t="s">
        <v>15</v>
      </c>
      <c r="C13992" t="s">
        <v>38</v>
      </c>
      <c r="D13992" t="s">
        <v>34</v>
      </c>
      <c r="E13992" t="s">
        <v>23</v>
      </c>
      <c r="F13992" t="s">
        <v>15</v>
      </c>
      <c r="G13992" s="1" t="str">
        <f t="shared" si="3204"/>
        <v>X</v>
      </c>
      <c r="H13992" s="1" t="str">
        <f t="shared" si="3204"/>
        <v>X</v>
      </c>
      <c r="I13992" s="1" t="str">
        <f t="shared" si="3204"/>
        <v>X</v>
      </c>
      <c r="J13992" s="1" t="str">
        <f t="shared" si="3204"/>
        <v>X</v>
      </c>
      <c r="K13992" s="1" t="str">
        <f t="shared" si="3204"/>
        <v>X</v>
      </c>
      <c r="L13992" s="1" t="str">
        <f t="shared" si="3204"/>
        <v>X</v>
      </c>
      <c r="M13992" s="1" t="str">
        <f t="shared" si="3204"/>
        <v>X</v>
      </c>
      <c r="N13992" t="s">
        <v>27</v>
      </c>
    </row>
    <row r="13993" spans="1:14" x14ac:dyDescent="0.25">
      <c r="A13993" t="s">
        <v>45</v>
      </c>
      <c r="B13993" t="s">
        <v>15</v>
      </c>
      <c r="C13993" t="s">
        <v>38</v>
      </c>
      <c r="D13993" t="s">
        <v>34</v>
      </c>
      <c r="E13993" t="s">
        <v>23</v>
      </c>
      <c r="F13993" t="s">
        <v>17</v>
      </c>
      <c r="G13993" s="1" t="str">
        <f t="shared" si="3204"/>
        <v>X</v>
      </c>
      <c r="H13993" s="1" t="str">
        <f t="shared" si="3204"/>
        <v>X</v>
      </c>
      <c r="I13993" s="1" t="str">
        <f t="shared" si="3204"/>
        <v>X</v>
      </c>
      <c r="J13993" s="1" t="str">
        <f t="shared" si="3204"/>
        <v>X</v>
      </c>
      <c r="K13993" s="1" t="str">
        <f t="shared" si="3204"/>
        <v>X</v>
      </c>
      <c r="L13993" s="1" t="str">
        <f t="shared" si="3204"/>
        <v>X</v>
      </c>
      <c r="M13993" s="1" t="str">
        <f t="shared" si="3204"/>
        <v>X</v>
      </c>
      <c r="N13993" t="s">
        <v>27</v>
      </c>
    </row>
    <row r="13994" spans="1:14" x14ac:dyDescent="0.25">
      <c r="A13994" t="s">
        <v>45</v>
      </c>
      <c r="B13994" t="s">
        <v>15</v>
      </c>
      <c r="C13994" t="s">
        <v>38</v>
      </c>
      <c r="D13994" t="s">
        <v>34</v>
      </c>
      <c r="E13994" t="s">
        <v>23</v>
      </c>
      <c r="F13994" t="s">
        <v>18</v>
      </c>
      <c r="G13994" s="1" t="str">
        <f t="shared" si="3204"/>
        <v>X</v>
      </c>
      <c r="H13994" s="1" t="str">
        <f t="shared" si="3204"/>
        <v>X</v>
      </c>
      <c r="I13994" s="1" t="str">
        <f t="shared" si="3204"/>
        <v>X</v>
      </c>
      <c r="J13994" s="1" t="str">
        <f t="shared" si="3204"/>
        <v>X</v>
      </c>
      <c r="K13994" s="1" t="str">
        <f t="shared" si="3204"/>
        <v>X</v>
      </c>
      <c r="L13994" s="1" t="str">
        <f t="shared" si="3204"/>
        <v>X</v>
      </c>
      <c r="M13994" s="1" t="str">
        <f t="shared" si="3204"/>
        <v>X</v>
      </c>
      <c r="N13994" t="s">
        <v>27</v>
      </c>
    </row>
    <row r="13995" spans="1:14" x14ac:dyDescent="0.25">
      <c r="A13995" t="s">
        <v>45</v>
      </c>
      <c r="B13995" t="s">
        <v>15</v>
      </c>
      <c r="C13995" t="s">
        <v>38</v>
      </c>
      <c r="D13995" t="s">
        <v>34</v>
      </c>
      <c r="E13995" t="s">
        <v>23</v>
      </c>
      <c r="F13995" t="s">
        <v>19</v>
      </c>
      <c r="G13995" s="1" t="str">
        <f t="shared" si="3204"/>
        <v>X</v>
      </c>
      <c r="H13995" s="1" t="str">
        <f t="shared" si="3204"/>
        <v>X</v>
      </c>
      <c r="I13995" s="1" t="str">
        <f t="shared" si="3204"/>
        <v>X</v>
      </c>
      <c r="J13995" s="1" t="str">
        <f t="shared" si="3204"/>
        <v>X</v>
      </c>
      <c r="K13995" s="1" t="str">
        <f t="shared" si="3204"/>
        <v>X</v>
      </c>
      <c r="L13995" s="1" t="str">
        <f t="shared" si="3204"/>
        <v>X</v>
      </c>
      <c r="M13995" s="1" t="str">
        <f t="shared" si="3204"/>
        <v>X</v>
      </c>
      <c r="N13995" t="s">
        <v>27</v>
      </c>
    </row>
    <row r="13996" spans="1:14" x14ac:dyDescent="0.25">
      <c r="A13996" t="s">
        <v>45</v>
      </c>
      <c r="B13996" t="s">
        <v>15</v>
      </c>
      <c r="C13996" t="s">
        <v>38</v>
      </c>
      <c r="D13996" t="s">
        <v>34</v>
      </c>
      <c r="E13996" t="s">
        <v>23</v>
      </c>
      <c r="F13996" t="s">
        <v>20</v>
      </c>
      <c r="G13996" s="1" t="str">
        <f t="shared" si="3204"/>
        <v>X</v>
      </c>
      <c r="H13996" s="1" t="str">
        <f t="shared" si="3204"/>
        <v>X</v>
      </c>
      <c r="I13996" s="1" t="str">
        <f t="shared" si="3204"/>
        <v>X</v>
      </c>
      <c r="J13996" s="1" t="str">
        <f t="shared" si="3204"/>
        <v>X</v>
      </c>
      <c r="K13996" s="1" t="str">
        <f t="shared" si="3204"/>
        <v>X</v>
      </c>
      <c r="L13996" s="1" t="str">
        <f t="shared" si="3204"/>
        <v>X</v>
      </c>
      <c r="M13996" s="1" t="str">
        <f t="shared" si="3204"/>
        <v>X</v>
      </c>
      <c r="N13996" t="s">
        <v>27</v>
      </c>
    </row>
    <row r="13997" spans="1:14" x14ac:dyDescent="0.25">
      <c r="A13997" t="s">
        <v>45</v>
      </c>
      <c r="B13997" t="s">
        <v>15</v>
      </c>
      <c r="C13997" t="s">
        <v>38</v>
      </c>
      <c r="D13997" t="s">
        <v>34</v>
      </c>
      <c r="E13997" t="s">
        <v>26</v>
      </c>
      <c r="F13997" t="s">
        <v>15</v>
      </c>
      <c r="G13997" s="1" t="str">
        <f t="shared" si="3204"/>
        <v>X</v>
      </c>
      <c r="H13997" s="1" t="str">
        <f t="shared" si="3204"/>
        <v>X</v>
      </c>
      <c r="I13997" s="1" t="str">
        <f t="shared" si="3204"/>
        <v>X</v>
      </c>
      <c r="J13997" s="1" t="str">
        <f t="shared" si="3204"/>
        <v>X</v>
      </c>
      <c r="K13997" s="1" t="str">
        <f t="shared" si="3204"/>
        <v>X</v>
      </c>
      <c r="L13997" s="1" t="str">
        <f t="shared" si="3204"/>
        <v>X</v>
      </c>
      <c r="M13997" s="1" t="str">
        <f t="shared" si="3204"/>
        <v>X</v>
      </c>
      <c r="N13997" t="s">
        <v>27</v>
      </c>
    </row>
    <row r="13998" spans="1:14" x14ac:dyDescent="0.25">
      <c r="A13998" t="s">
        <v>45</v>
      </c>
      <c r="B13998" t="s">
        <v>15</v>
      </c>
      <c r="C13998" t="s">
        <v>38</v>
      </c>
      <c r="D13998" t="s">
        <v>34</v>
      </c>
      <c r="E13998" t="s">
        <v>26</v>
      </c>
      <c r="F13998" t="s">
        <v>17</v>
      </c>
      <c r="G13998" s="1" t="str">
        <f t="shared" ref="G13998:M13999" si="3205">"..."</f>
        <v>...</v>
      </c>
      <c r="H13998" s="1" t="str">
        <f t="shared" si="3205"/>
        <v>...</v>
      </c>
      <c r="I13998" s="1" t="str">
        <f t="shared" si="3205"/>
        <v>...</v>
      </c>
      <c r="J13998" s="1" t="str">
        <f t="shared" si="3205"/>
        <v>...</v>
      </c>
      <c r="K13998" s="1" t="str">
        <f t="shared" si="3205"/>
        <v>...</v>
      </c>
      <c r="L13998" s="1" t="str">
        <f t="shared" si="3205"/>
        <v>...</v>
      </c>
      <c r="M13998" s="1" t="str">
        <f t="shared" si="3205"/>
        <v>...</v>
      </c>
      <c r="N13998" t="s">
        <v>30</v>
      </c>
    </row>
    <row r="13999" spans="1:14" x14ac:dyDescent="0.25">
      <c r="A13999" t="s">
        <v>45</v>
      </c>
      <c r="B13999" t="s">
        <v>15</v>
      </c>
      <c r="C13999" t="s">
        <v>38</v>
      </c>
      <c r="D13999" t="s">
        <v>34</v>
      </c>
      <c r="E13999" t="s">
        <v>26</v>
      </c>
      <c r="F13999" t="s">
        <v>18</v>
      </c>
      <c r="G13999" s="1" t="str">
        <f t="shared" si="3205"/>
        <v>...</v>
      </c>
      <c r="H13999" s="1" t="str">
        <f t="shared" si="3205"/>
        <v>...</v>
      </c>
      <c r="I13999" s="1" t="str">
        <f t="shared" si="3205"/>
        <v>...</v>
      </c>
      <c r="J13999" s="1" t="str">
        <f t="shared" si="3205"/>
        <v>...</v>
      </c>
      <c r="K13999" s="1" t="str">
        <f t="shared" si="3205"/>
        <v>...</v>
      </c>
      <c r="L13999" s="1" t="str">
        <f t="shared" si="3205"/>
        <v>...</v>
      </c>
      <c r="M13999" s="1" t="str">
        <f t="shared" si="3205"/>
        <v>...</v>
      </c>
      <c r="N13999" t="s">
        <v>30</v>
      </c>
    </row>
    <row r="14000" spans="1:14" x14ac:dyDescent="0.25">
      <c r="A14000" t="s">
        <v>45</v>
      </c>
      <c r="B14000" t="s">
        <v>15</v>
      </c>
      <c r="C14000" t="s">
        <v>38</v>
      </c>
      <c r="D14000" t="s">
        <v>34</v>
      </c>
      <c r="E14000" t="s">
        <v>26</v>
      </c>
      <c r="F14000" t="s">
        <v>19</v>
      </c>
      <c r="G14000" s="1" t="str">
        <f t="shared" ref="G14000:M14001" si="3206">"X"</f>
        <v>X</v>
      </c>
      <c r="H14000" s="1" t="str">
        <f t="shared" si="3206"/>
        <v>X</v>
      </c>
      <c r="I14000" s="1" t="str">
        <f t="shared" si="3206"/>
        <v>X</v>
      </c>
      <c r="J14000" s="1" t="str">
        <f t="shared" si="3206"/>
        <v>X</v>
      </c>
      <c r="K14000" s="1" t="str">
        <f t="shared" si="3206"/>
        <v>X</v>
      </c>
      <c r="L14000" s="1" t="str">
        <f t="shared" si="3206"/>
        <v>X</v>
      </c>
      <c r="M14000" s="1" t="str">
        <f t="shared" si="3206"/>
        <v>X</v>
      </c>
      <c r="N14000" t="s">
        <v>27</v>
      </c>
    </row>
    <row r="14001" spans="1:14" x14ac:dyDescent="0.25">
      <c r="A14001" t="s">
        <v>45</v>
      </c>
      <c r="B14001" t="s">
        <v>15</v>
      </c>
      <c r="C14001" t="s">
        <v>38</v>
      </c>
      <c r="D14001" t="s">
        <v>34</v>
      </c>
      <c r="E14001" t="s">
        <v>26</v>
      </c>
      <c r="F14001" t="s">
        <v>20</v>
      </c>
      <c r="G14001" s="1" t="str">
        <f t="shared" si="3206"/>
        <v>X</v>
      </c>
      <c r="H14001" s="1" t="str">
        <f t="shared" si="3206"/>
        <v>X</v>
      </c>
      <c r="I14001" s="1" t="str">
        <f t="shared" si="3206"/>
        <v>X</v>
      </c>
      <c r="J14001" s="1" t="str">
        <f t="shared" si="3206"/>
        <v>X</v>
      </c>
      <c r="K14001" s="1" t="str">
        <f t="shared" si="3206"/>
        <v>X</v>
      </c>
      <c r="L14001" s="1" t="str">
        <f t="shared" si="3206"/>
        <v>X</v>
      </c>
      <c r="M14001" s="1" t="str">
        <f t="shared" si="3206"/>
        <v>X</v>
      </c>
      <c r="N14001" t="s">
        <v>27</v>
      </c>
    </row>
    <row r="14002" spans="1:14" x14ac:dyDescent="0.25">
      <c r="A14002" t="s">
        <v>45</v>
      </c>
      <c r="B14002" t="s">
        <v>39</v>
      </c>
      <c r="C14002" t="s">
        <v>15</v>
      </c>
      <c r="D14002" t="s">
        <v>15</v>
      </c>
      <c r="E14002" t="s">
        <v>15</v>
      </c>
      <c r="F14002" t="s">
        <v>15</v>
      </c>
      <c r="G14002" s="1">
        <f>VALUE(73588.91)</f>
        <v>73588.91</v>
      </c>
      <c r="H14002" s="1">
        <f>VALUE(71410)</f>
        <v>71410</v>
      </c>
      <c r="I14002" s="1">
        <f>VALUE(3620)</f>
        <v>3620</v>
      </c>
      <c r="J14002" s="1">
        <f>VALUE(4381)</f>
        <v>4381</v>
      </c>
      <c r="K14002" s="1">
        <f>VALUE(5491)</f>
        <v>5491</v>
      </c>
      <c r="L14002" s="1">
        <f>VALUE(7106)</f>
        <v>7106</v>
      </c>
      <c r="M14002" s="1">
        <f>VALUE(10256)</f>
        <v>10256</v>
      </c>
      <c r="N14002" t="s">
        <v>16</v>
      </c>
    </row>
    <row r="14003" spans="1:14" x14ac:dyDescent="0.25">
      <c r="A14003" t="s">
        <v>45</v>
      </c>
      <c r="B14003" t="s">
        <v>39</v>
      </c>
      <c r="C14003" t="s">
        <v>15</v>
      </c>
      <c r="D14003" t="s">
        <v>15</v>
      </c>
      <c r="E14003" t="s">
        <v>15</v>
      </c>
      <c r="F14003" t="s">
        <v>17</v>
      </c>
      <c r="G14003" s="1">
        <f>VALUE(13262.76)</f>
        <v>13262.76</v>
      </c>
      <c r="H14003" s="1">
        <f>VALUE(12781.52)</f>
        <v>12781.52</v>
      </c>
      <c r="I14003" s="1">
        <f>VALUE(5079)</f>
        <v>5079</v>
      </c>
      <c r="J14003" s="1">
        <f>VALUE(6458)</f>
        <v>6458</v>
      </c>
      <c r="K14003" s="1">
        <f>VALUE(8649)</f>
        <v>8649</v>
      </c>
      <c r="L14003" s="1">
        <f>VALUE(12698)</f>
        <v>12698</v>
      </c>
      <c r="M14003" s="1">
        <f>VALUE(18823)</f>
        <v>18823</v>
      </c>
      <c r="N14003" t="s">
        <v>16</v>
      </c>
    </row>
    <row r="14004" spans="1:14" x14ac:dyDescent="0.25">
      <c r="A14004" t="s">
        <v>45</v>
      </c>
      <c r="B14004" t="s">
        <v>39</v>
      </c>
      <c r="C14004" t="s">
        <v>15</v>
      </c>
      <c r="D14004" t="s">
        <v>15</v>
      </c>
      <c r="E14004" t="s">
        <v>15</v>
      </c>
      <c r="F14004" t="s">
        <v>18</v>
      </c>
      <c r="G14004" s="2">
        <f>VALUE(7593.66)</f>
        <v>7593.66</v>
      </c>
      <c r="H14004" s="3">
        <f>VALUE(7382.87)</f>
        <v>7382.87</v>
      </c>
      <c r="I14004" s="1">
        <f>VALUE(4595)</f>
        <v>4595</v>
      </c>
      <c r="J14004" s="1">
        <f>VALUE(5333)</f>
        <v>5333</v>
      </c>
      <c r="K14004" s="1">
        <f>VALUE(6343)</f>
        <v>6343</v>
      </c>
      <c r="L14004" s="1">
        <f>VALUE(8417)</f>
        <v>8417</v>
      </c>
      <c r="M14004" s="1">
        <f>VALUE(10617)</f>
        <v>10617</v>
      </c>
      <c r="N14004" t="s">
        <v>25</v>
      </c>
    </row>
    <row r="14005" spans="1:14" x14ac:dyDescent="0.25">
      <c r="A14005" t="s">
        <v>45</v>
      </c>
      <c r="B14005" t="s">
        <v>39</v>
      </c>
      <c r="C14005" t="s">
        <v>15</v>
      </c>
      <c r="D14005" t="s">
        <v>15</v>
      </c>
      <c r="E14005" t="s">
        <v>15</v>
      </c>
      <c r="F14005" t="s">
        <v>19</v>
      </c>
      <c r="G14005" s="1">
        <f>VALUE(8178.44)</f>
        <v>8178.44</v>
      </c>
      <c r="H14005" s="1">
        <f>VALUE(8064.3)</f>
        <v>8064.3</v>
      </c>
      <c r="I14005" s="1">
        <f>VALUE(3870)</f>
        <v>3870</v>
      </c>
      <c r="J14005" s="1">
        <f>VALUE(4638)</f>
        <v>4638</v>
      </c>
      <c r="K14005" s="1">
        <f>VALUE(5778)</f>
        <v>5778</v>
      </c>
      <c r="L14005" s="1">
        <f>VALUE(7036)</f>
        <v>7036</v>
      </c>
      <c r="M14005" s="1">
        <f>VALUE(8870)</f>
        <v>8870</v>
      </c>
      <c r="N14005" t="s">
        <v>16</v>
      </c>
    </row>
    <row r="14006" spans="1:14" x14ac:dyDescent="0.25">
      <c r="A14006" t="s">
        <v>45</v>
      </c>
      <c r="B14006" t="s">
        <v>39</v>
      </c>
      <c r="C14006" t="s">
        <v>15</v>
      </c>
      <c r="D14006" t="s">
        <v>15</v>
      </c>
      <c r="E14006" t="s">
        <v>15</v>
      </c>
      <c r="F14006" t="s">
        <v>20</v>
      </c>
      <c r="G14006" s="1">
        <f>VALUE(44554.05)</f>
        <v>44554.05</v>
      </c>
      <c r="H14006" s="1">
        <f>VALUE(43181.31)</f>
        <v>43181.31</v>
      </c>
      <c r="I14006" s="1">
        <f>VALUE(3457)</f>
        <v>3457</v>
      </c>
      <c r="J14006" s="1">
        <f>VALUE(4067)</f>
        <v>4067</v>
      </c>
      <c r="K14006" s="1">
        <f>VALUE(4912)</f>
        <v>4912</v>
      </c>
      <c r="L14006" s="1">
        <f>VALUE(5960)</f>
        <v>5960</v>
      </c>
      <c r="M14006" s="1">
        <f>VALUE(7106)</f>
        <v>7106</v>
      </c>
      <c r="N14006" t="s">
        <v>16</v>
      </c>
    </row>
    <row r="14007" spans="1:14" x14ac:dyDescent="0.25">
      <c r="A14007" t="s">
        <v>45</v>
      </c>
      <c r="B14007" t="s">
        <v>39</v>
      </c>
      <c r="C14007" t="s">
        <v>15</v>
      </c>
      <c r="D14007" t="s">
        <v>15</v>
      </c>
      <c r="E14007" t="s">
        <v>21</v>
      </c>
      <c r="F14007" t="s">
        <v>15</v>
      </c>
      <c r="G14007" s="1">
        <f>VALUE(22204.22)</f>
        <v>22204.22</v>
      </c>
      <c r="H14007" s="1">
        <f>VALUE(21216.35)</f>
        <v>21216.35</v>
      </c>
      <c r="I14007" s="1">
        <f>VALUE(4178)</f>
        <v>4178</v>
      </c>
      <c r="J14007" s="1">
        <f>VALUE(5341)</f>
        <v>5341</v>
      </c>
      <c r="K14007" s="1">
        <f>VALUE(7246)</f>
        <v>7246</v>
      </c>
      <c r="L14007" s="1">
        <f>VALUE(10159)</f>
        <v>10159</v>
      </c>
      <c r="M14007" s="1">
        <f>VALUE(14784)</f>
        <v>14784</v>
      </c>
      <c r="N14007" t="s">
        <v>16</v>
      </c>
    </row>
    <row r="14008" spans="1:14" x14ac:dyDescent="0.25">
      <c r="A14008" t="s">
        <v>45</v>
      </c>
      <c r="B14008" t="s">
        <v>39</v>
      </c>
      <c r="C14008" t="s">
        <v>15</v>
      </c>
      <c r="D14008" t="s">
        <v>15</v>
      </c>
      <c r="E14008" t="s">
        <v>21</v>
      </c>
      <c r="F14008" t="s">
        <v>17</v>
      </c>
      <c r="G14008" s="1">
        <f>VALUE(8277.98)</f>
        <v>8277.98</v>
      </c>
      <c r="H14008" s="1">
        <f>VALUE(7864.92)</f>
        <v>7864.92</v>
      </c>
      <c r="I14008" s="1">
        <f>VALUE(5417)</f>
        <v>5417</v>
      </c>
      <c r="J14008" s="1">
        <f>VALUE(7138)</f>
        <v>7138</v>
      </c>
      <c r="K14008" s="1">
        <f>VALUE(9829)</f>
        <v>9829</v>
      </c>
      <c r="L14008" s="7">
        <f>VALUE(14034)</f>
        <v>14034</v>
      </c>
      <c r="M14008" s="1">
        <f>VALUE(20448)</f>
        <v>20448</v>
      </c>
      <c r="N14008" t="s">
        <v>25</v>
      </c>
    </row>
    <row r="14009" spans="1:14" x14ac:dyDescent="0.25">
      <c r="A14009" t="s">
        <v>45</v>
      </c>
      <c r="B14009" t="s">
        <v>39</v>
      </c>
      <c r="C14009" t="s">
        <v>15</v>
      </c>
      <c r="D14009" t="s">
        <v>15</v>
      </c>
      <c r="E14009" t="s">
        <v>21</v>
      </c>
      <c r="F14009" t="s">
        <v>18</v>
      </c>
      <c r="G14009" s="2">
        <f>VALUE(3420.57)</f>
        <v>3420.57</v>
      </c>
      <c r="H14009" s="3">
        <f>VALUE(3326.92)</f>
        <v>3326.92</v>
      </c>
      <c r="I14009" s="1">
        <f>VALUE(5104)</f>
        <v>5104</v>
      </c>
      <c r="J14009" s="1">
        <f>VALUE(6067)</f>
        <v>6067</v>
      </c>
      <c r="K14009" s="1">
        <f>VALUE(7925)</f>
        <v>7925</v>
      </c>
      <c r="L14009" s="1">
        <f>VALUE(9583)</f>
        <v>9583</v>
      </c>
      <c r="M14009" s="1">
        <f>VALUE(12116)</f>
        <v>12116</v>
      </c>
      <c r="N14009" t="s">
        <v>25</v>
      </c>
    </row>
    <row r="14010" spans="1:14" x14ac:dyDescent="0.25">
      <c r="A14010" t="s">
        <v>45</v>
      </c>
      <c r="B14010" t="s">
        <v>39</v>
      </c>
      <c r="C14010" t="s">
        <v>15</v>
      </c>
      <c r="D14010" t="s">
        <v>15</v>
      </c>
      <c r="E14010" t="s">
        <v>21</v>
      </c>
      <c r="F14010" t="s">
        <v>19</v>
      </c>
      <c r="G14010" s="2">
        <f>VALUE(2581.81)</f>
        <v>2581.81</v>
      </c>
      <c r="H14010" s="1">
        <f>VALUE(2458.33)</f>
        <v>2458.33</v>
      </c>
      <c r="I14010" s="1">
        <f>VALUE(4161)</f>
        <v>4161</v>
      </c>
      <c r="J14010" s="1">
        <f>VALUE(5215)</f>
        <v>5215</v>
      </c>
      <c r="K14010" s="1">
        <f>VALUE(6706)</f>
        <v>6706</v>
      </c>
      <c r="L14010" s="1">
        <f>VALUE(8448)</f>
        <v>8448</v>
      </c>
      <c r="M14010" s="1">
        <f>VALUE(10998)</f>
        <v>10998</v>
      </c>
      <c r="N14010" t="s">
        <v>25</v>
      </c>
    </row>
    <row r="14011" spans="1:14" x14ac:dyDescent="0.25">
      <c r="A14011" t="s">
        <v>45</v>
      </c>
      <c r="B14011" t="s">
        <v>39</v>
      </c>
      <c r="C14011" t="s">
        <v>15</v>
      </c>
      <c r="D14011" t="s">
        <v>15</v>
      </c>
      <c r="E14011" t="s">
        <v>21</v>
      </c>
      <c r="F14011" t="s">
        <v>20</v>
      </c>
      <c r="G14011" s="1">
        <f>VALUE(7923.86)</f>
        <v>7923.86</v>
      </c>
      <c r="H14011" s="1">
        <f>VALUE(7566.18)</f>
        <v>7566.18</v>
      </c>
      <c r="I14011" s="1">
        <f>VALUE(3738)</f>
        <v>3738</v>
      </c>
      <c r="J14011" s="1">
        <f>VALUE(4312)</f>
        <v>4312</v>
      </c>
      <c r="K14011" s="1">
        <f>VALUE(5583)</f>
        <v>5583</v>
      </c>
      <c r="L14011" s="1">
        <f>VALUE(7398)</f>
        <v>7398</v>
      </c>
      <c r="M14011" s="1">
        <f>VALUE(9615)</f>
        <v>9615</v>
      </c>
      <c r="N14011" t="s">
        <v>16</v>
      </c>
    </row>
    <row r="14012" spans="1:14" x14ac:dyDescent="0.25">
      <c r="A14012" t="s">
        <v>45</v>
      </c>
      <c r="B14012" t="s">
        <v>39</v>
      </c>
      <c r="C14012" t="s">
        <v>15</v>
      </c>
      <c r="D14012" t="s">
        <v>15</v>
      </c>
      <c r="E14012" t="s">
        <v>22</v>
      </c>
      <c r="F14012" t="s">
        <v>15</v>
      </c>
      <c r="G14012" s="1">
        <f>VALUE(29147.08)</f>
        <v>29147.08</v>
      </c>
      <c r="H14012" s="1">
        <f>VALUE(28681.94)</f>
        <v>28681.94</v>
      </c>
      <c r="I14012" s="1">
        <f>VALUE(3765)</f>
        <v>3765</v>
      </c>
      <c r="J14012" s="1">
        <f>VALUE(4540)</f>
        <v>4540</v>
      </c>
      <c r="K14012" s="1">
        <f>VALUE(5468)</f>
        <v>5468</v>
      </c>
      <c r="L14012" s="1">
        <f>VALUE(6667)</f>
        <v>6667</v>
      </c>
      <c r="M14012" s="1">
        <f>VALUE(8673)</f>
        <v>8673</v>
      </c>
      <c r="N14012" t="s">
        <v>16</v>
      </c>
    </row>
    <row r="14013" spans="1:14" x14ac:dyDescent="0.25">
      <c r="A14013" t="s">
        <v>45</v>
      </c>
      <c r="B14013" t="s">
        <v>39</v>
      </c>
      <c r="C14013" t="s">
        <v>15</v>
      </c>
      <c r="D14013" t="s">
        <v>15</v>
      </c>
      <c r="E14013" t="s">
        <v>22</v>
      </c>
      <c r="F14013" t="s">
        <v>17</v>
      </c>
      <c r="G14013" s="2">
        <f>VALUE(4049.79)</f>
        <v>4049.79</v>
      </c>
      <c r="H14013" s="3">
        <f>VALUE(4011.36)</f>
        <v>4011.36</v>
      </c>
      <c r="I14013" s="1">
        <f>VALUE(4719)</f>
        <v>4719</v>
      </c>
      <c r="J14013" s="1">
        <f>VALUE(6118)</f>
        <v>6118</v>
      </c>
      <c r="K14013" s="1">
        <f>VALUE(8250)</f>
        <v>8250</v>
      </c>
      <c r="L14013" s="1">
        <f>VALUE(10909)</f>
        <v>10909</v>
      </c>
      <c r="M14013" s="8">
        <f>VALUE(16250)</f>
        <v>16250</v>
      </c>
      <c r="N14013" t="s">
        <v>25</v>
      </c>
    </row>
    <row r="14014" spans="1:14" x14ac:dyDescent="0.25">
      <c r="A14014" t="s">
        <v>45</v>
      </c>
      <c r="B14014" t="s">
        <v>39</v>
      </c>
      <c r="C14014" t="s">
        <v>15</v>
      </c>
      <c r="D14014" t="s">
        <v>15</v>
      </c>
      <c r="E14014" t="s">
        <v>22</v>
      </c>
      <c r="F14014" t="s">
        <v>18</v>
      </c>
      <c r="G14014" s="2">
        <f>VALUE(3211.22)</f>
        <v>3211.22</v>
      </c>
      <c r="H14014" s="3">
        <f>VALUE(3087.2)</f>
        <v>3087.2</v>
      </c>
      <c r="I14014" s="1">
        <f>VALUE(4502)</f>
        <v>4502</v>
      </c>
      <c r="J14014" s="1">
        <f>VALUE(5308)</f>
        <v>5308</v>
      </c>
      <c r="K14014" s="1">
        <f>VALUE(5611)</f>
        <v>5611</v>
      </c>
      <c r="L14014" s="1">
        <f>VALUE(7187)</f>
        <v>7187</v>
      </c>
      <c r="M14014" s="1">
        <f>VALUE(9160)</f>
        <v>9160</v>
      </c>
      <c r="N14014" t="s">
        <v>25</v>
      </c>
    </row>
    <row r="14015" spans="1:14" x14ac:dyDescent="0.25">
      <c r="A14015" t="s">
        <v>45</v>
      </c>
      <c r="B14015" t="s">
        <v>39</v>
      </c>
      <c r="C14015" t="s">
        <v>15</v>
      </c>
      <c r="D14015" t="s">
        <v>15</v>
      </c>
      <c r="E14015" t="s">
        <v>22</v>
      </c>
      <c r="F14015" t="s">
        <v>19</v>
      </c>
      <c r="G14015" s="1">
        <f>VALUE(4131.47)</f>
        <v>4131.47</v>
      </c>
      <c r="H14015" s="1">
        <f>VALUE(4154.45)</f>
        <v>4154.45</v>
      </c>
      <c r="I14015" s="1">
        <f>VALUE(3902)</f>
        <v>3902</v>
      </c>
      <c r="J14015" s="1">
        <f>VALUE(4677)</f>
        <v>4677</v>
      </c>
      <c r="K14015" s="1">
        <f>VALUE(5747)</f>
        <v>5747</v>
      </c>
      <c r="L14015" s="1">
        <f>VALUE(6672)</f>
        <v>6672</v>
      </c>
      <c r="M14015" s="1">
        <f>VALUE(7968)</f>
        <v>7968</v>
      </c>
      <c r="N14015" t="s">
        <v>16</v>
      </c>
    </row>
    <row r="14016" spans="1:14" x14ac:dyDescent="0.25">
      <c r="A14016" t="s">
        <v>45</v>
      </c>
      <c r="B14016" t="s">
        <v>39</v>
      </c>
      <c r="C14016" t="s">
        <v>15</v>
      </c>
      <c r="D14016" t="s">
        <v>15</v>
      </c>
      <c r="E14016" t="s">
        <v>22</v>
      </c>
      <c r="F14016" t="s">
        <v>20</v>
      </c>
      <c r="G14016" s="1">
        <f>VALUE(17754.6)</f>
        <v>17754.599999999999</v>
      </c>
      <c r="H14016" s="1">
        <f>VALUE(17428.93)</f>
        <v>17428.93</v>
      </c>
      <c r="I14016" s="1">
        <f>VALUE(3569)</f>
        <v>3569</v>
      </c>
      <c r="J14016" s="1">
        <f>VALUE(4286)</f>
        <v>4286</v>
      </c>
      <c r="K14016" s="1">
        <f>VALUE(5121)</f>
        <v>5121</v>
      </c>
      <c r="L14016" s="1">
        <f>VALUE(6055)</f>
        <v>6055</v>
      </c>
      <c r="M14016" s="1">
        <f>VALUE(7099)</f>
        <v>7099</v>
      </c>
      <c r="N14016" t="s">
        <v>16</v>
      </c>
    </row>
    <row r="14017" spans="1:14" x14ac:dyDescent="0.25">
      <c r="A14017" t="s">
        <v>45</v>
      </c>
      <c r="B14017" t="s">
        <v>39</v>
      </c>
      <c r="C14017" t="s">
        <v>15</v>
      </c>
      <c r="D14017" t="s">
        <v>15</v>
      </c>
      <c r="E14017" t="s">
        <v>23</v>
      </c>
      <c r="F14017" t="s">
        <v>15</v>
      </c>
      <c r="G14017" s="1">
        <f>VALUE(21543.5)</f>
        <v>21543.5</v>
      </c>
      <c r="H14017" s="1">
        <f>VALUE(20879.96)</f>
        <v>20879.96</v>
      </c>
      <c r="I14017" s="1">
        <f>VALUE(3408)</f>
        <v>3408</v>
      </c>
      <c r="J14017" s="1">
        <f>VALUE(3860)</f>
        <v>3860</v>
      </c>
      <c r="K14017" s="1">
        <f>VALUE(4591)</f>
        <v>4591</v>
      </c>
      <c r="L14017" s="1">
        <f>VALUE(5569)</f>
        <v>5569</v>
      </c>
      <c r="M14017" s="1">
        <f>VALUE(6413)</f>
        <v>6413</v>
      </c>
      <c r="N14017" t="s">
        <v>16</v>
      </c>
    </row>
    <row r="14018" spans="1:14" x14ac:dyDescent="0.25">
      <c r="A14018" t="s">
        <v>45</v>
      </c>
      <c r="B14018" t="s">
        <v>39</v>
      </c>
      <c r="C14018" t="s">
        <v>15</v>
      </c>
      <c r="D14018" t="s">
        <v>15</v>
      </c>
      <c r="E14018" t="s">
        <v>23</v>
      </c>
      <c r="F14018" t="s">
        <v>17</v>
      </c>
      <c r="G14018" s="2">
        <f>VALUE(853.03)</f>
        <v>853.03</v>
      </c>
      <c r="H14018" s="3">
        <f>VALUE(831.99)</f>
        <v>831.99</v>
      </c>
      <c r="I14018" s="4">
        <f>VALUE(3507)</f>
        <v>3507</v>
      </c>
      <c r="J14018" s="5">
        <f>VALUE(5069)</f>
        <v>5069</v>
      </c>
      <c r="K14018" s="6">
        <f>VALUE(5909)</f>
        <v>5909</v>
      </c>
      <c r="L14018" s="1">
        <f>VALUE(7583)</f>
        <v>7583</v>
      </c>
      <c r="M14018" s="8">
        <f>VALUE(9524)</f>
        <v>9524</v>
      </c>
      <c r="N14018" t="s">
        <v>25</v>
      </c>
    </row>
    <row r="14019" spans="1:14" x14ac:dyDescent="0.25">
      <c r="A14019" t="s">
        <v>45</v>
      </c>
      <c r="B14019" t="s">
        <v>39</v>
      </c>
      <c r="C14019" t="s">
        <v>15</v>
      </c>
      <c r="D14019" t="s">
        <v>15</v>
      </c>
      <c r="E14019" t="s">
        <v>23</v>
      </c>
      <c r="F14019" t="s">
        <v>18</v>
      </c>
      <c r="G14019" s="2">
        <f>VALUE(867.5)</f>
        <v>867.5</v>
      </c>
      <c r="H14019" s="3">
        <f>VALUE(874.93)</f>
        <v>874.93</v>
      </c>
      <c r="I14019" s="1">
        <f>VALUE(3918)</f>
        <v>3918</v>
      </c>
      <c r="J14019" s="1">
        <f>VALUE(4716)</f>
        <v>4716</v>
      </c>
      <c r="K14019" s="1">
        <f>VALUE(5093)</f>
        <v>5093</v>
      </c>
      <c r="L14019" s="1">
        <f>VALUE(5691)</f>
        <v>5691</v>
      </c>
      <c r="M14019" s="8">
        <f>VALUE(7235)</f>
        <v>7235</v>
      </c>
      <c r="N14019" t="s">
        <v>25</v>
      </c>
    </row>
    <row r="14020" spans="1:14" x14ac:dyDescent="0.25">
      <c r="A14020" t="s">
        <v>45</v>
      </c>
      <c r="B14020" t="s">
        <v>39</v>
      </c>
      <c r="C14020" t="s">
        <v>15</v>
      </c>
      <c r="D14020" t="s">
        <v>15</v>
      </c>
      <c r="E14020" t="s">
        <v>23</v>
      </c>
      <c r="F14020" t="s">
        <v>19</v>
      </c>
      <c r="G14020" s="2">
        <f>VALUE(1451.66)</f>
        <v>1451.66</v>
      </c>
      <c r="H14020" s="3">
        <f>VALUE(1437.54)</f>
        <v>1437.54</v>
      </c>
      <c r="I14020" s="1">
        <f>VALUE(3584)</f>
        <v>3584</v>
      </c>
      <c r="J14020" s="1">
        <f>VALUE(4163)</f>
        <v>4163</v>
      </c>
      <c r="K14020" s="1">
        <f>VALUE(4956.5)</f>
        <v>4956.5</v>
      </c>
      <c r="L14020" s="1">
        <f>VALUE(5841)</f>
        <v>5841</v>
      </c>
      <c r="M14020" s="1">
        <f>VALUE(7098)</f>
        <v>7098</v>
      </c>
      <c r="N14020" t="s">
        <v>25</v>
      </c>
    </row>
    <row r="14021" spans="1:14" x14ac:dyDescent="0.25">
      <c r="A14021" t="s">
        <v>45</v>
      </c>
      <c r="B14021" t="s">
        <v>39</v>
      </c>
      <c r="C14021" t="s">
        <v>15</v>
      </c>
      <c r="D14021" t="s">
        <v>15</v>
      </c>
      <c r="E14021" t="s">
        <v>23</v>
      </c>
      <c r="F14021" t="s">
        <v>20</v>
      </c>
      <c r="G14021" s="1">
        <f>VALUE(18371.31)</f>
        <v>18371.310000000001</v>
      </c>
      <c r="H14021" s="1">
        <f>VALUE(17735.5)</f>
        <v>17735.5</v>
      </c>
      <c r="I14021" s="1">
        <f>VALUE(3381)</f>
        <v>3381</v>
      </c>
      <c r="J14021" s="1">
        <f>VALUE(3800)</f>
        <v>3800</v>
      </c>
      <c r="K14021" s="1">
        <f>VALUE(4504)</f>
        <v>4504</v>
      </c>
      <c r="L14021" s="1">
        <f>VALUE(5494)</f>
        <v>5494</v>
      </c>
      <c r="M14021" s="1">
        <f>VALUE(6228)</f>
        <v>6228</v>
      </c>
      <c r="N14021" t="s">
        <v>16</v>
      </c>
    </row>
    <row r="14022" spans="1:14" x14ac:dyDescent="0.25">
      <c r="A14022" t="s">
        <v>45</v>
      </c>
      <c r="B14022" t="s">
        <v>39</v>
      </c>
      <c r="C14022" t="s">
        <v>15</v>
      </c>
      <c r="D14022" t="s">
        <v>15</v>
      </c>
      <c r="E14022" t="s">
        <v>26</v>
      </c>
      <c r="F14022" t="s">
        <v>15</v>
      </c>
      <c r="G14022" s="2">
        <f>VALUE(694.11)</f>
        <v>694.11</v>
      </c>
      <c r="H14022" s="3">
        <f>VALUE(631.75)</f>
        <v>631.75</v>
      </c>
      <c r="I14022" s="1">
        <f>VALUE(3619)</f>
        <v>3619</v>
      </c>
      <c r="J14022" s="1">
        <f>VALUE(4463)</f>
        <v>4463</v>
      </c>
      <c r="K14022" s="6">
        <f>VALUE(5942)</f>
        <v>5942</v>
      </c>
      <c r="L14022" s="1">
        <f>VALUE(8471)</f>
        <v>8471</v>
      </c>
      <c r="M14022" s="1">
        <f>VALUE(11500)</f>
        <v>11500</v>
      </c>
      <c r="N14022" t="s">
        <v>25</v>
      </c>
    </row>
    <row r="14023" spans="1:14" x14ac:dyDescent="0.25">
      <c r="A14023" t="s">
        <v>45</v>
      </c>
      <c r="B14023" t="s">
        <v>39</v>
      </c>
      <c r="C14023" t="s">
        <v>15</v>
      </c>
      <c r="D14023" t="s">
        <v>15</v>
      </c>
      <c r="E14023" t="s">
        <v>26</v>
      </c>
      <c r="F14023" t="s">
        <v>17</v>
      </c>
      <c r="G14023" s="1" t="str">
        <f t="shared" ref="G14023:M14023" si="3207">"X"</f>
        <v>X</v>
      </c>
      <c r="H14023" s="1" t="str">
        <f t="shared" si="3207"/>
        <v>X</v>
      </c>
      <c r="I14023" s="1" t="str">
        <f t="shared" si="3207"/>
        <v>X</v>
      </c>
      <c r="J14023" s="1" t="str">
        <f t="shared" si="3207"/>
        <v>X</v>
      </c>
      <c r="K14023" s="1" t="str">
        <f t="shared" si="3207"/>
        <v>X</v>
      </c>
      <c r="L14023" s="1" t="str">
        <f t="shared" si="3207"/>
        <v>X</v>
      </c>
      <c r="M14023" s="1" t="str">
        <f t="shared" si="3207"/>
        <v>X</v>
      </c>
      <c r="N14023" t="s">
        <v>27</v>
      </c>
    </row>
    <row r="14024" spans="1:14" x14ac:dyDescent="0.25">
      <c r="A14024" t="s">
        <v>45</v>
      </c>
      <c r="B14024" t="s">
        <v>39</v>
      </c>
      <c r="C14024" t="s">
        <v>15</v>
      </c>
      <c r="D14024" t="s">
        <v>15</v>
      </c>
      <c r="E14024" t="s">
        <v>26</v>
      </c>
      <c r="F14024" t="s">
        <v>18</v>
      </c>
      <c r="G14024" s="2">
        <f>VALUE(94.37)</f>
        <v>94.37</v>
      </c>
      <c r="H14024" s="3">
        <f>VALUE(93.82)</f>
        <v>93.82</v>
      </c>
      <c r="I14024" s="1">
        <f>VALUE(5769)</f>
        <v>5769</v>
      </c>
      <c r="J14024" s="1">
        <f>VALUE(7315)</f>
        <v>7315</v>
      </c>
      <c r="K14024" s="1">
        <f>VALUE(8381)</f>
        <v>8381</v>
      </c>
      <c r="L14024" s="1">
        <f>VALUE(10203)</f>
        <v>10203</v>
      </c>
      <c r="M14024" s="1">
        <f>VALUE(11805)</f>
        <v>11805</v>
      </c>
      <c r="N14024" t="s">
        <v>25</v>
      </c>
    </row>
    <row r="14025" spans="1:14" x14ac:dyDescent="0.25">
      <c r="A14025" t="s">
        <v>45</v>
      </c>
      <c r="B14025" t="s">
        <v>39</v>
      </c>
      <c r="C14025" t="s">
        <v>15</v>
      </c>
      <c r="D14025" t="s">
        <v>15</v>
      </c>
      <c r="E14025" t="s">
        <v>26</v>
      </c>
      <c r="F14025" t="s">
        <v>19</v>
      </c>
      <c r="G14025" s="1" t="str">
        <f t="shared" ref="G14025:M14025" si="3208">"X"</f>
        <v>X</v>
      </c>
      <c r="H14025" s="1" t="str">
        <f t="shared" si="3208"/>
        <v>X</v>
      </c>
      <c r="I14025" s="1" t="str">
        <f t="shared" si="3208"/>
        <v>X</v>
      </c>
      <c r="J14025" s="1" t="str">
        <f t="shared" si="3208"/>
        <v>X</v>
      </c>
      <c r="K14025" s="1" t="str">
        <f t="shared" si="3208"/>
        <v>X</v>
      </c>
      <c r="L14025" s="1" t="str">
        <f t="shared" si="3208"/>
        <v>X</v>
      </c>
      <c r="M14025" s="1" t="str">
        <f t="shared" si="3208"/>
        <v>X</v>
      </c>
      <c r="N14025" t="s">
        <v>27</v>
      </c>
    </row>
    <row r="14026" spans="1:14" x14ac:dyDescent="0.25">
      <c r="A14026" t="s">
        <v>45</v>
      </c>
      <c r="B14026" t="s">
        <v>39</v>
      </c>
      <c r="C14026" t="s">
        <v>15</v>
      </c>
      <c r="D14026" t="s">
        <v>15</v>
      </c>
      <c r="E14026" t="s">
        <v>26</v>
      </c>
      <c r="F14026" t="s">
        <v>20</v>
      </c>
      <c r="G14026" s="2">
        <f>VALUE(504.28)</f>
        <v>504.28</v>
      </c>
      <c r="H14026" s="3">
        <f>VALUE(450.7)</f>
        <v>450.7</v>
      </c>
      <c r="I14026" s="1">
        <f>VALUE(3500)</f>
        <v>3500</v>
      </c>
      <c r="J14026" s="1">
        <f>VALUE(4161)</f>
        <v>4161</v>
      </c>
      <c r="K14026" s="1">
        <f>VALUE(5379)</f>
        <v>5379</v>
      </c>
      <c r="L14026" s="1">
        <f>VALUE(7745)</f>
        <v>7745</v>
      </c>
      <c r="M14026" s="8">
        <f>VALUE(9842)</f>
        <v>9842</v>
      </c>
      <c r="N14026" t="s">
        <v>25</v>
      </c>
    </row>
    <row r="14027" spans="1:14" x14ac:dyDescent="0.25">
      <c r="A14027" t="s">
        <v>45</v>
      </c>
      <c r="B14027" t="s">
        <v>39</v>
      </c>
      <c r="C14027" t="s">
        <v>15</v>
      </c>
      <c r="D14027" t="s">
        <v>28</v>
      </c>
      <c r="E14027" t="s">
        <v>15</v>
      </c>
      <c r="F14027" t="s">
        <v>15</v>
      </c>
      <c r="G14027" s="1">
        <f>VALUE(25416.28)</f>
        <v>25416.28</v>
      </c>
      <c r="H14027" s="1">
        <f>VALUE(24280.68)</f>
        <v>24280.68</v>
      </c>
      <c r="I14027" s="1">
        <f>VALUE(4260)</f>
        <v>4260</v>
      </c>
      <c r="J14027" s="1">
        <f>VALUE(5174)</f>
        <v>5174</v>
      </c>
      <c r="K14027" s="1">
        <f>VALUE(6476)</f>
        <v>6476</v>
      </c>
      <c r="L14027" s="1">
        <f>VALUE(8941)</f>
        <v>8941</v>
      </c>
      <c r="M14027" s="1">
        <f>VALUE(12667)</f>
        <v>12667</v>
      </c>
      <c r="N14027" t="s">
        <v>16</v>
      </c>
    </row>
    <row r="14028" spans="1:14" x14ac:dyDescent="0.25">
      <c r="A14028" t="s">
        <v>45</v>
      </c>
      <c r="B14028" t="s">
        <v>39</v>
      </c>
      <c r="C14028" t="s">
        <v>15</v>
      </c>
      <c r="D14028" t="s">
        <v>28</v>
      </c>
      <c r="E14028" t="s">
        <v>15</v>
      </c>
      <c r="F14028" t="s">
        <v>17</v>
      </c>
      <c r="G14028" s="1">
        <f>VALUE(7607.68)</f>
        <v>7607.68</v>
      </c>
      <c r="H14028" s="1">
        <f>VALUE(7348.48)</f>
        <v>7348.48</v>
      </c>
      <c r="I14028" s="1">
        <f>VALUE(5285)</f>
        <v>5285</v>
      </c>
      <c r="J14028" s="1">
        <f>VALUE(6930)</f>
        <v>6930</v>
      </c>
      <c r="K14028" s="1">
        <f>VALUE(9613)</f>
        <v>9613</v>
      </c>
      <c r="L14028" s="1">
        <f>VALUE(13333)</f>
        <v>13333</v>
      </c>
      <c r="M14028" s="1">
        <f>VALUE(19360)</f>
        <v>19360</v>
      </c>
      <c r="N14028" t="s">
        <v>16</v>
      </c>
    </row>
    <row r="14029" spans="1:14" x14ac:dyDescent="0.25">
      <c r="A14029" t="s">
        <v>45</v>
      </c>
      <c r="B14029" t="s">
        <v>39</v>
      </c>
      <c r="C14029" t="s">
        <v>15</v>
      </c>
      <c r="D14029" t="s">
        <v>28</v>
      </c>
      <c r="E14029" t="s">
        <v>15</v>
      </c>
      <c r="F14029" t="s">
        <v>18</v>
      </c>
      <c r="G14029" s="2">
        <f>VALUE(3214.48)</f>
        <v>3214.48</v>
      </c>
      <c r="H14029" s="3">
        <f>VALUE(3065.21)</f>
        <v>3065.21</v>
      </c>
      <c r="I14029" s="1">
        <f>VALUE(5000)</f>
        <v>5000</v>
      </c>
      <c r="J14029" s="1">
        <f>VALUE(5738)</f>
        <v>5738</v>
      </c>
      <c r="K14029" s="1">
        <f>VALUE(7541)</f>
        <v>7541</v>
      </c>
      <c r="L14029" s="1">
        <f>VALUE(9036)</f>
        <v>9036</v>
      </c>
      <c r="M14029" s="1">
        <f>VALUE(11332)</f>
        <v>11332</v>
      </c>
      <c r="N14029" t="s">
        <v>25</v>
      </c>
    </row>
    <row r="14030" spans="1:14" x14ac:dyDescent="0.25">
      <c r="A14030" t="s">
        <v>45</v>
      </c>
      <c r="B14030" t="s">
        <v>39</v>
      </c>
      <c r="C14030" t="s">
        <v>15</v>
      </c>
      <c r="D14030" t="s">
        <v>28</v>
      </c>
      <c r="E14030" t="s">
        <v>15</v>
      </c>
      <c r="F14030" t="s">
        <v>19</v>
      </c>
      <c r="G14030" s="2">
        <f>VALUE(3058.93)</f>
        <v>3058.93</v>
      </c>
      <c r="H14030" s="3">
        <f>VALUE(2949.67)</f>
        <v>2949.67</v>
      </c>
      <c r="I14030" s="1">
        <f>VALUE(4437)</f>
        <v>4437</v>
      </c>
      <c r="J14030" s="1">
        <f>VALUE(5361)</f>
        <v>5361</v>
      </c>
      <c r="K14030" s="1">
        <f>VALUE(6381)</f>
        <v>6381</v>
      </c>
      <c r="L14030" s="1">
        <f>VALUE(7706)</f>
        <v>7706</v>
      </c>
      <c r="M14030" s="1">
        <f>VALUE(9664)</f>
        <v>9664</v>
      </c>
      <c r="N14030" t="s">
        <v>25</v>
      </c>
    </row>
    <row r="14031" spans="1:14" x14ac:dyDescent="0.25">
      <c r="A14031" t="s">
        <v>45</v>
      </c>
      <c r="B14031" t="s">
        <v>39</v>
      </c>
      <c r="C14031" t="s">
        <v>15</v>
      </c>
      <c r="D14031" t="s">
        <v>28</v>
      </c>
      <c r="E14031" t="s">
        <v>15</v>
      </c>
      <c r="F14031" t="s">
        <v>20</v>
      </c>
      <c r="G14031" s="1">
        <f>VALUE(11535.19)</f>
        <v>11535.19</v>
      </c>
      <c r="H14031" s="1">
        <f>VALUE(10917.32)</f>
        <v>10917.32</v>
      </c>
      <c r="I14031" s="1">
        <f>VALUE(3963)</f>
        <v>3963</v>
      </c>
      <c r="J14031" s="1">
        <f>VALUE(4599)</f>
        <v>4599</v>
      </c>
      <c r="K14031" s="1">
        <f>VALUE(5521)</f>
        <v>5521</v>
      </c>
      <c r="L14031" s="1">
        <f>VALUE(6692)</f>
        <v>6692</v>
      </c>
      <c r="M14031" s="1">
        <f>VALUE(8174)</f>
        <v>8174</v>
      </c>
      <c r="N14031" t="s">
        <v>16</v>
      </c>
    </row>
    <row r="14032" spans="1:14" x14ac:dyDescent="0.25">
      <c r="A14032" t="s">
        <v>45</v>
      </c>
      <c r="B14032" t="s">
        <v>39</v>
      </c>
      <c r="C14032" t="s">
        <v>15</v>
      </c>
      <c r="D14032" t="s">
        <v>28</v>
      </c>
      <c r="E14032" t="s">
        <v>21</v>
      </c>
      <c r="F14032" t="s">
        <v>15</v>
      </c>
      <c r="G14032" s="1">
        <f>VALUE(9677.93)</f>
        <v>9677.93</v>
      </c>
      <c r="H14032" s="1">
        <f>VALUE(9113.67)</f>
        <v>9113.67</v>
      </c>
      <c r="I14032" s="4">
        <f>VALUE(4889)</f>
        <v>4889</v>
      </c>
      <c r="J14032" s="1">
        <f>VALUE(6270)</f>
        <v>6270</v>
      </c>
      <c r="K14032" s="1">
        <f>VALUE(8400)</f>
        <v>8400</v>
      </c>
      <c r="L14032" s="1">
        <f>VALUE(11556)</f>
        <v>11556</v>
      </c>
      <c r="M14032" s="1">
        <f>VALUE(16583)</f>
        <v>16583</v>
      </c>
      <c r="N14032" t="s">
        <v>25</v>
      </c>
    </row>
    <row r="14033" spans="1:14" x14ac:dyDescent="0.25">
      <c r="A14033" t="s">
        <v>45</v>
      </c>
      <c r="B14033" t="s">
        <v>39</v>
      </c>
      <c r="C14033" t="s">
        <v>15</v>
      </c>
      <c r="D14033" t="s">
        <v>28</v>
      </c>
      <c r="E14033" t="s">
        <v>21</v>
      </c>
      <c r="F14033" t="s">
        <v>17</v>
      </c>
      <c r="G14033" s="2">
        <f>VALUE(4663.31)</f>
        <v>4663.3100000000004</v>
      </c>
      <c r="H14033" s="3">
        <f>VALUE(4444.08)</f>
        <v>4444.08</v>
      </c>
      <c r="I14033" s="4">
        <f>VALUE(5493)</f>
        <v>5493</v>
      </c>
      <c r="J14033" s="1">
        <f>VALUE(7540)</f>
        <v>7540</v>
      </c>
      <c r="K14033" s="1">
        <f>VALUE(10673)</f>
        <v>10673</v>
      </c>
      <c r="L14033" s="1">
        <f>VALUE(14702)</f>
        <v>14702</v>
      </c>
      <c r="M14033" s="1">
        <f>VALUE(20325)</f>
        <v>20325</v>
      </c>
      <c r="N14033" t="s">
        <v>25</v>
      </c>
    </row>
    <row r="14034" spans="1:14" x14ac:dyDescent="0.25">
      <c r="A14034" t="s">
        <v>45</v>
      </c>
      <c r="B14034" t="s">
        <v>39</v>
      </c>
      <c r="C14034" t="s">
        <v>15</v>
      </c>
      <c r="D14034" t="s">
        <v>28</v>
      </c>
      <c r="E14034" t="s">
        <v>21</v>
      </c>
      <c r="F14034" t="s">
        <v>18</v>
      </c>
      <c r="G14034" s="2">
        <f>VALUE(1502.74)</f>
        <v>1502.74</v>
      </c>
      <c r="H14034" s="3">
        <f>VALUE(1427.71)</f>
        <v>1427.71</v>
      </c>
      <c r="I14034" s="1">
        <f>VALUE(5772)</f>
        <v>5772</v>
      </c>
      <c r="J14034" s="1">
        <f>VALUE(7416)</f>
        <v>7416</v>
      </c>
      <c r="K14034" s="1">
        <f>VALUE(8571)</f>
        <v>8571</v>
      </c>
      <c r="L14034" s="1">
        <f>VALUE(9985)</f>
        <v>9985</v>
      </c>
      <c r="M14034" s="1">
        <f>VALUE(12356)</f>
        <v>12356</v>
      </c>
      <c r="N14034" t="s">
        <v>25</v>
      </c>
    </row>
    <row r="14035" spans="1:14" x14ac:dyDescent="0.25">
      <c r="A14035" t="s">
        <v>45</v>
      </c>
      <c r="B14035" t="s">
        <v>39</v>
      </c>
      <c r="C14035" t="s">
        <v>15</v>
      </c>
      <c r="D14035" t="s">
        <v>28</v>
      </c>
      <c r="E14035" t="s">
        <v>21</v>
      </c>
      <c r="F14035" t="s">
        <v>19</v>
      </c>
      <c r="G14035" s="2">
        <f>VALUE(985.14)</f>
        <v>985.14</v>
      </c>
      <c r="H14035" s="3">
        <f>VALUE(902.9)</f>
        <v>902.9</v>
      </c>
      <c r="I14035" s="1">
        <f>VALUE(5159)</f>
        <v>5159</v>
      </c>
      <c r="J14035" s="1">
        <f>VALUE(6266)</f>
        <v>6266</v>
      </c>
      <c r="K14035" s="1">
        <f>VALUE(7240)</f>
        <v>7240</v>
      </c>
      <c r="L14035" s="1">
        <f>VALUE(9048)</f>
        <v>9048</v>
      </c>
      <c r="M14035" s="8">
        <f>VALUE(11667)</f>
        <v>11667</v>
      </c>
      <c r="N14035" t="s">
        <v>25</v>
      </c>
    </row>
    <row r="14036" spans="1:14" x14ac:dyDescent="0.25">
      <c r="A14036" t="s">
        <v>45</v>
      </c>
      <c r="B14036" t="s">
        <v>39</v>
      </c>
      <c r="C14036" t="s">
        <v>15</v>
      </c>
      <c r="D14036" t="s">
        <v>28</v>
      </c>
      <c r="E14036" t="s">
        <v>21</v>
      </c>
      <c r="F14036" t="s">
        <v>20</v>
      </c>
      <c r="G14036" s="2">
        <f>VALUE(2526.74)</f>
        <v>2526.7399999999998</v>
      </c>
      <c r="H14036" s="3">
        <f>VALUE(2338.98)</f>
        <v>2338.98</v>
      </c>
      <c r="I14036" s="1">
        <f>VALUE(4178)</f>
        <v>4178</v>
      </c>
      <c r="J14036" s="1">
        <f>VALUE(4889)</f>
        <v>4889</v>
      </c>
      <c r="K14036" s="1">
        <f>VALUE(6250)</f>
        <v>6250</v>
      </c>
      <c r="L14036" s="1">
        <f>VALUE(8233)</f>
        <v>8233</v>
      </c>
      <c r="M14036" s="1">
        <f>VALUE(10666)</f>
        <v>10666</v>
      </c>
      <c r="N14036" t="s">
        <v>25</v>
      </c>
    </row>
    <row r="14037" spans="1:14" x14ac:dyDescent="0.25">
      <c r="A14037" t="s">
        <v>45</v>
      </c>
      <c r="B14037" t="s">
        <v>39</v>
      </c>
      <c r="C14037" t="s">
        <v>15</v>
      </c>
      <c r="D14037" t="s">
        <v>28</v>
      </c>
      <c r="E14037" t="s">
        <v>22</v>
      </c>
      <c r="F14037" t="s">
        <v>15</v>
      </c>
      <c r="G14037" s="1">
        <f>VALUE(13044.86)</f>
        <v>13044.86</v>
      </c>
      <c r="H14037" s="1">
        <f>VALUE(12745.85)</f>
        <v>12745.85</v>
      </c>
      <c r="I14037" s="1">
        <f>VALUE(4211)</f>
        <v>4211</v>
      </c>
      <c r="J14037" s="1">
        <f>VALUE(4986)</f>
        <v>4986</v>
      </c>
      <c r="K14037" s="1">
        <f>VALUE(6040)</f>
        <v>6040</v>
      </c>
      <c r="L14037" s="1">
        <f>VALUE(7434)</f>
        <v>7434</v>
      </c>
      <c r="M14037" s="1">
        <f>VALUE(9953)</f>
        <v>9953</v>
      </c>
      <c r="N14037" t="s">
        <v>16</v>
      </c>
    </row>
    <row r="14038" spans="1:14" x14ac:dyDescent="0.25">
      <c r="A14038" t="s">
        <v>45</v>
      </c>
      <c r="B14038" t="s">
        <v>39</v>
      </c>
      <c r="C14038" t="s">
        <v>15</v>
      </c>
      <c r="D14038" t="s">
        <v>28</v>
      </c>
      <c r="E14038" t="s">
        <v>22</v>
      </c>
      <c r="F14038" t="s">
        <v>17</v>
      </c>
      <c r="G14038" s="2">
        <f>VALUE(2597.22)</f>
        <v>2597.2199999999998</v>
      </c>
      <c r="H14038" s="3">
        <f>VALUE(2565.72)</f>
        <v>2565.7199999999998</v>
      </c>
      <c r="I14038" s="1">
        <f>VALUE(5137)</f>
        <v>5137</v>
      </c>
      <c r="J14038" s="1">
        <f>VALUE(6472)</f>
        <v>6472</v>
      </c>
      <c r="K14038" s="6">
        <f>VALUE(8367)</f>
        <v>8367</v>
      </c>
      <c r="L14038" s="1">
        <f>VALUE(11608)</f>
        <v>11608</v>
      </c>
      <c r="M14038" s="8">
        <f>VALUE(17214)</f>
        <v>17214</v>
      </c>
      <c r="N14038" t="s">
        <v>25</v>
      </c>
    </row>
    <row r="14039" spans="1:14" x14ac:dyDescent="0.25">
      <c r="A14039" t="s">
        <v>45</v>
      </c>
      <c r="B14039" t="s">
        <v>39</v>
      </c>
      <c r="C14039" t="s">
        <v>15</v>
      </c>
      <c r="D14039" t="s">
        <v>28</v>
      </c>
      <c r="E14039" t="s">
        <v>22</v>
      </c>
      <c r="F14039" t="s">
        <v>18</v>
      </c>
      <c r="G14039" s="2">
        <f>VALUE(1591.19)</f>
        <v>1591.19</v>
      </c>
      <c r="H14039" s="3">
        <f>VALUE(1521.01)</f>
        <v>1521.01</v>
      </c>
      <c r="I14039" s="1">
        <f>VALUE(4730)</f>
        <v>4730</v>
      </c>
      <c r="J14039" s="1">
        <f>VALUE(5407)</f>
        <v>5407</v>
      </c>
      <c r="K14039" s="1">
        <f>VALUE(6283)</f>
        <v>6283</v>
      </c>
      <c r="L14039" s="1">
        <f>VALUE(7951)</f>
        <v>7951</v>
      </c>
      <c r="M14039" s="8">
        <f>VALUE(9921)</f>
        <v>9921</v>
      </c>
      <c r="N14039" t="s">
        <v>25</v>
      </c>
    </row>
    <row r="14040" spans="1:14" x14ac:dyDescent="0.25">
      <c r="A14040" t="s">
        <v>45</v>
      </c>
      <c r="B14040" t="s">
        <v>39</v>
      </c>
      <c r="C14040" t="s">
        <v>15</v>
      </c>
      <c r="D14040" t="s">
        <v>28</v>
      </c>
      <c r="E14040" t="s">
        <v>22</v>
      </c>
      <c r="F14040" t="s">
        <v>19</v>
      </c>
      <c r="G14040" s="2">
        <f>VALUE(1858.6)</f>
        <v>1858.6</v>
      </c>
      <c r="H14040" s="3">
        <f>VALUE(1859.99)</f>
        <v>1859.99</v>
      </c>
      <c r="I14040" s="1">
        <f>VALUE(4299)</f>
        <v>4299</v>
      </c>
      <c r="J14040" s="1">
        <f>VALUE(5155)</f>
        <v>5155</v>
      </c>
      <c r="K14040" s="1">
        <f>VALUE(6153)</f>
        <v>6153</v>
      </c>
      <c r="L14040" s="1">
        <f>VALUE(6998)</f>
        <v>6998</v>
      </c>
      <c r="M14040" s="1">
        <f>VALUE(8604)</f>
        <v>8604</v>
      </c>
      <c r="N14040" t="s">
        <v>25</v>
      </c>
    </row>
    <row r="14041" spans="1:14" x14ac:dyDescent="0.25">
      <c r="A14041" t="s">
        <v>45</v>
      </c>
      <c r="B14041" t="s">
        <v>39</v>
      </c>
      <c r="C14041" t="s">
        <v>15</v>
      </c>
      <c r="D14041" t="s">
        <v>28</v>
      </c>
      <c r="E14041" t="s">
        <v>22</v>
      </c>
      <c r="F14041" t="s">
        <v>20</v>
      </c>
      <c r="G14041" s="1">
        <f>VALUE(6997.85)</f>
        <v>6997.85</v>
      </c>
      <c r="H14041" s="1">
        <f>VALUE(6799.13)</f>
        <v>6799.13</v>
      </c>
      <c r="I14041" s="1">
        <f>VALUE(4027)</f>
        <v>4027</v>
      </c>
      <c r="J14041" s="1">
        <f>VALUE(4658)</f>
        <v>4658</v>
      </c>
      <c r="K14041" s="1">
        <f>VALUE(5471)</f>
        <v>5471</v>
      </c>
      <c r="L14041" s="1">
        <f>VALUE(6527)</f>
        <v>6527</v>
      </c>
      <c r="M14041" s="1">
        <f>VALUE(7571)</f>
        <v>7571</v>
      </c>
      <c r="N14041" t="s">
        <v>16</v>
      </c>
    </row>
    <row r="14042" spans="1:14" x14ac:dyDescent="0.25">
      <c r="A14042" t="s">
        <v>45</v>
      </c>
      <c r="B14042" t="s">
        <v>39</v>
      </c>
      <c r="C14042" t="s">
        <v>15</v>
      </c>
      <c r="D14042" t="s">
        <v>28</v>
      </c>
      <c r="E14042" t="s">
        <v>23</v>
      </c>
      <c r="F14042" t="s">
        <v>15</v>
      </c>
      <c r="G14042" s="2">
        <f>VALUE(2433.4)</f>
        <v>2433.4</v>
      </c>
      <c r="H14042" s="3">
        <f>VALUE(2189.32)</f>
        <v>2189.3200000000002</v>
      </c>
      <c r="I14042" s="1">
        <f>VALUE(3672)</f>
        <v>3672</v>
      </c>
      <c r="J14042" s="1">
        <f>VALUE(4307)</f>
        <v>4307</v>
      </c>
      <c r="K14042" s="1">
        <f>VALUE(5234)</f>
        <v>5234</v>
      </c>
      <c r="L14042" s="1">
        <f>VALUE(6045)</f>
        <v>6045</v>
      </c>
      <c r="M14042" s="8">
        <f>VALUE(7578)</f>
        <v>7578</v>
      </c>
      <c r="N14042" t="s">
        <v>25</v>
      </c>
    </row>
    <row r="14043" spans="1:14" x14ac:dyDescent="0.25">
      <c r="A14043" t="s">
        <v>45</v>
      </c>
      <c r="B14043" t="s">
        <v>39</v>
      </c>
      <c r="C14043" t="s">
        <v>15</v>
      </c>
      <c r="D14043" t="s">
        <v>28</v>
      </c>
      <c r="E14043" t="s">
        <v>23</v>
      </c>
      <c r="F14043" t="s">
        <v>17</v>
      </c>
      <c r="G14043" s="1" t="str">
        <f t="shared" ref="G14043:M14044" si="3209">"X"</f>
        <v>X</v>
      </c>
      <c r="H14043" s="1" t="str">
        <f t="shared" si="3209"/>
        <v>X</v>
      </c>
      <c r="I14043" s="1" t="str">
        <f t="shared" si="3209"/>
        <v>X</v>
      </c>
      <c r="J14043" s="1" t="str">
        <f t="shared" si="3209"/>
        <v>X</v>
      </c>
      <c r="K14043" s="1" t="str">
        <f t="shared" si="3209"/>
        <v>X</v>
      </c>
      <c r="L14043" s="1" t="str">
        <f t="shared" si="3209"/>
        <v>X</v>
      </c>
      <c r="M14043" s="1" t="str">
        <f t="shared" si="3209"/>
        <v>X</v>
      </c>
      <c r="N14043" t="s">
        <v>27</v>
      </c>
    </row>
    <row r="14044" spans="1:14" x14ac:dyDescent="0.25">
      <c r="A14044" t="s">
        <v>45</v>
      </c>
      <c r="B14044" t="s">
        <v>39</v>
      </c>
      <c r="C14044" t="s">
        <v>15</v>
      </c>
      <c r="D14044" t="s">
        <v>28</v>
      </c>
      <c r="E14044" t="s">
        <v>23</v>
      </c>
      <c r="F14044" t="s">
        <v>18</v>
      </c>
      <c r="G14044" s="1" t="str">
        <f t="shared" si="3209"/>
        <v>X</v>
      </c>
      <c r="H14044" s="1" t="str">
        <f t="shared" si="3209"/>
        <v>X</v>
      </c>
      <c r="I14044" s="1" t="str">
        <f t="shared" si="3209"/>
        <v>X</v>
      </c>
      <c r="J14044" s="1" t="str">
        <f t="shared" si="3209"/>
        <v>X</v>
      </c>
      <c r="K14044" s="1" t="str">
        <f t="shared" si="3209"/>
        <v>X</v>
      </c>
      <c r="L14044" s="1" t="str">
        <f t="shared" si="3209"/>
        <v>X</v>
      </c>
      <c r="M14044" s="1" t="str">
        <f t="shared" si="3209"/>
        <v>X</v>
      </c>
      <c r="N14044" t="s">
        <v>27</v>
      </c>
    </row>
    <row r="14045" spans="1:14" x14ac:dyDescent="0.25">
      <c r="A14045" t="s">
        <v>45</v>
      </c>
      <c r="B14045" t="s">
        <v>39</v>
      </c>
      <c r="C14045" t="s">
        <v>15</v>
      </c>
      <c r="D14045" t="s">
        <v>28</v>
      </c>
      <c r="E14045" t="s">
        <v>23</v>
      </c>
      <c r="F14045" t="s">
        <v>19</v>
      </c>
      <c r="G14045" s="2">
        <f>VALUE(215.19)</f>
        <v>215.19</v>
      </c>
      <c r="H14045" s="3">
        <f>VALUE(186.78)</f>
        <v>186.78</v>
      </c>
      <c r="I14045" s="1">
        <f>VALUE(4248)</f>
        <v>4248</v>
      </c>
      <c r="J14045" s="1">
        <f>VALUE(4996)</f>
        <v>4996</v>
      </c>
      <c r="K14045" s="1">
        <f>VALUE(6454)</f>
        <v>6454</v>
      </c>
      <c r="L14045" s="7">
        <f>VALUE(8655)</f>
        <v>8655</v>
      </c>
      <c r="M14045" s="1">
        <f>VALUE(10256)</f>
        <v>10256</v>
      </c>
      <c r="N14045" t="s">
        <v>25</v>
      </c>
    </row>
    <row r="14046" spans="1:14" x14ac:dyDescent="0.25">
      <c r="A14046" t="s">
        <v>45</v>
      </c>
      <c r="B14046" t="s">
        <v>39</v>
      </c>
      <c r="C14046" t="s">
        <v>15</v>
      </c>
      <c r="D14046" t="s">
        <v>28</v>
      </c>
      <c r="E14046" t="s">
        <v>23</v>
      </c>
      <c r="F14046" t="s">
        <v>20</v>
      </c>
      <c r="G14046" s="2">
        <f>VALUE(1837.92)</f>
        <v>1837.92</v>
      </c>
      <c r="H14046" s="3">
        <f>VALUE(1624.25)</f>
        <v>1624.25</v>
      </c>
      <c r="I14046" s="1">
        <f>VALUE(3543)</f>
        <v>3543</v>
      </c>
      <c r="J14046" s="1">
        <f>VALUE(4074)</f>
        <v>4074</v>
      </c>
      <c r="K14046" s="1">
        <f>VALUE(4805)</f>
        <v>4805</v>
      </c>
      <c r="L14046" s="1">
        <f>VALUE(5625)</f>
        <v>5625</v>
      </c>
      <c r="M14046" s="1">
        <f>VALUE(6483)</f>
        <v>6483</v>
      </c>
      <c r="N14046" t="s">
        <v>25</v>
      </c>
    </row>
    <row r="14047" spans="1:14" x14ac:dyDescent="0.25">
      <c r="A14047" t="s">
        <v>45</v>
      </c>
      <c r="B14047" t="s">
        <v>39</v>
      </c>
      <c r="C14047" t="s">
        <v>15</v>
      </c>
      <c r="D14047" t="s">
        <v>28</v>
      </c>
      <c r="E14047" t="s">
        <v>26</v>
      </c>
      <c r="F14047" t="s">
        <v>15</v>
      </c>
      <c r="G14047" s="2">
        <f>VALUE(260.09)</f>
        <v>260.08999999999997</v>
      </c>
      <c r="H14047" s="3">
        <f>VALUE(231.84)</f>
        <v>231.84</v>
      </c>
      <c r="I14047" s="1">
        <f>VALUE(4000)</f>
        <v>4000</v>
      </c>
      <c r="J14047" s="1">
        <f>VALUE(5742)</f>
        <v>5742</v>
      </c>
      <c r="K14047" s="6">
        <f>VALUE(7255)</f>
        <v>7255</v>
      </c>
      <c r="L14047" s="1">
        <f>VALUE(8966)</f>
        <v>8966</v>
      </c>
      <c r="M14047" s="8">
        <f>VALUE(11526)</f>
        <v>11526</v>
      </c>
      <c r="N14047" t="s">
        <v>25</v>
      </c>
    </row>
    <row r="14048" spans="1:14" x14ac:dyDescent="0.25">
      <c r="A14048" t="s">
        <v>45</v>
      </c>
      <c r="B14048" t="s">
        <v>39</v>
      </c>
      <c r="C14048" t="s">
        <v>15</v>
      </c>
      <c r="D14048" t="s">
        <v>28</v>
      </c>
      <c r="E14048" t="s">
        <v>26</v>
      </c>
      <c r="F14048" t="s">
        <v>17</v>
      </c>
      <c r="G14048" s="1" t="str">
        <f t="shared" ref="G14048:M14049" si="3210">"X"</f>
        <v>X</v>
      </c>
      <c r="H14048" s="1" t="str">
        <f t="shared" si="3210"/>
        <v>X</v>
      </c>
      <c r="I14048" s="1" t="str">
        <f t="shared" si="3210"/>
        <v>X</v>
      </c>
      <c r="J14048" s="1" t="str">
        <f t="shared" si="3210"/>
        <v>X</v>
      </c>
      <c r="K14048" s="1" t="str">
        <f t="shared" si="3210"/>
        <v>X</v>
      </c>
      <c r="L14048" s="1" t="str">
        <f t="shared" si="3210"/>
        <v>X</v>
      </c>
      <c r="M14048" s="1" t="str">
        <f t="shared" si="3210"/>
        <v>X</v>
      </c>
      <c r="N14048" t="s">
        <v>27</v>
      </c>
    </row>
    <row r="14049" spans="1:14" x14ac:dyDescent="0.25">
      <c r="A14049" t="s">
        <v>45</v>
      </c>
      <c r="B14049" t="s">
        <v>39</v>
      </c>
      <c r="C14049" t="s">
        <v>15</v>
      </c>
      <c r="D14049" t="s">
        <v>28</v>
      </c>
      <c r="E14049" t="s">
        <v>26</v>
      </c>
      <c r="F14049" t="s">
        <v>18</v>
      </c>
      <c r="G14049" s="1" t="str">
        <f t="shared" si="3210"/>
        <v>X</v>
      </c>
      <c r="H14049" s="1" t="str">
        <f t="shared" si="3210"/>
        <v>X</v>
      </c>
      <c r="I14049" s="1" t="str">
        <f t="shared" si="3210"/>
        <v>X</v>
      </c>
      <c r="J14049" s="1" t="str">
        <f t="shared" si="3210"/>
        <v>X</v>
      </c>
      <c r="K14049" s="1" t="str">
        <f t="shared" si="3210"/>
        <v>X</v>
      </c>
      <c r="L14049" s="1" t="str">
        <f t="shared" si="3210"/>
        <v>X</v>
      </c>
      <c r="M14049" s="1" t="str">
        <f t="shared" si="3210"/>
        <v>X</v>
      </c>
      <c r="N14049" t="s">
        <v>27</v>
      </c>
    </row>
    <row r="14050" spans="1:14" x14ac:dyDescent="0.25">
      <c r="A14050" t="s">
        <v>45</v>
      </c>
      <c r="B14050" t="s">
        <v>39</v>
      </c>
      <c r="C14050" t="s">
        <v>15</v>
      </c>
      <c r="D14050" t="s">
        <v>28</v>
      </c>
      <c r="E14050" t="s">
        <v>26</v>
      </c>
      <c r="F14050" t="s">
        <v>19</v>
      </c>
      <c r="G14050" s="1" t="str">
        <f t="shared" ref="G14050:M14050" si="3211">"..."</f>
        <v>...</v>
      </c>
      <c r="H14050" s="1" t="str">
        <f t="shared" si="3211"/>
        <v>...</v>
      </c>
      <c r="I14050" s="1" t="str">
        <f t="shared" si="3211"/>
        <v>...</v>
      </c>
      <c r="J14050" s="1" t="str">
        <f t="shared" si="3211"/>
        <v>...</v>
      </c>
      <c r="K14050" s="1" t="str">
        <f t="shared" si="3211"/>
        <v>...</v>
      </c>
      <c r="L14050" s="1" t="str">
        <f t="shared" si="3211"/>
        <v>...</v>
      </c>
      <c r="M14050" s="1" t="str">
        <f t="shared" si="3211"/>
        <v>...</v>
      </c>
      <c r="N14050" t="s">
        <v>30</v>
      </c>
    </row>
    <row r="14051" spans="1:14" x14ac:dyDescent="0.25">
      <c r="A14051" t="s">
        <v>45</v>
      </c>
      <c r="B14051" t="s">
        <v>39</v>
      </c>
      <c r="C14051" t="s">
        <v>15</v>
      </c>
      <c r="D14051" t="s">
        <v>28</v>
      </c>
      <c r="E14051" t="s">
        <v>26</v>
      </c>
      <c r="F14051" t="s">
        <v>20</v>
      </c>
      <c r="G14051" s="2">
        <f>VALUE(172.68)</f>
        <v>172.68</v>
      </c>
      <c r="H14051" s="3">
        <f>VALUE(154.96)</f>
        <v>154.96</v>
      </c>
      <c r="I14051" s="1">
        <f>VALUE(3984)</f>
        <v>3984</v>
      </c>
      <c r="J14051" s="1">
        <f>VALUE(4761)</f>
        <v>4761</v>
      </c>
      <c r="K14051" s="1">
        <f>VALUE(6934)</f>
        <v>6934</v>
      </c>
      <c r="L14051" s="1">
        <f>VALUE(8294)</f>
        <v>8294</v>
      </c>
      <c r="M14051" s="1">
        <f>VALUE(11153)</f>
        <v>11153</v>
      </c>
      <c r="N14051" t="s">
        <v>25</v>
      </c>
    </row>
    <row r="14052" spans="1:14" x14ac:dyDescent="0.25">
      <c r="A14052" t="s">
        <v>45</v>
      </c>
      <c r="B14052" t="s">
        <v>39</v>
      </c>
      <c r="C14052" t="s">
        <v>15</v>
      </c>
      <c r="D14052" t="s">
        <v>29</v>
      </c>
      <c r="E14052" t="s">
        <v>15</v>
      </c>
      <c r="F14052" t="s">
        <v>15</v>
      </c>
      <c r="G14052" s="1">
        <f>VALUE(10040.99)</f>
        <v>10040.99</v>
      </c>
      <c r="H14052" s="1">
        <f>VALUE(9801.73)</f>
        <v>9801.73</v>
      </c>
      <c r="I14052" s="1">
        <f>VALUE(4022)</f>
        <v>4022</v>
      </c>
      <c r="J14052" s="1">
        <f>VALUE(4819)</f>
        <v>4819</v>
      </c>
      <c r="K14052" s="1">
        <f>VALUE(5882)</f>
        <v>5882</v>
      </c>
      <c r="L14052" s="1">
        <f>VALUE(7510)</f>
        <v>7510</v>
      </c>
      <c r="M14052" s="1">
        <f>VALUE(10567)</f>
        <v>10567</v>
      </c>
      <c r="N14052" t="s">
        <v>16</v>
      </c>
    </row>
    <row r="14053" spans="1:14" x14ac:dyDescent="0.25">
      <c r="A14053" t="s">
        <v>45</v>
      </c>
      <c r="B14053" t="s">
        <v>39</v>
      </c>
      <c r="C14053" t="s">
        <v>15</v>
      </c>
      <c r="D14053" t="s">
        <v>29</v>
      </c>
      <c r="E14053" t="s">
        <v>15</v>
      </c>
      <c r="F14053" t="s">
        <v>17</v>
      </c>
      <c r="G14053" s="2">
        <f>VALUE(2246.86)</f>
        <v>2246.86</v>
      </c>
      <c r="H14053" s="3">
        <f>VALUE(2153.39)</f>
        <v>2153.39</v>
      </c>
      <c r="I14053" s="4">
        <f>VALUE(5416)</f>
        <v>5416</v>
      </c>
      <c r="J14053" s="5">
        <f>VALUE(6870)</f>
        <v>6870</v>
      </c>
      <c r="K14053" s="1">
        <f>VALUE(7908)</f>
        <v>7908</v>
      </c>
      <c r="L14053" s="7">
        <f>VALUE(11299)</f>
        <v>11299</v>
      </c>
      <c r="M14053" s="8">
        <f>VALUE(18247)</f>
        <v>18247</v>
      </c>
      <c r="N14053" t="s">
        <v>25</v>
      </c>
    </row>
    <row r="14054" spans="1:14" x14ac:dyDescent="0.25">
      <c r="A14054" t="s">
        <v>45</v>
      </c>
      <c r="B14054" t="s">
        <v>39</v>
      </c>
      <c r="C14054" t="s">
        <v>15</v>
      </c>
      <c r="D14054" t="s">
        <v>29</v>
      </c>
      <c r="E14054" t="s">
        <v>15</v>
      </c>
      <c r="F14054" t="s">
        <v>18</v>
      </c>
      <c r="G14054" s="2">
        <f>VALUE(1261.42)</f>
        <v>1261.42</v>
      </c>
      <c r="H14054" s="3">
        <f>VALUE(1276.54)</f>
        <v>1276.54</v>
      </c>
      <c r="I14054" s="1">
        <f>VALUE(4782)</f>
        <v>4782</v>
      </c>
      <c r="J14054" s="1">
        <f>VALUE(5333)</f>
        <v>5333</v>
      </c>
      <c r="K14054" s="1">
        <f>VALUE(5888)</f>
        <v>5888</v>
      </c>
      <c r="L14054" s="1">
        <f>VALUE(7540)</f>
        <v>7540</v>
      </c>
      <c r="M14054" s="8">
        <f>VALUE(10567)</f>
        <v>10567</v>
      </c>
      <c r="N14054" t="s">
        <v>25</v>
      </c>
    </row>
    <row r="14055" spans="1:14" x14ac:dyDescent="0.25">
      <c r="A14055" t="s">
        <v>45</v>
      </c>
      <c r="B14055" t="s">
        <v>39</v>
      </c>
      <c r="C14055" t="s">
        <v>15</v>
      </c>
      <c r="D14055" t="s">
        <v>29</v>
      </c>
      <c r="E14055" t="s">
        <v>15</v>
      </c>
      <c r="F14055" t="s">
        <v>19</v>
      </c>
      <c r="G14055" s="2">
        <f>VALUE(1124.07)</f>
        <v>1124.07</v>
      </c>
      <c r="H14055" s="3">
        <f>VALUE(1144.81)</f>
        <v>1144.81</v>
      </c>
      <c r="I14055" s="1">
        <f>VALUE(4198)</f>
        <v>4198</v>
      </c>
      <c r="J14055" s="1">
        <f>VALUE(4744)</f>
        <v>4744</v>
      </c>
      <c r="K14055" s="1">
        <f>VALUE(5873)</f>
        <v>5873</v>
      </c>
      <c r="L14055" s="1">
        <f>VALUE(7365)</f>
        <v>7365</v>
      </c>
      <c r="M14055" s="8">
        <f>VALUE(8977)</f>
        <v>8977</v>
      </c>
      <c r="N14055" t="s">
        <v>25</v>
      </c>
    </row>
    <row r="14056" spans="1:14" x14ac:dyDescent="0.25">
      <c r="A14056" t="s">
        <v>45</v>
      </c>
      <c r="B14056" t="s">
        <v>39</v>
      </c>
      <c r="C14056" t="s">
        <v>15</v>
      </c>
      <c r="D14056" t="s">
        <v>29</v>
      </c>
      <c r="E14056" t="s">
        <v>15</v>
      </c>
      <c r="F14056" t="s">
        <v>20</v>
      </c>
      <c r="G14056" s="1">
        <f>VALUE(5408.64)</f>
        <v>5408.64</v>
      </c>
      <c r="H14056" s="1">
        <f>VALUE(5226.99)</f>
        <v>5226.99</v>
      </c>
      <c r="I14056" s="1">
        <f>VALUE(3814)</f>
        <v>3814</v>
      </c>
      <c r="J14056" s="1">
        <f>VALUE(4439)</f>
        <v>4439</v>
      </c>
      <c r="K14056" s="1">
        <f>VALUE(5330)</f>
        <v>5330</v>
      </c>
      <c r="L14056" s="1">
        <f>VALUE(6234)</f>
        <v>6234</v>
      </c>
      <c r="M14056" s="1">
        <f>VALUE(7499)</f>
        <v>7499</v>
      </c>
      <c r="N14056" t="s">
        <v>16</v>
      </c>
    </row>
    <row r="14057" spans="1:14" x14ac:dyDescent="0.25">
      <c r="A14057" t="s">
        <v>45</v>
      </c>
      <c r="B14057" t="s">
        <v>39</v>
      </c>
      <c r="C14057" t="s">
        <v>15</v>
      </c>
      <c r="D14057" t="s">
        <v>29</v>
      </c>
      <c r="E14057" t="s">
        <v>21</v>
      </c>
      <c r="F14057" t="s">
        <v>15</v>
      </c>
      <c r="G14057" s="2">
        <f>VALUE(2941.74)</f>
        <v>2941.74</v>
      </c>
      <c r="H14057" s="3">
        <f>VALUE(2819.97)</f>
        <v>2819.97</v>
      </c>
      <c r="I14057" s="4">
        <f>VALUE(5333)</f>
        <v>5333</v>
      </c>
      <c r="J14057" s="1">
        <f>VALUE(6389)</f>
        <v>6389</v>
      </c>
      <c r="K14057" s="1">
        <f>VALUE(7584)</f>
        <v>7584</v>
      </c>
      <c r="L14057" s="7">
        <f>VALUE(10741)</f>
        <v>10741</v>
      </c>
      <c r="M14057" s="8">
        <f>VALUE(16212)</f>
        <v>16212</v>
      </c>
      <c r="N14057" t="s">
        <v>25</v>
      </c>
    </row>
    <row r="14058" spans="1:14" x14ac:dyDescent="0.25">
      <c r="A14058" t="s">
        <v>45</v>
      </c>
      <c r="B14058" t="s">
        <v>39</v>
      </c>
      <c r="C14058" t="s">
        <v>15</v>
      </c>
      <c r="D14058" t="s">
        <v>29</v>
      </c>
      <c r="E14058" t="s">
        <v>21</v>
      </c>
      <c r="F14058" t="s">
        <v>17</v>
      </c>
      <c r="G14058" s="2">
        <f>VALUE(1397.58)</f>
        <v>1397.58</v>
      </c>
      <c r="H14058" s="3">
        <f>VALUE(1321.95)</f>
        <v>1321.95</v>
      </c>
      <c r="I14058" s="4">
        <f>VALUE(6102)</f>
        <v>6102</v>
      </c>
      <c r="J14058" s="1">
        <f>VALUE(6970)</f>
        <v>6970</v>
      </c>
      <c r="K14058" s="6">
        <f>VALUE(7982)</f>
        <v>7982</v>
      </c>
      <c r="L14058" s="7">
        <f>VALUE(12854)</f>
        <v>12854</v>
      </c>
      <c r="M14058" s="8">
        <f>VALUE(22041)</f>
        <v>22041</v>
      </c>
      <c r="N14058" t="s">
        <v>25</v>
      </c>
    </row>
    <row r="14059" spans="1:14" x14ac:dyDescent="0.25">
      <c r="A14059" t="s">
        <v>45</v>
      </c>
      <c r="B14059" t="s">
        <v>39</v>
      </c>
      <c r="C14059" t="s">
        <v>15</v>
      </c>
      <c r="D14059" t="s">
        <v>29</v>
      </c>
      <c r="E14059" t="s">
        <v>21</v>
      </c>
      <c r="F14059" t="s">
        <v>18</v>
      </c>
      <c r="G14059" s="2">
        <f>VALUE(675.91)</f>
        <v>675.91</v>
      </c>
      <c r="H14059" s="3">
        <f>VALUE(677.39)</f>
        <v>677.39</v>
      </c>
      <c r="I14059" s="1">
        <f>VALUE(5333)</f>
        <v>5333</v>
      </c>
      <c r="J14059" s="1">
        <f>VALUE(5333)</f>
        <v>5333</v>
      </c>
      <c r="K14059" s="1">
        <f>VALUE(6389)</f>
        <v>6389</v>
      </c>
      <c r="L14059" s="1">
        <f>VALUE(8672)</f>
        <v>8672</v>
      </c>
      <c r="M14059" s="8">
        <f>VALUE(11647)</f>
        <v>11647</v>
      </c>
      <c r="N14059" t="s">
        <v>25</v>
      </c>
    </row>
    <row r="14060" spans="1:14" x14ac:dyDescent="0.25">
      <c r="A14060" t="s">
        <v>45</v>
      </c>
      <c r="B14060" t="s">
        <v>39</v>
      </c>
      <c r="C14060" t="s">
        <v>15</v>
      </c>
      <c r="D14060" t="s">
        <v>29</v>
      </c>
      <c r="E14060" t="s">
        <v>21</v>
      </c>
      <c r="F14060" t="s">
        <v>19</v>
      </c>
      <c r="G14060" s="2">
        <f>VALUE(228.89)</f>
        <v>228.89</v>
      </c>
      <c r="H14060" s="3">
        <f>VALUE(222.83)</f>
        <v>222.83</v>
      </c>
      <c r="I14060" s="1">
        <f>VALUE(5000)</f>
        <v>5000</v>
      </c>
      <c r="J14060" s="1">
        <f>VALUE(6424)</f>
        <v>6424</v>
      </c>
      <c r="K14060" s="1">
        <f>VALUE(7905)</f>
        <v>7905</v>
      </c>
      <c r="L14060" s="7">
        <f>VALUE(10763)</f>
        <v>10763</v>
      </c>
      <c r="M14060" s="8">
        <f>VALUE(15237)</f>
        <v>15237</v>
      </c>
      <c r="N14060" t="s">
        <v>25</v>
      </c>
    </row>
    <row r="14061" spans="1:14" x14ac:dyDescent="0.25">
      <c r="A14061" t="s">
        <v>45</v>
      </c>
      <c r="B14061" t="s">
        <v>39</v>
      </c>
      <c r="C14061" t="s">
        <v>15</v>
      </c>
      <c r="D14061" t="s">
        <v>29</v>
      </c>
      <c r="E14061" t="s">
        <v>21</v>
      </c>
      <c r="F14061" t="s">
        <v>20</v>
      </c>
      <c r="G14061" s="2">
        <f>VALUE(639.36)</f>
        <v>639.36</v>
      </c>
      <c r="H14061" s="3">
        <f>VALUE(597.8)</f>
        <v>597.79999999999995</v>
      </c>
      <c r="I14061" s="1">
        <f>VALUE(4906)</f>
        <v>4906</v>
      </c>
      <c r="J14061" s="5">
        <f>VALUE(5638)</f>
        <v>5638</v>
      </c>
      <c r="K14061" s="6">
        <f>VALUE(7647)</f>
        <v>7647</v>
      </c>
      <c r="L14061" s="7">
        <f>VALUE(10333)</f>
        <v>10333</v>
      </c>
      <c r="M14061" s="8">
        <f>VALUE(13585)</f>
        <v>13585</v>
      </c>
      <c r="N14061" t="s">
        <v>25</v>
      </c>
    </row>
    <row r="14062" spans="1:14" x14ac:dyDescent="0.25">
      <c r="A14062" t="s">
        <v>45</v>
      </c>
      <c r="B14062" t="s">
        <v>39</v>
      </c>
      <c r="C14062" t="s">
        <v>15</v>
      </c>
      <c r="D14062" t="s">
        <v>29</v>
      </c>
      <c r="E14062" t="s">
        <v>22</v>
      </c>
      <c r="F14062" t="s">
        <v>15</v>
      </c>
      <c r="G14062" s="2">
        <f>VALUE(3741.77)</f>
        <v>3741.77</v>
      </c>
      <c r="H14062" s="3">
        <f>VALUE(3735)</f>
        <v>3735</v>
      </c>
      <c r="I14062" s="1">
        <f>VALUE(4229)</f>
        <v>4229</v>
      </c>
      <c r="J14062" s="1">
        <f>VALUE(4871)</f>
        <v>4871</v>
      </c>
      <c r="K14062" s="1">
        <f>VALUE(5632)</f>
        <v>5632</v>
      </c>
      <c r="L14062" s="1">
        <f>VALUE(6933)</f>
        <v>6933</v>
      </c>
      <c r="M14062" s="8">
        <f>VALUE(8645)</f>
        <v>8645</v>
      </c>
      <c r="N14062" t="s">
        <v>25</v>
      </c>
    </row>
    <row r="14063" spans="1:14" x14ac:dyDescent="0.25">
      <c r="A14063" t="s">
        <v>45</v>
      </c>
      <c r="B14063" t="s">
        <v>39</v>
      </c>
      <c r="C14063" t="s">
        <v>15</v>
      </c>
      <c r="D14063" t="s">
        <v>29</v>
      </c>
      <c r="E14063" t="s">
        <v>22</v>
      </c>
      <c r="F14063" t="s">
        <v>17</v>
      </c>
      <c r="G14063" s="2">
        <f>VALUE(592.11)</f>
        <v>592.11</v>
      </c>
      <c r="H14063" s="3">
        <f>VALUE(582.07)</f>
        <v>582.07000000000005</v>
      </c>
      <c r="I14063" s="4">
        <f>VALUE(4867)</f>
        <v>4867</v>
      </c>
      <c r="J14063" s="1">
        <f>VALUE(6200)</f>
        <v>6200</v>
      </c>
      <c r="K14063" s="6">
        <f>VALUE(7619)</f>
        <v>7619</v>
      </c>
      <c r="L14063" s="7">
        <f>VALUE(10762)</f>
        <v>10762</v>
      </c>
      <c r="M14063" s="8">
        <f>VALUE(15823)</f>
        <v>15823</v>
      </c>
      <c r="N14063" t="s">
        <v>25</v>
      </c>
    </row>
    <row r="14064" spans="1:14" x14ac:dyDescent="0.25">
      <c r="A14064" t="s">
        <v>45</v>
      </c>
      <c r="B14064" t="s">
        <v>39</v>
      </c>
      <c r="C14064" t="s">
        <v>15</v>
      </c>
      <c r="D14064" t="s">
        <v>29</v>
      </c>
      <c r="E14064" t="s">
        <v>22</v>
      </c>
      <c r="F14064" t="s">
        <v>18</v>
      </c>
      <c r="G14064" s="2">
        <f>VALUE(451.71)</f>
        <v>451.71</v>
      </c>
      <c r="H14064" s="3">
        <f>VALUE(459.46)</f>
        <v>459.46</v>
      </c>
      <c r="I14064" s="1">
        <f>VALUE(4643)</f>
        <v>4643</v>
      </c>
      <c r="J14064" s="1">
        <f>VALUE(5404)</f>
        <v>5404</v>
      </c>
      <c r="K14064" s="1">
        <f>VALUE(5611)</f>
        <v>5611</v>
      </c>
      <c r="L14064" s="1">
        <f>VALUE(6664)</f>
        <v>6664</v>
      </c>
      <c r="M14064" s="1">
        <f>VALUE(9126)</f>
        <v>9126</v>
      </c>
      <c r="N14064" t="s">
        <v>25</v>
      </c>
    </row>
    <row r="14065" spans="1:14" x14ac:dyDescent="0.25">
      <c r="A14065" t="s">
        <v>45</v>
      </c>
      <c r="B14065" t="s">
        <v>39</v>
      </c>
      <c r="C14065" t="s">
        <v>15</v>
      </c>
      <c r="D14065" t="s">
        <v>29</v>
      </c>
      <c r="E14065" t="s">
        <v>22</v>
      </c>
      <c r="F14065" t="s">
        <v>19</v>
      </c>
      <c r="G14065" s="2">
        <f>VALUE(534.07)</f>
        <v>534.07000000000005</v>
      </c>
      <c r="H14065" s="3">
        <f>VALUE(545)</f>
        <v>545</v>
      </c>
      <c r="I14065" s="1">
        <f>VALUE(4476)</f>
        <v>4476</v>
      </c>
      <c r="J14065" s="1">
        <f>VALUE(4890)</f>
        <v>4890</v>
      </c>
      <c r="K14065" s="1">
        <f>VALUE(5958)</f>
        <v>5958</v>
      </c>
      <c r="L14065" s="1">
        <f>VALUE(6999)</f>
        <v>6999</v>
      </c>
      <c r="M14065" s="1">
        <f>VALUE(8597)</f>
        <v>8597</v>
      </c>
      <c r="N14065" t="s">
        <v>25</v>
      </c>
    </row>
    <row r="14066" spans="1:14" x14ac:dyDescent="0.25">
      <c r="A14066" t="s">
        <v>45</v>
      </c>
      <c r="B14066" t="s">
        <v>39</v>
      </c>
      <c r="C14066" t="s">
        <v>15</v>
      </c>
      <c r="D14066" t="s">
        <v>29</v>
      </c>
      <c r="E14066" t="s">
        <v>22</v>
      </c>
      <c r="F14066" t="s">
        <v>20</v>
      </c>
      <c r="G14066" s="2">
        <f>VALUE(2163.88)</f>
        <v>2163.88</v>
      </c>
      <c r="H14066" s="3">
        <f>VALUE(2148.47)</f>
        <v>2148.4699999999998</v>
      </c>
      <c r="I14066" s="1">
        <f>VALUE(4073)</f>
        <v>4073</v>
      </c>
      <c r="J14066" s="1">
        <f>VALUE(4687)</f>
        <v>4687</v>
      </c>
      <c r="K14066" s="1">
        <f>VALUE(5352)</f>
        <v>5352</v>
      </c>
      <c r="L14066" s="1">
        <f>VALUE(6269)</f>
        <v>6269</v>
      </c>
      <c r="M14066" s="1">
        <f>VALUE(7211)</f>
        <v>7211</v>
      </c>
      <c r="N14066" t="s">
        <v>25</v>
      </c>
    </row>
    <row r="14067" spans="1:14" x14ac:dyDescent="0.25">
      <c r="A14067" t="s">
        <v>45</v>
      </c>
      <c r="B14067" t="s">
        <v>39</v>
      </c>
      <c r="C14067" t="s">
        <v>15</v>
      </c>
      <c r="D14067" t="s">
        <v>29</v>
      </c>
      <c r="E14067" t="s">
        <v>23</v>
      </c>
      <c r="F14067" t="s">
        <v>15</v>
      </c>
      <c r="G14067" s="2">
        <f>VALUE(3284.96)</f>
        <v>3284.96</v>
      </c>
      <c r="H14067" s="3">
        <f>VALUE(3182.11)</f>
        <v>3182.11</v>
      </c>
      <c r="I14067" s="1">
        <f>VALUE(3606)</f>
        <v>3606</v>
      </c>
      <c r="J14067" s="1">
        <f>VALUE(4163)</f>
        <v>4163</v>
      </c>
      <c r="K14067" s="1">
        <f>VALUE(5045)</f>
        <v>5045</v>
      </c>
      <c r="L14067" s="1">
        <f>VALUE(6000)</f>
        <v>6000</v>
      </c>
      <c r="M14067" s="8">
        <f>VALUE(6998)</f>
        <v>6998</v>
      </c>
      <c r="N14067" t="s">
        <v>25</v>
      </c>
    </row>
    <row r="14068" spans="1:14" x14ac:dyDescent="0.25">
      <c r="A14068" t="s">
        <v>45</v>
      </c>
      <c r="B14068" t="s">
        <v>39</v>
      </c>
      <c r="C14068" t="s">
        <v>15</v>
      </c>
      <c r="D14068" t="s">
        <v>29</v>
      </c>
      <c r="E14068" t="s">
        <v>23</v>
      </c>
      <c r="F14068" t="s">
        <v>17</v>
      </c>
      <c r="G14068" s="1" t="str">
        <f t="shared" ref="G14068:M14069" si="3212">"X"</f>
        <v>X</v>
      </c>
      <c r="H14068" s="1" t="str">
        <f t="shared" si="3212"/>
        <v>X</v>
      </c>
      <c r="I14068" s="1" t="str">
        <f t="shared" si="3212"/>
        <v>X</v>
      </c>
      <c r="J14068" s="1" t="str">
        <f t="shared" si="3212"/>
        <v>X</v>
      </c>
      <c r="K14068" s="1" t="str">
        <f t="shared" si="3212"/>
        <v>X</v>
      </c>
      <c r="L14068" s="1" t="str">
        <f t="shared" si="3212"/>
        <v>X</v>
      </c>
      <c r="M14068" s="1" t="str">
        <f t="shared" si="3212"/>
        <v>X</v>
      </c>
      <c r="N14068" t="s">
        <v>27</v>
      </c>
    </row>
    <row r="14069" spans="1:14" x14ac:dyDescent="0.25">
      <c r="A14069" t="s">
        <v>45</v>
      </c>
      <c r="B14069" t="s">
        <v>39</v>
      </c>
      <c r="C14069" t="s">
        <v>15</v>
      </c>
      <c r="D14069" t="s">
        <v>29</v>
      </c>
      <c r="E14069" t="s">
        <v>23</v>
      </c>
      <c r="F14069" t="s">
        <v>18</v>
      </c>
      <c r="G14069" s="1" t="str">
        <f t="shared" si="3212"/>
        <v>X</v>
      </c>
      <c r="H14069" s="1" t="str">
        <f t="shared" si="3212"/>
        <v>X</v>
      </c>
      <c r="I14069" s="1" t="str">
        <f t="shared" si="3212"/>
        <v>X</v>
      </c>
      <c r="J14069" s="1" t="str">
        <f t="shared" si="3212"/>
        <v>X</v>
      </c>
      <c r="K14069" s="1" t="str">
        <f t="shared" si="3212"/>
        <v>X</v>
      </c>
      <c r="L14069" s="1" t="str">
        <f t="shared" si="3212"/>
        <v>X</v>
      </c>
      <c r="M14069" s="1" t="str">
        <f t="shared" si="3212"/>
        <v>X</v>
      </c>
      <c r="N14069" t="s">
        <v>27</v>
      </c>
    </row>
    <row r="14070" spans="1:14" x14ac:dyDescent="0.25">
      <c r="A14070" t="s">
        <v>45</v>
      </c>
      <c r="B14070" t="s">
        <v>39</v>
      </c>
      <c r="C14070" t="s">
        <v>15</v>
      </c>
      <c r="D14070" t="s">
        <v>29</v>
      </c>
      <c r="E14070" t="s">
        <v>23</v>
      </c>
      <c r="F14070" t="s">
        <v>19</v>
      </c>
      <c r="G14070" s="2">
        <f>VALUE(359.36)</f>
        <v>359.36</v>
      </c>
      <c r="H14070" s="3">
        <f>VALUE(375.01)</f>
        <v>375.01</v>
      </c>
      <c r="I14070" s="1">
        <f>VALUE(3586)</f>
        <v>3586</v>
      </c>
      <c r="J14070" s="1">
        <f>VALUE(4283)</f>
        <v>4283</v>
      </c>
      <c r="K14070" s="6">
        <f>VALUE(5014)</f>
        <v>5014</v>
      </c>
      <c r="L14070" s="1">
        <f>VALUE(5925)</f>
        <v>5925</v>
      </c>
      <c r="M14070" s="1">
        <f>VALUE(7583)</f>
        <v>7583</v>
      </c>
      <c r="N14070" t="s">
        <v>25</v>
      </c>
    </row>
    <row r="14071" spans="1:14" x14ac:dyDescent="0.25">
      <c r="A14071" t="s">
        <v>45</v>
      </c>
      <c r="B14071" t="s">
        <v>39</v>
      </c>
      <c r="C14071" t="s">
        <v>15</v>
      </c>
      <c r="D14071" t="s">
        <v>29</v>
      </c>
      <c r="E14071" t="s">
        <v>23</v>
      </c>
      <c r="F14071" t="s">
        <v>20</v>
      </c>
      <c r="G14071" s="2">
        <f>VALUE(2562.98)</f>
        <v>2562.98</v>
      </c>
      <c r="H14071" s="3">
        <f>VALUE(2446.59)</f>
        <v>2446.59</v>
      </c>
      <c r="I14071" s="1">
        <f>VALUE(3611)</f>
        <v>3611</v>
      </c>
      <c r="J14071" s="1">
        <f>VALUE(4113)</f>
        <v>4113</v>
      </c>
      <c r="K14071" s="1">
        <f>VALUE(4931)</f>
        <v>4931</v>
      </c>
      <c r="L14071" s="1">
        <f>VALUE(5873)</f>
        <v>5873</v>
      </c>
      <c r="M14071" s="1">
        <f>VALUE(6413)</f>
        <v>6413</v>
      </c>
      <c r="N14071" t="s">
        <v>25</v>
      </c>
    </row>
    <row r="14072" spans="1:14" x14ac:dyDescent="0.25">
      <c r="A14072" t="s">
        <v>45</v>
      </c>
      <c r="B14072" t="s">
        <v>39</v>
      </c>
      <c r="C14072" t="s">
        <v>15</v>
      </c>
      <c r="D14072" t="s">
        <v>29</v>
      </c>
      <c r="E14072" t="s">
        <v>26</v>
      </c>
      <c r="F14072" t="s">
        <v>15</v>
      </c>
      <c r="G14072" s="1" t="str">
        <f t="shared" ref="G14072:M14076" si="3213">"X"</f>
        <v>X</v>
      </c>
      <c r="H14072" s="1" t="str">
        <f t="shared" si="3213"/>
        <v>X</v>
      </c>
      <c r="I14072" s="1" t="str">
        <f t="shared" si="3213"/>
        <v>X</v>
      </c>
      <c r="J14072" s="1" t="str">
        <f t="shared" si="3213"/>
        <v>X</v>
      </c>
      <c r="K14072" s="1" t="str">
        <f t="shared" si="3213"/>
        <v>X</v>
      </c>
      <c r="L14072" s="1" t="str">
        <f t="shared" si="3213"/>
        <v>X</v>
      </c>
      <c r="M14072" s="1" t="str">
        <f t="shared" si="3213"/>
        <v>X</v>
      </c>
      <c r="N14072" t="s">
        <v>27</v>
      </c>
    </row>
    <row r="14073" spans="1:14" x14ac:dyDescent="0.25">
      <c r="A14073" t="s">
        <v>45</v>
      </c>
      <c r="B14073" t="s">
        <v>39</v>
      </c>
      <c r="C14073" t="s">
        <v>15</v>
      </c>
      <c r="D14073" t="s">
        <v>29</v>
      </c>
      <c r="E14073" t="s">
        <v>26</v>
      </c>
      <c r="F14073" t="s">
        <v>17</v>
      </c>
      <c r="G14073" s="1" t="str">
        <f t="shared" si="3213"/>
        <v>X</v>
      </c>
      <c r="H14073" s="1" t="str">
        <f t="shared" si="3213"/>
        <v>X</v>
      </c>
      <c r="I14073" s="1" t="str">
        <f t="shared" si="3213"/>
        <v>X</v>
      </c>
      <c r="J14073" s="1" t="str">
        <f t="shared" si="3213"/>
        <v>X</v>
      </c>
      <c r="K14073" s="1" t="str">
        <f t="shared" si="3213"/>
        <v>X</v>
      </c>
      <c r="L14073" s="1" t="str">
        <f t="shared" si="3213"/>
        <v>X</v>
      </c>
      <c r="M14073" s="1" t="str">
        <f t="shared" si="3213"/>
        <v>X</v>
      </c>
      <c r="N14073" t="s">
        <v>27</v>
      </c>
    </row>
    <row r="14074" spans="1:14" x14ac:dyDescent="0.25">
      <c r="A14074" t="s">
        <v>45</v>
      </c>
      <c r="B14074" t="s">
        <v>39</v>
      </c>
      <c r="C14074" t="s">
        <v>15</v>
      </c>
      <c r="D14074" t="s">
        <v>29</v>
      </c>
      <c r="E14074" t="s">
        <v>26</v>
      </c>
      <c r="F14074" t="s">
        <v>18</v>
      </c>
      <c r="G14074" s="1" t="str">
        <f t="shared" si="3213"/>
        <v>X</v>
      </c>
      <c r="H14074" s="1" t="str">
        <f t="shared" si="3213"/>
        <v>X</v>
      </c>
      <c r="I14074" s="1" t="str">
        <f t="shared" si="3213"/>
        <v>X</v>
      </c>
      <c r="J14074" s="1" t="str">
        <f t="shared" si="3213"/>
        <v>X</v>
      </c>
      <c r="K14074" s="1" t="str">
        <f t="shared" si="3213"/>
        <v>X</v>
      </c>
      <c r="L14074" s="1" t="str">
        <f t="shared" si="3213"/>
        <v>X</v>
      </c>
      <c r="M14074" s="1" t="str">
        <f t="shared" si="3213"/>
        <v>X</v>
      </c>
      <c r="N14074" t="s">
        <v>27</v>
      </c>
    </row>
    <row r="14075" spans="1:14" x14ac:dyDescent="0.25">
      <c r="A14075" t="s">
        <v>45</v>
      </c>
      <c r="B14075" t="s">
        <v>39</v>
      </c>
      <c r="C14075" t="s">
        <v>15</v>
      </c>
      <c r="D14075" t="s">
        <v>29</v>
      </c>
      <c r="E14075" t="s">
        <v>26</v>
      </c>
      <c r="F14075" t="s">
        <v>19</v>
      </c>
      <c r="G14075" s="1" t="str">
        <f t="shared" si="3213"/>
        <v>X</v>
      </c>
      <c r="H14075" s="1" t="str">
        <f t="shared" si="3213"/>
        <v>X</v>
      </c>
      <c r="I14075" s="1" t="str">
        <f t="shared" si="3213"/>
        <v>X</v>
      </c>
      <c r="J14075" s="1" t="str">
        <f t="shared" si="3213"/>
        <v>X</v>
      </c>
      <c r="K14075" s="1" t="str">
        <f t="shared" si="3213"/>
        <v>X</v>
      </c>
      <c r="L14075" s="1" t="str">
        <f t="shared" si="3213"/>
        <v>X</v>
      </c>
      <c r="M14075" s="1" t="str">
        <f t="shared" si="3213"/>
        <v>X</v>
      </c>
      <c r="N14075" t="s">
        <v>27</v>
      </c>
    </row>
    <row r="14076" spans="1:14" x14ac:dyDescent="0.25">
      <c r="A14076" t="s">
        <v>45</v>
      </c>
      <c r="B14076" t="s">
        <v>39</v>
      </c>
      <c r="C14076" t="s">
        <v>15</v>
      </c>
      <c r="D14076" t="s">
        <v>29</v>
      </c>
      <c r="E14076" t="s">
        <v>26</v>
      </c>
      <c r="F14076" t="s">
        <v>20</v>
      </c>
      <c r="G14076" s="1" t="str">
        <f t="shared" si="3213"/>
        <v>X</v>
      </c>
      <c r="H14076" s="1" t="str">
        <f t="shared" si="3213"/>
        <v>X</v>
      </c>
      <c r="I14076" s="1" t="str">
        <f t="shared" si="3213"/>
        <v>X</v>
      </c>
      <c r="J14076" s="1" t="str">
        <f t="shared" si="3213"/>
        <v>X</v>
      </c>
      <c r="K14076" s="1" t="str">
        <f t="shared" si="3213"/>
        <v>X</v>
      </c>
      <c r="L14076" s="1" t="str">
        <f t="shared" si="3213"/>
        <v>X</v>
      </c>
      <c r="M14076" s="1" t="str">
        <f t="shared" si="3213"/>
        <v>X</v>
      </c>
      <c r="N14076" t="s">
        <v>27</v>
      </c>
    </row>
    <row r="14077" spans="1:14" x14ac:dyDescent="0.25">
      <c r="A14077" t="s">
        <v>45</v>
      </c>
      <c r="B14077" t="s">
        <v>39</v>
      </c>
      <c r="C14077" t="s">
        <v>15</v>
      </c>
      <c r="D14077" t="s">
        <v>31</v>
      </c>
      <c r="E14077" t="s">
        <v>15</v>
      </c>
      <c r="F14077" t="s">
        <v>15</v>
      </c>
      <c r="G14077" s="1">
        <f>VALUE(6646.44)</f>
        <v>6646.44</v>
      </c>
      <c r="H14077" s="1">
        <f>VALUE(6528.67)</f>
        <v>6528.67</v>
      </c>
      <c r="I14077" s="1">
        <f>VALUE(3606)</f>
        <v>3606</v>
      </c>
      <c r="J14077" s="1">
        <f>VALUE(4136)</f>
        <v>4136</v>
      </c>
      <c r="K14077" s="1">
        <f>VALUE(5428)</f>
        <v>5428</v>
      </c>
      <c r="L14077" s="1">
        <f>VALUE(6973)</f>
        <v>6973</v>
      </c>
      <c r="M14077" s="8">
        <f>VALUE(10833)</f>
        <v>10833</v>
      </c>
      <c r="N14077" t="s">
        <v>25</v>
      </c>
    </row>
    <row r="14078" spans="1:14" x14ac:dyDescent="0.25">
      <c r="A14078" t="s">
        <v>45</v>
      </c>
      <c r="B14078" t="s">
        <v>39</v>
      </c>
      <c r="C14078" t="s">
        <v>15</v>
      </c>
      <c r="D14078" t="s">
        <v>31</v>
      </c>
      <c r="E14078" t="s">
        <v>15</v>
      </c>
      <c r="F14078" t="s">
        <v>17</v>
      </c>
      <c r="G14078" s="2">
        <f>VALUE(1213.25)</f>
        <v>1213.25</v>
      </c>
      <c r="H14078" s="3">
        <f>VALUE(1209.45)</f>
        <v>1209.45</v>
      </c>
      <c r="I14078" s="4">
        <f>VALUE(4894)</f>
        <v>4894</v>
      </c>
      <c r="J14078" s="1">
        <f>VALUE(5778)</f>
        <v>5778</v>
      </c>
      <c r="K14078" s="6">
        <f>VALUE(8839)</f>
        <v>8839</v>
      </c>
      <c r="L14078" s="7">
        <f>VALUE(13196)</f>
        <v>13196</v>
      </c>
      <c r="M14078" s="8">
        <f>VALUE(20690)</f>
        <v>20690</v>
      </c>
      <c r="N14078" t="s">
        <v>25</v>
      </c>
    </row>
    <row r="14079" spans="1:14" x14ac:dyDescent="0.25">
      <c r="A14079" t="s">
        <v>45</v>
      </c>
      <c r="B14079" t="s">
        <v>39</v>
      </c>
      <c r="C14079" t="s">
        <v>15</v>
      </c>
      <c r="D14079" t="s">
        <v>31</v>
      </c>
      <c r="E14079" t="s">
        <v>15</v>
      </c>
      <c r="F14079" t="s">
        <v>18</v>
      </c>
      <c r="G14079" s="2">
        <f>VALUE(721.64)</f>
        <v>721.64</v>
      </c>
      <c r="H14079" s="3">
        <f>VALUE(731.47)</f>
        <v>731.47</v>
      </c>
      <c r="I14079" s="1">
        <f>VALUE(4361)</f>
        <v>4361</v>
      </c>
      <c r="J14079" s="1">
        <f>VALUE(5093)</f>
        <v>5093</v>
      </c>
      <c r="K14079" s="1">
        <f>VALUE(5579)</f>
        <v>5579</v>
      </c>
      <c r="L14079" s="1">
        <f>VALUE(7936)</f>
        <v>7936</v>
      </c>
      <c r="M14079" s="1">
        <f>VALUE(10989)</f>
        <v>10989</v>
      </c>
      <c r="N14079" t="s">
        <v>25</v>
      </c>
    </row>
    <row r="14080" spans="1:14" x14ac:dyDescent="0.25">
      <c r="A14080" t="s">
        <v>45</v>
      </c>
      <c r="B14080" t="s">
        <v>39</v>
      </c>
      <c r="C14080" t="s">
        <v>15</v>
      </c>
      <c r="D14080" t="s">
        <v>31</v>
      </c>
      <c r="E14080" t="s">
        <v>15</v>
      </c>
      <c r="F14080" t="s">
        <v>19</v>
      </c>
      <c r="G14080" s="2">
        <f>VALUE(708.22)</f>
        <v>708.22</v>
      </c>
      <c r="H14080" s="3">
        <f>VALUE(707.74)</f>
        <v>707.74</v>
      </c>
      <c r="I14080" s="4">
        <f>VALUE(3422)</f>
        <v>3422</v>
      </c>
      <c r="J14080" s="1">
        <f>VALUE(4127)</f>
        <v>4127</v>
      </c>
      <c r="K14080" s="6">
        <f>VALUE(5470)</f>
        <v>5470</v>
      </c>
      <c r="L14080" s="1">
        <f>VALUE(7114)</f>
        <v>7114</v>
      </c>
      <c r="M14080" s="8">
        <f>VALUE(8730)</f>
        <v>8730</v>
      </c>
      <c r="N14080" t="s">
        <v>25</v>
      </c>
    </row>
    <row r="14081" spans="1:14" x14ac:dyDescent="0.25">
      <c r="A14081" t="s">
        <v>45</v>
      </c>
      <c r="B14081" t="s">
        <v>39</v>
      </c>
      <c r="C14081" t="s">
        <v>15</v>
      </c>
      <c r="D14081" t="s">
        <v>31</v>
      </c>
      <c r="E14081" t="s">
        <v>15</v>
      </c>
      <c r="F14081" t="s">
        <v>20</v>
      </c>
      <c r="G14081" s="1">
        <f>VALUE(4003.33)</f>
        <v>4003.33</v>
      </c>
      <c r="H14081" s="3">
        <f>VALUE(3880.01)</f>
        <v>3880.01</v>
      </c>
      <c r="I14081" s="1">
        <f>VALUE(3526)</f>
        <v>3526</v>
      </c>
      <c r="J14081" s="1">
        <f>VALUE(3911)</f>
        <v>3911</v>
      </c>
      <c r="K14081" s="1">
        <f>VALUE(4747)</f>
        <v>4747</v>
      </c>
      <c r="L14081" s="1">
        <f>VALUE(5968)</f>
        <v>5968</v>
      </c>
      <c r="M14081" s="1">
        <f>VALUE(7114)</f>
        <v>7114</v>
      </c>
      <c r="N14081" t="s">
        <v>25</v>
      </c>
    </row>
    <row r="14082" spans="1:14" x14ac:dyDescent="0.25">
      <c r="A14082" t="s">
        <v>45</v>
      </c>
      <c r="B14082" t="s">
        <v>39</v>
      </c>
      <c r="C14082" t="s">
        <v>15</v>
      </c>
      <c r="D14082" t="s">
        <v>31</v>
      </c>
      <c r="E14082" t="s">
        <v>21</v>
      </c>
      <c r="F14082" t="s">
        <v>15</v>
      </c>
      <c r="G14082" s="2">
        <f>VALUE(2496.2)</f>
        <v>2496.1999999999998</v>
      </c>
      <c r="H14082" s="3">
        <f>VALUE(2487.69)</f>
        <v>2487.69</v>
      </c>
      <c r="I14082" s="1">
        <f>VALUE(3911)</f>
        <v>3911</v>
      </c>
      <c r="J14082" s="1">
        <f>VALUE(5365)</f>
        <v>5365</v>
      </c>
      <c r="K14082" s="1">
        <f>VALUE(6825)</f>
        <v>6825</v>
      </c>
      <c r="L14082" s="7">
        <f>VALUE(10018)</f>
        <v>10018</v>
      </c>
      <c r="M14082" s="8">
        <f>VALUE(15861)</f>
        <v>15861</v>
      </c>
      <c r="N14082" t="s">
        <v>25</v>
      </c>
    </row>
    <row r="14083" spans="1:14" x14ac:dyDescent="0.25">
      <c r="A14083" t="s">
        <v>45</v>
      </c>
      <c r="B14083" t="s">
        <v>39</v>
      </c>
      <c r="C14083" t="s">
        <v>15</v>
      </c>
      <c r="D14083" t="s">
        <v>31</v>
      </c>
      <c r="E14083" t="s">
        <v>21</v>
      </c>
      <c r="F14083" t="s">
        <v>17</v>
      </c>
      <c r="G14083" s="2">
        <f>VALUE(912.35)</f>
        <v>912.35</v>
      </c>
      <c r="H14083" s="3">
        <f>VALUE(907.35)</f>
        <v>907.35</v>
      </c>
      <c r="I14083" s="4">
        <f>VALUE(5500)</f>
        <v>5500</v>
      </c>
      <c r="J14083" s="5">
        <f>VALUE(6267)</f>
        <v>6267</v>
      </c>
      <c r="K14083" s="6">
        <f>VALUE(9750)</f>
        <v>9750</v>
      </c>
      <c r="L14083" s="7">
        <f>VALUE(14693)</f>
        <v>14693</v>
      </c>
      <c r="M14083" s="8">
        <f>VALUE(23608)</f>
        <v>23608</v>
      </c>
      <c r="N14083" t="s">
        <v>24</v>
      </c>
    </row>
    <row r="14084" spans="1:14" x14ac:dyDescent="0.25">
      <c r="A14084" t="s">
        <v>45</v>
      </c>
      <c r="B14084" t="s">
        <v>39</v>
      </c>
      <c r="C14084" t="s">
        <v>15</v>
      </c>
      <c r="D14084" t="s">
        <v>31</v>
      </c>
      <c r="E14084" t="s">
        <v>21</v>
      </c>
      <c r="F14084" t="s">
        <v>18</v>
      </c>
      <c r="G14084" s="2">
        <f>VALUE(259.65)</f>
        <v>259.64999999999998</v>
      </c>
      <c r="H14084" s="3">
        <f>VALUE(262.62)</f>
        <v>262.62</v>
      </c>
      <c r="I14084" s="1">
        <f>VALUE(5159)</f>
        <v>5159</v>
      </c>
      <c r="J14084" s="1">
        <f>VALUE(6350)</f>
        <v>6350</v>
      </c>
      <c r="K14084" s="1">
        <f>VALUE(8547)</f>
        <v>8547</v>
      </c>
      <c r="L14084" s="7">
        <f>VALUE(10989)</f>
        <v>10989</v>
      </c>
      <c r="M14084" s="8">
        <f>VALUE(13860)</f>
        <v>13860</v>
      </c>
      <c r="N14084" t="s">
        <v>25</v>
      </c>
    </row>
    <row r="14085" spans="1:14" x14ac:dyDescent="0.25">
      <c r="A14085" t="s">
        <v>45</v>
      </c>
      <c r="B14085" t="s">
        <v>39</v>
      </c>
      <c r="C14085" t="s">
        <v>15</v>
      </c>
      <c r="D14085" t="s">
        <v>31</v>
      </c>
      <c r="E14085" t="s">
        <v>21</v>
      </c>
      <c r="F14085" t="s">
        <v>19</v>
      </c>
      <c r="G14085" s="2">
        <f>VALUE(297.86)</f>
        <v>297.86</v>
      </c>
      <c r="H14085" s="3">
        <f>VALUE(285.76)</f>
        <v>285.76</v>
      </c>
      <c r="I14085" s="4">
        <f>VALUE(4000)</f>
        <v>4000</v>
      </c>
      <c r="J14085" s="5">
        <f>VALUE(5194)</f>
        <v>5194</v>
      </c>
      <c r="K14085" s="1">
        <f>VALUE(6666)</f>
        <v>6666</v>
      </c>
      <c r="L14085" s="1">
        <f>VALUE(8571)</f>
        <v>8571</v>
      </c>
      <c r="M14085" s="8">
        <f>VALUE(9626)</f>
        <v>9626</v>
      </c>
      <c r="N14085" t="s">
        <v>25</v>
      </c>
    </row>
    <row r="14086" spans="1:14" x14ac:dyDescent="0.25">
      <c r="A14086" t="s">
        <v>45</v>
      </c>
      <c r="B14086" t="s">
        <v>39</v>
      </c>
      <c r="C14086" t="s">
        <v>15</v>
      </c>
      <c r="D14086" t="s">
        <v>31</v>
      </c>
      <c r="E14086" t="s">
        <v>21</v>
      </c>
      <c r="F14086" t="s">
        <v>20</v>
      </c>
      <c r="G14086" s="2">
        <f>VALUE(1026.34)</f>
        <v>1026.3399999999999</v>
      </c>
      <c r="H14086" s="3">
        <f>VALUE(1031.96)</f>
        <v>1031.96</v>
      </c>
      <c r="I14086" s="1">
        <f>VALUE(3911)</f>
        <v>3911</v>
      </c>
      <c r="J14086" s="1">
        <f>VALUE(4168)</f>
        <v>4168</v>
      </c>
      <c r="K14086" s="1">
        <f>VALUE(5897)</f>
        <v>5897</v>
      </c>
      <c r="L14086" s="1">
        <f>VALUE(6919)</f>
        <v>6919</v>
      </c>
      <c r="M14086" s="1">
        <f>VALUE(9320)</f>
        <v>9320</v>
      </c>
      <c r="N14086" t="s">
        <v>25</v>
      </c>
    </row>
    <row r="14087" spans="1:14" x14ac:dyDescent="0.25">
      <c r="A14087" t="s">
        <v>45</v>
      </c>
      <c r="B14087" t="s">
        <v>39</v>
      </c>
      <c r="C14087" t="s">
        <v>15</v>
      </c>
      <c r="D14087" t="s">
        <v>31</v>
      </c>
      <c r="E14087" t="s">
        <v>22</v>
      </c>
      <c r="F14087" t="s">
        <v>15</v>
      </c>
      <c r="G14087" s="2">
        <f>VALUE(1670.7)</f>
        <v>1670.7</v>
      </c>
      <c r="H14087" s="3">
        <f>VALUE(1635.52)</f>
        <v>1635.52</v>
      </c>
      <c r="I14087" s="1">
        <f>VALUE(3582)</f>
        <v>3582</v>
      </c>
      <c r="J14087" s="1">
        <f>VALUE(4224)</f>
        <v>4224</v>
      </c>
      <c r="K14087" s="1">
        <f>VALUE(5335)</f>
        <v>5335</v>
      </c>
      <c r="L14087" s="1">
        <f>VALUE(6275)</f>
        <v>6275</v>
      </c>
      <c r="M14087" s="1">
        <f>VALUE(8414)</f>
        <v>8414</v>
      </c>
      <c r="N14087" t="s">
        <v>25</v>
      </c>
    </row>
    <row r="14088" spans="1:14" x14ac:dyDescent="0.25">
      <c r="A14088" t="s">
        <v>45</v>
      </c>
      <c r="B14088" t="s">
        <v>39</v>
      </c>
      <c r="C14088" t="s">
        <v>15</v>
      </c>
      <c r="D14088" t="s">
        <v>31</v>
      </c>
      <c r="E14088" t="s">
        <v>22</v>
      </c>
      <c r="F14088" t="s">
        <v>17</v>
      </c>
      <c r="G14088" s="2">
        <f>VALUE(219.59)</f>
        <v>219.59</v>
      </c>
      <c r="H14088" s="3">
        <f>VALUE(227.3)</f>
        <v>227.3</v>
      </c>
      <c r="I14088" s="4">
        <f>VALUE(4217)</f>
        <v>4217</v>
      </c>
      <c r="J14088" s="1">
        <f>VALUE(5196)</f>
        <v>5196</v>
      </c>
      <c r="K14088" s="6">
        <f>VALUE(7250)</f>
        <v>7250</v>
      </c>
      <c r="L14088" s="7">
        <f>VALUE(9778)</f>
        <v>9778</v>
      </c>
      <c r="M14088" s="1">
        <f>VALUE(17177)</f>
        <v>17177</v>
      </c>
      <c r="N14088" t="s">
        <v>25</v>
      </c>
    </row>
    <row r="14089" spans="1:14" x14ac:dyDescent="0.25">
      <c r="A14089" t="s">
        <v>45</v>
      </c>
      <c r="B14089" t="s">
        <v>39</v>
      </c>
      <c r="C14089" t="s">
        <v>15</v>
      </c>
      <c r="D14089" t="s">
        <v>31</v>
      </c>
      <c r="E14089" t="s">
        <v>22</v>
      </c>
      <c r="F14089" t="s">
        <v>18</v>
      </c>
      <c r="G14089" s="1" t="str">
        <f t="shared" ref="G14089:M14089" si="3214">"X"</f>
        <v>X</v>
      </c>
      <c r="H14089" s="1" t="str">
        <f t="shared" si="3214"/>
        <v>X</v>
      </c>
      <c r="I14089" s="1" t="str">
        <f t="shared" si="3214"/>
        <v>X</v>
      </c>
      <c r="J14089" s="1" t="str">
        <f t="shared" si="3214"/>
        <v>X</v>
      </c>
      <c r="K14089" s="1" t="str">
        <f t="shared" si="3214"/>
        <v>X</v>
      </c>
      <c r="L14089" s="1" t="str">
        <f t="shared" si="3214"/>
        <v>X</v>
      </c>
      <c r="M14089" s="1" t="str">
        <f t="shared" si="3214"/>
        <v>X</v>
      </c>
      <c r="N14089" t="s">
        <v>27</v>
      </c>
    </row>
    <row r="14090" spans="1:14" x14ac:dyDescent="0.25">
      <c r="A14090" t="s">
        <v>45</v>
      </c>
      <c r="B14090" t="s">
        <v>39</v>
      </c>
      <c r="C14090" t="s">
        <v>15</v>
      </c>
      <c r="D14090" t="s">
        <v>31</v>
      </c>
      <c r="E14090" t="s">
        <v>22</v>
      </c>
      <c r="F14090" t="s">
        <v>19</v>
      </c>
      <c r="G14090" s="2">
        <f>VALUE(286.32)</f>
        <v>286.32</v>
      </c>
      <c r="H14090" s="3">
        <f>VALUE(295.67)</f>
        <v>295.67</v>
      </c>
      <c r="I14090" s="4">
        <f>VALUE(3074)</f>
        <v>3074</v>
      </c>
      <c r="J14090" s="5">
        <f>VALUE(3919)</f>
        <v>3919</v>
      </c>
      <c r="K14090" s="6">
        <f>VALUE(4583)</f>
        <v>4583</v>
      </c>
      <c r="L14090" s="7">
        <f>VALUE(6436)</f>
        <v>6436</v>
      </c>
      <c r="M14090" s="8">
        <f>VALUE(7647)</f>
        <v>7647</v>
      </c>
      <c r="N14090" t="s">
        <v>24</v>
      </c>
    </row>
    <row r="14091" spans="1:14" x14ac:dyDescent="0.25">
      <c r="A14091" t="s">
        <v>45</v>
      </c>
      <c r="B14091" t="s">
        <v>39</v>
      </c>
      <c r="C14091" t="s">
        <v>15</v>
      </c>
      <c r="D14091" t="s">
        <v>31</v>
      </c>
      <c r="E14091" t="s">
        <v>22</v>
      </c>
      <c r="F14091" t="s">
        <v>20</v>
      </c>
      <c r="G14091" s="2">
        <f>VALUE(915.33)</f>
        <v>915.33</v>
      </c>
      <c r="H14091" s="3">
        <f>VALUE(863.14)</f>
        <v>863.14</v>
      </c>
      <c r="I14091" s="1">
        <f>VALUE(3495)</f>
        <v>3495</v>
      </c>
      <c r="J14091" s="1">
        <f>VALUE(4109)</f>
        <v>4109</v>
      </c>
      <c r="K14091" s="1">
        <f>VALUE(4850)</f>
        <v>4850</v>
      </c>
      <c r="L14091" s="1">
        <f>VALUE(5760)</f>
        <v>5760</v>
      </c>
      <c r="M14091" s="1">
        <f>VALUE(7167)</f>
        <v>7167</v>
      </c>
      <c r="N14091" t="s">
        <v>25</v>
      </c>
    </row>
    <row r="14092" spans="1:14" x14ac:dyDescent="0.25">
      <c r="A14092" t="s">
        <v>45</v>
      </c>
      <c r="B14092" t="s">
        <v>39</v>
      </c>
      <c r="C14092" t="s">
        <v>15</v>
      </c>
      <c r="D14092" t="s">
        <v>31</v>
      </c>
      <c r="E14092" t="s">
        <v>23</v>
      </c>
      <c r="F14092" t="s">
        <v>15</v>
      </c>
      <c r="G14092" s="2">
        <f>VALUE(2373.9)</f>
        <v>2373.9</v>
      </c>
      <c r="H14092" s="3">
        <f>VALUE(2327.12)</f>
        <v>2327.12</v>
      </c>
      <c r="I14092" s="1">
        <f>VALUE(3450)</f>
        <v>3450</v>
      </c>
      <c r="J14092" s="1">
        <f>VALUE(3817)</f>
        <v>3817</v>
      </c>
      <c r="K14092" s="6">
        <f>VALUE(4359)</f>
        <v>4359</v>
      </c>
      <c r="L14092" s="1">
        <f>VALUE(5468)</f>
        <v>5468</v>
      </c>
      <c r="M14092" s="1">
        <f>VALUE(6138)</f>
        <v>6138</v>
      </c>
      <c r="N14092" t="s">
        <v>25</v>
      </c>
    </row>
    <row r="14093" spans="1:14" x14ac:dyDescent="0.25">
      <c r="A14093" t="s">
        <v>45</v>
      </c>
      <c r="B14093" t="s">
        <v>39</v>
      </c>
      <c r="C14093" t="s">
        <v>15</v>
      </c>
      <c r="D14093" t="s">
        <v>31</v>
      </c>
      <c r="E14093" t="s">
        <v>23</v>
      </c>
      <c r="F14093" t="s">
        <v>17</v>
      </c>
      <c r="G14093" s="1" t="str">
        <f t="shared" ref="G14093:M14095" si="3215">"X"</f>
        <v>X</v>
      </c>
      <c r="H14093" s="1" t="str">
        <f t="shared" si="3215"/>
        <v>X</v>
      </c>
      <c r="I14093" s="1" t="str">
        <f t="shared" si="3215"/>
        <v>X</v>
      </c>
      <c r="J14093" s="1" t="str">
        <f t="shared" si="3215"/>
        <v>X</v>
      </c>
      <c r="K14093" s="1" t="str">
        <f t="shared" si="3215"/>
        <v>X</v>
      </c>
      <c r="L14093" s="1" t="str">
        <f t="shared" si="3215"/>
        <v>X</v>
      </c>
      <c r="M14093" s="1" t="str">
        <f t="shared" si="3215"/>
        <v>X</v>
      </c>
      <c r="N14093" t="s">
        <v>27</v>
      </c>
    </row>
    <row r="14094" spans="1:14" x14ac:dyDescent="0.25">
      <c r="A14094" t="s">
        <v>45</v>
      </c>
      <c r="B14094" t="s">
        <v>39</v>
      </c>
      <c r="C14094" t="s">
        <v>15</v>
      </c>
      <c r="D14094" t="s">
        <v>31</v>
      </c>
      <c r="E14094" t="s">
        <v>23</v>
      </c>
      <c r="F14094" t="s">
        <v>18</v>
      </c>
      <c r="G14094" s="1" t="str">
        <f t="shared" si="3215"/>
        <v>X</v>
      </c>
      <c r="H14094" s="1" t="str">
        <f t="shared" si="3215"/>
        <v>X</v>
      </c>
      <c r="I14094" s="1" t="str">
        <f t="shared" si="3215"/>
        <v>X</v>
      </c>
      <c r="J14094" s="1" t="str">
        <f t="shared" si="3215"/>
        <v>X</v>
      </c>
      <c r="K14094" s="1" t="str">
        <f t="shared" si="3215"/>
        <v>X</v>
      </c>
      <c r="L14094" s="1" t="str">
        <f t="shared" si="3215"/>
        <v>X</v>
      </c>
      <c r="M14094" s="1" t="str">
        <f t="shared" si="3215"/>
        <v>X</v>
      </c>
      <c r="N14094" t="s">
        <v>27</v>
      </c>
    </row>
    <row r="14095" spans="1:14" x14ac:dyDescent="0.25">
      <c r="A14095" t="s">
        <v>45</v>
      </c>
      <c r="B14095" t="s">
        <v>39</v>
      </c>
      <c r="C14095" t="s">
        <v>15</v>
      </c>
      <c r="D14095" t="s">
        <v>31</v>
      </c>
      <c r="E14095" t="s">
        <v>23</v>
      </c>
      <c r="F14095" t="s">
        <v>19</v>
      </c>
      <c r="G14095" s="1" t="str">
        <f t="shared" si="3215"/>
        <v>X</v>
      </c>
      <c r="H14095" s="1" t="str">
        <f t="shared" si="3215"/>
        <v>X</v>
      </c>
      <c r="I14095" s="1" t="str">
        <f t="shared" si="3215"/>
        <v>X</v>
      </c>
      <c r="J14095" s="1" t="str">
        <f t="shared" si="3215"/>
        <v>X</v>
      </c>
      <c r="K14095" s="1" t="str">
        <f t="shared" si="3215"/>
        <v>X</v>
      </c>
      <c r="L14095" s="1" t="str">
        <f t="shared" si="3215"/>
        <v>X</v>
      </c>
      <c r="M14095" s="1" t="str">
        <f t="shared" si="3215"/>
        <v>X</v>
      </c>
      <c r="N14095" t="s">
        <v>27</v>
      </c>
    </row>
    <row r="14096" spans="1:14" x14ac:dyDescent="0.25">
      <c r="A14096" t="s">
        <v>45</v>
      </c>
      <c r="B14096" t="s">
        <v>39</v>
      </c>
      <c r="C14096" t="s">
        <v>15</v>
      </c>
      <c r="D14096" t="s">
        <v>31</v>
      </c>
      <c r="E14096" t="s">
        <v>23</v>
      </c>
      <c r="F14096" t="s">
        <v>20</v>
      </c>
      <c r="G14096" s="2">
        <f>VALUE(1973.29)</f>
        <v>1973.29</v>
      </c>
      <c r="H14096" s="3">
        <f>VALUE(1924.48)</f>
        <v>1924.48</v>
      </c>
      <c r="I14096" s="1">
        <f>VALUE(3450)</f>
        <v>3450</v>
      </c>
      <c r="J14096" s="1">
        <f>VALUE(3800)</f>
        <v>3800</v>
      </c>
      <c r="K14096" s="1">
        <f>VALUE(4293)</f>
        <v>4293</v>
      </c>
      <c r="L14096" s="1">
        <f>VALUE(5484)</f>
        <v>5484</v>
      </c>
      <c r="M14096" s="1">
        <f>VALUE(6045)</f>
        <v>6045</v>
      </c>
      <c r="N14096" t="s">
        <v>25</v>
      </c>
    </row>
    <row r="14097" spans="1:14" x14ac:dyDescent="0.25">
      <c r="A14097" t="s">
        <v>45</v>
      </c>
      <c r="B14097" t="s">
        <v>39</v>
      </c>
      <c r="C14097" t="s">
        <v>15</v>
      </c>
      <c r="D14097" t="s">
        <v>31</v>
      </c>
      <c r="E14097" t="s">
        <v>26</v>
      </c>
      <c r="F14097" t="s">
        <v>15</v>
      </c>
      <c r="G14097" s="1" t="str">
        <f t="shared" ref="G14097:M14099" si="3216">"X"</f>
        <v>X</v>
      </c>
      <c r="H14097" s="1" t="str">
        <f t="shared" si="3216"/>
        <v>X</v>
      </c>
      <c r="I14097" s="1" t="str">
        <f t="shared" si="3216"/>
        <v>X</v>
      </c>
      <c r="J14097" s="1" t="str">
        <f t="shared" si="3216"/>
        <v>X</v>
      </c>
      <c r="K14097" s="1" t="str">
        <f t="shared" si="3216"/>
        <v>X</v>
      </c>
      <c r="L14097" s="1" t="str">
        <f t="shared" si="3216"/>
        <v>X</v>
      </c>
      <c r="M14097" s="1" t="str">
        <f t="shared" si="3216"/>
        <v>X</v>
      </c>
      <c r="N14097" t="s">
        <v>27</v>
      </c>
    </row>
    <row r="14098" spans="1:14" x14ac:dyDescent="0.25">
      <c r="A14098" t="s">
        <v>45</v>
      </c>
      <c r="B14098" t="s">
        <v>39</v>
      </c>
      <c r="C14098" t="s">
        <v>15</v>
      </c>
      <c r="D14098" t="s">
        <v>31</v>
      </c>
      <c r="E14098" t="s">
        <v>26</v>
      </c>
      <c r="F14098" t="s">
        <v>17</v>
      </c>
      <c r="G14098" s="1" t="str">
        <f t="shared" si="3216"/>
        <v>X</v>
      </c>
      <c r="H14098" s="1" t="str">
        <f t="shared" si="3216"/>
        <v>X</v>
      </c>
      <c r="I14098" s="1" t="str">
        <f t="shared" si="3216"/>
        <v>X</v>
      </c>
      <c r="J14098" s="1" t="str">
        <f t="shared" si="3216"/>
        <v>X</v>
      </c>
      <c r="K14098" s="1" t="str">
        <f t="shared" si="3216"/>
        <v>X</v>
      </c>
      <c r="L14098" s="1" t="str">
        <f t="shared" si="3216"/>
        <v>X</v>
      </c>
      <c r="M14098" s="1" t="str">
        <f t="shared" si="3216"/>
        <v>X</v>
      </c>
      <c r="N14098" t="s">
        <v>27</v>
      </c>
    </row>
    <row r="14099" spans="1:14" x14ac:dyDescent="0.25">
      <c r="A14099" t="s">
        <v>45</v>
      </c>
      <c r="B14099" t="s">
        <v>39</v>
      </c>
      <c r="C14099" t="s">
        <v>15</v>
      </c>
      <c r="D14099" t="s">
        <v>31</v>
      </c>
      <c r="E14099" t="s">
        <v>26</v>
      </c>
      <c r="F14099" t="s">
        <v>18</v>
      </c>
      <c r="G14099" s="1" t="str">
        <f t="shared" si="3216"/>
        <v>X</v>
      </c>
      <c r="H14099" s="1" t="str">
        <f t="shared" si="3216"/>
        <v>X</v>
      </c>
      <c r="I14099" s="1" t="str">
        <f t="shared" si="3216"/>
        <v>X</v>
      </c>
      <c r="J14099" s="1" t="str">
        <f t="shared" si="3216"/>
        <v>X</v>
      </c>
      <c r="K14099" s="1" t="str">
        <f t="shared" si="3216"/>
        <v>X</v>
      </c>
      <c r="L14099" s="1" t="str">
        <f t="shared" si="3216"/>
        <v>X</v>
      </c>
      <c r="M14099" s="1" t="str">
        <f t="shared" si="3216"/>
        <v>X</v>
      </c>
      <c r="N14099" t="s">
        <v>27</v>
      </c>
    </row>
    <row r="14100" spans="1:14" x14ac:dyDescent="0.25">
      <c r="A14100" t="s">
        <v>45</v>
      </c>
      <c r="B14100" t="s">
        <v>39</v>
      </c>
      <c r="C14100" t="s">
        <v>15</v>
      </c>
      <c r="D14100" t="s">
        <v>31</v>
      </c>
      <c r="E14100" t="s">
        <v>26</v>
      </c>
      <c r="F14100" t="s">
        <v>19</v>
      </c>
      <c r="G14100" s="1" t="str">
        <f t="shared" ref="G14100:M14100" si="3217">"..."</f>
        <v>...</v>
      </c>
      <c r="H14100" s="1" t="str">
        <f t="shared" si="3217"/>
        <v>...</v>
      </c>
      <c r="I14100" s="1" t="str">
        <f t="shared" si="3217"/>
        <v>...</v>
      </c>
      <c r="J14100" s="1" t="str">
        <f t="shared" si="3217"/>
        <v>...</v>
      </c>
      <c r="K14100" s="1" t="str">
        <f t="shared" si="3217"/>
        <v>...</v>
      </c>
      <c r="L14100" s="1" t="str">
        <f t="shared" si="3217"/>
        <v>...</v>
      </c>
      <c r="M14100" s="1" t="str">
        <f t="shared" si="3217"/>
        <v>...</v>
      </c>
      <c r="N14100" t="s">
        <v>30</v>
      </c>
    </row>
    <row r="14101" spans="1:14" x14ac:dyDescent="0.25">
      <c r="A14101" t="s">
        <v>45</v>
      </c>
      <c r="B14101" t="s">
        <v>39</v>
      </c>
      <c r="C14101" t="s">
        <v>15</v>
      </c>
      <c r="D14101" t="s">
        <v>31</v>
      </c>
      <c r="E14101" t="s">
        <v>26</v>
      </c>
      <c r="F14101" t="s">
        <v>20</v>
      </c>
      <c r="G14101" s="1" t="str">
        <f t="shared" ref="G14101:M14101" si="3218">"X"</f>
        <v>X</v>
      </c>
      <c r="H14101" s="1" t="str">
        <f t="shared" si="3218"/>
        <v>X</v>
      </c>
      <c r="I14101" s="1" t="str">
        <f t="shared" si="3218"/>
        <v>X</v>
      </c>
      <c r="J14101" s="1" t="str">
        <f t="shared" si="3218"/>
        <v>X</v>
      </c>
      <c r="K14101" s="1" t="str">
        <f t="shared" si="3218"/>
        <v>X</v>
      </c>
      <c r="L14101" s="1" t="str">
        <f t="shared" si="3218"/>
        <v>X</v>
      </c>
      <c r="M14101" s="1" t="str">
        <f t="shared" si="3218"/>
        <v>X</v>
      </c>
      <c r="N14101" t="s">
        <v>27</v>
      </c>
    </row>
    <row r="14102" spans="1:14" x14ac:dyDescent="0.25">
      <c r="A14102" t="s">
        <v>45</v>
      </c>
      <c r="B14102" t="s">
        <v>39</v>
      </c>
      <c r="C14102" t="s">
        <v>15</v>
      </c>
      <c r="D14102" t="s">
        <v>32</v>
      </c>
      <c r="E14102" t="s">
        <v>15</v>
      </c>
      <c r="F14102" t="s">
        <v>15</v>
      </c>
      <c r="G14102" s="1">
        <f>VALUE(29967.12)</f>
        <v>29967.119999999999</v>
      </c>
      <c r="H14102" s="1">
        <f>VALUE(29412.87)</f>
        <v>29412.87</v>
      </c>
      <c r="I14102" s="1">
        <f>VALUE(3394)</f>
        <v>3394</v>
      </c>
      <c r="J14102" s="1">
        <f>VALUE(3969)</f>
        <v>3969</v>
      </c>
      <c r="K14102" s="1">
        <f>VALUE(4829)</f>
        <v>4829</v>
      </c>
      <c r="L14102" s="1">
        <f>VALUE(5873)</f>
        <v>5873</v>
      </c>
      <c r="M14102" s="1">
        <f>VALUE(7235)</f>
        <v>7235</v>
      </c>
      <c r="N14102" t="s">
        <v>16</v>
      </c>
    </row>
    <row r="14103" spans="1:14" x14ac:dyDescent="0.25">
      <c r="A14103" t="s">
        <v>45</v>
      </c>
      <c r="B14103" t="s">
        <v>39</v>
      </c>
      <c r="C14103" t="s">
        <v>15</v>
      </c>
      <c r="D14103" t="s">
        <v>32</v>
      </c>
      <c r="E14103" t="s">
        <v>15</v>
      </c>
      <c r="F14103" t="s">
        <v>17</v>
      </c>
      <c r="G14103" s="2">
        <f>VALUE(2100.54)</f>
        <v>2100.54</v>
      </c>
      <c r="H14103" s="3">
        <f>VALUE(1986.31)</f>
        <v>1986.31</v>
      </c>
      <c r="I14103" s="1">
        <f>VALUE(4335)</f>
        <v>4335</v>
      </c>
      <c r="J14103" s="1">
        <f>VALUE(5417)</f>
        <v>5417</v>
      </c>
      <c r="K14103" s="1">
        <f>VALUE(7429)</f>
        <v>7429</v>
      </c>
      <c r="L14103" s="1">
        <f>VALUE(10555)</f>
        <v>10555</v>
      </c>
      <c r="M14103" s="8">
        <f>VALUE(16078)</f>
        <v>16078</v>
      </c>
      <c r="N14103" t="s">
        <v>25</v>
      </c>
    </row>
    <row r="14104" spans="1:14" x14ac:dyDescent="0.25">
      <c r="A14104" t="s">
        <v>45</v>
      </c>
      <c r="B14104" t="s">
        <v>39</v>
      </c>
      <c r="C14104" t="s">
        <v>15</v>
      </c>
      <c r="D14104" t="s">
        <v>32</v>
      </c>
      <c r="E14104" t="s">
        <v>15</v>
      </c>
      <c r="F14104" t="s">
        <v>18</v>
      </c>
      <c r="G14104" s="2">
        <f>VALUE(2282.57)</f>
        <v>2282.5700000000002</v>
      </c>
      <c r="H14104" s="3">
        <f>VALUE(2225.08)</f>
        <v>2225.08</v>
      </c>
      <c r="I14104" s="1">
        <f>VALUE(4299)</f>
        <v>4299</v>
      </c>
      <c r="J14104" s="1">
        <f>VALUE(4993)</f>
        <v>4993</v>
      </c>
      <c r="K14104" s="1">
        <f>VALUE(5691)</f>
        <v>5691</v>
      </c>
      <c r="L14104" s="1">
        <f>VALUE(7425)</f>
        <v>7425</v>
      </c>
      <c r="M14104" s="1">
        <f>VALUE(9749)</f>
        <v>9749</v>
      </c>
      <c r="N14104" t="s">
        <v>25</v>
      </c>
    </row>
    <row r="14105" spans="1:14" x14ac:dyDescent="0.25">
      <c r="A14105" t="s">
        <v>45</v>
      </c>
      <c r="B14105" t="s">
        <v>39</v>
      </c>
      <c r="C14105" t="s">
        <v>15</v>
      </c>
      <c r="D14105" t="s">
        <v>32</v>
      </c>
      <c r="E14105" t="s">
        <v>15</v>
      </c>
      <c r="F14105" t="s">
        <v>19</v>
      </c>
      <c r="G14105" s="1">
        <f>VALUE(3197.18)</f>
        <v>3197.18</v>
      </c>
      <c r="H14105" s="1">
        <f>VALUE(3175.06)</f>
        <v>3175.06</v>
      </c>
      <c r="I14105" s="1">
        <f>VALUE(3640)</f>
        <v>3640</v>
      </c>
      <c r="J14105" s="1">
        <f>VALUE(4302)</f>
        <v>4302</v>
      </c>
      <c r="K14105" s="1">
        <f>VALUE(5232)</f>
        <v>5232</v>
      </c>
      <c r="L14105" s="1">
        <f>VALUE(6282)</f>
        <v>6282</v>
      </c>
      <c r="M14105" s="1">
        <f>VALUE(7518)</f>
        <v>7518</v>
      </c>
      <c r="N14105" t="s">
        <v>16</v>
      </c>
    </row>
    <row r="14106" spans="1:14" x14ac:dyDescent="0.25">
      <c r="A14106" t="s">
        <v>45</v>
      </c>
      <c r="B14106" t="s">
        <v>39</v>
      </c>
      <c r="C14106" t="s">
        <v>15</v>
      </c>
      <c r="D14106" t="s">
        <v>32</v>
      </c>
      <c r="E14106" t="s">
        <v>15</v>
      </c>
      <c r="F14106" t="s">
        <v>20</v>
      </c>
      <c r="G14106" s="1">
        <f>VALUE(22386.83)</f>
        <v>22386.83</v>
      </c>
      <c r="H14106" s="1">
        <f>VALUE(22026.42)</f>
        <v>22026.42</v>
      </c>
      <c r="I14106" s="1">
        <f>VALUE(3313)</f>
        <v>3313</v>
      </c>
      <c r="J14106" s="1">
        <f>VALUE(3800)</f>
        <v>3800</v>
      </c>
      <c r="K14106" s="1">
        <f>VALUE(4564)</f>
        <v>4564</v>
      </c>
      <c r="L14106" s="1">
        <f>VALUE(5471)</f>
        <v>5471</v>
      </c>
      <c r="M14106" s="1">
        <f>VALUE(6450)</f>
        <v>6450</v>
      </c>
      <c r="N14106" t="s">
        <v>16</v>
      </c>
    </row>
    <row r="14107" spans="1:14" x14ac:dyDescent="0.25">
      <c r="A14107" t="s">
        <v>45</v>
      </c>
      <c r="B14107" t="s">
        <v>39</v>
      </c>
      <c r="C14107" t="s">
        <v>15</v>
      </c>
      <c r="D14107" t="s">
        <v>32</v>
      </c>
      <c r="E14107" t="s">
        <v>21</v>
      </c>
      <c r="F14107" t="s">
        <v>15</v>
      </c>
      <c r="G14107" s="1">
        <f>VALUE(6783.2)</f>
        <v>6783.2</v>
      </c>
      <c r="H14107" s="1">
        <f>VALUE(6518.24)</f>
        <v>6518.24</v>
      </c>
      <c r="I14107" s="1">
        <f>VALUE(3600)</f>
        <v>3600</v>
      </c>
      <c r="J14107" s="1">
        <f>VALUE(4374)</f>
        <v>4374</v>
      </c>
      <c r="K14107" s="1">
        <f>VALUE(5645)</f>
        <v>5645</v>
      </c>
      <c r="L14107" s="1">
        <f>VALUE(7667)</f>
        <v>7667</v>
      </c>
      <c r="M14107" s="1">
        <f>VALUE(10658)</f>
        <v>10658</v>
      </c>
      <c r="N14107" t="s">
        <v>16</v>
      </c>
    </row>
    <row r="14108" spans="1:14" x14ac:dyDescent="0.25">
      <c r="A14108" t="s">
        <v>45</v>
      </c>
      <c r="B14108" t="s">
        <v>39</v>
      </c>
      <c r="C14108" t="s">
        <v>15</v>
      </c>
      <c r="D14108" t="s">
        <v>32</v>
      </c>
      <c r="E14108" t="s">
        <v>21</v>
      </c>
      <c r="F14108" t="s">
        <v>17</v>
      </c>
      <c r="G14108" s="2">
        <f>VALUE(1228.11)</f>
        <v>1228.1099999999999</v>
      </c>
      <c r="H14108" s="3">
        <f>VALUE(1121.11)</f>
        <v>1121.1099999999999</v>
      </c>
      <c r="I14108" s="4">
        <f>VALUE(5156)</f>
        <v>5156</v>
      </c>
      <c r="J14108" s="1">
        <f>VALUE(6322)</f>
        <v>6322</v>
      </c>
      <c r="K14108" s="1">
        <f>VALUE(8667)</f>
        <v>8667</v>
      </c>
      <c r="L14108" s="7">
        <f>VALUE(12287)</f>
        <v>12287</v>
      </c>
      <c r="M14108" s="8">
        <f>VALUE(18842)</f>
        <v>18842</v>
      </c>
      <c r="N14108" t="s">
        <v>25</v>
      </c>
    </row>
    <row r="14109" spans="1:14" x14ac:dyDescent="0.25">
      <c r="A14109" t="s">
        <v>45</v>
      </c>
      <c r="B14109" t="s">
        <v>39</v>
      </c>
      <c r="C14109" t="s">
        <v>15</v>
      </c>
      <c r="D14109" t="s">
        <v>32</v>
      </c>
      <c r="E14109" t="s">
        <v>21</v>
      </c>
      <c r="F14109" t="s">
        <v>18</v>
      </c>
      <c r="G14109" s="2">
        <f>VALUE(920.37)</f>
        <v>920.37</v>
      </c>
      <c r="H14109" s="3">
        <f>VALUE(911.77)</f>
        <v>911.77</v>
      </c>
      <c r="I14109" s="1">
        <f>VALUE(4722)</f>
        <v>4722</v>
      </c>
      <c r="J14109" s="1">
        <f>VALUE(5469)</f>
        <v>5469</v>
      </c>
      <c r="K14109" s="1">
        <f>VALUE(6825)</f>
        <v>6825</v>
      </c>
      <c r="L14109" s="1">
        <f>VALUE(8755)</f>
        <v>8755</v>
      </c>
      <c r="M14109" s="8">
        <f>VALUE(11668)</f>
        <v>11668</v>
      </c>
      <c r="N14109" t="s">
        <v>25</v>
      </c>
    </row>
    <row r="14110" spans="1:14" x14ac:dyDescent="0.25">
      <c r="A14110" t="s">
        <v>45</v>
      </c>
      <c r="B14110" t="s">
        <v>39</v>
      </c>
      <c r="C14110" t="s">
        <v>15</v>
      </c>
      <c r="D14110" t="s">
        <v>32</v>
      </c>
      <c r="E14110" t="s">
        <v>21</v>
      </c>
      <c r="F14110" t="s">
        <v>19</v>
      </c>
      <c r="G14110" s="2">
        <f>VALUE(1052.23)</f>
        <v>1052.23</v>
      </c>
      <c r="H14110" s="3">
        <f>VALUE(1028.58)</f>
        <v>1028.58</v>
      </c>
      <c r="I14110" s="4">
        <f>VALUE(3405)</f>
        <v>3405</v>
      </c>
      <c r="J14110" s="1">
        <f>VALUE(4482)</f>
        <v>4482</v>
      </c>
      <c r="K14110" s="1">
        <f>VALUE(5640)</f>
        <v>5640</v>
      </c>
      <c r="L14110" s="1">
        <f>VALUE(7048)</f>
        <v>7048</v>
      </c>
      <c r="M14110" s="8">
        <f>VALUE(9273)</f>
        <v>9273</v>
      </c>
      <c r="N14110" t="s">
        <v>25</v>
      </c>
    </row>
    <row r="14111" spans="1:14" x14ac:dyDescent="0.25">
      <c r="A14111" t="s">
        <v>45</v>
      </c>
      <c r="B14111" t="s">
        <v>39</v>
      </c>
      <c r="C14111" t="s">
        <v>15</v>
      </c>
      <c r="D14111" t="s">
        <v>32</v>
      </c>
      <c r="E14111" t="s">
        <v>21</v>
      </c>
      <c r="F14111" t="s">
        <v>20</v>
      </c>
      <c r="G14111" s="1">
        <f>VALUE(3582.49)</f>
        <v>3582.49</v>
      </c>
      <c r="H14111" s="1">
        <f>VALUE(3456.78)</f>
        <v>3456.78</v>
      </c>
      <c r="I14111" s="1">
        <f>VALUE(3400)</f>
        <v>3400</v>
      </c>
      <c r="J14111" s="1">
        <f>VALUE(3992)</f>
        <v>3992</v>
      </c>
      <c r="K14111" s="1">
        <f>VALUE(4938)</f>
        <v>4938</v>
      </c>
      <c r="L14111" s="1">
        <f>VALUE(6250)</f>
        <v>6250</v>
      </c>
      <c r="M14111" s="1">
        <f>VALUE(8055)</f>
        <v>8055</v>
      </c>
      <c r="N14111" t="s">
        <v>16</v>
      </c>
    </row>
    <row r="14112" spans="1:14" x14ac:dyDescent="0.25">
      <c r="A14112" t="s">
        <v>45</v>
      </c>
      <c r="B14112" t="s">
        <v>39</v>
      </c>
      <c r="C14112" t="s">
        <v>15</v>
      </c>
      <c r="D14112" t="s">
        <v>32</v>
      </c>
      <c r="E14112" t="s">
        <v>22</v>
      </c>
      <c r="F14112" t="s">
        <v>15</v>
      </c>
      <c r="G14112" s="1">
        <f>VALUE(10322.11)</f>
        <v>10322.11</v>
      </c>
      <c r="H14112" s="1">
        <f>VALUE(10234.47)</f>
        <v>10234.469999999999</v>
      </c>
      <c r="I14112" s="1">
        <f>VALUE(3445)</f>
        <v>3445</v>
      </c>
      <c r="J14112" s="1">
        <f>VALUE(4103)</f>
        <v>4103</v>
      </c>
      <c r="K14112" s="1">
        <f>VALUE(4921)</f>
        <v>4921</v>
      </c>
      <c r="L14112" s="1">
        <f>VALUE(5827)</f>
        <v>5827</v>
      </c>
      <c r="M14112" s="1">
        <f>VALUE(6954)</f>
        <v>6954</v>
      </c>
      <c r="N14112" t="s">
        <v>16</v>
      </c>
    </row>
    <row r="14113" spans="1:14" x14ac:dyDescent="0.25">
      <c r="A14113" t="s">
        <v>45</v>
      </c>
      <c r="B14113" t="s">
        <v>39</v>
      </c>
      <c r="C14113" t="s">
        <v>15</v>
      </c>
      <c r="D14113" t="s">
        <v>32</v>
      </c>
      <c r="E14113" t="s">
        <v>22</v>
      </c>
      <c r="F14113" t="s">
        <v>17</v>
      </c>
      <c r="G14113" s="2">
        <f>VALUE(623.07)</f>
        <v>623.07000000000005</v>
      </c>
      <c r="H14113" s="3">
        <f>VALUE(622.81)</f>
        <v>622.80999999999995</v>
      </c>
      <c r="I14113" s="4">
        <f>VALUE(4300)</f>
        <v>4300</v>
      </c>
      <c r="J14113" s="5">
        <f>VALUE(5200)</f>
        <v>5200</v>
      </c>
      <c r="K14113" s="6">
        <f>VALUE(6691)</f>
        <v>6691</v>
      </c>
      <c r="L14113" s="1">
        <f>VALUE(8882)</f>
        <v>8882</v>
      </c>
      <c r="M14113" s="1">
        <f>VALUE(12083)</f>
        <v>12083</v>
      </c>
      <c r="N14113" t="s">
        <v>25</v>
      </c>
    </row>
    <row r="14114" spans="1:14" x14ac:dyDescent="0.25">
      <c r="A14114" t="s">
        <v>45</v>
      </c>
      <c r="B14114" t="s">
        <v>39</v>
      </c>
      <c r="C14114" t="s">
        <v>15</v>
      </c>
      <c r="D14114" t="s">
        <v>32</v>
      </c>
      <c r="E14114" t="s">
        <v>22</v>
      </c>
      <c r="F14114" t="s">
        <v>18</v>
      </c>
      <c r="G14114" s="2">
        <f>VALUE(882.11)</f>
        <v>882.11</v>
      </c>
      <c r="H14114" s="3">
        <f>VALUE(835.25)</f>
        <v>835.25</v>
      </c>
      <c r="I14114" s="4">
        <f>VALUE(4117)</f>
        <v>4117</v>
      </c>
      <c r="J14114" s="1">
        <f>VALUE(4787)</f>
        <v>4787</v>
      </c>
      <c r="K14114" s="1">
        <f>VALUE(5525)</f>
        <v>5525</v>
      </c>
      <c r="L14114" s="1">
        <f>VALUE(6512)</f>
        <v>6512</v>
      </c>
      <c r="M14114" s="1">
        <f>VALUE(7897)</f>
        <v>7897</v>
      </c>
      <c r="N14114" t="s">
        <v>25</v>
      </c>
    </row>
    <row r="14115" spans="1:14" x14ac:dyDescent="0.25">
      <c r="A14115" t="s">
        <v>45</v>
      </c>
      <c r="B14115" t="s">
        <v>39</v>
      </c>
      <c r="C14115" t="s">
        <v>15</v>
      </c>
      <c r="D14115" t="s">
        <v>32</v>
      </c>
      <c r="E14115" t="s">
        <v>22</v>
      </c>
      <c r="F14115" t="s">
        <v>19</v>
      </c>
      <c r="G14115" s="2">
        <f>VALUE(1417.89)</f>
        <v>1417.89</v>
      </c>
      <c r="H14115" s="3">
        <f>VALUE(1419.7)</f>
        <v>1419.7</v>
      </c>
      <c r="I14115" s="1">
        <f>VALUE(3755)</f>
        <v>3755</v>
      </c>
      <c r="J14115" s="1">
        <f>VALUE(4417)</f>
        <v>4417</v>
      </c>
      <c r="K14115" s="1">
        <f>VALUE(5267)</f>
        <v>5267</v>
      </c>
      <c r="L14115" s="1">
        <f>VALUE(6243)</f>
        <v>6243</v>
      </c>
      <c r="M14115" s="1">
        <f>VALUE(7241)</f>
        <v>7241</v>
      </c>
      <c r="N14115" t="s">
        <v>25</v>
      </c>
    </row>
    <row r="14116" spans="1:14" x14ac:dyDescent="0.25">
      <c r="A14116" t="s">
        <v>45</v>
      </c>
      <c r="B14116" t="s">
        <v>39</v>
      </c>
      <c r="C14116" t="s">
        <v>15</v>
      </c>
      <c r="D14116" t="s">
        <v>32</v>
      </c>
      <c r="E14116" t="s">
        <v>22</v>
      </c>
      <c r="F14116" t="s">
        <v>20</v>
      </c>
      <c r="G14116" s="1">
        <f>VALUE(7399.04)</f>
        <v>7399.04</v>
      </c>
      <c r="H14116" s="1">
        <f>VALUE(7356.71)</f>
        <v>7356.71</v>
      </c>
      <c r="I14116" s="1">
        <f>VALUE(3336)</f>
        <v>3336</v>
      </c>
      <c r="J14116" s="1">
        <f>VALUE(3916)</f>
        <v>3916</v>
      </c>
      <c r="K14116" s="1">
        <f>VALUE(4701)</f>
        <v>4701</v>
      </c>
      <c r="L14116" s="1">
        <f>VALUE(5524)</f>
        <v>5524</v>
      </c>
      <c r="M14116" s="1">
        <f>VALUE(6299)</f>
        <v>6299</v>
      </c>
      <c r="N14116" t="s">
        <v>16</v>
      </c>
    </row>
    <row r="14117" spans="1:14" x14ac:dyDescent="0.25">
      <c r="A14117" t="s">
        <v>45</v>
      </c>
      <c r="B14117" t="s">
        <v>39</v>
      </c>
      <c r="C14117" t="s">
        <v>15</v>
      </c>
      <c r="D14117" t="s">
        <v>32</v>
      </c>
      <c r="E14117" t="s">
        <v>23</v>
      </c>
      <c r="F14117" t="s">
        <v>15</v>
      </c>
      <c r="G14117" s="1">
        <f>VALUE(12630.18)</f>
        <v>12630.18</v>
      </c>
      <c r="H14117" s="1">
        <f>VALUE(12425.92)</f>
        <v>12425.92</v>
      </c>
      <c r="I14117" s="1">
        <f>VALUE(3319)</f>
        <v>3319</v>
      </c>
      <c r="J14117" s="1">
        <f>VALUE(3750)</f>
        <v>3750</v>
      </c>
      <c r="K14117" s="1">
        <f>VALUE(4473)</f>
        <v>4473</v>
      </c>
      <c r="L14117" s="1">
        <f>VALUE(5327)</f>
        <v>5327</v>
      </c>
      <c r="M14117" s="1">
        <f>VALUE(6222)</f>
        <v>6222</v>
      </c>
      <c r="N14117" t="s">
        <v>16</v>
      </c>
    </row>
    <row r="14118" spans="1:14" x14ac:dyDescent="0.25">
      <c r="A14118" t="s">
        <v>45</v>
      </c>
      <c r="B14118" t="s">
        <v>39</v>
      </c>
      <c r="C14118" t="s">
        <v>15</v>
      </c>
      <c r="D14118" t="s">
        <v>32</v>
      </c>
      <c r="E14118" t="s">
        <v>23</v>
      </c>
      <c r="F14118" t="s">
        <v>17</v>
      </c>
      <c r="G14118" s="1" t="str">
        <f t="shared" ref="G14118:M14118" si="3219">"X"</f>
        <v>X</v>
      </c>
      <c r="H14118" s="1" t="str">
        <f t="shared" si="3219"/>
        <v>X</v>
      </c>
      <c r="I14118" s="1" t="str">
        <f t="shared" si="3219"/>
        <v>X</v>
      </c>
      <c r="J14118" s="1" t="str">
        <f t="shared" si="3219"/>
        <v>X</v>
      </c>
      <c r="K14118" s="1" t="str">
        <f t="shared" si="3219"/>
        <v>X</v>
      </c>
      <c r="L14118" s="1" t="str">
        <f t="shared" si="3219"/>
        <v>X</v>
      </c>
      <c r="M14118" s="1" t="str">
        <f t="shared" si="3219"/>
        <v>X</v>
      </c>
      <c r="N14118" t="s">
        <v>27</v>
      </c>
    </row>
    <row r="14119" spans="1:14" x14ac:dyDescent="0.25">
      <c r="A14119" t="s">
        <v>45</v>
      </c>
      <c r="B14119" t="s">
        <v>39</v>
      </c>
      <c r="C14119" t="s">
        <v>15</v>
      </c>
      <c r="D14119" t="s">
        <v>32</v>
      </c>
      <c r="E14119" t="s">
        <v>23</v>
      </c>
      <c r="F14119" t="s">
        <v>18</v>
      </c>
      <c r="G14119" s="2">
        <f>VALUE(440.42)</f>
        <v>440.42</v>
      </c>
      <c r="H14119" s="3">
        <f>VALUE(437.99)</f>
        <v>437.99</v>
      </c>
      <c r="I14119" s="1">
        <f>VALUE(4088)</f>
        <v>4088</v>
      </c>
      <c r="J14119" s="1">
        <f>VALUE(4759)</f>
        <v>4759</v>
      </c>
      <c r="K14119" s="1">
        <f>VALUE(5691)</f>
        <v>5691</v>
      </c>
      <c r="L14119" s="7">
        <f>VALUE(5691)</f>
        <v>5691</v>
      </c>
      <c r="M14119" s="8">
        <f>VALUE(7293)</f>
        <v>7293</v>
      </c>
      <c r="N14119" t="s">
        <v>25</v>
      </c>
    </row>
    <row r="14120" spans="1:14" x14ac:dyDescent="0.25">
      <c r="A14120" t="s">
        <v>45</v>
      </c>
      <c r="B14120" t="s">
        <v>39</v>
      </c>
      <c r="C14120" t="s">
        <v>15</v>
      </c>
      <c r="D14120" t="s">
        <v>32</v>
      </c>
      <c r="E14120" t="s">
        <v>23</v>
      </c>
      <c r="F14120" t="s">
        <v>19</v>
      </c>
      <c r="G14120" s="2">
        <f>VALUE(724.1)</f>
        <v>724.1</v>
      </c>
      <c r="H14120" s="3">
        <f>VALUE(723.56)</f>
        <v>723.56</v>
      </c>
      <c r="I14120" s="4">
        <f>VALUE(3509)</f>
        <v>3509</v>
      </c>
      <c r="J14120" s="1">
        <f>VALUE(4063)</f>
        <v>4063</v>
      </c>
      <c r="K14120" s="1">
        <f>VALUE(4720)</f>
        <v>4720</v>
      </c>
      <c r="L14120" s="1">
        <f>VALUE(5363)</f>
        <v>5363</v>
      </c>
      <c r="M14120" s="1">
        <f>VALUE(6145)</f>
        <v>6145</v>
      </c>
      <c r="N14120" t="s">
        <v>25</v>
      </c>
    </row>
    <row r="14121" spans="1:14" x14ac:dyDescent="0.25">
      <c r="A14121" t="s">
        <v>45</v>
      </c>
      <c r="B14121" t="s">
        <v>39</v>
      </c>
      <c r="C14121" t="s">
        <v>15</v>
      </c>
      <c r="D14121" t="s">
        <v>32</v>
      </c>
      <c r="E14121" t="s">
        <v>23</v>
      </c>
      <c r="F14121" t="s">
        <v>20</v>
      </c>
      <c r="G14121" s="1">
        <f>VALUE(11219.93)</f>
        <v>11219.93</v>
      </c>
      <c r="H14121" s="1">
        <f>VALUE(11025.64)</f>
        <v>11025.64</v>
      </c>
      <c r="I14121" s="1">
        <f>VALUE(3292)</f>
        <v>3292</v>
      </c>
      <c r="J14121" s="1">
        <f>VALUE(3713)</f>
        <v>3713</v>
      </c>
      <c r="K14121" s="1">
        <f>VALUE(4435)</f>
        <v>4435</v>
      </c>
      <c r="L14121" s="1">
        <f>VALUE(5263)</f>
        <v>5263</v>
      </c>
      <c r="M14121" s="1">
        <f>VALUE(6174)</f>
        <v>6174</v>
      </c>
      <c r="N14121" t="s">
        <v>16</v>
      </c>
    </row>
    <row r="14122" spans="1:14" x14ac:dyDescent="0.25">
      <c r="A14122" t="s">
        <v>45</v>
      </c>
      <c r="B14122" t="s">
        <v>39</v>
      </c>
      <c r="C14122" t="s">
        <v>15</v>
      </c>
      <c r="D14122" t="s">
        <v>32</v>
      </c>
      <c r="E14122" t="s">
        <v>26</v>
      </c>
      <c r="F14122" t="s">
        <v>15</v>
      </c>
      <c r="G14122" s="2">
        <f>VALUE(231.63)</f>
        <v>231.63</v>
      </c>
      <c r="H14122" s="3">
        <f>VALUE(234.24)</f>
        <v>234.24</v>
      </c>
      <c r="I14122" s="1">
        <f>VALUE(3258)</f>
        <v>3258</v>
      </c>
      <c r="J14122" s="5">
        <f>VALUE(4088)</f>
        <v>4088</v>
      </c>
      <c r="K14122" s="6">
        <f>VALUE(4881)</f>
        <v>4881</v>
      </c>
      <c r="L14122" s="7">
        <f>VALUE(6948)</f>
        <v>6948</v>
      </c>
      <c r="M14122" s="1">
        <f>VALUE(8487)</f>
        <v>8487</v>
      </c>
      <c r="N14122" t="s">
        <v>25</v>
      </c>
    </row>
    <row r="14123" spans="1:14" x14ac:dyDescent="0.25">
      <c r="A14123" t="s">
        <v>45</v>
      </c>
      <c r="B14123" t="s">
        <v>39</v>
      </c>
      <c r="C14123" t="s">
        <v>15</v>
      </c>
      <c r="D14123" t="s">
        <v>32</v>
      </c>
      <c r="E14123" t="s">
        <v>26</v>
      </c>
      <c r="F14123" t="s">
        <v>17</v>
      </c>
      <c r="G14123" s="1" t="str">
        <f t="shared" ref="G14123:M14125" si="3220">"X"</f>
        <v>X</v>
      </c>
      <c r="H14123" s="1" t="str">
        <f t="shared" si="3220"/>
        <v>X</v>
      </c>
      <c r="I14123" s="1" t="str">
        <f t="shared" si="3220"/>
        <v>X</v>
      </c>
      <c r="J14123" s="1" t="str">
        <f t="shared" si="3220"/>
        <v>X</v>
      </c>
      <c r="K14123" s="1" t="str">
        <f t="shared" si="3220"/>
        <v>X</v>
      </c>
      <c r="L14123" s="1" t="str">
        <f t="shared" si="3220"/>
        <v>X</v>
      </c>
      <c r="M14123" s="1" t="str">
        <f t="shared" si="3220"/>
        <v>X</v>
      </c>
      <c r="N14123" t="s">
        <v>27</v>
      </c>
    </row>
    <row r="14124" spans="1:14" x14ac:dyDescent="0.25">
      <c r="A14124" t="s">
        <v>45</v>
      </c>
      <c r="B14124" t="s">
        <v>39</v>
      </c>
      <c r="C14124" t="s">
        <v>15</v>
      </c>
      <c r="D14124" t="s">
        <v>32</v>
      </c>
      <c r="E14124" t="s">
        <v>26</v>
      </c>
      <c r="F14124" t="s">
        <v>18</v>
      </c>
      <c r="G14124" s="1" t="str">
        <f t="shared" si="3220"/>
        <v>X</v>
      </c>
      <c r="H14124" s="1" t="str">
        <f t="shared" si="3220"/>
        <v>X</v>
      </c>
      <c r="I14124" s="1" t="str">
        <f t="shared" si="3220"/>
        <v>X</v>
      </c>
      <c r="J14124" s="1" t="str">
        <f t="shared" si="3220"/>
        <v>X</v>
      </c>
      <c r="K14124" s="1" t="str">
        <f t="shared" si="3220"/>
        <v>X</v>
      </c>
      <c r="L14124" s="1" t="str">
        <f t="shared" si="3220"/>
        <v>X</v>
      </c>
      <c r="M14124" s="1" t="str">
        <f t="shared" si="3220"/>
        <v>X</v>
      </c>
      <c r="N14124" t="s">
        <v>27</v>
      </c>
    </row>
    <row r="14125" spans="1:14" x14ac:dyDescent="0.25">
      <c r="A14125" t="s">
        <v>45</v>
      </c>
      <c r="B14125" t="s">
        <v>39</v>
      </c>
      <c r="C14125" t="s">
        <v>15</v>
      </c>
      <c r="D14125" t="s">
        <v>32</v>
      </c>
      <c r="E14125" t="s">
        <v>26</v>
      </c>
      <c r="F14125" t="s">
        <v>19</v>
      </c>
      <c r="G14125" s="1" t="str">
        <f t="shared" si="3220"/>
        <v>X</v>
      </c>
      <c r="H14125" s="1" t="str">
        <f t="shared" si="3220"/>
        <v>X</v>
      </c>
      <c r="I14125" s="1" t="str">
        <f t="shared" si="3220"/>
        <v>X</v>
      </c>
      <c r="J14125" s="1" t="str">
        <f t="shared" si="3220"/>
        <v>X</v>
      </c>
      <c r="K14125" s="1" t="str">
        <f t="shared" si="3220"/>
        <v>X</v>
      </c>
      <c r="L14125" s="1" t="str">
        <f t="shared" si="3220"/>
        <v>X</v>
      </c>
      <c r="M14125" s="1" t="str">
        <f t="shared" si="3220"/>
        <v>X</v>
      </c>
      <c r="N14125" t="s">
        <v>27</v>
      </c>
    </row>
    <row r="14126" spans="1:14" x14ac:dyDescent="0.25">
      <c r="A14126" t="s">
        <v>45</v>
      </c>
      <c r="B14126" t="s">
        <v>39</v>
      </c>
      <c r="C14126" t="s">
        <v>15</v>
      </c>
      <c r="D14126" t="s">
        <v>32</v>
      </c>
      <c r="E14126" t="s">
        <v>26</v>
      </c>
      <c r="F14126" t="s">
        <v>20</v>
      </c>
      <c r="G14126" s="2">
        <f>VALUE(185.37)</f>
        <v>185.37</v>
      </c>
      <c r="H14126" s="3">
        <f>VALUE(187.29)</f>
        <v>187.29</v>
      </c>
      <c r="I14126" s="1">
        <f>VALUE(3258)</f>
        <v>3258</v>
      </c>
      <c r="J14126" s="5">
        <f>VALUE(3890)</f>
        <v>3890</v>
      </c>
      <c r="K14126" s="6">
        <f>VALUE(4637)</f>
        <v>4637</v>
      </c>
      <c r="L14126" s="7">
        <f>VALUE(5599)</f>
        <v>5599</v>
      </c>
      <c r="M14126" s="8">
        <f>VALUE(7513)</f>
        <v>7513</v>
      </c>
      <c r="N14126" t="s">
        <v>25</v>
      </c>
    </row>
    <row r="14127" spans="1:14" x14ac:dyDescent="0.25">
      <c r="A14127" t="s">
        <v>45</v>
      </c>
      <c r="B14127" t="s">
        <v>39</v>
      </c>
      <c r="C14127" t="s">
        <v>15</v>
      </c>
      <c r="D14127" t="s">
        <v>33</v>
      </c>
      <c r="E14127" t="s">
        <v>15</v>
      </c>
      <c r="F14127" t="s">
        <v>15</v>
      </c>
      <c r="G14127" s="2">
        <f>VALUE(464.42)</f>
        <v>464.42</v>
      </c>
      <c r="H14127" s="3">
        <f>VALUE(453.1)</f>
        <v>453.1</v>
      </c>
      <c r="I14127" s="1">
        <f>VALUE(3422)</f>
        <v>3422</v>
      </c>
      <c r="J14127" s="5">
        <f>VALUE(4176)</f>
        <v>4176</v>
      </c>
      <c r="K14127" s="1">
        <f>VALUE(5540)</f>
        <v>5540</v>
      </c>
      <c r="L14127" s="7">
        <f>VALUE(6234)</f>
        <v>6234</v>
      </c>
      <c r="M14127" s="8">
        <f>VALUE(8448)</f>
        <v>8448</v>
      </c>
      <c r="N14127" t="s">
        <v>25</v>
      </c>
    </row>
    <row r="14128" spans="1:14" x14ac:dyDescent="0.25">
      <c r="A14128" t="s">
        <v>45</v>
      </c>
      <c r="B14128" t="s">
        <v>39</v>
      </c>
      <c r="C14128" t="s">
        <v>15</v>
      </c>
      <c r="D14128" t="s">
        <v>33</v>
      </c>
      <c r="E14128" t="s">
        <v>15</v>
      </c>
      <c r="F14128" t="s">
        <v>17</v>
      </c>
      <c r="G14128" s="1" t="str">
        <f t="shared" ref="G14128:M14130" si="3221">"X"</f>
        <v>X</v>
      </c>
      <c r="H14128" s="1" t="str">
        <f t="shared" si="3221"/>
        <v>X</v>
      </c>
      <c r="I14128" s="1" t="str">
        <f t="shared" si="3221"/>
        <v>X</v>
      </c>
      <c r="J14128" s="1" t="str">
        <f t="shared" si="3221"/>
        <v>X</v>
      </c>
      <c r="K14128" s="1" t="str">
        <f t="shared" si="3221"/>
        <v>X</v>
      </c>
      <c r="L14128" s="1" t="str">
        <f t="shared" si="3221"/>
        <v>X</v>
      </c>
      <c r="M14128" s="1" t="str">
        <f t="shared" si="3221"/>
        <v>X</v>
      </c>
      <c r="N14128" t="s">
        <v>27</v>
      </c>
    </row>
    <row r="14129" spans="1:14" x14ac:dyDescent="0.25">
      <c r="A14129" t="s">
        <v>45</v>
      </c>
      <c r="B14129" t="s">
        <v>39</v>
      </c>
      <c r="C14129" t="s">
        <v>15</v>
      </c>
      <c r="D14129" t="s">
        <v>33</v>
      </c>
      <c r="E14129" t="s">
        <v>15</v>
      </c>
      <c r="F14129" t="s">
        <v>18</v>
      </c>
      <c r="G14129" s="1" t="str">
        <f t="shared" si="3221"/>
        <v>X</v>
      </c>
      <c r="H14129" s="1" t="str">
        <f t="shared" si="3221"/>
        <v>X</v>
      </c>
      <c r="I14129" s="1" t="str">
        <f t="shared" si="3221"/>
        <v>X</v>
      </c>
      <c r="J14129" s="1" t="str">
        <f t="shared" si="3221"/>
        <v>X</v>
      </c>
      <c r="K14129" s="1" t="str">
        <f t="shared" si="3221"/>
        <v>X</v>
      </c>
      <c r="L14129" s="1" t="str">
        <f t="shared" si="3221"/>
        <v>X</v>
      </c>
      <c r="M14129" s="1" t="str">
        <f t="shared" si="3221"/>
        <v>X</v>
      </c>
      <c r="N14129" t="s">
        <v>27</v>
      </c>
    </row>
    <row r="14130" spans="1:14" x14ac:dyDescent="0.25">
      <c r="A14130" t="s">
        <v>45</v>
      </c>
      <c r="B14130" t="s">
        <v>39</v>
      </c>
      <c r="C14130" t="s">
        <v>15</v>
      </c>
      <c r="D14130" t="s">
        <v>33</v>
      </c>
      <c r="E14130" t="s">
        <v>15</v>
      </c>
      <c r="F14130" t="s">
        <v>19</v>
      </c>
      <c r="G14130" s="1" t="str">
        <f t="shared" si="3221"/>
        <v>X</v>
      </c>
      <c r="H14130" s="1" t="str">
        <f t="shared" si="3221"/>
        <v>X</v>
      </c>
      <c r="I14130" s="1" t="str">
        <f t="shared" si="3221"/>
        <v>X</v>
      </c>
      <c r="J14130" s="1" t="str">
        <f t="shared" si="3221"/>
        <v>X</v>
      </c>
      <c r="K14130" s="1" t="str">
        <f t="shared" si="3221"/>
        <v>X</v>
      </c>
      <c r="L14130" s="1" t="str">
        <f t="shared" si="3221"/>
        <v>X</v>
      </c>
      <c r="M14130" s="1" t="str">
        <f t="shared" si="3221"/>
        <v>X</v>
      </c>
      <c r="N14130" t="s">
        <v>27</v>
      </c>
    </row>
    <row r="14131" spans="1:14" x14ac:dyDescent="0.25">
      <c r="A14131" t="s">
        <v>45</v>
      </c>
      <c r="B14131" t="s">
        <v>39</v>
      </c>
      <c r="C14131" t="s">
        <v>15</v>
      </c>
      <c r="D14131" t="s">
        <v>33</v>
      </c>
      <c r="E14131" t="s">
        <v>15</v>
      </c>
      <c r="F14131" t="s">
        <v>20</v>
      </c>
      <c r="G14131" s="2">
        <f>VALUE(356.63)</f>
        <v>356.63</v>
      </c>
      <c r="H14131" s="3">
        <f>VALUE(350.43)</f>
        <v>350.43</v>
      </c>
      <c r="I14131" s="1">
        <f>VALUE(3442)</f>
        <v>3442</v>
      </c>
      <c r="J14131" s="5">
        <f>VALUE(3975)</f>
        <v>3975</v>
      </c>
      <c r="K14131" s="6">
        <f>VALUE(5419)</f>
        <v>5419</v>
      </c>
      <c r="L14131" s="1">
        <f>VALUE(5959)</f>
        <v>5959</v>
      </c>
      <c r="M14131" s="1">
        <f>VALUE(6923)</f>
        <v>6923</v>
      </c>
      <c r="N14131" t="s">
        <v>25</v>
      </c>
    </row>
    <row r="14132" spans="1:14" x14ac:dyDescent="0.25">
      <c r="A14132" t="s">
        <v>45</v>
      </c>
      <c r="B14132" t="s">
        <v>39</v>
      </c>
      <c r="C14132" t="s">
        <v>15</v>
      </c>
      <c r="D14132" t="s">
        <v>33</v>
      </c>
      <c r="E14132" t="s">
        <v>21</v>
      </c>
      <c r="F14132" t="s">
        <v>15</v>
      </c>
      <c r="G14132" s="1" t="str">
        <f t="shared" ref="G14132:M14141" si="3222">"X"</f>
        <v>X</v>
      </c>
      <c r="H14132" s="1" t="str">
        <f t="shared" si="3222"/>
        <v>X</v>
      </c>
      <c r="I14132" s="1" t="str">
        <f t="shared" si="3222"/>
        <v>X</v>
      </c>
      <c r="J14132" s="1" t="str">
        <f t="shared" si="3222"/>
        <v>X</v>
      </c>
      <c r="K14132" s="1" t="str">
        <f t="shared" si="3222"/>
        <v>X</v>
      </c>
      <c r="L14132" s="1" t="str">
        <f t="shared" si="3222"/>
        <v>X</v>
      </c>
      <c r="M14132" s="1" t="str">
        <f t="shared" si="3222"/>
        <v>X</v>
      </c>
      <c r="N14132" t="s">
        <v>27</v>
      </c>
    </row>
    <row r="14133" spans="1:14" x14ac:dyDescent="0.25">
      <c r="A14133" t="s">
        <v>45</v>
      </c>
      <c r="B14133" t="s">
        <v>39</v>
      </c>
      <c r="C14133" t="s">
        <v>15</v>
      </c>
      <c r="D14133" t="s">
        <v>33</v>
      </c>
      <c r="E14133" t="s">
        <v>21</v>
      </c>
      <c r="F14133" t="s">
        <v>17</v>
      </c>
      <c r="G14133" s="1" t="str">
        <f t="shared" si="3222"/>
        <v>X</v>
      </c>
      <c r="H14133" s="1" t="str">
        <f t="shared" si="3222"/>
        <v>X</v>
      </c>
      <c r="I14133" s="1" t="str">
        <f t="shared" si="3222"/>
        <v>X</v>
      </c>
      <c r="J14133" s="1" t="str">
        <f t="shared" si="3222"/>
        <v>X</v>
      </c>
      <c r="K14133" s="1" t="str">
        <f t="shared" si="3222"/>
        <v>X</v>
      </c>
      <c r="L14133" s="1" t="str">
        <f t="shared" si="3222"/>
        <v>X</v>
      </c>
      <c r="M14133" s="1" t="str">
        <f t="shared" si="3222"/>
        <v>X</v>
      </c>
      <c r="N14133" t="s">
        <v>27</v>
      </c>
    </row>
    <row r="14134" spans="1:14" x14ac:dyDescent="0.25">
      <c r="A14134" t="s">
        <v>45</v>
      </c>
      <c r="B14134" t="s">
        <v>39</v>
      </c>
      <c r="C14134" t="s">
        <v>15</v>
      </c>
      <c r="D14134" t="s">
        <v>33</v>
      </c>
      <c r="E14134" t="s">
        <v>21</v>
      </c>
      <c r="F14134" t="s">
        <v>18</v>
      </c>
      <c r="G14134" s="1" t="str">
        <f t="shared" si="3222"/>
        <v>X</v>
      </c>
      <c r="H14134" s="1" t="str">
        <f t="shared" si="3222"/>
        <v>X</v>
      </c>
      <c r="I14134" s="1" t="str">
        <f t="shared" si="3222"/>
        <v>X</v>
      </c>
      <c r="J14134" s="1" t="str">
        <f t="shared" si="3222"/>
        <v>X</v>
      </c>
      <c r="K14134" s="1" t="str">
        <f t="shared" si="3222"/>
        <v>X</v>
      </c>
      <c r="L14134" s="1" t="str">
        <f t="shared" si="3222"/>
        <v>X</v>
      </c>
      <c r="M14134" s="1" t="str">
        <f t="shared" si="3222"/>
        <v>X</v>
      </c>
      <c r="N14134" t="s">
        <v>27</v>
      </c>
    </row>
    <row r="14135" spans="1:14" x14ac:dyDescent="0.25">
      <c r="A14135" t="s">
        <v>45</v>
      </c>
      <c r="B14135" t="s">
        <v>39</v>
      </c>
      <c r="C14135" t="s">
        <v>15</v>
      </c>
      <c r="D14135" t="s">
        <v>33</v>
      </c>
      <c r="E14135" t="s">
        <v>21</v>
      </c>
      <c r="F14135" t="s">
        <v>19</v>
      </c>
      <c r="G14135" s="1" t="str">
        <f t="shared" si="3222"/>
        <v>X</v>
      </c>
      <c r="H14135" s="1" t="str">
        <f t="shared" si="3222"/>
        <v>X</v>
      </c>
      <c r="I14135" s="1" t="str">
        <f t="shared" si="3222"/>
        <v>X</v>
      </c>
      <c r="J14135" s="1" t="str">
        <f t="shared" si="3222"/>
        <v>X</v>
      </c>
      <c r="K14135" s="1" t="str">
        <f t="shared" si="3222"/>
        <v>X</v>
      </c>
      <c r="L14135" s="1" t="str">
        <f t="shared" si="3222"/>
        <v>X</v>
      </c>
      <c r="M14135" s="1" t="str">
        <f t="shared" si="3222"/>
        <v>X</v>
      </c>
      <c r="N14135" t="s">
        <v>27</v>
      </c>
    </row>
    <row r="14136" spans="1:14" x14ac:dyDescent="0.25">
      <c r="A14136" t="s">
        <v>45</v>
      </c>
      <c r="B14136" t="s">
        <v>39</v>
      </c>
      <c r="C14136" t="s">
        <v>15</v>
      </c>
      <c r="D14136" t="s">
        <v>33</v>
      </c>
      <c r="E14136" t="s">
        <v>21</v>
      </c>
      <c r="F14136" t="s">
        <v>20</v>
      </c>
      <c r="G14136" s="1" t="str">
        <f t="shared" si="3222"/>
        <v>X</v>
      </c>
      <c r="H14136" s="1" t="str">
        <f t="shared" si="3222"/>
        <v>X</v>
      </c>
      <c r="I14136" s="1" t="str">
        <f t="shared" si="3222"/>
        <v>X</v>
      </c>
      <c r="J14136" s="1" t="str">
        <f t="shared" si="3222"/>
        <v>X</v>
      </c>
      <c r="K14136" s="1" t="str">
        <f t="shared" si="3222"/>
        <v>X</v>
      </c>
      <c r="L14136" s="1" t="str">
        <f t="shared" si="3222"/>
        <v>X</v>
      </c>
      <c r="M14136" s="1" t="str">
        <f t="shared" si="3222"/>
        <v>X</v>
      </c>
      <c r="N14136" t="s">
        <v>27</v>
      </c>
    </row>
    <row r="14137" spans="1:14" x14ac:dyDescent="0.25">
      <c r="A14137" t="s">
        <v>45</v>
      </c>
      <c r="B14137" t="s">
        <v>39</v>
      </c>
      <c r="C14137" t="s">
        <v>15</v>
      </c>
      <c r="D14137" t="s">
        <v>33</v>
      </c>
      <c r="E14137" t="s">
        <v>22</v>
      </c>
      <c r="F14137" t="s">
        <v>15</v>
      </c>
      <c r="G14137" s="1" t="str">
        <f t="shared" si="3222"/>
        <v>X</v>
      </c>
      <c r="H14137" s="1" t="str">
        <f t="shared" si="3222"/>
        <v>X</v>
      </c>
      <c r="I14137" s="1" t="str">
        <f t="shared" si="3222"/>
        <v>X</v>
      </c>
      <c r="J14137" s="1" t="str">
        <f t="shared" si="3222"/>
        <v>X</v>
      </c>
      <c r="K14137" s="1" t="str">
        <f t="shared" si="3222"/>
        <v>X</v>
      </c>
      <c r="L14137" s="1" t="str">
        <f t="shared" si="3222"/>
        <v>X</v>
      </c>
      <c r="M14137" s="1" t="str">
        <f t="shared" si="3222"/>
        <v>X</v>
      </c>
      <c r="N14137" t="s">
        <v>27</v>
      </c>
    </row>
    <row r="14138" spans="1:14" x14ac:dyDescent="0.25">
      <c r="A14138" t="s">
        <v>45</v>
      </c>
      <c r="B14138" t="s">
        <v>39</v>
      </c>
      <c r="C14138" t="s">
        <v>15</v>
      </c>
      <c r="D14138" t="s">
        <v>33</v>
      </c>
      <c r="E14138" t="s">
        <v>22</v>
      </c>
      <c r="F14138" t="s">
        <v>17</v>
      </c>
      <c r="G14138" s="1" t="str">
        <f t="shared" si="3222"/>
        <v>X</v>
      </c>
      <c r="H14138" s="1" t="str">
        <f t="shared" si="3222"/>
        <v>X</v>
      </c>
      <c r="I14138" s="1" t="str">
        <f t="shared" si="3222"/>
        <v>X</v>
      </c>
      <c r="J14138" s="1" t="str">
        <f t="shared" si="3222"/>
        <v>X</v>
      </c>
      <c r="K14138" s="1" t="str">
        <f t="shared" si="3222"/>
        <v>X</v>
      </c>
      <c r="L14138" s="1" t="str">
        <f t="shared" si="3222"/>
        <v>X</v>
      </c>
      <c r="M14138" s="1" t="str">
        <f t="shared" si="3222"/>
        <v>X</v>
      </c>
      <c r="N14138" t="s">
        <v>27</v>
      </c>
    </row>
    <row r="14139" spans="1:14" x14ac:dyDescent="0.25">
      <c r="A14139" t="s">
        <v>45</v>
      </c>
      <c r="B14139" t="s">
        <v>39</v>
      </c>
      <c r="C14139" t="s">
        <v>15</v>
      </c>
      <c r="D14139" t="s">
        <v>33</v>
      </c>
      <c r="E14139" t="s">
        <v>22</v>
      </c>
      <c r="F14139" t="s">
        <v>18</v>
      </c>
      <c r="G14139" s="1" t="str">
        <f t="shared" si="3222"/>
        <v>X</v>
      </c>
      <c r="H14139" s="1" t="str">
        <f t="shared" si="3222"/>
        <v>X</v>
      </c>
      <c r="I14139" s="1" t="str">
        <f t="shared" si="3222"/>
        <v>X</v>
      </c>
      <c r="J14139" s="1" t="str">
        <f t="shared" si="3222"/>
        <v>X</v>
      </c>
      <c r="K14139" s="1" t="str">
        <f t="shared" si="3222"/>
        <v>X</v>
      </c>
      <c r="L14139" s="1" t="str">
        <f t="shared" si="3222"/>
        <v>X</v>
      </c>
      <c r="M14139" s="1" t="str">
        <f t="shared" si="3222"/>
        <v>X</v>
      </c>
      <c r="N14139" t="s">
        <v>27</v>
      </c>
    </row>
    <row r="14140" spans="1:14" x14ac:dyDescent="0.25">
      <c r="A14140" t="s">
        <v>45</v>
      </c>
      <c r="B14140" t="s">
        <v>39</v>
      </c>
      <c r="C14140" t="s">
        <v>15</v>
      </c>
      <c r="D14140" t="s">
        <v>33</v>
      </c>
      <c r="E14140" t="s">
        <v>22</v>
      </c>
      <c r="F14140" t="s">
        <v>19</v>
      </c>
      <c r="G14140" s="1" t="str">
        <f t="shared" si="3222"/>
        <v>X</v>
      </c>
      <c r="H14140" s="1" t="str">
        <f t="shared" si="3222"/>
        <v>X</v>
      </c>
      <c r="I14140" s="1" t="str">
        <f t="shared" si="3222"/>
        <v>X</v>
      </c>
      <c r="J14140" s="1" t="str">
        <f t="shared" si="3222"/>
        <v>X</v>
      </c>
      <c r="K14140" s="1" t="str">
        <f t="shared" si="3222"/>
        <v>X</v>
      </c>
      <c r="L14140" s="1" t="str">
        <f t="shared" si="3222"/>
        <v>X</v>
      </c>
      <c r="M14140" s="1" t="str">
        <f t="shared" si="3222"/>
        <v>X</v>
      </c>
      <c r="N14140" t="s">
        <v>27</v>
      </c>
    </row>
    <row r="14141" spans="1:14" x14ac:dyDescent="0.25">
      <c r="A14141" t="s">
        <v>45</v>
      </c>
      <c r="B14141" t="s">
        <v>39</v>
      </c>
      <c r="C14141" t="s">
        <v>15</v>
      </c>
      <c r="D14141" t="s">
        <v>33</v>
      </c>
      <c r="E14141" t="s">
        <v>22</v>
      </c>
      <c r="F14141" t="s">
        <v>20</v>
      </c>
      <c r="G14141" s="1" t="str">
        <f t="shared" si="3222"/>
        <v>X</v>
      </c>
      <c r="H14141" s="1" t="str">
        <f t="shared" si="3222"/>
        <v>X</v>
      </c>
      <c r="I14141" s="1" t="str">
        <f t="shared" si="3222"/>
        <v>X</v>
      </c>
      <c r="J14141" s="1" t="str">
        <f t="shared" si="3222"/>
        <v>X</v>
      </c>
      <c r="K14141" s="1" t="str">
        <f t="shared" si="3222"/>
        <v>X</v>
      </c>
      <c r="L14141" s="1" t="str">
        <f t="shared" si="3222"/>
        <v>X</v>
      </c>
      <c r="M14141" s="1" t="str">
        <f t="shared" si="3222"/>
        <v>X</v>
      </c>
      <c r="N14141" t="s">
        <v>27</v>
      </c>
    </row>
    <row r="14142" spans="1:14" x14ac:dyDescent="0.25">
      <c r="A14142" t="s">
        <v>45</v>
      </c>
      <c r="B14142" t="s">
        <v>39</v>
      </c>
      <c r="C14142" t="s">
        <v>15</v>
      </c>
      <c r="D14142" t="s">
        <v>33</v>
      </c>
      <c r="E14142" t="s">
        <v>23</v>
      </c>
      <c r="F14142" t="s">
        <v>15</v>
      </c>
      <c r="G14142" s="2">
        <f>VALUE(248.13)</f>
        <v>248.13</v>
      </c>
      <c r="H14142" s="3">
        <f>VALUE(246.6)</f>
        <v>246.6</v>
      </c>
      <c r="I14142" s="4">
        <f>VALUE(3462)</f>
        <v>3462</v>
      </c>
      <c r="J14142" s="5">
        <f>VALUE(4118)</f>
        <v>4118</v>
      </c>
      <c r="K14142" s="6">
        <f>VALUE(5595)</f>
        <v>5595</v>
      </c>
      <c r="L14142" s="1">
        <f>VALUE(5888)</f>
        <v>5888</v>
      </c>
      <c r="M14142" s="1">
        <f>VALUE(6220)</f>
        <v>6220</v>
      </c>
      <c r="N14142" t="s">
        <v>25</v>
      </c>
    </row>
    <row r="14143" spans="1:14" x14ac:dyDescent="0.25">
      <c r="A14143" t="s">
        <v>45</v>
      </c>
      <c r="B14143" t="s">
        <v>39</v>
      </c>
      <c r="C14143" t="s">
        <v>15</v>
      </c>
      <c r="D14143" t="s">
        <v>33</v>
      </c>
      <c r="E14143" t="s">
        <v>23</v>
      </c>
      <c r="F14143" t="s">
        <v>17</v>
      </c>
      <c r="G14143" s="1" t="str">
        <f t="shared" ref="G14143:M14143" si="3223">"..."</f>
        <v>...</v>
      </c>
      <c r="H14143" s="1" t="str">
        <f t="shared" si="3223"/>
        <v>...</v>
      </c>
      <c r="I14143" s="1" t="str">
        <f t="shared" si="3223"/>
        <v>...</v>
      </c>
      <c r="J14143" s="1" t="str">
        <f t="shared" si="3223"/>
        <v>...</v>
      </c>
      <c r="K14143" s="1" t="str">
        <f t="shared" si="3223"/>
        <v>...</v>
      </c>
      <c r="L14143" s="1" t="str">
        <f t="shared" si="3223"/>
        <v>...</v>
      </c>
      <c r="M14143" s="1" t="str">
        <f t="shared" si="3223"/>
        <v>...</v>
      </c>
      <c r="N14143" t="s">
        <v>30</v>
      </c>
    </row>
    <row r="14144" spans="1:14" x14ac:dyDescent="0.25">
      <c r="A14144" t="s">
        <v>45</v>
      </c>
      <c r="B14144" t="s">
        <v>39</v>
      </c>
      <c r="C14144" t="s">
        <v>15</v>
      </c>
      <c r="D14144" t="s">
        <v>33</v>
      </c>
      <c r="E14144" t="s">
        <v>23</v>
      </c>
      <c r="F14144" t="s">
        <v>18</v>
      </c>
      <c r="G14144" s="1" t="str">
        <f t="shared" ref="G14144:M14145" si="3224">"X"</f>
        <v>X</v>
      </c>
      <c r="H14144" s="1" t="str">
        <f t="shared" si="3224"/>
        <v>X</v>
      </c>
      <c r="I14144" s="1" t="str">
        <f t="shared" si="3224"/>
        <v>X</v>
      </c>
      <c r="J14144" s="1" t="str">
        <f t="shared" si="3224"/>
        <v>X</v>
      </c>
      <c r="K14144" s="1" t="str">
        <f t="shared" si="3224"/>
        <v>X</v>
      </c>
      <c r="L14144" s="1" t="str">
        <f t="shared" si="3224"/>
        <v>X</v>
      </c>
      <c r="M14144" s="1" t="str">
        <f t="shared" si="3224"/>
        <v>X</v>
      </c>
      <c r="N14144" t="s">
        <v>27</v>
      </c>
    </row>
    <row r="14145" spans="1:14" x14ac:dyDescent="0.25">
      <c r="A14145" t="s">
        <v>45</v>
      </c>
      <c r="B14145" t="s">
        <v>39</v>
      </c>
      <c r="C14145" t="s">
        <v>15</v>
      </c>
      <c r="D14145" t="s">
        <v>33</v>
      </c>
      <c r="E14145" t="s">
        <v>23</v>
      </c>
      <c r="F14145" t="s">
        <v>19</v>
      </c>
      <c r="G14145" s="1" t="str">
        <f t="shared" si="3224"/>
        <v>X</v>
      </c>
      <c r="H14145" s="1" t="str">
        <f t="shared" si="3224"/>
        <v>X</v>
      </c>
      <c r="I14145" s="1" t="str">
        <f t="shared" si="3224"/>
        <v>X</v>
      </c>
      <c r="J14145" s="1" t="str">
        <f t="shared" si="3224"/>
        <v>X</v>
      </c>
      <c r="K14145" s="1" t="str">
        <f t="shared" si="3224"/>
        <v>X</v>
      </c>
      <c r="L14145" s="1" t="str">
        <f t="shared" si="3224"/>
        <v>X</v>
      </c>
      <c r="M14145" s="1" t="str">
        <f t="shared" si="3224"/>
        <v>X</v>
      </c>
      <c r="N14145" t="s">
        <v>27</v>
      </c>
    </row>
    <row r="14146" spans="1:14" x14ac:dyDescent="0.25">
      <c r="A14146" t="s">
        <v>45</v>
      </c>
      <c r="B14146" t="s">
        <v>39</v>
      </c>
      <c r="C14146" t="s">
        <v>15</v>
      </c>
      <c r="D14146" t="s">
        <v>33</v>
      </c>
      <c r="E14146" t="s">
        <v>23</v>
      </c>
      <c r="F14146" t="s">
        <v>20</v>
      </c>
      <c r="G14146" s="2">
        <f>VALUE(243.17)</f>
        <v>243.17</v>
      </c>
      <c r="H14146" s="3">
        <f>VALUE(241.24)</f>
        <v>241.24</v>
      </c>
      <c r="I14146" s="4">
        <f>VALUE(3469)</f>
        <v>3469</v>
      </c>
      <c r="J14146" s="5">
        <f>VALUE(4118)</f>
        <v>4118</v>
      </c>
      <c r="K14146" s="1">
        <f>VALUE(5609)</f>
        <v>5609</v>
      </c>
      <c r="L14146" s="1">
        <f>VALUE(5888)</f>
        <v>5888</v>
      </c>
      <c r="M14146" s="1">
        <f>VALUE(6207)</f>
        <v>6207</v>
      </c>
      <c r="N14146" t="s">
        <v>25</v>
      </c>
    </row>
    <row r="14147" spans="1:14" x14ac:dyDescent="0.25">
      <c r="A14147" t="s">
        <v>45</v>
      </c>
      <c r="B14147" t="s">
        <v>39</v>
      </c>
      <c r="C14147" t="s">
        <v>15</v>
      </c>
      <c r="D14147" t="s">
        <v>33</v>
      </c>
      <c r="E14147" t="s">
        <v>26</v>
      </c>
      <c r="F14147" t="s">
        <v>15</v>
      </c>
      <c r="G14147" s="1" t="str">
        <f t="shared" ref="G14147:M14147" si="3225">"X"</f>
        <v>X</v>
      </c>
      <c r="H14147" s="1" t="str">
        <f t="shared" si="3225"/>
        <v>X</v>
      </c>
      <c r="I14147" s="1" t="str">
        <f t="shared" si="3225"/>
        <v>X</v>
      </c>
      <c r="J14147" s="1" t="str">
        <f t="shared" si="3225"/>
        <v>X</v>
      </c>
      <c r="K14147" s="1" t="str">
        <f t="shared" si="3225"/>
        <v>X</v>
      </c>
      <c r="L14147" s="1" t="str">
        <f t="shared" si="3225"/>
        <v>X</v>
      </c>
      <c r="M14147" s="1" t="str">
        <f t="shared" si="3225"/>
        <v>X</v>
      </c>
      <c r="N14147" t="s">
        <v>27</v>
      </c>
    </row>
    <row r="14148" spans="1:14" x14ac:dyDescent="0.25">
      <c r="A14148" t="s">
        <v>45</v>
      </c>
      <c r="B14148" t="s">
        <v>39</v>
      </c>
      <c r="C14148" t="s">
        <v>15</v>
      </c>
      <c r="D14148" t="s">
        <v>33</v>
      </c>
      <c r="E14148" t="s">
        <v>26</v>
      </c>
      <c r="F14148" t="s">
        <v>17</v>
      </c>
      <c r="G14148" s="1" t="str">
        <f t="shared" ref="G14148:M14150" si="3226">"..."</f>
        <v>...</v>
      </c>
      <c r="H14148" s="1" t="str">
        <f t="shared" si="3226"/>
        <v>...</v>
      </c>
      <c r="I14148" s="1" t="str">
        <f t="shared" si="3226"/>
        <v>...</v>
      </c>
      <c r="J14148" s="1" t="str">
        <f t="shared" si="3226"/>
        <v>...</v>
      </c>
      <c r="K14148" s="1" t="str">
        <f t="shared" si="3226"/>
        <v>...</v>
      </c>
      <c r="L14148" s="1" t="str">
        <f t="shared" si="3226"/>
        <v>...</v>
      </c>
      <c r="M14148" s="1" t="str">
        <f t="shared" si="3226"/>
        <v>...</v>
      </c>
      <c r="N14148" t="s">
        <v>30</v>
      </c>
    </row>
    <row r="14149" spans="1:14" x14ac:dyDescent="0.25">
      <c r="A14149" t="s">
        <v>45</v>
      </c>
      <c r="B14149" t="s">
        <v>39</v>
      </c>
      <c r="C14149" t="s">
        <v>15</v>
      </c>
      <c r="D14149" t="s">
        <v>33</v>
      </c>
      <c r="E14149" t="s">
        <v>26</v>
      </c>
      <c r="F14149" t="s">
        <v>18</v>
      </c>
      <c r="G14149" s="1" t="str">
        <f t="shared" si="3226"/>
        <v>...</v>
      </c>
      <c r="H14149" s="1" t="str">
        <f t="shared" si="3226"/>
        <v>...</v>
      </c>
      <c r="I14149" s="1" t="str">
        <f t="shared" si="3226"/>
        <v>...</v>
      </c>
      <c r="J14149" s="1" t="str">
        <f t="shared" si="3226"/>
        <v>...</v>
      </c>
      <c r="K14149" s="1" t="str">
        <f t="shared" si="3226"/>
        <v>...</v>
      </c>
      <c r="L14149" s="1" t="str">
        <f t="shared" si="3226"/>
        <v>...</v>
      </c>
      <c r="M14149" s="1" t="str">
        <f t="shared" si="3226"/>
        <v>...</v>
      </c>
      <c r="N14149" t="s">
        <v>30</v>
      </c>
    </row>
    <row r="14150" spans="1:14" x14ac:dyDescent="0.25">
      <c r="A14150" t="s">
        <v>45</v>
      </c>
      <c r="B14150" t="s">
        <v>39</v>
      </c>
      <c r="C14150" t="s">
        <v>15</v>
      </c>
      <c r="D14150" t="s">
        <v>33</v>
      </c>
      <c r="E14150" t="s">
        <v>26</v>
      </c>
      <c r="F14150" t="s">
        <v>19</v>
      </c>
      <c r="G14150" s="1" t="str">
        <f t="shared" si="3226"/>
        <v>...</v>
      </c>
      <c r="H14150" s="1" t="str">
        <f t="shared" si="3226"/>
        <v>...</v>
      </c>
      <c r="I14150" s="1" t="str">
        <f t="shared" si="3226"/>
        <v>...</v>
      </c>
      <c r="J14150" s="1" t="str">
        <f t="shared" si="3226"/>
        <v>...</v>
      </c>
      <c r="K14150" s="1" t="str">
        <f t="shared" si="3226"/>
        <v>...</v>
      </c>
      <c r="L14150" s="1" t="str">
        <f t="shared" si="3226"/>
        <v>...</v>
      </c>
      <c r="M14150" s="1" t="str">
        <f t="shared" si="3226"/>
        <v>...</v>
      </c>
      <c r="N14150" t="s">
        <v>30</v>
      </c>
    </row>
    <row r="14151" spans="1:14" x14ac:dyDescent="0.25">
      <c r="A14151" t="s">
        <v>45</v>
      </c>
      <c r="B14151" t="s">
        <v>39</v>
      </c>
      <c r="C14151" t="s">
        <v>15</v>
      </c>
      <c r="D14151" t="s">
        <v>33</v>
      </c>
      <c r="E14151" t="s">
        <v>26</v>
      </c>
      <c r="F14151" t="s">
        <v>20</v>
      </c>
      <c r="G14151" s="1" t="str">
        <f t="shared" ref="G14151:M14151" si="3227">"X"</f>
        <v>X</v>
      </c>
      <c r="H14151" s="1" t="str">
        <f t="shared" si="3227"/>
        <v>X</v>
      </c>
      <c r="I14151" s="1" t="str">
        <f t="shared" si="3227"/>
        <v>X</v>
      </c>
      <c r="J14151" s="1" t="str">
        <f t="shared" si="3227"/>
        <v>X</v>
      </c>
      <c r="K14151" s="1" t="str">
        <f t="shared" si="3227"/>
        <v>X</v>
      </c>
      <c r="L14151" s="1" t="str">
        <f t="shared" si="3227"/>
        <v>X</v>
      </c>
      <c r="M14151" s="1" t="str">
        <f t="shared" si="3227"/>
        <v>X</v>
      </c>
      <c r="N14151" t="s">
        <v>27</v>
      </c>
    </row>
    <row r="14152" spans="1:14" x14ac:dyDescent="0.25">
      <c r="A14152" t="s">
        <v>45</v>
      </c>
      <c r="B14152" t="s">
        <v>39</v>
      </c>
      <c r="C14152" t="s">
        <v>15</v>
      </c>
      <c r="D14152" t="s">
        <v>34</v>
      </c>
      <c r="E14152" t="s">
        <v>15</v>
      </c>
      <c r="F14152" t="s">
        <v>15</v>
      </c>
      <c r="G14152" s="2">
        <f>VALUE(1053.66)</f>
        <v>1053.6600000000001</v>
      </c>
      <c r="H14152" s="3">
        <f>VALUE(932.95)</f>
        <v>932.95</v>
      </c>
      <c r="I14152" s="1">
        <f>VALUE(3421)</f>
        <v>3421</v>
      </c>
      <c r="J14152" s="1">
        <f>VALUE(3875)</f>
        <v>3875</v>
      </c>
      <c r="K14152" s="1">
        <f>VALUE(4590)</f>
        <v>4590</v>
      </c>
      <c r="L14152" s="1">
        <f>VALUE(6025)</f>
        <v>6025</v>
      </c>
      <c r="M14152" s="1">
        <f>VALUE(6563)</f>
        <v>6563</v>
      </c>
      <c r="N14152" t="s">
        <v>25</v>
      </c>
    </row>
    <row r="14153" spans="1:14" x14ac:dyDescent="0.25">
      <c r="A14153" t="s">
        <v>45</v>
      </c>
      <c r="B14153" t="s">
        <v>39</v>
      </c>
      <c r="C14153" t="s">
        <v>15</v>
      </c>
      <c r="D14153" t="s">
        <v>34</v>
      </c>
      <c r="E14153" t="s">
        <v>15</v>
      </c>
      <c r="F14153" t="s">
        <v>17</v>
      </c>
      <c r="G14153" s="1" t="str">
        <f t="shared" ref="G14153:M14155" si="3228">"X"</f>
        <v>X</v>
      </c>
      <c r="H14153" s="1" t="str">
        <f t="shared" si="3228"/>
        <v>X</v>
      </c>
      <c r="I14153" s="1" t="str">
        <f t="shared" si="3228"/>
        <v>X</v>
      </c>
      <c r="J14153" s="1" t="str">
        <f t="shared" si="3228"/>
        <v>X</v>
      </c>
      <c r="K14153" s="1" t="str">
        <f t="shared" si="3228"/>
        <v>X</v>
      </c>
      <c r="L14153" s="1" t="str">
        <f t="shared" si="3228"/>
        <v>X</v>
      </c>
      <c r="M14153" s="1" t="str">
        <f t="shared" si="3228"/>
        <v>X</v>
      </c>
      <c r="N14153" t="s">
        <v>27</v>
      </c>
    </row>
    <row r="14154" spans="1:14" x14ac:dyDescent="0.25">
      <c r="A14154" t="s">
        <v>45</v>
      </c>
      <c r="B14154" t="s">
        <v>39</v>
      </c>
      <c r="C14154" t="s">
        <v>15</v>
      </c>
      <c r="D14154" t="s">
        <v>34</v>
      </c>
      <c r="E14154" t="s">
        <v>15</v>
      </c>
      <c r="F14154" t="s">
        <v>18</v>
      </c>
      <c r="G14154" s="1" t="str">
        <f t="shared" si="3228"/>
        <v>X</v>
      </c>
      <c r="H14154" s="1" t="str">
        <f t="shared" si="3228"/>
        <v>X</v>
      </c>
      <c r="I14154" s="1" t="str">
        <f t="shared" si="3228"/>
        <v>X</v>
      </c>
      <c r="J14154" s="1" t="str">
        <f t="shared" si="3228"/>
        <v>X</v>
      </c>
      <c r="K14154" s="1" t="str">
        <f t="shared" si="3228"/>
        <v>X</v>
      </c>
      <c r="L14154" s="1" t="str">
        <f t="shared" si="3228"/>
        <v>X</v>
      </c>
      <c r="M14154" s="1" t="str">
        <f t="shared" si="3228"/>
        <v>X</v>
      </c>
      <c r="N14154" t="s">
        <v>27</v>
      </c>
    </row>
    <row r="14155" spans="1:14" x14ac:dyDescent="0.25">
      <c r="A14155" t="s">
        <v>45</v>
      </c>
      <c r="B14155" t="s">
        <v>39</v>
      </c>
      <c r="C14155" t="s">
        <v>15</v>
      </c>
      <c r="D14155" t="s">
        <v>34</v>
      </c>
      <c r="E14155" t="s">
        <v>15</v>
      </c>
      <c r="F14155" t="s">
        <v>19</v>
      </c>
      <c r="G14155" s="1" t="str">
        <f t="shared" si="3228"/>
        <v>X</v>
      </c>
      <c r="H14155" s="1" t="str">
        <f t="shared" si="3228"/>
        <v>X</v>
      </c>
      <c r="I14155" s="1" t="str">
        <f t="shared" si="3228"/>
        <v>X</v>
      </c>
      <c r="J14155" s="1" t="str">
        <f t="shared" si="3228"/>
        <v>X</v>
      </c>
      <c r="K14155" s="1" t="str">
        <f t="shared" si="3228"/>
        <v>X</v>
      </c>
      <c r="L14155" s="1" t="str">
        <f t="shared" si="3228"/>
        <v>X</v>
      </c>
      <c r="M14155" s="1" t="str">
        <f t="shared" si="3228"/>
        <v>X</v>
      </c>
      <c r="N14155" t="s">
        <v>27</v>
      </c>
    </row>
    <row r="14156" spans="1:14" x14ac:dyDescent="0.25">
      <c r="A14156" t="s">
        <v>45</v>
      </c>
      <c r="B14156" t="s">
        <v>39</v>
      </c>
      <c r="C14156" t="s">
        <v>15</v>
      </c>
      <c r="D14156" t="s">
        <v>34</v>
      </c>
      <c r="E14156" t="s">
        <v>15</v>
      </c>
      <c r="F14156" t="s">
        <v>20</v>
      </c>
      <c r="G14156" s="2">
        <f>VALUE(863.43)</f>
        <v>863.43</v>
      </c>
      <c r="H14156" s="3">
        <f>VALUE(780.14)</f>
        <v>780.14</v>
      </c>
      <c r="I14156" s="1">
        <f>VALUE(3409)</f>
        <v>3409</v>
      </c>
      <c r="J14156" s="1">
        <f>VALUE(3714)</f>
        <v>3714</v>
      </c>
      <c r="K14156" s="1">
        <f>VALUE(4446)</f>
        <v>4446</v>
      </c>
      <c r="L14156" s="1">
        <f>VALUE(5629)</f>
        <v>5629</v>
      </c>
      <c r="M14156" s="1">
        <f>VALUE(6221)</f>
        <v>6221</v>
      </c>
      <c r="N14156" t="s">
        <v>25</v>
      </c>
    </row>
    <row r="14157" spans="1:14" x14ac:dyDescent="0.25">
      <c r="A14157" t="s">
        <v>45</v>
      </c>
      <c r="B14157" t="s">
        <v>39</v>
      </c>
      <c r="C14157" t="s">
        <v>15</v>
      </c>
      <c r="D14157" t="s">
        <v>34</v>
      </c>
      <c r="E14157" t="s">
        <v>21</v>
      </c>
      <c r="F14157" t="s">
        <v>15</v>
      </c>
      <c r="G14157" s="1" t="str">
        <f t="shared" ref="G14157:M14161" si="3229">"X"</f>
        <v>X</v>
      </c>
      <c r="H14157" s="1" t="str">
        <f t="shared" si="3229"/>
        <v>X</v>
      </c>
      <c r="I14157" s="1" t="str">
        <f t="shared" si="3229"/>
        <v>X</v>
      </c>
      <c r="J14157" s="1" t="str">
        <f t="shared" si="3229"/>
        <v>X</v>
      </c>
      <c r="K14157" s="1" t="str">
        <f t="shared" si="3229"/>
        <v>X</v>
      </c>
      <c r="L14157" s="1" t="str">
        <f t="shared" si="3229"/>
        <v>X</v>
      </c>
      <c r="M14157" s="1" t="str">
        <f t="shared" si="3229"/>
        <v>X</v>
      </c>
      <c r="N14157" t="s">
        <v>27</v>
      </c>
    </row>
    <row r="14158" spans="1:14" x14ac:dyDescent="0.25">
      <c r="A14158" t="s">
        <v>45</v>
      </c>
      <c r="B14158" t="s">
        <v>39</v>
      </c>
      <c r="C14158" t="s">
        <v>15</v>
      </c>
      <c r="D14158" t="s">
        <v>34</v>
      </c>
      <c r="E14158" t="s">
        <v>21</v>
      </c>
      <c r="F14158" t="s">
        <v>17</v>
      </c>
      <c r="G14158" s="1" t="str">
        <f t="shared" si="3229"/>
        <v>X</v>
      </c>
      <c r="H14158" s="1" t="str">
        <f t="shared" si="3229"/>
        <v>X</v>
      </c>
      <c r="I14158" s="1" t="str">
        <f t="shared" si="3229"/>
        <v>X</v>
      </c>
      <c r="J14158" s="1" t="str">
        <f t="shared" si="3229"/>
        <v>X</v>
      </c>
      <c r="K14158" s="1" t="str">
        <f t="shared" si="3229"/>
        <v>X</v>
      </c>
      <c r="L14158" s="1" t="str">
        <f t="shared" si="3229"/>
        <v>X</v>
      </c>
      <c r="M14158" s="1" t="str">
        <f t="shared" si="3229"/>
        <v>X</v>
      </c>
      <c r="N14158" t="s">
        <v>27</v>
      </c>
    </row>
    <row r="14159" spans="1:14" x14ac:dyDescent="0.25">
      <c r="A14159" t="s">
        <v>45</v>
      </c>
      <c r="B14159" t="s">
        <v>39</v>
      </c>
      <c r="C14159" t="s">
        <v>15</v>
      </c>
      <c r="D14159" t="s">
        <v>34</v>
      </c>
      <c r="E14159" t="s">
        <v>21</v>
      </c>
      <c r="F14159" t="s">
        <v>18</v>
      </c>
      <c r="G14159" s="1" t="str">
        <f t="shared" si="3229"/>
        <v>X</v>
      </c>
      <c r="H14159" s="1" t="str">
        <f t="shared" si="3229"/>
        <v>X</v>
      </c>
      <c r="I14159" s="1" t="str">
        <f t="shared" si="3229"/>
        <v>X</v>
      </c>
      <c r="J14159" s="1" t="str">
        <f t="shared" si="3229"/>
        <v>X</v>
      </c>
      <c r="K14159" s="1" t="str">
        <f t="shared" si="3229"/>
        <v>X</v>
      </c>
      <c r="L14159" s="1" t="str">
        <f t="shared" si="3229"/>
        <v>X</v>
      </c>
      <c r="M14159" s="1" t="str">
        <f t="shared" si="3229"/>
        <v>X</v>
      </c>
      <c r="N14159" t="s">
        <v>27</v>
      </c>
    </row>
    <row r="14160" spans="1:14" x14ac:dyDescent="0.25">
      <c r="A14160" t="s">
        <v>45</v>
      </c>
      <c r="B14160" t="s">
        <v>39</v>
      </c>
      <c r="C14160" t="s">
        <v>15</v>
      </c>
      <c r="D14160" t="s">
        <v>34</v>
      </c>
      <c r="E14160" t="s">
        <v>21</v>
      </c>
      <c r="F14160" t="s">
        <v>19</v>
      </c>
      <c r="G14160" s="1" t="str">
        <f t="shared" si="3229"/>
        <v>X</v>
      </c>
      <c r="H14160" s="1" t="str">
        <f t="shared" si="3229"/>
        <v>X</v>
      </c>
      <c r="I14160" s="1" t="str">
        <f t="shared" si="3229"/>
        <v>X</v>
      </c>
      <c r="J14160" s="1" t="str">
        <f t="shared" si="3229"/>
        <v>X</v>
      </c>
      <c r="K14160" s="1" t="str">
        <f t="shared" si="3229"/>
        <v>X</v>
      </c>
      <c r="L14160" s="1" t="str">
        <f t="shared" si="3229"/>
        <v>X</v>
      </c>
      <c r="M14160" s="1" t="str">
        <f t="shared" si="3229"/>
        <v>X</v>
      </c>
      <c r="N14160" t="s">
        <v>27</v>
      </c>
    </row>
    <row r="14161" spans="1:14" x14ac:dyDescent="0.25">
      <c r="A14161" t="s">
        <v>45</v>
      </c>
      <c r="B14161" t="s">
        <v>39</v>
      </c>
      <c r="C14161" t="s">
        <v>15</v>
      </c>
      <c r="D14161" t="s">
        <v>34</v>
      </c>
      <c r="E14161" t="s">
        <v>21</v>
      </c>
      <c r="F14161" t="s">
        <v>20</v>
      </c>
      <c r="G14161" s="1" t="str">
        <f t="shared" si="3229"/>
        <v>X</v>
      </c>
      <c r="H14161" s="1" t="str">
        <f t="shared" si="3229"/>
        <v>X</v>
      </c>
      <c r="I14161" s="1" t="str">
        <f t="shared" si="3229"/>
        <v>X</v>
      </c>
      <c r="J14161" s="1" t="str">
        <f t="shared" si="3229"/>
        <v>X</v>
      </c>
      <c r="K14161" s="1" t="str">
        <f t="shared" si="3229"/>
        <v>X</v>
      </c>
      <c r="L14161" s="1" t="str">
        <f t="shared" si="3229"/>
        <v>X</v>
      </c>
      <c r="M14161" s="1" t="str">
        <f t="shared" si="3229"/>
        <v>X</v>
      </c>
      <c r="N14161" t="s">
        <v>27</v>
      </c>
    </row>
    <row r="14162" spans="1:14" x14ac:dyDescent="0.25">
      <c r="A14162" t="s">
        <v>45</v>
      </c>
      <c r="B14162" t="s">
        <v>39</v>
      </c>
      <c r="C14162" t="s">
        <v>15</v>
      </c>
      <c r="D14162" t="s">
        <v>34</v>
      </c>
      <c r="E14162" t="s">
        <v>22</v>
      </c>
      <c r="F14162" t="s">
        <v>15</v>
      </c>
      <c r="G14162" s="2">
        <f>VALUE(298.9)</f>
        <v>298.89999999999998</v>
      </c>
      <c r="H14162" s="3">
        <f>VALUE(262.14)</f>
        <v>262.14</v>
      </c>
      <c r="I14162" s="1">
        <f>VALUE(3409)</f>
        <v>3409</v>
      </c>
      <c r="J14162" s="1">
        <f>VALUE(3955)</f>
        <v>3955</v>
      </c>
      <c r="K14162" s="1">
        <f>VALUE(4300)</f>
        <v>4300</v>
      </c>
      <c r="L14162" s="7">
        <f>VALUE(5377)</f>
        <v>5377</v>
      </c>
      <c r="M14162" s="1">
        <f>VALUE(6411)</f>
        <v>6411</v>
      </c>
      <c r="N14162" t="s">
        <v>25</v>
      </c>
    </row>
    <row r="14163" spans="1:14" x14ac:dyDescent="0.25">
      <c r="A14163" t="s">
        <v>45</v>
      </c>
      <c r="B14163" t="s">
        <v>39</v>
      </c>
      <c r="C14163" t="s">
        <v>15</v>
      </c>
      <c r="D14163" t="s">
        <v>34</v>
      </c>
      <c r="E14163" t="s">
        <v>22</v>
      </c>
      <c r="F14163" t="s">
        <v>17</v>
      </c>
      <c r="G14163" s="1" t="str">
        <f t="shared" ref="G14163:M14165" si="3230">"X"</f>
        <v>X</v>
      </c>
      <c r="H14163" s="1" t="str">
        <f t="shared" si="3230"/>
        <v>X</v>
      </c>
      <c r="I14163" s="1" t="str">
        <f t="shared" si="3230"/>
        <v>X</v>
      </c>
      <c r="J14163" s="1" t="str">
        <f t="shared" si="3230"/>
        <v>X</v>
      </c>
      <c r="K14163" s="1" t="str">
        <f t="shared" si="3230"/>
        <v>X</v>
      </c>
      <c r="L14163" s="1" t="str">
        <f t="shared" si="3230"/>
        <v>X</v>
      </c>
      <c r="M14163" s="1" t="str">
        <f t="shared" si="3230"/>
        <v>X</v>
      </c>
      <c r="N14163" t="s">
        <v>27</v>
      </c>
    </row>
    <row r="14164" spans="1:14" x14ac:dyDescent="0.25">
      <c r="A14164" t="s">
        <v>45</v>
      </c>
      <c r="B14164" t="s">
        <v>39</v>
      </c>
      <c r="C14164" t="s">
        <v>15</v>
      </c>
      <c r="D14164" t="s">
        <v>34</v>
      </c>
      <c r="E14164" t="s">
        <v>22</v>
      </c>
      <c r="F14164" t="s">
        <v>18</v>
      </c>
      <c r="G14164" s="1" t="str">
        <f t="shared" si="3230"/>
        <v>X</v>
      </c>
      <c r="H14164" s="1" t="str">
        <f t="shared" si="3230"/>
        <v>X</v>
      </c>
      <c r="I14164" s="1" t="str">
        <f t="shared" si="3230"/>
        <v>X</v>
      </c>
      <c r="J14164" s="1" t="str">
        <f t="shared" si="3230"/>
        <v>X</v>
      </c>
      <c r="K14164" s="1" t="str">
        <f t="shared" si="3230"/>
        <v>X</v>
      </c>
      <c r="L14164" s="1" t="str">
        <f t="shared" si="3230"/>
        <v>X</v>
      </c>
      <c r="M14164" s="1" t="str">
        <f t="shared" si="3230"/>
        <v>X</v>
      </c>
      <c r="N14164" t="s">
        <v>27</v>
      </c>
    </row>
    <row r="14165" spans="1:14" x14ac:dyDescent="0.25">
      <c r="A14165" t="s">
        <v>45</v>
      </c>
      <c r="B14165" t="s">
        <v>39</v>
      </c>
      <c r="C14165" t="s">
        <v>15</v>
      </c>
      <c r="D14165" t="s">
        <v>34</v>
      </c>
      <c r="E14165" t="s">
        <v>22</v>
      </c>
      <c r="F14165" t="s">
        <v>19</v>
      </c>
      <c r="G14165" s="1" t="str">
        <f t="shared" si="3230"/>
        <v>X</v>
      </c>
      <c r="H14165" s="1" t="str">
        <f t="shared" si="3230"/>
        <v>X</v>
      </c>
      <c r="I14165" s="1" t="str">
        <f t="shared" si="3230"/>
        <v>X</v>
      </c>
      <c r="J14165" s="1" t="str">
        <f t="shared" si="3230"/>
        <v>X</v>
      </c>
      <c r="K14165" s="1" t="str">
        <f t="shared" si="3230"/>
        <v>X</v>
      </c>
      <c r="L14165" s="1" t="str">
        <f t="shared" si="3230"/>
        <v>X</v>
      </c>
      <c r="M14165" s="1" t="str">
        <f t="shared" si="3230"/>
        <v>X</v>
      </c>
      <c r="N14165" t="s">
        <v>27</v>
      </c>
    </row>
    <row r="14166" spans="1:14" x14ac:dyDescent="0.25">
      <c r="A14166" t="s">
        <v>45</v>
      </c>
      <c r="B14166" t="s">
        <v>39</v>
      </c>
      <c r="C14166" t="s">
        <v>15</v>
      </c>
      <c r="D14166" t="s">
        <v>34</v>
      </c>
      <c r="E14166" t="s">
        <v>22</v>
      </c>
      <c r="F14166" t="s">
        <v>20</v>
      </c>
      <c r="G14166" s="2">
        <f>VALUE(228.9)</f>
        <v>228.9</v>
      </c>
      <c r="H14166" s="3">
        <f>VALUE(213.05)</f>
        <v>213.05</v>
      </c>
      <c r="I14166" s="1">
        <f>VALUE(3409)</f>
        <v>3409</v>
      </c>
      <c r="J14166" s="1">
        <f>VALUE(3880)</f>
        <v>3880</v>
      </c>
      <c r="K14166" s="1">
        <f>VALUE(4259)</f>
        <v>4259</v>
      </c>
      <c r="L14166" s="7">
        <f>VALUE(4944)</f>
        <v>4944</v>
      </c>
      <c r="M14166" s="1">
        <f>VALUE(6153)</f>
        <v>6153</v>
      </c>
      <c r="N14166" t="s">
        <v>25</v>
      </c>
    </row>
    <row r="14167" spans="1:14" x14ac:dyDescent="0.25">
      <c r="A14167" t="s">
        <v>45</v>
      </c>
      <c r="B14167" t="s">
        <v>39</v>
      </c>
      <c r="C14167" t="s">
        <v>15</v>
      </c>
      <c r="D14167" t="s">
        <v>34</v>
      </c>
      <c r="E14167" t="s">
        <v>23</v>
      </c>
      <c r="F14167" t="s">
        <v>15</v>
      </c>
      <c r="G14167" s="2">
        <f>VALUE(572.93)</f>
        <v>572.92999999999995</v>
      </c>
      <c r="H14167" s="3">
        <f>VALUE(508.89)</f>
        <v>508.89</v>
      </c>
      <c r="I14167" s="1">
        <f>VALUE(3415)</f>
        <v>3415</v>
      </c>
      <c r="J14167" s="5">
        <f>VALUE(3649)</f>
        <v>3649</v>
      </c>
      <c r="K14167" s="1">
        <f>VALUE(4636)</f>
        <v>4636</v>
      </c>
      <c r="L14167" s="1">
        <f>VALUE(5790)</f>
        <v>5790</v>
      </c>
      <c r="M14167" s="1">
        <f>VALUE(6228)</f>
        <v>6228</v>
      </c>
      <c r="N14167" t="s">
        <v>25</v>
      </c>
    </row>
    <row r="14168" spans="1:14" x14ac:dyDescent="0.25">
      <c r="A14168" t="s">
        <v>45</v>
      </c>
      <c r="B14168" t="s">
        <v>39</v>
      </c>
      <c r="C14168" t="s">
        <v>15</v>
      </c>
      <c r="D14168" t="s">
        <v>34</v>
      </c>
      <c r="E14168" t="s">
        <v>23</v>
      </c>
      <c r="F14168" t="s">
        <v>17</v>
      </c>
      <c r="G14168" s="1" t="str">
        <f t="shared" ref="G14168:M14168" si="3231">"..."</f>
        <v>...</v>
      </c>
      <c r="H14168" s="1" t="str">
        <f t="shared" si="3231"/>
        <v>...</v>
      </c>
      <c r="I14168" s="1" t="str">
        <f t="shared" si="3231"/>
        <v>...</v>
      </c>
      <c r="J14168" s="1" t="str">
        <f t="shared" si="3231"/>
        <v>...</v>
      </c>
      <c r="K14168" s="1" t="str">
        <f t="shared" si="3231"/>
        <v>...</v>
      </c>
      <c r="L14168" s="1" t="str">
        <f t="shared" si="3231"/>
        <v>...</v>
      </c>
      <c r="M14168" s="1" t="str">
        <f t="shared" si="3231"/>
        <v>...</v>
      </c>
      <c r="N14168" t="s">
        <v>30</v>
      </c>
    </row>
    <row r="14169" spans="1:14" x14ac:dyDescent="0.25">
      <c r="A14169" t="s">
        <v>45</v>
      </c>
      <c r="B14169" t="s">
        <v>39</v>
      </c>
      <c r="C14169" t="s">
        <v>15</v>
      </c>
      <c r="D14169" t="s">
        <v>34</v>
      </c>
      <c r="E14169" t="s">
        <v>23</v>
      </c>
      <c r="F14169" t="s">
        <v>18</v>
      </c>
      <c r="G14169" s="1" t="str">
        <f t="shared" ref="G14169:M14170" si="3232">"X"</f>
        <v>X</v>
      </c>
      <c r="H14169" s="1" t="str">
        <f t="shared" si="3232"/>
        <v>X</v>
      </c>
      <c r="I14169" s="1" t="str">
        <f t="shared" si="3232"/>
        <v>X</v>
      </c>
      <c r="J14169" s="1" t="str">
        <f t="shared" si="3232"/>
        <v>X</v>
      </c>
      <c r="K14169" s="1" t="str">
        <f t="shared" si="3232"/>
        <v>X</v>
      </c>
      <c r="L14169" s="1" t="str">
        <f t="shared" si="3232"/>
        <v>X</v>
      </c>
      <c r="M14169" s="1" t="str">
        <f t="shared" si="3232"/>
        <v>X</v>
      </c>
      <c r="N14169" t="s">
        <v>27</v>
      </c>
    </row>
    <row r="14170" spans="1:14" x14ac:dyDescent="0.25">
      <c r="A14170" t="s">
        <v>45</v>
      </c>
      <c r="B14170" t="s">
        <v>39</v>
      </c>
      <c r="C14170" t="s">
        <v>15</v>
      </c>
      <c r="D14170" t="s">
        <v>34</v>
      </c>
      <c r="E14170" t="s">
        <v>23</v>
      </c>
      <c r="F14170" t="s">
        <v>19</v>
      </c>
      <c r="G14170" s="1" t="str">
        <f t="shared" si="3232"/>
        <v>X</v>
      </c>
      <c r="H14170" s="1" t="str">
        <f t="shared" si="3232"/>
        <v>X</v>
      </c>
      <c r="I14170" s="1" t="str">
        <f t="shared" si="3232"/>
        <v>X</v>
      </c>
      <c r="J14170" s="1" t="str">
        <f t="shared" si="3232"/>
        <v>X</v>
      </c>
      <c r="K14170" s="1" t="str">
        <f t="shared" si="3232"/>
        <v>X</v>
      </c>
      <c r="L14170" s="1" t="str">
        <f t="shared" si="3232"/>
        <v>X</v>
      </c>
      <c r="M14170" s="1" t="str">
        <f t="shared" si="3232"/>
        <v>X</v>
      </c>
      <c r="N14170" t="s">
        <v>27</v>
      </c>
    </row>
    <row r="14171" spans="1:14" x14ac:dyDescent="0.25">
      <c r="A14171" t="s">
        <v>45</v>
      </c>
      <c r="B14171" t="s">
        <v>39</v>
      </c>
      <c r="C14171" t="s">
        <v>15</v>
      </c>
      <c r="D14171" t="s">
        <v>34</v>
      </c>
      <c r="E14171" t="s">
        <v>23</v>
      </c>
      <c r="F14171" t="s">
        <v>20</v>
      </c>
      <c r="G14171" s="2">
        <f>VALUE(534.02)</f>
        <v>534.02</v>
      </c>
      <c r="H14171" s="3">
        <f>VALUE(473.3)</f>
        <v>473.3</v>
      </c>
      <c r="I14171" s="1">
        <f>VALUE(3384)</f>
        <v>3384</v>
      </c>
      <c r="J14171" s="5">
        <f>VALUE(3582)</f>
        <v>3582</v>
      </c>
      <c r="K14171" s="6">
        <f>VALUE(4590)</f>
        <v>4590</v>
      </c>
      <c r="L14171" s="1">
        <f>VALUE(5769)</f>
        <v>5769</v>
      </c>
      <c r="M14171" s="1">
        <f>VALUE(6221)</f>
        <v>6221</v>
      </c>
      <c r="N14171" t="s">
        <v>25</v>
      </c>
    </row>
    <row r="14172" spans="1:14" x14ac:dyDescent="0.25">
      <c r="A14172" t="s">
        <v>45</v>
      </c>
      <c r="B14172" t="s">
        <v>39</v>
      </c>
      <c r="C14172" t="s">
        <v>15</v>
      </c>
      <c r="D14172" t="s">
        <v>34</v>
      </c>
      <c r="E14172" t="s">
        <v>26</v>
      </c>
      <c r="F14172" t="s">
        <v>15</v>
      </c>
      <c r="G14172" s="1" t="str">
        <f t="shared" ref="G14172:M14172" si="3233">"X"</f>
        <v>X</v>
      </c>
      <c r="H14172" s="1" t="str">
        <f t="shared" si="3233"/>
        <v>X</v>
      </c>
      <c r="I14172" s="1" t="str">
        <f t="shared" si="3233"/>
        <v>X</v>
      </c>
      <c r="J14172" s="1" t="str">
        <f t="shared" si="3233"/>
        <v>X</v>
      </c>
      <c r="K14172" s="1" t="str">
        <f t="shared" si="3233"/>
        <v>X</v>
      </c>
      <c r="L14172" s="1" t="str">
        <f t="shared" si="3233"/>
        <v>X</v>
      </c>
      <c r="M14172" s="1" t="str">
        <f t="shared" si="3233"/>
        <v>X</v>
      </c>
      <c r="N14172" t="s">
        <v>27</v>
      </c>
    </row>
    <row r="14173" spans="1:14" x14ac:dyDescent="0.25">
      <c r="A14173" t="s">
        <v>45</v>
      </c>
      <c r="B14173" t="s">
        <v>39</v>
      </c>
      <c r="C14173" t="s">
        <v>15</v>
      </c>
      <c r="D14173" t="s">
        <v>34</v>
      </c>
      <c r="E14173" t="s">
        <v>26</v>
      </c>
      <c r="F14173" t="s">
        <v>17</v>
      </c>
      <c r="G14173" s="1" t="str">
        <f t="shared" ref="G14173:M14174" si="3234">"..."</f>
        <v>...</v>
      </c>
      <c r="H14173" s="1" t="str">
        <f t="shared" si="3234"/>
        <v>...</v>
      </c>
      <c r="I14173" s="1" t="str">
        <f t="shared" si="3234"/>
        <v>...</v>
      </c>
      <c r="J14173" s="1" t="str">
        <f t="shared" si="3234"/>
        <v>...</v>
      </c>
      <c r="K14173" s="1" t="str">
        <f t="shared" si="3234"/>
        <v>...</v>
      </c>
      <c r="L14173" s="1" t="str">
        <f t="shared" si="3234"/>
        <v>...</v>
      </c>
      <c r="M14173" s="1" t="str">
        <f t="shared" si="3234"/>
        <v>...</v>
      </c>
      <c r="N14173" t="s">
        <v>30</v>
      </c>
    </row>
    <row r="14174" spans="1:14" x14ac:dyDescent="0.25">
      <c r="A14174" t="s">
        <v>45</v>
      </c>
      <c r="B14174" t="s">
        <v>39</v>
      </c>
      <c r="C14174" t="s">
        <v>15</v>
      </c>
      <c r="D14174" t="s">
        <v>34</v>
      </c>
      <c r="E14174" t="s">
        <v>26</v>
      </c>
      <c r="F14174" t="s">
        <v>18</v>
      </c>
      <c r="G14174" s="1" t="str">
        <f t="shared" si="3234"/>
        <v>...</v>
      </c>
      <c r="H14174" s="1" t="str">
        <f t="shared" si="3234"/>
        <v>...</v>
      </c>
      <c r="I14174" s="1" t="str">
        <f t="shared" si="3234"/>
        <v>...</v>
      </c>
      <c r="J14174" s="1" t="str">
        <f t="shared" si="3234"/>
        <v>...</v>
      </c>
      <c r="K14174" s="1" t="str">
        <f t="shared" si="3234"/>
        <v>...</v>
      </c>
      <c r="L14174" s="1" t="str">
        <f t="shared" si="3234"/>
        <v>...</v>
      </c>
      <c r="M14174" s="1" t="str">
        <f t="shared" si="3234"/>
        <v>...</v>
      </c>
      <c r="N14174" t="s">
        <v>30</v>
      </c>
    </row>
    <row r="14175" spans="1:14" x14ac:dyDescent="0.25">
      <c r="A14175" t="s">
        <v>45</v>
      </c>
      <c r="B14175" t="s">
        <v>39</v>
      </c>
      <c r="C14175" t="s">
        <v>15</v>
      </c>
      <c r="D14175" t="s">
        <v>34</v>
      </c>
      <c r="E14175" t="s">
        <v>26</v>
      </c>
      <c r="F14175" t="s">
        <v>19</v>
      </c>
      <c r="G14175" s="1" t="str">
        <f t="shared" ref="G14175:M14176" si="3235">"X"</f>
        <v>X</v>
      </c>
      <c r="H14175" s="1" t="str">
        <f t="shared" si="3235"/>
        <v>X</v>
      </c>
      <c r="I14175" s="1" t="str">
        <f t="shared" si="3235"/>
        <v>X</v>
      </c>
      <c r="J14175" s="1" t="str">
        <f t="shared" si="3235"/>
        <v>X</v>
      </c>
      <c r="K14175" s="1" t="str">
        <f t="shared" si="3235"/>
        <v>X</v>
      </c>
      <c r="L14175" s="1" t="str">
        <f t="shared" si="3235"/>
        <v>X</v>
      </c>
      <c r="M14175" s="1" t="str">
        <f t="shared" si="3235"/>
        <v>X</v>
      </c>
      <c r="N14175" t="s">
        <v>27</v>
      </c>
    </row>
    <row r="14176" spans="1:14" x14ac:dyDescent="0.25">
      <c r="A14176" t="s">
        <v>45</v>
      </c>
      <c r="B14176" t="s">
        <v>39</v>
      </c>
      <c r="C14176" t="s">
        <v>15</v>
      </c>
      <c r="D14176" t="s">
        <v>34</v>
      </c>
      <c r="E14176" t="s">
        <v>26</v>
      </c>
      <c r="F14176" t="s">
        <v>20</v>
      </c>
      <c r="G14176" s="1" t="str">
        <f t="shared" si="3235"/>
        <v>X</v>
      </c>
      <c r="H14176" s="1" t="str">
        <f t="shared" si="3235"/>
        <v>X</v>
      </c>
      <c r="I14176" s="1" t="str">
        <f t="shared" si="3235"/>
        <v>X</v>
      </c>
      <c r="J14176" s="1" t="str">
        <f t="shared" si="3235"/>
        <v>X</v>
      </c>
      <c r="K14176" s="1" t="str">
        <f t="shared" si="3235"/>
        <v>X</v>
      </c>
      <c r="L14176" s="1" t="str">
        <f t="shared" si="3235"/>
        <v>X</v>
      </c>
      <c r="M14176" s="1" t="str">
        <f t="shared" si="3235"/>
        <v>X</v>
      </c>
      <c r="N14176" t="s">
        <v>27</v>
      </c>
    </row>
    <row r="14177" spans="1:14" x14ac:dyDescent="0.25">
      <c r="A14177" t="s">
        <v>45</v>
      </c>
      <c r="B14177" t="s">
        <v>39</v>
      </c>
      <c r="C14177" t="s">
        <v>35</v>
      </c>
      <c r="D14177" t="s">
        <v>15</v>
      </c>
      <c r="E14177" t="s">
        <v>15</v>
      </c>
      <c r="F14177" t="s">
        <v>15</v>
      </c>
      <c r="G14177" s="2">
        <f>VALUE(2850.06)</f>
        <v>2850.06</v>
      </c>
      <c r="H14177" s="3">
        <f>VALUE(2637.24)</f>
        <v>2637.24</v>
      </c>
      <c r="I14177" s="1">
        <f>VALUE(3146)</f>
        <v>3146</v>
      </c>
      <c r="J14177" s="1">
        <f>VALUE(3543)</f>
        <v>3543</v>
      </c>
      <c r="K14177" s="1">
        <f>VALUE(4176)</f>
        <v>4176</v>
      </c>
      <c r="L14177" s="1">
        <f>VALUE(4721)</f>
        <v>4721</v>
      </c>
      <c r="M14177" s="8">
        <f>VALUE(5742)</f>
        <v>5742</v>
      </c>
      <c r="N14177" t="s">
        <v>25</v>
      </c>
    </row>
    <row r="14178" spans="1:14" x14ac:dyDescent="0.25">
      <c r="A14178" t="s">
        <v>45</v>
      </c>
      <c r="B14178" t="s">
        <v>39</v>
      </c>
      <c r="C14178" t="s">
        <v>35</v>
      </c>
      <c r="D14178" t="s">
        <v>15</v>
      </c>
      <c r="E14178" t="s">
        <v>15</v>
      </c>
      <c r="F14178" t="s">
        <v>17</v>
      </c>
      <c r="G14178" s="1" t="str">
        <f t="shared" ref="G14178:M14180" si="3236">"X"</f>
        <v>X</v>
      </c>
      <c r="H14178" s="1" t="str">
        <f t="shared" si="3236"/>
        <v>X</v>
      </c>
      <c r="I14178" s="1" t="str">
        <f t="shared" si="3236"/>
        <v>X</v>
      </c>
      <c r="J14178" s="1" t="str">
        <f t="shared" si="3236"/>
        <v>X</v>
      </c>
      <c r="K14178" s="1" t="str">
        <f t="shared" si="3236"/>
        <v>X</v>
      </c>
      <c r="L14178" s="1" t="str">
        <f t="shared" si="3236"/>
        <v>X</v>
      </c>
      <c r="M14178" s="1" t="str">
        <f t="shared" si="3236"/>
        <v>X</v>
      </c>
      <c r="N14178" t="s">
        <v>27</v>
      </c>
    </row>
    <row r="14179" spans="1:14" x14ac:dyDescent="0.25">
      <c r="A14179" t="s">
        <v>45</v>
      </c>
      <c r="B14179" t="s">
        <v>39</v>
      </c>
      <c r="C14179" t="s">
        <v>35</v>
      </c>
      <c r="D14179" t="s">
        <v>15</v>
      </c>
      <c r="E14179" t="s">
        <v>15</v>
      </c>
      <c r="F14179" t="s">
        <v>18</v>
      </c>
      <c r="G14179" s="1" t="str">
        <f t="shared" si="3236"/>
        <v>X</v>
      </c>
      <c r="H14179" s="1" t="str">
        <f t="shared" si="3236"/>
        <v>X</v>
      </c>
      <c r="I14179" s="1" t="str">
        <f t="shared" si="3236"/>
        <v>X</v>
      </c>
      <c r="J14179" s="1" t="str">
        <f t="shared" si="3236"/>
        <v>X</v>
      </c>
      <c r="K14179" s="1" t="str">
        <f t="shared" si="3236"/>
        <v>X</v>
      </c>
      <c r="L14179" s="1" t="str">
        <f t="shared" si="3236"/>
        <v>X</v>
      </c>
      <c r="M14179" s="1" t="str">
        <f t="shared" si="3236"/>
        <v>X</v>
      </c>
      <c r="N14179" t="s">
        <v>27</v>
      </c>
    </row>
    <row r="14180" spans="1:14" x14ac:dyDescent="0.25">
      <c r="A14180" t="s">
        <v>45</v>
      </c>
      <c r="B14180" t="s">
        <v>39</v>
      </c>
      <c r="C14180" t="s">
        <v>35</v>
      </c>
      <c r="D14180" t="s">
        <v>15</v>
      </c>
      <c r="E14180" t="s">
        <v>15</v>
      </c>
      <c r="F14180" t="s">
        <v>19</v>
      </c>
      <c r="G14180" s="1" t="str">
        <f t="shared" si="3236"/>
        <v>X</v>
      </c>
      <c r="H14180" s="1" t="str">
        <f t="shared" si="3236"/>
        <v>X</v>
      </c>
      <c r="I14180" s="1" t="str">
        <f t="shared" si="3236"/>
        <v>X</v>
      </c>
      <c r="J14180" s="1" t="str">
        <f t="shared" si="3236"/>
        <v>X</v>
      </c>
      <c r="K14180" s="1" t="str">
        <f t="shared" si="3236"/>
        <v>X</v>
      </c>
      <c r="L14180" s="1" t="str">
        <f t="shared" si="3236"/>
        <v>X</v>
      </c>
      <c r="M14180" s="1" t="str">
        <f t="shared" si="3236"/>
        <v>X</v>
      </c>
      <c r="N14180" t="s">
        <v>27</v>
      </c>
    </row>
    <row r="14181" spans="1:14" x14ac:dyDescent="0.25">
      <c r="A14181" t="s">
        <v>45</v>
      </c>
      <c r="B14181" t="s">
        <v>39</v>
      </c>
      <c r="C14181" t="s">
        <v>35</v>
      </c>
      <c r="D14181" t="s">
        <v>15</v>
      </c>
      <c r="E14181" t="s">
        <v>15</v>
      </c>
      <c r="F14181" t="s">
        <v>20</v>
      </c>
      <c r="G14181" s="2">
        <f>VALUE(2581.37)</f>
        <v>2581.37</v>
      </c>
      <c r="H14181" s="3">
        <f>VALUE(2378.1)</f>
        <v>2378.1</v>
      </c>
      <c r="I14181" s="1">
        <f>VALUE(3146)</f>
        <v>3146</v>
      </c>
      <c r="J14181" s="1">
        <f>VALUE(3524)</f>
        <v>3524</v>
      </c>
      <c r="K14181" s="1">
        <f>VALUE(4147)</f>
        <v>4147</v>
      </c>
      <c r="L14181" s="1">
        <f>VALUE(4652)</f>
        <v>4652</v>
      </c>
      <c r="M14181" s="8">
        <f>VALUE(5660)</f>
        <v>5660</v>
      </c>
      <c r="N14181" t="s">
        <v>25</v>
      </c>
    </row>
    <row r="14182" spans="1:14" x14ac:dyDescent="0.25">
      <c r="A14182" t="s">
        <v>45</v>
      </c>
      <c r="B14182" t="s">
        <v>39</v>
      </c>
      <c r="C14182" t="s">
        <v>35</v>
      </c>
      <c r="D14182" t="s">
        <v>15</v>
      </c>
      <c r="E14182" t="s">
        <v>21</v>
      </c>
      <c r="F14182" t="s">
        <v>15</v>
      </c>
      <c r="G14182" s="2">
        <f>VALUE(369.8)</f>
        <v>369.8</v>
      </c>
      <c r="H14182" s="3">
        <f>VALUE(374.15)</f>
        <v>374.15</v>
      </c>
      <c r="I14182" s="4">
        <f>VALUE(3294)</f>
        <v>3294</v>
      </c>
      <c r="J14182" s="5">
        <f>VALUE(4178)</f>
        <v>4178</v>
      </c>
      <c r="K14182" s="6">
        <f>VALUE(4178)</f>
        <v>4178</v>
      </c>
      <c r="L14182" s="7">
        <f>VALUE(4964)</f>
        <v>4964</v>
      </c>
      <c r="M14182" s="1">
        <f>VALUE(5872)</f>
        <v>5872</v>
      </c>
      <c r="N14182" t="s">
        <v>25</v>
      </c>
    </row>
    <row r="14183" spans="1:14" x14ac:dyDescent="0.25">
      <c r="A14183" t="s">
        <v>45</v>
      </c>
      <c r="B14183" t="s">
        <v>39</v>
      </c>
      <c r="C14183" t="s">
        <v>35</v>
      </c>
      <c r="D14183" t="s">
        <v>15</v>
      </c>
      <c r="E14183" t="s">
        <v>21</v>
      </c>
      <c r="F14183" t="s">
        <v>17</v>
      </c>
      <c r="G14183" s="1" t="str">
        <f t="shared" ref="G14183:M14185" si="3237">"X"</f>
        <v>X</v>
      </c>
      <c r="H14183" s="1" t="str">
        <f t="shared" si="3237"/>
        <v>X</v>
      </c>
      <c r="I14183" s="1" t="str">
        <f t="shared" si="3237"/>
        <v>X</v>
      </c>
      <c r="J14183" s="1" t="str">
        <f t="shared" si="3237"/>
        <v>X</v>
      </c>
      <c r="K14183" s="1" t="str">
        <f t="shared" si="3237"/>
        <v>X</v>
      </c>
      <c r="L14183" s="1" t="str">
        <f t="shared" si="3237"/>
        <v>X</v>
      </c>
      <c r="M14183" s="1" t="str">
        <f t="shared" si="3237"/>
        <v>X</v>
      </c>
      <c r="N14183" t="s">
        <v>27</v>
      </c>
    </row>
    <row r="14184" spans="1:14" x14ac:dyDescent="0.25">
      <c r="A14184" t="s">
        <v>45</v>
      </c>
      <c r="B14184" t="s">
        <v>39</v>
      </c>
      <c r="C14184" t="s">
        <v>35</v>
      </c>
      <c r="D14184" t="s">
        <v>15</v>
      </c>
      <c r="E14184" t="s">
        <v>21</v>
      </c>
      <c r="F14184" t="s">
        <v>18</v>
      </c>
      <c r="G14184" s="1" t="str">
        <f t="shared" si="3237"/>
        <v>X</v>
      </c>
      <c r="H14184" s="1" t="str">
        <f t="shared" si="3237"/>
        <v>X</v>
      </c>
      <c r="I14184" s="1" t="str">
        <f t="shared" si="3237"/>
        <v>X</v>
      </c>
      <c r="J14184" s="1" t="str">
        <f t="shared" si="3237"/>
        <v>X</v>
      </c>
      <c r="K14184" s="1" t="str">
        <f t="shared" si="3237"/>
        <v>X</v>
      </c>
      <c r="L14184" s="1" t="str">
        <f t="shared" si="3237"/>
        <v>X</v>
      </c>
      <c r="M14184" s="1" t="str">
        <f t="shared" si="3237"/>
        <v>X</v>
      </c>
      <c r="N14184" t="s">
        <v>27</v>
      </c>
    </row>
    <row r="14185" spans="1:14" x14ac:dyDescent="0.25">
      <c r="A14185" t="s">
        <v>45</v>
      </c>
      <c r="B14185" t="s">
        <v>39</v>
      </c>
      <c r="C14185" t="s">
        <v>35</v>
      </c>
      <c r="D14185" t="s">
        <v>15</v>
      </c>
      <c r="E14185" t="s">
        <v>21</v>
      </c>
      <c r="F14185" t="s">
        <v>19</v>
      </c>
      <c r="G14185" s="1" t="str">
        <f t="shared" si="3237"/>
        <v>X</v>
      </c>
      <c r="H14185" s="1" t="str">
        <f t="shared" si="3237"/>
        <v>X</v>
      </c>
      <c r="I14185" s="1" t="str">
        <f t="shared" si="3237"/>
        <v>X</v>
      </c>
      <c r="J14185" s="1" t="str">
        <f t="shared" si="3237"/>
        <v>X</v>
      </c>
      <c r="K14185" s="1" t="str">
        <f t="shared" si="3237"/>
        <v>X</v>
      </c>
      <c r="L14185" s="1" t="str">
        <f t="shared" si="3237"/>
        <v>X</v>
      </c>
      <c r="M14185" s="1" t="str">
        <f t="shared" si="3237"/>
        <v>X</v>
      </c>
      <c r="N14185" t="s">
        <v>27</v>
      </c>
    </row>
    <row r="14186" spans="1:14" x14ac:dyDescent="0.25">
      <c r="A14186" t="s">
        <v>45</v>
      </c>
      <c r="B14186" t="s">
        <v>39</v>
      </c>
      <c r="C14186" t="s">
        <v>35</v>
      </c>
      <c r="D14186" t="s">
        <v>15</v>
      </c>
      <c r="E14186" t="s">
        <v>21</v>
      </c>
      <c r="F14186" t="s">
        <v>20</v>
      </c>
      <c r="G14186" s="2">
        <f>VALUE(300.79)</f>
        <v>300.79000000000002</v>
      </c>
      <c r="H14186" s="3">
        <f>VALUE(305.44)</f>
        <v>305.44</v>
      </c>
      <c r="I14186" s="4">
        <f>VALUE(3333)</f>
        <v>3333</v>
      </c>
      <c r="J14186" s="5">
        <f>VALUE(4178)</f>
        <v>4178</v>
      </c>
      <c r="K14186" s="6">
        <f>VALUE(4178)</f>
        <v>4178</v>
      </c>
      <c r="L14186" s="7">
        <f>VALUE(4479)</f>
        <v>4479</v>
      </c>
      <c r="M14186" s="8">
        <f>VALUE(5649)</f>
        <v>5649</v>
      </c>
      <c r="N14186" t="s">
        <v>24</v>
      </c>
    </row>
    <row r="14187" spans="1:14" x14ac:dyDescent="0.25">
      <c r="A14187" t="s">
        <v>45</v>
      </c>
      <c r="B14187" t="s">
        <v>39</v>
      </c>
      <c r="C14187" t="s">
        <v>35</v>
      </c>
      <c r="D14187" t="s">
        <v>15</v>
      </c>
      <c r="E14187" t="s">
        <v>22</v>
      </c>
      <c r="F14187" t="s">
        <v>15</v>
      </c>
      <c r="G14187" s="2">
        <f>VALUE(1485.25)</f>
        <v>1485.25</v>
      </c>
      <c r="H14187" s="3">
        <f>VALUE(1412.26)</f>
        <v>1412.26</v>
      </c>
      <c r="I14187" s="1">
        <f>VALUE(3080)</f>
        <v>3080</v>
      </c>
      <c r="J14187" s="1">
        <f>VALUE(3500)</f>
        <v>3500</v>
      </c>
      <c r="K14187" s="1">
        <f>VALUE(4169)</f>
        <v>4169</v>
      </c>
      <c r="L14187" s="1">
        <f>VALUE(4778)</f>
        <v>4778</v>
      </c>
      <c r="M14187" s="1">
        <f>VALUE(6022)</f>
        <v>6022</v>
      </c>
      <c r="N14187" t="s">
        <v>25</v>
      </c>
    </row>
    <row r="14188" spans="1:14" x14ac:dyDescent="0.25">
      <c r="A14188" t="s">
        <v>45</v>
      </c>
      <c r="B14188" t="s">
        <v>39</v>
      </c>
      <c r="C14188" t="s">
        <v>35</v>
      </c>
      <c r="D14188" t="s">
        <v>15</v>
      </c>
      <c r="E14188" t="s">
        <v>22</v>
      </c>
      <c r="F14188" t="s">
        <v>17</v>
      </c>
      <c r="G14188" s="1" t="str">
        <f t="shared" ref="G14188:M14190" si="3238">"X"</f>
        <v>X</v>
      </c>
      <c r="H14188" s="1" t="str">
        <f t="shared" si="3238"/>
        <v>X</v>
      </c>
      <c r="I14188" s="1" t="str">
        <f t="shared" si="3238"/>
        <v>X</v>
      </c>
      <c r="J14188" s="1" t="str">
        <f t="shared" si="3238"/>
        <v>X</v>
      </c>
      <c r="K14188" s="1" t="str">
        <f t="shared" si="3238"/>
        <v>X</v>
      </c>
      <c r="L14188" s="1" t="str">
        <f t="shared" si="3238"/>
        <v>X</v>
      </c>
      <c r="M14188" s="1" t="str">
        <f t="shared" si="3238"/>
        <v>X</v>
      </c>
      <c r="N14188" t="s">
        <v>27</v>
      </c>
    </row>
    <row r="14189" spans="1:14" x14ac:dyDescent="0.25">
      <c r="A14189" t="s">
        <v>45</v>
      </c>
      <c r="B14189" t="s">
        <v>39</v>
      </c>
      <c r="C14189" t="s">
        <v>35</v>
      </c>
      <c r="D14189" t="s">
        <v>15</v>
      </c>
      <c r="E14189" t="s">
        <v>22</v>
      </c>
      <c r="F14189" t="s">
        <v>18</v>
      </c>
      <c r="G14189" s="1" t="str">
        <f t="shared" si="3238"/>
        <v>X</v>
      </c>
      <c r="H14189" s="1" t="str">
        <f t="shared" si="3238"/>
        <v>X</v>
      </c>
      <c r="I14189" s="1" t="str">
        <f t="shared" si="3238"/>
        <v>X</v>
      </c>
      <c r="J14189" s="1" t="str">
        <f t="shared" si="3238"/>
        <v>X</v>
      </c>
      <c r="K14189" s="1" t="str">
        <f t="shared" si="3238"/>
        <v>X</v>
      </c>
      <c r="L14189" s="1" t="str">
        <f t="shared" si="3238"/>
        <v>X</v>
      </c>
      <c r="M14189" s="1" t="str">
        <f t="shared" si="3238"/>
        <v>X</v>
      </c>
      <c r="N14189" t="s">
        <v>27</v>
      </c>
    </row>
    <row r="14190" spans="1:14" x14ac:dyDescent="0.25">
      <c r="A14190" t="s">
        <v>45</v>
      </c>
      <c r="B14190" t="s">
        <v>39</v>
      </c>
      <c r="C14190" t="s">
        <v>35</v>
      </c>
      <c r="D14190" t="s">
        <v>15</v>
      </c>
      <c r="E14190" t="s">
        <v>22</v>
      </c>
      <c r="F14190" t="s">
        <v>19</v>
      </c>
      <c r="G14190" s="1" t="str">
        <f t="shared" si="3238"/>
        <v>X</v>
      </c>
      <c r="H14190" s="1" t="str">
        <f t="shared" si="3238"/>
        <v>X</v>
      </c>
      <c r="I14190" s="1" t="str">
        <f t="shared" si="3238"/>
        <v>X</v>
      </c>
      <c r="J14190" s="1" t="str">
        <f t="shared" si="3238"/>
        <v>X</v>
      </c>
      <c r="K14190" s="1" t="str">
        <f t="shared" si="3238"/>
        <v>X</v>
      </c>
      <c r="L14190" s="1" t="str">
        <f t="shared" si="3238"/>
        <v>X</v>
      </c>
      <c r="M14190" s="1" t="str">
        <f t="shared" si="3238"/>
        <v>X</v>
      </c>
      <c r="N14190" t="s">
        <v>27</v>
      </c>
    </row>
    <row r="14191" spans="1:14" x14ac:dyDescent="0.25">
      <c r="A14191" t="s">
        <v>45</v>
      </c>
      <c r="B14191" t="s">
        <v>39</v>
      </c>
      <c r="C14191" t="s">
        <v>35</v>
      </c>
      <c r="D14191" t="s">
        <v>15</v>
      </c>
      <c r="E14191" t="s">
        <v>22</v>
      </c>
      <c r="F14191" t="s">
        <v>20</v>
      </c>
      <c r="G14191" s="2">
        <f>VALUE(1293.05)</f>
        <v>1293.05</v>
      </c>
      <c r="H14191" s="3">
        <f>VALUE(1228.18)</f>
        <v>1228.18</v>
      </c>
      <c r="I14191" s="4">
        <f>VALUE(3131)</f>
        <v>3131</v>
      </c>
      <c r="J14191" s="1">
        <f>VALUE(3499)</f>
        <v>3499</v>
      </c>
      <c r="K14191" s="1">
        <f>VALUE(4176)</f>
        <v>4176</v>
      </c>
      <c r="L14191" s="1">
        <f>VALUE(4776)</f>
        <v>4776</v>
      </c>
      <c r="M14191" s="8">
        <f>VALUE(6091)</f>
        <v>6091</v>
      </c>
      <c r="N14191" t="s">
        <v>25</v>
      </c>
    </row>
    <row r="14192" spans="1:14" x14ac:dyDescent="0.25">
      <c r="A14192" t="s">
        <v>45</v>
      </c>
      <c r="B14192" t="s">
        <v>39</v>
      </c>
      <c r="C14192" t="s">
        <v>35</v>
      </c>
      <c r="D14192" t="s">
        <v>15</v>
      </c>
      <c r="E14192" t="s">
        <v>23</v>
      </c>
      <c r="F14192" t="s">
        <v>15</v>
      </c>
      <c r="G14192" s="2">
        <f>VALUE(934)</f>
        <v>934</v>
      </c>
      <c r="H14192" s="3">
        <f>VALUE(824.01)</f>
        <v>824.01</v>
      </c>
      <c r="I14192" s="4">
        <f>VALUE(3008)</f>
        <v>3008</v>
      </c>
      <c r="J14192" s="1">
        <f>VALUE(3451)</f>
        <v>3451</v>
      </c>
      <c r="K14192" s="6">
        <f>VALUE(4115)</f>
        <v>4115</v>
      </c>
      <c r="L14192" s="7">
        <f>VALUE(4293)</f>
        <v>4293</v>
      </c>
      <c r="M14192" s="1">
        <f>VALUE(5575)</f>
        <v>5575</v>
      </c>
      <c r="N14192" t="s">
        <v>25</v>
      </c>
    </row>
    <row r="14193" spans="1:14" x14ac:dyDescent="0.25">
      <c r="A14193" t="s">
        <v>45</v>
      </c>
      <c r="B14193" t="s">
        <v>39</v>
      </c>
      <c r="C14193" t="s">
        <v>35</v>
      </c>
      <c r="D14193" t="s">
        <v>15</v>
      </c>
      <c r="E14193" t="s">
        <v>23</v>
      </c>
      <c r="F14193" t="s">
        <v>17</v>
      </c>
      <c r="G14193" s="1" t="str">
        <f t="shared" ref="G14193:M14193" si="3239">"X"</f>
        <v>X</v>
      </c>
      <c r="H14193" s="1" t="str">
        <f t="shared" si="3239"/>
        <v>X</v>
      </c>
      <c r="I14193" s="1" t="str">
        <f t="shared" si="3239"/>
        <v>X</v>
      </c>
      <c r="J14193" s="1" t="str">
        <f t="shared" si="3239"/>
        <v>X</v>
      </c>
      <c r="K14193" s="1" t="str">
        <f t="shared" si="3239"/>
        <v>X</v>
      </c>
      <c r="L14193" s="1" t="str">
        <f t="shared" si="3239"/>
        <v>X</v>
      </c>
      <c r="M14193" s="1" t="str">
        <f t="shared" si="3239"/>
        <v>X</v>
      </c>
      <c r="N14193" t="s">
        <v>27</v>
      </c>
    </row>
    <row r="14194" spans="1:14" x14ac:dyDescent="0.25">
      <c r="A14194" t="s">
        <v>45</v>
      </c>
      <c r="B14194" t="s">
        <v>39</v>
      </c>
      <c r="C14194" t="s">
        <v>35</v>
      </c>
      <c r="D14194" t="s">
        <v>15</v>
      </c>
      <c r="E14194" t="s">
        <v>23</v>
      </c>
      <c r="F14194" t="s">
        <v>18</v>
      </c>
      <c r="G14194" s="1" t="str">
        <f t="shared" ref="G14194:M14194" si="3240">"..."</f>
        <v>...</v>
      </c>
      <c r="H14194" s="1" t="str">
        <f t="shared" si="3240"/>
        <v>...</v>
      </c>
      <c r="I14194" s="1" t="str">
        <f t="shared" si="3240"/>
        <v>...</v>
      </c>
      <c r="J14194" s="1" t="str">
        <f t="shared" si="3240"/>
        <v>...</v>
      </c>
      <c r="K14194" s="1" t="str">
        <f t="shared" si="3240"/>
        <v>...</v>
      </c>
      <c r="L14194" s="1" t="str">
        <f t="shared" si="3240"/>
        <v>...</v>
      </c>
      <c r="M14194" s="1" t="str">
        <f t="shared" si="3240"/>
        <v>...</v>
      </c>
      <c r="N14194" t="s">
        <v>30</v>
      </c>
    </row>
    <row r="14195" spans="1:14" x14ac:dyDescent="0.25">
      <c r="A14195" t="s">
        <v>45</v>
      </c>
      <c r="B14195" t="s">
        <v>39</v>
      </c>
      <c r="C14195" t="s">
        <v>35</v>
      </c>
      <c r="D14195" t="s">
        <v>15</v>
      </c>
      <c r="E14195" t="s">
        <v>23</v>
      </c>
      <c r="F14195" t="s">
        <v>19</v>
      </c>
      <c r="G14195" s="1" t="str">
        <f t="shared" ref="G14195:M14195" si="3241">"X"</f>
        <v>X</v>
      </c>
      <c r="H14195" s="1" t="str">
        <f t="shared" si="3241"/>
        <v>X</v>
      </c>
      <c r="I14195" s="1" t="str">
        <f t="shared" si="3241"/>
        <v>X</v>
      </c>
      <c r="J14195" s="1" t="str">
        <f t="shared" si="3241"/>
        <v>X</v>
      </c>
      <c r="K14195" s="1" t="str">
        <f t="shared" si="3241"/>
        <v>X</v>
      </c>
      <c r="L14195" s="1" t="str">
        <f t="shared" si="3241"/>
        <v>X</v>
      </c>
      <c r="M14195" s="1" t="str">
        <f t="shared" si="3241"/>
        <v>X</v>
      </c>
      <c r="N14195" t="s">
        <v>27</v>
      </c>
    </row>
    <row r="14196" spans="1:14" x14ac:dyDescent="0.25">
      <c r="A14196" t="s">
        <v>45</v>
      </c>
      <c r="B14196" t="s">
        <v>39</v>
      </c>
      <c r="C14196" t="s">
        <v>35</v>
      </c>
      <c r="D14196" t="s">
        <v>15</v>
      </c>
      <c r="E14196" t="s">
        <v>23</v>
      </c>
      <c r="F14196" t="s">
        <v>20</v>
      </c>
      <c r="G14196" s="2">
        <f>VALUE(926.52)</f>
        <v>926.52</v>
      </c>
      <c r="H14196" s="3">
        <f>VALUE(817.66)</f>
        <v>817.66</v>
      </c>
      <c r="I14196" s="4">
        <f>VALUE(3049)</f>
        <v>3049</v>
      </c>
      <c r="J14196" s="1">
        <f>VALUE(3451)</f>
        <v>3451</v>
      </c>
      <c r="K14196" s="6">
        <f>VALUE(4115)</f>
        <v>4115</v>
      </c>
      <c r="L14196" s="7">
        <f>VALUE(4293)</f>
        <v>4293</v>
      </c>
      <c r="M14196" s="1">
        <f>VALUE(5575)</f>
        <v>5575</v>
      </c>
      <c r="N14196" t="s">
        <v>25</v>
      </c>
    </row>
    <row r="14197" spans="1:14" x14ac:dyDescent="0.25">
      <c r="A14197" t="s">
        <v>45</v>
      </c>
      <c r="B14197" t="s">
        <v>39</v>
      </c>
      <c r="C14197" t="s">
        <v>35</v>
      </c>
      <c r="D14197" t="s">
        <v>15</v>
      </c>
      <c r="E14197" t="s">
        <v>26</v>
      </c>
      <c r="F14197" t="s">
        <v>15</v>
      </c>
      <c r="G14197" s="1" t="str">
        <f t="shared" ref="G14197:M14197" si="3242">"X"</f>
        <v>X</v>
      </c>
      <c r="H14197" s="1" t="str">
        <f t="shared" si="3242"/>
        <v>X</v>
      </c>
      <c r="I14197" s="1" t="str">
        <f t="shared" si="3242"/>
        <v>X</v>
      </c>
      <c r="J14197" s="1" t="str">
        <f t="shared" si="3242"/>
        <v>X</v>
      </c>
      <c r="K14197" s="1" t="str">
        <f t="shared" si="3242"/>
        <v>X</v>
      </c>
      <c r="L14197" s="1" t="str">
        <f t="shared" si="3242"/>
        <v>X</v>
      </c>
      <c r="M14197" s="1" t="str">
        <f t="shared" si="3242"/>
        <v>X</v>
      </c>
      <c r="N14197" t="s">
        <v>27</v>
      </c>
    </row>
    <row r="14198" spans="1:14" x14ac:dyDescent="0.25">
      <c r="A14198" t="s">
        <v>45</v>
      </c>
      <c r="B14198" t="s">
        <v>39</v>
      </c>
      <c r="C14198" t="s">
        <v>35</v>
      </c>
      <c r="D14198" t="s">
        <v>15</v>
      </c>
      <c r="E14198" t="s">
        <v>26</v>
      </c>
      <c r="F14198" t="s">
        <v>17</v>
      </c>
      <c r="G14198" s="1" t="str">
        <f t="shared" ref="G14198:M14200" si="3243">"..."</f>
        <v>...</v>
      </c>
      <c r="H14198" s="1" t="str">
        <f t="shared" si="3243"/>
        <v>...</v>
      </c>
      <c r="I14198" s="1" t="str">
        <f t="shared" si="3243"/>
        <v>...</v>
      </c>
      <c r="J14198" s="1" t="str">
        <f t="shared" si="3243"/>
        <v>...</v>
      </c>
      <c r="K14198" s="1" t="str">
        <f t="shared" si="3243"/>
        <v>...</v>
      </c>
      <c r="L14198" s="1" t="str">
        <f t="shared" si="3243"/>
        <v>...</v>
      </c>
      <c r="M14198" s="1" t="str">
        <f t="shared" si="3243"/>
        <v>...</v>
      </c>
      <c r="N14198" t="s">
        <v>30</v>
      </c>
    </row>
    <row r="14199" spans="1:14" x14ac:dyDescent="0.25">
      <c r="A14199" t="s">
        <v>45</v>
      </c>
      <c r="B14199" t="s">
        <v>39</v>
      </c>
      <c r="C14199" t="s">
        <v>35</v>
      </c>
      <c r="D14199" t="s">
        <v>15</v>
      </c>
      <c r="E14199" t="s">
        <v>26</v>
      </c>
      <c r="F14199" t="s">
        <v>18</v>
      </c>
      <c r="G14199" s="1" t="str">
        <f t="shared" si="3243"/>
        <v>...</v>
      </c>
      <c r="H14199" s="1" t="str">
        <f t="shared" si="3243"/>
        <v>...</v>
      </c>
      <c r="I14199" s="1" t="str">
        <f t="shared" si="3243"/>
        <v>...</v>
      </c>
      <c r="J14199" s="1" t="str">
        <f t="shared" si="3243"/>
        <v>...</v>
      </c>
      <c r="K14199" s="1" t="str">
        <f t="shared" si="3243"/>
        <v>...</v>
      </c>
      <c r="L14199" s="1" t="str">
        <f t="shared" si="3243"/>
        <v>...</v>
      </c>
      <c r="M14199" s="1" t="str">
        <f t="shared" si="3243"/>
        <v>...</v>
      </c>
      <c r="N14199" t="s">
        <v>30</v>
      </c>
    </row>
    <row r="14200" spans="1:14" x14ac:dyDescent="0.25">
      <c r="A14200" t="s">
        <v>45</v>
      </c>
      <c r="B14200" t="s">
        <v>39</v>
      </c>
      <c r="C14200" t="s">
        <v>35</v>
      </c>
      <c r="D14200" t="s">
        <v>15</v>
      </c>
      <c r="E14200" t="s">
        <v>26</v>
      </c>
      <c r="F14200" t="s">
        <v>19</v>
      </c>
      <c r="G14200" s="1" t="str">
        <f t="shared" si="3243"/>
        <v>...</v>
      </c>
      <c r="H14200" s="1" t="str">
        <f t="shared" si="3243"/>
        <v>...</v>
      </c>
      <c r="I14200" s="1" t="str">
        <f t="shared" si="3243"/>
        <v>...</v>
      </c>
      <c r="J14200" s="1" t="str">
        <f t="shared" si="3243"/>
        <v>...</v>
      </c>
      <c r="K14200" s="1" t="str">
        <f t="shared" si="3243"/>
        <v>...</v>
      </c>
      <c r="L14200" s="1" t="str">
        <f t="shared" si="3243"/>
        <v>...</v>
      </c>
      <c r="M14200" s="1" t="str">
        <f t="shared" si="3243"/>
        <v>...</v>
      </c>
      <c r="N14200" t="s">
        <v>30</v>
      </c>
    </row>
    <row r="14201" spans="1:14" x14ac:dyDescent="0.25">
      <c r="A14201" t="s">
        <v>45</v>
      </c>
      <c r="B14201" t="s">
        <v>39</v>
      </c>
      <c r="C14201" t="s">
        <v>35</v>
      </c>
      <c r="D14201" t="s">
        <v>15</v>
      </c>
      <c r="E14201" t="s">
        <v>26</v>
      </c>
      <c r="F14201" t="s">
        <v>20</v>
      </c>
      <c r="G14201" s="1" t="str">
        <f t="shared" ref="G14201:M14201" si="3244">"X"</f>
        <v>X</v>
      </c>
      <c r="H14201" s="1" t="str">
        <f t="shared" si="3244"/>
        <v>X</v>
      </c>
      <c r="I14201" s="1" t="str">
        <f t="shared" si="3244"/>
        <v>X</v>
      </c>
      <c r="J14201" s="1" t="str">
        <f t="shared" si="3244"/>
        <v>X</v>
      </c>
      <c r="K14201" s="1" t="str">
        <f t="shared" si="3244"/>
        <v>X</v>
      </c>
      <c r="L14201" s="1" t="str">
        <f t="shared" si="3244"/>
        <v>X</v>
      </c>
      <c r="M14201" s="1" t="str">
        <f t="shared" si="3244"/>
        <v>X</v>
      </c>
      <c r="N14201" t="s">
        <v>27</v>
      </c>
    </row>
    <row r="14202" spans="1:14" x14ac:dyDescent="0.25">
      <c r="A14202" t="s">
        <v>45</v>
      </c>
      <c r="B14202" t="s">
        <v>39</v>
      </c>
      <c r="C14202" t="s">
        <v>35</v>
      </c>
      <c r="D14202" t="s">
        <v>28</v>
      </c>
      <c r="E14202" t="s">
        <v>15</v>
      </c>
      <c r="F14202" t="s">
        <v>15</v>
      </c>
      <c r="G14202" s="2">
        <f>VALUE(1403.32)</f>
        <v>1403.32</v>
      </c>
      <c r="H14202" s="3">
        <f>VALUE(1317.49)</f>
        <v>1317.49</v>
      </c>
      <c r="I14202" s="1">
        <f>VALUE(3274)</f>
        <v>3274</v>
      </c>
      <c r="J14202" s="1">
        <f>VALUE(3804)</f>
        <v>3804</v>
      </c>
      <c r="K14202" s="1">
        <f>VALUE(4178)</f>
        <v>4178</v>
      </c>
      <c r="L14202" s="1">
        <f>VALUE(4969)</f>
        <v>4969</v>
      </c>
      <c r="M14202" s="8">
        <f>VALUE(6828)</f>
        <v>6828</v>
      </c>
      <c r="N14202" t="s">
        <v>25</v>
      </c>
    </row>
    <row r="14203" spans="1:14" x14ac:dyDescent="0.25">
      <c r="A14203" t="s">
        <v>45</v>
      </c>
      <c r="B14203" t="s">
        <v>39</v>
      </c>
      <c r="C14203" t="s">
        <v>35</v>
      </c>
      <c r="D14203" t="s">
        <v>28</v>
      </c>
      <c r="E14203" t="s">
        <v>15</v>
      </c>
      <c r="F14203" t="s">
        <v>17</v>
      </c>
      <c r="G14203" s="1" t="str">
        <f t="shared" ref="G14203:M14205" si="3245">"X"</f>
        <v>X</v>
      </c>
      <c r="H14203" s="1" t="str">
        <f t="shared" si="3245"/>
        <v>X</v>
      </c>
      <c r="I14203" s="1" t="str">
        <f t="shared" si="3245"/>
        <v>X</v>
      </c>
      <c r="J14203" s="1" t="str">
        <f t="shared" si="3245"/>
        <v>X</v>
      </c>
      <c r="K14203" s="1" t="str">
        <f t="shared" si="3245"/>
        <v>X</v>
      </c>
      <c r="L14203" s="1" t="str">
        <f t="shared" si="3245"/>
        <v>X</v>
      </c>
      <c r="M14203" s="1" t="str">
        <f t="shared" si="3245"/>
        <v>X</v>
      </c>
      <c r="N14203" t="s">
        <v>27</v>
      </c>
    </row>
    <row r="14204" spans="1:14" x14ac:dyDescent="0.25">
      <c r="A14204" t="s">
        <v>45</v>
      </c>
      <c r="B14204" t="s">
        <v>39</v>
      </c>
      <c r="C14204" t="s">
        <v>35</v>
      </c>
      <c r="D14204" t="s">
        <v>28</v>
      </c>
      <c r="E14204" t="s">
        <v>15</v>
      </c>
      <c r="F14204" t="s">
        <v>18</v>
      </c>
      <c r="G14204" s="1" t="str">
        <f t="shared" si="3245"/>
        <v>X</v>
      </c>
      <c r="H14204" s="1" t="str">
        <f t="shared" si="3245"/>
        <v>X</v>
      </c>
      <c r="I14204" s="1" t="str">
        <f t="shared" si="3245"/>
        <v>X</v>
      </c>
      <c r="J14204" s="1" t="str">
        <f t="shared" si="3245"/>
        <v>X</v>
      </c>
      <c r="K14204" s="1" t="str">
        <f t="shared" si="3245"/>
        <v>X</v>
      </c>
      <c r="L14204" s="1" t="str">
        <f t="shared" si="3245"/>
        <v>X</v>
      </c>
      <c r="M14204" s="1" t="str">
        <f t="shared" si="3245"/>
        <v>X</v>
      </c>
      <c r="N14204" t="s">
        <v>27</v>
      </c>
    </row>
    <row r="14205" spans="1:14" x14ac:dyDescent="0.25">
      <c r="A14205" t="s">
        <v>45</v>
      </c>
      <c r="B14205" t="s">
        <v>39</v>
      </c>
      <c r="C14205" t="s">
        <v>35</v>
      </c>
      <c r="D14205" t="s">
        <v>28</v>
      </c>
      <c r="E14205" t="s">
        <v>15</v>
      </c>
      <c r="F14205" t="s">
        <v>19</v>
      </c>
      <c r="G14205" s="1" t="str">
        <f t="shared" si="3245"/>
        <v>X</v>
      </c>
      <c r="H14205" s="1" t="str">
        <f t="shared" si="3245"/>
        <v>X</v>
      </c>
      <c r="I14205" s="1" t="str">
        <f t="shared" si="3245"/>
        <v>X</v>
      </c>
      <c r="J14205" s="1" t="str">
        <f t="shared" si="3245"/>
        <v>X</v>
      </c>
      <c r="K14205" s="1" t="str">
        <f t="shared" si="3245"/>
        <v>X</v>
      </c>
      <c r="L14205" s="1" t="str">
        <f t="shared" si="3245"/>
        <v>X</v>
      </c>
      <c r="M14205" s="1" t="str">
        <f t="shared" si="3245"/>
        <v>X</v>
      </c>
      <c r="N14205" t="s">
        <v>27</v>
      </c>
    </row>
    <row r="14206" spans="1:14" x14ac:dyDescent="0.25">
      <c r="A14206" t="s">
        <v>45</v>
      </c>
      <c r="B14206" t="s">
        <v>39</v>
      </c>
      <c r="C14206" t="s">
        <v>35</v>
      </c>
      <c r="D14206" t="s">
        <v>28</v>
      </c>
      <c r="E14206" t="s">
        <v>15</v>
      </c>
      <c r="F14206" t="s">
        <v>20</v>
      </c>
      <c r="G14206" s="2">
        <f>VALUE(1220.8)</f>
        <v>1220.8</v>
      </c>
      <c r="H14206" s="3">
        <f>VALUE(1135.5)</f>
        <v>1135.5</v>
      </c>
      <c r="I14206" s="1">
        <f>VALUE(3293)</f>
        <v>3293</v>
      </c>
      <c r="J14206" s="1">
        <f>VALUE(3750)</f>
        <v>3750</v>
      </c>
      <c r="K14206" s="1">
        <f>VALUE(4178)</f>
        <v>4178</v>
      </c>
      <c r="L14206" s="1">
        <f>VALUE(4917)</f>
        <v>4917</v>
      </c>
      <c r="M14206" s="8">
        <f>VALUE(6828)</f>
        <v>6828</v>
      </c>
      <c r="N14206" t="s">
        <v>25</v>
      </c>
    </row>
    <row r="14207" spans="1:14" x14ac:dyDescent="0.25">
      <c r="A14207" t="s">
        <v>45</v>
      </c>
      <c r="B14207" t="s">
        <v>39</v>
      </c>
      <c r="C14207" t="s">
        <v>35</v>
      </c>
      <c r="D14207" t="s">
        <v>28</v>
      </c>
      <c r="E14207" t="s">
        <v>21</v>
      </c>
      <c r="F14207" t="s">
        <v>15</v>
      </c>
      <c r="G14207" s="1" t="str">
        <f t="shared" ref="G14207:M14211" si="3246">"X"</f>
        <v>X</v>
      </c>
      <c r="H14207" s="1" t="str">
        <f t="shared" si="3246"/>
        <v>X</v>
      </c>
      <c r="I14207" s="1" t="str">
        <f t="shared" si="3246"/>
        <v>X</v>
      </c>
      <c r="J14207" s="1" t="str">
        <f t="shared" si="3246"/>
        <v>X</v>
      </c>
      <c r="K14207" s="1" t="str">
        <f t="shared" si="3246"/>
        <v>X</v>
      </c>
      <c r="L14207" s="1" t="str">
        <f t="shared" si="3246"/>
        <v>X</v>
      </c>
      <c r="M14207" s="1" t="str">
        <f t="shared" si="3246"/>
        <v>X</v>
      </c>
      <c r="N14207" t="s">
        <v>27</v>
      </c>
    </row>
    <row r="14208" spans="1:14" x14ac:dyDescent="0.25">
      <c r="A14208" t="s">
        <v>45</v>
      </c>
      <c r="B14208" t="s">
        <v>39</v>
      </c>
      <c r="C14208" t="s">
        <v>35</v>
      </c>
      <c r="D14208" t="s">
        <v>28</v>
      </c>
      <c r="E14208" t="s">
        <v>21</v>
      </c>
      <c r="F14208" t="s">
        <v>17</v>
      </c>
      <c r="G14208" s="1" t="str">
        <f t="shared" si="3246"/>
        <v>X</v>
      </c>
      <c r="H14208" s="1" t="str">
        <f t="shared" si="3246"/>
        <v>X</v>
      </c>
      <c r="I14208" s="1" t="str">
        <f t="shared" si="3246"/>
        <v>X</v>
      </c>
      <c r="J14208" s="1" t="str">
        <f t="shared" si="3246"/>
        <v>X</v>
      </c>
      <c r="K14208" s="1" t="str">
        <f t="shared" si="3246"/>
        <v>X</v>
      </c>
      <c r="L14208" s="1" t="str">
        <f t="shared" si="3246"/>
        <v>X</v>
      </c>
      <c r="M14208" s="1" t="str">
        <f t="shared" si="3246"/>
        <v>X</v>
      </c>
      <c r="N14208" t="s">
        <v>27</v>
      </c>
    </row>
    <row r="14209" spans="1:14" x14ac:dyDescent="0.25">
      <c r="A14209" t="s">
        <v>45</v>
      </c>
      <c r="B14209" t="s">
        <v>39</v>
      </c>
      <c r="C14209" t="s">
        <v>35</v>
      </c>
      <c r="D14209" t="s">
        <v>28</v>
      </c>
      <c r="E14209" t="s">
        <v>21</v>
      </c>
      <c r="F14209" t="s">
        <v>18</v>
      </c>
      <c r="G14209" s="1" t="str">
        <f t="shared" si="3246"/>
        <v>X</v>
      </c>
      <c r="H14209" s="1" t="str">
        <f t="shared" si="3246"/>
        <v>X</v>
      </c>
      <c r="I14209" s="1" t="str">
        <f t="shared" si="3246"/>
        <v>X</v>
      </c>
      <c r="J14209" s="1" t="str">
        <f t="shared" si="3246"/>
        <v>X</v>
      </c>
      <c r="K14209" s="1" t="str">
        <f t="shared" si="3246"/>
        <v>X</v>
      </c>
      <c r="L14209" s="1" t="str">
        <f t="shared" si="3246"/>
        <v>X</v>
      </c>
      <c r="M14209" s="1" t="str">
        <f t="shared" si="3246"/>
        <v>X</v>
      </c>
      <c r="N14209" t="s">
        <v>27</v>
      </c>
    </row>
    <row r="14210" spans="1:14" x14ac:dyDescent="0.25">
      <c r="A14210" t="s">
        <v>45</v>
      </c>
      <c r="B14210" t="s">
        <v>39</v>
      </c>
      <c r="C14210" t="s">
        <v>35</v>
      </c>
      <c r="D14210" t="s">
        <v>28</v>
      </c>
      <c r="E14210" t="s">
        <v>21</v>
      </c>
      <c r="F14210" t="s">
        <v>19</v>
      </c>
      <c r="G14210" s="1" t="str">
        <f t="shared" si="3246"/>
        <v>X</v>
      </c>
      <c r="H14210" s="1" t="str">
        <f t="shared" si="3246"/>
        <v>X</v>
      </c>
      <c r="I14210" s="1" t="str">
        <f t="shared" si="3246"/>
        <v>X</v>
      </c>
      <c r="J14210" s="1" t="str">
        <f t="shared" si="3246"/>
        <v>X</v>
      </c>
      <c r="K14210" s="1" t="str">
        <f t="shared" si="3246"/>
        <v>X</v>
      </c>
      <c r="L14210" s="1" t="str">
        <f t="shared" si="3246"/>
        <v>X</v>
      </c>
      <c r="M14210" s="1" t="str">
        <f t="shared" si="3246"/>
        <v>X</v>
      </c>
      <c r="N14210" t="s">
        <v>27</v>
      </c>
    </row>
    <row r="14211" spans="1:14" x14ac:dyDescent="0.25">
      <c r="A14211" t="s">
        <v>45</v>
      </c>
      <c r="B14211" t="s">
        <v>39</v>
      </c>
      <c r="C14211" t="s">
        <v>35</v>
      </c>
      <c r="D14211" t="s">
        <v>28</v>
      </c>
      <c r="E14211" t="s">
        <v>21</v>
      </c>
      <c r="F14211" t="s">
        <v>20</v>
      </c>
      <c r="G14211" s="1" t="str">
        <f t="shared" si="3246"/>
        <v>X</v>
      </c>
      <c r="H14211" s="1" t="str">
        <f t="shared" si="3246"/>
        <v>X</v>
      </c>
      <c r="I14211" s="1" t="str">
        <f t="shared" si="3246"/>
        <v>X</v>
      </c>
      <c r="J14211" s="1" t="str">
        <f t="shared" si="3246"/>
        <v>X</v>
      </c>
      <c r="K14211" s="1" t="str">
        <f t="shared" si="3246"/>
        <v>X</v>
      </c>
      <c r="L14211" s="1" t="str">
        <f t="shared" si="3246"/>
        <v>X</v>
      </c>
      <c r="M14211" s="1" t="str">
        <f t="shared" si="3246"/>
        <v>X</v>
      </c>
      <c r="N14211" t="s">
        <v>27</v>
      </c>
    </row>
    <row r="14212" spans="1:14" x14ac:dyDescent="0.25">
      <c r="A14212" t="s">
        <v>45</v>
      </c>
      <c r="B14212" t="s">
        <v>39</v>
      </c>
      <c r="C14212" t="s">
        <v>35</v>
      </c>
      <c r="D14212" t="s">
        <v>28</v>
      </c>
      <c r="E14212" t="s">
        <v>22</v>
      </c>
      <c r="F14212" t="s">
        <v>15</v>
      </c>
      <c r="G14212" s="2">
        <f>VALUE(934.89)</f>
        <v>934.89</v>
      </c>
      <c r="H14212" s="3">
        <f>VALUE(890)</f>
        <v>890</v>
      </c>
      <c r="I14212" s="1">
        <f>VALUE(3274)</f>
        <v>3274</v>
      </c>
      <c r="J14212" s="1">
        <f>VALUE(3619)</f>
        <v>3619</v>
      </c>
      <c r="K14212" s="1">
        <f>VALUE(4230)</f>
        <v>4230</v>
      </c>
      <c r="L14212" s="1">
        <f>VALUE(4972)</f>
        <v>4972</v>
      </c>
      <c r="M14212" s="1">
        <f>VALUE(6828)</f>
        <v>6828</v>
      </c>
      <c r="N14212" t="s">
        <v>25</v>
      </c>
    </row>
    <row r="14213" spans="1:14" x14ac:dyDescent="0.25">
      <c r="A14213" t="s">
        <v>45</v>
      </c>
      <c r="B14213" t="s">
        <v>39</v>
      </c>
      <c r="C14213" t="s">
        <v>35</v>
      </c>
      <c r="D14213" t="s">
        <v>28</v>
      </c>
      <c r="E14213" t="s">
        <v>22</v>
      </c>
      <c r="F14213" t="s">
        <v>17</v>
      </c>
      <c r="G14213" s="1" t="str">
        <f t="shared" ref="G14213:M14215" si="3247">"X"</f>
        <v>X</v>
      </c>
      <c r="H14213" s="1" t="str">
        <f t="shared" si="3247"/>
        <v>X</v>
      </c>
      <c r="I14213" s="1" t="str">
        <f t="shared" si="3247"/>
        <v>X</v>
      </c>
      <c r="J14213" s="1" t="str">
        <f t="shared" si="3247"/>
        <v>X</v>
      </c>
      <c r="K14213" s="1" t="str">
        <f t="shared" si="3247"/>
        <v>X</v>
      </c>
      <c r="L14213" s="1" t="str">
        <f t="shared" si="3247"/>
        <v>X</v>
      </c>
      <c r="M14213" s="1" t="str">
        <f t="shared" si="3247"/>
        <v>X</v>
      </c>
      <c r="N14213" t="s">
        <v>27</v>
      </c>
    </row>
    <row r="14214" spans="1:14" x14ac:dyDescent="0.25">
      <c r="A14214" t="s">
        <v>45</v>
      </c>
      <c r="B14214" t="s">
        <v>39</v>
      </c>
      <c r="C14214" t="s">
        <v>35</v>
      </c>
      <c r="D14214" t="s">
        <v>28</v>
      </c>
      <c r="E14214" t="s">
        <v>22</v>
      </c>
      <c r="F14214" t="s">
        <v>18</v>
      </c>
      <c r="G14214" s="1" t="str">
        <f t="shared" si="3247"/>
        <v>X</v>
      </c>
      <c r="H14214" s="1" t="str">
        <f t="shared" si="3247"/>
        <v>X</v>
      </c>
      <c r="I14214" s="1" t="str">
        <f t="shared" si="3247"/>
        <v>X</v>
      </c>
      <c r="J14214" s="1" t="str">
        <f t="shared" si="3247"/>
        <v>X</v>
      </c>
      <c r="K14214" s="1" t="str">
        <f t="shared" si="3247"/>
        <v>X</v>
      </c>
      <c r="L14214" s="1" t="str">
        <f t="shared" si="3247"/>
        <v>X</v>
      </c>
      <c r="M14214" s="1" t="str">
        <f t="shared" si="3247"/>
        <v>X</v>
      </c>
      <c r="N14214" t="s">
        <v>27</v>
      </c>
    </row>
    <row r="14215" spans="1:14" x14ac:dyDescent="0.25">
      <c r="A14215" t="s">
        <v>45</v>
      </c>
      <c r="B14215" t="s">
        <v>39</v>
      </c>
      <c r="C14215" t="s">
        <v>35</v>
      </c>
      <c r="D14215" t="s">
        <v>28</v>
      </c>
      <c r="E14215" t="s">
        <v>22</v>
      </c>
      <c r="F14215" t="s">
        <v>19</v>
      </c>
      <c r="G14215" s="1" t="str">
        <f t="shared" si="3247"/>
        <v>X</v>
      </c>
      <c r="H14215" s="1" t="str">
        <f t="shared" si="3247"/>
        <v>X</v>
      </c>
      <c r="I14215" s="1" t="str">
        <f t="shared" si="3247"/>
        <v>X</v>
      </c>
      <c r="J14215" s="1" t="str">
        <f t="shared" si="3247"/>
        <v>X</v>
      </c>
      <c r="K14215" s="1" t="str">
        <f t="shared" si="3247"/>
        <v>X</v>
      </c>
      <c r="L14215" s="1" t="str">
        <f t="shared" si="3247"/>
        <v>X</v>
      </c>
      <c r="M14215" s="1" t="str">
        <f t="shared" si="3247"/>
        <v>X</v>
      </c>
      <c r="N14215" t="s">
        <v>27</v>
      </c>
    </row>
    <row r="14216" spans="1:14" x14ac:dyDescent="0.25">
      <c r="A14216" t="s">
        <v>45</v>
      </c>
      <c r="B14216" t="s">
        <v>39</v>
      </c>
      <c r="C14216" t="s">
        <v>35</v>
      </c>
      <c r="D14216" t="s">
        <v>28</v>
      </c>
      <c r="E14216" t="s">
        <v>22</v>
      </c>
      <c r="F14216" t="s">
        <v>20</v>
      </c>
      <c r="G14216" s="2">
        <f>VALUE(791.73)</f>
        <v>791.73</v>
      </c>
      <c r="H14216" s="3">
        <f>VALUE(747.32)</f>
        <v>747.32</v>
      </c>
      <c r="I14216" s="4">
        <f>VALUE(3293)</f>
        <v>3293</v>
      </c>
      <c r="J14216" s="1">
        <f>VALUE(3619)</f>
        <v>3619</v>
      </c>
      <c r="K14216" s="1">
        <f>VALUE(4264)</f>
        <v>4264</v>
      </c>
      <c r="L14216" s="1">
        <f>VALUE(4972)</f>
        <v>4972</v>
      </c>
      <c r="M14216" s="1">
        <f>VALUE(6828)</f>
        <v>6828</v>
      </c>
      <c r="N14216" t="s">
        <v>25</v>
      </c>
    </row>
    <row r="14217" spans="1:14" x14ac:dyDescent="0.25">
      <c r="A14217" t="s">
        <v>45</v>
      </c>
      <c r="B14217" t="s">
        <v>39</v>
      </c>
      <c r="C14217" t="s">
        <v>35</v>
      </c>
      <c r="D14217" t="s">
        <v>28</v>
      </c>
      <c r="E14217" t="s">
        <v>23</v>
      </c>
      <c r="F14217" t="s">
        <v>15</v>
      </c>
      <c r="G14217" s="2">
        <f>VALUE(204.49)</f>
        <v>204.49</v>
      </c>
      <c r="H14217" s="3">
        <f>VALUE(160.57)</f>
        <v>160.57</v>
      </c>
      <c r="I14217" s="4">
        <f>VALUE(1568)</f>
        <v>1568</v>
      </c>
      <c r="J14217" s="5">
        <f>VALUE(3347)</f>
        <v>3347</v>
      </c>
      <c r="K14217" s="1">
        <f>VALUE(4050)</f>
        <v>4050</v>
      </c>
      <c r="L14217" s="7">
        <f>VALUE(5010)</f>
        <v>5010</v>
      </c>
      <c r="M14217" s="8">
        <f>VALUE(9600)</f>
        <v>9600</v>
      </c>
      <c r="N14217" t="s">
        <v>25</v>
      </c>
    </row>
    <row r="14218" spans="1:14" x14ac:dyDescent="0.25">
      <c r="A14218" t="s">
        <v>45</v>
      </c>
      <c r="B14218" t="s">
        <v>39</v>
      </c>
      <c r="C14218" t="s">
        <v>35</v>
      </c>
      <c r="D14218" t="s">
        <v>28</v>
      </c>
      <c r="E14218" t="s">
        <v>23</v>
      </c>
      <c r="F14218" t="s">
        <v>17</v>
      </c>
      <c r="G14218" s="1" t="str">
        <f t="shared" ref="G14218:M14218" si="3248">"X"</f>
        <v>X</v>
      </c>
      <c r="H14218" s="1" t="str">
        <f t="shared" si="3248"/>
        <v>X</v>
      </c>
      <c r="I14218" s="1" t="str">
        <f t="shared" si="3248"/>
        <v>X</v>
      </c>
      <c r="J14218" s="1" t="str">
        <f t="shared" si="3248"/>
        <v>X</v>
      </c>
      <c r="K14218" s="1" t="str">
        <f t="shared" si="3248"/>
        <v>X</v>
      </c>
      <c r="L14218" s="1" t="str">
        <f t="shared" si="3248"/>
        <v>X</v>
      </c>
      <c r="M14218" s="1" t="str">
        <f t="shared" si="3248"/>
        <v>X</v>
      </c>
      <c r="N14218" t="s">
        <v>27</v>
      </c>
    </row>
    <row r="14219" spans="1:14" x14ac:dyDescent="0.25">
      <c r="A14219" t="s">
        <v>45</v>
      </c>
      <c r="B14219" t="s">
        <v>39</v>
      </c>
      <c r="C14219" t="s">
        <v>35</v>
      </c>
      <c r="D14219" t="s">
        <v>28</v>
      </c>
      <c r="E14219" t="s">
        <v>23</v>
      </c>
      <c r="F14219" t="s">
        <v>18</v>
      </c>
      <c r="G14219" s="1" t="str">
        <f t="shared" ref="G14219:M14220" si="3249">"..."</f>
        <v>...</v>
      </c>
      <c r="H14219" s="1" t="str">
        <f t="shared" si="3249"/>
        <v>...</v>
      </c>
      <c r="I14219" s="1" t="str">
        <f t="shared" si="3249"/>
        <v>...</v>
      </c>
      <c r="J14219" s="1" t="str">
        <f t="shared" si="3249"/>
        <v>...</v>
      </c>
      <c r="K14219" s="1" t="str">
        <f t="shared" si="3249"/>
        <v>...</v>
      </c>
      <c r="L14219" s="1" t="str">
        <f t="shared" si="3249"/>
        <v>...</v>
      </c>
      <c r="M14219" s="1" t="str">
        <f t="shared" si="3249"/>
        <v>...</v>
      </c>
      <c r="N14219" t="s">
        <v>30</v>
      </c>
    </row>
    <row r="14220" spans="1:14" x14ac:dyDescent="0.25">
      <c r="A14220" t="s">
        <v>45</v>
      </c>
      <c r="B14220" t="s">
        <v>39</v>
      </c>
      <c r="C14220" t="s">
        <v>35</v>
      </c>
      <c r="D14220" t="s">
        <v>28</v>
      </c>
      <c r="E14220" t="s">
        <v>23</v>
      </c>
      <c r="F14220" t="s">
        <v>19</v>
      </c>
      <c r="G14220" s="1" t="str">
        <f t="shared" si="3249"/>
        <v>...</v>
      </c>
      <c r="H14220" s="1" t="str">
        <f t="shared" si="3249"/>
        <v>...</v>
      </c>
      <c r="I14220" s="1" t="str">
        <f t="shared" si="3249"/>
        <v>...</v>
      </c>
      <c r="J14220" s="1" t="str">
        <f t="shared" si="3249"/>
        <v>...</v>
      </c>
      <c r="K14220" s="1" t="str">
        <f t="shared" si="3249"/>
        <v>...</v>
      </c>
      <c r="L14220" s="1" t="str">
        <f t="shared" si="3249"/>
        <v>...</v>
      </c>
      <c r="M14220" s="1" t="str">
        <f t="shared" si="3249"/>
        <v>...</v>
      </c>
      <c r="N14220" t="s">
        <v>30</v>
      </c>
    </row>
    <row r="14221" spans="1:14" x14ac:dyDescent="0.25">
      <c r="A14221" t="s">
        <v>45</v>
      </c>
      <c r="B14221" t="s">
        <v>39</v>
      </c>
      <c r="C14221" t="s">
        <v>35</v>
      </c>
      <c r="D14221" t="s">
        <v>28</v>
      </c>
      <c r="E14221" t="s">
        <v>23</v>
      </c>
      <c r="F14221" t="s">
        <v>20</v>
      </c>
      <c r="G14221" s="2">
        <f>VALUE(202.69)</f>
        <v>202.69</v>
      </c>
      <c r="H14221" s="3">
        <f>VALUE(159.84)</f>
        <v>159.84</v>
      </c>
      <c r="I14221" s="4">
        <f>VALUE(1568)</f>
        <v>1568</v>
      </c>
      <c r="J14221" s="5">
        <f>VALUE(3347)</f>
        <v>3347</v>
      </c>
      <c r="K14221" s="1">
        <f>VALUE(4050)</f>
        <v>4050</v>
      </c>
      <c r="L14221" s="7">
        <f>VALUE(5010)</f>
        <v>5010</v>
      </c>
      <c r="M14221" s="8">
        <f>VALUE(9600)</f>
        <v>9600</v>
      </c>
      <c r="N14221" t="s">
        <v>25</v>
      </c>
    </row>
    <row r="14222" spans="1:14" x14ac:dyDescent="0.25">
      <c r="A14222" t="s">
        <v>45</v>
      </c>
      <c r="B14222" t="s">
        <v>39</v>
      </c>
      <c r="C14222" t="s">
        <v>35</v>
      </c>
      <c r="D14222" t="s">
        <v>28</v>
      </c>
      <c r="E14222" t="s">
        <v>26</v>
      </c>
      <c r="F14222" t="s">
        <v>15</v>
      </c>
      <c r="G14222" s="1" t="str">
        <f t="shared" ref="G14222:M14222" si="3250">"X"</f>
        <v>X</v>
      </c>
      <c r="H14222" s="1" t="str">
        <f t="shared" si="3250"/>
        <v>X</v>
      </c>
      <c r="I14222" s="1" t="str">
        <f t="shared" si="3250"/>
        <v>X</v>
      </c>
      <c r="J14222" s="1" t="str">
        <f t="shared" si="3250"/>
        <v>X</v>
      </c>
      <c r="K14222" s="1" t="str">
        <f t="shared" si="3250"/>
        <v>X</v>
      </c>
      <c r="L14222" s="1" t="str">
        <f t="shared" si="3250"/>
        <v>X</v>
      </c>
      <c r="M14222" s="1" t="str">
        <f t="shared" si="3250"/>
        <v>X</v>
      </c>
      <c r="N14222" t="s">
        <v>27</v>
      </c>
    </row>
    <row r="14223" spans="1:14" x14ac:dyDescent="0.25">
      <c r="A14223" t="s">
        <v>45</v>
      </c>
      <c r="B14223" t="s">
        <v>39</v>
      </c>
      <c r="C14223" t="s">
        <v>35</v>
      </c>
      <c r="D14223" t="s">
        <v>28</v>
      </c>
      <c r="E14223" t="s">
        <v>26</v>
      </c>
      <c r="F14223" t="s">
        <v>17</v>
      </c>
      <c r="G14223" s="1" t="str">
        <f t="shared" ref="G14223:M14225" si="3251">"..."</f>
        <v>...</v>
      </c>
      <c r="H14223" s="1" t="str">
        <f t="shared" si="3251"/>
        <v>...</v>
      </c>
      <c r="I14223" s="1" t="str">
        <f t="shared" si="3251"/>
        <v>...</v>
      </c>
      <c r="J14223" s="1" t="str">
        <f t="shared" si="3251"/>
        <v>...</v>
      </c>
      <c r="K14223" s="1" t="str">
        <f t="shared" si="3251"/>
        <v>...</v>
      </c>
      <c r="L14223" s="1" t="str">
        <f t="shared" si="3251"/>
        <v>...</v>
      </c>
      <c r="M14223" s="1" t="str">
        <f t="shared" si="3251"/>
        <v>...</v>
      </c>
      <c r="N14223" t="s">
        <v>30</v>
      </c>
    </row>
    <row r="14224" spans="1:14" x14ac:dyDescent="0.25">
      <c r="A14224" t="s">
        <v>45</v>
      </c>
      <c r="B14224" t="s">
        <v>39</v>
      </c>
      <c r="C14224" t="s">
        <v>35</v>
      </c>
      <c r="D14224" t="s">
        <v>28</v>
      </c>
      <c r="E14224" t="s">
        <v>26</v>
      </c>
      <c r="F14224" t="s">
        <v>18</v>
      </c>
      <c r="G14224" s="1" t="str">
        <f t="shared" si="3251"/>
        <v>...</v>
      </c>
      <c r="H14224" s="1" t="str">
        <f t="shared" si="3251"/>
        <v>...</v>
      </c>
      <c r="I14224" s="1" t="str">
        <f t="shared" si="3251"/>
        <v>...</v>
      </c>
      <c r="J14224" s="1" t="str">
        <f t="shared" si="3251"/>
        <v>...</v>
      </c>
      <c r="K14224" s="1" t="str">
        <f t="shared" si="3251"/>
        <v>...</v>
      </c>
      <c r="L14224" s="1" t="str">
        <f t="shared" si="3251"/>
        <v>...</v>
      </c>
      <c r="M14224" s="1" t="str">
        <f t="shared" si="3251"/>
        <v>...</v>
      </c>
      <c r="N14224" t="s">
        <v>30</v>
      </c>
    </row>
    <row r="14225" spans="1:14" x14ac:dyDescent="0.25">
      <c r="A14225" t="s">
        <v>45</v>
      </c>
      <c r="B14225" t="s">
        <v>39</v>
      </c>
      <c r="C14225" t="s">
        <v>35</v>
      </c>
      <c r="D14225" t="s">
        <v>28</v>
      </c>
      <c r="E14225" t="s">
        <v>26</v>
      </c>
      <c r="F14225" t="s">
        <v>19</v>
      </c>
      <c r="G14225" s="1" t="str">
        <f t="shared" si="3251"/>
        <v>...</v>
      </c>
      <c r="H14225" s="1" t="str">
        <f t="shared" si="3251"/>
        <v>...</v>
      </c>
      <c r="I14225" s="1" t="str">
        <f t="shared" si="3251"/>
        <v>...</v>
      </c>
      <c r="J14225" s="1" t="str">
        <f t="shared" si="3251"/>
        <v>...</v>
      </c>
      <c r="K14225" s="1" t="str">
        <f t="shared" si="3251"/>
        <v>...</v>
      </c>
      <c r="L14225" s="1" t="str">
        <f t="shared" si="3251"/>
        <v>...</v>
      </c>
      <c r="M14225" s="1" t="str">
        <f t="shared" si="3251"/>
        <v>...</v>
      </c>
      <c r="N14225" t="s">
        <v>30</v>
      </c>
    </row>
    <row r="14226" spans="1:14" x14ac:dyDescent="0.25">
      <c r="A14226" t="s">
        <v>45</v>
      </c>
      <c r="B14226" t="s">
        <v>39</v>
      </c>
      <c r="C14226" t="s">
        <v>35</v>
      </c>
      <c r="D14226" t="s">
        <v>28</v>
      </c>
      <c r="E14226" t="s">
        <v>26</v>
      </c>
      <c r="F14226" t="s">
        <v>20</v>
      </c>
      <c r="G14226" s="1" t="str">
        <f t="shared" ref="G14226:M14226" si="3252">"X"</f>
        <v>X</v>
      </c>
      <c r="H14226" s="1" t="str">
        <f t="shared" si="3252"/>
        <v>X</v>
      </c>
      <c r="I14226" s="1" t="str">
        <f t="shared" si="3252"/>
        <v>X</v>
      </c>
      <c r="J14226" s="1" t="str">
        <f t="shared" si="3252"/>
        <v>X</v>
      </c>
      <c r="K14226" s="1" t="str">
        <f t="shared" si="3252"/>
        <v>X</v>
      </c>
      <c r="L14226" s="1" t="str">
        <f t="shared" si="3252"/>
        <v>X</v>
      </c>
      <c r="M14226" s="1" t="str">
        <f t="shared" si="3252"/>
        <v>X</v>
      </c>
      <c r="N14226" t="s">
        <v>27</v>
      </c>
    </row>
    <row r="14227" spans="1:14" x14ac:dyDescent="0.25">
      <c r="A14227" t="s">
        <v>45</v>
      </c>
      <c r="B14227" t="s">
        <v>39</v>
      </c>
      <c r="C14227" t="s">
        <v>35</v>
      </c>
      <c r="D14227" t="s">
        <v>29</v>
      </c>
      <c r="E14227" t="s">
        <v>15</v>
      </c>
      <c r="F14227" t="s">
        <v>15</v>
      </c>
      <c r="G14227" s="2">
        <f>VALUE(191.68)</f>
        <v>191.68</v>
      </c>
      <c r="H14227" s="3">
        <f>VALUE(182.15)</f>
        <v>182.15</v>
      </c>
      <c r="I14227" s="4">
        <f>VALUE(3177)</f>
        <v>3177</v>
      </c>
      <c r="J14227" s="1">
        <f>VALUE(3544)</f>
        <v>3544</v>
      </c>
      <c r="K14227" s="1">
        <f>VALUE(4195)</f>
        <v>4195</v>
      </c>
      <c r="L14227" s="1">
        <f>VALUE(4767)</f>
        <v>4767</v>
      </c>
      <c r="M14227" s="1">
        <f>VALUE(5159)</f>
        <v>5159</v>
      </c>
      <c r="N14227" t="s">
        <v>25</v>
      </c>
    </row>
    <row r="14228" spans="1:14" x14ac:dyDescent="0.25">
      <c r="A14228" t="s">
        <v>45</v>
      </c>
      <c r="B14228" t="s">
        <v>39</v>
      </c>
      <c r="C14228" t="s">
        <v>35</v>
      </c>
      <c r="D14228" t="s">
        <v>29</v>
      </c>
      <c r="E14228" t="s">
        <v>15</v>
      </c>
      <c r="F14228" t="s">
        <v>17</v>
      </c>
      <c r="G14228" s="1" t="str">
        <f t="shared" ref="G14228:M14237" si="3253">"X"</f>
        <v>X</v>
      </c>
      <c r="H14228" s="1" t="str">
        <f t="shared" si="3253"/>
        <v>X</v>
      </c>
      <c r="I14228" s="1" t="str">
        <f t="shared" si="3253"/>
        <v>X</v>
      </c>
      <c r="J14228" s="1" t="str">
        <f t="shared" si="3253"/>
        <v>X</v>
      </c>
      <c r="K14228" s="1" t="str">
        <f t="shared" si="3253"/>
        <v>X</v>
      </c>
      <c r="L14228" s="1" t="str">
        <f t="shared" si="3253"/>
        <v>X</v>
      </c>
      <c r="M14228" s="1" t="str">
        <f t="shared" si="3253"/>
        <v>X</v>
      </c>
      <c r="N14228" t="s">
        <v>27</v>
      </c>
    </row>
    <row r="14229" spans="1:14" x14ac:dyDescent="0.25">
      <c r="A14229" t="s">
        <v>45</v>
      </c>
      <c r="B14229" t="s">
        <v>39</v>
      </c>
      <c r="C14229" t="s">
        <v>35</v>
      </c>
      <c r="D14229" t="s">
        <v>29</v>
      </c>
      <c r="E14229" t="s">
        <v>15</v>
      </c>
      <c r="F14229" t="s">
        <v>18</v>
      </c>
      <c r="G14229" s="1" t="str">
        <f t="shared" si="3253"/>
        <v>X</v>
      </c>
      <c r="H14229" s="1" t="str">
        <f t="shared" si="3253"/>
        <v>X</v>
      </c>
      <c r="I14229" s="1" t="str">
        <f t="shared" si="3253"/>
        <v>X</v>
      </c>
      <c r="J14229" s="1" t="str">
        <f t="shared" si="3253"/>
        <v>X</v>
      </c>
      <c r="K14229" s="1" t="str">
        <f t="shared" si="3253"/>
        <v>X</v>
      </c>
      <c r="L14229" s="1" t="str">
        <f t="shared" si="3253"/>
        <v>X</v>
      </c>
      <c r="M14229" s="1" t="str">
        <f t="shared" si="3253"/>
        <v>X</v>
      </c>
      <c r="N14229" t="s">
        <v>27</v>
      </c>
    </row>
    <row r="14230" spans="1:14" x14ac:dyDescent="0.25">
      <c r="A14230" t="s">
        <v>45</v>
      </c>
      <c r="B14230" t="s">
        <v>39</v>
      </c>
      <c r="C14230" t="s">
        <v>35</v>
      </c>
      <c r="D14230" t="s">
        <v>29</v>
      </c>
      <c r="E14230" t="s">
        <v>15</v>
      </c>
      <c r="F14230" t="s">
        <v>19</v>
      </c>
      <c r="G14230" s="1" t="str">
        <f t="shared" si="3253"/>
        <v>X</v>
      </c>
      <c r="H14230" s="1" t="str">
        <f t="shared" si="3253"/>
        <v>X</v>
      </c>
      <c r="I14230" s="1" t="str">
        <f t="shared" si="3253"/>
        <v>X</v>
      </c>
      <c r="J14230" s="1" t="str">
        <f t="shared" si="3253"/>
        <v>X</v>
      </c>
      <c r="K14230" s="1" t="str">
        <f t="shared" si="3253"/>
        <v>X</v>
      </c>
      <c r="L14230" s="1" t="str">
        <f t="shared" si="3253"/>
        <v>X</v>
      </c>
      <c r="M14230" s="1" t="str">
        <f t="shared" si="3253"/>
        <v>X</v>
      </c>
      <c r="N14230" t="s">
        <v>27</v>
      </c>
    </row>
    <row r="14231" spans="1:14" x14ac:dyDescent="0.25">
      <c r="A14231" t="s">
        <v>45</v>
      </c>
      <c r="B14231" t="s">
        <v>39</v>
      </c>
      <c r="C14231" t="s">
        <v>35</v>
      </c>
      <c r="D14231" t="s">
        <v>29</v>
      </c>
      <c r="E14231" t="s">
        <v>15</v>
      </c>
      <c r="F14231" t="s">
        <v>20</v>
      </c>
      <c r="G14231" s="1" t="str">
        <f t="shared" si="3253"/>
        <v>X</v>
      </c>
      <c r="H14231" s="1" t="str">
        <f t="shared" si="3253"/>
        <v>X</v>
      </c>
      <c r="I14231" s="1" t="str">
        <f t="shared" si="3253"/>
        <v>X</v>
      </c>
      <c r="J14231" s="1" t="str">
        <f t="shared" si="3253"/>
        <v>X</v>
      </c>
      <c r="K14231" s="1" t="str">
        <f t="shared" si="3253"/>
        <v>X</v>
      </c>
      <c r="L14231" s="1" t="str">
        <f t="shared" si="3253"/>
        <v>X</v>
      </c>
      <c r="M14231" s="1" t="str">
        <f t="shared" si="3253"/>
        <v>X</v>
      </c>
      <c r="N14231" t="s">
        <v>27</v>
      </c>
    </row>
    <row r="14232" spans="1:14" x14ac:dyDescent="0.25">
      <c r="A14232" t="s">
        <v>45</v>
      </c>
      <c r="B14232" t="s">
        <v>39</v>
      </c>
      <c r="C14232" t="s">
        <v>35</v>
      </c>
      <c r="D14232" t="s">
        <v>29</v>
      </c>
      <c r="E14232" t="s">
        <v>21</v>
      </c>
      <c r="F14232" t="s">
        <v>15</v>
      </c>
      <c r="G14232" s="1" t="str">
        <f t="shared" si="3253"/>
        <v>X</v>
      </c>
      <c r="H14232" s="1" t="str">
        <f t="shared" si="3253"/>
        <v>X</v>
      </c>
      <c r="I14232" s="1" t="str">
        <f t="shared" si="3253"/>
        <v>X</v>
      </c>
      <c r="J14232" s="1" t="str">
        <f t="shared" si="3253"/>
        <v>X</v>
      </c>
      <c r="K14232" s="1" t="str">
        <f t="shared" si="3253"/>
        <v>X</v>
      </c>
      <c r="L14232" s="1" t="str">
        <f t="shared" si="3253"/>
        <v>X</v>
      </c>
      <c r="M14232" s="1" t="str">
        <f t="shared" si="3253"/>
        <v>X</v>
      </c>
      <c r="N14232" t="s">
        <v>27</v>
      </c>
    </row>
    <row r="14233" spans="1:14" x14ac:dyDescent="0.25">
      <c r="A14233" t="s">
        <v>45</v>
      </c>
      <c r="B14233" t="s">
        <v>39</v>
      </c>
      <c r="C14233" t="s">
        <v>35</v>
      </c>
      <c r="D14233" t="s">
        <v>29</v>
      </c>
      <c r="E14233" t="s">
        <v>21</v>
      </c>
      <c r="F14233" t="s">
        <v>17</v>
      </c>
      <c r="G14233" s="1" t="str">
        <f t="shared" si="3253"/>
        <v>X</v>
      </c>
      <c r="H14233" s="1" t="str">
        <f t="shared" si="3253"/>
        <v>X</v>
      </c>
      <c r="I14233" s="1" t="str">
        <f t="shared" si="3253"/>
        <v>X</v>
      </c>
      <c r="J14233" s="1" t="str">
        <f t="shared" si="3253"/>
        <v>X</v>
      </c>
      <c r="K14233" s="1" t="str">
        <f t="shared" si="3253"/>
        <v>X</v>
      </c>
      <c r="L14233" s="1" t="str">
        <f t="shared" si="3253"/>
        <v>X</v>
      </c>
      <c r="M14233" s="1" t="str">
        <f t="shared" si="3253"/>
        <v>X</v>
      </c>
      <c r="N14233" t="s">
        <v>27</v>
      </c>
    </row>
    <row r="14234" spans="1:14" x14ac:dyDescent="0.25">
      <c r="A14234" t="s">
        <v>45</v>
      </c>
      <c r="B14234" t="s">
        <v>39</v>
      </c>
      <c r="C14234" t="s">
        <v>35</v>
      </c>
      <c r="D14234" t="s">
        <v>29</v>
      </c>
      <c r="E14234" t="s">
        <v>21</v>
      </c>
      <c r="F14234" t="s">
        <v>18</v>
      </c>
      <c r="G14234" s="1" t="str">
        <f t="shared" si="3253"/>
        <v>X</v>
      </c>
      <c r="H14234" s="1" t="str">
        <f t="shared" si="3253"/>
        <v>X</v>
      </c>
      <c r="I14234" s="1" t="str">
        <f t="shared" si="3253"/>
        <v>X</v>
      </c>
      <c r="J14234" s="1" t="str">
        <f t="shared" si="3253"/>
        <v>X</v>
      </c>
      <c r="K14234" s="1" t="str">
        <f t="shared" si="3253"/>
        <v>X</v>
      </c>
      <c r="L14234" s="1" t="str">
        <f t="shared" si="3253"/>
        <v>X</v>
      </c>
      <c r="M14234" s="1" t="str">
        <f t="shared" si="3253"/>
        <v>X</v>
      </c>
      <c r="N14234" t="s">
        <v>27</v>
      </c>
    </row>
    <row r="14235" spans="1:14" x14ac:dyDescent="0.25">
      <c r="A14235" t="s">
        <v>45</v>
      </c>
      <c r="B14235" t="s">
        <v>39</v>
      </c>
      <c r="C14235" t="s">
        <v>35</v>
      </c>
      <c r="D14235" t="s">
        <v>29</v>
      </c>
      <c r="E14235" t="s">
        <v>21</v>
      </c>
      <c r="F14235" t="s">
        <v>19</v>
      </c>
      <c r="G14235" s="1" t="str">
        <f t="shared" si="3253"/>
        <v>X</v>
      </c>
      <c r="H14235" s="1" t="str">
        <f t="shared" si="3253"/>
        <v>X</v>
      </c>
      <c r="I14235" s="1" t="str">
        <f t="shared" si="3253"/>
        <v>X</v>
      </c>
      <c r="J14235" s="1" t="str">
        <f t="shared" si="3253"/>
        <v>X</v>
      </c>
      <c r="K14235" s="1" t="str">
        <f t="shared" si="3253"/>
        <v>X</v>
      </c>
      <c r="L14235" s="1" t="str">
        <f t="shared" si="3253"/>
        <v>X</v>
      </c>
      <c r="M14235" s="1" t="str">
        <f t="shared" si="3253"/>
        <v>X</v>
      </c>
      <c r="N14235" t="s">
        <v>27</v>
      </c>
    </row>
    <row r="14236" spans="1:14" x14ac:dyDescent="0.25">
      <c r="A14236" t="s">
        <v>45</v>
      </c>
      <c r="B14236" t="s">
        <v>39</v>
      </c>
      <c r="C14236" t="s">
        <v>35</v>
      </c>
      <c r="D14236" t="s">
        <v>29</v>
      </c>
      <c r="E14236" t="s">
        <v>21</v>
      </c>
      <c r="F14236" t="s">
        <v>20</v>
      </c>
      <c r="G14236" s="1" t="str">
        <f t="shared" si="3253"/>
        <v>X</v>
      </c>
      <c r="H14236" s="1" t="str">
        <f t="shared" si="3253"/>
        <v>X</v>
      </c>
      <c r="I14236" s="1" t="str">
        <f t="shared" si="3253"/>
        <v>X</v>
      </c>
      <c r="J14236" s="1" t="str">
        <f t="shared" si="3253"/>
        <v>X</v>
      </c>
      <c r="K14236" s="1" t="str">
        <f t="shared" si="3253"/>
        <v>X</v>
      </c>
      <c r="L14236" s="1" t="str">
        <f t="shared" si="3253"/>
        <v>X</v>
      </c>
      <c r="M14236" s="1" t="str">
        <f t="shared" si="3253"/>
        <v>X</v>
      </c>
      <c r="N14236" t="s">
        <v>27</v>
      </c>
    </row>
    <row r="14237" spans="1:14" x14ac:dyDescent="0.25">
      <c r="A14237" t="s">
        <v>45</v>
      </c>
      <c r="B14237" t="s">
        <v>39</v>
      </c>
      <c r="C14237" t="s">
        <v>35</v>
      </c>
      <c r="D14237" t="s">
        <v>29</v>
      </c>
      <c r="E14237" t="s">
        <v>22</v>
      </c>
      <c r="F14237" t="s">
        <v>15</v>
      </c>
      <c r="G14237" s="1" t="str">
        <f t="shared" si="3253"/>
        <v>X</v>
      </c>
      <c r="H14237" s="1" t="str">
        <f t="shared" si="3253"/>
        <v>X</v>
      </c>
      <c r="I14237" s="1" t="str">
        <f t="shared" si="3253"/>
        <v>X</v>
      </c>
      <c r="J14237" s="1" t="str">
        <f t="shared" si="3253"/>
        <v>X</v>
      </c>
      <c r="K14237" s="1" t="str">
        <f t="shared" si="3253"/>
        <v>X</v>
      </c>
      <c r="L14237" s="1" t="str">
        <f t="shared" si="3253"/>
        <v>X</v>
      </c>
      <c r="M14237" s="1" t="str">
        <f t="shared" si="3253"/>
        <v>X</v>
      </c>
      <c r="N14237" t="s">
        <v>27</v>
      </c>
    </row>
    <row r="14238" spans="1:14" x14ac:dyDescent="0.25">
      <c r="A14238" t="s">
        <v>45</v>
      </c>
      <c r="B14238" t="s">
        <v>39</v>
      </c>
      <c r="C14238" t="s">
        <v>35</v>
      </c>
      <c r="D14238" t="s">
        <v>29</v>
      </c>
      <c r="E14238" t="s">
        <v>22</v>
      </c>
      <c r="F14238" t="s">
        <v>17</v>
      </c>
      <c r="G14238" s="1" t="str">
        <f t="shared" ref="G14238:M14238" si="3254">"..."</f>
        <v>...</v>
      </c>
      <c r="H14238" s="1" t="str">
        <f t="shared" si="3254"/>
        <v>...</v>
      </c>
      <c r="I14238" s="1" t="str">
        <f t="shared" si="3254"/>
        <v>...</v>
      </c>
      <c r="J14238" s="1" t="str">
        <f t="shared" si="3254"/>
        <v>...</v>
      </c>
      <c r="K14238" s="1" t="str">
        <f t="shared" si="3254"/>
        <v>...</v>
      </c>
      <c r="L14238" s="1" t="str">
        <f t="shared" si="3254"/>
        <v>...</v>
      </c>
      <c r="M14238" s="1" t="str">
        <f t="shared" si="3254"/>
        <v>...</v>
      </c>
      <c r="N14238" t="s">
        <v>30</v>
      </c>
    </row>
    <row r="14239" spans="1:14" x14ac:dyDescent="0.25">
      <c r="A14239" t="s">
        <v>45</v>
      </c>
      <c r="B14239" t="s">
        <v>39</v>
      </c>
      <c r="C14239" t="s">
        <v>35</v>
      </c>
      <c r="D14239" t="s">
        <v>29</v>
      </c>
      <c r="E14239" t="s">
        <v>22</v>
      </c>
      <c r="F14239" t="s">
        <v>18</v>
      </c>
      <c r="G14239" s="1" t="str">
        <f t="shared" ref="G14239:M14242" si="3255">"X"</f>
        <v>X</v>
      </c>
      <c r="H14239" s="1" t="str">
        <f t="shared" si="3255"/>
        <v>X</v>
      </c>
      <c r="I14239" s="1" t="str">
        <f t="shared" si="3255"/>
        <v>X</v>
      </c>
      <c r="J14239" s="1" t="str">
        <f t="shared" si="3255"/>
        <v>X</v>
      </c>
      <c r="K14239" s="1" t="str">
        <f t="shared" si="3255"/>
        <v>X</v>
      </c>
      <c r="L14239" s="1" t="str">
        <f t="shared" si="3255"/>
        <v>X</v>
      </c>
      <c r="M14239" s="1" t="str">
        <f t="shared" si="3255"/>
        <v>X</v>
      </c>
      <c r="N14239" t="s">
        <v>27</v>
      </c>
    </row>
    <row r="14240" spans="1:14" x14ac:dyDescent="0.25">
      <c r="A14240" t="s">
        <v>45</v>
      </c>
      <c r="B14240" t="s">
        <v>39</v>
      </c>
      <c r="C14240" t="s">
        <v>35</v>
      </c>
      <c r="D14240" t="s">
        <v>29</v>
      </c>
      <c r="E14240" t="s">
        <v>22</v>
      </c>
      <c r="F14240" t="s">
        <v>19</v>
      </c>
      <c r="G14240" s="1" t="str">
        <f t="shared" si="3255"/>
        <v>X</v>
      </c>
      <c r="H14240" s="1" t="str">
        <f t="shared" si="3255"/>
        <v>X</v>
      </c>
      <c r="I14240" s="1" t="str">
        <f t="shared" si="3255"/>
        <v>X</v>
      </c>
      <c r="J14240" s="1" t="str">
        <f t="shared" si="3255"/>
        <v>X</v>
      </c>
      <c r="K14240" s="1" t="str">
        <f t="shared" si="3255"/>
        <v>X</v>
      </c>
      <c r="L14240" s="1" t="str">
        <f t="shared" si="3255"/>
        <v>X</v>
      </c>
      <c r="M14240" s="1" t="str">
        <f t="shared" si="3255"/>
        <v>X</v>
      </c>
      <c r="N14240" t="s">
        <v>27</v>
      </c>
    </row>
    <row r="14241" spans="1:14" x14ac:dyDescent="0.25">
      <c r="A14241" t="s">
        <v>45</v>
      </c>
      <c r="B14241" t="s">
        <v>39</v>
      </c>
      <c r="C14241" t="s">
        <v>35</v>
      </c>
      <c r="D14241" t="s">
        <v>29</v>
      </c>
      <c r="E14241" t="s">
        <v>22</v>
      </c>
      <c r="F14241" t="s">
        <v>20</v>
      </c>
      <c r="G14241" s="1" t="str">
        <f t="shared" si="3255"/>
        <v>X</v>
      </c>
      <c r="H14241" s="1" t="str">
        <f t="shared" si="3255"/>
        <v>X</v>
      </c>
      <c r="I14241" s="1" t="str">
        <f t="shared" si="3255"/>
        <v>X</v>
      </c>
      <c r="J14241" s="1" t="str">
        <f t="shared" si="3255"/>
        <v>X</v>
      </c>
      <c r="K14241" s="1" t="str">
        <f t="shared" si="3255"/>
        <v>X</v>
      </c>
      <c r="L14241" s="1" t="str">
        <f t="shared" si="3255"/>
        <v>X</v>
      </c>
      <c r="M14241" s="1" t="str">
        <f t="shared" si="3255"/>
        <v>X</v>
      </c>
      <c r="N14241" t="s">
        <v>27</v>
      </c>
    </row>
    <row r="14242" spans="1:14" x14ac:dyDescent="0.25">
      <c r="A14242" t="s">
        <v>45</v>
      </c>
      <c r="B14242" t="s">
        <v>39</v>
      </c>
      <c r="C14242" t="s">
        <v>35</v>
      </c>
      <c r="D14242" t="s">
        <v>29</v>
      </c>
      <c r="E14242" t="s">
        <v>23</v>
      </c>
      <c r="F14242" t="s">
        <v>15</v>
      </c>
      <c r="G14242" s="1" t="str">
        <f t="shared" si="3255"/>
        <v>X</v>
      </c>
      <c r="H14242" s="1" t="str">
        <f t="shared" si="3255"/>
        <v>X</v>
      </c>
      <c r="I14242" s="1" t="str">
        <f t="shared" si="3255"/>
        <v>X</v>
      </c>
      <c r="J14242" s="1" t="str">
        <f t="shared" si="3255"/>
        <v>X</v>
      </c>
      <c r="K14242" s="1" t="str">
        <f t="shared" si="3255"/>
        <v>X</v>
      </c>
      <c r="L14242" s="1" t="str">
        <f t="shared" si="3255"/>
        <v>X</v>
      </c>
      <c r="M14242" s="1" t="str">
        <f t="shared" si="3255"/>
        <v>X</v>
      </c>
      <c r="N14242" t="s">
        <v>27</v>
      </c>
    </row>
    <row r="14243" spans="1:14" x14ac:dyDescent="0.25">
      <c r="A14243" t="s">
        <v>45</v>
      </c>
      <c r="B14243" t="s">
        <v>39</v>
      </c>
      <c r="C14243" t="s">
        <v>35</v>
      </c>
      <c r="D14243" t="s">
        <v>29</v>
      </c>
      <c r="E14243" t="s">
        <v>23</v>
      </c>
      <c r="F14243" t="s">
        <v>17</v>
      </c>
      <c r="G14243" s="1" t="str">
        <f t="shared" ref="G14243:M14244" si="3256">"..."</f>
        <v>...</v>
      </c>
      <c r="H14243" s="1" t="str">
        <f t="shared" si="3256"/>
        <v>...</v>
      </c>
      <c r="I14243" s="1" t="str">
        <f t="shared" si="3256"/>
        <v>...</v>
      </c>
      <c r="J14243" s="1" t="str">
        <f t="shared" si="3256"/>
        <v>...</v>
      </c>
      <c r="K14243" s="1" t="str">
        <f t="shared" si="3256"/>
        <v>...</v>
      </c>
      <c r="L14243" s="1" t="str">
        <f t="shared" si="3256"/>
        <v>...</v>
      </c>
      <c r="M14243" s="1" t="str">
        <f t="shared" si="3256"/>
        <v>...</v>
      </c>
      <c r="N14243" t="s">
        <v>30</v>
      </c>
    </row>
    <row r="14244" spans="1:14" x14ac:dyDescent="0.25">
      <c r="A14244" t="s">
        <v>45</v>
      </c>
      <c r="B14244" t="s">
        <v>39</v>
      </c>
      <c r="C14244" t="s">
        <v>35</v>
      </c>
      <c r="D14244" t="s">
        <v>29</v>
      </c>
      <c r="E14244" t="s">
        <v>23</v>
      </c>
      <c r="F14244" t="s">
        <v>18</v>
      </c>
      <c r="G14244" s="1" t="str">
        <f t="shared" si="3256"/>
        <v>...</v>
      </c>
      <c r="H14244" s="1" t="str">
        <f t="shared" si="3256"/>
        <v>...</v>
      </c>
      <c r="I14244" s="1" t="str">
        <f t="shared" si="3256"/>
        <v>...</v>
      </c>
      <c r="J14244" s="1" t="str">
        <f t="shared" si="3256"/>
        <v>...</v>
      </c>
      <c r="K14244" s="1" t="str">
        <f t="shared" si="3256"/>
        <v>...</v>
      </c>
      <c r="L14244" s="1" t="str">
        <f t="shared" si="3256"/>
        <v>...</v>
      </c>
      <c r="M14244" s="1" t="str">
        <f t="shared" si="3256"/>
        <v>...</v>
      </c>
      <c r="N14244" t="s">
        <v>30</v>
      </c>
    </row>
    <row r="14245" spans="1:14" x14ac:dyDescent="0.25">
      <c r="A14245" t="s">
        <v>45</v>
      </c>
      <c r="B14245" t="s">
        <v>39</v>
      </c>
      <c r="C14245" t="s">
        <v>35</v>
      </c>
      <c r="D14245" t="s">
        <v>29</v>
      </c>
      <c r="E14245" t="s">
        <v>23</v>
      </c>
      <c r="F14245" t="s">
        <v>19</v>
      </c>
      <c r="G14245" s="1" t="str">
        <f t="shared" ref="G14245:M14246" si="3257">"X"</f>
        <v>X</v>
      </c>
      <c r="H14245" s="1" t="str">
        <f t="shared" si="3257"/>
        <v>X</v>
      </c>
      <c r="I14245" s="1" t="str">
        <f t="shared" si="3257"/>
        <v>X</v>
      </c>
      <c r="J14245" s="1" t="str">
        <f t="shared" si="3257"/>
        <v>X</v>
      </c>
      <c r="K14245" s="1" t="str">
        <f t="shared" si="3257"/>
        <v>X</v>
      </c>
      <c r="L14245" s="1" t="str">
        <f t="shared" si="3257"/>
        <v>X</v>
      </c>
      <c r="M14245" s="1" t="str">
        <f t="shared" si="3257"/>
        <v>X</v>
      </c>
      <c r="N14245" t="s">
        <v>27</v>
      </c>
    </row>
    <row r="14246" spans="1:14" x14ac:dyDescent="0.25">
      <c r="A14246" t="s">
        <v>45</v>
      </c>
      <c r="B14246" t="s">
        <v>39</v>
      </c>
      <c r="C14246" t="s">
        <v>35</v>
      </c>
      <c r="D14246" t="s">
        <v>29</v>
      </c>
      <c r="E14246" t="s">
        <v>23</v>
      </c>
      <c r="F14246" t="s">
        <v>20</v>
      </c>
      <c r="G14246" s="1" t="str">
        <f t="shared" si="3257"/>
        <v>X</v>
      </c>
      <c r="H14246" s="1" t="str">
        <f t="shared" si="3257"/>
        <v>X</v>
      </c>
      <c r="I14246" s="1" t="str">
        <f t="shared" si="3257"/>
        <v>X</v>
      </c>
      <c r="J14246" s="1" t="str">
        <f t="shared" si="3257"/>
        <v>X</v>
      </c>
      <c r="K14246" s="1" t="str">
        <f t="shared" si="3257"/>
        <v>X</v>
      </c>
      <c r="L14246" s="1" t="str">
        <f t="shared" si="3257"/>
        <v>X</v>
      </c>
      <c r="M14246" s="1" t="str">
        <f t="shared" si="3257"/>
        <v>X</v>
      </c>
      <c r="N14246" t="s">
        <v>27</v>
      </c>
    </row>
    <row r="14247" spans="1:14" x14ac:dyDescent="0.25">
      <c r="A14247" t="s">
        <v>45</v>
      </c>
      <c r="B14247" t="s">
        <v>39</v>
      </c>
      <c r="C14247" t="s">
        <v>35</v>
      </c>
      <c r="D14247" t="s">
        <v>29</v>
      </c>
      <c r="E14247" t="s">
        <v>26</v>
      </c>
      <c r="F14247" t="s">
        <v>15</v>
      </c>
      <c r="G14247" s="1" t="str">
        <f t="shared" ref="G14247:M14251" si="3258">"..."</f>
        <v>...</v>
      </c>
      <c r="H14247" s="1" t="str">
        <f t="shared" si="3258"/>
        <v>...</v>
      </c>
      <c r="I14247" s="1" t="str">
        <f t="shared" si="3258"/>
        <v>...</v>
      </c>
      <c r="J14247" s="1" t="str">
        <f t="shared" si="3258"/>
        <v>...</v>
      </c>
      <c r="K14247" s="1" t="str">
        <f t="shared" si="3258"/>
        <v>...</v>
      </c>
      <c r="L14247" s="1" t="str">
        <f t="shared" si="3258"/>
        <v>...</v>
      </c>
      <c r="M14247" s="1" t="str">
        <f t="shared" si="3258"/>
        <v>...</v>
      </c>
      <c r="N14247" t="s">
        <v>30</v>
      </c>
    </row>
    <row r="14248" spans="1:14" x14ac:dyDescent="0.25">
      <c r="A14248" t="s">
        <v>45</v>
      </c>
      <c r="B14248" t="s">
        <v>39</v>
      </c>
      <c r="C14248" t="s">
        <v>35</v>
      </c>
      <c r="D14248" t="s">
        <v>29</v>
      </c>
      <c r="E14248" t="s">
        <v>26</v>
      </c>
      <c r="F14248" t="s">
        <v>17</v>
      </c>
      <c r="G14248" s="1" t="str">
        <f t="shared" si="3258"/>
        <v>...</v>
      </c>
      <c r="H14248" s="1" t="str">
        <f t="shared" si="3258"/>
        <v>...</v>
      </c>
      <c r="I14248" s="1" t="str">
        <f t="shared" si="3258"/>
        <v>...</v>
      </c>
      <c r="J14248" s="1" t="str">
        <f t="shared" si="3258"/>
        <v>...</v>
      </c>
      <c r="K14248" s="1" t="str">
        <f t="shared" si="3258"/>
        <v>...</v>
      </c>
      <c r="L14248" s="1" t="str">
        <f t="shared" si="3258"/>
        <v>...</v>
      </c>
      <c r="M14248" s="1" t="str">
        <f t="shared" si="3258"/>
        <v>...</v>
      </c>
      <c r="N14248" t="s">
        <v>30</v>
      </c>
    </row>
    <row r="14249" spans="1:14" x14ac:dyDescent="0.25">
      <c r="A14249" t="s">
        <v>45</v>
      </c>
      <c r="B14249" t="s">
        <v>39</v>
      </c>
      <c r="C14249" t="s">
        <v>35</v>
      </c>
      <c r="D14249" t="s">
        <v>29</v>
      </c>
      <c r="E14249" t="s">
        <v>26</v>
      </c>
      <c r="F14249" t="s">
        <v>18</v>
      </c>
      <c r="G14249" s="1" t="str">
        <f t="shared" si="3258"/>
        <v>...</v>
      </c>
      <c r="H14249" s="1" t="str">
        <f t="shared" si="3258"/>
        <v>...</v>
      </c>
      <c r="I14249" s="1" t="str">
        <f t="shared" si="3258"/>
        <v>...</v>
      </c>
      <c r="J14249" s="1" t="str">
        <f t="shared" si="3258"/>
        <v>...</v>
      </c>
      <c r="K14249" s="1" t="str">
        <f t="shared" si="3258"/>
        <v>...</v>
      </c>
      <c r="L14249" s="1" t="str">
        <f t="shared" si="3258"/>
        <v>...</v>
      </c>
      <c r="M14249" s="1" t="str">
        <f t="shared" si="3258"/>
        <v>...</v>
      </c>
      <c r="N14249" t="s">
        <v>30</v>
      </c>
    </row>
    <row r="14250" spans="1:14" x14ac:dyDescent="0.25">
      <c r="A14250" t="s">
        <v>45</v>
      </c>
      <c r="B14250" t="s">
        <v>39</v>
      </c>
      <c r="C14250" t="s">
        <v>35</v>
      </c>
      <c r="D14250" t="s">
        <v>29</v>
      </c>
      <c r="E14250" t="s">
        <v>26</v>
      </c>
      <c r="F14250" t="s">
        <v>19</v>
      </c>
      <c r="G14250" s="1" t="str">
        <f t="shared" si="3258"/>
        <v>...</v>
      </c>
      <c r="H14250" s="1" t="str">
        <f t="shared" si="3258"/>
        <v>...</v>
      </c>
      <c r="I14250" s="1" t="str">
        <f t="shared" si="3258"/>
        <v>...</v>
      </c>
      <c r="J14250" s="1" t="str">
        <f t="shared" si="3258"/>
        <v>...</v>
      </c>
      <c r="K14250" s="1" t="str">
        <f t="shared" si="3258"/>
        <v>...</v>
      </c>
      <c r="L14250" s="1" t="str">
        <f t="shared" si="3258"/>
        <v>...</v>
      </c>
      <c r="M14250" s="1" t="str">
        <f t="shared" si="3258"/>
        <v>...</v>
      </c>
      <c r="N14250" t="s">
        <v>30</v>
      </c>
    </row>
    <row r="14251" spans="1:14" x14ac:dyDescent="0.25">
      <c r="A14251" t="s">
        <v>45</v>
      </c>
      <c r="B14251" t="s">
        <v>39</v>
      </c>
      <c r="C14251" t="s">
        <v>35</v>
      </c>
      <c r="D14251" t="s">
        <v>29</v>
      </c>
      <c r="E14251" t="s">
        <v>26</v>
      </c>
      <c r="F14251" t="s">
        <v>20</v>
      </c>
      <c r="G14251" s="1" t="str">
        <f t="shared" si="3258"/>
        <v>...</v>
      </c>
      <c r="H14251" s="1" t="str">
        <f t="shared" si="3258"/>
        <v>...</v>
      </c>
      <c r="I14251" s="1" t="str">
        <f t="shared" si="3258"/>
        <v>...</v>
      </c>
      <c r="J14251" s="1" t="str">
        <f t="shared" si="3258"/>
        <v>...</v>
      </c>
      <c r="K14251" s="1" t="str">
        <f t="shared" si="3258"/>
        <v>...</v>
      </c>
      <c r="L14251" s="1" t="str">
        <f t="shared" si="3258"/>
        <v>...</v>
      </c>
      <c r="M14251" s="1" t="str">
        <f t="shared" si="3258"/>
        <v>...</v>
      </c>
      <c r="N14251" t="s">
        <v>30</v>
      </c>
    </row>
    <row r="14252" spans="1:14" x14ac:dyDescent="0.25">
      <c r="A14252" t="s">
        <v>45</v>
      </c>
      <c r="B14252" t="s">
        <v>39</v>
      </c>
      <c r="C14252" t="s">
        <v>35</v>
      </c>
      <c r="D14252" t="s">
        <v>31</v>
      </c>
      <c r="E14252" t="s">
        <v>15</v>
      </c>
      <c r="F14252" t="s">
        <v>15</v>
      </c>
      <c r="G14252" s="2">
        <f>VALUE(357.66)</f>
        <v>357.66</v>
      </c>
      <c r="H14252" s="3">
        <f>VALUE(323.47)</f>
        <v>323.47000000000003</v>
      </c>
      <c r="I14252" s="1">
        <f>VALUE(3425)</f>
        <v>3425</v>
      </c>
      <c r="J14252" s="1">
        <f>VALUE(3816)</f>
        <v>3816</v>
      </c>
      <c r="K14252" s="1">
        <f>VALUE(4129)</f>
        <v>4129</v>
      </c>
      <c r="L14252" s="1">
        <f>VALUE(4277)</f>
        <v>4277</v>
      </c>
      <c r="M14252" s="1">
        <f>VALUE(4850)</f>
        <v>4850</v>
      </c>
      <c r="N14252" t="s">
        <v>25</v>
      </c>
    </row>
    <row r="14253" spans="1:14" x14ac:dyDescent="0.25">
      <c r="A14253" t="s">
        <v>45</v>
      </c>
      <c r="B14253" t="s">
        <v>39</v>
      </c>
      <c r="C14253" t="s">
        <v>35</v>
      </c>
      <c r="D14253" t="s">
        <v>31</v>
      </c>
      <c r="E14253" t="s">
        <v>15</v>
      </c>
      <c r="F14253" t="s">
        <v>17</v>
      </c>
      <c r="G14253" s="1" t="str">
        <f t="shared" ref="G14253:M14259" si="3259">"X"</f>
        <v>X</v>
      </c>
      <c r="H14253" s="1" t="str">
        <f t="shared" si="3259"/>
        <v>X</v>
      </c>
      <c r="I14253" s="1" t="str">
        <f t="shared" si="3259"/>
        <v>X</v>
      </c>
      <c r="J14253" s="1" t="str">
        <f t="shared" si="3259"/>
        <v>X</v>
      </c>
      <c r="K14253" s="1" t="str">
        <f t="shared" si="3259"/>
        <v>X</v>
      </c>
      <c r="L14253" s="1" t="str">
        <f t="shared" si="3259"/>
        <v>X</v>
      </c>
      <c r="M14253" s="1" t="str">
        <f t="shared" si="3259"/>
        <v>X</v>
      </c>
      <c r="N14253" t="s">
        <v>27</v>
      </c>
    </row>
    <row r="14254" spans="1:14" x14ac:dyDescent="0.25">
      <c r="A14254" t="s">
        <v>45</v>
      </c>
      <c r="B14254" t="s">
        <v>39</v>
      </c>
      <c r="C14254" t="s">
        <v>35</v>
      </c>
      <c r="D14254" t="s">
        <v>31</v>
      </c>
      <c r="E14254" t="s">
        <v>15</v>
      </c>
      <c r="F14254" t="s">
        <v>18</v>
      </c>
      <c r="G14254" s="1" t="str">
        <f t="shared" si="3259"/>
        <v>X</v>
      </c>
      <c r="H14254" s="1" t="str">
        <f t="shared" si="3259"/>
        <v>X</v>
      </c>
      <c r="I14254" s="1" t="str">
        <f t="shared" si="3259"/>
        <v>X</v>
      </c>
      <c r="J14254" s="1" t="str">
        <f t="shared" si="3259"/>
        <v>X</v>
      </c>
      <c r="K14254" s="1" t="str">
        <f t="shared" si="3259"/>
        <v>X</v>
      </c>
      <c r="L14254" s="1" t="str">
        <f t="shared" si="3259"/>
        <v>X</v>
      </c>
      <c r="M14254" s="1" t="str">
        <f t="shared" si="3259"/>
        <v>X</v>
      </c>
      <c r="N14254" t="s">
        <v>27</v>
      </c>
    </row>
    <row r="14255" spans="1:14" x14ac:dyDescent="0.25">
      <c r="A14255" t="s">
        <v>45</v>
      </c>
      <c r="B14255" t="s">
        <v>39</v>
      </c>
      <c r="C14255" t="s">
        <v>35</v>
      </c>
      <c r="D14255" t="s">
        <v>31</v>
      </c>
      <c r="E14255" t="s">
        <v>15</v>
      </c>
      <c r="F14255" t="s">
        <v>19</v>
      </c>
      <c r="G14255" s="1" t="str">
        <f t="shared" si="3259"/>
        <v>X</v>
      </c>
      <c r="H14255" s="1" t="str">
        <f t="shared" si="3259"/>
        <v>X</v>
      </c>
      <c r="I14255" s="1" t="str">
        <f t="shared" si="3259"/>
        <v>X</v>
      </c>
      <c r="J14255" s="1" t="str">
        <f t="shared" si="3259"/>
        <v>X</v>
      </c>
      <c r="K14255" s="1" t="str">
        <f t="shared" si="3259"/>
        <v>X</v>
      </c>
      <c r="L14255" s="1" t="str">
        <f t="shared" si="3259"/>
        <v>X</v>
      </c>
      <c r="M14255" s="1" t="str">
        <f t="shared" si="3259"/>
        <v>X</v>
      </c>
      <c r="N14255" t="s">
        <v>27</v>
      </c>
    </row>
    <row r="14256" spans="1:14" x14ac:dyDescent="0.25">
      <c r="A14256" t="s">
        <v>45</v>
      </c>
      <c r="B14256" t="s">
        <v>39</v>
      </c>
      <c r="C14256" t="s">
        <v>35</v>
      </c>
      <c r="D14256" t="s">
        <v>31</v>
      </c>
      <c r="E14256" t="s">
        <v>15</v>
      </c>
      <c r="F14256" t="s">
        <v>20</v>
      </c>
      <c r="G14256" s="1" t="str">
        <f t="shared" si="3259"/>
        <v>X</v>
      </c>
      <c r="H14256" s="1" t="str">
        <f t="shared" si="3259"/>
        <v>X</v>
      </c>
      <c r="I14256" s="1" t="str">
        <f t="shared" si="3259"/>
        <v>X</v>
      </c>
      <c r="J14256" s="1" t="str">
        <f t="shared" si="3259"/>
        <v>X</v>
      </c>
      <c r="K14256" s="1" t="str">
        <f t="shared" si="3259"/>
        <v>X</v>
      </c>
      <c r="L14256" s="1" t="str">
        <f t="shared" si="3259"/>
        <v>X</v>
      </c>
      <c r="M14256" s="1" t="str">
        <f t="shared" si="3259"/>
        <v>X</v>
      </c>
      <c r="N14256" t="s">
        <v>27</v>
      </c>
    </row>
    <row r="14257" spans="1:14" x14ac:dyDescent="0.25">
      <c r="A14257" t="s">
        <v>45</v>
      </c>
      <c r="B14257" t="s">
        <v>39</v>
      </c>
      <c r="C14257" t="s">
        <v>35</v>
      </c>
      <c r="D14257" t="s">
        <v>31</v>
      </c>
      <c r="E14257" t="s">
        <v>21</v>
      </c>
      <c r="F14257" t="s">
        <v>15</v>
      </c>
      <c r="G14257" s="1" t="str">
        <f t="shared" si="3259"/>
        <v>X</v>
      </c>
      <c r="H14257" s="1" t="str">
        <f t="shared" si="3259"/>
        <v>X</v>
      </c>
      <c r="I14257" s="1" t="str">
        <f t="shared" si="3259"/>
        <v>X</v>
      </c>
      <c r="J14257" s="1" t="str">
        <f t="shared" si="3259"/>
        <v>X</v>
      </c>
      <c r="K14257" s="1" t="str">
        <f t="shared" si="3259"/>
        <v>X</v>
      </c>
      <c r="L14257" s="1" t="str">
        <f t="shared" si="3259"/>
        <v>X</v>
      </c>
      <c r="M14257" s="1" t="str">
        <f t="shared" si="3259"/>
        <v>X</v>
      </c>
      <c r="N14257" t="s">
        <v>27</v>
      </c>
    </row>
    <row r="14258" spans="1:14" x14ac:dyDescent="0.25">
      <c r="A14258" t="s">
        <v>45</v>
      </c>
      <c r="B14258" t="s">
        <v>39</v>
      </c>
      <c r="C14258" t="s">
        <v>35</v>
      </c>
      <c r="D14258" t="s">
        <v>31</v>
      </c>
      <c r="E14258" t="s">
        <v>21</v>
      </c>
      <c r="F14258" t="s">
        <v>17</v>
      </c>
      <c r="G14258" s="1" t="str">
        <f t="shared" si="3259"/>
        <v>X</v>
      </c>
      <c r="H14258" s="1" t="str">
        <f t="shared" si="3259"/>
        <v>X</v>
      </c>
      <c r="I14258" s="1" t="str">
        <f t="shared" si="3259"/>
        <v>X</v>
      </c>
      <c r="J14258" s="1" t="str">
        <f t="shared" si="3259"/>
        <v>X</v>
      </c>
      <c r="K14258" s="1" t="str">
        <f t="shared" si="3259"/>
        <v>X</v>
      </c>
      <c r="L14258" s="1" t="str">
        <f t="shared" si="3259"/>
        <v>X</v>
      </c>
      <c r="M14258" s="1" t="str">
        <f t="shared" si="3259"/>
        <v>X</v>
      </c>
      <c r="N14258" t="s">
        <v>27</v>
      </c>
    </row>
    <row r="14259" spans="1:14" x14ac:dyDescent="0.25">
      <c r="A14259" t="s">
        <v>45</v>
      </c>
      <c r="B14259" t="s">
        <v>39</v>
      </c>
      <c r="C14259" t="s">
        <v>35</v>
      </c>
      <c r="D14259" t="s">
        <v>31</v>
      </c>
      <c r="E14259" t="s">
        <v>21</v>
      </c>
      <c r="F14259" t="s">
        <v>18</v>
      </c>
      <c r="G14259" s="1" t="str">
        <f t="shared" si="3259"/>
        <v>X</v>
      </c>
      <c r="H14259" s="1" t="str">
        <f t="shared" si="3259"/>
        <v>X</v>
      </c>
      <c r="I14259" s="1" t="str">
        <f t="shared" si="3259"/>
        <v>X</v>
      </c>
      <c r="J14259" s="1" t="str">
        <f t="shared" si="3259"/>
        <v>X</v>
      </c>
      <c r="K14259" s="1" t="str">
        <f t="shared" si="3259"/>
        <v>X</v>
      </c>
      <c r="L14259" s="1" t="str">
        <f t="shared" si="3259"/>
        <v>X</v>
      </c>
      <c r="M14259" s="1" t="str">
        <f t="shared" si="3259"/>
        <v>X</v>
      </c>
      <c r="N14259" t="s">
        <v>27</v>
      </c>
    </row>
    <row r="14260" spans="1:14" x14ac:dyDescent="0.25">
      <c r="A14260" t="s">
        <v>45</v>
      </c>
      <c r="B14260" t="s">
        <v>39</v>
      </c>
      <c r="C14260" t="s">
        <v>35</v>
      </c>
      <c r="D14260" t="s">
        <v>31</v>
      </c>
      <c r="E14260" t="s">
        <v>21</v>
      </c>
      <c r="F14260" t="s">
        <v>19</v>
      </c>
      <c r="G14260" s="1" t="str">
        <f t="shared" ref="G14260:M14260" si="3260">"..."</f>
        <v>...</v>
      </c>
      <c r="H14260" s="1" t="str">
        <f t="shared" si="3260"/>
        <v>...</v>
      </c>
      <c r="I14260" s="1" t="str">
        <f t="shared" si="3260"/>
        <v>...</v>
      </c>
      <c r="J14260" s="1" t="str">
        <f t="shared" si="3260"/>
        <v>...</v>
      </c>
      <c r="K14260" s="1" t="str">
        <f t="shared" si="3260"/>
        <v>...</v>
      </c>
      <c r="L14260" s="1" t="str">
        <f t="shared" si="3260"/>
        <v>...</v>
      </c>
      <c r="M14260" s="1" t="str">
        <f t="shared" si="3260"/>
        <v>...</v>
      </c>
      <c r="N14260" t="s">
        <v>30</v>
      </c>
    </row>
    <row r="14261" spans="1:14" x14ac:dyDescent="0.25">
      <c r="A14261" t="s">
        <v>45</v>
      </c>
      <c r="B14261" t="s">
        <v>39</v>
      </c>
      <c r="C14261" t="s">
        <v>35</v>
      </c>
      <c r="D14261" t="s">
        <v>31</v>
      </c>
      <c r="E14261" t="s">
        <v>21</v>
      </c>
      <c r="F14261" t="s">
        <v>20</v>
      </c>
      <c r="G14261" s="1" t="str">
        <f t="shared" ref="G14261:M14263" si="3261">"X"</f>
        <v>X</v>
      </c>
      <c r="H14261" s="1" t="str">
        <f t="shared" si="3261"/>
        <v>X</v>
      </c>
      <c r="I14261" s="1" t="str">
        <f t="shared" si="3261"/>
        <v>X</v>
      </c>
      <c r="J14261" s="1" t="str">
        <f t="shared" si="3261"/>
        <v>X</v>
      </c>
      <c r="K14261" s="1" t="str">
        <f t="shared" si="3261"/>
        <v>X</v>
      </c>
      <c r="L14261" s="1" t="str">
        <f t="shared" si="3261"/>
        <v>X</v>
      </c>
      <c r="M14261" s="1" t="str">
        <f t="shared" si="3261"/>
        <v>X</v>
      </c>
      <c r="N14261" t="s">
        <v>27</v>
      </c>
    </row>
    <row r="14262" spans="1:14" x14ac:dyDescent="0.25">
      <c r="A14262" t="s">
        <v>45</v>
      </c>
      <c r="B14262" t="s">
        <v>39</v>
      </c>
      <c r="C14262" t="s">
        <v>35</v>
      </c>
      <c r="D14262" t="s">
        <v>31</v>
      </c>
      <c r="E14262" t="s">
        <v>22</v>
      </c>
      <c r="F14262" t="s">
        <v>15</v>
      </c>
      <c r="G14262" s="1" t="str">
        <f t="shared" si="3261"/>
        <v>X</v>
      </c>
      <c r="H14262" s="1" t="str">
        <f t="shared" si="3261"/>
        <v>X</v>
      </c>
      <c r="I14262" s="1" t="str">
        <f t="shared" si="3261"/>
        <v>X</v>
      </c>
      <c r="J14262" s="1" t="str">
        <f t="shared" si="3261"/>
        <v>X</v>
      </c>
      <c r="K14262" s="1" t="str">
        <f t="shared" si="3261"/>
        <v>X</v>
      </c>
      <c r="L14262" s="1" t="str">
        <f t="shared" si="3261"/>
        <v>X</v>
      </c>
      <c r="M14262" s="1" t="str">
        <f t="shared" si="3261"/>
        <v>X</v>
      </c>
      <c r="N14262" t="s">
        <v>27</v>
      </c>
    </row>
    <row r="14263" spans="1:14" x14ac:dyDescent="0.25">
      <c r="A14263" t="s">
        <v>45</v>
      </c>
      <c r="B14263" t="s">
        <v>39</v>
      </c>
      <c r="C14263" t="s">
        <v>35</v>
      </c>
      <c r="D14263" t="s">
        <v>31</v>
      </c>
      <c r="E14263" t="s">
        <v>22</v>
      </c>
      <c r="F14263" t="s">
        <v>17</v>
      </c>
      <c r="G14263" s="1" t="str">
        <f t="shared" si="3261"/>
        <v>X</v>
      </c>
      <c r="H14263" s="1" t="str">
        <f t="shared" si="3261"/>
        <v>X</v>
      </c>
      <c r="I14263" s="1" t="str">
        <f t="shared" si="3261"/>
        <v>X</v>
      </c>
      <c r="J14263" s="1" t="str">
        <f t="shared" si="3261"/>
        <v>X</v>
      </c>
      <c r="K14263" s="1" t="str">
        <f t="shared" si="3261"/>
        <v>X</v>
      </c>
      <c r="L14263" s="1" t="str">
        <f t="shared" si="3261"/>
        <v>X</v>
      </c>
      <c r="M14263" s="1" t="str">
        <f t="shared" si="3261"/>
        <v>X</v>
      </c>
      <c r="N14263" t="s">
        <v>27</v>
      </c>
    </row>
    <row r="14264" spans="1:14" x14ac:dyDescent="0.25">
      <c r="A14264" t="s">
        <v>45</v>
      </c>
      <c r="B14264" t="s">
        <v>39</v>
      </c>
      <c r="C14264" t="s">
        <v>35</v>
      </c>
      <c r="D14264" t="s">
        <v>31</v>
      </c>
      <c r="E14264" t="s">
        <v>22</v>
      </c>
      <c r="F14264" t="s">
        <v>18</v>
      </c>
      <c r="G14264" s="1" t="str">
        <f t="shared" ref="G14264:M14264" si="3262">"..."</f>
        <v>...</v>
      </c>
      <c r="H14264" s="1" t="str">
        <f t="shared" si="3262"/>
        <v>...</v>
      </c>
      <c r="I14264" s="1" t="str">
        <f t="shared" si="3262"/>
        <v>...</v>
      </c>
      <c r="J14264" s="1" t="str">
        <f t="shared" si="3262"/>
        <v>...</v>
      </c>
      <c r="K14264" s="1" t="str">
        <f t="shared" si="3262"/>
        <v>...</v>
      </c>
      <c r="L14264" s="1" t="str">
        <f t="shared" si="3262"/>
        <v>...</v>
      </c>
      <c r="M14264" s="1" t="str">
        <f t="shared" si="3262"/>
        <v>...</v>
      </c>
      <c r="N14264" t="s">
        <v>30</v>
      </c>
    </row>
    <row r="14265" spans="1:14" x14ac:dyDescent="0.25">
      <c r="A14265" t="s">
        <v>45</v>
      </c>
      <c r="B14265" t="s">
        <v>39</v>
      </c>
      <c r="C14265" t="s">
        <v>35</v>
      </c>
      <c r="D14265" t="s">
        <v>31</v>
      </c>
      <c r="E14265" t="s">
        <v>22</v>
      </c>
      <c r="F14265" t="s">
        <v>19</v>
      </c>
      <c r="G14265" s="1" t="str">
        <f t="shared" ref="G14265:M14268" si="3263">"X"</f>
        <v>X</v>
      </c>
      <c r="H14265" s="1" t="str">
        <f t="shared" si="3263"/>
        <v>X</v>
      </c>
      <c r="I14265" s="1" t="str">
        <f t="shared" si="3263"/>
        <v>X</v>
      </c>
      <c r="J14265" s="1" t="str">
        <f t="shared" si="3263"/>
        <v>X</v>
      </c>
      <c r="K14265" s="1" t="str">
        <f t="shared" si="3263"/>
        <v>X</v>
      </c>
      <c r="L14265" s="1" t="str">
        <f t="shared" si="3263"/>
        <v>X</v>
      </c>
      <c r="M14265" s="1" t="str">
        <f t="shared" si="3263"/>
        <v>X</v>
      </c>
      <c r="N14265" t="s">
        <v>27</v>
      </c>
    </row>
    <row r="14266" spans="1:14" x14ac:dyDescent="0.25">
      <c r="A14266" t="s">
        <v>45</v>
      </c>
      <c r="B14266" t="s">
        <v>39</v>
      </c>
      <c r="C14266" t="s">
        <v>35</v>
      </c>
      <c r="D14266" t="s">
        <v>31</v>
      </c>
      <c r="E14266" t="s">
        <v>22</v>
      </c>
      <c r="F14266" t="s">
        <v>20</v>
      </c>
      <c r="G14266" s="1" t="str">
        <f t="shared" si="3263"/>
        <v>X</v>
      </c>
      <c r="H14266" s="1" t="str">
        <f t="shared" si="3263"/>
        <v>X</v>
      </c>
      <c r="I14266" s="1" t="str">
        <f t="shared" si="3263"/>
        <v>X</v>
      </c>
      <c r="J14266" s="1" t="str">
        <f t="shared" si="3263"/>
        <v>X</v>
      </c>
      <c r="K14266" s="1" t="str">
        <f t="shared" si="3263"/>
        <v>X</v>
      </c>
      <c r="L14266" s="1" t="str">
        <f t="shared" si="3263"/>
        <v>X</v>
      </c>
      <c r="M14266" s="1" t="str">
        <f t="shared" si="3263"/>
        <v>X</v>
      </c>
      <c r="N14266" t="s">
        <v>27</v>
      </c>
    </row>
    <row r="14267" spans="1:14" x14ac:dyDescent="0.25">
      <c r="A14267" t="s">
        <v>45</v>
      </c>
      <c r="B14267" t="s">
        <v>39</v>
      </c>
      <c r="C14267" t="s">
        <v>35</v>
      </c>
      <c r="D14267" t="s">
        <v>31</v>
      </c>
      <c r="E14267" t="s">
        <v>23</v>
      </c>
      <c r="F14267" t="s">
        <v>15</v>
      </c>
      <c r="G14267" s="1" t="str">
        <f t="shared" si="3263"/>
        <v>X</v>
      </c>
      <c r="H14267" s="1" t="str">
        <f t="shared" si="3263"/>
        <v>X</v>
      </c>
      <c r="I14267" s="1" t="str">
        <f t="shared" si="3263"/>
        <v>X</v>
      </c>
      <c r="J14267" s="1" t="str">
        <f t="shared" si="3263"/>
        <v>X</v>
      </c>
      <c r="K14267" s="1" t="str">
        <f t="shared" si="3263"/>
        <v>X</v>
      </c>
      <c r="L14267" s="1" t="str">
        <f t="shared" si="3263"/>
        <v>X</v>
      </c>
      <c r="M14267" s="1" t="str">
        <f t="shared" si="3263"/>
        <v>X</v>
      </c>
      <c r="N14267" t="s">
        <v>27</v>
      </c>
    </row>
    <row r="14268" spans="1:14" x14ac:dyDescent="0.25">
      <c r="A14268" t="s">
        <v>45</v>
      </c>
      <c r="B14268" t="s">
        <v>39</v>
      </c>
      <c r="C14268" t="s">
        <v>35</v>
      </c>
      <c r="D14268" t="s">
        <v>31</v>
      </c>
      <c r="E14268" t="s">
        <v>23</v>
      </c>
      <c r="F14268" t="s">
        <v>17</v>
      </c>
      <c r="G14268" s="1" t="str">
        <f t="shared" si="3263"/>
        <v>X</v>
      </c>
      <c r="H14268" s="1" t="str">
        <f t="shared" si="3263"/>
        <v>X</v>
      </c>
      <c r="I14268" s="1" t="str">
        <f t="shared" si="3263"/>
        <v>X</v>
      </c>
      <c r="J14268" s="1" t="str">
        <f t="shared" si="3263"/>
        <v>X</v>
      </c>
      <c r="K14268" s="1" t="str">
        <f t="shared" si="3263"/>
        <v>X</v>
      </c>
      <c r="L14268" s="1" t="str">
        <f t="shared" si="3263"/>
        <v>X</v>
      </c>
      <c r="M14268" s="1" t="str">
        <f t="shared" si="3263"/>
        <v>X</v>
      </c>
      <c r="N14268" t="s">
        <v>27</v>
      </c>
    </row>
    <row r="14269" spans="1:14" x14ac:dyDescent="0.25">
      <c r="A14269" t="s">
        <v>45</v>
      </c>
      <c r="B14269" t="s">
        <v>39</v>
      </c>
      <c r="C14269" t="s">
        <v>35</v>
      </c>
      <c r="D14269" t="s">
        <v>31</v>
      </c>
      <c r="E14269" t="s">
        <v>23</v>
      </c>
      <c r="F14269" t="s">
        <v>18</v>
      </c>
      <c r="G14269" s="1" t="str">
        <f t="shared" ref="G14269:M14270" si="3264">"..."</f>
        <v>...</v>
      </c>
      <c r="H14269" s="1" t="str">
        <f t="shared" si="3264"/>
        <v>...</v>
      </c>
      <c r="I14269" s="1" t="str">
        <f t="shared" si="3264"/>
        <v>...</v>
      </c>
      <c r="J14269" s="1" t="str">
        <f t="shared" si="3264"/>
        <v>...</v>
      </c>
      <c r="K14269" s="1" t="str">
        <f t="shared" si="3264"/>
        <v>...</v>
      </c>
      <c r="L14269" s="1" t="str">
        <f t="shared" si="3264"/>
        <v>...</v>
      </c>
      <c r="M14269" s="1" t="str">
        <f t="shared" si="3264"/>
        <v>...</v>
      </c>
      <c r="N14269" t="s">
        <v>30</v>
      </c>
    </row>
    <row r="14270" spans="1:14" x14ac:dyDescent="0.25">
      <c r="A14270" t="s">
        <v>45</v>
      </c>
      <c r="B14270" t="s">
        <v>39</v>
      </c>
      <c r="C14270" t="s">
        <v>35</v>
      </c>
      <c r="D14270" t="s">
        <v>31</v>
      </c>
      <c r="E14270" t="s">
        <v>23</v>
      </c>
      <c r="F14270" t="s">
        <v>19</v>
      </c>
      <c r="G14270" s="1" t="str">
        <f t="shared" si="3264"/>
        <v>...</v>
      </c>
      <c r="H14270" s="1" t="str">
        <f t="shared" si="3264"/>
        <v>...</v>
      </c>
      <c r="I14270" s="1" t="str">
        <f t="shared" si="3264"/>
        <v>...</v>
      </c>
      <c r="J14270" s="1" t="str">
        <f t="shared" si="3264"/>
        <v>...</v>
      </c>
      <c r="K14270" s="1" t="str">
        <f t="shared" si="3264"/>
        <v>...</v>
      </c>
      <c r="L14270" s="1" t="str">
        <f t="shared" si="3264"/>
        <v>...</v>
      </c>
      <c r="M14270" s="1" t="str">
        <f t="shared" si="3264"/>
        <v>...</v>
      </c>
      <c r="N14270" t="s">
        <v>30</v>
      </c>
    </row>
    <row r="14271" spans="1:14" x14ac:dyDescent="0.25">
      <c r="A14271" t="s">
        <v>45</v>
      </c>
      <c r="B14271" t="s">
        <v>39</v>
      </c>
      <c r="C14271" t="s">
        <v>35</v>
      </c>
      <c r="D14271" t="s">
        <v>31</v>
      </c>
      <c r="E14271" t="s">
        <v>23</v>
      </c>
      <c r="F14271" t="s">
        <v>20</v>
      </c>
      <c r="G14271" s="1" t="str">
        <f t="shared" ref="G14271:M14272" si="3265">"X"</f>
        <v>X</v>
      </c>
      <c r="H14271" s="1" t="str">
        <f t="shared" si="3265"/>
        <v>X</v>
      </c>
      <c r="I14271" s="1" t="str">
        <f t="shared" si="3265"/>
        <v>X</v>
      </c>
      <c r="J14271" s="1" t="str">
        <f t="shared" si="3265"/>
        <v>X</v>
      </c>
      <c r="K14271" s="1" t="str">
        <f t="shared" si="3265"/>
        <v>X</v>
      </c>
      <c r="L14271" s="1" t="str">
        <f t="shared" si="3265"/>
        <v>X</v>
      </c>
      <c r="M14271" s="1" t="str">
        <f t="shared" si="3265"/>
        <v>X</v>
      </c>
      <c r="N14271" t="s">
        <v>27</v>
      </c>
    </row>
    <row r="14272" spans="1:14" x14ac:dyDescent="0.25">
      <c r="A14272" t="s">
        <v>45</v>
      </c>
      <c r="B14272" t="s">
        <v>39</v>
      </c>
      <c r="C14272" t="s">
        <v>35</v>
      </c>
      <c r="D14272" t="s">
        <v>31</v>
      </c>
      <c r="E14272" t="s">
        <v>26</v>
      </c>
      <c r="F14272" t="s">
        <v>15</v>
      </c>
      <c r="G14272" s="1" t="str">
        <f t="shared" si="3265"/>
        <v>X</v>
      </c>
      <c r="H14272" s="1" t="str">
        <f t="shared" si="3265"/>
        <v>X</v>
      </c>
      <c r="I14272" s="1" t="str">
        <f t="shared" si="3265"/>
        <v>X</v>
      </c>
      <c r="J14272" s="1" t="str">
        <f t="shared" si="3265"/>
        <v>X</v>
      </c>
      <c r="K14272" s="1" t="str">
        <f t="shared" si="3265"/>
        <v>X</v>
      </c>
      <c r="L14272" s="1" t="str">
        <f t="shared" si="3265"/>
        <v>X</v>
      </c>
      <c r="M14272" s="1" t="str">
        <f t="shared" si="3265"/>
        <v>X</v>
      </c>
      <c r="N14272" t="s">
        <v>27</v>
      </c>
    </row>
    <row r="14273" spans="1:14" x14ac:dyDescent="0.25">
      <c r="A14273" t="s">
        <v>45</v>
      </c>
      <c r="B14273" t="s">
        <v>39</v>
      </c>
      <c r="C14273" t="s">
        <v>35</v>
      </c>
      <c r="D14273" t="s">
        <v>31</v>
      </c>
      <c r="E14273" t="s">
        <v>26</v>
      </c>
      <c r="F14273" t="s">
        <v>17</v>
      </c>
      <c r="G14273" s="1" t="str">
        <f t="shared" ref="G14273:M14275" si="3266">"..."</f>
        <v>...</v>
      </c>
      <c r="H14273" s="1" t="str">
        <f t="shared" si="3266"/>
        <v>...</v>
      </c>
      <c r="I14273" s="1" t="str">
        <f t="shared" si="3266"/>
        <v>...</v>
      </c>
      <c r="J14273" s="1" t="str">
        <f t="shared" si="3266"/>
        <v>...</v>
      </c>
      <c r="K14273" s="1" t="str">
        <f t="shared" si="3266"/>
        <v>...</v>
      </c>
      <c r="L14273" s="1" t="str">
        <f t="shared" si="3266"/>
        <v>...</v>
      </c>
      <c r="M14273" s="1" t="str">
        <f t="shared" si="3266"/>
        <v>...</v>
      </c>
      <c r="N14273" t="s">
        <v>30</v>
      </c>
    </row>
    <row r="14274" spans="1:14" x14ac:dyDescent="0.25">
      <c r="A14274" t="s">
        <v>45</v>
      </c>
      <c r="B14274" t="s">
        <v>39</v>
      </c>
      <c r="C14274" t="s">
        <v>35</v>
      </c>
      <c r="D14274" t="s">
        <v>31</v>
      </c>
      <c r="E14274" t="s">
        <v>26</v>
      </c>
      <c r="F14274" t="s">
        <v>18</v>
      </c>
      <c r="G14274" s="1" t="str">
        <f t="shared" si="3266"/>
        <v>...</v>
      </c>
      <c r="H14274" s="1" t="str">
        <f t="shared" si="3266"/>
        <v>...</v>
      </c>
      <c r="I14274" s="1" t="str">
        <f t="shared" si="3266"/>
        <v>...</v>
      </c>
      <c r="J14274" s="1" t="str">
        <f t="shared" si="3266"/>
        <v>...</v>
      </c>
      <c r="K14274" s="1" t="str">
        <f t="shared" si="3266"/>
        <v>...</v>
      </c>
      <c r="L14274" s="1" t="str">
        <f t="shared" si="3266"/>
        <v>...</v>
      </c>
      <c r="M14274" s="1" t="str">
        <f t="shared" si="3266"/>
        <v>...</v>
      </c>
      <c r="N14274" t="s">
        <v>30</v>
      </c>
    </row>
    <row r="14275" spans="1:14" x14ac:dyDescent="0.25">
      <c r="A14275" t="s">
        <v>45</v>
      </c>
      <c r="B14275" t="s">
        <v>39</v>
      </c>
      <c r="C14275" t="s">
        <v>35</v>
      </c>
      <c r="D14275" t="s">
        <v>31</v>
      </c>
      <c r="E14275" t="s">
        <v>26</v>
      </c>
      <c r="F14275" t="s">
        <v>19</v>
      </c>
      <c r="G14275" s="1" t="str">
        <f t="shared" si="3266"/>
        <v>...</v>
      </c>
      <c r="H14275" s="1" t="str">
        <f t="shared" si="3266"/>
        <v>...</v>
      </c>
      <c r="I14275" s="1" t="str">
        <f t="shared" si="3266"/>
        <v>...</v>
      </c>
      <c r="J14275" s="1" t="str">
        <f t="shared" si="3266"/>
        <v>...</v>
      </c>
      <c r="K14275" s="1" t="str">
        <f t="shared" si="3266"/>
        <v>...</v>
      </c>
      <c r="L14275" s="1" t="str">
        <f t="shared" si="3266"/>
        <v>...</v>
      </c>
      <c r="M14275" s="1" t="str">
        <f t="shared" si="3266"/>
        <v>...</v>
      </c>
      <c r="N14275" t="s">
        <v>30</v>
      </c>
    </row>
    <row r="14276" spans="1:14" x14ac:dyDescent="0.25">
      <c r="A14276" t="s">
        <v>45</v>
      </c>
      <c r="B14276" t="s">
        <v>39</v>
      </c>
      <c r="C14276" t="s">
        <v>35</v>
      </c>
      <c r="D14276" t="s">
        <v>31</v>
      </c>
      <c r="E14276" t="s">
        <v>26</v>
      </c>
      <c r="F14276" t="s">
        <v>20</v>
      </c>
      <c r="G14276" s="1" t="str">
        <f t="shared" ref="G14276:M14276" si="3267">"X"</f>
        <v>X</v>
      </c>
      <c r="H14276" s="1" t="str">
        <f t="shared" si="3267"/>
        <v>X</v>
      </c>
      <c r="I14276" s="1" t="str">
        <f t="shared" si="3267"/>
        <v>X</v>
      </c>
      <c r="J14276" s="1" t="str">
        <f t="shared" si="3267"/>
        <v>X</v>
      </c>
      <c r="K14276" s="1" t="str">
        <f t="shared" si="3267"/>
        <v>X</v>
      </c>
      <c r="L14276" s="1" t="str">
        <f t="shared" si="3267"/>
        <v>X</v>
      </c>
      <c r="M14276" s="1" t="str">
        <f t="shared" si="3267"/>
        <v>X</v>
      </c>
      <c r="N14276" t="s">
        <v>27</v>
      </c>
    </row>
    <row r="14277" spans="1:14" x14ac:dyDescent="0.25">
      <c r="A14277" t="s">
        <v>45</v>
      </c>
      <c r="B14277" t="s">
        <v>39</v>
      </c>
      <c r="C14277" t="s">
        <v>35</v>
      </c>
      <c r="D14277" t="s">
        <v>32</v>
      </c>
      <c r="E14277" t="s">
        <v>15</v>
      </c>
      <c r="F14277" t="s">
        <v>15</v>
      </c>
      <c r="G14277" s="2">
        <f>VALUE(750.15)</f>
        <v>750.15</v>
      </c>
      <c r="H14277" s="3">
        <f>VALUE(675.17)</f>
        <v>675.17</v>
      </c>
      <c r="I14277" s="1">
        <f>VALUE(2824)</f>
        <v>2824</v>
      </c>
      <c r="J14277" s="1">
        <f>VALUE(3282)</f>
        <v>3282</v>
      </c>
      <c r="K14277" s="1">
        <f>VALUE(3791)</f>
        <v>3791</v>
      </c>
      <c r="L14277" s="1">
        <f>VALUE(4492)</f>
        <v>4492</v>
      </c>
      <c r="M14277" s="1">
        <f>VALUE(5575)</f>
        <v>5575</v>
      </c>
      <c r="N14277" t="s">
        <v>25</v>
      </c>
    </row>
    <row r="14278" spans="1:14" x14ac:dyDescent="0.25">
      <c r="A14278" t="s">
        <v>45</v>
      </c>
      <c r="B14278" t="s">
        <v>39</v>
      </c>
      <c r="C14278" t="s">
        <v>35</v>
      </c>
      <c r="D14278" t="s">
        <v>32</v>
      </c>
      <c r="E14278" t="s">
        <v>15</v>
      </c>
      <c r="F14278" t="s">
        <v>17</v>
      </c>
      <c r="G14278" s="1" t="str">
        <f t="shared" ref="G14278:M14278" si="3268">"..."</f>
        <v>...</v>
      </c>
      <c r="H14278" s="1" t="str">
        <f t="shared" si="3268"/>
        <v>...</v>
      </c>
      <c r="I14278" s="1" t="str">
        <f t="shared" si="3268"/>
        <v>...</v>
      </c>
      <c r="J14278" s="1" t="str">
        <f t="shared" si="3268"/>
        <v>...</v>
      </c>
      <c r="K14278" s="1" t="str">
        <f t="shared" si="3268"/>
        <v>...</v>
      </c>
      <c r="L14278" s="1" t="str">
        <f t="shared" si="3268"/>
        <v>...</v>
      </c>
      <c r="M14278" s="1" t="str">
        <f t="shared" si="3268"/>
        <v>...</v>
      </c>
      <c r="N14278" t="s">
        <v>30</v>
      </c>
    </row>
    <row r="14279" spans="1:14" x14ac:dyDescent="0.25">
      <c r="A14279" t="s">
        <v>45</v>
      </c>
      <c r="B14279" t="s">
        <v>39</v>
      </c>
      <c r="C14279" t="s">
        <v>35</v>
      </c>
      <c r="D14279" t="s">
        <v>32</v>
      </c>
      <c r="E14279" t="s">
        <v>15</v>
      </c>
      <c r="F14279" t="s">
        <v>18</v>
      </c>
      <c r="G14279" s="1" t="str">
        <f t="shared" ref="G14279:M14280" si="3269">"X"</f>
        <v>X</v>
      </c>
      <c r="H14279" s="1" t="str">
        <f t="shared" si="3269"/>
        <v>X</v>
      </c>
      <c r="I14279" s="1" t="str">
        <f t="shared" si="3269"/>
        <v>X</v>
      </c>
      <c r="J14279" s="1" t="str">
        <f t="shared" si="3269"/>
        <v>X</v>
      </c>
      <c r="K14279" s="1" t="str">
        <f t="shared" si="3269"/>
        <v>X</v>
      </c>
      <c r="L14279" s="1" t="str">
        <f t="shared" si="3269"/>
        <v>X</v>
      </c>
      <c r="M14279" s="1" t="str">
        <f t="shared" si="3269"/>
        <v>X</v>
      </c>
      <c r="N14279" t="s">
        <v>27</v>
      </c>
    </row>
    <row r="14280" spans="1:14" x14ac:dyDescent="0.25">
      <c r="A14280" t="s">
        <v>45</v>
      </c>
      <c r="B14280" t="s">
        <v>39</v>
      </c>
      <c r="C14280" t="s">
        <v>35</v>
      </c>
      <c r="D14280" t="s">
        <v>32</v>
      </c>
      <c r="E14280" t="s">
        <v>15</v>
      </c>
      <c r="F14280" t="s">
        <v>19</v>
      </c>
      <c r="G14280" s="1" t="str">
        <f t="shared" si="3269"/>
        <v>X</v>
      </c>
      <c r="H14280" s="1" t="str">
        <f t="shared" si="3269"/>
        <v>X</v>
      </c>
      <c r="I14280" s="1" t="str">
        <f t="shared" si="3269"/>
        <v>X</v>
      </c>
      <c r="J14280" s="1" t="str">
        <f t="shared" si="3269"/>
        <v>X</v>
      </c>
      <c r="K14280" s="1" t="str">
        <f t="shared" si="3269"/>
        <v>X</v>
      </c>
      <c r="L14280" s="1" t="str">
        <f t="shared" si="3269"/>
        <v>X</v>
      </c>
      <c r="M14280" s="1" t="str">
        <f t="shared" si="3269"/>
        <v>X</v>
      </c>
      <c r="N14280" t="s">
        <v>27</v>
      </c>
    </row>
    <row r="14281" spans="1:14" x14ac:dyDescent="0.25">
      <c r="A14281" t="s">
        <v>45</v>
      </c>
      <c r="B14281" t="s">
        <v>39</v>
      </c>
      <c r="C14281" t="s">
        <v>35</v>
      </c>
      <c r="D14281" t="s">
        <v>32</v>
      </c>
      <c r="E14281" t="s">
        <v>15</v>
      </c>
      <c r="F14281" t="s">
        <v>20</v>
      </c>
      <c r="G14281" s="2">
        <f>VALUE(712.13)</f>
        <v>712.13</v>
      </c>
      <c r="H14281" s="3">
        <f>VALUE(644.27)</f>
        <v>644.27</v>
      </c>
      <c r="I14281" s="1">
        <f>VALUE(2824)</f>
        <v>2824</v>
      </c>
      <c r="J14281" s="1">
        <f>VALUE(3341)</f>
        <v>3341</v>
      </c>
      <c r="K14281" s="1">
        <f>VALUE(3839)</f>
        <v>3839</v>
      </c>
      <c r="L14281" s="1">
        <f>VALUE(4549)</f>
        <v>4549</v>
      </c>
      <c r="M14281" s="1">
        <f>VALUE(5575)</f>
        <v>5575</v>
      </c>
      <c r="N14281" t="s">
        <v>25</v>
      </c>
    </row>
    <row r="14282" spans="1:14" x14ac:dyDescent="0.25">
      <c r="A14282" t="s">
        <v>45</v>
      </c>
      <c r="B14282" t="s">
        <v>39</v>
      </c>
      <c r="C14282" t="s">
        <v>35</v>
      </c>
      <c r="D14282" t="s">
        <v>32</v>
      </c>
      <c r="E14282" t="s">
        <v>21</v>
      </c>
      <c r="F14282" t="s">
        <v>15</v>
      </c>
      <c r="G14282" s="1" t="str">
        <f t="shared" ref="G14282:M14282" si="3270">"X"</f>
        <v>X</v>
      </c>
      <c r="H14282" s="1" t="str">
        <f t="shared" si="3270"/>
        <v>X</v>
      </c>
      <c r="I14282" s="1" t="str">
        <f t="shared" si="3270"/>
        <v>X</v>
      </c>
      <c r="J14282" s="1" t="str">
        <f t="shared" si="3270"/>
        <v>X</v>
      </c>
      <c r="K14282" s="1" t="str">
        <f t="shared" si="3270"/>
        <v>X</v>
      </c>
      <c r="L14282" s="1" t="str">
        <f t="shared" si="3270"/>
        <v>X</v>
      </c>
      <c r="M14282" s="1" t="str">
        <f t="shared" si="3270"/>
        <v>X</v>
      </c>
      <c r="N14282" t="s">
        <v>27</v>
      </c>
    </row>
    <row r="14283" spans="1:14" x14ac:dyDescent="0.25">
      <c r="A14283" t="s">
        <v>45</v>
      </c>
      <c r="B14283" t="s">
        <v>39</v>
      </c>
      <c r="C14283" t="s">
        <v>35</v>
      </c>
      <c r="D14283" t="s">
        <v>32</v>
      </c>
      <c r="E14283" t="s">
        <v>21</v>
      </c>
      <c r="F14283" t="s">
        <v>17</v>
      </c>
      <c r="G14283" s="1" t="str">
        <f t="shared" ref="G14283:M14283" si="3271">"..."</f>
        <v>...</v>
      </c>
      <c r="H14283" s="1" t="str">
        <f t="shared" si="3271"/>
        <v>...</v>
      </c>
      <c r="I14283" s="1" t="str">
        <f t="shared" si="3271"/>
        <v>...</v>
      </c>
      <c r="J14283" s="1" t="str">
        <f t="shared" si="3271"/>
        <v>...</v>
      </c>
      <c r="K14283" s="1" t="str">
        <f t="shared" si="3271"/>
        <v>...</v>
      </c>
      <c r="L14283" s="1" t="str">
        <f t="shared" si="3271"/>
        <v>...</v>
      </c>
      <c r="M14283" s="1" t="str">
        <f t="shared" si="3271"/>
        <v>...</v>
      </c>
      <c r="N14283" t="s">
        <v>30</v>
      </c>
    </row>
    <row r="14284" spans="1:14" x14ac:dyDescent="0.25">
      <c r="A14284" t="s">
        <v>45</v>
      </c>
      <c r="B14284" t="s">
        <v>39</v>
      </c>
      <c r="C14284" t="s">
        <v>35</v>
      </c>
      <c r="D14284" t="s">
        <v>32</v>
      </c>
      <c r="E14284" t="s">
        <v>21</v>
      </c>
      <c r="F14284" t="s">
        <v>18</v>
      </c>
      <c r="G14284" s="1" t="str">
        <f t="shared" ref="G14284:M14286" si="3272">"X"</f>
        <v>X</v>
      </c>
      <c r="H14284" s="1" t="str">
        <f t="shared" si="3272"/>
        <v>X</v>
      </c>
      <c r="I14284" s="1" t="str">
        <f t="shared" si="3272"/>
        <v>X</v>
      </c>
      <c r="J14284" s="1" t="str">
        <f t="shared" si="3272"/>
        <v>X</v>
      </c>
      <c r="K14284" s="1" t="str">
        <f t="shared" si="3272"/>
        <v>X</v>
      </c>
      <c r="L14284" s="1" t="str">
        <f t="shared" si="3272"/>
        <v>X</v>
      </c>
      <c r="M14284" s="1" t="str">
        <f t="shared" si="3272"/>
        <v>X</v>
      </c>
      <c r="N14284" t="s">
        <v>27</v>
      </c>
    </row>
    <row r="14285" spans="1:14" x14ac:dyDescent="0.25">
      <c r="A14285" t="s">
        <v>45</v>
      </c>
      <c r="B14285" t="s">
        <v>39</v>
      </c>
      <c r="C14285" t="s">
        <v>35</v>
      </c>
      <c r="D14285" t="s">
        <v>32</v>
      </c>
      <c r="E14285" t="s">
        <v>21</v>
      </c>
      <c r="F14285" t="s">
        <v>19</v>
      </c>
      <c r="G14285" s="1" t="str">
        <f t="shared" si="3272"/>
        <v>X</v>
      </c>
      <c r="H14285" s="1" t="str">
        <f t="shared" si="3272"/>
        <v>X</v>
      </c>
      <c r="I14285" s="1" t="str">
        <f t="shared" si="3272"/>
        <v>X</v>
      </c>
      <c r="J14285" s="1" t="str">
        <f t="shared" si="3272"/>
        <v>X</v>
      </c>
      <c r="K14285" s="1" t="str">
        <f t="shared" si="3272"/>
        <v>X</v>
      </c>
      <c r="L14285" s="1" t="str">
        <f t="shared" si="3272"/>
        <v>X</v>
      </c>
      <c r="M14285" s="1" t="str">
        <f t="shared" si="3272"/>
        <v>X</v>
      </c>
      <c r="N14285" t="s">
        <v>27</v>
      </c>
    </row>
    <row r="14286" spans="1:14" x14ac:dyDescent="0.25">
      <c r="A14286" t="s">
        <v>45</v>
      </c>
      <c r="B14286" t="s">
        <v>39</v>
      </c>
      <c r="C14286" t="s">
        <v>35</v>
      </c>
      <c r="D14286" t="s">
        <v>32</v>
      </c>
      <c r="E14286" t="s">
        <v>21</v>
      </c>
      <c r="F14286" t="s">
        <v>20</v>
      </c>
      <c r="G14286" s="1" t="str">
        <f t="shared" si="3272"/>
        <v>X</v>
      </c>
      <c r="H14286" s="1" t="str">
        <f t="shared" si="3272"/>
        <v>X</v>
      </c>
      <c r="I14286" s="1" t="str">
        <f t="shared" si="3272"/>
        <v>X</v>
      </c>
      <c r="J14286" s="1" t="str">
        <f t="shared" si="3272"/>
        <v>X</v>
      </c>
      <c r="K14286" s="1" t="str">
        <f t="shared" si="3272"/>
        <v>X</v>
      </c>
      <c r="L14286" s="1" t="str">
        <f t="shared" si="3272"/>
        <v>X</v>
      </c>
      <c r="M14286" s="1" t="str">
        <f t="shared" si="3272"/>
        <v>X</v>
      </c>
      <c r="N14286" t="s">
        <v>27</v>
      </c>
    </row>
    <row r="14287" spans="1:14" x14ac:dyDescent="0.25">
      <c r="A14287" t="s">
        <v>45</v>
      </c>
      <c r="B14287" t="s">
        <v>39</v>
      </c>
      <c r="C14287" t="s">
        <v>35</v>
      </c>
      <c r="D14287" t="s">
        <v>32</v>
      </c>
      <c r="E14287" t="s">
        <v>22</v>
      </c>
      <c r="F14287" t="s">
        <v>15</v>
      </c>
      <c r="G14287" s="2">
        <f>VALUE(314.29)</f>
        <v>314.29000000000002</v>
      </c>
      <c r="H14287" s="3">
        <f>VALUE(293.01)</f>
        <v>293.01</v>
      </c>
      <c r="I14287" s="4">
        <f>VALUE(2674)</f>
        <v>2674</v>
      </c>
      <c r="J14287" s="5">
        <f>VALUE(2999)</f>
        <v>2999</v>
      </c>
      <c r="K14287" s="1">
        <f>VALUE(3722)</f>
        <v>3722</v>
      </c>
      <c r="L14287" s="1">
        <f>VALUE(4550)</f>
        <v>4550</v>
      </c>
      <c r="M14287" s="8">
        <f>VALUE(5320)</f>
        <v>5320</v>
      </c>
      <c r="N14287" t="s">
        <v>25</v>
      </c>
    </row>
    <row r="14288" spans="1:14" x14ac:dyDescent="0.25">
      <c r="A14288" t="s">
        <v>45</v>
      </c>
      <c r="B14288" t="s">
        <v>39</v>
      </c>
      <c r="C14288" t="s">
        <v>35</v>
      </c>
      <c r="D14288" t="s">
        <v>32</v>
      </c>
      <c r="E14288" t="s">
        <v>22</v>
      </c>
      <c r="F14288" t="s">
        <v>17</v>
      </c>
      <c r="G14288" s="1" t="str">
        <f t="shared" ref="G14288:M14288" si="3273">"..."</f>
        <v>...</v>
      </c>
      <c r="H14288" s="1" t="str">
        <f t="shared" si="3273"/>
        <v>...</v>
      </c>
      <c r="I14288" s="1" t="str">
        <f t="shared" si="3273"/>
        <v>...</v>
      </c>
      <c r="J14288" s="1" t="str">
        <f t="shared" si="3273"/>
        <v>...</v>
      </c>
      <c r="K14288" s="1" t="str">
        <f t="shared" si="3273"/>
        <v>...</v>
      </c>
      <c r="L14288" s="1" t="str">
        <f t="shared" si="3273"/>
        <v>...</v>
      </c>
      <c r="M14288" s="1" t="str">
        <f t="shared" si="3273"/>
        <v>...</v>
      </c>
      <c r="N14288" t="s">
        <v>30</v>
      </c>
    </row>
    <row r="14289" spans="1:14" x14ac:dyDescent="0.25">
      <c r="A14289" t="s">
        <v>45</v>
      </c>
      <c r="B14289" t="s">
        <v>39</v>
      </c>
      <c r="C14289" t="s">
        <v>35</v>
      </c>
      <c r="D14289" t="s">
        <v>32</v>
      </c>
      <c r="E14289" t="s">
        <v>22</v>
      </c>
      <c r="F14289" t="s">
        <v>18</v>
      </c>
      <c r="G14289" s="1" t="str">
        <f t="shared" ref="G14289:M14290" si="3274">"X"</f>
        <v>X</v>
      </c>
      <c r="H14289" s="1" t="str">
        <f t="shared" si="3274"/>
        <v>X</v>
      </c>
      <c r="I14289" s="1" t="str">
        <f t="shared" si="3274"/>
        <v>X</v>
      </c>
      <c r="J14289" s="1" t="str">
        <f t="shared" si="3274"/>
        <v>X</v>
      </c>
      <c r="K14289" s="1" t="str">
        <f t="shared" si="3274"/>
        <v>X</v>
      </c>
      <c r="L14289" s="1" t="str">
        <f t="shared" si="3274"/>
        <v>X</v>
      </c>
      <c r="M14289" s="1" t="str">
        <f t="shared" si="3274"/>
        <v>X</v>
      </c>
      <c r="N14289" t="s">
        <v>27</v>
      </c>
    </row>
    <row r="14290" spans="1:14" x14ac:dyDescent="0.25">
      <c r="A14290" t="s">
        <v>45</v>
      </c>
      <c r="B14290" t="s">
        <v>39</v>
      </c>
      <c r="C14290" t="s">
        <v>35</v>
      </c>
      <c r="D14290" t="s">
        <v>32</v>
      </c>
      <c r="E14290" t="s">
        <v>22</v>
      </c>
      <c r="F14290" t="s">
        <v>19</v>
      </c>
      <c r="G14290" s="1" t="str">
        <f t="shared" si="3274"/>
        <v>X</v>
      </c>
      <c r="H14290" s="1" t="str">
        <f t="shared" si="3274"/>
        <v>X</v>
      </c>
      <c r="I14290" s="1" t="str">
        <f t="shared" si="3274"/>
        <v>X</v>
      </c>
      <c r="J14290" s="1" t="str">
        <f t="shared" si="3274"/>
        <v>X</v>
      </c>
      <c r="K14290" s="1" t="str">
        <f t="shared" si="3274"/>
        <v>X</v>
      </c>
      <c r="L14290" s="1" t="str">
        <f t="shared" si="3274"/>
        <v>X</v>
      </c>
      <c r="M14290" s="1" t="str">
        <f t="shared" si="3274"/>
        <v>X</v>
      </c>
      <c r="N14290" t="s">
        <v>27</v>
      </c>
    </row>
    <row r="14291" spans="1:14" x14ac:dyDescent="0.25">
      <c r="A14291" t="s">
        <v>45</v>
      </c>
      <c r="B14291" t="s">
        <v>39</v>
      </c>
      <c r="C14291" t="s">
        <v>35</v>
      </c>
      <c r="D14291" t="s">
        <v>32</v>
      </c>
      <c r="E14291" t="s">
        <v>22</v>
      </c>
      <c r="F14291" t="s">
        <v>20</v>
      </c>
      <c r="G14291" s="2">
        <f>VALUE(288.56)</f>
        <v>288.56</v>
      </c>
      <c r="H14291" s="3">
        <f>VALUE(274.56)</f>
        <v>274.56</v>
      </c>
      <c r="I14291" s="4">
        <f>VALUE(2674)</f>
        <v>2674</v>
      </c>
      <c r="J14291" s="5">
        <f>VALUE(2900)</f>
        <v>2900</v>
      </c>
      <c r="K14291" s="1">
        <f>VALUE(3791)</f>
        <v>3791</v>
      </c>
      <c r="L14291" s="1">
        <f>VALUE(4550)</f>
        <v>4550</v>
      </c>
      <c r="M14291" s="8">
        <f>VALUE(5202)</f>
        <v>5202</v>
      </c>
      <c r="N14291" t="s">
        <v>25</v>
      </c>
    </row>
    <row r="14292" spans="1:14" x14ac:dyDescent="0.25">
      <c r="A14292" t="s">
        <v>45</v>
      </c>
      <c r="B14292" t="s">
        <v>39</v>
      </c>
      <c r="C14292" t="s">
        <v>35</v>
      </c>
      <c r="D14292" t="s">
        <v>32</v>
      </c>
      <c r="E14292" t="s">
        <v>23</v>
      </c>
      <c r="F14292" t="s">
        <v>15</v>
      </c>
      <c r="G14292" s="2">
        <f>VALUE(367.45)</f>
        <v>367.45</v>
      </c>
      <c r="H14292" s="3">
        <f>VALUE(319.82)</f>
        <v>319.82</v>
      </c>
      <c r="I14292" s="4">
        <f>VALUE(3135)</f>
        <v>3135</v>
      </c>
      <c r="J14292" s="1">
        <f>VALUE(3394)</f>
        <v>3394</v>
      </c>
      <c r="K14292" s="1">
        <f>VALUE(3888)</f>
        <v>3888</v>
      </c>
      <c r="L14292" s="7">
        <f>VALUE(4663)</f>
        <v>4663</v>
      </c>
      <c r="M14292" s="1">
        <f>VALUE(5575)</f>
        <v>5575</v>
      </c>
      <c r="N14292" t="s">
        <v>25</v>
      </c>
    </row>
    <row r="14293" spans="1:14" x14ac:dyDescent="0.25">
      <c r="A14293" t="s">
        <v>45</v>
      </c>
      <c r="B14293" t="s">
        <v>39</v>
      </c>
      <c r="C14293" t="s">
        <v>35</v>
      </c>
      <c r="D14293" t="s">
        <v>32</v>
      </c>
      <c r="E14293" t="s">
        <v>23</v>
      </c>
      <c r="F14293" t="s">
        <v>17</v>
      </c>
      <c r="G14293" s="1" t="str">
        <f t="shared" ref="G14293:M14294" si="3275">"..."</f>
        <v>...</v>
      </c>
      <c r="H14293" s="1" t="str">
        <f t="shared" si="3275"/>
        <v>...</v>
      </c>
      <c r="I14293" s="1" t="str">
        <f t="shared" si="3275"/>
        <v>...</v>
      </c>
      <c r="J14293" s="1" t="str">
        <f t="shared" si="3275"/>
        <v>...</v>
      </c>
      <c r="K14293" s="1" t="str">
        <f t="shared" si="3275"/>
        <v>...</v>
      </c>
      <c r="L14293" s="1" t="str">
        <f t="shared" si="3275"/>
        <v>...</v>
      </c>
      <c r="M14293" s="1" t="str">
        <f t="shared" si="3275"/>
        <v>...</v>
      </c>
      <c r="N14293" t="s">
        <v>30</v>
      </c>
    </row>
    <row r="14294" spans="1:14" x14ac:dyDescent="0.25">
      <c r="A14294" t="s">
        <v>45</v>
      </c>
      <c r="B14294" t="s">
        <v>39</v>
      </c>
      <c r="C14294" t="s">
        <v>35</v>
      </c>
      <c r="D14294" t="s">
        <v>32</v>
      </c>
      <c r="E14294" t="s">
        <v>23</v>
      </c>
      <c r="F14294" t="s">
        <v>18</v>
      </c>
      <c r="G14294" s="1" t="str">
        <f t="shared" si="3275"/>
        <v>...</v>
      </c>
      <c r="H14294" s="1" t="str">
        <f t="shared" si="3275"/>
        <v>...</v>
      </c>
      <c r="I14294" s="1" t="str">
        <f t="shared" si="3275"/>
        <v>...</v>
      </c>
      <c r="J14294" s="1" t="str">
        <f t="shared" si="3275"/>
        <v>...</v>
      </c>
      <c r="K14294" s="1" t="str">
        <f t="shared" si="3275"/>
        <v>...</v>
      </c>
      <c r="L14294" s="1" t="str">
        <f t="shared" si="3275"/>
        <v>...</v>
      </c>
      <c r="M14294" s="1" t="str">
        <f t="shared" si="3275"/>
        <v>...</v>
      </c>
      <c r="N14294" t="s">
        <v>30</v>
      </c>
    </row>
    <row r="14295" spans="1:14" x14ac:dyDescent="0.25">
      <c r="A14295" t="s">
        <v>45</v>
      </c>
      <c r="B14295" t="s">
        <v>39</v>
      </c>
      <c r="C14295" t="s">
        <v>35</v>
      </c>
      <c r="D14295" t="s">
        <v>32</v>
      </c>
      <c r="E14295" t="s">
        <v>23</v>
      </c>
      <c r="F14295" t="s">
        <v>19</v>
      </c>
      <c r="G14295" s="1" t="str">
        <f t="shared" ref="G14295:M14295" si="3276">"X"</f>
        <v>X</v>
      </c>
      <c r="H14295" s="1" t="str">
        <f t="shared" si="3276"/>
        <v>X</v>
      </c>
      <c r="I14295" s="1" t="str">
        <f t="shared" si="3276"/>
        <v>X</v>
      </c>
      <c r="J14295" s="1" t="str">
        <f t="shared" si="3276"/>
        <v>X</v>
      </c>
      <c r="K14295" s="1" t="str">
        <f t="shared" si="3276"/>
        <v>X</v>
      </c>
      <c r="L14295" s="1" t="str">
        <f t="shared" si="3276"/>
        <v>X</v>
      </c>
      <c r="M14295" s="1" t="str">
        <f t="shared" si="3276"/>
        <v>X</v>
      </c>
      <c r="N14295" t="s">
        <v>27</v>
      </c>
    </row>
    <row r="14296" spans="1:14" x14ac:dyDescent="0.25">
      <c r="A14296" t="s">
        <v>45</v>
      </c>
      <c r="B14296" t="s">
        <v>39</v>
      </c>
      <c r="C14296" t="s">
        <v>35</v>
      </c>
      <c r="D14296" t="s">
        <v>32</v>
      </c>
      <c r="E14296" t="s">
        <v>23</v>
      </c>
      <c r="F14296" t="s">
        <v>20</v>
      </c>
      <c r="G14296" s="2">
        <f>VALUE(366.26)</f>
        <v>366.26</v>
      </c>
      <c r="H14296" s="3">
        <f>VALUE(318.52)</f>
        <v>318.52</v>
      </c>
      <c r="I14296" s="4">
        <f>VALUE(3135)</f>
        <v>3135</v>
      </c>
      <c r="J14296" s="1">
        <f>VALUE(3394)</f>
        <v>3394</v>
      </c>
      <c r="K14296" s="1">
        <f>VALUE(3888)</f>
        <v>3888</v>
      </c>
      <c r="L14296" s="7">
        <f>VALUE(4663)</f>
        <v>4663</v>
      </c>
      <c r="M14296" s="1">
        <f>VALUE(5575)</f>
        <v>5575</v>
      </c>
      <c r="N14296" t="s">
        <v>25</v>
      </c>
    </row>
    <row r="14297" spans="1:14" x14ac:dyDescent="0.25">
      <c r="A14297" t="s">
        <v>45</v>
      </c>
      <c r="B14297" t="s">
        <v>39</v>
      </c>
      <c r="C14297" t="s">
        <v>35</v>
      </c>
      <c r="D14297" t="s">
        <v>32</v>
      </c>
      <c r="E14297" t="s">
        <v>26</v>
      </c>
      <c r="F14297" t="s">
        <v>15</v>
      </c>
      <c r="G14297" s="1" t="str">
        <f t="shared" ref="G14297:M14301" si="3277">"..."</f>
        <v>...</v>
      </c>
      <c r="H14297" s="1" t="str">
        <f t="shared" si="3277"/>
        <v>...</v>
      </c>
      <c r="I14297" s="1" t="str">
        <f t="shared" si="3277"/>
        <v>...</v>
      </c>
      <c r="J14297" s="1" t="str">
        <f t="shared" si="3277"/>
        <v>...</v>
      </c>
      <c r="K14297" s="1" t="str">
        <f t="shared" si="3277"/>
        <v>...</v>
      </c>
      <c r="L14297" s="1" t="str">
        <f t="shared" si="3277"/>
        <v>...</v>
      </c>
      <c r="M14297" s="1" t="str">
        <f t="shared" si="3277"/>
        <v>...</v>
      </c>
      <c r="N14297" t="s">
        <v>30</v>
      </c>
    </row>
    <row r="14298" spans="1:14" x14ac:dyDescent="0.25">
      <c r="A14298" t="s">
        <v>45</v>
      </c>
      <c r="B14298" t="s">
        <v>39</v>
      </c>
      <c r="C14298" t="s">
        <v>35</v>
      </c>
      <c r="D14298" t="s">
        <v>32</v>
      </c>
      <c r="E14298" t="s">
        <v>26</v>
      </c>
      <c r="F14298" t="s">
        <v>17</v>
      </c>
      <c r="G14298" s="1" t="str">
        <f t="shared" si="3277"/>
        <v>...</v>
      </c>
      <c r="H14298" s="1" t="str">
        <f t="shared" si="3277"/>
        <v>...</v>
      </c>
      <c r="I14298" s="1" t="str">
        <f t="shared" si="3277"/>
        <v>...</v>
      </c>
      <c r="J14298" s="1" t="str">
        <f t="shared" si="3277"/>
        <v>...</v>
      </c>
      <c r="K14298" s="1" t="str">
        <f t="shared" si="3277"/>
        <v>...</v>
      </c>
      <c r="L14298" s="1" t="str">
        <f t="shared" si="3277"/>
        <v>...</v>
      </c>
      <c r="M14298" s="1" t="str">
        <f t="shared" si="3277"/>
        <v>...</v>
      </c>
      <c r="N14298" t="s">
        <v>30</v>
      </c>
    </row>
    <row r="14299" spans="1:14" x14ac:dyDescent="0.25">
      <c r="A14299" t="s">
        <v>45</v>
      </c>
      <c r="B14299" t="s">
        <v>39</v>
      </c>
      <c r="C14299" t="s">
        <v>35</v>
      </c>
      <c r="D14299" t="s">
        <v>32</v>
      </c>
      <c r="E14299" t="s">
        <v>26</v>
      </c>
      <c r="F14299" t="s">
        <v>18</v>
      </c>
      <c r="G14299" s="1" t="str">
        <f t="shared" si="3277"/>
        <v>...</v>
      </c>
      <c r="H14299" s="1" t="str">
        <f t="shared" si="3277"/>
        <v>...</v>
      </c>
      <c r="I14299" s="1" t="str">
        <f t="shared" si="3277"/>
        <v>...</v>
      </c>
      <c r="J14299" s="1" t="str">
        <f t="shared" si="3277"/>
        <v>...</v>
      </c>
      <c r="K14299" s="1" t="str">
        <f t="shared" si="3277"/>
        <v>...</v>
      </c>
      <c r="L14299" s="1" t="str">
        <f t="shared" si="3277"/>
        <v>...</v>
      </c>
      <c r="M14299" s="1" t="str">
        <f t="shared" si="3277"/>
        <v>...</v>
      </c>
      <c r="N14299" t="s">
        <v>30</v>
      </c>
    </row>
    <row r="14300" spans="1:14" x14ac:dyDescent="0.25">
      <c r="A14300" t="s">
        <v>45</v>
      </c>
      <c r="B14300" t="s">
        <v>39</v>
      </c>
      <c r="C14300" t="s">
        <v>35</v>
      </c>
      <c r="D14300" t="s">
        <v>32</v>
      </c>
      <c r="E14300" t="s">
        <v>26</v>
      </c>
      <c r="F14300" t="s">
        <v>19</v>
      </c>
      <c r="G14300" s="1" t="str">
        <f t="shared" si="3277"/>
        <v>...</v>
      </c>
      <c r="H14300" s="1" t="str">
        <f t="shared" si="3277"/>
        <v>...</v>
      </c>
      <c r="I14300" s="1" t="str">
        <f t="shared" si="3277"/>
        <v>...</v>
      </c>
      <c r="J14300" s="1" t="str">
        <f t="shared" si="3277"/>
        <v>...</v>
      </c>
      <c r="K14300" s="1" t="str">
        <f t="shared" si="3277"/>
        <v>...</v>
      </c>
      <c r="L14300" s="1" t="str">
        <f t="shared" si="3277"/>
        <v>...</v>
      </c>
      <c r="M14300" s="1" t="str">
        <f t="shared" si="3277"/>
        <v>...</v>
      </c>
      <c r="N14300" t="s">
        <v>30</v>
      </c>
    </row>
    <row r="14301" spans="1:14" x14ac:dyDescent="0.25">
      <c r="A14301" t="s">
        <v>45</v>
      </c>
      <c r="B14301" t="s">
        <v>39</v>
      </c>
      <c r="C14301" t="s">
        <v>35</v>
      </c>
      <c r="D14301" t="s">
        <v>32</v>
      </c>
      <c r="E14301" t="s">
        <v>26</v>
      </c>
      <c r="F14301" t="s">
        <v>20</v>
      </c>
      <c r="G14301" s="1" t="str">
        <f t="shared" si="3277"/>
        <v>...</v>
      </c>
      <c r="H14301" s="1" t="str">
        <f t="shared" si="3277"/>
        <v>...</v>
      </c>
      <c r="I14301" s="1" t="str">
        <f t="shared" si="3277"/>
        <v>...</v>
      </c>
      <c r="J14301" s="1" t="str">
        <f t="shared" si="3277"/>
        <v>...</v>
      </c>
      <c r="K14301" s="1" t="str">
        <f t="shared" si="3277"/>
        <v>...</v>
      </c>
      <c r="L14301" s="1" t="str">
        <f t="shared" si="3277"/>
        <v>...</v>
      </c>
      <c r="M14301" s="1" t="str">
        <f t="shared" si="3277"/>
        <v>...</v>
      </c>
      <c r="N14301" t="s">
        <v>30</v>
      </c>
    </row>
    <row r="14302" spans="1:14" x14ac:dyDescent="0.25">
      <c r="A14302" t="s">
        <v>45</v>
      </c>
      <c r="B14302" t="s">
        <v>39</v>
      </c>
      <c r="C14302" t="s">
        <v>35</v>
      </c>
      <c r="D14302" t="s">
        <v>33</v>
      </c>
      <c r="E14302" t="s">
        <v>15</v>
      </c>
      <c r="F14302" t="s">
        <v>15</v>
      </c>
      <c r="G14302" s="1" t="str">
        <f t="shared" ref="G14302:M14302" si="3278">"X"</f>
        <v>X</v>
      </c>
      <c r="H14302" s="1" t="str">
        <f t="shared" si="3278"/>
        <v>X</v>
      </c>
      <c r="I14302" s="1" t="str">
        <f t="shared" si="3278"/>
        <v>X</v>
      </c>
      <c r="J14302" s="1" t="str">
        <f t="shared" si="3278"/>
        <v>X</v>
      </c>
      <c r="K14302" s="1" t="str">
        <f t="shared" si="3278"/>
        <v>X</v>
      </c>
      <c r="L14302" s="1" t="str">
        <f t="shared" si="3278"/>
        <v>X</v>
      </c>
      <c r="M14302" s="1" t="str">
        <f t="shared" si="3278"/>
        <v>X</v>
      </c>
      <c r="N14302" t="s">
        <v>27</v>
      </c>
    </row>
    <row r="14303" spans="1:14" x14ac:dyDescent="0.25">
      <c r="A14303" t="s">
        <v>45</v>
      </c>
      <c r="B14303" t="s">
        <v>39</v>
      </c>
      <c r="C14303" t="s">
        <v>35</v>
      </c>
      <c r="D14303" t="s">
        <v>33</v>
      </c>
      <c r="E14303" t="s">
        <v>15</v>
      </c>
      <c r="F14303" t="s">
        <v>17</v>
      </c>
      <c r="G14303" s="1" t="str">
        <f t="shared" ref="G14303:M14304" si="3279">"..."</f>
        <v>...</v>
      </c>
      <c r="H14303" s="1" t="str">
        <f t="shared" si="3279"/>
        <v>...</v>
      </c>
      <c r="I14303" s="1" t="str">
        <f t="shared" si="3279"/>
        <v>...</v>
      </c>
      <c r="J14303" s="1" t="str">
        <f t="shared" si="3279"/>
        <v>...</v>
      </c>
      <c r="K14303" s="1" t="str">
        <f t="shared" si="3279"/>
        <v>...</v>
      </c>
      <c r="L14303" s="1" t="str">
        <f t="shared" si="3279"/>
        <v>...</v>
      </c>
      <c r="M14303" s="1" t="str">
        <f t="shared" si="3279"/>
        <v>...</v>
      </c>
      <c r="N14303" t="s">
        <v>30</v>
      </c>
    </row>
    <row r="14304" spans="1:14" x14ac:dyDescent="0.25">
      <c r="A14304" t="s">
        <v>45</v>
      </c>
      <c r="B14304" t="s">
        <v>39</v>
      </c>
      <c r="C14304" t="s">
        <v>35</v>
      </c>
      <c r="D14304" t="s">
        <v>33</v>
      </c>
      <c r="E14304" t="s">
        <v>15</v>
      </c>
      <c r="F14304" t="s">
        <v>18</v>
      </c>
      <c r="G14304" s="1" t="str">
        <f t="shared" si="3279"/>
        <v>...</v>
      </c>
      <c r="H14304" s="1" t="str">
        <f t="shared" si="3279"/>
        <v>...</v>
      </c>
      <c r="I14304" s="1" t="str">
        <f t="shared" si="3279"/>
        <v>...</v>
      </c>
      <c r="J14304" s="1" t="str">
        <f t="shared" si="3279"/>
        <v>...</v>
      </c>
      <c r="K14304" s="1" t="str">
        <f t="shared" si="3279"/>
        <v>...</v>
      </c>
      <c r="L14304" s="1" t="str">
        <f t="shared" si="3279"/>
        <v>...</v>
      </c>
      <c r="M14304" s="1" t="str">
        <f t="shared" si="3279"/>
        <v>...</v>
      </c>
      <c r="N14304" t="s">
        <v>30</v>
      </c>
    </row>
    <row r="14305" spans="1:14" x14ac:dyDescent="0.25">
      <c r="A14305" t="s">
        <v>45</v>
      </c>
      <c r="B14305" t="s">
        <v>39</v>
      </c>
      <c r="C14305" t="s">
        <v>35</v>
      </c>
      <c r="D14305" t="s">
        <v>33</v>
      </c>
      <c r="E14305" t="s">
        <v>15</v>
      </c>
      <c r="F14305" t="s">
        <v>19</v>
      </c>
      <c r="G14305" s="1" t="str">
        <f t="shared" ref="G14305:M14306" si="3280">"X"</f>
        <v>X</v>
      </c>
      <c r="H14305" s="1" t="str">
        <f t="shared" si="3280"/>
        <v>X</v>
      </c>
      <c r="I14305" s="1" t="str">
        <f t="shared" si="3280"/>
        <v>X</v>
      </c>
      <c r="J14305" s="1" t="str">
        <f t="shared" si="3280"/>
        <v>X</v>
      </c>
      <c r="K14305" s="1" t="str">
        <f t="shared" si="3280"/>
        <v>X</v>
      </c>
      <c r="L14305" s="1" t="str">
        <f t="shared" si="3280"/>
        <v>X</v>
      </c>
      <c r="M14305" s="1" t="str">
        <f t="shared" si="3280"/>
        <v>X</v>
      </c>
      <c r="N14305" t="s">
        <v>27</v>
      </c>
    </row>
    <row r="14306" spans="1:14" x14ac:dyDescent="0.25">
      <c r="A14306" t="s">
        <v>45</v>
      </c>
      <c r="B14306" t="s">
        <v>39</v>
      </c>
      <c r="C14306" t="s">
        <v>35</v>
      </c>
      <c r="D14306" t="s">
        <v>33</v>
      </c>
      <c r="E14306" t="s">
        <v>15</v>
      </c>
      <c r="F14306" t="s">
        <v>20</v>
      </c>
      <c r="G14306" s="1" t="str">
        <f t="shared" si="3280"/>
        <v>X</v>
      </c>
      <c r="H14306" s="1" t="str">
        <f t="shared" si="3280"/>
        <v>X</v>
      </c>
      <c r="I14306" s="1" t="str">
        <f t="shared" si="3280"/>
        <v>X</v>
      </c>
      <c r="J14306" s="1" t="str">
        <f t="shared" si="3280"/>
        <v>X</v>
      </c>
      <c r="K14306" s="1" t="str">
        <f t="shared" si="3280"/>
        <v>X</v>
      </c>
      <c r="L14306" s="1" t="str">
        <f t="shared" si="3280"/>
        <v>X</v>
      </c>
      <c r="M14306" s="1" t="str">
        <f t="shared" si="3280"/>
        <v>X</v>
      </c>
      <c r="N14306" t="s">
        <v>27</v>
      </c>
    </row>
    <row r="14307" spans="1:14" x14ac:dyDescent="0.25">
      <c r="A14307" t="s">
        <v>45</v>
      </c>
      <c r="B14307" t="s">
        <v>39</v>
      </c>
      <c r="C14307" t="s">
        <v>35</v>
      </c>
      <c r="D14307" t="s">
        <v>33</v>
      </c>
      <c r="E14307" t="s">
        <v>21</v>
      </c>
      <c r="F14307" t="s">
        <v>15</v>
      </c>
      <c r="G14307" s="1" t="str">
        <f t="shared" ref="G14307:M14311" si="3281">"..."</f>
        <v>...</v>
      </c>
      <c r="H14307" s="1" t="str">
        <f t="shared" si="3281"/>
        <v>...</v>
      </c>
      <c r="I14307" s="1" t="str">
        <f t="shared" si="3281"/>
        <v>...</v>
      </c>
      <c r="J14307" s="1" t="str">
        <f t="shared" si="3281"/>
        <v>...</v>
      </c>
      <c r="K14307" s="1" t="str">
        <f t="shared" si="3281"/>
        <v>...</v>
      </c>
      <c r="L14307" s="1" t="str">
        <f t="shared" si="3281"/>
        <v>...</v>
      </c>
      <c r="M14307" s="1" t="str">
        <f t="shared" si="3281"/>
        <v>...</v>
      </c>
      <c r="N14307" t="s">
        <v>30</v>
      </c>
    </row>
    <row r="14308" spans="1:14" x14ac:dyDescent="0.25">
      <c r="A14308" t="s">
        <v>45</v>
      </c>
      <c r="B14308" t="s">
        <v>39</v>
      </c>
      <c r="C14308" t="s">
        <v>35</v>
      </c>
      <c r="D14308" t="s">
        <v>33</v>
      </c>
      <c r="E14308" t="s">
        <v>21</v>
      </c>
      <c r="F14308" t="s">
        <v>17</v>
      </c>
      <c r="G14308" s="1" t="str">
        <f t="shared" si="3281"/>
        <v>...</v>
      </c>
      <c r="H14308" s="1" t="str">
        <f t="shared" si="3281"/>
        <v>...</v>
      </c>
      <c r="I14308" s="1" t="str">
        <f t="shared" si="3281"/>
        <v>...</v>
      </c>
      <c r="J14308" s="1" t="str">
        <f t="shared" si="3281"/>
        <v>...</v>
      </c>
      <c r="K14308" s="1" t="str">
        <f t="shared" si="3281"/>
        <v>...</v>
      </c>
      <c r="L14308" s="1" t="str">
        <f t="shared" si="3281"/>
        <v>...</v>
      </c>
      <c r="M14308" s="1" t="str">
        <f t="shared" si="3281"/>
        <v>...</v>
      </c>
      <c r="N14308" t="s">
        <v>30</v>
      </c>
    </row>
    <row r="14309" spans="1:14" x14ac:dyDescent="0.25">
      <c r="A14309" t="s">
        <v>45</v>
      </c>
      <c r="B14309" t="s">
        <v>39</v>
      </c>
      <c r="C14309" t="s">
        <v>35</v>
      </c>
      <c r="D14309" t="s">
        <v>33</v>
      </c>
      <c r="E14309" t="s">
        <v>21</v>
      </c>
      <c r="F14309" t="s">
        <v>18</v>
      </c>
      <c r="G14309" s="1" t="str">
        <f t="shared" si="3281"/>
        <v>...</v>
      </c>
      <c r="H14309" s="1" t="str">
        <f t="shared" si="3281"/>
        <v>...</v>
      </c>
      <c r="I14309" s="1" t="str">
        <f t="shared" si="3281"/>
        <v>...</v>
      </c>
      <c r="J14309" s="1" t="str">
        <f t="shared" si="3281"/>
        <v>...</v>
      </c>
      <c r="K14309" s="1" t="str">
        <f t="shared" si="3281"/>
        <v>...</v>
      </c>
      <c r="L14309" s="1" t="str">
        <f t="shared" si="3281"/>
        <v>...</v>
      </c>
      <c r="M14309" s="1" t="str">
        <f t="shared" si="3281"/>
        <v>...</v>
      </c>
      <c r="N14309" t="s">
        <v>30</v>
      </c>
    </row>
    <row r="14310" spans="1:14" x14ac:dyDescent="0.25">
      <c r="A14310" t="s">
        <v>45</v>
      </c>
      <c r="B14310" t="s">
        <v>39</v>
      </c>
      <c r="C14310" t="s">
        <v>35</v>
      </c>
      <c r="D14310" t="s">
        <v>33</v>
      </c>
      <c r="E14310" t="s">
        <v>21</v>
      </c>
      <c r="F14310" t="s">
        <v>19</v>
      </c>
      <c r="G14310" s="1" t="str">
        <f t="shared" si="3281"/>
        <v>...</v>
      </c>
      <c r="H14310" s="1" t="str">
        <f t="shared" si="3281"/>
        <v>...</v>
      </c>
      <c r="I14310" s="1" t="str">
        <f t="shared" si="3281"/>
        <v>...</v>
      </c>
      <c r="J14310" s="1" t="str">
        <f t="shared" si="3281"/>
        <v>...</v>
      </c>
      <c r="K14310" s="1" t="str">
        <f t="shared" si="3281"/>
        <v>...</v>
      </c>
      <c r="L14310" s="1" t="str">
        <f t="shared" si="3281"/>
        <v>...</v>
      </c>
      <c r="M14310" s="1" t="str">
        <f t="shared" si="3281"/>
        <v>...</v>
      </c>
      <c r="N14310" t="s">
        <v>30</v>
      </c>
    </row>
    <row r="14311" spans="1:14" x14ac:dyDescent="0.25">
      <c r="A14311" t="s">
        <v>45</v>
      </c>
      <c r="B14311" t="s">
        <v>39</v>
      </c>
      <c r="C14311" t="s">
        <v>35</v>
      </c>
      <c r="D14311" t="s">
        <v>33</v>
      </c>
      <c r="E14311" t="s">
        <v>21</v>
      </c>
      <c r="F14311" t="s">
        <v>20</v>
      </c>
      <c r="G14311" s="1" t="str">
        <f t="shared" si="3281"/>
        <v>...</v>
      </c>
      <c r="H14311" s="1" t="str">
        <f t="shared" si="3281"/>
        <v>...</v>
      </c>
      <c r="I14311" s="1" t="str">
        <f t="shared" si="3281"/>
        <v>...</v>
      </c>
      <c r="J14311" s="1" t="str">
        <f t="shared" si="3281"/>
        <v>...</v>
      </c>
      <c r="K14311" s="1" t="str">
        <f t="shared" si="3281"/>
        <v>...</v>
      </c>
      <c r="L14311" s="1" t="str">
        <f t="shared" si="3281"/>
        <v>...</v>
      </c>
      <c r="M14311" s="1" t="str">
        <f t="shared" si="3281"/>
        <v>...</v>
      </c>
      <c r="N14311" t="s">
        <v>30</v>
      </c>
    </row>
    <row r="14312" spans="1:14" x14ac:dyDescent="0.25">
      <c r="A14312" t="s">
        <v>45</v>
      </c>
      <c r="B14312" t="s">
        <v>39</v>
      </c>
      <c r="C14312" t="s">
        <v>35</v>
      </c>
      <c r="D14312" t="s">
        <v>33</v>
      </c>
      <c r="E14312" t="s">
        <v>22</v>
      </c>
      <c r="F14312" t="s">
        <v>15</v>
      </c>
      <c r="G14312" s="1" t="str">
        <f t="shared" ref="G14312:M14312" si="3282">"X"</f>
        <v>X</v>
      </c>
      <c r="H14312" s="1" t="str">
        <f t="shared" si="3282"/>
        <v>X</v>
      </c>
      <c r="I14312" s="1" t="str">
        <f t="shared" si="3282"/>
        <v>X</v>
      </c>
      <c r="J14312" s="1" t="str">
        <f t="shared" si="3282"/>
        <v>X</v>
      </c>
      <c r="K14312" s="1" t="str">
        <f t="shared" si="3282"/>
        <v>X</v>
      </c>
      <c r="L14312" s="1" t="str">
        <f t="shared" si="3282"/>
        <v>X</v>
      </c>
      <c r="M14312" s="1" t="str">
        <f t="shared" si="3282"/>
        <v>X</v>
      </c>
      <c r="N14312" t="s">
        <v>27</v>
      </c>
    </row>
    <row r="14313" spans="1:14" x14ac:dyDescent="0.25">
      <c r="A14313" t="s">
        <v>45</v>
      </c>
      <c r="B14313" t="s">
        <v>39</v>
      </c>
      <c r="C14313" t="s">
        <v>35</v>
      </c>
      <c r="D14313" t="s">
        <v>33</v>
      </c>
      <c r="E14313" t="s">
        <v>22</v>
      </c>
      <c r="F14313" t="s">
        <v>17</v>
      </c>
      <c r="G14313" s="1" t="str">
        <f t="shared" ref="G14313:M14314" si="3283">"..."</f>
        <v>...</v>
      </c>
      <c r="H14313" s="1" t="str">
        <f t="shared" si="3283"/>
        <v>...</v>
      </c>
      <c r="I14313" s="1" t="str">
        <f t="shared" si="3283"/>
        <v>...</v>
      </c>
      <c r="J14313" s="1" t="str">
        <f t="shared" si="3283"/>
        <v>...</v>
      </c>
      <c r="K14313" s="1" t="str">
        <f t="shared" si="3283"/>
        <v>...</v>
      </c>
      <c r="L14313" s="1" t="str">
        <f t="shared" si="3283"/>
        <v>...</v>
      </c>
      <c r="M14313" s="1" t="str">
        <f t="shared" si="3283"/>
        <v>...</v>
      </c>
      <c r="N14313" t="s">
        <v>30</v>
      </c>
    </row>
    <row r="14314" spans="1:14" x14ac:dyDescent="0.25">
      <c r="A14314" t="s">
        <v>45</v>
      </c>
      <c r="B14314" t="s">
        <v>39</v>
      </c>
      <c r="C14314" t="s">
        <v>35</v>
      </c>
      <c r="D14314" t="s">
        <v>33</v>
      </c>
      <c r="E14314" t="s">
        <v>22</v>
      </c>
      <c r="F14314" t="s">
        <v>18</v>
      </c>
      <c r="G14314" s="1" t="str">
        <f t="shared" si="3283"/>
        <v>...</v>
      </c>
      <c r="H14314" s="1" t="str">
        <f t="shared" si="3283"/>
        <v>...</v>
      </c>
      <c r="I14314" s="1" t="str">
        <f t="shared" si="3283"/>
        <v>...</v>
      </c>
      <c r="J14314" s="1" t="str">
        <f t="shared" si="3283"/>
        <v>...</v>
      </c>
      <c r="K14314" s="1" t="str">
        <f t="shared" si="3283"/>
        <v>...</v>
      </c>
      <c r="L14314" s="1" t="str">
        <f t="shared" si="3283"/>
        <v>...</v>
      </c>
      <c r="M14314" s="1" t="str">
        <f t="shared" si="3283"/>
        <v>...</v>
      </c>
      <c r="N14314" t="s">
        <v>30</v>
      </c>
    </row>
    <row r="14315" spans="1:14" x14ac:dyDescent="0.25">
      <c r="A14315" t="s">
        <v>45</v>
      </c>
      <c r="B14315" t="s">
        <v>39</v>
      </c>
      <c r="C14315" t="s">
        <v>35</v>
      </c>
      <c r="D14315" t="s">
        <v>33</v>
      </c>
      <c r="E14315" t="s">
        <v>22</v>
      </c>
      <c r="F14315" t="s">
        <v>19</v>
      </c>
      <c r="G14315" s="1" t="str">
        <f t="shared" ref="G14315:M14317" si="3284">"X"</f>
        <v>X</v>
      </c>
      <c r="H14315" s="1" t="str">
        <f t="shared" si="3284"/>
        <v>X</v>
      </c>
      <c r="I14315" s="1" t="str">
        <f t="shared" si="3284"/>
        <v>X</v>
      </c>
      <c r="J14315" s="1" t="str">
        <f t="shared" si="3284"/>
        <v>X</v>
      </c>
      <c r="K14315" s="1" t="str">
        <f t="shared" si="3284"/>
        <v>X</v>
      </c>
      <c r="L14315" s="1" t="str">
        <f t="shared" si="3284"/>
        <v>X</v>
      </c>
      <c r="M14315" s="1" t="str">
        <f t="shared" si="3284"/>
        <v>X</v>
      </c>
      <c r="N14315" t="s">
        <v>27</v>
      </c>
    </row>
    <row r="14316" spans="1:14" x14ac:dyDescent="0.25">
      <c r="A14316" t="s">
        <v>45</v>
      </c>
      <c r="B14316" t="s">
        <v>39</v>
      </c>
      <c r="C14316" t="s">
        <v>35</v>
      </c>
      <c r="D14316" t="s">
        <v>33</v>
      </c>
      <c r="E14316" t="s">
        <v>22</v>
      </c>
      <c r="F14316" t="s">
        <v>20</v>
      </c>
      <c r="G14316" s="1" t="str">
        <f t="shared" si="3284"/>
        <v>X</v>
      </c>
      <c r="H14316" s="1" t="str">
        <f t="shared" si="3284"/>
        <v>X</v>
      </c>
      <c r="I14316" s="1" t="str">
        <f t="shared" si="3284"/>
        <v>X</v>
      </c>
      <c r="J14316" s="1" t="str">
        <f t="shared" si="3284"/>
        <v>X</v>
      </c>
      <c r="K14316" s="1" t="str">
        <f t="shared" si="3284"/>
        <v>X</v>
      </c>
      <c r="L14316" s="1" t="str">
        <f t="shared" si="3284"/>
        <v>X</v>
      </c>
      <c r="M14316" s="1" t="str">
        <f t="shared" si="3284"/>
        <v>X</v>
      </c>
      <c r="N14316" t="s">
        <v>27</v>
      </c>
    </row>
    <row r="14317" spans="1:14" x14ac:dyDescent="0.25">
      <c r="A14317" t="s">
        <v>45</v>
      </c>
      <c r="B14317" t="s">
        <v>39</v>
      </c>
      <c r="C14317" t="s">
        <v>35</v>
      </c>
      <c r="D14317" t="s">
        <v>33</v>
      </c>
      <c r="E14317" t="s">
        <v>23</v>
      </c>
      <c r="F14317" t="s">
        <v>15</v>
      </c>
      <c r="G14317" s="1" t="str">
        <f t="shared" si="3284"/>
        <v>X</v>
      </c>
      <c r="H14317" s="1" t="str">
        <f t="shared" si="3284"/>
        <v>X</v>
      </c>
      <c r="I14317" s="1" t="str">
        <f t="shared" si="3284"/>
        <v>X</v>
      </c>
      <c r="J14317" s="1" t="str">
        <f t="shared" si="3284"/>
        <v>X</v>
      </c>
      <c r="K14317" s="1" t="str">
        <f t="shared" si="3284"/>
        <v>X</v>
      </c>
      <c r="L14317" s="1" t="str">
        <f t="shared" si="3284"/>
        <v>X</v>
      </c>
      <c r="M14317" s="1" t="str">
        <f t="shared" si="3284"/>
        <v>X</v>
      </c>
      <c r="N14317" t="s">
        <v>27</v>
      </c>
    </row>
    <row r="14318" spans="1:14" x14ac:dyDescent="0.25">
      <c r="A14318" t="s">
        <v>45</v>
      </c>
      <c r="B14318" t="s">
        <v>39</v>
      </c>
      <c r="C14318" t="s">
        <v>35</v>
      </c>
      <c r="D14318" t="s">
        <v>33</v>
      </c>
      <c r="E14318" t="s">
        <v>23</v>
      </c>
      <c r="F14318" t="s">
        <v>17</v>
      </c>
      <c r="G14318" s="1" t="str">
        <f t="shared" ref="G14318:M14320" si="3285">"..."</f>
        <v>...</v>
      </c>
      <c r="H14318" s="1" t="str">
        <f t="shared" si="3285"/>
        <v>...</v>
      </c>
      <c r="I14318" s="1" t="str">
        <f t="shared" si="3285"/>
        <v>...</v>
      </c>
      <c r="J14318" s="1" t="str">
        <f t="shared" si="3285"/>
        <v>...</v>
      </c>
      <c r="K14318" s="1" t="str">
        <f t="shared" si="3285"/>
        <v>...</v>
      </c>
      <c r="L14318" s="1" t="str">
        <f t="shared" si="3285"/>
        <v>...</v>
      </c>
      <c r="M14318" s="1" t="str">
        <f t="shared" si="3285"/>
        <v>...</v>
      </c>
      <c r="N14318" t="s">
        <v>30</v>
      </c>
    </row>
    <row r="14319" spans="1:14" x14ac:dyDescent="0.25">
      <c r="A14319" t="s">
        <v>45</v>
      </c>
      <c r="B14319" t="s">
        <v>39</v>
      </c>
      <c r="C14319" t="s">
        <v>35</v>
      </c>
      <c r="D14319" t="s">
        <v>33</v>
      </c>
      <c r="E14319" t="s">
        <v>23</v>
      </c>
      <c r="F14319" t="s">
        <v>18</v>
      </c>
      <c r="G14319" s="1" t="str">
        <f t="shared" si="3285"/>
        <v>...</v>
      </c>
      <c r="H14319" s="1" t="str">
        <f t="shared" si="3285"/>
        <v>...</v>
      </c>
      <c r="I14319" s="1" t="str">
        <f t="shared" si="3285"/>
        <v>...</v>
      </c>
      <c r="J14319" s="1" t="str">
        <f t="shared" si="3285"/>
        <v>...</v>
      </c>
      <c r="K14319" s="1" t="str">
        <f t="shared" si="3285"/>
        <v>...</v>
      </c>
      <c r="L14319" s="1" t="str">
        <f t="shared" si="3285"/>
        <v>...</v>
      </c>
      <c r="M14319" s="1" t="str">
        <f t="shared" si="3285"/>
        <v>...</v>
      </c>
      <c r="N14319" t="s">
        <v>30</v>
      </c>
    </row>
    <row r="14320" spans="1:14" x14ac:dyDescent="0.25">
      <c r="A14320" t="s">
        <v>45</v>
      </c>
      <c r="B14320" t="s">
        <v>39</v>
      </c>
      <c r="C14320" t="s">
        <v>35</v>
      </c>
      <c r="D14320" t="s">
        <v>33</v>
      </c>
      <c r="E14320" t="s">
        <v>23</v>
      </c>
      <c r="F14320" t="s">
        <v>19</v>
      </c>
      <c r="G14320" s="1" t="str">
        <f t="shared" si="3285"/>
        <v>...</v>
      </c>
      <c r="H14320" s="1" t="str">
        <f t="shared" si="3285"/>
        <v>...</v>
      </c>
      <c r="I14320" s="1" t="str">
        <f t="shared" si="3285"/>
        <v>...</v>
      </c>
      <c r="J14320" s="1" t="str">
        <f t="shared" si="3285"/>
        <v>...</v>
      </c>
      <c r="K14320" s="1" t="str">
        <f t="shared" si="3285"/>
        <v>...</v>
      </c>
      <c r="L14320" s="1" t="str">
        <f t="shared" si="3285"/>
        <v>...</v>
      </c>
      <c r="M14320" s="1" t="str">
        <f t="shared" si="3285"/>
        <v>...</v>
      </c>
      <c r="N14320" t="s">
        <v>30</v>
      </c>
    </row>
    <row r="14321" spans="1:14" x14ac:dyDescent="0.25">
      <c r="A14321" t="s">
        <v>45</v>
      </c>
      <c r="B14321" t="s">
        <v>39</v>
      </c>
      <c r="C14321" t="s">
        <v>35</v>
      </c>
      <c r="D14321" t="s">
        <v>33</v>
      </c>
      <c r="E14321" t="s">
        <v>23</v>
      </c>
      <c r="F14321" t="s">
        <v>20</v>
      </c>
      <c r="G14321" s="1" t="str">
        <f t="shared" ref="G14321:M14321" si="3286">"X"</f>
        <v>X</v>
      </c>
      <c r="H14321" s="1" t="str">
        <f t="shared" si="3286"/>
        <v>X</v>
      </c>
      <c r="I14321" s="1" t="str">
        <f t="shared" si="3286"/>
        <v>X</v>
      </c>
      <c r="J14321" s="1" t="str">
        <f t="shared" si="3286"/>
        <v>X</v>
      </c>
      <c r="K14321" s="1" t="str">
        <f t="shared" si="3286"/>
        <v>X</v>
      </c>
      <c r="L14321" s="1" t="str">
        <f t="shared" si="3286"/>
        <v>X</v>
      </c>
      <c r="M14321" s="1" t="str">
        <f t="shared" si="3286"/>
        <v>X</v>
      </c>
      <c r="N14321" t="s">
        <v>27</v>
      </c>
    </row>
    <row r="14322" spans="1:14" x14ac:dyDescent="0.25">
      <c r="A14322" t="s">
        <v>45</v>
      </c>
      <c r="B14322" t="s">
        <v>39</v>
      </c>
      <c r="C14322" t="s">
        <v>35</v>
      </c>
      <c r="D14322" t="s">
        <v>33</v>
      </c>
      <c r="E14322" t="s">
        <v>26</v>
      </c>
      <c r="F14322" t="s">
        <v>15</v>
      </c>
      <c r="G14322" s="1" t="str">
        <f t="shared" ref="G14322:M14326" si="3287">"..."</f>
        <v>...</v>
      </c>
      <c r="H14322" s="1" t="str">
        <f t="shared" si="3287"/>
        <v>...</v>
      </c>
      <c r="I14322" s="1" t="str">
        <f t="shared" si="3287"/>
        <v>...</v>
      </c>
      <c r="J14322" s="1" t="str">
        <f t="shared" si="3287"/>
        <v>...</v>
      </c>
      <c r="K14322" s="1" t="str">
        <f t="shared" si="3287"/>
        <v>...</v>
      </c>
      <c r="L14322" s="1" t="str">
        <f t="shared" si="3287"/>
        <v>...</v>
      </c>
      <c r="M14322" s="1" t="str">
        <f t="shared" si="3287"/>
        <v>...</v>
      </c>
      <c r="N14322" t="s">
        <v>30</v>
      </c>
    </row>
    <row r="14323" spans="1:14" x14ac:dyDescent="0.25">
      <c r="A14323" t="s">
        <v>45</v>
      </c>
      <c r="B14323" t="s">
        <v>39</v>
      </c>
      <c r="C14323" t="s">
        <v>35</v>
      </c>
      <c r="D14323" t="s">
        <v>33</v>
      </c>
      <c r="E14323" t="s">
        <v>26</v>
      </c>
      <c r="F14323" t="s">
        <v>17</v>
      </c>
      <c r="G14323" s="1" t="str">
        <f t="shared" si="3287"/>
        <v>...</v>
      </c>
      <c r="H14323" s="1" t="str">
        <f t="shared" si="3287"/>
        <v>...</v>
      </c>
      <c r="I14323" s="1" t="str">
        <f t="shared" si="3287"/>
        <v>...</v>
      </c>
      <c r="J14323" s="1" t="str">
        <f t="shared" si="3287"/>
        <v>...</v>
      </c>
      <c r="K14323" s="1" t="str">
        <f t="shared" si="3287"/>
        <v>...</v>
      </c>
      <c r="L14323" s="1" t="str">
        <f t="shared" si="3287"/>
        <v>...</v>
      </c>
      <c r="M14323" s="1" t="str">
        <f t="shared" si="3287"/>
        <v>...</v>
      </c>
      <c r="N14323" t="s">
        <v>30</v>
      </c>
    </row>
    <row r="14324" spans="1:14" x14ac:dyDescent="0.25">
      <c r="A14324" t="s">
        <v>45</v>
      </c>
      <c r="B14324" t="s">
        <v>39</v>
      </c>
      <c r="C14324" t="s">
        <v>35</v>
      </c>
      <c r="D14324" t="s">
        <v>33</v>
      </c>
      <c r="E14324" t="s">
        <v>26</v>
      </c>
      <c r="F14324" t="s">
        <v>18</v>
      </c>
      <c r="G14324" s="1" t="str">
        <f t="shared" si="3287"/>
        <v>...</v>
      </c>
      <c r="H14324" s="1" t="str">
        <f t="shared" si="3287"/>
        <v>...</v>
      </c>
      <c r="I14324" s="1" t="str">
        <f t="shared" si="3287"/>
        <v>...</v>
      </c>
      <c r="J14324" s="1" t="str">
        <f t="shared" si="3287"/>
        <v>...</v>
      </c>
      <c r="K14324" s="1" t="str">
        <f t="shared" si="3287"/>
        <v>...</v>
      </c>
      <c r="L14324" s="1" t="str">
        <f t="shared" si="3287"/>
        <v>...</v>
      </c>
      <c r="M14324" s="1" t="str">
        <f t="shared" si="3287"/>
        <v>...</v>
      </c>
      <c r="N14324" t="s">
        <v>30</v>
      </c>
    </row>
    <row r="14325" spans="1:14" x14ac:dyDescent="0.25">
      <c r="A14325" t="s">
        <v>45</v>
      </c>
      <c r="B14325" t="s">
        <v>39</v>
      </c>
      <c r="C14325" t="s">
        <v>35</v>
      </c>
      <c r="D14325" t="s">
        <v>33</v>
      </c>
      <c r="E14325" t="s">
        <v>26</v>
      </c>
      <c r="F14325" t="s">
        <v>19</v>
      </c>
      <c r="G14325" s="1" t="str">
        <f t="shared" si="3287"/>
        <v>...</v>
      </c>
      <c r="H14325" s="1" t="str">
        <f t="shared" si="3287"/>
        <v>...</v>
      </c>
      <c r="I14325" s="1" t="str">
        <f t="shared" si="3287"/>
        <v>...</v>
      </c>
      <c r="J14325" s="1" t="str">
        <f t="shared" si="3287"/>
        <v>...</v>
      </c>
      <c r="K14325" s="1" t="str">
        <f t="shared" si="3287"/>
        <v>...</v>
      </c>
      <c r="L14325" s="1" t="str">
        <f t="shared" si="3287"/>
        <v>...</v>
      </c>
      <c r="M14325" s="1" t="str">
        <f t="shared" si="3287"/>
        <v>...</v>
      </c>
      <c r="N14325" t="s">
        <v>30</v>
      </c>
    </row>
    <row r="14326" spans="1:14" x14ac:dyDescent="0.25">
      <c r="A14326" t="s">
        <v>45</v>
      </c>
      <c r="B14326" t="s">
        <v>39</v>
      </c>
      <c r="C14326" t="s">
        <v>35</v>
      </c>
      <c r="D14326" t="s">
        <v>33</v>
      </c>
      <c r="E14326" t="s">
        <v>26</v>
      </c>
      <c r="F14326" t="s">
        <v>20</v>
      </c>
      <c r="G14326" s="1" t="str">
        <f t="shared" si="3287"/>
        <v>...</v>
      </c>
      <c r="H14326" s="1" t="str">
        <f t="shared" si="3287"/>
        <v>...</v>
      </c>
      <c r="I14326" s="1" t="str">
        <f t="shared" si="3287"/>
        <v>...</v>
      </c>
      <c r="J14326" s="1" t="str">
        <f t="shared" si="3287"/>
        <v>...</v>
      </c>
      <c r="K14326" s="1" t="str">
        <f t="shared" si="3287"/>
        <v>...</v>
      </c>
      <c r="L14326" s="1" t="str">
        <f t="shared" si="3287"/>
        <v>...</v>
      </c>
      <c r="M14326" s="1" t="str">
        <f t="shared" si="3287"/>
        <v>...</v>
      </c>
      <c r="N14326" t="s">
        <v>30</v>
      </c>
    </row>
    <row r="14327" spans="1:14" x14ac:dyDescent="0.25">
      <c r="A14327" t="s">
        <v>45</v>
      </c>
      <c r="B14327" t="s">
        <v>39</v>
      </c>
      <c r="C14327" t="s">
        <v>35</v>
      </c>
      <c r="D14327" t="s">
        <v>34</v>
      </c>
      <c r="E14327" t="s">
        <v>15</v>
      </c>
      <c r="F14327" t="s">
        <v>15</v>
      </c>
      <c r="G14327" s="1" t="str">
        <f t="shared" ref="G14327:M14327" si="3288">"X"</f>
        <v>X</v>
      </c>
      <c r="H14327" s="1" t="str">
        <f t="shared" si="3288"/>
        <v>X</v>
      </c>
      <c r="I14327" s="1" t="str">
        <f t="shared" si="3288"/>
        <v>X</v>
      </c>
      <c r="J14327" s="1" t="str">
        <f t="shared" si="3288"/>
        <v>X</v>
      </c>
      <c r="K14327" s="1" t="str">
        <f t="shared" si="3288"/>
        <v>X</v>
      </c>
      <c r="L14327" s="1" t="str">
        <f t="shared" si="3288"/>
        <v>X</v>
      </c>
      <c r="M14327" s="1" t="str">
        <f t="shared" si="3288"/>
        <v>X</v>
      </c>
      <c r="N14327" t="s">
        <v>27</v>
      </c>
    </row>
    <row r="14328" spans="1:14" x14ac:dyDescent="0.25">
      <c r="A14328" t="s">
        <v>45</v>
      </c>
      <c r="B14328" t="s">
        <v>39</v>
      </c>
      <c r="C14328" t="s">
        <v>35</v>
      </c>
      <c r="D14328" t="s">
        <v>34</v>
      </c>
      <c r="E14328" t="s">
        <v>15</v>
      </c>
      <c r="F14328" t="s">
        <v>17</v>
      </c>
      <c r="G14328" s="1" t="str">
        <f t="shared" ref="G14328:M14330" si="3289">"..."</f>
        <v>...</v>
      </c>
      <c r="H14328" s="1" t="str">
        <f t="shared" si="3289"/>
        <v>...</v>
      </c>
      <c r="I14328" s="1" t="str">
        <f t="shared" si="3289"/>
        <v>...</v>
      </c>
      <c r="J14328" s="1" t="str">
        <f t="shared" si="3289"/>
        <v>...</v>
      </c>
      <c r="K14328" s="1" t="str">
        <f t="shared" si="3289"/>
        <v>...</v>
      </c>
      <c r="L14328" s="1" t="str">
        <f t="shared" si="3289"/>
        <v>...</v>
      </c>
      <c r="M14328" s="1" t="str">
        <f t="shared" si="3289"/>
        <v>...</v>
      </c>
      <c r="N14328" t="s">
        <v>30</v>
      </c>
    </row>
    <row r="14329" spans="1:14" x14ac:dyDescent="0.25">
      <c r="A14329" t="s">
        <v>45</v>
      </c>
      <c r="B14329" t="s">
        <v>39</v>
      </c>
      <c r="C14329" t="s">
        <v>35</v>
      </c>
      <c r="D14329" t="s">
        <v>34</v>
      </c>
      <c r="E14329" t="s">
        <v>15</v>
      </c>
      <c r="F14329" t="s">
        <v>18</v>
      </c>
      <c r="G14329" s="1" t="str">
        <f t="shared" si="3289"/>
        <v>...</v>
      </c>
      <c r="H14329" s="1" t="str">
        <f t="shared" si="3289"/>
        <v>...</v>
      </c>
      <c r="I14329" s="1" t="str">
        <f t="shared" si="3289"/>
        <v>...</v>
      </c>
      <c r="J14329" s="1" t="str">
        <f t="shared" si="3289"/>
        <v>...</v>
      </c>
      <c r="K14329" s="1" t="str">
        <f t="shared" si="3289"/>
        <v>...</v>
      </c>
      <c r="L14329" s="1" t="str">
        <f t="shared" si="3289"/>
        <v>...</v>
      </c>
      <c r="M14329" s="1" t="str">
        <f t="shared" si="3289"/>
        <v>...</v>
      </c>
      <c r="N14329" t="s">
        <v>30</v>
      </c>
    </row>
    <row r="14330" spans="1:14" x14ac:dyDescent="0.25">
      <c r="A14330" t="s">
        <v>45</v>
      </c>
      <c r="B14330" t="s">
        <v>39</v>
      </c>
      <c r="C14330" t="s">
        <v>35</v>
      </c>
      <c r="D14330" t="s">
        <v>34</v>
      </c>
      <c r="E14330" t="s">
        <v>15</v>
      </c>
      <c r="F14330" t="s">
        <v>19</v>
      </c>
      <c r="G14330" s="1" t="str">
        <f t="shared" si="3289"/>
        <v>...</v>
      </c>
      <c r="H14330" s="1" t="str">
        <f t="shared" si="3289"/>
        <v>...</v>
      </c>
      <c r="I14330" s="1" t="str">
        <f t="shared" si="3289"/>
        <v>...</v>
      </c>
      <c r="J14330" s="1" t="str">
        <f t="shared" si="3289"/>
        <v>...</v>
      </c>
      <c r="K14330" s="1" t="str">
        <f t="shared" si="3289"/>
        <v>...</v>
      </c>
      <c r="L14330" s="1" t="str">
        <f t="shared" si="3289"/>
        <v>...</v>
      </c>
      <c r="M14330" s="1" t="str">
        <f t="shared" si="3289"/>
        <v>...</v>
      </c>
      <c r="N14330" t="s">
        <v>30</v>
      </c>
    </row>
    <row r="14331" spans="1:14" x14ac:dyDescent="0.25">
      <c r="A14331" t="s">
        <v>45</v>
      </c>
      <c r="B14331" t="s">
        <v>39</v>
      </c>
      <c r="C14331" t="s">
        <v>35</v>
      </c>
      <c r="D14331" t="s">
        <v>34</v>
      </c>
      <c r="E14331" t="s">
        <v>15</v>
      </c>
      <c r="F14331" t="s">
        <v>20</v>
      </c>
      <c r="G14331" s="1" t="str">
        <f t="shared" ref="G14331:M14332" si="3290">"X"</f>
        <v>X</v>
      </c>
      <c r="H14331" s="1" t="str">
        <f t="shared" si="3290"/>
        <v>X</v>
      </c>
      <c r="I14331" s="1" t="str">
        <f t="shared" si="3290"/>
        <v>X</v>
      </c>
      <c r="J14331" s="1" t="str">
        <f t="shared" si="3290"/>
        <v>X</v>
      </c>
      <c r="K14331" s="1" t="str">
        <f t="shared" si="3290"/>
        <v>X</v>
      </c>
      <c r="L14331" s="1" t="str">
        <f t="shared" si="3290"/>
        <v>X</v>
      </c>
      <c r="M14331" s="1" t="str">
        <f t="shared" si="3290"/>
        <v>X</v>
      </c>
      <c r="N14331" t="s">
        <v>27</v>
      </c>
    </row>
    <row r="14332" spans="1:14" x14ac:dyDescent="0.25">
      <c r="A14332" t="s">
        <v>45</v>
      </c>
      <c r="B14332" t="s">
        <v>39</v>
      </c>
      <c r="C14332" t="s">
        <v>35</v>
      </c>
      <c r="D14332" t="s">
        <v>34</v>
      </c>
      <c r="E14332" t="s">
        <v>21</v>
      </c>
      <c r="F14332" t="s">
        <v>15</v>
      </c>
      <c r="G14332" s="1" t="str">
        <f t="shared" si="3290"/>
        <v>X</v>
      </c>
      <c r="H14332" s="1" t="str">
        <f t="shared" si="3290"/>
        <v>X</v>
      </c>
      <c r="I14332" s="1" t="str">
        <f t="shared" si="3290"/>
        <v>X</v>
      </c>
      <c r="J14332" s="1" t="str">
        <f t="shared" si="3290"/>
        <v>X</v>
      </c>
      <c r="K14332" s="1" t="str">
        <f t="shared" si="3290"/>
        <v>X</v>
      </c>
      <c r="L14332" s="1" t="str">
        <f t="shared" si="3290"/>
        <v>X</v>
      </c>
      <c r="M14332" s="1" t="str">
        <f t="shared" si="3290"/>
        <v>X</v>
      </c>
      <c r="N14332" t="s">
        <v>27</v>
      </c>
    </row>
    <row r="14333" spans="1:14" x14ac:dyDescent="0.25">
      <c r="A14333" t="s">
        <v>45</v>
      </c>
      <c r="B14333" t="s">
        <v>39</v>
      </c>
      <c r="C14333" t="s">
        <v>35</v>
      </c>
      <c r="D14333" t="s">
        <v>34</v>
      </c>
      <c r="E14333" t="s">
        <v>21</v>
      </c>
      <c r="F14333" t="s">
        <v>17</v>
      </c>
      <c r="G14333" s="1" t="str">
        <f t="shared" ref="G14333:M14335" si="3291">"..."</f>
        <v>...</v>
      </c>
      <c r="H14333" s="1" t="str">
        <f t="shared" si="3291"/>
        <v>...</v>
      </c>
      <c r="I14333" s="1" t="str">
        <f t="shared" si="3291"/>
        <v>...</v>
      </c>
      <c r="J14333" s="1" t="str">
        <f t="shared" si="3291"/>
        <v>...</v>
      </c>
      <c r="K14333" s="1" t="str">
        <f t="shared" si="3291"/>
        <v>...</v>
      </c>
      <c r="L14333" s="1" t="str">
        <f t="shared" si="3291"/>
        <v>...</v>
      </c>
      <c r="M14333" s="1" t="str">
        <f t="shared" si="3291"/>
        <v>...</v>
      </c>
      <c r="N14333" t="s">
        <v>30</v>
      </c>
    </row>
    <row r="14334" spans="1:14" x14ac:dyDescent="0.25">
      <c r="A14334" t="s">
        <v>45</v>
      </c>
      <c r="B14334" t="s">
        <v>39</v>
      </c>
      <c r="C14334" t="s">
        <v>35</v>
      </c>
      <c r="D14334" t="s">
        <v>34</v>
      </c>
      <c r="E14334" t="s">
        <v>21</v>
      </c>
      <c r="F14334" t="s">
        <v>18</v>
      </c>
      <c r="G14334" s="1" t="str">
        <f t="shared" si="3291"/>
        <v>...</v>
      </c>
      <c r="H14334" s="1" t="str">
        <f t="shared" si="3291"/>
        <v>...</v>
      </c>
      <c r="I14334" s="1" t="str">
        <f t="shared" si="3291"/>
        <v>...</v>
      </c>
      <c r="J14334" s="1" t="str">
        <f t="shared" si="3291"/>
        <v>...</v>
      </c>
      <c r="K14334" s="1" t="str">
        <f t="shared" si="3291"/>
        <v>...</v>
      </c>
      <c r="L14334" s="1" t="str">
        <f t="shared" si="3291"/>
        <v>...</v>
      </c>
      <c r="M14334" s="1" t="str">
        <f t="shared" si="3291"/>
        <v>...</v>
      </c>
      <c r="N14334" t="s">
        <v>30</v>
      </c>
    </row>
    <row r="14335" spans="1:14" x14ac:dyDescent="0.25">
      <c r="A14335" t="s">
        <v>45</v>
      </c>
      <c r="B14335" t="s">
        <v>39</v>
      </c>
      <c r="C14335" t="s">
        <v>35</v>
      </c>
      <c r="D14335" t="s">
        <v>34</v>
      </c>
      <c r="E14335" t="s">
        <v>21</v>
      </c>
      <c r="F14335" t="s">
        <v>19</v>
      </c>
      <c r="G14335" s="1" t="str">
        <f t="shared" si="3291"/>
        <v>...</v>
      </c>
      <c r="H14335" s="1" t="str">
        <f t="shared" si="3291"/>
        <v>...</v>
      </c>
      <c r="I14335" s="1" t="str">
        <f t="shared" si="3291"/>
        <v>...</v>
      </c>
      <c r="J14335" s="1" t="str">
        <f t="shared" si="3291"/>
        <v>...</v>
      </c>
      <c r="K14335" s="1" t="str">
        <f t="shared" si="3291"/>
        <v>...</v>
      </c>
      <c r="L14335" s="1" t="str">
        <f t="shared" si="3291"/>
        <v>...</v>
      </c>
      <c r="M14335" s="1" t="str">
        <f t="shared" si="3291"/>
        <v>...</v>
      </c>
      <c r="N14335" t="s">
        <v>30</v>
      </c>
    </row>
    <row r="14336" spans="1:14" x14ac:dyDescent="0.25">
      <c r="A14336" t="s">
        <v>45</v>
      </c>
      <c r="B14336" t="s">
        <v>39</v>
      </c>
      <c r="C14336" t="s">
        <v>35</v>
      </c>
      <c r="D14336" t="s">
        <v>34</v>
      </c>
      <c r="E14336" t="s">
        <v>21</v>
      </c>
      <c r="F14336" t="s">
        <v>20</v>
      </c>
      <c r="G14336" s="1" t="str">
        <f t="shared" ref="G14336:M14337" si="3292">"X"</f>
        <v>X</v>
      </c>
      <c r="H14336" s="1" t="str">
        <f t="shared" si="3292"/>
        <v>X</v>
      </c>
      <c r="I14336" s="1" t="str">
        <f t="shared" si="3292"/>
        <v>X</v>
      </c>
      <c r="J14336" s="1" t="str">
        <f t="shared" si="3292"/>
        <v>X</v>
      </c>
      <c r="K14336" s="1" t="str">
        <f t="shared" si="3292"/>
        <v>X</v>
      </c>
      <c r="L14336" s="1" t="str">
        <f t="shared" si="3292"/>
        <v>X</v>
      </c>
      <c r="M14336" s="1" t="str">
        <f t="shared" si="3292"/>
        <v>X</v>
      </c>
      <c r="N14336" t="s">
        <v>27</v>
      </c>
    </row>
    <row r="14337" spans="1:14" x14ac:dyDescent="0.25">
      <c r="A14337" t="s">
        <v>45</v>
      </c>
      <c r="B14337" t="s">
        <v>39</v>
      </c>
      <c r="C14337" t="s">
        <v>35</v>
      </c>
      <c r="D14337" t="s">
        <v>34</v>
      </c>
      <c r="E14337" t="s">
        <v>22</v>
      </c>
      <c r="F14337" t="s">
        <v>15</v>
      </c>
      <c r="G14337" s="1" t="str">
        <f t="shared" si="3292"/>
        <v>X</v>
      </c>
      <c r="H14337" s="1" t="str">
        <f t="shared" si="3292"/>
        <v>X</v>
      </c>
      <c r="I14337" s="1" t="str">
        <f t="shared" si="3292"/>
        <v>X</v>
      </c>
      <c r="J14337" s="1" t="str">
        <f t="shared" si="3292"/>
        <v>X</v>
      </c>
      <c r="K14337" s="1" t="str">
        <f t="shared" si="3292"/>
        <v>X</v>
      </c>
      <c r="L14337" s="1" t="str">
        <f t="shared" si="3292"/>
        <v>X</v>
      </c>
      <c r="M14337" s="1" t="str">
        <f t="shared" si="3292"/>
        <v>X</v>
      </c>
      <c r="N14337" t="s">
        <v>27</v>
      </c>
    </row>
    <row r="14338" spans="1:14" x14ac:dyDescent="0.25">
      <c r="A14338" t="s">
        <v>45</v>
      </c>
      <c r="B14338" t="s">
        <v>39</v>
      </c>
      <c r="C14338" t="s">
        <v>35</v>
      </c>
      <c r="D14338" t="s">
        <v>34</v>
      </c>
      <c r="E14338" t="s">
        <v>22</v>
      </c>
      <c r="F14338" t="s">
        <v>17</v>
      </c>
      <c r="G14338" s="1" t="str">
        <f t="shared" ref="G14338:M14340" si="3293">"..."</f>
        <v>...</v>
      </c>
      <c r="H14338" s="1" t="str">
        <f t="shared" si="3293"/>
        <v>...</v>
      </c>
      <c r="I14338" s="1" t="str">
        <f t="shared" si="3293"/>
        <v>...</v>
      </c>
      <c r="J14338" s="1" t="str">
        <f t="shared" si="3293"/>
        <v>...</v>
      </c>
      <c r="K14338" s="1" t="str">
        <f t="shared" si="3293"/>
        <v>...</v>
      </c>
      <c r="L14338" s="1" t="str">
        <f t="shared" si="3293"/>
        <v>...</v>
      </c>
      <c r="M14338" s="1" t="str">
        <f t="shared" si="3293"/>
        <v>...</v>
      </c>
      <c r="N14338" t="s">
        <v>30</v>
      </c>
    </row>
    <row r="14339" spans="1:14" x14ac:dyDescent="0.25">
      <c r="A14339" t="s">
        <v>45</v>
      </c>
      <c r="B14339" t="s">
        <v>39</v>
      </c>
      <c r="C14339" t="s">
        <v>35</v>
      </c>
      <c r="D14339" t="s">
        <v>34</v>
      </c>
      <c r="E14339" t="s">
        <v>22</v>
      </c>
      <c r="F14339" t="s">
        <v>18</v>
      </c>
      <c r="G14339" s="1" t="str">
        <f t="shared" si="3293"/>
        <v>...</v>
      </c>
      <c r="H14339" s="1" t="str">
        <f t="shared" si="3293"/>
        <v>...</v>
      </c>
      <c r="I14339" s="1" t="str">
        <f t="shared" si="3293"/>
        <v>...</v>
      </c>
      <c r="J14339" s="1" t="str">
        <f t="shared" si="3293"/>
        <v>...</v>
      </c>
      <c r="K14339" s="1" t="str">
        <f t="shared" si="3293"/>
        <v>...</v>
      </c>
      <c r="L14339" s="1" t="str">
        <f t="shared" si="3293"/>
        <v>...</v>
      </c>
      <c r="M14339" s="1" t="str">
        <f t="shared" si="3293"/>
        <v>...</v>
      </c>
      <c r="N14339" t="s">
        <v>30</v>
      </c>
    </row>
    <row r="14340" spans="1:14" x14ac:dyDescent="0.25">
      <c r="A14340" t="s">
        <v>45</v>
      </c>
      <c r="B14340" t="s">
        <v>39</v>
      </c>
      <c r="C14340" t="s">
        <v>35</v>
      </c>
      <c r="D14340" t="s">
        <v>34</v>
      </c>
      <c r="E14340" t="s">
        <v>22</v>
      </c>
      <c r="F14340" t="s">
        <v>19</v>
      </c>
      <c r="G14340" s="1" t="str">
        <f t="shared" si="3293"/>
        <v>...</v>
      </c>
      <c r="H14340" s="1" t="str">
        <f t="shared" si="3293"/>
        <v>...</v>
      </c>
      <c r="I14340" s="1" t="str">
        <f t="shared" si="3293"/>
        <v>...</v>
      </c>
      <c r="J14340" s="1" t="str">
        <f t="shared" si="3293"/>
        <v>...</v>
      </c>
      <c r="K14340" s="1" t="str">
        <f t="shared" si="3293"/>
        <v>...</v>
      </c>
      <c r="L14340" s="1" t="str">
        <f t="shared" si="3293"/>
        <v>...</v>
      </c>
      <c r="M14340" s="1" t="str">
        <f t="shared" si="3293"/>
        <v>...</v>
      </c>
      <c r="N14340" t="s">
        <v>30</v>
      </c>
    </row>
    <row r="14341" spans="1:14" x14ac:dyDescent="0.25">
      <c r="A14341" t="s">
        <v>45</v>
      </c>
      <c r="B14341" t="s">
        <v>39</v>
      </c>
      <c r="C14341" t="s">
        <v>35</v>
      </c>
      <c r="D14341" t="s">
        <v>34</v>
      </c>
      <c r="E14341" t="s">
        <v>22</v>
      </c>
      <c r="F14341" t="s">
        <v>20</v>
      </c>
      <c r="G14341" s="1" t="str">
        <f t="shared" ref="G14341:M14342" si="3294">"X"</f>
        <v>X</v>
      </c>
      <c r="H14341" s="1" t="str">
        <f t="shared" si="3294"/>
        <v>X</v>
      </c>
      <c r="I14341" s="1" t="str">
        <f t="shared" si="3294"/>
        <v>X</v>
      </c>
      <c r="J14341" s="1" t="str">
        <f t="shared" si="3294"/>
        <v>X</v>
      </c>
      <c r="K14341" s="1" t="str">
        <f t="shared" si="3294"/>
        <v>X</v>
      </c>
      <c r="L14341" s="1" t="str">
        <f t="shared" si="3294"/>
        <v>X</v>
      </c>
      <c r="M14341" s="1" t="str">
        <f t="shared" si="3294"/>
        <v>X</v>
      </c>
      <c r="N14341" t="s">
        <v>27</v>
      </c>
    </row>
    <row r="14342" spans="1:14" x14ac:dyDescent="0.25">
      <c r="A14342" t="s">
        <v>45</v>
      </c>
      <c r="B14342" t="s">
        <v>39</v>
      </c>
      <c r="C14342" t="s">
        <v>35</v>
      </c>
      <c r="D14342" t="s">
        <v>34</v>
      </c>
      <c r="E14342" t="s">
        <v>23</v>
      </c>
      <c r="F14342" t="s">
        <v>15</v>
      </c>
      <c r="G14342" s="1" t="str">
        <f t="shared" si="3294"/>
        <v>X</v>
      </c>
      <c r="H14342" s="1" t="str">
        <f t="shared" si="3294"/>
        <v>X</v>
      </c>
      <c r="I14342" s="1" t="str">
        <f t="shared" si="3294"/>
        <v>X</v>
      </c>
      <c r="J14342" s="1" t="str">
        <f t="shared" si="3294"/>
        <v>X</v>
      </c>
      <c r="K14342" s="1" t="str">
        <f t="shared" si="3294"/>
        <v>X</v>
      </c>
      <c r="L14342" s="1" t="str">
        <f t="shared" si="3294"/>
        <v>X</v>
      </c>
      <c r="M14342" s="1" t="str">
        <f t="shared" si="3294"/>
        <v>X</v>
      </c>
      <c r="N14342" t="s">
        <v>27</v>
      </c>
    </row>
    <row r="14343" spans="1:14" x14ac:dyDescent="0.25">
      <c r="A14343" t="s">
        <v>45</v>
      </c>
      <c r="B14343" t="s">
        <v>39</v>
      </c>
      <c r="C14343" t="s">
        <v>35</v>
      </c>
      <c r="D14343" t="s">
        <v>34</v>
      </c>
      <c r="E14343" t="s">
        <v>23</v>
      </c>
      <c r="F14343" t="s">
        <v>17</v>
      </c>
      <c r="G14343" s="1" t="str">
        <f t="shared" ref="G14343:M14345" si="3295">"..."</f>
        <v>...</v>
      </c>
      <c r="H14343" s="1" t="str">
        <f t="shared" si="3295"/>
        <v>...</v>
      </c>
      <c r="I14343" s="1" t="str">
        <f t="shared" si="3295"/>
        <v>...</v>
      </c>
      <c r="J14343" s="1" t="str">
        <f t="shared" si="3295"/>
        <v>...</v>
      </c>
      <c r="K14343" s="1" t="str">
        <f t="shared" si="3295"/>
        <v>...</v>
      </c>
      <c r="L14343" s="1" t="str">
        <f t="shared" si="3295"/>
        <v>...</v>
      </c>
      <c r="M14343" s="1" t="str">
        <f t="shared" si="3295"/>
        <v>...</v>
      </c>
      <c r="N14343" t="s">
        <v>30</v>
      </c>
    </row>
    <row r="14344" spans="1:14" x14ac:dyDescent="0.25">
      <c r="A14344" t="s">
        <v>45</v>
      </c>
      <c r="B14344" t="s">
        <v>39</v>
      </c>
      <c r="C14344" t="s">
        <v>35</v>
      </c>
      <c r="D14344" t="s">
        <v>34</v>
      </c>
      <c r="E14344" t="s">
        <v>23</v>
      </c>
      <c r="F14344" t="s">
        <v>18</v>
      </c>
      <c r="G14344" s="1" t="str">
        <f t="shared" si="3295"/>
        <v>...</v>
      </c>
      <c r="H14344" s="1" t="str">
        <f t="shared" si="3295"/>
        <v>...</v>
      </c>
      <c r="I14344" s="1" t="str">
        <f t="shared" si="3295"/>
        <v>...</v>
      </c>
      <c r="J14344" s="1" t="str">
        <f t="shared" si="3295"/>
        <v>...</v>
      </c>
      <c r="K14344" s="1" t="str">
        <f t="shared" si="3295"/>
        <v>...</v>
      </c>
      <c r="L14344" s="1" t="str">
        <f t="shared" si="3295"/>
        <v>...</v>
      </c>
      <c r="M14344" s="1" t="str">
        <f t="shared" si="3295"/>
        <v>...</v>
      </c>
      <c r="N14344" t="s">
        <v>30</v>
      </c>
    </row>
    <row r="14345" spans="1:14" x14ac:dyDescent="0.25">
      <c r="A14345" t="s">
        <v>45</v>
      </c>
      <c r="B14345" t="s">
        <v>39</v>
      </c>
      <c r="C14345" t="s">
        <v>35</v>
      </c>
      <c r="D14345" t="s">
        <v>34</v>
      </c>
      <c r="E14345" t="s">
        <v>23</v>
      </c>
      <c r="F14345" t="s">
        <v>19</v>
      </c>
      <c r="G14345" s="1" t="str">
        <f t="shared" si="3295"/>
        <v>...</v>
      </c>
      <c r="H14345" s="1" t="str">
        <f t="shared" si="3295"/>
        <v>...</v>
      </c>
      <c r="I14345" s="1" t="str">
        <f t="shared" si="3295"/>
        <v>...</v>
      </c>
      <c r="J14345" s="1" t="str">
        <f t="shared" si="3295"/>
        <v>...</v>
      </c>
      <c r="K14345" s="1" t="str">
        <f t="shared" si="3295"/>
        <v>...</v>
      </c>
      <c r="L14345" s="1" t="str">
        <f t="shared" si="3295"/>
        <v>...</v>
      </c>
      <c r="M14345" s="1" t="str">
        <f t="shared" si="3295"/>
        <v>...</v>
      </c>
      <c r="N14345" t="s">
        <v>30</v>
      </c>
    </row>
    <row r="14346" spans="1:14" x14ac:dyDescent="0.25">
      <c r="A14346" t="s">
        <v>45</v>
      </c>
      <c r="B14346" t="s">
        <v>39</v>
      </c>
      <c r="C14346" t="s">
        <v>35</v>
      </c>
      <c r="D14346" t="s">
        <v>34</v>
      </c>
      <c r="E14346" t="s">
        <v>23</v>
      </c>
      <c r="F14346" t="s">
        <v>20</v>
      </c>
      <c r="G14346" s="1" t="str">
        <f t="shared" ref="G14346:M14347" si="3296">"X"</f>
        <v>X</v>
      </c>
      <c r="H14346" s="1" t="str">
        <f t="shared" si="3296"/>
        <v>X</v>
      </c>
      <c r="I14346" s="1" t="str">
        <f t="shared" si="3296"/>
        <v>X</v>
      </c>
      <c r="J14346" s="1" t="str">
        <f t="shared" si="3296"/>
        <v>X</v>
      </c>
      <c r="K14346" s="1" t="str">
        <f t="shared" si="3296"/>
        <v>X</v>
      </c>
      <c r="L14346" s="1" t="str">
        <f t="shared" si="3296"/>
        <v>X</v>
      </c>
      <c r="M14346" s="1" t="str">
        <f t="shared" si="3296"/>
        <v>X</v>
      </c>
      <c r="N14346" t="s">
        <v>27</v>
      </c>
    </row>
    <row r="14347" spans="1:14" x14ac:dyDescent="0.25">
      <c r="A14347" t="s">
        <v>45</v>
      </c>
      <c r="B14347" t="s">
        <v>39</v>
      </c>
      <c r="C14347" t="s">
        <v>35</v>
      </c>
      <c r="D14347" t="s">
        <v>34</v>
      </c>
      <c r="E14347" t="s">
        <v>26</v>
      </c>
      <c r="F14347" t="s">
        <v>15</v>
      </c>
      <c r="G14347" s="1" t="str">
        <f t="shared" si="3296"/>
        <v>X</v>
      </c>
      <c r="H14347" s="1" t="str">
        <f t="shared" si="3296"/>
        <v>X</v>
      </c>
      <c r="I14347" s="1" t="str">
        <f t="shared" si="3296"/>
        <v>X</v>
      </c>
      <c r="J14347" s="1" t="str">
        <f t="shared" si="3296"/>
        <v>X</v>
      </c>
      <c r="K14347" s="1" t="str">
        <f t="shared" si="3296"/>
        <v>X</v>
      </c>
      <c r="L14347" s="1" t="str">
        <f t="shared" si="3296"/>
        <v>X</v>
      </c>
      <c r="M14347" s="1" t="str">
        <f t="shared" si="3296"/>
        <v>X</v>
      </c>
      <c r="N14347" t="s">
        <v>27</v>
      </c>
    </row>
    <row r="14348" spans="1:14" x14ac:dyDescent="0.25">
      <c r="A14348" t="s">
        <v>45</v>
      </c>
      <c r="B14348" t="s">
        <v>39</v>
      </c>
      <c r="C14348" t="s">
        <v>35</v>
      </c>
      <c r="D14348" t="s">
        <v>34</v>
      </c>
      <c r="E14348" t="s">
        <v>26</v>
      </c>
      <c r="F14348" t="s">
        <v>17</v>
      </c>
      <c r="G14348" s="1" t="str">
        <f t="shared" ref="G14348:M14350" si="3297">"..."</f>
        <v>...</v>
      </c>
      <c r="H14348" s="1" t="str">
        <f t="shared" si="3297"/>
        <v>...</v>
      </c>
      <c r="I14348" s="1" t="str">
        <f t="shared" si="3297"/>
        <v>...</v>
      </c>
      <c r="J14348" s="1" t="str">
        <f t="shared" si="3297"/>
        <v>...</v>
      </c>
      <c r="K14348" s="1" t="str">
        <f t="shared" si="3297"/>
        <v>...</v>
      </c>
      <c r="L14348" s="1" t="str">
        <f t="shared" si="3297"/>
        <v>...</v>
      </c>
      <c r="M14348" s="1" t="str">
        <f t="shared" si="3297"/>
        <v>...</v>
      </c>
      <c r="N14348" t="s">
        <v>30</v>
      </c>
    </row>
    <row r="14349" spans="1:14" x14ac:dyDescent="0.25">
      <c r="A14349" t="s">
        <v>45</v>
      </c>
      <c r="B14349" t="s">
        <v>39</v>
      </c>
      <c r="C14349" t="s">
        <v>35</v>
      </c>
      <c r="D14349" t="s">
        <v>34</v>
      </c>
      <c r="E14349" t="s">
        <v>26</v>
      </c>
      <c r="F14349" t="s">
        <v>18</v>
      </c>
      <c r="G14349" s="1" t="str">
        <f t="shared" si="3297"/>
        <v>...</v>
      </c>
      <c r="H14349" s="1" t="str">
        <f t="shared" si="3297"/>
        <v>...</v>
      </c>
      <c r="I14349" s="1" t="str">
        <f t="shared" si="3297"/>
        <v>...</v>
      </c>
      <c r="J14349" s="1" t="str">
        <f t="shared" si="3297"/>
        <v>...</v>
      </c>
      <c r="K14349" s="1" t="str">
        <f t="shared" si="3297"/>
        <v>...</v>
      </c>
      <c r="L14349" s="1" t="str">
        <f t="shared" si="3297"/>
        <v>...</v>
      </c>
      <c r="M14349" s="1" t="str">
        <f t="shared" si="3297"/>
        <v>...</v>
      </c>
      <c r="N14349" t="s">
        <v>30</v>
      </c>
    </row>
    <row r="14350" spans="1:14" x14ac:dyDescent="0.25">
      <c r="A14350" t="s">
        <v>45</v>
      </c>
      <c r="B14350" t="s">
        <v>39</v>
      </c>
      <c r="C14350" t="s">
        <v>35</v>
      </c>
      <c r="D14350" t="s">
        <v>34</v>
      </c>
      <c r="E14350" t="s">
        <v>26</v>
      </c>
      <c r="F14350" t="s">
        <v>19</v>
      </c>
      <c r="G14350" s="1" t="str">
        <f t="shared" si="3297"/>
        <v>...</v>
      </c>
      <c r="H14350" s="1" t="str">
        <f t="shared" si="3297"/>
        <v>...</v>
      </c>
      <c r="I14350" s="1" t="str">
        <f t="shared" si="3297"/>
        <v>...</v>
      </c>
      <c r="J14350" s="1" t="str">
        <f t="shared" si="3297"/>
        <v>...</v>
      </c>
      <c r="K14350" s="1" t="str">
        <f t="shared" si="3297"/>
        <v>...</v>
      </c>
      <c r="L14350" s="1" t="str">
        <f t="shared" si="3297"/>
        <v>...</v>
      </c>
      <c r="M14350" s="1" t="str">
        <f t="shared" si="3297"/>
        <v>...</v>
      </c>
      <c r="N14350" t="s">
        <v>30</v>
      </c>
    </row>
    <row r="14351" spans="1:14" x14ac:dyDescent="0.25">
      <c r="A14351" t="s">
        <v>45</v>
      </c>
      <c r="B14351" t="s">
        <v>39</v>
      </c>
      <c r="C14351" t="s">
        <v>35</v>
      </c>
      <c r="D14351" t="s">
        <v>34</v>
      </c>
      <c r="E14351" t="s">
        <v>26</v>
      </c>
      <c r="F14351" t="s">
        <v>20</v>
      </c>
      <c r="G14351" s="1" t="str">
        <f t="shared" ref="G14351:M14351" si="3298">"X"</f>
        <v>X</v>
      </c>
      <c r="H14351" s="1" t="str">
        <f t="shared" si="3298"/>
        <v>X</v>
      </c>
      <c r="I14351" s="1" t="str">
        <f t="shared" si="3298"/>
        <v>X</v>
      </c>
      <c r="J14351" s="1" t="str">
        <f t="shared" si="3298"/>
        <v>X</v>
      </c>
      <c r="K14351" s="1" t="str">
        <f t="shared" si="3298"/>
        <v>X</v>
      </c>
      <c r="L14351" s="1" t="str">
        <f t="shared" si="3298"/>
        <v>X</v>
      </c>
      <c r="M14351" s="1" t="str">
        <f t="shared" si="3298"/>
        <v>X</v>
      </c>
      <c r="N14351" t="s">
        <v>27</v>
      </c>
    </row>
    <row r="14352" spans="1:14" x14ac:dyDescent="0.25">
      <c r="A14352" t="s">
        <v>45</v>
      </c>
      <c r="B14352" t="s">
        <v>39</v>
      </c>
      <c r="C14352" t="s">
        <v>36</v>
      </c>
      <c r="D14352" t="s">
        <v>15</v>
      </c>
      <c r="E14352" t="s">
        <v>15</v>
      </c>
      <c r="F14352" t="s">
        <v>15</v>
      </c>
      <c r="G14352" s="1">
        <f>VALUE(15397.7)</f>
        <v>15397.7</v>
      </c>
      <c r="H14352" s="1">
        <f>VALUE(15120.3)</f>
        <v>15120.3</v>
      </c>
      <c r="I14352" s="1">
        <f>VALUE(3420)</f>
        <v>3420</v>
      </c>
      <c r="J14352" s="1">
        <f>VALUE(3921)</f>
        <v>3921</v>
      </c>
      <c r="K14352" s="1">
        <f>VALUE(4830)</f>
        <v>4830</v>
      </c>
      <c r="L14352" s="1">
        <f>VALUE(5690)</f>
        <v>5690</v>
      </c>
      <c r="M14352" s="1">
        <f>VALUE(7000)</f>
        <v>7000</v>
      </c>
      <c r="N14352" t="s">
        <v>16</v>
      </c>
    </row>
    <row r="14353" spans="1:14" x14ac:dyDescent="0.25">
      <c r="A14353" t="s">
        <v>45</v>
      </c>
      <c r="B14353" t="s">
        <v>39</v>
      </c>
      <c r="C14353" t="s">
        <v>36</v>
      </c>
      <c r="D14353" t="s">
        <v>15</v>
      </c>
      <c r="E14353" t="s">
        <v>15</v>
      </c>
      <c r="F14353" t="s">
        <v>17</v>
      </c>
      <c r="G14353" s="2">
        <f>VALUE(1150.78)</f>
        <v>1150.78</v>
      </c>
      <c r="H14353" s="3">
        <f>VALUE(1138.33)</f>
        <v>1138.33</v>
      </c>
      <c r="I14353" s="4">
        <f>VALUE(4244)</f>
        <v>4244</v>
      </c>
      <c r="J14353" s="1">
        <f>VALUE(5079)</f>
        <v>5079</v>
      </c>
      <c r="K14353" s="6">
        <f>VALUE(6157)</f>
        <v>6157</v>
      </c>
      <c r="L14353" s="1">
        <f>VALUE(8367)</f>
        <v>8367</v>
      </c>
      <c r="M14353" s="8">
        <f>VALUE(10204)</f>
        <v>10204</v>
      </c>
      <c r="N14353" t="s">
        <v>25</v>
      </c>
    </row>
    <row r="14354" spans="1:14" x14ac:dyDescent="0.25">
      <c r="A14354" t="s">
        <v>45</v>
      </c>
      <c r="B14354" t="s">
        <v>39</v>
      </c>
      <c r="C14354" t="s">
        <v>36</v>
      </c>
      <c r="D14354" t="s">
        <v>15</v>
      </c>
      <c r="E14354" t="s">
        <v>15</v>
      </c>
      <c r="F14354" t="s">
        <v>18</v>
      </c>
      <c r="G14354" s="2">
        <f>VALUE(1561.25)</f>
        <v>1561.25</v>
      </c>
      <c r="H14354" s="3">
        <f>VALUE(1544.09)</f>
        <v>1544.09</v>
      </c>
      <c r="I14354" s="4">
        <f>VALUE(4151)</f>
        <v>4151</v>
      </c>
      <c r="J14354" s="1">
        <f>VALUE(4839)</f>
        <v>4839</v>
      </c>
      <c r="K14354" s="1">
        <f>VALUE(5525)</f>
        <v>5525</v>
      </c>
      <c r="L14354" s="1">
        <f>VALUE(6311)</f>
        <v>6311</v>
      </c>
      <c r="M14354" s="1">
        <f>VALUE(7760)</f>
        <v>7760</v>
      </c>
      <c r="N14354" t="s">
        <v>25</v>
      </c>
    </row>
    <row r="14355" spans="1:14" x14ac:dyDescent="0.25">
      <c r="A14355" t="s">
        <v>45</v>
      </c>
      <c r="B14355" t="s">
        <v>39</v>
      </c>
      <c r="C14355" t="s">
        <v>36</v>
      </c>
      <c r="D14355" t="s">
        <v>15</v>
      </c>
      <c r="E14355" t="s">
        <v>15</v>
      </c>
      <c r="F14355" t="s">
        <v>19</v>
      </c>
      <c r="G14355" s="2">
        <f>VALUE(1666.69)</f>
        <v>1666.69</v>
      </c>
      <c r="H14355" s="3">
        <f>VALUE(1640.2)</f>
        <v>1640.2</v>
      </c>
      <c r="I14355" s="1">
        <f>VALUE(3405)</f>
        <v>3405</v>
      </c>
      <c r="J14355" s="1">
        <f>VALUE(4055)</f>
        <v>4055</v>
      </c>
      <c r="K14355" s="1">
        <f>VALUE(4846)</f>
        <v>4846</v>
      </c>
      <c r="L14355" s="1">
        <f>VALUE(6150)</f>
        <v>6150</v>
      </c>
      <c r="M14355" s="1">
        <f>VALUE(7370)</f>
        <v>7370</v>
      </c>
      <c r="N14355" t="s">
        <v>25</v>
      </c>
    </row>
    <row r="14356" spans="1:14" x14ac:dyDescent="0.25">
      <c r="A14356" t="s">
        <v>45</v>
      </c>
      <c r="B14356" t="s">
        <v>39</v>
      </c>
      <c r="C14356" t="s">
        <v>36</v>
      </c>
      <c r="D14356" t="s">
        <v>15</v>
      </c>
      <c r="E14356" t="s">
        <v>15</v>
      </c>
      <c r="F14356" t="s">
        <v>20</v>
      </c>
      <c r="G14356" s="1">
        <f>VALUE(11018.98)</f>
        <v>11018.98</v>
      </c>
      <c r="H14356" s="1">
        <f>VALUE(10797.68)</f>
        <v>10797.68</v>
      </c>
      <c r="I14356" s="1">
        <f>VALUE(3382)</f>
        <v>3382</v>
      </c>
      <c r="J14356" s="1">
        <f>VALUE(3837)</f>
        <v>3837</v>
      </c>
      <c r="K14356" s="1">
        <f>VALUE(4550)</f>
        <v>4550</v>
      </c>
      <c r="L14356" s="1">
        <f>VALUE(5417)</f>
        <v>5417</v>
      </c>
      <c r="M14356" s="1">
        <f>VALUE(6333)</f>
        <v>6333</v>
      </c>
      <c r="N14356" t="s">
        <v>16</v>
      </c>
    </row>
    <row r="14357" spans="1:14" x14ac:dyDescent="0.25">
      <c r="A14357" t="s">
        <v>45</v>
      </c>
      <c r="B14357" t="s">
        <v>39</v>
      </c>
      <c r="C14357" t="s">
        <v>36</v>
      </c>
      <c r="D14357" t="s">
        <v>15</v>
      </c>
      <c r="E14357" t="s">
        <v>21</v>
      </c>
      <c r="F14357" t="s">
        <v>15</v>
      </c>
      <c r="G14357" s="1">
        <f>VALUE(4961.17)</f>
        <v>4961.17</v>
      </c>
      <c r="H14357" s="1">
        <f>VALUE(4901.47)</f>
        <v>4901.47</v>
      </c>
      <c r="I14357" s="1">
        <f>VALUE(3592)</f>
        <v>3592</v>
      </c>
      <c r="J14357" s="1">
        <f>VALUE(4332)</f>
        <v>4332</v>
      </c>
      <c r="K14357" s="1">
        <f>VALUE(5281)</f>
        <v>5281</v>
      </c>
      <c r="L14357" s="1">
        <f>VALUE(6588)</f>
        <v>6588</v>
      </c>
      <c r="M14357" s="1">
        <f>VALUE(8254)</f>
        <v>8254</v>
      </c>
      <c r="N14357" t="s">
        <v>16</v>
      </c>
    </row>
    <row r="14358" spans="1:14" x14ac:dyDescent="0.25">
      <c r="A14358" t="s">
        <v>45</v>
      </c>
      <c r="B14358" t="s">
        <v>39</v>
      </c>
      <c r="C14358" t="s">
        <v>36</v>
      </c>
      <c r="D14358" t="s">
        <v>15</v>
      </c>
      <c r="E14358" t="s">
        <v>21</v>
      </c>
      <c r="F14358" t="s">
        <v>17</v>
      </c>
      <c r="G14358" s="2">
        <f>VALUE(704.66)</f>
        <v>704.66</v>
      </c>
      <c r="H14358" s="3">
        <f>VALUE(694.79)</f>
        <v>694.79</v>
      </c>
      <c r="I14358" s="1">
        <f>VALUE(4361)</f>
        <v>4361</v>
      </c>
      <c r="J14358" s="1">
        <f>VALUE(5079)</f>
        <v>5079</v>
      </c>
      <c r="K14358" s="6">
        <f>VALUE(6031)</f>
        <v>6031</v>
      </c>
      <c r="L14358" s="7">
        <f>VALUE(7644)</f>
        <v>7644</v>
      </c>
      <c r="M14358" s="8">
        <f>VALUE(11351)</f>
        <v>11351</v>
      </c>
      <c r="N14358" t="s">
        <v>25</v>
      </c>
    </row>
    <row r="14359" spans="1:14" x14ac:dyDescent="0.25">
      <c r="A14359" t="s">
        <v>45</v>
      </c>
      <c r="B14359" t="s">
        <v>39</v>
      </c>
      <c r="C14359" t="s">
        <v>36</v>
      </c>
      <c r="D14359" t="s">
        <v>15</v>
      </c>
      <c r="E14359" t="s">
        <v>21</v>
      </c>
      <c r="F14359" t="s">
        <v>18</v>
      </c>
      <c r="G14359" s="2">
        <f>VALUE(605.88)</f>
        <v>605.88</v>
      </c>
      <c r="H14359" s="3">
        <f>VALUE(602.67)</f>
        <v>602.66999999999996</v>
      </c>
      <c r="I14359" s="1">
        <f>VALUE(4357)</f>
        <v>4357</v>
      </c>
      <c r="J14359" s="1">
        <f>VALUE(5190)</f>
        <v>5190</v>
      </c>
      <c r="K14359" s="1">
        <f>VALUE(6266)</f>
        <v>6266</v>
      </c>
      <c r="L14359" s="1">
        <f>VALUE(7532)</f>
        <v>7532</v>
      </c>
      <c r="M14359" s="8">
        <f>VALUE(8788)</f>
        <v>8788</v>
      </c>
      <c r="N14359" t="s">
        <v>25</v>
      </c>
    </row>
    <row r="14360" spans="1:14" x14ac:dyDescent="0.25">
      <c r="A14360" t="s">
        <v>45</v>
      </c>
      <c r="B14360" t="s">
        <v>39</v>
      </c>
      <c r="C14360" t="s">
        <v>36</v>
      </c>
      <c r="D14360" t="s">
        <v>15</v>
      </c>
      <c r="E14360" t="s">
        <v>21</v>
      </c>
      <c r="F14360" t="s">
        <v>19</v>
      </c>
      <c r="G14360" s="2">
        <f>VALUE(753.57)</f>
        <v>753.57</v>
      </c>
      <c r="H14360" s="3">
        <f>VALUE(719.49)</f>
        <v>719.49</v>
      </c>
      <c r="I14360" s="4">
        <f>VALUE(3231)</f>
        <v>3231</v>
      </c>
      <c r="J14360" s="1">
        <f>VALUE(4412)</f>
        <v>4412</v>
      </c>
      <c r="K14360" s="1">
        <f>VALUE(5552)</f>
        <v>5552</v>
      </c>
      <c r="L14360" s="1">
        <f>VALUE(7027)</f>
        <v>7027</v>
      </c>
      <c r="M14360" s="1">
        <f>VALUE(8571)</f>
        <v>8571</v>
      </c>
      <c r="N14360" t="s">
        <v>25</v>
      </c>
    </row>
    <row r="14361" spans="1:14" x14ac:dyDescent="0.25">
      <c r="A14361" t="s">
        <v>45</v>
      </c>
      <c r="B14361" t="s">
        <v>39</v>
      </c>
      <c r="C14361" t="s">
        <v>36</v>
      </c>
      <c r="D14361" t="s">
        <v>15</v>
      </c>
      <c r="E14361" t="s">
        <v>21</v>
      </c>
      <c r="F14361" t="s">
        <v>20</v>
      </c>
      <c r="G14361" s="2">
        <f>VALUE(2897.06)</f>
        <v>2897.06</v>
      </c>
      <c r="H14361" s="3">
        <f>VALUE(2884.52)</f>
        <v>2884.52</v>
      </c>
      <c r="I14361" s="1">
        <f>VALUE(3535)</f>
        <v>3535</v>
      </c>
      <c r="J14361" s="1">
        <f>VALUE(3989)</f>
        <v>3989</v>
      </c>
      <c r="K14361" s="1">
        <f>VALUE(4889)</f>
        <v>4889</v>
      </c>
      <c r="L14361" s="1">
        <f>VALUE(5990)</f>
        <v>5990</v>
      </c>
      <c r="M14361" s="1">
        <f>VALUE(7150)</f>
        <v>7150</v>
      </c>
      <c r="N14361" t="s">
        <v>25</v>
      </c>
    </row>
    <row r="14362" spans="1:14" x14ac:dyDescent="0.25">
      <c r="A14362" t="s">
        <v>45</v>
      </c>
      <c r="B14362" t="s">
        <v>39</v>
      </c>
      <c r="C14362" t="s">
        <v>36</v>
      </c>
      <c r="D14362" t="s">
        <v>15</v>
      </c>
      <c r="E14362" t="s">
        <v>22</v>
      </c>
      <c r="F14362" t="s">
        <v>15</v>
      </c>
      <c r="G14362" s="1">
        <f>VALUE(6421.5)</f>
        <v>6421.5</v>
      </c>
      <c r="H14362" s="1">
        <f>VALUE(6342.53)</f>
        <v>6342.53</v>
      </c>
      <c r="I14362" s="1">
        <f>VALUE(3442)</f>
        <v>3442</v>
      </c>
      <c r="J14362" s="1">
        <f>VALUE(4127)</f>
        <v>4127</v>
      </c>
      <c r="K14362" s="1">
        <f>VALUE(4846)</f>
        <v>4846</v>
      </c>
      <c r="L14362" s="1">
        <f>VALUE(5544)</f>
        <v>5544</v>
      </c>
      <c r="M14362" s="1">
        <f>VALUE(6588)</f>
        <v>6588</v>
      </c>
      <c r="N14362" t="s">
        <v>16</v>
      </c>
    </row>
    <row r="14363" spans="1:14" x14ac:dyDescent="0.25">
      <c r="A14363" t="s">
        <v>45</v>
      </c>
      <c r="B14363" t="s">
        <v>39</v>
      </c>
      <c r="C14363" t="s">
        <v>36</v>
      </c>
      <c r="D14363" t="s">
        <v>15</v>
      </c>
      <c r="E14363" t="s">
        <v>22</v>
      </c>
      <c r="F14363" t="s">
        <v>17</v>
      </c>
      <c r="G14363" s="2">
        <f>VALUE(408.61)</f>
        <v>408.61</v>
      </c>
      <c r="H14363" s="3">
        <f>VALUE(405.92)</f>
        <v>405.92</v>
      </c>
      <c r="I14363" s="4">
        <f>VALUE(3750)</f>
        <v>3750</v>
      </c>
      <c r="J14363" s="1">
        <f>VALUE(5092)</f>
        <v>5092</v>
      </c>
      <c r="K14363" s="6">
        <f>VALUE(8163)</f>
        <v>8163</v>
      </c>
      <c r="L14363" s="1">
        <f>VALUE(8367)</f>
        <v>8367</v>
      </c>
      <c r="M14363" s="8">
        <f>VALUE(8645)</f>
        <v>8645</v>
      </c>
      <c r="N14363" t="s">
        <v>25</v>
      </c>
    </row>
    <row r="14364" spans="1:14" x14ac:dyDescent="0.25">
      <c r="A14364" t="s">
        <v>45</v>
      </c>
      <c r="B14364" t="s">
        <v>39</v>
      </c>
      <c r="C14364" t="s">
        <v>36</v>
      </c>
      <c r="D14364" t="s">
        <v>15</v>
      </c>
      <c r="E14364" t="s">
        <v>22</v>
      </c>
      <c r="F14364" t="s">
        <v>18</v>
      </c>
      <c r="G14364" s="2">
        <f>VALUE(725.68)</f>
        <v>725.68</v>
      </c>
      <c r="H14364" s="3">
        <f>VALUE(705.74)</f>
        <v>705.74</v>
      </c>
      <c r="I14364" s="4">
        <f>VALUE(4184)</f>
        <v>4184</v>
      </c>
      <c r="J14364" s="1">
        <f>VALUE(4752)</f>
        <v>4752</v>
      </c>
      <c r="K14364" s="1">
        <f>VALUE(5525)</f>
        <v>5525</v>
      </c>
      <c r="L14364" s="1">
        <f>VALUE(6015)</f>
        <v>6015</v>
      </c>
      <c r="M14364" s="1">
        <f>VALUE(6554)</f>
        <v>6554</v>
      </c>
      <c r="N14364" t="s">
        <v>25</v>
      </c>
    </row>
    <row r="14365" spans="1:14" x14ac:dyDescent="0.25">
      <c r="A14365" t="s">
        <v>45</v>
      </c>
      <c r="B14365" t="s">
        <v>39</v>
      </c>
      <c r="C14365" t="s">
        <v>36</v>
      </c>
      <c r="D14365" t="s">
        <v>15</v>
      </c>
      <c r="E14365" t="s">
        <v>22</v>
      </c>
      <c r="F14365" t="s">
        <v>19</v>
      </c>
      <c r="G14365" s="2">
        <f>VALUE(752.65)</f>
        <v>752.65</v>
      </c>
      <c r="H14365" s="3">
        <f>VALUE(754.39)</f>
        <v>754.39</v>
      </c>
      <c r="I14365" s="1">
        <f>VALUE(3553)</f>
        <v>3553</v>
      </c>
      <c r="J14365" s="1">
        <f>VALUE(4024)</f>
        <v>4024</v>
      </c>
      <c r="K14365" s="1">
        <f>VALUE(4664)</f>
        <v>4664</v>
      </c>
      <c r="L14365" s="1">
        <f>VALUE(5417)</f>
        <v>5417</v>
      </c>
      <c r="M14365" s="1">
        <f>VALUE(6588)</f>
        <v>6588</v>
      </c>
      <c r="N14365" t="s">
        <v>25</v>
      </c>
    </row>
    <row r="14366" spans="1:14" x14ac:dyDescent="0.25">
      <c r="A14366" t="s">
        <v>45</v>
      </c>
      <c r="B14366" t="s">
        <v>39</v>
      </c>
      <c r="C14366" t="s">
        <v>36</v>
      </c>
      <c r="D14366" t="s">
        <v>15</v>
      </c>
      <c r="E14366" t="s">
        <v>22</v>
      </c>
      <c r="F14366" t="s">
        <v>20</v>
      </c>
      <c r="G14366" s="1">
        <f>VALUE(4534.56)</f>
        <v>4534.5600000000004</v>
      </c>
      <c r="H14366" s="1">
        <f>VALUE(4476.48)</f>
        <v>4476.4799999999996</v>
      </c>
      <c r="I14366" s="1">
        <f>VALUE(3405)</f>
        <v>3405</v>
      </c>
      <c r="J14366" s="1">
        <f>VALUE(3989)</f>
        <v>3989</v>
      </c>
      <c r="K14366" s="1">
        <f>VALUE(4708)</f>
        <v>4708</v>
      </c>
      <c r="L14366" s="1">
        <f>VALUE(5390)</f>
        <v>5390</v>
      </c>
      <c r="M14366" s="1">
        <f>VALUE(6185)</f>
        <v>6185</v>
      </c>
      <c r="N14366" t="s">
        <v>16</v>
      </c>
    </row>
    <row r="14367" spans="1:14" x14ac:dyDescent="0.25">
      <c r="A14367" t="s">
        <v>45</v>
      </c>
      <c r="B14367" t="s">
        <v>39</v>
      </c>
      <c r="C14367" t="s">
        <v>36</v>
      </c>
      <c r="D14367" t="s">
        <v>15</v>
      </c>
      <c r="E14367" t="s">
        <v>23</v>
      </c>
      <c r="F14367" t="s">
        <v>15</v>
      </c>
      <c r="G14367" s="2">
        <f>VALUE(3871.79)</f>
        <v>3871.79</v>
      </c>
      <c r="H14367" s="3">
        <f>VALUE(3738.45)</f>
        <v>3738.45</v>
      </c>
      <c r="I14367" s="1">
        <f>VALUE(3276)</f>
        <v>3276</v>
      </c>
      <c r="J14367" s="1">
        <f>VALUE(3571)</f>
        <v>3571</v>
      </c>
      <c r="K14367" s="1">
        <f>VALUE(4195)</f>
        <v>4195</v>
      </c>
      <c r="L14367" s="1">
        <f>VALUE(5093)</f>
        <v>5093</v>
      </c>
      <c r="M14367" s="1">
        <f>VALUE(5681)</f>
        <v>5681</v>
      </c>
      <c r="N14367" t="s">
        <v>25</v>
      </c>
    </row>
    <row r="14368" spans="1:14" x14ac:dyDescent="0.25">
      <c r="A14368" t="s">
        <v>45</v>
      </c>
      <c r="B14368" t="s">
        <v>39</v>
      </c>
      <c r="C14368" t="s">
        <v>36</v>
      </c>
      <c r="D14368" t="s">
        <v>15</v>
      </c>
      <c r="E14368" t="s">
        <v>23</v>
      </c>
      <c r="F14368" t="s">
        <v>17</v>
      </c>
      <c r="G14368" s="1" t="str">
        <f t="shared" ref="G14368:M14369" si="3299">"X"</f>
        <v>X</v>
      </c>
      <c r="H14368" s="1" t="str">
        <f t="shared" si="3299"/>
        <v>X</v>
      </c>
      <c r="I14368" s="1" t="str">
        <f t="shared" si="3299"/>
        <v>X</v>
      </c>
      <c r="J14368" s="1" t="str">
        <f t="shared" si="3299"/>
        <v>X</v>
      </c>
      <c r="K14368" s="1" t="str">
        <f t="shared" si="3299"/>
        <v>X</v>
      </c>
      <c r="L14368" s="1" t="str">
        <f t="shared" si="3299"/>
        <v>X</v>
      </c>
      <c r="M14368" s="1" t="str">
        <f t="shared" si="3299"/>
        <v>X</v>
      </c>
      <c r="N14368" t="s">
        <v>27</v>
      </c>
    </row>
    <row r="14369" spans="1:14" x14ac:dyDescent="0.25">
      <c r="A14369" t="s">
        <v>45</v>
      </c>
      <c r="B14369" t="s">
        <v>39</v>
      </c>
      <c r="C14369" t="s">
        <v>36</v>
      </c>
      <c r="D14369" t="s">
        <v>15</v>
      </c>
      <c r="E14369" t="s">
        <v>23</v>
      </c>
      <c r="F14369" t="s">
        <v>18</v>
      </c>
      <c r="G14369" s="1" t="str">
        <f t="shared" si="3299"/>
        <v>X</v>
      </c>
      <c r="H14369" s="1" t="str">
        <f t="shared" si="3299"/>
        <v>X</v>
      </c>
      <c r="I14369" s="1" t="str">
        <f t="shared" si="3299"/>
        <v>X</v>
      </c>
      <c r="J14369" s="1" t="str">
        <f t="shared" si="3299"/>
        <v>X</v>
      </c>
      <c r="K14369" s="1" t="str">
        <f t="shared" si="3299"/>
        <v>X</v>
      </c>
      <c r="L14369" s="1" t="str">
        <f t="shared" si="3299"/>
        <v>X</v>
      </c>
      <c r="M14369" s="1" t="str">
        <f t="shared" si="3299"/>
        <v>X</v>
      </c>
      <c r="N14369" t="s">
        <v>27</v>
      </c>
    </row>
    <row r="14370" spans="1:14" x14ac:dyDescent="0.25">
      <c r="A14370" t="s">
        <v>45</v>
      </c>
      <c r="B14370" t="s">
        <v>39</v>
      </c>
      <c r="C14370" t="s">
        <v>36</v>
      </c>
      <c r="D14370" t="s">
        <v>15</v>
      </c>
      <c r="E14370" t="s">
        <v>23</v>
      </c>
      <c r="F14370" t="s">
        <v>19</v>
      </c>
      <c r="G14370" s="2">
        <f>VALUE(158.99)</f>
        <v>158.99</v>
      </c>
      <c r="H14370" s="3">
        <f>VALUE(164.8)</f>
        <v>164.8</v>
      </c>
      <c r="I14370" s="4">
        <f>VALUE(3422)</f>
        <v>3422</v>
      </c>
      <c r="J14370" s="1">
        <f>VALUE(3662)</f>
        <v>3662</v>
      </c>
      <c r="K14370" s="1">
        <f>VALUE(4063)</f>
        <v>4063</v>
      </c>
      <c r="L14370" s="1">
        <f>VALUE(4830)</f>
        <v>4830</v>
      </c>
      <c r="M14370" s="1">
        <f>VALUE(6454)</f>
        <v>6454</v>
      </c>
      <c r="N14370" t="s">
        <v>25</v>
      </c>
    </row>
    <row r="14371" spans="1:14" x14ac:dyDescent="0.25">
      <c r="A14371" t="s">
        <v>45</v>
      </c>
      <c r="B14371" t="s">
        <v>39</v>
      </c>
      <c r="C14371" t="s">
        <v>36</v>
      </c>
      <c r="D14371" t="s">
        <v>15</v>
      </c>
      <c r="E14371" t="s">
        <v>23</v>
      </c>
      <c r="F14371" t="s">
        <v>20</v>
      </c>
      <c r="G14371" s="2">
        <f>VALUE(3464.31)</f>
        <v>3464.31</v>
      </c>
      <c r="H14371" s="3">
        <f>VALUE(3317.61)</f>
        <v>3317.61</v>
      </c>
      <c r="I14371" s="1">
        <f>VALUE(3263)</f>
        <v>3263</v>
      </c>
      <c r="J14371" s="1">
        <f>VALUE(3549)</f>
        <v>3549</v>
      </c>
      <c r="K14371" s="1">
        <f>VALUE(4122)</f>
        <v>4122</v>
      </c>
      <c r="L14371" s="1">
        <f>VALUE(4936)</f>
        <v>4936</v>
      </c>
      <c r="M14371" s="1">
        <f>VALUE(5689)</f>
        <v>5689</v>
      </c>
      <c r="N14371" t="s">
        <v>25</v>
      </c>
    </row>
    <row r="14372" spans="1:14" x14ac:dyDescent="0.25">
      <c r="A14372" t="s">
        <v>45</v>
      </c>
      <c r="B14372" t="s">
        <v>39</v>
      </c>
      <c r="C14372" t="s">
        <v>36</v>
      </c>
      <c r="D14372" t="s">
        <v>15</v>
      </c>
      <c r="E14372" t="s">
        <v>26</v>
      </c>
      <c r="F14372" t="s">
        <v>15</v>
      </c>
      <c r="G14372" s="1" t="str">
        <f t="shared" ref="G14372:M14376" si="3300">"X"</f>
        <v>X</v>
      </c>
      <c r="H14372" s="1" t="str">
        <f t="shared" si="3300"/>
        <v>X</v>
      </c>
      <c r="I14372" s="1" t="str">
        <f t="shared" si="3300"/>
        <v>X</v>
      </c>
      <c r="J14372" s="1" t="str">
        <f t="shared" si="3300"/>
        <v>X</v>
      </c>
      <c r="K14372" s="1" t="str">
        <f t="shared" si="3300"/>
        <v>X</v>
      </c>
      <c r="L14372" s="1" t="str">
        <f t="shared" si="3300"/>
        <v>X</v>
      </c>
      <c r="M14372" s="1" t="str">
        <f t="shared" si="3300"/>
        <v>X</v>
      </c>
      <c r="N14372" t="s">
        <v>27</v>
      </c>
    </row>
    <row r="14373" spans="1:14" x14ac:dyDescent="0.25">
      <c r="A14373" t="s">
        <v>45</v>
      </c>
      <c r="B14373" t="s">
        <v>39</v>
      </c>
      <c r="C14373" t="s">
        <v>36</v>
      </c>
      <c r="D14373" t="s">
        <v>15</v>
      </c>
      <c r="E14373" t="s">
        <v>26</v>
      </c>
      <c r="F14373" t="s">
        <v>17</v>
      </c>
      <c r="G14373" s="1" t="str">
        <f t="shared" si="3300"/>
        <v>X</v>
      </c>
      <c r="H14373" s="1" t="str">
        <f t="shared" si="3300"/>
        <v>X</v>
      </c>
      <c r="I14373" s="1" t="str">
        <f t="shared" si="3300"/>
        <v>X</v>
      </c>
      <c r="J14373" s="1" t="str">
        <f t="shared" si="3300"/>
        <v>X</v>
      </c>
      <c r="K14373" s="1" t="str">
        <f t="shared" si="3300"/>
        <v>X</v>
      </c>
      <c r="L14373" s="1" t="str">
        <f t="shared" si="3300"/>
        <v>X</v>
      </c>
      <c r="M14373" s="1" t="str">
        <f t="shared" si="3300"/>
        <v>X</v>
      </c>
      <c r="N14373" t="s">
        <v>27</v>
      </c>
    </row>
    <row r="14374" spans="1:14" x14ac:dyDescent="0.25">
      <c r="A14374" t="s">
        <v>45</v>
      </c>
      <c r="B14374" t="s">
        <v>39</v>
      </c>
      <c r="C14374" t="s">
        <v>36</v>
      </c>
      <c r="D14374" t="s">
        <v>15</v>
      </c>
      <c r="E14374" t="s">
        <v>26</v>
      </c>
      <c r="F14374" t="s">
        <v>18</v>
      </c>
      <c r="G14374" s="1" t="str">
        <f t="shared" si="3300"/>
        <v>X</v>
      </c>
      <c r="H14374" s="1" t="str">
        <f t="shared" si="3300"/>
        <v>X</v>
      </c>
      <c r="I14374" s="1" t="str">
        <f t="shared" si="3300"/>
        <v>X</v>
      </c>
      <c r="J14374" s="1" t="str">
        <f t="shared" si="3300"/>
        <v>X</v>
      </c>
      <c r="K14374" s="1" t="str">
        <f t="shared" si="3300"/>
        <v>X</v>
      </c>
      <c r="L14374" s="1" t="str">
        <f t="shared" si="3300"/>
        <v>X</v>
      </c>
      <c r="M14374" s="1" t="str">
        <f t="shared" si="3300"/>
        <v>X</v>
      </c>
      <c r="N14374" t="s">
        <v>27</v>
      </c>
    </row>
    <row r="14375" spans="1:14" x14ac:dyDescent="0.25">
      <c r="A14375" t="s">
        <v>45</v>
      </c>
      <c r="B14375" t="s">
        <v>39</v>
      </c>
      <c r="C14375" t="s">
        <v>36</v>
      </c>
      <c r="D14375" t="s">
        <v>15</v>
      </c>
      <c r="E14375" t="s">
        <v>26</v>
      </c>
      <c r="F14375" t="s">
        <v>19</v>
      </c>
      <c r="G14375" s="1" t="str">
        <f t="shared" si="3300"/>
        <v>X</v>
      </c>
      <c r="H14375" s="1" t="str">
        <f t="shared" si="3300"/>
        <v>X</v>
      </c>
      <c r="I14375" s="1" t="str">
        <f t="shared" si="3300"/>
        <v>X</v>
      </c>
      <c r="J14375" s="1" t="str">
        <f t="shared" si="3300"/>
        <v>X</v>
      </c>
      <c r="K14375" s="1" t="str">
        <f t="shared" si="3300"/>
        <v>X</v>
      </c>
      <c r="L14375" s="1" t="str">
        <f t="shared" si="3300"/>
        <v>X</v>
      </c>
      <c r="M14375" s="1" t="str">
        <f t="shared" si="3300"/>
        <v>X</v>
      </c>
      <c r="N14375" t="s">
        <v>27</v>
      </c>
    </row>
    <row r="14376" spans="1:14" x14ac:dyDescent="0.25">
      <c r="A14376" t="s">
        <v>45</v>
      </c>
      <c r="B14376" t="s">
        <v>39</v>
      </c>
      <c r="C14376" t="s">
        <v>36</v>
      </c>
      <c r="D14376" t="s">
        <v>15</v>
      </c>
      <c r="E14376" t="s">
        <v>26</v>
      </c>
      <c r="F14376" t="s">
        <v>20</v>
      </c>
      <c r="G14376" s="1" t="str">
        <f t="shared" si="3300"/>
        <v>X</v>
      </c>
      <c r="H14376" s="1" t="str">
        <f t="shared" si="3300"/>
        <v>X</v>
      </c>
      <c r="I14376" s="1" t="str">
        <f t="shared" si="3300"/>
        <v>X</v>
      </c>
      <c r="J14376" s="1" t="str">
        <f t="shared" si="3300"/>
        <v>X</v>
      </c>
      <c r="K14376" s="1" t="str">
        <f t="shared" si="3300"/>
        <v>X</v>
      </c>
      <c r="L14376" s="1" t="str">
        <f t="shared" si="3300"/>
        <v>X</v>
      </c>
      <c r="M14376" s="1" t="str">
        <f t="shared" si="3300"/>
        <v>X</v>
      </c>
      <c r="N14376" t="s">
        <v>27</v>
      </c>
    </row>
    <row r="14377" spans="1:14" x14ac:dyDescent="0.25">
      <c r="A14377" t="s">
        <v>45</v>
      </c>
      <c r="B14377" t="s">
        <v>39</v>
      </c>
      <c r="C14377" t="s">
        <v>36</v>
      </c>
      <c r="D14377" t="s">
        <v>28</v>
      </c>
      <c r="E14377" t="s">
        <v>15</v>
      </c>
      <c r="F14377" t="s">
        <v>15</v>
      </c>
      <c r="G14377" s="2">
        <f>VALUE(4661.37)</f>
        <v>4661.37</v>
      </c>
      <c r="H14377" s="3">
        <f>VALUE(4559.91)</f>
        <v>4559.91</v>
      </c>
      <c r="I14377" s="1">
        <f>VALUE(4015)</f>
        <v>4015</v>
      </c>
      <c r="J14377" s="1">
        <f>VALUE(4641)</f>
        <v>4641</v>
      </c>
      <c r="K14377" s="1">
        <f>VALUE(5308)</f>
        <v>5308</v>
      </c>
      <c r="L14377" s="1">
        <f>VALUE(6283)</f>
        <v>6283</v>
      </c>
      <c r="M14377" s="1">
        <f>VALUE(7889)</f>
        <v>7889</v>
      </c>
      <c r="N14377" t="s">
        <v>25</v>
      </c>
    </row>
    <row r="14378" spans="1:14" x14ac:dyDescent="0.25">
      <c r="A14378" t="s">
        <v>45</v>
      </c>
      <c r="B14378" t="s">
        <v>39</v>
      </c>
      <c r="C14378" t="s">
        <v>36</v>
      </c>
      <c r="D14378" t="s">
        <v>28</v>
      </c>
      <c r="E14378" t="s">
        <v>15</v>
      </c>
      <c r="F14378" t="s">
        <v>17</v>
      </c>
      <c r="G14378" s="2">
        <f>VALUE(646.68)</f>
        <v>646.67999999999995</v>
      </c>
      <c r="H14378" s="3">
        <f>VALUE(644.47)</f>
        <v>644.47</v>
      </c>
      <c r="I14378" s="4">
        <f>VALUE(4345)</f>
        <v>4345</v>
      </c>
      <c r="J14378" s="1">
        <f>VALUE(5079)</f>
        <v>5079</v>
      </c>
      <c r="K14378" s="1">
        <f>VALUE(5938)</f>
        <v>5938</v>
      </c>
      <c r="L14378" s="1">
        <f>VALUE(8367)</f>
        <v>8367</v>
      </c>
      <c r="M14378" s="8">
        <f>VALUE(8430)</f>
        <v>8430</v>
      </c>
      <c r="N14378" t="s">
        <v>25</v>
      </c>
    </row>
    <row r="14379" spans="1:14" x14ac:dyDescent="0.25">
      <c r="A14379" t="s">
        <v>45</v>
      </c>
      <c r="B14379" t="s">
        <v>39</v>
      </c>
      <c r="C14379" t="s">
        <v>36</v>
      </c>
      <c r="D14379" t="s">
        <v>28</v>
      </c>
      <c r="E14379" t="s">
        <v>15</v>
      </c>
      <c r="F14379" t="s">
        <v>18</v>
      </c>
      <c r="G14379" s="2">
        <f>VALUE(614.28)</f>
        <v>614.28</v>
      </c>
      <c r="H14379" s="3">
        <f>VALUE(607.09)</f>
        <v>607.09</v>
      </c>
      <c r="I14379" s="1">
        <f>VALUE(4633)</f>
        <v>4633</v>
      </c>
      <c r="J14379" s="5">
        <f>VALUE(5308)</f>
        <v>5308</v>
      </c>
      <c r="K14379" s="1">
        <f>VALUE(6015)</f>
        <v>6015</v>
      </c>
      <c r="L14379" s="7">
        <f>VALUE(6667)</f>
        <v>6667</v>
      </c>
      <c r="M14379" s="1">
        <f>VALUE(8084)</f>
        <v>8084</v>
      </c>
      <c r="N14379" t="s">
        <v>25</v>
      </c>
    </row>
    <row r="14380" spans="1:14" x14ac:dyDescent="0.25">
      <c r="A14380" t="s">
        <v>45</v>
      </c>
      <c r="B14380" t="s">
        <v>39</v>
      </c>
      <c r="C14380" t="s">
        <v>36</v>
      </c>
      <c r="D14380" t="s">
        <v>28</v>
      </c>
      <c r="E14380" t="s">
        <v>15</v>
      </c>
      <c r="F14380" t="s">
        <v>19</v>
      </c>
      <c r="G14380" s="2">
        <f>VALUE(600.9)</f>
        <v>600.9</v>
      </c>
      <c r="H14380" s="3">
        <f>VALUE(586.39)</f>
        <v>586.39</v>
      </c>
      <c r="I14380" s="1">
        <f>VALUE(3922)</f>
        <v>3922</v>
      </c>
      <c r="J14380" s="1">
        <f>VALUE(4677)</f>
        <v>4677</v>
      </c>
      <c r="K14380" s="1">
        <f>VALUE(5272)</f>
        <v>5272</v>
      </c>
      <c r="L14380" s="1">
        <f>VALUE(6432)</f>
        <v>6432</v>
      </c>
      <c r="M14380" s="1">
        <f>VALUE(7936)</f>
        <v>7936</v>
      </c>
      <c r="N14380" t="s">
        <v>25</v>
      </c>
    </row>
    <row r="14381" spans="1:14" x14ac:dyDescent="0.25">
      <c r="A14381" t="s">
        <v>45</v>
      </c>
      <c r="B14381" t="s">
        <v>39</v>
      </c>
      <c r="C14381" t="s">
        <v>36</v>
      </c>
      <c r="D14381" t="s">
        <v>28</v>
      </c>
      <c r="E14381" t="s">
        <v>15</v>
      </c>
      <c r="F14381" t="s">
        <v>20</v>
      </c>
      <c r="G14381" s="2">
        <f>VALUE(2799.51)</f>
        <v>2799.51</v>
      </c>
      <c r="H14381" s="3">
        <f>VALUE(2721.96)</f>
        <v>2721.96</v>
      </c>
      <c r="I14381" s="1">
        <f>VALUE(3883)</f>
        <v>3883</v>
      </c>
      <c r="J14381" s="1">
        <f>VALUE(4475)</f>
        <v>4475</v>
      </c>
      <c r="K14381" s="1">
        <f>VALUE(5063)</f>
        <v>5063</v>
      </c>
      <c r="L14381" s="1">
        <f>VALUE(5820)</f>
        <v>5820</v>
      </c>
      <c r="M14381" s="1">
        <f>VALUE(6987)</f>
        <v>6987</v>
      </c>
      <c r="N14381" t="s">
        <v>25</v>
      </c>
    </row>
    <row r="14382" spans="1:14" x14ac:dyDescent="0.25">
      <c r="A14382" t="s">
        <v>45</v>
      </c>
      <c r="B14382" t="s">
        <v>39</v>
      </c>
      <c r="C14382" t="s">
        <v>36</v>
      </c>
      <c r="D14382" t="s">
        <v>28</v>
      </c>
      <c r="E14382" t="s">
        <v>21</v>
      </c>
      <c r="F14382" t="s">
        <v>15</v>
      </c>
      <c r="G14382" s="2">
        <f>VALUE(1692.16)</f>
        <v>1692.16</v>
      </c>
      <c r="H14382" s="3">
        <f>VALUE(1652.56)</f>
        <v>1652.56</v>
      </c>
      <c r="I14382" s="1">
        <f>VALUE(4571)</f>
        <v>4571</v>
      </c>
      <c r="J14382" s="1">
        <f>VALUE(4950)</f>
        <v>4950</v>
      </c>
      <c r="K14382" s="1">
        <f>VALUE(5772)</f>
        <v>5772</v>
      </c>
      <c r="L14382" s="1">
        <f>VALUE(7042)</f>
        <v>7042</v>
      </c>
      <c r="M14382" s="1">
        <f>VALUE(8313)</f>
        <v>8313</v>
      </c>
      <c r="N14382" t="s">
        <v>25</v>
      </c>
    </row>
    <row r="14383" spans="1:14" x14ac:dyDescent="0.25">
      <c r="A14383" t="s">
        <v>45</v>
      </c>
      <c r="B14383" t="s">
        <v>39</v>
      </c>
      <c r="C14383" t="s">
        <v>36</v>
      </c>
      <c r="D14383" t="s">
        <v>28</v>
      </c>
      <c r="E14383" t="s">
        <v>21</v>
      </c>
      <c r="F14383" t="s">
        <v>17</v>
      </c>
      <c r="G14383" s="2">
        <f>VALUE(378.16)</f>
        <v>378.16</v>
      </c>
      <c r="H14383" s="3">
        <f>VALUE(379.6)</f>
        <v>379.6</v>
      </c>
      <c r="I14383" s="4">
        <f>VALUE(4500)</f>
        <v>4500</v>
      </c>
      <c r="J14383" s="1">
        <f>VALUE(5079)</f>
        <v>5079</v>
      </c>
      <c r="K14383" s="1">
        <f>VALUE(5506)</f>
        <v>5506</v>
      </c>
      <c r="L14383" s="1">
        <f>VALUE(7089)</f>
        <v>7089</v>
      </c>
      <c r="M14383" s="8">
        <f>VALUE(9286)</f>
        <v>9286</v>
      </c>
      <c r="N14383" t="s">
        <v>25</v>
      </c>
    </row>
    <row r="14384" spans="1:14" x14ac:dyDescent="0.25">
      <c r="A14384" t="s">
        <v>45</v>
      </c>
      <c r="B14384" t="s">
        <v>39</v>
      </c>
      <c r="C14384" t="s">
        <v>36</v>
      </c>
      <c r="D14384" t="s">
        <v>28</v>
      </c>
      <c r="E14384" t="s">
        <v>21</v>
      </c>
      <c r="F14384" t="s">
        <v>18</v>
      </c>
      <c r="G14384" s="2">
        <f>VALUE(273.94)</f>
        <v>273.94</v>
      </c>
      <c r="H14384" s="3">
        <f>VALUE(267.6)</f>
        <v>267.60000000000002</v>
      </c>
      <c r="I14384" s="4">
        <f>VALUE(4633)</f>
        <v>4633</v>
      </c>
      <c r="J14384" s="1">
        <f>VALUE(5670)</f>
        <v>5670</v>
      </c>
      <c r="K14384" s="1">
        <f>VALUE(6329)</f>
        <v>6329</v>
      </c>
      <c r="L14384" s="1">
        <f>VALUE(7765)</f>
        <v>7765</v>
      </c>
      <c r="M14384" s="1">
        <f>VALUE(8667)</f>
        <v>8667</v>
      </c>
      <c r="N14384" t="s">
        <v>25</v>
      </c>
    </row>
    <row r="14385" spans="1:14" x14ac:dyDescent="0.25">
      <c r="A14385" t="s">
        <v>45</v>
      </c>
      <c r="B14385" t="s">
        <v>39</v>
      </c>
      <c r="C14385" t="s">
        <v>36</v>
      </c>
      <c r="D14385" t="s">
        <v>28</v>
      </c>
      <c r="E14385" t="s">
        <v>21</v>
      </c>
      <c r="F14385" t="s">
        <v>19</v>
      </c>
      <c r="G14385" s="2">
        <f>VALUE(253.82)</f>
        <v>253.82</v>
      </c>
      <c r="H14385" s="3">
        <f>VALUE(236.26)</f>
        <v>236.26</v>
      </c>
      <c r="I14385" s="1">
        <f>VALUE(5000)</f>
        <v>5000</v>
      </c>
      <c r="J14385" s="1">
        <f>VALUE(5819)</f>
        <v>5819</v>
      </c>
      <c r="K14385" s="6">
        <f>VALUE(6374)</f>
        <v>6374</v>
      </c>
      <c r="L14385" s="1">
        <f>VALUE(7455)</f>
        <v>7455</v>
      </c>
      <c r="M14385" s="1">
        <f>VALUE(8981)</f>
        <v>8981</v>
      </c>
      <c r="N14385" t="s">
        <v>25</v>
      </c>
    </row>
    <row r="14386" spans="1:14" x14ac:dyDescent="0.25">
      <c r="A14386" t="s">
        <v>45</v>
      </c>
      <c r="B14386" t="s">
        <v>39</v>
      </c>
      <c r="C14386" t="s">
        <v>36</v>
      </c>
      <c r="D14386" t="s">
        <v>28</v>
      </c>
      <c r="E14386" t="s">
        <v>21</v>
      </c>
      <c r="F14386" t="s">
        <v>20</v>
      </c>
      <c r="G14386" s="2">
        <f>VALUE(786.24)</f>
        <v>786.24</v>
      </c>
      <c r="H14386" s="3">
        <f>VALUE(769.1)</f>
        <v>769.1</v>
      </c>
      <c r="I14386" s="1">
        <f>VALUE(4440)</f>
        <v>4440</v>
      </c>
      <c r="J14386" s="1">
        <f>VALUE(4889)</f>
        <v>4889</v>
      </c>
      <c r="K14386" s="1">
        <f>VALUE(5424)</f>
        <v>5424</v>
      </c>
      <c r="L14386" s="1">
        <f>VALUE(6478)</f>
        <v>6478</v>
      </c>
      <c r="M14386" s="1">
        <f>VALUE(7621)</f>
        <v>7621</v>
      </c>
      <c r="N14386" t="s">
        <v>25</v>
      </c>
    </row>
    <row r="14387" spans="1:14" x14ac:dyDescent="0.25">
      <c r="A14387" t="s">
        <v>45</v>
      </c>
      <c r="B14387" t="s">
        <v>39</v>
      </c>
      <c r="C14387" t="s">
        <v>36</v>
      </c>
      <c r="D14387" t="s">
        <v>28</v>
      </c>
      <c r="E14387" t="s">
        <v>22</v>
      </c>
      <c r="F14387" t="s">
        <v>15</v>
      </c>
      <c r="G14387" s="2">
        <f>VALUE(2598.6)</f>
        <v>2598.6</v>
      </c>
      <c r="H14387" s="3">
        <f>VALUE(2576.72)</f>
        <v>2576.7199999999998</v>
      </c>
      <c r="I14387" s="1">
        <f>VALUE(3922)</f>
        <v>3922</v>
      </c>
      <c r="J14387" s="1">
        <f>VALUE(4490)</f>
        <v>4490</v>
      </c>
      <c r="K14387" s="1">
        <f>VALUE(5108)</f>
        <v>5108</v>
      </c>
      <c r="L14387" s="1">
        <f>VALUE(5906)</f>
        <v>5906</v>
      </c>
      <c r="M14387" s="1">
        <f>VALUE(7127)</f>
        <v>7127</v>
      </c>
      <c r="N14387" t="s">
        <v>25</v>
      </c>
    </row>
    <row r="14388" spans="1:14" x14ac:dyDescent="0.25">
      <c r="A14388" t="s">
        <v>45</v>
      </c>
      <c r="B14388" t="s">
        <v>39</v>
      </c>
      <c r="C14388" t="s">
        <v>36</v>
      </c>
      <c r="D14388" t="s">
        <v>28</v>
      </c>
      <c r="E14388" t="s">
        <v>22</v>
      </c>
      <c r="F14388" t="s">
        <v>17</v>
      </c>
      <c r="G14388" s="1" t="str">
        <f t="shared" ref="G14388:M14388" si="3301">"X"</f>
        <v>X</v>
      </c>
      <c r="H14388" s="1" t="str">
        <f t="shared" si="3301"/>
        <v>X</v>
      </c>
      <c r="I14388" s="1" t="str">
        <f t="shared" si="3301"/>
        <v>X</v>
      </c>
      <c r="J14388" s="1" t="str">
        <f t="shared" si="3301"/>
        <v>X</v>
      </c>
      <c r="K14388" s="1" t="str">
        <f t="shared" si="3301"/>
        <v>X</v>
      </c>
      <c r="L14388" s="1" t="str">
        <f t="shared" si="3301"/>
        <v>X</v>
      </c>
      <c r="M14388" s="1" t="str">
        <f t="shared" si="3301"/>
        <v>X</v>
      </c>
      <c r="N14388" t="s">
        <v>27</v>
      </c>
    </row>
    <row r="14389" spans="1:14" x14ac:dyDescent="0.25">
      <c r="A14389" t="s">
        <v>45</v>
      </c>
      <c r="B14389" t="s">
        <v>39</v>
      </c>
      <c r="C14389" t="s">
        <v>36</v>
      </c>
      <c r="D14389" t="s">
        <v>28</v>
      </c>
      <c r="E14389" t="s">
        <v>22</v>
      </c>
      <c r="F14389" t="s">
        <v>18</v>
      </c>
      <c r="G14389" s="2">
        <f>VALUE(337.81)</f>
        <v>337.81</v>
      </c>
      <c r="H14389" s="3">
        <f>VALUE(336.83)</f>
        <v>336.83</v>
      </c>
      <c r="I14389" s="1">
        <f>VALUE(4571)</f>
        <v>4571</v>
      </c>
      <c r="J14389" s="1">
        <f>VALUE(5308)</f>
        <v>5308</v>
      </c>
      <c r="K14389" s="1">
        <f>VALUE(5513)</f>
        <v>5513</v>
      </c>
      <c r="L14389" s="1">
        <f>VALUE(6283)</f>
        <v>6283</v>
      </c>
      <c r="M14389" s="1">
        <f>VALUE(6690)</f>
        <v>6690</v>
      </c>
      <c r="N14389" t="s">
        <v>25</v>
      </c>
    </row>
    <row r="14390" spans="1:14" x14ac:dyDescent="0.25">
      <c r="A14390" t="s">
        <v>45</v>
      </c>
      <c r="B14390" t="s">
        <v>39</v>
      </c>
      <c r="C14390" t="s">
        <v>36</v>
      </c>
      <c r="D14390" t="s">
        <v>28</v>
      </c>
      <c r="E14390" t="s">
        <v>22</v>
      </c>
      <c r="F14390" t="s">
        <v>19</v>
      </c>
      <c r="G14390" s="2">
        <f>VALUE(339.44)</f>
        <v>339.44</v>
      </c>
      <c r="H14390" s="3">
        <f>VALUE(342.68)</f>
        <v>342.68</v>
      </c>
      <c r="I14390" s="1">
        <f>VALUE(3902)</f>
        <v>3902</v>
      </c>
      <c r="J14390" s="1">
        <f>VALUE(4249)</f>
        <v>4249</v>
      </c>
      <c r="K14390" s="1">
        <f>VALUE(4846)</f>
        <v>4846</v>
      </c>
      <c r="L14390" s="1">
        <f>VALUE(5272)</f>
        <v>5272</v>
      </c>
      <c r="M14390" s="1">
        <f>VALUE(6325)</f>
        <v>6325</v>
      </c>
      <c r="N14390" t="s">
        <v>25</v>
      </c>
    </row>
    <row r="14391" spans="1:14" x14ac:dyDescent="0.25">
      <c r="A14391" t="s">
        <v>45</v>
      </c>
      <c r="B14391" t="s">
        <v>39</v>
      </c>
      <c r="C14391" t="s">
        <v>36</v>
      </c>
      <c r="D14391" t="s">
        <v>28</v>
      </c>
      <c r="E14391" t="s">
        <v>22</v>
      </c>
      <c r="F14391" t="s">
        <v>20</v>
      </c>
      <c r="G14391" s="2">
        <f>VALUE(1664.6)</f>
        <v>1664.6</v>
      </c>
      <c r="H14391" s="3">
        <f>VALUE(1642.83)</f>
        <v>1642.83</v>
      </c>
      <c r="I14391" s="1">
        <f>VALUE(3883)</f>
        <v>3883</v>
      </c>
      <c r="J14391" s="1">
        <f>VALUE(4381)</f>
        <v>4381</v>
      </c>
      <c r="K14391" s="1">
        <f>VALUE(4983)</f>
        <v>4983</v>
      </c>
      <c r="L14391" s="1">
        <f>VALUE(5647)</f>
        <v>5647</v>
      </c>
      <c r="M14391" s="1">
        <f>VALUE(6512)</f>
        <v>6512</v>
      </c>
      <c r="N14391" t="s">
        <v>25</v>
      </c>
    </row>
    <row r="14392" spans="1:14" x14ac:dyDescent="0.25">
      <c r="A14392" t="s">
        <v>45</v>
      </c>
      <c r="B14392" t="s">
        <v>39</v>
      </c>
      <c r="C14392" t="s">
        <v>36</v>
      </c>
      <c r="D14392" t="s">
        <v>28</v>
      </c>
      <c r="E14392" t="s">
        <v>23</v>
      </c>
      <c r="F14392" t="s">
        <v>15</v>
      </c>
      <c r="G14392" s="2">
        <f>VALUE(318.94)</f>
        <v>318.94</v>
      </c>
      <c r="H14392" s="3">
        <f>VALUE(282.8)</f>
        <v>282.8</v>
      </c>
      <c r="I14392" s="1">
        <f>VALUE(3503)</f>
        <v>3503</v>
      </c>
      <c r="J14392" s="1">
        <f>VALUE(3892)</f>
        <v>3892</v>
      </c>
      <c r="K14392" s="1">
        <f>VALUE(4581)</f>
        <v>4581</v>
      </c>
      <c r="L14392" s="1">
        <f>VALUE(5680)</f>
        <v>5680</v>
      </c>
      <c r="M14392" s="1">
        <f>VALUE(6681)</f>
        <v>6681</v>
      </c>
      <c r="N14392" t="s">
        <v>25</v>
      </c>
    </row>
    <row r="14393" spans="1:14" x14ac:dyDescent="0.25">
      <c r="A14393" t="s">
        <v>45</v>
      </c>
      <c r="B14393" t="s">
        <v>39</v>
      </c>
      <c r="C14393" t="s">
        <v>36</v>
      </c>
      <c r="D14393" t="s">
        <v>28</v>
      </c>
      <c r="E14393" t="s">
        <v>23</v>
      </c>
      <c r="F14393" t="s">
        <v>17</v>
      </c>
      <c r="G14393" s="1" t="str">
        <f t="shared" ref="G14393:M14395" si="3302">"X"</f>
        <v>X</v>
      </c>
      <c r="H14393" s="1" t="str">
        <f t="shared" si="3302"/>
        <v>X</v>
      </c>
      <c r="I14393" s="1" t="str">
        <f t="shared" si="3302"/>
        <v>X</v>
      </c>
      <c r="J14393" s="1" t="str">
        <f t="shared" si="3302"/>
        <v>X</v>
      </c>
      <c r="K14393" s="1" t="str">
        <f t="shared" si="3302"/>
        <v>X</v>
      </c>
      <c r="L14393" s="1" t="str">
        <f t="shared" si="3302"/>
        <v>X</v>
      </c>
      <c r="M14393" s="1" t="str">
        <f t="shared" si="3302"/>
        <v>X</v>
      </c>
      <c r="N14393" t="s">
        <v>27</v>
      </c>
    </row>
    <row r="14394" spans="1:14" x14ac:dyDescent="0.25">
      <c r="A14394" t="s">
        <v>45</v>
      </c>
      <c r="B14394" t="s">
        <v>39</v>
      </c>
      <c r="C14394" t="s">
        <v>36</v>
      </c>
      <c r="D14394" t="s">
        <v>28</v>
      </c>
      <c r="E14394" t="s">
        <v>23</v>
      </c>
      <c r="F14394" t="s">
        <v>18</v>
      </c>
      <c r="G14394" s="1" t="str">
        <f t="shared" si="3302"/>
        <v>X</v>
      </c>
      <c r="H14394" s="1" t="str">
        <f t="shared" si="3302"/>
        <v>X</v>
      </c>
      <c r="I14394" s="1" t="str">
        <f t="shared" si="3302"/>
        <v>X</v>
      </c>
      <c r="J14394" s="1" t="str">
        <f t="shared" si="3302"/>
        <v>X</v>
      </c>
      <c r="K14394" s="1" t="str">
        <f t="shared" si="3302"/>
        <v>X</v>
      </c>
      <c r="L14394" s="1" t="str">
        <f t="shared" si="3302"/>
        <v>X</v>
      </c>
      <c r="M14394" s="1" t="str">
        <f t="shared" si="3302"/>
        <v>X</v>
      </c>
      <c r="N14394" t="s">
        <v>27</v>
      </c>
    </row>
    <row r="14395" spans="1:14" x14ac:dyDescent="0.25">
      <c r="A14395" t="s">
        <v>45</v>
      </c>
      <c r="B14395" t="s">
        <v>39</v>
      </c>
      <c r="C14395" t="s">
        <v>36</v>
      </c>
      <c r="D14395" t="s">
        <v>28</v>
      </c>
      <c r="E14395" t="s">
        <v>23</v>
      </c>
      <c r="F14395" t="s">
        <v>19</v>
      </c>
      <c r="G14395" s="1" t="str">
        <f t="shared" si="3302"/>
        <v>X</v>
      </c>
      <c r="H14395" s="1" t="str">
        <f t="shared" si="3302"/>
        <v>X</v>
      </c>
      <c r="I14395" s="1" t="str">
        <f t="shared" si="3302"/>
        <v>X</v>
      </c>
      <c r="J14395" s="1" t="str">
        <f t="shared" si="3302"/>
        <v>X</v>
      </c>
      <c r="K14395" s="1" t="str">
        <f t="shared" si="3302"/>
        <v>X</v>
      </c>
      <c r="L14395" s="1" t="str">
        <f t="shared" si="3302"/>
        <v>X</v>
      </c>
      <c r="M14395" s="1" t="str">
        <f t="shared" si="3302"/>
        <v>X</v>
      </c>
      <c r="N14395" t="s">
        <v>27</v>
      </c>
    </row>
    <row r="14396" spans="1:14" x14ac:dyDescent="0.25">
      <c r="A14396" t="s">
        <v>45</v>
      </c>
      <c r="B14396" t="s">
        <v>39</v>
      </c>
      <c r="C14396" t="s">
        <v>36</v>
      </c>
      <c r="D14396" t="s">
        <v>28</v>
      </c>
      <c r="E14396" t="s">
        <v>23</v>
      </c>
      <c r="F14396" t="s">
        <v>20</v>
      </c>
      <c r="G14396" s="2">
        <f>VALUE(301.5)</f>
        <v>301.5</v>
      </c>
      <c r="H14396" s="3">
        <f>VALUE(264.88)</f>
        <v>264.88</v>
      </c>
      <c r="I14396" s="4">
        <f>VALUE(3503)</f>
        <v>3503</v>
      </c>
      <c r="J14396" s="1">
        <f>VALUE(3848)</f>
        <v>3848</v>
      </c>
      <c r="K14396" s="1">
        <f>VALUE(4389)</f>
        <v>4389</v>
      </c>
      <c r="L14396" s="7">
        <f>VALUE(5620)</f>
        <v>5620</v>
      </c>
      <c r="M14396" s="1">
        <f>VALUE(6681)</f>
        <v>6681</v>
      </c>
      <c r="N14396" t="s">
        <v>25</v>
      </c>
    </row>
    <row r="14397" spans="1:14" x14ac:dyDescent="0.25">
      <c r="A14397" t="s">
        <v>45</v>
      </c>
      <c r="B14397" t="s">
        <v>39</v>
      </c>
      <c r="C14397" t="s">
        <v>36</v>
      </c>
      <c r="D14397" t="s">
        <v>28</v>
      </c>
      <c r="E14397" t="s">
        <v>26</v>
      </c>
      <c r="F14397" t="s">
        <v>15</v>
      </c>
      <c r="G14397" s="1" t="str">
        <f t="shared" ref="G14397:M14398" si="3303">"X"</f>
        <v>X</v>
      </c>
      <c r="H14397" s="1" t="str">
        <f t="shared" si="3303"/>
        <v>X</v>
      </c>
      <c r="I14397" s="1" t="str">
        <f t="shared" si="3303"/>
        <v>X</v>
      </c>
      <c r="J14397" s="1" t="str">
        <f t="shared" si="3303"/>
        <v>X</v>
      </c>
      <c r="K14397" s="1" t="str">
        <f t="shared" si="3303"/>
        <v>X</v>
      </c>
      <c r="L14397" s="1" t="str">
        <f t="shared" si="3303"/>
        <v>X</v>
      </c>
      <c r="M14397" s="1" t="str">
        <f t="shared" si="3303"/>
        <v>X</v>
      </c>
      <c r="N14397" t="s">
        <v>27</v>
      </c>
    </row>
    <row r="14398" spans="1:14" x14ac:dyDescent="0.25">
      <c r="A14398" t="s">
        <v>45</v>
      </c>
      <c r="B14398" t="s">
        <v>39</v>
      </c>
      <c r="C14398" t="s">
        <v>36</v>
      </c>
      <c r="D14398" t="s">
        <v>28</v>
      </c>
      <c r="E14398" t="s">
        <v>26</v>
      </c>
      <c r="F14398" t="s">
        <v>17</v>
      </c>
      <c r="G14398" s="1" t="str">
        <f t="shared" si="3303"/>
        <v>X</v>
      </c>
      <c r="H14398" s="1" t="str">
        <f t="shared" si="3303"/>
        <v>X</v>
      </c>
      <c r="I14398" s="1" t="str">
        <f t="shared" si="3303"/>
        <v>X</v>
      </c>
      <c r="J14398" s="1" t="str">
        <f t="shared" si="3303"/>
        <v>X</v>
      </c>
      <c r="K14398" s="1" t="str">
        <f t="shared" si="3303"/>
        <v>X</v>
      </c>
      <c r="L14398" s="1" t="str">
        <f t="shared" si="3303"/>
        <v>X</v>
      </c>
      <c r="M14398" s="1" t="str">
        <f t="shared" si="3303"/>
        <v>X</v>
      </c>
      <c r="N14398" t="s">
        <v>27</v>
      </c>
    </row>
    <row r="14399" spans="1:14" x14ac:dyDescent="0.25">
      <c r="A14399" t="s">
        <v>45</v>
      </c>
      <c r="B14399" t="s">
        <v>39</v>
      </c>
      <c r="C14399" t="s">
        <v>36</v>
      </c>
      <c r="D14399" t="s">
        <v>28</v>
      </c>
      <c r="E14399" t="s">
        <v>26</v>
      </c>
      <c r="F14399" t="s">
        <v>18</v>
      </c>
      <c r="G14399" s="1" t="str">
        <f t="shared" ref="G14399:M14400" si="3304">"..."</f>
        <v>...</v>
      </c>
      <c r="H14399" s="1" t="str">
        <f t="shared" si="3304"/>
        <v>...</v>
      </c>
      <c r="I14399" s="1" t="str">
        <f t="shared" si="3304"/>
        <v>...</v>
      </c>
      <c r="J14399" s="1" t="str">
        <f t="shared" si="3304"/>
        <v>...</v>
      </c>
      <c r="K14399" s="1" t="str">
        <f t="shared" si="3304"/>
        <v>...</v>
      </c>
      <c r="L14399" s="1" t="str">
        <f t="shared" si="3304"/>
        <v>...</v>
      </c>
      <c r="M14399" s="1" t="str">
        <f t="shared" si="3304"/>
        <v>...</v>
      </c>
      <c r="N14399" t="s">
        <v>30</v>
      </c>
    </row>
    <row r="14400" spans="1:14" x14ac:dyDescent="0.25">
      <c r="A14400" t="s">
        <v>45</v>
      </c>
      <c r="B14400" t="s">
        <v>39</v>
      </c>
      <c r="C14400" t="s">
        <v>36</v>
      </c>
      <c r="D14400" t="s">
        <v>28</v>
      </c>
      <c r="E14400" t="s">
        <v>26</v>
      </c>
      <c r="F14400" t="s">
        <v>19</v>
      </c>
      <c r="G14400" s="1" t="str">
        <f t="shared" si="3304"/>
        <v>...</v>
      </c>
      <c r="H14400" s="1" t="str">
        <f t="shared" si="3304"/>
        <v>...</v>
      </c>
      <c r="I14400" s="1" t="str">
        <f t="shared" si="3304"/>
        <v>...</v>
      </c>
      <c r="J14400" s="1" t="str">
        <f t="shared" si="3304"/>
        <v>...</v>
      </c>
      <c r="K14400" s="1" t="str">
        <f t="shared" si="3304"/>
        <v>...</v>
      </c>
      <c r="L14400" s="1" t="str">
        <f t="shared" si="3304"/>
        <v>...</v>
      </c>
      <c r="M14400" s="1" t="str">
        <f t="shared" si="3304"/>
        <v>...</v>
      </c>
      <c r="N14400" t="s">
        <v>30</v>
      </c>
    </row>
    <row r="14401" spans="1:14" x14ac:dyDescent="0.25">
      <c r="A14401" t="s">
        <v>45</v>
      </c>
      <c r="B14401" t="s">
        <v>39</v>
      </c>
      <c r="C14401" t="s">
        <v>36</v>
      </c>
      <c r="D14401" t="s">
        <v>28</v>
      </c>
      <c r="E14401" t="s">
        <v>26</v>
      </c>
      <c r="F14401" t="s">
        <v>20</v>
      </c>
      <c r="G14401" s="1" t="str">
        <f t="shared" ref="G14401:M14401" si="3305">"X"</f>
        <v>X</v>
      </c>
      <c r="H14401" s="1" t="str">
        <f t="shared" si="3305"/>
        <v>X</v>
      </c>
      <c r="I14401" s="1" t="str">
        <f t="shared" si="3305"/>
        <v>X</v>
      </c>
      <c r="J14401" s="1" t="str">
        <f t="shared" si="3305"/>
        <v>X</v>
      </c>
      <c r="K14401" s="1" t="str">
        <f t="shared" si="3305"/>
        <v>X</v>
      </c>
      <c r="L14401" s="1" t="str">
        <f t="shared" si="3305"/>
        <v>X</v>
      </c>
      <c r="M14401" s="1" t="str">
        <f t="shared" si="3305"/>
        <v>X</v>
      </c>
      <c r="N14401" t="s">
        <v>27</v>
      </c>
    </row>
    <row r="14402" spans="1:14" x14ac:dyDescent="0.25">
      <c r="A14402" t="s">
        <v>45</v>
      </c>
      <c r="B14402" t="s">
        <v>39</v>
      </c>
      <c r="C14402" t="s">
        <v>36</v>
      </c>
      <c r="D14402" t="s">
        <v>29</v>
      </c>
      <c r="E14402" t="s">
        <v>15</v>
      </c>
      <c r="F14402" t="s">
        <v>15</v>
      </c>
      <c r="G14402" s="2">
        <f>VALUE(1252.21)</f>
        <v>1252.21</v>
      </c>
      <c r="H14402" s="3">
        <f>VALUE(1221.07)</f>
        <v>1221.07</v>
      </c>
      <c r="I14402" s="1">
        <f>VALUE(3648)</f>
        <v>3648</v>
      </c>
      <c r="J14402" s="1">
        <f>VALUE(4335)</f>
        <v>4335</v>
      </c>
      <c r="K14402" s="1">
        <f>VALUE(5184)</f>
        <v>5184</v>
      </c>
      <c r="L14402" s="1">
        <f>VALUE(6004)</f>
        <v>6004</v>
      </c>
      <c r="M14402" s="1">
        <f>VALUE(7127)</f>
        <v>7127</v>
      </c>
      <c r="N14402" t="s">
        <v>25</v>
      </c>
    </row>
    <row r="14403" spans="1:14" x14ac:dyDescent="0.25">
      <c r="A14403" t="s">
        <v>45</v>
      </c>
      <c r="B14403" t="s">
        <v>39</v>
      </c>
      <c r="C14403" t="s">
        <v>36</v>
      </c>
      <c r="D14403" t="s">
        <v>29</v>
      </c>
      <c r="E14403" t="s">
        <v>15</v>
      </c>
      <c r="F14403" t="s">
        <v>17</v>
      </c>
      <c r="G14403" s="1" t="str">
        <f t="shared" ref="G14403:M14405" si="3306">"X"</f>
        <v>X</v>
      </c>
      <c r="H14403" s="1" t="str">
        <f t="shared" si="3306"/>
        <v>X</v>
      </c>
      <c r="I14403" s="1" t="str">
        <f t="shared" si="3306"/>
        <v>X</v>
      </c>
      <c r="J14403" s="1" t="str">
        <f t="shared" si="3306"/>
        <v>X</v>
      </c>
      <c r="K14403" s="1" t="str">
        <f t="shared" si="3306"/>
        <v>X</v>
      </c>
      <c r="L14403" s="1" t="str">
        <f t="shared" si="3306"/>
        <v>X</v>
      </c>
      <c r="M14403" s="1" t="str">
        <f t="shared" si="3306"/>
        <v>X</v>
      </c>
      <c r="N14403" t="s">
        <v>27</v>
      </c>
    </row>
    <row r="14404" spans="1:14" x14ac:dyDescent="0.25">
      <c r="A14404" t="s">
        <v>45</v>
      </c>
      <c r="B14404" t="s">
        <v>39</v>
      </c>
      <c r="C14404" t="s">
        <v>36</v>
      </c>
      <c r="D14404" t="s">
        <v>29</v>
      </c>
      <c r="E14404" t="s">
        <v>15</v>
      </c>
      <c r="F14404" t="s">
        <v>18</v>
      </c>
      <c r="G14404" s="1" t="str">
        <f t="shared" si="3306"/>
        <v>X</v>
      </c>
      <c r="H14404" s="1" t="str">
        <f t="shared" si="3306"/>
        <v>X</v>
      </c>
      <c r="I14404" s="1" t="str">
        <f t="shared" si="3306"/>
        <v>X</v>
      </c>
      <c r="J14404" s="1" t="str">
        <f t="shared" si="3306"/>
        <v>X</v>
      </c>
      <c r="K14404" s="1" t="str">
        <f t="shared" si="3306"/>
        <v>X</v>
      </c>
      <c r="L14404" s="1" t="str">
        <f t="shared" si="3306"/>
        <v>X</v>
      </c>
      <c r="M14404" s="1" t="str">
        <f t="shared" si="3306"/>
        <v>X</v>
      </c>
      <c r="N14404" t="s">
        <v>27</v>
      </c>
    </row>
    <row r="14405" spans="1:14" x14ac:dyDescent="0.25">
      <c r="A14405" t="s">
        <v>45</v>
      </c>
      <c r="B14405" t="s">
        <v>39</v>
      </c>
      <c r="C14405" t="s">
        <v>36</v>
      </c>
      <c r="D14405" t="s">
        <v>29</v>
      </c>
      <c r="E14405" t="s">
        <v>15</v>
      </c>
      <c r="F14405" t="s">
        <v>19</v>
      </c>
      <c r="G14405" s="1" t="str">
        <f t="shared" si="3306"/>
        <v>X</v>
      </c>
      <c r="H14405" s="1" t="str">
        <f t="shared" si="3306"/>
        <v>X</v>
      </c>
      <c r="I14405" s="1" t="str">
        <f t="shared" si="3306"/>
        <v>X</v>
      </c>
      <c r="J14405" s="1" t="str">
        <f t="shared" si="3306"/>
        <v>X</v>
      </c>
      <c r="K14405" s="1" t="str">
        <f t="shared" si="3306"/>
        <v>X</v>
      </c>
      <c r="L14405" s="1" t="str">
        <f t="shared" si="3306"/>
        <v>X</v>
      </c>
      <c r="M14405" s="1" t="str">
        <f t="shared" si="3306"/>
        <v>X</v>
      </c>
      <c r="N14405" t="s">
        <v>27</v>
      </c>
    </row>
    <row r="14406" spans="1:14" x14ac:dyDescent="0.25">
      <c r="A14406" t="s">
        <v>45</v>
      </c>
      <c r="B14406" t="s">
        <v>39</v>
      </c>
      <c r="C14406" t="s">
        <v>36</v>
      </c>
      <c r="D14406" t="s">
        <v>29</v>
      </c>
      <c r="E14406" t="s">
        <v>15</v>
      </c>
      <c r="F14406" t="s">
        <v>20</v>
      </c>
      <c r="G14406" s="2">
        <f>VALUE(868.03)</f>
        <v>868.03</v>
      </c>
      <c r="H14406" s="3">
        <f>VALUE(827.08)</f>
        <v>827.08</v>
      </c>
      <c r="I14406" s="1">
        <f>VALUE(3715)</f>
        <v>3715</v>
      </c>
      <c r="J14406" s="1">
        <f>VALUE(4328)</f>
        <v>4328</v>
      </c>
      <c r="K14406" s="1">
        <f>VALUE(5114)</f>
        <v>5114</v>
      </c>
      <c r="L14406" s="1">
        <f>VALUE(5595)</f>
        <v>5595</v>
      </c>
      <c r="M14406" s="1">
        <f>VALUE(6275)</f>
        <v>6275</v>
      </c>
      <c r="N14406" t="s">
        <v>25</v>
      </c>
    </row>
    <row r="14407" spans="1:14" x14ac:dyDescent="0.25">
      <c r="A14407" t="s">
        <v>45</v>
      </c>
      <c r="B14407" t="s">
        <v>39</v>
      </c>
      <c r="C14407" t="s">
        <v>36</v>
      </c>
      <c r="D14407" t="s">
        <v>29</v>
      </c>
      <c r="E14407" t="s">
        <v>21</v>
      </c>
      <c r="F14407" t="s">
        <v>15</v>
      </c>
      <c r="G14407" s="2">
        <f>VALUE(219.82)</f>
        <v>219.82</v>
      </c>
      <c r="H14407" s="3">
        <f>VALUE(220.27)</f>
        <v>220.27</v>
      </c>
      <c r="I14407" s="1">
        <f>VALUE(4527)</f>
        <v>4527</v>
      </c>
      <c r="J14407" s="1">
        <f>VALUE(5410)</f>
        <v>5410</v>
      </c>
      <c r="K14407" s="1">
        <f>VALUE(6057)</f>
        <v>6057</v>
      </c>
      <c r="L14407" s="1">
        <f>VALUE(7069)</f>
        <v>7069</v>
      </c>
      <c r="M14407" s="8">
        <f>VALUE(7984)</f>
        <v>7984</v>
      </c>
      <c r="N14407" t="s">
        <v>25</v>
      </c>
    </row>
    <row r="14408" spans="1:14" x14ac:dyDescent="0.25">
      <c r="A14408" t="s">
        <v>45</v>
      </c>
      <c r="B14408" t="s">
        <v>39</v>
      </c>
      <c r="C14408" t="s">
        <v>36</v>
      </c>
      <c r="D14408" t="s">
        <v>29</v>
      </c>
      <c r="E14408" t="s">
        <v>21</v>
      </c>
      <c r="F14408" t="s">
        <v>17</v>
      </c>
      <c r="G14408" s="1" t="str">
        <f t="shared" ref="G14408:M14411" si="3307">"X"</f>
        <v>X</v>
      </c>
      <c r="H14408" s="1" t="str">
        <f t="shared" si="3307"/>
        <v>X</v>
      </c>
      <c r="I14408" s="1" t="str">
        <f t="shared" si="3307"/>
        <v>X</v>
      </c>
      <c r="J14408" s="1" t="str">
        <f t="shared" si="3307"/>
        <v>X</v>
      </c>
      <c r="K14408" s="1" t="str">
        <f t="shared" si="3307"/>
        <v>X</v>
      </c>
      <c r="L14408" s="1" t="str">
        <f t="shared" si="3307"/>
        <v>X</v>
      </c>
      <c r="M14408" s="1" t="str">
        <f t="shared" si="3307"/>
        <v>X</v>
      </c>
      <c r="N14408" t="s">
        <v>27</v>
      </c>
    </row>
    <row r="14409" spans="1:14" x14ac:dyDescent="0.25">
      <c r="A14409" t="s">
        <v>45</v>
      </c>
      <c r="B14409" t="s">
        <v>39</v>
      </c>
      <c r="C14409" t="s">
        <v>36</v>
      </c>
      <c r="D14409" t="s">
        <v>29</v>
      </c>
      <c r="E14409" t="s">
        <v>21</v>
      </c>
      <c r="F14409" t="s">
        <v>18</v>
      </c>
      <c r="G14409" s="1" t="str">
        <f t="shared" si="3307"/>
        <v>X</v>
      </c>
      <c r="H14409" s="1" t="str">
        <f t="shared" si="3307"/>
        <v>X</v>
      </c>
      <c r="I14409" s="1" t="str">
        <f t="shared" si="3307"/>
        <v>X</v>
      </c>
      <c r="J14409" s="1" t="str">
        <f t="shared" si="3307"/>
        <v>X</v>
      </c>
      <c r="K14409" s="1" t="str">
        <f t="shared" si="3307"/>
        <v>X</v>
      </c>
      <c r="L14409" s="1" t="str">
        <f t="shared" si="3307"/>
        <v>X</v>
      </c>
      <c r="M14409" s="1" t="str">
        <f t="shared" si="3307"/>
        <v>X</v>
      </c>
      <c r="N14409" t="s">
        <v>27</v>
      </c>
    </row>
    <row r="14410" spans="1:14" x14ac:dyDescent="0.25">
      <c r="A14410" t="s">
        <v>45</v>
      </c>
      <c r="B14410" t="s">
        <v>39</v>
      </c>
      <c r="C14410" t="s">
        <v>36</v>
      </c>
      <c r="D14410" t="s">
        <v>29</v>
      </c>
      <c r="E14410" t="s">
        <v>21</v>
      </c>
      <c r="F14410" t="s">
        <v>19</v>
      </c>
      <c r="G14410" s="1" t="str">
        <f t="shared" si="3307"/>
        <v>X</v>
      </c>
      <c r="H14410" s="1" t="str">
        <f t="shared" si="3307"/>
        <v>X</v>
      </c>
      <c r="I14410" s="1" t="str">
        <f t="shared" si="3307"/>
        <v>X</v>
      </c>
      <c r="J14410" s="1" t="str">
        <f t="shared" si="3307"/>
        <v>X</v>
      </c>
      <c r="K14410" s="1" t="str">
        <f t="shared" si="3307"/>
        <v>X</v>
      </c>
      <c r="L14410" s="1" t="str">
        <f t="shared" si="3307"/>
        <v>X</v>
      </c>
      <c r="M14410" s="1" t="str">
        <f t="shared" si="3307"/>
        <v>X</v>
      </c>
      <c r="N14410" t="s">
        <v>27</v>
      </c>
    </row>
    <row r="14411" spans="1:14" x14ac:dyDescent="0.25">
      <c r="A14411" t="s">
        <v>45</v>
      </c>
      <c r="B14411" t="s">
        <v>39</v>
      </c>
      <c r="C14411" t="s">
        <v>36</v>
      </c>
      <c r="D14411" t="s">
        <v>29</v>
      </c>
      <c r="E14411" t="s">
        <v>21</v>
      </c>
      <c r="F14411" t="s">
        <v>20</v>
      </c>
      <c r="G14411" s="1" t="str">
        <f t="shared" si="3307"/>
        <v>X</v>
      </c>
      <c r="H14411" s="1" t="str">
        <f t="shared" si="3307"/>
        <v>X</v>
      </c>
      <c r="I14411" s="1" t="str">
        <f t="shared" si="3307"/>
        <v>X</v>
      </c>
      <c r="J14411" s="1" t="str">
        <f t="shared" si="3307"/>
        <v>X</v>
      </c>
      <c r="K14411" s="1" t="str">
        <f t="shared" si="3307"/>
        <v>X</v>
      </c>
      <c r="L14411" s="1" t="str">
        <f t="shared" si="3307"/>
        <v>X</v>
      </c>
      <c r="M14411" s="1" t="str">
        <f t="shared" si="3307"/>
        <v>X</v>
      </c>
      <c r="N14411" t="s">
        <v>27</v>
      </c>
    </row>
    <row r="14412" spans="1:14" x14ac:dyDescent="0.25">
      <c r="A14412" t="s">
        <v>45</v>
      </c>
      <c r="B14412" t="s">
        <v>39</v>
      </c>
      <c r="C14412" t="s">
        <v>36</v>
      </c>
      <c r="D14412" t="s">
        <v>29</v>
      </c>
      <c r="E14412" t="s">
        <v>22</v>
      </c>
      <c r="F14412" t="s">
        <v>15</v>
      </c>
      <c r="G14412" s="2">
        <f>VALUE(612.25)</f>
        <v>612.25</v>
      </c>
      <c r="H14412" s="3">
        <f>VALUE(610.59)</f>
        <v>610.59</v>
      </c>
      <c r="I14412" s="1">
        <f>VALUE(3957)</f>
        <v>3957</v>
      </c>
      <c r="J14412" s="1">
        <f>VALUE(4476)</f>
        <v>4476</v>
      </c>
      <c r="K14412" s="1">
        <f>VALUE(5095)</f>
        <v>5095</v>
      </c>
      <c r="L14412" s="1">
        <f>VALUE(6004)</f>
        <v>6004</v>
      </c>
      <c r="M14412" s="8">
        <f>VALUE(8645)</f>
        <v>8645</v>
      </c>
      <c r="N14412" t="s">
        <v>25</v>
      </c>
    </row>
    <row r="14413" spans="1:14" x14ac:dyDescent="0.25">
      <c r="A14413" t="s">
        <v>45</v>
      </c>
      <c r="B14413" t="s">
        <v>39</v>
      </c>
      <c r="C14413" t="s">
        <v>36</v>
      </c>
      <c r="D14413" t="s">
        <v>29</v>
      </c>
      <c r="E14413" t="s">
        <v>22</v>
      </c>
      <c r="F14413" t="s">
        <v>17</v>
      </c>
      <c r="G14413" s="1" t="str">
        <f t="shared" ref="G14413:M14415" si="3308">"X"</f>
        <v>X</v>
      </c>
      <c r="H14413" s="1" t="str">
        <f t="shared" si="3308"/>
        <v>X</v>
      </c>
      <c r="I14413" s="1" t="str">
        <f t="shared" si="3308"/>
        <v>X</v>
      </c>
      <c r="J14413" s="1" t="str">
        <f t="shared" si="3308"/>
        <v>X</v>
      </c>
      <c r="K14413" s="1" t="str">
        <f t="shared" si="3308"/>
        <v>X</v>
      </c>
      <c r="L14413" s="1" t="str">
        <f t="shared" si="3308"/>
        <v>X</v>
      </c>
      <c r="M14413" s="1" t="str">
        <f t="shared" si="3308"/>
        <v>X</v>
      </c>
      <c r="N14413" t="s">
        <v>27</v>
      </c>
    </row>
    <row r="14414" spans="1:14" x14ac:dyDescent="0.25">
      <c r="A14414" t="s">
        <v>45</v>
      </c>
      <c r="B14414" t="s">
        <v>39</v>
      </c>
      <c r="C14414" t="s">
        <v>36</v>
      </c>
      <c r="D14414" t="s">
        <v>29</v>
      </c>
      <c r="E14414" t="s">
        <v>22</v>
      </c>
      <c r="F14414" t="s">
        <v>18</v>
      </c>
      <c r="G14414" s="1" t="str">
        <f t="shared" si="3308"/>
        <v>X</v>
      </c>
      <c r="H14414" s="1" t="str">
        <f t="shared" si="3308"/>
        <v>X</v>
      </c>
      <c r="I14414" s="1" t="str">
        <f t="shared" si="3308"/>
        <v>X</v>
      </c>
      <c r="J14414" s="1" t="str">
        <f t="shared" si="3308"/>
        <v>X</v>
      </c>
      <c r="K14414" s="1" t="str">
        <f t="shared" si="3308"/>
        <v>X</v>
      </c>
      <c r="L14414" s="1" t="str">
        <f t="shared" si="3308"/>
        <v>X</v>
      </c>
      <c r="M14414" s="1" t="str">
        <f t="shared" si="3308"/>
        <v>X</v>
      </c>
      <c r="N14414" t="s">
        <v>27</v>
      </c>
    </row>
    <row r="14415" spans="1:14" x14ac:dyDescent="0.25">
      <c r="A14415" t="s">
        <v>45</v>
      </c>
      <c r="B14415" t="s">
        <v>39</v>
      </c>
      <c r="C14415" t="s">
        <v>36</v>
      </c>
      <c r="D14415" t="s">
        <v>29</v>
      </c>
      <c r="E14415" t="s">
        <v>22</v>
      </c>
      <c r="F14415" t="s">
        <v>19</v>
      </c>
      <c r="G14415" s="1" t="str">
        <f t="shared" si="3308"/>
        <v>X</v>
      </c>
      <c r="H14415" s="1" t="str">
        <f t="shared" si="3308"/>
        <v>X</v>
      </c>
      <c r="I14415" s="1" t="str">
        <f t="shared" si="3308"/>
        <v>X</v>
      </c>
      <c r="J14415" s="1" t="str">
        <f t="shared" si="3308"/>
        <v>X</v>
      </c>
      <c r="K14415" s="1" t="str">
        <f t="shared" si="3308"/>
        <v>X</v>
      </c>
      <c r="L14415" s="1" t="str">
        <f t="shared" si="3308"/>
        <v>X</v>
      </c>
      <c r="M14415" s="1" t="str">
        <f t="shared" si="3308"/>
        <v>X</v>
      </c>
      <c r="N14415" t="s">
        <v>27</v>
      </c>
    </row>
    <row r="14416" spans="1:14" x14ac:dyDescent="0.25">
      <c r="A14416" t="s">
        <v>45</v>
      </c>
      <c r="B14416" t="s">
        <v>39</v>
      </c>
      <c r="C14416" t="s">
        <v>36</v>
      </c>
      <c r="D14416" t="s">
        <v>29</v>
      </c>
      <c r="E14416" t="s">
        <v>22</v>
      </c>
      <c r="F14416" t="s">
        <v>20</v>
      </c>
      <c r="G14416" s="2">
        <f>VALUE(401.96)</f>
        <v>401.96</v>
      </c>
      <c r="H14416" s="3">
        <f>VALUE(394.04)</f>
        <v>394.04</v>
      </c>
      <c r="I14416" s="1">
        <f>VALUE(3648)</f>
        <v>3648</v>
      </c>
      <c r="J14416" s="1">
        <f>VALUE(4338)</f>
        <v>4338</v>
      </c>
      <c r="K14416" s="1">
        <f>VALUE(4971)</f>
        <v>4971</v>
      </c>
      <c r="L14416" s="1">
        <f>VALUE(5621)</f>
        <v>5621</v>
      </c>
      <c r="M14416" s="1">
        <f>VALUE(6144)</f>
        <v>6144</v>
      </c>
      <c r="N14416" t="s">
        <v>25</v>
      </c>
    </row>
    <row r="14417" spans="1:14" x14ac:dyDescent="0.25">
      <c r="A14417" t="s">
        <v>45</v>
      </c>
      <c r="B14417" t="s">
        <v>39</v>
      </c>
      <c r="C14417" t="s">
        <v>36</v>
      </c>
      <c r="D14417" t="s">
        <v>29</v>
      </c>
      <c r="E14417" t="s">
        <v>23</v>
      </c>
      <c r="F14417" t="s">
        <v>15</v>
      </c>
      <c r="G14417" s="2">
        <f>VALUE(410.23)</f>
        <v>410.23</v>
      </c>
      <c r="H14417" s="3">
        <f>VALUE(380.67)</f>
        <v>380.67</v>
      </c>
      <c r="I14417" s="1">
        <f>VALUE(3500)</f>
        <v>3500</v>
      </c>
      <c r="J14417" s="1">
        <f>VALUE(3893)</f>
        <v>3893</v>
      </c>
      <c r="K14417" s="1">
        <f>VALUE(4712)</f>
        <v>4712</v>
      </c>
      <c r="L14417" s="1">
        <f>VALUE(5550)</f>
        <v>5550</v>
      </c>
      <c r="M14417" s="1">
        <f>VALUE(5854)</f>
        <v>5854</v>
      </c>
      <c r="N14417" t="s">
        <v>25</v>
      </c>
    </row>
    <row r="14418" spans="1:14" x14ac:dyDescent="0.25">
      <c r="A14418" t="s">
        <v>45</v>
      </c>
      <c r="B14418" t="s">
        <v>39</v>
      </c>
      <c r="C14418" t="s">
        <v>36</v>
      </c>
      <c r="D14418" t="s">
        <v>29</v>
      </c>
      <c r="E14418" t="s">
        <v>23</v>
      </c>
      <c r="F14418" t="s">
        <v>17</v>
      </c>
      <c r="G14418" s="1" t="str">
        <f t="shared" ref="G14418:M14420" si="3309">"X"</f>
        <v>X</v>
      </c>
      <c r="H14418" s="1" t="str">
        <f t="shared" si="3309"/>
        <v>X</v>
      </c>
      <c r="I14418" s="1" t="str">
        <f t="shared" si="3309"/>
        <v>X</v>
      </c>
      <c r="J14418" s="1" t="str">
        <f t="shared" si="3309"/>
        <v>X</v>
      </c>
      <c r="K14418" s="1" t="str">
        <f t="shared" si="3309"/>
        <v>X</v>
      </c>
      <c r="L14418" s="1" t="str">
        <f t="shared" si="3309"/>
        <v>X</v>
      </c>
      <c r="M14418" s="1" t="str">
        <f t="shared" si="3309"/>
        <v>X</v>
      </c>
      <c r="N14418" t="s">
        <v>27</v>
      </c>
    </row>
    <row r="14419" spans="1:14" x14ac:dyDescent="0.25">
      <c r="A14419" t="s">
        <v>45</v>
      </c>
      <c r="B14419" t="s">
        <v>39</v>
      </c>
      <c r="C14419" t="s">
        <v>36</v>
      </c>
      <c r="D14419" t="s">
        <v>29</v>
      </c>
      <c r="E14419" t="s">
        <v>23</v>
      </c>
      <c r="F14419" t="s">
        <v>18</v>
      </c>
      <c r="G14419" s="1" t="str">
        <f t="shared" si="3309"/>
        <v>X</v>
      </c>
      <c r="H14419" s="1" t="str">
        <f t="shared" si="3309"/>
        <v>X</v>
      </c>
      <c r="I14419" s="1" t="str">
        <f t="shared" si="3309"/>
        <v>X</v>
      </c>
      <c r="J14419" s="1" t="str">
        <f t="shared" si="3309"/>
        <v>X</v>
      </c>
      <c r="K14419" s="1" t="str">
        <f t="shared" si="3309"/>
        <v>X</v>
      </c>
      <c r="L14419" s="1" t="str">
        <f t="shared" si="3309"/>
        <v>X</v>
      </c>
      <c r="M14419" s="1" t="str">
        <f t="shared" si="3309"/>
        <v>X</v>
      </c>
      <c r="N14419" t="s">
        <v>27</v>
      </c>
    </row>
    <row r="14420" spans="1:14" x14ac:dyDescent="0.25">
      <c r="A14420" t="s">
        <v>45</v>
      </c>
      <c r="B14420" t="s">
        <v>39</v>
      </c>
      <c r="C14420" t="s">
        <v>36</v>
      </c>
      <c r="D14420" t="s">
        <v>29</v>
      </c>
      <c r="E14420" t="s">
        <v>23</v>
      </c>
      <c r="F14420" t="s">
        <v>19</v>
      </c>
      <c r="G14420" s="1" t="str">
        <f t="shared" si="3309"/>
        <v>X</v>
      </c>
      <c r="H14420" s="1" t="str">
        <f t="shared" si="3309"/>
        <v>X</v>
      </c>
      <c r="I14420" s="1" t="str">
        <f t="shared" si="3309"/>
        <v>X</v>
      </c>
      <c r="J14420" s="1" t="str">
        <f t="shared" si="3309"/>
        <v>X</v>
      </c>
      <c r="K14420" s="1" t="str">
        <f t="shared" si="3309"/>
        <v>X</v>
      </c>
      <c r="L14420" s="1" t="str">
        <f t="shared" si="3309"/>
        <v>X</v>
      </c>
      <c r="M14420" s="1" t="str">
        <f t="shared" si="3309"/>
        <v>X</v>
      </c>
      <c r="N14420" t="s">
        <v>27</v>
      </c>
    </row>
    <row r="14421" spans="1:14" x14ac:dyDescent="0.25">
      <c r="A14421" t="s">
        <v>45</v>
      </c>
      <c r="B14421" t="s">
        <v>39</v>
      </c>
      <c r="C14421" t="s">
        <v>36</v>
      </c>
      <c r="D14421" t="s">
        <v>29</v>
      </c>
      <c r="E14421" t="s">
        <v>23</v>
      </c>
      <c r="F14421" t="s">
        <v>20</v>
      </c>
      <c r="G14421" s="2">
        <f>VALUE(348.23)</f>
        <v>348.23</v>
      </c>
      <c r="H14421" s="3">
        <f>VALUE(315.62)</f>
        <v>315.62</v>
      </c>
      <c r="I14421" s="1">
        <f>VALUE(3544)</f>
        <v>3544</v>
      </c>
      <c r="J14421" s="1">
        <f>VALUE(3993)</f>
        <v>3993</v>
      </c>
      <c r="K14421" s="1">
        <f>VALUE(4979)</f>
        <v>4979</v>
      </c>
      <c r="L14421" s="1">
        <f>VALUE(5550)</f>
        <v>5550</v>
      </c>
      <c r="M14421" s="1">
        <f>VALUE(5904)</f>
        <v>5904</v>
      </c>
      <c r="N14421" t="s">
        <v>25</v>
      </c>
    </row>
    <row r="14422" spans="1:14" x14ac:dyDescent="0.25">
      <c r="A14422" t="s">
        <v>45</v>
      </c>
      <c r="B14422" t="s">
        <v>39</v>
      </c>
      <c r="C14422" t="s">
        <v>36</v>
      </c>
      <c r="D14422" t="s">
        <v>29</v>
      </c>
      <c r="E14422" t="s">
        <v>26</v>
      </c>
      <c r="F14422" t="s">
        <v>15</v>
      </c>
      <c r="G14422" s="1" t="str">
        <f t="shared" ref="G14422:M14423" si="3310">"X"</f>
        <v>X</v>
      </c>
      <c r="H14422" s="1" t="str">
        <f t="shared" si="3310"/>
        <v>X</v>
      </c>
      <c r="I14422" s="1" t="str">
        <f t="shared" si="3310"/>
        <v>X</v>
      </c>
      <c r="J14422" s="1" t="str">
        <f t="shared" si="3310"/>
        <v>X</v>
      </c>
      <c r="K14422" s="1" t="str">
        <f t="shared" si="3310"/>
        <v>X</v>
      </c>
      <c r="L14422" s="1" t="str">
        <f t="shared" si="3310"/>
        <v>X</v>
      </c>
      <c r="M14422" s="1" t="str">
        <f t="shared" si="3310"/>
        <v>X</v>
      </c>
      <c r="N14422" t="s">
        <v>27</v>
      </c>
    </row>
    <row r="14423" spans="1:14" x14ac:dyDescent="0.25">
      <c r="A14423" t="s">
        <v>45</v>
      </c>
      <c r="B14423" t="s">
        <v>39</v>
      </c>
      <c r="C14423" t="s">
        <v>36</v>
      </c>
      <c r="D14423" t="s">
        <v>29</v>
      </c>
      <c r="E14423" t="s">
        <v>26</v>
      </c>
      <c r="F14423" t="s">
        <v>17</v>
      </c>
      <c r="G14423" s="1" t="str">
        <f t="shared" si="3310"/>
        <v>X</v>
      </c>
      <c r="H14423" s="1" t="str">
        <f t="shared" si="3310"/>
        <v>X</v>
      </c>
      <c r="I14423" s="1" t="str">
        <f t="shared" si="3310"/>
        <v>X</v>
      </c>
      <c r="J14423" s="1" t="str">
        <f t="shared" si="3310"/>
        <v>X</v>
      </c>
      <c r="K14423" s="1" t="str">
        <f t="shared" si="3310"/>
        <v>X</v>
      </c>
      <c r="L14423" s="1" t="str">
        <f t="shared" si="3310"/>
        <v>X</v>
      </c>
      <c r="M14423" s="1" t="str">
        <f t="shared" si="3310"/>
        <v>X</v>
      </c>
      <c r="N14423" t="s">
        <v>27</v>
      </c>
    </row>
    <row r="14424" spans="1:14" x14ac:dyDescent="0.25">
      <c r="A14424" t="s">
        <v>45</v>
      </c>
      <c r="B14424" t="s">
        <v>39</v>
      </c>
      <c r="C14424" t="s">
        <v>36</v>
      </c>
      <c r="D14424" t="s">
        <v>29</v>
      </c>
      <c r="E14424" t="s">
        <v>26</v>
      </c>
      <c r="F14424" t="s">
        <v>18</v>
      </c>
      <c r="G14424" s="1" t="str">
        <f t="shared" ref="G14424:M14425" si="3311">"..."</f>
        <v>...</v>
      </c>
      <c r="H14424" s="1" t="str">
        <f t="shared" si="3311"/>
        <v>...</v>
      </c>
      <c r="I14424" s="1" t="str">
        <f t="shared" si="3311"/>
        <v>...</v>
      </c>
      <c r="J14424" s="1" t="str">
        <f t="shared" si="3311"/>
        <v>...</v>
      </c>
      <c r="K14424" s="1" t="str">
        <f t="shared" si="3311"/>
        <v>...</v>
      </c>
      <c r="L14424" s="1" t="str">
        <f t="shared" si="3311"/>
        <v>...</v>
      </c>
      <c r="M14424" s="1" t="str">
        <f t="shared" si="3311"/>
        <v>...</v>
      </c>
      <c r="N14424" t="s">
        <v>30</v>
      </c>
    </row>
    <row r="14425" spans="1:14" x14ac:dyDescent="0.25">
      <c r="A14425" t="s">
        <v>45</v>
      </c>
      <c r="B14425" t="s">
        <v>39</v>
      </c>
      <c r="C14425" t="s">
        <v>36</v>
      </c>
      <c r="D14425" t="s">
        <v>29</v>
      </c>
      <c r="E14425" t="s">
        <v>26</v>
      </c>
      <c r="F14425" t="s">
        <v>19</v>
      </c>
      <c r="G14425" s="1" t="str">
        <f t="shared" si="3311"/>
        <v>...</v>
      </c>
      <c r="H14425" s="1" t="str">
        <f t="shared" si="3311"/>
        <v>...</v>
      </c>
      <c r="I14425" s="1" t="str">
        <f t="shared" si="3311"/>
        <v>...</v>
      </c>
      <c r="J14425" s="1" t="str">
        <f t="shared" si="3311"/>
        <v>...</v>
      </c>
      <c r="K14425" s="1" t="str">
        <f t="shared" si="3311"/>
        <v>...</v>
      </c>
      <c r="L14425" s="1" t="str">
        <f t="shared" si="3311"/>
        <v>...</v>
      </c>
      <c r="M14425" s="1" t="str">
        <f t="shared" si="3311"/>
        <v>...</v>
      </c>
      <c r="N14425" t="s">
        <v>30</v>
      </c>
    </row>
    <row r="14426" spans="1:14" x14ac:dyDescent="0.25">
      <c r="A14426" t="s">
        <v>45</v>
      </c>
      <c r="B14426" t="s">
        <v>39</v>
      </c>
      <c r="C14426" t="s">
        <v>36</v>
      </c>
      <c r="D14426" t="s">
        <v>29</v>
      </c>
      <c r="E14426" t="s">
        <v>26</v>
      </c>
      <c r="F14426" t="s">
        <v>20</v>
      </c>
      <c r="G14426" s="1" t="str">
        <f t="shared" ref="G14426:M14426" si="3312">"X"</f>
        <v>X</v>
      </c>
      <c r="H14426" s="1" t="str">
        <f t="shared" si="3312"/>
        <v>X</v>
      </c>
      <c r="I14426" s="1" t="str">
        <f t="shared" si="3312"/>
        <v>X</v>
      </c>
      <c r="J14426" s="1" t="str">
        <f t="shared" si="3312"/>
        <v>X</v>
      </c>
      <c r="K14426" s="1" t="str">
        <f t="shared" si="3312"/>
        <v>X</v>
      </c>
      <c r="L14426" s="1" t="str">
        <f t="shared" si="3312"/>
        <v>X</v>
      </c>
      <c r="M14426" s="1" t="str">
        <f t="shared" si="3312"/>
        <v>X</v>
      </c>
      <c r="N14426" t="s">
        <v>27</v>
      </c>
    </row>
    <row r="14427" spans="1:14" x14ac:dyDescent="0.25">
      <c r="A14427" t="s">
        <v>45</v>
      </c>
      <c r="B14427" t="s">
        <v>39</v>
      </c>
      <c r="C14427" t="s">
        <v>36</v>
      </c>
      <c r="D14427" t="s">
        <v>31</v>
      </c>
      <c r="E14427" t="s">
        <v>15</v>
      </c>
      <c r="F14427" t="s">
        <v>15</v>
      </c>
      <c r="G14427" s="2">
        <f>VALUE(2199.15)</f>
        <v>2199.15</v>
      </c>
      <c r="H14427" s="3">
        <f>VALUE(2231.82)</f>
        <v>2231.8200000000002</v>
      </c>
      <c r="I14427" s="1">
        <f>VALUE(3544)</f>
        <v>3544</v>
      </c>
      <c r="J14427" s="1">
        <f>VALUE(3911)</f>
        <v>3911</v>
      </c>
      <c r="K14427" s="1">
        <f>VALUE(4875)</f>
        <v>4875</v>
      </c>
      <c r="L14427" s="1">
        <f>VALUE(6108)</f>
        <v>6108</v>
      </c>
      <c r="M14427" s="8">
        <f>VALUE(7647)</f>
        <v>7647</v>
      </c>
      <c r="N14427" t="s">
        <v>25</v>
      </c>
    </row>
    <row r="14428" spans="1:14" x14ac:dyDescent="0.25">
      <c r="A14428" t="s">
        <v>45</v>
      </c>
      <c r="B14428" t="s">
        <v>39</v>
      </c>
      <c r="C14428" t="s">
        <v>36</v>
      </c>
      <c r="D14428" t="s">
        <v>31</v>
      </c>
      <c r="E14428" t="s">
        <v>15</v>
      </c>
      <c r="F14428" t="s">
        <v>17</v>
      </c>
      <c r="G14428" s="1" t="str">
        <f t="shared" ref="G14428:M14429" si="3313">"X"</f>
        <v>X</v>
      </c>
      <c r="H14428" s="1" t="str">
        <f t="shared" si="3313"/>
        <v>X</v>
      </c>
      <c r="I14428" s="1" t="str">
        <f t="shared" si="3313"/>
        <v>X</v>
      </c>
      <c r="J14428" s="1" t="str">
        <f t="shared" si="3313"/>
        <v>X</v>
      </c>
      <c r="K14428" s="1" t="str">
        <f t="shared" si="3313"/>
        <v>X</v>
      </c>
      <c r="L14428" s="1" t="str">
        <f t="shared" si="3313"/>
        <v>X</v>
      </c>
      <c r="M14428" s="1" t="str">
        <f t="shared" si="3313"/>
        <v>X</v>
      </c>
      <c r="N14428" t="s">
        <v>27</v>
      </c>
    </row>
    <row r="14429" spans="1:14" x14ac:dyDescent="0.25">
      <c r="A14429" t="s">
        <v>45</v>
      </c>
      <c r="B14429" t="s">
        <v>39</v>
      </c>
      <c r="C14429" t="s">
        <v>36</v>
      </c>
      <c r="D14429" t="s">
        <v>31</v>
      </c>
      <c r="E14429" t="s">
        <v>15</v>
      </c>
      <c r="F14429" t="s">
        <v>18</v>
      </c>
      <c r="G14429" s="1" t="str">
        <f t="shared" si="3313"/>
        <v>X</v>
      </c>
      <c r="H14429" s="1" t="str">
        <f t="shared" si="3313"/>
        <v>X</v>
      </c>
      <c r="I14429" s="1" t="str">
        <f t="shared" si="3313"/>
        <v>X</v>
      </c>
      <c r="J14429" s="1" t="str">
        <f t="shared" si="3313"/>
        <v>X</v>
      </c>
      <c r="K14429" s="1" t="str">
        <f t="shared" si="3313"/>
        <v>X</v>
      </c>
      <c r="L14429" s="1" t="str">
        <f t="shared" si="3313"/>
        <v>X</v>
      </c>
      <c r="M14429" s="1" t="str">
        <f t="shared" si="3313"/>
        <v>X</v>
      </c>
      <c r="N14429" t="s">
        <v>27</v>
      </c>
    </row>
    <row r="14430" spans="1:14" x14ac:dyDescent="0.25">
      <c r="A14430" t="s">
        <v>45</v>
      </c>
      <c r="B14430" t="s">
        <v>39</v>
      </c>
      <c r="C14430" t="s">
        <v>36</v>
      </c>
      <c r="D14430" t="s">
        <v>31</v>
      </c>
      <c r="E14430" t="s">
        <v>15</v>
      </c>
      <c r="F14430" t="s">
        <v>19</v>
      </c>
      <c r="G14430" s="2">
        <f>VALUE(248.76)</f>
        <v>248.76</v>
      </c>
      <c r="H14430" s="3">
        <f>VALUE(251.04)</f>
        <v>251.04</v>
      </c>
      <c r="I14430" s="4">
        <f>VALUE(3422)</f>
        <v>3422</v>
      </c>
      <c r="J14430" s="5">
        <f>VALUE(3802)</f>
        <v>3802</v>
      </c>
      <c r="K14430" s="6">
        <f>VALUE(5417)</f>
        <v>5417</v>
      </c>
      <c r="L14430" s="7">
        <f>VALUE(6588)</f>
        <v>6588</v>
      </c>
      <c r="M14430" s="1">
        <f>VALUE(8571)</f>
        <v>8571</v>
      </c>
      <c r="N14430" t="s">
        <v>25</v>
      </c>
    </row>
    <row r="14431" spans="1:14" x14ac:dyDescent="0.25">
      <c r="A14431" t="s">
        <v>45</v>
      </c>
      <c r="B14431" t="s">
        <v>39</v>
      </c>
      <c r="C14431" t="s">
        <v>36</v>
      </c>
      <c r="D14431" t="s">
        <v>31</v>
      </c>
      <c r="E14431" t="s">
        <v>15</v>
      </c>
      <c r="F14431" t="s">
        <v>20</v>
      </c>
      <c r="G14431" s="2">
        <f>VALUE(1531.07)</f>
        <v>1531.07</v>
      </c>
      <c r="H14431" s="3">
        <f>VALUE(1555.19)</f>
        <v>1555.19</v>
      </c>
      <c r="I14431" s="1">
        <f>VALUE(3526)</f>
        <v>3526</v>
      </c>
      <c r="J14431" s="1">
        <f>VALUE(3911)</f>
        <v>3911</v>
      </c>
      <c r="K14431" s="1">
        <f>VALUE(4354)</f>
        <v>4354</v>
      </c>
      <c r="L14431" s="1">
        <f>VALUE(5771)</f>
        <v>5771</v>
      </c>
      <c r="M14431" s="1">
        <f>VALUE(6977)</f>
        <v>6977</v>
      </c>
      <c r="N14431" t="s">
        <v>25</v>
      </c>
    </row>
    <row r="14432" spans="1:14" x14ac:dyDescent="0.25">
      <c r="A14432" t="s">
        <v>45</v>
      </c>
      <c r="B14432" t="s">
        <v>39</v>
      </c>
      <c r="C14432" t="s">
        <v>36</v>
      </c>
      <c r="D14432" t="s">
        <v>31</v>
      </c>
      <c r="E14432" t="s">
        <v>21</v>
      </c>
      <c r="F14432" t="s">
        <v>15</v>
      </c>
      <c r="G14432" s="2">
        <f>VALUE(848.96)</f>
        <v>848.96</v>
      </c>
      <c r="H14432" s="3">
        <f>VALUE(866.42)</f>
        <v>866.42</v>
      </c>
      <c r="I14432" s="1">
        <f>VALUE(3911)</f>
        <v>3911</v>
      </c>
      <c r="J14432" s="5">
        <f>VALUE(3911)</f>
        <v>3911</v>
      </c>
      <c r="K14432" s="1">
        <f>VALUE(5882)</f>
        <v>5882</v>
      </c>
      <c r="L14432" s="7">
        <f>VALUE(7326)</f>
        <v>7326</v>
      </c>
      <c r="M14432" s="8">
        <f>VALUE(10138)</f>
        <v>10138</v>
      </c>
      <c r="N14432" t="s">
        <v>25</v>
      </c>
    </row>
    <row r="14433" spans="1:14" x14ac:dyDescent="0.25">
      <c r="A14433" t="s">
        <v>45</v>
      </c>
      <c r="B14433" t="s">
        <v>39</v>
      </c>
      <c r="C14433" t="s">
        <v>36</v>
      </c>
      <c r="D14433" t="s">
        <v>31</v>
      </c>
      <c r="E14433" t="s">
        <v>21</v>
      </c>
      <c r="F14433" t="s">
        <v>17</v>
      </c>
      <c r="G14433" s="1" t="str">
        <f t="shared" ref="G14433:M14435" si="3314">"X"</f>
        <v>X</v>
      </c>
      <c r="H14433" s="1" t="str">
        <f t="shared" si="3314"/>
        <v>X</v>
      </c>
      <c r="I14433" s="1" t="str">
        <f t="shared" si="3314"/>
        <v>X</v>
      </c>
      <c r="J14433" s="1" t="str">
        <f t="shared" si="3314"/>
        <v>X</v>
      </c>
      <c r="K14433" s="1" t="str">
        <f t="shared" si="3314"/>
        <v>X</v>
      </c>
      <c r="L14433" s="1" t="str">
        <f t="shared" si="3314"/>
        <v>X</v>
      </c>
      <c r="M14433" s="1" t="str">
        <f t="shared" si="3314"/>
        <v>X</v>
      </c>
      <c r="N14433" t="s">
        <v>27</v>
      </c>
    </row>
    <row r="14434" spans="1:14" x14ac:dyDescent="0.25">
      <c r="A14434" t="s">
        <v>45</v>
      </c>
      <c r="B14434" t="s">
        <v>39</v>
      </c>
      <c r="C14434" t="s">
        <v>36</v>
      </c>
      <c r="D14434" t="s">
        <v>31</v>
      </c>
      <c r="E14434" t="s">
        <v>21</v>
      </c>
      <c r="F14434" t="s">
        <v>18</v>
      </c>
      <c r="G14434" s="1" t="str">
        <f t="shared" si="3314"/>
        <v>X</v>
      </c>
      <c r="H14434" s="1" t="str">
        <f t="shared" si="3314"/>
        <v>X</v>
      </c>
      <c r="I14434" s="1" t="str">
        <f t="shared" si="3314"/>
        <v>X</v>
      </c>
      <c r="J14434" s="1" t="str">
        <f t="shared" si="3314"/>
        <v>X</v>
      </c>
      <c r="K14434" s="1" t="str">
        <f t="shared" si="3314"/>
        <v>X</v>
      </c>
      <c r="L14434" s="1" t="str">
        <f t="shared" si="3314"/>
        <v>X</v>
      </c>
      <c r="M14434" s="1" t="str">
        <f t="shared" si="3314"/>
        <v>X</v>
      </c>
      <c r="N14434" t="s">
        <v>27</v>
      </c>
    </row>
    <row r="14435" spans="1:14" x14ac:dyDescent="0.25">
      <c r="A14435" t="s">
        <v>45</v>
      </c>
      <c r="B14435" t="s">
        <v>39</v>
      </c>
      <c r="C14435" t="s">
        <v>36</v>
      </c>
      <c r="D14435" t="s">
        <v>31</v>
      </c>
      <c r="E14435" t="s">
        <v>21</v>
      </c>
      <c r="F14435" t="s">
        <v>19</v>
      </c>
      <c r="G14435" s="1" t="str">
        <f t="shared" si="3314"/>
        <v>X</v>
      </c>
      <c r="H14435" s="1" t="str">
        <f t="shared" si="3314"/>
        <v>X</v>
      </c>
      <c r="I14435" s="1" t="str">
        <f t="shared" si="3314"/>
        <v>X</v>
      </c>
      <c r="J14435" s="1" t="str">
        <f t="shared" si="3314"/>
        <v>X</v>
      </c>
      <c r="K14435" s="1" t="str">
        <f t="shared" si="3314"/>
        <v>X</v>
      </c>
      <c r="L14435" s="1" t="str">
        <f t="shared" si="3314"/>
        <v>X</v>
      </c>
      <c r="M14435" s="1" t="str">
        <f t="shared" si="3314"/>
        <v>X</v>
      </c>
      <c r="N14435" t="s">
        <v>27</v>
      </c>
    </row>
    <row r="14436" spans="1:14" x14ac:dyDescent="0.25">
      <c r="A14436" t="s">
        <v>45</v>
      </c>
      <c r="B14436" t="s">
        <v>39</v>
      </c>
      <c r="C14436" t="s">
        <v>36</v>
      </c>
      <c r="D14436" t="s">
        <v>31</v>
      </c>
      <c r="E14436" t="s">
        <v>21</v>
      </c>
      <c r="F14436" t="s">
        <v>20</v>
      </c>
      <c r="G14436" s="2">
        <f>VALUE(545.92)</f>
        <v>545.91999999999996</v>
      </c>
      <c r="H14436" s="3">
        <f>VALUE(561.7)</f>
        <v>561.70000000000005</v>
      </c>
      <c r="I14436" s="1">
        <f>VALUE(3911)</f>
        <v>3911</v>
      </c>
      <c r="J14436" s="1">
        <f>VALUE(3911)</f>
        <v>3911</v>
      </c>
      <c r="K14436" s="1">
        <f>VALUE(5255)</f>
        <v>5255</v>
      </c>
      <c r="L14436" s="1">
        <f>VALUE(6625)</f>
        <v>6625</v>
      </c>
      <c r="M14436" s="8">
        <f>VALUE(8776)</f>
        <v>8776</v>
      </c>
      <c r="N14436" t="s">
        <v>25</v>
      </c>
    </row>
    <row r="14437" spans="1:14" x14ac:dyDescent="0.25">
      <c r="A14437" t="s">
        <v>45</v>
      </c>
      <c r="B14437" t="s">
        <v>39</v>
      </c>
      <c r="C14437" t="s">
        <v>36</v>
      </c>
      <c r="D14437" t="s">
        <v>31</v>
      </c>
      <c r="E14437" t="s">
        <v>22</v>
      </c>
      <c r="F14437" t="s">
        <v>15</v>
      </c>
      <c r="G14437" s="2">
        <f>VALUE(548.56)</f>
        <v>548.55999999999995</v>
      </c>
      <c r="H14437" s="3">
        <f>VALUE(544.97)</f>
        <v>544.97</v>
      </c>
      <c r="I14437" s="1">
        <f>VALUE(3466)</f>
        <v>3466</v>
      </c>
      <c r="J14437" s="1">
        <f>VALUE(3989)</f>
        <v>3989</v>
      </c>
      <c r="K14437" s="1">
        <f>VALUE(4678)</f>
        <v>4678</v>
      </c>
      <c r="L14437" s="1">
        <f>VALUE(5710)</f>
        <v>5710</v>
      </c>
      <c r="M14437" s="1">
        <f>VALUE(6588)</f>
        <v>6588</v>
      </c>
      <c r="N14437" t="s">
        <v>25</v>
      </c>
    </row>
    <row r="14438" spans="1:14" x14ac:dyDescent="0.25">
      <c r="A14438" t="s">
        <v>45</v>
      </c>
      <c r="B14438" t="s">
        <v>39</v>
      </c>
      <c r="C14438" t="s">
        <v>36</v>
      </c>
      <c r="D14438" t="s">
        <v>31</v>
      </c>
      <c r="E14438" t="s">
        <v>22</v>
      </c>
      <c r="F14438" t="s">
        <v>17</v>
      </c>
      <c r="G14438" s="1" t="str">
        <f t="shared" ref="G14438:M14440" si="3315">"X"</f>
        <v>X</v>
      </c>
      <c r="H14438" s="1" t="str">
        <f t="shared" si="3315"/>
        <v>X</v>
      </c>
      <c r="I14438" s="1" t="str">
        <f t="shared" si="3315"/>
        <v>X</v>
      </c>
      <c r="J14438" s="1" t="str">
        <f t="shared" si="3315"/>
        <v>X</v>
      </c>
      <c r="K14438" s="1" t="str">
        <f t="shared" si="3315"/>
        <v>X</v>
      </c>
      <c r="L14438" s="1" t="str">
        <f t="shared" si="3315"/>
        <v>X</v>
      </c>
      <c r="M14438" s="1" t="str">
        <f t="shared" si="3315"/>
        <v>X</v>
      </c>
      <c r="N14438" t="s">
        <v>27</v>
      </c>
    </row>
    <row r="14439" spans="1:14" x14ac:dyDescent="0.25">
      <c r="A14439" t="s">
        <v>45</v>
      </c>
      <c r="B14439" t="s">
        <v>39</v>
      </c>
      <c r="C14439" t="s">
        <v>36</v>
      </c>
      <c r="D14439" t="s">
        <v>31</v>
      </c>
      <c r="E14439" t="s">
        <v>22</v>
      </c>
      <c r="F14439" t="s">
        <v>18</v>
      </c>
      <c r="G14439" s="1" t="str">
        <f t="shared" si="3315"/>
        <v>X</v>
      </c>
      <c r="H14439" s="1" t="str">
        <f t="shared" si="3315"/>
        <v>X</v>
      </c>
      <c r="I14439" s="1" t="str">
        <f t="shared" si="3315"/>
        <v>X</v>
      </c>
      <c r="J14439" s="1" t="str">
        <f t="shared" si="3315"/>
        <v>X</v>
      </c>
      <c r="K14439" s="1" t="str">
        <f t="shared" si="3315"/>
        <v>X</v>
      </c>
      <c r="L14439" s="1" t="str">
        <f t="shared" si="3315"/>
        <v>X</v>
      </c>
      <c r="M14439" s="1" t="str">
        <f t="shared" si="3315"/>
        <v>X</v>
      </c>
      <c r="N14439" t="s">
        <v>27</v>
      </c>
    </row>
    <row r="14440" spans="1:14" x14ac:dyDescent="0.25">
      <c r="A14440" t="s">
        <v>45</v>
      </c>
      <c r="B14440" t="s">
        <v>39</v>
      </c>
      <c r="C14440" t="s">
        <v>36</v>
      </c>
      <c r="D14440" t="s">
        <v>31</v>
      </c>
      <c r="E14440" t="s">
        <v>22</v>
      </c>
      <c r="F14440" t="s">
        <v>19</v>
      </c>
      <c r="G14440" s="1" t="str">
        <f t="shared" si="3315"/>
        <v>X</v>
      </c>
      <c r="H14440" s="1" t="str">
        <f t="shared" si="3315"/>
        <v>X</v>
      </c>
      <c r="I14440" s="1" t="str">
        <f t="shared" si="3315"/>
        <v>X</v>
      </c>
      <c r="J14440" s="1" t="str">
        <f t="shared" si="3315"/>
        <v>X</v>
      </c>
      <c r="K14440" s="1" t="str">
        <f t="shared" si="3315"/>
        <v>X</v>
      </c>
      <c r="L14440" s="1" t="str">
        <f t="shared" si="3315"/>
        <v>X</v>
      </c>
      <c r="M14440" s="1" t="str">
        <f t="shared" si="3315"/>
        <v>X</v>
      </c>
      <c r="N14440" t="s">
        <v>27</v>
      </c>
    </row>
    <row r="14441" spans="1:14" x14ac:dyDescent="0.25">
      <c r="A14441" t="s">
        <v>45</v>
      </c>
      <c r="B14441" t="s">
        <v>39</v>
      </c>
      <c r="C14441" t="s">
        <v>36</v>
      </c>
      <c r="D14441" t="s">
        <v>31</v>
      </c>
      <c r="E14441" t="s">
        <v>22</v>
      </c>
      <c r="F14441" t="s">
        <v>20</v>
      </c>
      <c r="G14441" s="2">
        <f>VALUE(376.09)</f>
        <v>376.09</v>
      </c>
      <c r="H14441" s="3">
        <f>VALUE(370.43)</f>
        <v>370.43</v>
      </c>
      <c r="I14441" s="1">
        <f>VALUE(3566)</f>
        <v>3566</v>
      </c>
      <c r="J14441" s="1">
        <f>VALUE(4046)</f>
        <v>4046</v>
      </c>
      <c r="K14441" s="1">
        <f>VALUE(4678)</f>
        <v>4678</v>
      </c>
      <c r="L14441" s="1">
        <f>VALUE(5710)</f>
        <v>5710</v>
      </c>
      <c r="M14441" s="1">
        <f>VALUE(6496)</f>
        <v>6496</v>
      </c>
      <c r="N14441" t="s">
        <v>25</v>
      </c>
    </row>
    <row r="14442" spans="1:14" x14ac:dyDescent="0.25">
      <c r="A14442" t="s">
        <v>45</v>
      </c>
      <c r="B14442" t="s">
        <v>39</v>
      </c>
      <c r="C14442" t="s">
        <v>36</v>
      </c>
      <c r="D14442" t="s">
        <v>31</v>
      </c>
      <c r="E14442" t="s">
        <v>23</v>
      </c>
      <c r="F14442" t="s">
        <v>15</v>
      </c>
      <c r="G14442" s="2">
        <f>VALUE(781.12)</f>
        <v>781.12</v>
      </c>
      <c r="H14442" s="3">
        <f>VALUE(799.85)</f>
        <v>799.85</v>
      </c>
      <c r="I14442" s="1">
        <f>VALUE(3467)</f>
        <v>3467</v>
      </c>
      <c r="J14442" s="1">
        <f>VALUE(3712)</f>
        <v>3712</v>
      </c>
      <c r="K14442" s="1">
        <f>VALUE(4297)</f>
        <v>4297</v>
      </c>
      <c r="L14442" s="1">
        <f>VALUE(5093)</f>
        <v>5093</v>
      </c>
      <c r="M14442" s="8">
        <f>VALUE(5416)</f>
        <v>5416</v>
      </c>
      <c r="N14442" t="s">
        <v>25</v>
      </c>
    </row>
    <row r="14443" spans="1:14" x14ac:dyDescent="0.25">
      <c r="A14443" t="s">
        <v>45</v>
      </c>
      <c r="B14443" t="s">
        <v>39</v>
      </c>
      <c r="C14443" t="s">
        <v>36</v>
      </c>
      <c r="D14443" t="s">
        <v>31</v>
      </c>
      <c r="E14443" t="s">
        <v>23</v>
      </c>
      <c r="F14443" t="s">
        <v>17</v>
      </c>
      <c r="G14443" s="1" t="str">
        <f t="shared" ref="G14443:M14445" si="3316">"X"</f>
        <v>X</v>
      </c>
      <c r="H14443" s="1" t="str">
        <f t="shared" si="3316"/>
        <v>X</v>
      </c>
      <c r="I14443" s="1" t="str">
        <f t="shared" si="3316"/>
        <v>X</v>
      </c>
      <c r="J14443" s="1" t="str">
        <f t="shared" si="3316"/>
        <v>X</v>
      </c>
      <c r="K14443" s="1" t="str">
        <f t="shared" si="3316"/>
        <v>X</v>
      </c>
      <c r="L14443" s="1" t="str">
        <f t="shared" si="3316"/>
        <v>X</v>
      </c>
      <c r="M14443" s="1" t="str">
        <f t="shared" si="3316"/>
        <v>X</v>
      </c>
      <c r="N14443" t="s">
        <v>27</v>
      </c>
    </row>
    <row r="14444" spans="1:14" x14ac:dyDescent="0.25">
      <c r="A14444" t="s">
        <v>45</v>
      </c>
      <c r="B14444" t="s">
        <v>39</v>
      </c>
      <c r="C14444" t="s">
        <v>36</v>
      </c>
      <c r="D14444" t="s">
        <v>31</v>
      </c>
      <c r="E14444" t="s">
        <v>23</v>
      </c>
      <c r="F14444" t="s">
        <v>18</v>
      </c>
      <c r="G14444" s="1" t="str">
        <f t="shared" si="3316"/>
        <v>X</v>
      </c>
      <c r="H14444" s="1" t="str">
        <f t="shared" si="3316"/>
        <v>X</v>
      </c>
      <c r="I14444" s="1" t="str">
        <f t="shared" si="3316"/>
        <v>X</v>
      </c>
      <c r="J14444" s="1" t="str">
        <f t="shared" si="3316"/>
        <v>X</v>
      </c>
      <c r="K14444" s="1" t="str">
        <f t="shared" si="3316"/>
        <v>X</v>
      </c>
      <c r="L14444" s="1" t="str">
        <f t="shared" si="3316"/>
        <v>X</v>
      </c>
      <c r="M14444" s="1" t="str">
        <f t="shared" si="3316"/>
        <v>X</v>
      </c>
      <c r="N14444" t="s">
        <v>27</v>
      </c>
    </row>
    <row r="14445" spans="1:14" x14ac:dyDescent="0.25">
      <c r="A14445" t="s">
        <v>45</v>
      </c>
      <c r="B14445" t="s">
        <v>39</v>
      </c>
      <c r="C14445" t="s">
        <v>36</v>
      </c>
      <c r="D14445" t="s">
        <v>31</v>
      </c>
      <c r="E14445" t="s">
        <v>23</v>
      </c>
      <c r="F14445" t="s">
        <v>19</v>
      </c>
      <c r="G14445" s="1" t="str">
        <f t="shared" si="3316"/>
        <v>X</v>
      </c>
      <c r="H14445" s="1" t="str">
        <f t="shared" si="3316"/>
        <v>X</v>
      </c>
      <c r="I14445" s="1" t="str">
        <f t="shared" si="3316"/>
        <v>X</v>
      </c>
      <c r="J14445" s="1" t="str">
        <f t="shared" si="3316"/>
        <v>X</v>
      </c>
      <c r="K14445" s="1" t="str">
        <f t="shared" si="3316"/>
        <v>X</v>
      </c>
      <c r="L14445" s="1" t="str">
        <f t="shared" si="3316"/>
        <v>X</v>
      </c>
      <c r="M14445" s="1" t="str">
        <f t="shared" si="3316"/>
        <v>X</v>
      </c>
      <c r="N14445" t="s">
        <v>27</v>
      </c>
    </row>
    <row r="14446" spans="1:14" x14ac:dyDescent="0.25">
      <c r="A14446" t="s">
        <v>45</v>
      </c>
      <c r="B14446" t="s">
        <v>39</v>
      </c>
      <c r="C14446" t="s">
        <v>36</v>
      </c>
      <c r="D14446" t="s">
        <v>31</v>
      </c>
      <c r="E14446" t="s">
        <v>23</v>
      </c>
      <c r="F14446" t="s">
        <v>20</v>
      </c>
      <c r="G14446" s="2">
        <f>VALUE(591.57)</f>
        <v>591.57000000000005</v>
      </c>
      <c r="H14446" s="3">
        <f>VALUE(605.5)</f>
        <v>605.5</v>
      </c>
      <c r="I14446" s="1">
        <f>VALUE(3439)</f>
        <v>3439</v>
      </c>
      <c r="J14446" s="1">
        <f>VALUE(3686)</f>
        <v>3686</v>
      </c>
      <c r="K14446" s="1">
        <f>VALUE(4097)</f>
        <v>4097</v>
      </c>
      <c r="L14446" s="1">
        <f>VALUE(4786)</f>
        <v>4786</v>
      </c>
      <c r="M14446" s="1">
        <f>VALUE(5715)</f>
        <v>5715</v>
      </c>
      <c r="N14446" t="s">
        <v>25</v>
      </c>
    </row>
    <row r="14447" spans="1:14" x14ac:dyDescent="0.25">
      <c r="A14447" t="s">
        <v>45</v>
      </c>
      <c r="B14447" t="s">
        <v>39</v>
      </c>
      <c r="C14447" t="s">
        <v>36</v>
      </c>
      <c r="D14447" t="s">
        <v>31</v>
      </c>
      <c r="E14447" t="s">
        <v>26</v>
      </c>
      <c r="F14447" t="s">
        <v>15</v>
      </c>
      <c r="G14447" s="1" t="str">
        <f t="shared" ref="G14447:M14447" si="3317">"X"</f>
        <v>X</v>
      </c>
      <c r="H14447" s="1" t="str">
        <f t="shared" si="3317"/>
        <v>X</v>
      </c>
      <c r="I14447" s="1" t="str">
        <f t="shared" si="3317"/>
        <v>X</v>
      </c>
      <c r="J14447" s="1" t="str">
        <f t="shared" si="3317"/>
        <v>X</v>
      </c>
      <c r="K14447" s="1" t="str">
        <f t="shared" si="3317"/>
        <v>X</v>
      </c>
      <c r="L14447" s="1" t="str">
        <f t="shared" si="3317"/>
        <v>X</v>
      </c>
      <c r="M14447" s="1" t="str">
        <f t="shared" si="3317"/>
        <v>X</v>
      </c>
      <c r="N14447" t="s">
        <v>27</v>
      </c>
    </row>
    <row r="14448" spans="1:14" x14ac:dyDescent="0.25">
      <c r="A14448" t="s">
        <v>45</v>
      </c>
      <c r="B14448" t="s">
        <v>39</v>
      </c>
      <c r="C14448" t="s">
        <v>36</v>
      </c>
      <c r="D14448" t="s">
        <v>31</v>
      </c>
      <c r="E14448" t="s">
        <v>26</v>
      </c>
      <c r="F14448" t="s">
        <v>17</v>
      </c>
      <c r="G14448" s="1" t="str">
        <f t="shared" ref="G14448:M14448" si="3318">"..."</f>
        <v>...</v>
      </c>
      <c r="H14448" s="1" t="str">
        <f t="shared" si="3318"/>
        <v>...</v>
      </c>
      <c r="I14448" s="1" t="str">
        <f t="shared" si="3318"/>
        <v>...</v>
      </c>
      <c r="J14448" s="1" t="str">
        <f t="shared" si="3318"/>
        <v>...</v>
      </c>
      <c r="K14448" s="1" t="str">
        <f t="shared" si="3318"/>
        <v>...</v>
      </c>
      <c r="L14448" s="1" t="str">
        <f t="shared" si="3318"/>
        <v>...</v>
      </c>
      <c r="M14448" s="1" t="str">
        <f t="shared" si="3318"/>
        <v>...</v>
      </c>
      <c r="N14448" t="s">
        <v>30</v>
      </c>
    </row>
    <row r="14449" spans="1:14" x14ac:dyDescent="0.25">
      <c r="A14449" t="s">
        <v>45</v>
      </c>
      <c r="B14449" t="s">
        <v>39</v>
      </c>
      <c r="C14449" t="s">
        <v>36</v>
      </c>
      <c r="D14449" t="s">
        <v>31</v>
      </c>
      <c r="E14449" t="s">
        <v>26</v>
      </c>
      <c r="F14449" t="s">
        <v>18</v>
      </c>
      <c r="G14449" s="1" t="str">
        <f t="shared" ref="G14449:M14449" si="3319">"X"</f>
        <v>X</v>
      </c>
      <c r="H14449" s="1" t="str">
        <f t="shared" si="3319"/>
        <v>X</v>
      </c>
      <c r="I14449" s="1" t="str">
        <f t="shared" si="3319"/>
        <v>X</v>
      </c>
      <c r="J14449" s="1" t="str">
        <f t="shared" si="3319"/>
        <v>X</v>
      </c>
      <c r="K14449" s="1" t="str">
        <f t="shared" si="3319"/>
        <v>X</v>
      </c>
      <c r="L14449" s="1" t="str">
        <f t="shared" si="3319"/>
        <v>X</v>
      </c>
      <c r="M14449" s="1" t="str">
        <f t="shared" si="3319"/>
        <v>X</v>
      </c>
      <c r="N14449" t="s">
        <v>27</v>
      </c>
    </row>
    <row r="14450" spans="1:14" x14ac:dyDescent="0.25">
      <c r="A14450" t="s">
        <v>45</v>
      </c>
      <c r="B14450" t="s">
        <v>39</v>
      </c>
      <c r="C14450" t="s">
        <v>36</v>
      </c>
      <c r="D14450" t="s">
        <v>31</v>
      </c>
      <c r="E14450" t="s">
        <v>26</v>
      </c>
      <c r="F14450" t="s">
        <v>19</v>
      </c>
      <c r="G14450" s="1" t="str">
        <f t="shared" ref="G14450:M14450" si="3320">"..."</f>
        <v>...</v>
      </c>
      <c r="H14450" s="1" t="str">
        <f t="shared" si="3320"/>
        <v>...</v>
      </c>
      <c r="I14450" s="1" t="str">
        <f t="shared" si="3320"/>
        <v>...</v>
      </c>
      <c r="J14450" s="1" t="str">
        <f t="shared" si="3320"/>
        <v>...</v>
      </c>
      <c r="K14450" s="1" t="str">
        <f t="shared" si="3320"/>
        <v>...</v>
      </c>
      <c r="L14450" s="1" t="str">
        <f t="shared" si="3320"/>
        <v>...</v>
      </c>
      <c r="M14450" s="1" t="str">
        <f t="shared" si="3320"/>
        <v>...</v>
      </c>
      <c r="N14450" t="s">
        <v>30</v>
      </c>
    </row>
    <row r="14451" spans="1:14" x14ac:dyDescent="0.25">
      <c r="A14451" t="s">
        <v>45</v>
      </c>
      <c r="B14451" t="s">
        <v>39</v>
      </c>
      <c r="C14451" t="s">
        <v>36</v>
      </c>
      <c r="D14451" t="s">
        <v>31</v>
      </c>
      <c r="E14451" t="s">
        <v>26</v>
      </c>
      <c r="F14451" t="s">
        <v>20</v>
      </c>
      <c r="G14451" s="1" t="str">
        <f t="shared" ref="G14451:M14451" si="3321">"X"</f>
        <v>X</v>
      </c>
      <c r="H14451" s="1" t="str">
        <f t="shared" si="3321"/>
        <v>X</v>
      </c>
      <c r="I14451" s="1" t="str">
        <f t="shared" si="3321"/>
        <v>X</v>
      </c>
      <c r="J14451" s="1" t="str">
        <f t="shared" si="3321"/>
        <v>X</v>
      </c>
      <c r="K14451" s="1" t="str">
        <f t="shared" si="3321"/>
        <v>X</v>
      </c>
      <c r="L14451" s="1" t="str">
        <f t="shared" si="3321"/>
        <v>X</v>
      </c>
      <c r="M14451" s="1" t="str">
        <f t="shared" si="3321"/>
        <v>X</v>
      </c>
      <c r="N14451" t="s">
        <v>27</v>
      </c>
    </row>
    <row r="14452" spans="1:14" x14ac:dyDescent="0.25">
      <c r="A14452" t="s">
        <v>45</v>
      </c>
      <c r="B14452" t="s">
        <v>39</v>
      </c>
      <c r="C14452" t="s">
        <v>36</v>
      </c>
      <c r="D14452" t="s">
        <v>32</v>
      </c>
      <c r="E14452" t="s">
        <v>15</v>
      </c>
      <c r="F14452" t="s">
        <v>15</v>
      </c>
      <c r="G14452" s="1">
        <f>VALUE(6815.73)</f>
        <v>6815.73</v>
      </c>
      <c r="H14452" s="1">
        <f>VALUE(6666.59)</f>
        <v>6666.59</v>
      </c>
      <c r="I14452" s="1">
        <f>VALUE(3168)</f>
        <v>3168</v>
      </c>
      <c r="J14452" s="1">
        <f>VALUE(3561)</f>
        <v>3561</v>
      </c>
      <c r="K14452" s="1">
        <f>VALUE(4353)</f>
        <v>4353</v>
      </c>
      <c r="L14452" s="1">
        <f>VALUE(5214)</f>
        <v>5214</v>
      </c>
      <c r="M14452" s="1">
        <f>VALUE(6159)</f>
        <v>6159</v>
      </c>
      <c r="N14452" t="s">
        <v>16</v>
      </c>
    </row>
    <row r="14453" spans="1:14" x14ac:dyDescent="0.25">
      <c r="A14453" t="s">
        <v>45</v>
      </c>
      <c r="B14453" t="s">
        <v>39</v>
      </c>
      <c r="C14453" t="s">
        <v>36</v>
      </c>
      <c r="D14453" t="s">
        <v>32</v>
      </c>
      <c r="E14453" t="s">
        <v>15</v>
      </c>
      <c r="F14453" t="s">
        <v>17</v>
      </c>
      <c r="G14453" s="1" t="str">
        <f t="shared" ref="G14453:M14453" si="3322">"X"</f>
        <v>X</v>
      </c>
      <c r="H14453" s="1" t="str">
        <f t="shared" si="3322"/>
        <v>X</v>
      </c>
      <c r="I14453" s="1" t="str">
        <f t="shared" si="3322"/>
        <v>X</v>
      </c>
      <c r="J14453" s="1" t="str">
        <f t="shared" si="3322"/>
        <v>X</v>
      </c>
      <c r="K14453" s="1" t="str">
        <f t="shared" si="3322"/>
        <v>X</v>
      </c>
      <c r="L14453" s="1" t="str">
        <f t="shared" si="3322"/>
        <v>X</v>
      </c>
      <c r="M14453" s="1" t="str">
        <f t="shared" si="3322"/>
        <v>X</v>
      </c>
      <c r="N14453" t="s">
        <v>27</v>
      </c>
    </row>
    <row r="14454" spans="1:14" x14ac:dyDescent="0.25">
      <c r="A14454" t="s">
        <v>45</v>
      </c>
      <c r="B14454" t="s">
        <v>39</v>
      </c>
      <c r="C14454" t="s">
        <v>36</v>
      </c>
      <c r="D14454" t="s">
        <v>32</v>
      </c>
      <c r="E14454" t="s">
        <v>15</v>
      </c>
      <c r="F14454" t="s">
        <v>18</v>
      </c>
      <c r="G14454" s="2">
        <f>VALUE(542.97)</f>
        <v>542.97</v>
      </c>
      <c r="H14454" s="3">
        <f>VALUE(540.46)</f>
        <v>540.46</v>
      </c>
      <c r="I14454" s="4">
        <f>VALUE(3537)</f>
        <v>3537</v>
      </c>
      <c r="J14454" s="1">
        <f>VALUE(4587)</f>
        <v>4587</v>
      </c>
      <c r="K14454" s="1">
        <f>VALUE(5525)</f>
        <v>5525</v>
      </c>
      <c r="L14454" s="1">
        <f>VALUE(5685)</f>
        <v>5685</v>
      </c>
      <c r="M14454" s="8">
        <f>VALUE(7047)</f>
        <v>7047</v>
      </c>
      <c r="N14454" t="s">
        <v>25</v>
      </c>
    </row>
    <row r="14455" spans="1:14" x14ac:dyDescent="0.25">
      <c r="A14455" t="s">
        <v>45</v>
      </c>
      <c r="B14455" t="s">
        <v>39</v>
      </c>
      <c r="C14455" t="s">
        <v>36</v>
      </c>
      <c r="D14455" t="s">
        <v>32</v>
      </c>
      <c r="E14455" t="s">
        <v>15</v>
      </c>
      <c r="F14455" t="s">
        <v>19</v>
      </c>
      <c r="G14455" s="2">
        <f>VALUE(644.46)</f>
        <v>644.46</v>
      </c>
      <c r="H14455" s="3">
        <f>VALUE(629.01)</f>
        <v>629.01</v>
      </c>
      <c r="I14455" s="1">
        <f>VALUE(3166)</f>
        <v>3166</v>
      </c>
      <c r="J14455" s="1">
        <f>VALUE(3553)</f>
        <v>3553</v>
      </c>
      <c r="K14455" s="1">
        <f>VALUE(4333)</f>
        <v>4333</v>
      </c>
      <c r="L14455" s="1">
        <f>VALUE(5415)</f>
        <v>5415</v>
      </c>
      <c r="M14455" s="1">
        <f>VALUE(6454)</f>
        <v>6454</v>
      </c>
      <c r="N14455" t="s">
        <v>25</v>
      </c>
    </row>
    <row r="14456" spans="1:14" x14ac:dyDescent="0.25">
      <c r="A14456" t="s">
        <v>45</v>
      </c>
      <c r="B14456" t="s">
        <v>39</v>
      </c>
      <c r="C14456" t="s">
        <v>36</v>
      </c>
      <c r="D14456" t="s">
        <v>32</v>
      </c>
      <c r="E14456" t="s">
        <v>15</v>
      </c>
      <c r="F14456" t="s">
        <v>20</v>
      </c>
      <c r="G14456" s="1">
        <f>VALUE(5443.42)</f>
        <v>5443.42</v>
      </c>
      <c r="H14456" s="1">
        <f>VALUE(5322.99)</f>
        <v>5322.99</v>
      </c>
      <c r="I14456" s="1">
        <f>VALUE(3164)</f>
        <v>3164</v>
      </c>
      <c r="J14456" s="1">
        <f>VALUE(3535)</f>
        <v>3535</v>
      </c>
      <c r="K14456" s="1">
        <f>VALUE(4260)</f>
        <v>4260</v>
      </c>
      <c r="L14456" s="1">
        <f>VALUE(5023)</f>
        <v>5023</v>
      </c>
      <c r="M14456" s="1">
        <f>VALUE(5750)</f>
        <v>5750</v>
      </c>
      <c r="N14456" t="s">
        <v>16</v>
      </c>
    </row>
    <row r="14457" spans="1:14" x14ac:dyDescent="0.25">
      <c r="A14457" t="s">
        <v>45</v>
      </c>
      <c r="B14457" t="s">
        <v>39</v>
      </c>
      <c r="C14457" t="s">
        <v>36</v>
      </c>
      <c r="D14457" t="s">
        <v>32</v>
      </c>
      <c r="E14457" t="s">
        <v>21</v>
      </c>
      <c r="F14457" t="s">
        <v>15</v>
      </c>
      <c r="G14457" s="1">
        <f>VALUE(2087.36)</f>
        <v>2087.36</v>
      </c>
      <c r="H14457" s="1">
        <f>VALUE(2052.22)</f>
        <v>2052.2199999999998</v>
      </c>
      <c r="I14457" s="1">
        <f>VALUE(3263)</f>
        <v>3263</v>
      </c>
      <c r="J14457" s="1">
        <f>VALUE(3850)</f>
        <v>3850</v>
      </c>
      <c r="K14457" s="1">
        <f>VALUE(4654)</f>
        <v>4654</v>
      </c>
      <c r="L14457" s="1">
        <f>VALUE(5685)</f>
        <v>5685</v>
      </c>
      <c r="M14457" s="1">
        <f>VALUE(6917)</f>
        <v>6917</v>
      </c>
      <c r="N14457" t="s">
        <v>16</v>
      </c>
    </row>
    <row r="14458" spans="1:14" x14ac:dyDescent="0.25">
      <c r="A14458" t="s">
        <v>45</v>
      </c>
      <c r="B14458" t="s">
        <v>39</v>
      </c>
      <c r="C14458" t="s">
        <v>36</v>
      </c>
      <c r="D14458" t="s">
        <v>32</v>
      </c>
      <c r="E14458" t="s">
        <v>21</v>
      </c>
      <c r="F14458" t="s">
        <v>17</v>
      </c>
      <c r="G14458" s="1" t="str">
        <f t="shared" ref="G14458:M14458" si="3323">"X"</f>
        <v>X</v>
      </c>
      <c r="H14458" s="1" t="str">
        <f t="shared" si="3323"/>
        <v>X</v>
      </c>
      <c r="I14458" s="1" t="str">
        <f t="shared" si="3323"/>
        <v>X</v>
      </c>
      <c r="J14458" s="1" t="str">
        <f t="shared" si="3323"/>
        <v>X</v>
      </c>
      <c r="K14458" s="1" t="str">
        <f t="shared" si="3323"/>
        <v>X</v>
      </c>
      <c r="L14458" s="1" t="str">
        <f t="shared" si="3323"/>
        <v>X</v>
      </c>
      <c r="M14458" s="1" t="str">
        <f t="shared" si="3323"/>
        <v>X</v>
      </c>
      <c r="N14458" t="s">
        <v>27</v>
      </c>
    </row>
    <row r="14459" spans="1:14" x14ac:dyDescent="0.25">
      <c r="A14459" t="s">
        <v>45</v>
      </c>
      <c r="B14459" t="s">
        <v>39</v>
      </c>
      <c r="C14459" t="s">
        <v>36</v>
      </c>
      <c r="D14459" t="s">
        <v>32</v>
      </c>
      <c r="E14459" t="s">
        <v>21</v>
      </c>
      <c r="F14459" t="s">
        <v>18</v>
      </c>
      <c r="G14459" s="2">
        <f>VALUE(212.7)</f>
        <v>212.7</v>
      </c>
      <c r="H14459" s="3">
        <f>VALUE(212.18)</f>
        <v>212.18</v>
      </c>
      <c r="I14459" s="4">
        <f>VALUE(3773)</f>
        <v>3773</v>
      </c>
      <c r="J14459" s="1">
        <f>VALUE(4722)</f>
        <v>4722</v>
      </c>
      <c r="K14459" s="1">
        <f>VALUE(5600)</f>
        <v>5600</v>
      </c>
      <c r="L14459" s="7">
        <f>VALUE(6705)</f>
        <v>6705</v>
      </c>
      <c r="M14459" s="8">
        <f>VALUE(8258)</f>
        <v>8258</v>
      </c>
      <c r="N14459" t="s">
        <v>25</v>
      </c>
    </row>
    <row r="14460" spans="1:14" x14ac:dyDescent="0.25">
      <c r="A14460" t="s">
        <v>45</v>
      </c>
      <c r="B14460" t="s">
        <v>39</v>
      </c>
      <c r="C14460" t="s">
        <v>36</v>
      </c>
      <c r="D14460" t="s">
        <v>32</v>
      </c>
      <c r="E14460" t="s">
        <v>21</v>
      </c>
      <c r="F14460" t="s">
        <v>19</v>
      </c>
      <c r="G14460" s="2">
        <f>VALUE(348.36)</f>
        <v>348.36</v>
      </c>
      <c r="H14460" s="3">
        <f>VALUE(337.81)</f>
        <v>337.81</v>
      </c>
      <c r="I14460" s="4">
        <f>VALUE(3166)</f>
        <v>3166</v>
      </c>
      <c r="J14460" s="5">
        <f>VALUE(3394)</f>
        <v>3394</v>
      </c>
      <c r="K14460" s="1">
        <f>VALUE(4333)</f>
        <v>4333</v>
      </c>
      <c r="L14460" s="1">
        <f>VALUE(5439)</f>
        <v>5439</v>
      </c>
      <c r="M14460" s="1">
        <f>VALUE(6455)</f>
        <v>6455</v>
      </c>
      <c r="N14460" t="s">
        <v>25</v>
      </c>
    </row>
    <row r="14461" spans="1:14" x14ac:dyDescent="0.25">
      <c r="A14461" t="s">
        <v>45</v>
      </c>
      <c r="B14461" t="s">
        <v>39</v>
      </c>
      <c r="C14461" t="s">
        <v>36</v>
      </c>
      <c r="D14461" t="s">
        <v>32</v>
      </c>
      <c r="E14461" t="s">
        <v>21</v>
      </c>
      <c r="F14461" t="s">
        <v>20</v>
      </c>
      <c r="G14461" s="1">
        <f>VALUE(1384.28)</f>
        <v>1384.28</v>
      </c>
      <c r="H14461" s="1">
        <f>VALUE(1371.93)</f>
        <v>1371.93</v>
      </c>
      <c r="I14461" s="1">
        <f>VALUE(3305)</f>
        <v>3305</v>
      </c>
      <c r="J14461" s="1">
        <f>VALUE(3785)</f>
        <v>3785</v>
      </c>
      <c r="K14461" s="1">
        <f>VALUE(4442)</f>
        <v>4442</v>
      </c>
      <c r="L14461" s="1">
        <f>VALUE(5354)</f>
        <v>5354</v>
      </c>
      <c r="M14461" s="1">
        <f>VALUE(6307)</f>
        <v>6307</v>
      </c>
      <c r="N14461" t="s">
        <v>16</v>
      </c>
    </row>
    <row r="14462" spans="1:14" x14ac:dyDescent="0.25">
      <c r="A14462" t="s">
        <v>45</v>
      </c>
      <c r="B14462" t="s">
        <v>39</v>
      </c>
      <c r="C14462" t="s">
        <v>36</v>
      </c>
      <c r="D14462" t="s">
        <v>32</v>
      </c>
      <c r="E14462" t="s">
        <v>22</v>
      </c>
      <c r="F14462" t="s">
        <v>15</v>
      </c>
      <c r="G14462" s="2">
        <f>VALUE(2520.61)</f>
        <v>2520.61</v>
      </c>
      <c r="H14462" s="3">
        <f>VALUE(2485.4)</f>
        <v>2485.4</v>
      </c>
      <c r="I14462" s="1">
        <f>VALUE(3095)</f>
        <v>3095</v>
      </c>
      <c r="J14462" s="1">
        <f>VALUE(3569)</f>
        <v>3569</v>
      </c>
      <c r="K14462" s="1">
        <f>VALUE(4462)</f>
        <v>4462</v>
      </c>
      <c r="L14462" s="1">
        <f>VALUE(5273)</f>
        <v>5273</v>
      </c>
      <c r="M14462" s="1">
        <f>VALUE(5873)</f>
        <v>5873</v>
      </c>
      <c r="N14462" t="s">
        <v>25</v>
      </c>
    </row>
    <row r="14463" spans="1:14" x14ac:dyDescent="0.25">
      <c r="A14463" t="s">
        <v>45</v>
      </c>
      <c r="B14463" t="s">
        <v>39</v>
      </c>
      <c r="C14463" t="s">
        <v>36</v>
      </c>
      <c r="D14463" t="s">
        <v>32</v>
      </c>
      <c r="E14463" t="s">
        <v>22</v>
      </c>
      <c r="F14463" t="s">
        <v>17</v>
      </c>
      <c r="G14463" s="1" t="str">
        <f t="shared" ref="G14463:M14464" si="3324">"X"</f>
        <v>X</v>
      </c>
      <c r="H14463" s="1" t="str">
        <f t="shared" si="3324"/>
        <v>X</v>
      </c>
      <c r="I14463" s="1" t="str">
        <f t="shared" si="3324"/>
        <v>X</v>
      </c>
      <c r="J14463" s="1" t="str">
        <f t="shared" si="3324"/>
        <v>X</v>
      </c>
      <c r="K14463" s="1" t="str">
        <f t="shared" si="3324"/>
        <v>X</v>
      </c>
      <c r="L14463" s="1" t="str">
        <f t="shared" si="3324"/>
        <v>X</v>
      </c>
      <c r="M14463" s="1" t="str">
        <f t="shared" si="3324"/>
        <v>X</v>
      </c>
      <c r="N14463" t="s">
        <v>27</v>
      </c>
    </row>
    <row r="14464" spans="1:14" x14ac:dyDescent="0.25">
      <c r="A14464" t="s">
        <v>45</v>
      </c>
      <c r="B14464" t="s">
        <v>39</v>
      </c>
      <c r="C14464" t="s">
        <v>36</v>
      </c>
      <c r="D14464" t="s">
        <v>32</v>
      </c>
      <c r="E14464" t="s">
        <v>22</v>
      </c>
      <c r="F14464" t="s">
        <v>18</v>
      </c>
      <c r="G14464" s="1" t="str">
        <f t="shared" si="3324"/>
        <v>X</v>
      </c>
      <c r="H14464" s="1" t="str">
        <f t="shared" si="3324"/>
        <v>X</v>
      </c>
      <c r="I14464" s="1" t="str">
        <f t="shared" si="3324"/>
        <v>X</v>
      </c>
      <c r="J14464" s="1" t="str">
        <f t="shared" si="3324"/>
        <v>X</v>
      </c>
      <c r="K14464" s="1" t="str">
        <f t="shared" si="3324"/>
        <v>X</v>
      </c>
      <c r="L14464" s="1" t="str">
        <f t="shared" si="3324"/>
        <v>X</v>
      </c>
      <c r="M14464" s="1" t="str">
        <f t="shared" si="3324"/>
        <v>X</v>
      </c>
      <c r="N14464" t="s">
        <v>27</v>
      </c>
    </row>
    <row r="14465" spans="1:14" x14ac:dyDescent="0.25">
      <c r="A14465" t="s">
        <v>45</v>
      </c>
      <c r="B14465" t="s">
        <v>39</v>
      </c>
      <c r="C14465" t="s">
        <v>36</v>
      </c>
      <c r="D14465" t="s">
        <v>32</v>
      </c>
      <c r="E14465" t="s">
        <v>22</v>
      </c>
      <c r="F14465" t="s">
        <v>19</v>
      </c>
      <c r="G14465" s="2">
        <f>VALUE(205.93)</f>
        <v>205.93</v>
      </c>
      <c r="H14465" s="3">
        <f>VALUE(197.06)</f>
        <v>197.06</v>
      </c>
      <c r="I14465" s="1">
        <f>VALUE(3231)</f>
        <v>3231</v>
      </c>
      <c r="J14465" s="1">
        <f>VALUE(3675)</f>
        <v>3675</v>
      </c>
      <c r="K14465" s="1">
        <f>VALUE(4588)</f>
        <v>4588</v>
      </c>
      <c r="L14465" s="1">
        <f>VALUE(5415)</f>
        <v>5415</v>
      </c>
      <c r="M14465" s="1">
        <f>VALUE(6679)</f>
        <v>6679</v>
      </c>
      <c r="N14465" t="s">
        <v>25</v>
      </c>
    </row>
    <row r="14466" spans="1:14" x14ac:dyDescent="0.25">
      <c r="A14466" t="s">
        <v>45</v>
      </c>
      <c r="B14466" t="s">
        <v>39</v>
      </c>
      <c r="C14466" t="s">
        <v>36</v>
      </c>
      <c r="D14466" t="s">
        <v>32</v>
      </c>
      <c r="E14466" t="s">
        <v>22</v>
      </c>
      <c r="F14466" t="s">
        <v>20</v>
      </c>
      <c r="G14466" s="2">
        <f>VALUE(1992.93)</f>
        <v>1992.93</v>
      </c>
      <c r="H14466" s="3">
        <f>VALUE(1968.68)</f>
        <v>1968.68</v>
      </c>
      <c r="I14466" s="1">
        <f>VALUE(3095)</f>
        <v>3095</v>
      </c>
      <c r="J14466" s="1">
        <f>VALUE(3512)</f>
        <v>3512</v>
      </c>
      <c r="K14466" s="1">
        <f>VALUE(4350)</f>
        <v>4350</v>
      </c>
      <c r="L14466" s="1">
        <f>VALUE(5109)</f>
        <v>5109</v>
      </c>
      <c r="M14466" s="1">
        <f>VALUE(5760)</f>
        <v>5760</v>
      </c>
      <c r="N14466" t="s">
        <v>25</v>
      </c>
    </row>
    <row r="14467" spans="1:14" x14ac:dyDescent="0.25">
      <c r="A14467" t="s">
        <v>45</v>
      </c>
      <c r="B14467" t="s">
        <v>39</v>
      </c>
      <c r="C14467" t="s">
        <v>36</v>
      </c>
      <c r="D14467" t="s">
        <v>32</v>
      </c>
      <c r="E14467" t="s">
        <v>23</v>
      </c>
      <c r="F14467" t="s">
        <v>15</v>
      </c>
      <c r="G14467" s="2">
        <f>VALUE(2151.77)</f>
        <v>2151.77</v>
      </c>
      <c r="H14467" s="3">
        <f>VALUE(2074.1)</f>
        <v>2074.1</v>
      </c>
      <c r="I14467" s="1">
        <f>VALUE(3159)</f>
        <v>3159</v>
      </c>
      <c r="J14467" s="1">
        <f>VALUE(3483)</f>
        <v>3483</v>
      </c>
      <c r="K14467" s="1">
        <f>VALUE(4002)</f>
        <v>4002</v>
      </c>
      <c r="L14467" s="1">
        <f>VALUE(4607)</f>
        <v>4607</v>
      </c>
      <c r="M14467" s="1">
        <f>VALUE(5453)</f>
        <v>5453</v>
      </c>
      <c r="N14467" t="s">
        <v>25</v>
      </c>
    </row>
    <row r="14468" spans="1:14" x14ac:dyDescent="0.25">
      <c r="A14468" t="s">
        <v>45</v>
      </c>
      <c r="B14468" t="s">
        <v>39</v>
      </c>
      <c r="C14468" t="s">
        <v>36</v>
      </c>
      <c r="D14468" t="s">
        <v>32</v>
      </c>
      <c r="E14468" t="s">
        <v>23</v>
      </c>
      <c r="F14468" t="s">
        <v>17</v>
      </c>
      <c r="G14468" s="1" t="str">
        <f t="shared" ref="G14468:M14470" si="3325">"X"</f>
        <v>X</v>
      </c>
      <c r="H14468" s="1" t="str">
        <f t="shared" si="3325"/>
        <v>X</v>
      </c>
      <c r="I14468" s="1" t="str">
        <f t="shared" si="3325"/>
        <v>X</v>
      </c>
      <c r="J14468" s="1" t="str">
        <f t="shared" si="3325"/>
        <v>X</v>
      </c>
      <c r="K14468" s="1" t="str">
        <f t="shared" si="3325"/>
        <v>X</v>
      </c>
      <c r="L14468" s="1" t="str">
        <f t="shared" si="3325"/>
        <v>X</v>
      </c>
      <c r="M14468" s="1" t="str">
        <f t="shared" si="3325"/>
        <v>X</v>
      </c>
      <c r="N14468" t="s">
        <v>27</v>
      </c>
    </row>
    <row r="14469" spans="1:14" x14ac:dyDescent="0.25">
      <c r="A14469" t="s">
        <v>45</v>
      </c>
      <c r="B14469" t="s">
        <v>39</v>
      </c>
      <c r="C14469" t="s">
        <v>36</v>
      </c>
      <c r="D14469" t="s">
        <v>32</v>
      </c>
      <c r="E14469" t="s">
        <v>23</v>
      </c>
      <c r="F14469" t="s">
        <v>18</v>
      </c>
      <c r="G14469" s="1" t="str">
        <f t="shared" si="3325"/>
        <v>X</v>
      </c>
      <c r="H14469" s="1" t="str">
        <f t="shared" si="3325"/>
        <v>X</v>
      </c>
      <c r="I14469" s="1" t="str">
        <f t="shared" si="3325"/>
        <v>X</v>
      </c>
      <c r="J14469" s="1" t="str">
        <f t="shared" si="3325"/>
        <v>X</v>
      </c>
      <c r="K14469" s="1" t="str">
        <f t="shared" si="3325"/>
        <v>X</v>
      </c>
      <c r="L14469" s="1" t="str">
        <f t="shared" si="3325"/>
        <v>X</v>
      </c>
      <c r="M14469" s="1" t="str">
        <f t="shared" si="3325"/>
        <v>X</v>
      </c>
      <c r="N14469" t="s">
        <v>27</v>
      </c>
    </row>
    <row r="14470" spans="1:14" x14ac:dyDescent="0.25">
      <c r="A14470" t="s">
        <v>45</v>
      </c>
      <c r="B14470" t="s">
        <v>39</v>
      </c>
      <c r="C14470" t="s">
        <v>36</v>
      </c>
      <c r="D14470" t="s">
        <v>32</v>
      </c>
      <c r="E14470" t="s">
        <v>23</v>
      </c>
      <c r="F14470" t="s">
        <v>19</v>
      </c>
      <c r="G14470" s="1" t="str">
        <f t="shared" si="3325"/>
        <v>X</v>
      </c>
      <c r="H14470" s="1" t="str">
        <f t="shared" si="3325"/>
        <v>X</v>
      </c>
      <c r="I14470" s="1" t="str">
        <f t="shared" si="3325"/>
        <v>X</v>
      </c>
      <c r="J14470" s="1" t="str">
        <f t="shared" si="3325"/>
        <v>X</v>
      </c>
      <c r="K14470" s="1" t="str">
        <f t="shared" si="3325"/>
        <v>X</v>
      </c>
      <c r="L14470" s="1" t="str">
        <f t="shared" si="3325"/>
        <v>X</v>
      </c>
      <c r="M14470" s="1" t="str">
        <f t="shared" si="3325"/>
        <v>X</v>
      </c>
      <c r="N14470" t="s">
        <v>27</v>
      </c>
    </row>
    <row r="14471" spans="1:14" x14ac:dyDescent="0.25">
      <c r="A14471" t="s">
        <v>45</v>
      </c>
      <c r="B14471" t="s">
        <v>39</v>
      </c>
      <c r="C14471" t="s">
        <v>36</v>
      </c>
      <c r="D14471" t="s">
        <v>32</v>
      </c>
      <c r="E14471" t="s">
        <v>23</v>
      </c>
      <c r="F14471" t="s">
        <v>20</v>
      </c>
      <c r="G14471" s="2">
        <f>VALUE(2018.23)</f>
        <v>2018.23</v>
      </c>
      <c r="H14471" s="3">
        <f>VALUE(1935.64)</f>
        <v>1935.64</v>
      </c>
      <c r="I14471" s="1">
        <f>VALUE(3135)</f>
        <v>3135</v>
      </c>
      <c r="J14471" s="1">
        <f>VALUE(3470)</f>
        <v>3470</v>
      </c>
      <c r="K14471" s="1">
        <f>VALUE(3987)</f>
        <v>3987</v>
      </c>
      <c r="L14471" s="1">
        <f>VALUE(4540)</f>
        <v>4540</v>
      </c>
      <c r="M14471" s="1">
        <f>VALUE(5453)</f>
        <v>5453</v>
      </c>
      <c r="N14471" t="s">
        <v>25</v>
      </c>
    </row>
    <row r="14472" spans="1:14" x14ac:dyDescent="0.25">
      <c r="A14472" t="s">
        <v>45</v>
      </c>
      <c r="B14472" t="s">
        <v>39</v>
      </c>
      <c r="C14472" t="s">
        <v>36</v>
      </c>
      <c r="D14472" t="s">
        <v>32</v>
      </c>
      <c r="E14472" t="s">
        <v>26</v>
      </c>
      <c r="F14472" t="s">
        <v>15</v>
      </c>
      <c r="G14472" s="1" t="str">
        <f t="shared" ref="G14472:M14472" si="3326">"X"</f>
        <v>X</v>
      </c>
      <c r="H14472" s="1" t="str">
        <f t="shared" si="3326"/>
        <v>X</v>
      </c>
      <c r="I14472" s="1" t="str">
        <f t="shared" si="3326"/>
        <v>X</v>
      </c>
      <c r="J14472" s="1" t="str">
        <f t="shared" si="3326"/>
        <v>X</v>
      </c>
      <c r="K14472" s="1" t="str">
        <f t="shared" si="3326"/>
        <v>X</v>
      </c>
      <c r="L14472" s="1" t="str">
        <f t="shared" si="3326"/>
        <v>X</v>
      </c>
      <c r="M14472" s="1" t="str">
        <f t="shared" si="3326"/>
        <v>X</v>
      </c>
      <c r="N14472" t="s">
        <v>27</v>
      </c>
    </row>
    <row r="14473" spans="1:14" x14ac:dyDescent="0.25">
      <c r="A14473" t="s">
        <v>45</v>
      </c>
      <c r="B14473" t="s">
        <v>39</v>
      </c>
      <c r="C14473" t="s">
        <v>36</v>
      </c>
      <c r="D14473" t="s">
        <v>32</v>
      </c>
      <c r="E14473" t="s">
        <v>26</v>
      </c>
      <c r="F14473" t="s">
        <v>17</v>
      </c>
      <c r="G14473" s="1" t="str">
        <f t="shared" ref="G14473:M14473" si="3327">"..."</f>
        <v>...</v>
      </c>
      <c r="H14473" s="1" t="str">
        <f t="shared" si="3327"/>
        <v>...</v>
      </c>
      <c r="I14473" s="1" t="str">
        <f t="shared" si="3327"/>
        <v>...</v>
      </c>
      <c r="J14473" s="1" t="str">
        <f t="shared" si="3327"/>
        <v>...</v>
      </c>
      <c r="K14473" s="1" t="str">
        <f t="shared" si="3327"/>
        <v>...</v>
      </c>
      <c r="L14473" s="1" t="str">
        <f t="shared" si="3327"/>
        <v>...</v>
      </c>
      <c r="M14473" s="1" t="str">
        <f t="shared" si="3327"/>
        <v>...</v>
      </c>
      <c r="N14473" t="s">
        <v>30</v>
      </c>
    </row>
    <row r="14474" spans="1:14" x14ac:dyDescent="0.25">
      <c r="A14474" t="s">
        <v>45</v>
      </c>
      <c r="B14474" t="s">
        <v>39</v>
      </c>
      <c r="C14474" t="s">
        <v>36</v>
      </c>
      <c r="D14474" t="s">
        <v>32</v>
      </c>
      <c r="E14474" t="s">
        <v>26</v>
      </c>
      <c r="F14474" t="s">
        <v>18</v>
      </c>
      <c r="G14474" s="1" t="str">
        <f t="shared" ref="G14474:M14476" si="3328">"X"</f>
        <v>X</v>
      </c>
      <c r="H14474" s="1" t="str">
        <f t="shared" si="3328"/>
        <v>X</v>
      </c>
      <c r="I14474" s="1" t="str">
        <f t="shared" si="3328"/>
        <v>X</v>
      </c>
      <c r="J14474" s="1" t="str">
        <f t="shared" si="3328"/>
        <v>X</v>
      </c>
      <c r="K14474" s="1" t="str">
        <f t="shared" si="3328"/>
        <v>X</v>
      </c>
      <c r="L14474" s="1" t="str">
        <f t="shared" si="3328"/>
        <v>X</v>
      </c>
      <c r="M14474" s="1" t="str">
        <f t="shared" si="3328"/>
        <v>X</v>
      </c>
      <c r="N14474" t="s">
        <v>27</v>
      </c>
    </row>
    <row r="14475" spans="1:14" x14ac:dyDescent="0.25">
      <c r="A14475" t="s">
        <v>45</v>
      </c>
      <c r="B14475" t="s">
        <v>39</v>
      </c>
      <c r="C14475" t="s">
        <v>36</v>
      </c>
      <c r="D14475" t="s">
        <v>32</v>
      </c>
      <c r="E14475" t="s">
        <v>26</v>
      </c>
      <c r="F14475" t="s">
        <v>19</v>
      </c>
      <c r="G14475" s="1" t="str">
        <f t="shared" si="3328"/>
        <v>X</v>
      </c>
      <c r="H14475" s="1" t="str">
        <f t="shared" si="3328"/>
        <v>X</v>
      </c>
      <c r="I14475" s="1" t="str">
        <f t="shared" si="3328"/>
        <v>X</v>
      </c>
      <c r="J14475" s="1" t="str">
        <f t="shared" si="3328"/>
        <v>X</v>
      </c>
      <c r="K14475" s="1" t="str">
        <f t="shared" si="3328"/>
        <v>X</v>
      </c>
      <c r="L14475" s="1" t="str">
        <f t="shared" si="3328"/>
        <v>X</v>
      </c>
      <c r="M14475" s="1" t="str">
        <f t="shared" si="3328"/>
        <v>X</v>
      </c>
      <c r="N14475" t="s">
        <v>27</v>
      </c>
    </row>
    <row r="14476" spans="1:14" x14ac:dyDescent="0.25">
      <c r="A14476" t="s">
        <v>45</v>
      </c>
      <c r="B14476" t="s">
        <v>39</v>
      </c>
      <c r="C14476" t="s">
        <v>36</v>
      </c>
      <c r="D14476" t="s">
        <v>32</v>
      </c>
      <c r="E14476" t="s">
        <v>26</v>
      </c>
      <c r="F14476" t="s">
        <v>20</v>
      </c>
      <c r="G14476" s="1" t="str">
        <f t="shared" si="3328"/>
        <v>X</v>
      </c>
      <c r="H14476" s="1" t="str">
        <f t="shared" si="3328"/>
        <v>X</v>
      </c>
      <c r="I14476" s="1" t="str">
        <f t="shared" si="3328"/>
        <v>X</v>
      </c>
      <c r="J14476" s="1" t="str">
        <f t="shared" si="3328"/>
        <v>X</v>
      </c>
      <c r="K14476" s="1" t="str">
        <f t="shared" si="3328"/>
        <v>X</v>
      </c>
      <c r="L14476" s="1" t="str">
        <f t="shared" si="3328"/>
        <v>X</v>
      </c>
      <c r="M14476" s="1" t="str">
        <f t="shared" si="3328"/>
        <v>X</v>
      </c>
      <c r="N14476" t="s">
        <v>27</v>
      </c>
    </row>
    <row r="14477" spans="1:14" x14ac:dyDescent="0.25">
      <c r="A14477" t="s">
        <v>45</v>
      </c>
      <c r="B14477" t="s">
        <v>39</v>
      </c>
      <c r="C14477" t="s">
        <v>36</v>
      </c>
      <c r="D14477" t="s">
        <v>33</v>
      </c>
      <c r="E14477" t="s">
        <v>15</v>
      </c>
      <c r="F14477" t="s">
        <v>15</v>
      </c>
      <c r="G14477" s="2">
        <f>VALUE(155.91)</f>
        <v>155.91</v>
      </c>
      <c r="H14477" s="3">
        <f>VALUE(160.27)</f>
        <v>160.27000000000001</v>
      </c>
      <c r="I14477" s="1">
        <f>VALUE(3442)</f>
        <v>3442</v>
      </c>
      <c r="J14477" s="5">
        <f>VALUE(4167)</f>
        <v>4167</v>
      </c>
      <c r="K14477" s="6">
        <f>VALUE(5176)</f>
        <v>5176</v>
      </c>
      <c r="L14477" s="7">
        <f>VALUE(6094)</f>
        <v>6094</v>
      </c>
      <c r="M14477" s="8">
        <f>VALUE(17000)</f>
        <v>17000</v>
      </c>
      <c r="N14477" t="s">
        <v>25</v>
      </c>
    </row>
    <row r="14478" spans="1:14" x14ac:dyDescent="0.25">
      <c r="A14478" t="s">
        <v>45</v>
      </c>
      <c r="B14478" t="s">
        <v>39</v>
      </c>
      <c r="C14478" t="s">
        <v>36</v>
      </c>
      <c r="D14478" t="s">
        <v>33</v>
      </c>
      <c r="E14478" t="s">
        <v>15</v>
      </c>
      <c r="F14478" t="s">
        <v>17</v>
      </c>
      <c r="G14478" s="1" t="str">
        <f t="shared" ref="G14478:M14480" si="3329">"X"</f>
        <v>X</v>
      </c>
      <c r="H14478" s="1" t="str">
        <f t="shared" si="3329"/>
        <v>X</v>
      </c>
      <c r="I14478" s="1" t="str">
        <f t="shared" si="3329"/>
        <v>X</v>
      </c>
      <c r="J14478" s="1" t="str">
        <f t="shared" si="3329"/>
        <v>X</v>
      </c>
      <c r="K14478" s="1" t="str">
        <f t="shared" si="3329"/>
        <v>X</v>
      </c>
      <c r="L14478" s="1" t="str">
        <f t="shared" si="3329"/>
        <v>X</v>
      </c>
      <c r="M14478" s="1" t="str">
        <f t="shared" si="3329"/>
        <v>X</v>
      </c>
      <c r="N14478" t="s">
        <v>27</v>
      </c>
    </row>
    <row r="14479" spans="1:14" x14ac:dyDescent="0.25">
      <c r="A14479" t="s">
        <v>45</v>
      </c>
      <c r="B14479" t="s">
        <v>39</v>
      </c>
      <c r="C14479" t="s">
        <v>36</v>
      </c>
      <c r="D14479" t="s">
        <v>33</v>
      </c>
      <c r="E14479" t="s">
        <v>15</v>
      </c>
      <c r="F14479" t="s">
        <v>18</v>
      </c>
      <c r="G14479" s="1" t="str">
        <f t="shared" si="3329"/>
        <v>X</v>
      </c>
      <c r="H14479" s="1" t="str">
        <f t="shared" si="3329"/>
        <v>X</v>
      </c>
      <c r="I14479" s="1" t="str">
        <f t="shared" si="3329"/>
        <v>X</v>
      </c>
      <c r="J14479" s="1" t="str">
        <f t="shared" si="3329"/>
        <v>X</v>
      </c>
      <c r="K14479" s="1" t="str">
        <f t="shared" si="3329"/>
        <v>X</v>
      </c>
      <c r="L14479" s="1" t="str">
        <f t="shared" si="3329"/>
        <v>X</v>
      </c>
      <c r="M14479" s="1" t="str">
        <f t="shared" si="3329"/>
        <v>X</v>
      </c>
      <c r="N14479" t="s">
        <v>27</v>
      </c>
    </row>
    <row r="14480" spans="1:14" x14ac:dyDescent="0.25">
      <c r="A14480" t="s">
        <v>45</v>
      </c>
      <c r="B14480" t="s">
        <v>39</v>
      </c>
      <c r="C14480" t="s">
        <v>36</v>
      </c>
      <c r="D14480" t="s">
        <v>33</v>
      </c>
      <c r="E14480" t="s">
        <v>15</v>
      </c>
      <c r="F14480" t="s">
        <v>19</v>
      </c>
      <c r="G14480" s="1" t="str">
        <f t="shared" si="3329"/>
        <v>X</v>
      </c>
      <c r="H14480" s="1" t="str">
        <f t="shared" si="3329"/>
        <v>X</v>
      </c>
      <c r="I14480" s="1" t="str">
        <f t="shared" si="3329"/>
        <v>X</v>
      </c>
      <c r="J14480" s="1" t="str">
        <f t="shared" si="3329"/>
        <v>X</v>
      </c>
      <c r="K14480" s="1" t="str">
        <f t="shared" si="3329"/>
        <v>X</v>
      </c>
      <c r="L14480" s="1" t="str">
        <f t="shared" si="3329"/>
        <v>X</v>
      </c>
      <c r="M14480" s="1" t="str">
        <f t="shared" si="3329"/>
        <v>X</v>
      </c>
      <c r="N14480" t="s">
        <v>27</v>
      </c>
    </row>
    <row r="14481" spans="1:14" x14ac:dyDescent="0.25">
      <c r="A14481" t="s">
        <v>45</v>
      </c>
      <c r="B14481" t="s">
        <v>39</v>
      </c>
      <c r="C14481" t="s">
        <v>36</v>
      </c>
      <c r="D14481" t="s">
        <v>33</v>
      </c>
      <c r="E14481" t="s">
        <v>15</v>
      </c>
      <c r="F14481" t="s">
        <v>20</v>
      </c>
      <c r="G14481" s="2">
        <f>VALUE(114.43)</f>
        <v>114.43</v>
      </c>
      <c r="H14481" s="3">
        <f>VALUE(117.56)</f>
        <v>117.56</v>
      </c>
      <c r="I14481" s="1">
        <f>VALUE(3422)</f>
        <v>3422</v>
      </c>
      <c r="J14481" s="5">
        <f>VALUE(3830)</f>
        <v>3830</v>
      </c>
      <c r="K14481" s="6">
        <f>VALUE(4590)</f>
        <v>4590</v>
      </c>
      <c r="L14481" s="1">
        <f>VALUE(5625)</f>
        <v>5625</v>
      </c>
      <c r="M14481" s="1">
        <f>VALUE(6234)</f>
        <v>6234</v>
      </c>
      <c r="N14481" t="s">
        <v>25</v>
      </c>
    </row>
    <row r="14482" spans="1:14" x14ac:dyDescent="0.25">
      <c r="A14482" t="s">
        <v>45</v>
      </c>
      <c r="B14482" t="s">
        <v>39</v>
      </c>
      <c r="C14482" t="s">
        <v>36</v>
      </c>
      <c r="D14482" t="s">
        <v>33</v>
      </c>
      <c r="E14482" t="s">
        <v>21</v>
      </c>
      <c r="F14482" t="s">
        <v>15</v>
      </c>
      <c r="G14482" s="1" t="str">
        <f t="shared" ref="G14482:M14489" si="3330">"X"</f>
        <v>X</v>
      </c>
      <c r="H14482" s="1" t="str">
        <f t="shared" si="3330"/>
        <v>X</v>
      </c>
      <c r="I14482" s="1" t="str">
        <f t="shared" si="3330"/>
        <v>X</v>
      </c>
      <c r="J14482" s="1" t="str">
        <f t="shared" si="3330"/>
        <v>X</v>
      </c>
      <c r="K14482" s="1" t="str">
        <f t="shared" si="3330"/>
        <v>X</v>
      </c>
      <c r="L14482" s="1" t="str">
        <f t="shared" si="3330"/>
        <v>X</v>
      </c>
      <c r="M14482" s="1" t="str">
        <f t="shared" si="3330"/>
        <v>X</v>
      </c>
      <c r="N14482" t="s">
        <v>27</v>
      </c>
    </row>
    <row r="14483" spans="1:14" x14ac:dyDescent="0.25">
      <c r="A14483" t="s">
        <v>45</v>
      </c>
      <c r="B14483" t="s">
        <v>39</v>
      </c>
      <c r="C14483" t="s">
        <v>36</v>
      </c>
      <c r="D14483" t="s">
        <v>33</v>
      </c>
      <c r="E14483" t="s">
        <v>21</v>
      </c>
      <c r="F14483" t="s">
        <v>17</v>
      </c>
      <c r="G14483" s="1" t="str">
        <f t="shared" si="3330"/>
        <v>X</v>
      </c>
      <c r="H14483" s="1" t="str">
        <f t="shared" si="3330"/>
        <v>X</v>
      </c>
      <c r="I14483" s="1" t="str">
        <f t="shared" si="3330"/>
        <v>X</v>
      </c>
      <c r="J14483" s="1" t="str">
        <f t="shared" si="3330"/>
        <v>X</v>
      </c>
      <c r="K14483" s="1" t="str">
        <f t="shared" si="3330"/>
        <v>X</v>
      </c>
      <c r="L14483" s="1" t="str">
        <f t="shared" si="3330"/>
        <v>X</v>
      </c>
      <c r="M14483" s="1" t="str">
        <f t="shared" si="3330"/>
        <v>X</v>
      </c>
      <c r="N14483" t="s">
        <v>27</v>
      </c>
    </row>
    <row r="14484" spans="1:14" x14ac:dyDescent="0.25">
      <c r="A14484" t="s">
        <v>45</v>
      </c>
      <c r="B14484" t="s">
        <v>39</v>
      </c>
      <c r="C14484" t="s">
        <v>36</v>
      </c>
      <c r="D14484" t="s">
        <v>33</v>
      </c>
      <c r="E14484" t="s">
        <v>21</v>
      </c>
      <c r="F14484" t="s">
        <v>18</v>
      </c>
      <c r="G14484" s="1" t="str">
        <f t="shared" si="3330"/>
        <v>X</v>
      </c>
      <c r="H14484" s="1" t="str">
        <f t="shared" si="3330"/>
        <v>X</v>
      </c>
      <c r="I14484" s="1" t="str">
        <f t="shared" si="3330"/>
        <v>X</v>
      </c>
      <c r="J14484" s="1" t="str">
        <f t="shared" si="3330"/>
        <v>X</v>
      </c>
      <c r="K14484" s="1" t="str">
        <f t="shared" si="3330"/>
        <v>X</v>
      </c>
      <c r="L14484" s="1" t="str">
        <f t="shared" si="3330"/>
        <v>X</v>
      </c>
      <c r="M14484" s="1" t="str">
        <f t="shared" si="3330"/>
        <v>X</v>
      </c>
      <c r="N14484" t="s">
        <v>27</v>
      </c>
    </row>
    <row r="14485" spans="1:14" x14ac:dyDescent="0.25">
      <c r="A14485" t="s">
        <v>45</v>
      </c>
      <c r="B14485" t="s">
        <v>39</v>
      </c>
      <c r="C14485" t="s">
        <v>36</v>
      </c>
      <c r="D14485" t="s">
        <v>33</v>
      </c>
      <c r="E14485" t="s">
        <v>21</v>
      </c>
      <c r="F14485" t="s">
        <v>19</v>
      </c>
      <c r="G14485" s="1" t="str">
        <f t="shared" si="3330"/>
        <v>X</v>
      </c>
      <c r="H14485" s="1" t="str">
        <f t="shared" si="3330"/>
        <v>X</v>
      </c>
      <c r="I14485" s="1" t="str">
        <f t="shared" si="3330"/>
        <v>X</v>
      </c>
      <c r="J14485" s="1" t="str">
        <f t="shared" si="3330"/>
        <v>X</v>
      </c>
      <c r="K14485" s="1" t="str">
        <f t="shared" si="3330"/>
        <v>X</v>
      </c>
      <c r="L14485" s="1" t="str">
        <f t="shared" si="3330"/>
        <v>X</v>
      </c>
      <c r="M14485" s="1" t="str">
        <f t="shared" si="3330"/>
        <v>X</v>
      </c>
      <c r="N14485" t="s">
        <v>27</v>
      </c>
    </row>
    <row r="14486" spans="1:14" x14ac:dyDescent="0.25">
      <c r="A14486" t="s">
        <v>45</v>
      </c>
      <c r="B14486" t="s">
        <v>39</v>
      </c>
      <c r="C14486" t="s">
        <v>36</v>
      </c>
      <c r="D14486" t="s">
        <v>33</v>
      </c>
      <c r="E14486" t="s">
        <v>21</v>
      </c>
      <c r="F14486" t="s">
        <v>20</v>
      </c>
      <c r="G14486" s="1" t="str">
        <f t="shared" si="3330"/>
        <v>X</v>
      </c>
      <c r="H14486" s="1" t="str">
        <f t="shared" si="3330"/>
        <v>X</v>
      </c>
      <c r="I14486" s="1" t="str">
        <f t="shared" si="3330"/>
        <v>X</v>
      </c>
      <c r="J14486" s="1" t="str">
        <f t="shared" si="3330"/>
        <v>X</v>
      </c>
      <c r="K14486" s="1" t="str">
        <f t="shared" si="3330"/>
        <v>X</v>
      </c>
      <c r="L14486" s="1" t="str">
        <f t="shared" si="3330"/>
        <v>X</v>
      </c>
      <c r="M14486" s="1" t="str">
        <f t="shared" si="3330"/>
        <v>X</v>
      </c>
      <c r="N14486" t="s">
        <v>27</v>
      </c>
    </row>
    <row r="14487" spans="1:14" x14ac:dyDescent="0.25">
      <c r="A14487" t="s">
        <v>45</v>
      </c>
      <c r="B14487" t="s">
        <v>39</v>
      </c>
      <c r="C14487" t="s">
        <v>36</v>
      </c>
      <c r="D14487" t="s">
        <v>33</v>
      </c>
      <c r="E14487" t="s">
        <v>22</v>
      </c>
      <c r="F14487" t="s">
        <v>15</v>
      </c>
      <c r="G14487" s="1" t="str">
        <f t="shared" si="3330"/>
        <v>X</v>
      </c>
      <c r="H14487" s="1" t="str">
        <f t="shared" si="3330"/>
        <v>X</v>
      </c>
      <c r="I14487" s="1" t="str">
        <f t="shared" si="3330"/>
        <v>X</v>
      </c>
      <c r="J14487" s="1" t="str">
        <f t="shared" si="3330"/>
        <v>X</v>
      </c>
      <c r="K14487" s="1" t="str">
        <f t="shared" si="3330"/>
        <v>X</v>
      </c>
      <c r="L14487" s="1" t="str">
        <f t="shared" si="3330"/>
        <v>X</v>
      </c>
      <c r="M14487" s="1" t="str">
        <f t="shared" si="3330"/>
        <v>X</v>
      </c>
      <c r="N14487" t="s">
        <v>27</v>
      </c>
    </row>
    <row r="14488" spans="1:14" x14ac:dyDescent="0.25">
      <c r="A14488" t="s">
        <v>45</v>
      </c>
      <c r="B14488" t="s">
        <v>39</v>
      </c>
      <c r="C14488" t="s">
        <v>36</v>
      </c>
      <c r="D14488" t="s">
        <v>33</v>
      </c>
      <c r="E14488" t="s">
        <v>22</v>
      </c>
      <c r="F14488" t="s">
        <v>17</v>
      </c>
      <c r="G14488" s="1" t="str">
        <f t="shared" si="3330"/>
        <v>X</v>
      </c>
      <c r="H14488" s="1" t="str">
        <f t="shared" si="3330"/>
        <v>X</v>
      </c>
      <c r="I14488" s="1" t="str">
        <f t="shared" si="3330"/>
        <v>X</v>
      </c>
      <c r="J14488" s="1" t="str">
        <f t="shared" si="3330"/>
        <v>X</v>
      </c>
      <c r="K14488" s="1" t="str">
        <f t="shared" si="3330"/>
        <v>X</v>
      </c>
      <c r="L14488" s="1" t="str">
        <f t="shared" si="3330"/>
        <v>X</v>
      </c>
      <c r="M14488" s="1" t="str">
        <f t="shared" si="3330"/>
        <v>X</v>
      </c>
      <c r="N14488" t="s">
        <v>27</v>
      </c>
    </row>
    <row r="14489" spans="1:14" x14ac:dyDescent="0.25">
      <c r="A14489" t="s">
        <v>45</v>
      </c>
      <c r="B14489" t="s">
        <v>39</v>
      </c>
      <c r="C14489" t="s">
        <v>36</v>
      </c>
      <c r="D14489" t="s">
        <v>33</v>
      </c>
      <c r="E14489" t="s">
        <v>22</v>
      </c>
      <c r="F14489" t="s">
        <v>18</v>
      </c>
      <c r="G14489" s="1" t="str">
        <f t="shared" si="3330"/>
        <v>X</v>
      </c>
      <c r="H14489" s="1" t="str">
        <f t="shared" si="3330"/>
        <v>X</v>
      </c>
      <c r="I14489" s="1" t="str">
        <f t="shared" si="3330"/>
        <v>X</v>
      </c>
      <c r="J14489" s="1" t="str">
        <f t="shared" si="3330"/>
        <v>X</v>
      </c>
      <c r="K14489" s="1" t="str">
        <f t="shared" si="3330"/>
        <v>X</v>
      </c>
      <c r="L14489" s="1" t="str">
        <f t="shared" si="3330"/>
        <v>X</v>
      </c>
      <c r="M14489" s="1" t="str">
        <f t="shared" si="3330"/>
        <v>X</v>
      </c>
      <c r="N14489" t="s">
        <v>27</v>
      </c>
    </row>
    <row r="14490" spans="1:14" x14ac:dyDescent="0.25">
      <c r="A14490" t="s">
        <v>45</v>
      </c>
      <c r="B14490" t="s">
        <v>39</v>
      </c>
      <c r="C14490" t="s">
        <v>36</v>
      </c>
      <c r="D14490" t="s">
        <v>33</v>
      </c>
      <c r="E14490" t="s">
        <v>22</v>
      </c>
      <c r="F14490" t="s">
        <v>19</v>
      </c>
      <c r="G14490" s="1" t="str">
        <f t="shared" ref="G14490:M14490" si="3331">"..."</f>
        <v>...</v>
      </c>
      <c r="H14490" s="1" t="str">
        <f t="shared" si="3331"/>
        <v>...</v>
      </c>
      <c r="I14490" s="1" t="str">
        <f t="shared" si="3331"/>
        <v>...</v>
      </c>
      <c r="J14490" s="1" t="str">
        <f t="shared" si="3331"/>
        <v>...</v>
      </c>
      <c r="K14490" s="1" t="str">
        <f t="shared" si="3331"/>
        <v>...</v>
      </c>
      <c r="L14490" s="1" t="str">
        <f t="shared" si="3331"/>
        <v>...</v>
      </c>
      <c r="M14490" s="1" t="str">
        <f t="shared" si="3331"/>
        <v>...</v>
      </c>
      <c r="N14490" t="s">
        <v>30</v>
      </c>
    </row>
    <row r="14491" spans="1:14" x14ac:dyDescent="0.25">
      <c r="A14491" t="s">
        <v>45</v>
      </c>
      <c r="B14491" t="s">
        <v>39</v>
      </c>
      <c r="C14491" t="s">
        <v>36</v>
      </c>
      <c r="D14491" t="s">
        <v>33</v>
      </c>
      <c r="E14491" t="s">
        <v>22</v>
      </c>
      <c r="F14491" t="s">
        <v>20</v>
      </c>
      <c r="G14491" s="1" t="str">
        <f t="shared" ref="G14491:M14492" si="3332">"X"</f>
        <v>X</v>
      </c>
      <c r="H14491" s="1" t="str">
        <f t="shared" si="3332"/>
        <v>X</v>
      </c>
      <c r="I14491" s="1" t="str">
        <f t="shared" si="3332"/>
        <v>X</v>
      </c>
      <c r="J14491" s="1" t="str">
        <f t="shared" si="3332"/>
        <v>X</v>
      </c>
      <c r="K14491" s="1" t="str">
        <f t="shared" si="3332"/>
        <v>X</v>
      </c>
      <c r="L14491" s="1" t="str">
        <f t="shared" si="3332"/>
        <v>X</v>
      </c>
      <c r="M14491" s="1" t="str">
        <f t="shared" si="3332"/>
        <v>X</v>
      </c>
      <c r="N14491" t="s">
        <v>27</v>
      </c>
    </row>
    <row r="14492" spans="1:14" x14ac:dyDescent="0.25">
      <c r="A14492" t="s">
        <v>45</v>
      </c>
      <c r="B14492" t="s">
        <v>39</v>
      </c>
      <c r="C14492" t="s">
        <v>36</v>
      </c>
      <c r="D14492" t="s">
        <v>33</v>
      </c>
      <c r="E14492" t="s">
        <v>23</v>
      </c>
      <c r="F14492" t="s">
        <v>15</v>
      </c>
      <c r="G14492" s="1" t="str">
        <f t="shared" si="3332"/>
        <v>X</v>
      </c>
      <c r="H14492" s="1" t="str">
        <f t="shared" si="3332"/>
        <v>X</v>
      </c>
      <c r="I14492" s="1" t="str">
        <f t="shared" si="3332"/>
        <v>X</v>
      </c>
      <c r="J14492" s="1" t="str">
        <f t="shared" si="3332"/>
        <v>X</v>
      </c>
      <c r="K14492" s="1" t="str">
        <f t="shared" si="3332"/>
        <v>X</v>
      </c>
      <c r="L14492" s="1" t="str">
        <f t="shared" si="3332"/>
        <v>X</v>
      </c>
      <c r="M14492" s="1" t="str">
        <f t="shared" si="3332"/>
        <v>X</v>
      </c>
      <c r="N14492" t="s">
        <v>27</v>
      </c>
    </row>
    <row r="14493" spans="1:14" x14ac:dyDescent="0.25">
      <c r="A14493" t="s">
        <v>45</v>
      </c>
      <c r="B14493" t="s">
        <v>39</v>
      </c>
      <c r="C14493" t="s">
        <v>36</v>
      </c>
      <c r="D14493" t="s">
        <v>33</v>
      </c>
      <c r="E14493" t="s">
        <v>23</v>
      </c>
      <c r="F14493" t="s">
        <v>17</v>
      </c>
      <c r="G14493" s="1" t="str">
        <f t="shared" ref="G14493:M14494" si="3333">"..."</f>
        <v>...</v>
      </c>
      <c r="H14493" s="1" t="str">
        <f t="shared" si="3333"/>
        <v>...</v>
      </c>
      <c r="I14493" s="1" t="str">
        <f t="shared" si="3333"/>
        <v>...</v>
      </c>
      <c r="J14493" s="1" t="str">
        <f t="shared" si="3333"/>
        <v>...</v>
      </c>
      <c r="K14493" s="1" t="str">
        <f t="shared" si="3333"/>
        <v>...</v>
      </c>
      <c r="L14493" s="1" t="str">
        <f t="shared" si="3333"/>
        <v>...</v>
      </c>
      <c r="M14493" s="1" t="str">
        <f t="shared" si="3333"/>
        <v>...</v>
      </c>
      <c r="N14493" t="s">
        <v>30</v>
      </c>
    </row>
    <row r="14494" spans="1:14" x14ac:dyDescent="0.25">
      <c r="A14494" t="s">
        <v>45</v>
      </c>
      <c r="B14494" t="s">
        <v>39</v>
      </c>
      <c r="C14494" t="s">
        <v>36</v>
      </c>
      <c r="D14494" t="s">
        <v>33</v>
      </c>
      <c r="E14494" t="s">
        <v>23</v>
      </c>
      <c r="F14494" t="s">
        <v>18</v>
      </c>
      <c r="G14494" s="1" t="str">
        <f t="shared" si="3333"/>
        <v>...</v>
      </c>
      <c r="H14494" s="1" t="str">
        <f t="shared" si="3333"/>
        <v>...</v>
      </c>
      <c r="I14494" s="1" t="str">
        <f t="shared" si="3333"/>
        <v>...</v>
      </c>
      <c r="J14494" s="1" t="str">
        <f t="shared" si="3333"/>
        <v>...</v>
      </c>
      <c r="K14494" s="1" t="str">
        <f t="shared" si="3333"/>
        <v>...</v>
      </c>
      <c r="L14494" s="1" t="str">
        <f t="shared" si="3333"/>
        <v>...</v>
      </c>
      <c r="M14494" s="1" t="str">
        <f t="shared" si="3333"/>
        <v>...</v>
      </c>
      <c r="N14494" t="s">
        <v>30</v>
      </c>
    </row>
    <row r="14495" spans="1:14" x14ac:dyDescent="0.25">
      <c r="A14495" t="s">
        <v>45</v>
      </c>
      <c r="B14495" t="s">
        <v>39</v>
      </c>
      <c r="C14495" t="s">
        <v>36</v>
      </c>
      <c r="D14495" t="s">
        <v>33</v>
      </c>
      <c r="E14495" t="s">
        <v>23</v>
      </c>
      <c r="F14495" t="s">
        <v>19</v>
      </c>
      <c r="G14495" s="1" t="str">
        <f t="shared" ref="G14495:M14497" si="3334">"X"</f>
        <v>X</v>
      </c>
      <c r="H14495" s="1" t="str">
        <f t="shared" si="3334"/>
        <v>X</v>
      </c>
      <c r="I14495" s="1" t="str">
        <f t="shared" si="3334"/>
        <v>X</v>
      </c>
      <c r="J14495" s="1" t="str">
        <f t="shared" si="3334"/>
        <v>X</v>
      </c>
      <c r="K14495" s="1" t="str">
        <f t="shared" si="3334"/>
        <v>X</v>
      </c>
      <c r="L14495" s="1" t="str">
        <f t="shared" si="3334"/>
        <v>X</v>
      </c>
      <c r="M14495" s="1" t="str">
        <f t="shared" si="3334"/>
        <v>X</v>
      </c>
      <c r="N14495" t="s">
        <v>27</v>
      </c>
    </row>
    <row r="14496" spans="1:14" x14ac:dyDescent="0.25">
      <c r="A14496" t="s">
        <v>45</v>
      </c>
      <c r="B14496" t="s">
        <v>39</v>
      </c>
      <c r="C14496" t="s">
        <v>36</v>
      </c>
      <c r="D14496" t="s">
        <v>33</v>
      </c>
      <c r="E14496" t="s">
        <v>23</v>
      </c>
      <c r="F14496" t="s">
        <v>20</v>
      </c>
      <c r="G14496" s="1" t="str">
        <f t="shared" si="3334"/>
        <v>X</v>
      </c>
      <c r="H14496" s="1" t="str">
        <f t="shared" si="3334"/>
        <v>X</v>
      </c>
      <c r="I14496" s="1" t="str">
        <f t="shared" si="3334"/>
        <v>X</v>
      </c>
      <c r="J14496" s="1" t="str">
        <f t="shared" si="3334"/>
        <v>X</v>
      </c>
      <c r="K14496" s="1" t="str">
        <f t="shared" si="3334"/>
        <v>X</v>
      </c>
      <c r="L14496" s="1" t="str">
        <f t="shared" si="3334"/>
        <v>X</v>
      </c>
      <c r="M14496" s="1" t="str">
        <f t="shared" si="3334"/>
        <v>X</v>
      </c>
      <c r="N14496" t="s">
        <v>27</v>
      </c>
    </row>
    <row r="14497" spans="1:14" x14ac:dyDescent="0.25">
      <c r="A14497" t="s">
        <v>45</v>
      </c>
      <c r="B14497" t="s">
        <v>39</v>
      </c>
      <c r="C14497" t="s">
        <v>36</v>
      </c>
      <c r="D14497" t="s">
        <v>33</v>
      </c>
      <c r="E14497" t="s">
        <v>26</v>
      </c>
      <c r="F14497" t="s">
        <v>15</v>
      </c>
      <c r="G14497" s="1" t="str">
        <f t="shared" si="3334"/>
        <v>X</v>
      </c>
      <c r="H14497" s="1" t="str">
        <f t="shared" si="3334"/>
        <v>X</v>
      </c>
      <c r="I14497" s="1" t="str">
        <f t="shared" si="3334"/>
        <v>X</v>
      </c>
      <c r="J14497" s="1" t="str">
        <f t="shared" si="3334"/>
        <v>X</v>
      </c>
      <c r="K14497" s="1" t="str">
        <f t="shared" si="3334"/>
        <v>X</v>
      </c>
      <c r="L14497" s="1" t="str">
        <f t="shared" si="3334"/>
        <v>X</v>
      </c>
      <c r="M14497" s="1" t="str">
        <f t="shared" si="3334"/>
        <v>X</v>
      </c>
      <c r="N14497" t="s">
        <v>27</v>
      </c>
    </row>
    <row r="14498" spans="1:14" x14ac:dyDescent="0.25">
      <c r="A14498" t="s">
        <v>45</v>
      </c>
      <c r="B14498" t="s">
        <v>39</v>
      </c>
      <c r="C14498" t="s">
        <v>36</v>
      </c>
      <c r="D14498" t="s">
        <v>33</v>
      </c>
      <c r="E14498" t="s">
        <v>26</v>
      </c>
      <c r="F14498" t="s">
        <v>17</v>
      </c>
      <c r="G14498" s="1" t="str">
        <f t="shared" ref="G14498:M14500" si="3335">"..."</f>
        <v>...</v>
      </c>
      <c r="H14498" s="1" t="str">
        <f t="shared" si="3335"/>
        <v>...</v>
      </c>
      <c r="I14498" s="1" t="str">
        <f t="shared" si="3335"/>
        <v>...</v>
      </c>
      <c r="J14498" s="1" t="str">
        <f t="shared" si="3335"/>
        <v>...</v>
      </c>
      <c r="K14498" s="1" t="str">
        <f t="shared" si="3335"/>
        <v>...</v>
      </c>
      <c r="L14498" s="1" t="str">
        <f t="shared" si="3335"/>
        <v>...</v>
      </c>
      <c r="M14498" s="1" t="str">
        <f t="shared" si="3335"/>
        <v>...</v>
      </c>
      <c r="N14498" t="s">
        <v>30</v>
      </c>
    </row>
    <row r="14499" spans="1:14" x14ac:dyDescent="0.25">
      <c r="A14499" t="s">
        <v>45</v>
      </c>
      <c r="B14499" t="s">
        <v>39</v>
      </c>
      <c r="C14499" t="s">
        <v>36</v>
      </c>
      <c r="D14499" t="s">
        <v>33</v>
      </c>
      <c r="E14499" t="s">
        <v>26</v>
      </c>
      <c r="F14499" t="s">
        <v>18</v>
      </c>
      <c r="G14499" s="1" t="str">
        <f t="shared" si="3335"/>
        <v>...</v>
      </c>
      <c r="H14499" s="1" t="str">
        <f t="shared" si="3335"/>
        <v>...</v>
      </c>
      <c r="I14499" s="1" t="str">
        <f t="shared" si="3335"/>
        <v>...</v>
      </c>
      <c r="J14499" s="1" t="str">
        <f t="shared" si="3335"/>
        <v>...</v>
      </c>
      <c r="K14499" s="1" t="str">
        <f t="shared" si="3335"/>
        <v>...</v>
      </c>
      <c r="L14499" s="1" t="str">
        <f t="shared" si="3335"/>
        <v>...</v>
      </c>
      <c r="M14499" s="1" t="str">
        <f t="shared" si="3335"/>
        <v>...</v>
      </c>
      <c r="N14499" t="s">
        <v>30</v>
      </c>
    </row>
    <row r="14500" spans="1:14" x14ac:dyDescent="0.25">
      <c r="A14500" t="s">
        <v>45</v>
      </c>
      <c r="B14500" t="s">
        <v>39</v>
      </c>
      <c r="C14500" t="s">
        <v>36</v>
      </c>
      <c r="D14500" t="s">
        <v>33</v>
      </c>
      <c r="E14500" t="s">
        <v>26</v>
      </c>
      <c r="F14500" t="s">
        <v>19</v>
      </c>
      <c r="G14500" s="1" t="str">
        <f t="shared" si="3335"/>
        <v>...</v>
      </c>
      <c r="H14500" s="1" t="str">
        <f t="shared" si="3335"/>
        <v>...</v>
      </c>
      <c r="I14500" s="1" t="str">
        <f t="shared" si="3335"/>
        <v>...</v>
      </c>
      <c r="J14500" s="1" t="str">
        <f t="shared" si="3335"/>
        <v>...</v>
      </c>
      <c r="K14500" s="1" t="str">
        <f t="shared" si="3335"/>
        <v>...</v>
      </c>
      <c r="L14500" s="1" t="str">
        <f t="shared" si="3335"/>
        <v>...</v>
      </c>
      <c r="M14500" s="1" t="str">
        <f t="shared" si="3335"/>
        <v>...</v>
      </c>
      <c r="N14500" t="s">
        <v>30</v>
      </c>
    </row>
    <row r="14501" spans="1:14" x14ac:dyDescent="0.25">
      <c r="A14501" t="s">
        <v>45</v>
      </c>
      <c r="B14501" t="s">
        <v>39</v>
      </c>
      <c r="C14501" t="s">
        <v>36</v>
      </c>
      <c r="D14501" t="s">
        <v>33</v>
      </c>
      <c r="E14501" t="s">
        <v>26</v>
      </c>
      <c r="F14501" t="s">
        <v>20</v>
      </c>
      <c r="G14501" s="1" t="str">
        <f t="shared" ref="G14501:M14501" si="3336">"X"</f>
        <v>X</v>
      </c>
      <c r="H14501" s="1" t="str">
        <f t="shared" si="3336"/>
        <v>X</v>
      </c>
      <c r="I14501" s="1" t="str">
        <f t="shared" si="3336"/>
        <v>X</v>
      </c>
      <c r="J14501" s="1" t="str">
        <f t="shared" si="3336"/>
        <v>X</v>
      </c>
      <c r="K14501" s="1" t="str">
        <f t="shared" si="3336"/>
        <v>X</v>
      </c>
      <c r="L14501" s="1" t="str">
        <f t="shared" si="3336"/>
        <v>X</v>
      </c>
      <c r="M14501" s="1" t="str">
        <f t="shared" si="3336"/>
        <v>X</v>
      </c>
      <c r="N14501" t="s">
        <v>27</v>
      </c>
    </row>
    <row r="14502" spans="1:14" x14ac:dyDescent="0.25">
      <c r="A14502" t="s">
        <v>45</v>
      </c>
      <c r="B14502" t="s">
        <v>39</v>
      </c>
      <c r="C14502" t="s">
        <v>36</v>
      </c>
      <c r="D14502" t="s">
        <v>34</v>
      </c>
      <c r="E14502" t="s">
        <v>15</v>
      </c>
      <c r="F14502" t="s">
        <v>15</v>
      </c>
      <c r="G14502" s="2">
        <f>VALUE(313.33)</f>
        <v>313.33</v>
      </c>
      <c r="H14502" s="3">
        <f>VALUE(280.64)</f>
        <v>280.64</v>
      </c>
      <c r="I14502" s="1">
        <f>VALUE(3146)</f>
        <v>3146</v>
      </c>
      <c r="J14502" s="1">
        <f>VALUE(3571)</f>
        <v>3571</v>
      </c>
      <c r="K14502" s="1">
        <f>VALUE(4125)</f>
        <v>4125</v>
      </c>
      <c r="L14502" s="7">
        <f>VALUE(5067)</f>
        <v>5067</v>
      </c>
      <c r="M14502" s="1">
        <f>VALUE(5547)</f>
        <v>5547</v>
      </c>
      <c r="N14502" t="s">
        <v>25</v>
      </c>
    </row>
    <row r="14503" spans="1:14" x14ac:dyDescent="0.25">
      <c r="A14503" t="s">
        <v>45</v>
      </c>
      <c r="B14503" t="s">
        <v>39</v>
      </c>
      <c r="C14503" t="s">
        <v>36</v>
      </c>
      <c r="D14503" t="s">
        <v>34</v>
      </c>
      <c r="E14503" t="s">
        <v>15</v>
      </c>
      <c r="F14503" t="s">
        <v>17</v>
      </c>
      <c r="G14503" s="1" t="str">
        <f t="shared" ref="G14503:M14505" si="3337">"X"</f>
        <v>X</v>
      </c>
      <c r="H14503" s="1" t="str">
        <f t="shared" si="3337"/>
        <v>X</v>
      </c>
      <c r="I14503" s="1" t="str">
        <f t="shared" si="3337"/>
        <v>X</v>
      </c>
      <c r="J14503" s="1" t="str">
        <f t="shared" si="3337"/>
        <v>X</v>
      </c>
      <c r="K14503" s="1" t="str">
        <f t="shared" si="3337"/>
        <v>X</v>
      </c>
      <c r="L14503" s="1" t="str">
        <f t="shared" si="3337"/>
        <v>X</v>
      </c>
      <c r="M14503" s="1" t="str">
        <f t="shared" si="3337"/>
        <v>X</v>
      </c>
      <c r="N14503" t="s">
        <v>27</v>
      </c>
    </row>
    <row r="14504" spans="1:14" x14ac:dyDescent="0.25">
      <c r="A14504" t="s">
        <v>45</v>
      </c>
      <c r="B14504" t="s">
        <v>39</v>
      </c>
      <c r="C14504" t="s">
        <v>36</v>
      </c>
      <c r="D14504" t="s">
        <v>34</v>
      </c>
      <c r="E14504" t="s">
        <v>15</v>
      </c>
      <c r="F14504" t="s">
        <v>18</v>
      </c>
      <c r="G14504" s="1" t="str">
        <f t="shared" si="3337"/>
        <v>X</v>
      </c>
      <c r="H14504" s="1" t="str">
        <f t="shared" si="3337"/>
        <v>X</v>
      </c>
      <c r="I14504" s="1" t="str">
        <f t="shared" si="3337"/>
        <v>X</v>
      </c>
      <c r="J14504" s="1" t="str">
        <f t="shared" si="3337"/>
        <v>X</v>
      </c>
      <c r="K14504" s="1" t="str">
        <f t="shared" si="3337"/>
        <v>X</v>
      </c>
      <c r="L14504" s="1" t="str">
        <f t="shared" si="3337"/>
        <v>X</v>
      </c>
      <c r="M14504" s="1" t="str">
        <f t="shared" si="3337"/>
        <v>X</v>
      </c>
      <c r="N14504" t="s">
        <v>27</v>
      </c>
    </row>
    <row r="14505" spans="1:14" x14ac:dyDescent="0.25">
      <c r="A14505" t="s">
        <v>45</v>
      </c>
      <c r="B14505" t="s">
        <v>39</v>
      </c>
      <c r="C14505" t="s">
        <v>36</v>
      </c>
      <c r="D14505" t="s">
        <v>34</v>
      </c>
      <c r="E14505" t="s">
        <v>15</v>
      </c>
      <c r="F14505" t="s">
        <v>19</v>
      </c>
      <c r="G14505" s="1" t="str">
        <f t="shared" si="3337"/>
        <v>X</v>
      </c>
      <c r="H14505" s="1" t="str">
        <f t="shared" si="3337"/>
        <v>X</v>
      </c>
      <c r="I14505" s="1" t="str">
        <f t="shared" si="3337"/>
        <v>X</v>
      </c>
      <c r="J14505" s="1" t="str">
        <f t="shared" si="3337"/>
        <v>X</v>
      </c>
      <c r="K14505" s="1" t="str">
        <f t="shared" si="3337"/>
        <v>X</v>
      </c>
      <c r="L14505" s="1" t="str">
        <f t="shared" si="3337"/>
        <v>X</v>
      </c>
      <c r="M14505" s="1" t="str">
        <f t="shared" si="3337"/>
        <v>X</v>
      </c>
      <c r="N14505" t="s">
        <v>27</v>
      </c>
    </row>
    <row r="14506" spans="1:14" x14ac:dyDescent="0.25">
      <c r="A14506" t="s">
        <v>45</v>
      </c>
      <c r="B14506" t="s">
        <v>39</v>
      </c>
      <c r="C14506" t="s">
        <v>36</v>
      </c>
      <c r="D14506" t="s">
        <v>34</v>
      </c>
      <c r="E14506" t="s">
        <v>15</v>
      </c>
      <c r="F14506" t="s">
        <v>20</v>
      </c>
      <c r="G14506" s="2">
        <f>VALUE(262.52)</f>
        <v>262.52</v>
      </c>
      <c r="H14506" s="3">
        <f>VALUE(252.9)</f>
        <v>252.9</v>
      </c>
      <c r="I14506" s="1">
        <f>VALUE(3146)</f>
        <v>3146</v>
      </c>
      <c r="J14506" s="1">
        <f>VALUE(3543)</f>
        <v>3543</v>
      </c>
      <c r="K14506" s="1">
        <f>VALUE(4122)</f>
        <v>4122</v>
      </c>
      <c r="L14506" s="7">
        <f>VALUE(4711)</f>
        <v>4711</v>
      </c>
      <c r="M14506" s="1">
        <f>VALUE(5293)</f>
        <v>5293</v>
      </c>
      <c r="N14506" t="s">
        <v>25</v>
      </c>
    </row>
    <row r="14507" spans="1:14" x14ac:dyDescent="0.25">
      <c r="A14507" t="s">
        <v>45</v>
      </c>
      <c r="B14507" t="s">
        <v>39</v>
      </c>
      <c r="C14507" t="s">
        <v>36</v>
      </c>
      <c r="D14507" t="s">
        <v>34</v>
      </c>
      <c r="E14507" t="s">
        <v>21</v>
      </c>
      <c r="F14507" t="s">
        <v>15</v>
      </c>
      <c r="G14507" s="1" t="str">
        <f t="shared" ref="G14507:M14508" si="3338">"X"</f>
        <v>X</v>
      </c>
      <c r="H14507" s="1" t="str">
        <f t="shared" si="3338"/>
        <v>X</v>
      </c>
      <c r="I14507" s="1" t="str">
        <f t="shared" si="3338"/>
        <v>X</v>
      </c>
      <c r="J14507" s="1" t="str">
        <f t="shared" si="3338"/>
        <v>X</v>
      </c>
      <c r="K14507" s="1" t="str">
        <f t="shared" si="3338"/>
        <v>X</v>
      </c>
      <c r="L14507" s="1" t="str">
        <f t="shared" si="3338"/>
        <v>X</v>
      </c>
      <c r="M14507" s="1" t="str">
        <f t="shared" si="3338"/>
        <v>X</v>
      </c>
      <c r="N14507" t="s">
        <v>27</v>
      </c>
    </row>
    <row r="14508" spans="1:14" x14ac:dyDescent="0.25">
      <c r="A14508" t="s">
        <v>45</v>
      </c>
      <c r="B14508" t="s">
        <v>39</v>
      </c>
      <c r="C14508" t="s">
        <v>36</v>
      </c>
      <c r="D14508" t="s">
        <v>34</v>
      </c>
      <c r="E14508" t="s">
        <v>21</v>
      </c>
      <c r="F14508" t="s">
        <v>17</v>
      </c>
      <c r="G14508" s="1" t="str">
        <f t="shared" si="3338"/>
        <v>X</v>
      </c>
      <c r="H14508" s="1" t="str">
        <f t="shared" si="3338"/>
        <v>X</v>
      </c>
      <c r="I14508" s="1" t="str">
        <f t="shared" si="3338"/>
        <v>X</v>
      </c>
      <c r="J14508" s="1" t="str">
        <f t="shared" si="3338"/>
        <v>X</v>
      </c>
      <c r="K14508" s="1" t="str">
        <f t="shared" si="3338"/>
        <v>X</v>
      </c>
      <c r="L14508" s="1" t="str">
        <f t="shared" si="3338"/>
        <v>X</v>
      </c>
      <c r="M14508" s="1" t="str">
        <f t="shared" si="3338"/>
        <v>X</v>
      </c>
      <c r="N14508" t="s">
        <v>27</v>
      </c>
    </row>
    <row r="14509" spans="1:14" x14ac:dyDescent="0.25">
      <c r="A14509" t="s">
        <v>45</v>
      </c>
      <c r="B14509" t="s">
        <v>39</v>
      </c>
      <c r="C14509" t="s">
        <v>36</v>
      </c>
      <c r="D14509" t="s">
        <v>34</v>
      </c>
      <c r="E14509" t="s">
        <v>21</v>
      </c>
      <c r="F14509" t="s">
        <v>18</v>
      </c>
      <c r="G14509" s="1" t="str">
        <f t="shared" ref="G14509:M14509" si="3339">"..."</f>
        <v>...</v>
      </c>
      <c r="H14509" s="1" t="str">
        <f t="shared" si="3339"/>
        <v>...</v>
      </c>
      <c r="I14509" s="1" t="str">
        <f t="shared" si="3339"/>
        <v>...</v>
      </c>
      <c r="J14509" s="1" t="str">
        <f t="shared" si="3339"/>
        <v>...</v>
      </c>
      <c r="K14509" s="1" t="str">
        <f t="shared" si="3339"/>
        <v>...</v>
      </c>
      <c r="L14509" s="1" t="str">
        <f t="shared" si="3339"/>
        <v>...</v>
      </c>
      <c r="M14509" s="1" t="str">
        <f t="shared" si="3339"/>
        <v>...</v>
      </c>
      <c r="N14509" t="s">
        <v>30</v>
      </c>
    </row>
    <row r="14510" spans="1:14" x14ac:dyDescent="0.25">
      <c r="A14510" t="s">
        <v>45</v>
      </c>
      <c r="B14510" t="s">
        <v>39</v>
      </c>
      <c r="C14510" t="s">
        <v>36</v>
      </c>
      <c r="D14510" t="s">
        <v>34</v>
      </c>
      <c r="E14510" t="s">
        <v>21</v>
      </c>
      <c r="F14510" t="s">
        <v>19</v>
      </c>
      <c r="G14510" s="1" t="str">
        <f t="shared" ref="G14510:M14517" si="3340">"X"</f>
        <v>X</v>
      </c>
      <c r="H14510" s="1" t="str">
        <f t="shared" si="3340"/>
        <v>X</v>
      </c>
      <c r="I14510" s="1" t="str">
        <f t="shared" si="3340"/>
        <v>X</v>
      </c>
      <c r="J14510" s="1" t="str">
        <f t="shared" si="3340"/>
        <v>X</v>
      </c>
      <c r="K14510" s="1" t="str">
        <f t="shared" si="3340"/>
        <v>X</v>
      </c>
      <c r="L14510" s="1" t="str">
        <f t="shared" si="3340"/>
        <v>X</v>
      </c>
      <c r="M14510" s="1" t="str">
        <f t="shared" si="3340"/>
        <v>X</v>
      </c>
      <c r="N14510" t="s">
        <v>27</v>
      </c>
    </row>
    <row r="14511" spans="1:14" x14ac:dyDescent="0.25">
      <c r="A14511" t="s">
        <v>45</v>
      </c>
      <c r="B14511" t="s">
        <v>39</v>
      </c>
      <c r="C14511" t="s">
        <v>36</v>
      </c>
      <c r="D14511" t="s">
        <v>34</v>
      </c>
      <c r="E14511" t="s">
        <v>21</v>
      </c>
      <c r="F14511" t="s">
        <v>20</v>
      </c>
      <c r="G14511" s="1" t="str">
        <f t="shared" si="3340"/>
        <v>X</v>
      </c>
      <c r="H14511" s="1" t="str">
        <f t="shared" si="3340"/>
        <v>X</v>
      </c>
      <c r="I14511" s="1" t="str">
        <f t="shared" si="3340"/>
        <v>X</v>
      </c>
      <c r="J14511" s="1" t="str">
        <f t="shared" si="3340"/>
        <v>X</v>
      </c>
      <c r="K14511" s="1" t="str">
        <f t="shared" si="3340"/>
        <v>X</v>
      </c>
      <c r="L14511" s="1" t="str">
        <f t="shared" si="3340"/>
        <v>X</v>
      </c>
      <c r="M14511" s="1" t="str">
        <f t="shared" si="3340"/>
        <v>X</v>
      </c>
      <c r="N14511" t="s">
        <v>27</v>
      </c>
    </row>
    <row r="14512" spans="1:14" x14ac:dyDescent="0.25">
      <c r="A14512" t="s">
        <v>45</v>
      </c>
      <c r="B14512" t="s">
        <v>39</v>
      </c>
      <c r="C14512" t="s">
        <v>36</v>
      </c>
      <c r="D14512" t="s">
        <v>34</v>
      </c>
      <c r="E14512" t="s">
        <v>22</v>
      </c>
      <c r="F14512" t="s">
        <v>15</v>
      </c>
      <c r="G14512" s="1" t="str">
        <f t="shared" si="3340"/>
        <v>X</v>
      </c>
      <c r="H14512" s="1" t="str">
        <f t="shared" si="3340"/>
        <v>X</v>
      </c>
      <c r="I14512" s="1" t="str">
        <f t="shared" si="3340"/>
        <v>X</v>
      </c>
      <c r="J14512" s="1" t="str">
        <f t="shared" si="3340"/>
        <v>X</v>
      </c>
      <c r="K14512" s="1" t="str">
        <f t="shared" si="3340"/>
        <v>X</v>
      </c>
      <c r="L14512" s="1" t="str">
        <f t="shared" si="3340"/>
        <v>X</v>
      </c>
      <c r="M14512" s="1" t="str">
        <f t="shared" si="3340"/>
        <v>X</v>
      </c>
      <c r="N14512" t="s">
        <v>27</v>
      </c>
    </row>
    <row r="14513" spans="1:14" x14ac:dyDescent="0.25">
      <c r="A14513" t="s">
        <v>45</v>
      </c>
      <c r="B14513" t="s">
        <v>39</v>
      </c>
      <c r="C14513" t="s">
        <v>36</v>
      </c>
      <c r="D14513" t="s">
        <v>34</v>
      </c>
      <c r="E14513" t="s">
        <v>22</v>
      </c>
      <c r="F14513" t="s">
        <v>17</v>
      </c>
      <c r="G14513" s="1" t="str">
        <f t="shared" si="3340"/>
        <v>X</v>
      </c>
      <c r="H14513" s="1" t="str">
        <f t="shared" si="3340"/>
        <v>X</v>
      </c>
      <c r="I14513" s="1" t="str">
        <f t="shared" si="3340"/>
        <v>X</v>
      </c>
      <c r="J14513" s="1" t="str">
        <f t="shared" si="3340"/>
        <v>X</v>
      </c>
      <c r="K14513" s="1" t="str">
        <f t="shared" si="3340"/>
        <v>X</v>
      </c>
      <c r="L14513" s="1" t="str">
        <f t="shared" si="3340"/>
        <v>X</v>
      </c>
      <c r="M14513" s="1" t="str">
        <f t="shared" si="3340"/>
        <v>X</v>
      </c>
      <c r="N14513" t="s">
        <v>27</v>
      </c>
    </row>
    <row r="14514" spans="1:14" x14ac:dyDescent="0.25">
      <c r="A14514" t="s">
        <v>45</v>
      </c>
      <c r="B14514" t="s">
        <v>39</v>
      </c>
      <c r="C14514" t="s">
        <v>36</v>
      </c>
      <c r="D14514" t="s">
        <v>34</v>
      </c>
      <c r="E14514" t="s">
        <v>22</v>
      </c>
      <c r="F14514" t="s">
        <v>18</v>
      </c>
      <c r="G14514" s="1" t="str">
        <f t="shared" si="3340"/>
        <v>X</v>
      </c>
      <c r="H14514" s="1" t="str">
        <f t="shared" si="3340"/>
        <v>X</v>
      </c>
      <c r="I14514" s="1" t="str">
        <f t="shared" si="3340"/>
        <v>X</v>
      </c>
      <c r="J14514" s="1" t="str">
        <f t="shared" si="3340"/>
        <v>X</v>
      </c>
      <c r="K14514" s="1" t="str">
        <f t="shared" si="3340"/>
        <v>X</v>
      </c>
      <c r="L14514" s="1" t="str">
        <f t="shared" si="3340"/>
        <v>X</v>
      </c>
      <c r="M14514" s="1" t="str">
        <f t="shared" si="3340"/>
        <v>X</v>
      </c>
      <c r="N14514" t="s">
        <v>27</v>
      </c>
    </row>
    <row r="14515" spans="1:14" x14ac:dyDescent="0.25">
      <c r="A14515" t="s">
        <v>45</v>
      </c>
      <c r="B14515" t="s">
        <v>39</v>
      </c>
      <c r="C14515" t="s">
        <v>36</v>
      </c>
      <c r="D14515" t="s">
        <v>34</v>
      </c>
      <c r="E14515" t="s">
        <v>22</v>
      </c>
      <c r="F14515" t="s">
        <v>19</v>
      </c>
      <c r="G14515" s="1" t="str">
        <f t="shared" si="3340"/>
        <v>X</v>
      </c>
      <c r="H14515" s="1" t="str">
        <f t="shared" si="3340"/>
        <v>X</v>
      </c>
      <c r="I14515" s="1" t="str">
        <f t="shared" si="3340"/>
        <v>X</v>
      </c>
      <c r="J14515" s="1" t="str">
        <f t="shared" si="3340"/>
        <v>X</v>
      </c>
      <c r="K14515" s="1" t="str">
        <f t="shared" si="3340"/>
        <v>X</v>
      </c>
      <c r="L14515" s="1" t="str">
        <f t="shared" si="3340"/>
        <v>X</v>
      </c>
      <c r="M14515" s="1" t="str">
        <f t="shared" si="3340"/>
        <v>X</v>
      </c>
      <c r="N14515" t="s">
        <v>27</v>
      </c>
    </row>
    <row r="14516" spans="1:14" x14ac:dyDescent="0.25">
      <c r="A14516" t="s">
        <v>45</v>
      </c>
      <c r="B14516" t="s">
        <v>39</v>
      </c>
      <c r="C14516" t="s">
        <v>36</v>
      </c>
      <c r="D14516" t="s">
        <v>34</v>
      </c>
      <c r="E14516" t="s">
        <v>22</v>
      </c>
      <c r="F14516" t="s">
        <v>20</v>
      </c>
      <c r="G14516" s="1" t="str">
        <f t="shared" si="3340"/>
        <v>X</v>
      </c>
      <c r="H14516" s="1" t="str">
        <f t="shared" si="3340"/>
        <v>X</v>
      </c>
      <c r="I14516" s="1" t="str">
        <f t="shared" si="3340"/>
        <v>X</v>
      </c>
      <c r="J14516" s="1" t="str">
        <f t="shared" si="3340"/>
        <v>X</v>
      </c>
      <c r="K14516" s="1" t="str">
        <f t="shared" si="3340"/>
        <v>X</v>
      </c>
      <c r="L14516" s="1" t="str">
        <f t="shared" si="3340"/>
        <v>X</v>
      </c>
      <c r="M14516" s="1" t="str">
        <f t="shared" si="3340"/>
        <v>X</v>
      </c>
      <c r="N14516" t="s">
        <v>27</v>
      </c>
    </row>
    <row r="14517" spans="1:14" x14ac:dyDescent="0.25">
      <c r="A14517" t="s">
        <v>45</v>
      </c>
      <c r="B14517" t="s">
        <v>39</v>
      </c>
      <c r="C14517" t="s">
        <v>36</v>
      </c>
      <c r="D14517" t="s">
        <v>34</v>
      </c>
      <c r="E14517" t="s">
        <v>23</v>
      </c>
      <c r="F14517" t="s">
        <v>15</v>
      </c>
      <c r="G14517" s="1" t="str">
        <f t="shared" si="3340"/>
        <v>X</v>
      </c>
      <c r="H14517" s="1" t="str">
        <f t="shared" si="3340"/>
        <v>X</v>
      </c>
      <c r="I14517" s="1" t="str">
        <f t="shared" si="3340"/>
        <v>X</v>
      </c>
      <c r="J14517" s="1" t="str">
        <f t="shared" si="3340"/>
        <v>X</v>
      </c>
      <c r="K14517" s="1" t="str">
        <f t="shared" si="3340"/>
        <v>X</v>
      </c>
      <c r="L14517" s="1" t="str">
        <f t="shared" si="3340"/>
        <v>X</v>
      </c>
      <c r="M14517" s="1" t="str">
        <f t="shared" si="3340"/>
        <v>X</v>
      </c>
      <c r="N14517" t="s">
        <v>27</v>
      </c>
    </row>
    <row r="14518" spans="1:14" x14ac:dyDescent="0.25">
      <c r="A14518" t="s">
        <v>45</v>
      </c>
      <c r="B14518" t="s">
        <v>39</v>
      </c>
      <c r="C14518" t="s">
        <v>36</v>
      </c>
      <c r="D14518" t="s">
        <v>34</v>
      </c>
      <c r="E14518" t="s">
        <v>23</v>
      </c>
      <c r="F14518" t="s">
        <v>17</v>
      </c>
      <c r="G14518" s="1" t="str">
        <f t="shared" ref="G14518:M14519" si="3341">"..."</f>
        <v>...</v>
      </c>
      <c r="H14518" s="1" t="str">
        <f t="shared" si="3341"/>
        <v>...</v>
      </c>
      <c r="I14518" s="1" t="str">
        <f t="shared" si="3341"/>
        <v>...</v>
      </c>
      <c r="J14518" s="1" t="str">
        <f t="shared" si="3341"/>
        <v>...</v>
      </c>
      <c r="K14518" s="1" t="str">
        <f t="shared" si="3341"/>
        <v>...</v>
      </c>
      <c r="L14518" s="1" t="str">
        <f t="shared" si="3341"/>
        <v>...</v>
      </c>
      <c r="M14518" s="1" t="str">
        <f t="shared" si="3341"/>
        <v>...</v>
      </c>
      <c r="N14518" t="s">
        <v>30</v>
      </c>
    </row>
    <row r="14519" spans="1:14" x14ac:dyDescent="0.25">
      <c r="A14519" t="s">
        <v>45</v>
      </c>
      <c r="B14519" t="s">
        <v>39</v>
      </c>
      <c r="C14519" t="s">
        <v>36</v>
      </c>
      <c r="D14519" t="s">
        <v>34</v>
      </c>
      <c r="E14519" t="s">
        <v>23</v>
      </c>
      <c r="F14519" t="s">
        <v>18</v>
      </c>
      <c r="G14519" s="1" t="str">
        <f t="shared" si="3341"/>
        <v>...</v>
      </c>
      <c r="H14519" s="1" t="str">
        <f t="shared" si="3341"/>
        <v>...</v>
      </c>
      <c r="I14519" s="1" t="str">
        <f t="shared" si="3341"/>
        <v>...</v>
      </c>
      <c r="J14519" s="1" t="str">
        <f t="shared" si="3341"/>
        <v>...</v>
      </c>
      <c r="K14519" s="1" t="str">
        <f t="shared" si="3341"/>
        <v>...</v>
      </c>
      <c r="L14519" s="1" t="str">
        <f t="shared" si="3341"/>
        <v>...</v>
      </c>
      <c r="M14519" s="1" t="str">
        <f t="shared" si="3341"/>
        <v>...</v>
      </c>
      <c r="N14519" t="s">
        <v>30</v>
      </c>
    </row>
    <row r="14520" spans="1:14" x14ac:dyDescent="0.25">
      <c r="A14520" t="s">
        <v>45</v>
      </c>
      <c r="B14520" t="s">
        <v>39</v>
      </c>
      <c r="C14520" t="s">
        <v>36</v>
      </c>
      <c r="D14520" t="s">
        <v>34</v>
      </c>
      <c r="E14520" t="s">
        <v>23</v>
      </c>
      <c r="F14520" t="s">
        <v>19</v>
      </c>
      <c r="G14520" s="1" t="str">
        <f t="shared" ref="G14520:M14522" si="3342">"X"</f>
        <v>X</v>
      </c>
      <c r="H14520" s="1" t="str">
        <f t="shared" si="3342"/>
        <v>X</v>
      </c>
      <c r="I14520" s="1" t="str">
        <f t="shared" si="3342"/>
        <v>X</v>
      </c>
      <c r="J14520" s="1" t="str">
        <f t="shared" si="3342"/>
        <v>X</v>
      </c>
      <c r="K14520" s="1" t="str">
        <f t="shared" si="3342"/>
        <v>X</v>
      </c>
      <c r="L14520" s="1" t="str">
        <f t="shared" si="3342"/>
        <v>X</v>
      </c>
      <c r="M14520" s="1" t="str">
        <f t="shared" si="3342"/>
        <v>X</v>
      </c>
      <c r="N14520" t="s">
        <v>27</v>
      </c>
    </row>
    <row r="14521" spans="1:14" x14ac:dyDescent="0.25">
      <c r="A14521" t="s">
        <v>45</v>
      </c>
      <c r="B14521" t="s">
        <v>39</v>
      </c>
      <c r="C14521" t="s">
        <v>36</v>
      </c>
      <c r="D14521" t="s">
        <v>34</v>
      </c>
      <c r="E14521" t="s">
        <v>23</v>
      </c>
      <c r="F14521" t="s">
        <v>20</v>
      </c>
      <c r="G14521" s="1" t="str">
        <f t="shared" si="3342"/>
        <v>X</v>
      </c>
      <c r="H14521" s="1" t="str">
        <f t="shared" si="3342"/>
        <v>X</v>
      </c>
      <c r="I14521" s="1" t="str">
        <f t="shared" si="3342"/>
        <v>X</v>
      </c>
      <c r="J14521" s="1" t="str">
        <f t="shared" si="3342"/>
        <v>X</v>
      </c>
      <c r="K14521" s="1" t="str">
        <f t="shared" si="3342"/>
        <v>X</v>
      </c>
      <c r="L14521" s="1" t="str">
        <f t="shared" si="3342"/>
        <v>X</v>
      </c>
      <c r="M14521" s="1" t="str">
        <f t="shared" si="3342"/>
        <v>X</v>
      </c>
      <c r="N14521" t="s">
        <v>27</v>
      </c>
    </row>
    <row r="14522" spans="1:14" x14ac:dyDescent="0.25">
      <c r="A14522" t="s">
        <v>45</v>
      </c>
      <c r="B14522" t="s">
        <v>39</v>
      </c>
      <c r="C14522" t="s">
        <v>36</v>
      </c>
      <c r="D14522" t="s">
        <v>34</v>
      </c>
      <c r="E14522" t="s">
        <v>26</v>
      </c>
      <c r="F14522" t="s">
        <v>15</v>
      </c>
      <c r="G14522" s="1" t="str">
        <f t="shared" si="3342"/>
        <v>X</v>
      </c>
      <c r="H14522" s="1" t="str">
        <f t="shared" si="3342"/>
        <v>X</v>
      </c>
      <c r="I14522" s="1" t="str">
        <f t="shared" si="3342"/>
        <v>X</v>
      </c>
      <c r="J14522" s="1" t="str">
        <f t="shared" si="3342"/>
        <v>X</v>
      </c>
      <c r="K14522" s="1" t="str">
        <f t="shared" si="3342"/>
        <v>X</v>
      </c>
      <c r="L14522" s="1" t="str">
        <f t="shared" si="3342"/>
        <v>X</v>
      </c>
      <c r="M14522" s="1" t="str">
        <f t="shared" si="3342"/>
        <v>X</v>
      </c>
      <c r="N14522" t="s">
        <v>27</v>
      </c>
    </row>
    <row r="14523" spans="1:14" x14ac:dyDescent="0.25">
      <c r="A14523" t="s">
        <v>45</v>
      </c>
      <c r="B14523" t="s">
        <v>39</v>
      </c>
      <c r="C14523" t="s">
        <v>36</v>
      </c>
      <c r="D14523" t="s">
        <v>34</v>
      </c>
      <c r="E14523" t="s">
        <v>26</v>
      </c>
      <c r="F14523" t="s">
        <v>17</v>
      </c>
      <c r="G14523" s="1" t="str">
        <f t="shared" ref="G14523:M14525" si="3343">"..."</f>
        <v>...</v>
      </c>
      <c r="H14523" s="1" t="str">
        <f t="shared" si="3343"/>
        <v>...</v>
      </c>
      <c r="I14523" s="1" t="str">
        <f t="shared" si="3343"/>
        <v>...</v>
      </c>
      <c r="J14523" s="1" t="str">
        <f t="shared" si="3343"/>
        <v>...</v>
      </c>
      <c r="K14523" s="1" t="str">
        <f t="shared" si="3343"/>
        <v>...</v>
      </c>
      <c r="L14523" s="1" t="str">
        <f t="shared" si="3343"/>
        <v>...</v>
      </c>
      <c r="M14523" s="1" t="str">
        <f t="shared" si="3343"/>
        <v>...</v>
      </c>
      <c r="N14523" t="s">
        <v>30</v>
      </c>
    </row>
    <row r="14524" spans="1:14" x14ac:dyDescent="0.25">
      <c r="A14524" t="s">
        <v>45</v>
      </c>
      <c r="B14524" t="s">
        <v>39</v>
      </c>
      <c r="C14524" t="s">
        <v>36</v>
      </c>
      <c r="D14524" t="s">
        <v>34</v>
      </c>
      <c r="E14524" t="s">
        <v>26</v>
      </c>
      <c r="F14524" t="s">
        <v>18</v>
      </c>
      <c r="G14524" s="1" t="str">
        <f t="shared" si="3343"/>
        <v>...</v>
      </c>
      <c r="H14524" s="1" t="str">
        <f t="shared" si="3343"/>
        <v>...</v>
      </c>
      <c r="I14524" s="1" t="str">
        <f t="shared" si="3343"/>
        <v>...</v>
      </c>
      <c r="J14524" s="1" t="str">
        <f t="shared" si="3343"/>
        <v>...</v>
      </c>
      <c r="K14524" s="1" t="str">
        <f t="shared" si="3343"/>
        <v>...</v>
      </c>
      <c r="L14524" s="1" t="str">
        <f t="shared" si="3343"/>
        <v>...</v>
      </c>
      <c r="M14524" s="1" t="str">
        <f t="shared" si="3343"/>
        <v>...</v>
      </c>
      <c r="N14524" t="s">
        <v>30</v>
      </c>
    </row>
    <row r="14525" spans="1:14" x14ac:dyDescent="0.25">
      <c r="A14525" t="s">
        <v>45</v>
      </c>
      <c r="B14525" t="s">
        <v>39</v>
      </c>
      <c r="C14525" t="s">
        <v>36</v>
      </c>
      <c r="D14525" t="s">
        <v>34</v>
      </c>
      <c r="E14525" t="s">
        <v>26</v>
      </c>
      <c r="F14525" t="s">
        <v>19</v>
      </c>
      <c r="G14525" s="1" t="str">
        <f t="shared" si="3343"/>
        <v>...</v>
      </c>
      <c r="H14525" s="1" t="str">
        <f t="shared" si="3343"/>
        <v>...</v>
      </c>
      <c r="I14525" s="1" t="str">
        <f t="shared" si="3343"/>
        <v>...</v>
      </c>
      <c r="J14525" s="1" t="str">
        <f t="shared" si="3343"/>
        <v>...</v>
      </c>
      <c r="K14525" s="1" t="str">
        <f t="shared" si="3343"/>
        <v>...</v>
      </c>
      <c r="L14525" s="1" t="str">
        <f t="shared" si="3343"/>
        <v>...</v>
      </c>
      <c r="M14525" s="1" t="str">
        <f t="shared" si="3343"/>
        <v>...</v>
      </c>
      <c r="N14525" t="s">
        <v>30</v>
      </c>
    </row>
    <row r="14526" spans="1:14" x14ac:dyDescent="0.25">
      <c r="A14526" t="s">
        <v>45</v>
      </c>
      <c r="B14526" t="s">
        <v>39</v>
      </c>
      <c r="C14526" t="s">
        <v>36</v>
      </c>
      <c r="D14526" t="s">
        <v>34</v>
      </c>
      <c r="E14526" t="s">
        <v>26</v>
      </c>
      <c r="F14526" t="s">
        <v>20</v>
      </c>
      <c r="G14526" s="1" t="str">
        <f t="shared" ref="G14526:M14526" si="3344">"X"</f>
        <v>X</v>
      </c>
      <c r="H14526" s="1" t="str">
        <f t="shared" si="3344"/>
        <v>X</v>
      </c>
      <c r="I14526" s="1" t="str">
        <f t="shared" si="3344"/>
        <v>X</v>
      </c>
      <c r="J14526" s="1" t="str">
        <f t="shared" si="3344"/>
        <v>X</v>
      </c>
      <c r="K14526" s="1" t="str">
        <f t="shared" si="3344"/>
        <v>X</v>
      </c>
      <c r="L14526" s="1" t="str">
        <f t="shared" si="3344"/>
        <v>X</v>
      </c>
      <c r="M14526" s="1" t="str">
        <f t="shared" si="3344"/>
        <v>X</v>
      </c>
      <c r="N14526" t="s">
        <v>27</v>
      </c>
    </row>
    <row r="14527" spans="1:14" x14ac:dyDescent="0.25">
      <c r="A14527" t="s">
        <v>45</v>
      </c>
      <c r="B14527" t="s">
        <v>39</v>
      </c>
      <c r="C14527" t="s">
        <v>37</v>
      </c>
      <c r="D14527" t="s">
        <v>15</v>
      </c>
      <c r="E14527" t="s">
        <v>15</v>
      </c>
      <c r="F14527" t="s">
        <v>15</v>
      </c>
      <c r="G14527" s="1">
        <f>VALUE(32359.25)</f>
        <v>32359.25</v>
      </c>
      <c r="H14527" s="1">
        <f>VALUE(31789.8)</f>
        <v>31789.8</v>
      </c>
      <c r="I14527" s="1">
        <f>VALUE(3769)</f>
        <v>3769</v>
      </c>
      <c r="J14527" s="1">
        <f>VALUE(4543)</f>
        <v>4543</v>
      </c>
      <c r="K14527" s="1">
        <f>VALUE(5613)</f>
        <v>5613</v>
      </c>
      <c r="L14527" s="1">
        <f>VALUE(7291)</f>
        <v>7291</v>
      </c>
      <c r="M14527" s="1">
        <f>VALUE(10336)</f>
        <v>10336</v>
      </c>
      <c r="N14527" t="s">
        <v>16</v>
      </c>
    </row>
    <row r="14528" spans="1:14" x14ac:dyDescent="0.25">
      <c r="A14528" t="s">
        <v>45</v>
      </c>
      <c r="B14528" t="s">
        <v>39</v>
      </c>
      <c r="C14528" t="s">
        <v>37</v>
      </c>
      <c r="D14528" t="s">
        <v>15</v>
      </c>
      <c r="E14528" t="s">
        <v>15</v>
      </c>
      <c r="F14528" t="s">
        <v>17</v>
      </c>
      <c r="G14528" s="1">
        <f>VALUE(5370.97)</f>
        <v>5370.97</v>
      </c>
      <c r="H14528" s="1">
        <f>VALUE(5321.55)</f>
        <v>5321.55</v>
      </c>
      <c r="I14528" s="1">
        <f>VALUE(5416)</f>
        <v>5416</v>
      </c>
      <c r="J14528" s="1">
        <f>VALUE(6728)</f>
        <v>6728</v>
      </c>
      <c r="K14528" s="1">
        <f>VALUE(8775)</f>
        <v>8775</v>
      </c>
      <c r="L14528" s="1">
        <f>VALUE(12823)</f>
        <v>12823</v>
      </c>
      <c r="M14528" s="1">
        <f>VALUE(18305)</f>
        <v>18305</v>
      </c>
      <c r="N14528" t="s">
        <v>16</v>
      </c>
    </row>
    <row r="14529" spans="1:14" x14ac:dyDescent="0.25">
      <c r="A14529" t="s">
        <v>45</v>
      </c>
      <c r="B14529" t="s">
        <v>39</v>
      </c>
      <c r="C14529" t="s">
        <v>37</v>
      </c>
      <c r="D14529" t="s">
        <v>15</v>
      </c>
      <c r="E14529" t="s">
        <v>15</v>
      </c>
      <c r="F14529" t="s">
        <v>18</v>
      </c>
      <c r="G14529" s="2">
        <f>VALUE(3801.89)</f>
        <v>3801.89</v>
      </c>
      <c r="H14529" s="3">
        <f>VALUE(3697.54)</f>
        <v>3697.54</v>
      </c>
      <c r="I14529" s="1">
        <f>VALUE(4841)</f>
        <v>4841</v>
      </c>
      <c r="J14529" s="1">
        <f>VALUE(5579)</f>
        <v>5579</v>
      </c>
      <c r="K14529" s="1">
        <f>VALUE(6861)</f>
        <v>6861</v>
      </c>
      <c r="L14529" s="1">
        <f>VALUE(8889)</f>
        <v>8889</v>
      </c>
      <c r="M14529" s="1">
        <f>VALUE(10920)</f>
        <v>10920</v>
      </c>
      <c r="N14529" t="s">
        <v>25</v>
      </c>
    </row>
    <row r="14530" spans="1:14" x14ac:dyDescent="0.25">
      <c r="A14530" t="s">
        <v>45</v>
      </c>
      <c r="B14530" t="s">
        <v>39</v>
      </c>
      <c r="C14530" t="s">
        <v>37</v>
      </c>
      <c r="D14530" t="s">
        <v>15</v>
      </c>
      <c r="E14530" t="s">
        <v>15</v>
      </c>
      <c r="F14530" t="s">
        <v>19</v>
      </c>
      <c r="G14530" s="1">
        <f>VALUE(3856.67)</f>
        <v>3856.67</v>
      </c>
      <c r="H14530" s="1">
        <f>VALUE(3884.21)</f>
        <v>3884.21</v>
      </c>
      <c r="I14530" s="1">
        <f>VALUE(4168)</f>
        <v>4168</v>
      </c>
      <c r="J14530" s="1">
        <f>VALUE(4896)</f>
        <v>4896</v>
      </c>
      <c r="K14530" s="1">
        <f>VALUE(5989)</f>
        <v>5989</v>
      </c>
      <c r="L14530" s="1">
        <f>VALUE(7063)</f>
        <v>7063</v>
      </c>
      <c r="M14530" s="1">
        <f>VALUE(9429)</f>
        <v>9429</v>
      </c>
      <c r="N14530" t="s">
        <v>16</v>
      </c>
    </row>
    <row r="14531" spans="1:14" x14ac:dyDescent="0.25">
      <c r="A14531" t="s">
        <v>45</v>
      </c>
      <c r="B14531" t="s">
        <v>39</v>
      </c>
      <c r="C14531" t="s">
        <v>37</v>
      </c>
      <c r="D14531" t="s">
        <v>15</v>
      </c>
      <c r="E14531" t="s">
        <v>15</v>
      </c>
      <c r="F14531" t="s">
        <v>20</v>
      </c>
      <c r="G14531" s="1">
        <f>VALUE(19329.72)</f>
        <v>19329.72</v>
      </c>
      <c r="H14531" s="1">
        <f>VALUE(18886.5)</f>
        <v>18886.5</v>
      </c>
      <c r="I14531" s="1">
        <f>VALUE(3537)</f>
        <v>3537</v>
      </c>
      <c r="J14531" s="1">
        <f>VALUE(4173)</f>
        <v>4173</v>
      </c>
      <c r="K14531" s="1">
        <f>VALUE(5055)</f>
        <v>5055</v>
      </c>
      <c r="L14531" s="1">
        <f>VALUE(6067)</f>
        <v>6067</v>
      </c>
      <c r="M14531" s="1">
        <f>VALUE(7226)</f>
        <v>7226</v>
      </c>
      <c r="N14531" t="s">
        <v>16</v>
      </c>
    </row>
    <row r="14532" spans="1:14" x14ac:dyDescent="0.25">
      <c r="A14532" t="s">
        <v>45</v>
      </c>
      <c r="B14532" t="s">
        <v>39</v>
      </c>
      <c r="C14532" t="s">
        <v>37</v>
      </c>
      <c r="D14532" t="s">
        <v>15</v>
      </c>
      <c r="E14532" t="s">
        <v>21</v>
      </c>
      <c r="F14532" t="s">
        <v>15</v>
      </c>
      <c r="G14532" s="1">
        <f>VALUE(10075.03)</f>
        <v>10075.030000000001</v>
      </c>
      <c r="H14532" s="1">
        <f>VALUE(9759.87)</f>
        <v>9759.8700000000008</v>
      </c>
      <c r="I14532" s="1">
        <f>VALUE(4547)</f>
        <v>4547</v>
      </c>
      <c r="J14532" s="1">
        <f>VALUE(5958)</f>
        <v>5958</v>
      </c>
      <c r="K14532" s="1">
        <f>VALUE(7673)</f>
        <v>7673</v>
      </c>
      <c r="L14532" s="1">
        <f>VALUE(10346)</f>
        <v>10346</v>
      </c>
      <c r="M14532" s="1">
        <f>VALUE(15000)</f>
        <v>15000</v>
      </c>
      <c r="N14532" t="s">
        <v>16</v>
      </c>
    </row>
    <row r="14533" spans="1:14" x14ac:dyDescent="0.25">
      <c r="A14533" t="s">
        <v>45</v>
      </c>
      <c r="B14533" t="s">
        <v>39</v>
      </c>
      <c r="C14533" t="s">
        <v>37</v>
      </c>
      <c r="D14533" t="s">
        <v>15</v>
      </c>
      <c r="E14533" t="s">
        <v>21</v>
      </c>
      <c r="F14533" t="s">
        <v>17</v>
      </c>
      <c r="G14533" s="2">
        <f>VALUE(3551.47)</f>
        <v>3551.47</v>
      </c>
      <c r="H14533" s="3">
        <f>VALUE(3480.19)</f>
        <v>3480.19</v>
      </c>
      <c r="I14533" s="1">
        <f>VALUE(5778)</f>
        <v>5778</v>
      </c>
      <c r="J14533" s="1">
        <f>VALUE(7421)</f>
        <v>7421</v>
      </c>
      <c r="K14533" s="6">
        <f>VALUE(9907)</f>
        <v>9907</v>
      </c>
      <c r="L14533" s="7">
        <f>VALUE(14118)</f>
        <v>14118</v>
      </c>
      <c r="M14533" s="1">
        <f>VALUE(19897)</f>
        <v>19897</v>
      </c>
      <c r="N14533" t="s">
        <v>25</v>
      </c>
    </row>
    <row r="14534" spans="1:14" x14ac:dyDescent="0.25">
      <c r="A14534" t="s">
        <v>45</v>
      </c>
      <c r="B14534" t="s">
        <v>39</v>
      </c>
      <c r="C14534" t="s">
        <v>37</v>
      </c>
      <c r="D14534" t="s">
        <v>15</v>
      </c>
      <c r="E14534" t="s">
        <v>21</v>
      </c>
      <c r="F14534" t="s">
        <v>18</v>
      </c>
      <c r="G14534" s="2">
        <f>VALUE(1959.72)</f>
        <v>1959.72</v>
      </c>
      <c r="H14534" s="3">
        <f>VALUE(1909.55)</f>
        <v>1909.55</v>
      </c>
      <c r="I14534" s="4">
        <f>VALUE(5303)</f>
        <v>5303</v>
      </c>
      <c r="J14534" s="5">
        <f>VALUE(6389)</f>
        <v>6389</v>
      </c>
      <c r="K14534" s="1">
        <f>VALUE(8004)</f>
        <v>8004</v>
      </c>
      <c r="L14534" s="1">
        <f>VALUE(9686)</f>
        <v>9686</v>
      </c>
      <c r="M14534" s="8">
        <f>VALUE(12116)</f>
        <v>12116</v>
      </c>
      <c r="N14534" t="s">
        <v>25</v>
      </c>
    </row>
    <row r="14535" spans="1:14" x14ac:dyDescent="0.25">
      <c r="A14535" t="s">
        <v>45</v>
      </c>
      <c r="B14535" t="s">
        <v>39</v>
      </c>
      <c r="C14535" t="s">
        <v>37</v>
      </c>
      <c r="D14535" t="s">
        <v>15</v>
      </c>
      <c r="E14535" t="s">
        <v>21</v>
      </c>
      <c r="F14535" t="s">
        <v>19</v>
      </c>
      <c r="G14535" s="2">
        <f>VALUE(1219.99)</f>
        <v>1219.99</v>
      </c>
      <c r="H14535" s="3">
        <f>VALUE(1197.68)</f>
        <v>1197.68</v>
      </c>
      <c r="I14535" s="4">
        <f>VALUE(4621)</f>
        <v>4621</v>
      </c>
      <c r="J14535" s="1">
        <f>VALUE(5661)</f>
        <v>5661</v>
      </c>
      <c r="K14535" s="1">
        <f>VALUE(7004)</f>
        <v>7004</v>
      </c>
      <c r="L14535" s="1">
        <f>VALUE(8996)</f>
        <v>8996</v>
      </c>
      <c r="M14535" s="8">
        <f>VALUE(11905)</f>
        <v>11905</v>
      </c>
      <c r="N14535" t="s">
        <v>25</v>
      </c>
    </row>
    <row r="14536" spans="1:14" x14ac:dyDescent="0.25">
      <c r="A14536" t="s">
        <v>45</v>
      </c>
      <c r="B14536" t="s">
        <v>39</v>
      </c>
      <c r="C14536" t="s">
        <v>37</v>
      </c>
      <c r="D14536" t="s">
        <v>15</v>
      </c>
      <c r="E14536" t="s">
        <v>21</v>
      </c>
      <c r="F14536" t="s">
        <v>20</v>
      </c>
      <c r="G14536" s="1">
        <f>VALUE(3343.85)</f>
        <v>3343.85</v>
      </c>
      <c r="H14536" s="1">
        <f>VALUE(3172.45)</f>
        <v>3172.45</v>
      </c>
      <c r="I14536" s="1">
        <f>VALUE(3900)</f>
        <v>3900</v>
      </c>
      <c r="J14536" s="1">
        <f>VALUE(4694)</f>
        <v>4694</v>
      </c>
      <c r="K14536" s="1">
        <f>VALUE(6190)</f>
        <v>6190</v>
      </c>
      <c r="L14536" s="1">
        <f>VALUE(8055)</f>
        <v>8055</v>
      </c>
      <c r="M14536" s="1">
        <f>VALUE(9984)</f>
        <v>9984</v>
      </c>
      <c r="N14536" t="s">
        <v>16</v>
      </c>
    </row>
    <row r="14537" spans="1:14" x14ac:dyDescent="0.25">
      <c r="A14537" t="s">
        <v>45</v>
      </c>
      <c r="B14537" t="s">
        <v>39</v>
      </c>
      <c r="C14537" t="s">
        <v>37</v>
      </c>
      <c r="D14537" t="s">
        <v>15</v>
      </c>
      <c r="E14537" t="s">
        <v>22</v>
      </c>
      <c r="F14537" t="s">
        <v>15</v>
      </c>
      <c r="G14537" s="1">
        <f>VALUE(12907.41)</f>
        <v>12907.41</v>
      </c>
      <c r="H14537" s="1">
        <f>VALUE(12871.73)</f>
        <v>12871.73</v>
      </c>
      <c r="I14537" s="1">
        <f>VALUE(3953)</f>
        <v>3953</v>
      </c>
      <c r="J14537" s="1">
        <f>VALUE(4699)</f>
        <v>4699</v>
      </c>
      <c r="K14537" s="1">
        <f>VALUE(5572)</f>
        <v>5572</v>
      </c>
      <c r="L14537" s="1">
        <f>VALUE(6621)</f>
        <v>6621</v>
      </c>
      <c r="M14537" s="1">
        <f>VALUE(8332)</f>
        <v>8332</v>
      </c>
      <c r="N14537" t="s">
        <v>16</v>
      </c>
    </row>
    <row r="14538" spans="1:14" x14ac:dyDescent="0.25">
      <c r="A14538" t="s">
        <v>45</v>
      </c>
      <c r="B14538" t="s">
        <v>39</v>
      </c>
      <c r="C14538" t="s">
        <v>37</v>
      </c>
      <c r="D14538" t="s">
        <v>15</v>
      </c>
      <c r="E14538" t="s">
        <v>22</v>
      </c>
      <c r="F14538" t="s">
        <v>17</v>
      </c>
      <c r="G14538" s="2">
        <f>VALUE(1501.81)</f>
        <v>1501.81</v>
      </c>
      <c r="H14538" s="3">
        <f>VALUE(1519.98)</f>
        <v>1519.98</v>
      </c>
      <c r="I14538" s="4">
        <f>VALUE(4620)</f>
        <v>4620</v>
      </c>
      <c r="J14538" s="1">
        <f>VALUE(5833)</f>
        <v>5833</v>
      </c>
      <c r="K14538" s="6">
        <f>VALUE(7222)</f>
        <v>7222</v>
      </c>
      <c r="L14538" s="1">
        <f>VALUE(10553)</f>
        <v>10553</v>
      </c>
      <c r="M14538" s="8">
        <f>VALUE(14648)</f>
        <v>14648</v>
      </c>
      <c r="N14538" t="s">
        <v>25</v>
      </c>
    </row>
    <row r="14539" spans="1:14" x14ac:dyDescent="0.25">
      <c r="A14539" t="s">
        <v>45</v>
      </c>
      <c r="B14539" t="s">
        <v>39</v>
      </c>
      <c r="C14539" t="s">
        <v>37</v>
      </c>
      <c r="D14539" t="s">
        <v>15</v>
      </c>
      <c r="E14539" t="s">
        <v>22</v>
      </c>
      <c r="F14539" t="s">
        <v>18</v>
      </c>
      <c r="G14539" s="2">
        <f>VALUE(1568.62)</f>
        <v>1568.62</v>
      </c>
      <c r="H14539" s="3">
        <f>VALUE(1515.4)</f>
        <v>1515.4</v>
      </c>
      <c r="I14539" s="1">
        <f>VALUE(4782)</f>
        <v>4782</v>
      </c>
      <c r="J14539" s="1">
        <f>VALUE(5457)</f>
        <v>5457</v>
      </c>
      <c r="K14539" s="1">
        <f>VALUE(5611)</f>
        <v>5611</v>
      </c>
      <c r="L14539" s="1">
        <f>VALUE(7096)</f>
        <v>7096</v>
      </c>
      <c r="M14539" s="1">
        <f>VALUE(9194)</f>
        <v>9194</v>
      </c>
      <c r="N14539" t="s">
        <v>25</v>
      </c>
    </row>
    <row r="14540" spans="1:14" x14ac:dyDescent="0.25">
      <c r="A14540" t="s">
        <v>45</v>
      </c>
      <c r="B14540" t="s">
        <v>39</v>
      </c>
      <c r="C14540" t="s">
        <v>37</v>
      </c>
      <c r="D14540" t="s">
        <v>15</v>
      </c>
      <c r="E14540" t="s">
        <v>22</v>
      </c>
      <c r="F14540" t="s">
        <v>19</v>
      </c>
      <c r="G14540" s="2">
        <f>VALUE(2056.9)</f>
        <v>2056.9</v>
      </c>
      <c r="H14540" s="3">
        <f>VALUE(2084.21)</f>
        <v>2084.21</v>
      </c>
      <c r="I14540" s="1">
        <f>VALUE(4345)</f>
        <v>4345</v>
      </c>
      <c r="J14540" s="1">
        <f>VALUE(4922)</f>
        <v>4922</v>
      </c>
      <c r="K14540" s="1">
        <f>VALUE(5962)</f>
        <v>5962</v>
      </c>
      <c r="L14540" s="1">
        <f>VALUE(6585)</f>
        <v>6585</v>
      </c>
      <c r="M14540" s="8">
        <f>VALUE(7938)</f>
        <v>7938</v>
      </c>
      <c r="N14540" t="s">
        <v>25</v>
      </c>
    </row>
    <row r="14541" spans="1:14" x14ac:dyDescent="0.25">
      <c r="A14541" t="s">
        <v>45</v>
      </c>
      <c r="B14541" t="s">
        <v>39</v>
      </c>
      <c r="C14541" t="s">
        <v>37</v>
      </c>
      <c r="D14541" t="s">
        <v>15</v>
      </c>
      <c r="E14541" t="s">
        <v>22</v>
      </c>
      <c r="F14541" t="s">
        <v>20</v>
      </c>
      <c r="G14541" s="1">
        <f>VALUE(7780.08)</f>
        <v>7780.08</v>
      </c>
      <c r="H14541" s="1">
        <f>VALUE(7752.14)</f>
        <v>7752.14</v>
      </c>
      <c r="I14541" s="1">
        <f>VALUE(3745)</f>
        <v>3745</v>
      </c>
      <c r="J14541" s="1">
        <f>VALUE(4439)</f>
        <v>4439</v>
      </c>
      <c r="K14541" s="1">
        <f>VALUE(5235)</f>
        <v>5235</v>
      </c>
      <c r="L14541" s="1">
        <f>VALUE(6133)</f>
        <v>6133</v>
      </c>
      <c r="M14541" s="1">
        <f>VALUE(7196)</f>
        <v>7196</v>
      </c>
      <c r="N14541" t="s">
        <v>16</v>
      </c>
    </row>
    <row r="14542" spans="1:14" x14ac:dyDescent="0.25">
      <c r="A14542" t="s">
        <v>45</v>
      </c>
      <c r="B14542" t="s">
        <v>39</v>
      </c>
      <c r="C14542" t="s">
        <v>37</v>
      </c>
      <c r="D14542" t="s">
        <v>15</v>
      </c>
      <c r="E14542" t="s">
        <v>23</v>
      </c>
      <c r="F14542" t="s">
        <v>15</v>
      </c>
      <c r="G14542" s="1">
        <f>VALUE(9115.97)</f>
        <v>9115.9699999999993</v>
      </c>
      <c r="H14542" s="1">
        <f>VALUE(8897.83)</f>
        <v>8897.83</v>
      </c>
      <c r="I14542" s="1">
        <f>VALUE(3422)</f>
        <v>3422</v>
      </c>
      <c r="J14542" s="1">
        <f>VALUE(3900)</f>
        <v>3900</v>
      </c>
      <c r="K14542" s="1">
        <f>VALUE(4583)</f>
        <v>4583</v>
      </c>
      <c r="L14542" s="1">
        <f>VALUE(5521)</f>
        <v>5521</v>
      </c>
      <c r="M14542" s="1">
        <f>VALUE(6347)</f>
        <v>6347</v>
      </c>
      <c r="N14542" t="s">
        <v>16</v>
      </c>
    </row>
    <row r="14543" spans="1:14" x14ac:dyDescent="0.25">
      <c r="A14543" t="s">
        <v>45</v>
      </c>
      <c r="B14543" t="s">
        <v>39</v>
      </c>
      <c r="C14543" t="s">
        <v>37</v>
      </c>
      <c r="D14543" t="s">
        <v>15</v>
      </c>
      <c r="E14543" t="s">
        <v>23</v>
      </c>
      <c r="F14543" t="s">
        <v>17</v>
      </c>
      <c r="G14543" s="1" t="str">
        <f t="shared" ref="G14543:M14543" si="3345">"X"</f>
        <v>X</v>
      </c>
      <c r="H14543" s="1" t="str">
        <f t="shared" si="3345"/>
        <v>X</v>
      </c>
      <c r="I14543" s="1" t="str">
        <f t="shared" si="3345"/>
        <v>X</v>
      </c>
      <c r="J14543" s="1" t="str">
        <f t="shared" si="3345"/>
        <v>X</v>
      </c>
      <c r="K14543" s="1" t="str">
        <f t="shared" si="3345"/>
        <v>X</v>
      </c>
      <c r="L14543" s="1" t="str">
        <f t="shared" si="3345"/>
        <v>X</v>
      </c>
      <c r="M14543" s="1" t="str">
        <f t="shared" si="3345"/>
        <v>X</v>
      </c>
      <c r="N14543" t="s">
        <v>27</v>
      </c>
    </row>
    <row r="14544" spans="1:14" x14ac:dyDescent="0.25">
      <c r="A14544" t="s">
        <v>45</v>
      </c>
      <c r="B14544" t="s">
        <v>39</v>
      </c>
      <c r="C14544" t="s">
        <v>37</v>
      </c>
      <c r="D14544" t="s">
        <v>15</v>
      </c>
      <c r="E14544" t="s">
        <v>23</v>
      </c>
      <c r="F14544" t="s">
        <v>18</v>
      </c>
      <c r="G14544" s="2">
        <f>VALUE(211.69)</f>
        <v>211.69</v>
      </c>
      <c r="H14544" s="3">
        <f>VALUE(209.05)</f>
        <v>209.05</v>
      </c>
      <c r="I14544" s="1">
        <f>VALUE(3729)</f>
        <v>3729</v>
      </c>
      <c r="J14544" s="1">
        <f>VALUE(4167)</f>
        <v>4167</v>
      </c>
      <c r="K14544" s="1">
        <f>VALUE(5012)</f>
        <v>5012</v>
      </c>
      <c r="L14544" s="1">
        <f>VALUE(6401)</f>
        <v>6401</v>
      </c>
      <c r="M14544" s="8">
        <f>VALUE(7767)</f>
        <v>7767</v>
      </c>
      <c r="N14544" t="s">
        <v>25</v>
      </c>
    </row>
    <row r="14545" spans="1:14" x14ac:dyDescent="0.25">
      <c r="A14545" t="s">
        <v>45</v>
      </c>
      <c r="B14545" t="s">
        <v>39</v>
      </c>
      <c r="C14545" t="s">
        <v>37</v>
      </c>
      <c r="D14545" t="s">
        <v>15</v>
      </c>
      <c r="E14545" t="s">
        <v>23</v>
      </c>
      <c r="F14545" t="s">
        <v>19</v>
      </c>
      <c r="G14545" s="2">
        <f>VALUE(578.3)</f>
        <v>578.29999999999995</v>
      </c>
      <c r="H14545" s="3">
        <f>VALUE(600.62)</f>
        <v>600.62</v>
      </c>
      <c r="I14545" s="1">
        <f>VALUE(3786)</f>
        <v>3786</v>
      </c>
      <c r="J14545" s="1">
        <f>VALUE(4163)</f>
        <v>4163</v>
      </c>
      <c r="K14545" s="1">
        <f>VALUE(4754)</f>
        <v>4754</v>
      </c>
      <c r="L14545" s="1">
        <f>VALUE(5453)</f>
        <v>5453</v>
      </c>
      <c r="M14545" s="1">
        <f>VALUE(6343)</f>
        <v>6343</v>
      </c>
      <c r="N14545" t="s">
        <v>25</v>
      </c>
    </row>
    <row r="14546" spans="1:14" x14ac:dyDescent="0.25">
      <c r="A14546" t="s">
        <v>45</v>
      </c>
      <c r="B14546" t="s">
        <v>39</v>
      </c>
      <c r="C14546" t="s">
        <v>37</v>
      </c>
      <c r="D14546" t="s">
        <v>15</v>
      </c>
      <c r="E14546" t="s">
        <v>23</v>
      </c>
      <c r="F14546" t="s">
        <v>20</v>
      </c>
      <c r="G14546" s="1">
        <f>VALUE(8024.51)</f>
        <v>8024.51</v>
      </c>
      <c r="H14546" s="1">
        <f>VALUE(7782.59)</f>
        <v>7782.59</v>
      </c>
      <c r="I14546" s="1">
        <f>VALUE(3399)</f>
        <v>3399</v>
      </c>
      <c r="J14546" s="1">
        <f>VALUE(3818)</f>
        <v>3818</v>
      </c>
      <c r="K14546" s="1">
        <f>VALUE(4563)</f>
        <v>4563</v>
      </c>
      <c r="L14546" s="1">
        <f>VALUE(5480)</f>
        <v>5480</v>
      </c>
      <c r="M14546" s="1">
        <f>VALUE(6216)</f>
        <v>6216</v>
      </c>
      <c r="N14546" t="s">
        <v>16</v>
      </c>
    </row>
    <row r="14547" spans="1:14" x14ac:dyDescent="0.25">
      <c r="A14547" t="s">
        <v>45</v>
      </c>
      <c r="B14547" t="s">
        <v>39</v>
      </c>
      <c r="C14547" t="s">
        <v>37</v>
      </c>
      <c r="D14547" t="s">
        <v>15</v>
      </c>
      <c r="E14547" t="s">
        <v>26</v>
      </c>
      <c r="F14547" t="s">
        <v>15</v>
      </c>
      <c r="G14547" s="2">
        <f>VALUE(260.84)</f>
        <v>260.83999999999997</v>
      </c>
      <c r="H14547" s="3">
        <f>VALUE(260.37)</f>
        <v>260.37</v>
      </c>
      <c r="I14547" s="1">
        <f>VALUE(3733)</f>
        <v>3733</v>
      </c>
      <c r="J14547" s="1">
        <f>VALUE(4715)</f>
        <v>4715</v>
      </c>
      <c r="K14547" s="1">
        <f>VALUE(7255)</f>
        <v>7255</v>
      </c>
      <c r="L14547" s="1">
        <f>VALUE(9188)</f>
        <v>9188</v>
      </c>
      <c r="M14547" s="1">
        <f>VALUE(12187)</f>
        <v>12187</v>
      </c>
      <c r="N14547" t="s">
        <v>25</v>
      </c>
    </row>
    <row r="14548" spans="1:14" x14ac:dyDescent="0.25">
      <c r="A14548" t="s">
        <v>45</v>
      </c>
      <c r="B14548" t="s">
        <v>39</v>
      </c>
      <c r="C14548" t="s">
        <v>37</v>
      </c>
      <c r="D14548" t="s">
        <v>15</v>
      </c>
      <c r="E14548" t="s">
        <v>26</v>
      </c>
      <c r="F14548" t="s">
        <v>17</v>
      </c>
      <c r="G14548" s="1" t="str">
        <f t="shared" ref="G14548:M14550" si="3346">"X"</f>
        <v>X</v>
      </c>
      <c r="H14548" s="1" t="str">
        <f t="shared" si="3346"/>
        <v>X</v>
      </c>
      <c r="I14548" s="1" t="str">
        <f t="shared" si="3346"/>
        <v>X</v>
      </c>
      <c r="J14548" s="1" t="str">
        <f t="shared" si="3346"/>
        <v>X</v>
      </c>
      <c r="K14548" s="1" t="str">
        <f t="shared" si="3346"/>
        <v>X</v>
      </c>
      <c r="L14548" s="1" t="str">
        <f t="shared" si="3346"/>
        <v>X</v>
      </c>
      <c r="M14548" s="1" t="str">
        <f t="shared" si="3346"/>
        <v>X</v>
      </c>
      <c r="N14548" t="s">
        <v>27</v>
      </c>
    </row>
    <row r="14549" spans="1:14" x14ac:dyDescent="0.25">
      <c r="A14549" t="s">
        <v>45</v>
      </c>
      <c r="B14549" t="s">
        <v>39</v>
      </c>
      <c r="C14549" t="s">
        <v>37</v>
      </c>
      <c r="D14549" t="s">
        <v>15</v>
      </c>
      <c r="E14549" t="s">
        <v>26</v>
      </c>
      <c r="F14549" t="s">
        <v>18</v>
      </c>
      <c r="G14549" s="1" t="str">
        <f t="shared" si="3346"/>
        <v>X</v>
      </c>
      <c r="H14549" s="1" t="str">
        <f t="shared" si="3346"/>
        <v>X</v>
      </c>
      <c r="I14549" s="1" t="str">
        <f t="shared" si="3346"/>
        <v>X</v>
      </c>
      <c r="J14549" s="1" t="str">
        <f t="shared" si="3346"/>
        <v>X</v>
      </c>
      <c r="K14549" s="1" t="str">
        <f t="shared" si="3346"/>
        <v>X</v>
      </c>
      <c r="L14549" s="1" t="str">
        <f t="shared" si="3346"/>
        <v>X</v>
      </c>
      <c r="M14549" s="1" t="str">
        <f t="shared" si="3346"/>
        <v>X</v>
      </c>
      <c r="N14549" t="s">
        <v>27</v>
      </c>
    </row>
    <row r="14550" spans="1:14" x14ac:dyDescent="0.25">
      <c r="A14550" t="s">
        <v>45</v>
      </c>
      <c r="B14550" t="s">
        <v>39</v>
      </c>
      <c r="C14550" t="s">
        <v>37</v>
      </c>
      <c r="D14550" t="s">
        <v>15</v>
      </c>
      <c r="E14550" t="s">
        <v>26</v>
      </c>
      <c r="F14550" t="s">
        <v>19</v>
      </c>
      <c r="G14550" s="1" t="str">
        <f t="shared" si="3346"/>
        <v>X</v>
      </c>
      <c r="H14550" s="1" t="str">
        <f t="shared" si="3346"/>
        <v>X</v>
      </c>
      <c r="I14550" s="1" t="str">
        <f t="shared" si="3346"/>
        <v>X</v>
      </c>
      <c r="J14550" s="1" t="str">
        <f t="shared" si="3346"/>
        <v>X</v>
      </c>
      <c r="K14550" s="1" t="str">
        <f t="shared" si="3346"/>
        <v>X</v>
      </c>
      <c r="L14550" s="1" t="str">
        <f t="shared" si="3346"/>
        <v>X</v>
      </c>
      <c r="M14550" s="1" t="str">
        <f t="shared" si="3346"/>
        <v>X</v>
      </c>
      <c r="N14550" t="s">
        <v>27</v>
      </c>
    </row>
    <row r="14551" spans="1:14" x14ac:dyDescent="0.25">
      <c r="A14551" t="s">
        <v>45</v>
      </c>
      <c r="B14551" t="s">
        <v>39</v>
      </c>
      <c r="C14551" t="s">
        <v>37</v>
      </c>
      <c r="D14551" t="s">
        <v>15</v>
      </c>
      <c r="E14551" t="s">
        <v>26</v>
      </c>
      <c r="F14551" t="s">
        <v>20</v>
      </c>
      <c r="G14551" s="2">
        <f>VALUE(181.28)</f>
        <v>181.28</v>
      </c>
      <c r="H14551" s="3">
        <f>VALUE(179.32)</f>
        <v>179.32</v>
      </c>
      <c r="I14551" s="1">
        <f>VALUE(3511)</f>
        <v>3511</v>
      </c>
      <c r="J14551" s="1">
        <f>VALUE(4067)</f>
        <v>4067</v>
      </c>
      <c r="K14551" s="1">
        <f>VALUE(5555)</f>
        <v>5555</v>
      </c>
      <c r="L14551" s="1">
        <f>VALUE(8441)</f>
        <v>8441</v>
      </c>
      <c r="M14551" s="1">
        <f>VALUE(11862)</f>
        <v>11862</v>
      </c>
      <c r="N14551" t="s">
        <v>25</v>
      </c>
    </row>
    <row r="14552" spans="1:14" x14ac:dyDescent="0.25">
      <c r="A14552" t="s">
        <v>45</v>
      </c>
      <c r="B14552" t="s">
        <v>39</v>
      </c>
      <c r="C14552" t="s">
        <v>37</v>
      </c>
      <c r="D14552" t="s">
        <v>28</v>
      </c>
      <c r="E14552" t="s">
        <v>15</v>
      </c>
      <c r="F14552" t="s">
        <v>15</v>
      </c>
      <c r="G14552" s="1">
        <f>VALUE(9873.9)</f>
        <v>9873.9</v>
      </c>
      <c r="H14552" s="1">
        <f>VALUE(9644.29)</f>
        <v>9644.2900000000009</v>
      </c>
      <c r="I14552" s="1">
        <f>VALUE(4605)</f>
        <v>4605</v>
      </c>
      <c r="J14552" s="1">
        <f>VALUE(5540)</f>
        <v>5540</v>
      </c>
      <c r="K14552" s="1">
        <f>VALUE(6818)</f>
        <v>6818</v>
      </c>
      <c r="L14552" s="1">
        <f>VALUE(9010)</f>
        <v>9010</v>
      </c>
      <c r="M14552" s="1">
        <f>VALUE(12707)</f>
        <v>12707</v>
      </c>
      <c r="N14552" t="s">
        <v>16</v>
      </c>
    </row>
    <row r="14553" spans="1:14" x14ac:dyDescent="0.25">
      <c r="A14553" t="s">
        <v>45</v>
      </c>
      <c r="B14553" t="s">
        <v>39</v>
      </c>
      <c r="C14553" t="s">
        <v>37</v>
      </c>
      <c r="D14553" t="s">
        <v>28</v>
      </c>
      <c r="E14553" t="s">
        <v>15</v>
      </c>
      <c r="F14553" t="s">
        <v>17</v>
      </c>
      <c r="G14553" s="2">
        <f>VALUE(2906.85)</f>
        <v>2906.85</v>
      </c>
      <c r="H14553" s="3">
        <f>VALUE(2886.6)</f>
        <v>2886.6</v>
      </c>
      <c r="I14553" s="1">
        <f>VALUE(5682)</f>
        <v>5682</v>
      </c>
      <c r="J14553" s="1">
        <f>VALUE(7096)</f>
        <v>7096</v>
      </c>
      <c r="K14553" s="1">
        <f>VALUE(9455)</f>
        <v>9455</v>
      </c>
      <c r="L14553" s="7">
        <f>VALUE(13500)</f>
        <v>13500</v>
      </c>
      <c r="M14553" s="8">
        <f>VALUE(19360)</f>
        <v>19360</v>
      </c>
      <c r="N14553" t="s">
        <v>25</v>
      </c>
    </row>
    <row r="14554" spans="1:14" x14ac:dyDescent="0.25">
      <c r="A14554" t="s">
        <v>45</v>
      </c>
      <c r="B14554" t="s">
        <v>39</v>
      </c>
      <c r="C14554" t="s">
        <v>37</v>
      </c>
      <c r="D14554" t="s">
        <v>28</v>
      </c>
      <c r="E14554" t="s">
        <v>15</v>
      </c>
      <c r="F14554" t="s">
        <v>18</v>
      </c>
      <c r="G14554" s="2">
        <f>VALUE(1570.88)</f>
        <v>1570.88</v>
      </c>
      <c r="H14554" s="3">
        <f>VALUE(1520.9)</f>
        <v>1520.9</v>
      </c>
      <c r="I14554" s="1">
        <f>VALUE(5457)</f>
        <v>5457</v>
      </c>
      <c r="J14554" s="1">
        <f>VALUE(6175)</f>
        <v>6175</v>
      </c>
      <c r="K14554" s="1">
        <f>VALUE(8000)</f>
        <v>8000</v>
      </c>
      <c r="L14554" s="1">
        <f>VALUE(9095)</f>
        <v>9095</v>
      </c>
      <c r="M14554" s="1">
        <f>VALUE(11143)</f>
        <v>11143</v>
      </c>
      <c r="N14554" t="s">
        <v>25</v>
      </c>
    </row>
    <row r="14555" spans="1:14" x14ac:dyDescent="0.25">
      <c r="A14555" t="s">
        <v>45</v>
      </c>
      <c r="B14555" t="s">
        <v>39</v>
      </c>
      <c r="C14555" t="s">
        <v>37</v>
      </c>
      <c r="D14555" t="s">
        <v>28</v>
      </c>
      <c r="E14555" t="s">
        <v>15</v>
      </c>
      <c r="F14555" t="s">
        <v>19</v>
      </c>
      <c r="G14555" s="2">
        <f>VALUE(1339.71)</f>
        <v>1339.71</v>
      </c>
      <c r="H14555" s="3">
        <f>VALUE(1337.38)</f>
        <v>1337.38</v>
      </c>
      <c r="I14555" s="1">
        <f>VALUE(4941)</f>
        <v>4941</v>
      </c>
      <c r="J14555" s="1">
        <f>VALUE(5881)</f>
        <v>5881</v>
      </c>
      <c r="K14555" s="1">
        <f>VALUE(6381)</f>
        <v>6381</v>
      </c>
      <c r="L14555" s="1">
        <f>VALUE(7602)</f>
        <v>7602</v>
      </c>
      <c r="M14555" s="8">
        <f>VALUE(9664)</f>
        <v>9664</v>
      </c>
      <c r="N14555" t="s">
        <v>25</v>
      </c>
    </row>
    <row r="14556" spans="1:14" x14ac:dyDescent="0.25">
      <c r="A14556" t="s">
        <v>45</v>
      </c>
      <c r="B14556" t="s">
        <v>39</v>
      </c>
      <c r="C14556" t="s">
        <v>37</v>
      </c>
      <c r="D14556" t="s">
        <v>28</v>
      </c>
      <c r="E14556" t="s">
        <v>15</v>
      </c>
      <c r="F14556" t="s">
        <v>20</v>
      </c>
      <c r="G14556" s="1">
        <f>VALUE(4056.46)</f>
        <v>4056.46</v>
      </c>
      <c r="H14556" s="1">
        <f>VALUE(3899.41)</f>
        <v>3899.41</v>
      </c>
      <c r="I14556" s="1">
        <f>VALUE(4190)</f>
        <v>4190</v>
      </c>
      <c r="J14556" s="1">
        <f>VALUE(4810)</f>
        <v>4810</v>
      </c>
      <c r="K14556" s="1">
        <f>VALUE(5767)</f>
        <v>5767</v>
      </c>
      <c r="L14556" s="1">
        <f>VALUE(6927)</f>
        <v>6927</v>
      </c>
      <c r="M14556" s="1">
        <f>VALUE(8350)</f>
        <v>8350</v>
      </c>
      <c r="N14556" t="s">
        <v>16</v>
      </c>
    </row>
    <row r="14557" spans="1:14" x14ac:dyDescent="0.25">
      <c r="A14557" t="s">
        <v>45</v>
      </c>
      <c r="B14557" t="s">
        <v>39</v>
      </c>
      <c r="C14557" t="s">
        <v>37</v>
      </c>
      <c r="D14557" t="s">
        <v>28</v>
      </c>
      <c r="E14557" t="s">
        <v>21</v>
      </c>
      <c r="F14557" t="s">
        <v>15</v>
      </c>
      <c r="G14557" s="2">
        <f>VALUE(4076.99)</f>
        <v>4076.99</v>
      </c>
      <c r="H14557" s="3">
        <f>VALUE(3919.18)</f>
        <v>3919.18</v>
      </c>
      <c r="I14557" s="1">
        <f>VALUE(5524)</f>
        <v>5524</v>
      </c>
      <c r="J14557" s="1">
        <f>VALUE(7240)</f>
        <v>7240</v>
      </c>
      <c r="K14557" s="1">
        <f>VALUE(8757)</f>
        <v>8757</v>
      </c>
      <c r="L14557" s="1">
        <f>VALUE(11658)</f>
        <v>11658</v>
      </c>
      <c r="M14557" s="1">
        <f>VALUE(16583)</f>
        <v>16583</v>
      </c>
      <c r="N14557" t="s">
        <v>25</v>
      </c>
    </row>
    <row r="14558" spans="1:14" x14ac:dyDescent="0.25">
      <c r="A14558" t="s">
        <v>45</v>
      </c>
      <c r="B14558" t="s">
        <v>39</v>
      </c>
      <c r="C14558" t="s">
        <v>37</v>
      </c>
      <c r="D14558" t="s">
        <v>28</v>
      </c>
      <c r="E14558" t="s">
        <v>21</v>
      </c>
      <c r="F14558" t="s">
        <v>17</v>
      </c>
      <c r="G14558" s="2">
        <f>VALUE(1907.02)</f>
        <v>1907.02</v>
      </c>
      <c r="H14558" s="3">
        <f>VALUE(1865.85)</f>
        <v>1865.85</v>
      </c>
      <c r="I14558" s="1">
        <f>VALUE(6358)</f>
        <v>6358</v>
      </c>
      <c r="J14558" s="1">
        <f>VALUE(7581)</f>
        <v>7581</v>
      </c>
      <c r="K14558" s="1">
        <f>VALUE(10583)</f>
        <v>10583</v>
      </c>
      <c r="L14558" s="7">
        <f>VALUE(15538)</f>
        <v>15538</v>
      </c>
      <c r="M14558" s="1">
        <f>VALUE(20078)</f>
        <v>20078</v>
      </c>
      <c r="N14558" t="s">
        <v>25</v>
      </c>
    </row>
    <row r="14559" spans="1:14" x14ac:dyDescent="0.25">
      <c r="A14559" t="s">
        <v>45</v>
      </c>
      <c r="B14559" t="s">
        <v>39</v>
      </c>
      <c r="C14559" t="s">
        <v>37</v>
      </c>
      <c r="D14559" t="s">
        <v>28</v>
      </c>
      <c r="E14559" t="s">
        <v>21</v>
      </c>
      <c r="F14559" t="s">
        <v>18</v>
      </c>
      <c r="G14559" s="2">
        <f>VALUE(828.48)</f>
        <v>828.48</v>
      </c>
      <c r="H14559" s="3">
        <f>VALUE(808.18)</f>
        <v>808.18</v>
      </c>
      <c r="I14559" s="1">
        <f>VALUE(6856)</f>
        <v>6856</v>
      </c>
      <c r="J14559" s="1">
        <f>VALUE(8000)</f>
        <v>8000</v>
      </c>
      <c r="K14559" s="1">
        <f>VALUE(8889)</f>
        <v>8889</v>
      </c>
      <c r="L14559" s="1">
        <f>VALUE(9804)</f>
        <v>9804</v>
      </c>
      <c r="M14559" s="1">
        <f>VALUE(11810)</f>
        <v>11810</v>
      </c>
      <c r="N14559" t="s">
        <v>25</v>
      </c>
    </row>
    <row r="14560" spans="1:14" x14ac:dyDescent="0.25">
      <c r="A14560" t="s">
        <v>45</v>
      </c>
      <c r="B14560" t="s">
        <v>39</v>
      </c>
      <c r="C14560" t="s">
        <v>37</v>
      </c>
      <c r="D14560" t="s">
        <v>28</v>
      </c>
      <c r="E14560" t="s">
        <v>21</v>
      </c>
      <c r="F14560" t="s">
        <v>19</v>
      </c>
      <c r="G14560" s="2">
        <f>VALUE(391.51)</f>
        <v>391.51</v>
      </c>
      <c r="H14560" s="3">
        <f>VALUE(379.73)</f>
        <v>379.73</v>
      </c>
      <c r="I14560" s="1">
        <f>VALUE(5234)</f>
        <v>5234</v>
      </c>
      <c r="J14560" s="1">
        <f>VALUE(6707)</f>
        <v>6707</v>
      </c>
      <c r="K14560" s="1">
        <f>VALUE(7501)</f>
        <v>7501</v>
      </c>
      <c r="L14560" s="1">
        <f>VALUE(10000)</f>
        <v>10000</v>
      </c>
      <c r="M14560" s="8">
        <f>VALUE(14117)</f>
        <v>14117</v>
      </c>
      <c r="N14560" t="s">
        <v>25</v>
      </c>
    </row>
    <row r="14561" spans="1:14" x14ac:dyDescent="0.25">
      <c r="A14561" t="s">
        <v>45</v>
      </c>
      <c r="B14561" t="s">
        <v>39</v>
      </c>
      <c r="C14561" t="s">
        <v>37</v>
      </c>
      <c r="D14561" t="s">
        <v>28</v>
      </c>
      <c r="E14561" t="s">
        <v>21</v>
      </c>
      <c r="F14561" t="s">
        <v>20</v>
      </c>
      <c r="G14561" s="2">
        <f>VALUE(949.98)</f>
        <v>949.98</v>
      </c>
      <c r="H14561" s="3">
        <f>VALUE(865.42)</f>
        <v>865.42</v>
      </c>
      <c r="I14561" s="1">
        <f>VALUE(4362)</f>
        <v>4362</v>
      </c>
      <c r="J14561" s="1">
        <f>VALUE(5678)</f>
        <v>5678</v>
      </c>
      <c r="K14561" s="1">
        <f>VALUE(7237)</f>
        <v>7237</v>
      </c>
      <c r="L14561" s="1">
        <f>VALUE(8753)</f>
        <v>8753</v>
      </c>
      <c r="M14561" s="1">
        <f>VALUE(11395)</f>
        <v>11395</v>
      </c>
      <c r="N14561" t="s">
        <v>25</v>
      </c>
    </row>
    <row r="14562" spans="1:14" x14ac:dyDescent="0.25">
      <c r="A14562" t="s">
        <v>45</v>
      </c>
      <c r="B14562" t="s">
        <v>39</v>
      </c>
      <c r="C14562" t="s">
        <v>37</v>
      </c>
      <c r="D14562" t="s">
        <v>28</v>
      </c>
      <c r="E14562" t="s">
        <v>22</v>
      </c>
      <c r="F14562" t="s">
        <v>15</v>
      </c>
      <c r="G14562" s="2">
        <f>VALUE(4895.99)</f>
        <v>4895.99</v>
      </c>
      <c r="H14562" s="3">
        <f>VALUE(4862.64)</f>
        <v>4862.6400000000003</v>
      </c>
      <c r="I14562" s="1">
        <f>VALUE(4605)</f>
        <v>4605</v>
      </c>
      <c r="J14562" s="1">
        <f>VALUE(5413)</f>
        <v>5413</v>
      </c>
      <c r="K14562" s="1">
        <f>VALUE(6219)</f>
        <v>6219</v>
      </c>
      <c r="L14562" s="1">
        <f>VALUE(7201)</f>
        <v>7201</v>
      </c>
      <c r="M14562" s="1">
        <f>VALUE(9650)</f>
        <v>9650</v>
      </c>
      <c r="N14562" t="s">
        <v>25</v>
      </c>
    </row>
    <row r="14563" spans="1:14" x14ac:dyDescent="0.25">
      <c r="A14563" t="s">
        <v>45</v>
      </c>
      <c r="B14563" t="s">
        <v>39</v>
      </c>
      <c r="C14563" t="s">
        <v>37</v>
      </c>
      <c r="D14563" t="s">
        <v>28</v>
      </c>
      <c r="E14563" t="s">
        <v>22</v>
      </c>
      <c r="F14563" t="s">
        <v>17</v>
      </c>
      <c r="G14563" s="2">
        <f>VALUE(897.45)</f>
        <v>897.45</v>
      </c>
      <c r="H14563" s="3">
        <f>VALUE(912.96)</f>
        <v>912.96</v>
      </c>
      <c r="I14563" s="1">
        <f>VALUE(5236)</f>
        <v>5236</v>
      </c>
      <c r="J14563" s="1">
        <f>VALUE(6208)</f>
        <v>6208</v>
      </c>
      <c r="K14563" s="6">
        <f>VALUE(7584)</f>
        <v>7584</v>
      </c>
      <c r="L14563" s="1">
        <f>VALUE(10696)</f>
        <v>10696</v>
      </c>
      <c r="M14563" s="8">
        <f>VALUE(14583)</f>
        <v>14583</v>
      </c>
      <c r="N14563" t="s">
        <v>25</v>
      </c>
    </row>
    <row r="14564" spans="1:14" x14ac:dyDescent="0.25">
      <c r="A14564" t="s">
        <v>45</v>
      </c>
      <c r="B14564" t="s">
        <v>39</v>
      </c>
      <c r="C14564" t="s">
        <v>37</v>
      </c>
      <c r="D14564" t="s">
        <v>28</v>
      </c>
      <c r="E14564" t="s">
        <v>22</v>
      </c>
      <c r="F14564" t="s">
        <v>18</v>
      </c>
      <c r="G14564" s="2">
        <f>VALUE(694.87)</f>
        <v>694.87</v>
      </c>
      <c r="H14564" s="3">
        <f>VALUE(666.97)</f>
        <v>666.97</v>
      </c>
      <c r="I14564" s="1">
        <f>VALUE(5324)</f>
        <v>5324</v>
      </c>
      <c r="J14564" s="1">
        <f>VALUE(5457)</f>
        <v>5457</v>
      </c>
      <c r="K14564" s="1">
        <f>VALUE(6276)</f>
        <v>6276</v>
      </c>
      <c r="L14564" s="7">
        <f>VALUE(7984)</f>
        <v>7984</v>
      </c>
      <c r="M14564" s="1">
        <f>VALUE(10042)</f>
        <v>10042</v>
      </c>
      <c r="N14564" t="s">
        <v>25</v>
      </c>
    </row>
    <row r="14565" spans="1:14" x14ac:dyDescent="0.25">
      <c r="A14565" t="s">
        <v>45</v>
      </c>
      <c r="B14565" t="s">
        <v>39</v>
      </c>
      <c r="C14565" t="s">
        <v>37</v>
      </c>
      <c r="D14565" t="s">
        <v>28</v>
      </c>
      <c r="E14565" t="s">
        <v>22</v>
      </c>
      <c r="F14565" t="s">
        <v>19</v>
      </c>
      <c r="G14565" s="2">
        <f>VALUE(906.26)</f>
        <v>906.26</v>
      </c>
      <c r="H14565" s="3">
        <f>VALUE(914.1)</f>
        <v>914.1</v>
      </c>
      <c r="I14565" s="1">
        <f>VALUE(5159)</f>
        <v>5159</v>
      </c>
      <c r="J14565" s="1">
        <f>VALUE(5813)</f>
        <v>5813</v>
      </c>
      <c r="K14565" s="1">
        <f>VALUE(6370)</f>
        <v>6370</v>
      </c>
      <c r="L14565" s="1">
        <f>VALUE(6996)</f>
        <v>6996</v>
      </c>
      <c r="M14565" s="1">
        <f>VALUE(8941)</f>
        <v>8941</v>
      </c>
      <c r="N14565" t="s">
        <v>25</v>
      </c>
    </row>
    <row r="14566" spans="1:14" x14ac:dyDescent="0.25">
      <c r="A14566" t="s">
        <v>45</v>
      </c>
      <c r="B14566" t="s">
        <v>39</v>
      </c>
      <c r="C14566" t="s">
        <v>37</v>
      </c>
      <c r="D14566" t="s">
        <v>28</v>
      </c>
      <c r="E14566" t="s">
        <v>22</v>
      </c>
      <c r="F14566" t="s">
        <v>20</v>
      </c>
      <c r="G14566" s="1">
        <f>VALUE(2397.41)</f>
        <v>2397.41</v>
      </c>
      <c r="H14566" s="1">
        <f>VALUE(2368.61)</f>
        <v>2368.61</v>
      </c>
      <c r="I14566" s="1">
        <f>VALUE(4391)</f>
        <v>4391</v>
      </c>
      <c r="J14566" s="1">
        <f>VALUE(4907)</f>
        <v>4907</v>
      </c>
      <c r="K14566" s="1">
        <f>VALUE(5742)</f>
        <v>5742</v>
      </c>
      <c r="L14566" s="1">
        <f>VALUE(6657)</f>
        <v>6657</v>
      </c>
      <c r="M14566" s="1">
        <f>VALUE(7656)</f>
        <v>7656</v>
      </c>
      <c r="N14566" t="s">
        <v>16</v>
      </c>
    </row>
    <row r="14567" spans="1:14" x14ac:dyDescent="0.25">
      <c r="A14567" t="s">
        <v>45</v>
      </c>
      <c r="B14567" t="s">
        <v>39</v>
      </c>
      <c r="C14567" t="s">
        <v>37</v>
      </c>
      <c r="D14567" t="s">
        <v>28</v>
      </c>
      <c r="E14567" t="s">
        <v>23</v>
      </c>
      <c r="F14567" t="s">
        <v>15</v>
      </c>
      <c r="G14567" s="2">
        <f>VALUE(838.71)</f>
        <v>838.71</v>
      </c>
      <c r="H14567" s="3">
        <f>VALUE(800.75)</f>
        <v>800.75</v>
      </c>
      <c r="I14567" s="1">
        <f>VALUE(3748)</f>
        <v>3748</v>
      </c>
      <c r="J14567" s="1">
        <f>VALUE(4382)</f>
        <v>4382</v>
      </c>
      <c r="K14567" s="1">
        <f>VALUE(5335)</f>
        <v>5335</v>
      </c>
      <c r="L14567" s="1">
        <f>VALUE(5825)</f>
        <v>5825</v>
      </c>
      <c r="M14567" s="8">
        <f>VALUE(7084)</f>
        <v>7084</v>
      </c>
      <c r="N14567" t="s">
        <v>25</v>
      </c>
    </row>
    <row r="14568" spans="1:14" x14ac:dyDescent="0.25">
      <c r="A14568" t="s">
        <v>45</v>
      </c>
      <c r="B14568" t="s">
        <v>39</v>
      </c>
      <c r="C14568" t="s">
        <v>37</v>
      </c>
      <c r="D14568" t="s">
        <v>28</v>
      </c>
      <c r="E14568" t="s">
        <v>23</v>
      </c>
      <c r="F14568" t="s">
        <v>17</v>
      </c>
      <c r="G14568" s="1" t="str">
        <f t="shared" ref="G14568:M14570" si="3347">"X"</f>
        <v>X</v>
      </c>
      <c r="H14568" s="1" t="str">
        <f t="shared" si="3347"/>
        <v>X</v>
      </c>
      <c r="I14568" s="1" t="str">
        <f t="shared" si="3347"/>
        <v>X</v>
      </c>
      <c r="J14568" s="1" t="str">
        <f t="shared" si="3347"/>
        <v>X</v>
      </c>
      <c r="K14568" s="1" t="str">
        <f t="shared" si="3347"/>
        <v>X</v>
      </c>
      <c r="L14568" s="1" t="str">
        <f t="shared" si="3347"/>
        <v>X</v>
      </c>
      <c r="M14568" s="1" t="str">
        <f t="shared" si="3347"/>
        <v>X</v>
      </c>
      <c r="N14568" t="s">
        <v>27</v>
      </c>
    </row>
    <row r="14569" spans="1:14" x14ac:dyDescent="0.25">
      <c r="A14569" t="s">
        <v>45</v>
      </c>
      <c r="B14569" t="s">
        <v>39</v>
      </c>
      <c r="C14569" t="s">
        <v>37</v>
      </c>
      <c r="D14569" t="s">
        <v>28</v>
      </c>
      <c r="E14569" t="s">
        <v>23</v>
      </c>
      <c r="F14569" t="s">
        <v>18</v>
      </c>
      <c r="G14569" s="1" t="str">
        <f t="shared" si="3347"/>
        <v>X</v>
      </c>
      <c r="H14569" s="1" t="str">
        <f t="shared" si="3347"/>
        <v>X</v>
      </c>
      <c r="I14569" s="1" t="str">
        <f t="shared" si="3347"/>
        <v>X</v>
      </c>
      <c r="J14569" s="1" t="str">
        <f t="shared" si="3347"/>
        <v>X</v>
      </c>
      <c r="K14569" s="1" t="str">
        <f t="shared" si="3347"/>
        <v>X</v>
      </c>
      <c r="L14569" s="1" t="str">
        <f t="shared" si="3347"/>
        <v>X</v>
      </c>
      <c r="M14569" s="1" t="str">
        <f t="shared" si="3347"/>
        <v>X</v>
      </c>
      <c r="N14569" t="s">
        <v>27</v>
      </c>
    </row>
    <row r="14570" spans="1:14" x14ac:dyDescent="0.25">
      <c r="A14570" t="s">
        <v>45</v>
      </c>
      <c r="B14570" t="s">
        <v>39</v>
      </c>
      <c r="C14570" t="s">
        <v>37</v>
      </c>
      <c r="D14570" t="s">
        <v>28</v>
      </c>
      <c r="E14570" t="s">
        <v>23</v>
      </c>
      <c r="F14570" t="s">
        <v>19</v>
      </c>
      <c r="G14570" s="1" t="str">
        <f t="shared" si="3347"/>
        <v>X</v>
      </c>
      <c r="H14570" s="1" t="str">
        <f t="shared" si="3347"/>
        <v>X</v>
      </c>
      <c r="I14570" s="1" t="str">
        <f t="shared" si="3347"/>
        <v>X</v>
      </c>
      <c r="J14570" s="1" t="str">
        <f t="shared" si="3347"/>
        <v>X</v>
      </c>
      <c r="K14570" s="1" t="str">
        <f t="shared" si="3347"/>
        <v>X</v>
      </c>
      <c r="L14570" s="1" t="str">
        <f t="shared" si="3347"/>
        <v>X</v>
      </c>
      <c r="M14570" s="1" t="str">
        <f t="shared" si="3347"/>
        <v>X</v>
      </c>
      <c r="N14570" t="s">
        <v>27</v>
      </c>
    </row>
    <row r="14571" spans="1:14" x14ac:dyDescent="0.25">
      <c r="A14571" t="s">
        <v>45</v>
      </c>
      <c r="B14571" t="s">
        <v>39</v>
      </c>
      <c r="C14571" t="s">
        <v>37</v>
      </c>
      <c r="D14571" t="s">
        <v>28</v>
      </c>
      <c r="E14571" t="s">
        <v>23</v>
      </c>
      <c r="F14571" t="s">
        <v>20</v>
      </c>
      <c r="G14571" s="2">
        <f>VALUE(666.25)</f>
        <v>666.25</v>
      </c>
      <c r="H14571" s="3">
        <f>VALUE(623.82)</f>
        <v>623.82000000000005</v>
      </c>
      <c r="I14571" s="1">
        <f>VALUE(3683)</f>
        <v>3683</v>
      </c>
      <c r="J14571" s="1">
        <f>VALUE(4260)</f>
        <v>4260</v>
      </c>
      <c r="K14571" s="1">
        <f>VALUE(4983)</f>
        <v>4983</v>
      </c>
      <c r="L14571" s="1">
        <f>VALUE(5542)</f>
        <v>5542</v>
      </c>
      <c r="M14571" s="1">
        <f>VALUE(6307)</f>
        <v>6307</v>
      </c>
      <c r="N14571" t="s">
        <v>25</v>
      </c>
    </row>
    <row r="14572" spans="1:14" x14ac:dyDescent="0.25">
      <c r="A14572" t="s">
        <v>45</v>
      </c>
      <c r="B14572" t="s">
        <v>39</v>
      </c>
      <c r="C14572" t="s">
        <v>37</v>
      </c>
      <c r="D14572" t="s">
        <v>28</v>
      </c>
      <c r="E14572" t="s">
        <v>26</v>
      </c>
      <c r="F14572" t="s">
        <v>15</v>
      </c>
      <c r="G14572" s="1" t="str">
        <f t="shared" ref="G14572:M14574" si="3348">"X"</f>
        <v>X</v>
      </c>
      <c r="H14572" s="1" t="str">
        <f t="shared" si="3348"/>
        <v>X</v>
      </c>
      <c r="I14572" s="1" t="str">
        <f t="shared" si="3348"/>
        <v>X</v>
      </c>
      <c r="J14572" s="1" t="str">
        <f t="shared" si="3348"/>
        <v>X</v>
      </c>
      <c r="K14572" s="1" t="str">
        <f t="shared" si="3348"/>
        <v>X</v>
      </c>
      <c r="L14572" s="1" t="str">
        <f t="shared" si="3348"/>
        <v>X</v>
      </c>
      <c r="M14572" s="1" t="str">
        <f t="shared" si="3348"/>
        <v>X</v>
      </c>
      <c r="N14572" t="s">
        <v>27</v>
      </c>
    </row>
    <row r="14573" spans="1:14" x14ac:dyDescent="0.25">
      <c r="A14573" t="s">
        <v>45</v>
      </c>
      <c r="B14573" t="s">
        <v>39</v>
      </c>
      <c r="C14573" t="s">
        <v>37</v>
      </c>
      <c r="D14573" t="s">
        <v>28</v>
      </c>
      <c r="E14573" t="s">
        <v>26</v>
      </c>
      <c r="F14573" t="s">
        <v>17</v>
      </c>
      <c r="G14573" s="1" t="str">
        <f t="shared" si="3348"/>
        <v>X</v>
      </c>
      <c r="H14573" s="1" t="str">
        <f t="shared" si="3348"/>
        <v>X</v>
      </c>
      <c r="I14573" s="1" t="str">
        <f t="shared" si="3348"/>
        <v>X</v>
      </c>
      <c r="J14573" s="1" t="str">
        <f t="shared" si="3348"/>
        <v>X</v>
      </c>
      <c r="K14573" s="1" t="str">
        <f t="shared" si="3348"/>
        <v>X</v>
      </c>
      <c r="L14573" s="1" t="str">
        <f t="shared" si="3348"/>
        <v>X</v>
      </c>
      <c r="M14573" s="1" t="str">
        <f t="shared" si="3348"/>
        <v>X</v>
      </c>
      <c r="N14573" t="s">
        <v>27</v>
      </c>
    </row>
    <row r="14574" spans="1:14" x14ac:dyDescent="0.25">
      <c r="A14574" t="s">
        <v>45</v>
      </c>
      <c r="B14574" t="s">
        <v>39</v>
      </c>
      <c r="C14574" t="s">
        <v>37</v>
      </c>
      <c r="D14574" t="s">
        <v>28</v>
      </c>
      <c r="E14574" t="s">
        <v>26</v>
      </c>
      <c r="F14574" t="s">
        <v>18</v>
      </c>
      <c r="G14574" s="1" t="str">
        <f t="shared" si="3348"/>
        <v>X</v>
      </c>
      <c r="H14574" s="1" t="str">
        <f t="shared" si="3348"/>
        <v>X</v>
      </c>
      <c r="I14574" s="1" t="str">
        <f t="shared" si="3348"/>
        <v>X</v>
      </c>
      <c r="J14574" s="1" t="str">
        <f t="shared" si="3348"/>
        <v>X</v>
      </c>
      <c r="K14574" s="1" t="str">
        <f t="shared" si="3348"/>
        <v>X</v>
      </c>
      <c r="L14574" s="1" t="str">
        <f t="shared" si="3348"/>
        <v>X</v>
      </c>
      <c r="M14574" s="1" t="str">
        <f t="shared" si="3348"/>
        <v>X</v>
      </c>
      <c r="N14574" t="s">
        <v>27</v>
      </c>
    </row>
    <row r="14575" spans="1:14" x14ac:dyDescent="0.25">
      <c r="A14575" t="s">
        <v>45</v>
      </c>
      <c r="B14575" t="s">
        <v>39</v>
      </c>
      <c r="C14575" t="s">
        <v>37</v>
      </c>
      <c r="D14575" t="s">
        <v>28</v>
      </c>
      <c r="E14575" t="s">
        <v>26</v>
      </c>
      <c r="F14575" t="s">
        <v>19</v>
      </c>
      <c r="G14575" s="1" t="str">
        <f t="shared" ref="G14575:M14575" si="3349">"..."</f>
        <v>...</v>
      </c>
      <c r="H14575" s="1" t="str">
        <f t="shared" si="3349"/>
        <v>...</v>
      </c>
      <c r="I14575" s="1" t="str">
        <f t="shared" si="3349"/>
        <v>...</v>
      </c>
      <c r="J14575" s="1" t="str">
        <f t="shared" si="3349"/>
        <v>...</v>
      </c>
      <c r="K14575" s="1" t="str">
        <f t="shared" si="3349"/>
        <v>...</v>
      </c>
      <c r="L14575" s="1" t="str">
        <f t="shared" si="3349"/>
        <v>...</v>
      </c>
      <c r="M14575" s="1" t="str">
        <f t="shared" si="3349"/>
        <v>...</v>
      </c>
      <c r="N14575" t="s">
        <v>30</v>
      </c>
    </row>
    <row r="14576" spans="1:14" x14ac:dyDescent="0.25">
      <c r="A14576" t="s">
        <v>45</v>
      </c>
      <c r="B14576" t="s">
        <v>39</v>
      </c>
      <c r="C14576" t="s">
        <v>37</v>
      </c>
      <c r="D14576" t="s">
        <v>28</v>
      </c>
      <c r="E14576" t="s">
        <v>26</v>
      </c>
      <c r="F14576" t="s">
        <v>20</v>
      </c>
      <c r="G14576" s="1" t="str">
        <f t="shared" ref="G14576:M14576" si="3350">"X"</f>
        <v>X</v>
      </c>
      <c r="H14576" s="1" t="str">
        <f t="shared" si="3350"/>
        <v>X</v>
      </c>
      <c r="I14576" s="1" t="str">
        <f t="shared" si="3350"/>
        <v>X</v>
      </c>
      <c r="J14576" s="1" t="str">
        <f t="shared" si="3350"/>
        <v>X</v>
      </c>
      <c r="K14576" s="1" t="str">
        <f t="shared" si="3350"/>
        <v>X</v>
      </c>
      <c r="L14576" s="1" t="str">
        <f t="shared" si="3350"/>
        <v>X</v>
      </c>
      <c r="M14576" s="1" t="str">
        <f t="shared" si="3350"/>
        <v>X</v>
      </c>
      <c r="N14576" t="s">
        <v>27</v>
      </c>
    </row>
    <row r="14577" spans="1:14" x14ac:dyDescent="0.25">
      <c r="A14577" t="s">
        <v>45</v>
      </c>
      <c r="B14577" t="s">
        <v>39</v>
      </c>
      <c r="C14577" t="s">
        <v>37</v>
      </c>
      <c r="D14577" t="s">
        <v>29</v>
      </c>
      <c r="E14577" t="s">
        <v>15</v>
      </c>
      <c r="F14577" t="s">
        <v>15</v>
      </c>
      <c r="G14577" s="2">
        <f>VALUE(4633.46)</f>
        <v>4633.46</v>
      </c>
      <c r="H14577" s="3">
        <f>VALUE(4560)</f>
        <v>4560</v>
      </c>
      <c r="I14577" s="1">
        <f>VALUE(4139)</f>
        <v>4139</v>
      </c>
      <c r="J14577" s="1">
        <f>VALUE(4931)</f>
        <v>4931</v>
      </c>
      <c r="K14577" s="1">
        <f>VALUE(6027)</f>
        <v>6027</v>
      </c>
      <c r="L14577" s="1">
        <f>VALUE(7550)</f>
        <v>7550</v>
      </c>
      <c r="M14577" s="8">
        <f>VALUE(10950)</f>
        <v>10950</v>
      </c>
      <c r="N14577" t="s">
        <v>25</v>
      </c>
    </row>
    <row r="14578" spans="1:14" x14ac:dyDescent="0.25">
      <c r="A14578" t="s">
        <v>45</v>
      </c>
      <c r="B14578" t="s">
        <v>39</v>
      </c>
      <c r="C14578" t="s">
        <v>37</v>
      </c>
      <c r="D14578" t="s">
        <v>29</v>
      </c>
      <c r="E14578" t="s">
        <v>15</v>
      </c>
      <c r="F14578" t="s">
        <v>17</v>
      </c>
      <c r="G14578" s="2">
        <f>VALUE(868.05)</f>
        <v>868.05</v>
      </c>
      <c r="H14578" s="3">
        <f>VALUE(850.59)</f>
        <v>850.59</v>
      </c>
      <c r="I14578" s="4">
        <f>VALUE(5915)</f>
        <v>5915</v>
      </c>
      <c r="J14578" s="5">
        <f>VALUE(7392)</f>
        <v>7392</v>
      </c>
      <c r="K14578" s="6">
        <f>VALUE(7908)</f>
        <v>7908</v>
      </c>
      <c r="L14578" s="7">
        <f>VALUE(12057)</f>
        <v>12057</v>
      </c>
      <c r="M14578" s="8">
        <f>VALUE(18055)</f>
        <v>18055</v>
      </c>
      <c r="N14578" t="s">
        <v>24</v>
      </c>
    </row>
    <row r="14579" spans="1:14" x14ac:dyDescent="0.25">
      <c r="A14579" t="s">
        <v>45</v>
      </c>
      <c r="B14579" t="s">
        <v>39</v>
      </c>
      <c r="C14579" t="s">
        <v>37</v>
      </c>
      <c r="D14579" t="s">
        <v>29</v>
      </c>
      <c r="E14579" t="s">
        <v>15</v>
      </c>
      <c r="F14579" t="s">
        <v>18</v>
      </c>
      <c r="G14579" s="2">
        <f>VALUE(735)</f>
        <v>735</v>
      </c>
      <c r="H14579" s="3">
        <f>VALUE(727.31)</f>
        <v>727.31</v>
      </c>
      <c r="I14579" s="1">
        <f>VALUE(5169)</f>
        <v>5169</v>
      </c>
      <c r="J14579" s="1">
        <f>VALUE(5611)</f>
        <v>5611</v>
      </c>
      <c r="K14579" s="1">
        <f>VALUE(6389)</f>
        <v>6389</v>
      </c>
      <c r="L14579" s="1">
        <f>VALUE(7838)</f>
        <v>7838</v>
      </c>
      <c r="M14579" s="8">
        <f>VALUE(11805)</f>
        <v>11805</v>
      </c>
      <c r="N14579" t="s">
        <v>25</v>
      </c>
    </row>
    <row r="14580" spans="1:14" x14ac:dyDescent="0.25">
      <c r="A14580" t="s">
        <v>45</v>
      </c>
      <c r="B14580" t="s">
        <v>39</v>
      </c>
      <c r="C14580" t="s">
        <v>37</v>
      </c>
      <c r="D14580" t="s">
        <v>29</v>
      </c>
      <c r="E14580" t="s">
        <v>15</v>
      </c>
      <c r="F14580" t="s">
        <v>19</v>
      </c>
      <c r="G14580" s="2">
        <f>VALUE(576.03)</f>
        <v>576.03</v>
      </c>
      <c r="H14580" s="3">
        <f>VALUE(592.43)</f>
        <v>592.42999999999995</v>
      </c>
      <c r="I14580" s="1">
        <f>VALUE(4318)</f>
        <v>4318</v>
      </c>
      <c r="J14580" s="1">
        <f>VALUE(4744)</f>
        <v>4744</v>
      </c>
      <c r="K14580" s="1">
        <f>VALUE(5831)</f>
        <v>5831</v>
      </c>
      <c r="L14580" s="1">
        <f>VALUE(7167)</f>
        <v>7167</v>
      </c>
      <c r="M14580" s="8">
        <f>VALUE(10998)</f>
        <v>10998</v>
      </c>
      <c r="N14580" t="s">
        <v>25</v>
      </c>
    </row>
    <row r="14581" spans="1:14" x14ac:dyDescent="0.25">
      <c r="A14581" t="s">
        <v>45</v>
      </c>
      <c r="B14581" t="s">
        <v>39</v>
      </c>
      <c r="C14581" t="s">
        <v>37</v>
      </c>
      <c r="D14581" t="s">
        <v>29</v>
      </c>
      <c r="E14581" t="s">
        <v>15</v>
      </c>
      <c r="F14581" t="s">
        <v>20</v>
      </c>
      <c r="G14581" s="2">
        <f>VALUE(2454.38)</f>
        <v>2454.38</v>
      </c>
      <c r="H14581" s="3">
        <f>VALUE(2389.67)</f>
        <v>2389.67</v>
      </c>
      <c r="I14581" s="1">
        <f>VALUE(3845)</f>
        <v>3845</v>
      </c>
      <c r="J14581" s="1">
        <f>VALUE(4499)</f>
        <v>4499</v>
      </c>
      <c r="K14581" s="1">
        <f>VALUE(5347)</f>
        <v>5347</v>
      </c>
      <c r="L14581" s="1">
        <f>VALUE(6600)</f>
        <v>6600</v>
      </c>
      <c r="M14581" s="1">
        <f>VALUE(8015)</f>
        <v>8015</v>
      </c>
      <c r="N14581" t="s">
        <v>25</v>
      </c>
    </row>
    <row r="14582" spans="1:14" x14ac:dyDescent="0.25">
      <c r="A14582" t="s">
        <v>45</v>
      </c>
      <c r="B14582" t="s">
        <v>39</v>
      </c>
      <c r="C14582" t="s">
        <v>37</v>
      </c>
      <c r="D14582" t="s">
        <v>29</v>
      </c>
      <c r="E14582" t="s">
        <v>21</v>
      </c>
      <c r="F14582" t="s">
        <v>15</v>
      </c>
      <c r="G14582" s="2">
        <f>VALUE(1446.27)</f>
        <v>1446.27</v>
      </c>
      <c r="H14582" s="3">
        <f>VALUE(1400.11)</f>
        <v>1400.11</v>
      </c>
      <c r="I14582" s="4">
        <f>VALUE(5943)</f>
        <v>5943</v>
      </c>
      <c r="J14582" s="5">
        <f>VALUE(6502)</f>
        <v>6502</v>
      </c>
      <c r="K14582" s="6">
        <f>VALUE(8043)</f>
        <v>8043</v>
      </c>
      <c r="L14582" s="7">
        <f>VALUE(10996)</f>
        <v>10996</v>
      </c>
      <c r="M14582" s="8">
        <f>VALUE(15516)</f>
        <v>15516</v>
      </c>
      <c r="N14582" t="s">
        <v>24</v>
      </c>
    </row>
    <row r="14583" spans="1:14" x14ac:dyDescent="0.25">
      <c r="A14583" t="s">
        <v>45</v>
      </c>
      <c r="B14583" t="s">
        <v>39</v>
      </c>
      <c r="C14583" t="s">
        <v>37</v>
      </c>
      <c r="D14583" t="s">
        <v>29</v>
      </c>
      <c r="E14583" t="s">
        <v>21</v>
      </c>
      <c r="F14583" t="s">
        <v>17</v>
      </c>
      <c r="G14583" s="2">
        <f>VALUE(596.15)</f>
        <v>596.15</v>
      </c>
      <c r="H14583" s="3">
        <f>VALUE(587.3)</f>
        <v>587.29999999999995</v>
      </c>
      <c r="I14583" s="1">
        <f>VALUE(6438)</f>
        <v>6438</v>
      </c>
      <c r="J14583" s="1">
        <f>VALUE(7550)</f>
        <v>7550</v>
      </c>
      <c r="K14583" s="1">
        <f>VALUE(8792)</f>
        <v>8792</v>
      </c>
      <c r="L14583" s="7">
        <f>VALUE(13192)</f>
        <v>13192</v>
      </c>
      <c r="M14583" s="1">
        <f>VALUE(20080)</f>
        <v>20080</v>
      </c>
      <c r="N14583" t="s">
        <v>25</v>
      </c>
    </row>
    <row r="14584" spans="1:14" x14ac:dyDescent="0.25">
      <c r="A14584" t="s">
        <v>45</v>
      </c>
      <c r="B14584" t="s">
        <v>39</v>
      </c>
      <c r="C14584" t="s">
        <v>37</v>
      </c>
      <c r="D14584" t="s">
        <v>29</v>
      </c>
      <c r="E14584" t="s">
        <v>21</v>
      </c>
      <c r="F14584" t="s">
        <v>18</v>
      </c>
      <c r="G14584" s="2">
        <f>VALUE(378.76)</f>
        <v>378.76</v>
      </c>
      <c r="H14584" s="3">
        <f>VALUE(365.82)</f>
        <v>365.82</v>
      </c>
      <c r="I14584" s="4">
        <f>VALUE(6389)</f>
        <v>6389</v>
      </c>
      <c r="J14584" s="1">
        <f>VALUE(6389)</f>
        <v>6389</v>
      </c>
      <c r="K14584" s="1">
        <f>VALUE(6500)</f>
        <v>6500</v>
      </c>
      <c r="L14584" s="1">
        <f>VALUE(8969)</f>
        <v>8969</v>
      </c>
      <c r="M14584" s="1">
        <f>VALUE(13686)</f>
        <v>13686</v>
      </c>
      <c r="N14584" t="s">
        <v>25</v>
      </c>
    </row>
    <row r="14585" spans="1:14" x14ac:dyDescent="0.25">
      <c r="A14585" t="s">
        <v>45</v>
      </c>
      <c r="B14585" t="s">
        <v>39</v>
      </c>
      <c r="C14585" t="s">
        <v>37</v>
      </c>
      <c r="D14585" t="s">
        <v>29</v>
      </c>
      <c r="E14585" t="s">
        <v>21</v>
      </c>
      <c r="F14585" t="s">
        <v>19</v>
      </c>
      <c r="G14585" s="1" t="str">
        <f t="shared" ref="G14585:M14585" si="3351">"X"</f>
        <v>X</v>
      </c>
      <c r="H14585" s="1" t="str">
        <f t="shared" si="3351"/>
        <v>X</v>
      </c>
      <c r="I14585" s="1" t="str">
        <f t="shared" si="3351"/>
        <v>X</v>
      </c>
      <c r="J14585" s="1" t="str">
        <f t="shared" si="3351"/>
        <v>X</v>
      </c>
      <c r="K14585" s="1" t="str">
        <f t="shared" si="3351"/>
        <v>X</v>
      </c>
      <c r="L14585" s="1" t="str">
        <f t="shared" si="3351"/>
        <v>X</v>
      </c>
      <c r="M14585" s="1" t="str">
        <f t="shared" si="3351"/>
        <v>X</v>
      </c>
      <c r="N14585" t="s">
        <v>27</v>
      </c>
    </row>
    <row r="14586" spans="1:14" x14ac:dyDescent="0.25">
      <c r="A14586" t="s">
        <v>45</v>
      </c>
      <c r="B14586" t="s">
        <v>39</v>
      </c>
      <c r="C14586" t="s">
        <v>37</v>
      </c>
      <c r="D14586" t="s">
        <v>29</v>
      </c>
      <c r="E14586" t="s">
        <v>21</v>
      </c>
      <c r="F14586" t="s">
        <v>20</v>
      </c>
      <c r="G14586" s="2">
        <f>VALUE(333.85)</f>
        <v>333.85</v>
      </c>
      <c r="H14586" s="3">
        <f>VALUE(307.03)</f>
        <v>307.02999999999997</v>
      </c>
      <c r="I14586" s="1">
        <f>VALUE(4753)</f>
        <v>4753</v>
      </c>
      <c r="J14586" s="1">
        <f>VALUE(6810)</f>
        <v>6810</v>
      </c>
      <c r="K14586" s="1">
        <f>VALUE(8667)</f>
        <v>8667</v>
      </c>
      <c r="L14586" s="7">
        <f>VALUE(10811)</f>
        <v>10811</v>
      </c>
      <c r="M14586" s="8">
        <f>VALUE(15269)</f>
        <v>15269</v>
      </c>
      <c r="N14586" t="s">
        <v>25</v>
      </c>
    </row>
    <row r="14587" spans="1:14" x14ac:dyDescent="0.25">
      <c r="A14587" t="s">
        <v>45</v>
      </c>
      <c r="B14587" t="s">
        <v>39</v>
      </c>
      <c r="C14587" t="s">
        <v>37</v>
      </c>
      <c r="D14587" t="s">
        <v>29</v>
      </c>
      <c r="E14587" t="s">
        <v>22</v>
      </c>
      <c r="F14587" t="s">
        <v>15</v>
      </c>
      <c r="G14587" s="2">
        <f>VALUE(1844.82)</f>
        <v>1844.82</v>
      </c>
      <c r="H14587" s="3">
        <f>VALUE(1856.3)</f>
        <v>1856.3</v>
      </c>
      <c r="I14587" s="1">
        <f>VALUE(4500)</f>
        <v>4500</v>
      </c>
      <c r="J14587" s="1">
        <f>VALUE(5029)</f>
        <v>5029</v>
      </c>
      <c r="K14587" s="1">
        <f>VALUE(5611)</f>
        <v>5611</v>
      </c>
      <c r="L14587" s="7">
        <f>VALUE(6977)</f>
        <v>6977</v>
      </c>
      <c r="M14587" s="8">
        <f>VALUE(8017)</f>
        <v>8017</v>
      </c>
      <c r="N14587" t="s">
        <v>25</v>
      </c>
    </row>
    <row r="14588" spans="1:14" x14ac:dyDescent="0.25">
      <c r="A14588" t="s">
        <v>45</v>
      </c>
      <c r="B14588" t="s">
        <v>39</v>
      </c>
      <c r="C14588" t="s">
        <v>37</v>
      </c>
      <c r="D14588" t="s">
        <v>29</v>
      </c>
      <c r="E14588" t="s">
        <v>22</v>
      </c>
      <c r="F14588" t="s">
        <v>17</v>
      </c>
      <c r="G14588" s="1" t="str">
        <f t="shared" ref="G14588:M14589" si="3352">"X"</f>
        <v>X</v>
      </c>
      <c r="H14588" s="1" t="str">
        <f t="shared" si="3352"/>
        <v>X</v>
      </c>
      <c r="I14588" s="1" t="str">
        <f t="shared" si="3352"/>
        <v>X</v>
      </c>
      <c r="J14588" s="1" t="str">
        <f t="shared" si="3352"/>
        <v>X</v>
      </c>
      <c r="K14588" s="1" t="str">
        <f t="shared" si="3352"/>
        <v>X</v>
      </c>
      <c r="L14588" s="1" t="str">
        <f t="shared" si="3352"/>
        <v>X</v>
      </c>
      <c r="M14588" s="1" t="str">
        <f t="shared" si="3352"/>
        <v>X</v>
      </c>
      <c r="N14588" t="s">
        <v>27</v>
      </c>
    </row>
    <row r="14589" spans="1:14" x14ac:dyDescent="0.25">
      <c r="A14589" t="s">
        <v>45</v>
      </c>
      <c r="B14589" t="s">
        <v>39</v>
      </c>
      <c r="C14589" t="s">
        <v>37</v>
      </c>
      <c r="D14589" t="s">
        <v>29</v>
      </c>
      <c r="E14589" t="s">
        <v>22</v>
      </c>
      <c r="F14589" t="s">
        <v>18</v>
      </c>
      <c r="G14589" s="1" t="str">
        <f t="shared" si="3352"/>
        <v>X</v>
      </c>
      <c r="H14589" s="1" t="str">
        <f t="shared" si="3352"/>
        <v>X</v>
      </c>
      <c r="I14589" s="1" t="str">
        <f t="shared" si="3352"/>
        <v>X</v>
      </c>
      <c r="J14589" s="1" t="str">
        <f t="shared" si="3352"/>
        <v>X</v>
      </c>
      <c r="K14589" s="1" t="str">
        <f t="shared" si="3352"/>
        <v>X</v>
      </c>
      <c r="L14589" s="1" t="str">
        <f t="shared" si="3352"/>
        <v>X</v>
      </c>
      <c r="M14589" s="1" t="str">
        <f t="shared" si="3352"/>
        <v>X</v>
      </c>
      <c r="N14589" t="s">
        <v>27</v>
      </c>
    </row>
    <row r="14590" spans="1:14" x14ac:dyDescent="0.25">
      <c r="A14590" t="s">
        <v>45</v>
      </c>
      <c r="B14590" t="s">
        <v>39</v>
      </c>
      <c r="C14590" t="s">
        <v>37</v>
      </c>
      <c r="D14590" t="s">
        <v>29</v>
      </c>
      <c r="E14590" t="s">
        <v>22</v>
      </c>
      <c r="F14590" t="s">
        <v>19</v>
      </c>
      <c r="G14590" s="2">
        <f>VALUE(274.7)</f>
        <v>274.7</v>
      </c>
      <c r="H14590" s="3">
        <f>VALUE(279.95)</f>
        <v>279.95</v>
      </c>
      <c r="I14590" s="1">
        <f>VALUE(4526)</f>
        <v>4526</v>
      </c>
      <c r="J14590" s="1">
        <f>VALUE(4890)</f>
        <v>4890</v>
      </c>
      <c r="K14590" s="1">
        <f>VALUE(5971)</f>
        <v>5971</v>
      </c>
      <c r="L14590" s="1">
        <f>VALUE(6920)</f>
        <v>6920</v>
      </c>
      <c r="M14590" s="8">
        <f>VALUE(9290)</f>
        <v>9290</v>
      </c>
      <c r="N14590" t="s">
        <v>25</v>
      </c>
    </row>
    <row r="14591" spans="1:14" x14ac:dyDescent="0.25">
      <c r="A14591" t="s">
        <v>45</v>
      </c>
      <c r="B14591" t="s">
        <v>39</v>
      </c>
      <c r="C14591" t="s">
        <v>37</v>
      </c>
      <c r="D14591" t="s">
        <v>29</v>
      </c>
      <c r="E14591" t="s">
        <v>22</v>
      </c>
      <c r="F14591" t="s">
        <v>20</v>
      </c>
      <c r="G14591" s="2">
        <f>VALUE(1112.63)</f>
        <v>1112.6300000000001</v>
      </c>
      <c r="H14591" s="3">
        <f>VALUE(1120.14)</f>
        <v>1120.1400000000001</v>
      </c>
      <c r="I14591" s="1">
        <f>VALUE(4313)</f>
        <v>4313</v>
      </c>
      <c r="J14591" s="1">
        <f>VALUE(4875)</f>
        <v>4875</v>
      </c>
      <c r="K14591" s="6">
        <f>VALUE(5496)</f>
        <v>5496</v>
      </c>
      <c r="L14591" s="7">
        <f>VALUE(6600)</f>
        <v>6600</v>
      </c>
      <c r="M14591" s="1">
        <f>VALUE(7250)</f>
        <v>7250</v>
      </c>
      <c r="N14591" t="s">
        <v>25</v>
      </c>
    </row>
    <row r="14592" spans="1:14" x14ac:dyDescent="0.25">
      <c r="A14592" t="s">
        <v>45</v>
      </c>
      <c r="B14592" t="s">
        <v>39</v>
      </c>
      <c r="C14592" t="s">
        <v>37</v>
      </c>
      <c r="D14592" t="s">
        <v>29</v>
      </c>
      <c r="E14592" t="s">
        <v>23</v>
      </c>
      <c r="F14592" t="s">
        <v>15</v>
      </c>
      <c r="G14592" s="2">
        <f>VALUE(1302.09)</f>
        <v>1302.0899999999999</v>
      </c>
      <c r="H14592" s="3">
        <f>VALUE(1264.46)</f>
        <v>1264.46</v>
      </c>
      <c r="I14592" s="1">
        <f>VALUE(3635)</f>
        <v>3635</v>
      </c>
      <c r="J14592" s="1">
        <f>VALUE(4132)</f>
        <v>4132</v>
      </c>
      <c r="K14592" s="1">
        <f>VALUE(4871)</f>
        <v>4871</v>
      </c>
      <c r="L14592" s="1">
        <f>VALUE(5915)</f>
        <v>5915</v>
      </c>
      <c r="M14592" s="1">
        <f>VALUE(6801)</f>
        <v>6801</v>
      </c>
      <c r="N14592" t="s">
        <v>25</v>
      </c>
    </row>
    <row r="14593" spans="1:14" x14ac:dyDescent="0.25">
      <c r="A14593" t="s">
        <v>45</v>
      </c>
      <c r="B14593" t="s">
        <v>39</v>
      </c>
      <c r="C14593" t="s">
        <v>37</v>
      </c>
      <c r="D14593" t="s">
        <v>29</v>
      </c>
      <c r="E14593" t="s">
        <v>23</v>
      </c>
      <c r="F14593" t="s">
        <v>17</v>
      </c>
      <c r="G14593" s="1" t="str">
        <f t="shared" ref="G14593:M14595" si="3353">"X"</f>
        <v>X</v>
      </c>
      <c r="H14593" s="1" t="str">
        <f t="shared" si="3353"/>
        <v>X</v>
      </c>
      <c r="I14593" s="1" t="str">
        <f t="shared" si="3353"/>
        <v>X</v>
      </c>
      <c r="J14593" s="1" t="str">
        <f t="shared" si="3353"/>
        <v>X</v>
      </c>
      <c r="K14593" s="1" t="str">
        <f t="shared" si="3353"/>
        <v>X</v>
      </c>
      <c r="L14593" s="1" t="str">
        <f t="shared" si="3353"/>
        <v>X</v>
      </c>
      <c r="M14593" s="1" t="str">
        <f t="shared" si="3353"/>
        <v>X</v>
      </c>
      <c r="N14593" t="s">
        <v>27</v>
      </c>
    </row>
    <row r="14594" spans="1:14" x14ac:dyDescent="0.25">
      <c r="A14594" t="s">
        <v>45</v>
      </c>
      <c r="B14594" t="s">
        <v>39</v>
      </c>
      <c r="C14594" t="s">
        <v>37</v>
      </c>
      <c r="D14594" t="s">
        <v>29</v>
      </c>
      <c r="E14594" t="s">
        <v>23</v>
      </c>
      <c r="F14594" t="s">
        <v>18</v>
      </c>
      <c r="G14594" s="1" t="str">
        <f t="shared" si="3353"/>
        <v>X</v>
      </c>
      <c r="H14594" s="1" t="str">
        <f t="shared" si="3353"/>
        <v>X</v>
      </c>
      <c r="I14594" s="1" t="str">
        <f t="shared" si="3353"/>
        <v>X</v>
      </c>
      <c r="J14594" s="1" t="str">
        <f t="shared" si="3353"/>
        <v>X</v>
      </c>
      <c r="K14594" s="1" t="str">
        <f t="shared" si="3353"/>
        <v>X</v>
      </c>
      <c r="L14594" s="1" t="str">
        <f t="shared" si="3353"/>
        <v>X</v>
      </c>
      <c r="M14594" s="1" t="str">
        <f t="shared" si="3353"/>
        <v>X</v>
      </c>
      <c r="N14594" t="s">
        <v>27</v>
      </c>
    </row>
    <row r="14595" spans="1:14" x14ac:dyDescent="0.25">
      <c r="A14595" t="s">
        <v>45</v>
      </c>
      <c r="B14595" t="s">
        <v>39</v>
      </c>
      <c r="C14595" t="s">
        <v>37</v>
      </c>
      <c r="D14595" t="s">
        <v>29</v>
      </c>
      <c r="E14595" t="s">
        <v>23</v>
      </c>
      <c r="F14595" t="s">
        <v>19</v>
      </c>
      <c r="G14595" s="1" t="str">
        <f t="shared" si="3353"/>
        <v>X</v>
      </c>
      <c r="H14595" s="1" t="str">
        <f t="shared" si="3353"/>
        <v>X</v>
      </c>
      <c r="I14595" s="1" t="str">
        <f t="shared" si="3353"/>
        <v>X</v>
      </c>
      <c r="J14595" s="1" t="str">
        <f t="shared" si="3353"/>
        <v>X</v>
      </c>
      <c r="K14595" s="1" t="str">
        <f t="shared" si="3353"/>
        <v>X</v>
      </c>
      <c r="L14595" s="1" t="str">
        <f t="shared" si="3353"/>
        <v>X</v>
      </c>
      <c r="M14595" s="1" t="str">
        <f t="shared" si="3353"/>
        <v>X</v>
      </c>
      <c r="N14595" t="s">
        <v>27</v>
      </c>
    </row>
    <row r="14596" spans="1:14" x14ac:dyDescent="0.25">
      <c r="A14596" t="s">
        <v>45</v>
      </c>
      <c r="B14596" t="s">
        <v>39</v>
      </c>
      <c r="C14596" t="s">
        <v>37</v>
      </c>
      <c r="D14596" t="s">
        <v>29</v>
      </c>
      <c r="E14596" t="s">
        <v>23</v>
      </c>
      <c r="F14596" t="s">
        <v>20</v>
      </c>
      <c r="G14596" s="2">
        <f>VALUE(985.14)</f>
        <v>985.14</v>
      </c>
      <c r="H14596" s="3">
        <f>VALUE(940.51)</f>
        <v>940.51</v>
      </c>
      <c r="I14596" s="1">
        <f>VALUE(3606)</f>
        <v>3606</v>
      </c>
      <c r="J14596" s="1">
        <f>VALUE(4039)</f>
        <v>4039</v>
      </c>
      <c r="K14596" s="1">
        <f>VALUE(4640)</f>
        <v>4640</v>
      </c>
      <c r="L14596" s="1">
        <f>VALUE(5632)</f>
        <v>5632</v>
      </c>
      <c r="M14596" s="1">
        <f>VALUE(6410)</f>
        <v>6410</v>
      </c>
      <c r="N14596" t="s">
        <v>25</v>
      </c>
    </row>
    <row r="14597" spans="1:14" x14ac:dyDescent="0.25">
      <c r="A14597" t="s">
        <v>45</v>
      </c>
      <c r="B14597" t="s">
        <v>39</v>
      </c>
      <c r="C14597" t="s">
        <v>37</v>
      </c>
      <c r="D14597" t="s">
        <v>29</v>
      </c>
      <c r="E14597" t="s">
        <v>26</v>
      </c>
      <c r="F14597" t="s">
        <v>15</v>
      </c>
      <c r="G14597" s="1" t="str">
        <f t="shared" ref="G14597:M14599" si="3354">"X"</f>
        <v>X</v>
      </c>
      <c r="H14597" s="1" t="str">
        <f t="shared" si="3354"/>
        <v>X</v>
      </c>
      <c r="I14597" s="1" t="str">
        <f t="shared" si="3354"/>
        <v>X</v>
      </c>
      <c r="J14597" s="1" t="str">
        <f t="shared" si="3354"/>
        <v>X</v>
      </c>
      <c r="K14597" s="1" t="str">
        <f t="shared" si="3354"/>
        <v>X</v>
      </c>
      <c r="L14597" s="1" t="str">
        <f t="shared" si="3354"/>
        <v>X</v>
      </c>
      <c r="M14597" s="1" t="str">
        <f t="shared" si="3354"/>
        <v>X</v>
      </c>
      <c r="N14597" t="s">
        <v>27</v>
      </c>
    </row>
    <row r="14598" spans="1:14" x14ac:dyDescent="0.25">
      <c r="A14598" t="s">
        <v>45</v>
      </c>
      <c r="B14598" t="s">
        <v>39</v>
      </c>
      <c r="C14598" t="s">
        <v>37</v>
      </c>
      <c r="D14598" t="s">
        <v>29</v>
      </c>
      <c r="E14598" t="s">
        <v>26</v>
      </c>
      <c r="F14598" t="s">
        <v>17</v>
      </c>
      <c r="G14598" s="1" t="str">
        <f t="shared" si="3354"/>
        <v>X</v>
      </c>
      <c r="H14598" s="1" t="str">
        <f t="shared" si="3354"/>
        <v>X</v>
      </c>
      <c r="I14598" s="1" t="str">
        <f t="shared" si="3354"/>
        <v>X</v>
      </c>
      <c r="J14598" s="1" t="str">
        <f t="shared" si="3354"/>
        <v>X</v>
      </c>
      <c r="K14598" s="1" t="str">
        <f t="shared" si="3354"/>
        <v>X</v>
      </c>
      <c r="L14598" s="1" t="str">
        <f t="shared" si="3354"/>
        <v>X</v>
      </c>
      <c r="M14598" s="1" t="str">
        <f t="shared" si="3354"/>
        <v>X</v>
      </c>
      <c r="N14598" t="s">
        <v>27</v>
      </c>
    </row>
    <row r="14599" spans="1:14" x14ac:dyDescent="0.25">
      <c r="A14599" t="s">
        <v>45</v>
      </c>
      <c r="B14599" t="s">
        <v>39</v>
      </c>
      <c r="C14599" t="s">
        <v>37</v>
      </c>
      <c r="D14599" t="s">
        <v>29</v>
      </c>
      <c r="E14599" t="s">
        <v>26</v>
      </c>
      <c r="F14599" t="s">
        <v>18</v>
      </c>
      <c r="G14599" s="1" t="str">
        <f t="shared" si="3354"/>
        <v>X</v>
      </c>
      <c r="H14599" s="1" t="str">
        <f t="shared" si="3354"/>
        <v>X</v>
      </c>
      <c r="I14599" s="1" t="str">
        <f t="shared" si="3354"/>
        <v>X</v>
      </c>
      <c r="J14599" s="1" t="str">
        <f t="shared" si="3354"/>
        <v>X</v>
      </c>
      <c r="K14599" s="1" t="str">
        <f t="shared" si="3354"/>
        <v>X</v>
      </c>
      <c r="L14599" s="1" t="str">
        <f t="shared" si="3354"/>
        <v>X</v>
      </c>
      <c r="M14599" s="1" t="str">
        <f t="shared" si="3354"/>
        <v>X</v>
      </c>
      <c r="N14599" t="s">
        <v>27</v>
      </c>
    </row>
    <row r="14600" spans="1:14" x14ac:dyDescent="0.25">
      <c r="A14600" t="s">
        <v>45</v>
      </c>
      <c r="B14600" t="s">
        <v>39</v>
      </c>
      <c r="C14600" t="s">
        <v>37</v>
      </c>
      <c r="D14600" t="s">
        <v>29</v>
      </c>
      <c r="E14600" t="s">
        <v>26</v>
      </c>
      <c r="F14600" t="s">
        <v>19</v>
      </c>
      <c r="G14600" s="1" t="str">
        <f t="shared" ref="G14600:M14600" si="3355">"..."</f>
        <v>...</v>
      </c>
      <c r="H14600" s="1" t="str">
        <f t="shared" si="3355"/>
        <v>...</v>
      </c>
      <c r="I14600" s="1" t="str">
        <f t="shared" si="3355"/>
        <v>...</v>
      </c>
      <c r="J14600" s="1" t="str">
        <f t="shared" si="3355"/>
        <v>...</v>
      </c>
      <c r="K14600" s="1" t="str">
        <f t="shared" si="3355"/>
        <v>...</v>
      </c>
      <c r="L14600" s="1" t="str">
        <f t="shared" si="3355"/>
        <v>...</v>
      </c>
      <c r="M14600" s="1" t="str">
        <f t="shared" si="3355"/>
        <v>...</v>
      </c>
      <c r="N14600" t="s">
        <v>30</v>
      </c>
    </row>
    <row r="14601" spans="1:14" x14ac:dyDescent="0.25">
      <c r="A14601" t="s">
        <v>45</v>
      </c>
      <c r="B14601" t="s">
        <v>39</v>
      </c>
      <c r="C14601" t="s">
        <v>37</v>
      </c>
      <c r="D14601" t="s">
        <v>29</v>
      </c>
      <c r="E14601" t="s">
        <v>26</v>
      </c>
      <c r="F14601" t="s">
        <v>20</v>
      </c>
      <c r="G14601" s="1" t="str">
        <f t="shared" ref="G14601:M14601" si="3356">"X"</f>
        <v>X</v>
      </c>
      <c r="H14601" s="1" t="str">
        <f t="shared" si="3356"/>
        <v>X</v>
      </c>
      <c r="I14601" s="1" t="str">
        <f t="shared" si="3356"/>
        <v>X</v>
      </c>
      <c r="J14601" s="1" t="str">
        <f t="shared" si="3356"/>
        <v>X</v>
      </c>
      <c r="K14601" s="1" t="str">
        <f t="shared" si="3356"/>
        <v>X</v>
      </c>
      <c r="L14601" s="1" t="str">
        <f t="shared" si="3356"/>
        <v>X</v>
      </c>
      <c r="M14601" s="1" t="str">
        <f t="shared" si="3356"/>
        <v>X</v>
      </c>
      <c r="N14601" t="s">
        <v>27</v>
      </c>
    </row>
    <row r="14602" spans="1:14" x14ac:dyDescent="0.25">
      <c r="A14602" t="s">
        <v>45</v>
      </c>
      <c r="B14602" t="s">
        <v>39</v>
      </c>
      <c r="C14602" t="s">
        <v>37</v>
      </c>
      <c r="D14602" t="s">
        <v>31</v>
      </c>
      <c r="E14602" t="s">
        <v>15</v>
      </c>
      <c r="F14602" t="s">
        <v>15</v>
      </c>
      <c r="G14602" s="2">
        <f>VALUE(3049.93)</f>
        <v>3049.93</v>
      </c>
      <c r="H14602" s="3">
        <f>VALUE(2986.65)</f>
        <v>2986.65</v>
      </c>
      <c r="I14602" s="1">
        <f>VALUE(3817)</f>
        <v>3817</v>
      </c>
      <c r="J14602" s="1">
        <f>VALUE(4665)</f>
        <v>4665</v>
      </c>
      <c r="K14602" s="1">
        <f>VALUE(5768)</f>
        <v>5768</v>
      </c>
      <c r="L14602" s="7">
        <f>VALUE(7889)</f>
        <v>7889</v>
      </c>
      <c r="M14602" s="8">
        <f>VALUE(12102)</f>
        <v>12102</v>
      </c>
      <c r="N14602" t="s">
        <v>25</v>
      </c>
    </row>
    <row r="14603" spans="1:14" x14ac:dyDescent="0.25">
      <c r="A14603" t="s">
        <v>45</v>
      </c>
      <c r="B14603" t="s">
        <v>39</v>
      </c>
      <c r="C14603" t="s">
        <v>37</v>
      </c>
      <c r="D14603" t="s">
        <v>31</v>
      </c>
      <c r="E14603" t="s">
        <v>15</v>
      </c>
      <c r="F14603" t="s">
        <v>17</v>
      </c>
      <c r="G14603" s="2">
        <f>VALUE(652.05)</f>
        <v>652.04999999999995</v>
      </c>
      <c r="H14603" s="3">
        <f>VALUE(662.69)</f>
        <v>662.69</v>
      </c>
      <c r="I14603" s="1">
        <f>VALUE(5686)</f>
        <v>5686</v>
      </c>
      <c r="J14603" s="5">
        <f>VALUE(5958)</f>
        <v>5958</v>
      </c>
      <c r="K14603" s="6">
        <f>VALUE(8905)</f>
        <v>8905</v>
      </c>
      <c r="L14603" s="7">
        <f>VALUE(13217)</f>
        <v>13217</v>
      </c>
      <c r="M14603" s="8">
        <f>VALUE(18596)</f>
        <v>18596</v>
      </c>
      <c r="N14603" t="s">
        <v>25</v>
      </c>
    </row>
    <row r="14604" spans="1:14" x14ac:dyDescent="0.25">
      <c r="A14604" t="s">
        <v>45</v>
      </c>
      <c r="B14604" t="s">
        <v>39</v>
      </c>
      <c r="C14604" t="s">
        <v>37</v>
      </c>
      <c r="D14604" t="s">
        <v>31</v>
      </c>
      <c r="E14604" t="s">
        <v>15</v>
      </c>
      <c r="F14604" t="s">
        <v>18</v>
      </c>
      <c r="G14604" s="2">
        <f>VALUE(400.09)</f>
        <v>400.09</v>
      </c>
      <c r="H14604" s="3">
        <f>VALUE(409.5)</f>
        <v>409.5</v>
      </c>
      <c r="I14604" s="4">
        <f>VALUE(4271)</f>
        <v>4271</v>
      </c>
      <c r="J14604" s="1">
        <f>VALUE(5579)</f>
        <v>5579</v>
      </c>
      <c r="K14604" s="1">
        <f>VALUE(5579)</f>
        <v>5579</v>
      </c>
      <c r="L14604" s="1">
        <f>VALUE(8547)</f>
        <v>8547</v>
      </c>
      <c r="M14604" s="8">
        <f>VALUE(12102)</f>
        <v>12102</v>
      </c>
      <c r="N14604" t="s">
        <v>25</v>
      </c>
    </row>
    <row r="14605" spans="1:14" x14ac:dyDescent="0.25">
      <c r="A14605" t="s">
        <v>45</v>
      </c>
      <c r="B14605" t="s">
        <v>39</v>
      </c>
      <c r="C14605" t="s">
        <v>37</v>
      </c>
      <c r="D14605" t="s">
        <v>31</v>
      </c>
      <c r="E14605" t="s">
        <v>15</v>
      </c>
      <c r="F14605" t="s">
        <v>19</v>
      </c>
      <c r="G14605" s="2">
        <f>VALUE(331.28)</f>
        <v>331.28</v>
      </c>
      <c r="H14605" s="3">
        <f>VALUE(330.2)</f>
        <v>330.2</v>
      </c>
      <c r="I14605" s="4">
        <f>VALUE(4000)</f>
        <v>4000</v>
      </c>
      <c r="J14605" s="5">
        <f>VALUE(4467)</f>
        <v>4467</v>
      </c>
      <c r="K14605" s="6">
        <f>VALUE(5957)</f>
        <v>5957</v>
      </c>
      <c r="L14605" s="7">
        <f>VALUE(7540)</f>
        <v>7540</v>
      </c>
      <c r="M14605" s="8">
        <f>VALUE(9626)</f>
        <v>9626</v>
      </c>
      <c r="N14605" t="s">
        <v>24</v>
      </c>
    </row>
    <row r="14606" spans="1:14" x14ac:dyDescent="0.25">
      <c r="A14606" t="s">
        <v>45</v>
      </c>
      <c r="B14606" t="s">
        <v>39</v>
      </c>
      <c r="C14606" t="s">
        <v>37</v>
      </c>
      <c r="D14606" t="s">
        <v>31</v>
      </c>
      <c r="E14606" t="s">
        <v>15</v>
      </c>
      <c r="F14606" t="s">
        <v>20</v>
      </c>
      <c r="G14606" s="2">
        <f>VALUE(1666.51)</f>
        <v>1666.51</v>
      </c>
      <c r="H14606" s="3">
        <f>VALUE(1584.26)</f>
        <v>1584.26</v>
      </c>
      <c r="I14606" s="1">
        <f>VALUE(3621)</f>
        <v>3621</v>
      </c>
      <c r="J14606" s="1">
        <f>VALUE(4134)</f>
        <v>4134</v>
      </c>
      <c r="K14606" s="1">
        <f>VALUE(5381)</f>
        <v>5381</v>
      </c>
      <c r="L14606" s="1">
        <f>VALUE(6225)</f>
        <v>6225</v>
      </c>
      <c r="M14606" s="8">
        <f>VALUE(7719)</f>
        <v>7719</v>
      </c>
      <c r="N14606" t="s">
        <v>25</v>
      </c>
    </row>
    <row r="14607" spans="1:14" x14ac:dyDescent="0.25">
      <c r="A14607" t="s">
        <v>45</v>
      </c>
      <c r="B14607" t="s">
        <v>39</v>
      </c>
      <c r="C14607" t="s">
        <v>37</v>
      </c>
      <c r="D14607" t="s">
        <v>31</v>
      </c>
      <c r="E14607" t="s">
        <v>21</v>
      </c>
      <c r="F14607" t="s">
        <v>15</v>
      </c>
      <c r="G14607" s="2">
        <f>VALUE(1207.48)</f>
        <v>1207.48</v>
      </c>
      <c r="H14607" s="3">
        <f>VALUE(1208.72)</f>
        <v>1208.72</v>
      </c>
      <c r="I14607" s="4">
        <f>VALUE(5000)</f>
        <v>5000</v>
      </c>
      <c r="J14607" s="1">
        <f>VALUE(5768)</f>
        <v>5768</v>
      </c>
      <c r="K14607" s="6">
        <f>VALUE(7199)</f>
        <v>7199</v>
      </c>
      <c r="L14607" s="7">
        <f>VALUE(11085)</f>
        <v>11085</v>
      </c>
      <c r="M14607" s="8">
        <f>VALUE(16921)</f>
        <v>16921</v>
      </c>
      <c r="N14607" t="s">
        <v>25</v>
      </c>
    </row>
    <row r="14608" spans="1:14" x14ac:dyDescent="0.25">
      <c r="A14608" t="s">
        <v>45</v>
      </c>
      <c r="B14608" t="s">
        <v>39</v>
      </c>
      <c r="C14608" t="s">
        <v>37</v>
      </c>
      <c r="D14608" t="s">
        <v>31</v>
      </c>
      <c r="E14608" t="s">
        <v>21</v>
      </c>
      <c r="F14608" t="s">
        <v>17</v>
      </c>
      <c r="G14608" s="2">
        <f>VALUE(480.58)</f>
        <v>480.58</v>
      </c>
      <c r="H14608" s="3">
        <f>VALUE(487.4)</f>
        <v>487.4</v>
      </c>
      <c r="I14608" s="1">
        <f>VALUE(5768)</f>
        <v>5768</v>
      </c>
      <c r="J14608" s="5">
        <f>VALUE(5958)</f>
        <v>5958</v>
      </c>
      <c r="K14608" s="6">
        <f>VALUE(9961)</f>
        <v>9961</v>
      </c>
      <c r="L14608" s="7">
        <f>VALUE(14305)</f>
        <v>14305</v>
      </c>
      <c r="M14608" s="8">
        <f>VALUE(20690)</f>
        <v>20690</v>
      </c>
      <c r="N14608" t="s">
        <v>25</v>
      </c>
    </row>
    <row r="14609" spans="1:14" x14ac:dyDescent="0.25">
      <c r="A14609" t="s">
        <v>45</v>
      </c>
      <c r="B14609" t="s">
        <v>39</v>
      </c>
      <c r="C14609" t="s">
        <v>37</v>
      </c>
      <c r="D14609" t="s">
        <v>31</v>
      </c>
      <c r="E14609" t="s">
        <v>21</v>
      </c>
      <c r="F14609" t="s">
        <v>18</v>
      </c>
      <c r="G14609" s="1" t="str">
        <f t="shared" ref="G14609:M14610" si="3357">"X"</f>
        <v>X</v>
      </c>
      <c r="H14609" s="1" t="str">
        <f t="shared" si="3357"/>
        <v>X</v>
      </c>
      <c r="I14609" s="1" t="str">
        <f t="shared" si="3357"/>
        <v>X</v>
      </c>
      <c r="J14609" s="1" t="str">
        <f t="shared" si="3357"/>
        <v>X</v>
      </c>
      <c r="K14609" s="1" t="str">
        <f t="shared" si="3357"/>
        <v>X</v>
      </c>
      <c r="L14609" s="1" t="str">
        <f t="shared" si="3357"/>
        <v>X</v>
      </c>
      <c r="M14609" s="1" t="str">
        <f t="shared" si="3357"/>
        <v>X</v>
      </c>
      <c r="N14609" t="s">
        <v>27</v>
      </c>
    </row>
    <row r="14610" spans="1:14" x14ac:dyDescent="0.25">
      <c r="A14610" t="s">
        <v>45</v>
      </c>
      <c r="B14610" t="s">
        <v>39</v>
      </c>
      <c r="C14610" t="s">
        <v>37</v>
      </c>
      <c r="D14610" t="s">
        <v>31</v>
      </c>
      <c r="E14610" t="s">
        <v>21</v>
      </c>
      <c r="F14610" t="s">
        <v>19</v>
      </c>
      <c r="G14610" s="1" t="str">
        <f t="shared" si="3357"/>
        <v>X</v>
      </c>
      <c r="H14610" s="1" t="str">
        <f t="shared" si="3357"/>
        <v>X</v>
      </c>
      <c r="I14610" s="1" t="str">
        <f t="shared" si="3357"/>
        <v>X</v>
      </c>
      <c r="J14610" s="1" t="str">
        <f t="shared" si="3357"/>
        <v>X</v>
      </c>
      <c r="K14610" s="1" t="str">
        <f t="shared" si="3357"/>
        <v>X</v>
      </c>
      <c r="L14610" s="1" t="str">
        <f t="shared" si="3357"/>
        <v>X</v>
      </c>
      <c r="M14610" s="1" t="str">
        <f t="shared" si="3357"/>
        <v>X</v>
      </c>
      <c r="N14610" t="s">
        <v>27</v>
      </c>
    </row>
    <row r="14611" spans="1:14" x14ac:dyDescent="0.25">
      <c r="A14611" t="s">
        <v>45</v>
      </c>
      <c r="B14611" t="s">
        <v>39</v>
      </c>
      <c r="C14611" t="s">
        <v>37</v>
      </c>
      <c r="D14611" t="s">
        <v>31</v>
      </c>
      <c r="E14611" t="s">
        <v>21</v>
      </c>
      <c r="F14611" t="s">
        <v>20</v>
      </c>
      <c r="G14611" s="2">
        <f>VALUE(396.61)</f>
        <v>396.61</v>
      </c>
      <c r="H14611" s="3">
        <f>VALUE(394.57)</f>
        <v>394.57</v>
      </c>
      <c r="I14611" s="4">
        <f>VALUE(4367)</f>
        <v>4367</v>
      </c>
      <c r="J14611" s="1">
        <f>VALUE(5365)</f>
        <v>5365</v>
      </c>
      <c r="K14611" s="1">
        <f>VALUE(6286)</f>
        <v>6286</v>
      </c>
      <c r="L14611" s="7">
        <f>VALUE(7285)</f>
        <v>7285</v>
      </c>
      <c r="M14611" s="8">
        <f>VALUE(9320)</f>
        <v>9320</v>
      </c>
      <c r="N14611" t="s">
        <v>25</v>
      </c>
    </row>
    <row r="14612" spans="1:14" x14ac:dyDescent="0.25">
      <c r="A14612" t="s">
        <v>45</v>
      </c>
      <c r="B14612" t="s">
        <v>39</v>
      </c>
      <c r="C14612" t="s">
        <v>37</v>
      </c>
      <c r="D14612" t="s">
        <v>31</v>
      </c>
      <c r="E14612" t="s">
        <v>22</v>
      </c>
      <c r="F14612" t="s">
        <v>15</v>
      </c>
      <c r="G14612" s="2">
        <f>VALUE(836.21)</f>
        <v>836.21</v>
      </c>
      <c r="H14612" s="3">
        <f>VALUE(826.31)</f>
        <v>826.31</v>
      </c>
      <c r="I14612" s="1">
        <f>VALUE(4107)</f>
        <v>4107</v>
      </c>
      <c r="J14612" s="1">
        <f>VALUE(4936)</f>
        <v>4936</v>
      </c>
      <c r="K14612" s="1">
        <f>VALUE(5579)</f>
        <v>5579</v>
      </c>
      <c r="L14612" s="7">
        <f>VALUE(7114)</f>
        <v>7114</v>
      </c>
      <c r="M14612" s="8">
        <f>VALUE(9437)</f>
        <v>9437</v>
      </c>
      <c r="N14612" t="s">
        <v>25</v>
      </c>
    </row>
    <row r="14613" spans="1:14" x14ac:dyDescent="0.25">
      <c r="A14613" t="s">
        <v>45</v>
      </c>
      <c r="B14613" t="s">
        <v>39</v>
      </c>
      <c r="C14613" t="s">
        <v>37</v>
      </c>
      <c r="D14613" t="s">
        <v>31</v>
      </c>
      <c r="E14613" t="s">
        <v>22</v>
      </c>
      <c r="F14613" t="s">
        <v>17</v>
      </c>
      <c r="G14613" s="1" t="str">
        <f t="shared" ref="G14613:M14615" si="3358">"X"</f>
        <v>X</v>
      </c>
      <c r="H14613" s="1" t="str">
        <f t="shared" si="3358"/>
        <v>X</v>
      </c>
      <c r="I14613" s="1" t="str">
        <f t="shared" si="3358"/>
        <v>X</v>
      </c>
      <c r="J14613" s="1" t="str">
        <f t="shared" si="3358"/>
        <v>X</v>
      </c>
      <c r="K14613" s="1" t="str">
        <f t="shared" si="3358"/>
        <v>X</v>
      </c>
      <c r="L14613" s="1" t="str">
        <f t="shared" si="3358"/>
        <v>X</v>
      </c>
      <c r="M14613" s="1" t="str">
        <f t="shared" si="3358"/>
        <v>X</v>
      </c>
      <c r="N14613" t="s">
        <v>27</v>
      </c>
    </row>
    <row r="14614" spans="1:14" x14ac:dyDescent="0.25">
      <c r="A14614" t="s">
        <v>45</v>
      </c>
      <c r="B14614" t="s">
        <v>39</v>
      </c>
      <c r="C14614" t="s">
        <v>37</v>
      </c>
      <c r="D14614" t="s">
        <v>31</v>
      </c>
      <c r="E14614" t="s">
        <v>22</v>
      </c>
      <c r="F14614" t="s">
        <v>18</v>
      </c>
      <c r="G14614" s="1" t="str">
        <f t="shared" si="3358"/>
        <v>X</v>
      </c>
      <c r="H14614" s="1" t="str">
        <f t="shared" si="3358"/>
        <v>X</v>
      </c>
      <c r="I14614" s="1" t="str">
        <f t="shared" si="3358"/>
        <v>X</v>
      </c>
      <c r="J14614" s="1" t="str">
        <f t="shared" si="3358"/>
        <v>X</v>
      </c>
      <c r="K14614" s="1" t="str">
        <f t="shared" si="3358"/>
        <v>X</v>
      </c>
      <c r="L14614" s="1" t="str">
        <f t="shared" si="3358"/>
        <v>X</v>
      </c>
      <c r="M14614" s="1" t="str">
        <f t="shared" si="3358"/>
        <v>X</v>
      </c>
      <c r="N14614" t="s">
        <v>27</v>
      </c>
    </row>
    <row r="14615" spans="1:14" x14ac:dyDescent="0.25">
      <c r="A14615" t="s">
        <v>45</v>
      </c>
      <c r="B14615" t="s">
        <v>39</v>
      </c>
      <c r="C14615" t="s">
        <v>37</v>
      </c>
      <c r="D14615" t="s">
        <v>31</v>
      </c>
      <c r="E14615" t="s">
        <v>22</v>
      </c>
      <c r="F14615" t="s">
        <v>19</v>
      </c>
      <c r="G14615" s="1" t="str">
        <f t="shared" si="3358"/>
        <v>X</v>
      </c>
      <c r="H14615" s="1" t="str">
        <f t="shared" si="3358"/>
        <v>X</v>
      </c>
      <c r="I14615" s="1" t="str">
        <f t="shared" si="3358"/>
        <v>X</v>
      </c>
      <c r="J14615" s="1" t="str">
        <f t="shared" si="3358"/>
        <v>X</v>
      </c>
      <c r="K14615" s="1" t="str">
        <f t="shared" si="3358"/>
        <v>X</v>
      </c>
      <c r="L14615" s="1" t="str">
        <f t="shared" si="3358"/>
        <v>X</v>
      </c>
      <c r="M14615" s="1" t="str">
        <f t="shared" si="3358"/>
        <v>X</v>
      </c>
      <c r="N14615" t="s">
        <v>27</v>
      </c>
    </row>
    <row r="14616" spans="1:14" x14ac:dyDescent="0.25">
      <c r="A14616" t="s">
        <v>45</v>
      </c>
      <c r="B14616" t="s">
        <v>39</v>
      </c>
      <c r="C14616" t="s">
        <v>37</v>
      </c>
      <c r="D14616" t="s">
        <v>31</v>
      </c>
      <c r="E14616" t="s">
        <v>22</v>
      </c>
      <c r="F14616" t="s">
        <v>20</v>
      </c>
      <c r="G14616" s="2">
        <f>VALUE(381.57)</f>
        <v>381.57</v>
      </c>
      <c r="H14616" s="3">
        <f>VALUE(358.85)</f>
        <v>358.85</v>
      </c>
      <c r="I14616" s="1">
        <f>VALUE(3816)</f>
        <v>3816</v>
      </c>
      <c r="J14616" s="1">
        <f>VALUE(4430)</f>
        <v>4430</v>
      </c>
      <c r="K14616" s="1">
        <f>VALUE(5339)</f>
        <v>5339</v>
      </c>
      <c r="L14616" s="1">
        <f>VALUE(6155)</f>
        <v>6155</v>
      </c>
      <c r="M14616" s="1">
        <f>VALUE(8326)</f>
        <v>8326</v>
      </c>
      <c r="N14616" t="s">
        <v>25</v>
      </c>
    </row>
    <row r="14617" spans="1:14" x14ac:dyDescent="0.25">
      <c r="A14617" t="s">
        <v>45</v>
      </c>
      <c r="B14617" t="s">
        <v>39</v>
      </c>
      <c r="C14617" t="s">
        <v>37</v>
      </c>
      <c r="D14617" t="s">
        <v>31</v>
      </c>
      <c r="E14617" t="s">
        <v>23</v>
      </c>
      <c r="F14617" t="s">
        <v>15</v>
      </c>
      <c r="G14617" s="2">
        <f>VALUE(958.72)</f>
        <v>958.72</v>
      </c>
      <c r="H14617" s="3">
        <f>VALUE(904.9)</f>
        <v>904.9</v>
      </c>
      <c r="I14617" s="1">
        <f>VALUE(3467)</f>
        <v>3467</v>
      </c>
      <c r="J14617" s="1">
        <f>VALUE(3820)</f>
        <v>3820</v>
      </c>
      <c r="K14617" s="1">
        <f>VALUE(4718)</f>
        <v>4718</v>
      </c>
      <c r="L14617" s="1">
        <f>VALUE(5560)</f>
        <v>5560</v>
      </c>
      <c r="M14617" s="1">
        <f>VALUE(6453)</f>
        <v>6453</v>
      </c>
      <c r="N14617" t="s">
        <v>25</v>
      </c>
    </row>
    <row r="14618" spans="1:14" x14ac:dyDescent="0.25">
      <c r="A14618" t="s">
        <v>45</v>
      </c>
      <c r="B14618" t="s">
        <v>39</v>
      </c>
      <c r="C14618" t="s">
        <v>37</v>
      </c>
      <c r="D14618" t="s">
        <v>31</v>
      </c>
      <c r="E14618" t="s">
        <v>23</v>
      </c>
      <c r="F14618" t="s">
        <v>17</v>
      </c>
      <c r="G14618" s="1" t="str">
        <f t="shared" ref="G14618:M14620" si="3359">"X"</f>
        <v>X</v>
      </c>
      <c r="H14618" s="1" t="str">
        <f t="shared" si="3359"/>
        <v>X</v>
      </c>
      <c r="I14618" s="1" t="str">
        <f t="shared" si="3359"/>
        <v>X</v>
      </c>
      <c r="J14618" s="1" t="str">
        <f t="shared" si="3359"/>
        <v>X</v>
      </c>
      <c r="K14618" s="1" t="str">
        <f t="shared" si="3359"/>
        <v>X</v>
      </c>
      <c r="L14618" s="1" t="str">
        <f t="shared" si="3359"/>
        <v>X</v>
      </c>
      <c r="M14618" s="1" t="str">
        <f t="shared" si="3359"/>
        <v>X</v>
      </c>
      <c r="N14618" t="s">
        <v>27</v>
      </c>
    </row>
    <row r="14619" spans="1:14" x14ac:dyDescent="0.25">
      <c r="A14619" t="s">
        <v>45</v>
      </c>
      <c r="B14619" t="s">
        <v>39</v>
      </c>
      <c r="C14619" t="s">
        <v>37</v>
      </c>
      <c r="D14619" t="s">
        <v>31</v>
      </c>
      <c r="E14619" t="s">
        <v>23</v>
      </c>
      <c r="F14619" t="s">
        <v>18</v>
      </c>
      <c r="G14619" s="1" t="str">
        <f t="shared" si="3359"/>
        <v>X</v>
      </c>
      <c r="H14619" s="1" t="str">
        <f t="shared" si="3359"/>
        <v>X</v>
      </c>
      <c r="I14619" s="1" t="str">
        <f t="shared" si="3359"/>
        <v>X</v>
      </c>
      <c r="J14619" s="1" t="str">
        <f t="shared" si="3359"/>
        <v>X</v>
      </c>
      <c r="K14619" s="1" t="str">
        <f t="shared" si="3359"/>
        <v>X</v>
      </c>
      <c r="L14619" s="1" t="str">
        <f t="shared" si="3359"/>
        <v>X</v>
      </c>
      <c r="M14619" s="1" t="str">
        <f t="shared" si="3359"/>
        <v>X</v>
      </c>
      <c r="N14619" t="s">
        <v>27</v>
      </c>
    </row>
    <row r="14620" spans="1:14" x14ac:dyDescent="0.25">
      <c r="A14620" t="s">
        <v>45</v>
      </c>
      <c r="B14620" t="s">
        <v>39</v>
      </c>
      <c r="C14620" t="s">
        <v>37</v>
      </c>
      <c r="D14620" t="s">
        <v>31</v>
      </c>
      <c r="E14620" t="s">
        <v>23</v>
      </c>
      <c r="F14620" t="s">
        <v>19</v>
      </c>
      <c r="G14620" s="1" t="str">
        <f t="shared" si="3359"/>
        <v>X</v>
      </c>
      <c r="H14620" s="1" t="str">
        <f t="shared" si="3359"/>
        <v>X</v>
      </c>
      <c r="I14620" s="1" t="str">
        <f t="shared" si="3359"/>
        <v>X</v>
      </c>
      <c r="J14620" s="1" t="str">
        <f t="shared" si="3359"/>
        <v>X</v>
      </c>
      <c r="K14620" s="1" t="str">
        <f t="shared" si="3359"/>
        <v>X</v>
      </c>
      <c r="L14620" s="1" t="str">
        <f t="shared" si="3359"/>
        <v>X</v>
      </c>
      <c r="M14620" s="1" t="str">
        <f t="shared" si="3359"/>
        <v>X</v>
      </c>
      <c r="N14620" t="s">
        <v>27</v>
      </c>
    </row>
    <row r="14621" spans="1:14" x14ac:dyDescent="0.25">
      <c r="A14621" t="s">
        <v>45</v>
      </c>
      <c r="B14621" t="s">
        <v>39</v>
      </c>
      <c r="C14621" t="s">
        <v>37</v>
      </c>
      <c r="D14621" t="s">
        <v>31</v>
      </c>
      <c r="E14621" t="s">
        <v>23</v>
      </c>
      <c r="F14621" t="s">
        <v>20</v>
      </c>
      <c r="G14621" s="2">
        <f>VALUE(852.54)</f>
        <v>852.54</v>
      </c>
      <c r="H14621" s="3">
        <f>VALUE(796.44)</f>
        <v>796.44</v>
      </c>
      <c r="I14621" s="1">
        <f>VALUE(3476)</f>
        <v>3476</v>
      </c>
      <c r="J14621" s="1">
        <f>VALUE(3820)</f>
        <v>3820</v>
      </c>
      <c r="K14621" s="1">
        <f>VALUE(4819)</f>
        <v>4819</v>
      </c>
      <c r="L14621" s="1">
        <f>VALUE(5504)</f>
        <v>5504</v>
      </c>
      <c r="M14621" s="1">
        <f>VALUE(6190)</f>
        <v>6190</v>
      </c>
      <c r="N14621" t="s">
        <v>25</v>
      </c>
    </row>
    <row r="14622" spans="1:14" x14ac:dyDescent="0.25">
      <c r="A14622" t="s">
        <v>45</v>
      </c>
      <c r="B14622" t="s">
        <v>39</v>
      </c>
      <c r="C14622" t="s">
        <v>37</v>
      </c>
      <c r="D14622" t="s">
        <v>31</v>
      </c>
      <c r="E14622" t="s">
        <v>26</v>
      </c>
      <c r="F14622" t="s">
        <v>15</v>
      </c>
      <c r="G14622" s="1" t="str">
        <f t="shared" ref="G14622:M14622" si="3360">"X"</f>
        <v>X</v>
      </c>
      <c r="H14622" s="1" t="str">
        <f t="shared" si="3360"/>
        <v>X</v>
      </c>
      <c r="I14622" s="1" t="str">
        <f t="shared" si="3360"/>
        <v>X</v>
      </c>
      <c r="J14622" s="1" t="str">
        <f t="shared" si="3360"/>
        <v>X</v>
      </c>
      <c r="K14622" s="1" t="str">
        <f t="shared" si="3360"/>
        <v>X</v>
      </c>
      <c r="L14622" s="1" t="str">
        <f t="shared" si="3360"/>
        <v>X</v>
      </c>
      <c r="M14622" s="1" t="str">
        <f t="shared" si="3360"/>
        <v>X</v>
      </c>
      <c r="N14622" t="s">
        <v>27</v>
      </c>
    </row>
    <row r="14623" spans="1:14" x14ac:dyDescent="0.25">
      <c r="A14623" t="s">
        <v>45</v>
      </c>
      <c r="B14623" t="s">
        <v>39</v>
      </c>
      <c r="C14623" t="s">
        <v>37</v>
      </c>
      <c r="D14623" t="s">
        <v>31</v>
      </c>
      <c r="E14623" t="s">
        <v>26</v>
      </c>
      <c r="F14623" t="s">
        <v>17</v>
      </c>
      <c r="G14623" s="1" t="str">
        <f t="shared" ref="G14623:M14623" si="3361">"..."</f>
        <v>...</v>
      </c>
      <c r="H14623" s="1" t="str">
        <f t="shared" si="3361"/>
        <v>...</v>
      </c>
      <c r="I14623" s="1" t="str">
        <f t="shared" si="3361"/>
        <v>...</v>
      </c>
      <c r="J14623" s="1" t="str">
        <f t="shared" si="3361"/>
        <v>...</v>
      </c>
      <c r="K14623" s="1" t="str">
        <f t="shared" si="3361"/>
        <v>...</v>
      </c>
      <c r="L14623" s="1" t="str">
        <f t="shared" si="3361"/>
        <v>...</v>
      </c>
      <c r="M14623" s="1" t="str">
        <f t="shared" si="3361"/>
        <v>...</v>
      </c>
      <c r="N14623" t="s">
        <v>30</v>
      </c>
    </row>
    <row r="14624" spans="1:14" x14ac:dyDescent="0.25">
      <c r="A14624" t="s">
        <v>45</v>
      </c>
      <c r="B14624" t="s">
        <v>39</v>
      </c>
      <c r="C14624" t="s">
        <v>37</v>
      </c>
      <c r="D14624" t="s">
        <v>31</v>
      </c>
      <c r="E14624" t="s">
        <v>26</v>
      </c>
      <c r="F14624" t="s">
        <v>18</v>
      </c>
      <c r="G14624" s="1" t="str">
        <f t="shared" ref="G14624:M14624" si="3362">"X"</f>
        <v>X</v>
      </c>
      <c r="H14624" s="1" t="str">
        <f t="shared" si="3362"/>
        <v>X</v>
      </c>
      <c r="I14624" s="1" t="str">
        <f t="shared" si="3362"/>
        <v>X</v>
      </c>
      <c r="J14624" s="1" t="str">
        <f t="shared" si="3362"/>
        <v>X</v>
      </c>
      <c r="K14624" s="1" t="str">
        <f t="shared" si="3362"/>
        <v>X</v>
      </c>
      <c r="L14624" s="1" t="str">
        <f t="shared" si="3362"/>
        <v>X</v>
      </c>
      <c r="M14624" s="1" t="str">
        <f t="shared" si="3362"/>
        <v>X</v>
      </c>
      <c r="N14624" t="s">
        <v>27</v>
      </c>
    </row>
    <row r="14625" spans="1:14" x14ac:dyDescent="0.25">
      <c r="A14625" t="s">
        <v>45</v>
      </c>
      <c r="B14625" t="s">
        <v>39</v>
      </c>
      <c r="C14625" t="s">
        <v>37</v>
      </c>
      <c r="D14625" t="s">
        <v>31</v>
      </c>
      <c r="E14625" t="s">
        <v>26</v>
      </c>
      <c r="F14625" t="s">
        <v>19</v>
      </c>
      <c r="G14625" s="1" t="str">
        <f t="shared" ref="G14625:M14625" si="3363">"..."</f>
        <v>...</v>
      </c>
      <c r="H14625" s="1" t="str">
        <f t="shared" si="3363"/>
        <v>...</v>
      </c>
      <c r="I14625" s="1" t="str">
        <f t="shared" si="3363"/>
        <v>...</v>
      </c>
      <c r="J14625" s="1" t="str">
        <f t="shared" si="3363"/>
        <v>...</v>
      </c>
      <c r="K14625" s="1" t="str">
        <f t="shared" si="3363"/>
        <v>...</v>
      </c>
      <c r="L14625" s="1" t="str">
        <f t="shared" si="3363"/>
        <v>...</v>
      </c>
      <c r="M14625" s="1" t="str">
        <f t="shared" si="3363"/>
        <v>...</v>
      </c>
      <c r="N14625" t="s">
        <v>30</v>
      </c>
    </row>
    <row r="14626" spans="1:14" x14ac:dyDescent="0.25">
      <c r="A14626" t="s">
        <v>45</v>
      </c>
      <c r="B14626" t="s">
        <v>39</v>
      </c>
      <c r="C14626" t="s">
        <v>37</v>
      </c>
      <c r="D14626" t="s">
        <v>31</v>
      </c>
      <c r="E14626" t="s">
        <v>26</v>
      </c>
      <c r="F14626" t="s">
        <v>20</v>
      </c>
      <c r="G14626" s="1" t="str">
        <f t="shared" ref="G14626:M14626" si="3364">"X"</f>
        <v>X</v>
      </c>
      <c r="H14626" s="1" t="str">
        <f t="shared" si="3364"/>
        <v>X</v>
      </c>
      <c r="I14626" s="1" t="str">
        <f t="shared" si="3364"/>
        <v>X</v>
      </c>
      <c r="J14626" s="1" t="str">
        <f t="shared" si="3364"/>
        <v>X</v>
      </c>
      <c r="K14626" s="1" t="str">
        <f t="shared" si="3364"/>
        <v>X</v>
      </c>
      <c r="L14626" s="1" t="str">
        <f t="shared" si="3364"/>
        <v>X</v>
      </c>
      <c r="M14626" s="1" t="str">
        <f t="shared" si="3364"/>
        <v>X</v>
      </c>
      <c r="N14626" t="s">
        <v>27</v>
      </c>
    </row>
    <row r="14627" spans="1:14" x14ac:dyDescent="0.25">
      <c r="A14627" t="s">
        <v>45</v>
      </c>
      <c r="B14627" t="s">
        <v>39</v>
      </c>
      <c r="C14627" t="s">
        <v>37</v>
      </c>
      <c r="D14627" t="s">
        <v>32</v>
      </c>
      <c r="E14627" t="s">
        <v>15</v>
      </c>
      <c r="F14627" t="s">
        <v>15</v>
      </c>
      <c r="G14627" s="1">
        <f>VALUE(14230.46)</f>
        <v>14230.46</v>
      </c>
      <c r="H14627" s="1">
        <f>VALUE(14093.78)</f>
        <v>14093.78</v>
      </c>
      <c r="I14627" s="1">
        <f>VALUE(3451)</f>
        <v>3451</v>
      </c>
      <c r="J14627" s="1">
        <f>VALUE(4095)</f>
        <v>4095</v>
      </c>
      <c r="K14627" s="1">
        <f>VALUE(4903)</f>
        <v>4903</v>
      </c>
      <c r="L14627" s="1">
        <f>VALUE(5979)</f>
        <v>5979</v>
      </c>
      <c r="M14627" s="1">
        <f>VALUE(7515)</f>
        <v>7515</v>
      </c>
      <c r="N14627" t="s">
        <v>16</v>
      </c>
    </row>
    <row r="14628" spans="1:14" x14ac:dyDescent="0.25">
      <c r="A14628" t="s">
        <v>45</v>
      </c>
      <c r="B14628" t="s">
        <v>39</v>
      </c>
      <c r="C14628" t="s">
        <v>37</v>
      </c>
      <c r="D14628" t="s">
        <v>32</v>
      </c>
      <c r="E14628" t="s">
        <v>15</v>
      </c>
      <c r="F14628" t="s">
        <v>17</v>
      </c>
      <c r="G14628" s="2">
        <f>VALUE(922.46)</f>
        <v>922.46</v>
      </c>
      <c r="H14628" s="3">
        <f>VALUE(900.83)</f>
        <v>900.83</v>
      </c>
      <c r="I14628" s="4">
        <f>VALUE(4416)</f>
        <v>4416</v>
      </c>
      <c r="J14628" s="5">
        <f>VALUE(5608)</f>
        <v>5608</v>
      </c>
      <c r="K14628" s="6">
        <f>VALUE(7588)</f>
        <v>7588</v>
      </c>
      <c r="L14628" s="7">
        <f>VALUE(10667)</f>
        <v>10667</v>
      </c>
      <c r="M14628" s="8">
        <f>VALUE(14628)</f>
        <v>14628</v>
      </c>
      <c r="N14628" t="s">
        <v>24</v>
      </c>
    </row>
    <row r="14629" spans="1:14" x14ac:dyDescent="0.25">
      <c r="A14629" t="s">
        <v>45</v>
      </c>
      <c r="B14629" t="s">
        <v>39</v>
      </c>
      <c r="C14629" t="s">
        <v>37</v>
      </c>
      <c r="D14629" t="s">
        <v>32</v>
      </c>
      <c r="E14629" t="s">
        <v>15</v>
      </c>
      <c r="F14629" t="s">
        <v>18</v>
      </c>
      <c r="G14629" s="2">
        <f>VALUE(1044.82)</f>
        <v>1044.82</v>
      </c>
      <c r="H14629" s="3">
        <f>VALUE(1000.08)</f>
        <v>1000.08</v>
      </c>
      <c r="I14629" s="1">
        <f>VALUE(4489)</f>
        <v>4489</v>
      </c>
      <c r="J14629" s="1">
        <f>VALUE(4989)</f>
        <v>4989</v>
      </c>
      <c r="K14629" s="1">
        <f>VALUE(6389)</f>
        <v>6389</v>
      </c>
      <c r="L14629" s="1">
        <f>VALUE(8236)</f>
        <v>8236</v>
      </c>
      <c r="M14629" s="8">
        <f>VALUE(10003)</f>
        <v>10003</v>
      </c>
      <c r="N14629" t="s">
        <v>25</v>
      </c>
    </row>
    <row r="14630" spans="1:14" x14ac:dyDescent="0.25">
      <c r="A14630" t="s">
        <v>45</v>
      </c>
      <c r="B14630" t="s">
        <v>39</v>
      </c>
      <c r="C14630" t="s">
        <v>37</v>
      </c>
      <c r="D14630" t="s">
        <v>32</v>
      </c>
      <c r="E14630" t="s">
        <v>15</v>
      </c>
      <c r="F14630" t="s">
        <v>19</v>
      </c>
      <c r="G14630" s="2">
        <f>VALUE(1558.7)</f>
        <v>1558.7</v>
      </c>
      <c r="H14630" s="3">
        <f>VALUE(1575.18)</f>
        <v>1575.18</v>
      </c>
      <c r="I14630" s="1">
        <f>VALUE(3910)</f>
        <v>3910</v>
      </c>
      <c r="J14630" s="1">
        <f>VALUE(4529)</f>
        <v>4529</v>
      </c>
      <c r="K14630" s="1">
        <f>VALUE(5387)</f>
        <v>5387</v>
      </c>
      <c r="L14630" s="1">
        <f>VALUE(6386)</f>
        <v>6386</v>
      </c>
      <c r="M14630" s="1">
        <f>VALUE(7673)</f>
        <v>7673</v>
      </c>
      <c r="N14630" t="s">
        <v>25</v>
      </c>
    </row>
    <row r="14631" spans="1:14" x14ac:dyDescent="0.25">
      <c r="A14631" t="s">
        <v>45</v>
      </c>
      <c r="B14631" t="s">
        <v>39</v>
      </c>
      <c r="C14631" t="s">
        <v>37</v>
      </c>
      <c r="D14631" t="s">
        <v>32</v>
      </c>
      <c r="E14631" t="s">
        <v>15</v>
      </c>
      <c r="F14631" t="s">
        <v>20</v>
      </c>
      <c r="G14631" s="1">
        <f>VALUE(10704.48)</f>
        <v>10704.48</v>
      </c>
      <c r="H14631" s="1">
        <f>VALUE(10617.69)</f>
        <v>10617.69</v>
      </c>
      <c r="I14631" s="1">
        <f>VALUE(3373)</f>
        <v>3373</v>
      </c>
      <c r="J14631" s="1">
        <f>VALUE(3917)</f>
        <v>3917</v>
      </c>
      <c r="K14631" s="1">
        <f>VALUE(4642)</f>
        <v>4642</v>
      </c>
      <c r="L14631" s="1">
        <f>VALUE(5560)</f>
        <v>5560</v>
      </c>
      <c r="M14631" s="1">
        <f>VALUE(6523)</f>
        <v>6523</v>
      </c>
      <c r="N14631" t="s">
        <v>16</v>
      </c>
    </row>
    <row r="14632" spans="1:14" x14ac:dyDescent="0.25">
      <c r="A14632" t="s">
        <v>45</v>
      </c>
      <c r="B14632" t="s">
        <v>39</v>
      </c>
      <c r="C14632" t="s">
        <v>37</v>
      </c>
      <c r="D14632" t="s">
        <v>32</v>
      </c>
      <c r="E14632" t="s">
        <v>21</v>
      </c>
      <c r="F14632" t="s">
        <v>15</v>
      </c>
      <c r="G14632" s="1">
        <f>VALUE(3214.36)</f>
        <v>3214.36</v>
      </c>
      <c r="H14632" s="1">
        <f>VALUE(3114.2)</f>
        <v>3114.2</v>
      </c>
      <c r="I14632" s="1">
        <f>VALUE(3969)</f>
        <v>3969</v>
      </c>
      <c r="J14632" s="1">
        <f>VALUE(4833)</f>
        <v>4833</v>
      </c>
      <c r="K14632" s="1">
        <f>VALUE(6226)</f>
        <v>6226</v>
      </c>
      <c r="L14632" s="1">
        <f>VALUE(8245)</f>
        <v>8245</v>
      </c>
      <c r="M14632" s="1">
        <f>VALUE(11142)</f>
        <v>11142</v>
      </c>
      <c r="N14632" t="s">
        <v>16</v>
      </c>
    </row>
    <row r="14633" spans="1:14" x14ac:dyDescent="0.25">
      <c r="A14633" t="s">
        <v>45</v>
      </c>
      <c r="B14633" t="s">
        <v>39</v>
      </c>
      <c r="C14633" t="s">
        <v>37</v>
      </c>
      <c r="D14633" t="s">
        <v>32</v>
      </c>
      <c r="E14633" t="s">
        <v>21</v>
      </c>
      <c r="F14633" t="s">
        <v>17</v>
      </c>
      <c r="G14633" s="2">
        <f>VALUE(550.73)</f>
        <v>550.73</v>
      </c>
      <c r="H14633" s="3">
        <f>VALUE(521.92)</f>
        <v>521.91999999999996</v>
      </c>
      <c r="I14633" s="4">
        <f>VALUE(5291)</f>
        <v>5291</v>
      </c>
      <c r="J14633" s="5">
        <f>VALUE(6894)</f>
        <v>6894</v>
      </c>
      <c r="K14633" s="1">
        <f>VALUE(8958)</f>
        <v>8958</v>
      </c>
      <c r="L14633" s="7">
        <f>VALUE(12083)</f>
        <v>12083</v>
      </c>
      <c r="M14633" s="8">
        <f>VALUE(16078)</f>
        <v>16078</v>
      </c>
      <c r="N14633" t="s">
        <v>25</v>
      </c>
    </row>
    <row r="14634" spans="1:14" x14ac:dyDescent="0.25">
      <c r="A14634" t="s">
        <v>45</v>
      </c>
      <c r="B14634" t="s">
        <v>39</v>
      </c>
      <c r="C14634" t="s">
        <v>37</v>
      </c>
      <c r="D14634" t="s">
        <v>32</v>
      </c>
      <c r="E14634" t="s">
        <v>21</v>
      </c>
      <c r="F14634" t="s">
        <v>18</v>
      </c>
      <c r="G14634" s="2">
        <f>VALUE(538.84)</f>
        <v>538.84</v>
      </c>
      <c r="H14634" s="3">
        <f>VALUE(531.65)</f>
        <v>531.65</v>
      </c>
      <c r="I14634" s="1">
        <f>VALUE(4841)</f>
        <v>4841</v>
      </c>
      <c r="J14634" s="1">
        <f>VALUE(6042)</f>
        <v>6042</v>
      </c>
      <c r="K14634" s="1">
        <f>VALUE(7326)</f>
        <v>7326</v>
      </c>
      <c r="L14634" s="1">
        <f>VALUE(9244)</f>
        <v>9244</v>
      </c>
      <c r="M14634" s="8">
        <f>VALUE(11923)</f>
        <v>11923</v>
      </c>
      <c r="N14634" t="s">
        <v>25</v>
      </c>
    </row>
    <row r="14635" spans="1:14" x14ac:dyDescent="0.25">
      <c r="A14635" t="s">
        <v>45</v>
      </c>
      <c r="B14635" t="s">
        <v>39</v>
      </c>
      <c r="C14635" t="s">
        <v>37</v>
      </c>
      <c r="D14635" t="s">
        <v>32</v>
      </c>
      <c r="E14635" t="s">
        <v>21</v>
      </c>
      <c r="F14635" t="s">
        <v>19</v>
      </c>
      <c r="G14635" s="2">
        <f>VALUE(523.37)</f>
        <v>523.37</v>
      </c>
      <c r="H14635" s="3">
        <f>VALUE(515.34)</f>
        <v>515.34</v>
      </c>
      <c r="I14635" s="1">
        <f>VALUE(4482)</f>
        <v>4482</v>
      </c>
      <c r="J14635" s="1">
        <f>VALUE(5406)</f>
        <v>5406</v>
      </c>
      <c r="K14635" s="1">
        <f>VALUE(6386)</f>
        <v>6386</v>
      </c>
      <c r="L14635" s="1">
        <f>VALUE(7738)</f>
        <v>7738</v>
      </c>
      <c r="M14635" s="8">
        <f>VALUE(10734)</f>
        <v>10734</v>
      </c>
      <c r="N14635" t="s">
        <v>25</v>
      </c>
    </row>
    <row r="14636" spans="1:14" x14ac:dyDescent="0.25">
      <c r="A14636" t="s">
        <v>45</v>
      </c>
      <c r="B14636" t="s">
        <v>39</v>
      </c>
      <c r="C14636" t="s">
        <v>37</v>
      </c>
      <c r="D14636" t="s">
        <v>32</v>
      </c>
      <c r="E14636" t="s">
        <v>21</v>
      </c>
      <c r="F14636" t="s">
        <v>20</v>
      </c>
      <c r="G14636" s="1">
        <f>VALUE(1601.42)</f>
        <v>1601.42</v>
      </c>
      <c r="H14636" s="1">
        <f>VALUE(1545.29)</f>
        <v>1545.29</v>
      </c>
      <c r="I14636" s="1">
        <f>VALUE(3600)</f>
        <v>3600</v>
      </c>
      <c r="J14636" s="1">
        <f>VALUE(4281)</f>
        <v>4281</v>
      </c>
      <c r="K14636" s="1">
        <f>VALUE(5225)</f>
        <v>5225</v>
      </c>
      <c r="L14636" s="1">
        <f>VALUE(6800)</f>
        <v>6800</v>
      </c>
      <c r="M14636" s="1">
        <f>VALUE(8356)</f>
        <v>8356</v>
      </c>
      <c r="N14636" t="s">
        <v>16</v>
      </c>
    </row>
    <row r="14637" spans="1:14" x14ac:dyDescent="0.25">
      <c r="A14637" t="s">
        <v>45</v>
      </c>
      <c r="B14637" t="s">
        <v>39</v>
      </c>
      <c r="C14637" t="s">
        <v>37</v>
      </c>
      <c r="D14637" t="s">
        <v>32</v>
      </c>
      <c r="E14637" t="s">
        <v>22</v>
      </c>
      <c r="F14637" t="s">
        <v>15</v>
      </c>
      <c r="G14637" s="1">
        <f>VALUE(5194.29)</f>
        <v>5194.29</v>
      </c>
      <c r="H14637" s="1">
        <f>VALUE(5204.52)</f>
        <v>5204.5200000000004</v>
      </c>
      <c r="I14637" s="1">
        <f>VALUE(3576)</f>
        <v>3576</v>
      </c>
      <c r="J14637" s="1">
        <f>VALUE(4242)</f>
        <v>4242</v>
      </c>
      <c r="K14637" s="1">
        <f>VALUE(4951)</f>
        <v>4951</v>
      </c>
      <c r="L14637" s="1">
        <f>VALUE(5833)</f>
        <v>5833</v>
      </c>
      <c r="M14637" s="1">
        <f>VALUE(6785)</f>
        <v>6785</v>
      </c>
      <c r="N14637" t="s">
        <v>16</v>
      </c>
    </row>
    <row r="14638" spans="1:14" x14ac:dyDescent="0.25">
      <c r="A14638" t="s">
        <v>45</v>
      </c>
      <c r="B14638" t="s">
        <v>39</v>
      </c>
      <c r="C14638" t="s">
        <v>37</v>
      </c>
      <c r="D14638" t="s">
        <v>32</v>
      </c>
      <c r="E14638" t="s">
        <v>22</v>
      </c>
      <c r="F14638" t="s">
        <v>17</v>
      </c>
      <c r="G14638" s="2">
        <f>VALUE(307.98)</f>
        <v>307.98</v>
      </c>
      <c r="H14638" s="3">
        <f>VALUE(312.9)</f>
        <v>312.89999999999998</v>
      </c>
      <c r="I14638" s="4">
        <f>VALUE(4346)</f>
        <v>4346</v>
      </c>
      <c r="J14638" s="5">
        <f>VALUE(4620)</f>
        <v>4620</v>
      </c>
      <c r="K14638" s="6">
        <f>VALUE(6106)</f>
        <v>6106</v>
      </c>
      <c r="L14638" s="7">
        <f>VALUE(8118)</f>
        <v>8118</v>
      </c>
      <c r="M14638" s="8">
        <f>VALUE(10796)</f>
        <v>10796</v>
      </c>
      <c r="N14638" t="s">
        <v>24</v>
      </c>
    </row>
    <row r="14639" spans="1:14" x14ac:dyDescent="0.25">
      <c r="A14639" t="s">
        <v>45</v>
      </c>
      <c r="B14639" t="s">
        <v>39</v>
      </c>
      <c r="C14639" t="s">
        <v>37</v>
      </c>
      <c r="D14639" t="s">
        <v>32</v>
      </c>
      <c r="E14639" t="s">
        <v>22</v>
      </c>
      <c r="F14639" t="s">
        <v>18</v>
      </c>
      <c r="G14639" s="2">
        <f>VALUE(374.86)</f>
        <v>374.86</v>
      </c>
      <c r="H14639" s="3">
        <f>VALUE(339.95)</f>
        <v>339.95</v>
      </c>
      <c r="I14639" s="1">
        <f>VALUE(4333)</f>
        <v>4333</v>
      </c>
      <c r="J14639" s="1">
        <f>VALUE(4708)</f>
        <v>4708</v>
      </c>
      <c r="K14639" s="1">
        <f>VALUE(5382)</f>
        <v>5382</v>
      </c>
      <c r="L14639" s="1">
        <f>VALUE(6667)</f>
        <v>6667</v>
      </c>
      <c r="M14639" s="1">
        <f>VALUE(8247)</f>
        <v>8247</v>
      </c>
      <c r="N14639" t="s">
        <v>25</v>
      </c>
    </row>
    <row r="14640" spans="1:14" x14ac:dyDescent="0.25">
      <c r="A14640" t="s">
        <v>45</v>
      </c>
      <c r="B14640" t="s">
        <v>39</v>
      </c>
      <c r="C14640" t="s">
        <v>37</v>
      </c>
      <c r="D14640" t="s">
        <v>32</v>
      </c>
      <c r="E14640" t="s">
        <v>22</v>
      </c>
      <c r="F14640" t="s">
        <v>19</v>
      </c>
      <c r="G14640" s="2">
        <f>VALUE(729.6)</f>
        <v>729.6</v>
      </c>
      <c r="H14640" s="3">
        <f>VALUE(740.05)</f>
        <v>740.05</v>
      </c>
      <c r="I14640" s="1">
        <f>VALUE(3823)</f>
        <v>3823</v>
      </c>
      <c r="J14640" s="1">
        <f>VALUE(4430)</f>
        <v>4430</v>
      </c>
      <c r="K14640" s="1">
        <f>VALUE(5220)</f>
        <v>5220</v>
      </c>
      <c r="L14640" s="1">
        <f>VALUE(5919)</f>
        <v>5919</v>
      </c>
      <c r="M14640" s="1">
        <f>VALUE(7097)</f>
        <v>7097</v>
      </c>
      <c r="N14640" t="s">
        <v>25</v>
      </c>
    </row>
    <row r="14641" spans="1:14" x14ac:dyDescent="0.25">
      <c r="A14641" t="s">
        <v>45</v>
      </c>
      <c r="B14641" t="s">
        <v>39</v>
      </c>
      <c r="C14641" t="s">
        <v>37</v>
      </c>
      <c r="D14641" t="s">
        <v>32</v>
      </c>
      <c r="E14641" t="s">
        <v>22</v>
      </c>
      <c r="F14641" t="s">
        <v>20</v>
      </c>
      <c r="G14641" s="2">
        <f>VALUE(3781.85)</f>
        <v>3781.85</v>
      </c>
      <c r="H14641" s="3">
        <f>VALUE(3811.62)</f>
        <v>3811.62</v>
      </c>
      <c r="I14641" s="1">
        <f>VALUE(3450)</f>
        <v>3450</v>
      </c>
      <c r="J14641" s="1">
        <f>VALUE(4049)</f>
        <v>4049</v>
      </c>
      <c r="K14641" s="1">
        <f>VALUE(4784)</f>
        <v>4784</v>
      </c>
      <c r="L14641" s="1">
        <f>VALUE(5590)</f>
        <v>5590</v>
      </c>
      <c r="M14641" s="1">
        <f>VALUE(6374)</f>
        <v>6374</v>
      </c>
      <c r="N14641" t="s">
        <v>25</v>
      </c>
    </row>
    <row r="14642" spans="1:14" x14ac:dyDescent="0.25">
      <c r="A14642" t="s">
        <v>45</v>
      </c>
      <c r="B14642" t="s">
        <v>39</v>
      </c>
      <c r="C14642" t="s">
        <v>37</v>
      </c>
      <c r="D14642" t="s">
        <v>32</v>
      </c>
      <c r="E14642" t="s">
        <v>23</v>
      </c>
      <c r="F14642" t="s">
        <v>15</v>
      </c>
      <c r="G14642" s="1">
        <f>VALUE(5712.92)</f>
        <v>5712.92</v>
      </c>
      <c r="H14642" s="1">
        <f>VALUE(5663.38)</f>
        <v>5663.38</v>
      </c>
      <c r="I14642" s="1">
        <f>VALUE(3314)</f>
        <v>3314</v>
      </c>
      <c r="J14642" s="1">
        <f>VALUE(3785)</f>
        <v>3785</v>
      </c>
      <c r="K14642" s="1">
        <f>VALUE(4499)</f>
        <v>4499</v>
      </c>
      <c r="L14642" s="1">
        <f>VALUE(5263)</f>
        <v>5263</v>
      </c>
      <c r="M14642" s="1">
        <f>VALUE(6165)</f>
        <v>6165</v>
      </c>
      <c r="N14642" t="s">
        <v>16</v>
      </c>
    </row>
    <row r="14643" spans="1:14" x14ac:dyDescent="0.25">
      <c r="A14643" t="s">
        <v>45</v>
      </c>
      <c r="B14643" t="s">
        <v>39</v>
      </c>
      <c r="C14643" t="s">
        <v>37</v>
      </c>
      <c r="D14643" t="s">
        <v>32</v>
      </c>
      <c r="E14643" t="s">
        <v>23</v>
      </c>
      <c r="F14643" t="s">
        <v>17</v>
      </c>
      <c r="G14643" s="1" t="str">
        <f t="shared" ref="G14643:M14644" si="3365">"X"</f>
        <v>X</v>
      </c>
      <c r="H14643" s="1" t="str">
        <f t="shared" si="3365"/>
        <v>X</v>
      </c>
      <c r="I14643" s="1" t="str">
        <f t="shared" si="3365"/>
        <v>X</v>
      </c>
      <c r="J14643" s="1" t="str">
        <f t="shared" si="3365"/>
        <v>X</v>
      </c>
      <c r="K14643" s="1" t="str">
        <f t="shared" si="3365"/>
        <v>X</v>
      </c>
      <c r="L14643" s="1" t="str">
        <f t="shared" si="3365"/>
        <v>X</v>
      </c>
      <c r="M14643" s="1" t="str">
        <f t="shared" si="3365"/>
        <v>X</v>
      </c>
      <c r="N14643" t="s">
        <v>27</v>
      </c>
    </row>
    <row r="14644" spans="1:14" x14ac:dyDescent="0.25">
      <c r="A14644" t="s">
        <v>45</v>
      </c>
      <c r="B14644" t="s">
        <v>39</v>
      </c>
      <c r="C14644" t="s">
        <v>37</v>
      </c>
      <c r="D14644" t="s">
        <v>32</v>
      </c>
      <c r="E14644" t="s">
        <v>23</v>
      </c>
      <c r="F14644" t="s">
        <v>18</v>
      </c>
      <c r="G14644" s="1" t="str">
        <f t="shared" si="3365"/>
        <v>X</v>
      </c>
      <c r="H14644" s="1" t="str">
        <f t="shared" si="3365"/>
        <v>X</v>
      </c>
      <c r="I14644" s="1" t="str">
        <f t="shared" si="3365"/>
        <v>X</v>
      </c>
      <c r="J14644" s="1" t="str">
        <f t="shared" si="3365"/>
        <v>X</v>
      </c>
      <c r="K14644" s="1" t="str">
        <f t="shared" si="3365"/>
        <v>X</v>
      </c>
      <c r="L14644" s="1" t="str">
        <f t="shared" si="3365"/>
        <v>X</v>
      </c>
      <c r="M14644" s="1" t="str">
        <f t="shared" si="3365"/>
        <v>X</v>
      </c>
      <c r="N14644" t="s">
        <v>27</v>
      </c>
    </row>
    <row r="14645" spans="1:14" x14ac:dyDescent="0.25">
      <c r="A14645" t="s">
        <v>45</v>
      </c>
      <c r="B14645" t="s">
        <v>39</v>
      </c>
      <c r="C14645" t="s">
        <v>37</v>
      </c>
      <c r="D14645" t="s">
        <v>32</v>
      </c>
      <c r="E14645" t="s">
        <v>23</v>
      </c>
      <c r="F14645" t="s">
        <v>19</v>
      </c>
      <c r="G14645" s="2">
        <f>VALUE(304.25)</f>
        <v>304.25</v>
      </c>
      <c r="H14645" s="3">
        <f>VALUE(318.09)</f>
        <v>318.08999999999997</v>
      </c>
      <c r="I14645" s="1">
        <f>VALUE(3839)</f>
        <v>3839</v>
      </c>
      <c r="J14645" s="1">
        <f>VALUE(4152)</f>
        <v>4152</v>
      </c>
      <c r="K14645" s="1">
        <f>VALUE(4989)</f>
        <v>4989</v>
      </c>
      <c r="L14645" s="1">
        <f>VALUE(5415)</f>
        <v>5415</v>
      </c>
      <c r="M14645" s="1">
        <f>VALUE(6145)</f>
        <v>6145</v>
      </c>
      <c r="N14645" t="s">
        <v>25</v>
      </c>
    </row>
    <row r="14646" spans="1:14" x14ac:dyDescent="0.25">
      <c r="A14646" t="s">
        <v>45</v>
      </c>
      <c r="B14646" t="s">
        <v>39</v>
      </c>
      <c r="C14646" t="s">
        <v>37</v>
      </c>
      <c r="D14646" t="s">
        <v>32</v>
      </c>
      <c r="E14646" t="s">
        <v>23</v>
      </c>
      <c r="F14646" t="s">
        <v>20</v>
      </c>
      <c r="G14646" s="1">
        <f>VALUE(5243.24)</f>
        <v>5243.24</v>
      </c>
      <c r="H14646" s="1">
        <f>VALUE(5180.53)</f>
        <v>5180.53</v>
      </c>
      <c r="I14646" s="1">
        <f>VALUE(3302)</f>
        <v>3302</v>
      </c>
      <c r="J14646" s="1">
        <f>VALUE(3758)</f>
        <v>3758</v>
      </c>
      <c r="K14646" s="1">
        <f>VALUE(4472)</f>
        <v>4472</v>
      </c>
      <c r="L14646" s="1">
        <f>VALUE(5216)</f>
        <v>5216</v>
      </c>
      <c r="M14646" s="1">
        <f>VALUE(6044)</f>
        <v>6044</v>
      </c>
      <c r="N14646" t="s">
        <v>16</v>
      </c>
    </row>
    <row r="14647" spans="1:14" x14ac:dyDescent="0.25">
      <c r="A14647" t="s">
        <v>45</v>
      </c>
      <c r="B14647" t="s">
        <v>39</v>
      </c>
      <c r="C14647" t="s">
        <v>37</v>
      </c>
      <c r="D14647" t="s">
        <v>32</v>
      </c>
      <c r="E14647" t="s">
        <v>26</v>
      </c>
      <c r="F14647" t="s">
        <v>15</v>
      </c>
      <c r="G14647" s="1" t="str">
        <f t="shared" ref="G14647:M14651" si="3366">"X"</f>
        <v>X</v>
      </c>
      <c r="H14647" s="1" t="str">
        <f t="shared" si="3366"/>
        <v>X</v>
      </c>
      <c r="I14647" s="1" t="str">
        <f t="shared" si="3366"/>
        <v>X</v>
      </c>
      <c r="J14647" s="1" t="str">
        <f t="shared" si="3366"/>
        <v>X</v>
      </c>
      <c r="K14647" s="1" t="str">
        <f t="shared" si="3366"/>
        <v>X</v>
      </c>
      <c r="L14647" s="1" t="str">
        <f t="shared" si="3366"/>
        <v>X</v>
      </c>
      <c r="M14647" s="1" t="str">
        <f t="shared" si="3366"/>
        <v>X</v>
      </c>
      <c r="N14647" t="s">
        <v>27</v>
      </c>
    </row>
    <row r="14648" spans="1:14" x14ac:dyDescent="0.25">
      <c r="A14648" t="s">
        <v>45</v>
      </c>
      <c r="B14648" t="s">
        <v>39</v>
      </c>
      <c r="C14648" t="s">
        <v>37</v>
      </c>
      <c r="D14648" t="s">
        <v>32</v>
      </c>
      <c r="E14648" t="s">
        <v>26</v>
      </c>
      <c r="F14648" t="s">
        <v>17</v>
      </c>
      <c r="G14648" s="1" t="str">
        <f t="shared" si="3366"/>
        <v>X</v>
      </c>
      <c r="H14648" s="1" t="str">
        <f t="shared" si="3366"/>
        <v>X</v>
      </c>
      <c r="I14648" s="1" t="str">
        <f t="shared" si="3366"/>
        <v>X</v>
      </c>
      <c r="J14648" s="1" t="str">
        <f t="shared" si="3366"/>
        <v>X</v>
      </c>
      <c r="K14648" s="1" t="str">
        <f t="shared" si="3366"/>
        <v>X</v>
      </c>
      <c r="L14648" s="1" t="str">
        <f t="shared" si="3366"/>
        <v>X</v>
      </c>
      <c r="M14648" s="1" t="str">
        <f t="shared" si="3366"/>
        <v>X</v>
      </c>
      <c r="N14648" t="s">
        <v>27</v>
      </c>
    </row>
    <row r="14649" spans="1:14" x14ac:dyDescent="0.25">
      <c r="A14649" t="s">
        <v>45</v>
      </c>
      <c r="B14649" t="s">
        <v>39</v>
      </c>
      <c r="C14649" t="s">
        <v>37</v>
      </c>
      <c r="D14649" t="s">
        <v>32</v>
      </c>
      <c r="E14649" t="s">
        <v>26</v>
      </c>
      <c r="F14649" t="s">
        <v>18</v>
      </c>
      <c r="G14649" s="1" t="str">
        <f t="shared" si="3366"/>
        <v>X</v>
      </c>
      <c r="H14649" s="1" t="str">
        <f t="shared" si="3366"/>
        <v>X</v>
      </c>
      <c r="I14649" s="1" t="str">
        <f t="shared" si="3366"/>
        <v>X</v>
      </c>
      <c r="J14649" s="1" t="str">
        <f t="shared" si="3366"/>
        <v>X</v>
      </c>
      <c r="K14649" s="1" t="str">
        <f t="shared" si="3366"/>
        <v>X</v>
      </c>
      <c r="L14649" s="1" t="str">
        <f t="shared" si="3366"/>
        <v>X</v>
      </c>
      <c r="M14649" s="1" t="str">
        <f t="shared" si="3366"/>
        <v>X</v>
      </c>
      <c r="N14649" t="s">
        <v>27</v>
      </c>
    </row>
    <row r="14650" spans="1:14" x14ac:dyDescent="0.25">
      <c r="A14650" t="s">
        <v>45</v>
      </c>
      <c r="B14650" t="s">
        <v>39</v>
      </c>
      <c r="C14650" t="s">
        <v>37</v>
      </c>
      <c r="D14650" t="s">
        <v>32</v>
      </c>
      <c r="E14650" t="s">
        <v>26</v>
      </c>
      <c r="F14650" t="s">
        <v>19</v>
      </c>
      <c r="G14650" s="1" t="str">
        <f t="shared" si="3366"/>
        <v>X</v>
      </c>
      <c r="H14650" s="1" t="str">
        <f t="shared" si="3366"/>
        <v>X</v>
      </c>
      <c r="I14650" s="1" t="str">
        <f t="shared" si="3366"/>
        <v>X</v>
      </c>
      <c r="J14650" s="1" t="str">
        <f t="shared" si="3366"/>
        <v>X</v>
      </c>
      <c r="K14650" s="1" t="str">
        <f t="shared" si="3366"/>
        <v>X</v>
      </c>
      <c r="L14650" s="1" t="str">
        <f t="shared" si="3366"/>
        <v>X</v>
      </c>
      <c r="M14650" s="1" t="str">
        <f t="shared" si="3366"/>
        <v>X</v>
      </c>
      <c r="N14650" t="s">
        <v>27</v>
      </c>
    </row>
    <row r="14651" spans="1:14" x14ac:dyDescent="0.25">
      <c r="A14651" t="s">
        <v>45</v>
      </c>
      <c r="B14651" t="s">
        <v>39</v>
      </c>
      <c r="C14651" t="s">
        <v>37</v>
      </c>
      <c r="D14651" t="s">
        <v>32</v>
      </c>
      <c r="E14651" t="s">
        <v>26</v>
      </c>
      <c r="F14651" t="s">
        <v>20</v>
      </c>
      <c r="G14651" s="1" t="str">
        <f t="shared" si="3366"/>
        <v>X</v>
      </c>
      <c r="H14651" s="1" t="str">
        <f t="shared" si="3366"/>
        <v>X</v>
      </c>
      <c r="I14651" s="1" t="str">
        <f t="shared" si="3366"/>
        <v>X</v>
      </c>
      <c r="J14651" s="1" t="str">
        <f t="shared" si="3366"/>
        <v>X</v>
      </c>
      <c r="K14651" s="1" t="str">
        <f t="shared" si="3366"/>
        <v>X</v>
      </c>
      <c r="L14651" s="1" t="str">
        <f t="shared" si="3366"/>
        <v>X</v>
      </c>
      <c r="M14651" s="1" t="str">
        <f t="shared" si="3366"/>
        <v>X</v>
      </c>
      <c r="N14651" t="s">
        <v>27</v>
      </c>
    </row>
    <row r="14652" spans="1:14" x14ac:dyDescent="0.25">
      <c r="A14652" t="s">
        <v>45</v>
      </c>
      <c r="B14652" t="s">
        <v>39</v>
      </c>
      <c r="C14652" t="s">
        <v>37</v>
      </c>
      <c r="D14652" t="s">
        <v>33</v>
      </c>
      <c r="E14652" t="s">
        <v>15</v>
      </c>
      <c r="F14652" t="s">
        <v>15</v>
      </c>
      <c r="G14652" s="2">
        <f>VALUE(165.92)</f>
        <v>165.92</v>
      </c>
      <c r="H14652" s="3">
        <f>VALUE(160.67)</f>
        <v>160.66999999999999</v>
      </c>
      <c r="I14652" s="1">
        <f>VALUE(3317)</f>
        <v>3317</v>
      </c>
      <c r="J14652" s="5">
        <f>VALUE(4393)</f>
        <v>4393</v>
      </c>
      <c r="K14652" s="1">
        <f>VALUE(5665)</f>
        <v>5665</v>
      </c>
      <c r="L14652" s="1">
        <f>VALUE(6345)</f>
        <v>6345</v>
      </c>
      <c r="M14652" s="8">
        <f>VALUE(7245)</f>
        <v>7245</v>
      </c>
      <c r="N14652" t="s">
        <v>25</v>
      </c>
    </row>
    <row r="14653" spans="1:14" x14ac:dyDescent="0.25">
      <c r="A14653" t="s">
        <v>45</v>
      </c>
      <c r="B14653" t="s">
        <v>39</v>
      </c>
      <c r="C14653" t="s">
        <v>37</v>
      </c>
      <c r="D14653" t="s">
        <v>33</v>
      </c>
      <c r="E14653" t="s">
        <v>15</v>
      </c>
      <c r="F14653" t="s">
        <v>17</v>
      </c>
      <c r="G14653" s="1" t="str">
        <f t="shared" ref="G14653:M14655" si="3367">"X"</f>
        <v>X</v>
      </c>
      <c r="H14653" s="1" t="str">
        <f t="shared" si="3367"/>
        <v>X</v>
      </c>
      <c r="I14653" s="1" t="str">
        <f t="shared" si="3367"/>
        <v>X</v>
      </c>
      <c r="J14653" s="1" t="str">
        <f t="shared" si="3367"/>
        <v>X</v>
      </c>
      <c r="K14653" s="1" t="str">
        <f t="shared" si="3367"/>
        <v>X</v>
      </c>
      <c r="L14653" s="1" t="str">
        <f t="shared" si="3367"/>
        <v>X</v>
      </c>
      <c r="M14653" s="1" t="str">
        <f t="shared" si="3367"/>
        <v>X</v>
      </c>
      <c r="N14653" t="s">
        <v>27</v>
      </c>
    </row>
    <row r="14654" spans="1:14" x14ac:dyDescent="0.25">
      <c r="A14654" t="s">
        <v>45</v>
      </c>
      <c r="B14654" t="s">
        <v>39</v>
      </c>
      <c r="C14654" t="s">
        <v>37</v>
      </c>
      <c r="D14654" t="s">
        <v>33</v>
      </c>
      <c r="E14654" t="s">
        <v>15</v>
      </c>
      <c r="F14654" t="s">
        <v>18</v>
      </c>
      <c r="G14654" s="1" t="str">
        <f t="shared" si="3367"/>
        <v>X</v>
      </c>
      <c r="H14654" s="1" t="str">
        <f t="shared" si="3367"/>
        <v>X</v>
      </c>
      <c r="I14654" s="1" t="str">
        <f t="shared" si="3367"/>
        <v>X</v>
      </c>
      <c r="J14654" s="1" t="str">
        <f t="shared" si="3367"/>
        <v>X</v>
      </c>
      <c r="K14654" s="1" t="str">
        <f t="shared" si="3367"/>
        <v>X</v>
      </c>
      <c r="L14654" s="1" t="str">
        <f t="shared" si="3367"/>
        <v>X</v>
      </c>
      <c r="M14654" s="1" t="str">
        <f t="shared" si="3367"/>
        <v>X</v>
      </c>
      <c r="N14654" t="s">
        <v>27</v>
      </c>
    </row>
    <row r="14655" spans="1:14" x14ac:dyDescent="0.25">
      <c r="A14655" t="s">
        <v>45</v>
      </c>
      <c r="B14655" t="s">
        <v>39</v>
      </c>
      <c r="C14655" t="s">
        <v>37</v>
      </c>
      <c r="D14655" t="s">
        <v>33</v>
      </c>
      <c r="E14655" t="s">
        <v>15</v>
      </c>
      <c r="F14655" t="s">
        <v>19</v>
      </c>
      <c r="G14655" s="1" t="str">
        <f t="shared" si="3367"/>
        <v>X</v>
      </c>
      <c r="H14655" s="1" t="str">
        <f t="shared" si="3367"/>
        <v>X</v>
      </c>
      <c r="I14655" s="1" t="str">
        <f t="shared" si="3367"/>
        <v>X</v>
      </c>
      <c r="J14655" s="1" t="str">
        <f t="shared" si="3367"/>
        <v>X</v>
      </c>
      <c r="K14655" s="1" t="str">
        <f t="shared" si="3367"/>
        <v>X</v>
      </c>
      <c r="L14655" s="1" t="str">
        <f t="shared" si="3367"/>
        <v>X</v>
      </c>
      <c r="M14655" s="1" t="str">
        <f t="shared" si="3367"/>
        <v>X</v>
      </c>
      <c r="N14655" t="s">
        <v>27</v>
      </c>
    </row>
    <row r="14656" spans="1:14" x14ac:dyDescent="0.25">
      <c r="A14656" t="s">
        <v>45</v>
      </c>
      <c r="B14656" t="s">
        <v>39</v>
      </c>
      <c r="C14656" t="s">
        <v>37</v>
      </c>
      <c r="D14656" t="s">
        <v>33</v>
      </c>
      <c r="E14656" t="s">
        <v>15</v>
      </c>
      <c r="F14656" t="s">
        <v>20</v>
      </c>
      <c r="G14656" s="2">
        <f>VALUE(131.87)</f>
        <v>131.87</v>
      </c>
      <c r="H14656" s="3">
        <f>VALUE(127.26)</f>
        <v>127.26</v>
      </c>
      <c r="I14656" s="1">
        <f>VALUE(3469)</f>
        <v>3469</v>
      </c>
      <c r="J14656" s="5">
        <f>VALUE(4783)</f>
        <v>4783</v>
      </c>
      <c r="K14656" s="1">
        <f>VALUE(5768)</f>
        <v>5768</v>
      </c>
      <c r="L14656" s="1">
        <f>VALUE(6345)</f>
        <v>6345</v>
      </c>
      <c r="M14656" s="1">
        <f>VALUE(7245)</f>
        <v>7245</v>
      </c>
      <c r="N14656" t="s">
        <v>25</v>
      </c>
    </row>
    <row r="14657" spans="1:14" x14ac:dyDescent="0.25">
      <c r="A14657" t="s">
        <v>45</v>
      </c>
      <c r="B14657" t="s">
        <v>39</v>
      </c>
      <c r="C14657" t="s">
        <v>37</v>
      </c>
      <c r="D14657" t="s">
        <v>33</v>
      </c>
      <c r="E14657" t="s">
        <v>21</v>
      </c>
      <c r="F14657" t="s">
        <v>15</v>
      </c>
      <c r="G14657" s="1" t="str">
        <f t="shared" ref="G14657:M14662" si="3368">"X"</f>
        <v>X</v>
      </c>
      <c r="H14657" s="1" t="str">
        <f t="shared" si="3368"/>
        <v>X</v>
      </c>
      <c r="I14657" s="1" t="str">
        <f t="shared" si="3368"/>
        <v>X</v>
      </c>
      <c r="J14657" s="1" t="str">
        <f t="shared" si="3368"/>
        <v>X</v>
      </c>
      <c r="K14657" s="1" t="str">
        <f t="shared" si="3368"/>
        <v>X</v>
      </c>
      <c r="L14657" s="1" t="str">
        <f t="shared" si="3368"/>
        <v>X</v>
      </c>
      <c r="M14657" s="1" t="str">
        <f t="shared" si="3368"/>
        <v>X</v>
      </c>
      <c r="N14657" t="s">
        <v>27</v>
      </c>
    </row>
    <row r="14658" spans="1:14" x14ac:dyDescent="0.25">
      <c r="A14658" t="s">
        <v>45</v>
      </c>
      <c r="B14658" t="s">
        <v>39</v>
      </c>
      <c r="C14658" t="s">
        <v>37</v>
      </c>
      <c r="D14658" t="s">
        <v>33</v>
      </c>
      <c r="E14658" t="s">
        <v>21</v>
      </c>
      <c r="F14658" t="s">
        <v>17</v>
      </c>
      <c r="G14658" s="1" t="str">
        <f t="shared" si="3368"/>
        <v>X</v>
      </c>
      <c r="H14658" s="1" t="str">
        <f t="shared" si="3368"/>
        <v>X</v>
      </c>
      <c r="I14658" s="1" t="str">
        <f t="shared" si="3368"/>
        <v>X</v>
      </c>
      <c r="J14658" s="1" t="str">
        <f t="shared" si="3368"/>
        <v>X</v>
      </c>
      <c r="K14658" s="1" t="str">
        <f t="shared" si="3368"/>
        <v>X</v>
      </c>
      <c r="L14658" s="1" t="str">
        <f t="shared" si="3368"/>
        <v>X</v>
      </c>
      <c r="M14658" s="1" t="str">
        <f t="shared" si="3368"/>
        <v>X</v>
      </c>
      <c r="N14658" t="s">
        <v>27</v>
      </c>
    </row>
    <row r="14659" spans="1:14" x14ac:dyDescent="0.25">
      <c r="A14659" t="s">
        <v>45</v>
      </c>
      <c r="B14659" t="s">
        <v>39</v>
      </c>
      <c r="C14659" t="s">
        <v>37</v>
      </c>
      <c r="D14659" t="s">
        <v>33</v>
      </c>
      <c r="E14659" t="s">
        <v>21</v>
      </c>
      <c r="F14659" t="s">
        <v>18</v>
      </c>
      <c r="G14659" s="1" t="str">
        <f t="shared" si="3368"/>
        <v>X</v>
      </c>
      <c r="H14659" s="1" t="str">
        <f t="shared" si="3368"/>
        <v>X</v>
      </c>
      <c r="I14659" s="1" t="str">
        <f t="shared" si="3368"/>
        <v>X</v>
      </c>
      <c r="J14659" s="1" t="str">
        <f t="shared" si="3368"/>
        <v>X</v>
      </c>
      <c r="K14659" s="1" t="str">
        <f t="shared" si="3368"/>
        <v>X</v>
      </c>
      <c r="L14659" s="1" t="str">
        <f t="shared" si="3368"/>
        <v>X</v>
      </c>
      <c r="M14659" s="1" t="str">
        <f t="shared" si="3368"/>
        <v>X</v>
      </c>
      <c r="N14659" t="s">
        <v>27</v>
      </c>
    </row>
    <row r="14660" spans="1:14" x14ac:dyDescent="0.25">
      <c r="A14660" t="s">
        <v>45</v>
      </c>
      <c r="B14660" t="s">
        <v>39</v>
      </c>
      <c r="C14660" t="s">
        <v>37</v>
      </c>
      <c r="D14660" t="s">
        <v>33</v>
      </c>
      <c r="E14660" t="s">
        <v>21</v>
      </c>
      <c r="F14660" t="s">
        <v>19</v>
      </c>
      <c r="G14660" s="1" t="str">
        <f t="shared" si="3368"/>
        <v>X</v>
      </c>
      <c r="H14660" s="1" t="str">
        <f t="shared" si="3368"/>
        <v>X</v>
      </c>
      <c r="I14660" s="1" t="str">
        <f t="shared" si="3368"/>
        <v>X</v>
      </c>
      <c r="J14660" s="1" t="str">
        <f t="shared" si="3368"/>
        <v>X</v>
      </c>
      <c r="K14660" s="1" t="str">
        <f t="shared" si="3368"/>
        <v>X</v>
      </c>
      <c r="L14660" s="1" t="str">
        <f t="shared" si="3368"/>
        <v>X</v>
      </c>
      <c r="M14660" s="1" t="str">
        <f t="shared" si="3368"/>
        <v>X</v>
      </c>
      <c r="N14660" t="s">
        <v>27</v>
      </c>
    </row>
    <row r="14661" spans="1:14" x14ac:dyDescent="0.25">
      <c r="A14661" t="s">
        <v>45</v>
      </c>
      <c r="B14661" t="s">
        <v>39</v>
      </c>
      <c r="C14661" t="s">
        <v>37</v>
      </c>
      <c r="D14661" t="s">
        <v>33</v>
      </c>
      <c r="E14661" t="s">
        <v>21</v>
      </c>
      <c r="F14661" t="s">
        <v>20</v>
      </c>
      <c r="G14661" s="1" t="str">
        <f t="shared" si="3368"/>
        <v>X</v>
      </c>
      <c r="H14661" s="1" t="str">
        <f t="shared" si="3368"/>
        <v>X</v>
      </c>
      <c r="I14661" s="1" t="str">
        <f t="shared" si="3368"/>
        <v>X</v>
      </c>
      <c r="J14661" s="1" t="str">
        <f t="shared" si="3368"/>
        <v>X</v>
      </c>
      <c r="K14661" s="1" t="str">
        <f t="shared" si="3368"/>
        <v>X</v>
      </c>
      <c r="L14661" s="1" t="str">
        <f t="shared" si="3368"/>
        <v>X</v>
      </c>
      <c r="M14661" s="1" t="str">
        <f t="shared" si="3368"/>
        <v>X</v>
      </c>
      <c r="N14661" t="s">
        <v>27</v>
      </c>
    </row>
    <row r="14662" spans="1:14" x14ac:dyDescent="0.25">
      <c r="A14662" t="s">
        <v>45</v>
      </c>
      <c r="B14662" t="s">
        <v>39</v>
      </c>
      <c r="C14662" t="s">
        <v>37</v>
      </c>
      <c r="D14662" t="s">
        <v>33</v>
      </c>
      <c r="E14662" t="s">
        <v>22</v>
      </c>
      <c r="F14662" t="s">
        <v>15</v>
      </c>
      <c r="G14662" s="1" t="str">
        <f t="shared" si="3368"/>
        <v>X</v>
      </c>
      <c r="H14662" s="1" t="str">
        <f t="shared" si="3368"/>
        <v>X</v>
      </c>
      <c r="I14662" s="1" t="str">
        <f t="shared" si="3368"/>
        <v>X</v>
      </c>
      <c r="J14662" s="1" t="str">
        <f t="shared" si="3368"/>
        <v>X</v>
      </c>
      <c r="K14662" s="1" t="str">
        <f t="shared" si="3368"/>
        <v>X</v>
      </c>
      <c r="L14662" s="1" t="str">
        <f t="shared" si="3368"/>
        <v>X</v>
      </c>
      <c r="M14662" s="1" t="str">
        <f t="shared" si="3368"/>
        <v>X</v>
      </c>
      <c r="N14662" t="s">
        <v>27</v>
      </c>
    </row>
    <row r="14663" spans="1:14" x14ac:dyDescent="0.25">
      <c r="A14663" t="s">
        <v>45</v>
      </c>
      <c r="B14663" t="s">
        <v>39</v>
      </c>
      <c r="C14663" t="s">
        <v>37</v>
      </c>
      <c r="D14663" t="s">
        <v>33</v>
      </c>
      <c r="E14663" t="s">
        <v>22</v>
      </c>
      <c r="F14663" t="s">
        <v>17</v>
      </c>
      <c r="G14663" s="1" t="str">
        <f t="shared" ref="G14663:M14664" si="3369">"..."</f>
        <v>...</v>
      </c>
      <c r="H14663" s="1" t="str">
        <f t="shared" si="3369"/>
        <v>...</v>
      </c>
      <c r="I14663" s="1" t="str">
        <f t="shared" si="3369"/>
        <v>...</v>
      </c>
      <c r="J14663" s="1" t="str">
        <f t="shared" si="3369"/>
        <v>...</v>
      </c>
      <c r="K14663" s="1" t="str">
        <f t="shared" si="3369"/>
        <v>...</v>
      </c>
      <c r="L14663" s="1" t="str">
        <f t="shared" si="3369"/>
        <v>...</v>
      </c>
      <c r="M14663" s="1" t="str">
        <f t="shared" si="3369"/>
        <v>...</v>
      </c>
      <c r="N14663" t="s">
        <v>30</v>
      </c>
    </row>
    <row r="14664" spans="1:14" x14ac:dyDescent="0.25">
      <c r="A14664" t="s">
        <v>45</v>
      </c>
      <c r="B14664" t="s">
        <v>39</v>
      </c>
      <c r="C14664" t="s">
        <v>37</v>
      </c>
      <c r="D14664" t="s">
        <v>33</v>
      </c>
      <c r="E14664" t="s">
        <v>22</v>
      </c>
      <c r="F14664" t="s">
        <v>18</v>
      </c>
      <c r="G14664" s="1" t="str">
        <f t="shared" si="3369"/>
        <v>...</v>
      </c>
      <c r="H14664" s="1" t="str">
        <f t="shared" si="3369"/>
        <v>...</v>
      </c>
      <c r="I14664" s="1" t="str">
        <f t="shared" si="3369"/>
        <v>...</v>
      </c>
      <c r="J14664" s="1" t="str">
        <f t="shared" si="3369"/>
        <v>...</v>
      </c>
      <c r="K14664" s="1" t="str">
        <f t="shared" si="3369"/>
        <v>...</v>
      </c>
      <c r="L14664" s="1" t="str">
        <f t="shared" si="3369"/>
        <v>...</v>
      </c>
      <c r="M14664" s="1" t="str">
        <f t="shared" si="3369"/>
        <v>...</v>
      </c>
      <c r="N14664" t="s">
        <v>30</v>
      </c>
    </row>
    <row r="14665" spans="1:14" x14ac:dyDescent="0.25">
      <c r="A14665" t="s">
        <v>45</v>
      </c>
      <c r="B14665" t="s">
        <v>39</v>
      </c>
      <c r="C14665" t="s">
        <v>37</v>
      </c>
      <c r="D14665" t="s">
        <v>33</v>
      </c>
      <c r="E14665" t="s">
        <v>22</v>
      </c>
      <c r="F14665" t="s">
        <v>19</v>
      </c>
      <c r="G14665" s="1" t="str">
        <f t="shared" ref="G14665:M14666" si="3370">"X"</f>
        <v>X</v>
      </c>
      <c r="H14665" s="1" t="str">
        <f t="shared" si="3370"/>
        <v>X</v>
      </c>
      <c r="I14665" s="1" t="str">
        <f t="shared" si="3370"/>
        <v>X</v>
      </c>
      <c r="J14665" s="1" t="str">
        <f t="shared" si="3370"/>
        <v>X</v>
      </c>
      <c r="K14665" s="1" t="str">
        <f t="shared" si="3370"/>
        <v>X</v>
      </c>
      <c r="L14665" s="1" t="str">
        <f t="shared" si="3370"/>
        <v>X</v>
      </c>
      <c r="M14665" s="1" t="str">
        <f t="shared" si="3370"/>
        <v>X</v>
      </c>
      <c r="N14665" t="s">
        <v>27</v>
      </c>
    </row>
    <row r="14666" spans="1:14" x14ac:dyDescent="0.25">
      <c r="A14666" t="s">
        <v>45</v>
      </c>
      <c r="B14666" t="s">
        <v>39</v>
      </c>
      <c r="C14666" t="s">
        <v>37</v>
      </c>
      <c r="D14666" t="s">
        <v>33</v>
      </c>
      <c r="E14666" t="s">
        <v>22</v>
      </c>
      <c r="F14666" t="s">
        <v>20</v>
      </c>
      <c r="G14666" s="1" t="str">
        <f t="shared" si="3370"/>
        <v>X</v>
      </c>
      <c r="H14666" s="1" t="str">
        <f t="shared" si="3370"/>
        <v>X</v>
      </c>
      <c r="I14666" s="1" t="str">
        <f t="shared" si="3370"/>
        <v>X</v>
      </c>
      <c r="J14666" s="1" t="str">
        <f t="shared" si="3370"/>
        <v>X</v>
      </c>
      <c r="K14666" s="1" t="str">
        <f t="shared" si="3370"/>
        <v>X</v>
      </c>
      <c r="L14666" s="1" t="str">
        <f t="shared" si="3370"/>
        <v>X</v>
      </c>
      <c r="M14666" s="1" t="str">
        <f t="shared" si="3370"/>
        <v>X</v>
      </c>
      <c r="N14666" t="s">
        <v>27</v>
      </c>
    </row>
    <row r="14667" spans="1:14" x14ac:dyDescent="0.25">
      <c r="A14667" t="s">
        <v>45</v>
      </c>
      <c r="B14667" t="s">
        <v>39</v>
      </c>
      <c r="C14667" t="s">
        <v>37</v>
      </c>
      <c r="D14667" t="s">
        <v>33</v>
      </c>
      <c r="E14667" t="s">
        <v>23</v>
      </c>
      <c r="F14667" t="s">
        <v>15</v>
      </c>
      <c r="G14667" s="2">
        <f>VALUE(93.23)</f>
        <v>93.23</v>
      </c>
      <c r="H14667" s="3">
        <f>VALUE(89.68)</f>
        <v>89.68</v>
      </c>
      <c r="I14667" s="4">
        <f>VALUE(3356)</f>
        <v>3356</v>
      </c>
      <c r="J14667" s="5">
        <f>VALUE(4820)</f>
        <v>4820</v>
      </c>
      <c r="K14667" s="1">
        <f>VALUE(5738)</f>
        <v>5738</v>
      </c>
      <c r="L14667" s="1">
        <f>VALUE(5981)</f>
        <v>5981</v>
      </c>
      <c r="M14667" s="1">
        <f>VALUE(6345)</f>
        <v>6345</v>
      </c>
      <c r="N14667" t="s">
        <v>25</v>
      </c>
    </row>
    <row r="14668" spans="1:14" x14ac:dyDescent="0.25">
      <c r="A14668" t="s">
        <v>45</v>
      </c>
      <c r="B14668" t="s">
        <v>39</v>
      </c>
      <c r="C14668" t="s">
        <v>37</v>
      </c>
      <c r="D14668" t="s">
        <v>33</v>
      </c>
      <c r="E14668" t="s">
        <v>23</v>
      </c>
      <c r="F14668" t="s">
        <v>17</v>
      </c>
      <c r="G14668" s="1" t="str">
        <f t="shared" ref="G14668:M14669" si="3371">"..."</f>
        <v>...</v>
      </c>
      <c r="H14668" s="1" t="str">
        <f t="shared" si="3371"/>
        <v>...</v>
      </c>
      <c r="I14668" s="1" t="str">
        <f t="shared" si="3371"/>
        <v>...</v>
      </c>
      <c r="J14668" s="1" t="str">
        <f t="shared" si="3371"/>
        <v>...</v>
      </c>
      <c r="K14668" s="1" t="str">
        <f t="shared" si="3371"/>
        <v>...</v>
      </c>
      <c r="L14668" s="1" t="str">
        <f t="shared" si="3371"/>
        <v>...</v>
      </c>
      <c r="M14668" s="1" t="str">
        <f t="shared" si="3371"/>
        <v>...</v>
      </c>
      <c r="N14668" t="s">
        <v>30</v>
      </c>
    </row>
    <row r="14669" spans="1:14" x14ac:dyDescent="0.25">
      <c r="A14669" t="s">
        <v>45</v>
      </c>
      <c r="B14669" t="s">
        <v>39</v>
      </c>
      <c r="C14669" t="s">
        <v>37</v>
      </c>
      <c r="D14669" t="s">
        <v>33</v>
      </c>
      <c r="E14669" t="s">
        <v>23</v>
      </c>
      <c r="F14669" t="s">
        <v>18</v>
      </c>
      <c r="G14669" s="1" t="str">
        <f t="shared" si="3371"/>
        <v>...</v>
      </c>
      <c r="H14669" s="1" t="str">
        <f t="shared" si="3371"/>
        <v>...</v>
      </c>
      <c r="I14669" s="1" t="str">
        <f t="shared" si="3371"/>
        <v>...</v>
      </c>
      <c r="J14669" s="1" t="str">
        <f t="shared" si="3371"/>
        <v>...</v>
      </c>
      <c r="K14669" s="1" t="str">
        <f t="shared" si="3371"/>
        <v>...</v>
      </c>
      <c r="L14669" s="1" t="str">
        <f t="shared" si="3371"/>
        <v>...</v>
      </c>
      <c r="M14669" s="1" t="str">
        <f t="shared" si="3371"/>
        <v>...</v>
      </c>
      <c r="N14669" t="s">
        <v>30</v>
      </c>
    </row>
    <row r="14670" spans="1:14" x14ac:dyDescent="0.25">
      <c r="A14670" t="s">
        <v>45</v>
      </c>
      <c r="B14670" t="s">
        <v>39</v>
      </c>
      <c r="C14670" t="s">
        <v>37</v>
      </c>
      <c r="D14670" t="s">
        <v>33</v>
      </c>
      <c r="E14670" t="s">
        <v>23</v>
      </c>
      <c r="F14670" t="s">
        <v>19</v>
      </c>
      <c r="G14670" s="1" t="str">
        <f t="shared" ref="G14670:M14671" si="3372">"X"</f>
        <v>X</v>
      </c>
      <c r="H14670" s="1" t="str">
        <f t="shared" si="3372"/>
        <v>X</v>
      </c>
      <c r="I14670" s="1" t="str">
        <f t="shared" si="3372"/>
        <v>X</v>
      </c>
      <c r="J14670" s="1" t="str">
        <f t="shared" si="3372"/>
        <v>X</v>
      </c>
      <c r="K14670" s="1" t="str">
        <f t="shared" si="3372"/>
        <v>X</v>
      </c>
      <c r="L14670" s="1" t="str">
        <f t="shared" si="3372"/>
        <v>X</v>
      </c>
      <c r="M14670" s="1" t="str">
        <f t="shared" si="3372"/>
        <v>X</v>
      </c>
      <c r="N14670" t="s">
        <v>27</v>
      </c>
    </row>
    <row r="14671" spans="1:14" x14ac:dyDescent="0.25">
      <c r="A14671" t="s">
        <v>45</v>
      </c>
      <c r="B14671" t="s">
        <v>39</v>
      </c>
      <c r="C14671" t="s">
        <v>37</v>
      </c>
      <c r="D14671" t="s">
        <v>33</v>
      </c>
      <c r="E14671" t="s">
        <v>23</v>
      </c>
      <c r="F14671" t="s">
        <v>20</v>
      </c>
      <c r="G14671" s="1" t="str">
        <f t="shared" si="3372"/>
        <v>X</v>
      </c>
      <c r="H14671" s="1" t="str">
        <f t="shared" si="3372"/>
        <v>X</v>
      </c>
      <c r="I14671" s="1" t="str">
        <f t="shared" si="3372"/>
        <v>X</v>
      </c>
      <c r="J14671" s="1" t="str">
        <f t="shared" si="3372"/>
        <v>X</v>
      </c>
      <c r="K14671" s="1" t="str">
        <f t="shared" si="3372"/>
        <v>X</v>
      </c>
      <c r="L14671" s="1" t="str">
        <f t="shared" si="3372"/>
        <v>X</v>
      </c>
      <c r="M14671" s="1" t="str">
        <f t="shared" si="3372"/>
        <v>X</v>
      </c>
      <c r="N14671" t="s">
        <v>27</v>
      </c>
    </row>
    <row r="14672" spans="1:14" x14ac:dyDescent="0.25">
      <c r="A14672" t="s">
        <v>45</v>
      </c>
      <c r="B14672" t="s">
        <v>39</v>
      </c>
      <c r="C14672" t="s">
        <v>37</v>
      </c>
      <c r="D14672" t="s">
        <v>33</v>
      </c>
      <c r="E14672" t="s">
        <v>26</v>
      </c>
      <c r="F14672" t="s">
        <v>15</v>
      </c>
      <c r="G14672" s="1" t="str">
        <f t="shared" ref="G14672:M14676" si="3373">"..."</f>
        <v>...</v>
      </c>
      <c r="H14672" s="1" t="str">
        <f t="shared" si="3373"/>
        <v>...</v>
      </c>
      <c r="I14672" s="1" t="str">
        <f t="shared" si="3373"/>
        <v>...</v>
      </c>
      <c r="J14672" s="1" t="str">
        <f t="shared" si="3373"/>
        <v>...</v>
      </c>
      <c r="K14672" s="1" t="str">
        <f t="shared" si="3373"/>
        <v>...</v>
      </c>
      <c r="L14672" s="1" t="str">
        <f t="shared" si="3373"/>
        <v>...</v>
      </c>
      <c r="M14672" s="1" t="str">
        <f t="shared" si="3373"/>
        <v>...</v>
      </c>
      <c r="N14672" t="s">
        <v>30</v>
      </c>
    </row>
    <row r="14673" spans="1:14" x14ac:dyDescent="0.25">
      <c r="A14673" t="s">
        <v>45</v>
      </c>
      <c r="B14673" t="s">
        <v>39</v>
      </c>
      <c r="C14673" t="s">
        <v>37</v>
      </c>
      <c r="D14673" t="s">
        <v>33</v>
      </c>
      <c r="E14673" t="s">
        <v>26</v>
      </c>
      <c r="F14673" t="s">
        <v>17</v>
      </c>
      <c r="G14673" s="1" t="str">
        <f t="shared" si="3373"/>
        <v>...</v>
      </c>
      <c r="H14673" s="1" t="str">
        <f t="shared" si="3373"/>
        <v>...</v>
      </c>
      <c r="I14673" s="1" t="str">
        <f t="shared" si="3373"/>
        <v>...</v>
      </c>
      <c r="J14673" s="1" t="str">
        <f t="shared" si="3373"/>
        <v>...</v>
      </c>
      <c r="K14673" s="1" t="str">
        <f t="shared" si="3373"/>
        <v>...</v>
      </c>
      <c r="L14673" s="1" t="str">
        <f t="shared" si="3373"/>
        <v>...</v>
      </c>
      <c r="M14673" s="1" t="str">
        <f t="shared" si="3373"/>
        <v>...</v>
      </c>
      <c r="N14673" t="s">
        <v>30</v>
      </c>
    </row>
    <row r="14674" spans="1:14" x14ac:dyDescent="0.25">
      <c r="A14674" t="s">
        <v>45</v>
      </c>
      <c r="B14674" t="s">
        <v>39</v>
      </c>
      <c r="C14674" t="s">
        <v>37</v>
      </c>
      <c r="D14674" t="s">
        <v>33</v>
      </c>
      <c r="E14674" t="s">
        <v>26</v>
      </c>
      <c r="F14674" t="s">
        <v>18</v>
      </c>
      <c r="G14674" s="1" t="str">
        <f t="shared" si="3373"/>
        <v>...</v>
      </c>
      <c r="H14674" s="1" t="str">
        <f t="shared" si="3373"/>
        <v>...</v>
      </c>
      <c r="I14674" s="1" t="str">
        <f t="shared" si="3373"/>
        <v>...</v>
      </c>
      <c r="J14674" s="1" t="str">
        <f t="shared" si="3373"/>
        <v>...</v>
      </c>
      <c r="K14674" s="1" t="str">
        <f t="shared" si="3373"/>
        <v>...</v>
      </c>
      <c r="L14674" s="1" t="str">
        <f t="shared" si="3373"/>
        <v>...</v>
      </c>
      <c r="M14674" s="1" t="str">
        <f t="shared" si="3373"/>
        <v>...</v>
      </c>
      <c r="N14674" t="s">
        <v>30</v>
      </c>
    </row>
    <row r="14675" spans="1:14" x14ac:dyDescent="0.25">
      <c r="A14675" t="s">
        <v>45</v>
      </c>
      <c r="B14675" t="s">
        <v>39</v>
      </c>
      <c r="C14675" t="s">
        <v>37</v>
      </c>
      <c r="D14675" t="s">
        <v>33</v>
      </c>
      <c r="E14675" t="s">
        <v>26</v>
      </c>
      <c r="F14675" t="s">
        <v>19</v>
      </c>
      <c r="G14675" s="1" t="str">
        <f t="shared" si="3373"/>
        <v>...</v>
      </c>
      <c r="H14675" s="1" t="str">
        <f t="shared" si="3373"/>
        <v>...</v>
      </c>
      <c r="I14675" s="1" t="str">
        <f t="shared" si="3373"/>
        <v>...</v>
      </c>
      <c r="J14675" s="1" t="str">
        <f t="shared" si="3373"/>
        <v>...</v>
      </c>
      <c r="K14675" s="1" t="str">
        <f t="shared" si="3373"/>
        <v>...</v>
      </c>
      <c r="L14675" s="1" t="str">
        <f t="shared" si="3373"/>
        <v>...</v>
      </c>
      <c r="M14675" s="1" t="str">
        <f t="shared" si="3373"/>
        <v>...</v>
      </c>
      <c r="N14675" t="s">
        <v>30</v>
      </c>
    </row>
    <row r="14676" spans="1:14" x14ac:dyDescent="0.25">
      <c r="A14676" t="s">
        <v>45</v>
      </c>
      <c r="B14676" t="s">
        <v>39</v>
      </c>
      <c r="C14676" t="s">
        <v>37</v>
      </c>
      <c r="D14676" t="s">
        <v>33</v>
      </c>
      <c r="E14676" t="s">
        <v>26</v>
      </c>
      <c r="F14676" t="s">
        <v>20</v>
      </c>
      <c r="G14676" s="1" t="str">
        <f t="shared" si="3373"/>
        <v>...</v>
      </c>
      <c r="H14676" s="1" t="str">
        <f t="shared" si="3373"/>
        <v>...</v>
      </c>
      <c r="I14676" s="1" t="str">
        <f t="shared" si="3373"/>
        <v>...</v>
      </c>
      <c r="J14676" s="1" t="str">
        <f t="shared" si="3373"/>
        <v>...</v>
      </c>
      <c r="K14676" s="1" t="str">
        <f t="shared" si="3373"/>
        <v>...</v>
      </c>
      <c r="L14676" s="1" t="str">
        <f t="shared" si="3373"/>
        <v>...</v>
      </c>
      <c r="M14676" s="1" t="str">
        <f t="shared" si="3373"/>
        <v>...</v>
      </c>
      <c r="N14676" t="s">
        <v>30</v>
      </c>
    </row>
    <row r="14677" spans="1:14" x14ac:dyDescent="0.25">
      <c r="A14677" t="s">
        <v>45</v>
      </c>
      <c r="B14677" t="s">
        <v>39</v>
      </c>
      <c r="C14677" t="s">
        <v>37</v>
      </c>
      <c r="D14677" t="s">
        <v>34</v>
      </c>
      <c r="E14677" t="s">
        <v>15</v>
      </c>
      <c r="F14677" t="s">
        <v>15</v>
      </c>
      <c r="G14677" s="2">
        <f>VALUE(405.58)</f>
        <v>405.58</v>
      </c>
      <c r="H14677" s="3">
        <f>VALUE(344.41)</f>
        <v>344.41</v>
      </c>
      <c r="I14677" s="1">
        <f>VALUE(3552)</f>
        <v>3552</v>
      </c>
      <c r="J14677" s="1">
        <f>VALUE(4173)</f>
        <v>4173</v>
      </c>
      <c r="K14677" s="1">
        <f>VALUE(5031)</f>
        <v>5031</v>
      </c>
      <c r="L14677" s="1">
        <f>VALUE(6298)</f>
        <v>6298</v>
      </c>
      <c r="M14677" s="8">
        <f>VALUE(7826)</f>
        <v>7826</v>
      </c>
      <c r="N14677" t="s">
        <v>25</v>
      </c>
    </row>
    <row r="14678" spans="1:14" x14ac:dyDescent="0.25">
      <c r="A14678" t="s">
        <v>45</v>
      </c>
      <c r="B14678" t="s">
        <v>39</v>
      </c>
      <c r="C14678" t="s">
        <v>37</v>
      </c>
      <c r="D14678" t="s">
        <v>34</v>
      </c>
      <c r="E14678" t="s">
        <v>15</v>
      </c>
      <c r="F14678" t="s">
        <v>17</v>
      </c>
      <c r="G14678" s="1" t="str">
        <f t="shared" ref="G14678:M14680" si="3374">"X"</f>
        <v>X</v>
      </c>
      <c r="H14678" s="1" t="str">
        <f t="shared" si="3374"/>
        <v>X</v>
      </c>
      <c r="I14678" s="1" t="str">
        <f t="shared" si="3374"/>
        <v>X</v>
      </c>
      <c r="J14678" s="1" t="str">
        <f t="shared" si="3374"/>
        <v>X</v>
      </c>
      <c r="K14678" s="1" t="str">
        <f t="shared" si="3374"/>
        <v>X</v>
      </c>
      <c r="L14678" s="1" t="str">
        <f t="shared" si="3374"/>
        <v>X</v>
      </c>
      <c r="M14678" s="1" t="str">
        <f t="shared" si="3374"/>
        <v>X</v>
      </c>
      <c r="N14678" t="s">
        <v>27</v>
      </c>
    </row>
    <row r="14679" spans="1:14" x14ac:dyDescent="0.25">
      <c r="A14679" t="s">
        <v>45</v>
      </c>
      <c r="B14679" t="s">
        <v>39</v>
      </c>
      <c r="C14679" t="s">
        <v>37</v>
      </c>
      <c r="D14679" t="s">
        <v>34</v>
      </c>
      <c r="E14679" t="s">
        <v>15</v>
      </c>
      <c r="F14679" t="s">
        <v>18</v>
      </c>
      <c r="G14679" s="1" t="str">
        <f t="shared" si="3374"/>
        <v>X</v>
      </c>
      <c r="H14679" s="1" t="str">
        <f t="shared" si="3374"/>
        <v>X</v>
      </c>
      <c r="I14679" s="1" t="str">
        <f t="shared" si="3374"/>
        <v>X</v>
      </c>
      <c r="J14679" s="1" t="str">
        <f t="shared" si="3374"/>
        <v>X</v>
      </c>
      <c r="K14679" s="1" t="str">
        <f t="shared" si="3374"/>
        <v>X</v>
      </c>
      <c r="L14679" s="1" t="str">
        <f t="shared" si="3374"/>
        <v>X</v>
      </c>
      <c r="M14679" s="1" t="str">
        <f t="shared" si="3374"/>
        <v>X</v>
      </c>
      <c r="N14679" t="s">
        <v>27</v>
      </c>
    </row>
    <row r="14680" spans="1:14" x14ac:dyDescent="0.25">
      <c r="A14680" t="s">
        <v>45</v>
      </c>
      <c r="B14680" t="s">
        <v>39</v>
      </c>
      <c r="C14680" t="s">
        <v>37</v>
      </c>
      <c r="D14680" t="s">
        <v>34</v>
      </c>
      <c r="E14680" t="s">
        <v>15</v>
      </c>
      <c r="F14680" t="s">
        <v>19</v>
      </c>
      <c r="G14680" s="1" t="str">
        <f t="shared" si="3374"/>
        <v>X</v>
      </c>
      <c r="H14680" s="1" t="str">
        <f t="shared" si="3374"/>
        <v>X</v>
      </c>
      <c r="I14680" s="1" t="str">
        <f t="shared" si="3374"/>
        <v>X</v>
      </c>
      <c r="J14680" s="1" t="str">
        <f t="shared" si="3374"/>
        <v>X</v>
      </c>
      <c r="K14680" s="1" t="str">
        <f t="shared" si="3374"/>
        <v>X</v>
      </c>
      <c r="L14680" s="1" t="str">
        <f t="shared" si="3374"/>
        <v>X</v>
      </c>
      <c r="M14680" s="1" t="str">
        <f t="shared" si="3374"/>
        <v>X</v>
      </c>
      <c r="N14680" t="s">
        <v>27</v>
      </c>
    </row>
    <row r="14681" spans="1:14" x14ac:dyDescent="0.25">
      <c r="A14681" t="s">
        <v>45</v>
      </c>
      <c r="B14681" t="s">
        <v>39</v>
      </c>
      <c r="C14681" t="s">
        <v>37</v>
      </c>
      <c r="D14681" t="s">
        <v>34</v>
      </c>
      <c r="E14681" t="s">
        <v>15</v>
      </c>
      <c r="F14681" t="s">
        <v>20</v>
      </c>
      <c r="G14681" s="2">
        <f>VALUE(316.02)</f>
        <v>316.02</v>
      </c>
      <c r="H14681" s="3">
        <f>VALUE(268.21)</f>
        <v>268.20999999999998</v>
      </c>
      <c r="I14681" s="1">
        <f>VALUE(3496)</f>
        <v>3496</v>
      </c>
      <c r="J14681" s="1">
        <f>VALUE(4079)</f>
        <v>4079</v>
      </c>
      <c r="K14681" s="1">
        <f>VALUE(4785)</f>
        <v>4785</v>
      </c>
      <c r="L14681" s="1">
        <f>VALUE(6018)</f>
        <v>6018</v>
      </c>
      <c r="M14681" s="1">
        <f>VALUE(6394)</f>
        <v>6394</v>
      </c>
      <c r="N14681" t="s">
        <v>25</v>
      </c>
    </row>
    <row r="14682" spans="1:14" x14ac:dyDescent="0.25">
      <c r="A14682" t="s">
        <v>45</v>
      </c>
      <c r="B14682" t="s">
        <v>39</v>
      </c>
      <c r="C14682" t="s">
        <v>37</v>
      </c>
      <c r="D14682" t="s">
        <v>34</v>
      </c>
      <c r="E14682" t="s">
        <v>21</v>
      </c>
      <c r="F14682" t="s">
        <v>15</v>
      </c>
      <c r="G14682" s="1" t="str">
        <f t="shared" ref="G14682:M14691" si="3375">"X"</f>
        <v>X</v>
      </c>
      <c r="H14682" s="1" t="str">
        <f t="shared" si="3375"/>
        <v>X</v>
      </c>
      <c r="I14682" s="1" t="str">
        <f t="shared" si="3375"/>
        <v>X</v>
      </c>
      <c r="J14682" s="1" t="str">
        <f t="shared" si="3375"/>
        <v>X</v>
      </c>
      <c r="K14682" s="1" t="str">
        <f t="shared" si="3375"/>
        <v>X</v>
      </c>
      <c r="L14682" s="1" t="str">
        <f t="shared" si="3375"/>
        <v>X</v>
      </c>
      <c r="M14682" s="1" t="str">
        <f t="shared" si="3375"/>
        <v>X</v>
      </c>
      <c r="N14682" t="s">
        <v>27</v>
      </c>
    </row>
    <row r="14683" spans="1:14" x14ac:dyDescent="0.25">
      <c r="A14683" t="s">
        <v>45</v>
      </c>
      <c r="B14683" t="s">
        <v>39</v>
      </c>
      <c r="C14683" t="s">
        <v>37</v>
      </c>
      <c r="D14683" t="s">
        <v>34</v>
      </c>
      <c r="E14683" t="s">
        <v>21</v>
      </c>
      <c r="F14683" t="s">
        <v>17</v>
      </c>
      <c r="G14683" s="1" t="str">
        <f t="shared" si="3375"/>
        <v>X</v>
      </c>
      <c r="H14683" s="1" t="str">
        <f t="shared" si="3375"/>
        <v>X</v>
      </c>
      <c r="I14683" s="1" t="str">
        <f t="shared" si="3375"/>
        <v>X</v>
      </c>
      <c r="J14683" s="1" t="str">
        <f t="shared" si="3375"/>
        <v>X</v>
      </c>
      <c r="K14683" s="1" t="str">
        <f t="shared" si="3375"/>
        <v>X</v>
      </c>
      <c r="L14683" s="1" t="str">
        <f t="shared" si="3375"/>
        <v>X</v>
      </c>
      <c r="M14683" s="1" t="str">
        <f t="shared" si="3375"/>
        <v>X</v>
      </c>
      <c r="N14683" t="s">
        <v>27</v>
      </c>
    </row>
    <row r="14684" spans="1:14" x14ac:dyDescent="0.25">
      <c r="A14684" t="s">
        <v>45</v>
      </c>
      <c r="B14684" t="s">
        <v>39</v>
      </c>
      <c r="C14684" t="s">
        <v>37</v>
      </c>
      <c r="D14684" t="s">
        <v>34</v>
      </c>
      <c r="E14684" t="s">
        <v>21</v>
      </c>
      <c r="F14684" t="s">
        <v>18</v>
      </c>
      <c r="G14684" s="1" t="str">
        <f t="shared" si="3375"/>
        <v>X</v>
      </c>
      <c r="H14684" s="1" t="str">
        <f t="shared" si="3375"/>
        <v>X</v>
      </c>
      <c r="I14684" s="1" t="str">
        <f t="shared" si="3375"/>
        <v>X</v>
      </c>
      <c r="J14684" s="1" t="str">
        <f t="shared" si="3375"/>
        <v>X</v>
      </c>
      <c r="K14684" s="1" t="str">
        <f t="shared" si="3375"/>
        <v>X</v>
      </c>
      <c r="L14684" s="1" t="str">
        <f t="shared" si="3375"/>
        <v>X</v>
      </c>
      <c r="M14684" s="1" t="str">
        <f t="shared" si="3375"/>
        <v>X</v>
      </c>
      <c r="N14684" t="s">
        <v>27</v>
      </c>
    </row>
    <row r="14685" spans="1:14" x14ac:dyDescent="0.25">
      <c r="A14685" t="s">
        <v>45</v>
      </c>
      <c r="B14685" t="s">
        <v>39</v>
      </c>
      <c r="C14685" t="s">
        <v>37</v>
      </c>
      <c r="D14685" t="s">
        <v>34</v>
      </c>
      <c r="E14685" t="s">
        <v>21</v>
      </c>
      <c r="F14685" t="s">
        <v>19</v>
      </c>
      <c r="G14685" s="1" t="str">
        <f t="shared" si="3375"/>
        <v>X</v>
      </c>
      <c r="H14685" s="1" t="str">
        <f t="shared" si="3375"/>
        <v>X</v>
      </c>
      <c r="I14685" s="1" t="str">
        <f t="shared" si="3375"/>
        <v>X</v>
      </c>
      <c r="J14685" s="1" t="str">
        <f t="shared" si="3375"/>
        <v>X</v>
      </c>
      <c r="K14685" s="1" t="str">
        <f t="shared" si="3375"/>
        <v>X</v>
      </c>
      <c r="L14685" s="1" t="str">
        <f t="shared" si="3375"/>
        <v>X</v>
      </c>
      <c r="M14685" s="1" t="str">
        <f t="shared" si="3375"/>
        <v>X</v>
      </c>
      <c r="N14685" t="s">
        <v>27</v>
      </c>
    </row>
    <row r="14686" spans="1:14" x14ac:dyDescent="0.25">
      <c r="A14686" t="s">
        <v>45</v>
      </c>
      <c r="B14686" t="s">
        <v>39</v>
      </c>
      <c r="C14686" t="s">
        <v>37</v>
      </c>
      <c r="D14686" t="s">
        <v>34</v>
      </c>
      <c r="E14686" t="s">
        <v>21</v>
      </c>
      <c r="F14686" t="s">
        <v>20</v>
      </c>
      <c r="G14686" s="1" t="str">
        <f t="shared" si="3375"/>
        <v>X</v>
      </c>
      <c r="H14686" s="1" t="str">
        <f t="shared" si="3375"/>
        <v>X</v>
      </c>
      <c r="I14686" s="1" t="str">
        <f t="shared" si="3375"/>
        <v>X</v>
      </c>
      <c r="J14686" s="1" t="str">
        <f t="shared" si="3375"/>
        <v>X</v>
      </c>
      <c r="K14686" s="1" t="str">
        <f t="shared" si="3375"/>
        <v>X</v>
      </c>
      <c r="L14686" s="1" t="str">
        <f t="shared" si="3375"/>
        <v>X</v>
      </c>
      <c r="M14686" s="1" t="str">
        <f t="shared" si="3375"/>
        <v>X</v>
      </c>
      <c r="N14686" t="s">
        <v>27</v>
      </c>
    </row>
    <row r="14687" spans="1:14" x14ac:dyDescent="0.25">
      <c r="A14687" t="s">
        <v>45</v>
      </c>
      <c r="B14687" t="s">
        <v>39</v>
      </c>
      <c r="C14687" t="s">
        <v>37</v>
      </c>
      <c r="D14687" t="s">
        <v>34</v>
      </c>
      <c r="E14687" t="s">
        <v>22</v>
      </c>
      <c r="F14687" t="s">
        <v>15</v>
      </c>
      <c r="G14687" s="1" t="str">
        <f t="shared" si="3375"/>
        <v>X</v>
      </c>
      <c r="H14687" s="1" t="str">
        <f t="shared" si="3375"/>
        <v>X</v>
      </c>
      <c r="I14687" s="1" t="str">
        <f t="shared" si="3375"/>
        <v>X</v>
      </c>
      <c r="J14687" s="1" t="str">
        <f t="shared" si="3375"/>
        <v>X</v>
      </c>
      <c r="K14687" s="1" t="str">
        <f t="shared" si="3375"/>
        <v>X</v>
      </c>
      <c r="L14687" s="1" t="str">
        <f t="shared" si="3375"/>
        <v>X</v>
      </c>
      <c r="M14687" s="1" t="str">
        <f t="shared" si="3375"/>
        <v>X</v>
      </c>
      <c r="N14687" t="s">
        <v>27</v>
      </c>
    </row>
    <row r="14688" spans="1:14" x14ac:dyDescent="0.25">
      <c r="A14688" t="s">
        <v>45</v>
      </c>
      <c r="B14688" t="s">
        <v>39</v>
      </c>
      <c r="C14688" t="s">
        <v>37</v>
      </c>
      <c r="D14688" t="s">
        <v>34</v>
      </c>
      <c r="E14688" t="s">
        <v>22</v>
      </c>
      <c r="F14688" t="s">
        <v>17</v>
      </c>
      <c r="G14688" s="1" t="str">
        <f t="shared" si="3375"/>
        <v>X</v>
      </c>
      <c r="H14688" s="1" t="str">
        <f t="shared" si="3375"/>
        <v>X</v>
      </c>
      <c r="I14688" s="1" t="str">
        <f t="shared" si="3375"/>
        <v>X</v>
      </c>
      <c r="J14688" s="1" t="str">
        <f t="shared" si="3375"/>
        <v>X</v>
      </c>
      <c r="K14688" s="1" t="str">
        <f t="shared" si="3375"/>
        <v>X</v>
      </c>
      <c r="L14688" s="1" t="str">
        <f t="shared" si="3375"/>
        <v>X</v>
      </c>
      <c r="M14688" s="1" t="str">
        <f t="shared" si="3375"/>
        <v>X</v>
      </c>
      <c r="N14688" t="s">
        <v>27</v>
      </c>
    </row>
    <row r="14689" spans="1:14" x14ac:dyDescent="0.25">
      <c r="A14689" t="s">
        <v>45</v>
      </c>
      <c r="B14689" t="s">
        <v>39</v>
      </c>
      <c r="C14689" t="s">
        <v>37</v>
      </c>
      <c r="D14689" t="s">
        <v>34</v>
      </c>
      <c r="E14689" t="s">
        <v>22</v>
      </c>
      <c r="F14689" t="s">
        <v>18</v>
      </c>
      <c r="G14689" s="1" t="str">
        <f t="shared" si="3375"/>
        <v>X</v>
      </c>
      <c r="H14689" s="1" t="str">
        <f t="shared" si="3375"/>
        <v>X</v>
      </c>
      <c r="I14689" s="1" t="str">
        <f t="shared" si="3375"/>
        <v>X</v>
      </c>
      <c r="J14689" s="1" t="str">
        <f t="shared" si="3375"/>
        <v>X</v>
      </c>
      <c r="K14689" s="1" t="str">
        <f t="shared" si="3375"/>
        <v>X</v>
      </c>
      <c r="L14689" s="1" t="str">
        <f t="shared" si="3375"/>
        <v>X</v>
      </c>
      <c r="M14689" s="1" t="str">
        <f t="shared" si="3375"/>
        <v>X</v>
      </c>
      <c r="N14689" t="s">
        <v>27</v>
      </c>
    </row>
    <row r="14690" spans="1:14" x14ac:dyDescent="0.25">
      <c r="A14690" t="s">
        <v>45</v>
      </c>
      <c r="B14690" t="s">
        <v>39</v>
      </c>
      <c r="C14690" t="s">
        <v>37</v>
      </c>
      <c r="D14690" t="s">
        <v>34</v>
      </c>
      <c r="E14690" t="s">
        <v>22</v>
      </c>
      <c r="F14690" t="s">
        <v>19</v>
      </c>
      <c r="G14690" s="1" t="str">
        <f t="shared" si="3375"/>
        <v>X</v>
      </c>
      <c r="H14690" s="1" t="str">
        <f t="shared" si="3375"/>
        <v>X</v>
      </c>
      <c r="I14690" s="1" t="str">
        <f t="shared" si="3375"/>
        <v>X</v>
      </c>
      <c r="J14690" s="1" t="str">
        <f t="shared" si="3375"/>
        <v>X</v>
      </c>
      <c r="K14690" s="1" t="str">
        <f t="shared" si="3375"/>
        <v>X</v>
      </c>
      <c r="L14690" s="1" t="str">
        <f t="shared" si="3375"/>
        <v>X</v>
      </c>
      <c r="M14690" s="1" t="str">
        <f t="shared" si="3375"/>
        <v>X</v>
      </c>
      <c r="N14690" t="s">
        <v>27</v>
      </c>
    </row>
    <row r="14691" spans="1:14" x14ac:dyDescent="0.25">
      <c r="A14691" t="s">
        <v>45</v>
      </c>
      <c r="B14691" t="s">
        <v>39</v>
      </c>
      <c r="C14691" t="s">
        <v>37</v>
      </c>
      <c r="D14691" t="s">
        <v>34</v>
      </c>
      <c r="E14691" t="s">
        <v>22</v>
      </c>
      <c r="F14691" t="s">
        <v>20</v>
      </c>
      <c r="G14691" s="1" t="str">
        <f t="shared" si="3375"/>
        <v>X</v>
      </c>
      <c r="H14691" s="1" t="str">
        <f t="shared" si="3375"/>
        <v>X</v>
      </c>
      <c r="I14691" s="1" t="str">
        <f t="shared" si="3375"/>
        <v>X</v>
      </c>
      <c r="J14691" s="1" t="str">
        <f t="shared" si="3375"/>
        <v>X</v>
      </c>
      <c r="K14691" s="1" t="str">
        <f t="shared" si="3375"/>
        <v>X</v>
      </c>
      <c r="L14691" s="1" t="str">
        <f t="shared" si="3375"/>
        <v>X</v>
      </c>
      <c r="M14691" s="1" t="str">
        <f t="shared" si="3375"/>
        <v>X</v>
      </c>
      <c r="N14691" t="s">
        <v>27</v>
      </c>
    </row>
    <row r="14692" spans="1:14" x14ac:dyDescent="0.25">
      <c r="A14692" t="s">
        <v>45</v>
      </c>
      <c r="B14692" t="s">
        <v>39</v>
      </c>
      <c r="C14692" t="s">
        <v>37</v>
      </c>
      <c r="D14692" t="s">
        <v>34</v>
      </c>
      <c r="E14692" t="s">
        <v>23</v>
      </c>
      <c r="F14692" t="s">
        <v>15</v>
      </c>
      <c r="G14692" s="2">
        <f>VALUE(210.3)</f>
        <v>210.3</v>
      </c>
      <c r="H14692" s="3">
        <f>VALUE(174.66)</f>
        <v>174.66</v>
      </c>
      <c r="I14692" s="4">
        <f>VALUE(3496)</f>
        <v>3496</v>
      </c>
      <c r="J14692" s="5">
        <f>VALUE(4023)</f>
        <v>4023</v>
      </c>
      <c r="K14692" s="6">
        <f>VALUE(5021)</f>
        <v>5021</v>
      </c>
      <c r="L14692" s="7">
        <f>VALUE(5689)</f>
        <v>5689</v>
      </c>
      <c r="M14692" s="1">
        <f>VALUE(6398)</f>
        <v>6398</v>
      </c>
      <c r="N14692" t="s">
        <v>25</v>
      </c>
    </row>
    <row r="14693" spans="1:14" x14ac:dyDescent="0.25">
      <c r="A14693" t="s">
        <v>45</v>
      </c>
      <c r="B14693" t="s">
        <v>39</v>
      </c>
      <c r="C14693" t="s">
        <v>37</v>
      </c>
      <c r="D14693" t="s">
        <v>34</v>
      </c>
      <c r="E14693" t="s">
        <v>23</v>
      </c>
      <c r="F14693" t="s">
        <v>17</v>
      </c>
      <c r="G14693" s="1" t="str">
        <f t="shared" ref="G14693:M14693" si="3376">"..."</f>
        <v>...</v>
      </c>
      <c r="H14693" s="1" t="str">
        <f t="shared" si="3376"/>
        <v>...</v>
      </c>
      <c r="I14693" s="1" t="str">
        <f t="shared" si="3376"/>
        <v>...</v>
      </c>
      <c r="J14693" s="1" t="str">
        <f t="shared" si="3376"/>
        <v>...</v>
      </c>
      <c r="K14693" s="1" t="str">
        <f t="shared" si="3376"/>
        <v>...</v>
      </c>
      <c r="L14693" s="1" t="str">
        <f t="shared" si="3376"/>
        <v>...</v>
      </c>
      <c r="M14693" s="1" t="str">
        <f t="shared" si="3376"/>
        <v>...</v>
      </c>
      <c r="N14693" t="s">
        <v>30</v>
      </c>
    </row>
    <row r="14694" spans="1:14" x14ac:dyDescent="0.25">
      <c r="A14694" t="s">
        <v>45</v>
      </c>
      <c r="B14694" t="s">
        <v>39</v>
      </c>
      <c r="C14694" t="s">
        <v>37</v>
      </c>
      <c r="D14694" t="s">
        <v>34</v>
      </c>
      <c r="E14694" t="s">
        <v>23</v>
      </c>
      <c r="F14694" t="s">
        <v>18</v>
      </c>
      <c r="G14694" s="1" t="str">
        <f t="shared" ref="G14694:M14695" si="3377">"X"</f>
        <v>X</v>
      </c>
      <c r="H14694" s="1" t="str">
        <f t="shared" si="3377"/>
        <v>X</v>
      </c>
      <c r="I14694" s="1" t="str">
        <f t="shared" si="3377"/>
        <v>X</v>
      </c>
      <c r="J14694" s="1" t="str">
        <f t="shared" si="3377"/>
        <v>X</v>
      </c>
      <c r="K14694" s="1" t="str">
        <f t="shared" si="3377"/>
        <v>X</v>
      </c>
      <c r="L14694" s="1" t="str">
        <f t="shared" si="3377"/>
        <v>X</v>
      </c>
      <c r="M14694" s="1" t="str">
        <f t="shared" si="3377"/>
        <v>X</v>
      </c>
      <c r="N14694" t="s">
        <v>27</v>
      </c>
    </row>
    <row r="14695" spans="1:14" x14ac:dyDescent="0.25">
      <c r="A14695" t="s">
        <v>45</v>
      </c>
      <c r="B14695" t="s">
        <v>39</v>
      </c>
      <c r="C14695" t="s">
        <v>37</v>
      </c>
      <c r="D14695" t="s">
        <v>34</v>
      </c>
      <c r="E14695" t="s">
        <v>23</v>
      </c>
      <c r="F14695" t="s">
        <v>19</v>
      </c>
      <c r="G14695" s="1" t="str">
        <f t="shared" si="3377"/>
        <v>X</v>
      </c>
      <c r="H14695" s="1" t="str">
        <f t="shared" si="3377"/>
        <v>X</v>
      </c>
      <c r="I14695" s="1" t="str">
        <f t="shared" si="3377"/>
        <v>X</v>
      </c>
      <c r="J14695" s="1" t="str">
        <f t="shared" si="3377"/>
        <v>X</v>
      </c>
      <c r="K14695" s="1" t="str">
        <f t="shared" si="3377"/>
        <v>X</v>
      </c>
      <c r="L14695" s="1" t="str">
        <f t="shared" si="3377"/>
        <v>X</v>
      </c>
      <c r="M14695" s="1" t="str">
        <f t="shared" si="3377"/>
        <v>X</v>
      </c>
      <c r="N14695" t="s">
        <v>27</v>
      </c>
    </row>
    <row r="14696" spans="1:14" x14ac:dyDescent="0.25">
      <c r="A14696" t="s">
        <v>45</v>
      </c>
      <c r="B14696" t="s">
        <v>39</v>
      </c>
      <c r="C14696" t="s">
        <v>37</v>
      </c>
      <c r="D14696" t="s">
        <v>34</v>
      </c>
      <c r="E14696" t="s">
        <v>23</v>
      </c>
      <c r="F14696" t="s">
        <v>20</v>
      </c>
      <c r="G14696" s="2">
        <f>VALUE(186.75)</f>
        <v>186.75</v>
      </c>
      <c r="H14696" s="3">
        <f>VALUE(154.54)</f>
        <v>154.54</v>
      </c>
      <c r="I14696" s="1">
        <f>VALUE(3471)</f>
        <v>3471</v>
      </c>
      <c r="J14696" s="5">
        <f>VALUE(4023)</f>
        <v>4023</v>
      </c>
      <c r="K14696" s="6">
        <f>VALUE(4904)</f>
        <v>4904</v>
      </c>
      <c r="L14696" s="7">
        <f>VALUE(5563)</f>
        <v>5563</v>
      </c>
      <c r="M14696" s="1">
        <f>VALUE(6299)</f>
        <v>6299</v>
      </c>
      <c r="N14696" t="s">
        <v>25</v>
      </c>
    </row>
    <row r="14697" spans="1:14" x14ac:dyDescent="0.25">
      <c r="A14697" t="s">
        <v>45</v>
      </c>
      <c r="B14697" t="s">
        <v>39</v>
      </c>
      <c r="C14697" t="s">
        <v>37</v>
      </c>
      <c r="D14697" t="s">
        <v>34</v>
      </c>
      <c r="E14697" t="s">
        <v>26</v>
      </c>
      <c r="F14697" t="s">
        <v>15</v>
      </c>
      <c r="G14697" s="1" t="str">
        <f t="shared" ref="G14697:M14697" si="3378">"X"</f>
        <v>X</v>
      </c>
      <c r="H14697" s="1" t="str">
        <f t="shared" si="3378"/>
        <v>X</v>
      </c>
      <c r="I14697" s="1" t="str">
        <f t="shared" si="3378"/>
        <v>X</v>
      </c>
      <c r="J14697" s="1" t="str">
        <f t="shared" si="3378"/>
        <v>X</v>
      </c>
      <c r="K14697" s="1" t="str">
        <f t="shared" si="3378"/>
        <v>X</v>
      </c>
      <c r="L14697" s="1" t="str">
        <f t="shared" si="3378"/>
        <v>X</v>
      </c>
      <c r="M14697" s="1" t="str">
        <f t="shared" si="3378"/>
        <v>X</v>
      </c>
      <c r="N14697" t="s">
        <v>27</v>
      </c>
    </row>
    <row r="14698" spans="1:14" x14ac:dyDescent="0.25">
      <c r="A14698" t="s">
        <v>45</v>
      </c>
      <c r="B14698" t="s">
        <v>39</v>
      </c>
      <c r="C14698" t="s">
        <v>37</v>
      </c>
      <c r="D14698" t="s">
        <v>34</v>
      </c>
      <c r="E14698" t="s">
        <v>26</v>
      </c>
      <c r="F14698" t="s">
        <v>17</v>
      </c>
      <c r="G14698" s="1" t="str">
        <f t="shared" ref="G14698:M14700" si="3379">"..."</f>
        <v>...</v>
      </c>
      <c r="H14698" s="1" t="str">
        <f t="shared" si="3379"/>
        <v>...</v>
      </c>
      <c r="I14698" s="1" t="str">
        <f t="shared" si="3379"/>
        <v>...</v>
      </c>
      <c r="J14698" s="1" t="str">
        <f t="shared" si="3379"/>
        <v>...</v>
      </c>
      <c r="K14698" s="1" t="str">
        <f t="shared" si="3379"/>
        <v>...</v>
      </c>
      <c r="L14698" s="1" t="str">
        <f t="shared" si="3379"/>
        <v>...</v>
      </c>
      <c r="M14698" s="1" t="str">
        <f t="shared" si="3379"/>
        <v>...</v>
      </c>
      <c r="N14698" t="s">
        <v>30</v>
      </c>
    </row>
    <row r="14699" spans="1:14" x14ac:dyDescent="0.25">
      <c r="A14699" t="s">
        <v>45</v>
      </c>
      <c r="B14699" t="s">
        <v>39</v>
      </c>
      <c r="C14699" t="s">
        <v>37</v>
      </c>
      <c r="D14699" t="s">
        <v>34</v>
      </c>
      <c r="E14699" t="s">
        <v>26</v>
      </c>
      <c r="F14699" t="s">
        <v>18</v>
      </c>
      <c r="G14699" s="1" t="str">
        <f t="shared" si="3379"/>
        <v>...</v>
      </c>
      <c r="H14699" s="1" t="str">
        <f t="shared" si="3379"/>
        <v>...</v>
      </c>
      <c r="I14699" s="1" t="str">
        <f t="shared" si="3379"/>
        <v>...</v>
      </c>
      <c r="J14699" s="1" t="str">
        <f t="shared" si="3379"/>
        <v>...</v>
      </c>
      <c r="K14699" s="1" t="str">
        <f t="shared" si="3379"/>
        <v>...</v>
      </c>
      <c r="L14699" s="1" t="str">
        <f t="shared" si="3379"/>
        <v>...</v>
      </c>
      <c r="M14699" s="1" t="str">
        <f t="shared" si="3379"/>
        <v>...</v>
      </c>
      <c r="N14699" t="s">
        <v>30</v>
      </c>
    </row>
    <row r="14700" spans="1:14" x14ac:dyDescent="0.25">
      <c r="A14700" t="s">
        <v>45</v>
      </c>
      <c r="B14700" t="s">
        <v>39</v>
      </c>
      <c r="C14700" t="s">
        <v>37</v>
      </c>
      <c r="D14700" t="s">
        <v>34</v>
      </c>
      <c r="E14700" t="s">
        <v>26</v>
      </c>
      <c r="F14700" t="s">
        <v>19</v>
      </c>
      <c r="G14700" s="1" t="str">
        <f t="shared" si="3379"/>
        <v>...</v>
      </c>
      <c r="H14700" s="1" t="str">
        <f t="shared" si="3379"/>
        <v>...</v>
      </c>
      <c r="I14700" s="1" t="str">
        <f t="shared" si="3379"/>
        <v>...</v>
      </c>
      <c r="J14700" s="1" t="str">
        <f t="shared" si="3379"/>
        <v>...</v>
      </c>
      <c r="K14700" s="1" t="str">
        <f t="shared" si="3379"/>
        <v>...</v>
      </c>
      <c r="L14700" s="1" t="str">
        <f t="shared" si="3379"/>
        <v>...</v>
      </c>
      <c r="M14700" s="1" t="str">
        <f t="shared" si="3379"/>
        <v>...</v>
      </c>
      <c r="N14700" t="s">
        <v>30</v>
      </c>
    </row>
    <row r="14701" spans="1:14" x14ac:dyDescent="0.25">
      <c r="A14701" t="s">
        <v>45</v>
      </c>
      <c r="B14701" t="s">
        <v>39</v>
      </c>
      <c r="C14701" t="s">
        <v>37</v>
      </c>
      <c r="D14701" t="s">
        <v>34</v>
      </c>
      <c r="E14701" t="s">
        <v>26</v>
      </c>
      <c r="F14701" t="s">
        <v>20</v>
      </c>
      <c r="G14701" s="1" t="str">
        <f t="shared" ref="G14701:M14701" si="3380">"X"</f>
        <v>X</v>
      </c>
      <c r="H14701" s="1" t="str">
        <f t="shared" si="3380"/>
        <v>X</v>
      </c>
      <c r="I14701" s="1" t="str">
        <f t="shared" si="3380"/>
        <v>X</v>
      </c>
      <c r="J14701" s="1" t="str">
        <f t="shared" si="3380"/>
        <v>X</v>
      </c>
      <c r="K14701" s="1" t="str">
        <f t="shared" si="3380"/>
        <v>X</v>
      </c>
      <c r="L14701" s="1" t="str">
        <f t="shared" si="3380"/>
        <v>X</v>
      </c>
      <c r="M14701" s="1" t="str">
        <f t="shared" si="3380"/>
        <v>X</v>
      </c>
      <c r="N14701" t="s">
        <v>27</v>
      </c>
    </row>
    <row r="14702" spans="1:14" x14ac:dyDescent="0.25">
      <c r="A14702" t="s">
        <v>45</v>
      </c>
      <c r="B14702" t="s">
        <v>39</v>
      </c>
      <c r="C14702" t="s">
        <v>38</v>
      </c>
      <c r="D14702" t="s">
        <v>15</v>
      </c>
      <c r="E14702" t="s">
        <v>15</v>
      </c>
      <c r="F14702" t="s">
        <v>15</v>
      </c>
      <c r="G14702" s="1">
        <f>VALUE(22981.9)</f>
        <v>22981.9</v>
      </c>
      <c r="H14702" s="1">
        <f>VALUE(21862.66)</f>
        <v>21862.66</v>
      </c>
      <c r="I14702" s="1">
        <f>VALUE(3944)</f>
        <v>3944</v>
      </c>
      <c r="J14702" s="1">
        <f>VALUE(4925)</f>
        <v>4925</v>
      </c>
      <c r="K14702" s="1">
        <f>VALUE(6157)</f>
        <v>6157</v>
      </c>
      <c r="L14702" s="1">
        <f>VALUE(8400)</f>
        <v>8400</v>
      </c>
      <c r="M14702" s="1">
        <f>VALUE(12381)</f>
        <v>12381</v>
      </c>
      <c r="N14702" t="s">
        <v>16</v>
      </c>
    </row>
    <row r="14703" spans="1:14" x14ac:dyDescent="0.25">
      <c r="A14703" t="s">
        <v>45</v>
      </c>
      <c r="B14703" t="s">
        <v>39</v>
      </c>
      <c r="C14703" t="s">
        <v>38</v>
      </c>
      <c r="D14703" t="s">
        <v>15</v>
      </c>
      <c r="E14703" t="s">
        <v>15</v>
      </c>
      <c r="F14703" t="s">
        <v>17</v>
      </c>
      <c r="G14703" s="2">
        <f>VALUE(6693.49)</f>
        <v>6693.49</v>
      </c>
      <c r="H14703" s="3">
        <f>VALUE(6273.44)</f>
        <v>6273.44</v>
      </c>
      <c r="I14703" s="1">
        <f>VALUE(5333)</f>
        <v>5333</v>
      </c>
      <c r="J14703" s="1">
        <f>VALUE(6870)</f>
        <v>6870</v>
      </c>
      <c r="K14703" s="6">
        <f>VALUE(9613)</f>
        <v>9613</v>
      </c>
      <c r="L14703" s="1">
        <f>VALUE(13492)</f>
        <v>13492</v>
      </c>
      <c r="M14703" s="1">
        <f>VALUE(20333)</f>
        <v>20333</v>
      </c>
      <c r="N14703" t="s">
        <v>25</v>
      </c>
    </row>
    <row r="14704" spans="1:14" x14ac:dyDescent="0.25">
      <c r="A14704" t="s">
        <v>45</v>
      </c>
      <c r="B14704" t="s">
        <v>39</v>
      </c>
      <c r="C14704" t="s">
        <v>38</v>
      </c>
      <c r="D14704" t="s">
        <v>15</v>
      </c>
      <c r="E14704" t="s">
        <v>15</v>
      </c>
      <c r="F14704" t="s">
        <v>18</v>
      </c>
      <c r="G14704" s="2">
        <f>VALUE(2154.45)</f>
        <v>2154.4499999999998</v>
      </c>
      <c r="H14704" s="3">
        <f>VALUE(2069.05)</f>
        <v>2069.0500000000002</v>
      </c>
      <c r="I14704" s="1">
        <f>VALUE(4759)</f>
        <v>4759</v>
      </c>
      <c r="J14704" s="1">
        <f>VALUE(5363)</f>
        <v>5363</v>
      </c>
      <c r="K14704" s="1">
        <f>VALUE(6561)</f>
        <v>6561</v>
      </c>
      <c r="L14704" s="1">
        <f>VALUE(9286)</f>
        <v>9286</v>
      </c>
      <c r="M14704" s="1">
        <f>VALUE(11904)</f>
        <v>11904</v>
      </c>
      <c r="N14704" t="s">
        <v>25</v>
      </c>
    </row>
    <row r="14705" spans="1:14" x14ac:dyDescent="0.25">
      <c r="A14705" t="s">
        <v>45</v>
      </c>
      <c r="B14705" t="s">
        <v>39</v>
      </c>
      <c r="C14705" t="s">
        <v>38</v>
      </c>
      <c r="D14705" t="s">
        <v>15</v>
      </c>
      <c r="E14705" t="s">
        <v>15</v>
      </c>
      <c r="F14705" t="s">
        <v>19</v>
      </c>
      <c r="G14705" s="2">
        <f>VALUE(2509.98)</f>
        <v>2509.98</v>
      </c>
      <c r="H14705" s="1">
        <f>VALUE(2401.14)</f>
        <v>2401.14</v>
      </c>
      <c r="I14705" s="1">
        <f>VALUE(4031)</f>
        <v>4031</v>
      </c>
      <c r="J14705" s="1">
        <f>VALUE(5069)</f>
        <v>5069</v>
      </c>
      <c r="K14705" s="1">
        <f>VALUE(6188)</f>
        <v>6188</v>
      </c>
      <c r="L14705" s="1">
        <f>VALUE(7583)</f>
        <v>7583</v>
      </c>
      <c r="M14705" s="1">
        <f>VALUE(9273)</f>
        <v>9273</v>
      </c>
      <c r="N14705" t="s">
        <v>25</v>
      </c>
    </row>
    <row r="14706" spans="1:14" x14ac:dyDescent="0.25">
      <c r="A14706" t="s">
        <v>45</v>
      </c>
      <c r="B14706" t="s">
        <v>39</v>
      </c>
      <c r="C14706" t="s">
        <v>38</v>
      </c>
      <c r="D14706" t="s">
        <v>15</v>
      </c>
      <c r="E14706" t="s">
        <v>15</v>
      </c>
      <c r="F14706" t="s">
        <v>20</v>
      </c>
      <c r="G14706" s="1">
        <f>VALUE(11623.98)</f>
        <v>11623.98</v>
      </c>
      <c r="H14706" s="1">
        <f>VALUE(11119.03)</f>
        <v>11119.03</v>
      </c>
      <c r="I14706" s="1">
        <f>VALUE(3678)</f>
        <v>3678</v>
      </c>
      <c r="J14706" s="1">
        <f>VALUE(4370)</f>
        <v>4370</v>
      </c>
      <c r="K14706" s="1">
        <f>VALUE(5350)</f>
        <v>5350</v>
      </c>
      <c r="L14706" s="1">
        <f>VALUE(6349)</f>
        <v>6349</v>
      </c>
      <c r="M14706" s="1">
        <f>VALUE(7667)</f>
        <v>7667</v>
      </c>
      <c r="N14706" t="s">
        <v>16</v>
      </c>
    </row>
    <row r="14707" spans="1:14" x14ac:dyDescent="0.25">
      <c r="A14707" t="s">
        <v>45</v>
      </c>
      <c r="B14707" t="s">
        <v>39</v>
      </c>
      <c r="C14707" t="s">
        <v>38</v>
      </c>
      <c r="D14707" t="s">
        <v>15</v>
      </c>
      <c r="E14707" t="s">
        <v>21</v>
      </c>
      <c r="F14707" t="s">
        <v>15</v>
      </c>
      <c r="G14707" s="2">
        <f>VALUE(6798.22)</f>
        <v>6798.22</v>
      </c>
      <c r="H14707" s="3">
        <f>VALUE(6180.86)</f>
        <v>6180.86</v>
      </c>
      <c r="I14707" s="1">
        <f>VALUE(5200)</f>
        <v>5200</v>
      </c>
      <c r="J14707" s="1">
        <f>VALUE(6716)</f>
        <v>6716</v>
      </c>
      <c r="K14707" s="1">
        <f>VALUE(9075)</f>
        <v>9075</v>
      </c>
      <c r="L14707" s="1">
        <f>VALUE(12683)</f>
        <v>12683</v>
      </c>
      <c r="M14707" s="1">
        <f>VALUE(18842)</f>
        <v>18842</v>
      </c>
      <c r="N14707" t="s">
        <v>25</v>
      </c>
    </row>
    <row r="14708" spans="1:14" x14ac:dyDescent="0.25">
      <c r="A14708" t="s">
        <v>45</v>
      </c>
      <c r="B14708" t="s">
        <v>39</v>
      </c>
      <c r="C14708" t="s">
        <v>38</v>
      </c>
      <c r="D14708" t="s">
        <v>15</v>
      </c>
      <c r="E14708" t="s">
        <v>21</v>
      </c>
      <c r="F14708" t="s">
        <v>17</v>
      </c>
      <c r="G14708" s="2">
        <f>VALUE(4007.94)</f>
        <v>4007.94</v>
      </c>
      <c r="H14708" s="3">
        <f>VALUE(3675.8)</f>
        <v>3675.8</v>
      </c>
      <c r="I14708" s="4">
        <f>VALUE(5778)</f>
        <v>5778</v>
      </c>
      <c r="J14708" s="5">
        <f>VALUE(7656)</f>
        <v>7656</v>
      </c>
      <c r="K14708" s="6">
        <f>VALUE(10785)</f>
        <v>10785</v>
      </c>
      <c r="L14708" s="7">
        <f>VALUE(15516)</f>
        <v>15516</v>
      </c>
      <c r="M14708" s="1">
        <f>VALUE(22815)</f>
        <v>22815</v>
      </c>
      <c r="N14708" t="s">
        <v>25</v>
      </c>
    </row>
    <row r="14709" spans="1:14" x14ac:dyDescent="0.25">
      <c r="A14709" t="s">
        <v>45</v>
      </c>
      <c r="B14709" t="s">
        <v>39</v>
      </c>
      <c r="C14709" t="s">
        <v>38</v>
      </c>
      <c r="D14709" t="s">
        <v>15</v>
      </c>
      <c r="E14709" t="s">
        <v>21</v>
      </c>
      <c r="F14709" t="s">
        <v>18</v>
      </c>
      <c r="G14709" s="2">
        <f>VALUE(826.79)</f>
        <v>826.79</v>
      </c>
      <c r="H14709" s="3">
        <f>VALUE(787.05)</f>
        <v>787.05</v>
      </c>
      <c r="I14709" s="1">
        <f>VALUE(5333)</f>
        <v>5333</v>
      </c>
      <c r="J14709" s="1">
        <f>VALUE(5683)</f>
        <v>5683</v>
      </c>
      <c r="K14709" s="1">
        <f>VALUE(8250)</f>
        <v>8250</v>
      </c>
      <c r="L14709" s="1">
        <f>VALUE(10979)</f>
        <v>10979</v>
      </c>
      <c r="M14709" s="8">
        <f>VALUE(13009)</f>
        <v>13009</v>
      </c>
      <c r="N14709" t="s">
        <v>25</v>
      </c>
    </row>
    <row r="14710" spans="1:14" x14ac:dyDescent="0.25">
      <c r="A14710" t="s">
        <v>45</v>
      </c>
      <c r="B14710" t="s">
        <v>39</v>
      </c>
      <c r="C14710" t="s">
        <v>38</v>
      </c>
      <c r="D14710" t="s">
        <v>15</v>
      </c>
      <c r="E14710" t="s">
        <v>21</v>
      </c>
      <c r="F14710" t="s">
        <v>19</v>
      </c>
      <c r="G14710" s="2">
        <f>VALUE(581.33)</f>
        <v>581.33000000000004</v>
      </c>
      <c r="H14710" s="3">
        <f>VALUE(514.24)</f>
        <v>514.24</v>
      </c>
      <c r="I14710" s="1">
        <f>VALUE(4600)</f>
        <v>4600</v>
      </c>
      <c r="J14710" s="5">
        <f>VALUE(5553)</f>
        <v>5553</v>
      </c>
      <c r="K14710" s="1">
        <f>VALUE(7391)</f>
        <v>7391</v>
      </c>
      <c r="L14710" s="1">
        <f>VALUE(9115)</f>
        <v>9115</v>
      </c>
      <c r="M14710" s="1">
        <f>VALUE(11650)</f>
        <v>11650</v>
      </c>
      <c r="N14710" t="s">
        <v>25</v>
      </c>
    </row>
    <row r="14711" spans="1:14" x14ac:dyDescent="0.25">
      <c r="A14711" t="s">
        <v>45</v>
      </c>
      <c r="B14711" t="s">
        <v>39</v>
      </c>
      <c r="C14711" t="s">
        <v>38</v>
      </c>
      <c r="D14711" t="s">
        <v>15</v>
      </c>
      <c r="E14711" t="s">
        <v>21</v>
      </c>
      <c r="F14711" t="s">
        <v>20</v>
      </c>
      <c r="G14711" s="2">
        <f>VALUE(1382.16)</f>
        <v>1382.16</v>
      </c>
      <c r="H14711" s="3">
        <f>VALUE(1203.77)</f>
        <v>1203.77</v>
      </c>
      <c r="I14711" s="1">
        <f>VALUE(3846)</f>
        <v>3846</v>
      </c>
      <c r="J14711" s="1">
        <f>VALUE(5512)</f>
        <v>5512</v>
      </c>
      <c r="K14711" s="1">
        <f>VALUE(7547)</f>
        <v>7547</v>
      </c>
      <c r="L14711" s="1">
        <f>VALUE(9659)</f>
        <v>9659</v>
      </c>
      <c r="M14711" s="8">
        <f>VALUE(12210)</f>
        <v>12210</v>
      </c>
      <c r="N14711" t="s">
        <v>25</v>
      </c>
    </row>
    <row r="14712" spans="1:14" x14ac:dyDescent="0.25">
      <c r="A14712" t="s">
        <v>45</v>
      </c>
      <c r="B14712" t="s">
        <v>39</v>
      </c>
      <c r="C14712" t="s">
        <v>38</v>
      </c>
      <c r="D14712" t="s">
        <v>15</v>
      </c>
      <c r="E14712" t="s">
        <v>22</v>
      </c>
      <c r="F14712" t="s">
        <v>15</v>
      </c>
      <c r="G14712" s="1">
        <f>VALUE(8332.92)</f>
        <v>8332.92</v>
      </c>
      <c r="H14712" s="1">
        <f>VALUE(8055.42)</f>
        <v>8055.42</v>
      </c>
      <c r="I14712" s="1">
        <f>VALUE(4308)</f>
        <v>4308</v>
      </c>
      <c r="J14712" s="1">
        <f>VALUE(5290)</f>
        <v>5290</v>
      </c>
      <c r="K14712" s="1">
        <f>VALUE(6273)</f>
        <v>6273</v>
      </c>
      <c r="L14712" s="1">
        <f>VALUE(8016)</f>
        <v>8016</v>
      </c>
      <c r="M14712" s="1">
        <f>VALUE(11405)</f>
        <v>11405</v>
      </c>
      <c r="N14712" t="s">
        <v>16</v>
      </c>
    </row>
    <row r="14713" spans="1:14" x14ac:dyDescent="0.25">
      <c r="A14713" t="s">
        <v>45</v>
      </c>
      <c r="B14713" t="s">
        <v>39</v>
      </c>
      <c r="C14713" t="s">
        <v>38</v>
      </c>
      <c r="D14713" t="s">
        <v>15</v>
      </c>
      <c r="E14713" t="s">
        <v>22</v>
      </c>
      <c r="F14713" t="s">
        <v>17</v>
      </c>
      <c r="G14713" s="2">
        <f>VALUE(2108.84)</f>
        <v>2108.84</v>
      </c>
      <c r="H14713" s="3">
        <f>VALUE(2053.52)</f>
        <v>2053.52</v>
      </c>
      <c r="I14713" s="1">
        <f>VALUE(5290)</f>
        <v>5290</v>
      </c>
      <c r="J14713" s="5">
        <f>VALUE(6461)</f>
        <v>6461</v>
      </c>
      <c r="K14713" s="6">
        <f>VALUE(8924)</f>
        <v>8924</v>
      </c>
      <c r="L14713" s="7">
        <f>VALUE(11892)</f>
        <v>11892</v>
      </c>
      <c r="M14713" s="1">
        <f>VALUE(18389)</f>
        <v>18389</v>
      </c>
      <c r="N14713" t="s">
        <v>25</v>
      </c>
    </row>
    <row r="14714" spans="1:14" x14ac:dyDescent="0.25">
      <c r="A14714" t="s">
        <v>45</v>
      </c>
      <c r="B14714" t="s">
        <v>39</v>
      </c>
      <c r="C14714" t="s">
        <v>38</v>
      </c>
      <c r="D14714" t="s">
        <v>15</v>
      </c>
      <c r="E14714" t="s">
        <v>22</v>
      </c>
      <c r="F14714" t="s">
        <v>18</v>
      </c>
      <c r="G14714" s="2">
        <f>VALUE(869.03)</f>
        <v>869.03</v>
      </c>
      <c r="H14714" s="3">
        <f>VALUE(821.52)</f>
        <v>821.52</v>
      </c>
      <c r="I14714" s="1">
        <f>VALUE(4571)</f>
        <v>4571</v>
      </c>
      <c r="J14714" s="1">
        <f>VALUE(5451)</f>
        <v>5451</v>
      </c>
      <c r="K14714" s="1">
        <f>VALUE(6836)</f>
        <v>6836</v>
      </c>
      <c r="L14714" s="1">
        <f>VALUE(8585)</f>
        <v>8585</v>
      </c>
      <c r="M14714" s="8">
        <f>VALUE(10652)</f>
        <v>10652</v>
      </c>
      <c r="N14714" t="s">
        <v>25</v>
      </c>
    </row>
    <row r="14715" spans="1:14" x14ac:dyDescent="0.25">
      <c r="A14715" t="s">
        <v>45</v>
      </c>
      <c r="B14715" t="s">
        <v>39</v>
      </c>
      <c r="C14715" t="s">
        <v>38</v>
      </c>
      <c r="D14715" t="s">
        <v>15</v>
      </c>
      <c r="E14715" t="s">
        <v>22</v>
      </c>
      <c r="F14715" t="s">
        <v>19</v>
      </c>
      <c r="G14715" s="2">
        <f>VALUE(1208.14)</f>
        <v>1208.1400000000001</v>
      </c>
      <c r="H14715" s="3">
        <f>VALUE(1208.25)</f>
        <v>1208.25</v>
      </c>
      <c r="I14715" s="4">
        <f>VALUE(4254)</f>
        <v>4254</v>
      </c>
      <c r="J14715" s="1">
        <f>VALUE(5272)</f>
        <v>5272</v>
      </c>
      <c r="K14715" s="1">
        <f>VALUE(6283)</f>
        <v>6283</v>
      </c>
      <c r="L14715" s="1">
        <f>VALUE(7365)</f>
        <v>7365</v>
      </c>
      <c r="M14715" s="1">
        <f>VALUE(8597)</f>
        <v>8597</v>
      </c>
      <c r="N14715" t="s">
        <v>25</v>
      </c>
    </row>
    <row r="14716" spans="1:14" x14ac:dyDescent="0.25">
      <c r="A14716" t="s">
        <v>45</v>
      </c>
      <c r="B14716" t="s">
        <v>39</v>
      </c>
      <c r="C14716" t="s">
        <v>38</v>
      </c>
      <c r="D14716" t="s">
        <v>15</v>
      </c>
      <c r="E14716" t="s">
        <v>22</v>
      </c>
      <c r="F14716" t="s">
        <v>20</v>
      </c>
      <c r="G14716" s="1">
        <f>VALUE(4146.91)</f>
        <v>4146.91</v>
      </c>
      <c r="H14716" s="3">
        <f>VALUE(3972.13)</f>
        <v>3972.13</v>
      </c>
      <c r="I14716" s="1">
        <f>VALUE(4179)</f>
        <v>4179</v>
      </c>
      <c r="J14716" s="1">
        <f>VALUE(4873)</f>
        <v>4873</v>
      </c>
      <c r="K14716" s="1">
        <f>VALUE(5702)</f>
        <v>5702</v>
      </c>
      <c r="L14716" s="1">
        <f>VALUE(6628)</f>
        <v>6628</v>
      </c>
      <c r="M14716" s="1">
        <f>VALUE(7842)</f>
        <v>7842</v>
      </c>
      <c r="N14716" t="s">
        <v>25</v>
      </c>
    </row>
    <row r="14717" spans="1:14" x14ac:dyDescent="0.25">
      <c r="A14717" t="s">
        <v>45</v>
      </c>
      <c r="B14717" t="s">
        <v>39</v>
      </c>
      <c r="C14717" t="s">
        <v>38</v>
      </c>
      <c r="D14717" t="s">
        <v>15</v>
      </c>
      <c r="E14717" t="s">
        <v>23</v>
      </c>
      <c r="F14717" t="s">
        <v>15</v>
      </c>
      <c r="G14717" s="1">
        <f>VALUE(7621.74)</f>
        <v>7621.74</v>
      </c>
      <c r="H14717" s="1">
        <f>VALUE(7419.67)</f>
        <v>7419.67</v>
      </c>
      <c r="I14717" s="1">
        <f>VALUE(3538)</f>
        <v>3538</v>
      </c>
      <c r="J14717" s="1">
        <f>VALUE(4133)</f>
        <v>4133</v>
      </c>
      <c r="K14717" s="1">
        <f>VALUE(5079)</f>
        <v>5079</v>
      </c>
      <c r="L14717" s="1">
        <f>VALUE(5927)</f>
        <v>5927</v>
      </c>
      <c r="M14717" s="1">
        <f>VALUE(6843)</f>
        <v>6843</v>
      </c>
      <c r="N14717" t="s">
        <v>16</v>
      </c>
    </row>
    <row r="14718" spans="1:14" x14ac:dyDescent="0.25">
      <c r="A14718" t="s">
        <v>45</v>
      </c>
      <c r="B14718" t="s">
        <v>39</v>
      </c>
      <c r="C14718" t="s">
        <v>38</v>
      </c>
      <c r="D14718" t="s">
        <v>15</v>
      </c>
      <c r="E14718" t="s">
        <v>23</v>
      </c>
      <c r="F14718" t="s">
        <v>17</v>
      </c>
      <c r="G14718" s="2">
        <f>VALUE(520.13)</f>
        <v>520.13</v>
      </c>
      <c r="H14718" s="3">
        <f>VALUE(494.31)</f>
        <v>494.31</v>
      </c>
      <c r="I14718" s="4">
        <f>VALUE(3810)</f>
        <v>3810</v>
      </c>
      <c r="J14718" s="5">
        <f>VALUE(5000)</f>
        <v>5000</v>
      </c>
      <c r="K14718" s="6">
        <f>VALUE(5440)</f>
        <v>5440</v>
      </c>
      <c r="L14718" s="7">
        <f>VALUE(7583)</f>
        <v>7583</v>
      </c>
      <c r="M14718" s="8">
        <f>VALUE(9524)</f>
        <v>9524</v>
      </c>
      <c r="N14718" t="s">
        <v>24</v>
      </c>
    </row>
    <row r="14719" spans="1:14" x14ac:dyDescent="0.25">
      <c r="A14719" t="s">
        <v>45</v>
      </c>
      <c r="B14719" t="s">
        <v>39</v>
      </c>
      <c r="C14719" t="s">
        <v>38</v>
      </c>
      <c r="D14719" t="s">
        <v>15</v>
      </c>
      <c r="E14719" t="s">
        <v>23</v>
      </c>
      <c r="F14719" t="s">
        <v>18</v>
      </c>
      <c r="G14719" s="2">
        <f>VALUE(435.67)</f>
        <v>435.67</v>
      </c>
      <c r="H14719" s="3">
        <f>VALUE(439.83)</f>
        <v>439.83</v>
      </c>
      <c r="I14719" s="4">
        <f>VALUE(4439)</f>
        <v>4439</v>
      </c>
      <c r="J14719" s="1">
        <f>VALUE(4966)</f>
        <v>4966</v>
      </c>
      <c r="K14719" s="1">
        <f>VALUE(5691)</f>
        <v>5691</v>
      </c>
      <c r="L14719" s="1">
        <f>VALUE(5691)</f>
        <v>5691</v>
      </c>
      <c r="M14719" s="8">
        <f>VALUE(8283)</f>
        <v>8283</v>
      </c>
      <c r="N14719" t="s">
        <v>25</v>
      </c>
    </row>
    <row r="14720" spans="1:14" x14ac:dyDescent="0.25">
      <c r="A14720" t="s">
        <v>45</v>
      </c>
      <c r="B14720" t="s">
        <v>39</v>
      </c>
      <c r="C14720" t="s">
        <v>38</v>
      </c>
      <c r="D14720" t="s">
        <v>15</v>
      </c>
      <c r="E14720" t="s">
        <v>23</v>
      </c>
      <c r="F14720" t="s">
        <v>19</v>
      </c>
      <c r="G14720" s="2">
        <f>VALUE(709.97)</f>
        <v>709.97</v>
      </c>
      <c r="H14720" s="3">
        <f>VALUE(667.89)</f>
        <v>667.89</v>
      </c>
      <c r="I14720" s="4">
        <f>VALUE(3509)</f>
        <v>3509</v>
      </c>
      <c r="J14720" s="1">
        <f>VALUE(4383)</f>
        <v>4383</v>
      </c>
      <c r="K14720" s="1">
        <f>VALUE(5247)</f>
        <v>5247</v>
      </c>
      <c r="L14720" s="1">
        <f>VALUE(6562)</f>
        <v>6562</v>
      </c>
      <c r="M14720" s="1">
        <f>VALUE(7893)</f>
        <v>7893</v>
      </c>
      <c r="N14720" t="s">
        <v>25</v>
      </c>
    </row>
    <row r="14721" spans="1:14" x14ac:dyDescent="0.25">
      <c r="A14721" t="s">
        <v>45</v>
      </c>
      <c r="B14721" t="s">
        <v>39</v>
      </c>
      <c r="C14721" t="s">
        <v>38</v>
      </c>
      <c r="D14721" t="s">
        <v>15</v>
      </c>
      <c r="E14721" t="s">
        <v>23</v>
      </c>
      <c r="F14721" t="s">
        <v>20</v>
      </c>
      <c r="G14721" s="1">
        <f>VALUE(5955.97)</f>
        <v>5955.97</v>
      </c>
      <c r="H14721" s="1">
        <f>VALUE(5817.64)</f>
        <v>5817.64</v>
      </c>
      <c r="I14721" s="1">
        <f>VALUE(3519)</f>
        <v>3519</v>
      </c>
      <c r="J14721" s="1">
        <f>VALUE(4055)</f>
        <v>4055</v>
      </c>
      <c r="K14721" s="1">
        <f>VALUE(4879)</f>
        <v>4879</v>
      </c>
      <c r="L14721" s="1">
        <f>VALUE(5837)</f>
        <v>5837</v>
      </c>
      <c r="M14721" s="1">
        <f>VALUE(6524)</f>
        <v>6524</v>
      </c>
      <c r="N14721" t="s">
        <v>16</v>
      </c>
    </row>
    <row r="14722" spans="1:14" x14ac:dyDescent="0.25">
      <c r="A14722" t="s">
        <v>45</v>
      </c>
      <c r="B14722" t="s">
        <v>39</v>
      </c>
      <c r="C14722" t="s">
        <v>38</v>
      </c>
      <c r="D14722" t="s">
        <v>15</v>
      </c>
      <c r="E14722" t="s">
        <v>26</v>
      </c>
      <c r="F14722" t="s">
        <v>15</v>
      </c>
      <c r="G14722" s="2">
        <f>VALUE(229.02)</f>
        <v>229.02</v>
      </c>
      <c r="H14722" s="3">
        <f>VALUE(206.71)</f>
        <v>206.71</v>
      </c>
      <c r="I14722" s="1">
        <f>VALUE(4261)</f>
        <v>4261</v>
      </c>
      <c r="J14722" s="5">
        <f>VALUE(4582)</f>
        <v>4582</v>
      </c>
      <c r="K14722" s="6">
        <f>VALUE(5848)</f>
        <v>5848</v>
      </c>
      <c r="L14722" s="7">
        <f>VALUE(8294)</f>
        <v>8294</v>
      </c>
      <c r="M14722" s="8">
        <f>VALUE(11526)</f>
        <v>11526</v>
      </c>
      <c r="N14722" t="s">
        <v>25</v>
      </c>
    </row>
    <row r="14723" spans="1:14" x14ac:dyDescent="0.25">
      <c r="A14723" t="s">
        <v>45</v>
      </c>
      <c r="B14723" t="s">
        <v>39</v>
      </c>
      <c r="C14723" t="s">
        <v>38</v>
      </c>
      <c r="D14723" t="s">
        <v>15</v>
      </c>
      <c r="E14723" t="s">
        <v>26</v>
      </c>
      <c r="F14723" t="s">
        <v>17</v>
      </c>
      <c r="G14723" s="1" t="str">
        <f t="shared" ref="G14723:M14726" si="3381">"X"</f>
        <v>X</v>
      </c>
      <c r="H14723" s="1" t="str">
        <f t="shared" si="3381"/>
        <v>X</v>
      </c>
      <c r="I14723" s="1" t="str">
        <f t="shared" si="3381"/>
        <v>X</v>
      </c>
      <c r="J14723" s="1" t="str">
        <f t="shared" si="3381"/>
        <v>X</v>
      </c>
      <c r="K14723" s="1" t="str">
        <f t="shared" si="3381"/>
        <v>X</v>
      </c>
      <c r="L14723" s="1" t="str">
        <f t="shared" si="3381"/>
        <v>X</v>
      </c>
      <c r="M14723" s="1" t="str">
        <f t="shared" si="3381"/>
        <v>X</v>
      </c>
      <c r="N14723" t="s">
        <v>27</v>
      </c>
    </row>
    <row r="14724" spans="1:14" x14ac:dyDescent="0.25">
      <c r="A14724" t="s">
        <v>45</v>
      </c>
      <c r="B14724" t="s">
        <v>39</v>
      </c>
      <c r="C14724" t="s">
        <v>38</v>
      </c>
      <c r="D14724" t="s">
        <v>15</v>
      </c>
      <c r="E14724" t="s">
        <v>26</v>
      </c>
      <c r="F14724" t="s">
        <v>18</v>
      </c>
      <c r="G14724" s="1" t="str">
        <f t="shared" si="3381"/>
        <v>X</v>
      </c>
      <c r="H14724" s="1" t="str">
        <f t="shared" si="3381"/>
        <v>X</v>
      </c>
      <c r="I14724" s="1" t="str">
        <f t="shared" si="3381"/>
        <v>X</v>
      </c>
      <c r="J14724" s="1" t="str">
        <f t="shared" si="3381"/>
        <v>X</v>
      </c>
      <c r="K14724" s="1" t="str">
        <f t="shared" si="3381"/>
        <v>X</v>
      </c>
      <c r="L14724" s="1" t="str">
        <f t="shared" si="3381"/>
        <v>X</v>
      </c>
      <c r="M14724" s="1" t="str">
        <f t="shared" si="3381"/>
        <v>X</v>
      </c>
      <c r="N14724" t="s">
        <v>27</v>
      </c>
    </row>
    <row r="14725" spans="1:14" x14ac:dyDescent="0.25">
      <c r="A14725" t="s">
        <v>45</v>
      </c>
      <c r="B14725" t="s">
        <v>39</v>
      </c>
      <c r="C14725" t="s">
        <v>38</v>
      </c>
      <c r="D14725" t="s">
        <v>15</v>
      </c>
      <c r="E14725" t="s">
        <v>26</v>
      </c>
      <c r="F14725" t="s">
        <v>19</v>
      </c>
      <c r="G14725" s="1" t="str">
        <f t="shared" si="3381"/>
        <v>X</v>
      </c>
      <c r="H14725" s="1" t="str">
        <f t="shared" si="3381"/>
        <v>X</v>
      </c>
      <c r="I14725" s="1" t="str">
        <f t="shared" si="3381"/>
        <v>X</v>
      </c>
      <c r="J14725" s="1" t="str">
        <f t="shared" si="3381"/>
        <v>X</v>
      </c>
      <c r="K14725" s="1" t="str">
        <f t="shared" si="3381"/>
        <v>X</v>
      </c>
      <c r="L14725" s="1" t="str">
        <f t="shared" si="3381"/>
        <v>X</v>
      </c>
      <c r="M14725" s="1" t="str">
        <f t="shared" si="3381"/>
        <v>X</v>
      </c>
      <c r="N14725" t="s">
        <v>27</v>
      </c>
    </row>
    <row r="14726" spans="1:14" x14ac:dyDescent="0.25">
      <c r="A14726" t="s">
        <v>45</v>
      </c>
      <c r="B14726" t="s">
        <v>39</v>
      </c>
      <c r="C14726" t="s">
        <v>38</v>
      </c>
      <c r="D14726" t="s">
        <v>15</v>
      </c>
      <c r="E14726" t="s">
        <v>26</v>
      </c>
      <c r="F14726" t="s">
        <v>20</v>
      </c>
      <c r="G14726" s="1" t="str">
        <f t="shared" si="3381"/>
        <v>X</v>
      </c>
      <c r="H14726" s="1" t="str">
        <f t="shared" si="3381"/>
        <v>X</v>
      </c>
      <c r="I14726" s="1" t="str">
        <f t="shared" si="3381"/>
        <v>X</v>
      </c>
      <c r="J14726" s="1" t="str">
        <f t="shared" si="3381"/>
        <v>X</v>
      </c>
      <c r="K14726" s="1" t="str">
        <f t="shared" si="3381"/>
        <v>X</v>
      </c>
      <c r="L14726" s="1" t="str">
        <f t="shared" si="3381"/>
        <v>X</v>
      </c>
      <c r="M14726" s="1" t="str">
        <f t="shared" si="3381"/>
        <v>X</v>
      </c>
      <c r="N14726" t="s">
        <v>27</v>
      </c>
    </row>
    <row r="14727" spans="1:14" x14ac:dyDescent="0.25">
      <c r="A14727" t="s">
        <v>45</v>
      </c>
      <c r="B14727" t="s">
        <v>39</v>
      </c>
      <c r="C14727" t="s">
        <v>38</v>
      </c>
      <c r="D14727" t="s">
        <v>28</v>
      </c>
      <c r="E14727" t="s">
        <v>15</v>
      </c>
      <c r="F14727" t="s">
        <v>15</v>
      </c>
      <c r="G14727" s="1">
        <f>VALUE(9477.69)</f>
        <v>9477.69</v>
      </c>
      <c r="H14727" s="1">
        <f>VALUE(8758.99)</f>
        <v>8758.99</v>
      </c>
      <c r="I14727" s="1">
        <f>VALUE(4762)</f>
        <v>4762</v>
      </c>
      <c r="J14727" s="1">
        <f>VALUE(5810)</f>
        <v>5810</v>
      </c>
      <c r="K14727" s="1">
        <f>VALUE(7676)</f>
        <v>7676</v>
      </c>
      <c r="L14727" s="1">
        <f>VALUE(10833)</f>
        <v>10833</v>
      </c>
      <c r="M14727" s="1">
        <f>VALUE(15457)</f>
        <v>15457</v>
      </c>
      <c r="N14727" t="s">
        <v>16</v>
      </c>
    </row>
    <row r="14728" spans="1:14" x14ac:dyDescent="0.25">
      <c r="A14728" t="s">
        <v>45</v>
      </c>
      <c r="B14728" t="s">
        <v>39</v>
      </c>
      <c r="C14728" t="s">
        <v>38</v>
      </c>
      <c r="D14728" t="s">
        <v>28</v>
      </c>
      <c r="E14728" t="s">
        <v>15</v>
      </c>
      <c r="F14728" t="s">
        <v>17</v>
      </c>
      <c r="G14728" s="2">
        <f>VALUE(4024.62)</f>
        <v>4024.62</v>
      </c>
      <c r="H14728" s="3">
        <f>VALUE(3787.71)</f>
        <v>3787.71</v>
      </c>
      <c r="I14728" s="4">
        <f>VALUE(5440)</f>
        <v>5440</v>
      </c>
      <c r="J14728" s="5">
        <f>VALUE(7873)</f>
        <v>7873</v>
      </c>
      <c r="K14728" s="1">
        <f>VALUE(10725)</f>
        <v>10725</v>
      </c>
      <c r="L14728" s="1">
        <f>VALUE(14173)</f>
        <v>14173</v>
      </c>
      <c r="M14728" s="1">
        <f>VALUE(20293)</f>
        <v>20293</v>
      </c>
      <c r="N14728" t="s">
        <v>25</v>
      </c>
    </row>
    <row r="14729" spans="1:14" x14ac:dyDescent="0.25">
      <c r="A14729" t="s">
        <v>45</v>
      </c>
      <c r="B14729" t="s">
        <v>39</v>
      </c>
      <c r="C14729" t="s">
        <v>38</v>
      </c>
      <c r="D14729" t="s">
        <v>28</v>
      </c>
      <c r="E14729" t="s">
        <v>15</v>
      </c>
      <c r="F14729" t="s">
        <v>18</v>
      </c>
      <c r="G14729" s="2">
        <f>VALUE(975.95)</f>
        <v>975.95</v>
      </c>
      <c r="H14729" s="3">
        <f>VALUE(885.49)</f>
        <v>885.49</v>
      </c>
      <c r="I14729" s="1">
        <f>VALUE(4759)</f>
        <v>4759</v>
      </c>
      <c r="J14729" s="1">
        <f>VALUE(6238)</f>
        <v>6238</v>
      </c>
      <c r="K14729" s="1">
        <f>VALUE(8157)</f>
        <v>8157</v>
      </c>
      <c r="L14729" s="7">
        <f>VALUE(10297)</f>
        <v>10297</v>
      </c>
      <c r="M14729" s="8">
        <f>VALUE(12489)</f>
        <v>12489</v>
      </c>
      <c r="N14729" t="s">
        <v>25</v>
      </c>
    </row>
    <row r="14730" spans="1:14" x14ac:dyDescent="0.25">
      <c r="A14730" t="s">
        <v>45</v>
      </c>
      <c r="B14730" t="s">
        <v>39</v>
      </c>
      <c r="C14730" t="s">
        <v>38</v>
      </c>
      <c r="D14730" t="s">
        <v>28</v>
      </c>
      <c r="E14730" t="s">
        <v>15</v>
      </c>
      <c r="F14730" t="s">
        <v>19</v>
      </c>
      <c r="G14730" s="2">
        <f>VALUE(1018.7)</f>
        <v>1018.7</v>
      </c>
      <c r="H14730" s="3">
        <f>VALUE(925.34)</f>
        <v>925.34</v>
      </c>
      <c r="I14730" s="1">
        <f>VALUE(4977)</f>
        <v>4977</v>
      </c>
      <c r="J14730" s="1">
        <f>VALUE(5987)</f>
        <v>5987</v>
      </c>
      <c r="K14730" s="1">
        <f>VALUE(6868)</f>
        <v>6868</v>
      </c>
      <c r="L14730" s="1">
        <f>VALUE(8578)</f>
        <v>8578</v>
      </c>
      <c r="M14730" s="1">
        <f>VALUE(10256)</f>
        <v>10256</v>
      </c>
      <c r="N14730" t="s">
        <v>25</v>
      </c>
    </row>
    <row r="14731" spans="1:14" x14ac:dyDescent="0.25">
      <c r="A14731" t="s">
        <v>45</v>
      </c>
      <c r="B14731" t="s">
        <v>39</v>
      </c>
      <c r="C14731" t="s">
        <v>38</v>
      </c>
      <c r="D14731" t="s">
        <v>28</v>
      </c>
      <c r="E14731" t="s">
        <v>15</v>
      </c>
      <c r="F14731" t="s">
        <v>20</v>
      </c>
      <c r="G14731" s="2">
        <f>VALUE(3458.42)</f>
        <v>3458.42</v>
      </c>
      <c r="H14731" s="3">
        <f>VALUE(3160.45)</f>
        <v>3160.45</v>
      </c>
      <c r="I14731" s="1">
        <f>VALUE(4345)</f>
        <v>4345</v>
      </c>
      <c r="J14731" s="1">
        <f>VALUE(5308)</f>
        <v>5308</v>
      </c>
      <c r="K14731" s="1">
        <f>VALUE(6145)</f>
        <v>6145</v>
      </c>
      <c r="L14731" s="1">
        <f>VALUE(7400)</f>
        <v>7400</v>
      </c>
      <c r="M14731" s="1">
        <f>VALUE(9053)</f>
        <v>9053</v>
      </c>
      <c r="N14731" t="s">
        <v>25</v>
      </c>
    </row>
    <row r="14732" spans="1:14" x14ac:dyDescent="0.25">
      <c r="A14732" t="s">
        <v>45</v>
      </c>
      <c r="B14732" t="s">
        <v>39</v>
      </c>
      <c r="C14732" t="s">
        <v>38</v>
      </c>
      <c r="D14732" t="s">
        <v>28</v>
      </c>
      <c r="E14732" t="s">
        <v>21</v>
      </c>
      <c r="F14732" t="s">
        <v>15</v>
      </c>
      <c r="G14732" s="2">
        <f>VALUE(3668.24)</f>
        <v>3668.24</v>
      </c>
      <c r="H14732" s="3">
        <f>VALUE(3289.96)</f>
        <v>3289.96</v>
      </c>
      <c r="I14732" s="1">
        <f>VALUE(5977)</f>
        <v>5977</v>
      </c>
      <c r="J14732" s="1">
        <f>VALUE(8069)</f>
        <v>8069</v>
      </c>
      <c r="K14732" s="1">
        <f>VALUE(10375)</f>
        <v>10375</v>
      </c>
      <c r="L14732" s="1">
        <f>VALUE(13560)</f>
        <v>13560</v>
      </c>
      <c r="M14732" s="1">
        <f>VALUE(19229)</f>
        <v>19229</v>
      </c>
      <c r="N14732" t="s">
        <v>25</v>
      </c>
    </row>
    <row r="14733" spans="1:14" x14ac:dyDescent="0.25">
      <c r="A14733" t="s">
        <v>45</v>
      </c>
      <c r="B14733" t="s">
        <v>39</v>
      </c>
      <c r="C14733" t="s">
        <v>38</v>
      </c>
      <c r="D14733" t="s">
        <v>28</v>
      </c>
      <c r="E14733" t="s">
        <v>21</v>
      </c>
      <c r="F14733" t="s">
        <v>17</v>
      </c>
      <c r="G14733" s="2">
        <f>VALUE(2373.9)</f>
        <v>2373.9</v>
      </c>
      <c r="H14733" s="3">
        <f>VALUE(2194.22)</f>
        <v>2194.2199999999998</v>
      </c>
      <c r="I14733" s="1">
        <f>VALUE(6283)</f>
        <v>6283</v>
      </c>
      <c r="J14733" s="1">
        <f>VALUE(8515)</f>
        <v>8515</v>
      </c>
      <c r="K14733" s="1">
        <f>VALUE(11054)</f>
        <v>11054</v>
      </c>
      <c r="L14733" s="1">
        <f>VALUE(15441)</f>
        <v>15441</v>
      </c>
      <c r="M14733" s="1">
        <f>VALUE(21333)</f>
        <v>21333</v>
      </c>
      <c r="N14733" t="s">
        <v>25</v>
      </c>
    </row>
    <row r="14734" spans="1:14" x14ac:dyDescent="0.25">
      <c r="A14734" t="s">
        <v>45</v>
      </c>
      <c r="B14734" t="s">
        <v>39</v>
      </c>
      <c r="C14734" t="s">
        <v>38</v>
      </c>
      <c r="D14734" t="s">
        <v>28</v>
      </c>
      <c r="E14734" t="s">
        <v>21</v>
      </c>
      <c r="F14734" t="s">
        <v>18</v>
      </c>
      <c r="G14734" s="2">
        <f>VALUE(388.64)</f>
        <v>388.64</v>
      </c>
      <c r="H14734" s="3">
        <f>VALUE(339.74)</f>
        <v>339.74</v>
      </c>
      <c r="I14734" s="1">
        <f>VALUE(6712)</f>
        <v>6712</v>
      </c>
      <c r="J14734" s="1">
        <f>VALUE(8157)</f>
        <v>8157</v>
      </c>
      <c r="K14734" s="1">
        <f>VALUE(9835)</f>
        <v>9835</v>
      </c>
      <c r="L14734" s="1">
        <f>VALUE(12356)</f>
        <v>12356</v>
      </c>
      <c r="M14734" s="8">
        <f>VALUE(14211)</f>
        <v>14211</v>
      </c>
      <c r="N14734" t="s">
        <v>25</v>
      </c>
    </row>
    <row r="14735" spans="1:14" x14ac:dyDescent="0.25">
      <c r="A14735" t="s">
        <v>45</v>
      </c>
      <c r="B14735" t="s">
        <v>39</v>
      </c>
      <c r="C14735" t="s">
        <v>38</v>
      </c>
      <c r="D14735" t="s">
        <v>28</v>
      </c>
      <c r="E14735" t="s">
        <v>21</v>
      </c>
      <c r="F14735" t="s">
        <v>19</v>
      </c>
      <c r="G14735" s="2">
        <f>VALUE(318.16)</f>
        <v>318.16000000000003</v>
      </c>
      <c r="H14735" s="3">
        <f>VALUE(264.93)</f>
        <v>264.93</v>
      </c>
      <c r="I14735" s="1">
        <f>VALUE(5159)</f>
        <v>5159</v>
      </c>
      <c r="J14735" s="1">
        <f>VALUE(6716)</f>
        <v>6716</v>
      </c>
      <c r="K14735" s="1">
        <f>VALUE(7750)</f>
        <v>7750</v>
      </c>
      <c r="L14735" s="1">
        <f>VALUE(9771)</f>
        <v>9771</v>
      </c>
      <c r="M14735" s="1">
        <f>VALUE(12125)</f>
        <v>12125</v>
      </c>
      <c r="N14735" t="s">
        <v>25</v>
      </c>
    </row>
    <row r="14736" spans="1:14" x14ac:dyDescent="0.25">
      <c r="A14736" t="s">
        <v>45</v>
      </c>
      <c r="B14736" t="s">
        <v>39</v>
      </c>
      <c r="C14736" t="s">
        <v>38</v>
      </c>
      <c r="D14736" t="s">
        <v>28</v>
      </c>
      <c r="E14736" t="s">
        <v>21</v>
      </c>
      <c r="F14736" t="s">
        <v>20</v>
      </c>
      <c r="G14736" s="2">
        <f>VALUE(587.54)</f>
        <v>587.54</v>
      </c>
      <c r="H14736" s="3">
        <f>VALUE(491.07)</f>
        <v>491.07</v>
      </c>
      <c r="I14736" s="4">
        <f>VALUE(4875)</f>
        <v>4875</v>
      </c>
      <c r="J14736" s="1">
        <f>VALUE(6537)</f>
        <v>6537</v>
      </c>
      <c r="K14736" s="1">
        <f>VALUE(8444)</f>
        <v>8444</v>
      </c>
      <c r="L14736" s="1">
        <f>VALUE(10144)</f>
        <v>10144</v>
      </c>
      <c r="M14736" s="1">
        <f>VALUE(13750)</f>
        <v>13750</v>
      </c>
      <c r="N14736" t="s">
        <v>25</v>
      </c>
    </row>
    <row r="14737" spans="1:14" x14ac:dyDescent="0.25">
      <c r="A14737" t="s">
        <v>45</v>
      </c>
      <c r="B14737" t="s">
        <v>39</v>
      </c>
      <c r="C14737" t="s">
        <v>38</v>
      </c>
      <c r="D14737" t="s">
        <v>28</v>
      </c>
      <c r="E14737" t="s">
        <v>22</v>
      </c>
      <c r="F14737" t="s">
        <v>15</v>
      </c>
      <c r="G14737" s="2">
        <f>VALUE(4615.38)</f>
        <v>4615.38</v>
      </c>
      <c r="H14737" s="3">
        <f>VALUE(4416.49)</f>
        <v>4416.49</v>
      </c>
      <c r="I14737" s="1">
        <f>VALUE(4767)</f>
        <v>4767</v>
      </c>
      <c r="J14737" s="1">
        <f>VALUE(5599)</f>
        <v>5599</v>
      </c>
      <c r="K14737" s="1">
        <f>VALUE(6832)</f>
        <v>6832</v>
      </c>
      <c r="L14737" s="1">
        <f>VALUE(9025)</f>
        <v>9025</v>
      </c>
      <c r="M14737" s="8">
        <f>VALUE(12000)</f>
        <v>12000</v>
      </c>
      <c r="N14737" t="s">
        <v>25</v>
      </c>
    </row>
    <row r="14738" spans="1:14" x14ac:dyDescent="0.25">
      <c r="A14738" t="s">
        <v>45</v>
      </c>
      <c r="B14738" t="s">
        <v>39</v>
      </c>
      <c r="C14738" t="s">
        <v>38</v>
      </c>
      <c r="D14738" t="s">
        <v>28</v>
      </c>
      <c r="E14738" t="s">
        <v>22</v>
      </c>
      <c r="F14738" t="s">
        <v>17</v>
      </c>
      <c r="G14738" s="2">
        <f>VALUE(1419.52)</f>
        <v>1419.52</v>
      </c>
      <c r="H14738" s="3">
        <f>VALUE(1373.82)</f>
        <v>1373.82</v>
      </c>
      <c r="I14738" s="4">
        <f>VALUE(5538)</f>
        <v>5538</v>
      </c>
      <c r="J14738" s="5">
        <f>VALUE(7307)</f>
        <v>7307</v>
      </c>
      <c r="K14738" s="6">
        <f>VALUE(10000)</f>
        <v>10000</v>
      </c>
      <c r="L14738" s="7">
        <f>VALUE(13008)</f>
        <v>13008</v>
      </c>
      <c r="M14738" s="8">
        <f>VALUE(19162)</f>
        <v>19162</v>
      </c>
      <c r="N14738" t="s">
        <v>24</v>
      </c>
    </row>
    <row r="14739" spans="1:14" x14ac:dyDescent="0.25">
      <c r="A14739" t="s">
        <v>45</v>
      </c>
      <c r="B14739" t="s">
        <v>39</v>
      </c>
      <c r="C14739" t="s">
        <v>38</v>
      </c>
      <c r="D14739" t="s">
        <v>28</v>
      </c>
      <c r="E14739" t="s">
        <v>22</v>
      </c>
      <c r="F14739" t="s">
        <v>18</v>
      </c>
      <c r="G14739" s="2">
        <f>VALUE(516.82)</f>
        <v>516.82000000000005</v>
      </c>
      <c r="H14739" s="3">
        <f>VALUE(477.67)</f>
        <v>477.67</v>
      </c>
      <c r="I14739" s="4">
        <f>VALUE(4571)</f>
        <v>4571</v>
      </c>
      <c r="J14739" s="1">
        <f>VALUE(5808)</f>
        <v>5808</v>
      </c>
      <c r="K14739" s="1">
        <f>VALUE(7485)</f>
        <v>7485</v>
      </c>
      <c r="L14739" s="7">
        <f>VALUE(8970)</f>
        <v>8970</v>
      </c>
      <c r="M14739" s="8">
        <f>VALUE(11904)</f>
        <v>11904</v>
      </c>
      <c r="N14739" t="s">
        <v>25</v>
      </c>
    </row>
    <row r="14740" spans="1:14" x14ac:dyDescent="0.25">
      <c r="A14740" t="s">
        <v>45</v>
      </c>
      <c r="B14740" t="s">
        <v>39</v>
      </c>
      <c r="C14740" t="s">
        <v>38</v>
      </c>
      <c r="D14740" t="s">
        <v>28</v>
      </c>
      <c r="E14740" t="s">
        <v>22</v>
      </c>
      <c r="F14740" t="s">
        <v>19</v>
      </c>
      <c r="G14740" s="2">
        <f>VALUE(534.93)</f>
        <v>534.92999999999995</v>
      </c>
      <c r="H14740" s="3">
        <f>VALUE(524.63)</f>
        <v>524.63</v>
      </c>
      <c r="I14740" s="1">
        <f>VALUE(4703)</f>
        <v>4703</v>
      </c>
      <c r="J14740" s="1">
        <f>VALUE(5747)</f>
        <v>5747</v>
      </c>
      <c r="K14740" s="1">
        <f>VALUE(6720)</f>
        <v>6720</v>
      </c>
      <c r="L14740" s="1">
        <f>VALUE(7887)</f>
        <v>7887</v>
      </c>
      <c r="M14740" s="1">
        <f>VALUE(9021)</f>
        <v>9021</v>
      </c>
      <c r="N14740" t="s">
        <v>25</v>
      </c>
    </row>
    <row r="14741" spans="1:14" x14ac:dyDescent="0.25">
      <c r="A14741" t="s">
        <v>45</v>
      </c>
      <c r="B14741" t="s">
        <v>39</v>
      </c>
      <c r="C14741" t="s">
        <v>38</v>
      </c>
      <c r="D14741" t="s">
        <v>28</v>
      </c>
      <c r="E14741" t="s">
        <v>22</v>
      </c>
      <c r="F14741" t="s">
        <v>20</v>
      </c>
      <c r="G14741" s="2">
        <f>VALUE(2144.11)</f>
        <v>2144.11</v>
      </c>
      <c r="H14741" s="3">
        <f>VALUE(2040.37)</f>
        <v>2040.37</v>
      </c>
      <c r="I14741" s="1">
        <f>VALUE(4687)</f>
        <v>4687</v>
      </c>
      <c r="J14741" s="1">
        <f>VALUE(5341)</f>
        <v>5341</v>
      </c>
      <c r="K14741" s="1">
        <f>VALUE(6175)</f>
        <v>6175</v>
      </c>
      <c r="L14741" s="1">
        <f>VALUE(7102)</f>
        <v>7102</v>
      </c>
      <c r="M14741" s="1">
        <f>VALUE(8315)</f>
        <v>8315</v>
      </c>
      <c r="N14741" t="s">
        <v>25</v>
      </c>
    </row>
    <row r="14742" spans="1:14" x14ac:dyDescent="0.25">
      <c r="A14742" t="s">
        <v>45</v>
      </c>
      <c r="B14742" t="s">
        <v>39</v>
      </c>
      <c r="C14742" t="s">
        <v>38</v>
      </c>
      <c r="D14742" t="s">
        <v>28</v>
      </c>
      <c r="E14742" t="s">
        <v>23</v>
      </c>
      <c r="F14742" t="s">
        <v>15</v>
      </c>
      <c r="G14742" s="2">
        <f>VALUE(1071.26)</f>
        <v>1071.26</v>
      </c>
      <c r="H14742" s="3">
        <f>VALUE(945.2)</f>
        <v>945.2</v>
      </c>
      <c r="I14742" s="1">
        <f>VALUE(3956)</f>
        <v>3956</v>
      </c>
      <c r="J14742" s="1">
        <f>VALUE(4555)</f>
        <v>4555</v>
      </c>
      <c r="K14742" s="1">
        <f>VALUE(5440)</f>
        <v>5440</v>
      </c>
      <c r="L14742" s="7">
        <f>VALUE(6291)</f>
        <v>6291</v>
      </c>
      <c r="M14742" s="8">
        <f>VALUE(8283)</f>
        <v>8283</v>
      </c>
      <c r="N14742" t="s">
        <v>25</v>
      </c>
    </row>
    <row r="14743" spans="1:14" x14ac:dyDescent="0.25">
      <c r="A14743" t="s">
        <v>45</v>
      </c>
      <c r="B14743" t="s">
        <v>39</v>
      </c>
      <c r="C14743" t="s">
        <v>38</v>
      </c>
      <c r="D14743" t="s">
        <v>28</v>
      </c>
      <c r="E14743" t="s">
        <v>23</v>
      </c>
      <c r="F14743" t="s">
        <v>17</v>
      </c>
      <c r="G14743" s="1" t="str">
        <f t="shared" ref="G14743:M14745" si="3382">"X"</f>
        <v>X</v>
      </c>
      <c r="H14743" s="1" t="str">
        <f t="shared" si="3382"/>
        <v>X</v>
      </c>
      <c r="I14743" s="1" t="str">
        <f t="shared" si="3382"/>
        <v>X</v>
      </c>
      <c r="J14743" s="1" t="str">
        <f t="shared" si="3382"/>
        <v>X</v>
      </c>
      <c r="K14743" s="1" t="str">
        <f t="shared" si="3382"/>
        <v>X</v>
      </c>
      <c r="L14743" s="1" t="str">
        <f t="shared" si="3382"/>
        <v>X</v>
      </c>
      <c r="M14743" s="1" t="str">
        <f t="shared" si="3382"/>
        <v>X</v>
      </c>
      <c r="N14743" t="s">
        <v>27</v>
      </c>
    </row>
    <row r="14744" spans="1:14" x14ac:dyDescent="0.25">
      <c r="A14744" t="s">
        <v>45</v>
      </c>
      <c r="B14744" t="s">
        <v>39</v>
      </c>
      <c r="C14744" t="s">
        <v>38</v>
      </c>
      <c r="D14744" t="s">
        <v>28</v>
      </c>
      <c r="E14744" t="s">
        <v>23</v>
      </c>
      <c r="F14744" t="s">
        <v>18</v>
      </c>
      <c r="G14744" s="1" t="str">
        <f t="shared" si="3382"/>
        <v>X</v>
      </c>
      <c r="H14744" s="1" t="str">
        <f t="shared" si="3382"/>
        <v>X</v>
      </c>
      <c r="I14744" s="1" t="str">
        <f t="shared" si="3382"/>
        <v>X</v>
      </c>
      <c r="J14744" s="1" t="str">
        <f t="shared" si="3382"/>
        <v>X</v>
      </c>
      <c r="K14744" s="1" t="str">
        <f t="shared" si="3382"/>
        <v>X</v>
      </c>
      <c r="L14744" s="1" t="str">
        <f t="shared" si="3382"/>
        <v>X</v>
      </c>
      <c r="M14744" s="1" t="str">
        <f t="shared" si="3382"/>
        <v>X</v>
      </c>
      <c r="N14744" t="s">
        <v>27</v>
      </c>
    </row>
    <row r="14745" spans="1:14" x14ac:dyDescent="0.25">
      <c r="A14745" t="s">
        <v>45</v>
      </c>
      <c r="B14745" t="s">
        <v>39</v>
      </c>
      <c r="C14745" t="s">
        <v>38</v>
      </c>
      <c r="D14745" t="s">
        <v>28</v>
      </c>
      <c r="E14745" t="s">
        <v>23</v>
      </c>
      <c r="F14745" t="s">
        <v>19</v>
      </c>
      <c r="G14745" s="1" t="str">
        <f t="shared" si="3382"/>
        <v>X</v>
      </c>
      <c r="H14745" s="1" t="str">
        <f t="shared" si="3382"/>
        <v>X</v>
      </c>
      <c r="I14745" s="1" t="str">
        <f t="shared" si="3382"/>
        <v>X</v>
      </c>
      <c r="J14745" s="1" t="str">
        <f t="shared" si="3382"/>
        <v>X</v>
      </c>
      <c r="K14745" s="1" t="str">
        <f t="shared" si="3382"/>
        <v>X</v>
      </c>
      <c r="L14745" s="1" t="str">
        <f t="shared" si="3382"/>
        <v>X</v>
      </c>
      <c r="M14745" s="1" t="str">
        <f t="shared" si="3382"/>
        <v>X</v>
      </c>
      <c r="N14745" t="s">
        <v>27</v>
      </c>
    </row>
    <row r="14746" spans="1:14" x14ac:dyDescent="0.25">
      <c r="A14746" t="s">
        <v>45</v>
      </c>
      <c r="B14746" t="s">
        <v>39</v>
      </c>
      <c r="C14746" t="s">
        <v>38</v>
      </c>
      <c r="D14746" t="s">
        <v>28</v>
      </c>
      <c r="E14746" t="s">
        <v>23</v>
      </c>
      <c r="F14746" t="s">
        <v>20</v>
      </c>
      <c r="G14746" s="2">
        <f>VALUE(667.48)</f>
        <v>667.48</v>
      </c>
      <c r="H14746" s="3">
        <f>VALUE(575.71)</f>
        <v>575.71</v>
      </c>
      <c r="I14746" s="1">
        <f>VALUE(3591)</f>
        <v>3591</v>
      </c>
      <c r="J14746" s="1">
        <f>VALUE(4345)</f>
        <v>4345</v>
      </c>
      <c r="K14746" s="1">
        <f>VALUE(5073)</f>
        <v>5073</v>
      </c>
      <c r="L14746" s="1">
        <f>VALUE(5894)</f>
        <v>5894</v>
      </c>
      <c r="M14746" s="8">
        <f>VALUE(6483)</f>
        <v>6483</v>
      </c>
      <c r="N14746" t="s">
        <v>25</v>
      </c>
    </row>
    <row r="14747" spans="1:14" x14ac:dyDescent="0.25">
      <c r="A14747" t="s">
        <v>45</v>
      </c>
      <c r="B14747" t="s">
        <v>39</v>
      </c>
      <c r="C14747" t="s">
        <v>38</v>
      </c>
      <c r="D14747" t="s">
        <v>28</v>
      </c>
      <c r="E14747" t="s">
        <v>26</v>
      </c>
      <c r="F14747" t="s">
        <v>15</v>
      </c>
      <c r="G14747" s="1" t="str">
        <f t="shared" ref="G14747:M14749" si="3383">"X"</f>
        <v>X</v>
      </c>
      <c r="H14747" s="1" t="str">
        <f t="shared" si="3383"/>
        <v>X</v>
      </c>
      <c r="I14747" s="1" t="str">
        <f t="shared" si="3383"/>
        <v>X</v>
      </c>
      <c r="J14747" s="1" t="str">
        <f t="shared" si="3383"/>
        <v>X</v>
      </c>
      <c r="K14747" s="1" t="str">
        <f t="shared" si="3383"/>
        <v>X</v>
      </c>
      <c r="L14747" s="1" t="str">
        <f t="shared" si="3383"/>
        <v>X</v>
      </c>
      <c r="M14747" s="1" t="str">
        <f t="shared" si="3383"/>
        <v>X</v>
      </c>
      <c r="N14747" t="s">
        <v>27</v>
      </c>
    </row>
    <row r="14748" spans="1:14" x14ac:dyDescent="0.25">
      <c r="A14748" t="s">
        <v>45</v>
      </c>
      <c r="B14748" t="s">
        <v>39</v>
      </c>
      <c r="C14748" t="s">
        <v>38</v>
      </c>
      <c r="D14748" t="s">
        <v>28</v>
      </c>
      <c r="E14748" t="s">
        <v>26</v>
      </c>
      <c r="F14748" t="s">
        <v>17</v>
      </c>
      <c r="G14748" s="1" t="str">
        <f t="shared" si="3383"/>
        <v>X</v>
      </c>
      <c r="H14748" s="1" t="str">
        <f t="shared" si="3383"/>
        <v>X</v>
      </c>
      <c r="I14748" s="1" t="str">
        <f t="shared" si="3383"/>
        <v>X</v>
      </c>
      <c r="J14748" s="1" t="str">
        <f t="shared" si="3383"/>
        <v>X</v>
      </c>
      <c r="K14748" s="1" t="str">
        <f t="shared" si="3383"/>
        <v>X</v>
      </c>
      <c r="L14748" s="1" t="str">
        <f t="shared" si="3383"/>
        <v>X</v>
      </c>
      <c r="M14748" s="1" t="str">
        <f t="shared" si="3383"/>
        <v>X</v>
      </c>
      <c r="N14748" t="s">
        <v>27</v>
      </c>
    </row>
    <row r="14749" spans="1:14" x14ac:dyDescent="0.25">
      <c r="A14749" t="s">
        <v>45</v>
      </c>
      <c r="B14749" t="s">
        <v>39</v>
      </c>
      <c r="C14749" t="s">
        <v>38</v>
      </c>
      <c r="D14749" t="s">
        <v>28</v>
      </c>
      <c r="E14749" t="s">
        <v>26</v>
      </c>
      <c r="F14749" t="s">
        <v>18</v>
      </c>
      <c r="G14749" s="1" t="str">
        <f t="shared" si="3383"/>
        <v>X</v>
      </c>
      <c r="H14749" s="1" t="str">
        <f t="shared" si="3383"/>
        <v>X</v>
      </c>
      <c r="I14749" s="1" t="str">
        <f t="shared" si="3383"/>
        <v>X</v>
      </c>
      <c r="J14749" s="1" t="str">
        <f t="shared" si="3383"/>
        <v>X</v>
      </c>
      <c r="K14749" s="1" t="str">
        <f t="shared" si="3383"/>
        <v>X</v>
      </c>
      <c r="L14749" s="1" t="str">
        <f t="shared" si="3383"/>
        <v>X</v>
      </c>
      <c r="M14749" s="1" t="str">
        <f t="shared" si="3383"/>
        <v>X</v>
      </c>
      <c r="N14749" t="s">
        <v>27</v>
      </c>
    </row>
    <row r="14750" spans="1:14" x14ac:dyDescent="0.25">
      <c r="A14750" t="s">
        <v>45</v>
      </c>
      <c r="B14750" t="s">
        <v>39</v>
      </c>
      <c r="C14750" t="s">
        <v>38</v>
      </c>
      <c r="D14750" t="s">
        <v>28</v>
      </c>
      <c r="E14750" t="s">
        <v>26</v>
      </c>
      <c r="F14750" t="s">
        <v>19</v>
      </c>
      <c r="G14750" s="1" t="str">
        <f t="shared" ref="G14750:M14750" si="3384">"..."</f>
        <v>...</v>
      </c>
      <c r="H14750" s="1" t="str">
        <f t="shared" si="3384"/>
        <v>...</v>
      </c>
      <c r="I14750" s="1" t="str">
        <f t="shared" si="3384"/>
        <v>...</v>
      </c>
      <c r="J14750" s="1" t="str">
        <f t="shared" si="3384"/>
        <v>...</v>
      </c>
      <c r="K14750" s="1" t="str">
        <f t="shared" si="3384"/>
        <v>...</v>
      </c>
      <c r="L14750" s="1" t="str">
        <f t="shared" si="3384"/>
        <v>...</v>
      </c>
      <c r="M14750" s="1" t="str">
        <f t="shared" si="3384"/>
        <v>...</v>
      </c>
      <c r="N14750" t="s">
        <v>30</v>
      </c>
    </row>
    <row r="14751" spans="1:14" x14ac:dyDescent="0.25">
      <c r="A14751" t="s">
        <v>45</v>
      </c>
      <c r="B14751" t="s">
        <v>39</v>
      </c>
      <c r="C14751" t="s">
        <v>38</v>
      </c>
      <c r="D14751" t="s">
        <v>28</v>
      </c>
      <c r="E14751" t="s">
        <v>26</v>
      </c>
      <c r="F14751" t="s">
        <v>20</v>
      </c>
      <c r="G14751" s="1" t="str">
        <f t="shared" ref="G14751:M14751" si="3385">"X"</f>
        <v>X</v>
      </c>
      <c r="H14751" s="1" t="str">
        <f t="shared" si="3385"/>
        <v>X</v>
      </c>
      <c r="I14751" s="1" t="str">
        <f t="shared" si="3385"/>
        <v>X</v>
      </c>
      <c r="J14751" s="1" t="str">
        <f t="shared" si="3385"/>
        <v>X</v>
      </c>
      <c r="K14751" s="1" t="str">
        <f t="shared" si="3385"/>
        <v>X</v>
      </c>
      <c r="L14751" s="1" t="str">
        <f t="shared" si="3385"/>
        <v>X</v>
      </c>
      <c r="M14751" s="1" t="str">
        <f t="shared" si="3385"/>
        <v>X</v>
      </c>
      <c r="N14751" t="s">
        <v>27</v>
      </c>
    </row>
    <row r="14752" spans="1:14" x14ac:dyDescent="0.25">
      <c r="A14752" t="s">
        <v>45</v>
      </c>
      <c r="B14752" t="s">
        <v>39</v>
      </c>
      <c r="C14752" t="s">
        <v>38</v>
      </c>
      <c r="D14752" t="s">
        <v>29</v>
      </c>
      <c r="E14752" t="s">
        <v>15</v>
      </c>
      <c r="F14752" t="s">
        <v>15</v>
      </c>
      <c r="G14752" s="2">
        <f>VALUE(3963.64)</f>
        <v>3963.64</v>
      </c>
      <c r="H14752" s="3">
        <f>VALUE(3838.51)</f>
        <v>3838.51</v>
      </c>
      <c r="I14752" s="1">
        <f>VALUE(4125)</f>
        <v>4125</v>
      </c>
      <c r="J14752" s="1">
        <f>VALUE(5069)</f>
        <v>5069</v>
      </c>
      <c r="K14752" s="1">
        <f>VALUE(6200)</f>
        <v>6200</v>
      </c>
      <c r="L14752" s="1">
        <f>VALUE(7583)</f>
        <v>7583</v>
      </c>
      <c r="M14752" s="8">
        <f>VALUE(11142)</f>
        <v>11142</v>
      </c>
      <c r="N14752" t="s">
        <v>25</v>
      </c>
    </row>
    <row r="14753" spans="1:14" x14ac:dyDescent="0.25">
      <c r="A14753" t="s">
        <v>45</v>
      </c>
      <c r="B14753" t="s">
        <v>39</v>
      </c>
      <c r="C14753" t="s">
        <v>38</v>
      </c>
      <c r="D14753" t="s">
        <v>29</v>
      </c>
      <c r="E14753" t="s">
        <v>15</v>
      </c>
      <c r="F14753" t="s">
        <v>17</v>
      </c>
      <c r="G14753" s="2">
        <f>VALUE(1261.38)</f>
        <v>1261.3800000000001</v>
      </c>
      <c r="H14753" s="3">
        <f>VALUE(1183.2)</f>
        <v>1183.2</v>
      </c>
      <c r="I14753" s="4">
        <f>VALUE(5569)</f>
        <v>5569</v>
      </c>
      <c r="J14753" s="5">
        <f>VALUE(6870)</f>
        <v>6870</v>
      </c>
      <c r="K14753" s="1">
        <f>VALUE(7583)</f>
        <v>7583</v>
      </c>
      <c r="L14753" s="7">
        <f>VALUE(11458)</f>
        <v>11458</v>
      </c>
      <c r="M14753" s="8">
        <f>VALUE(19585)</f>
        <v>19585</v>
      </c>
      <c r="N14753" t="s">
        <v>25</v>
      </c>
    </row>
    <row r="14754" spans="1:14" x14ac:dyDescent="0.25">
      <c r="A14754" t="s">
        <v>45</v>
      </c>
      <c r="B14754" t="s">
        <v>39</v>
      </c>
      <c r="C14754" t="s">
        <v>38</v>
      </c>
      <c r="D14754" t="s">
        <v>29</v>
      </c>
      <c r="E14754" t="s">
        <v>15</v>
      </c>
      <c r="F14754" t="s">
        <v>18</v>
      </c>
      <c r="G14754" s="2">
        <f>VALUE(398.82)</f>
        <v>398.82</v>
      </c>
      <c r="H14754" s="3">
        <f>VALUE(417.24)</f>
        <v>417.24</v>
      </c>
      <c r="I14754" s="4">
        <f>VALUE(4798)</f>
        <v>4798</v>
      </c>
      <c r="J14754" s="1">
        <f>VALUE(5333)</f>
        <v>5333</v>
      </c>
      <c r="K14754" s="1">
        <f>VALUE(5337)</f>
        <v>5337</v>
      </c>
      <c r="L14754" s="7">
        <f>VALUE(7814)</f>
        <v>7814</v>
      </c>
      <c r="M14754" s="1">
        <f>VALUE(10279)</f>
        <v>10279</v>
      </c>
      <c r="N14754" t="s">
        <v>25</v>
      </c>
    </row>
    <row r="14755" spans="1:14" x14ac:dyDescent="0.25">
      <c r="A14755" t="s">
        <v>45</v>
      </c>
      <c r="B14755" t="s">
        <v>39</v>
      </c>
      <c r="C14755" t="s">
        <v>38</v>
      </c>
      <c r="D14755" t="s">
        <v>29</v>
      </c>
      <c r="E14755" t="s">
        <v>15</v>
      </c>
      <c r="F14755" t="s">
        <v>19</v>
      </c>
      <c r="G14755" s="2">
        <f>VALUE(384.01)</f>
        <v>384.01</v>
      </c>
      <c r="H14755" s="3">
        <f>VALUE(385.57)</f>
        <v>385.57</v>
      </c>
      <c r="I14755" s="4">
        <f>VALUE(4384)</f>
        <v>4384</v>
      </c>
      <c r="J14755" s="1">
        <f>VALUE(5243)</f>
        <v>5243</v>
      </c>
      <c r="K14755" s="1">
        <f>VALUE(6485)</f>
        <v>6485</v>
      </c>
      <c r="L14755" s="1">
        <f>VALUE(7699)</f>
        <v>7699</v>
      </c>
      <c r="M14755" s="1">
        <f>VALUE(8738)</f>
        <v>8738</v>
      </c>
      <c r="N14755" t="s">
        <v>25</v>
      </c>
    </row>
    <row r="14756" spans="1:14" x14ac:dyDescent="0.25">
      <c r="A14756" t="s">
        <v>45</v>
      </c>
      <c r="B14756" t="s">
        <v>39</v>
      </c>
      <c r="C14756" t="s">
        <v>38</v>
      </c>
      <c r="D14756" t="s">
        <v>29</v>
      </c>
      <c r="E14756" t="s">
        <v>15</v>
      </c>
      <c r="F14756" t="s">
        <v>20</v>
      </c>
      <c r="G14756" s="2">
        <f>VALUE(1919.43)</f>
        <v>1919.43</v>
      </c>
      <c r="H14756" s="3">
        <f>VALUE(1852.5)</f>
        <v>1852.5</v>
      </c>
      <c r="I14756" s="1">
        <f>VALUE(3906)</f>
        <v>3906</v>
      </c>
      <c r="J14756" s="1">
        <f>VALUE(4541)</f>
        <v>4541</v>
      </c>
      <c r="K14756" s="1">
        <f>VALUE(5579)</f>
        <v>5579</v>
      </c>
      <c r="L14756" s="1">
        <f>VALUE(6223)</f>
        <v>6223</v>
      </c>
      <c r="M14756" s="1">
        <f>VALUE(7500)</f>
        <v>7500</v>
      </c>
      <c r="N14756" t="s">
        <v>25</v>
      </c>
    </row>
    <row r="14757" spans="1:14" x14ac:dyDescent="0.25">
      <c r="A14757" t="s">
        <v>45</v>
      </c>
      <c r="B14757" t="s">
        <v>39</v>
      </c>
      <c r="C14757" t="s">
        <v>38</v>
      </c>
      <c r="D14757" t="s">
        <v>29</v>
      </c>
      <c r="E14757" t="s">
        <v>21</v>
      </c>
      <c r="F14757" t="s">
        <v>15</v>
      </c>
      <c r="G14757" s="2">
        <f>VALUE(1256.84)</f>
        <v>1256.8399999999999</v>
      </c>
      <c r="H14757" s="3">
        <f>VALUE(1180.88)</f>
        <v>1180.8800000000001</v>
      </c>
      <c r="I14757" s="1">
        <f>VALUE(5333)</f>
        <v>5333</v>
      </c>
      <c r="J14757" s="5">
        <f>VALUE(6102)</f>
        <v>6102</v>
      </c>
      <c r="K14757" s="6">
        <f>VALUE(7982)</f>
        <v>7982</v>
      </c>
      <c r="L14757" s="7">
        <f>VALUE(10805)</f>
        <v>10805</v>
      </c>
      <c r="M14757" s="8">
        <f>VALUE(20661)</f>
        <v>20661</v>
      </c>
      <c r="N14757" t="s">
        <v>25</v>
      </c>
    </row>
    <row r="14758" spans="1:14" x14ac:dyDescent="0.25">
      <c r="A14758" t="s">
        <v>45</v>
      </c>
      <c r="B14758" t="s">
        <v>39</v>
      </c>
      <c r="C14758" t="s">
        <v>38</v>
      </c>
      <c r="D14758" t="s">
        <v>29</v>
      </c>
      <c r="E14758" t="s">
        <v>21</v>
      </c>
      <c r="F14758" t="s">
        <v>17</v>
      </c>
      <c r="G14758" s="2">
        <f>VALUE(774.79)</f>
        <v>774.79</v>
      </c>
      <c r="H14758" s="3">
        <f>VALUE(707.5)</f>
        <v>707.5</v>
      </c>
      <c r="I14758" s="4">
        <f>VALUE(6102)</f>
        <v>6102</v>
      </c>
      <c r="J14758" s="5">
        <f>VALUE(6870)</f>
        <v>6870</v>
      </c>
      <c r="K14758" s="6">
        <f>VALUE(7982)</f>
        <v>7982</v>
      </c>
      <c r="L14758" s="7">
        <f>VALUE(12458)</f>
        <v>12458</v>
      </c>
      <c r="M14758" s="8">
        <f>VALUE(24851)</f>
        <v>24851</v>
      </c>
      <c r="N14758" t="s">
        <v>24</v>
      </c>
    </row>
    <row r="14759" spans="1:14" x14ac:dyDescent="0.25">
      <c r="A14759" t="s">
        <v>45</v>
      </c>
      <c r="B14759" t="s">
        <v>39</v>
      </c>
      <c r="C14759" t="s">
        <v>38</v>
      </c>
      <c r="D14759" t="s">
        <v>29</v>
      </c>
      <c r="E14759" t="s">
        <v>21</v>
      </c>
      <c r="F14759" t="s">
        <v>18</v>
      </c>
      <c r="G14759" s="1" t="str">
        <f t="shared" ref="G14759:M14760" si="3386">"X"</f>
        <v>X</v>
      </c>
      <c r="H14759" s="1" t="str">
        <f t="shared" si="3386"/>
        <v>X</v>
      </c>
      <c r="I14759" s="1" t="str">
        <f t="shared" si="3386"/>
        <v>X</v>
      </c>
      <c r="J14759" s="1" t="str">
        <f t="shared" si="3386"/>
        <v>X</v>
      </c>
      <c r="K14759" s="1" t="str">
        <f t="shared" si="3386"/>
        <v>X</v>
      </c>
      <c r="L14759" s="1" t="str">
        <f t="shared" si="3386"/>
        <v>X</v>
      </c>
      <c r="M14759" s="1" t="str">
        <f t="shared" si="3386"/>
        <v>X</v>
      </c>
      <c r="N14759" t="s">
        <v>27</v>
      </c>
    </row>
    <row r="14760" spans="1:14" x14ac:dyDescent="0.25">
      <c r="A14760" t="s">
        <v>45</v>
      </c>
      <c r="B14760" t="s">
        <v>39</v>
      </c>
      <c r="C14760" t="s">
        <v>38</v>
      </c>
      <c r="D14760" t="s">
        <v>29</v>
      </c>
      <c r="E14760" t="s">
        <v>21</v>
      </c>
      <c r="F14760" t="s">
        <v>19</v>
      </c>
      <c r="G14760" s="1" t="str">
        <f t="shared" si="3386"/>
        <v>X</v>
      </c>
      <c r="H14760" s="1" t="str">
        <f t="shared" si="3386"/>
        <v>X</v>
      </c>
      <c r="I14760" s="1" t="str">
        <f t="shared" si="3386"/>
        <v>X</v>
      </c>
      <c r="J14760" s="1" t="str">
        <f t="shared" si="3386"/>
        <v>X</v>
      </c>
      <c r="K14760" s="1" t="str">
        <f t="shared" si="3386"/>
        <v>X</v>
      </c>
      <c r="L14760" s="1" t="str">
        <f t="shared" si="3386"/>
        <v>X</v>
      </c>
      <c r="M14760" s="1" t="str">
        <f t="shared" si="3386"/>
        <v>X</v>
      </c>
      <c r="N14760" t="s">
        <v>27</v>
      </c>
    </row>
    <row r="14761" spans="1:14" x14ac:dyDescent="0.25">
      <c r="A14761" t="s">
        <v>45</v>
      </c>
      <c r="B14761" t="s">
        <v>39</v>
      </c>
      <c r="C14761" t="s">
        <v>38</v>
      </c>
      <c r="D14761" t="s">
        <v>29</v>
      </c>
      <c r="E14761" t="s">
        <v>21</v>
      </c>
      <c r="F14761" t="s">
        <v>20</v>
      </c>
      <c r="G14761" s="2">
        <f>VALUE(188.95)</f>
        <v>188.95</v>
      </c>
      <c r="H14761" s="3">
        <f>VALUE(173.73)</f>
        <v>173.73</v>
      </c>
      <c r="I14761" s="4">
        <f>VALUE(5002)</f>
        <v>5002</v>
      </c>
      <c r="J14761" s="5">
        <f>VALUE(6031)</f>
        <v>6031</v>
      </c>
      <c r="K14761" s="6">
        <f>VALUE(8257)</f>
        <v>8257</v>
      </c>
      <c r="L14761" s="7">
        <f>VALUE(10582)</f>
        <v>10582</v>
      </c>
      <c r="M14761" s="8">
        <f>VALUE(11418)</f>
        <v>11418</v>
      </c>
      <c r="N14761" t="s">
        <v>24</v>
      </c>
    </row>
    <row r="14762" spans="1:14" x14ac:dyDescent="0.25">
      <c r="A14762" t="s">
        <v>45</v>
      </c>
      <c r="B14762" t="s">
        <v>39</v>
      </c>
      <c r="C14762" t="s">
        <v>38</v>
      </c>
      <c r="D14762" t="s">
        <v>29</v>
      </c>
      <c r="E14762" t="s">
        <v>22</v>
      </c>
      <c r="F14762" t="s">
        <v>15</v>
      </c>
      <c r="G14762" s="2">
        <f>VALUE(1170.48)</f>
        <v>1170.48</v>
      </c>
      <c r="H14762" s="3">
        <f>VALUE(1151.32)</f>
        <v>1151.32</v>
      </c>
      <c r="I14762" s="1">
        <f>VALUE(4447)</f>
        <v>4447</v>
      </c>
      <c r="J14762" s="1">
        <f>VALUE(5329)</f>
        <v>5329</v>
      </c>
      <c r="K14762" s="1">
        <f>VALUE(6200)</f>
        <v>6200</v>
      </c>
      <c r="L14762" s="1">
        <f>VALUE(7510)</f>
        <v>7510</v>
      </c>
      <c r="M14762" s="8">
        <f>VALUE(9921)</f>
        <v>9921</v>
      </c>
      <c r="N14762" t="s">
        <v>25</v>
      </c>
    </row>
    <row r="14763" spans="1:14" x14ac:dyDescent="0.25">
      <c r="A14763" t="s">
        <v>45</v>
      </c>
      <c r="B14763" t="s">
        <v>39</v>
      </c>
      <c r="C14763" t="s">
        <v>38</v>
      </c>
      <c r="D14763" t="s">
        <v>29</v>
      </c>
      <c r="E14763" t="s">
        <v>22</v>
      </c>
      <c r="F14763" t="s">
        <v>17</v>
      </c>
      <c r="G14763" s="2">
        <f>VALUE(364.69)</f>
        <v>364.69</v>
      </c>
      <c r="H14763" s="3">
        <f>VALUE(358.87)</f>
        <v>358.87</v>
      </c>
      <c r="I14763" s="4">
        <f>VALUE(5353)</f>
        <v>5353</v>
      </c>
      <c r="J14763" s="1">
        <f>VALUE(6200)</f>
        <v>6200</v>
      </c>
      <c r="K14763" s="6">
        <f>VALUE(6933)</f>
        <v>6933</v>
      </c>
      <c r="L14763" s="7">
        <f>VALUE(10478)</f>
        <v>10478</v>
      </c>
      <c r="M14763" s="8">
        <f>VALUE(16375)</f>
        <v>16375</v>
      </c>
      <c r="N14763" t="s">
        <v>25</v>
      </c>
    </row>
    <row r="14764" spans="1:14" x14ac:dyDescent="0.25">
      <c r="A14764" t="s">
        <v>45</v>
      </c>
      <c r="B14764" t="s">
        <v>39</v>
      </c>
      <c r="C14764" t="s">
        <v>38</v>
      </c>
      <c r="D14764" t="s">
        <v>29</v>
      </c>
      <c r="E14764" t="s">
        <v>22</v>
      </c>
      <c r="F14764" t="s">
        <v>18</v>
      </c>
      <c r="G14764" s="1" t="str">
        <f t="shared" ref="G14764:M14764" si="3387">"X"</f>
        <v>X</v>
      </c>
      <c r="H14764" s="1" t="str">
        <f t="shared" si="3387"/>
        <v>X</v>
      </c>
      <c r="I14764" s="1" t="str">
        <f t="shared" si="3387"/>
        <v>X</v>
      </c>
      <c r="J14764" s="1" t="str">
        <f t="shared" si="3387"/>
        <v>X</v>
      </c>
      <c r="K14764" s="1" t="str">
        <f t="shared" si="3387"/>
        <v>X</v>
      </c>
      <c r="L14764" s="1" t="str">
        <f t="shared" si="3387"/>
        <v>X</v>
      </c>
      <c r="M14764" s="1" t="str">
        <f t="shared" si="3387"/>
        <v>X</v>
      </c>
      <c r="N14764" t="s">
        <v>27</v>
      </c>
    </row>
    <row r="14765" spans="1:14" x14ac:dyDescent="0.25">
      <c r="A14765" t="s">
        <v>45</v>
      </c>
      <c r="B14765" t="s">
        <v>39</v>
      </c>
      <c r="C14765" t="s">
        <v>38</v>
      </c>
      <c r="D14765" t="s">
        <v>29</v>
      </c>
      <c r="E14765" t="s">
        <v>22</v>
      </c>
      <c r="F14765" t="s">
        <v>19</v>
      </c>
      <c r="G14765" s="2">
        <f>VALUE(160.28)</f>
        <v>160.28</v>
      </c>
      <c r="H14765" s="3">
        <f>VALUE(162.48)</f>
        <v>162.47999999999999</v>
      </c>
      <c r="I14765" s="1">
        <f>VALUE(5207)</f>
        <v>5207</v>
      </c>
      <c r="J14765" s="1">
        <f>VALUE(5958)</f>
        <v>5958</v>
      </c>
      <c r="K14765" s="1">
        <f>VALUE(6883)</f>
        <v>6883</v>
      </c>
      <c r="L14765" s="1">
        <f>VALUE(7803)</f>
        <v>7803</v>
      </c>
      <c r="M14765" s="1">
        <f>VALUE(8736)</f>
        <v>8736</v>
      </c>
      <c r="N14765" t="s">
        <v>25</v>
      </c>
    </row>
    <row r="14766" spans="1:14" x14ac:dyDescent="0.25">
      <c r="A14766" t="s">
        <v>45</v>
      </c>
      <c r="B14766" t="s">
        <v>39</v>
      </c>
      <c r="C14766" t="s">
        <v>38</v>
      </c>
      <c r="D14766" t="s">
        <v>29</v>
      </c>
      <c r="E14766" t="s">
        <v>22</v>
      </c>
      <c r="F14766" t="s">
        <v>20</v>
      </c>
      <c r="G14766" s="2">
        <f>VALUE(541.9)</f>
        <v>541.9</v>
      </c>
      <c r="H14766" s="3">
        <f>VALUE(524.48)</f>
        <v>524.48</v>
      </c>
      <c r="I14766" s="1">
        <f>VALUE(4229)</f>
        <v>4229</v>
      </c>
      <c r="J14766" s="1">
        <f>VALUE(4743)</f>
        <v>4743</v>
      </c>
      <c r="K14766" s="1">
        <f>VALUE(5599)</f>
        <v>5599</v>
      </c>
      <c r="L14766" s="1">
        <f>VALUE(6521)</f>
        <v>6521</v>
      </c>
      <c r="M14766" s="1">
        <f>VALUE(7529)</f>
        <v>7529</v>
      </c>
      <c r="N14766" t="s">
        <v>25</v>
      </c>
    </row>
    <row r="14767" spans="1:14" x14ac:dyDescent="0.25">
      <c r="A14767" t="s">
        <v>45</v>
      </c>
      <c r="B14767" t="s">
        <v>39</v>
      </c>
      <c r="C14767" t="s">
        <v>38</v>
      </c>
      <c r="D14767" t="s">
        <v>29</v>
      </c>
      <c r="E14767" t="s">
        <v>23</v>
      </c>
      <c r="F14767" t="s">
        <v>15</v>
      </c>
      <c r="G14767" s="2">
        <f>VALUE(1513.99)</f>
        <v>1513.99</v>
      </c>
      <c r="H14767" s="3">
        <f>VALUE(1490.33)</f>
        <v>1490.33</v>
      </c>
      <c r="I14767" s="1">
        <f>VALUE(3745)</f>
        <v>3745</v>
      </c>
      <c r="J14767" s="1">
        <f>VALUE(4388)</f>
        <v>4388</v>
      </c>
      <c r="K14767" s="1">
        <f>VALUE(5416)</f>
        <v>5416</v>
      </c>
      <c r="L14767" s="1">
        <f>VALUE(6223)</f>
        <v>6223</v>
      </c>
      <c r="M14767" s="8">
        <f>VALUE(7485)</f>
        <v>7485</v>
      </c>
      <c r="N14767" t="s">
        <v>25</v>
      </c>
    </row>
    <row r="14768" spans="1:14" x14ac:dyDescent="0.25">
      <c r="A14768" t="s">
        <v>45</v>
      </c>
      <c r="B14768" t="s">
        <v>39</v>
      </c>
      <c r="C14768" t="s">
        <v>38</v>
      </c>
      <c r="D14768" t="s">
        <v>29</v>
      </c>
      <c r="E14768" t="s">
        <v>23</v>
      </c>
      <c r="F14768" t="s">
        <v>17</v>
      </c>
      <c r="G14768" s="1" t="str">
        <f t="shared" ref="G14768:M14770" si="3388">"X"</f>
        <v>X</v>
      </c>
      <c r="H14768" s="1" t="str">
        <f t="shared" si="3388"/>
        <v>X</v>
      </c>
      <c r="I14768" s="1" t="str">
        <f t="shared" si="3388"/>
        <v>X</v>
      </c>
      <c r="J14768" s="1" t="str">
        <f t="shared" si="3388"/>
        <v>X</v>
      </c>
      <c r="K14768" s="1" t="str">
        <f t="shared" si="3388"/>
        <v>X</v>
      </c>
      <c r="L14768" s="1" t="str">
        <f t="shared" si="3388"/>
        <v>X</v>
      </c>
      <c r="M14768" s="1" t="str">
        <f t="shared" si="3388"/>
        <v>X</v>
      </c>
      <c r="N14768" t="s">
        <v>27</v>
      </c>
    </row>
    <row r="14769" spans="1:14" x14ac:dyDescent="0.25">
      <c r="A14769" t="s">
        <v>45</v>
      </c>
      <c r="B14769" t="s">
        <v>39</v>
      </c>
      <c r="C14769" t="s">
        <v>38</v>
      </c>
      <c r="D14769" t="s">
        <v>29</v>
      </c>
      <c r="E14769" t="s">
        <v>23</v>
      </c>
      <c r="F14769" t="s">
        <v>18</v>
      </c>
      <c r="G14769" s="1" t="str">
        <f t="shared" si="3388"/>
        <v>X</v>
      </c>
      <c r="H14769" s="1" t="str">
        <f t="shared" si="3388"/>
        <v>X</v>
      </c>
      <c r="I14769" s="1" t="str">
        <f t="shared" si="3388"/>
        <v>X</v>
      </c>
      <c r="J14769" s="1" t="str">
        <f t="shared" si="3388"/>
        <v>X</v>
      </c>
      <c r="K14769" s="1" t="str">
        <f t="shared" si="3388"/>
        <v>X</v>
      </c>
      <c r="L14769" s="1" t="str">
        <f t="shared" si="3388"/>
        <v>X</v>
      </c>
      <c r="M14769" s="1" t="str">
        <f t="shared" si="3388"/>
        <v>X</v>
      </c>
      <c r="N14769" t="s">
        <v>27</v>
      </c>
    </row>
    <row r="14770" spans="1:14" x14ac:dyDescent="0.25">
      <c r="A14770" t="s">
        <v>45</v>
      </c>
      <c r="B14770" t="s">
        <v>39</v>
      </c>
      <c r="C14770" t="s">
        <v>38</v>
      </c>
      <c r="D14770" t="s">
        <v>29</v>
      </c>
      <c r="E14770" t="s">
        <v>23</v>
      </c>
      <c r="F14770" t="s">
        <v>19</v>
      </c>
      <c r="G14770" s="1" t="str">
        <f t="shared" si="3388"/>
        <v>X</v>
      </c>
      <c r="H14770" s="1" t="str">
        <f t="shared" si="3388"/>
        <v>X</v>
      </c>
      <c r="I14770" s="1" t="str">
        <f t="shared" si="3388"/>
        <v>X</v>
      </c>
      <c r="J14770" s="1" t="str">
        <f t="shared" si="3388"/>
        <v>X</v>
      </c>
      <c r="K14770" s="1" t="str">
        <f t="shared" si="3388"/>
        <v>X</v>
      </c>
      <c r="L14770" s="1" t="str">
        <f t="shared" si="3388"/>
        <v>X</v>
      </c>
      <c r="M14770" s="1" t="str">
        <f t="shared" si="3388"/>
        <v>X</v>
      </c>
      <c r="N14770" t="s">
        <v>27</v>
      </c>
    </row>
    <row r="14771" spans="1:14" x14ac:dyDescent="0.25">
      <c r="A14771" t="s">
        <v>45</v>
      </c>
      <c r="B14771" t="s">
        <v>39</v>
      </c>
      <c r="C14771" t="s">
        <v>38</v>
      </c>
      <c r="D14771" t="s">
        <v>29</v>
      </c>
      <c r="E14771" t="s">
        <v>23</v>
      </c>
      <c r="F14771" t="s">
        <v>20</v>
      </c>
      <c r="G14771" s="2">
        <f>VALUE(1174.17)</f>
        <v>1174.17</v>
      </c>
      <c r="H14771" s="3">
        <f>VALUE(1146.74)</f>
        <v>1146.74</v>
      </c>
      <c r="I14771" s="1">
        <f>VALUE(3749)</f>
        <v>3749</v>
      </c>
      <c r="J14771" s="1">
        <f>VALUE(4222)</f>
        <v>4222</v>
      </c>
      <c r="K14771" s="1">
        <f>VALUE(5228)</f>
        <v>5228</v>
      </c>
      <c r="L14771" s="1">
        <f>VALUE(6213)</f>
        <v>6213</v>
      </c>
      <c r="M14771" s="1">
        <f>VALUE(6595)</f>
        <v>6595</v>
      </c>
      <c r="N14771" t="s">
        <v>25</v>
      </c>
    </row>
    <row r="14772" spans="1:14" x14ac:dyDescent="0.25">
      <c r="A14772" t="s">
        <v>45</v>
      </c>
      <c r="B14772" t="s">
        <v>39</v>
      </c>
      <c r="C14772" t="s">
        <v>38</v>
      </c>
      <c r="D14772" t="s">
        <v>29</v>
      </c>
      <c r="E14772" t="s">
        <v>26</v>
      </c>
      <c r="F14772" t="s">
        <v>15</v>
      </c>
      <c r="G14772" s="1" t="str">
        <f t="shared" ref="G14772:M14773" si="3389">"X"</f>
        <v>X</v>
      </c>
      <c r="H14772" s="1" t="str">
        <f t="shared" si="3389"/>
        <v>X</v>
      </c>
      <c r="I14772" s="1" t="str">
        <f t="shared" si="3389"/>
        <v>X</v>
      </c>
      <c r="J14772" s="1" t="str">
        <f t="shared" si="3389"/>
        <v>X</v>
      </c>
      <c r="K14772" s="1" t="str">
        <f t="shared" si="3389"/>
        <v>X</v>
      </c>
      <c r="L14772" s="1" t="str">
        <f t="shared" si="3389"/>
        <v>X</v>
      </c>
      <c r="M14772" s="1" t="str">
        <f t="shared" si="3389"/>
        <v>X</v>
      </c>
      <c r="N14772" t="s">
        <v>27</v>
      </c>
    </row>
    <row r="14773" spans="1:14" x14ac:dyDescent="0.25">
      <c r="A14773" t="s">
        <v>45</v>
      </c>
      <c r="B14773" t="s">
        <v>39</v>
      </c>
      <c r="C14773" t="s">
        <v>38</v>
      </c>
      <c r="D14773" t="s">
        <v>29</v>
      </c>
      <c r="E14773" t="s">
        <v>26</v>
      </c>
      <c r="F14773" t="s">
        <v>17</v>
      </c>
      <c r="G14773" s="1" t="str">
        <f t="shared" si="3389"/>
        <v>X</v>
      </c>
      <c r="H14773" s="1" t="str">
        <f t="shared" si="3389"/>
        <v>X</v>
      </c>
      <c r="I14773" s="1" t="str">
        <f t="shared" si="3389"/>
        <v>X</v>
      </c>
      <c r="J14773" s="1" t="str">
        <f t="shared" si="3389"/>
        <v>X</v>
      </c>
      <c r="K14773" s="1" t="str">
        <f t="shared" si="3389"/>
        <v>X</v>
      </c>
      <c r="L14773" s="1" t="str">
        <f t="shared" si="3389"/>
        <v>X</v>
      </c>
      <c r="M14773" s="1" t="str">
        <f t="shared" si="3389"/>
        <v>X</v>
      </c>
      <c r="N14773" t="s">
        <v>27</v>
      </c>
    </row>
    <row r="14774" spans="1:14" x14ac:dyDescent="0.25">
      <c r="A14774" t="s">
        <v>45</v>
      </c>
      <c r="B14774" t="s">
        <v>39</v>
      </c>
      <c r="C14774" t="s">
        <v>38</v>
      </c>
      <c r="D14774" t="s">
        <v>29</v>
      </c>
      <c r="E14774" t="s">
        <v>26</v>
      </c>
      <c r="F14774" t="s">
        <v>18</v>
      </c>
      <c r="G14774" s="1" t="str">
        <f t="shared" ref="G14774:M14774" si="3390">"..."</f>
        <v>...</v>
      </c>
      <c r="H14774" s="1" t="str">
        <f t="shared" si="3390"/>
        <v>...</v>
      </c>
      <c r="I14774" s="1" t="str">
        <f t="shared" si="3390"/>
        <v>...</v>
      </c>
      <c r="J14774" s="1" t="str">
        <f t="shared" si="3390"/>
        <v>...</v>
      </c>
      <c r="K14774" s="1" t="str">
        <f t="shared" si="3390"/>
        <v>...</v>
      </c>
      <c r="L14774" s="1" t="str">
        <f t="shared" si="3390"/>
        <v>...</v>
      </c>
      <c r="M14774" s="1" t="str">
        <f t="shared" si="3390"/>
        <v>...</v>
      </c>
      <c r="N14774" t="s">
        <v>30</v>
      </c>
    </row>
    <row r="14775" spans="1:14" x14ac:dyDescent="0.25">
      <c r="A14775" t="s">
        <v>45</v>
      </c>
      <c r="B14775" t="s">
        <v>39</v>
      </c>
      <c r="C14775" t="s">
        <v>38</v>
      </c>
      <c r="D14775" t="s">
        <v>29</v>
      </c>
      <c r="E14775" t="s">
        <v>26</v>
      </c>
      <c r="F14775" t="s">
        <v>19</v>
      </c>
      <c r="G14775" s="1" t="str">
        <f t="shared" ref="G14775:M14776" si="3391">"X"</f>
        <v>X</v>
      </c>
      <c r="H14775" s="1" t="str">
        <f t="shared" si="3391"/>
        <v>X</v>
      </c>
      <c r="I14775" s="1" t="str">
        <f t="shared" si="3391"/>
        <v>X</v>
      </c>
      <c r="J14775" s="1" t="str">
        <f t="shared" si="3391"/>
        <v>X</v>
      </c>
      <c r="K14775" s="1" t="str">
        <f t="shared" si="3391"/>
        <v>X</v>
      </c>
      <c r="L14775" s="1" t="str">
        <f t="shared" si="3391"/>
        <v>X</v>
      </c>
      <c r="M14775" s="1" t="str">
        <f t="shared" si="3391"/>
        <v>X</v>
      </c>
      <c r="N14775" t="s">
        <v>27</v>
      </c>
    </row>
    <row r="14776" spans="1:14" x14ac:dyDescent="0.25">
      <c r="A14776" t="s">
        <v>45</v>
      </c>
      <c r="B14776" t="s">
        <v>39</v>
      </c>
      <c r="C14776" t="s">
        <v>38</v>
      </c>
      <c r="D14776" t="s">
        <v>29</v>
      </c>
      <c r="E14776" t="s">
        <v>26</v>
      </c>
      <c r="F14776" t="s">
        <v>20</v>
      </c>
      <c r="G14776" s="1" t="str">
        <f t="shared" si="3391"/>
        <v>X</v>
      </c>
      <c r="H14776" s="1" t="str">
        <f t="shared" si="3391"/>
        <v>X</v>
      </c>
      <c r="I14776" s="1" t="str">
        <f t="shared" si="3391"/>
        <v>X</v>
      </c>
      <c r="J14776" s="1" t="str">
        <f t="shared" si="3391"/>
        <v>X</v>
      </c>
      <c r="K14776" s="1" t="str">
        <f t="shared" si="3391"/>
        <v>X</v>
      </c>
      <c r="L14776" s="1" t="str">
        <f t="shared" si="3391"/>
        <v>X</v>
      </c>
      <c r="M14776" s="1" t="str">
        <f t="shared" si="3391"/>
        <v>X</v>
      </c>
      <c r="N14776" t="s">
        <v>27</v>
      </c>
    </row>
    <row r="14777" spans="1:14" x14ac:dyDescent="0.25">
      <c r="A14777" t="s">
        <v>45</v>
      </c>
      <c r="B14777" t="s">
        <v>39</v>
      </c>
      <c r="C14777" t="s">
        <v>38</v>
      </c>
      <c r="D14777" t="s">
        <v>31</v>
      </c>
      <c r="E14777" t="s">
        <v>15</v>
      </c>
      <c r="F14777" t="s">
        <v>15</v>
      </c>
      <c r="G14777" s="2">
        <f>VALUE(1039.7)</f>
        <v>1039.7</v>
      </c>
      <c r="H14777" s="3">
        <f>VALUE(986.73)</f>
        <v>986.73</v>
      </c>
      <c r="I14777" s="4">
        <f>VALUE(3459)</f>
        <v>3459</v>
      </c>
      <c r="J14777" s="5">
        <f>VALUE(4286)</f>
        <v>4286</v>
      </c>
      <c r="K14777" s="1">
        <f>VALUE(5958)</f>
        <v>5958</v>
      </c>
      <c r="L14777" s="7">
        <f>VALUE(9500)</f>
        <v>9500</v>
      </c>
      <c r="M14777" s="8">
        <f>VALUE(16250)</f>
        <v>16250</v>
      </c>
      <c r="N14777" t="s">
        <v>25</v>
      </c>
    </row>
    <row r="14778" spans="1:14" x14ac:dyDescent="0.25">
      <c r="A14778" t="s">
        <v>45</v>
      </c>
      <c r="B14778" t="s">
        <v>39</v>
      </c>
      <c r="C14778" t="s">
        <v>38</v>
      </c>
      <c r="D14778" t="s">
        <v>31</v>
      </c>
      <c r="E14778" t="s">
        <v>15</v>
      </c>
      <c r="F14778" t="s">
        <v>17</v>
      </c>
      <c r="G14778" s="2">
        <f>VALUE(376.38)</f>
        <v>376.38</v>
      </c>
      <c r="H14778" s="3">
        <f>VALUE(355.83)</f>
        <v>355.83</v>
      </c>
      <c r="I14778" s="4">
        <f>VALUE(5030)</f>
        <v>5030</v>
      </c>
      <c r="J14778" s="5">
        <f>VALUE(6800)</f>
        <v>6800</v>
      </c>
      <c r="K14778" s="6">
        <f>VALUE(10166)</f>
        <v>10166</v>
      </c>
      <c r="L14778" s="7">
        <f>VALUE(16250)</f>
        <v>16250</v>
      </c>
      <c r="M14778" s="8">
        <f>VALUE(27991)</f>
        <v>27991</v>
      </c>
      <c r="N14778" t="s">
        <v>24</v>
      </c>
    </row>
    <row r="14779" spans="1:14" x14ac:dyDescent="0.25">
      <c r="A14779" t="s">
        <v>45</v>
      </c>
      <c r="B14779" t="s">
        <v>39</v>
      </c>
      <c r="C14779" t="s">
        <v>38</v>
      </c>
      <c r="D14779" t="s">
        <v>31</v>
      </c>
      <c r="E14779" t="s">
        <v>15</v>
      </c>
      <c r="F14779" t="s">
        <v>18</v>
      </c>
      <c r="G14779" s="1" t="str">
        <f t="shared" ref="G14779:M14780" si="3392">"X"</f>
        <v>X</v>
      </c>
      <c r="H14779" s="1" t="str">
        <f t="shared" si="3392"/>
        <v>X</v>
      </c>
      <c r="I14779" s="1" t="str">
        <f t="shared" si="3392"/>
        <v>X</v>
      </c>
      <c r="J14779" s="1" t="str">
        <f t="shared" si="3392"/>
        <v>X</v>
      </c>
      <c r="K14779" s="1" t="str">
        <f t="shared" si="3392"/>
        <v>X</v>
      </c>
      <c r="L14779" s="1" t="str">
        <f t="shared" si="3392"/>
        <v>X</v>
      </c>
      <c r="M14779" s="1" t="str">
        <f t="shared" si="3392"/>
        <v>X</v>
      </c>
      <c r="N14779" t="s">
        <v>27</v>
      </c>
    </row>
    <row r="14780" spans="1:14" x14ac:dyDescent="0.25">
      <c r="A14780" t="s">
        <v>45</v>
      </c>
      <c r="B14780" t="s">
        <v>39</v>
      </c>
      <c r="C14780" t="s">
        <v>38</v>
      </c>
      <c r="D14780" t="s">
        <v>31</v>
      </c>
      <c r="E14780" t="s">
        <v>15</v>
      </c>
      <c r="F14780" t="s">
        <v>19</v>
      </c>
      <c r="G14780" s="1" t="str">
        <f t="shared" si="3392"/>
        <v>X</v>
      </c>
      <c r="H14780" s="1" t="str">
        <f t="shared" si="3392"/>
        <v>X</v>
      </c>
      <c r="I14780" s="1" t="str">
        <f t="shared" si="3392"/>
        <v>X</v>
      </c>
      <c r="J14780" s="1" t="str">
        <f t="shared" si="3392"/>
        <v>X</v>
      </c>
      <c r="K14780" s="1" t="str">
        <f t="shared" si="3392"/>
        <v>X</v>
      </c>
      <c r="L14780" s="1" t="str">
        <f t="shared" si="3392"/>
        <v>X</v>
      </c>
      <c r="M14780" s="1" t="str">
        <f t="shared" si="3392"/>
        <v>X</v>
      </c>
      <c r="N14780" t="s">
        <v>27</v>
      </c>
    </row>
    <row r="14781" spans="1:14" x14ac:dyDescent="0.25">
      <c r="A14781" t="s">
        <v>45</v>
      </c>
      <c r="B14781" t="s">
        <v>39</v>
      </c>
      <c r="C14781" t="s">
        <v>38</v>
      </c>
      <c r="D14781" t="s">
        <v>31</v>
      </c>
      <c r="E14781" t="s">
        <v>15</v>
      </c>
      <c r="F14781" t="s">
        <v>20</v>
      </c>
      <c r="G14781" s="2">
        <f>VALUE(470.08)</f>
        <v>470.08</v>
      </c>
      <c r="H14781" s="3">
        <f>VALUE(437.54)</f>
        <v>437.54</v>
      </c>
      <c r="I14781" s="1">
        <f>VALUE(3421)</f>
        <v>3421</v>
      </c>
      <c r="J14781" s="1">
        <f>VALUE(4085)</f>
        <v>4085</v>
      </c>
      <c r="K14781" s="1">
        <f>VALUE(4873)</f>
        <v>4873</v>
      </c>
      <c r="L14781" s="1">
        <f>VALUE(5876)</f>
        <v>5876</v>
      </c>
      <c r="M14781" s="8">
        <f>VALUE(6796)</f>
        <v>6796</v>
      </c>
      <c r="N14781" t="s">
        <v>25</v>
      </c>
    </row>
    <row r="14782" spans="1:14" x14ac:dyDescent="0.25">
      <c r="A14782" t="s">
        <v>45</v>
      </c>
      <c r="B14782" t="s">
        <v>39</v>
      </c>
      <c r="C14782" t="s">
        <v>38</v>
      </c>
      <c r="D14782" t="s">
        <v>31</v>
      </c>
      <c r="E14782" t="s">
        <v>21</v>
      </c>
      <c r="F14782" t="s">
        <v>15</v>
      </c>
      <c r="G14782" s="2">
        <f>VALUE(404.51)</f>
        <v>404.51</v>
      </c>
      <c r="H14782" s="3">
        <f>VALUE(377.36)</f>
        <v>377.36</v>
      </c>
      <c r="I14782" s="4">
        <f>VALUE(4428)</f>
        <v>4428</v>
      </c>
      <c r="J14782" s="5">
        <f>VALUE(6800)</f>
        <v>6800</v>
      </c>
      <c r="K14782" s="6">
        <f>VALUE(10000)</f>
        <v>10000</v>
      </c>
      <c r="L14782" s="7">
        <f>VALUE(16250)</f>
        <v>16250</v>
      </c>
      <c r="M14782" s="8">
        <f>VALUE(26789)</f>
        <v>26789</v>
      </c>
      <c r="N14782" t="s">
        <v>24</v>
      </c>
    </row>
    <row r="14783" spans="1:14" x14ac:dyDescent="0.25">
      <c r="A14783" t="s">
        <v>45</v>
      </c>
      <c r="B14783" t="s">
        <v>39</v>
      </c>
      <c r="C14783" t="s">
        <v>38</v>
      </c>
      <c r="D14783" t="s">
        <v>31</v>
      </c>
      <c r="E14783" t="s">
        <v>21</v>
      </c>
      <c r="F14783" t="s">
        <v>17</v>
      </c>
      <c r="G14783" s="2">
        <f>VALUE(291.57)</f>
        <v>291.57</v>
      </c>
      <c r="H14783" s="3">
        <f>VALUE(275.49)</f>
        <v>275.49</v>
      </c>
      <c r="I14783" s="4">
        <f>VALUE(6267)</f>
        <v>6267</v>
      </c>
      <c r="J14783" s="5">
        <f>VALUE(7500)</f>
        <v>7500</v>
      </c>
      <c r="K14783" s="6">
        <f>VALUE(12079)</f>
        <v>12079</v>
      </c>
      <c r="L14783" s="7">
        <f>VALUE(19610)</f>
        <v>19610</v>
      </c>
      <c r="M14783" s="1">
        <f>VALUE(27991)</f>
        <v>27991</v>
      </c>
      <c r="N14783" t="s">
        <v>25</v>
      </c>
    </row>
    <row r="14784" spans="1:14" x14ac:dyDescent="0.25">
      <c r="A14784" t="s">
        <v>45</v>
      </c>
      <c r="B14784" t="s">
        <v>39</v>
      </c>
      <c r="C14784" t="s">
        <v>38</v>
      </c>
      <c r="D14784" t="s">
        <v>31</v>
      </c>
      <c r="E14784" t="s">
        <v>21</v>
      </c>
      <c r="F14784" t="s">
        <v>18</v>
      </c>
      <c r="G14784" s="1" t="str">
        <f t="shared" ref="G14784:M14786" si="3393">"X"</f>
        <v>X</v>
      </c>
      <c r="H14784" s="1" t="str">
        <f t="shared" si="3393"/>
        <v>X</v>
      </c>
      <c r="I14784" s="1" t="str">
        <f t="shared" si="3393"/>
        <v>X</v>
      </c>
      <c r="J14784" s="1" t="str">
        <f t="shared" si="3393"/>
        <v>X</v>
      </c>
      <c r="K14784" s="1" t="str">
        <f t="shared" si="3393"/>
        <v>X</v>
      </c>
      <c r="L14784" s="1" t="str">
        <f t="shared" si="3393"/>
        <v>X</v>
      </c>
      <c r="M14784" s="1" t="str">
        <f t="shared" si="3393"/>
        <v>X</v>
      </c>
      <c r="N14784" t="s">
        <v>27</v>
      </c>
    </row>
    <row r="14785" spans="1:14" x14ac:dyDescent="0.25">
      <c r="A14785" t="s">
        <v>45</v>
      </c>
      <c r="B14785" t="s">
        <v>39</v>
      </c>
      <c r="C14785" t="s">
        <v>38</v>
      </c>
      <c r="D14785" t="s">
        <v>31</v>
      </c>
      <c r="E14785" t="s">
        <v>21</v>
      </c>
      <c r="F14785" t="s">
        <v>19</v>
      </c>
      <c r="G14785" s="1" t="str">
        <f t="shared" si="3393"/>
        <v>X</v>
      </c>
      <c r="H14785" s="1" t="str">
        <f t="shared" si="3393"/>
        <v>X</v>
      </c>
      <c r="I14785" s="1" t="str">
        <f t="shared" si="3393"/>
        <v>X</v>
      </c>
      <c r="J14785" s="1" t="str">
        <f t="shared" si="3393"/>
        <v>X</v>
      </c>
      <c r="K14785" s="1" t="str">
        <f t="shared" si="3393"/>
        <v>X</v>
      </c>
      <c r="L14785" s="1" t="str">
        <f t="shared" si="3393"/>
        <v>X</v>
      </c>
      <c r="M14785" s="1" t="str">
        <f t="shared" si="3393"/>
        <v>X</v>
      </c>
      <c r="N14785" t="s">
        <v>27</v>
      </c>
    </row>
    <row r="14786" spans="1:14" x14ac:dyDescent="0.25">
      <c r="A14786" t="s">
        <v>45</v>
      </c>
      <c r="B14786" t="s">
        <v>39</v>
      </c>
      <c r="C14786" t="s">
        <v>38</v>
      </c>
      <c r="D14786" t="s">
        <v>31</v>
      </c>
      <c r="E14786" t="s">
        <v>21</v>
      </c>
      <c r="F14786" t="s">
        <v>20</v>
      </c>
      <c r="G14786" s="1" t="str">
        <f t="shared" si="3393"/>
        <v>X</v>
      </c>
      <c r="H14786" s="1" t="str">
        <f t="shared" si="3393"/>
        <v>X</v>
      </c>
      <c r="I14786" s="1" t="str">
        <f t="shared" si="3393"/>
        <v>X</v>
      </c>
      <c r="J14786" s="1" t="str">
        <f t="shared" si="3393"/>
        <v>X</v>
      </c>
      <c r="K14786" s="1" t="str">
        <f t="shared" si="3393"/>
        <v>X</v>
      </c>
      <c r="L14786" s="1" t="str">
        <f t="shared" si="3393"/>
        <v>X</v>
      </c>
      <c r="M14786" s="1" t="str">
        <f t="shared" si="3393"/>
        <v>X</v>
      </c>
      <c r="N14786" t="s">
        <v>27</v>
      </c>
    </row>
    <row r="14787" spans="1:14" x14ac:dyDescent="0.25">
      <c r="A14787" t="s">
        <v>45</v>
      </c>
      <c r="B14787" t="s">
        <v>39</v>
      </c>
      <c r="C14787" t="s">
        <v>38</v>
      </c>
      <c r="D14787" t="s">
        <v>31</v>
      </c>
      <c r="E14787" t="s">
        <v>22</v>
      </c>
      <c r="F14787" t="s">
        <v>15</v>
      </c>
      <c r="G14787" s="2">
        <f>VALUE(213.64)</f>
        <v>213.64</v>
      </c>
      <c r="H14787" s="3">
        <f>VALUE(197.68)</f>
        <v>197.68</v>
      </c>
      <c r="I14787" s="4">
        <f>VALUE(2857)</f>
        <v>2857</v>
      </c>
      <c r="J14787" s="5">
        <f>VALUE(4179)</f>
        <v>4179</v>
      </c>
      <c r="K14787" s="6">
        <f>VALUE(4767)</f>
        <v>4767</v>
      </c>
      <c r="L14787" s="7">
        <f>VALUE(6332)</f>
        <v>6332</v>
      </c>
      <c r="M14787" s="8">
        <f>VALUE(8666)</f>
        <v>8666</v>
      </c>
      <c r="N14787" t="s">
        <v>24</v>
      </c>
    </row>
    <row r="14788" spans="1:14" x14ac:dyDescent="0.25">
      <c r="A14788" t="s">
        <v>45</v>
      </c>
      <c r="B14788" t="s">
        <v>39</v>
      </c>
      <c r="C14788" t="s">
        <v>38</v>
      </c>
      <c r="D14788" t="s">
        <v>31</v>
      </c>
      <c r="E14788" t="s">
        <v>22</v>
      </c>
      <c r="F14788" t="s">
        <v>17</v>
      </c>
      <c r="G14788" s="1" t="str">
        <f t="shared" ref="G14788:M14791" si="3394">"X"</f>
        <v>X</v>
      </c>
      <c r="H14788" s="1" t="str">
        <f t="shared" si="3394"/>
        <v>X</v>
      </c>
      <c r="I14788" s="1" t="str">
        <f t="shared" si="3394"/>
        <v>X</v>
      </c>
      <c r="J14788" s="1" t="str">
        <f t="shared" si="3394"/>
        <v>X</v>
      </c>
      <c r="K14788" s="1" t="str">
        <f t="shared" si="3394"/>
        <v>X</v>
      </c>
      <c r="L14788" s="1" t="str">
        <f t="shared" si="3394"/>
        <v>X</v>
      </c>
      <c r="M14788" s="1" t="str">
        <f t="shared" si="3394"/>
        <v>X</v>
      </c>
      <c r="N14788" t="s">
        <v>27</v>
      </c>
    </row>
    <row r="14789" spans="1:14" x14ac:dyDescent="0.25">
      <c r="A14789" t="s">
        <v>45</v>
      </c>
      <c r="B14789" t="s">
        <v>39</v>
      </c>
      <c r="C14789" t="s">
        <v>38</v>
      </c>
      <c r="D14789" t="s">
        <v>31</v>
      </c>
      <c r="E14789" t="s">
        <v>22</v>
      </c>
      <c r="F14789" t="s">
        <v>18</v>
      </c>
      <c r="G14789" s="1" t="str">
        <f t="shared" si="3394"/>
        <v>X</v>
      </c>
      <c r="H14789" s="1" t="str">
        <f t="shared" si="3394"/>
        <v>X</v>
      </c>
      <c r="I14789" s="1" t="str">
        <f t="shared" si="3394"/>
        <v>X</v>
      </c>
      <c r="J14789" s="1" t="str">
        <f t="shared" si="3394"/>
        <v>X</v>
      </c>
      <c r="K14789" s="1" t="str">
        <f t="shared" si="3394"/>
        <v>X</v>
      </c>
      <c r="L14789" s="1" t="str">
        <f t="shared" si="3394"/>
        <v>X</v>
      </c>
      <c r="M14789" s="1" t="str">
        <f t="shared" si="3394"/>
        <v>X</v>
      </c>
      <c r="N14789" t="s">
        <v>27</v>
      </c>
    </row>
    <row r="14790" spans="1:14" x14ac:dyDescent="0.25">
      <c r="A14790" t="s">
        <v>45</v>
      </c>
      <c r="B14790" t="s">
        <v>39</v>
      </c>
      <c r="C14790" t="s">
        <v>38</v>
      </c>
      <c r="D14790" t="s">
        <v>31</v>
      </c>
      <c r="E14790" t="s">
        <v>22</v>
      </c>
      <c r="F14790" t="s">
        <v>19</v>
      </c>
      <c r="G14790" s="1" t="str">
        <f t="shared" si="3394"/>
        <v>X</v>
      </c>
      <c r="H14790" s="1" t="str">
        <f t="shared" si="3394"/>
        <v>X</v>
      </c>
      <c r="I14790" s="1" t="str">
        <f t="shared" si="3394"/>
        <v>X</v>
      </c>
      <c r="J14790" s="1" t="str">
        <f t="shared" si="3394"/>
        <v>X</v>
      </c>
      <c r="K14790" s="1" t="str">
        <f t="shared" si="3394"/>
        <v>X</v>
      </c>
      <c r="L14790" s="1" t="str">
        <f t="shared" si="3394"/>
        <v>X</v>
      </c>
      <c r="M14790" s="1" t="str">
        <f t="shared" si="3394"/>
        <v>X</v>
      </c>
      <c r="N14790" t="s">
        <v>27</v>
      </c>
    </row>
    <row r="14791" spans="1:14" x14ac:dyDescent="0.25">
      <c r="A14791" t="s">
        <v>45</v>
      </c>
      <c r="B14791" t="s">
        <v>39</v>
      </c>
      <c r="C14791" t="s">
        <v>38</v>
      </c>
      <c r="D14791" t="s">
        <v>31</v>
      </c>
      <c r="E14791" t="s">
        <v>22</v>
      </c>
      <c r="F14791" t="s">
        <v>20</v>
      </c>
      <c r="G14791" s="1" t="str">
        <f t="shared" si="3394"/>
        <v>X</v>
      </c>
      <c r="H14791" s="1" t="str">
        <f t="shared" si="3394"/>
        <v>X</v>
      </c>
      <c r="I14791" s="1" t="str">
        <f t="shared" si="3394"/>
        <v>X</v>
      </c>
      <c r="J14791" s="1" t="str">
        <f t="shared" si="3394"/>
        <v>X</v>
      </c>
      <c r="K14791" s="1" t="str">
        <f t="shared" si="3394"/>
        <v>X</v>
      </c>
      <c r="L14791" s="1" t="str">
        <f t="shared" si="3394"/>
        <v>X</v>
      </c>
      <c r="M14791" s="1" t="str">
        <f t="shared" si="3394"/>
        <v>X</v>
      </c>
      <c r="N14791" t="s">
        <v>27</v>
      </c>
    </row>
    <row r="14792" spans="1:14" x14ac:dyDescent="0.25">
      <c r="A14792" t="s">
        <v>45</v>
      </c>
      <c r="B14792" t="s">
        <v>39</v>
      </c>
      <c r="C14792" t="s">
        <v>38</v>
      </c>
      <c r="D14792" t="s">
        <v>31</v>
      </c>
      <c r="E14792" t="s">
        <v>23</v>
      </c>
      <c r="F14792" t="s">
        <v>15</v>
      </c>
      <c r="G14792" s="2">
        <f>VALUE(415.15)</f>
        <v>415.15</v>
      </c>
      <c r="H14792" s="3">
        <f>VALUE(406.89)</f>
        <v>406.89</v>
      </c>
      <c r="I14792" s="4">
        <f>VALUE(3283)</f>
        <v>3283</v>
      </c>
      <c r="J14792" s="5">
        <f>VALUE(3903)</f>
        <v>3903</v>
      </c>
      <c r="K14792" s="6">
        <f>VALUE(4978)</f>
        <v>4978</v>
      </c>
      <c r="L14792" s="1">
        <f>VALUE(5942)</f>
        <v>5942</v>
      </c>
      <c r="M14792" s="1">
        <f>VALUE(7042)</f>
        <v>7042</v>
      </c>
      <c r="N14792" t="s">
        <v>25</v>
      </c>
    </row>
    <row r="14793" spans="1:14" x14ac:dyDescent="0.25">
      <c r="A14793" t="s">
        <v>45</v>
      </c>
      <c r="B14793" t="s">
        <v>39</v>
      </c>
      <c r="C14793" t="s">
        <v>38</v>
      </c>
      <c r="D14793" t="s">
        <v>31</v>
      </c>
      <c r="E14793" t="s">
        <v>23</v>
      </c>
      <c r="F14793" t="s">
        <v>17</v>
      </c>
      <c r="G14793" s="1" t="str">
        <f t="shared" ref="G14793:M14795" si="3395">"X"</f>
        <v>X</v>
      </c>
      <c r="H14793" s="1" t="str">
        <f t="shared" si="3395"/>
        <v>X</v>
      </c>
      <c r="I14793" s="1" t="str">
        <f t="shared" si="3395"/>
        <v>X</v>
      </c>
      <c r="J14793" s="1" t="str">
        <f t="shared" si="3395"/>
        <v>X</v>
      </c>
      <c r="K14793" s="1" t="str">
        <f t="shared" si="3395"/>
        <v>X</v>
      </c>
      <c r="L14793" s="1" t="str">
        <f t="shared" si="3395"/>
        <v>X</v>
      </c>
      <c r="M14793" s="1" t="str">
        <f t="shared" si="3395"/>
        <v>X</v>
      </c>
      <c r="N14793" t="s">
        <v>27</v>
      </c>
    </row>
    <row r="14794" spans="1:14" x14ac:dyDescent="0.25">
      <c r="A14794" t="s">
        <v>45</v>
      </c>
      <c r="B14794" t="s">
        <v>39</v>
      </c>
      <c r="C14794" t="s">
        <v>38</v>
      </c>
      <c r="D14794" t="s">
        <v>31</v>
      </c>
      <c r="E14794" t="s">
        <v>23</v>
      </c>
      <c r="F14794" t="s">
        <v>18</v>
      </c>
      <c r="G14794" s="1" t="str">
        <f t="shared" si="3395"/>
        <v>X</v>
      </c>
      <c r="H14794" s="1" t="str">
        <f t="shared" si="3395"/>
        <v>X</v>
      </c>
      <c r="I14794" s="1" t="str">
        <f t="shared" si="3395"/>
        <v>X</v>
      </c>
      <c r="J14794" s="1" t="str">
        <f t="shared" si="3395"/>
        <v>X</v>
      </c>
      <c r="K14794" s="1" t="str">
        <f t="shared" si="3395"/>
        <v>X</v>
      </c>
      <c r="L14794" s="1" t="str">
        <f t="shared" si="3395"/>
        <v>X</v>
      </c>
      <c r="M14794" s="1" t="str">
        <f t="shared" si="3395"/>
        <v>X</v>
      </c>
      <c r="N14794" t="s">
        <v>27</v>
      </c>
    </row>
    <row r="14795" spans="1:14" x14ac:dyDescent="0.25">
      <c r="A14795" t="s">
        <v>45</v>
      </c>
      <c r="B14795" t="s">
        <v>39</v>
      </c>
      <c r="C14795" t="s">
        <v>38</v>
      </c>
      <c r="D14795" t="s">
        <v>31</v>
      </c>
      <c r="E14795" t="s">
        <v>23</v>
      </c>
      <c r="F14795" t="s">
        <v>19</v>
      </c>
      <c r="G14795" s="1" t="str">
        <f t="shared" si="3395"/>
        <v>X</v>
      </c>
      <c r="H14795" s="1" t="str">
        <f t="shared" si="3395"/>
        <v>X</v>
      </c>
      <c r="I14795" s="1" t="str">
        <f t="shared" si="3395"/>
        <v>X</v>
      </c>
      <c r="J14795" s="1" t="str">
        <f t="shared" si="3395"/>
        <v>X</v>
      </c>
      <c r="K14795" s="1" t="str">
        <f t="shared" si="3395"/>
        <v>X</v>
      </c>
      <c r="L14795" s="1" t="str">
        <f t="shared" si="3395"/>
        <v>X</v>
      </c>
      <c r="M14795" s="1" t="str">
        <f t="shared" si="3395"/>
        <v>X</v>
      </c>
      <c r="N14795" t="s">
        <v>27</v>
      </c>
    </row>
    <row r="14796" spans="1:14" x14ac:dyDescent="0.25">
      <c r="A14796" t="s">
        <v>45</v>
      </c>
      <c r="B14796" t="s">
        <v>39</v>
      </c>
      <c r="C14796" t="s">
        <v>38</v>
      </c>
      <c r="D14796" t="s">
        <v>31</v>
      </c>
      <c r="E14796" t="s">
        <v>23</v>
      </c>
      <c r="F14796" t="s">
        <v>20</v>
      </c>
      <c r="G14796" s="2">
        <f>VALUE(311.55)</f>
        <v>311.55</v>
      </c>
      <c r="H14796" s="3">
        <f>VALUE(308.45)</f>
        <v>308.45</v>
      </c>
      <c r="I14796" s="1">
        <f>VALUE(3421)</f>
        <v>3421</v>
      </c>
      <c r="J14796" s="1">
        <f>VALUE(4085)</f>
        <v>4085</v>
      </c>
      <c r="K14796" s="6">
        <f>VALUE(4873)</f>
        <v>4873</v>
      </c>
      <c r="L14796" s="1">
        <f>VALUE(5828)</f>
        <v>5828</v>
      </c>
      <c r="M14796" s="1">
        <f>VALUE(6238)</f>
        <v>6238</v>
      </c>
      <c r="N14796" t="s">
        <v>25</v>
      </c>
    </row>
    <row r="14797" spans="1:14" x14ac:dyDescent="0.25">
      <c r="A14797" t="s">
        <v>45</v>
      </c>
      <c r="B14797" t="s">
        <v>39</v>
      </c>
      <c r="C14797" t="s">
        <v>38</v>
      </c>
      <c r="D14797" t="s">
        <v>31</v>
      </c>
      <c r="E14797" t="s">
        <v>26</v>
      </c>
      <c r="F14797" t="s">
        <v>15</v>
      </c>
      <c r="G14797" s="1" t="str">
        <f t="shared" ref="G14797:M14799" si="3396">"X"</f>
        <v>X</v>
      </c>
      <c r="H14797" s="1" t="str">
        <f t="shared" si="3396"/>
        <v>X</v>
      </c>
      <c r="I14797" s="1" t="str">
        <f t="shared" si="3396"/>
        <v>X</v>
      </c>
      <c r="J14797" s="1" t="str">
        <f t="shared" si="3396"/>
        <v>X</v>
      </c>
      <c r="K14797" s="1" t="str">
        <f t="shared" si="3396"/>
        <v>X</v>
      </c>
      <c r="L14797" s="1" t="str">
        <f t="shared" si="3396"/>
        <v>X</v>
      </c>
      <c r="M14797" s="1" t="str">
        <f t="shared" si="3396"/>
        <v>X</v>
      </c>
      <c r="N14797" t="s">
        <v>27</v>
      </c>
    </row>
    <row r="14798" spans="1:14" x14ac:dyDescent="0.25">
      <c r="A14798" t="s">
        <v>45</v>
      </c>
      <c r="B14798" t="s">
        <v>39</v>
      </c>
      <c r="C14798" t="s">
        <v>38</v>
      </c>
      <c r="D14798" t="s">
        <v>31</v>
      </c>
      <c r="E14798" t="s">
        <v>26</v>
      </c>
      <c r="F14798" t="s">
        <v>17</v>
      </c>
      <c r="G14798" s="1" t="str">
        <f t="shared" si="3396"/>
        <v>X</v>
      </c>
      <c r="H14798" s="1" t="str">
        <f t="shared" si="3396"/>
        <v>X</v>
      </c>
      <c r="I14798" s="1" t="str">
        <f t="shared" si="3396"/>
        <v>X</v>
      </c>
      <c r="J14798" s="1" t="str">
        <f t="shared" si="3396"/>
        <v>X</v>
      </c>
      <c r="K14798" s="1" t="str">
        <f t="shared" si="3396"/>
        <v>X</v>
      </c>
      <c r="L14798" s="1" t="str">
        <f t="shared" si="3396"/>
        <v>X</v>
      </c>
      <c r="M14798" s="1" t="str">
        <f t="shared" si="3396"/>
        <v>X</v>
      </c>
      <c r="N14798" t="s">
        <v>27</v>
      </c>
    </row>
    <row r="14799" spans="1:14" x14ac:dyDescent="0.25">
      <c r="A14799" t="s">
        <v>45</v>
      </c>
      <c r="B14799" t="s">
        <v>39</v>
      </c>
      <c r="C14799" t="s">
        <v>38</v>
      </c>
      <c r="D14799" t="s">
        <v>31</v>
      </c>
      <c r="E14799" t="s">
        <v>26</v>
      </c>
      <c r="F14799" t="s">
        <v>18</v>
      </c>
      <c r="G14799" s="1" t="str">
        <f t="shared" si="3396"/>
        <v>X</v>
      </c>
      <c r="H14799" s="1" t="str">
        <f t="shared" si="3396"/>
        <v>X</v>
      </c>
      <c r="I14799" s="1" t="str">
        <f t="shared" si="3396"/>
        <v>X</v>
      </c>
      <c r="J14799" s="1" t="str">
        <f t="shared" si="3396"/>
        <v>X</v>
      </c>
      <c r="K14799" s="1" t="str">
        <f t="shared" si="3396"/>
        <v>X</v>
      </c>
      <c r="L14799" s="1" t="str">
        <f t="shared" si="3396"/>
        <v>X</v>
      </c>
      <c r="M14799" s="1" t="str">
        <f t="shared" si="3396"/>
        <v>X</v>
      </c>
      <c r="N14799" t="s">
        <v>27</v>
      </c>
    </row>
    <row r="14800" spans="1:14" x14ac:dyDescent="0.25">
      <c r="A14800" t="s">
        <v>45</v>
      </c>
      <c r="B14800" t="s">
        <v>39</v>
      </c>
      <c r="C14800" t="s">
        <v>38</v>
      </c>
      <c r="D14800" t="s">
        <v>31</v>
      </c>
      <c r="E14800" t="s">
        <v>26</v>
      </c>
      <c r="F14800" t="s">
        <v>19</v>
      </c>
      <c r="G14800" s="1" t="str">
        <f t="shared" ref="G14800:M14800" si="3397">"..."</f>
        <v>...</v>
      </c>
      <c r="H14800" s="1" t="str">
        <f t="shared" si="3397"/>
        <v>...</v>
      </c>
      <c r="I14800" s="1" t="str">
        <f t="shared" si="3397"/>
        <v>...</v>
      </c>
      <c r="J14800" s="1" t="str">
        <f t="shared" si="3397"/>
        <v>...</v>
      </c>
      <c r="K14800" s="1" t="str">
        <f t="shared" si="3397"/>
        <v>...</v>
      </c>
      <c r="L14800" s="1" t="str">
        <f t="shared" si="3397"/>
        <v>...</v>
      </c>
      <c r="M14800" s="1" t="str">
        <f t="shared" si="3397"/>
        <v>...</v>
      </c>
      <c r="N14800" t="s">
        <v>30</v>
      </c>
    </row>
    <row r="14801" spans="1:14" x14ac:dyDescent="0.25">
      <c r="A14801" t="s">
        <v>45</v>
      </c>
      <c r="B14801" t="s">
        <v>39</v>
      </c>
      <c r="C14801" t="s">
        <v>38</v>
      </c>
      <c r="D14801" t="s">
        <v>31</v>
      </c>
      <c r="E14801" t="s">
        <v>26</v>
      </c>
      <c r="F14801" t="s">
        <v>20</v>
      </c>
      <c r="G14801" s="1" t="str">
        <f t="shared" ref="G14801:M14801" si="3398">"X"</f>
        <v>X</v>
      </c>
      <c r="H14801" s="1" t="str">
        <f t="shared" si="3398"/>
        <v>X</v>
      </c>
      <c r="I14801" s="1" t="str">
        <f t="shared" si="3398"/>
        <v>X</v>
      </c>
      <c r="J14801" s="1" t="str">
        <f t="shared" si="3398"/>
        <v>X</v>
      </c>
      <c r="K14801" s="1" t="str">
        <f t="shared" si="3398"/>
        <v>X</v>
      </c>
      <c r="L14801" s="1" t="str">
        <f t="shared" si="3398"/>
        <v>X</v>
      </c>
      <c r="M14801" s="1" t="str">
        <f t="shared" si="3398"/>
        <v>X</v>
      </c>
      <c r="N14801" t="s">
        <v>27</v>
      </c>
    </row>
    <row r="14802" spans="1:14" x14ac:dyDescent="0.25">
      <c r="A14802" t="s">
        <v>45</v>
      </c>
      <c r="B14802" t="s">
        <v>39</v>
      </c>
      <c r="C14802" t="s">
        <v>38</v>
      </c>
      <c r="D14802" t="s">
        <v>32</v>
      </c>
      <c r="E14802" t="s">
        <v>15</v>
      </c>
      <c r="F14802" t="s">
        <v>15</v>
      </c>
      <c r="G14802" s="1">
        <f>VALUE(8170.78)</f>
        <v>8170.78</v>
      </c>
      <c r="H14802" s="1">
        <f>VALUE(7977.33)</f>
        <v>7977.33</v>
      </c>
      <c r="I14802" s="1">
        <f>VALUE(3600)</f>
        <v>3600</v>
      </c>
      <c r="J14802" s="1">
        <f>VALUE(4291)</f>
        <v>4291</v>
      </c>
      <c r="K14802" s="1">
        <f>VALUE(5243)</f>
        <v>5243</v>
      </c>
      <c r="L14802" s="1">
        <f>VALUE(6359)</f>
        <v>6359</v>
      </c>
      <c r="M14802" s="1">
        <f>VALUE(8071)</f>
        <v>8071</v>
      </c>
      <c r="N14802" t="s">
        <v>16</v>
      </c>
    </row>
    <row r="14803" spans="1:14" x14ac:dyDescent="0.25">
      <c r="A14803" t="s">
        <v>45</v>
      </c>
      <c r="B14803" t="s">
        <v>39</v>
      </c>
      <c r="C14803" t="s">
        <v>38</v>
      </c>
      <c r="D14803" t="s">
        <v>32</v>
      </c>
      <c r="E14803" t="s">
        <v>15</v>
      </c>
      <c r="F14803" t="s">
        <v>17</v>
      </c>
      <c r="G14803" s="2">
        <f>VALUE(993.2)</f>
        <v>993.2</v>
      </c>
      <c r="H14803" s="3">
        <f>VALUE(911.35)</f>
        <v>911.35</v>
      </c>
      <c r="I14803" s="4">
        <f>VALUE(4334)</f>
        <v>4334</v>
      </c>
      <c r="J14803" s="1">
        <f>VALUE(5417)</f>
        <v>5417</v>
      </c>
      <c r="K14803" s="1">
        <f>VALUE(7461)</f>
        <v>7461</v>
      </c>
      <c r="L14803" s="1">
        <f>VALUE(11326)</f>
        <v>11326</v>
      </c>
      <c r="M14803" s="1">
        <f>VALUE(18842)</f>
        <v>18842</v>
      </c>
      <c r="N14803" t="s">
        <v>25</v>
      </c>
    </row>
    <row r="14804" spans="1:14" x14ac:dyDescent="0.25">
      <c r="A14804" t="s">
        <v>45</v>
      </c>
      <c r="B14804" t="s">
        <v>39</v>
      </c>
      <c r="C14804" t="s">
        <v>38</v>
      </c>
      <c r="D14804" t="s">
        <v>32</v>
      </c>
      <c r="E14804" t="s">
        <v>15</v>
      </c>
      <c r="F14804" t="s">
        <v>18</v>
      </c>
      <c r="G14804" s="2">
        <f>VALUE(679.97)</f>
        <v>679.97</v>
      </c>
      <c r="H14804" s="3">
        <f>VALUE(670.34)</f>
        <v>670.34</v>
      </c>
      <c r="I14804" s="4">
        <f>VALUE(4759)</f>
        <v>4759</v>
      </c>
      <c r="J14804" s="1">
        <f>VALUE(5451)</f>
        <v>5451</v>
      </c>
      <c r="K14804" s="1">
        <f>VALUE(5691)</f>
        <v>5691</v>
      </c>
      <c r="L14804" s="1">
        <f>VALUE(7291)</f>
        <v>7291</v>
      </c>
      <c r="M14804" s="1">
        <f>VALUE(9831)</f>
        <v>9831</v>
      </c>
      <c r="N14804" t="s">
        <v>25</v>
      </c>
    </row>
    <row r="14805" spans="1:14" x14ac:dyDescent="0.25">
      <c r="A14805" t="s">
        <v>45</v>
      </c>
      <c r="B14805" t="s">
        <v>39</v>
      </c>
      <c r="C14805" t="s">
        <v>38</v>
      </c>
      <c r="D14805" t="s">
        <v>32</v>
      </c>
      <c r="E14805" t="s">
        <v>15</v>
      </c>
      <c r="F14805" t="s">
        <v>19</v>
      </c>
      <c r="G14805" s="2">
        <f>VALUE(970.81)</f>
        <v>970.81</v>
      </c>
      <c r="H14805" s="3">
        <f>VALUE(954.17)</f>
        <v>954.17</v>
      </c>
      <c r="I14805" s="4">
        <f>VALUE(3757)</f>
        <v>3757</v>
      </c>
      <c r="J14805" s="1">
        <f>VALUE(4600)</f>
        <v>4600</v>
      </c>
      <c r="K14805" s="1">
        <f>VALUE(5432)</f>
        <v>5432</v>
      </c>
      <c r="L14805" s="1">
        <f>VALUE(6531)</f>
        <v>6531</v>
      </c>
      <c r="M14805" s="1">
        <f>VALUE(7811)</f>
        <v>7811</v>
      </c>
      <c r="N14805" t="s">
        <v>25</v>
      </c>
    </row>
    <row r="14806" spans="1:14" x14ac:dyDescent="0.25">
      <c r="A14806" t="s">
        <v>45</v>
      </c>
      <c r="B14806" t="s">
        <v>39</v>
      </c>
      <c r="C14806" t="s">
        <v>38</v>
      </c>
      <c r="D14806" t="s">
        <v>32</v>
      </c>
      <c r="E14806" t="s">
        <v>15</v>
      </c>
      <c r="F14806" t="s">
        <v>20</v>
      </c>
      <c r="G14806" s="1">
        <f>VALUE(5526.8)</f>
        <v>5526.8</v>
      </c>
      <c r="H14806" s="1">
        <f>VALUE(5441.47)</f>
        <v>5441.47</v>
      </c>
      <c r="I14806" s="1">
        <f>VALUE(3500)</f>
        <v>3500</v>
      </c>
      <c r="J14806" s="1">
        <f>VALUE(4070)</f>
        <v>4070</v>
      </c>
      <c r="K14806" s="1">
        <f>VALUE(4957)</f>
        <v>4957</v>
      </c>
      <c r="L14806" s="1">
        <f>VALUE(5880)</f>
        <v>5880</v>
      </c>
      <c r="M14806" s="1">
        <f>VALUE(6941)</f>
        <v>6941</v>
      </c>
      <c r="N14806" t="s">
        <v>16</v>
      </c>
    </row>
    <row r="14807" spans="1:14" x14ac:dyDescent="0.25">
      <c r="A14807" t="s">
        <v>45</v>
      </c>
      <c r="B14807" t="s">
        <v>39</v>
      </c>
      <c r="C14807" t="s">
        <v>38</v>
      </c>
      <c r="D14807" t="s">
        <v>32</v>
      </c>
      <c r="E14807" t="s">
        <v>21</v>
      </c>
      <c r="F14807" t="s">
        <v>15</v>
      </c>
      <c r="G14807" s="2">
        <f>VALUE(1413.07)</f>
        <v>1413.07</v>
      </c>
      <c r="H14807" s="3">
        <f>VALUE(1289.48)</f>
        <v>1289.48</v>
      </c>
      <c r="I14807" s="1">
        <f>VALUE(4000)</f>
        <v>4000</v>
      </c>
      <c r="J14807" s="1">
        <f>VALUE(5417)</f>
        <v>5417</v>
      </c>
      <c r="K14807" s="1">
        <f>VALUE(7006)</f>
        <v>7006</v>
      </c>
      <c r="L14807" s="7">
        <f>VALUE(9727)</f>
        <v>9727</v>
      </c>
      <c r="M14807" s="8">
        <f>VALUE(15692)</f>
        <v>15692</v>
      </c>
      <c r="N14807" t="s">
        <v>25</v>
      </c>
    </row>
    <row r="14808" spans="1:14" x14ac:dyDescent="0.25">
      <c r="A14808" t="s">
        <v>45</v>
      </c>
      <c r="B14808" t="s">
        <v>39</v>
      </c>
      <c r="C14808" t="s">
        <v>38</v>
      </c>
      <c r="D14808" t="s">
        <v>32</v>
      </c>
      <c r="E14808" t="s">
        <v>21</v>
      </c>
      <c r="F14808" t="s">
        <v>17</v>
      </c>
      <c r="G14808" s="2">
        <f>VALUE(535.36)</f>
        <v>535.36</v>
      </c>
      <c r="H14808" s="3">
        <f>VALUE(468.89)</f>
        <v>468.89</v>
      </c>
      <c r="I14808" s="4">
        <f>VALUE(5417)</f>
        <v>5417</v>
      </c>
      <c r="J14808" s="5">
        <f>VALUE(5873)</f>
        <v>5873</v>
      </c>
      <c r="K14808" s="6">
        <f>VALUE(9569)</f>
        <v>9569</v>
      </c>
      <c r="L14808" s="7">
        <f>VALUE(16628)</f>
        <v>16628</v>
      </c>
      <c r="M14808" s="1">
        <f>VALUE(21667)</f>
        <v>21667</v>
      </c>
      <c r="N14808" t="s">
        <v>25</v>
      </c>
    </row>
    <row r="14809" spans="1:14" x14ac:dyDescent="0.25">
      <c r="A14809" t="s">
        <v>45</v>
      </c>
      <c r="B14809" t="s">
        <v>39</v>
      </c>
      <c r="C14809" t="s">
        <v>38</v>
      </c>
      <c r="D14809" t="s">
        <v>32</v>
      </c>
      <c r="E14809" t="s">
        <v>21</v>
      </c>
      <c r="F14809" t="s">
        <v>18</v>
      </c>
      <c r="G14809" s="1" t="str">
        <f t="shared" ref="G14809:M14809" si="3399">"X"</f>
        <v>X</v>
      </c>
      <c r="H14809" s="1" t="str">
        <f t="shared" si="3399"/>
        <v>X</v>
      </c>
      <c r="I14809" s="1" t="str">
        <f t="shared" si="3399"/>
        <v>X</v>
      </c>
      <c r="J14809" s="1" t="str">
        <f t="shared" si="3399"/>
        <v>X</v>
      </c>
      <c r="K14809" s="1" t="str">
        <f t="shared" si="3399"/>
        <v>X</v>
      </c>
      <c r="L14809" s="1" t="str">
        <f t="shared" si="3399"/>
        <v>X</v>
      </c>
      <c r="M14809" s="1" t="str">
        <f t="shared" si="3399"/>
        <v>X</v>
      </c>
      <c r="N14809" t="s">
        <v>27</v>
      </c>
    </row>
    <row r="14810" spans="1:14" x14ac:dyDescent="0.25">
      <c r="A14810" t="s">
        <v>45</v>
      </c>
      <c r="B14810" t="s">
        <v>39</v>
      </c>
      <c r="C14810" t="s">
        <v>38</v>
      </c>
      <c r="D14810" t="s">
        <v>32</v>
      </c>
      <c r="E14810" t="s">
        <v>21</v>
      </c>
      <c r="F14810" t="s">
        <v>19</v>
      </c>
      <c r="G14810" s="2">
        <f>VALUE(179.08)</f>
        <v>179.08</v>
      </c>
      <c r="H14810" s="3">
        <f>VALUE(174.58)</f>
        <v>174.58</v>
      </c>
      <c r="I14810" s="1">
        <f>VALUE(4230)</f>
        <v>4230</v>
      </c>
      <c r="J14810" s="1">
        <f>VALUE(4762)</f>
        <v>4762</v>
      </c>
      <c r="K14810" s="6">
        <f>VALUE(6383)</f>
        <v>6383</v>
      </c>
      <c r="L14810" s="1">
        <f>VALUE(8068)</f>
        <v>8068</v>
      </c>
      <c r="M14810" s="8">
        <f>VALUE(9333)</f>
        <v>9333</v>
      </c>
      <c r="N14810" t="s">
        <v>25</v>
      </c>
    </row>
    <row r="14811" spans="1:14" x14ac:dyDescent="0.25">
      <c r="A14811" t="s">
        <v>45</v>
      </c>
      <c r="B14811" t="s">
        <v>39</v>
      </c>
      <c r="C14811" t="s">
        <v>38</v>
      </c>
      <c r="D14811" t="s">
        <v>32</v>
      </c>
      <c r="E14811" t="s">
        <v>21</v>
      </c>
      <c r="F14811" t="s">
        <v>20</v>
      </c>
      <c r="G14811" s="2">
        <f>VALUE(539.48)</f>
        <v>539.48</v>
      </c>
      <c r="H14811" s="3">
        <f>VALUE(488.37)</f>
        <v>488.37</v>
      </c>
      <c r="I14811" s="1">
        <f>VALUE(3467)</f>
        <v>3467</v>
      </c>
      <c r="J14811" s="5">
        <f>VALUE(4329)</f>
        <v>4329</v>
      </c>
      <c r="K14811" s="1">
        <f>VALUE(6085)</f>
        <v>6085</v>
      </c>
      <c r="L14811" s="1">
        <f>VALUE(7917)</f>
        <v>7917</v>
      </c>
      <c r="M14811" s="8">
        <f>VALUE(10983)</f>
        <v>10983</v>
      </c>
      <c r="N14811" t="s">
        <v>25</v>
      </c>
    </row>
    <row r="14812" spans="1:14" x14ac:dyDescent="0.25">
      <c r="A14812" t="s">
        <v>45</v>
      </c>
      <c r="B14812" t="s">
        <v>39</v>
      </c>
      <c r="C14812" t="s">
        <v>38</v>
      </c>
      <c r="D14812" t="s">
        <v>32</v>
      </c>
      <c r="E14812" t="s">
        <v>22</v>
      </c>
      <c r="F14812" t="s">
        <v>15</v>
      </c>
      <c r="G14812" s="1">
        <f>VALUE(2292.92)</f>
        <v>2292.92</v>
      </c>
      <c r="H14812" s="1">
        <f>VALUE(2251.54)</f>
        <v>2251.54</v>
      </c>
      <c r="I14812" s="1">
        <f>VALUE(3910)</f>
        <v>3910</v>
      </c>
      <c r="J14812" s="1">
        <f>VALUE(4657)</f>
        <v>4657</v>
      </c>
      <c r="K14812" s="1">
        <f>VALUE(5608)</f>
        <v>5608</v>
      </c>
      <c r="L14812" s="1">
        <f>VALUE(6696)</f>
        <v>6696</v>
      </c>
      <c r="M14812" s="1">
        <f>VALUE(8195)</f>
        <v>8195</v>
      </c>
      <c r="N14812" t="s">
        <v>16</v>
      </c>
    </row>
    <row r="14813" spans="1:14" x14ac:dyDescent="0.25">
      <c r="A14813" t="s">
        <v>45</v>
      </c>
      <c r="B14813" t="s">
        <v>39</v>
      </c>
      <c r="C14813" t="s">
        <v>38</v>
      </c>
      <c r="D14813" t="s">
        <v>32</v>
      </c>
      <c r="E14813" t="s">
        <v>22</v>
      </c>
      <c r="F14813" t="s">
        <v>17</v>
      </c>
      <c r="G14813" s="2">
        <f>VALUE(279.98)</f>
        <v>279.98</v>
      </c>
      <c r="H14813" s="3">
        <f>VALUE(274.22)</f>
        <v>274.22000000000003</v>
      </c>
      <c r="I14813" s="4">
        <f>VALUE(5048)</f>
        <v>5048</v>
      </c>
      <c r="J14813" s="1">
        <f>VALUE(5778)</f>
        <v>5778</v>
      </c>
      <c r="K14813" s="1">
        <f>VALUE(7704)</f>
        <v>7704</v>
      </c>
      <c r="L14813" s="7">
        <f>VALUE(9165)</f>
        <v>9165</v>
      </c>
      <c r="M14813" s="1">
        <f>VALUE(12083)</f>
        <v>12083</v>
      </c>
      <c r="N14813" t="s">
        <v>25</v>
      </c>
    </row>
    <row r="14814" spans="1:14" x14ac:dyDescent="0.25">
      <c r="A14814" t="s">
        <v>45</v>
      </c>
      <c r="B14814" t="s">
        <v>39</v>
      </c>
      <c r="C14814" t="s">
        <v>38</v>
      </c>
      <c r="D14814" t="s">
        <v>32</v>
      </c>
      <c r="E14814" t="s">
        <v>22</v>
      </c>
      <c r="F14814" t="s">
        <v>18</v>
      </c>
      <c r="G14814" s="2">
        <f>VALUE(215.48)</f>
        <v>215.48</v>
      </c>
      <c r="H14814" s="3">
        <f>VALUE(207.43)</f>
        <v>207.43</v>
      </c>
      <c r="I14814" s="4">
        <f>VALUE(4924)</f>
        <v>4924</v>
      </c>
      <c r="J14814" s="1">
        <f>VALUE(5400)</f>
        <v>5400</v>
      </c>
      <c r="K14814" s="6">
        <f>VALUE(6512)</f>
        <v>6512</v>
      </c>
      <c r="L14814" s="1">
        <f>VALUE(7554)</f>
        <v>7554</v>
      </c>
      <c r="M14814" s="1">
        <f>VALUE(9111)</f>
        <v>9111</v>
      </c>
      <c r="N14814" t="s">
        <v>25</v>
      </c>
    </row>
    <row r="14815" spans="1:14" x14ac:dyDescent="0.25">
      <c r="A14815" t="s">
        <v>45</v>
      </c>
      <c r="B14815" t="s">
        <v>39</v>
      </c>
      <c r="C14815" t="s">
        <v>38</v>
      </c>
      <c r="D14815" t="s">
        <v>32</v>
      </c>
      <c r="E14815" t="s">
        <v>22</v>
      </c>
      <c r="F14815" t="s">
        <v>19</v>
      </c>
      <c r="G14815" s="2">
        <f>VALUE(461.76)</f>
        <v>461.76</v>
      </c>
      <c r="H14815" s="3">
        <f>VALUE(468.04)</f>
        <v>468.04</v>
      </c>
      <c r="I14815" s="1">
        <f>VALUE(3810)</f>
        <v>3810</v>
      </c>
      <c r="J14815" s="1">
        <f>VALUE(5040)</f>
        <v>5040</v>
      </c>
      <c r="K14815" s="1">
        <f>VALUE(5752)</f>
        <v>5752</v>
      </c>
      <c r="L14815" s="1">
        <f>VALUE(6696)</f>
        <v>6696</v>
      </c>
      <c r="M14815" s="1">
        <f>VALUE(7756)</f>
        <v>7756</v>
      </c>
      <c r="N14815" t="s">
        <v>25</v>
      </c>
    </row>
    <row r="14816" spans="1:14" x14ac:dyDescent="0.25">
      <c r="A14816" t="s">
        <v>45</v>
      </c>
      <c r="B14816" t="s">
        <v>39</v>
      </c>
      <c r="C14816" t="s">
        <v>38</v>
      </c>
      <c r="D14816" t="s">
        <v>32</v>
      </c>
      <c r="E14816" t="s">
        <v>22</v>
      </c>
      <c r="F14816" t="s">
        <v>20</v>
      </c>
      <c r="G14816" s="1">
        <f>VALUE(1335.7)</f>
        <v>1335.7</v>
      </c>
      <c r="H14816" s="1">
        <f>VALUE(1301.85)</f>
        <v>1301.8499999999999</v>
      </c>
      <c r="I14816" s="1">
        <f>VALUE(3780)</f>
        <v>3780</v>
      </c>
      <c r="J14816" s="1">
        <f>VALUE(4384)</f>
        <v>4384</v>
      </c>
      <c r="K14816" s="1">
        <f>VALUE(5241)</f>
        <v>5241</v>
      </c>
      <c r="L14816" s="1">
        <f>VALUE(6075)</f>
        <v>6075</v>
      </c>
      <c r="M14816" s="1">
        <f>VALUE(7074)</f>
        <v>7074</v>
      </c>
      <c r="N14816" t="s">
        <v>16</v>
      </c>
    </row>
    <row r="14817" spans="1:14" x14ac:dyDescent="0.25">
      <c r="A14817" t="s">
        <v>45</v>
      </c>
      <c r="B14817" t="s">
        <v>39</v>
      </c>
      <c r="C14817" t="s">
        <v>38</v>
      </c>
      <c r="D14817" t="s">
        <v>32</v>
      </c>
      <c r="E14817" t="s">
        <v>23</v>
      </c>
      <c r="F14817" t="s">
        <v>15</v>
      </c>
      <c r="G14817" s="2">
        <f>VALUE(4398.04)</f>
        <v>4398.04</v>
      </c>
      <c r="H14817" s="3">
        <f>VALUE(4368.62)</f>
        <v>4368.62</v>
      </c>
      <c r="I14817" s="1">
        <f>VALUE(3482)</f>
        <v>3482</v>
      </c>
      <c r="J14817" s="1">
        <f>VALUE(3987)</f>
        <v>3987</v>
      </c>
      <c r="K14817" s="1">
        <f>VALUE(4855)</f>
        <v>4855</v>
      </c>
      <c r="L14817" s="1">
        <f>VALUE(5691)</f>
        <v>5691</v>
      </c>
      <c r="M14817" s="1">
        <f>VALUE(6607)</f>
        <v>6607</v>
      </c>
      <c r="N14817" t="s">
        <v>25</v>
      </c>
    </row>
    <row r="14818" spans="1:14" x14ac:dyDescent="0.25">
      <c r="A14818" t="s">
        <v>45</v>
      </c>
      <c r="B14818" t="s">
        <v>39</v>
      </c>
      <c r="C14818" t="s">
        <v>38</v>
      </c>
      <c r="D14818" t="s">
        <v>32</v>
      </c>
      <c r="E14818" t="s">
        <v>23</v>
      </c>
      <c r="F14818" t="s">
        <v>17</v>
      </c>
      <c r="G14818" s="1" t="str">
        <f t="shared" ref="G14818:M14819" si="3400">"X"</f>
        <v>X</v>
      </c>
      <c r="H14818" s="1" t="str">
        <f t="shared" si="3400"/>
        <v>X</v>
      </c>
      <c r="I14818" s="1" t="str">
        <f t="shared" si="3400"/>
        <v>X</v>
      </c>
      <c r="J14818" s="1" t="str">
        <f t="shared" si="3400"/>
        <v>X</v>
      </c>
      <c r="K14818" s="1" t="str">
        <f t="shared" si="3400"/>
        <v>X</v>
      </c>
      <c r="L14818" s="1" t="str">
        <f t="shared" si="3400"/>
        <v>X</v>
      </c>
      <c r="M14818" s="1" t="str">
        <f t="shared" si="3400"/>
        <v>X</v>
      </c>
      <c r="N14818" t="s">
        <v>27</v>
      </c>
    </row>
    <row r="14819" spans="1:14" x14ac:dyDescent="0.25">
      <c r="A14819" t="s">
        <v>45</v>
      </c>
      <c r="B14819" t="s">
        <v>39</v>
      </c>
      <c r="C14819" t="s">
        <v>38</v>
      </c>
      <c r="D14819" t="s">
        <v>32</v>
      </c>
      <c r="E14819" t="s">
        <v>23</v>
      </c>
      <c r="F14819" t="s">
        <v>18</v>
      </c>
      <c r="G14819" s="1" t="str">
        <f t="shared" si="3400"/>
        <v>X</v>
      </c>
      <c r="H14819" s="1" t="str">
        <f t="shared" si="3400"/>
        <v>X</v>
      </c>
      <c r="I14819" s="1" t="str">
        <f t="shared" si="3400"/>
        <v>X</v>
      </c>
      <c r="J14819" s="1" t="str">
        <f t="shared" si="3400"/>
        <v>X</v>
      </c>
      <c r="K14819" s="1" t="str">
        <f t="shared" si="3400"/>
        <v>X</v>
      </c>
      <c r="L14819" s="1" t="str">
        <f t="shared" si="3400"/>
        <v>X</v>
      </c>
      <c r="M14819" s="1" t="str">
        <f t="shared" si="3400"/>
        <v>X</v>
      </c>
      <c r="N14819" t="s">
        <v>27</v>
      </c>
    </row>
    <row r="14820" spans="1:14" x14ac:dyDescent="0.25">
      <c r="A14820" t="s">
        <v>45</v>
      </c>
      <c r="B14820" t="s">
        <v>39</v>
      </c>
      <c r="C14820" t="s">
        <v>38</v>
      </c>
      <c r="D14820" t="s">
        <v>32</v>
      </c>
      <c r="E14820" t="s">
        <v>23</v>
      </c>
      <c r="F14820" t="s">
        <v>19</v>
      </c>
      <c r="G14820" s="2">
        <f>VALUE(329.97)</f>
        <v>329.97</v>
      </c>
      <c r="H14820" s="3">
        <f>VALUE(311.55)</f>
        <v>311.55</v>
      </c>
      <c r="I14820" s="4">
        <f>VALUE(3509)</f>
        <v>3509</v>
      </c>
      <c r="J14820" s="5">
        <f>VALUE(4224)</f>
        <v>4224</v>
      </c>
      <c r="K14820" s="1">
        <f>VALUE(4783)</f>
        <v>4783</v>
      </c>
      <c r="L14820" s="1">
        <f>VALUE(5342)</f>
        <v>5342</v>
      </c>
      <c r="M14820" s="1">
        <f>VALUE(6088)</f>
        <v>6088</v>
      </c>
      <c r="N14820" t="s">
        <v>25</v>
      </c>
    </row>
    <row r="14821" spans="1:14" x14ac:dyDescent="0.25">
      <c r="A14821" t="s">
        <v>45</v>
      </c>
      <c r="B14821" t="s">
        <v>39</v>
      </c>
      <c r="C14821" t="s">
        <v>38</v>
      </c>
      <c r="D14821" t="s">
        <v>32</v>
      </c>
      <c r="E14821" t="s">
        <v>23</v>
      </c>
      <c r="F14821" t="s">
        <v>20</v>
      </c>
      <c r="G14821" s="2">
        <f>VALUE(3592.2)</f>
        <v>3592.2</v>
      </c>
      <c r="H14821" s="3">
        <f>VALUE(3590.95)</f>
        <v>3590.95</v>
      </c>
      <c r="I14821" s="1">
        <f>VALUE(3429)</f>
        <v>3429</v>
      </c>
      <c r="J14821" s="1">
        <f>VALUE(3927)</f>
        <v>3927</v>
      </c>
      <c r="K14821" s="1">
        <f>VALUE(4710)</f>
        <v>4710</v>
      </c>
      <c r="L14821" s="1">
        <f>VALUE(5694)</f>
        <v>5694</v>
      </c>
      <c r="M14821" s="1">
        <f>VALUE(6524)</f>
        <v>6524</v>
      </c>
      <c r="N14821" t="s">
        <v>25</v>
      </c>
    </row>
    <row r="14822" spans="1:14" x14ac:dyDescent="0.25">
      <c r="A14822" t="s">
        <v>45</v>
      </c>
      <c r="B14822" t="s">
        <v>39</v>
      </c>
      <c r="C14822" t="s">
        <v>38</v>
      </c>
      <c r="D14822" t="s">
        <v>32</v>
      </c>
      <c r="E14822" t="s">
        <v>26</v>
      </c>
      <c r="F14822" t="s">
        <v>15</v>
      </c>
      <c r="G14822" s="1" t="str">
        <f t="shared" ref="G14822:M14822" si="3401">"X"</f>
        <v>X</v>
      </c>
      <c r="H14822" s="1" t="str">
        <f t="shared" si="3401"/>
        <v>X</v>
      </c>
      <c r="I14822" s="1" t="str">
        <f t="shared" si="3401"/>
        <v>X</v>
      </c>
      <c r="J14822" s="1" t="str">
        <f t="shared" si="3401"/>
        <v>X</v>
      </c>
      <c r="K14822" s="1" t="str">
        <f t="shared" si="3401"/>
        <v>X</v>
      </c>
      <c r="L14822" s="1" t="str">
        <f t="shared" si="3401"/>
        <v>X</v>
      </c>
      <c r="M14822" s="1" t="str">
        <f t="shared" si="3401"/>
        <v>X</v>
      </c>
      <c r="N14822" t="s">
        <v>27</v>
      </c>
    </row>
    <row r="14823" spans="1:14" x14ac:dyDescent="0.25">
      <c r="A14823" t="s">
        <v>45</v>
      </c>
      <c r="B14823" t="s">
        <v>39</v>
      </c>
      <c r="C14823" t="s">
        <v>38</v>
      </c>
      <c r="D14823" t="s">
        <v>32</v>
      </c>
      <c r="E14823" t="s">
        <v>26</v>
      </c>
      <c r="F14823" t="s">
        <v>17</v>
      </c>
      <c r="G14823" s="1" t="str">
        <f t="shared" ref="G14823:M14823" si="3402">"..."</f>
        <v>...</v>
      </c>
      <c r="H14823" s="1" t="str">
        <f t="shared" si="3402"/>
        <v>...</v>
      </c>
      <c r="I14823" s="1" t="str">
        <f t="shared" si="3402"/>
        <v>...</v>
      </c>
      <c r="J14823" s="1" t="str">
        <f t="shared" si="3402"/>
        <v>...</v>
      </c>
      <c r="K14823" s="1" t="str">
        <f t="shared" si="3402"/>
        <v>...</v>
      </c>
      <c r="L14823" s="1" t="str">
        <f t="shared" si="3402"/>
        <v>...</v>
      </c>
      <c r="M14823" s="1" t="str">
        <f t="shared" si="3402"/>
        <v>...</v>
      </c>
      <c r="N14823" t="s">
        <v>30</v>
      </c>
    </row>
    <row r="14824" spans="1:14" x14ac:dyDescent="0.25">
      <c r="A14824" t="s">
        <v>45</v>
      </c>
      <c r="B14824" t="s">
        <v>39</v>
      </c>
      <c r="C14824" t="s">
        <v>38</v>
      </c>
      <c r="D14824" t="s">
        <v>32</v>
      </c>
      <c r="E14824" t="s">
        <v>26</v>
      </c>
      <c r="F14824" t="s">
        <v>18</v>
      </c>
      <c r="G14824" s="1" t="str">
        <f t="shared" ref="G14824:M14824" si="3403">"X"</f>
        <v>X</v>
      </c>
      <c r="H14824" s="1" t="str">
        <f t="shared" si="3403"/>
        <v>X</v>
      </c>
      <c r="I14824" s="1" t="str">
        <f t="shared" si="3403"/>
        <v>X</v>
      </c>
      <c r="J14824" s="1" t="str">
        <f t="shared" si="3403"/>
        <v>X</v>
      </c>
      <c r="K14824" s="1" t="str">
        <f t="shared" si="3403"/>
        <v>X</v>
      </c>
      <c r="L14824" s="1" t="str">
        <f t="shared" si="3403"/>
        <v>X</v>
      </c>
      <c r="M14824" s="1" t="str">
        <f t="shared" si="3403"/>
        <v>X</v>
      </c>
      <c r="N14824" t="s">
        <v>27</v>
      </c>
    </row>
    <row r="14825" spans="1:14" x14ac:dyDescent="0.25">
      <c r="A14825" t="s">
        <v>45</v>
      </c>
      <c r="B14825" t="s">
        <v>39</v>
      </c>
      <c r="C14825" t="s">
        <v>38</v>
      </c>
      <c r="D14825" t="s">
        <v>32</v>
      </c>
      <c r="E14825" t="s">
        <v>26</v>
      </c>
      <c r="F14825" t="s">
        <v>19</v>
      </c>
      <c r="G14825" s="1" t="str">
        <f t="shared" ref="G14825:M14825" si="3404">"..."</f>
        <v>...</v>
      </c>
      <c r="H14825" s="1" t="str">
        <f t="shared" si="3404"/>
        <v>...</v>
      </c>
      <c r="I14825" s="1" t="str">
        <f t="shared" si="3404"/>
        <v>...</v>
      </c>
      <c r="J14825" s="1" t="str">
        <f t="shared" si="3404"/>
        <v>...</v>
      </c>
      <c r="K14825" s="1" t="str">
        <f t="shared" si="3404"/>
        <v>...</v>
      </c>
      <c r="L14825" s="1" t="str">
        <f t="shared" si="3404"/>
        <v>...</v>
      </c>
      <c r="M14825" s="1" t="str">
        <f t="shared" si="3404"/>
        <v>...</v>
      </c>
      <c r="N14825" t="s">
        <v>30</v>
      </c>
    </row>
    <row r="14826" spans="1:14" x14ac:dyDescent="0.25">
      <c r="A14826" t="s">
        <v>45</v>
      </c>
      <c r="B14826" t="s">
        <v>39</v>
      </c>
      <c r="C14826" t="s">
        <v>38</v>
      </c>
      <c r="D14826" t="s">
        <v>32</v>
      </c>
      <c r="E14826" t="s">
        <v>26</v>
      </c>
      <c r="F14826" t="s">
        <v>20</v>
      </c>
      <c r="G14826" s="1" t="str">
        <f t="shared" ref="G14826:M14838" si="3405">"X"</f>
        <v>X</v>
      </c>
      <c r="H14826" s="1" t="str">
        <f t="shared" si="3405"/>
        <v>X</v>
      </c>
      <c r="I14826" s="1" t="str">
        <f t="shared" si="3405"/>
        <v>X</v>
      </c>
      <c r="J14826" s="1" t="str">
        <f t="shared" si="3405"/>
        <v>X</v>
      </c>
      <c r="K14826" s="1" t="str">
        <f t="shared" si="3405"/>
        <v>X</v>
      </c>
      <c r="L14826" s="1" t="str">
        <f t="shared" si="3405"/>
        <v>X</v>
      </c>
      <c r="M14826" s="1" t="str">
        <f t="shared" si="3405"/>
        <v>X</v>
      </c>
      <c r="N14826" t="s">
        <v>27</v>
      </c>
    </row>
    <row r="14827" spans="1:14" x14ac:dyDescent="0.25">
      <c r="A14827" t="s">
        <v>45</v>
      </c>
      <c r="B14827" t="s">
        <v>39</v>
      </c>
      <c r="C14827" t="s">
        <v>38</v>
      </c>
      <c r="D14827" t="s">
        <v>33</v>
      </c>
      <c r="E14827" t="s">
        <v>15</v>
      </c>
      <c r="F14827" t="s">
        <v>15</v>
      </c>
      <c r="G14827" s="1" t="str">
        <f t="shared" si="3405"/>
        <v>X</v>
      </c>
      <c r="H14827" s="1" t="str">
        <f t="shared" si="3405"/>
        <v>X</v>
      </c>
      <c r="I14827" s="1" t="str">
        <f t="shared" si="3405"/>
        <v>X</v>
      </c>
      <c r="J14827" s="1" t="str">
        <f t="shared" si="3405"/>
        <v>X</v>
      </c>
      <c r="K14827" s="1" t="str">
        <f t="shared" si="3405"/>
        <v>X</v>
      </c>
      <c r="L14827" s="1" t="str">
        <f t="shared" si="3405"/>
        <v>X</v>
      </c>
      <c r="M14827" s="1" t="str">
        <f t="shared" si="3405"/>
        <v>X</v>
      </c>
      <c r="N14827" t="s">
        <v>27</v>
      </c>
    </row>
    <row r="14828" spans="1:14" x14ac:dyDescent="0.25">
      <c r="A14828" t="s">
        <v>45</v>
      </c>
      <c r="B14828" t="s">
        <v>39</v>
      </c>
      <c r="C14828" t="s">
        <v>38</v>
      </c>
      <c r="D14828" t="s">
        <v>33</v>
      </c>
      <c r="E14828" t="s">
        <v>15</v>
      </c>
      <c r="F14828" t="s">
        <v>17</v>
      </c>
      <c r="G14828" s="1" t="str">
        <f t="shared" si="3405"/>
        <v>X</v>
      </c>
      <c r="H14828" s="1" t="str">
        <f t="shared" si="3405"/>
        <v>X</v>
      </c>
      <c r="I14828" s="1" t="str">
        <f t="shared" si="3405"/>
        <v>X</v>
      </c>
      <c r="J14828" s="1" t="str">
        <f t="shared" si="3405"/>
        <v>X</v>
      </c>
      <c r="K14828" s="1" t="str">
        <f t="shared" si="3405"/>
        <v>X</v>
      </c>
      <c r="L14828" s="1" t="str">
        <f t="shared" si="3405"/>
        <v>X</v>
      </c>
      <c r="M14828" s="1" t="str">
        <f t="shared" si="3405"/>
        <v>X</v>
      </c>
      <c r="N14828" t="s">
        <v>27</v>
      </c>
    </row>
    <row r="14829" spans="1:14" x14ac:dyDescent="0.25">
      <c r="A14829" t="s">
        <v>45</v>
      </c>
      <c r="B14829" t="s">
        <v>39</v>
      </c>
      <c r="C14829" t="s">
        <v>38</v>
      </c>
      <c r="D14829" t="s">
        <v>33</v>
      </c>
      <c r="E14829" t="s">
        <v>15</v>
      </c>
      <c r="F14829" t="s">
        <v>18</v>
      </c>
      <c r="G14829" s="1" t="str">
        <f t="shared" si="3405"/>
        <v>X</v>
      </c>
      <c r="H14829" s="1" t="str">
        <f t="shared" si="3405"/>
        <v>X</v>
      </c>
      <c r="I14829" s="1" t="str">
        <f t="shared" si="3405"/>
        <v>X</v>
      </c>
      <c r="J14829" s="1" t="str">
        <f t="shared" si="3405"/>
        <v>X</v>
      </c>
      <c r="K14829" s="1" t="str">
        <f t="shared" si="3405"/>
        <v>X</v>
      </c>
      <c r="L14829" s="1" t="str">
        <f t="shared" si="3405"/>
        <v>X</v>
      </c>
      <c r="M14829" s="1" t="str">
        <f t="shared" si="3405"/>
        <v>X</v>
      </c>
      <c r="N14829" t="s">
        <v>27</v>
      </c>
    </row>
    <row r="14830" spans="1:14" x14ac:dyDescent="0.25">
      <c r="A14830" t="s">
        <v>45</v>
      </c>
      <c r="B14830" t="s">
        <v>39</v>
      </c>
      <c r="C14830" t="s">
        <v>38</v>
      </c>
      <c r="D14830" t="s">
        <v>33</v>
      </c>
      <c r="E14830" t="s">
        <v>15</v>
      </c>
      <c r="F14830" t="s">
        <v>19</v>
      </c>
      <c r="G14830" s="1" t="str">
        <f t="shared" si="3405"/>
        <v>X</v>
      </c>
      <c r="H14830" s="1" t="str">
        <f t="shared" si="3405"/>
        <v>X</v>
      </c>
      <c r="I14830" s="1" t="str">
        <f t="shared" si="3405"/>
        <v>X</v>
      </c>
      <c r="J14830" s="1" t="str">
        <f t="shared" si="3405"/>
        <v>X</v>
      </c>
      <c r="K14830" s="1" t="str">
        <f t="shared" si="3405"/>
        <v>X</v>
      </c>
      <c r="L14830" s="1" t="str">
        <f t="shared" si="3405"/>
        <v>X</v>
      </c>
      <c r="M14830" s="1" t="str">
        <f t="shared" si="3405"/>
        <v>X</v>
      </c>
      <c r="N14830" t="s">
        <v>27</v>
      </c>
    </row>
    <row r="14831" spans="1:14" x14ac:dyDescent="0.25">
      <c r="A14831" t="s">
        <v>45</v>
      </c>
      <c r="B14831" t="s">
        <v>39</v>
      </c>
      <c r="C14831" t="s">
        <v>38</v>
      </c>
      <c r="D14831" t="s">
        <v>33</v>
      </c>
      <c r="E14831" t="s">
        <v>15</v>
      </c>
      <c r="F14831" t="s">
        <v>20</v>
      </c>
      <c r="G14831" s="1" t="str">
        <f t="shared" si="3405"/>
        <v>X</v>
      </c>
      <c r="H14831" s="1" t="str">
        <f t="shared" si="3405"/>
        <v>X</v>
      </c>
      <c r="I14831" s="1" t="str">
        <f t="shared" si="3405"/>
        <v>X</v>
      </c>
      <c r="J14831" s="1" t="str">
        <f t="shared" si="3405"/>
        <v>X</v>
      </c>
      <c r="K14831" s="1" t="str">
        <f t="shared" si="3405"/>
        <v>X</v>
      </c>
      <c r="L14831" s="1" t="str">
        <f t="shared" si="3405"/>
        <v>X</v>
      </c>
      <c r="M14831" s="1" t="str">
        <f t="shared" si="3405"/>
        <v>X</v>
      </c>
      <c r="N14831" t="s">
        <v>27</v>
      </c>
    </row>
    <row r="14832" spans="1:14" x14ac:dyDescent="0.25">
      <c r="A14832" t="s">
        <v>45</v>
      </c>
      <c r="B14832" t="s">
        <v>39</v>
      </c>
      <c r="C14832" t="s">
        <v>38</v>
      </c>
      <c r="D14832" t="s">
        <v>33</v>
      </c>
      <c r="E14832" t="s">
        <v>21</v>
      </c>
      <c r="F14832" t="s">
        <v>15</v>
      </c>
      <c r="G14832" s="1" t="str">
        <f t="shared" si="3405"/>
        <v>X</v>
      </c>
      <c r="H14832" s="1" t="str">
        <f t="shared" si="3405"/>
        <v>X</v>
      </c>
      <c r="I14832" s="1" t="str">
        <f t="shared" si="3405"/>
        <v>X</v>
      </c>
      <c r="J14832" s="1" t="str">
        <f t="shared" si="3405"/>
        <v>X</v>
      </c>
      <c r="K14832" s="1" t="str">
        <f t="shared" si="3405"/>
        <v>X</v>
      </c>
      <c r="L14832" s="1" t="str">
        <f t="shared" si="3405"/>
        <v>X</v>
      </c>
      <c r="M14832" s="1" t="str">
        <f t="shared" si="3405"/>
        <v>X</v>
      </c>
      <c r="N14832" t="s">
        <v>27</v>
      </c>
    </row>
    <row r="14833" spans="1:14" x14ac:dyDescent="0.25">
      <c r="A14833" t="s">
        <v>45</v>
      </c>
      <c r="B14833" t="s">
        <v>39</v>
      </c>
      <c r="C14833" t="s">
        <v>38</v>
      </c>
      <c r="D14833" t="s">
        <v>33</v>
      </c>
      <c r="E14833" t="s">
        <v>21</v>
      </c>
      <c r="F14833" t="s">
        <v>17</v>
      </c>
      <c r="G14833" s="1" t="str">
        <f t="shared" si="3405"/>
        <v>X</v>
      </c>
      <c r="H14833" s="1" t="str">
        <f t="shared" si="3405"/>
        <v>X</v>
      </c>
      <c r="I14833" s="1" t="str">
        <f t="shared" si="3405"/>
        <v>X</v>
      </c>
      <c r="J14833" s="1" t="str">
        <f t="shared" si="3405"/>
        <v>X</v>
      </c>
      <c r="K14833" s="1" t="str">
        <f t="shared" si="3405"/>
        <v>X</v>
      </c>
      <c r="L14833" s="1" t="str">
        <f t="shared" si="3405"/>
        <v>X</v>
      </c>
      <c r="M14833" s="1" t="str">
        <f t="shared" si="3405"/>
        <v>X</v>
      </c>
      <c r="N14833" t="s">
        <v>27</v>
      </c>
    </row>
    <row r="14834" spans="1:14" x14ac:dyDescent="0.25">
      <c r="A14834" t="s">
        <v>45</v>
      </c>
      <c r="B14834" t="s">
        <v>39</v>
      </c>
      <c r="C14834" t="s">
        <v>38</v>
      </c>
      <c r="D14834" t="s">
        <v>33</v>
      </c>
      <c r="E14834" t="s">
        <v>21</v>
      </c>
      <c r="F14834" t="s">
        <v>18</v>
      </c>
      <c r="G14834" s="1" t="str">
        <f t="shared" si="3405"/>
        <v>X</v>
      </c>
      <c r="H14834" s="1" t="str">
        <f t="shared" si="3405"/>
        <v>X</v>
      </c>
      <c r="I14834" s="1" t="str">
        <f t="shared" si="3405"/>
        <v>X</v>
      </c>
      <c r="J14834" s="1" t="str">
        <f t="shared" si="3405"/>
        <v>X</v>
      </c>
      <c r="K14834" s="1" t="str">
        <f t="shared" si="3405"/>
        <v>X</v>
      </c>
      <c r="L14834" s="1" t="str">
        <f t="shared" si="3405"/>
        <v>X</v>
      </c>
      <c r="M14834" s="1" t="str">
        <f t="shared" si="3405"/>
        <v>X</v>
      </c>
      <c r="N14834" t="s">
        <v>27</v>
      </c>
    </row>
    <row r="14835" spans="1:14" x14ac:dyDescent="0.25">
      <c r="A14835" t="s">
        <v>45</v>
      </c>
      <c r="B14835" t="s">
        <v>39</v>
      </c>
      <c r="C14835" t="s">
        <v>38</v>
      </c>
      <c r="D14835" t="s">
        <v>33</v>
      </c>
      <c r="E14835" t="s">
        <v>21</v>
      </c>
      <c r="F14835" t="s">
        <v>19</v>
      </c>
      <c r="G14835" s="1" t="str">
        <f t="shared" si="3405"/>
        <v>X</v>
      </c>
      <c r="H14835" s="1" t="str">
        <f t="shared" si="3405"/>
        <v>X</v>
      </c>
      <c r="I14835" s="1" t="str">
        <f t="shared" si="3405"/>
        <v>X</v>
      </c>
      <c r="J14835" s="1" t="str">
        <f t="shared" si="3405"/>
        <v>X</v>
      </c>
      <c r="K14835" s="1" t="str">
        <f t="shared" si="3405"/>
        <v>X</v>
      </c>
      <c r="L14835" s="1" t="str">
        <f t="shared" si="3405"/>
        <v>X</v>
      </c>
      <c r="M14835" s="1" t="str">
        <f t="shared" si="3405"/>
        <v>X</v>
      </c>
      <c r="N14835" t="s">
        <v>27</v>
      </c>
    </row>
    <row r="14836" spans="1:14" x14ac:dyDescent="0.25">
      <c r="A14836" t="s">
        <v>45</v>
      </c>
      <c r="B14836" t="s">
        <v>39</v>
      </c>
      <c r="C14836" t="s">
        <v>38</v>
      </c>
      <c r="D14836" t="s">
        <v>33</v>
      </c>
      <c r="E14836" t="s">
        <v>21</v>
      </c>
      <c r="F14836" t="s">
        <v>20</v>
      </c>
      <c r="G14836" s="1" t="str">
        <f t="shared" si="3405"/>
        <v>X</v>
      </c>
      <c r="H14836" s="1" t="str">
        <f t="shared" si="3405"/>
        <v>X</v>
      </c>
      <c r="I14836" s="1" t="str">
        <f t="shared" si="3405"/>
        <v>X</v>
      </c>
      <c r="J14836" s="1" t="str">
        <f t="shared" si="3405"/>
        <v>X</v>
      </c>
      <c r="K14836" s="1" t="str">
        <f t="shared" si="3405"/>
        <v>X</v>
      </c>
      <c r="L14836" s="1" t="str">
        <f t="shared" si="3405"/>
        <v>X</v>
      </c>
      <c r="M14836" s="1" t="str">
        <f t="shared" si="3405"/>
        <v>X</v>
      </c>
      <c r="N14836" t="s">
        <v>27</v>
      </c>
    </row>
    <row r="14837" spans="1:14" x14ac:dyDescent="0.25">
      <c r="A14837" t="s">
        <v>45</v>
      </c>
      <c r="B14837" t="s">
        <v>39</v>
      </c>
      <c r="C14837" t="s">
        <v>38</v>
      </c>
      <c r="D14837" t="s">
        <v>33</v>
      </c>
      <c r="E14837" t="s">
        <v>22</v>
      </c>
      <c r="F14837" t="s">
        <v>15</v>
      </c>
      <c r="G14837" s="1" t="str">
        <f t="shared" si="3405"/>
        <v>X</v>
      </c>
      <c r="H14837" s="1" t="str">
        <f t="shared" si="3405"/>
        <v>X</v>
      </c>
      <c r="I14837" s="1" t="str">
        <f t="shared" si="3405"/>
        <v>X</v>
      </c>
      <c r="J14837" s="1" t="str">
        <f t="shared" si="3405"/>
        <v>X</v>
      </c>
      <c r="K14837" s="1" t="str">
        <f t="shared" si="3405"/>
        <v>X</v>
      </c>
      <c r="L14837" s="1" t="str">
        <f t="shared" si="3405"/>
        <v>X</v>
      </c>
      <c r="M14837" s="1" t="str">
        <f t="shared" si="3405"/>
        <v>X</v>
      </c>
      <c r="N14837" t="s">
        <v>27</v>
      </c>
    </row>
    <row r="14838" spans="1:14" x14ac:dyDescent="0.25">
      <c r="A14838" t="s">
        <v>45</v>
      </c>
      <c r="B14838" t="s">
        <v>39</v>
      </c>
      <c r="C14838" t="s">
        <v>38</v>
      </c>
      <c r="D14838" t="s">
        <v>33</v>
      </c>
      <c r="E14838" t="s">
        <v>22</v>
      </c>
      <c r="F14838" t="s">
        <v>17</v>
      </c>
      <c r="G14838" s="1" t="str">
        <f t="shared" si="3405"/>
        <v>X</v>
      </c>
      <c r="H14838" s="1" t="str">
        <f t="shared" si="3405"/>
        <v>X</v>
      </c>
      <c r="I14838" s="1" t="str">
        <f t="shared" si="3405"/>
        <v>X</v>
      </c>
      <c r="J14838" s="1" t="str">
        <f t="shared" si="3405"/>
        <v>X</v>
      </c>
      <c r="K14838" s="1" t="str">
        <f t="shared" si="3405"/>
        <v>X</v>
      </c>
      <c r="L14838" s="1" t="str">
        <f t="shared" si="3405"/>
        <v>X</v>
      </c>
      <c r="M14838" s="1" t="str">
        <f t="shared" si="3405"/>
        <v>X</v>
      </c>
      <c r="N14838" t="s">
        <v>27</v>
      </c>
    </row>
    <row r="14839" spans="1:14" x14ac:dyDescent="0.25">
      <c r="A14839" t="s">
        <v>45</v>
      </c>
      <c r="B14839" t="s">
        <v>39</v>
      </c>
      <c r="C14839" t="s">
        <v>38</v>
      </c>
      <c r="D14839" t="s">
        <v>33</v>
      </c>
      <c r="E14839" t="s">
        <v>22</v>
      </c>
      <c r="F14839" t="s">
        <v>18</v>
      </c>
      <c r="G14839" s="1" t="str">
        <f t="shared" ref="G14839:M14839" si="3406">"..."</f>
        <v>...</v>
      </c>
      <c r="H14839" s="1" t="str">
        <f t="shared" si="3406"/>
        <v>...</v>
      </c>
      <c r="I14839" s="1" t="str">
        <f t="shared" si="3406"/>
        <v>...</v>
      </c>
      <c r="J14839" s="1" t="str">
        <f t="shared" si="3406"/>
        <v>...</v>
      </c>
      <c r="K14839" s="1" t="str">
        <f t="shared" si="3406"/>
        <v>...</v>
      </c>
      <c r="L14839" s="1" t="str">
        <f t="shared" si="3406"/>
        <v>...</v>
      </c>
      <c r="M14839" s="1" t="str">
        <f t="shared" si="3406"/>
        <v>...</v>
      </c>
      <c r="N14839" t="s">
        <v>30</v>
      </c>
    </row>
    <row r="14840" spans="1:14" x14ac:dyDescent="0.25">
      <c r="A14840" t="s">
        <v>45</v>
      </c>
      <c r="B14840" t="s">
        <v>39</v>
      </c>
      <c r="C14840" t="s">
        <v>38</v>
      </c>
      <c r="D14840" t="s">
        <v>33</v>
      </c>
      <c r="E14840" t="s">
        <v>22</v>
      </c>
      <c r="F14840" t="s">
        <v>19</v>
      </c>
      <c r="G14840" s="1" t="str">
        <f t="shared" ref="G14840:M14842" si="3407">"X"</f>
        <v>X</v>
      </c>
      <c r="H14840" s="1" t="str">
        <f t="shared" si="3407"/>
        <v>X</v>
      </c>
      <c r="I14840" s="1" t="str">
        <f t="shared" si="3407"/>
        <v>X</v>
      </c>
      <c r="J14840" s="1" t="str">
        <f t="shared" si="3407"/>
        <v>X</v>
      </c>
      <c r="K14840" s="1" t="str">
        <f t="shared" si="3407"/>
        <v>X</v>
      </c>
      <c r="L14840" s="1" t="str">
        <f t="shared" si="3407"/>
        <v>X</v>
      </c>
      <c r="M14840" s="1" t="str">
        <f t="shared" si="3407"/>
        <v>X</v>
      </c>
      <c r="N14840" t="s">
        <v>27</v>
      </c>
    </row>
    <row r="14841" spans="1:14" x14ac:dyDescent="0.25">
      <c r="A14841" t="s">
        <v>45</v>
      </c>
      <c r="B14841" t="s">
        <v>39</v>
      </c>
      <c r="C14841" t="s">
        <v>38</v>
      </c>
      <c r="D14841" t="s">
        <v>33</v>
      </c>
      <c r="E14841" t="s">
        <v>22</v>
      </c>
      <c r="F14841" t="s">
        <v>20</v>
      </c>
      <c r="G14841" s="1" t="str">
        <f t="shared" si="3407"/>
        <v>X</v>
      </c>
      <c r="H14841" s="1" t="str">
        <f t="shared" si="3407"/>
        <v>X</v>
      </c>
      <c r="I14841" s="1" t="str">
        <f t="shared" si="3407"/>
        <v>X</v>
      </c>
      <c r="J14841" s="1" t="str">
        <f t="shared" si="3407"/>
        <v>X</v>
      </c>
      <c r="K14841" s="1" t="str">
        <f t="shared" si="3407"/>
        <v>X</v>
      </c>
      <c r="L14841" s="1" t="str">
        <f t="shared" si="3407"/>
        <v>X</v>
      </c>
      <c r="M14841" s="1" t="str">
        <f t="shared" si="3407"/>
        <v>X</v>
      </c>
      <c r="N14841" t="s">
        <v>27</v>
      </c>
    </row>
    <row r="14842" spans="1:14" x14ac:dyDescent="0.25">
      <c r="A14842" t="s">
        <v>45</v>
      </c>
      <c r="B14842" t="s">
        <v>39</v>
      </c>
      <c r="C14842" t="s">
        <v>38</v>
      </c>
      <c r="D14842" t="s">
        <v>33</v>
      </c>
      <c r="E14842" t="s">
        <v>23</v>
      </c>
      <c r="F14842" t="s">
        <v>15</v>
      </c>
      <c r="G14842" s="1" t="str">
        <f t="shared" si="3407"/>
        <v>X</v>
      </c>
      <c r="H14842" s="1" t="str">
        <f t="shared" si="3407"/>
        <v>X</v>
      </c>
      <c r="I14842" s="1" t="str">
        <f t="shared" si="3407"/>
        <v>X</v>
      </c>
      <c r="J14842" s="1" t="str">
        <f t="shared" si="3407"/>
        <v>X</v>
      </c>
      <c r="K14842" s="1" t="str">
        <f t="shared" si="3407"/>
        <v>X</v>
      </c>
      <c r="L14842" s="1" t="str">
        <f t="shared" si="3407"/>
        <v>X</v>
      </c>
      <c r="M14842" s="1" t="str">
        <f t="shared" si="3407"/>
        <v>X</v>
      </c>
      <c r="N14842" t="s">
        <v>27</v>
      </c>
    </row>
    <row r="14843" spans="1:14" x14ac:dyDescent="0.25">
      <c r="A14843" t="s">
        <v>45</v>
      </c>
      <c r="B14843" t="s">
        <v>39</v>
      </c>
      <c r="C14843" t="s">
        <v>38</v>
      </c>
      <c r="D14843" t="s">
        <v>33</v>
      </c>
      <c r="E14843" t="s">
        <v>23</v>
      </c>
      <c r="F14843" t="s">
        <v>17</v>
      </c>
      <c r="G14843" s="1" t="str">
        <f t="shared" ref="G14843:M14843" si="3408">"..."</f>
        <v>...</v>
      </c>
      <c r="H14843" s="1" t="str">
        <f t="shared" si="3408"/>
        <v>...</v>
      </c>
      <c r="I14843" s="1" t="str">
        <f t="shared" si="3408"/>
        <v>...</v>
      </c>
      <c r="J14843" s="1" t="str">
        <f t="shared" si="3408"/>
        <v>...</v>
      </c>
      <c r="K14843" s="1" t="str">
        <f t="shared" si="3408"/>
        <v>...</v>
      </c>
      <c r="L14843" s="1" t="str">
        <f t="shared" si="3408"/>
        <v>...</v>
      </c>
      <c r="M14843" s="1" t="str">
        <f t="shared" si="3408"/>
        <v>...</v>
      </c>
      <c r="N14843" t="s">
        <v>30</v>
      </c>
    </row>
    <row r="14844" spans="1:14" x14ac:dyDescent="0.25">
      <c r="A14844" t="s">
        <v>45</v>
      </c>
      <c r="B14844" t="s">
        <v>39</v>
      </c>
      <c r="C14844" t="s">
        <v>38</v>
      </c>
      <c r="D14844" t="s">
        <v>33</v>
      </c>
      <c r="E14844" t="s">
        <v>23</v>
      </c>
      <c r="F14844" t="s">
        <v>18</v>
      </c>
      <c r="G14844" s="1" t="str">
        <f t="shared" ref="G14844:M14844" si="3409">"X"</f>
        <v>X</v>
      </c>
      <c r="H14844" s="1" t="str">
        <f t="shared" si="3409"/>
        <v>X</v>
      </c>
      <c r="I14844" s="1" t="str">
        <f t="shared" si="3409"/>
        <v>X</v>
      </c>
      <c r="J14844" s="1" t="str">
        <f t="shared" si="3409"/>
        <v>X</v>
      </c>
      <c r="K14844" s="1" t="str">
        <f t="shared" si="3409"/>
        <v>X</v>
      </c>
      <c r="L14844" s="1" t="str">
        <f t="shared" si="3409"/>
        <v>X</v>
      </c>
      <c r="M14844" s="1" t="str">
        <f t="shared" si="3409"/>
        <v>X</v>
      </c>
      <c r="N14844" t="s">
        <v>27</v>
      </c>
    </row>
    <row r="14845" spans="1:14" x14ac:dyDescent="0.25">
      <c r="A14845" t="s">
        <v>45</v>
      </c>
      <c r="B14845" t="s">
        <v>39</v>
      </c>
      <c r="C14845" t="s">
        <v>38</v>
      </c>
      <c r="D14845" t="s">
        <v>33</v>
      </c>
      <c r="E14845" t="s">
        <v>23</v>
      </c>
      <c r="F14845" t="s">
        <v>19</v>
      </c>
      <c r="G14845" s="1" t="str">
        <f t="shared" ref="G14845:M14845" si="3410">"..."</f>
        <v>...</v>
      </c>
      <c r="H14845" s="1" t="str">
        <f t="shared" si="3410"/>
        <v>...</v>
      </c>
      <c r="I14845" s="1" t="str">
        <f t="shared" si="3410"/>
        <v>...</v>
      </c>
      <c r="J14845" s="1" t="str">
        <f t="shared" si="3410"/>
        <v>...</v>
      </c>
      <c r="K14845" s="1" t="str">
        <f t="shared" si="3410"/>
        <v>...</v>
      </c>
      <c r="L14845" s="1" t="str">
        <f t="shared" si="3410"/>
        <v>...</v>
      </c>
      <c r="M14845" s="1" t="str">
        <f t="shared" si="3410"/>
        <v>...</v>
      </c>
      <c r="N14845" t="s">
        <v>30</v>
      </c>
    </row>
    <row r="14846" spans="1:14" x14ac:dyDescent="0.25">
      <c r="A14846" t="s">
        <v>45</v>
      </c>
      <c r="B14846" t="s">
        <v>39</v>
      </c>
      <c r="C14846" t="s">
        <v>38</v>
      </c>
      <c r="D14846" t="s">
        <v>33</v>
      </c>
      <c r="E14846" t="s">
        <v>23</v>
      </c>
      <c r="F14846" t="s">
        <v>20</v>
      </c>
      <c r="G14846" s="1" t="str">
        <f t="shared" ref="G14846:M14846" si="3411">"X"</f>
        <v>X</v>
      </c>
      <c r="H14846" s="1" t="str">
        <f t="shared" si="3411"/>
        <v>X</v>
      </c>
      <c r="I14846" s="1" t="str">
        <f t="shared" si="3411"/>
        <v>X</v>
      </c>
      <c r="J14846" s="1" t="str">
        <f t="shared" si="3411"/>
        <v>X</v>
      </c>
      <c r="K14846" s="1" t="str">
        <f t="shared" si="3411"/>
        <v>X</v>
      </c>
      <c r="L14846" s="1" t="str">
        <f t="shared" si="3411"/>
        <v>X</v>
      </c>
      <c r="M14846" s="1" t="str">
        <f t="shared" si="3411"/>
        <v>X</v>
      </c>
      <c r="N14846" t="s">
        <v>27</v>
      </c>
    </row>
    <row r="14847" spans="1:14" x14ac:dyDescent="0.25">
      <c r="A14847" t="s">
        <v>45</v>
      </c>
      <c r="B14847" t="s">
        <v>39</v>
      </c>
      <c r="C14847" t="s">
        <v>38</v>
      </c>
      <c r="D14847" t="s">
        <v>33</v>
      </c>
      <c r="E14847" t="s">
        <v>26</v>
      </c>
      <c r="F14847" t="s">
        <v>15</v>
      </c>
      <c r="G14847" s="1" t="str">
        <f t="shared" ref="G14847:M14851" si="3412">"..."</f>
        <v>...</v>
      </c>
      <c r="H14847" s="1" t="str">
        <f t="shared" si="3412"/>
        <v>...</v>
      </c>
      <c r="I14847" s="1" t="str">
        <f t="shared" si="3412"/>
        <v>...</v>
      </c>
      <c r="J14847" s="1" t="str">
        <f t="shared" si="3412"/>
        <v>...</v>
      </c>
      <c r="K14847" s="1" t="str">
        <f t="shared" si="3412"/>
        <v>...</v>
      </c>
      <c r="L14847" s="1" t="str">
        <f t="shared" si="3412"/>
        <v>...</v>
      </c>
      <c r="M14847" s="1" t="str">
        <f t="shared" si="3412"/>
        <v>...</v>
      </c>
      <c r="N14847" t="s">
        <v>30</v>
      </c>
    </row>
    <row r="14848" spans="1:14" x14ac:dyDescent="0.25">
      <c r="A14848" t="s">
        <v>45</v>
      </c>
      <c r="B14848" t="s">
        <v>39</v>
      </c>
      <c r="C14848" t="s">
        <v>38</v>
      </c>
      <c r="D14848" t="s">
        <v>33</v>
      </c>
      <c r="E14848" t="s">
        <v>26</v>
      </c>
      <c r="F14848" t="s">
        <v>17</v>
      </c>
      <c r="G14848" s="1" t="str">
        <f t="shared" si="3412"/>
        <v>...</v>
      </c>
      <c r="H14848" s="1" t="str">
        <f t="shared" si="3412"/>
        <v>...</v>
      </c>
      <c r="I14848" s="1" t="str">
        <f t="shared" si="3412"/>
        <v>...</v>
      </c>
      <c r="J14848" s="1" t="str">
        <f t="shared" si="3412"/>
        <v>...</v>
      </c>
      <c r="K14848" s="1" t="str">
        <f t="shared" si="3412"/>
        <v>...</v>
      </c>
      <c r="L14848" s="1" t="str">
        <f t="shared" si="3412"/>
        <v>...</v>
      </c>
      <c r="M14848" s="1" t="str">
        <f t="shared" si="3412"/>
        <v>...</v>
      </c>
      <c r="N14848" t="s">
        <v>30</v>
      </c>
    </row>
    <row r="14849" spans="1:14" x14ac:dyDescent="0.25">
      <c r="A14849" t="s">
        <v>45</v>
      </c>
      <c r="B14849" t="s">
        <v>39</v>
      </c>
      <c r="C14849" t="s">
        <v>38</v>
      </c>
      <c r="D14849" t="s">
        <v>33</v>
      </c>
      <c r="E14849" t="s">
        <v>26</v>
      </c>
      <c r="F14849" t="s">
        <v>18</v>
      </c>
      <c r="G14849" s="1" t="str">
        <f t="shared" si="3412"/>
        <v>...</v>
      </c>
      <c r="H14849" s="1" t="str">
        <f t="shared" si="3412"/>
        <v>...</v>
      </c>
      <c r="I14849" s="1" t="str">
        <f t="shared" si="3412"/>
        <v>...</v>
      </c>
      <c r="J14849" s="1" t="str">
        <f t="shared" si="3412"/>
        <v>...</v>
      </c>
      <c r="K14849" s="1" t="str">
        <f t="shared" si="3412"/>
        <v>...</v>
      </c>
      <c r="L14849" s="1" t="str">
        <f t="shared" si="3412"/>
        <v>...</v>
      </c>
      <c r="M14849" s="1" t="str">
        <f t="shared" si="3412"/>
        <v>...</v>
      </c>
      <c r="N14849" t="s">
        <v>30</v>
      </c>
    </row>
    <row r="14850" spans="1:14" x14ac:dyDescent="0.25">
      <c r="A14850" t="s">
        <v>45</v>
      </c>
      <c r="B14850" t="s">
        <v>39</v>
      </c>
      <c r="C14850" t="s">
        <v>38</v>
      </c>
      <c r="D14850" t="s">
        <v>33</v>
      </c>
      <c r="E14850" t="s">
        <v>26</v>
      </c>
      <c r="F14850" t="s">
        <v>19</v>
      </c>
      <c r="G14850" s="1" t="str">
        <f t="shared" si="3412"/>
        <v>...</v>
      </c>
      <c r="H14850" s="1" t="str">
        <f t="shared" si="3412"/>
        <v>...</v>
      </c>
      <c r="I14850" s="1" t="str">
        <f t="shared" si="3412"/>
        <v>...</v>
      </c>
      <c r="J14850" s="1" t="str">
        <f t="shared" si="3412"/>
        <v>...</v>
      </c>
      <c r="K14850" s="1" t="str">
        <f t="shared" si="3412"/>
        <v>...</v>
      </c>
      <c r="L14850" s="1" t="str">
        <f t="shared" si="3412"/>
        <v>...</v>
      </c>
      <c r="M14850" s="1" t="str">
        <f t="shared" si="3412"/>
        <v>...</v>
      </c>
      <c r="N14850" t="s">
        <v>30</v>
      </c>
    </row>
    <row r="14851" spans="1:14" x14ac:dyDescent="0.25">
      <c r="A14851" t="s">
        <v>45</v>
      </c>
      <c r="B14851" t="s">
        <v>39</v>
      </c>
      <c r="C14851" t="s">
        <v>38</v>
      </c>
      <c r="D14851" t="s">
        <v>33</v>
      </c>
      <c r="E14851" t="s">
        <v>26</v>
      </c>
      <c r="F14851" t="s">
        <v>20</v>
      </c>
      <c r="G14851" s="1" t="str">
        <f t="shared" si="3412"/>
        <v>...</v>
      </c>
      <c r="H14851" s="1" t="str">
        <f t="shared" si="3412"/>
        <v>...</v>
      </c>
      <c r="I14851" s="1" t="str">
        <f t="shared" si="3412"/>
        <v>...</v>
      </c>
      <c r="J14851" s="1" t="str">
        <f t="shared" si="3412"/>
        <v>...</v>
      </c>
      <c r="K14851" s="1" t="str">
        <f t="shared" si="3412"/>
        <v>...</v>
      </c>
      <c r="L14851" s="1" t="str">
        <f t="shared" si="3412"/>
        <v>...</v>
      </c>
      <c r="M14851" s="1" t="str">
        <f t="shared" si="3412"/>
        <v>...</v>
      </c>
      <c r="N14851" t="s">
        <v>30</v>
      </c>
    </row>
    <row r="14852" spans="1:14" x14ac:dyDescent="0.25">
      <c r="A14852" t="s">
        <v>45</v>
      </c>
      <c r="B14852" t="s">
        <v>39</v>
      </c>
      <c r="C14852" t="s">
        <v>38</v>
      </c>
      <c r="D14852" t="s">
        <v>34</v>
      </c>
      <c r="E14852" t="s">
        <v>15</v>
      </c>
      <c r="F14852" t="s">
        <v>15</v>
      </c>
      <c r="G14852" s="1" t="str">
        <f t="shared" ref="G14852:M14858" si="3413">"X"</f>
        <v>X</v>
      </c>
      <c r="H14852" s="1" t="str">
        <f t="shared" si="3413"/>
        <v>X</v>
      </c>
      <c r="I14852" s="1" t="str">
        <f t="shared" si="3413"/>
        <v>X</v>
      </c>
      <c r="J14852" s="1" t="str">
        <f t="shared" si="3413"/>
        <v>X</v>
      </c>
      <c r="K14852" s="1" t="str">
        <f t="shared" si="3413"/>
        <v>X</v>
      </c>
      <c r="L14852" s="1" t="str">
        <f t="shared" si="3413"/>
        <v>X</v>
      </c>
      <c r="M14852" s="1" t="str">
        <f t="shared" si="3413"/>
        <v>X</v>
      </c>
      <c r="N14852" t="s">
        <v>27</v>
      </c>
    </row>
    <row r="14853" spans="1:14" x14ac:dyDescent="0.25">
      <c r="A14853" t="s">
        <v>45</v>
      </c>
      <c r="B14853" t="s">
        <v>39</v>
      </c>
      <c r="C14853" t="s">
        <v>38</v>
      </c>
      <c r="D14853" t="s">
        <v>34</v>
      </c>
      <c r="E14853" t="s">
        <v>15</v>
      </c>
      <c r="F14853" t="s">
        <v>17</v>
      </c>
      <c r="G14853" s="1" t="str">
        <f t="shared" si="3413"/>
        <v>X</v>
      </c>
      <c r="H14853" s="1" t="str">
        <f t="shared" si="3413"/>
        <v>X</v>
      </c>
      <c r="I14853" s="1" t="str">
        <f t="shared" si="3413"/>
        <v>X</v>
      </c>
      <c r="J14853" s="1" t="str">
        <f t="shared" si="3413"/>
        <v>X</v>
      </c>
      <c r="K14853" s="1" t="str">
        <f t="shared" si="3413"/>
        <v>X</v>
      </c>
      <c r="L14853" s="1" t="str">
        <f t="shared" si="3413"/>
        <v>X</v>
      </c>
      <c r="M14853" s="1" t="str">
        <f t="shared" si="3413"/>
        <v>X</v>
      </c>
      <c r="N14853" t="s">
        <v>27</v>
      </c>
    </row>
    <row r="14854" spans="1:14" x14ac:dyDescent="0.25">
      <c r="A14854" t="s">
        <v>45</v>
      </c>
      <c r="B14854" t="s">
        <v>39</v>
      </c>
      <c r="C14854" t="s">
        <v>38</v>
      </c>
      <c r="D14854" t="s">
        <v>34</v>
      </c>
      <c r="E14854" t="s">
        <v>15</v>
      </c>
      <c r="F14854" t="s">
        <v>18</v>
      </c>
      <c r="G14854" s="1" t="str">
        <f t="shared" si="3413"/>
        <v>X</v>
      </c>
      <c r="H14854" s="1" t="str">
        <f t="shared" si="3413"/>
        <v>X</v>
      </c>
      <c r="I14854" s="1" t="str">
        <f t="shared" si="3413"/>
        <v>X</v>
      </c>
      <c r="J14854" s="1" t="str">
        <f t="shared" si="3413"/>
        <v>X</v>
      </c>
      <c r="K14854" s="1" t="str">
        <f t="shared" si="3413"/>
        <v>X</v>
      </c>
      <c r="L14854" s="1" t="str">
        <f t="shared" si="3413"/>
        <v>X</v>
      </c>
      <c r="M14854" s="1" t="str">
        <f t="shared" si="3413"/>
        <v>X</v>
      </c>
      <c r="N14854" t="s">
        <v>27</v>
      </c>
    </row>
    <row r="14855" spans="1:14" x14ac:dyDescent="0.25">
      <c r="A14855" t="s">
        <v>45</v>
      </c>
      <c r="B14855" t="s">
        <v>39</v>
      </c>
      <c r="C14855" t="s">
        <v>38</v>
      </c>
      <c r="D14855" t="s">
        <v>34</v>
      </c>
      <c r="E14855" t="s">
        <v>15</v>
      </c>
      <c r="F14855" t="s">
        <v>19</v>
      </c>
      <c r="G14855" s="1" t="str">
        <f t="shared" si="3413"/>
        <v>X</v>
      </c>
      <c r="H14855" s="1" t="str">
        <f t="shared" si="3413"/>
        <v>X</v>
      </c>
      <c r="I14855" s="1" t="str">
        <f t="shared" si="3413"/>
        <v>X</v>
      </c>
      <c r="J14855" s="1" t="str">
        <f t="shared" si="3413"/>
        <v>X</v>
      </c>
      <c r="K14855" s="1" t="str">
        <f t="shared" si="3413"/>
        <v>X</v>
      </c>
      <c r="L14855" s="1" t="str">
        <f t="shared" si="3413"/>
        <v>X</v>
      </c>
      <c r="M14855" s="1" t="str">
        <f t="shared" si="3413"/>
        <v>X</v>
      </c>
      <c r="N14855" t="s">
        <v>27</v>
      </c>
    </row>
    <row r="14856" spans="1:14" x14ac:dyDescent="0.25">
      <c r="A14856" t="s">
        <v>45</v>
      </c>
      <c r="B14856" t="s">
        <v>39</v>
      </c>
      <c r="C14856" t="s">
        <v>38</v>
      </c>
      <c r="D14856" t="s">
        <v>34</v>
      </c>
      <c r="E14856" t="s">
        <v>15</v>
      </c>
      <c r="F14856" t="s">
        <v>20</v>
      </c>
      <c r="G14856" s="1" t="str">
        <f t="shared" si="3413"/>
        <v>X</v>
      </c>
      <c r="H14856" s="1" t="str">
        <f t="shared" si="3413"/>
        <v>X</v>
      </c>
      <c r="I14856" s="1" t="str">
        <f t="shared" si="3413"/>
        <v>X</v>
      </c>
      <c r="J14856" s="1" t="str">
        <f t="shared" si="3413"/>
        <v>X</v>
      </c>
      <c r="K14856" s="1" t="str">
        <f t="shared" si="3413"/>
        <v>X</v>
      </c>
      <c r="L14856" s="1" t="str">
        <f t="shared" si="3413"/>
        <v>X</v>
      </c>
      <c r="M14856" s="1" t="str">
        <f t="shared" si="3413"/>
        <v>X</v>
      </c>
      <c r="N14856" t="s">
        <v>27</v>
      </c>
    </row>
    <row r="14857" spans="1:14" x14ac:dyDescent="0.25">
      <c r="A14857" t="s">
        <v>45</v>
      </c>
      <c r="B14857" t="s">
        <v>39</v>
      </c>
      <c r="C14857" t="s">
        <v>38</v>
      </c>
      <c r="D14857" t="s">
        <v>34</v>
      </c>
      <c r="E14857" t="s">
        <v>21</v>
      </c>
      <c r="F14857" t="s">
        <v>15</v>
      </c>
      <c r="G14857" s="1" t="str">
        <f t="shared" si="3413"/>
        <v>X</v>
      </c>
      <c r="H14857" s="1" t="str">
        <f t="shared" si="3413"/>
        <v>X</v>
      </c>
      <c r="I14857" s="1" t="str">
        <f t="shared" si="3413"/>
        <v>X</v>
      </c>
      <c r="J14857" s="1" t="str">
        <f t="shared" si="3413"/>
        <v>X</v>
      </c>
      <c r="K14857" s="1" t="str">
        <f t="shared" si="3413"/>
        <v>X</v>
      </c>
      <c r="L14857" s="1" t="str">
        <f t="shared" si="3413"/>
        <v>X</v>
      </c>
      <c r="M14857" s="1" t="str">
        <f t="shared" si="3413"/>
        <v>X</v>
      </c>
      <c r="N14857" t="s">
        <v>27</v>
      </c>
    </row>
    <row r="14858" spans="1:14" x14ac:dyDescent="0.25">
      <c r="A14858" t="s">
        <v>45</v>
      </c>
      <c r="B14858" t="s">
        <v>39</v>
      </c>
      <c r="C14858" t="s">
        <v>38</v>
      </c>
      <c r="D14858" t="s">
        <v>34</v>
      </c>
      <c r="E14858" t="s">
        <v>21</v>
      </c>
      <c r="F14858" t="s">
        <v>17</v>
      </c>
      <c r="G14858" s="1" t="str">
        <f t="shared" si="3413"/>
        <v>X</v>
      </c>
      <c r="H14858" s="1" t="str">
        <f t="shared" si="3413"/>
        <v>X</v>
      </c>
      <c r="I14858" s="1" t="str">
        <f t="shared" si="3413"/>
        <v>X</v>
      </c>
      <c r="J14858" s="1" t="str">
        <f t="shared" si="3413"/>
        <v>X</v>
      </c>
      <c r="K14858" s="1" t="str">
        <f t="shared" si="3413"/>
        <v>X</v>
      </c>
      <c r="L14858" s="1" t="str">
        <f t="shared" si="3413"/>
        <v>X</v>
      </c>
      <c r="M14858" s="1" t="str">
        <f t="shared" si="3413"/>
        <v>X</v>
      </c>
      <c r="N14858" t="s">
        <v>27</v>
      </c>
    </row>
    <row r="14859" spans="1:14" x14ac:dyDescent="0.25">
      <c r="A14859" t="s">
        <v>45</v>
      </c>
      <c r="B14859" t="s">
        <v>39</v>
      </c>
      <c r="C14859" t="s">
        <v>38</v>
      </c>
      <c r="D14859" t="s">
        <v>34</v>
      </c>
      <c r="E14859" t="s">
        <v>21</v>
      </c>
      <c r="F14859" t="s">
        <v>18</v>
      </c>
      <c r="G14859" s="1" t="str">
        <f t="shared" ref="G14859:M14859" si="3414">"..."</f>
        <v>...</v>
      </c>
      <c r="H14859" s="1" t="str">
        <f t="shared" si="3414"/>
        <v>...</v>
      </c>
      <c r="I14859" s="1" t="str">
        <f t="shared" si="3414"/>
        <v>...</v>
      </c>
      <c r="J14859" s="1" t="str">
        <f t="shared" si="3414"/>
        <v>...</v>
      </c>
      <c r="K14859" s="1" t="str">
        <f t="shared" si="3414"/>
        <v>...</v>
      </c>
      <c r="L14859" s="1" t="str">
        <f t="shared" si="3414"/>
        <v>...</v>
      </c>
      <c r="M14859" s="1" t="str">
        <f t="shared" si="3414"/>
        <v>...</v>
      </c>
      <c r="N14859" t="s">
        <v>30</v>
      </c>
    </row>
    <row r="14860" spans="1:14" x14ac:dyDescent="0.25">
      <c r="A14860" t="s">
        <v>45</v>
      </c>
      <c r="B14860" t="s">
        <v>39</v>
      </c>
      <c r="C14860" t="s">
        <v>38</v>
      </c>
      <c r="D14860" t="s">
        <v>34</v>
      </c>
      <c r="E14860" t="s">
        <v>21</v>
      </c>
      <c r="F14860" t="s">
        <v>19</v>
      </c>
      <c r="G14860" s="1" t="str">
        <f t="shared" ref="G14860:M14864" si="3415">"X"</f>
        <v>X</v>
      </c>
      <c r="H14860" s="1" t="str">
        <f t="shared" si="3415"/>
        <v>X</v>
      </c>
      <c r="I14860" s="1" t="str">
        <f t="shared" si="3415"/>
        <v>X</v>
      </c>
      <c r="J14860" s="1" t="str">
        <f t="shared" si="3415"/>
        <v>X</v>
      </c>
      <c r="K14860" s="1" t="str">
        <f t="shared" si="3415"/>
        <v>X</v>
      </c>
      <c r="L14860" s="1" t="str">
        <f t="shared" si="3415"/>
        <v>X</v>
      </c>
      <c r="M14860" s="1" t="str">
        <f t="shared" si="3415"/>
        <v>X</v>
      </c>
      <c r="N14860" t="s">
        <v>27</v>
      </c>
    </row>
    <row r="14861" spans="1:14" x14ac:dyDescent="0.25">
      <c r="A14861" t="s">
        <v>45</v>
      </c>
      <c r="B14861" t="s">
        <v>39</v>
      </c>
      <c r="C14861" t="s">
        <v>38</v>
      </c>
      <c r="D14861" t="s">
        <v>34</v>
      </c>
      <c r="E14861" t="s">
        <v>21</v>
      </c>
      <c r="F14861" t="s">
        <v>20</v>
      </c>
      <c r="G14861" s="1" t="str">
        <f t="shared" si="3415"/>
        <v>X</v>
      </c>
      <c r="H14861" s="1" t="str">
        <f t="shared" si="3415"/>
        <v>X</v>
      </c>
      <c r="I14861" s="1" t="str">
        <f t="shared" si="3415"/>
        <v>X</v>
      </c>
      <c r="J14861" s="1" t="str">
        <f t="shared" si="3415"/>
        <v>X</v>
      </c>
      <c r="K14861" s="1" t="str">
        <f t="shared" si="3415"/>
        <v>X</v>
      </c>
      <c r="L14861" s="1" t="str">
        <f t="shared" si="3415"/>
        <v>X</v>
      </c>
      <c r="M14861" s="1" t="str">
        <f t="shared" si="3415"/>
        <v>X</v>
      </c>
      <c r="N14861" t="s">
        <v>27</v>
      </c>
    </row>
    <row r="14862" spans="1:14" x14ac:dyDescent="0.25">
      <c r="A14862" t="s">
        <v>45</v>
      </c>
      <c r="B14862" t="s">
        <v>39</v>
      </c>
      <c r="C14862" t="s">
        <v>38</v>
      </c>
      <c r="D14862" t="s">
        <v>34</v>
      </c>
      <c r="E14862" t="s">
        <v>22</v>
      </c>
      <c r="F14862" t="s">
        <v>15</v>
      </c>
      <c r="G14862" s="1" t="str">
        <f t="shared" si="3415"/>
        <v>X</v>
      </c>
      <c r="H14862" s="1" t="str">
        <f t="shared" si="3415"/>
        <v>X</v>
      </c>
      <c r="I14862" s="1" t="str">
        <f t="shared" si="3415"/>
        <v>X</v>
      </c>
      <c r="J14862" s="1" t="str">
        <f t="shared" si="3415"/>
        <v>X</v>
      </c>
      <c r="K14862" s="1" t="str">
        <f t="shared" si="3415"/>
        <v>X</v>
      </c>
      <c r="L14862" s="1" t="str">
        <f t="shared" si="3415"/>
        <v>X</v>
      </c>
      <c r="M14862" s="1" t="str">
        <f t="shared" si="3415"/>
        <v>X</v>
      </c>
      <c r="N14862" t="s">
        <v>27</v>
      </c>
    </row>
    <row r="14863" spans="1:14" x14ac:dyDescent="0.25">
      <c r="A14863" t="s">
        <v>45</v>
      </c>
      <c r="B14863" t="s">
        <v>39</v>
      </c>
      <c r="C14863" t="s">
        <v>38</v>
      </c>
      <c r="D14863" t="s">
        <v>34</v>
      </c>
      <c r="E14863" t="s">
        <v>22</v>
      </c>
      <c r="F14863" t="s">
        <v>17</v>
      </c>
      <c r="G14863" s="1" t="str">
        <f t="shared" si="3415"/>
        <v>X</v>
      </c>
      <c r="H14863" s="1" t="str">
        <f t="shared" si="3415"/>
        <v>X</v>
      </c>
      <c r="I14863" s="1" t="str">
        <f t="shared" si="3415"/>
        <v>X</v>
      </c>
      <c r="J14863" s="1" t="str">
        <f t="shared" si="3415"/>
        <v>X</v>
      </c>
      <c r="K14863" s="1" t="str">
        <f t="shared" si="3415"/>
        <v>X</v>
      </c>
      <c r="L14863" s="1" t="str">
        <f t="shared" si="3415"/>
        <v>X</v>
      </c>
      <c r="M14863" s="1" t="str">
        <f t="shared" si="3415"/>
        <v>X</v>
      </c>
      <c r="N14863" t="s">
        <v>27</v>
      </c>
    </row>
    <row r="14864" spans="1:14" x14ac:dyDescent="0.25">
      <c r="A14864" t="s">
        <v>45</v>
      </c>
      <c r="B14864" t="s">
        <v>39</v>
      </c>
      <c r="C14864" t="s">
        <v>38</v>
      </c>
      <c r="D14864" t="s">
        <v>34</v>
      </c>
      <c r="E14864" t="s">
        <v>22</v>
      </c>
      <c r="F14864" t="s">
        <v>18</v>
      </c>
      <c r="G14864" s="1" t="str">
        <f t="shared" si="3415"/>
        <v>X</v>
      </c>
      <c r="H14864" s="1" t="str">
        <f t="shared" si="3415"/>
        <v>X</v>
      </c>
      <c r="I14864" s="1" t="str">
        <f t="shared" si="3415"/>
        <v>X</v>
      </c>
      <c r="J14864" s="1" t="str">
        <f t="shared" si="3415"/>
        <v>X</v>
      </c>
      <c r="K14864" s="1" t="str">
        <f t="shared" si="3415"/>
        <v>X</v>
      </c>
      <c r="L14864" s="1" t="str">
        <f t="shared" si="3415"/>
        <v>X</v>
      </c>
      <c r="M14864" s="1" t="str">
        <f t="shared" si="3415"/>
        <v>X</v>
      </c>
      <c r="N14864" t="s">
        <v>27</v>
      </c>
    </row>
    <row r="14865" spans="1:14" x14ac:dyDescent="0.25">
      <c r="A14865" t="s">
        <v>45</v>
      </c>
      <c r="B14865" t="s">
        <v>39</v>
      </c>
      <c r="C14865" t="s">
        <v>38</v>
      </c>
      <c r="D14865" t="s">
        <v>34</v>
      </c>
      <c r="E14865" t="s">
        <v>22</v>
      </c>
      <c r="F14865" t="s">
        <v>19</v>
      </c>
      <c r="G14865" s="1" t="str">
        <f t="shared" ref="G14865:M14865" si="3416">"..."</f>
        <v>...</v>
      </c>
      <c r="H14865" s="1" t="str">
        <f t="shared" si="3416"/>
        <v>...</v>
      </c>
      <c r="I14865" s="1" t="str">
        <f t="shared" si="3416"/>
        <v>...</v>
      </c>
      <c r="J14865" s="1" t="str">
        <f t="shared" si="3416"/>
        <v>...</v>
      </c>
      <c r="K14865" s="1" t="str">
        <f t="shared" si="3416"/>
        <v>...</v>
      </c>
      <c r="L14865" s="1" t="str">
        <f t="shared" si="3416"/>
        <v>...</v>
      </c>
      <c r="M14865" s="1" t="str">
        <f t="shared" si="3416"/>
        <v>...</v>
      </c>
      <c r="N14865" t="s">
        <v>30</v>
      </c>
    </row>
    <row r="14866" spans="1:14" x14ac:dyDescent="0.25">
      <c r="A14866" t="s">
        <v>45</v>
      </c>
      <c r="B14866" t="s">
        <v>39</v>
      </c>
      <c r="C14866" t="s">
        <v>38</v>
      </c>
      <c r="D14866" t="s">
        <v>34</v>
      </c>
      <c r="E14866" t="s">
        <v>22</v>
      </c>
      <c r="F14866" t="s">
        <v>20</v>
      </c>
      <c r="G14866" s="1" t="str">
        <f t="shared" ref="G14866:M14867" si="3417">"X"</f>
        <v>X</v>
      </c>
      <c r="H14866" s="1" t="str">
        <f t="shared" si="3417"/>
        <v>X</v>
      </c>
      <c r="I14866" s="1" t="str">
        <f t="shared" si="3417"/>
        <v>X</v>
      </c>
      <c r="J14866" s="1" t="str">
        <f t="shared" si="3417"/>
        <v>X</v>
      </c>
      <c r="K14866" s="1" t="str">
        <f t="shared" si="3417"/>
        <v>X</v>
      </c>
      <c r="L14866" s="1" t="str">
        <f t="shared" si="3417"/>
        <v>X</v>
      </c>
      <c r="M14866" s="1" t="str">
        <f t="shared" si="3417"/>
        <v>X</v>
      </c>
      <c r="N14866" t="s">
        <v>27</v>
      </c>
    </row>
    <row r="14867" spans="1:14" x14ac:dyDescent="0.25">
      <c r="A14867" t="s">
        <v>45</v>
      </c>
      <c r="B14867" t="s">
        <v>39</v>
      </c>
      <c r="C14867" t="s">
        <v>38</v>
      </c>
      <c r="D14867" t="s">
        <v>34</v>
      </c>
      <c r="E14867" t="s">
        <v>23</v>
      </c>
      <c r="F14867" t="s">
        <v>15</v>
      </c>
      <c r="G14867" s="1" t="str">
        <f t="shared" si="3417"/>
        <v>X</v>
      </c>
      <c r="H14867" s="1" t="str">
        <f t="shared" si="3417"/>
        <v>X</v>
      </c>
      <c r="I14867" s="1" t="str">
        <f t="shared" si="3417"/>
        <v>X</v>
      </c>
      <c r="J14867" s="1" t="str">
        <f t="shared" si="3417"/>
        <v>X</v>
      </c>
      <c r="K14867" s="1" t="str">
        <f t="shared" si="3417"/>
        <v>X</v>
      </c>
      <c r="L14867" s="1" t="str">
        <f t="shared" si="3417"/>
        <v>X</v>
      </c>
      <c r="M14867" s="1" t="str">
        <f t="shared" si="3417"/>
        <v>X</v>
      </c>
      <c r="N14867" t="s">
        <v>27</v>
      </c>
    </row>
    <row r="14868" spans="1:14" x14ac:dyDescent="0.25">
      <c r="A14868" t="s">
        <v>45</v>
      </c>
      <c r="B14868" t="s">
        <v>39</v>
      </c>
      <c r="C14868" t="s">
        <v>38</v>
      </c>
      <c r="D14868" t="s">
        <v>34</v>
      </c>
      <c r="E14868" t="s">
        <v>23</v>
      </c>
      <c r="F14868" t="s">
        <v>17</v>
      </c>
      <c r="G14868" s="1" t="str">
        <f t="shared" ref="G14868:M14868" si="3418">"..."</f>
        <v>...</v>
      </c>
      <c r="H14868" s="1" t="str">
        <f t="shared" si="3418"/>
        <v>...</v>
      </c>
      <c r="I14868" s="1" t="str">
        <f t="shared" si="3418"/>
        <v>...</v>
      </c>
      <c r="J14868" s="1" t="str">
        <f t="shared" si="3418"/>
        <v>...</v>
      </c>
      <c r="K14868" s="1" t="str">
        <f t="shared" si="3418"/>
        <v>...</v>
      </c>
      <c r="L14868" s="1" t="str">
        <f t="shared" si="3418"/>
        <v>...</v>
      </c>
      <c r="M14868" s="1" t="str">
        <f t="shared" si="3418"/>
        <v>...</v>
      </c>
      <c r="N14868" t="s">
        <v>30</v>
      </c>
    </row>
    <row r="14869" spans="1:14" x14ac:dyDescent="0.25">
      <c r="A14869" t="s">
        <v>45</v>
      </c>
      <c r="B14869" t="s">
        <v>39</v>
      </c>
      <c r="C14869" t="s">
        <v>38</v>
      </c>
      <c r="D14869" t="s">
        <v>34</v>
      </c>
      <c r="E14869" t="s">
        <v>23</v>
      </c>
      <c r="F14869" t="s">
        <v>18</v>
      </c>
      <c r="G14869" s="1" t="str">
        <f t="shared" ref="G14869:M14872" si="3419">"X"</f>
        <v>X</v>
      </c>
      <c r="H14869" s="1" t="str">
        <f t="shared" si="3419"/>
        <v>X</v>
      </c>
      <c r="I14869" s="1" t="str">
        <f t="shared" si="3419"/>
        <v>X</v>
      </c>
      <c r="J14869" s="1" t="str">
        <f t="shared" si="3419"/>
        <v>X</v>
      </c>
      <c r="K14869" s="1" t="str">
        <f t="shared" si="3419"/>
        <v>X</v>
      </c>
      <c r="L14869" s="1" t="str">
        <f t="shared" si="3419"/>
        <v>X</v>
      </c>
      <c r="M14869" s="1" t="str">
        <f t="shared" si="3419"/>
        <v>X</v>
      </c>
      <c r="N14869" t="s">
        <v>27</v>
      </c>
    </row>
    <row r="14870" spans="1:14" x14ac:dyDescent="0.25">
      <c r="A14870" t="s">
        <v>45</v>
      </c>
      <c r="B14870" t="s">
        <v>39</v>
      </c>
      <c r="C14870" t="s">
        <v>38</v>
      </c>
      <c r="D14870" t="s">
        <v>34</v>
      </c>
      <c r="E14870" t="s">
        <v>23</v>
      </c>
      <c r="F14870" t="s">
        <v>19</v>
      </c>
      <c r="G14870" s="1" t="str">
        <f t="shared" si="3419"/>
        <v>X</v>
      </c>
      <c r="H14870" s="1" t="str">
        <f t="shared" si="3419"/>
        <v>X</v>
      </c>
      <c r="I14870" s="1" t="str">
        <f t="shared" si="3419"/>
        <v>X</v>
      </c>
      <c r="J14870" s="1" t="str">
        <f t="shared" si="3419"/>
        <v>X</v>
      </c>
      <c r="K14870" s="1" t="str">
        <f t="shared" si="3419"/>
        <v>X</v>
      </c>
      <c r="L14870" s="1" t="str">
        <f t="shared" si="3419"/>
        <v>X</v>
      </c>
      <c r="M14870" s="1" t="str">
        <f t="shared" si="3419"/>
        <v>X</v>
      </c>
      <c r="N14870" t="s">
        <v>27</v>
      </c>
    </row>
    <row r="14871" spans="1:14" x14ac:dyDescent="0.25">
      <c r="A14871" t="s">
        <v>45</v>
      </c>
      <c r="B14871" t="s">
        <v>39</v>
      </c>
      <c r="C14871" t="s">
        <v>38</v>
      </c>
      <c r="D14871" t="s">
        <v>34</v>
      </c>
      <c r="E14871" t="s">
        <v>23</v>
      </c>
      <c r="F14871" t="s">
        <v>20</v>
      </c>
      <c r="G14871" s="1" t="str">
        <f t="shared" si="3419"/>
        <v>X</v>
      </c>
      <c r="H14871" s="1" t="str">
        <f t="shared" si="3419"/>
        <v>X</v>
      </c>
      <c r="I14871" s="1" t="str">
        <f t="shared" si="3419"/>
        <v>X</v>
      </c>
      <c r="J14871" s="1" t="str">
        <f t="shared" si="3419"/>
        <v>X</v>
      </c>
      <c r="K14871" s="1" t="str">
        <f t="shared" si="3419"/>
        <v>X</v>
      </c>
      <c r="L14871" s="1" t="str">
        <f t="shared" si="3419"/>
        <v>X</v>
      </c>
      <c r="M14871" s="1" t="str">
        <f t="shared" si="3419"/>
        <v>X</v>
      </c>
      <c r="N14871" t="s">
        <v>27</v>
      </c>
    </row>
    <row r="14872" spans="1:14" x14ac:dyDescent="0.25">
      <c r="A14872" t="s">
        <v>45</v>
      </c>
      <c r="B14872" t="s">
        <v>39</v>
      </c>
      <c r="C14872" t="s">
        <v>38</v>
      </c>
      <c r="D14872" t="s">
        <v>34</v>
      </c>
      <c r="E14872" t="s">
        <v>26</v>
      </c>
      <c r="F14872" t="s">
        <v>15</v>
      </c>
      <c r="G14872" s="1" t="str">
        <f t="shared" si="3419"/>
        <v>X</v>
      </c>
      <c r="H14872" s="1" t="str">
        <f t="shared" si="3419"/>
        <v>X</v>
      </c>
      <c r="I14872" s="1" t="str">
        <f t="shared" si="3419"/>
        <v>X</v>
      </c>
      <c r="J14872" s="1" t="str">
        <f t="shared" si="3419"/>
        <v>X</v>
      </c>
      <c r="K14872" s="1" t="str">
        <f t="shared" si="3419"/>
        <v>X</v>
      </c>
      <c r="L14872" s="1" t="str">
        <f t="shared" si="3419"/>
        <v>X</v>
      </c>
      <c r="M14872" s="1" t="str">
        <f t="shared" si="3419"/>
        <v>X</v>
      </c>
      <c r="N14872" t="s">
        <v>27</v>
      </c>
    </row>
    <row r="14873" spans="1:14" x14ac:dyDescent="0.25">
      <c r="A14873" t="s">
        <v>45</v>
      </c>
      <c r="B14873" t="s">
        <v>39</v>
      </c>
      <c r="C14873" t="s">
        <v>38</v>
      </c>
      <c r="D14873" t="s">
        <v>34</v>
      </c>
      <c r="E14873" t="s">
        <v>26</v>
      </c>
      <c r="F14873" t="s">
        <v>17</v>
      </c>
      <c r="G14873" s="1" t="str">
        <f t="shared" ref="G14873:M14874" si="3420">"..."</f>
        <v>...</v>
      </c>
      <c r="H14873" s="1" t="str">
        <f t="shared" si="3420"/>
        <v>...</v>
      </c>
      <c r="I14873" s="1" t="str">
        <f t="shared" si="3420"/>
        <v>...</v>
      </c>
      <c r="J14873" s="1" t="str">
        <f t="shared" si="3420"/>
        <v>...</v>
      </c>
      <c r="K14873" s="1" t="str">
        <f t="shared" si="3420"/>
        <v>...</v>
      </c>
      <c r="L14873" s="1" t="str">
        <f t="shared" si="3420"/>
        <v>...</v>
      </c>
      <c r="M14873" s="1" t="str">
        <f t="shared" si="3420"/>
        <v>...</v>
      </c>
      <c r="N14873" t="s">
        <v>30</v>
      </c>
    </row>
    <row r="14874" spans="1:14" x14ac:dyDescent="0.25">
      <c r="A14874" t="s">
        <v>45</v>
      </c>
      <c r="B14874" t="s">
        <v>39</v>
      </c>
      <c r="C14874" t="s">
        <v>38</v>
      </c>
      <c r="D14874" t="s">
        <v>34</v>
      </c>
      <c r="E14874" t="s">
        <v>26</v>
      </c>
      <c r="F14874" t="s">
        <v>18</v>
      </c>
      <c r="G14874" s="1" t="str">
        <f t="shared" si="3420"/>
        <v>...</v>
      </c>
      <c r="H14874" s="1" t="str">
        <f t="shared" si="3420"/>
        <v>...</v>
      </c>
      <c r="I14874" s="1" t="str">
        <f t="shared" si="3420"/>
        <v>...</v>
      </c>
      <c r="J14874" s="1" t="str">
        <f t="shared" si="3420"/>
        <v>...</v>
      </c>
      <c r="K14874" s="1" t="str">
        <f t="shared" si="3420"/>
        <v>...</v>
      </c>
      <c r="L14874" s="1" t="str">
        <f t="shared" si="3420"/>
        <v>...</v>
      </c>
      <c r="M14874" s="1" t="str">
        <f t="shared" si="3420"/>
        <v>...</v>
      </c>
      <c r="N14874" t="s">
        <v>30</v>
      </c>
    </row>
    <row r="14875" spans="1:14" x14ac:dyDescent="0.25">
      <c r="A14875" t="s">
        <v>45</v>
      </c>
      <c r="B14875" t="s">
        <v>39</v>
      </c>
      <c r="C14875" t="s">
        <v>38</v>
      </c>
      <c r="D14875" t="s">
        <v>34</v>
      </c>
      <c r="E14875" t="s">
        <v>26</v>
      </c>
      <c r="F14875" t="s">
        <v>19</v>
      </c>
      <c r="G14875" s="1" t="str">
        <f t="shared" ref="G14875:M14876" si="3421">"X"</f>
        <v>X</v>
      </c>
      <c r="H14875" s="1" t="str">
        <f t="shared" si="3421"/>
        <v>X</v>
      </c>
      <c r="I14875" s="1" t="str">
        <f t="shared" si="3421"/>
        <v>X</v>
      </c>
      <c r="J14875" s="1" t="str">
        <f t="shared" si="3421"/>
        <v>X</v>
      </c>
      <c r="K14875" s="1" t="str">
        <f t="shared" si="3421"/>
        <v>X</v>
      </c>
      <c r="L14875" s="1" t="str">
        <f t="shared" si="3421"/>
        <v>X</v>
      </c>
      <c r="M14875" s="1" t="str">
        <f t="shared" si="3421"/>
        <v>X</v>
      </c>
      <c r="N14875" t="s">
        <v>27</v>
      </c>
    </row>
    <row r="14876" spans="1:14" x14ac:dyDescent="0.25">
      <c r="A14876" t="s">
        <v>45</v>
      </c>
      <c r="B14876" t="s">
        <v>39</v>
      </c>
      <c r="C14876" t="s">
        <v>38</v>
      </c>
      <c r="D14876" t="s">
        <v>34</v>
      </c>
      <c r="E14876" t="s">
        <v>26</v>
      </c>
      <c r="F14876" t="s">
        <v>20</v>
      </c>
      <c r="G14876" s="1" t="str">
        <f t="shared" si="3421"/>
        <v>X</v>
      </c>
      <c r="H14876" s="1" t="str">
        <f t="shared" si="3421"/>
        <v>X</v>
      </c>
      <c r="I14876" s="1" t="str">
        <f t="shared" si="3421"/>
        <v>X</v>
      </c>
      <c r="J14876" s="1" t="str">
        <f t="shared" si="3421"/>
        <v>X</v>
      </c>
      <c r="K14876" s="1" t="str">
        <f t="shared" si="3421"/>
        <v>X</v>
      </c>
      <c r="L14876" s="1" t="str">
        <f t="shared" si="3421"/>
        <v>X</v>
      </c>
      <c r="M14876" s="1" t="str">
        <f t="shared" si="3421"/>
        <v>X</v>
      </c>
      <c r="N14876" t="s">
        <v>27</v>
      </c>
    </row>
    <row r="14877" spans="1:14" x14ac:dyDescent="0.25">
      <c r="A14877" t="s">
        <v>45</v>
      </c>
      <c r="B14877" t="s">
        <v>40</v>
      </c>
      <c r="C14877" t="s">
        <v>15</v>
      </c>
      <c r="D14877" t="s">
        <v>15</v>
      </c>
      <c r="E14877" t="s">
        <v>15</v>
      </c>
      <c r="F14877" t="s">
        <v>15</v>
      </c>
      <c r="G14877" s="1">
        <f>VALUE(54076.04)</f>
        <v>54076.04</v>
      </c>
      <c r="H14877" s="1">
        <f>VALUE(41575.81)</f>
        <v>41575.81</v>
      </c>
      <c r="I14877" s="1">
        <f>VALUE(3178)</f>
        <v>3178</v>
      </c>
      <c r="J14877" s="1">
        <f>VALUE(3636)</f>
        <v>3636</v>
      </c>
      <c r="K14877" s="1">
        <f>VALUE(4541)</f>
        <v>4541</v>
      </c>
      <c r="L14877" s="1">
        <f>VALUE(5860)</f>
        <v>5860</v>
      </c>
      <c r="M14877" s="1">
        <f>VALUE(7735)</f>
        <v>7735</v>
      </c>
      <c r="N14877" t="s">
        <v>16</v>
      </c>
    </row>
    <row r="14878" spans="1:14" x14ac:dyDescent="0.25">
      <c r="A14878" t="s">
        <v>45</v>
      </c>
      <c r="B14878" t="s">
        <v>40</v>
      </c>
      <c r="C14878" t="s">
        <v>15</v>
      </c>
      <c r="D14878" t="s">
        <v>15</v>
      </c>
      <c r="E14878" t="s">
        <v>15</v>
      </c>
      <c r="F14878" t="s">
        <v>17</v>
      </c>
      <c r="G14878" s="2">
        <f>VALUE(5403.78)</f>
        <v>5403.78</v>
      </c>
      <c r="H14878" s="3">
        <f>VALUE(4586.09)</f>
        <v>4586.09</v>
      </c>
      <c r="I14878" s="1">
        <f>VALUE(3714)</f>
        <v>3714</v>
      </c>
      <c r="J14878" s="1">
        <f>VALUE(4658)</f>
        <v>4658</v>
      </c>
      <c r="K14878" s="1">
        <f>VALUE(6525)</f>
        <v>6525</v>
      </c>
      <c r="L14878" s="7">
        <f>VALUE(8924)</f>
        <v>8924</v>
      </c>
      <c r="M14878" s="8">
        <f>VALUE(13971)</f>
        <v>13971</v>
      </c>
      <c r="N14878" t="s">
        <v>25</v>
      </c>
    </row>
    <row r="14879" spans="1:14" x14ac:dyDescent="0.25">
      <c r="A14879" t="s">
        <v>45</v>
      </c>
      <c r="B14879" t="s">
        <v>40</v>
      </c>
      <c r="C14879" t="s">
        <v>15</v>
      </c>
      <c r="D14879" t="s">
        <v>15</v>
      </c>
      <c r="E14879" t="s">
        <v>15</v>
      </c>
      <c r="F14879" t="s">
        <v>18</v>
      </c>
      <c r="G14879" s="2">
        <f>VALUE(4695.92)</f>
        <v>4695.92</v>
      </c>
      <c r="H14879" s="1">
        <f>VALUE(3606.12)</f>
        <v>3606.12</v>
      </c>
      <c r="I14879" s="1">
        <f>VALUE(3937)</f>
        <v>3937</v>
      </c>
      <c r="J14879" s="1">
        <f>VALUE(4522)</f>
        <v>4522</v>
      </c>
      <c r="K14879" s="1">
        <f>VALUE(5753)</f>
        <v>5753</v>
      </c>
      <c r="L14879" s="1">
        <f>VALUE(7555)</f>
        <v>7555</v>
      </c>
      <c r="M14879" s="8">
        <f>VALUE(9764)</f>
        <v>9764</v>
      </c>
      <c r="N14879" t="s">
        <v>25</v>
      </c>
    </row>
    <row r="14880" spans="1:14" x14ac:dyDescent="0.25">
      <c r="A14880" t="s">
        <v>45</v>
      </c>
      <c r="B14880" t="s">
        <v>40</v>
      </c>
      <c r="C14880" t="s">
        <v>15</v>
      </c>
      <c r="D14880" t="s">
        <v>15</v>
      </c>
      <c r="E14880" t="s">
        <v>15</v>
      </c>
      <c r="F14880" t="s">
        <v>19</v>
      </c>
      <c r="G14880" s="1">
        <f>VALUE(5030.16)</f>
        <v>5030.16</v>
      </c>
      <c r="H14880" s="1">
        <f>VALUE(4226.31)</f>
        <v>4226.3100000000004</v>
      </c>
      <c r="I14880" s="1">
        <f>VALUE(3625)</f>
        <v>3625</v>
      </c>
      <c r="J14880" s="1">
        <f>VALUE(4286)</f>
        <v>4286</v>
      </c>
      <c r="K14880" s="1">
        <f>VALUE(5162)</f>
        <v>5162</v>
      </c>
      <c r="L14880" s="1">
        <f>VALUE(6493)</f>
        <v>6493</v>
      </c>
      <c r="M14880" s="1">
        <f>VALUE(7811)</f>
        <v>7811</v>
      </c>
      <c r="N14880" t="s">
        <v>16</v>
      </c>
    </row>
    <row r="14881" spans="1:14" x14ac:dyDescent="0.25">
      <c r="A14881" t="s">
        <v>45</v>
      </c>
      <c r="B14881" t="s">
        <v>40</v>
      </c>
      <c r="C14881" t="s">
        <v>15</v>
      </c>
      <c r="D14881" t="s">
        <v>15</v>
      </c>
      <c r="E14881" t="s">
        <v>15</v>
      </c>
      <c r="F14881" t="s">
        <v>20</v>
      </c>
      <c r="G14881" s="1">
        <f>VALUE(38946.18)</f>
        <v>38946.18</v>
      </c>
      <c r="H14881" s="1">
        <f>VALUE(29157.29)</f>
        <v>29157.29</v>
      </c>
      <c r="I14881" s="1">
        <f>VALUE(3051)</f>
        <v>3051</v>
      </c>
      <c r="J14881" s="1">
        <f>VALUE(3500)</f>
        <v>3500</v>
      </c>
      <c r="K14881" s="1">
        <f>VALUE(4171)</f>
        <v>4171</v>
      </c>
      <c r="L14881" s="1">
        <f>VALUE(5283)</f>
        <v>5283</v>
      </c>
      <c r="M14881" s="1">
        <f>VALUE(6509)</f>
        <v>6509</v>
      </c>
      <c r="N14881" t="s">
        <v>16</v>
      </c>
    </row>
    <row r="14882" spans="1:14" x14ac:dyDescent="0.25">
      <c r="A14882" t="s">
        <v>45</v>
      </c>
      <c r="B14882" t="s">
        <v>40</v>
      </c>
      <c r="C14882" t="s">
        <v>15</v>
      </c>
      <c r="D14882" t="s">
        <v>15</v>
      </c>
      <c r="E14882" t="s">
        <v>21</v>
      </c>
      <c r="F14882" t="s">
        <v>15</v>
      </c>
      <c r="G14882" s="1">
        <f>VALUE(14747.05)</f>
        <v>14747.05</v>
      </c>
      <c r="H14882" s="1">
        <f>VALUE(11902.34)</f>
        <v>11902.34</v>
      </c>
      <c r="I14882" s="1">
        <f>VALUE(3563)</f>
        <v>3563</v>
      </c>
      <c r="J14882" s="1">
        <f>VALUE(4429)</f>
        <v>4429</v>
      </c>
      <c r="K14882" s="1">
        <f>VALUE(5605)</f>
        <v>5605</v>
      </c>
      <c r="L14882" s="1">
        <f>VALUE(7448)</f>
        <v>7448</v>
      </c>
      <c r="M14882" s="1">
        <f>VALUE(9830)</f>
        <v>9830</v>
      </c>
      <c r="N14882" t="s">
        <v>16</v>
      </c>
    </row>
    <row r="14883" spans="1:14" x14ac:dyDescent="0.25">
      <c r="A14883" t="s">
        <v>45</v>
      </c>
      <c r="B14883" t="s">
        <v>40</v>
      </c>
      <c r="C14883" t="s">
        <v>15</v>
      </c>
      <c r="D14883" t="s">
        <v>15</v>
      </c>
      <c r="E14883" t="s">
        <v>21</v>
      </c>
      <c r="F14883" t="s">
        <v>17</v>
      </c>
      <c r="G14883" s="2">
        <f>VALUE(3247.54)</f>
        <v>3247.54</v>
      </c>
      <c r="H14883" s="3">
        <f>VALUE(2750.84)</f>
        <v>2750.84</v>
      </c>
      <c r="I14883" s="4">
        <f>VALUE(4088)</f>
        <v>4088</v>
      </c>
      <c r="J14883" s="5">
        <f>VALUE(5344)</f>
        <v>5344</v>
      </c>
      <c r="K14883" s="1">
        <f>VALUE(7362)</f>
        <v>7362</v>
      </c>
      <c r="L14883" s="7">
        <f>VALUE(9601)</f>
        <v>9601</v>
      </c>
      <c r="M14883" s="8">
        <f>VALUE(14558)</f>
        <v>14558</v>
      </c>
      <c r="N14883" t="s">
        <v>25</v>
      </c>
    </row>
    <row r="14884" spans="1:14" x14ac:dyDescent="0.25">
      <c r="A14884" t="s">
        <v>45</v>
      </c>
      <c r="B14884" t="s">
        <v>40</v>
      </c>
      <c r="C14884" t="s">
        <v>15</v>
      </c>
      <c r="D14884" t="s">
        <v>15</v>
      </c>
      <c r="E14884" t="s">
        <v>21</v>
      </c>
      <c r="F14884" t="s">
        <v>18</v>
      </c>
      <c r="G14884" s="2">
        <f>VALUE(2108.57)</f>
        <v>2108.5700000000002</v>
      </c>
      <c r="H14884" s="3">
        <f>VALUE(1684.51)</f>
        <v>1684.51</v>
      </c>
      <c r="I14884" s="1">
        <f>VALUE(4292)</f>
        <v>4292</v>
      </c>
      <c r="J14884" s="1">
        <f>VALUE(5098)</f>
        <v>5098</v>
      </c>
      <c r="K14884" s="1">
        <f>VALUE(6519)</f>
        <v>6519</v>
      </c>
      <c r="L14884" s="7">
        <f>VALUE(8522)</f>
        <v>8522</v>
      </c>
      <c r="M14884" s="1">
        <f>VALUE(10246)</f>
        <v>10246</v>
      </c>
      <c r="N14884" t="s">
        <v>25</v>
      </c>
    </row>
    <row r="14885" spans="1:14" x14ac:dyDescent="0.25">
      <c r="A14885" t="s">
        <v>45</v>
      </c>
      <c r="B14885" t="s">
        <v>40</v>
      </c>
      <c r="C14885" t="s">
        <v>15</v>
      </c>
      <c r="D14885" t="s">
        <v>15</v>
      </c>
      <c r="E14885" t="s">
        <v>21</v>
      </c>
      <c r="F14885" t="s">
        <v>19</v>
      </c>
      <c r="G14885" s="1">
        <f>VALUE(1730.55)</f>
        <v>1730.55</v>
      </c>
      <c r="H14885" s="1">
        <f>VALUE(1416.83)</f>
        <v>1416.83</v>
      </c>
      <c r="I14885" s="1">
        <f>VALUE(3734)</f>
        <v>3734</v>
      </c>
      <c r="J14885" s="1">
        <f>VALUE(4494)</f>
        <v>4494</v>
      </c>
      <c r="K14885" s="1">
        <f>VALUE(5739)</f>
        <v>5739</v>
      </c>
      <c r="L14885" s="1">
        <f>VALUE(7367)</f>
        <v>7367</v>
      </c>
      <c r="M14885" s="1">
        <f>VALUE(8736)</f>
        <v>8736</v>
      </c>
      <c r="N14885" t="s">
        <v>16</v>
      </c>
    </row>
    <row r="14886" spans="1:14" x14ac:dyDescent="0.25">
      <c r="A14886" t="s">
        <v>45</v>
      </c>
      <c r="B14886" t="s">
        <v>40</v>
      </c>
      <c r="C14886" t="s">
        <v>15</v>
      </c>
      <c r="D14886" t="s">
        <v>15</v>
      </c>
      <c r="E14886" t="s">
        <v>21</v>
      </c>
      <c r="F14886" t="s">
        <v>20</v>
      </c>
      <c r="G14886" s="1">
        <f>VALUE(7660.39)</f>
        <v>7660.39</v>
      </c>
      <c r="H14886" s="1">
        <f>VALUE(6050.16)</f>
        <v>6050.16</v>
      </c>
      <c r="I14886" s="1">
        <f>VALUE(3400)</f>
        <v>3400</v>
      </c>
      <c r="J14886" s="1">
        <f>VALUE(4024)</f>
        <v>4024</v>
      </c>
      <c r="K14886" s="1">
        <f>VALUE(5119)</f>
        <v>5119</v>
      </c>
      <c r="L14886" s="1">
        <f>VALUE(6208)</f>
        <v>6208</v>
      </c>
      <c r="M14886" s="1">
        <f>VALUE(7768)</f>
        <v>7768</v>
      </c>
      <c r="N14886" t="s">
        <v>16</v>
      </c>
    </row>
    <row r="14887" spans="1:14" x14ac:dyDescent="0.25">
      <c r="A14887" t="s">
        <v>45</v>
      </c>
      <c r="B14887" t="s">
        <v>40</v>
      </c>
      <c r="C14887" t="s">
        <v>15</v>
      </c>
      <c r="D14887" t="s">
        <v>15</v>
      </c>
      <c r="E14887" t="s">
        <v>22</v>
      </c>
      <c r="F14887" t="s">
        <v>15</v>
      </c>
      <c r="G14887" s="1">
        <f>VALUE(22526)</f>
        <v>22526</v>
      </c>
      <c r="H14887" s="1">
        <f>VALUE(17521.98)</f>
        <v>17521.98</v>
      </c>
      <c r="I14887" s="1">
        <f>VALUE(3413)</f>
        <v>3413</v>
      </c>
      <c r="J14887" s="1">
        <f>VALUE(4000)</f>
        <v>4000</v>
      </c>
      <c r="K14887" s="1">
        <f>VALUE(4806)</f>
        <v>4806</v>
      </c>
      <c r="L14887" s="1">
        <f>VALUE(5916)</f>
        <v>5916</v>
      </c>
      <c r="M14887" s="1">
        <f>VALUE(7258)</f>
        <v>7258</v>
      </c>
      <c r="N14887" t="s">
        <v>16</v>
      </c>
    </row>
    <row r="14888" spans="1:14" x14ac:dyDescent="0.25">
      <c r="A14888" t="s">
        <v>45</v>
      </c>
      <c r="B14888" t="s">
        <v>40</v>
      </c>
      <c r="C14888" t="s">
        <v>15</v>
      </c>
      <c r="D14888" t="s">
        <v>15</v>
      </c>
      <c r="E14888" t="s">
        <v>22</v>
      </c>
      <c r="F14888" t="s">
        <v>17</v>
      </c>
      <c r="G14888" s="2">
        <f>VALUE(1947.88)</f>
        <v>1947.88</v>
      </c>
      <c r="H14888" s="3">
        <f>VALUE(1632.17)</f>
        <v>1632.17</v>
      </c>
      <c r="I14888" s="1">
        <f>VALUE(3504)</f>
        <v>3504</v>
      </c>
      <c r="J14888" s="5">
        <f>VALUE(4282)</f>
        <v>4282</v>
      </c>
      <c r="K14888" s="1">
        <f>VALUE(5542)</f>
        <v>5542</v>
      </c>
      <c r="L14888" s="1">
        <f>VALUE(8091)</f>
        <v>8091</v>
      </c>
      <c r="M14888" s="1">
        <f>VALUE(11880)</f>
        <v>11880</v>
      </c>
      <c r="N14888" t="s">
        <v>25</v>
      </c>
    </row>
    <row r="14889" spans="1:14" x14ac:dyDescent="0.25">
      <c r="A14889" t="s">
        <v>45</v>
      </c>
      <c r="B14889" t="s">
        <v>40</v>
      </c>
      <c r="C14889" t="s">
        <v>15</v>
      </c>
      <c r="D14889" t="s">
        <v>15</v>
      </c>
      <c r="E14889" t="s">
        <v>22</v>
      </c>
      <c r="F14889" t="s">
        <v>18</v>
      </c>
      <c r="G14889" s="2">
        <f>VALUE(2116.87)</f>
        <v>2116.87</v>
      </c>
      <c r="H14889" s="3">
        <f>VALUE(1607.25)</f>
        <v>1607.25</v>
      </c>
      <c r="I14889" s="1">
        <f>VALUE(3792)</f>
        <v>3792</v>
      </c>
      <c r="J14889" s="1">
        <f>VALUE(4174)</f>
        <v>4174</v>
      </c>
      <c r="K14889" s="1">
        <f>VALUE(5439)</f>
        <v>5439</v>
      </c>
      <c r="L14889" s="1">
        <f>VALUE(6904)</f>
        <v>6904</v>
      </c>
      <c r="M14889" s="8">
        <f>VALUE(8224)</f>
        <v>8224</v>
      </c>
      <c r="N14889" t="s">
        <v>25</v>
      </c>
    </row>
    <row r="14890" spans="1:14" x14ac:dyDescent="0.25">
      <c r="A14890" t="s">
        <v>45</v>
      </c>
      <c r="B14890" t="s">
        <v>40</v>
      </c>
      <c r="C14890" t="s">
        <v>15</v>
      </c>
      <c r="D14890" t="s">
        <v>15</v>
      </c>
      <c r="E14890" t="s">
        <v>22</v>
      </c>
      <c r="F14890" t="s">
        <v>19</v>
      </c>
      <c r="G14890" s="1">
        <f>VALUE(2608.63)</f>
        <v>2608.63</v>
      </c>
      <c r="H14890" s="3">
        <f>VALUE(2206.34)</f>
        <v>2206.34</v>
      </c>
      <c r="I14890" s="1">
        <f>VALUE(3707)</f>
        <v>3707</v>
      </c>
      <c r="J14890" s="1">
        <f>VALUE(4337)</f>
        <v>4337</v>
      </c>
      <c r="K14890" s="1">
        <f>VALUE(5200)</f>
        <v>5200</v>
      </c>
      <c r="L14890" s="1">
        <f>VALUE(6229)</f>
        <v>6229</v>
      </c>
      <c r="M14890" s="1">
        <f>VALUE(7236)</f>
        <v>7236</v>
      </c>
      <c r="N14890" t="s">
        <v>25</v>
      </c>
    </row>
    <row r="14891" spans="1:14" x14ac:dyDescent="0.25">
      <c r="A14891" t="s">
        <v>45</v>
      </c>
      <c r="B14891" t="s">
        <v>40</v>
      </c>
      <c r="C14891" t="s">
        <v>15</v>
      </c>
      <c r="D14891" t="s">
        <v>15</v>
      </c>
      <c r="E14891" t="s">
        <v>22</v>
      </c>
      <c r="F14891" t="s">
        <v>20</v>
      </c>
      <c r="G14891" s="1">
        <f>VALUE(15852.62)</f>
        <v>15852.62</v>
      </c>
      <c r="H14891" s="1">
        <f>VALUE(12076.22)</f>
        <v>12076.22</v>
      </c>
      <c r="I14891" s="1">
        <f>VALUE(3360)</f>
        <v>3360</v>
      </c>
      <c r="J14891" s="1">
        <f>VALUE(3852)</f>
        <v>3852</v>
      </c>
      <c r="K14891" s="1">
        <f>VALUE(4640)</f>
        <v>4640</v>
      </c>
      <c r="L14891" s="1">
        <f>VALUE(5629)</f>
        <v>5629</v>
      </c>
      <c r="M14891" s="1">
        <f>VALUE(6714)</f>
        <v>6714</v>
      </c>
      <c r="N14891" t="s">
        <v>16</v>
      </c>
    </row>
    <row r="14892" spans="1:14" x14ac:dyDescent="0.25">
      <c r="A14892" t="s">
        <v>45</v>
      </c>
      <c r="B14892" t="s">
        <v>40</v>
      </c>
      <c r="C14892" t="s">
        <v>15</v>
      </c>
      <c r="D14892" t="s">
        <v>15</v>
      </c>
      <c r="E14892" t="s">
        <v>23</v>
      </c>
      <c r="F14892" t="s">
        <v>15</v>
      </c>
      <c r="G14892" s="1">
        <f>VALUE(16328.08)</f>
        <v>16328.08</v>
      </c>
      <c r="H14892" s="1">
        <f>VALUE(11836.26)</f>
        <v>11836.26</v>
      </c>
      <c r="I14892" s="1">
        <f>VALUE(2903)</f>
        <v>2903</v>
      </c>
      <c r="J14892" s="1">
        <f>VALUE(3237)</f>
        <v>3237</v>
      </c>
      <c r="K14892" s="1">
        <f>VALUE(3600)</f>
        <v>3600</v>
      </c>
      <c r="L14892" s="1">
        <f>VALUE(4190)</f>
        <v>4190</v>
      </c>
      <c r="M14892" s="1">
        <f>VALUE(4861)</f>
        <v>4861</v>
      </c>
      <c r="N14892" t="s">
        <v>16</v>
      </c>
    </row>
    <row r="14893" spans="1:14" x14ac:dyDescent="0.25">
      <c r="A14893" t="s">
        <v>45</v>
      </c>
      <c r="B14893" t="s">
        <v>40</v>
      </c>
      <c r="C14893" t="s">
        <v>15</v>
      </c>
      <c r="D14893" t="s">
        <v>15</v>
      </c>
      <c r="E14893" t="s">
        <v>23</v>
      </c>
      <c r="F14893" t="s">
        <v>17</v>
      </c>
      <c r="G14893" s="1" t="str">
        <f t="shared" ref="G14893:M14893" si="3422">"X"</f>
        <v>X</v>
      </c>
      <c r="H14893" s="1" t="str">
        <f t="shared" si="3422"/>
        <v>X</v>
      </c>
      <c r="I14893" s="1" t="str">
        <f t="shared" si="3422"/>
        <v>X</v>
      </c>
      <c r="J14893" s="1" t="str">
        <f t="shared" si="3422"/>
        <v>X</v>
      </c>
      <c r="K14893" s="1" t="str">
        <f t="shared" si="3422"/>
        <v>X</v>
      </c>
      <c r="L14893" s="1" t="str">
        <f t="shared" si="3422"/>
        <v>X</v>
      </c>
      <c r="M14893" s="1" t="str">
        <f t="shared" si="3422"/>
        <v>X</v>
      </c>
      <c r="N14893" t="s">
        <v>27</v>
      </c>
    </row>
    <row r="14894" spans="1:14" x14ac:dyDescent="0.25">
      <c r="A14894" t="s">
        <v>45</v>
      </c>
      <c r="B14894" t="s">
        <v>40</v>
      </c>
      <c r="C14894" t="s">
        <v>15</v>
      </c>
      <c r="D14894" t="s">
        <v>15</v>
      </c>
      <c r="E14894" t="s">
        <v>23</v>
      </c>
      <c r="F14894" t="s">
        <v>18</v>
      </c>
      <c r="G14894" s="2">
        <f>VALUE(445.49)</f>
        <v>445.49</v>
      </c>
      <c r="H14894" s="3">
        <f>VALUE(305.64)</f>
        <v>305.64</v>
      </c>
      <c r="I14894" s="4">
        <f>VALUE(3333)</f>
        <v>3333</v>
      </c>
      <c r="J14894" s="1">
        <f>VALUE(4017)</f>
        <v>4017</v>
      </c>
      <c r="K14894" s="1">
        <f>VALUE(4213)</f>
        <v>4213</v>
      </c>
      <c r="L14894" s="1">
        <f>VALUE(4976)</f>
        <v>4976</v>
      </c>
      <c r="M14894" s="8">
        <f>VALUE(5747)</f>
        <v>5747</v>
      </c>
      <c r="N14894" t="s">
        <v>25</v>
      </c>
    </row>
    <row r="14895" spans="1:14" x14ac:dyDescent="0.25">
      <c r="A14895" t="s">
        <v>45</v>
      </c>
      <c r="B14895" t="s">
        <v>40</v>
      </c>
      <c r="C14895" t="s">
        <v>15</v>
      </c>
      <c r="D14895" t="s">
        <v>15</v>
      </c>
      <c r="E14895" t="s">
        <v>23</v>
      </c>
      <c r="F14895" t="s">
        <v>19</v>
      </c>
      <c r="G14895" s="2">
        <f>VALUE(671.4)</f>
        <v>671.4</v>
      </c>
      <c r="H14895" s="3">
        <f>VALUE(585.27)</f>
        <v>585.27</v>
      </c>
      <c r="I14895" s="1">
        <f>VALUE(3467)</f>
        <v>3467</v>
      </c>
      <c r="J14895" s="1">
        <f>VALUE(3777)</f>
        <v>3777</v>
      </c>
      <c r="K14895" s="1">
        <f>VALUE(4401)</f>
        <v>4401</v>
      </c>
      <c r="L14895" s="1">
        <f>VALUE(4929)</f>
        <v>4929</v>
      </c>
      <c r="M14895" s="8">
        <f>VALUE(6013)</f>
        <v>6013</v>
      </c>
      <c r="N14895" t="s">
        <v>25</v>
      </c>
    </row>
    <row r="14896" spans="1:14" x14ac:dyDescent="0.25">
      <c r="A14896" t="s">
        <v>45</v>
      </c>
      <c r="B14896" t="s">
        <v>40</v>
      </c>
      <c r="C14896" t="s">
        <v>15</v>
      </c>
      <c r="D14896" t="s">
        <v>15</v>
      </c>
      <c r="E14896" t="s">
        <v>23</v>
      </c>
      <c r="F14896" t="s">
        <v>20</v>
      </c>
      <c r="G14896" s="1">
        <f>VALUE(15019.86)</f>
        <v>15019.86</v>
      </c>
      <c r="H14896" s="1">
        <f>VALUE(10761.29)</f>
        <v>10761.29</v>
      </c>
      <c r="I14896" s="1">
        <f>VALUE(2879)</f>
        <v>2879</v>
      </c>
      <c r="J14896" s="1">
        <f>VALUE(3205)</f>
        <v>3205</v>
      </c>
      <c r="K14896" s="1">
        <f>VALUE(3549)</f>
        <v>3549</v>
      </c>
      <c r="L14896" s="1">
        <f>VALUE(4092)</f>
        <v>4092</v>
      </c>
      <c r="M14896" s="1">
        <f>VALUE(4722)</f>
        <v>4722</v>
      </c>
      <c r="N14896" t="s">
        <v>16</v>
      </c>
    </row>
    <row r="14897" spans="1:14" x14ac:dyDescent="0.25">
      <c r="A14897" t="s">
        <v>45</v>
      </c>
      <c r="B14897" t="s">
        <v>40</v>
      </c>
      <c r="C14897" t="s">
        <v>15</v>
      </c>
      <c r="D14897" t="s">
        <v>15</v>
      </c>
      <c r="E14897" t="s">
        <v>26</v>
      </c>
      <c r="F14897" t="s">
        <v>15</v>
      </c>
      <c r="G14897" s="2">
        <f>VALUE(474.91)</f>
        <v>474.91</v>
      </c>
      <c r="H14897" s="3">
        <f>VALUE(315.23)</f>
        <v>315.23</v>
      </c>
      <c r="I14897" s="4">
        <f>VALUE(3111)</f>
        <v>3111</v>
      </c>
      <c r="J14897" s="5">
        <f>VALUE(3289)</f>
        <v>3289</v>
      </c>
      <c r="K14897" s="1">
        <f>VALUE(3769)</f>
        <v>3769</v>
      </c>
      <c r="L14897" s="7">
        <f>VALUE(5600)</f>
        <v>5600</v>
      </c>
      <c r="M14897" s="1">
        <f>VALUE(7860)</f>
        <v>7860</v>
      </c>
      <c r="N14897" t="s">
        <v>25</v>
      </c>
    </row>
    <row r="14898" spans="1:14" x14ac:dyDescent="0.25">
      <c r="A14898" t="s">
        <v>45</v>
      </c>
      <c r="B14898" t="s">
        <v>40</v>
      </c>
      <c r="C14898" t="s">
        <v>15</v>
      </c>
      <c r="D14898" t="s">
        <v>15</v>
      </c>
      <c r="E14898" t="s">
        <v>26</v>
      </c>
      <c r="F14898" t="s">
        <v>17</v>
      </c>
      <c r="G14898" s="1" t="str">
        <f t="shared" ref="G14898:M14900" si="3423">"X"</f>
        <v>X</v>
      </c>
      <c r="H14898" s="1" t="str">
        <f t="shared" si="3423"/>
        <v>X</v>
      </c>
      <c r="I14898" s="1" t="str">
        <f t="shared" si="3423"/>
        <v>X</v>
      </c>
      <c r="J14898" s="1" t="str">
        <f t="shared" si="3423"/>
        <v>X</v>
      </c>
      <c r="K14898" s="1" t="str">
        <f t="shared" si="3423"/>
        <v>X</v>
      </c>
      <c r="L14898" s="1" t="str">
        <f t="shared" si="3423"/>
        <v>X</v>
      </c>
      <c r="M14898" s="1" t="str">
        <f t="shared" si="3423"/>
        <v>X</v>
      </c>
      <c r="N14898" t="s">
        <v>27</v>
      </c>
    </row>
    <row r="14899" spans="1:14" x14ac:dyDescent="0.25">
      <c r="A14899" t="s">
        <v>45</v>
      </c>
      <c r="B14899" t="s">
        <v>40</v>
      </c>
      <c r="C14899" t="s">
        <v>15</v>
      </c>
      <c r="D14899" t="s">
        <v>15</v>
      </c>
      <c r="E14899" t="s">
        <v>26</v>
      </c>
      <c r="F14899" t="s">
        <v>18</v>
      </c>
      <c r="G14899" s="1" t="str">
        <f t="shared" si="3423"/>
        <v>X</v>
      </c>
      <c r="H14899" s="1" t="str">
        <f t="shared" si="3423"/>
        <v>X</v>
      </c>
      <c r="I14899" s="1" t="str">
        <f t="shared" si="3423"/>
        <v>X</v>
      </c>
      <c r="J14899" s="1" t="str">
        <f t="shared" si="3423"/>
        <v>X</v>
      </c>
      <c r="K14899" s="1" t="str">
        <f t="shared" si="3423"/>
        <v>X</v>
      </c>
      <c r="L14899" s="1" t="str">
        <f t="shared" si="3423"/>
        <v>X</v>
      </c>
      <c r="M14899" s="1" t="str">
        <f t="shared" si="3423"/>
        <v>X</v>
      </c>
      <c r="N14899" t="s">
        <v>27</v>
      </c>
    </row>
    <row r="14900" spans="1:14" x14ac:dyDescent="0.25">
      <c r="A14900" t="s">
        <v>45</v>
      </c>
      <c r="B14900" t="s">
        <v>40</v>
      </c>
      <c r="C14900" t="s">
        <v>15</v>
      </c>
      <c r="D14900" t="s">
        <v>15</v>
      </c>
      <c r="E14900" t="s">
        <v>26</v>
      </c>
      <c r="F14900" t="s">
        <v>19</v>
      </c>
      <c r="G14900" s="1" t="str">
        <f t="shared" si="3423"/>
        <v>X</v>
      </c>
      <c r="H14900" s="1" t="str">
        <f t="shared" si="3423"/>
        <v>X</v>
      </c>
      <c r="I14900" s="1" t="str">
        <f t="shared" si="3423"/>
        <v>X</v>
      </c>
      <c r="J14900" s="1" t="str">
        <f t="shared" si="3423"/>
        <v>X</v>
      </c>
      <c r="K14900" s="1" t="str">
        <f t="shared" si="3423"/>
        <v>X</v>
      </c>
      <c r="L14900" s="1" t="str">
        <f t="shared" si="3423"/>
        <v>X</v>
      </c>
      <c r="M14900" s="1" t="str">
        <f t="shared" si="3423"/>
        <v>X</v>
      </c>
      <c r="N14900" t="s">
        <v>27</v>
      </c>
    </row>
    <row r="14901" spans="1:14" x14ac:dyDescent="0.25">
      <c r="A14901" t="s">
        <v>45</v>
      </c>
      <c r="B14901" t="s">
        <v>40</v>
      </c>
      <c r="C14901" t="s">
        <v>15</v>
      </c>
      <c r="D14901" t="s">
        <v>15</v>
      </c>
      <c r="E14901" t="s">
        <v>26</v>
      </c>
      <c r="F14901" t="s">
        <v>20</v>
      </c>
      <c r="G14901" s="2">
        <f>VALUE(413.31)</f>
        <v>413.31</v>
      </c>
      <c r="H14901" s="3">
        <f>VALUE(269.62)</f>
        <v>269.62</v>
      </c>
      <c r="I14901" s="4">
        <f>VALUE(3207)</f>
        <v>3207</v>
      </c>
      <c r="J14901" s="5">
        <f>VALUE(3371)</f>
        <v>3371</v>
      </c>
      <c r="K14901" s="6">
        <f>VALUE(3769)</f>
        <v>3769</v>
      </c>
      <c r="L14901" s="7">
        <f>VALUE(5682)</f>
        <v>5682</v>
      </c>
      <c r="M14901" s="1">
        <f>VALUE(7860)</f>
        <v>7860</v>
      </c>
      <c r="N14901" t="s">
        <v>25</v>
      </c>
    </row>
    <row r="14902" spans="1:14" x14ac:dyDescent="0.25">
      <c r="A14902" t="s">
        <v>45</v>
      </c>
      <c r="B14902" t="s">
        <v>40</v>
      </c>
      <c r="C14902" t="s">
        <v>15</v>
      </c>
      <c r="D14902" t="s">
        <v>28</v>
      </c>
      <c r="E14902" t="s">
        <v>15</v>
      </c>
      <c r="F14902" t="s">
        <v>15</v>
      </c>
      <c r="G14902" s="1">
        <f>VALUE(23705.22)</f>
        <v>23705.22</v>
      </c>
      <c r="H14902" s="1">
        <f>VALUE(17171.66)</f>
        <v>17171.66</v>
      </c>
      <c r="I14902" s="1">
        <f>VALUE(3700)</f>
        <v>3700</v>
      </c>
      <c r="J14902" s="1">
        <f>VALUE(4312)</f>
        <v>4312</v>
      </c>
      <c r="K14902" s="1">
        <f>VALUE(5290)</f>
        <v>5290</v>
      </c>
      <c r="L14902" s="1">
        <f>VALUE(6628)</f>
        <v>6628</v>
      </c>
      <c r="M14902" s="1">
        <f>VALUE(8288)</f>
        <v>8288</v>
      </c>
      <c r="N14902" t="s">
        <v>16</v>
      </c>
    </row>
    <row r="14903" spans="1:14" x14ac:dyDescent="0.25">
      <c r="A14903" t="s">
        <v>45</v>
      </c>
      <c r="B14903" t="s">
        <v>40</v>
      </c>
      <c r="C14903" t="s">
        <v>15</v>
      </c>
      <c r="D14903" t="s">
        <v>28</v>
      </c>
      <c r="E14903" t="s">
        <v>15</v>
      </c>
      <c r="F14903" t="s">
        <v>17</v>
      </c>
      <c r="G14903" s="2">
        <f>VALUE(3394.81)</f>
        <v>3394.81</v>
      </c>
      <c r="H14903" s="3">
        <f>VALUE(2785.27)</f>
        <v>2785.27</v>
      </c>
      <c r="I14903" s="1">
        <f>VALUE(3644)</f>
        <v>3644</v>
      </c>
      <c r="J14903" s="5">
        <f>VALUE(4651)</f>
        <v>4651</v>
      </c>
      <c r="K14903" s="6">
        <f>VALUE(6550)</f>
        <v>6550</v>
      </c>
      <c r="L14903" s="7">
        <f>VALUE(8479)</f>
        <v>8479</v>
      </c>
      <c r="M14903" s="1">
        <f>VALUE(13000)</f>
        <v>13000</v>
      </c>
      <c r="N14903" t="s">
        <v>25</v>
      </c>
    </row>
    <row r="14904" spans="1:14" x14ac:dyDescent="0.25">
      <c r="A14904" t="s">
        <v>45</v>
      </c>
      <c r="B14904" t="s">
        <v>40</v>
      </c>
      <c r="C14904" t="s">
        <v>15</v>
      </c>
      <c r="D14904" t="s">
        <v>28</v>
      </c>
      <c r="E14904" t="s">
        <v>15</v>
      </c>
      <c r="F14904" t="s">
        <v>18</v>
      </c>
      <c r="G14904" s="2">
        <f>VALUE(2678.13)</f>
        <v>2678.13</v>
      </c>
      <c r="H14904" s="3">
        <f>VALUE(1922.01)</f>
        <v>1922.01</v>
      </c>
      <c r="I14904" s="1">
        <f>VALUE(4078)</f>
        <v>4078</v>
      </c>
      <c r="J14904" s="1">
        <f>VALUE(4653)</f>
        <v>4653</v>
      </c>
      <c r="K14904" s="1">
        <f>VALUE(6181)</f>
        <v>6181</v>
      </c>
      <c r="L14904" s="1">
        <f>VALUE(7858)</f>
        <v>7858</v>
      </c>
      <c r="M14904" s="8">
        <f>VALUE(9930)</f>
        <v>9930</v>
      </c>
      <c r="N14904" t="s">
        <v>25</v>
      </c>
    </row>
    <row r="14905" spans="1:14" x14ac:dyDescent="0.25">
      <c r="A14905" t="s">
        <v>45</v>
      </c>
      <c r="B14905" t="s">
        <v>40</v>
      </c>
      <c r="C14905" t="s">
        <v>15</v>
      </c>
      <c r="D14905" t="s">
        <v>28</v>
      </c>
      <c r="E14905" t="s">
        <v>15</v>
      </c>
      <c r="F14905" t="s">
        <v>19</v>
      </c>
      <c r="G14905" s="1">
        <f>VALUE(2626.44)</f>
        <v>2626.44</v>
      </c>
      <c r="H14905" s="1">
        <f>VALUE(2102.41)</f>
        <v>2102.41</v>
      </c>
      <c r="I14905" s="1">
        <f>VALUE(3900)</f>
        <v>3900</v>
      </c>
      <c r="J14905" s="1">
        <f>VALUE(4642)</f>
        <v>4642</v>
      </c>
      <c r="K14905" s="1">
        <f>VALUE(5662)</f>
        <v>5662</v>
      </c>
      <c r="L14905" s="1">
        <f>VALUE(6667)</f>
        <v>6667</v>
      </c>
      <c r="M14905" s="1">
        <f>VALUE(8011)</f>
        <v>8011</v>
      </c>
      <c r="N14905" t="s">
        <v>16</v>
      </c>
    </row>
    <row r="14906" spans="1:14" x14ac:dyDescent="0.25">
      <c r="A14906" t="s">
        <v>45</v>
      </c>
      <c r="B14906" t="s">
        <v>40</v>
      </c>
      <c r="C14906" t="s">
        <v>15</v>
      </c>
      <c r="D14906" t="s">
        <v>28</v>
      </c>
      <c r="E14906" t="s">
        <v>15</v>
      </c>
      <c r="F14906" t="s">
        <v>20</v>
      </c>
      <c r="G14906" s="1">
        <f>VALUE(15005.84)</f>
        <v>15005.84</v>
      </c>
      <c r="H14906" s="1">
        <f>VALUE(10361.97)</f>
        <v>10361.969999999999</v>
      </c>
      <c r="I14906" s="1">
        <f>VALUE(3611)</f>
        <v>3611</v>
      </c>
      <c r="J14906" s="1">
        <f>VALUE(4163)</f>
        <v>4163</v>
      </c>
      <c r="K14906" s="1">
        <f>VALUE(5006)</f>
        <v>5006</v>
      </c>
      <c r="L14906" s="1">
        <f>VALUE(5966)</f>
        <v>5966</v>
      </c>
      <c r="M14906" s="1">
        <f>VALUE(7189)</f>
        <v>7189</v>
      </c>
      <c r="N14906" t="s">
        <v>16</v>
      </c>
    </row>
    <row r="14907" spans="1:14" x14ac:dyDescent="0.25">
      <c r="A14907" t="s">
        <v>45</v>
      </c>
      <c r="B14907" t="s">
        <v>40</v>
      </c>
      <c r="C14907" t="s">
        <v>15</v>
      </c>
      <c r="D14907" t="s">
        <v>28</v>
      </c>
      <c r="E14907" t="s">
        <v>21</v>
      </c>
      <c r="F14907" t="s">
        <v>15</v>
      </c>
      <c r="G14907" s="2">
        <f>VALUE(6630.27)</f>
        <v>6630.27</v>
      </c>
      <c r="H14907" s="3">
        <f>VALUE(5012.05)</f>
        <v>5012.05</v>
      </c>
      <c r="I14907" s="1">
        <f>VALUE(4069)</f>
        <v>4069</v>
      </c>
      <c r="J14907" s="1">
        <f>VALUE(5037)</f>
        <v>5037</v>
      </c>
      <c r="K14907" s="1">
        <f>VALUE(6301)</f>
        <v>6301</v>
      </c>
      <c r="L14907" s="1">
        <f>VALUE(8174)</f>
        <v>8174</v>
      </c>
      <c r="M14907" s="1">
        <f>VALUE(10133)</f>
        <v>10133</v>
      </c>
      <c r="N14907" t="s">
        <v>25</v>
      </c>
    </row>
    <row r="14908" spans="1:14" x14ac:dyDescent="0.25">
      <c r="A14908" t="s">
        <v>45</v>
      </c>
      <c r="B14908" t="s">
        <v>40</v>
      </c>
      <c r="C14908" t="s">
        <v>15</v>
      </c>
      <c r="D14908" t="s">
        <v>28</v>
      </c>
      <c r="E14908" t="s">
        <v>21</v>
      </c>
      <c r="F14908" t="s">
        <v>17</v>
      </c>
      <c r="G14908" s="2">
        <f>VALUE(1921.37)</f>
        <v>1921.37</v>
      </c>
      <c r="H14908" s="3">
        <f>VALUE(1590.02)</f>
        <v>1590.02</v>
      </c>
      <c r="I14908" s="4">
        <f>VALUE(4333)</f>
        <v>4333</v>
      </c>
      <c r="J14908" s="1">
        <f>VALUE(5390)</f>
        <v>5390</v>
      </c>
      <c r="K14908" s="1">
        <f>VALUE(7362)</f>
        <v>7362</v>
      </c>
      <c r="L14908" s="1">
        <f>VALUE(8939)</f>
        <v>8939</v>
      </c>
      <c r="M14908" s="1">
        <f>VALUE(13325)</f>
        <v>13325</v>
      </c>
      <c r="N14908" t="s">
        <v>25</v>
      </c>
    </row>
    <row r="14909" spans="1:14" x14ac:dyDescent="0.25">
      <c r="A14909" t="s">
        <v>45</v>
      </c>
      <c r="B14909" t="s">
        <v>40</v>
      </c>
      <c r="C14909" t="s">
        <v>15</v>
      </c>
      <c r="D14909" t="s">
        <v>28</v>
      </c>
      <c r="E14909" t="s">
        <v>21</v>
      </c>
      <c r="F14909" t="s">
        <v>18</v>
      </c>
      <c r="G14909" s="2">
        <f>VALUE(1017.37)</f>
        <v>1017.37</v>
      </c>
      <c r="H14909" s="3">
        <f>VALUE(754.36)</f>
        <v>754.36</v>
      </c>
      <c r="I14909" s="4">
        <f>VALUE(4762)</f>
        <v>4762</v>
      </c>
      <c r="J14909" s="1">
        <f>VALUE(5598)</f>
        <v>5598</v>
      </c>
      <c r="K14909" s="1">
        <f>VALUE(6708)</f>
        <v>6708</v>
      </c>
      <c r="L14909" s="1">
        <f>VALUE(8962)</f>
        <v>8962</v>
      </c>
      <c r="M14909" s="1">
        <f>VALUE(10133)</f>
        <v>10133</v>
      </c>
      <c r="N14909" t="s">
        <v>25</v>
      </c>
    </row>
    <row r="14910" spans="1:14" x14ac:dyDescent="0.25">
      <c r="A14910" t="s">
        <v>45</v>
      </c>
      <c r="B14910" t="s">
        <v>40</v>
      </c>
      <c r="C14910" t="s">
        <v>15</v>
      </c>
      <c r="D14910" t="s">
        <v>28</v>
      </c>
      <c r="E14910" t="s">
        <v>21</v>
      </c>
      <c r="F14910" t="s">
        <v>19</v>
      </c>
      <c r="G14910" s="2">
        <f>VALUE(755.17)</f>
        <v>755.17</v>
      </c>
      <c r="H14910" s="3">
        <f>VALUE(562.32)</f>
        <v>562.32000000000005</v>
      </c>
      <c r="I14910" s="1">
        <f>VALUE(4481)</f>
        <v>4481</v>
      </c>
      <c r="J14910" s="1">
        <f>VALUE(5409)</f>
        <v>5409</v>
      </c>
      <c r="K14910" s="1">
        <f>VALUE(6363)</f>
        <v>6363</v>
      </c>
      <c r="L14910" s="1">
        <f>VALUE(7816)</f>
        <v>7816</v>
      </c>
      <c r="M14910" s="1">
        <f>VALUE(9523)</f>
        <v>9523</v>
      </c>
      <c r="N14910" t="s">
        <v>25</v>
      </c>
    </row>
    <row r="14911" spans="1:14" x14ac:dyDescent="0.25">
      <c r="A14911" t="s">
        <v>45</v>
      </c>
      <c r="B14911" t="s">
        <v>40</v>
      </c>
      <c r="C14911" t="s">
        <v>15</v>
      </c>
      <c r="D14911" t="s">
        <v>28</v>
      </c>
      <c r="E14911" t="s">
        <v>21</v>
      </c>
      <c r="F14911" t="s">
        <v>20</v>
      </c>
      <c r="G14911" s="2">
        <f>VALUE(2936.36)</f>
        <v>2936.36</v>
      </c>
      <c r="H14911" s="3">
        <f>VALUE(2105.35)</f>
        <v>2105.35</v>
      </c>
      <c r="I14911" s="4">
        <f>VALUE(3900)</f>
        <v>3900</v>
      </c>
      <c r="J14911" s="1">
        <f>VALUE(4699)</f>
        <v>4699</v>
      </c>
      <c r="K14911" s="1">
        <f>VALUE(5439)</f>
        <v>5439</v>
      </c>
      <c r="L14911" s="1">
        <f>VALUE(6662)</f>
        <v>6662</v>
      </c>
      <c r="M14911" s="1">
        <f>VALUE(8257)</f>
        <v>8257</v>
      </c>
      <c r="N14911" t="s">
        <v>25</v>
      </c>
    </row>
    <row r="14912" spans="1:14" x14ac:dyDescent="0.25">
      <c r="A14912" t="s">
        <v>45</v>
      </c>
      <c r="B14912" t="s">
        <v>40</v>
      </c>
      <c r="C14912" t="s">
        <v>15</v>
      </c>
      <c r="D14912" t="s">
        <v>28</v>
      </c>
      <c r="E14912" t="s">
        <v>22</v>
      </c>
      <c r="F14912" t="s">
        <v>15</v>
      </c>
      <c r="G14912" s="1">
        <f>VALUE(13747.5)</f>
        <v>13747.5</v>
      </c>
      <c r="H14912" s="1">
        <f>VALUE(10200.68)</f>
        <v>10200.68</v>
      </c>
      <c r="I14912" s="1">
        <f>VALUE(3733)</f>
        <v>3733</v>
      </c>
      <c r="J14912" s="1">
        <f>VALUE(4278)</f>
        <v>4278</v>
      </c>
      <c r="K14912" s="1">
        <f>VALUE(5154)</f>
        <v>5154</v>
      </c>
      <c r="L14912" s="1">
        <f>VALUE(6271)</f>
        <v>6271</v>
      </c>
      <c r="M14912" s="1">
        <f>VALUE(7537)</f>
        <v>7537</v>
      </c>
      <c r="N14912" t="s">
        <v>16</v>
      </c>
    </row>
    <row r="14913" spans="1:14" x14ac:dyDescent="0.25">
      <c r="A14913" t="s">
        <v>45</v>
      </c>
      <c r="B14913" t="s">
        <v>40</v>
      </c>
      <c r="C14913" t="s">
        <v>15</v>
      </c>
      <c r="D14913" t="s">
        <v>28</v>
      </c>
      <c r="E14913" t="s">
        <v>22</v>
      </c>
      <c r="F14913" t="s">
        <v>17</v>
      </c>
      <c r="G14913" s="2">
        <f>VALUE(1404.25)</f>
        <v>1404.25</v>
      </c>
      <c r="H14913" s="3">
        <f>VALUE(1128.6)</f>
        <v>1128.5999999999999</v>
      </c>
      <c r="I14913" s="4">
        <f>VALUE(3381)</f>
        <v>3381</v>
      </c>
      <c r="J14913" s="5">
        <f>VALUE(3862)</f>
        <v>3862</v>
      </c>
      <c r="K14913" s="6">
        <f>VALUE(5416)</f>
        <v>5416</v>
      </c>
      <c r="L14913" s="7">
        <f>VALUE(7909)</f>
        <v>7909</v>
      </c>
      <c r="M14913" s="8">
        <f>VALUE(12308)</f>
        <v>12308</v>
      </c>
      <c r="N14913" t="s">
        <v>24</v>
      </c>
    </row>
    <row r="14914" spans="1:14" x14ac:dyDescent="0.25">
      <c r="A14914" t="s">
        <v>45</v>
      </c>
      <c r="B14914" t="s">
        <v>40</v>
      </c>
      <c r="C14914" t="s">
        <v>15</v>
      </c>
      <c r="D14914" t="s">
        <v>28</v>
      </c>
      <c r="E14914" t="s">
        <v>22</v>
      </c>
      <c r="F14914" t="s">
        <v>18</v>
      </c>
      <c r="G14914" s="2">
        <f>VALUE(1533.91)</f>
        <v>1533.91</v>
      </c>
      <c r="H14914" s="3">
        <f>VALUE(1108.2)</f>
        <v>1108.2</v>
      </c>
      <c r="I14914" s="1">
        <f>VALUE(4041)</f>
        <v>4041</v>
      </c>
      <c r="J14914" s="1">
        <f>VALUE(4333)</f>
        <v>4333</v>
      </c>
      <c r="K14914" s="6">
        <f>VALUE(5634)</f>
        <v>5634</v>
      </c>
      <c r="L14914" s="1">
        <f>VALUE(7059)</f>
        <v>7059</v>
      </c>
      <c r="M14914" s="8">
        <f>VALUE(8544)</f>
        <v>8544</v>
      </c>
      <c r="N14914" t="s">
        <v>25</v>
      </c>
    </row>
    <row r="14915" spans="1:14" x14ac:dyDescent="0.25">
      <c r="A14915" t="s">
        <v>45</v>
      </c>
      <c r="B14915" t="s">
        <v>40</v>
      </c>
      <c r="C14915" t="s">
        <v>15</v>
      </c>
      <c r="D14915" t="s">
        <v>28</v>
      </c>
      <c r="E14915" t="s">
        <v>22</v>
      </c>
      <c r="F14915" t="s">
        <v>19</v>
      </c>
      <c r="G14915" s="2">
        <f>VALUE(1675.12)</f>
        <v>1675.12</v>
      </c>
      <c r="H14915" s="3">
        <f>VALUE(1376.87)</f>
        <v>1376.87</v>
      </c>
      <c r="I14915" s="1">
        <f>VALUE(3900)</f>
        <v>3900</v>
      </c>
      <c r="J14915" s="1">
        <f>VALUE(4618)</f>
        <v>4618</v>
      </c>
      <c r="K14915" s="1">
        <f>VALUE(5499)</f>
        <v>5499</v>
      </c>
      <c r="L14915" s="1">
        <f>VALUE(6555)</f>
        <v>6555</v>
      </c>
      <c r="M14915" s="1">
        <f>VALUE(7308)</f>
        <v>7308</v>
      </c>
      <c r="N14915" t="s">
        <v>25</v>
      </c>
    </row>
    <row r="14916" spans="1:14" x14ac:dyDescent="0.25">
      <c r="A14916" t="s">
        <v>45</v>
      </c>
      <c r="B14916" t="s">
        <v>40</v>
      </c>
      <c r="C14916" t="s">
        <v>15</v>
      </c>
      <c r="D14916" t="s">
        <v>28</v>
      </c>
      <c r="E14916" t="s">
        <v>22</v>
      </c>
      <c r="F14916" t="s">
        <v>20</v>
      </c>
      <c r="G14916" s="1">
        <f>VALUE(9134.22)</f>
        <v>9134.2199999999993</v>
      </c>
      <c r="H14916" s="1">
        <f>VALUE(6587.01)</f>
        <v>6587.01</v>
      </c>
      <c r="I14916" s="1">
        <f>VALUE(3721)</f>
        <v>3721</v>
      </c>
      <c r="J14916" s="1">
        <f>VALUE(4227)</f>
        <v>4227</v>
      </c>
      <c r="K14916" s="1">
        <f>VALUE(5036)</f>
        <v>5036</v>
      </c>
      <c r="L14916" s="1">
        <f>VALUE(5976)</f>
        <v>5976</v>
      </c>
      <c r="M14916" s="1">
        <f>VALUE(7009)</f>
        <v>7009</v>
      </c>
      <c r="N14916" t="s">
        <v>16</v>
      </c>
    </row>
    <row r="14917" spans="1:14" x14ac:dyDescent="0.25">
      <c r="A14917" t="s">
        <v>45</v>
      </c>
      <c r="B14917" t="s">
        <v>40</v>
      </c>
      <c r="C14917" t="s">
        <v>15</v>
      </c>
      <c r="D14917" t="s">
        <v>28</v>
      </c>
      <c r="E14917" t="s">
        <v>23</v>
      </c>
      <c r="F14917" t="s">
        <v>15</v>
      </c>
      <c r="G14917" s="1">
        <f>VALUE(3149.21)</f>
        <v>3149.21</v>
      </c>
      <c r="H14917" s="1">
        <f>VALUE(1857.78)</f>
        <v>1857.78</v>
      </c>
      <c r="I14917" s="1">
        <f>VALUE(3424)</f>
        <v>3424</v>
      </c>
      <c r="J14917" s="1">
        <f>VALUE(3714)</f>
        <v>3714</v>
      </c>
      <c r="K14917" s="1">
        <f>VALUE(4308)</f>
        <v>4308</v>
      </c>
      <c r="L14917" s="1">
        <f>VALUE(4906)</f>
        <v>4906</v>
      </c>
      <c r="M14917" s="1">
        <f>VALUE(5780)</f>
        <v>5780</v>
      </c>
      <c r="N14917" t="s">
        <v>16</v>
      </c>
    </row>
    <row r="14918" spans="1:14" x14ac:dyDescent="0.25">
      <c r="A14918" t="s">
        <v>45</v>
      </c>
      <c r="B14918" t="s">
        <v>40</v>
      </c>
      <c r="C14918" t="s">
        <v>15</v>
      </c>
      <c r="D14918" t="s">
        <v>28</v>
      </c>
      <c r="E14918" t="s">
        <v>23</v>
      </c>
      <c r="F14918" t="s">
        <v>17</v>
      </c>
      <c r="G14918" s="1" t="str">
        <f t="shared" ref="G14918:M14919" si="3424">"X"</f>
        <v>X</v>
      </c>
      <c r="H14918" s="1" t="str">
        <f t="shared" si="3424"/>
        <v>X</v>
      </c>
      <c r="I14918" s="1" t="str">
        <f t="shared" si="3424"/>
        <v>X</v>
      </c>
      <c r="J14918" s="1" t="str">
        <f t="shared" si="3424"/>
        <v>X</v>
      </c>
      <c r="K14918" s="1" t="str">
        <f t="shared" si="3424"/>
        <v>X</v>
      </c>
      <c r="L14918" s="1" t="str">
        <f t="shared" si="3424"/>
        <v>X</v>
      </c>
      <c r="M14918" s="1" t="str">
        <f t="shared" si="3424"/>
        <v>X</v>
      </c>
      <c r="N14918" t="s">
        <v>27</v>
      </c>
    </row>
    <row r="14919" spans="1:14" x14ac:dyDescent="0.25">
      <c r="A14919" t="s">
        <v>45</v>
      </c>
      <c r="B14919" t="s">
        <v>40</v>
      </c>
      <c r="C14919" t="s">
        <v>15</v>
      </c>
      <c r="D14919" t="s">
        <v>28</v>
      </c>
      <c r="E14919" t="s">
        <v>23</v>
      </c>
      <c r="F14919" t="s">
        <v>18</v>
      </c>
      <c r="G14919" s="1" t="str">
        <f t="shared" si="3424"/>
        <v>X</v>
      </c>
      <c r="H14919" s="1" t="str">
        <f t="shared" si="3424"/>
        <v>X</v>
      </c>
      <c r="I14919" s="1" t="str">
        <f t="shared" si="3424"/>
        <v>X</v>
      </c>
      <c r="J14919" s="1" t="str">
        <f t="shared" si="3424"/>
        <v>X</v>
      </c>
      <c r="K14919" s="1" t="str">
        <f t="shared" si="3424"/>
        <v>X</v>
      </c>
      <c r="L14919" s="1" t="str">
        <f t="shared" si="3424"/>
        <v>X</v>
      </c>
      <c r="M14919" s="1" t="str">
        <f t="shared" si="3424"/>
        <v>X</v>
      </c>
      <c r="N14919" t="s">
        <v>27</v>
      </c>
    </row>
    <row r="14920" spans="1:14" x14ac:dyDescent="0.25">
      <c r="A14920" t="s">
        <v>45</v>
      </c>
      <c r="B14920" t="s">
        <v>40</v>
      </c>
      <c r="C14920" t="s">
        <v>15</v>
      </c>
      <c r="D14920" t="s">
        <v>28</v>
      </c>
      <c r="E14920" t="s">
        <v>23</v>
      </c>
      <c r="F14920" t="s">
        <v>19</v>
      </c>
      <c r="G14920" s="2">
        <f>VALUE(190.44)</f>
        <v>190.44</v>
      </c>
      <c r="H14920" s="3">
        <f>VALUE(157.22)</f>
        <v>157.22</v>
      </c>
      <c r="I14920" s="4">
        <f>VALUE(3500)</f>
        <v>3500</v>
      </c>
      <c r="J14920" s="5">
        <f>VALUE(3777)</f>
        <v>3777</v>
      </c>
      <c r="K14920" s="1">
        <f>VALUE(4535)</f>
        <v>4535</v>
      </c>
      <c r="L14920" s="1">
        <f>VALUE(5522)</f>
        <v>5522</v>
      </c>
      <c r="M14920" s="1">
        <f>VALUE(6505)</f>
        <v>6505</v>
      </c>
      <c r="N14920" t="s">
        <v>25</v>
      </c>
    </row>
    <row r="14921" spans="1:14" x14ac:dyDescent="0.25">
      <c r="A14921" t="s">
        <v>45</v>
      </c>
      <c r="B14921" t="s">
        <v>40</v>
      </c>
      <c r="C14921" t="s">
        <v>15</v>
      </c>
      <c r="D14921" t="s">
        <v>28</v>
      </c>
      <c r="E14921" t="s">
        <v>23</v>
      </c>
      <c r="F14921" t="s">
        <v>20</v>
      </c>
      <c r="G14921" s="2">
        <f>VALUE(2801.03)</f>
        <v>2801.03</v>
      </c>
      <c r="H14921" s="1">
        <f>VALUE(1598.83)</f>
        <v>1598.83</v>
      </c>
      <c r="I14921" s="1">
        <f>VALUE(3421)</f>
        <v>3421</v>
      </c>
      <c r="J14921" s="1">
        <f>VALUE(3700)</f>
        <v>3700</v>
      </c>
      <c r="K14921" s="1">
        <f>VALUE(4264)</f>
        <v>4264</v>
      </c>
      <c r="L14921" s="1">
        <f>VALUE(4836)</f>
        <v>4836</v>
      </c>
      <c r="M14921" s="1">
        <f>VALUE(5494)</f>
        <v>5494</v>
      </c>
      <c r="N14921" t="s">
        <v>25</v>
      </c>
    </row>
    <row r="14922" spans="1:14" x14ac:dyDescent="0.25">
      <c r="A14922" t="s">
        <v>45</v>
      </c>
      <c r="B14922" t="s">
        <v>40</v>
      </c>
      <c r="C14922" t="s">
        <v>15</v>
      </c>
      <c r="D14922" t="s">
        <v>28</v>
      </c>
      <c r="E14922" t="s">
        <v>26</v>
      </c>
      <c r="F14922" t="s">
        <v>15</v>
      </c>
      <c r="G14922" s="2">
        <f>VALUE(178.24)</f>
        <v>178.24</v>
      </c>
      <c r="H14922" s="3">
        <f>VALUE(101.15)</f>
        <v>101.15</v>
      </c>
      <c r="I14922" s="4">
        <f>VALUE(2180)</f>
        <v>2180</v>
      </c>
      <c r="J14922" s="5">
        <f>VALUE(3111)</f>
        <v>3111</v>
      </c>
      <c r="K14922" s="6">
        <f>VALUE(3790)</f>
        <v>3790</v>
      </c>
      <c r="L14922" s="7">
        <f>VALUE(5682)</f>
        <v>5682</v>
      </c>
      <c r="M14922" s="8">
        <f>VALUE(7776)</f>
        <v>7776</v>
      </c>
      <c r="N14922" t="s">
        <v>24</v>
      </c>
    </row>
    <row r="14923" spans="1:14" x14ac:dyDescent="0.25">
      <c r="A14923" t="s">
        <v>45</v>
      </c>
      <c r="B14923" t="s">
        <v>40</v>
      </c>
      <c r="C14923" t="s">
        <v>15</v>
      </c>
      <c r="D14923" t="s">
        <v>28</v>
      </c>
      <c r="E14923" t="s">
        <v>26</v>
      </c>
      <c r="F14923" t="s">
        <v>17</v>
      </c>
      <c r="G14923" s="1" t="str">
        <f t="shared" ref="G14923:M14926" si="3425">"X"</f>
        <v>X</v>
      </c>
      <c r="H14923" s="1" t="str">
        <f t="shared" si="3425"/>
        <v>X</v>
      </c>
      <c r="I14923" s="1" t="str">
        <f t="shared" si="3425"/>
        <v>X</v>
      </c>
      <c r="J14923" s="1" t="str">
        <f t="shared" si="3425"/>
        <v>X</v>
      </c>
      <c r="K14923" s="1" t="str">
        <f t="shared" si="3425"/>
        <v>X</v>
      </c>
      <c r="L14923" s="1" t="str">
        <f t="shared" si="3425"/>
        <v>X</v>
      </c>
      <c r="M14923" s="1" t="str">
        <f t="shared" si="3425"/>
        <v>X</v>
      </c>
      <c r="N14923" t="s">
        <v>27</v>
      </c>
    </row>
    <row r="14924" spans="1:14" x14ac:dyDescent="0.25">
      <c r="A14924" t="s">
        <v>45</v>
      </c>
      <c r="B14924" t="s">
        <v>40</v>
      </c>
      <c r="C14924" t="s">
        <v>15</v>
      </c>
      <c r="D14924" t="s">
        <v>28</v>
      </c>
      <c r="E14924" t="s">
        <v>26</v>
      </c>
      <c r="F14924" t="s">
        <v>18</v>
      </c>
      <c r="G14924" s="1" t="str">
        <f t="shared" si="3425"/>
        <v>X</v>
      </c>
      <c r="H14924" s="1" t="str">
        <f t="shared" si="3425"/>
        <v>X</v>
      </c>
      <c r="I14924" s="1" t="str">
        <f t="shared" si="3425"/>
        <v>X</v>
      </c>
      <c r="J14924" s="1" t="str">
        <f t="shared" si="3425"/>
        <v>X</v>
      </c>
      <c r="K14924" s="1" t="str">
        <f t="shared" si="3425"/>
        <v>X</v>
      </c>
      <c r="L14924" s="1" t="str">
        <f t="shared" si="3425"/>
        <v>X</v>
      </c>
      <c r="M14924" s="1" t="str">
        <f t="shared" si="3425"/>
        <v>X</v>
      </c>
      <c r="N14924" t="s">
        <v>27</v>
      </c>
    </row>
    <row r="14925" spans="1:14" x14ac:dyDescent="0.25">
      <c r="A14925" t="s">
        <v>45</v>
      </c>
      <c r="B14925" t="s">
        <v>40</v>
      </c>
      <c r="C14925" t="s">
        <v>15</v>
      </c>
      <c r="D14925" t="s">
        <v>28</v>
      </c>
      <c r="E14925" t="s">
        <v>26</v>
      </c>
      <c r="F14925" t="s">
        <v>19</v>
      </c>
      <c r="G14925" s="1" t="str">
        <f t="shared" si="3425"/>
        <v>X</v>
      </c>
      <c r="H14925" s="1" t="str">
        <f t="shared" si="3425"/>
        <v>X</v>
      </c>
      <c r="I14925" s="1" t="str">
        <f t="shared" si="3425"/>
        <v>X</v>
      </c>
      <c r="J14925" s="1" t="str">
        <f t="shared" si="3425"/>
        <v>X</v>
      </c>
      <c r="K14925" s="1" t="str">
        <f t="shared" si="3425"/>
        <v>X</v>
      </c>
      <c r="L14925" s="1" t="str">
        <f t="shared" si="3425"/>
        <v>X</v>
      </c>
      <c r="M14925" s="1" t="str">
        <f t="shared" si="3425"/>
        <v>X</v>
      </c>
      <c r="N14925" t="s">
        <v>27</v>
      </c>
    </row>
    <row r="14926" spans="1:14" x14ac:dyDescent="0.25">
      <c r="A14926" t="s">
        <v>45</v>
      </c>
      <c r="B14926" t="s">
        <v>40</v>
      </c>
      <c r="C14926" t="s">
        <v>15</v>
      </c>
      <c r="D14926" t="s">
        <v>28</v>
      </c>
      <c r="E14926" t="s">
        <v>26</v>
      </c>
      <c r="F14926" t="s">
        <v>20</v>
      </c>
      <c r="G14926" s="1" t="str">
        <f t="shared" si="3425"/>
        <v>X</v>
      </c>
      <c r="H14926" s="1" t="str">
        <f t="shared" si="3425"/>
        <v>X</v>
      </c>
      <c r="I14926" s="1" t="str">
        <f t="shared" si="3425"/>
        <v>X</v>
      </c>
      <c r="J14926" s="1" t="str">
        <f t="shared" si="3425"/>
        <v>X</v>
      </c>
      <c r="K14926" s="1" t="str">
        <f t="shared" si="3425"/>
        <v>X</v>
      </c>
      <c r="L14926" s="1" t="str">
        <f t="shared" si="3425"/>
        <v>X</v>
      </c>
      <c r="M14926" s="1" t="str">
        <f t="shared" si="3425"/>
        <v>X</v>
      </c>
      <c r="N14926" t="s">
        <v>27</v>
      </c>
    </row>
    <row r="14927" spans="1:14" x14ac:dyDescent="0.25">
      <c r="A14927" t="s">
        <v>45</v>
      </c>
      <c r="B14927" t="s">
        <v>40</v>
      </c>
      <c r="C14927" t="s">
        <v>15</v>
      </c>
      <c r="D14927" t="s">
        <v>29</v>
      </c>
      <c r="E14927" t="s">
        <v>15</v>
      </c>
      <c r="F14927" t="s">
        <v>15</v>
      </c>
      <c r="G14927" s="1">
        <f>VALUE(6759.62)</f>
        <v>6759.62</v>
      </c>
      <c r="H14927" s="1">
        <f>VALUE(4658.38)</f>
        <v>4658.38</v>
      </c>
      <c r="I14927" s="1">
        <f>VALUE(3453)</f>
        <v>3453</v>
      </c>
      <c r="J14927" s="1">
        <f>VALUE(3803)</f>
        <v>3803</v>
      </c>
      <c r="K14927" s="1">
        <f>VALUE(4515)</f>
        <v>4515</v>
      </c>
      <c r="L14927" s="1">
        <f>VALUE(5674)</f>
        <v>5674</v>
      </c>
      <c r="M14927" s="1">
        <f>VALUE(7681)</f>
        <v>7681</v>
      </c>
      <c r="N14927" t="s">
        <v>16</v>
      </c>
    </row>
    <row r="14928" spans="1:14" x14ac:dyDescent="0.25">
      <c r="A14928" t="s">
        <v>45</v>
      </c>
      <c r="B14928" t="s">
        <v>40</v>
      </c>
      <c r="C14928" t="s">
        <v>15</v>
      </c>
      <c r="D14928" t="s">
        <v>29</v>
      </c>
      <c r="E14928" t="s">
        <v>15</v>
      </c>
      <c r="F14928" t="s">
        <v>17</v>
      </c>
      <c r="G14928" s="2">
        <f>VALUE(511.38)</f>
        <v>511.38</v>
      </c>
      <c r="H14928" s="3">
        <f>VALUE(459.1)</f>
        <v>459.1</v>
      </c>
      <c r="I14928" s="1">
        <f>VALUE(3611)</f>
        <v>3611</v>
      </c>
      <c r="J14928" s="5">
        <f>VALUE(4248)</f>
        <v>4248</v>
      </c>
      <c r="K14928" s="1">
        <f>VALUE(6376)</f>
        <v>6376</v>
      </c>
      <c r="L14928" s="7">
        <f>VALUE(9603)</f>
        <v>9603</v>
      </c>
      <c r="M14928" s="8">
        <f>VALUE(16241)</f>
        <v>16241</v>
      </c>
      <c r="N14928" t="s">
        <v>25</v>
      </c>
    </row>
    <row r="14929" spans="1:14" x14ac:dyDescent="0.25">
      <c r="A14929" t="s">
        <v>45</v>
      </c>
      <c r="B14929" t="s">
        <v>40</v>
      </c>
      <c r="C14929" t="s">
        <v>15</v>
      </c>
      <c r="D14929" t="s">
        <v>29</v>
      </c>
      <c r="E14929" t="s">
        <v>15</v>
      </c>
      <c r="F14929" t="s">
        <v>18</v>
      </c>
      <c r="G14929" s="2">
        <f>VALUE(535.65)</f>
        <v>535.65</v>
      </c>
      <c r="H14929" s="3">
        <f>VALUE(418.53)</f>
        <v>418.53</v>
      </c>
      <c r="I14929" s="4">
        <f>VALUE(4017)</f>
        <v>4017</v>
      </c>
      <c r="J14929" s="1">
        <f>VALUE(4282)</f>
        <v>4282</v>
      </c>
      <c r="K14929" s="6">
        <f>VALUE(5758)</f>
        <v>5758</v>
      </c>
      <c r="L14929" s="7">
        <f>VALUE(7190)</f>
        <v>7190</v>
      </c>
      <c r="M14929" s="8">
        <f>VALUE(8968)</f>
        <v>8968</v>
      </c>
      <c r="N14929" t="s">
        <v>25</v>
      </c>
    </row>
    <row r="14930" spans="1:14" x14ac:dyDescent="0.25">
      <c r="A14930" t="s">
        <v>45</v>
      </c>
      <c r="B14930" t="s">
        <v>40</v>
      </c>
      <c r="C14930" t="s">
        <v>15</v>
      </c>
      <c r="D14930" t="s">
        <v>29</v>
      </c>
      <c r="E14930" t="s">
        <v>15</v>
      </c>
      <c r="F14930" t="s">
        <v>19</v>
      </c>
      <c r="G14930" s="2">
        <f>VALUE(604.55)</f>
        <v>604.54999999999995</v>
      </c>
      <c r="H14930" s="3">
        <f>VALUE(522.38)</f>
        <v>522.38</v>
      </c>
      <c r="I14930" s="1">
        <f>VALUE(3734)</f>
        <v>3734</v>
      </c>
      <c r="J14930" s="1">
        <f>VALUE(4239)</f>
        <v>4239</v>
      </c>
      <c r="K14930" s="1">
        <f>VALUE(5158)</f>
        <v>5158</v>
      </c>
      <c r="L14930" s="1">
        <f>VALUE(6600)</f>
        <v>6600</v>
      </c>
      <c r="M14930" s="8">
        <f>VALUE(8239)</f>
        <v>8239</v>
      </c>
      <c r="N14930" t="s">
        <v>25</v>
      </c>
    </row>
    <row r="14931" spans="1:14" x14ac:dyDescent="0.25">
      <c r="A14931" t="s">
        <v>45</v>
      </c>
      <c r="B14931" t="s">
        <v>40</v>
      </c>
      <c r="C14931" t="s">
        <v>15</v>
      </c>
      <c r="D14931" t="s">
        <v>29</v>
      </c>
      <c r="E14931" t="s">
        <v>15</v>
      </c>
      <c r="F14931" t="s">
        <v>20</v>
      </c>
      <c r="G14931" s="1">
        <f>VALUE(5108.04)</f>
        <v>5108.04</v>
      </c>
      <c r="H14931" s="1">
        <f>VALUE(3258.37)</f>
        <v>3258.37</v>
      </c>
      <c r="I14931" s="1">
        <f>VALUE(3414)</f>
        <v>3414</v>
      </c>
      <c r="J14931" s="1">
        <f>VALUE(3669)</f>
        <v>3669</v>
      </c>
      <c r="K14931" s="1">
        <f>VALUE(4244)</f>
        <v>4244</v>
      </c>
      <c r="L14931" s="1">
        <f>VALUE(5210)</f>
        <v>5210</v>
      </c>
      <c r="M14931" s="1">
        <f>VALUE(6158)</f>
        <v>6158</v>
      </c>
      <c r="N14931" t="s">
        <v>16</v>
      </c>
    </row>
    <row r="14932" spans="1:14" x14ac:dyDescent="0.25">
      <c r="A14932" t="s">
        <v>45</v>
      </c>
      <c r="B14932" t="s">
        <v>40</v>
      </c>
      <c r="C14932" t="s">
        <v>15</v>
      </c>
      <c r="D14932" t="s">
        <v>29</v>
      </c>
      <c r="E14932" t="s">
        <v>21</v>
      </c>
      <c r="F14932" t="s">
        <v>15</v>
      </c>
      <c r="G14932" s="2">
        <f>VALUE(1197.5)</f>
        <v>1197.5</v>
      </c>
      <c r="H14932" s="3">
        <f>VALUE(998.88)</f>
        <v>998.88</v>
      </c>
      <c r="I14932" s="1">
        <f>VALUE(4029)</f>
        <v>4029</v>
      </c>
      <c r="J14932" s="1">
        <f>VALUE(5098)</f>
        <v>5098</v>
      </c>
      <c r="K14932" s="1">
        <f>VALUE(6443)</f>
        <v>6443</v>
      </c>
      <c r="L14932" s="1">
        <f>VALUE(8254)</f>
        <v>8254</v>
      </c>
      <c r="M14932" s="8">
        <f>VALUE(12147)</f>
        <v>12147</v>
      </c>
      <c r="N14932" t="s">
        <v>25</v>
      </c>
    </row>
    <row r="14933" spans="1:14" x14ac:dyDescent="0.25">
      <c r="A14933" t="s">
        <v>45</v>
      </c>
      <c r="B14933" t="s">
        <v>40</v>
      </c>
      <c r="C14933" t="s">
        <v>15</v>
      </c>
      <c r="D14933" t="s">
        <v>29</v>
      </c>
      <c r="E14933" t="s">
        <v>21</v>
      </c>
      <c r="F14933" t="s">
        <v>17</v>
      </c>
      <c r="G14933" s="2">
        <f>VALUE(265.13)</f>
        <v>265.13</v>
      </c>
      <c r="H14933" s="3">
        <f>VALUE(233.69)</f>
        <v>233.69</v>
      </c>
      <c r="I14933" s="4">
        <f>VALUE(3810)</f>
        <v>3810</v>
      </c>
      <c r="J14933" s="5">
        <f>VALUE(5442)</f>
        <v>5442</v>
      </c>
      <c r="K14933" s="6">
        <f>VALUE(8109)</f>
        <v>8109</v>
      </c>
      <c r="L14933" s="7">
        <f>VALUE(12901)</f>
        <v>12901</v>
      </c>
      <c r="M14933" s="8">
        <f>VALUE(28320)</f>
        <v>28320</v>
      </c>
      <c r="N14933" t="s">
        <v>24</v>
      </c>
    </row>
    <row r="14934" spans="1:14" x14ac:dyDescent="0.25">
      <c r="A14934" t="s">
        <v>45</v>
      </c>
      <c r="B14934" t="s">
        <v>40</v>
      </c>
      <c r="C14934" t="s">
        <v>15</v>
      </c>
      <c r="D14934" t="s">
        <v>29</v>
      </c>
      <c r="E14934" t="s">
        <v>21</v>
      </c>
      <c r="F14934" t="s">
        <v>18</v>
      </c>
      <c r="G14934" s="2">
        <f>VALUE(221.33)</f>
        <v>221.33</v>
      </c>
      <c r="H14934" s="3">
        <f>VALUE(185.99)</f>
        <v>185.99</v>
      </c>
      <c r="I14934" s="4">
        <f>VALUE(5115)</f>
        <v>5115</v>
      </c>
      <c r="J14934" s="5">
        <f>VALUE(6078)</f>
        <v>6078</v>
      </c>
      <c r="K14934" s="6">
        <f>VALUE(6816)</f>
        <v>6816</v>
      </c>
      <c r="L14934" s="7">
        <f>VALUE(8566)</f>
        <v>8566</v>
      </c>
      <c r="M14934" s="8">
        <f>VALUE(11093)</f>
        <v>11093</v>
      </c>
      <c r="N14934" t="s">
        <v>24</v>
      </c>
    </row>
    <row r="14935" spans="1:14" x14ac:dyDescent="0.25">
      <c r="A14935" t="s">
        <v>45</v>
      </c>
      <c r="B14935" t="s">
        <v>40</v>
      </c>
      <c r="C14935" t="s">
        <v>15</v>
      </c>
      <c r="D14935" t="s">
        <v>29</v>
      </c>
      <c r="E14935" t="s">
        <v>21</v>
      </c>
      <c r="F14935" t="s">
        <v>19</v>
      </c>
      <c r="G14935" s="2">
        <f>VALUE(162.65)</f>
        <v>162.65</v>
      </c>
      <c r="H14935" s="3">
        <f>VALUE(137.13)</f>
        <v>137.13</v>
      </c>
      <c r="I14935" s="1">
        <f>VALUE(4534)</f>
        <v>4534</v>
      </c>
      <c r="J14935" s="1">
        <f>VALUE(5605)</f>
        <v>5605</v>
      </c>
      <c r="K14935" s="1">
        <f>VALUE(7633)</f>
        <v>7633</v>
      </c>
      <c r="L14935" s="7">
        <f>VALUE(9357)</f>
        <v>9357</v>
      </c>
      <c r="M14935" s="8">
        <f>VALUE(13621)</f>
        <v>13621</v>
      </c>
      <c r="N14935" t="s">
        <v>25</v>
      </c>
    </row>
    <row r="14936" spans="1:14" x14ac:dyDescent="0.25">
      <c r="A14936" t="s">
        <v>45</v>
      </c>
      <c r="B14936" t="s">
        <v>40</v>
      </c>
      <c r="C14936" t="s">
        <v>15</v>
      </c>
      <c r="D14936" t="s">
        <v>29</v>
      </c>
      <c r="E14936" t="s">
        <v>21</v>
      </c>
      <c r="F14936" t="s">
        <v>20</v>
      </c>
      <c r="G14936" s="2">
        <f>VALUE(548.39)</f>
        <v>548.39</v>
      </c>
      <c r="H14936" s="3">
        <f>VALUE(442.07)</f>
        <v>442.07</v>
      </c>
      <c r="I14936" s="1">
        <f>VALUE(3828)</f>
        <v>3828</v>
      </c>
      <c r="J14936" s="1">
        <f>VALUE(4659)</f>
        <v>4659</v>
      </c>
      <c r="K14936" s="1">
        <f>VALUE(5558)</f>
        <v>5558</v>
      </c>
      <c r="L14936" s="1">
        <f>VALUE(6667)</f>
        <v>6667</v>
      </c>
      <c r="M14936" s="1">
        <f>VALUE(8424)</f>
        <v>8424</v>
      </c>
      <c r="N14936" t="s">
        <v>25</v>
      </c>
    </row>
    <row r="14937" spans="1:14" x14ac:dyDescent="0.25">
      <c r="A14937" t="s">
        <v>45</v>
      </c>
      <c r="B14937" t="s">
        <v>40</v>
      </c>
      <c r="C14937" t="s">
        <v>15</v>
      </c>
      <c r="D14937" t="s">
        <v>29</v>
      </c>
      <c r="E14937" t="s">
        <v>22</v>
      </c>
      <c r="F14937" t="s">
        <v>15</v>
      </c>
      <c r="G14937" s="2">
        <f>VALUE(2350.67)</f>
        <v>2350.67</v>
      </c>
      <c r="H14937" s="3">
        <f>VALUE(1827.56)</f>
        <v>1827.56</v>
      </c>
      <c r="I14937" s="1">
        <f>VALUE(3611)</f>
        <v>3611</v>
      </c>
      <c r="J14937" s="1">
        <f>VALUE(4079)</f>
        <v>4079</v>
      </c>
      <c r="K14937" s="1">
        <f>VALUE(4798)</f>
        <v>4798</v>
      </c>
      <c r="L14937" s="1">
        <f>VALUE(5639)</f>
        <v>5639</v>
      </c>
      <c r="M14937" s="1">
        <f>VALUE(6901)</f>
        <v>6901</v>
      </c>
      <c r="N14937" t="s">
        <v>25</v>
      </c>
    </row>
    <row r="14938" spans="1:14" x14ac:dyDescent="0.25">
      <c r="A14938" t="s">
        <v>45</v>
      </c>
      <c r="B14938" t="s">
        <v>40</v>
      </c>
      <c r="C14938" t="s">
        <v>15</v>
      </c>
      <c r="D14938" t="s">
        <v>29</v>
      </c>
      <c r="E14938" t="s">
        <v>22</v>
      </c>
      <c r="F14938" t="s">
        <v>17</v>
      </c>
      <c r="G14938" s="1" t="str">
        <f t="shared" ref="G14938:M14939" si="3426">"X"</f>
        <v>X</v>
      </c>
      <c r="H14938" s="1" t="str">
        <f t="shared" si="3426"/>
        <v>X</v>
      </c>
      <c r="I14938" s="1" t="str">
        <f t="shared" si="3426"/>
        <v>X</v>
      </c>
      <c r="J14938" s="1" t="str">
        <f t="shared" si="3426"/>
        <v>X</v>
      </c>
      <c r="K14938" s="1" t="str">
        <f t="shared" si="3426"/>
        <v>X</v>
      </c>
      <c r="L14938" s="1" t="str">
        <f t="shared" si="3426"/>
        <v>X</v>
      </c>
      <c r="M14938" s="1" t="str">
        <f t="shared" si="3426"/>
        <v>X</v>
      </c>
      <c r="N14938" t="s">
        <v>27</v>
      </c>
    </row>
    <row r="14939" spans="1:14" x14ac:dyDescent="0.25">
      <c r="A14939" t="s">
        <v>45</v>
      </c>
      <c r="B14939" t="s">
        <v>40</v>
      </c>
      <c r="C14939" t="s">
        <v>15</v>
      </c>
      <c r="D14939" t="s">
        <v>29</v>
      </c>
      <c r="E14939" t="s">
        <v>22</v>
      </c>
      <c r="F14939" t="s">
        <v>18</v>
      </c>
      <c r="G14939" s="1" t="str">
        <f t="shared" si="3426"/>
        <v>X</v>
      </c>
      <c r="H14939" s="1" t="str">
        <f t="shared" si="3426"/>
        <v>X</v>
      </c>
      <c r="I14939" s="1" t="str">
        <f t="shared" si="3426"/>
        <v>X</v>
      </c>
      <c r="J14939" s="1" t="str">
        <f t="shared" si="3426"/>
        <v>X</v>
      </c>
      <c r="K14939" s="1" t="str">
        <f t="shared" si="3426"/>
        <v>X</v>
      </c>
      <c r="L14939" s="1" t="str">
        <f t="shared" si="3426"/>
        <v>X</v>
      </c>
      <c r="M14939" s="1" t="str">
        <f t="shared" si="3426"/>
        <v>X</v>
      </c>
      <c r="N14939" t="s">
        <v>27</v>
      </c>
    </row>
    <row r="14940" spans="1:14" x14ac:dyDescent="0.25">
      <c r="A14940" t="s">
        <v>45</v>
      </c>
      <c r="B14940" t="s">
        <v>40</v>
      </c>
      <c r="C14940" t="s">
        <v>15</v>
      </c>
      <c r="D14940" t="s">
        <v>29</v>
      </c>
      <c r="E14940" t="s">
        <v>22</v>
      </c>
      <c r="F14940" t="s">
        <v>19</v>
      </c>
      <c r="G14940" s="2">
        <f>VALUE(266.64)</f>
        <v>266.64</v>
      </c>
      <c r="H14940" s="3">
        <f>VALUE(237.51)</f>
        <v>237.51</v>
      </c>
      <c r="I14940" s="4">
        <f>VALUE(3844)</f>
        <v>3844</v>
      </c>
      <c r="J14940" s="5">
        <f>VALUE(4337)</f>
        <v>4337</v>
      </c>
      <c r="K14940" s="6">
        <f>VALUE(5359)</f>
        <v>5359</v>
      </c>
      <c r="L14940" s="7">
        <f>VALUE(6190)</f>
        <v>6190</v>
      </c>
      <c r="M14940" s="8">
        <f>VALUE(6901)</f>
        <v>6901</v>
      </c>
      <c r="N14940" t="s">
        <v>24</v>
      </c>
    </row>
    <row r="14941" spans="1:14" x14ac:dyDescent="0.25">
      <c r="A14941" t="s">
        <v>45</v>
      </c>
      <c r="B14941" t="s">
        <v>40</v>
      </c>
      <c r="C14941" t="s">
        <v>15</v>
      </c>
      <c r="D14941" t="s">
        <v>29</v>
      </c>
      <c r="E14941" t="s">
        <v>22</v>
      </c>
      <c r="F14941" t="s">
        <v>20</v>
      </c>
      <c r="G14941" s="2">
        <f>VALUE(1727.15)</f>
        <v>1727.15</v>
      </c>
      <c r="H14941" s="3">
        <f>VALUE(1285.31)</f>
        <v>1285.31</v>
      </c>
      <c r="I14941" s="1">
        <f>VALUE(3589)</f>
        <v>3589</v>
      </c>
      <c r="J14941" s="1">
        <f>VALUE(4036)</f>
        <v>4036</v>
      </c>
      <c r="K14941" s="1">
        <f>VALUE(4554)</f>
        <v>4554</v>
      </c>
      <c r="L14941" s="1">
        <f>VALUE(5391)</f>
        <v>5391</v>
      </c>
      <c r="M14941" s="1">
        <f>VALUE(6176)</f>
        <v>6176</v>
      </c>
      <c r="N14941" t="s">
        <v>25</v>
      </c>
    </row>
    <row r="14942" spans="1:14" x14ac:dyDescent="0.25">
      <c r="A14942" t="s">
        <v>45</v>
      </c>
      <c r="B14942" t="s">
        <v>40</v>
      </c>
      <c r="C14942" t="s">
        <v>15</v>
      </c>
      <c r="D14942" t="s">
        <v>29</v>
      </c>
      <c r="E14942" t="s">
        <v>23</v>
      </c>
      <c r="F14942" t="s">
        <v>15</v>
      </c>
      <c r="G14942" s="2">
        <f>VALUE(3066.93)</f>
        <v>3066.93</v>
      </c>
      <c r="H14942" s="1">
        <f>VALUE(1740.85)</f>
        <v>1740.85</v>
      </c>
      <c r="I14942" s="1">
        <f>VALUE(3308)</f>
        <v>3308</v>
      </c>
      <c r="J14942" s="1">
        <f>VALUE(3544)</f>
        <v>3544</v>
      </c>
      <c r="K14942" s="1">
        <f>VALUE(3903)</f>
        <v>3903</v>
      </c>
      <c r="L14942" s="1">
        <f>VALUE(4413)</f>
        <v>4413</v>
      </c>
      <c r="M14942" s="1">
        <f>VALUE(5094)</f>
        <v>5094</v>
      </c>
      <c r="N14942" t="s">
        <v>25</v>
      </c>
    </row>
    <row r="14943" spans="1:14" x14ac:dyDescent="0.25">
      <c r="A14943" t="s">
        <v>45</v>
      </c>
      <c r="B14943" t="s">
        <v>40</v>
      </c>
      <c r="C14943" t="s">
        <v>15</v>
      </c>
      <c r="D14943" t="s">
        <v>29</v>
      </c>
      <c r="E14943" t="s">
        <v>23</v>
      </c>
      <c r="F14943" t="s">
        <v>17</v>
      </c>
      <c r="G14943" s="1" t="str">
        <f t="shared" ref="G14943:M14944" si="3427">"X"</f>
        <v>X</v>
      </c>
      <c r="H14943" s="1" t="str">
        <f t="shared" si="3427"/>
        <v>X</v>
      </c>
      <c r="I14943" s="1" t="str">
        <f t="shared" si="3427"/>
        <v>X</v>
      </c>
      <c r="J14943" s="1" t="str">
        <f t="shared" si="3427"/>
        <v>X</v>
      </c>
      <c r="K14943" s="1" t="str">
        <f t="shared" si="3427"/>
        <v>X</v>
      </c>
      <c r="L14943" s="1" t="str">
        <f t="shared" si="3427"/>
        <v>X</v>
      </c>
      <c r="M14943" s="1" t="str">
        <f t="shared" si="3427"/>
        <v>X</v>
      </c>
      <c r="N14943" t="s">
        <v>27</v>
      </c>
    </row>
    <row r="14944" spans="1:14" x14ac:dyDescent="0.25">
      <c r="A14944" t="s">
        <v>45</v>
      </c>
      <c r="B14944" t="s">
        <v>40</v>
      </c>
      <c r="C14944" t="s">
        <v>15</v>
      </c>
      <c r="D14944" t="s">
        <v>29</v>
      </c>
      <c r="E14944" t="s">
        <v>23</v>
      </c>
      <c r="F14944" t="s">
        <v>18</v>
      </c>
      <c r="G14944" s="1" t="str">
        <f t="shared" si="3427"/>
        <v>X</v>
      </c>
      <c r="H14944" s="1" t="str">
        <f t="shared" si="3427"/>
        <v>X</v>
      </c>
      <c r="I14944" s="1" t="str">
        <f t="shared" si="3427"/>
        <v>X</v>
      </c>
      <c r="J14944" s="1" t="str">
        <f t="shared" si="3427"/>
        <v>X</v>
      </c>
      <c r="K14944" s="1" t="str">
        <f t="shared" si="3427"/>
        <v>X</v>
      </c>
      <c r="L14944" s="1" t="str">
        <f t="shared" si="3427"/>
        <v>X</v>
      </c>
      <c r="M14944" s="1" t="str">
        <f t="shared" si="3427"/>
        <v>X</v>
      </c>
      <c r="N14944" t="s">
        <v>27</v>
      </c>
    </row>
    <row r="14945" spans="1:14" x14ac:dyDescent="0.25">
      <c r="A14945" t="s">
        <v>45</v>
      </c>
      <c r="B14945" t="s">
        <v>40</v>
      </c>
      <c r="C14945" t="s">
        <v>15</v>
      </c>
      <c r="D14945" t="s">
        <v>29</v>
      </c>
      <c r="E14945" t="s">
        <v>23</v>
      </c>
      <c r="F14945" t="s">
        <v>19</v>
      </c>
      <c r="G14945" s="2">
        <f>VALUE(175.26)</f>
        <v>175.26</v>
      </c>
      <c r="H14945" s="3">
        <f>VALUE(147.74)</f>
        <v>147.74</v>
      </c>
      <c r="I14945" s="1">
        <f>VALUE(3586)</f>
        <v>3586</v>
      </c>
      <c r="J14945" s="1">
        <f>VALUE(3755)</f>
        <v>3755</v>
      </c>
      <c r="K14945" s="1">
        <f>VALUE(4127)</f>
        <v>4127</v>
      </c>
      <c r="L14945" s="1">
        <f>VALUE(4647)</f>
        <v>4647</v>
      </c>
      <c r="M14945" s="1">
        <f>VALUE(5313)</f>
        <v>5313</v>
      </c>
      <c r="N14945" t="s">
        <v>25</v>
      </c>
    </row>
    <row r="14946" spans="1:14" x14ac:dyDescent="0.25">
      <c r="A14946" t="s">
        <v>45</v>
      </c>
      <c r="B14946" t="s">
        <v>40</v>
      </c>
      <c r="C14946" t="s">
        <v>15</v>
      </c>
      <c r="D14946" t="s">
        <v>29</v>
      </c>
      <c r="E14946" t="s">
        <v>23</v>
      </c>
      <c r="F14946" t="s">
        <v>20</v>
      </c>
      <c r="G14946" s="2">
        <f>VALUE(2690.5)</f>
        <v>2690.5</v>
      </c>
      <c r="H14946" s="1">
        <f>VALUE(1442.07)</f>
        <v>1442.07</v>
      </c>
      <c r="I14946" s="1">
        <f>VALUE(3291)</f>
        <v>3291</v>
      </c>
      <c r="J14946" s="1">
        <f>VALUE(3503)</f>
        <v>3503</v>
      </c>
      <c r="K14946" s="1">
        <f>VALUE(3818)</f>
        <v>3818</v>
      </c>
      <c r="L14946" s="1">
        <f>VALUE(4380)</f>
        <v>4380</v>
      </c>
      <c r="M14946" s="1">
        <f>VALUE(5028)</f>
        <v>5028</v>
      </c>
      <c r="N14946" t="s">
        <v>25</v>
      </c>
    </row>
    <row r="14947" spans="1:14" x14ac:dyDescent="0.25">
      <c r="A14947" t="s">
        <v>45</v>
      </c>
      <c r="B14947" t="s">
        <v>40</v>
      </c>
      <c r="C14947" t="s">
        <v>15</v>
      </c>
      <c r="D14947" t="s">
        <v>29</v>
      </c>
      <c r="E14947" t="s">
        <v>26</v>
      </c>
      <c r="F14947" t="s">
        <v>15</v>
      </c>
      <c r="G14947" s="1" t="str">
        <f t="shared" ref="G14947:M14949" si="3428">"X"</f>
        <v>X</v>
      </c>
      <c r="H14947" s="1" t="str">
        <f t="shared" si="3428"/>
        <v>X</v>
      </c>
      <c r="I14947" s="1" t="str">
        <f t="shared" si="3428"/>
        <v>X</v>
      </c>
      <c r="J14947" s="1" t="str">
        <f t="shared" si="3428"/>
        <v>X</v>
      </c>
      <c r="K14947" s="1" t="str">
        <f t="shared" si="3428"/>
        <v>X</v>
      </c>
      <c r="L14947" s="1" t="str">
        <f t="shared" si="3428"/>
        <v>X</v>
      </c>
      <c r="M14947" s="1" t="str">
        <f t="shared" si="3428"/>
        <v>X</v>
      </c>
      <c r="N14947" t="s">
        <v>27</v>
      </c>
    </row>
    <row r="14948" spans="1:14" x14ac:dyDescent="0.25">
      <c r="A14948" t="s">
        <v>45</v>
      </c>
      <c r="B14948" t="s">
        <v>40</v>
      </c>
      <c r="C14948" t="s">
        <v>15</v>
      </c>
      <c r="D14948" t="s">
        <v>29</v>
      </c>
      <c r="E14948" t="s">
        <v>26</v>
      </c>
      <c r="F14948" t="s">
        <v>17</v>
      </c>
      <c r="G14948" s="1" t="str">
        <f t="shared" si="3428"/>
        <v>X</v>
      </c>
      <c r="H14948" s="1" t="str">
        <f t="shared" si="3428"/>
        <v>X</v>
      </c>
      <c r="I14948" s="1" t="str">
        <f t="shared" si="3428"/>
        <v>X</v>
      </c>
      <c r="J14948" s="1" t="str">
        <f t="shared" si="3428"/>
        <v>X</v>
      </c>
      <c r="K14948" s="1" t="str">
        <f t="shared" si="3428"/>
        <v>X</v>
      </c>
      <c r="L14948" s="1" t="str">
        <f t="shared" si="3428"/>
        <v>X</v>
      </c>
      <c r="M14948" s="1" t="str">
        <f t="shared" si="3428"/>
        <v>X</v>
      </c>
      <c r="N14948" t="s">
        <v>27</v>
      </c>
    </row>
    <row r="14949" spans="1:14" x14ac:dyDescent="0.25">
      <c r="A14949" t="s">
        <v>45</v>
      </c>
      <c r="B14949" t="s">
        <v>40</v>
      </c>
      <c r="C14949" t="s">
        <v>15</v>
      </c>
      <c r="D14949" t="s">
        <v>29</v>
      </c>
      <c r="E14949" t="s">
        <v>26</v>
      </c>
      <c r="F14949" t="s">
        <v>18</v>
      </c>
      <c r="G14949" s="1" t="str">
        <f t="shared" si="3428"/>
        <v>X</v>
      </c>
      <c r="H14949" s="1" t="str">
        <f t="shared" si="3428"/>
        <v>X</v>
      </c>
      <c r="I14949" s="1" t="str">
        <f t="shared" si="3428"/>
        <v>X</v>
      </c>
      <c r="J14949" s="1" t="str">
        <f t="shared" si="3428"/>
        <v>X</v>
      </c>
      <c r="K14949" s="1" t="str">
        <f t="shared" si="3428"/>
        <v>X</v>
      </c>
      <c r="L14949" s="1" t="str">
        <f t="shared" si="3428"/>
        <v>X</v>
      </c>
      <c r="M14949" s="1" t="str">
        <f t="shared" si="3428"/>
        <v>X</v>
      </c>
      <c r="N14949" t="s">
        <v>27</v>
      </c>
    </row>
    <row r="14950" spans="1:14" x14ac:dyDescent="0.25">
      <c r="A14950" t="s">
        <v>45</v>
      </c>
      <c r="B14950" t="s">
        <v>40</v>
      </c>
      <c r="C14950" t="s">
        <v>15</v>
      </c>
      <c r="D14950" t="s">
        <v>29</v>
      </c>
      <c r="E14950" t="s">
        <v>26</v>
      </c>
      <c r="F14950" t="s">
        <v>19</v>
      </c>
      <c r="G14950" s="1" t="str">
        <f t="shared" ref="G14950:M14950" si="3429">"..."</f>
        <v>...</v>
      </c>
      <c r="H14950" s="1" t="str">
        <f t="shared" si="3429"/>
        <v>...</v>
      </c>
      <c r="I14950" s="1" t="str">
        <f t="shared" si="3429"/>
        <v>...</v>
      </c>
      <c r="J14950" s="1" t="str">
        <f t="shared" si="3429"/>
        <v>...</v>
      </c>
      <c r="K14950" s="1" t="str">
        <f t="shared" si="3429"/>
        <v>...</v>
      </c>
      <c r="L14950" s="1" t="str">
        <f t="shared" si="3429"/>
        <v>...</v>
      </c>
      <c r="M14950" s="1" t="str">
        <f t="shared" si="3429"/>
        <v>...</v>
      </c>
      <c r="N14950" t="s">
        <v>30</v>
      </c>
    </row>
    <row r="14951" spans="1:14" x14ac:dyDescent="0.25">
      <c r="A14951" t="s">
        <v>45</v>
      </c>
      <c r="B14951" t="s">
        <v>40</v>
      </c>
      <c r="C14951" t="s">
        <v>15</v>
      </c>
      <c r="D14951" t="s">
        <v>29</v>
      </c>
      <c r="E14951" t="s">
        <v>26</v>
      </c>
      <c r="F14951" t="s">
        <v>20</v>
      </c>
      <c r="G14951" s="1" t="str">
        <f t="shared" ref="G14951:M14951" si="3430">"X"</f>
        <v>X</v>
      </c>
      <c r="H14951" s="1" t="str">
        <f t="shared" si="3430"/>
        <v>X</v>
      </c>
      <c r="I14951" s="1" t="str">
        <f t="shared" si="3430"/>
        <v>X</v>
      </c>
      <c r="J14951" s="1" t="str">
        <f t="shared" si="3430"/>
        <v>X</v>
      </c>
      <c r="K14951" s="1" t="str">
        <f t="shared" si="3430"/>
        <v>X</v>
      </c>
      <c r="L14951" s="1" t="str">
        <f t="shared" si="3430"/>
        <v>X</v>
      </c>
      <c r="M14951" s="1" t="str">
        <f t="shared" si="3430"/>
        <v>X</v>
      </c>
      <c r="N14951" t="s">
        <v>27</v>
      </c>
    </row>
    <row r="14952" spans="1:14" x14ac:dyDescent="0.25">
      <c r="A14952" t="s">
        <v>45</v>
      </c>
      <c r="B14952" t="s">
        <v>40</v>
      </c>
      <c r="C14952" t="s">
        <v>15</v>
      </c>
      <c r="D14952" t="s">
        <v>31</v>
      </c>
      <c r="E14952" t="s">
        <v>15</v>
      </c>
      <c r="F14952" t="s">
        <v>15</v>
      </c>
      <c r="G14952" s="1">
        <f>VALUE(4331.47)</f>
        <v>4331.47</v>
      </c>
      <c r="H14952" s="1">
        <f>VALUE(3454.96)</f>
        <v>3454.96</v>
      </c>
      <c r="I14952" s="1">
        <f>VALUE(3403)</f>
        <v>3403</v>
      </c>
      <c r="J14952" s="1">
        <f>VALUE(3751)</f>
        <v>3751</v>
      </c>
      <c r="K14952" s="1">
        <f>VALUE(4437)</f>
        <v>4437</v>
      </c>
      <c r="L14952" s="1">
        <f>VALUE(5837)</f>
        <v>5837</v>
      </c>
      <c r="M14952" s="8">
        <f>VALUE(8406)</f>
        <v>8406</v>
      </c>
      <c r="N14952" t="s">
        <v>25</v>
      </c>
    </row>
    <row r="14953" spans="1:14" x14ac:dyDescent="0.25">
      <c r="A14953" t="s">
        <v>45</v>
      </c>
      <c r="B14953" t="s">
        <v>40</v>
      </c>
      <c r="C14953" t="s">
        <v>15</v>
      </c>
      <c r="D14953" t="s">
        <v>31</v>
      </c>
      <c r="E14953" t="s">
        <v>15</v>
      </c>
      <c r="F14953" t="s">
        <v>17</v>
      </c>
      <c r="G14953" s="2">
        <f>VALUE(453.34)</f>
        <v>453.34</v>
      </c>
      <c r="H14953" s="3">
        <f>VALUE(448.34)</f>
        <v>448.34</v>
      </c>
      <c r="I14953" s="4">
        <f>VALUE(4261)</f>
        <v>4261</v>
      </c>
      <c r="J14953" s="5">
        <f>VALUE(5216)</f>
        <v>5216</v>
      </c>
      <c r="K14953" s="6">
        <f>VALUE(7650)</f>
        <v>7650</v>
      </c>
      <c r="L14953" s="7">
        <f>VALUE(11592)</f>
        <v>11592</v>
      </c>
      <c r="M14953" s="8">
        <f>VALUE(22557)</f>
        <v>22557</v>
      </c>
      <c r="N14953" t="s">
        <v>24</v>
      </c>
    </row>
    <row r="14954" spans="1:14" x14ac:dyDescent="0.25">
      <c r="A14954" t="s">
        <v>45</v>
      </c>
      <c r="B14954" t="s">
        <v>40</v>
      </c>
      <c r="C14954" t="s">
        <v>15</v>
      </c>
      <c r="D14954" t="s">
        <v>31</v>
      </c>
      <c r="E14954" t="s">
        <v>15</v>
      </c>
      <c r="F14954" t="s">
        <v>18</v>
      </c>
      <c r="G14954" s="2">
        <f>VALUE(317.23)</f>
        <v>317.23</v>
      </c>
      <c r="H14954" s="3">
        <f>VALUE(261.79)</f>
        <v>261.79000000000002</v>
      </c>
      <c r="I14954" s="1">
        <f>VALUE(3333)</f>
        <v>3333</v>
      </c>
      <c r="J14954" s="1">
        <f>VALUE(3655)</f>
        <v>3655</v>
      </c>
      <c r="K14954" s="1">
        <f>VALUE(5515)</f>
        <v>5515</v>
      </c>
      <c r="L14954" s="1">
        <f>VALUE(7185)</f>
        <v>7185</v>
      </c>
      <c r="M14954" s="8">
        <f>VALUE(9055)</f>
        <v>9055</v>
      </c>
      <c r="N14954" t="s">
        <v>25</v>
      </c>
    </row>
    <row r="14955" spans="1:14" x14ac:dyDescent="0.25">
      <c r="A14955" t="s">
        <v>45</v>
      </c>
      <c r="B14955" t="s">
        <v>40</v>
      </c>
      <c r="C14955" t="s">
        <v>15</v>
      </c>
      <c r="D14955" t="s">
        <v>31</v>
      </c>
      <c r="E14955" t="s">
        <v>15</v>
      </c>
      <c r="F14955" t="s">
        <v>19</v>
      </c>
      <c r="G14955" s="2">
        <f>VALUE(350.02)</f>
        <v>350.02</v>
      </c>
      <c r="H14955" s="3">
        <f>VALUE(319.17)</f>
        <v>319.17</v>
      </c>
      <c r="I14955" s="1">
        <f>VALUE(3830)</f>
        <v>3830</v>
      </c>
      <c r="J14955" s="1">
        <f>VALUE(4286)</f>
        <v>4286</v>
      </c>
      <c r="K14955" s="1">
        <f>VALUE(5142)</f>
        <v>5142</v>
      </c>
      <c r="L14955" s="7">
        <f>VALUE(6276)</f>
        <v>6276</v>
      </c>
      <c r="M14955" s="8">
        <f>VALUE(7578)</f>
        <v>7578</v>
      </c>
      <c r="N14955" t="s">
        <v>25</v>
      </c>
    </row>
    <row r="14956" spans="1:14" x14ac:dyDescent="0.25">
      <c r="A14956" t="s">
        <v>45</v>
      </c>
      <c r="B14956" t="s">
        <v>40</v>
      </c>
      <c r="C14956" t="s">
        <v>15</v>
      </c>
      <c r="D14956" t="s">
        <v>31</v>
      </c>
      <c r="E14956" t="s">
        <v>15</v>
      </c>
      <c r="F14956" t="s">
        <v>20</v>
      </c>
      <c r="G14956" s="2">
        <f>VALUE(3210.88)</f>
        <v>3210.88</v>
      </c>
      <c r="H14956" s="1">
        <f>VALUE(2425.66)</f>
        <v>2425.66</v>
      </c>
      <c r="I14956" s="1">
        <f>VALUE(3371)</f>
        <v>3371</v>
      </c>
      <c r="J14956" s="1">
        <f>VALUE(3610)</f>
        <v>3610</v>
      </c>
      <c r="K14956" s="1">
        <f>VALUE(4190)</f>
        <v>4190</v>
      </c>
      <c r="L14956" s="1">
        <f>VALUE(5077)</f>
        <v>5077</v>
      </c>
      <c r="M14956" s="1">
        <f>VALUE(6350)</f>
        <v>6350</v>
      </c>
      <c r="N14956" t="s">
        <v>25</v>
      </c>
    </row>
    <row r="14957" spans="1:14" x14ac:dyDescent="0.25">
      <c r="A14957" t="s">
        <v>45</v>
      </c>
      <c r="B14957" t="s">
        <v>40</v>
      </c>
      <c r="C14957" t="s">
        <v>15</v>
      </c>
      <c r="D14957" t="s">
        <v>31</v>
      </c>
      <c r="E14957" t="s">
        <v>21</v>
      </c>
      <c r="F14957" t="s">
        <v>15</v>
      </c>
      <c r="G14957" s="2">
        <f>VALUE(1747.11)</f>
        <v>1747.11</v>
      </c>
      <c r="H14957" s="3">
        <f>VALUE(1508.3)</f>
        <v>1508.3</v>
      </c>
      <c r="I14957" s="1">
        <f>VALUE(3806)</f>
        <v>3806</v>
      </c>
      <c r="J14957" s="1">
        <f>VALUE(4429)</f>
        <v>4429</v>
      </c>
      <c r="K14957" s="1">
        <f>VALUE(5417)</f>
        <v>5417</v>
      </c>
      <c r="L14957" s="1">
        <f>VALUE(7009)</f>
        <v>7009</v>
      </c>
      <c r="M14957" s="8">
        <f>VALUE(9787)</f>
        <v>9787</v>
      </c>
      <c r="N14957" t="s">
        <v>25</v>
      </c>
    </row>
    <row r="14958" spans="1:14" x14ac:dyDescent="0.25">
      <c r="A14958" t="s">
        <v>45</v>
      </c>
      <c r="B14958" t="s">
        <v>40</v>
      </c>
      <c r="C14958" t="s">
        <v>15</v>
      </c>
      <c r="D14958" t="s">
        <v>31</v>
      </c>
      <c r="E14958" t="s">
        <v>21</v>
      </c>
      <c r="F14958" t="s">
        <v>17</v>
      </c>
      <c r="G14958" s="2">
        <f>VALUE(329.46)</f>
        <v>329.46</v>
      </c>
      <c r="H14958" s="3">
        <f>VALUE(326.97)</f>
        <v>326.97000000000003</v>
      </c>
      <c r="I14958" s="1">
        <f>VALUE(4343)</f>
        <v>4343</v>
      </c>
      <c r="J14958" s="5">
        <f>VALUE(4651)</f>
        <v>4651</v>
      </c>
      <c r="K14958" s="6">
        <f>VALUE(7633)</f>
        <v>7633</v>
      </c>
      <c r="L14958" s="7">
        <f>VALUE(14421)</f>
        <v>14421</v>
      </c>
      <c r="M14958" s="1">
        <f>VALUE(23016)</f>
        <v>23016</v>
      </c>
      <c r="N14958" t="s">
        <v>25</v>
      </c>
    </row>
    <row r="14959" spans="1:14" x14ac:dyDescent="0.25">
      <c r="A14959" t="s">
        <v>45</v>
      </c>
      <c r="B14959" t="s">
        <v>40</v>
      </c>
      <c r="C14959" t="s">
        <v>15</v>
      </c>
      <c r="D14959" t="s">
        <v>31</v>
      </c>
      <c r="E14959" t="s">
        <v>21</v>
      </c>
      <c r="F14959" t="s">
        <v>18</v>
      </c>
      <c r="G14959" s="1" t="str">
        <f t="shared" ref="G14959:M14959" si="3431">"X"</f>
        <v>X</v>
      </c>
      <c r="H14959" s="1" t="str">
        <f t="shared" si="3431"/>
        <v>X</v>
      </c>
      <c r="I14959" s="1" t="str">
        <f t="shared" si="3431"/>
        <v>X</v>
      </c>
      <c r="J14959" s="1" t="str">
        <f t="shared" si="3431"/>
        <v>X</v>
      </c>
      <c r="K14959" s="1" t="str">
        <f t="shared" si="3431"/>
        <v>X</v>
      </c>
      <c r="L14959" s="1" t="str">
        <f t="shared" si="3431"/>
        <v>X</v>
      </c>
      <c r="M14959" s="1" t="str">
        <f t="shared" si="3431"/>
        <v>X</v>
      </c>
      <c r="N14959" t="s">
        <v>27</v>
      </c>
    </row>
    <row r="14960" spans="1:14" x14ac:dyDescent="0.25">
      <c r="A14960" t="s">
        <v>45</v>
      </c>
      <c r="B14960" t="s">
        <v>40</v>
      </c>
      <c r="C14960" t="s">
        <v>15</v>
      </c>
      <c r="D14960" t="s">
        <v>31</v>
      </c>
      <c r="E14960" t="s">
        <v>21</v>
      </c>
      <c r="F14960" t="s">
        <v>19</v>
      </c>
      <c r="G14960" s="2">
        <f>VALUE(185.39)</f>
        <v>185.39</v>
      </c>
      <c r="H14960" s="3">
        <f>VALUE(165.95)</f>
        <v>165.95</v>
      </c>
      <c r="I14960" s="1">
        <f>VALUE(3830)</f>
        <v>3830</v>
      </c>
      <c r="J14960" s="1">
        <f>VALUE(4209)</f>
        <v>4209</v>
      </c>
      <c r="K14960" s="6">
        <f>VALUE(5417)</f>
        <v>5417</v>
      </c>
      <c r="L14960" s="1">
        <f>VALUE(6900)</f>
        <v>6900</v>
      </c>
      <c r="M14960" s="8">
        <f>VALUE(7565)</f>
        <v>7565</v>
      </c>
      <c r="N14960" t="s">
        <v>25</v>
      </c>
    </row>
    <row r="14961" spans="1:14" x14ac:dyDescent="0.25">
      <c r="A14961" t="s">
        <v>45</v>
      </c>
      <c r="B14961" t="s">
        <v>40</v>
      </c>
      <c r="C14961" t="s">
        <v>15</v>
      </c>
      <c r="D14961" t="s">
        <v>31</v>
      </c>
      <c r="E14961" t="s">
        <v>21</v>
      </c>
      <c r="F14961" t="s">
        <v>20</v>
      </c>
      <c r="G14961" s="2">
        <f>VALUE(1044.95)</f>
        <v>1044.95</v>
      </c>
      <c r="H14961" s="3">
        <f>VALUE(860.72)</f>
        <v>860.72</v>
      </c>
      <c r="I14961" s="4">
        <f>VALUE(3575)</f>
        <v>3575</v>
      </c>
      <c r="J14961" s="1">
        <f>VALUE(4215)</f>
        <v>4215</v>
      </c>
      <c r="K14961" s="1">
        <f>VALUE(5150)</f>
        <v>5150</v>
      </c>
      <c r="L14961" s="1">
        <f>VALUE(6100)</f>
        <v>6100</v>
      </c>
      <c r="M14961" s="1">
        <f>VALUE(7370)</f>
        <v>7370</v>
      </c>
      <c r="N14961" t="s">
        <v>25</v>
      </c>
    </row>
    <row r="14962" spans="1:14" x14ac:dyDescent="0.25">
      <c r="A14962" t="s">
        <v>45</v>
      </c>
      <c r="B14962" t="s">
        <v>40</v>
      </c>
      <c r="C14962" t="s">
        <v>15</v>
      </c>
      <c r="D14962" t="s">
        <v>31</v>
      </c>
      <c r="E14962" t="s">
        <v>22</v>
      </c>
      <c r="F14962" t="s">
        <v>15</v>
      </c>
      <c r="G14962" s="2">
        <f>VALUE(982.12)</f>
        <v>982.12</v>
      </c>
      <c r="H14962" s="3">
        <f>VALUE(867.28)</f>
        <v>867.28</v>
      </c>
      <c r="I14962" s="1">
        <f>VALUE(3433)</f>
        <v>3433</v>
      </c>
      <c r="J14962" s="1">
        <f>VALUE(3824)</f>
        <v>3824</v>
      </c>
      <c r="K14962" s="1">
        <f>VALUE(4653)</f>
        <v>4653</v>
      </c>
      <c r="L14962" s="7">
        <f>VALUE(5542)</f>
        <v>5542</v>
      </c>
      <c r="M14962" s="8">
        <f>VALUE(8392)</f>
        <v>8392</v>
      </c>
      <c r="N14962" t="s">
        <v>25</v>
      </c>
    </row>
    <row r="14963" spans="1:14" x14ac:dyDescent="0.25">
      <c r="A14963" t="s">
        <v>45</v>
      </c>
      <c r="B14963" t="s">
        <v>40</v>
      </c>
      <c r="C14963" t="s">
        <v>15</v>
      </c>
      <c r="D14963" t="s">
        <v>31</v>
      </c>
      <c r="E14963" t="s">
        <v>22</v>
      </c>
      <c r="F14963" t="s">
        <v>17</v>
      </c>
      <c r="G14963" s="1" t="str">
        <f t="shared" ref="G14963:M14965" si="3432">"X"</f>
        <v>X</v>
      </c>
      <c r="H14963" s="1" t="str">
        <f t="shared" si="3432"/>
        <v>X</v>
      </c>
      <c r="I14963" s="1" t="str">
        <f t="shared" si="3432"/>
        <v>X</v>
      </c>
      <c r="J14963" s="1" t="str">
        <f t="shared" si="3432"/>
        <v>X</v>
      </c>
      <c r="K14963" s="1" t="str">
        <f t="shared" si="3432"/>
        <v>X</v>
      </c>
      <c r="L14963" s="1" t="str">
        <f t="shared" si="3432"/>
        <v>X</v>
      </c>
      <c r="M14963" s="1" t="str">
        <f t="shared" si="3432"/>
        <v>X</v>
      </c>
      <c r="N14963" t="s">
        <v>27</v>
      </c>
    </row>
    <row r="14964" spans="1:14" x14ac:dyDescent="0.25">
      <c r="A14964" t="s">
        <v>45</v>
      </c>
      <c r="B14964" t="s">
        <v>40</v>
      </c>
      <c r="C14964" t="s">
        <v>15</v>
      </c>
      <c r="D14964" t="s">
        <v>31</v>
      </c>
      <c r="E14964" t="s">
        <v>22</v>
      </c>
      <c r="F14964" t="s">
        <v>18</v>
      </c>
      <c r="G14964" s="1" t="str">
        <f t="shared" si="3432"/>
        <v>X</v>
      </c>
      <c r="H14964" s="1" t="str">
        <f t="shared" si="3432"/>
        <v>X</v>
      </c>
      <c r="I14964" s="1" t="str">
        <f t="shared" si="3432"/>
        <v>X</v>
      </c>
      <c r="J14964" s="1" t="str">
        <f t="shared" si="3432"/>
        <v>X</v>
      </c>
      <c r="K14964" s="1" t="str">
        <f t="shared" si="3432"/>
        <v>X</v>
      </c>
      <c r="L14964" s="1" t="str">
        <f t="shared" si="3432"/>
        <v>X</v>
      </c>
      <c r="M14964" s="1" t="str">
        <f t="shared" si="3432"/>
        <v>X</v>
      </c>
      <c r="N14964" t="s">
        <v>27</v>
      </c>
    </row>
    <row r="14965" spans="1:14" x14ac:dyDescent="0.25">
      <c r="A14965" t="s">
        <v>45</v>
      </c>
      <c r="B14965" t="s">
        <v>40</v>
      </c>
      <c r="C14965" t="s">
        <v>15</v>
      </c>
      <c r="D14965" t="s">
        <v>31</v>
      </c>
      <c r="E14965" t="s">
        <v>22</v>
      </c>
      <c r="F14965" t="s">
        <v>19</v>
      </c>
      <c r="G14965" s="1" t="str">
        <f t="shared" si="3432"/>
        <v>X</v>
      </c>
      <c r="H14965" s="1" t="str">
        <f t="shared" si="3432"/>
        <v>X</v>
      </c>
      <c r="I14965" s="1" t="str">
        <f t="shared" si="3432"/>
        <v>X</v>
      </c>
      <c r="J14965" s="1" t="str">
        <f t="shared" si="3432"/>
        <v>X</v>
      </c>
      <c r="K14965" s="1" t="str">
        <f t="shared" si="3432"/>
        <v>X</v>
      </c>
      <c r="L14965" s="1" t="str">
        <f t="shared" si="3432"/>
        <v>X</v>
      </c>
      <c r="M14965" s="1" t="str">
        <f t="shared" si="3432"/>
        <v>X</v>
      </c>
      <c r="N14965" t="s">
        <v>27</v>
      </c>
    </row>
    <row r="14966" spans="1:14" x14ac:dyDescent="0.25">
      <c r="A14966" t="s">
        <v>45</v>
      </c>
      <c r="B14966" t="s">
        <v>40</v>
      </c>
      <c r="C14966" t="s">
        <v>15</v>
      </c>
      <c r="D14966" t="s">
        <v>31</v>
      </c>
      <c r="E14966" t="s">
        <v>22</v>
      </c>
      <c r="F14966" t="s">
        <v>20</v>
      </c>
      <c r="G14966" s="2">
        <f>VALUE(648.33)</f>
        <v>648.33000000000004</v>
      </c>
      <c r="H14966" s="3">
        <f>VALUE(553.35)</f>
        <v>553.35</v>
      </c>
      <c r="I14966" s="4">
        <f>VALUE(3403)</f>
        <v>3403</v>
      </c>
      <c r="J14966" s="1">
        <f>VALUE(3751)</f>
        <v>3751</v>
      </c>
      <c r="K14966" s="1">
        <f>VALUE(4239)</f>
        <v>4239</v>
      </c>
      <c r="L14966" s="1">
        <f>VALUE(4954)</f>
        <v>4954</v>
      </c>
      <c r="M14966" s="1">
        <f>VALUE(6190)</f>
        <v>6190</v>
      </c>
      <c r="N14966" t="s">
        <v>25</v>
      </c>
    </row>
    <row r="14967" spans="1:14" x14ac:dyDescent="0.25">
      <c r="A14967" t="s">
        <v>45</v>
      </c>
      <c r="B14967" t="s">
        <v>40</v>
      </c>
      <c r="C14967" t="s">
        <v>15</v>
      </c>
      <c r="D14967" t="s">
        <v>31</v>
      </c>
      <c r="E14967" t="s">
        <v>23</v>
      </c>
      <c r="F14967" t="s">
        <v>15</v>
      </c>
      <c r="G14967" s="2">
        <f>VALUE(1552.77)</f>
        <v>1552.77</v>
      </c>
      <c r="H14967" s="3">
        <f>VALUE(1040.97)</f>
        <v>1040.97</v>
      </c>
      <c r="I14967" s="4">
        <f>VALUE(3210)</f>
        <v>3210</v>
      </c>
      <c r="J14967" s="1">
        <f>VALUE(3467)</f>
        <v>3467</v>
      </c>
      <c r="K14967" s="1">
        <f>VALUE(3779)</f>
        <v>3779</v>
      </c>
      <c r="L14967" s="1">
        <f>VALUE(4217)</f>
        <v>4217</v>
      </c>
      <c r="M14967" s="1">
        <f>VALUE(4600)</f>
        <v>4600</v>
      </c>
      <c r="N14967" t="s">
        <v>25</v>
      </c>
    </row>
    <row r="14968" spans="1:14" x14ac:dyDescent="0.25">
      <c r="A14968" t="s">
        <v>45</v>
      </c>
      <c r="B14968" t="s">
        <v>40</v>
      </c>
      <c r="C14968" t="s">
        <v>15</v>
      </c>
      <c r="D14968" t="s">
        <v>31</v>
      </c>
      <c r="E14968" t="s">
        <v>23</v>
      </c>
      <c r="F14968" t="s">
        <v>17</v>
      </c>
      <c r="G14968" s="1" t="str">
        <f t="shared" ref="G14968:M14970" si="3433">"X"</f>
        <v>X</v>
      </c>
      <c r="H14968" s="1" t="str">
        <f t="shared" si="3433"/>
        <v>X</v>
      </c>
      <c r="I14968" s="1" t="str">
        <f t="shared" si="3433"/>
        <v>X</v>
      </c>
      <c r="J14968" s="1" t="str">
        <f t="shared" si="3433"/>
        <v>X</v>
      </c>
      <c r="K14968" s="1" t="str">
        <f t="shared" si="3433"/>
        <v>X</v>
      </c>
      <c r="L14968" s="1" t="str">
        <f t="shared" si="3433"/>
        <v>X</v>
      </c>
      <c r="M14968" s="1" t="str">
        <f t="shared" si="3433"/>
        <v>X</v>
      </c>
      <c r="N14968" t="s">
        <v>27</v>
      </c>
    </row>
    <row r="14969" spans="1:14" x14ac:dyDescent="0.25">
      <c r="A14969" t="s">
        <v>45</v>
      </c>
      <c r="B14969" t="s">
        <v>40</v>
      </c>
      <c r="C14969" t="s">
        <v>15</v>
      </c>
      <c r="D14969" t="s">
        <v>31</v>
      </c>
      <c r="E14969" t="s">
        <v>23</v>
      </c>
      <c r="F14969" t="s">
        <v>18</v>
      </c>
      <c r="G14969" s="1" t="str">
        <f t="shared" si="3433"/>
        <v>X</v>
      </c>
      <c r="H14969" s="1" t="str">
        <f t="shared" si="3433"/>
        <v>X</v>
      </c>
      <c r="I14969" s="1" t="str">
        <f t="shared" si="3433"/>
        <v>X</v>
      </c>
      <c r="J14969" s="1" t="str">
        <f t="shared" si="3433"/>
        <v>X</v>
      </c>
      <c r="K14969" s="1" t="str">
        <f t="shared" si="3433"/>
        <v>X</v>
      </c>
      <c r="L14969" s="1" t="str">
        <f t="shared" si="3433"/>
        <v>X</v>
      </c>
      <c r="M14969" s="1" t="str">
        <f t="shared" si="3433"/>
        <v>X</v>
      </c>
      <c r="N14969" t="s">
        <v>27</v>
      </c>
    </row>
    <row r="14970" spans="1:14" x14ac:dyDescent="0.25">
      <c r="A14970" t="s">
        <v>45</v>
      </c>
      <c r="B14970" t="s">
        <v>40</v>
      </c>
      <c r="C14970" t="s">
        <v>15</v>
      </c>
      <c r="D14970" t="s">
        <v>31</v>
      </c>
      <c r="E14970" t="s">
        <v>23</v>
      </c>
      <c r="F14970" t="s">
        <v>19</v>
      </c>
      <c r="G14970" s="1" t="str">
        <f t="shared" si="3433"/>
        <v>X</v>
      </c>
      <c r="H14970" s="1" t="str">
        <f t="shared" si="3433"/>
        <v>X</v>
      </c>
      <c r="I14970" s="1" t="str">
        <f t="shared" si="3433"/>
        <v>X</v>
      </c>
      <c r="J14970" s="1" t="str">
        <f t="shared" si="3433"/>
        <v>X</v>
      </c>
      <c r="K14970" s="1" t="str">
        <f t="shared" si="3433"/>
        <v>X</v>
      </c>
      <c r="L14970" s="1" t="str">
        <f t="shared" si="3433"/>
        <v>X</v>
      </c>
      <c r="M14970" s="1" t="str">
        <f t="shared" si="3433"/>
        <v>X</v>
      </c>
      <c r="N14970" t="s">
        <v>27</v>
      </c>
    </row>
    <row r="14971" spans="1:14" x14ac:dyDescent="0.25">
      <c r="A14971" t="s">
        <v>45</v>
      </c>
      <c r="B14971" t="s">
        <v>40</v>
      </c>
      <c r="C14971" t="s">
        <v>15</v>
      </c>
      <c r="D14971" t="s">
        <v>31</v>
      </c>
      <c r="E14971" t="s">
        <v>23</v>
      </c>
      <c r="F14971" t="s">
        <v>20</v>
      </c>
      <c r="G14971" s="2">
        <f>VALUE(1468.13)</f>
        <v>1468.13</v>
      </c>
      <c r="H14971" s="3">
        <f>VALUE(973.18)</f>
        <v>973.18</v>
      </c>
      <c r="I14971" s="4">
        <f>VALUE(3255)</f>
        <v>3255</v>
      </c>
      <c r="J14971" s="1">
        <f>VALUE(3470)</f>
        <v>3470</v>
      </c>
      <c r="K14971" s="1">
        <f>VALUE(3781)</f>
        <v>3781</v>
      </c>
      <c r="L14971" s="1">
        <f>VALUE(4203)</f>
        <v>4203</v>
      </c>
      <c r="M14971" s="1">
        <f>VALUE(4580)</f>
        <v>4580</v>
      </c>
      <c r="N14971" t="s">
        <v>25</v>
      </c>
    </row>
    <row r="14972" spans="1:14" x14ac:dyDescent="0.25">
      <c r="A14972" t="s">
        <v>45</v>
      </c>
      <c r="B14972" t="s">
        <v>40</v>
      </c>
      <c r="C14972" t="s">
        <v>15</v>
      </c>
      <c r="D14972" t="s">
        <v>31</v>
      </c>
      <c r="E14972" t="s">
        <v>26</v>
      </c>
      <c r="F14972" t="s">
        <v>15</v>
      </c>
      <c r="G14972" s="1" t="str">
        <f t="shared" ref="G14972:M14972" si="3434">"X"</f>
        <v>X</v>
      </c>
      <c r="H14972" s="1" t="str">
        <f t="shared" si="3434"/>
        <v>X</v>
      </c>
      <c r="I14972" s="1" t="str">
        <f t="shared" si="3434"/>
        <v>X</v>
      </c>
      <c r="J14972" s="1" t="str">
        <f t="shared" si="3434"/>
        <v>X</v>
      </c>
      <c r="K14972" s="1" t="str">
        <f t="shared" si="3434"/>
        <v>X</v>
      </c>
      <c r="L14972" s="1" t="str">
        <f t="shared" si="3434"/>
        <v>X</v>
      </c>
      <c r="M14972" s="1" t="str">
        <f t="shared" si="3434"/>
        <v>X</v>
      </c>
      <c r="N14972" t="s">
        <v>27</v>
      </c>
    </row>
    <row r="14973" spans="1:14" x14ac:dyDescent="0.25">
      <c r="A14973" t="s">
        <v>45</v>
      </c>
      <c r="B14973" t="s">
        <v>40</v>
      </c>
      <c r="C14973" t="s">
        <v>15</v>
      </c>
      <c r="D14973" t="s">
        <v>31</v>
      </c>
      <c r="E14973" t="s">
        <v>26</v>
      </c>
      <c r="F14973" t="s">
        <v>17</v>
      </c>
      <c r="G14973" s="1" t="str">
        <f t="shared" ref="G14973:M14975" si="3435">"..."</f>
        <v>...</v>
      </c>
      <c r="H14973" s="1" t="str">
        <f t="shared" si="3435"/>
        <v>...</v>
      </c>
      <c r="I14973" s="1" t="str">
        <f t="shared" si="3435"/>
        <v>...</v>
      </c>
      <c r="J14973" s="1" t="str">
        <f t="shared" si="3435"/>
        <v>...</v>
      </c>
      <c r="K14973" s="1" t="str">
        <f t="shared" si="3435"/>
        <v>...</v>
      </c>
      <c r="L14973" s="1" t="str">
        <f t="shared" si="3435"/>
        <v>...</v>
      </c>
      <c r="M14973" s="1" t="str">
        <f t="shared" si="3435"/>
        <v>...</v>
      </c>
      <c r="N14973" t="s">
        <v>30</v>
      </c>
    </row>
    <row r="14974" spans="1:14" x14ac:dyDescent="0.25">
      <c r="A14974" t="s">
        <v>45</v>
      </c>
      <c r="B14974" t="s">
        <v>40</v>
      </c>
      <c r="C14974" t="s">
        <v>15</v>
      </c>
      <c r="D14974" t="s">
        <v>31</v>
      </c>
      <c r="E14974" t="s">
        <v>26</v>
      </c>
      <c r="F14974" t="s">
        <v>18</v>
      </c>
      <c r="G14974" s="1" t="str">
        <f t="shared" si="3435"/>
        <v>...</v>
      </c>
      <c r="H14974" s="1" t="str">
        <f t="shared" si="3435"/>
        <v>...</v>
      </c>
      <c r="I14974" s="1" t="str">
        <f t="shared" si="3435"/>
        <v>...</v>
      </c>
      <c r="J14974" s="1" t="str">
        <f t="shared" si="3435"/>
        <v>...</v>
      </c>
      <c r="K14974" s="1" t="str">
        <f t="shared" si="3435"/>
        <v>...</v>
      </c>
      <c r="L14974" s="1" t="str">
        <f t="shared" si="3435"/>
        <v>...</v>
      </c>
      <c r="M14974" s="1" t="str">
        <f t="shared" si="3435"/>
        <v>...</v>
      </c>
      <c r="N14974" t="s">
        <v>30</v>
      </c>
    </row>
    <row r="14975" spans="1:14" x14ac:dyDescent="0.25">
      <c r="A14975" t="s">
        <v>45</v>
      </c>
      <c r="B14975" t="s">
        <v>40</v>
      </c>
      <c r="C14975" t="s">
        <v>15</v>
      </c>
      <c r="D14975" t="s">
        <v>31</v>
      </c>
      <c r="E14975" t="s">
        <v>26</v>
      </c>
      <c r="F14975" t="s">
        <v>19</v>
      </c>
      <c r="G14975" s="1" t="str">
        <f t="shared" si="3435"/>
        <v>...</v>
      </c>
      <c r="H14975" s="1" t="str">
        <f t="shared" si="3435"/>
        <v>...</v>
      </c>
      <c r="I14975" s="1" t="str">
        <f t="shared" si="3435"/>
        <v>...</v>
      </c>
      <c r="J14975" s="1" t="str">
        <f t="shared" si="3435"/>
        <v>...</v>
      </c>
      <c r="K14975" s="1" t="str">
        <f t="shared" si="3435"/>
        <v>...</v>
      </c>
      <c r="L14975" s="1" t="str">
        <f t="shared" si="3435"/>
        <v>...</v>
      </c>
      <c r="M14975" s="1" t="str">
        <f t="shared" si="3435"/>
        <v>...</v>
      </c>
      <c r="N14975" t="s">
        <v>30</v>
      </c>
    </row>
    <row r="14976" spans="1:14" x14ac:dyDescent="0.25">
      <c r="A14976" t="s">
        <v>45</v>
      </c>
      <c r="B14976" t="s">
        <v>40</v>
      </c>
      <c r="C14976" t="s">
        <v>15</v>
      </c>
      <c r="D14976" t="s">
        <v>31</v>
      </c>
      <c r="E14976" t="s">
        <v>26</v>
      </c>
      <c r="F14976" t="s">
        <v>20</v>
      </c>
      <c r="G14976" s="1" t="str">
        <f t="shared" ref="G14976:M14976" si="3436">"X"</f>
        <v>X</v>
      </c>
      <c r="H14976" s="1" t="str">
        <f t="shared" si="3436"/>
        <v>X</v>
      </c>
      <c r="I14976" s="1" t="str">
        <f t="shared" si="3436"/>
        <v>X</v>
      </c>
      <c r="J14976" s="1" t="str">
        <f t="shared" si="3436"/>
        <v>X</v>
      </c>
      <c r="K14976" s="1" t="str">
        <f t="shared" si="3436"/>
        <v>X</v>
      </c>
      <c r="L14976" s="1" t="str">
        <f t="shared" si="3436"/>
        <v>X</v>
      </c>
      <c r="M14976" s="1" t="str">
        <f t="shared" si="3436"/>
        <v>X</v>
      </c>
      <c r="N14976" t="s">
        <v>27</v>
      </c>
    </row>
    <row r="14977" spans="1:14" x14ac:dyDescent="0.25">
      <c r="A14977" t="s">
        <v>45</v>
      </c>
      <c r="B14977" t="s">
        <v>40</v>
      </c>
      <c r="C14977" t="s">
        <v>15</v>
      </c>
      <c r="D14977" t="s">
        <v>32</v>
      </c>
      <c r="E14977" t="s">
        <v>15</v>
      </c>
      <c r="F14977" t="s">
        <v>15</v>
      </c>
      <c r="G14977" s="1">
        <f>VALUE(18657.62)</f>
        <v>18657.62</v>
      </c>
      <c r="H14977" s="1">
        <f>VALUE(15766)</f>
        <v>15766</v>
      </c>
      <c r="I14977" s="1">
        <f>VALUE(2930)</f>
        <v>2930</v>
      </c>
      <c r="J14977" s="1">
        <f>VALUE(3276)</f>
        <v>3276</v>
      </c>
      <c r="K14977" s="1">
        <f>VALUE(3795)</f>
        <v>3795</v>
      </c>
      <c r="L14977" s="1">
        <f>VALUE(4829)</f>
        <v>4829</v>
      </c>
      <c r="M14977" s="1">
        <f>VALUE(6359)</f>
        <v>6359</v>
      </c>
      <c r="N14977" t="s">
        <v>16</v>
      </c>
    </row>
    <row r="14978" spans="1:14" x14ac:dyDescent="0.25">
      <c r="A14978" t="s">
        <v>45</v>
      </c>
      <c r="B14978" t="s">
        <v>40</v>
      </c>
      <c r="C14978" t="s">
        <v>15</v>
      </c>
      <c r="D14978" t="s">
        <v>32</v>
      </c>
      <c r="E14978" t="s">
        <v>15</v>
      </c>
      <c r="F14978" t="s">
        <v>17</v>
      </c>
      <c r="G14978" s="2">
        <f>VALUE(967.88)</f>
        <v>967.88</v>
      </c>
      <c r="H14978" s="3">
        <f>VALUE(822.29)</f>
        <v>822.29</v>
      </c>
      <c r="I14978" s="4">
        <f>VALUE(3810)</f>
        <v>3810</v>
      </c>
      <c r="J14978" s="1">
        <f>VALUE(4720)</f>
        <v>4720</v>
      </c>
      <c r="K14978" s="6">
        <f>VALUE(6031)</f>
        <v>6031</v>
      </c>
      <c r="L14978" s="7">
        <f>VALUE(8880)</f>
        <v>8880</v>
      </c>
      <c r="M14978" s="8">
        <f>VALUE(14558)</f>
        <v>14558</v>
      </c>
      <c r="N14978" t="s">
        <v>25</v>
      </c>
    </row>
    <row r="14979" spans="1:14" x14ac:dyDescent="0.25">
      <c r="A14979" t="s">
        <v>45</v>
      </c>
      <c r="B14979" t="s">
        <v>40</v>
      </c>
      <c r="C14979" t="s">
        <v>15</v>
      </c>
      <c r="D14979" t="s">
        <v>32</v>
      </c>
      <c r="E14979" t="s">
        <v>15</v>
      </c>
      <c r="F14979" t="s">
        <v>18</v>
      </c>
      <c r="G14979" s="2">
        <f>VALUE(1093.54)</f>
        <v>1093.54</v>
      </c>
      <c r="H14979" s="3">
        <f>VALUE(950.65)</f>
        <v>950.65</v>
      </c>
      <c r="I14979" s="1">
        <f>VALUE(3702)</f>
        <v>3702</v>
      </c>
      <c r="J14979" s="1">
        <f>VALUE(4333)</f>
        <v>4333</v>
      </c>
      <c r="K14979" s="1">
        <f>VALUE(5165)</f>
        <v>5165</v>
      </c>
      <c r="L14979" s="7">
        <f>VALUE(6964)</f>
        <v>6964</v>
      </c>
      <c r="M14979" s="8">
        <f>VALUE(9558)</f>
        <v>9558</v>
      </c>
      <c r="N14979" t="s">
        <v>25</v>
      </c>
    </row>
    <row r="14980" spans="1:14" x14ac:dyDescent="0.25">
      <c r="A14980" t="s">
        <v>45</v>
      </c>
      <c r="B14980" t="s">
        <v>40</v>
      </c>
      <c r="C14980" t="s">
        <v>15</v>
      </c>
      <c r="D14980" t="s">
        <v>32</v>
      </c>
      <c r="E14980" t="s">
        <v>15</v>
      </c>
      <c r="F14980" t="s">
        <v>19</v>
      </c>
      <c r="G14980" s="2">
        <f>VALUE(1430.55)</f>
        <v>1430.55</v>
      </c>
      <c r="H14980" s="3">
        <f>VALUE(1265.08)</f>
        <v>1265.08</v>
      </c>
      <c r="I14980" s="1">
        <f>VALUE(3332)</f>
        <v>3332</v>
      </c>
      <c r="J14980" s="1">
        <f>VALUE(3842)</f>
        <v>3842</v>
      </c>
      <c r="K14980" s="1">
        <f>VALUE(4524)</f>
        <v>4524</v>
      </c>
      <c r="L14980" s="1">
        <f>VALUE(5533)</f>
        <v>5533</v>
      </c>
      <c r="M14980" s="1">
        <f>VALUE(7314)</f>
        <v>7314</v>
      </c>
      <c r="N14980" t="s">
        <v>25</v>
      </c>
    </row>
    <row r="14981" spans="1:14" x14ac:dyDescent="0.25">
      <c r="A14981" t="s">
        <v>45</v>
      </c>
      <c r="B14981" t="s">
        <v>40</v>
      </c>
      <c r="C14981" t="s">
        <v>15</v>
      </c>
      <c r="D14981" t="s">
        <v>32</v>
      </c>
      <c r="E14981" t="s">
        <v>15</v>
      </c>
      <c r="F14981" t="s">
        <v>20</v>
      </c>
      <c r="G14981" s="1">
        <f>VALUE(15165.65)</f>
        <v>15165.65</v>
      </c>
      <c r="H14981" s="1">
        <f>VALUE(12727.98)</f>
        <v>12727.98</v>
      </c>
      <c r="I14981" s="1">
        <f>VALUE(2868)</f>
        <v>2868</v>
      </c>
      <c r="J14981" s="1">
        <f>VALUE(3204)</f>
        <v>3204</v>
      </c>
      <c r="K14981" s="1">
        <f>VALUE(3600)</f>
        <v>3600</v>
      </c>
      <c r="L14981" s="1">
        <f>VALUE(4368)</f>
        <v>4368</v>
      </c>
      <c r="M14981" s="1">
        <f>VALUE(5605)</f>
        <v>5605</v>
      </c>
      <c r="N14981" t="s">
        <v>16</v>
      </c>
    </row>
    <row r="14982" spans="1:14" x14ac:dyDescent="0.25">
      <c r="A14982" t="s">
        <v>45</v>
      </c>
      <c r="B14982" t="s">
        <v>40</v>
      </c>
      <c r="C14982" t="s">
        <v>15</v>
      </c>
      <c r="D14982" t="s">
        <v>32</v>
      </c>
      <c r="E14982" t="s">
        <v>21</v>
      </c>
      <c r="F14982" t="s">
        <v>15</v>
      </c>
      <c r="G14982" s="1">
        <f>VALUE(4951.03)</f>
        <v>4951.03</v>
      </c>
      <c r="H14982" s="1">
        <f>VALUE(4199.83)</f>
        <v>4199.83</v>
      </c>
      <c r="I14982" s="1">
        <f>VALUE(3265)</f>
        <v>3265</v>
      </c>
      <c r="J14982" s="1">
        <f>VALUE(3809)</f>
        <v>3809</v>
      </c>
      <c r="K14982" s="1">
        <f>VALUE(4884)</f>
        <v>4884</v>
      </c>
      <c r="L14982" s="1">
        <f>VALUE(6394)</f>
        <v>6394</v>
      </c>
      <c r="M14982" s="8">
        <f>VALUE(8378)</f>
        <v>8378</v>
      </c>
      <c r="N14982" t="s">
        <v>25</v>
      </c>
    </row>
    <row r="14983" spans="1:14" x14ac:dyDescent="0.25">
      <c r="A14983" t="s">
        <v>45</v>
      </c>
      <c r="B14983" t="s">
        <v>40</v>
      </c>
      <c r="C14983" t="s">
        <v>15</v>
      </c>
      <c r="D14983" t="s">
        <v>32</v>
      </c>
      <c r="E14983" t="s">
        <v>21</v>
      </c>
      <c r="F14983" t="s">
        <v>17</v>
      </c>
      <c r="G14983" s="2">
        <f>VALUE(680.7)</f>
        <v>680.7</v>
      </c>
      <c r="H14983" s="3">
        <f>VALUE(553.17)</f>
        <v>553.16999999999996</v>
      </c>
      <c r="I14983" s="1">
        <f>VALUE(3550)</f>
        <v>3550</v>
      </c>
      <c r="J14983" s="5">
        <f>VALUE(5042)</f>
        <v>5042</v>
      </c>
      <c r="K14983" s="6">
        <f>VALUE(6934)</f>
        <v>6934</v>
      </c>
      <c r="L14983" s="7">
        <f>VALUE(9601)</f>
        <v>9601</v>
      </c>
      <c r="M14983" s="1">
        <f>VALUE(14558)</f>
        <v>14558</v>
      </c>
      <c r="N14983" t="s">
        <v>25</v>
      </c>
    </row>
    <row r="14984" spans="1:14" x14ac:dyDescent="0.25">
      <c r="A14984" t="s">
        <v>45</v>
      </c>
      <c r="B14984" t="s">
        <v>40</v>
      </c>
      <c r="C14984" t="s">
        <v>15</v>
      </c>
      <c r="D14984" t="s">
        <v>32</v>
      </c>
      <c r="E14984" t="s">
        <v>21</v>
      </c>
      <c r="F14984" t="s">
        <v>18</v>
      </c>
      <c r="G14984" s="2">
        <f>VALUE(628.3)</f>
        <v>628.29999999999995</v>
      </c>
      <c r="H14984" s="3">
        <f>VALUE(549.1)</f>
        <v>549.1</v>
      </c>
      <c r="I14984" s="4">
        <f>VALUE(4063)</f>
        <v>4063</v>
      </c>
      <c r="J14984" s="1">
        <f>VALUE(4615)</f>
        <v>4615</v>
      </c>
      <c r="K14984" s="1">
        <f>VALUE(5633)</f>
        <v>5633</v>
      </c>
      <c r="L14984" s="7">
        <f>VALUE(8016)</f>
        <v>8016</v>
      </c>
      <c r="M14984" s="1">
        <f>VALUE(10821)</f>
        <v>10821</v>
      </c>
      <c r="N14984" t="s">
        <v>25</v>
      </c>
    </row>
    <row r="14985" spans="1:14" x14ac:dyDescent="0.25">
      <c r="A14985" t="s">
        <v>45</v>
      </c>
      <c r="B14985" t="s">
        <v>40</v>
      </c>
      <c r="C14985" t="s">
        <v>15</v>
      </c>
      <c r="D14985" t="s">
        <v>32</v>
      </c>
      <c r="E14985" t="s">
        <v>21</v>
      </c>
      <c r="F14985" t="s">
        <v>19</v>
      </c>
      <c r="G14985" s="2">
        <f>VALUE(614.48)</f>
        <v>614.48</v>
      </c>
      <c r="H14985" s="3">
        <f>VALUE(540.44)</f>
        <v>540.44000000000005</v>
      </c>
      <c r="I14985" s="4">
        <f>VALUE(3394)</f>
        <v>3394</v>
      </c>
      <c r="J14985" s="1">
        <f>VALUE(3981)</f>
        <v>3981</v>
      </c>
      <c r="K14985" s="1">
        <f>VALUE(4671)</f>
        <v>4671</v>
      </c>
      <c r="L14985" s="7">
        <f>VALUE(6346)</f>
        <v>6346</v>
      </c>
      <c r="M14985" s="1">
        <f>VALUE(7900)</f>
        <v>7900</v>
      </c>
      <c r="N14985" t="s">
        <v>25</v>
      </c>
    </row>
    <row r="14986" spans="1:14" x14ac:dyDescent="0.25">
      <c r="A14986" t="s">
        <v>45</v>
      </c>
      <c r="B14986" t="s">
        <v>40</v>
      </c>
      <c r="C14986" t="s">
        <v>15</v>
      </c>
      <c r="D14986" t="s">
        <v>32</v>
      </c>
      <c r="E14986" t="s">
        <v>21</v>
      </c>
      <c r="F14986" t="s">
        <v>20</v>
      </c>
      <c r="G14986" s="1">
        <f>VALUE(3027.55)</f>
        <v>3027.55</v>
      </c>
      <c r="H14986" s="1">
        <f>VALUE(2557.12)</f>
        <v>2557.12</v>
      </c>
      <c r="I14986" s="1">
        <f>VALUE(3185)</f>
        <v>3185</v>
      </c>
      <c r="J14986" s="1">
        <f>VALUE(3583)</f>
        <v>3583</v>
      </c>
      <c r="K14986" s="1">
        <f>VALUE(4508)</f>
        <v>4508</v>
      </c>
      <c r="L14986" s="1">
        <f>VALUE(5663)</f>
        <v>5663</v>
      </c>
      <c r="M14986" s="1">
        <f>VALUE(7082)</f>
        <v>7082</v>
      </c>
      <c r="N14986" t="s">
        <v>16</v>
      </c>
    </row>
    <row r="14987" spans="1:14" x14ac:dyDescent="0.25">
      <c r="A14987" t="s">
        <v>45</v>
      </c>
      <c r="B14987" t="s">
        <v>40</v>
      </c>
      <c r="C14987" t="s">
        <v>15</v>
      </c>
      <c r="D14987" t="s">
        <v>32</v>
      </c>
      <c r="E14987" t="s">
        <v>22</v>
      </c>
      <c r="F14987" t="s">
        <v>15</v>
      </c>
      <c r="G14987" s="1">
        <f>VALUE(5315.8)</f>
        <v>5315.8</v>
      </c>
      <c r="H14987" s="1">
        <f>VALUE(4516.87)</f>
        <v>4516.87</v>
      </c>
      <c r="I14987" s="1">
        <f>VALUE(3051)</f>
        <v>3051</v>
      </c>
      <c r="J14987" s="1">
        <f>VALUE(3488)</f>
        <v>3488</v>
      </c>
      <c r="K14987" s="1">
        <f>VALUE(4123)</f>
        <v>4123</v>
      </c>
      <c r="L14987" s="1">
        <f>VALUE(5148)</f>
        <v>5148</v>
      </c>
      <c r="M14987" s="1">
        <f>VALUE(6389)</f>
        <v>6389</v>
      </c>
      <c r="N14987" t="s">
        <v>16</v>
      </c>
    </row>
    <row r="14988" spans="1:14" x14ac:dyDescent="0.25">
      <c r="A14988" t="s">
        <v>45</v>
      </c>
      <c r="B14988" t="s">
        <v>40</v>
      </c>
      <c r="C14988" t="s">
        <v>15</v>
      </c>
      <c r="D14988" t="s">
        <v>32</v>
      </c>
      <c r="E14988" t="s">
        <v>22</v>
      </c>
      <c r="F14988" t="s">
        <v>17</v>
      </c>
      <c r="G14988" s="2">
        <f>VALUE(242.18)</f>
        <v>242.18</v>
      </c>
      <c r="H14988" s="3">
        <f>VALUE(224.28)</f>
        <v>224.28</v>
      </c>
      <c r="I14988" s="1">
        <f>VALUE(4127)</f>
        <v>4127</v>
      </c>
      <c r="J14988" s="1">
        <f>VALUE(4554)</f>
        <v>4554</v>
      </c>
      <c r="K14988" s="1">
        <f>VALUE(5055)</f>
        <v>5055</v>
      </c>
      <c r="L14988" s="7">
        <f>VALUE(6892)</f>
        <v>6892</v>
      </c>
      <c r="M14988" s="1">
        <f>VALUE(9663)</f>
        <v>9663</v>
      </c>
      <c r="N14988" t="s">
        <v>25</v>
      </c>
    </row>
    <row r="14989" spans="1:14" x14ac:dyDescent="0.25">
      <c r="A14989" t="s">
        <v>45</v>
      </c>
      <c r="B14989" t="s">
        <v>40</v>
      </c>
      <c r="C14989" t="s">
        <v>15</v>
      </c>
      <c r="D14989" t="s">
        <v>32</v>
      </c>
      <c r="E14989" t="s">
        <v>22</v>
      </c>
      <c r="F14989" t="s">
        <v>18</v>
      </c>
      <c r="G14989" s="2">
        <f>VALUE(301.8)</f>
        <v>301.8</v>
      </c>
      <c r="H14989" s="3">
        <f>VALUE(263.4)</f>
        <v>263.39999999999998</v>
      </c>
      <c r="I14989" s="1">
        <f>VALUE(3738)</f>
        <v>3738</v>
      </c>
      <c r="J14989" s="1">
        <f>VALUE(4172)</f>
        <v>4172</v>
      </c>
      <c r="K14989" s="1">
        <f>VALUE(5168)</f>
        <v>5168</v>
      </c>
      <c r="L14989" s="7">
        <f>VALUE(6500)</f>
        <v>6500</v>
      </c>
      <c r="M14989" s="1">
        <f>VALUE(7857)</f>
        <v>7857</v>
      </c>
      <c r="N14989" t="s">
        <v>25</v>
      </c>
    </row>
    <row r="14990" spans="1:14" x14ac:dyDescent="0.25">
      <c r="A14990" t="s">
        <v>45</v>
      </c>
      <c r="B14990" t="s">
        <v>40</v>
      </c>
      <c r="C14990" t="s">
        <v>15</v>
      </c>
      <c r="D14990" t="s">
        <v>32</v>
      </c>
      <c r="E14990" t="s">
        <v>22</v>
      </c>
      <c r="F14990" t="s">
        <v>19</v>
      </c>
      <c r="G14990" s="2">
        <f>VALUE(535.19)</f>
        <v>535.19000000000005</v>
      </c>
      <c r="H14990" s="3">
        <f>VALUE(466.8)</f>
        <v>466.8</v>
      </c>
      <c r="I14990" s="1">
        <f>VALUE(3383)</f>
        <v>3383</v>
      </c>
      <c r="J14990" s="1">
        <f>VALUE(3810)</f>
        <v>3810</v>
      </c>
      <c r="K14990" s="1">
        <f>VALUE(4425)</f>
        <v>4425</v>
      </c>
      <c r="L14990" s="1">
        <f>VALUE(5408)</f>
        <v>5408</v>
      </c>
      <c r="M14990" s="1">
        <f>VALUE(6875)</f>
        <v>6875</v>
      </c>
      <c r="N14990" t="s">
        <v>25</v>
      </c>
    </row>
    <row r="14991" spans="1:14" x14ac:dyDescent="0.25">
      <c r="A14991" t="s">
        <v>45</v>
      </c>
      <c r="B14991" t="s">
        <v>40</v>
      </c>
      <c r="C14991" t="s">
        <v>15</v>
      </c>
      <c r="D14991" t="s">
        <v>32</v>
      </c>
      <c r="E14991" t="s">
        <v>22</v>
      </c>
      <c r="F14991" t="s">
        <v>20</v>
      </c>
      <c r="G14991" s="1">
        <f>VALUE(4236.63)</f>
        <v>4236.63</v>
      </c>
      <c r="H14991" s="1">
        <f>VALUE(3562.39)</f>
        <v>3562.39</v>
      </c>
      <c r="I14991" s="1">
        <f>VALUE(2980)</f>
        <v>2980</v>
      </c>
      <c r="J14991" s="1">
        <f>VALUE(3418)</f>
        <v>3418</v>
      </c>
      <c r="K14991" s="1">
        <f>VALUE(3900)</f>
        <v>3900</v>
      </c>
      <c r="L14991" s="1">
        <f>VALUE(4858)</f>
        <v>4858</v>
      </c>
      <c r="M14991" s="1">
        <f>VALUE(5906)</f>
        <v>5906</v>
      </c>
      <c r="N14991" t="s">
        <v>16</v>
      </c>
    </row>
    <row r="14992" spans="1:14" x14ac:dyDescent="0.25">
      <c r="A14992" t="s">
        <v>45</v>
      </c>
      <c r="B14992" t="s">
        <v>40</v>
      </c>
      <c r="C14992" t="s">
        <v>15</v>
      </c>
      <c r="D14992" t="s">
        <v>32</v>
      </c>
      <c r="E14992" t="s">
        <v>23</v>
      </c>
      <c r="F14992" t="s">
        <v>15</v>
      </c>
      <c r="G14992" s="1">
        <f>VALUE(8291.33)</f>
        <v>8291.33</v>
      </c>
      <c r="H14992" s="1">
        <f>VALUE(6967.45)</f>
        <v>6967.45</v>
      </c>
      <c r="I14992" s="1">
        <f>VALUE(2800)</f>
        <v>2800</v>
      </c>
      <c r="J14992" s="1">
        <f>VALUE(3057)</f>
        <v>3057</v>
      </c>
      <c r="K14992" s="1">
        <f>VALUE(3401)</f>
        <v>3401</v>
      </c>
      <c r="L14992" s="1">
        <f>VALUE(3804)</f>
        <v>3804</v>
      </c>
      <c r="M14992" s="1">
        <f>VALUE(4472)</f>
        <v>4472</v>
      </c>
      <c r="N14992" t="s">
        <v>16</v>
      </c>
    </row>
    <row r="14993" spans="1:14" x14ac:dyDescent="0.25">
      <c r="A14993" t="s">
        <v>45</v>
      </c>
      <c r="B14993" t="s">
        <v>40</v>
      </c>
      <c r="C14993" t="s">
        <v>15</v>
      </c>
      <c r="D14993" t="s">
        <v>32</v>
      </c>
      <c r="E14993" t="s">
        <v>23</v>
      </c>
      <c r="F14993" t="s">
        <v>17</v>
      </c>
      <c r="G14993" s="1" t="str">
        <f t="shared" ref="G14993:M14994" si="3437">"X"</f>
        <v>X</v>
      </c>
      <c r="H14993" s="1" t="str">
        <f t="shared" si="3437"/>
        <v>X</v>
      </c>
      <c r="I14993" s="1" t="str">
        <f t="shared" si="3437"/>
        <v>X</v>
      </c>
      <c r="J14993" s="1" t="str">
        <f t="shared" si="3437"/>
        <v>X</v>
      </c>
      <c r="K14993" s="1" t="str">
        <f t="shared" si="3437"/>
        <v>X</v>
      </c>
      <c r="L14993" s="1" t="str">
        <f t="shared" si="3437"/>
        <v>X</v>
      </c>
      <c r="M14993" s="1" t="str">
        <f t="shared" si="3437"/>
        <v>X</v>
      </c>
      <c r="N14993" t="s">
        <v>27</v>
      </c>
    </row>
    <row r="14994" spans="1:14" x14ac:dyDescent="0.25">
      <c r="A14994" t="s">
        <v>45</v>
      </c>
      <c r="B14994" t="s">
        <v>40</v>
      </c>
      <c r="C14994" t="s">
        <v>15</v>
      </c>
      <c r="D14994" t="s">
        <v>32</v>
      </c>
      <c r="E14994" t="s">
        <v>23</v>
      </c>
      <c r="F14994" t="s">
        <v>18</v>
      </c>
      <c r="G14994" s="1" t="str">
        <f t="shared" si="3437"/>
        <v>X</v>
      </c>
      <c r="H14994" s="1" t="str">
        <f t="shared" si="3437"/>
        <v>X</v>
      </c>
      <c r="I14994" s="1" t="str">
        <f t="shared" si="3437"/>
        <v>X</v>
      </c>
      <c r="J14994" s="1" t="str">
        <f t="shared" si="3437"/>
        <v>X</v>
      </c>
      <c r="K14994" s="1" t="str">
        <f t="shared" si="3437"/>
        <v>X</v>
      </c>
      <c r="L14994" s="1" t="str">
        <f t="shared" si="3437"/>
        <v>X</v>
      </c>
      <c r="M14994" s="1" t="str">
        <f t="shared" si="3437"/>
        <v>X</v>
      </c>
      <c r="N14994" t="s">
        <v>27</v>
      </c>
    </row>
    <row r="14995" spans="1:14" x14ac:dyDescent="0.25">
      <c r="A14995" t="s">
        <v>45</v>
      </c>
      <c r="B14995" t="s">
        <v>40</v>
      </c>
      <c r="C14995" t="s">
        <v>15</v>
      </c>
      <c r="D14995" t="s">
        <v>32</v>
      </c>
      <c r="E14995" t="s">
        <v>23</v>
      </c>
      <c r="F14995" t="s">
        <v>19</v>
      </c>
      <c r="G14995" s="2">
        <f>VALUE(267.01)</f>
        <v>267.01</v>
      </c>
      <c r="H14995" s="3">
        <f>VALUE(245.97)</f>
        <v>245.97</v>
      </c>
      <c r="I14995" s="1">
        <f>VALUE(3151)</f>
        <v>3151</v>
      </c>
      <c r="J14995" s="1">
        <f>VALUE(3666)</f>
        <v>3666</v>
      </c>
      <c r="K14995" s="1">
        <f>VALUE(4502)</f>
        <v>4502</v>
      </c>
      <c r="L14995" s="1">
        <f>VALUE(4901)</f>
        <v>4901</v>
      </c>
      <c r="M14995" s="1">
        <f>VALUE(6057)</f>
        <v>6057</v>
      </c>
      <c r="N14995" t="s">
        <v>25</v>
      </c>
    </row>
    <row r="14996" spans="1:14" x14ac:dyDescent="0.25">
      <c r="A14996" t="s">
        <v>45</v>
      </c>
      <c r="B14996" t="s">
        <v>40</v>
      </c>
      <c r="C14996" t="s">
        <v>15</v>
      </c>
      <c r="D14996" t="s">
        <v>32</v>
      </c>
      <c r="E14996" t="s">
        <v>23</v>
      </c>
      <c r="F14996" t="s">
        <v>20</v>
      </c>
      <c r="G14996" s="1">
        <f>VALUE(7817.08)</f>
        <v>7817.08</v>
      </c>
      <c r="H14996" s="1">
        <f>VALUE(6539.69)</f>
        <v>6539.69</v>
      </c>
      <c r="I14996" s="1">
        <f>VALUE(2791)</f>
        <v>2791</v>
      </c>
      <c r="J14996" s="1">
        <f>VALUE(3039)</f>
        <v>3039</v>
      </c>
      <c r="K14996" s="1">
        <f>VALUE(3379)</f>
        <v>3379</v>
      </c>
      <c r="L14996" s="1">
        <f>VALUE(3786)</f>
        <v>3786</v>
      </c>
      <c r="M14996" s="1">
        <f>VALUE(4243)</f>
        <v>4243</v>
      </c>
      <c r="N14996" t="s">
        <v>16</v>
      </c>
    </row>
    <row r="14997" spans="1:14" x14ac:dyDescent="0.25">
      <c r="A14997" t="s">
        <v>45</v>
      </c>
      <c r="B14997" t="s">
        <v>40</v>
      </c>
      <c r="C14997" t="s">
        <v>15</v>
      </c>
      <c r="D14997" t="s">
        <v>32</v>
      </c>
      <c r="E14997" t="s">
        <v>26</v>
      </c>
      <c r="F14997" t="s">
        <v>15</v>
      </c>
      <c r="G14997" s="1" t="str">
        <f t="shared" ref="G14997:M14997" si="3438">"X"</f>
        <v>X</v>
      </c>
      <c r="H14997" s="1" t="str">
        <f t="shared" si="3438"/>
        <v>X</v>
      </c>
      <c r="I14997" s="1" t="str">
        <f t="shared" si="3438"/>
        <v>X</v>
      </c>
      <c r="J14997" s="1" t="str">
        <f t="shared" si="3438"/>
        <v>X</v>
      </c>
      <c r="K14997" s="1" t="str">
        <f t="shared" si="3438"/>
        <v>X</v>
      </c>
      <c r="L14997" s="1" t="str">
        <f t="shared" si="3438"/>
        <v>X</v>
      </c>
      <c r="M14997" s="1" t="str">
        <f t="shared" si="3438"/>
        <v>X</v>
      </c>
      <c r="N14997" t="s">
        <v>27</v>
      </c>
    </row>
    <row r="14998" spans="1:14" x14ac:dyDescent="0.25">
      <c r="A14998" t="s">
        <v>45</v>
      </c>
      <c r="B14998" t="s">
        <v>40</v>
      </c>
      <c r="C14998" t="s">
        <v>15</v>
      </c>
      <c r="D14998" t="s">
        <v>32</v>
      </c>
      <c r="E14998" t="s">
        <v>26</v>
      </c>
      <c r="F14998" t="s">
        <v>17</v>
      </c>
      <c r="G14998" s="1" t="str">
        <f t="shared" ref="G14998:M14998" si="3439">"..."</f>
        <v>...</v>
      </c>
      <c r="H14998" s="1" t="str">
        <f t="shared" si="3439"/>
        <v>...</v>
      </c>
      <c r="I14998" s="1" t="str">
        <f t="shared" si="3439"/>
        <v>...</v>
      </c>
      <c r="J14998" s="1" t="str">
        <f t="shared" si="3439"/>
        <v>...</v>
      </c>
      <c r="K14998" s="1" t="str">
        <f t="shared" si="3439"/>
        <v>...</v>
      </c>
      <c r="L14998" s="1" t="str">
        <f t="shared" si="3439"/>
        <v>...</v>
      </c>
      <c r="M14998" s="1" t="str">
        <f t="shared" si="3439"/>
        <v>...</v>
      </c>
      <c r="N14998" t="s">
        <v>30</v>
      </c>
    </row>
    <row r="14999" spans="1:14" x14ac:dyDescent="0.25">
      <c r="A14999" t="s">
        <v>45</v>
      </c>
      <c r="B14999" t="s">
        <v>40</v>
      </c>
      <c r="C14999" t="s">
        <v>15</v>
      </c>
      <c r="D14999" t="s">
        <v>32</v>
      </c>
      <c r="E14999" t="s">
        <v>26</v>
      </c>
      <c r="F14999" t="s">
        <v>18</v>
      </c>
      <c r="G14999" s="1" t="str">
        <f t="shared" ref="G14999:M15012" si="3440">"X"</f>
        <v>X</v>
      </c>
      <c r="H14999" s="1" t="str">
        <f t="shared" si="3440"/>
        <v>X</v>
      </c>
      <c r="I14999" s="1" t="str">
        <f t="shared" si="3440"/>
        <v>X</v>
      </c>
      <c r="J14999" s="1" t="str">
        <f t="shared" si="3440"/>
        <v>X</v>
      </c>
      <c r="K14999" s="1" t="str">
        <f t="shared" si="3440"/>
        <v>X</v>
      </c>
      <c r="L14999" s="1" t="str">
        <f t="shared" si="3440"/>
        <v>X</v>
      </c>
      <c r="M14999" s="1" t="str">
        <f t="shared" si="3440"/>
        <v>X</v>
      </c>
      <c r="N14999" t="s">
        <v>27</v>
      </c>
    </row>
    <row r="15000" spans="1:14" x14ac:dyDescent="0.25">
      <c r="A15000" t="s">
        <v>45</v>
      </c>
      <c r="B15000" t="s">
        <v>40</v>
      </c>
      <c r="C15000" t="s">
        <v>15</v>
      </c>
      <c r="D15000" t="s">
        <v>32</v>
      </c>
      <c r="E15000" t="s">
        <v>26</v>
      </c>
      <c r="F15000" t="s">
        <v>19</v>
      </c>
      <c r="G15000" s="1" t="str">
        <f t="shared" si="3440"/>
        <v>X</v>
      </c>
      <c r="H15000" s="1" t="str">
        <f t="shared" si="3440"/>
        <v>X</v>
      </c>
      <c r="I15000" s="1" t="str">
        <f t="shared" si="3440"/>
        <v>X</v>
      </c>
      <c r="J15000" s="1" t="str">
        <f t="shared" si="3440"/>
        <v>X</v>
      </c>
      <c r="K15000" s="1" t="str">
        <f t="shared" si="3440"/>
        <v>X</v>
      </c>
      <c r="L15000" s="1" t="str">
        <f t="shared" si="3440"/>
        <v>X</v>
      </c>
      <c r="M15000" s="1" t="str">
        <f t="shared" si="3440"/>
        <v>X</v>
      </c>
      <c r="N15000" t="s">
        <v>27</v>
      </c>
    </row>
    <row r="15001" spans="1:14" x14ac:dyDescent="0.25">
      <c r="A15001" t="s">
        <v>45</v>
      </c>
      <c r="B15001" t="s">
        <v>40</v>
      </c>
      <c r="C15001" t="s">
        <v>15</v>
      </c>
      <c r="D15001" t="s">
        <v>32</v>
      </c>
      <c r="E15001" t="s">
        <v>26</v>
      </c>
      <c r="F15001" t="s">
        <v>20</v>
      </c>
      <c r="G15001" s="1" t="str">
        <f t="shared" si="3440"/>
        <v>X</v>
      </c>
      <c r="H15001" s="1" t="str">
        <f t="shared" si="3440"/>
        <v>X</v>
      </c>
      <c r="I15001" s="1" t="str">
        <f t="shared" si="3440"/>
        <v>X</v>
      </c>
      <c r="J15001" s="1" t="str">
        <f t="shared" si="3440"/>
        <v>X</v>
      </c>
      <c r="K15001" s="1" t="str">
        <f t="shared" si="3440"/>
        <v>X</v>
      </c>
      <c r="L15001" s="1" t="str">
        <f t="shared" si="3440"/>
        <v>X</v>
      </c>
      <c r="M15001" s="1" t="str">
        <f t="shared" si="3440"/>
        <v>X</v>
      </c>
      <c r="N15001" t="s">
        <v>27</v>
      </c>
    </row>
    <row r="15002" spans="1:14" x14ac:dyDescent="0.25">
      <c r="A15002" t="s">
        <v>45</v>
      </c>
      <c r="B15002" t="s">
        <v>40</v>
      </c>
      <c r="C15002" t="s">
        <v>15</v>
      </c>
      <c r="D15002" t="s">
        <v>33</v>
      </c>
      <c r="E15002" t="s">
        <v>15</v>
      </c>
      <c r="F15002" t="s">
        <v>15</v>
      </c>
      <c r="G15002" s="1" t="str">
        <f t="shared" si="3440"/>
        <v>X</v>
      </c>
      <c r="H15002" s="1" t="str">
        <f t="shared" si="3440"/>
        <v>X</v>
      </c>
      <c r="I15002" s="1" t="str">
        <f t="shared" si="3440"/>
        <v>X</v>
      </c>
      <c r="J15002" s="1" t="str">
        <f t="shared" si="3440"/>
        <v>X</v>
      </c>
      <c r="K15002" s="1" t="str">
        <f t="shared" si="3440"/>
        <v>X</v>
      </c>
      <c r="L15002" s="1" t="str">
        <f t="shared" si="3440"/>
        <v>X</v>
      </c>
      <c r="M15002" s="1" t="str">
        <f t="shared" si="3440"/>
        <v>X</v>
      </c>
      <c r="N15002" t="s">
        <v>27</v>
      </c>
    </row>
    <row r="15003" spans="1:14" x14ac:dyDescent="0.25">
      <c r="A15003" t="s">
        <v>45</v>
      </c>
      <c r="B15003" t="s">
        <v>40</v>
      </c>
      <c r="C15003" t="s">
        <v>15</v>
      </c>
      <c r="D15003" t="s">
        <v>33</v>
      </c>
      <c r="E15003" t="s">
        <v>15</v>
      </c>
      <c r="F15003" t="s">
        <v>17</v>
      </c>
      <c r="G15003" s="1" t="str">
        <f t="shared" si="3440"/>
        <v>X</v>
      </c>
      <c r="H15003" s="1" t="str">
        <f t="shared" si="3440"/>
        <v>X</v>
      </c>
      <c r="I15003" s="1" t="str">
        <f t="shared" si="3440"/>
        <v>X</v>
      </c>
      <c r="J15003" s="1" t="str">
        <f t="shared" si="3440"/>
        <v>X</v>
      </c>
      <c r="K15003" s="1" t="str">
        <f t="shared" si="3440"/>
        <v>X</v>
      </c>
      <c r="L15003" s="1" t="str">
        <f t="shared" si="3440"/>
        <v>X</v>
      </c>
      <c r="M15003" s="1" t="str">
        <f t="shared" si="3440"/>
        <v>X</v>
      </c>
      <c r="N15003" t="s">
        <v>27</v>
      </c>
    </row>
    <row r="15004" spans="1:14" x14ac:dyDescent="0.25">
      <c r="A15004" t="s">
        <v>45</v>
      </c>
      <c r="B15004" t="s">
        <v>40</v>
      </c>
      <c r="C15004" t="s">
        <v>15</v>
      </c>
      <c r="D15004" t="s">
        <v>33</v>
      </c>
      <c r="E15004" t="s">
        <v>15</v>
      </c>
      <c r="F15004" t="s">
        <v>18</v>
      </c>
      <c r="G15004" s="1" t="str">
        <f t="shared" si="3440"/>
        <v>X</v>
      </c>
      <c r="H15004" s="1" t="str">
        <f t="shared" si="3440"/>
        <v>X</v>
      </c>
      <c r="I15004" s="1" t="str">
        <f t="shared" si="3440"/>
        <v>X</v>
      </c>
      <c r="J15004" s="1" t="str">
        <f t="shared" si="3440"/>
        <v>X</v>
      </c>
      <c r="K15004" s="1" t="str">
        <f t="shared" si="3440"/>
        <v>X</v>
      </c>
      <c r="L15004" s="1" t="str">
        <f t="shared" si="3440"/>
        <v>X</v>
      </c>
      <c r="M15004" s="1" t="str">
        <f t="shared" si="3440"/>
        <v>X</v>
      </c>
      <c r="N15004" t="s">
        <v>27</v>
      </c>
    </row>
    <row r="15005" spans="1:14" x14ac:dyDescent="0.25">
      <c r="A15005" t="s">
        <v>45</v>
      </c>
      <c r="B15005" t="s">
        <v>40</v>
      </c>
      <c r="C15005" t="s">
        <v>15</v>
      </c>
      <c r="D15005" t="s">
        <v>33</v>
      </c>
      <c r="E15005" t="s">
        <v>15</v>
      </c>
      <c r="F15005" t="s">
        <v>19</v>
      </c>
      <c r="G15005" s="1" t="str">
        <f t="shared" si="3440"/>
        <v>X</v>
      </c>
      <c r="H15005" s="1" t="str">
        <f t="shared" si="3440"/>
        <v>X</v>
      </c>
      <c r="I15005" s="1" t="str">
        <f t="shared" si="3440"/>
        <v>X</v>
      </c>
      <c r="J15005" s="1" t="str">
        <f t="shared" si="3440"/>
        <v>X</v>
      </c>
      <c r="K15005" s="1" t="str">
        <f t="shared" si="3440"/>
        <v>X</v>
      </c>
      <c r="L15005" s="1" t="str">
        <f t="shared" si="3440"/>
        <v>X</v>
      </c>
      <c r="M15005" s="1" t="str">
        <f t="shared" si="3440"/>
        <v>X</v>
      </c>
      <c r="N15005" t="s">
        <v>27</v>
      </c>
    </row>
    <row r="15006" spans="1:14" x14ac:dyDescent="0.25">
      <c r="A15006" t="s">
        <v>45</v>
      </c>
      <c r="B15006" t="s">
        <v>40</v>
      </c>
      <c r="C15006" t="s">
        <v>15</v>
      </c>
      <c r="D15006" t="s">
        <v>33</v>
      </c>
      <c r="E15006" t="s">
        <v>15</v>
      </c>
      <c r="F15006" t="s">
        <v>20</v>
      </c>
      <c r="G15006" s="1" t="str">
        <f t="shared" si="3440"/>
        <v>X</v>
      </c>
      <c r="H15006" s="1" t="str">
        <f t="shared" si="3440"/>
        <v>X</v>
      </c>
      <c r="I15006" s="1" t="str">
        <f t="shared" si="3440"/>
        <v>X</v>
      </c>
      <c r="J15006" s="1" t="str">
        <f t="shared" si="3440"/>
        <v>X</v>
      </c>
      <c r="K15006" s="1" t="str">
        <f t="shared" si="3440"/>
        <v>X</v>
      </c>
      <c r="L15006" s="1" t="str">
        <f t="shared" si="3440"/>
        <v>X</v>
      </c>
      <c r="M15006" s="1" t="str">
        <f t="shared" si="3440"/>
        <v>X</v>
      </c>
      <c r="N15006" t="s">
        <v>27</v>
      </c>
    </row>
    <row r="15007" spans="1:14" x14ac:dyDescent="0.25">
      <c r="A15007" t="s">
        <v>45</v>
      </c>
      <c r="B15007" t="s">
        <v>40</v>
      </c>
      <c r="C15007" t="s">
        <v>15</v>
      </c>
      <c r="D15007" t="s">
        <v>33</v>
      </c>
      <c r="E15007" t="s">
        <v>21</v>
      </c>
      <c r="F15007" t="s">
        <v>15</v>
      </c>
      <c r="G15007" s="1" t="str">
        <f t="shared" si="3440"/>
        <v>X</v>
      </c>
      <c r="H15007" s="1" t="str">
        <f t="shared" si="3440"/>
        <v>X</v>
      </c>
      <c r="I15007" s="1" t="str">
        <f t="shared" si="3440"/>
        <v>X</v>
      </c>
      <c r="J15007" s="1" t="str">
        <f t="shared" si="3440"/>
        <v>X</v>
      </c>
      <c r="K15007" s="1" t="str">
        <f t="shared" si="3440"/>
        <v>X</v>
      </c>
      <c r="L15007" s="1" t="str">
        <f t="shared" si="3440"/>
        <v>X</v>
      </c>
      <c r="M15007" s="1" t="str">
        <f t="shared" si="3440"/>
        <v>X</v>
      </c>
      <c r="N15007" t="s">
        <v>27</v>
      </c>
    </row>
    <row r="15008" spans="1:14" x14ac:dyDescent="0.25">
      <c r="A15008" t="s">
        <v>45</v>
      </c>
      <c r="B15008" t="s">
        <v>40</v>
      </c>
      <c r="C15008" t="s">
        <v>15</v>
      </c>
      <c r="D15008" t="s">
        <v>33</v>
      </c>
      <c r="E15008" t="s">
        <v>21</v>
      </c>
      <c r="F15008" t="s">
        <v>17</v>
      </c>
      <c r="G15008" s="1" t="str">
        <f t="shared" si="3440"/>
        <v>X</v>
      </c>
      <c r="H15008" s="1" t="str">
        <f t="shared" si="3440"/>
        <v>X</v>
      </c>
      <c r="I15008" s="1" t="str">
        <f t="shared" si="3440"/>
        <v>X</v>
      </c>
      <c r="J15008" s="1" t="str">
        <f t="shared" si="3440"/>
        <v>X</v>
      </c>
      <c r="K15008" s="1" t="str">
        <f t="shared" si="3440"/>
        <v>X</v>
      </c>
      <c r="L15008" s="1" t="str">
        <f t="shared" si="3440"/>
        <v>X</v>
      </c>
      <c r="M15008" s="1" t="str">
        <f t="shared" si="3440"/>
        <v>X</v>
      </c>
      <c r="N15008" t="s">
        <v>27</v>
      </c>
    </row>
    <row r="15009" spans="1:14" x14ac:dyDescent="0.25">
      <c r="A15009" t="s">
        <v>45</v>
      </c>
      <c r="B15009" t="s">
        <v>40</v>
      </c>
      <c r="C15009" t="s">
        <v>15</v>
      </c>
      <c r="D15009" t="s">
        <v>33</v>
      </c>
      <c r="E15009" t="s">
        <v>21</v>
      </c>
      <c r="F15009" t="s">
        <v>18</v>
      </c>
      <c r="G15009" s="1" t="str">
        <f t="shared" si="3440"/>
        <v>X</v>
      </c>
      <c r="H15009" s="1" t="str">
        <f t="shared" si="3440"/>
        <v>X</v>
      </c>
      <c r="I15009" s="1" t="str">
        <f t="shared" si="3440"/>
        <v>X</v>
      </c>
      <c r="J15009" s="1" t="str">
        <f t="shared" si="3440"/>
        <v>X</v>
      </c>
      <c r="K15009" s="1" t="str">
        <f t="shared" si="3440"/>
        <v>X</v>
      </c>
      <c r="L15009" s="1" t="str">
        <f t="shared" si="3440"/>
        <v>X</v>
      </c>
      <c r="M15009" s="1" t="str">
        <f t="shared" si="3440"/>
        <v>X</v>
      </c>
      <c r="N15009" t="s">
        <v>27</v>
      </c>
    </row>
    <row r="15010" spans="1:14" x14ac:dyDescent="0.25">
      <c r="A15010" t="s">
        <v>45</v>
      </c>
      <c r="B15010" t="s">
        <v>40</v>
      </c>
      <c r="C15010" t="s">
        <v>15</v>
      </c>
      <c r="D15010" t="s">
        <v>33</v>
      </c>
      <c r="E15010" t="s">
        <v>21</v>
      </c>
      <c r="F15010" t="s">
        <v>19</v>
      </c>
      <c r="G15010" s="1" t="str">
        <f t="shared" si="3440"/>
        <v>X</v>
      </c>
      <c r="H15010" s="1" t="str">
        <f t="shared" si="3440"/>
        <v>X</v>
      </c>
      <c r="I15010" s="1" t="str">
        <f t="shared" si="3440"/>
        <v>X</v>
      </c>
      <c r="J15010" s="1" t="str">
        <f t="shared" si="3440"/>
        <v>X</v>
      </c>
      <c r="K15010" s="1" t="str">
        <f t="shared" si="3440"/>
        <v>X</v>
      </c>
      <c r="L15010" s="1" t="str">
        <f t="shared" si="3440"/>
        <v>X</v>
      </c>
      <c r="M15010" s="1" t="str">
        <f t="shared" si="3440"/>
        <v>X</v>
      </c>
      <c r="N15010" t="s">
        <v>27</v>
      </c>
    </row>
    <row r="15011" spans="1:14" x14ac:dyDescent="0.25">
      <c r="A15011" t="s">
        <v>45</v>
      </c>
      <c r="B15011" t="s">
        <v>40</v>
      </c>
      <c r="C15011" t="s">
        <v>15</v>
      </c>
      <c r="D15011" t="s">
        <v>33</v>
      </c>
      <c r="E15011" t="s">
        <v>21</v>
      </c>
      <c r="F15011" t="s">
        <v>20</v>
      </c>
      <c r="G15011" s="1" t="str">
        <f t="shared" si="3440"/>
        <v>X</v>
      </c>
      <c r="H15011" s="1" t="str">
        <f t="shared" si="3440"/>
        <v>X</v>
      </c>
      <c r="I15011" s="1" t="str">
        <f t="shared" si="3440"/>
        <v>X</v>
      </c>
      <c r="J15011" s="1" t="str">
        <f t="shared" si="3440"/>
        <v>X</v>
      </c>
      <c r="K15011" s="1" t="str">
        <f t="shared" si="3440"/>
        <v>X</v>
      </c>
      <c r="L15011" s="1" t="str">
        <f t="shared" si="3440"/>
        <v>X</v>
      </c>
      <c r="M15011" s="1" t="str">
        <f t="shared" si="3440"/>
        <v>X</v>
      </c>
      <c r="N15011" t="s">
        <v>27</v>
      </c>
    </row>
    <row r="15012" spans="1:14" x14ac:dyDescent="0.25">
      <c r="A15012" t="s">
        <v>45</v>
      </c>
      <c r="B15012" t="s">
        <v>40</v>
      </c>
      <c r="C15012" t="s">
        <v>15</v>
      </c>
      <c r="D15012" t="s">
        <v>33</v>
      </c>
      <c r="E15012" t="s">
        <v>22</v>
      </c>
      <c r="F15012" t="s">
        <v>15</v>
      </c>
      <c r="G15012" s="1" t="str">
        <f t="shared" si="3440"/>
        <v>X</v>
      </c>
      <c r="H15012" s="1" t="str">
        <f t="shared" si="3440"/>
        <v>X</v>
      </c>
      <c r="I15012" s="1" t="str">
        <f t="shared" si="3440"/>
        <v>X</v>
      </c>
      <c r="J15012" s="1" t="str">
        <f t="shared" si="3440"/>
        <v>X</v>
      </c>
      <c r="K15012" s="1" t="str">
        <f t="shared" si="3440"/>
        <v>X</v>
      </c>
      <c r="L15012" s="1" t="str">
        <f t="shared" si="3440"/>
        <v>X</v>
      </c>
      <c r="M15012" s="1" t="str">
        <f t="shared" si="3440"/>
        <v>X</v>
      </c>
      <c r="N15012" t="s">
        <v>27</v>
      </c>
    </row>
    <row r="15013" spans="1:14" x14ac:dyDescent="0.25">
      <c r="A15013" t="s">
        <v>45</v>
      </c>
      <c r="B15013" t="s">
        <v>40</v>
      </c>
      <c r="C15013" t="s">
        <v>15</v>
      </c>
      <c r="D15013" t="s">
        <v>33</v>
      </c>
      <c r="E15013" t="s">
        <v>22</v>
      </c>
      <c r="F15013" t="s">
        <v>17</v>
      </c>
      <c r="G15013" s="1" t="str">
        <f t="shared" ref="G15013:M15013" si="3441">"..."</f>
        <v>...</v>
      </c>
      <c r="H15013" s="1" t="str">
        <f t="shared" si="3441"/>
        <v>...</v>
      </c>
      <c r="I15013" s="1" t="str">
        <f t="shared" si="3441"/>
        <v>...</v>
      </c>
      <c r="J15013" s="1" t="str">
        <f t="shared" si="3441"/>
        <v>...</v>
      </c>
      <c r="K15013" s="1" t="str">
        <f t="shared" si="3441"/>
        <v>...</v>
      </c>
      <c r="L15013" s="1" t="str">
        <f t="shared" si="3441"/>
        <v>...</v>
      </c>
      <c r="M15013" s="1" t="str">
        <f t="shared" si="3441"/>
        <v>...</v>
      </c>
      <c r="N15013" t="s">
        <v>30</v>
      </c>
    </row>
    <row r="15014" spans="1:14" x14ac:dyDescent="0.25">
      <c r="A15014" t="s">
        <v>45</v>
      </c>
      <c r="B15014" t="s">
        <v>40</v>
      </c>
      <c r="C15014" t="s">
        <v>15</v>
      </c>
      <c r="D15014" t="s">
        <v>33</v>
      </c>
      <c r="E15014" t="s">
        <v>22</v>
      </c>
      <c r="F15014" t="s">
        <v>18</v>
      </c>
      <c r="G15014" s="1" t="str">
        <f t="shared" ref="G15014:M15017" si="3442">"X"</f>
        <v>X</v>
      </c>
      <c r="H15014" s="1" t="str">
        <f t="shared" si="3442"/>
        <v>X</v>
      </c>
      <c r="I15014" s="1" t="str">
        <f t="shared" si="3442"/>
        <v>X</v>
      </c>
      <c r="J15014" s="1" t="str">
        <f t="shared" si="3442"/>
        <v>X</v>
      </c>
      <c r="K15014" s="1" t="str">
        <f t="shared" si="3442"/>
        <v>X</v>
      </c>
      <c r="L15014" s="1" t="str">
        <f t="shared" si="3442"/>
        <v>X</v>
      </c>
      <c r="M15014" s="1" t="str">
        <f t="shared" si="3442"/>
        <v>X</v>
      </c>
      <c r="N15014" t="s">
        <v>27</v>
      </c>
    </row>
    <row r="15015" spans="1:14" x14ac:dyDescent="0.25">
      <c r="A15015" t="s">
        <v>45</v>
      </c>
      <c r="B15015" t="s">
        <v>40</v>
      </c>
      <c r="C15015" t="s">
        <v>15</v>
      </c>
      <c r="D15015" t="s">
        <v>33</v>
      </c>
      <c r="E15015" t="s">
        <v>22</v>
      </c>
      <c r="F15015" t="s">
        <v>19</v>
      </c>
      <c r="G15015" s="1" t="str">
        <f t="shared" si="3442"/>
        <v>X</v>
      </c>
      <c r="H15015" s="1" t="str">
        <f t="shared" si="3442"/>
        <v>X</v>
      </c>
      <c r="I15015" s="1" t="str">
        <f t="shared" si="3442"/>
        <v>X</v>
      </c>
      <c r="J15015" s="1" t="str">
        <f t="shared" si="3442"/>
        <v>X</v>
      </c>
      <c r="K15015" s="1" t="str">
        <f t="shared" si="3442"/>
        <v>X</v>
      </c>
      <c r="L15015" s="1" t="str">
        <f t="shared" si="3442"/>
        <v>X</v>
      </c>
      <c r="M15015" s="1" t="str">
        <f t="shared" si="3442"/>
        <v>X</v>
      </c>
      <c r="N15015" t="s">
        <v>27</v>
      </c>
    </row>
    <row r="15016" spans="1:14" x14ac:dyDescent="0.25">
      <c r="A15016" t="s">
        <v>45</v>
      </c>
      <c r="B15016" t="s">
        <v>40</v>
      </c>
      <c r="C15016" t="s">
        <v>15</v>
      </c>
      <c r="D15016" t="s">
        <v>33</v>
      </c>
      <c r="E15016" t="s">
        <v>22</v>
      </c>
      <c r="F15016" t="s">
        <v>20</v>
      </c>
      <c r="G15016" s="1" t="str">
        <f t="shared" si="3442"/>
        <v>X</v>
      </c>
      <c r="H15016" s="1" t="str">
        <f t="shared" si="3442"/>
        <v>X</v>
      </c>
      <c r="I15016" s="1" t="str">
        <f t="shared" si="3442"/>
        <v>X</v>
      </c>
      <c r="J15016" s="1" t="str">
        <f t="shared" si="3442"/>
        <v>X</v>
      </c>
      <c r="K15016" s="1" t="str">
        <f t="shared" si="3442"/>
        <v>X</v>
      </c>
      <c r="L15016" s="1" t="str">
        <f t="shared" si="3442"/>
        <v>X</v>
      </c>
      <c r="M15016" s="1" t="str">
        <f t="shared" si="3442"/>
        <v>X</v>
      </c>
      <c r="N15016" t="s">
        <v>27</v>
      </c>
    </row>
    <row r="15017" spans="1:14" x14ac:dyDescent="0.25">
      <c r="A15017" t="s">
        <v>45</v>
      </c>
      <c r="B15017" t="s">
        <v>40</v>
      </c>
      <c r="C15017" t="s">
        <v>15</v>
      </c>
      <c r="D15017" t="s">
        <v>33</v>
      </c>
      <c r="E15017" t="s">
        <v>23</v>
      </c>
      <c r="F15017" t="s">
        <v>15</v>
      </c>
      <c r="G15017" s="1" t="str">
        <f t="shared" si="3442"/>
        <v>X</v>
      </c>
      <c r="H15017" s="1" t="str">
        <f t="shared" si="3442"/>
        <v>X</v>
      </c>
      <c r="I15017" s="1" t="str">
        <f t="shared" si="3442"/>
        <v>X</v>
      </c>
      <c r="J15017" s="1" t="str">
        <f t="shared" si="3442"/>
        <v>X</v>
      </c>
      <c r="K15017" s="1" t="str">
        <f t="shared" si="3442"/>
        <v>X</v>
      </c>
      <c r="L15017" s="1" t="str">
        <f t="shared" si="3442"/>
        <v>X</v>
      </c>
      <c r="M15017" s="1" t="str">
        <f t="shared" si="3442"/>
        <v>X</v>
      </c>
      <c r="N15017" t="s">
        <v>27</v>
      </c>
    </row>
    <row r="15018" spans="1:14" x14ac:dyDescent="0.25">
      <c r="A15018" t="s">
        <v>45</v>
      </c>
      <c r="B15018" t="s">
        <v>40</v>
      </c>
      <c r="C15018" t="s">
        <v>15</v>
      </c>
      <c r="D15018" t="s">
        <v>33</v>
      </c>
      <c r="E15018" t="s">
        <v>23</v>
      </c>
      <c r="F15018" t="s">
        <v>17</v>
      </c>
      <c r="G15018" s="1" t="str">
        <f t="shared" ref="G15018:M15018" si="3443">"..."</f>
        <v>...</v>
      </c>
      <c r="H15018" s="1" t="str">
        <f t="shared" si="3443"/>
        <v>...</v>
      </c>
      <c r="I15018" s="1" t="str">
        <f t="shared" si="3443"/>
        <v>...</v>
      </c>
      <c r="J15018" s="1" t="str">
        <f t="shared" si="3443"/>
        <v>...</v>
      </c>
      <c r="K15018" s="1" t="str">
        <f t="shared" si="3443"/>
        <v>...</v>
      </c>
      <c r="L15018" s="1" t="str">
        <f t="shared" si="3443"/>
        <v>...</v>
      </c>
      <c r="M15018" s="1" t="str">
        <f t="shared" si="3443"/>
        <v>...</v>
      </c>
      <c r="N15018" t="s">
        <v>30</v>
      </c>
    </row>
    <row r="15019" spans="1:14" x14ac:dyDescent="0.25">
      <c r="A15019" t="s">
        <v>45</v>
      </c>
      <c r="B15019" t="s">
        <v>40</v>
      </c>
      <c r="C15019" t="s">
        <v>15</v>
      </c>
      <c r="D15019" t="s">
        <v>33</v>
      </c>
      <c r="E15019" t="s">
        <v>23</v>
      </c>
      <c r="F15019" t="s">
        <v>18</v>
      </c>
      <c r="G15019" s="1" t="str">
        <f t="shared" ref="G15019:M15019" si="3444">"X"</f>
        <v>X</v>
      </c>
      <c r="H15019" s="1" t="str">
        <f t="shared" si="3444"/>
        <v>X</v>
      </c>
      <c r="I15019" s="1" t="str">
        <f t="shared" si="3444"/>
        <v>X</v>
      </c>
      <c r="J15019" s="1" t="str">
        <f t="shared" si="3444"/>
        <v>X</v>
      </c>
      <c r="K15019" s="1" t="str">
        <f t="shared" si="3444"/>
        <v>X</v>
      </c>
      <c r="L15019" s="1" t="str">
        <f t="shared" si="3444"/>
        <v>X</v>
      </c>
      <c r="M15019" s="1" t="str">
        <f t="shared" si="3444"/>
        <v>X</v>
      </c>
      <c r="N15019" t="s">
        <v>27</v>
      </c>
    </row>
    <row r="15020" spans="1:14" x14ac:dyDescent="0.25">
      <c r="A15020" t="s">
        <v>45</v>
      </c>
      <c r="B15020" t="s">
        <v>40</v>
      </c>
      <c r="C15020" t="s">
        <v>15</v>
      </c>
      <c r="D15020" t="s">
        <v>33</v>
      </c>
      <c r="E15020" t="s">
        <v>23</v>
      </c>
      <c r="F15020" t="s">
        <v>19</v>
      </c>
      <c r="G15020" s="1" t="str">
        <f t="shared" ref="G15020:M15020" si="3445">"..."</f>
        <v>...</v>
      </c>
      <c r="H15020" s="1" t="str">
        <f t="shared" si="3445"/>
        <v>...</v>
      </c>
      <c r="I15020" s="1" t="str">
        <f t="shared" si="3445"/>
        <v>...</v>
      </c>
      <c r="J15020" s="1" t="str">
        <f t="shared" si="3445"/>
        <v>...</v>
      </c>
      <c r="K15020" s="1" t="str">
        <f t="shared" si="3445"/>
        <v>...</v>
      </c>
      <c r="L15020" s="1" t="str">
        <f t="shared" si="3445"/>
        <v>...</v>
      </c>
      <c r="M15020" s="1" t="str">
        <f t="shared" si="3445"/>
        <v>...</v>
      </c>
      <c r="N15020" t="s">
        <v>30</v>
      </c>
    </row>
    <row r="15021" spans="1:14" x14ac:dyDescent="0.25">
      <c r="A15021" t="s">
        <v>45</v>
      </c>
      <c r="B15021" t="s">
        <v>40</v>
      </c>
      <c r="C15021" t="s">
        <v>15</v>
      </c>
      <c r="D15021" t="s">
        <v>33</v>
      </c>
      <c r="E15021" t="s">
        <v>23</v>
      </c>
      <c r="F15021" t="s">
        <v>20</v>
      </c>
      <c r="G15021" s="1" t="str">
        <f t="shared" ref="G15021:M15022" si="3446">"X"</f>
        <v>X</v>
      </c>
      <c r="H15021" s="1" t="str">
        <f t="shared" si="3446"/>
        <v>X</v>
      </c>
      <c r="I15021" s="1" t="str">
        <f t="shared" si="3446"/>
        <v>X</v>
      </c>
      <c r="J15021" s="1" t="str">
        <f t="shared" si="3446"/>
        <v>X</v>
      </c>
      <c r="K15021" s="1" t="str">
        <f t="shared" si="3446"/>
        <v>X</v>
      </c>
      <c r="L15021" s="1" t="str">
        <f t="shared" si="3446"/>
        <v>X</v>
      </c>
      <c r="M15021" s="1" t="str">
        <f t="shared" si="3446"/>
        <v>X</v>
      </c>
      <c r="N15021" t="s">
        <v>27</v>
      </c>
    </row>
    <row r="15022" spans="1:14" x14ac:dyDescent="0.25">
      <c r="A15022" t="s">
        <v>45</v>
      </c>
      <c r="B15022" t="s">
        <v>40</v>
      </c>
      <c r="C15022" t="s">
        <v>15</v>
      </c>
      <c r="D15022" t="s">
        <v>33</v>
      </c>
      <c r="E15022" t="s">
        <v>26</v>
      </c>
      <c r="F15022" t="s">
        <v>15</v>
      </c>
      <c r="G15022" s="1" t="str">
        <f t="shared" si="3446"/>
        <v>X</v>
      </c>
      <c r="H15022" s="1" t="str">
        <f t="shared" si="3446"/>
        <v>X</v>
      </c>
      <c r="I15022" s="1" t="str">
        <f t="shared" si="3446"/>
        <v>X</v>
      </c>
      <c r="J15022" s="1" t="str">
        <f t="shared" si="3446"/>
        <v>X</v>
      </c>
      <c r="K15022" s="1" t="str">
        <f t="shared" si="3446"/>
        <v>X</v>
      </c>
      <c r="L15022" s="1" t="str">
        <f t="shared" si="3446"/>
        <v>X</v>
      </c>
      <c r="M15022" s="1" t="str">
        <f t="shared" si="3446"/>
        <v>X</v>
      </c>
      <c r="N15022" t="s">
        <v>27</v>
      </c>
    </row>
    <row r="15023" spans="1:14" x14ac:dyDescent="0.25">
      <c r="A15023" t="s">
        <v>45</v>
      </c>
      <c r="B15023" t="s">
        <v>40</v>
      </c>
      <c r="C15023" t="s">
        <v>15</v>
      </c>
      <c r="D15023" t="s">
        <v>33</v>
      </c>
      <c r="E15023" t="s">
        <v>26</v>
      </c>
      <c r="F15023" t="s">
        <v>17</v>
      </c>
      <c r="G15023" s="1" t="str">
        <f t="shared" ref="G15023:M15025" si="3447">"..."</f>
        <v>...</v>
      </c>
      <c r="H15023" s="1" t="str">
        <f t="shared" si="3447"/>
        <v>...</v>
      </c>
      <c r="I15023" s="1" t="str">
        <f t="shared" si="3447"/>
        <v>...</v>
      </c>
      <c r="J15023" s="1" t="str">
        <f t="shared" si="3447"/>
        <v>...</v>
      </c>
      <c r="K15023" s="1" t="str">
        <f t="shared" si="3447"/>
        <v>...</v>
      </c>
      <c r="L15023" s="1" t="str">
        <f t="shared" si="3447"/>
        <v>...</v>
      </c>
      <c r="M15023" s="1" t="str">
        <f t="shared" si="3447"/>
        <v>...</v>
      </c>
      <c r="N15023" t="s">
        <v>30</v>
      </c>
    </row>
    <row r="15024" spans="1:14" x14ac:dyDescent="0.25">
      <c r="A15024" t="s">
        <v>45</v>
      </c>
      <c r="B15024" t="s">
        <v>40</v>
      </c>
      <c r="C15024" t="s">
        <v>15</v>
      </c>
      <c r="D15024" t="s">
        <v>33</v>
      </c>
      <c r="E15024" t="s">
        <v>26</v>
      </c>
      <c r="F15024" t="s">
        <v>18</v>
      </c>
      <c r="G15024" s="1" t="str">
        <f t="shared" si="3447"/>
        <v>...</v>
      </c>
      <c r="H15024" s="1" t="str">
        <f t="shared" si="3447"/>
        <v>...</v>
      </c>
      <c r="I15024" s="1" t="str">
        <f t="shared" si="3447"/>
        <v>...</v>
      </c>
      <c r="J15024" s="1" t="str">
        <f t="shared" si="3447"/>
        <v>...</v>
      </c>
      <c r="K15024" s="1" t="str">
        <f t="shared" si="3447"/>
        <v>...</v>
      </c>
      <c r="L15024" s="1" t="str">
        <f t="shared" si="3447"/>
        <v>...</v>
      </c>
      <c r="M15024" s="1" t="str">
        <f t="shared" si="3447"/>
        <v>...</v>
      </c>
      <c r="N15024" t="s">
        <v>30</v>
      </c>
    </row>
    <row r="15025" spans="1:14" x14ac:dyDescent="0.25">
      <c r="A15025" t="s">
        <v>45</v>
      </c>
      <c r="B15025" t="s">
        <v>40</v>
      </c>
      <c r="C15025" t="s">
        <v>15</v>
      </c>
      <c r="D15025" t="s">
        <v>33</v>
      </c>
      <c r="E15025" t="s">
        <v>26</v>
      </c>
      <c r="F15025" t="s">
        <v>19</v>
      </c>
      <c r="G15025" s="1" t="str">
        <f t="shared" si="3447"/>
        <v>...</v>
      </c>
      <c r="H15025" s="1" t="str">
        <f t="shared" si="3447"/>
        <v>...</v>
      </c>
      <c r="I15025" s="1" t="str">
        <f t="shared" si="3447"/>
        <v>...</v>
      </c>
      <c r="J15025" s="1" t="str">
        <f t="shared" si="3447"/>
        <v>...</v>
      </c>
      <c r="K15025" s="1" t="str">
        <f t="shared" si="3447"/>
        <v>...</v>
      </c>
      <c r="L15025" s="1" t="str">
        <f t="shared" si="3447"/>
        <v>...</v>
      </c>
      <c r="M15025" s="1" t="str">
        <f t="shared" si="3447"/>
        <v>...</v>
      </c>
      <c r="N15025" t="s">
        <v>30</v>
      </c>
    </row>
    <row r="15026" spans="1:14" x14ac:dyDescent="0.25">
      <c r="A15026" t="s">
        <v>45</v>
      </c>
      <c r="B15026" t="s">
        <v>40</v>
      </c>
      <c r="C15026" t="s">
        <v>15</v>
      </c>
      <c r="D15026" t="s">
        <v>33</v>
      </c>
      <c r="E15026" t="s">
        <v>26</v>
      </c>
      <c r="F15026" t="s">
        <v>20</v>
      </c>
      <c r="G15026" s="1" t="str">
        <f t="shared" ref="G15026:M15026" si="3448">"X"</f>
        <v>X</v>
      </c>
      <c r="H15026" s="1" t="str">
        <f t="shared" si="3448"/>
        <v>X</v>
      </c>
      <c r="I15026" s="1" t="str">
        <f t="shared" si="3448"/>
        <v>X</v>
      </c>
      <c r="J15026" s="1" t="str">
        <f t="shared" si="3448"/>
        <v>X</v>
      </c>
      <c r="K15026" s="1" t="str">
        <f t="shared" si="3448"/>
        <v>X</v>
      </c>
      <c r="L15026" s="1" t="str">
        <f t="shared" si="3448"/>
        <v>X</v>
      </c>
      <c r="M15026" s="1" t="str">
        <f t="shared" si="3448"/>
        <v>X</v>
      </c>
      <c r="N15026" t="s">
        <v>27</v>
      </c>
    </row>
    <row r="15027" spans="1:14" x14ac:dyDescent="0.25">
      <c r="A15027" t="s">
        <v>45</v>
      </c>
      <c r="B15027" t="s">
        <v>40</v>
      </c>
      <c r="C15027" t="s">
        <v>15</v>
      </c>
      <c r="D15027" t="s">
        <v>34</v>
      </c>
      <c r="E15027" t="s">
        <v>15</v>
      </c>
      <c r="F15027" t="s">
        <v>15</v>
      </c>
      <c r="G15027" s="2">
        <f>VALUE(424.87)</f>
        <v>424.87</v>
      </c>
      <c r="H15027" s="3">
        <f>VALUE(345.09)</f>
        <v>345.09</v>
      </c>
      <c r="I15027" s="1">
        <f>VALUE(3022)</f>
        <v>3022</v>
      </c>
      <c r="J15027" s="1">
        <f>VALUE(3421)</f>
        <v>3421</v>
      </c>
      <c r="K15027" s="1">
        <f>VALUE(3712)</f>
        <v>3712</v>
      </c>
      <c r="L15027" s="1">
        <f>VALUE(4590)</f>
        <v>4590</v>
      </c>
      <c r="M15027" s="8">
        <f>VALUE(6336)</f>
        <v>6336</v>
      </c>
      <c r="N15027" t="s">
        <v>25</v>
      </c>
    </row>
    <row r="15028" spans="1:14" x14ac:dyDescent="0.25">
      <c r="A15028" t="s">
        <v>45</v>
      </c>
      <c r="B15028" t="s">
        <v>40</v>
      </c>
      <c r="C15028" t="s">
        <v>15</v>
      </c>
      <c r="D15028" t="s">
        <v>34</v>
      </c>
      <c r="E15028" t="s">
        <v>15</v>
      </c>
      <c r="F15028" t="s">
        <v>17</v>
      </c>
      <c r="G15028" s="1" t="str">
        <f t="shared" ref="G15028:M15030" si="3449">"X"</f>
        <v>X</v>
      </c>
      <c r="H15028" s="1" t="str">
        <f t="shared" si="3449"/>
        <v>X</v>
      </c>
      <c r="I15028" s="1" t="str">
        <f t="shared" si="3449"/>
        <v>X</v>
      </c>
      <c r="J15028" s="1" t="str">
        <f t="shared" si="3449"/>
        <v>X</v>
      </c>
      <c r="K15028" s="1" t="str">
        <f t="shared" si="3449"/>
        <v>X</v>
      </c>
      <c r="L15028" s="1" t="str">
        <f t="shared" si="3449"/>
        <v>X</v>
      </c>
      <c r="M15028" s="1" t="str">
        <f t="shared" si="3449"/>
        <v>X</v>
      </c>
      <c r="N15028" t="s">
        <v>27</v>
      </c>
    </row>
    <row r="15029" spans="1:14" x14ac:dyDescent="0.25">
      <c r="A15029" t="s">
        <v>45</v>
      </c>
      <c r="B15029" t="s">
        <v>40</v>
      </c>
      <c r="C15029" t="s">
        <v>15</v>
      </c>
      <c r="D15029" t="s">
        <v>34</v>
      </c>
      <c r="E15029" t="s">
        <v>15</v>
      </c>
      <c r="F15029" t="s">
        <v>18</v>
      </c>
      <c r="G15029" s="1" t="str">
        <f t="shared" si="3449"/>
        <v>X</v>
      </c>
      <c r="H15029" s="1" t="str">
        <f t="shared" si="3449"/>
        <v>X</v>
      </c>
      <c r="I15029" s="1" t="str">
        <f t="shared" si="3449"/>
        <v>X</v>
      </c>
      <c r="J15029" s="1" t="str">
        <f t="shared" si="3449"/>
        <v>X</v>
      </c>
      <c r="K15029" s="1" t="str">
        <f t="shared" si="3449"/>
        <v>X</v>
      </c>
      <c r="L15029" s="1" t="str">
        <f t="shared" si="3449"/>
        <v>X</v>
      </c>
      <c r="M15029" s="1" t="str">
        <f t="shared" si="3449"/>
        <v>X</v>
      </c>
      <c r="N15029" t="s">
        <v>27</v>
      </c>
    </row>
    <row r="15030" spans="1:14" x14ac:dyDescent="0.25">
      <c r="A15030" t="s">
        <v>45</v>
      </c>
      <c r="B15030" t="s">
        <v>40</v>
      </c>
      <c r="C15030" t="s">
        <v>15</v>
      </c>
      <c r="D15030" t="s">
        <v>34</v>
      </c>
      <c r="E15030" t="s">
        <v>15</v>
      </c>
      <c r="F15030" t="s">
        <v>19</v>
      </c>
      <c r="G15030" s="1" t="str">
        <f t="shared" si="3449"/>
        <v>X</v>
      </c>
      <c r="H15030" s="1" t="str">
        <f t="shared" si="3449"/>
        <v>X</v>
      </c>
      <c r="I15030" s="1" t="str">
        <f t="shared" si="3449"/>
        <v>X</v>
      </c>
      <c r="J15030" s="1" t="str">
        <f t="shared" si="3449"/>
        <v>X</v>
      </c>
      <c r="K15030" s="1" t="str">
        <f t="shared" si="3449"/>
        <v>X</v>
      </c>
      <c r="L15030" s="1" t="str">
        <f t="shared" si="3449"/>
        <v>X</v>
      </c>
      <c r="M15030" s="1" t="str">
        <f t="shared" si="3449"/>
        <v>X</v>
      </c>
      <c r="N15030" t="s">
        <v>27</v>
      </c>
    </row>
    <row r="15031" spans="1:14" x14ac:dyDescent="0.25">
      <c r="A15031" t="s">
        <v>45</v>
      </c>
      <c r="B15031" t="s">
        <v>40</v>
      </c>
      <c r="C15031" t="s">
        <v>15</v>
      </c>
      <c r="D15031" t="s">
        <v>34</v>
      </c>
      <c r="E15031" t="s">
        <v>15</v>
      </c>
      <c r="F15031" t="s">
        <v>20</v>
      </c>
      <c r="G15031" s="2">
        <f>VALUE(356.88)</f>
        <v>356.88</v>
      </c>
      <c r="H15031" s="3">
        <f>VALUE(290.5)</f>
        <v>290.5</v>
      </c>
      <c r="I15031" s="1">
        <f>VALUE(3015)</f>
        <v>3015</v>
      </c>
      <c r="J15031" s="1">
        <f>VALUE(3334)</f>
        <v>3334</v>
      </c>
      <c r="K15031" s="1">
        <f>VALUE(3584)</f>
        <v>3584</v>
      </c>
      <c r="L15031" s="1">
        <f>VALUE(4060)</f>
        <v>4060</v>
      </c>
      <c r="M15031" s="1">
        <f>VALUE(5046)</f>
        <v>5046</v>
      </c>
      <c r="N15031" t="s">
        <v>25</v>
      </c>
    </row>
    <row r="15032" spans="1:14" x14ac:dyDescent="0.25">
      <c r="A15032" t="s">
        <v>45</v>
      </c>
      <c r="B15032" t="s">
        <v>40</v>
      </c>
      <c r="C15032" t="s">
        <v>15</v>
      </c>
      <c r="D15032" t="s">
        <v>34</v>
      </c>
      <c r="E15032" t="s">
        <v>21</v>
      </c>
      <c r="F15032" t="s">
        <v>15</v>
      </c>
      <c r="G15032" s="1" t="str">
        <f t="shared" ref="G15032:M15039" si="3450">"X"</f>
        <v>X</v>
      </c>
      <c r="H15032" s="1" t="str">
        <f t="shared" si="3450"/>
        <v>X</v>
      </c>
      <c r="I15032" s="1" t="str">
        <f t="shared" si="3450"/>
        <v>X</v>
      </c>
      <c r="J15032" s="1" t="str">
        <f t="shared" si="3450"/>
        <v>X</v>
      </c>
      <c r="K15032" s="1" t="str">
        <f t="shared" si="3450"/>
        <v>X</v>
      </c>
      <c r="L15032" s="1" t="str">
        <f t="shared" si="3450"/>
        <v>X</v>
      </c>
      <c r="M15032" s="1" t="str">
        <f t="shared" si="3450"/>
        <v>X</v>
      </c>
      <c r="N15032" t="s">
        <v>27</v>
      </c>
    </row>
    <row r="15033" spans="1:14" x14ac:dyDescent="0.25">
      <c r="A15033" t="s">
        <v>45</v>
      </c>
      <c r="B15033" t="s">
        <v>40</v>
      </c>
      <c r="C15033" t="s">
        <v>15</v>
      </c>
      <c r="D15033" t="s">
        <v>34</v>
      </c>
      <c r="E15033" t="s">
        <v>21</v>
      </c>
      <c r="F15033" t="s">
        <v>17</v>
      </c>
      <c r="G15033" s="1" t="str">
        <f t="shared" si="3450"/>
        <v>X</v>
      </c>
      <c r="H15033" s="1" t="str">
        <f t="shared" si="3450"/>
        <v>X</v>
      </c>
      <c r="I15033" s="1" t="str">
        <f t="shared" si="3450"/>
        <v>X</v>
      </c>
      <c r="J15033" s="1" t="str">
        <f t="shared" si="3450"/>
        <v>X</v>
      </c>
      <c r="K15033" s="1" t="str">
        <f t="shared" si="3450"/>
        <v>X</v>
      </c>
      <c r="L15033" s="1" t="str">
        <f t="shared" si="3450"/>
        <v>X</v>
      </c>
      <c r="M15033" s="1" t="str">
        <f t="shared" si="3450"/>
        <v>X</v>
      </c>
      <c r="N15033" t="s">
        <v>27</v>
      </c>
    </row>
    <row r="15034" spans="1:14" x14ac:dyDescent="0.25">
      <c r="A15034" t="s">
        <v>45</v>
      </c>
      <c r="B15034" t="s">
        <v>40</v>
      </c>
      <c r="C15034" t="s">
        <v>15</v>
      </c>
      <c r="D15034" t="s">
        <v>34</v>
      </c>
      <c r="E15034" t="s">
        <v>21</v>
      </c>
      <c r="F15034" t="s">
        <v>18</v>
      </c>
      <c r="G15034" s="1" t="str">
        <f t="shared" si="3450"/>
        <v>X</v>
      </c>
      <c r="H15034" s="1" t="str">
        <f t="shared" si="3450"/>
        <v>X</v>
      </c>
      <c r="I15034" s="1" t="str">
        <f t="shared" si="3450"/>
        <v>X</v>
      </c>
      <c r="J15034" s="1" t="str">
        <f t="shared" si="3450"/>
        <v>X</v>
      </c>
      <c r="K15034" s="1" t="str">
        <f t="shared" si="3450"/>
        <v>X</v>
      </c>
      <c r="L15034" s="1" t="str">
        <f t="shared" si="3450"/>
        <v>X</v>
      </c>
      <c r="M15034" s="1" t="str">
        <f t="shared" si="3450"/>
        <v>X</v>
      </c>
      <c r="N15034" t="s">
        <v>27</v>
      </c>
    </row>
    <row r="15035" spans="1:14" x14ac:dyDescent="0.25">
      <c r="A15035" t="s">
        <v>45</v>
      </c>
      <c r="B15035" t="s">
        <v>40</v>
      </c>
      <c r="C15035" t="s">
        <v>15</v>
      </c>
      <c r="D15035" t="s">
        <v>34</v>
      </c>
      <c r="E15035" t="s">
        <v>21</v>
      </c>
      <c r="F15035" t="s">
        <v>19</v>
      </c>
      <c r="G15035" s="1" t="str">
        <f t="shared" si="3450"/>
        <v>X</v>
      </c>
      <c r="H15035" s="1" t="str">
        <f t="shared" si="3450"/>
        <v>X</v>
      </c>
      <c r="I15035" s="1" t="str">
        <f t="shared" si="3450"/>
        <v>X</v>
      </c>
      <c r="J15035" s="1" t="str">
        <f t="shared" si="3450"/>
        <v>X</v>
      </c>
      <c r="K15035" s="1" t="str">
        <f t="shared" si="3450"/>
        <v>X</v>
      </c>
      <c r="L15035" s="1" t="str">
        <f t="shared" si="3450"/>
        <v>X</v>
      </c>
      <c r="M15035" s="1" t="str">
        <f t="shared" si="3450"/>
        <v>X</v>
      </c>
      <c r="N15035" t="s">
        <v>27</v>
      </c>
    </row>
    <row r="15036" spans="1:14" x14ac:dyDescent="0.25">
      <c r="A15036" t="s">
        <v>45</v>
      </c>
      <c r="B15036" t="s">
        <v>40</v>
      </c>
      <c r="C15036" t="s">
        <v>15</v>
      </c>
      <c r="D15036" t="s">
        <v>34</v>
      </c>
      <c r="E15036" t="s">
        <v>21</v>
      </c>
      <c r="F15036" t="s">
        <v>20</v>
      </c>
      <c r="G15036" s="1" t="str">
        <f t="shared" si="3450"/>
        <v>X</v>
      </c>
      <c r="H15036" s="1" t="str">
        <f t="shared" si="3450"/>
        <v>X</v>
      </c>
      <c r="I15036" s="1" t="str">
        <f t="shared" si="3450"/>
        <v>X</v>
      </c>
      <c r="J15036" s="1" t="str">
        <f t="shared" si="3450"/>
        <v>X</v>
      </c>
      <c r="K15036" s="1" t="str">
        <f t="shared" si="3450"/>
        <v>X</v>
      </c>
      <c r="L15036" s="1" t="str">
        <f t="shared" si="3450"/>
        <v>X</v>
      </c>
      <c r="M15036" s="1" t="str">
        <f t="shared" si="3450"/>
        <v>X</v>
      </c>
      <c r="N15036" t="s">
        <v>27</v>
      </c>
    </row>
    <row r="15037" spans="1:14" x14ac:dyDescent="0.25">
      <c r="A15037" t="s">
        <v>45</v>
      </c>
      <c r="B15037" t="s">
        <v>40</v>
      </c>
      <c r="C15037" t="s">
        <v>15</v>
      </c>
      <c r="D15037" t="s">
        <v>34</v>
      </c>
      <c r="E15037" t="s">
        <v>22</v>
      </c>
      <c r="F15037" t="s">
        <v>15</v>
      </c>
      <c r="G15037" s="1" t="str">
        <f t="shared" si="3450"/>
        <v>X</v>
      </c>
      <c r="H15037" s="1" t="str">
        <f t="shared" si="3450"/>
        <v>X</v>
      </c>
      <c r="I15037" s="1" t="str">
        <f t="shared" si="3450"/>
        <v>X</v>
      </c>
      <c r="J15037" s="1" t="str">
        <f t="shared" si="3450"/>
        <v>X</v>
      </c>
      <c r="K15037" s="1" t="str">
        <f t="shared" si="3450"/>
        <v>X</v>
      </c>
      <c r="L15037" s="1" t="str">
        <f t="shared" si="3450"/>
        <v>X</v>
      </c>
      <c r="M15037" s="1" t="str">
        <f t="shared" si="3450"/>
        <v>X</v>
      </c>
      <c r="N15037" t="s">
        <v>27</v>
      </c>
    </row>
    <row r="15038" spans="1:14" x14ac:dyDescent="0.25">
      <c r="A15038" t="s">
        <v>45</v>
      </c>
      <c r="B15038" t="s">
        <v>40</v>
      </c>
      <c r="C15038" t="s">
        <v>15</v>
      </c>
      <c r="D15038" t="s">
        <v>34</v>
      </c>
      <c r="E15038" t="s">
        <v>22</v>
      </c>
      <c r="F15038" t="s">
        <v>17</v>
      </c>
      <c r="G15038" s="1" t="str">
        <f t="shared" si="3450"/>
        <v>X</v>
      </c>
      <c r="H15038" s="1" t="str">
        <f t="shared" si="3450"/>
        <v>X</v>
      </c>
      <c r="I15038" s="1" t="str">
        <f t="shared" si="3450"/>
        <v>X</v>
      </c>
      <c r="J15038" s="1" t="str">
        <f t="shared" si="3450"/>
        <v>X</v>
      </c>
      <c r="K15038" s="1" t="str">
        <f t="shared" si="3450"/>
        <v>X</v>
      </c>
      <c r="L15038" s="1" t="str">
        <f t="shared" si="3450"/>
        <v>X</v>
      </c>
      <c r="M15038" s="1" t="str">
        <f t="shared" si="3450"/>
        <v>X</v>
      </c>
      <c r="N15038" t="s">
        <v>27</v>
      </c>
    </row>
    <row r="15039" spans="1:14" x14ac:dyDescent="0.25">
      <c r="A15039" t="s">
        <v>45</v>
      </c>
      <c r="B15039" t="s">
        <v>40</v>
      </c>
      <c r="C15039" t="s">
        <v>15</v>
      </c>
      <c r="D15039" t="s">
        <v>34</v>
      </c>
      <c r="E15039" t="s">
        <v>22</v>
      </c>
      <c r="F15039" t="s">
        <v>18</v>
      </c>
      <c r="G15039" s="1" t="str">
        <f t="shared" si="3450"/>
        <v>X</v>
      </c>
      <c r="H15039" s="1" t="str">
        <f t="shared" si="3450"/>
        <v>X</v>
      </c>
      <c r="I15039" s="1" t="str">
        <f t="shared" si="3450"/>
        <v>X</v>
      </c>
      <c r="J15039" s="1" t="str">
        <f t="shared" si="3450"/>
        <v>X</v>
      </c>
      <c r="K15039" s="1" t="str">
        <f t="shared" si="3450"/>
        <v>X</v>
      </c>
      <c r="L15039" s="1" t="str">
        <f t="shared" si="3450"/>
        <v>X</v>
      </c>
      <c r="M15039" s="1" t="str">
        <f t="shared" si="3450"/>
        <v>X</v>
      </c>
      <c r="N15039" t="s">
        <v>27</v>
      </c>
    </row>
    <row r="15040" spans="1:14" x14ac:dyDescent="0.25">
      <c r="A15040" t="s">
        <v>45</v>
      </c>
      <c r="B15040" t="s">
        <v>40</v>
      </c>
      <c r="C15040" t="s">
        <v>15</v>
      </c>
      <c r="D15040" t="s">
        <v>34</v>
      </c>
      <c r="E15040" t="s">
        <v>22</v>
      </c>
      <c r="F15040" t="s">
        <v>19</v>
      </c>
      <c r="G15040" s="1" t="str">
        <f t="shared" ref="G15040:M15040" si="3451">"..."</f>
        <v>...</v>
      </c>
      <c r="H15040" s="1" t="str">
        <f t="shared" si="3451"/>
        <v>...</v>
      </c>
      <c r="I15040" s="1" t="str">
        <f t="shared" si="3451"/>
        <v>...</v>
      </c>
      <c r="J15040" s="1" t="str">
        <f t="shared" si="3451"/>
        <v>...</v>
      </c>
      <c r="K15040" s="1" t="str">
        <f t="shared" si="3451"/>
        <v>...</v>
      </c>
      <c r="L15040" s="1" t="str">
        <f t="shared" si="3451"/>
        <v>...</v>
      </c>
      <c r="M15040" s="1" t="str">
        <f t="shared" si="3451"/>
        <v>...</v>
      </c>
      <c r="N15040" t="s">
        <v>30</v>
      </c>
    </row>
    <row r="15041" spans="1:14" x14ac:dyDescent="0.25">
      <c r="A15041" t="s">
        <v>45</v>
      </c>
      <c r="B15041" t="s">
        <v>40</v>
      </c>
      <c r="C15041" t="s">
        <v>15</v>
      </c>
      <c r="D15041" t="s">
        <v>34</v>
      </c>
      <c r="E15041" t="s">
        <v>22</v>
      </c>
      <c r="F15041" t="s">
        <v>20</v>
      </c>
      <c r="G15041" s="1" t="str">
        <f t="shared" ref="G15041:M15047" si="3452">"X"</f>
        <v>X</v>
      </c>
      <c r="H15041" s="1" t="str">
        <f t="shared" si="3452"/>
        <v>X</v>
      </c>
      <c r="I15041" s="1" t="str">
        <f t="shared" si="3452"/>
        <v>X</v>
      </c>
      <c r="J15041" s="1" t="str">
        <f t="shared" si="3452"/>
        <v>X</v>
      </c>
      <c r="K15041" s="1" t="str">
        <f t="shared" si="3452"/>
        <v>X</v>
      </c>
      <c r="L15041" s="1" t="str">
        <f t="shared" si="3452"/>
        <v>X</v>
      </c>
      <c r="M15041" s="1" t="str">
        <f t="shared" si="3452"/>
        <v>X</v>
      </c>
      <c r="N15041" t="s">
        <v>27</v>
      </c>
    </row>
    <row r="15042" spans="1:14" x14ac:dyDescent="0.25">
      <c r="A15042" t="s">
        <v>45</v>
      </c>
      <c r="B15042" t="s">
        <v>40</v>
      </c>
      <c r="C15042" t="s">
        <v>15</v>
      </c>
      <c r="D15042" t="s">
        <v>34</v>
      </c>
      <c r="E15042" t="s">
        <v>23</v>
      </c>
      <c r="F15042" t="s">
        <v>15</v>
      </c>
      <c r="G15042" s="1" t="str">
        <f t="shared" si="3452"/>
        <v>X</v>
      </c>
      <c r="H15042" s="1" t="str">
        <f t="shared" si="3452"/>
        <v>X</v>
      </c>
      <c r="I15042" s="1" t="str">
        <f t="shared" si="3452"/>
        <v>X</v>
      </c>
      <c r="J15042" s="1" t="str">
        <f t="shared" si="3452"/>
        <v>X</v>
      </c>
      <c r="K15042" s="1" t="str">
        <f t="shared" si="3452"/>
        <v>X</v>
      </c>
      <c r="L15042" s="1" t="str">
        <f t="shared" si="3452"/>
        <v>X</v>
      </c>
      <c r="M15042" s="1" t="str">
        <f t="shared" si="3452"/>
        <v>X</v>
      </c>
      <c r="N15042" t="s">
        <v>27</v>
      </c>
    </row>
    <row r="15043" spans="1:14" x14ac:dyDescent="0.25">
      <c r="A15043" t="s">
        <v>45</v>
      </c>
      <c r="B15043" t="s">
        <v>40</v>
      </c>
      <c r="C15043" t="s">
        <v>15</v>
      </c>
      <c r="D15043" t="s">
        <v>34</v>
      </c>
      <c r="E15043" t="s">
        <v>23</v>
      </c>
      <c r="F15043" t="s">
        <v>17</v>
      </c>
      <c r="G15043" s="1" t="str">
        <f t="shared" si="3452"/>
        <v>X</v>
      </c>
      <c r="H15043" s="1" t="str">
        <f t="shared" si="3452"/>
        <v>X</v>
      </c>
      <c r="I15043" s="1" t="str">
        <f t="shared" si="3452"/>
        <v>X</v>
      </c>
      <c r="J15043" s="1" t="str">
        <f t="shared" si="3452"/>
        <v>X</v>
      </c>
      <c r="K15043" s="1" t="str">
        <f t="shared" si="3452"/>
        <v>X</v>
      </c>
      <c r="L15043" s="1" t="str">
        <f t="shared" si="3452"/>
        <v>X</v>
      </c>
      <c r="M15043" s="1" t="str">
        <f t="shared" si="3452"/>
        <v>X</v>
      </c>
      <c r="N15043" t="s">
        <v>27</v>
      </c>
    </row>
    <row r="15044" spans="1:14" x14ac:dyDescent="0.25">
      <c r="A15044" t="s">
        <v>45</v>
      </c>
      <c r="B15044" t="s">
        <v>40</v>
      </c>
      <c r="C15044" t="s">
        <v>15</v>
      </c>
      <c r="D15044" t="s">
        <v>34</v>
      </c>
      <c r="E15044" t="s">
        <v>23</v>
      </c>
      <c r="F15044" t="s">
        <v>18</v>
      </c>
      <c r="G15044" s="1" t="str">
        <f t="shared" si="3452"/>
        <v>X</v>
      </c>
      <c r="H15044" s="1" t="str">
        <f t="shared" si="3452"/>
        <v>X</v>
      </c>
      <c r="I15044" s="1" t="str">
        <f t="shared" si="3452"/>
        <v>X</v>
      </c>
      <c r="J15044" s="1" t="str">
        <f t="shared" si="3452"/>
        <v>X</v>
      </c>
      <c r="K15044" s="1" t="str">
        <f t="shared" si="3452"/>
        <v>X</v>
      </c>
      <c r="L15044" s="1" t="str">
        <f t="shared" si="3452"/>
        <v>X</v>
      </c>
      <c r="M15044" s="1" t="str">
        <f t="shared" si="3452"/>
        <v>X</v>
      </c>
      <c r="N15044" t="s">
        <v>27</v>
      </c>
    </row>
    <row r="15045" spans="1:14" x14ac:dyDescent="0.25">
      <c r="A15045" t="s">
        <v>45</v>
      </c>
      <c r="B15045" t="s">
        <v>40</v>
      </c>
      <c r="C15045" t="s">
        <v>15</v>
      </c>
      <c r="D15045" t="s">
        <v>34</v>
      </c>
      <c r="E15045" t="s">
        <v>23</v>
      </c>
      <c r="F15045" t="s">
        <v>19</v>
      </c>
      <c r="G15045" s="1" t="str">
        <f t="shared" si="3452"/>
        <v>X</v>
      </c>
      <c r="H15045" s="1" t="str">
        <f t="shared" si="3452"/>
        <v>X</v>
      </c>
      <c r="I15045" s="1" t="str">
        <f t="shared" si="3452"/>
        <v>X</v>
      </c>
      <c r="J15045" s="1" t="str">
        <f t="shared" si="3452"/>
        <v>X</v>
      </c>
      <c r="K15045" s="1" t="str">
        <f t="shared" si="3452"/>
        <v>X</v>
      </c>
      <c r="L15045" s="1" t="str">
        <f t="shared" si="3452"/>
        <v>X</v>
      </c>
      <c r="M15045" s="1" t="str">
        <f t="shared" si="3452"/>
        <v>X</v>
      </c>
      <c r="N15045" t="s">
        <v>27</v>
      </c>
    </row>
    <row r="15046" spans="1:14" x14ac:dyDescent="0.25">
      <c r="A15046" t="s">
        <v>45</v>
      </c>
      <c r="B15046" t="s">
        <v>40</v>
      </c>
      <c r="C15046" t="s">
        <v>15</v>
      </c>
      <c r="D15046" t="s">
        <v>34</v>
      </c>
      <c r="E15046" t="s">
        <v>23</v>
      </c>
      <c r="F15046" t="s">
        <v>20</v>
      </c>
      <c r="G15046" s="1" t="str">
        <f t="shared" si="3452"/>
        <v>X</v>
      </c>
      <c r="H15046" s="1" t="str">
        <f t="shared" si="3452"/>
        <v>X</v>
      </c>
      <c r="I15046" s="1" t="str">
        <f t="shared" si="3452"/>
        <v>X</v>
      </c>
      <c r="J15046" s="1" t="str">
        <f t="shared" si="3452"/>
        <v>X</v>
      </c>
      <c r="K15046" s="1" t="str">
        <f t="shared" si="3452"/>
        <v>X</v>
      </c>
      <c r="L15046" s="1" t="str">
        <f t="shared" si="3452"/>
        <v>X</v>
      </c>
      <c r="M15046" s="1" t="str">
        <f t="shared" si="3452"/>
        <v>X</v>
      </c>
      <c r="N15046" t="s">
        <v>27</v>
      </c>
    </row>
    <row r="15047" spans="1:14" x14ac:dyDescent="0.25">
      <c r="A15047" t="s">
        <v>45</v>
      </c>
      <c r="B15047" t="s">
        <v>40</v>
      </c>
      <c r="C15047" t="s">
        <v>15</v>
      </c>
      <c r="D15047" t="s">
        <v>34</v>
      </c>
      <c r="E15047" t="s">
        <v>26</v>
      </c>
      <c r="F15047" t="s">
        <v>15</v>
      </c>
      <c r="G15047" s="1" t="str">
        <f t="shared" si="3452"/>
        <v>X</v>
      </c>
      <c r="H15047" s="1" t="str">
        <f t="shared" si="3452"/>
        <v>X</v>
      </c>
      <c r="I15047" s="1" t="str">
        <f t="shared" si="3452"/>
        <v>X</v>
      </c>
      <c r="J15047" s="1" t="str">
        <f t="shared" si="3452"/>
        <v>X</v>
      </c>
      <c r="K15047" s="1" t="str">
        <f t="shared" si="3452"/>
        <v>X</v>
      </c>
      <c r="L15047" s="1" t="str">
        <f t="shared" si="3452"/>
        <v>X</v>
      </c>
      <c r="M15047" s="1" t="str">
        <f t="shared" si="3452"/>
        <v>X</v>
      </c>
      <c r="N15047" t="s">
        <v>27</v>
      </c>
    </row>
    <row r="15048" spans="1:14" x14ac:dyDescent="0.25">
      <c r="A15048" t="s">
        <v>45</v>
      </c>
      <c r="B15048" t="s">
        <v>40</v>
      </c>
      <c r="C15048" t="s">
        <v>15</v>
      </c>
      <c r="D15048" t="s">
        <v>34</v>
      </c>
      <c r="E15048" t="s">
        <v>26</v>
      </c>
      <c r="F15048" t="s">
        <v>17</v>
      </c>
      <c r="G15048" s="1" t="str">
        <f t="shared" ref="G15048:M15050" si="3453">"..."</f>
        <v>...</v>
      </c>
      <c r="H15048" s="1" t="str">
        <f t="shared" si="3453"/>
        <v>...</v>
      </c>
      <c r="I15048" s="1" t="str">
        <f t="shared" si="3453"/>
        <v>...</v>
      </c>
      <c r="J15048" s="1" t="str">
        <f t="shared" si="3453"/>
        <v>...</v>
      </c>
      <c r="K15048" s="1" t="str">
        <f t="shared" si="3453"/>
        <v>...</v>
      </c>
      <c r="L15048" s="1" t="str">
        <f t="shared" si="3453"/>
        <v>...</v>
      </c>
      <c r="M15048" s="1" t="str">
        <f t="shared" si="3453"/>
        <v>...</v>
      </c>
      <c r="N15048" t="s">
        <v>30</v>
      </c>
    </row>
    <row r="15049" spans="1:14" x14ac:dyDescent="0.25">
      <c r="A15049" t="s">
        <v>45</v>
      </c>
      <c r="B15049" t="s">
        <v>40</v>
      </c>
      <c r="C15049" t="s">
        <v>15</v>
      </c>
      <c r="D15049" t="s">
        <v>34</v>
      </c>
      <c r="E15049" t="s">
        <v>26</v>
      </c>
      <c r="F15049" t="s">
        <v>18</v>
      </c>
      <c r="G15049" s="1" t="str">
        <f t="shared" si="3453"/>
        <v>...</v>
      </c>
      <c r="H15049" s="1" t="str">
        <f t="shared" si="3453"/>
        <v>...</v>
      </c>
      <c r="I15049" s="1" t="str">
        <f t="shared" si="3453"/>
        <v>...</v>
      </c>
      <c r="J15049" s="1" t="str">
        <f t="shared" si="3453"/>
        <v>...</v>
      </c>
      <c r="K15049" s="1" t="str">
        <f t="shared" si="3453"/>
        <v>...</v>
      </c>
      <c r="L15049" s="1" t="str">
        <f t="shared" si="3453"/>
        <v>...</v>
      </c>
      <c r="M15049" s="1" t="str">
        <f t="shared" si="3453"/>
        <v>...</v>
      </c>
      <c r="N15049" t="s">
        <v>30</v>
      </c>
    </row>
    <row r="15050" spans="1:14" x14ac:dyDescent="0.25">
      <c r="A15050" t="s">
        <v>45</v>
      </c>
      <c r="B15050" t="s">
        <v>40</v>
      </c>
      <c r="C15050" t="s">
        <v>15</v>
      </c>
      <c r="D15050" t="s">
        <v>34</v>
      </c>
      <c r="E15050" t="s">
        <v>26</v>
      </c>
      <c r="F15050" t="s">
        <v>19</v>
      </c>
      <c r="G15050" s="1" t="str">
        <f t="shared" si="3453"/>
        <v>...</v>
      </c>
      <c r="H15050" s="1" t="str">
        <f t="shared" si="3453"/>
        <v>...</v>
      </c>
      <c r="I15050" s="1" t="str">
        <f t="shared" si="3453"/>
        <v>...</v>
      </c>
      <c r="J15050" s="1" t="str">
        <f t="shared" si="3453"/>
        <v>...</v>
      </c>
      <c r="K15050" s="1" t="str">
        <f t="shared" si="3453"/>
        <v>...</v>
      </c>
      <c r="L15050" s="1" t="str">
        <f t="shared" si="3453"/>
        <v>...</v>
      </c>
      <c r="M15050" s="1" t="str">
        <f t="shared" si="3453"/>
        <v>...</v>
      </c>
      <c r="N15050" t="s">
        <v>30</v>
      </c>
    </row>
    <row r="15051" spans="1:14" x14ac:dyDescent="0.25">
      <c r="A15051" t="s">
        <v>45</v>
      </c>
      <c r="B15051" t="s">
        <v>40</v>
      </c>
      <c r="C15051" t="s">
        <v>15</v>
      </c>
      <c r="D15051" t="s">
        <v>34</v>
      </c>
      <c r="E15051" t="s">
        <v>26</v>
      </c>
      <c r="F15051" t="s">
        <v>20</v>
      </c>
      <c r="G15051" s="1" t="str">
        <f t="shared" ref="G15051:M15051" si="3454">"X"</f>
        <v>X</v>
      </c>
      <c r="H15051" s="1" t="str">
        <f t="shared" si="3454"/>
        <v>X</v>
      </c>
      <c r="I15051" s="1" t="str">
        <f t="shared" si="3454"/>
        <v>X</v>
      </c>
      <c r="J15051" s="1" t="str">
        <f t="shared" si="3454"/>
        <v>X</v>
      </c>
      <c r="K15051" s="1" t="str">
        <f t="shared" si="3454"/>
        <v>X</v>
      </c>
      <c r="L15051" s="1" t="str">
        <f t="shared" si="3454"/>
        <v>X</v>
      </c>
      <c r="M15051" s="1" t="str">
        <f t="shared" si="3454"/>
        <v>X</v>
      </c>
      <c r="N15051" t="s">
        <v>27</v>
      </c>
    </row>
    <row r="15052" spans="1:14" x14ac:dyDescent="0.25">
      <c r="A15052" t="s">
        <v>45</v>
      </c>
      <c r="B15052" t="s">
        <v>40</v>
      </c>
      <c r="C15052" t="s">
        <v>35</v>
      </c>
      <c r="D15052" t="s">
        <v>15</v>
      </c>
      <c r="E15052" t="s">
        <v>15</v>
      </c>
      <c r="F15052" t="s">
        <v>15</v>
      </c>
      <c r="G15052" s="2">
        <f>VALUE(2576.12)</f>
        <v>2576.12</v>
      </c>
      <c r="H15052" s="3">
        <f>VALUE(2171.62)</f>
        <v>2171.62</v>
      </c>
      <c r="I15052" s="1">
        <f>VALUE(3048)</f>
        <v>3048</v>
      </c>
      <c r="J15052" s="1">
        <f>VALUE(3461)</f>
        <v>3461</v>
      </c>
      <c r="K15052" s="1">
        <f>VALUE(3852)</f>
        <v>3852</v>
      </c>
      <c r="L15052" s="1">
        <f>VALUE(4276)</f>
        <v>4276</v>
      </c>
      <c r="M15052" s="1">
        <f>VALUE(4921)</f>
        <v>4921</v>
      </c>
      <c r="N15052" t="s">
        <v>25</v>
      </c>
    </row>
    <row r="15053" spans="1:14" x14ac:dyDescent="0.25">
      <c r="A15053" t="s">
        <v>45</v>
      </c>
      <c r="B15053" t="s">
        <v>40</v>
      </c>
      <c r="C15053" t="s">
        <v>35</v>
      </c>
      <c r="D15053" t="s">
        <v>15</v>
      </c>
      <c r="E15053" t="s">
        <v>15</v>
      </c>
      <c r="F15053" t="s">
        <v>17</v>
      </c>
      <c r="G15053" s="1" t="str">
        <f t="shared" ref="G15053:M15054" si="3455">"X"</f>
        <v>X</v>
      </c>
      <c r="H15053" s="1" t="str">
        <f t="shared" si="3455"/>
        <v>X</v>
      </c>
      <c r="I15053" s="1" t="str">
        <f t="shared" si="3455"/>
        <v>X</v>
      </c>
      <c r="J15053" s="1" t="str">
        <f t="shared" si="3455"/>
        <v>X</v>
      </c>
      <c r="K15053" s="1" t="str">
        <f t="shared" si="3455"/>
        <v>X</v>
      </c>
      <c r="L15053" s="1" t="str">
        <f t="shared" si="3455"/>
        <v>X</v>
      </c>
      <c r="M15053" s="1" t="str">
        <f t="shared" si="3455"/>
        <v>X</v>
      </c>
      <c r="N15053" t="s">
        <v>27</v>
      </c>
    </row>
    <row r="15054" spans="1:14" x14ac:dyDescent="0.25">
      <c r="A15054" t="s">
        <v>45</v>
      </c>
      <c r="B15054" t="s">
        <v>40</v>
      </c>
      <c r="C15054" t="s">
        <v>35</v>
      </c>
      <c r="D15054" t="s">
        <v>15</v>
      </c>
      <c r="E15054" t="s">
        <v>15</v>
      </c>
      <c r="F15054" t="s">
        <v>18</v>
      </c>
      <c r="G15054" s="1" t="str">
        <f t="shared" si="3455"/>
        <v>X</v>
      </c>
      <c r="H15054" s="1" t="str">
        <f t="shared" si="3455"/>
        <v>X</v>
      </c>
      <c r="I15054" s="1" t="str">
        <f t="shared" si="3455"/>
        <v>X</v>
      </c>
      <c r="J15054" s="1" t="str">
        <f t="shared" si="3455"/>
        <v>X</v>
      </c>
      <c r="K15054" s="1" t="str">
        <f t="shared" si="3455"/>
        <v>X</v>
      </c>
      <c r="L15054" s="1" t="str">
        <f t="shared" si="3455"/>
        <v>X</v>
      </c>
      <c r="M15054" s="1" t="str">
        <f t="shared" si="3455"/>
        <v>X</v>
      </c>
      <c r="N15054" t="s">
        <v>27</v>
      </c>
    </row>
    <row r="15055" spans="1:14" x14ac:dyDescent="0.25">
      <c r="A15055" t="s">
        <v>45</v>
      </c>
      <c r="B15055" t="s">
        <v>40</v>
      </c>
      <c r="C15055" t="s">
        <v>35</v>
      </c>
      <c r="D15055" t="s">
        <v>15</v>
      </c>
      <c r="E15055" t="s">
        <v>15</v>
      </c>
      <c r="F15055" t="s">
        <v>19</v>
      </c>
      <c r="G15055" s="2">
        <f>VALUE(146.51)</f>
        <v>146.51</v>
      </c>
      <c r="H15055" s="3">
        <f>VALUE(135.52)</f>
        <v>135.52000000000001</v>
      </c>
      <c r="I15055" s="1">
        <f>VALUE(3088)</f>
        <v>3088</v>
      </c>
      <c r="J15055" s="1">
        <f>VALUE(3900)</f>
        <v>3900</v>
      </c>
      <c r="K15055" s="1">
        <f>VALUE(4166)</f>
        <v>4166</v>
      </c>
      <c r="L15055" s="7">
        <f>VALUE(4861)</f>
        <v>4861</v>
      </c>
      <c r="M15055" s="1">
        <f>VALUE(5764)</f>
        <v>5764</v>
      </c>
      <c r="N15055" t="s">
        <v>25</v>
      </c>
    </row>
    <row r="15056" spans="1:14" x14ac:dyDescent="0.25">
      <c r="A15056" t="s">
        <v>45</v>
      </c>
      <c r="B15056" t="s">
        <v>40</v>
      </c>
      <c r="C15056" t="s">
        <v>35</v>
      </c>
      <c r="D15056" t="s">
        <v>15</v>
      </c>
      <c r="E15056" t="s">
        <v>15</v>
      </c>
      <c r="F15056" t="s">
        <v>20</v>
      </c>
      <c r="G15056" s="2">
        <f>VALUE(2228.14)</f>
        <v>2228.14</v>
      </c>
      <c r="H15056" s="3">
        <f>VALUE(1852.82)</f>
        <v>1852.82</v>
      </c>
      <c r="I15056" s="1">
        <f>VALUE(3128)</f>
        <v>3128</v>
      </c>
      <c r="J15056" s="1">
        <f>VALUE(3466)</f>
        <v>3466</v>
      </c>
      <c r="K15056" s="1">
        <f>VALUE(3817)</f>
        <v>3817</v>
      </c>
      <c r="L15056" s="1">
        <f>VALUE(4223)</f>
        <v>4223</v>
      </c>
      <c r="M15056" s="1">
        <f>VALUE(4870)</f>
        <v>4870</v>
      </c>
      <c r="N15056" t="s">
        <v>25</v>
      </c>
    </row>
    <row r="15057" spans="1:14" x14ac:dyDescent="0.25">
      <c r="A15057" t="s">
        <v>45</v>
      </c>
      <c r="B15057" t="s">
        <v>40</v>
      </c>
      <c r="C15057" t="s">
        <v>35</v>
      </c>
      <c r="D15057" t="s">
        <v>15</v>
      </c>
      <c r="E15057" t="s">
        <v>21</v>
      </c>
      <c r="F15057" t="s">
        <v>15</v>
      </c>
      <c r="G15057" s="2">
        <f>VALUE(343.69)</f>
        <v>343.69</v>
      </c>
      <c r="H15057" s="3">
        <f>VALUE(304.18)</f>
        <v>304.18</v>
      </c>
      <c r="I15057" s="4">
        <f>VALUE(3000)</f>
        <v>3000</v>
      </c>
      <c r="J15057" s="5">
        <f>VALUE(3683)</f>
        <v>3683</v>
      </c>
      <c r="K15057" s="6">
        <f>VALUE(4096)</f>
        <v>4096</v>
      </c>
      <c r="L15057" s="1">
        <f>VALUE(5080)</f>
        <v>5080</v>
      </c>
      <c r="M15057" s="1">
        <f>VALUE(5764)</f>
        <v>5764</v>
      </c>
      <c r="N15057" t="s">
        <v>25</v>
      </c>
    </row>
    <row r="15058" spans="1:14" x14ac:dyDescent="0.25">
      <c r="A15058" t="s">
        <v>45</v>
      </c>
      <c r="B15058" t="s">
        <v>40</v>
      </c>
      <c r="C15058" t="s">
        <v>35</v>
      </c>
      <c r="D15058" t="s">
        <v>15</v>
      </c>
      <c r="E15058" t="s">
        <v>21</v>
      </c>
      <c r="F15058" t="s">
        <v>17</v>
      </c>
      <c r="G15058" s="1" t="str">
        <f t="shared" ref="G15058:M15060" si="3456">"X"</f>
        <v>X</v>
      </c>
      <c r="H15058" s="1" t="str">
        <f t="shared" si="3456"/>
        <v>X</v>
      </c>
      <c r="I15058" s="1" t="str">
        <f t="shared" si="3456"/>
        <v>X</v>
      </c>
      <c r="J15058" s="1" t="str">
        <f t="shared" si="3456"/>
        <v>X</v>
      </c>
      <c r="K15058" s="1" t="str">
        <f t="shared" si="3456"/>
        <v>X</v>
      </c>
      <c r="L15058" s="1" t="str">
        <f t="shared" si="3456"/>
        <v>X</v>
      </c>
      <c r="M15058" s="1" t="str">
        <f t="shared" si="3456"/>
        <v>X</v>
      </c>
      <c r="N15058" t="s">
        <v>27</v>
      </c>
    </row>
    <row r="15059" spans="1:14" x14ac:dyDescent="0.25">
      <c r="A15059" t="s">
        <v>45</v>
      </c>
      <c r="B15059" t="s">
        <v>40</v>
      </c>
      <c r="C15059" t="s">
        <v>35</v>
      </c>
      <c r="D15059" t="s">
        <v>15</v>
      </c>
      <c r="E15059" t="s">
        <v>21</v>
      </c>
      <c r="F15059" t="s">
        <v>18</v>
      </c>
      <c r="G15059" s="1" t="str">
        <f t="shared" si="3456"/>
        <v>X</v>
      </c>
      <c r="H15059" s="1" t="str">
        <f t="shared" si="3456"/>
        <v>X</v>
      </c>
      <c r="I15059" s="1" t="str">
        <f t="shared" si="3456"/>
        <v>X</v>
      </c>
      <c r="J15059" s="1" t="str">
        <f t="shared" si="3456"/>
        <v>X</v>
      </c>
      <c r="K15059" s="1" t="str">
        <f t="shared" si="3456"/>
        <v>X</v>
      </c>
      <c r="L15059" s="1" t="str">
        <f t="shared" si="3456"/>
        <v>X</v>
      </c>
      <c r="M15059" s="1" t="str">
        <f t="shared" si="3456"/>
        <v>X</v>
      </c>
      <c r="N15059" t="s">
        <v>27</v>
      </c>
    </row>
    <row r="15060" spans="1:14" x14ac:dyDescent="0.25">
      <c r="A15060" t="s">
        <v>45</v>
      </c>
      <c r="B15060" t="s">
        <v>40</v>
      </c>
      <c r="C15060" t="s">
        <v>35</v>
      </c>
      <c r="D15060" t="s">
        <v>15</v>
      </c>
      <c r="E15060" t="s">
        <v>21</v>
      </c>
      <c r="F15060" t="s">
        <v>19</v>
      </c>
      <c r="G15060" s="1" t="str">
        <f t="shared" si="3456"/>
        <v>X</v>
      </c>
      <c r="H15060" s="1" t="str">
        <f t="shared" si="3456"/>
        <v>X</v>
      </c>
      <c r="I15060" s="1" t="str">
        <f t="shared" si="3456"/>
        <v>X</v>
      </c>
      <c r="J15060" s="1" t="str">
        <f t="shared" si="3456"/>
        <v>X</v>
      </c>
      <c r="K15060" s="1" t="str">
        <f t="shared" si="3456"/>
        <v>X</v>
      </c>
      <c r="L15060" s="1" t="str">
        <f t="shared" si="3456"/>
        <v>X</v>
      </c>
      <c r="M15060" s="1" t="str">
        <f t="shared" si="3456"/>
        <v>X</v>
      </c>
      <c r="N15060" t="s">
        <v>27</v>
      </c>
    </row>
    <row r="15061" spans="1:14" x14ac:dyDescent="0.25">
      <c r="A15061" t="s">
        <v>45</v>
      </c>
      <c r="B15061" t="s">
        <v>40</v>
      </c>
      <c r="C15061" t="s">
        <v>35</v>
      </c>
      <c r="D15061" t="s">
        <v>15</v>
      </c>
      <c r="E15061" t="s">
        <v>21</v>
      </c>
      <c r="F15061" t="s">
        <v>20</v>
      </c>
      <c r="G15061" s="2">
        <f>VALUE(261)</f>
        <v>261</v>
      </c>
      <c r="H15061" s="3">
        <f>VALUE(232.93)</f>
        <v>232.93</v>
      </c>
      <c r="I15061" s="4">
        <f>VALUE(3000)</f>
        <v>3000</v>
      </c>
      <c r="J15061" s="5">
        <f>VALUE(3611)</f>
        <v>3611</v>
      </c>
      <c r="K15061" s="1">
        <f>VALUE(3964)</f>
        <v>3964</v>
      </c>
      <c r="L15061" s="7">
        <f>VALUE(4333)</f>
        <v>4333</v>
      </c>
      <c r="M15061" s="1">
        <f>VALUE(5615)</f>
        <v>5615</v>
      </c>
      <c r="N15061" t="s">
        <v>25</v>
      </c>
    </row>
    <row r="15062" spans="1:14" x14ac:dyDescent="0.25">
      <c r="A15062" t="s">
        <v>45</v>
      </c>
      <c r="B15062" t="s">
        <v>40</v>
      </c>
      <c r="C15062" t="s">
        <v>35</v>
      </c>
      <c r="D15062" t="s">
        <v>15</v>
      </c>
      <c r="E15062" t="s">
        <v>22</v>
      </c>
      <c r="F15062" t="s">
        <v>15</v>
      </c>
      <c r="G15062" s="2">
        <f>VALUE(1509.26)</f>
        <v>1509.26</v>
      </c>
      <c r="H15062" s="3">
        <f>VALUE(1314.25)</f>
        <v>1314.25</v>
      </c>
      <c r="I15062" s="1">
        <f>VALUE(3202)</f>
        <v>3202</v>
      </c>
      <c r="J15062" s="1">
        <f>VALUE(3615)</f>
        <v>3615</v>
      </c>
      <c r="K15062" s="1">
        <f>VALUE(3923)</f>
        <v>3923</v>
      </c>
      <c r="L15062" s="1">
        <f>VALUE(4333)</f>
        <v>4333</v>
      </c>
      <c r="M15062" s="1">
        <f>VALUE(4908)</f>
        <v>4908</v>
      </c>
      <c r="N15062" t="s">
        <v>25</v>
      </c>
    </row>
    <row r="15063" spans="1:14" x14ac:dyDescent="0.25">
      <c r="A15063" t="s">
        <v>45</v>
      </c>
      <c r="B15063" t="s">
        <v>40</v>
      </c>
      <c r="C15063" t="s">
        <v>35</v>
      </c>
      <c r="D15063" t="s">
        <v>15</v>
      </c>
      <c r="E15063" t="s">
        <v>22</v>
      </c>
      <c r="F15063" t="s">
        <v>17</v>
      </c>
      <c r="G15063" s="1" t="str">
        <f t="shared" ref="G15063:M15065" si="3457">"X"</f>
        <v>X</v>
      </c>
      <c r="H15063" s="1" t="str">
        <f t="shared" si="3457"/>
        <v>X</v>
      </c>
      <c r="I15063" s="1" t="str">
        <f t="shared" si="3457"/>
        <v>X</v>
      </c>
      <c r="J15063" s="1" t="str">
        <f t="shared" si="3457"/>
        <v>X</v>
      </c>
      <c r="K15063" s="1" t="str">
        <f t="shared" si="3457"/>
        <v>X</v>
      </c>
      <c r="L15063" s="1" t="str">
        <f t="shared" si="3457"/>
        <v>X</v>
      </c>
      <c r="M15063" s="1" t="str">
        <f t="shared" si="3457"/>
        <v>X</v>
      </c>
      <c r="N15063" t="s">
        <v>27</v>
      </c>
    </row>
    <row r="15064" spans="1:14" x14ac:dyDescent="0.25">
      <c r="A15064" t="s">
        <v>45</v>
      </c>
      <c r="B15064" t="s">
        <v>40</v>
      </c>
      <c r="C15064" t="s">
        <v>35</v>
      </c>
      <c r="D15064" t="s">
        <v>15</v>
      </c>
      <c r="E15064" t="s">
        <v>22</v>
      </c>
      <c r="F15064" t="s">
        <v>18</v>
      </c>
      <c r="G15064" s="1" t="str">
        <f t="shared" si="3457"/>
        <v>X</v>
      </c>
      <c r="H15064" s="1" t="str">
        <f t="shared" si="3457"/>
        <v>X</v>
      </c>
      <c r="I15064" s="1" t="str">
        <f t="shared" si="3457"/>
        <v>X</v>
      </c>
      <c r="J15064" s="1" t="str">
        <f t="shared" si="3457"/>
        <v>X</v>
      </c>
      <c r="K15064" s="1" t="str">
        <f t="shared" si="3457"/>
        <v>X</v>
      </c>
      <c r="L15064" s="1" t="str">
        <f t="shared" si="3457"/>
        <v>X</v>
      </c>
      <c r="M15064" s="1" t="str">
        <f t="shared" si="3457"/>
        <v>X</v>
      </c>
      <c r="N15064" t="s">
        <v>27</v>
      </c>
    </row>
    <row r="15065" spans="1:14" x14ac:dyDescent="0.25">
      <c r="A15065" t="s">
        <v>45</v>
      </c>
      <c r="B15065" t="s">
        <v>40</v>
      </c>
      <c r="C15065" t="s">
        <v>35</v>
      </c>
      <c r="D15065" t="s">
        <v>15</v>
      </c>
      <c r="E15065" t="s">
        <v>22</v>
      </c>
      <c r="F15065" t="s">
        <v>19</v>
      </c>
      <c r="G15065" s="1" t="str">
        <f t="shared" si="3457"/>
        <v>X</v>
      </c>
      <c r="H15065" s="1" t="str">
        <f t="shared" si="3457"/>
        <v>X</v>
      </c>
      <c r="I15065" s="1" t="str">
        <f t="shared" si="3457"/>
        <v>X</v>
      </c>
      <c r="J15065" s="1" t="str">
        <f t="shared" si="3457"/>
        <v>X</v>
      </c>
      <c r="K15065" s="1" t="str">
        <f t="shared" si="3457"/>
        <v>X</v>
      </c>
      <c r="L15065" s="1" t="str">
        <f t="shared" si="3457"/>
        <v>X</v>
      </c>
      <c r="M15065" s="1" t="str">
        <f t="shared" si="3457"/>
        <v>X</v>
      </c>
      <c r="N15065" t="s">
        <v>27</v>
      </c>
    </row>
    <row r="15066" spans="1:14" x14ac:dyDescent="0.25">
      <c r="A15066" t="s">
        <v>45</v>
      </c>
      <c r="B15066" t="s">
        <v>40</v>
      </c>
      <c r="C15066" t="s">
        <v>35</v>
      </c>
      <c r="D15066" t="s">
        <v>15</v>
      </c>
      <c r="E15066" t="s">
        <v>22</v>
      </c>
      <c r="F15066" t="s">
        <v>20</v>
      </c>
      <c r="G15066" s="2">
        <f>VALUE(1279.58)</f>
        <v>1279.58</v>
      </c>
      <c r="H15066" s="3">
        <f>VALUE(1099.28)</f>
        <v>1099.28</v>
      </c>
      <c r="I15066" s="1">
        <f>VALUE(3249)</f>
        <v>3249</v>
      </c>
      <c r="J15066" s="1">
        <f>VALUE(3615)</f>
        <v>3615</v>
      </c>
      <c r="K15066" s="1">
        <f>VALUE(3884)</f>
        <v>3884</v>
      </c>
      <c r="L15066" s="1">
        <f>VALUE(4333)</f>
        <v>4333</v>
      </c>
      <c r="M15066" s="1">
        <f>VALUE(4934)</f>
        <v>4934</v>
      </c>
      <c r="N15066" t="s">
        <v>25</v>
      </c>
    </row>
    <row r="15067" spans="1:14" x14ac:dyDescent="0.25">
      <c r="A15067" t="s">
        <v>45</v>
      </c>
      <c r="B15067" t="s">
        <v>40</v>
      </c>
      <c r="C15067" t="s">
        <v>35</v>
      </c>
      <c r="D15067" t="s">
        <v>15</v>
      </c>
      <c r="E15067" t="s">
        <v>23</v>
      </c>
      <c r="F15067" t="s">
        <v>15</v>
      </c>
      <c r="G15067" s="2">
        <f>VALUE(645.53)</f>
        <v>645.53</v>
      </c>
      <c r="H15067" s="3">
        <f>VALUE(482.92)</f>
        <v>482.92</v>
      </c>
      <c r="I15067" s="4">
        <f>VALUE(2845)</f>
        <v>2845</v>
      </c>
      <c r="J15067" s="1">
        <f>VALUE(3268)</f>
        <v>3268</v>
      </c>
      <c r="K15067" s="1">
        <f>VALUE(3600)</f>
        <v>3600</v>
      </c>
      <c r="L15067" s="1">
        <f>VALUE(4024)</f>
        <v>4024</v>
      </c>
      <c r="M15067" s="1">
        <f>VALUE(4334)</f>
        <v>4334</v>
      </c>
      <c r="N15067" t="s">
        <v>25</v>
      </c>
    </row>
    <row r="15068" spans="1:14" x14ac:dyDescent="0.25">
      <c r="A15068" t="s">
        <v>45</v>
      </c>
      <c r="B15068" t="s">
        <v>40</v>
      </c>
      <c r="C15068" t="s">
        <v>35</v>
      </c>
      <c r="D15068" t="s">
        <v>15</v>
      </c>
      <c r="E15068" t="s">
        <v>23</v>
      </c>
      <c r="F15068" t="s">
        <v>17</v>
      </c>
      <c r="G15068" s="1" t="str">
        <f t="shared" ref="G15068:M15068" si="3458">"..."</f>
        <v>...</v>
      </c>
      <c r="H15068" s="1" t="str">
        <f t="shared" si="3458"/>
        <v>...</v>
      </c>
      <c r="I15068" s="1" t="str">
        <f t="shared" si="3458"/>
        <v>...</v>
      </c>
      <c r="J15068" s="1" t="str">
        <f t="shared" si="3458"/>
        <v>...</v>
      </c>
      <c r="K15068" s="1" t="str">
        <f t="shared" si="3458"/>
        <v>...</v>
      </c>
      <c r="L15068" s="1" t="str">
        <f t="shared" si="3458"/>
        <v>...</v>
      </c>
      <c r="M15068" s="1" t="str">
        <f t="shared" si="3458"/>
        <v>...</v>
      </c>
      <c r="N15068" t="s">
        <v>30</v>
      </c>
    </row>
    <row r="15069" spans="1:14" x14ac:dyDescent="0.25">
      <c r="A15069" t="s">
        <v>45</v>
      </c>
      <c r="B15069" t="s">
        <v>40</v>
      </c>
      <c r="C15069" t="s">
        <v>35</v>
      </c>
      <c r="D15069" t="s">
        <v>15</v>
      </c>
      <c r="E15069" t="s">
        <v>23</v>
      </c>
      <c r="F15069" t="s">
        <v>18</v>
      </c>
      <c r="G15069" s="1" t="str">
        <f t="shared" ref="G15069:M15070" si="3459">"X"</f>
        <v>X</v>
      </c>
      <c r="H15069" s="1" t="str">
        <f t="shared" si="3459"/>
        <v>X</v>
      </c>
      <c r="I15069" s="1" t="str">
        <f t="shared" si="3459"/>
        <v>X</v>
      </c>
      <c r="J15069" s="1" t="str">
        <f t="shared" si="3459"/>
        <v>X</v>
      </c>
      <c r="K15069" s="1" t="str">
        <f t="shared" si="3459"/>
        <v>X</v>
      </c>
      <c r="L15069" s="1" t="str">
        <f t="shared" si="3459"/>
        <v>X</v>
      </c>
      <c r="M15069" s="1" t="str">
        <f t="shared" si="3459"/>
        <v>X</v>
      </c>
      <c r="N15069" t="s">
        <v>27</v>
      </c>
    </row>
    <row r="15070" spans="1:14" x14ac:dyDescent="0.25">
      <c r="A15070" t="s">
        <v>45</v>
      </c>
      <c r="B15070" t="s">
        <v>40</v>
      </c>
      <c r="C15070" t="s">
        <v>35</v>
      </c>
      <c r="D15070" t="s">
        <v>15</v>
      </c>
      <c r="E15070" t="s">
        <v>23</v>
      </c>
      <c r="F15070" t="s">
        <v>19</v>
      </c>
      <c r="G15070" s="1" t="str">
        <f t="shared" si="3459"/>
        <v>X</v>
      </c>
      <c r="H15070" s="1" t="str">
        <f t="shared" si="3459"/>
        <v>X</v>
      </c>
      <c r="I15070" s="1" t="str">
        <f t="shared" si="3459"/>
        <v>X</v>
      </c>
      <c r="J15070" s="1" t="str">
        <f t="shared" si="3459"/>
        <v>X</v>
      </c>
      <c r="K15070" s="1" t="str">
        <f t="shared" si="3459"/>
        <v>X</v>
      </c>
      <c r="L15070" s="1" t="str">
        <f t="shared" si="3459"/>
        <v>X</v>
      </c>
      <c r="M15070" s="1" t="str">
        <f t="shared" si="3459"/>
        <v>X</v>
      </c>
      <c r="N15070" t="s">
        <v>27</v>
      </c>
    </row>
    <row r="15071" spans="1:14" x14ac:dyDescent="0.25">
      <c r="A15071" t="s">
        <v>45</v>
      </c>
      <c r="B15071" t="s">
        <v>40</v>
      </c>
      <c r="C15071" t="s">
        <v>35</v>
      </c>
      <c r="D15071" t="s">
        <v>15</v>
      </c>
      <c r="E15071" t="s">
        <v>23</v>
      </c>
      <c r="F15071" t="s">
        <v>20</v>
      </c>
      <c r="G15071" s="2">
        <f>VALUE(615.63)</f>
        <v>615.63</v>
      </c>
      <c r="H15071" s="3">
        <f>VALUE(456.34)</f>
        <v>456.34</v>
      </c>
      <c r="I15071" s="4">
        <f>VALUE(2988)</f>
        <v>2988</v>
      </c>
      <c r="J15071" s="1">
        <f>VALUE(3288)</f>
        <v>3288</v>
      </c>
      <c r="K15071" s="1">
        <f>VALUE(3603)</f>
        <v>3603</v>
      </c>
      <c r="L15071" s="1">
        <f>VALUE(4029)</f>
        <v>4029</v>
      </c>
      <c r="M15071" s="1">
        <f>VALUE(4334)</f>
        <v>4334</v>
      </c>
      <c r="N15071" t="s">
        <v>25</v>
      </c>
    </row>
    <row r="15072" spans="1:14" x14ac:dyDescent="0.25">
      <c r="A15072" t="s">
        <v>45</v>
      </c>
      <c r="B15072" t="s">
        <v>40</v>
      </c>
      <c r="C15072" t="s">
        <v>35</v>
      </c>
      <c r="D15072" t="s">
        <v>15</v>
      </c>
      <c r="E15072" t="s">
        <v>26</v>
      </c>
      <c r="F15072" t="s">
        <v>15</v>
      </c>
      <c r="G15072" s="1" t="str">
        <f t="shared" ref="G15072:M15072" si="3460">"X"</f>
        <v>X</v>
      </c>
      <c r="H15072" s="1" t="str">
        <f t="shared" si="3460"/>
        <v>X</v>
      </c>
      <c r="I15072" s="1" t="str">
        <f t="shared" si="3460"/>
        <v>X</v>
      </c>
      <c r="J15072" s="1" t="str">
        <f t="shared" si="3460"/>
        <v>X</v>
      </c>
      <c r="K15072" s="1" t="str">
        <f t="shared" si="3460"/>
        <v>X</v>
      </c>
      <c r="L15072" s="1" t="str">
        <f t="shared" si="3460"/>
        <v>X</v>
      </c>
      <c r="M15072" s="1" t="str">
        <f t="shared" si="3460"/>
        <v>X</v>
      </c>
      <c r="N15072" t="s">
        <v>27</v>
      </c>
    </row>
    <row r="15073" spans="1:14" x14ac:dyDescent="0.25">
      <c r="A15073" t="s">
        <v>45</v>
      </c>
      <c r="B15073" t="s">
        <v>40</v>
      </c>
      <c r="C15073" t="s">
        <v>35</v>
      </c>
      <c r="D15073" t="s">
        <v>15</v>
      </c>
      <c r="E15073" t="s">
        <v>26</v>
      </c>
      <c r="F15073" t="s">
        <v>17</v>
      </c>
      <c r="G15073" s="1" t="str">
        <f t="shared" ref="G15073:M15074" si="3461">"..."</f>
        <v>...</v>
      </c>
      <c r="H15073" s="1" t="str">
        <f t="shared" si="3461"/>
        <v>...</v>
      </c>
      <c r="I15073" s="1" t="str">
        <f t="shared" si="3461"/>
        <v>...</v>
      </c>
      <c r="J15073" s="1" t="str">
        <f t="shared" si="3461"/>
        <v>...</v>
      </c>
      <c r="K15073" s="1" t="str">
        <f t="shared" si="3461"/>
        <v>...</v>
      </c>
      <c r="L15073" s="1" t="str">
        <f t="shared" si="3461"/>
        <v>...</v>
      </c>
      <c r="M15073" s="1" t="str">
        <f t="shared" si="3461"/>
        <v>...</v>
      </c>
      <c r="N15073" t="s">
        <v>30</v>
      </c>
    </row>
    <row r="15074" spans="1:14" x14ac:dyDescent="0.25">
      <c r="A15074" t="s">
        <v>45</v>
      </c>
      <c r="B15074" t="s">
        <v>40</v>
      </c>
      <c r="C15074" t="s">
        <v>35</v>
      </c>
      <c r="D15074" t="s">
        <v>15</v>
      </c>
      <c r="E15074" t="s">
        <v>26</v>
      </c>
      <c r="F15074" t="s">
        <v>18</v>
      </c>
      <c r="G15074" s="1" t="str">
        <f t="shared" si="3461"/>
        <v>...</v>
      </c>
      <c r="H15074" s="1" t="str">
        <f t="shared" si="3461"/>
        <v>...</v>
      </c>
      <c r="I15074" s="1" t="str">
        <f t="shared" si="3461"/>
        <v>...</v>
      </c>
      <c r="J15074" s="1" t="str">
        <f t="shared" si="3461"/>
        <v>...</v>
      </c>
      <c r="K15074" s="1" t="str">
        <f t="shared" si="3461"/>
        <v>...</v>
      </c>
      <c r="L15074" s="1" t="str">
        <f t="shared" si="3461"/>
        <v>...</v>
      </c>
      <c r="M15074" s="1" t="str">
        <f t="shared" si="3461"/>
        <v>...</v>
      </c>
      <c r="N15074" t="s">
        <v>30</v>
      </c>
    </row>
    <row r="15075" spans="1:14" x14ac:dyDescent="0.25">
      <c r="A15075" t="s">
        <v>45</v>
      </c>
      <c r="B15075" t="s">
        <v>40</v>
      </c>
      <c r="C15075" t="s">
        <v>35</v>
      </c>
      <c r="D15075" t="s">
        <v>15</v>
      </c>
      <c r="E15075" t="s">
        <v>26</v>
      </c>
      <c r="F15075" t="s">
        <v>19</v>
      </c>
      <c r="G15075" s="1" t="str">
        <f t="shared" ref="G15075:M15076" si="3462">"X"</f>
        <v>X</v>
      </c>
      <c r="H15075" s="1" t="str">
        <f t="shared" si="3462"/>
        <v>X</v>
      </c>
      <c r="I15075" s="1" t="str">
        <f t="shared" si="3462"/>
        <v>X</v>
      </c>
      <c r="J15075" s="1" t="str">
        <f t="shared" si="3462"/>
        <v>X</v>
      </c>
      <c r="K15075" s="1" t="str">
        <f t="shared" si="3462"/>
        <v>X</v>
      </c>
      <c r="L15075" s="1" t="str">
        <f t="shared" si="3462"/>
        <v>X</v>
      </c>
      <c r="M15075" s="1" t="str">
        <f t="shared" si="3462"/>
        <v>X</v>
      </c>
      <c r="N15075" t="s">
        <v>27</v>
      </c>
    </row>
    <row r="15076" spans="1:14" x14ac:dyDescent="0.25">
      <c r="A15076" t="s">
        <v>45</v>
      </c>
      <c r="B15076" t="s">
        <v>40</v>
      </c>
      <c r="C15076" t="s">
        <v>35</v>
      </c>
      <c r="D15076" t="s">
        <v>15</v>
      </c>
      <c r="E15076" t="s">
        <v>26</v>
      </c>
      <c r="F15076" t="s">
        <v>20</v>
      </c>
      <c r="G15076" s="1" t="str">
        <f t="shared" si="3462"/>
        <v>X</v>
      </c>
      <c r="H15076" s="1" t="str">
        <f t="shared" si="3462"/>
        <v>X</v>
      </c>
      <c r="I15076" s="1" t="str">
        <f t="shared" si="3462"/>
        <v>X</v>
      </c>
      <c r="J15076" s="1" t="str">
        <f t="shared" si="3462"/>
        <v>X</v>
      </c>
      <c r="K15076" s="1" t="str">
        <f t="shared" si="3462"/>
        <v>X</v>
      </c>
      <c r="L15076" s="1" t="str">
        <f t="shared" si="3462"/>
        <v>X</v>
      </c>
      <c r="M15076" s="1" t="str">
        <f t="shared" si="3462"/>
        <v>X</v>
      </c>
      <c r="N15076" t="s">
        <v>27</v>
      </c>
    </row>
    <row r="15077" spans="1:14" x14ac:dyDescent="0.25">
      <c r="A15077" t="s">
        <v>45</v>
      </c>
      <c r="B15077" t="s">
        <v>40</v>
      </c>
      <c r="C15077" t="s">
        <v>35</v>
      </c>
      <c r="D15077" t="s">
        <v>28</v>
      </c>
      <c r="E15077" t="s">
        <v>15</v>
      </c>
      <c r="F15077" t="s">
        <v>15</v>
      </c>
      <c r="G15077" s="2">
        <f>VALUE(1437.87)</f>
        <v>1437.87</v>
      </c>
      <c r="H15077" s="3">
        <f>VALUE(1189.74)</f>
        <v>1189.74</v>
      </c>
      <c r="I15077" s="1">
        <f>VALUE(3153)</f>
        <v>3153</v>
      </c>
      <c r="J15077" s="1">
        <f>VALUE(3711)</f>
        <v>3711</v>
      </c>
      <c r="K15077" s="1">
        <f>VALUE(3964)</f>
        <v>3964</v>
      </c>
      <c r="L15077" s="1">
        <f>VALUE(4560)</f>
        <v>4560</v>
      </c>
      <c r="M15077" s="1">
        <f>VALUE(5042)</f>
        <v>5042</v>
      </c>
      <c r="N15077" t="s">
        <v>25</v>
      </c>
    </row>
    <row r="15078" spans="1:14" x14ac:dyDescent="0.25">
      <c r="A15078" t="s">
        <v>45</v>
      </c>
      <c r="B15078" t="s">
        <v>40</v>
      </c>
      <c r="C15078" t="s">
        <v>35</v>
      </c>
      <c r="D15078" t="s">
        <v>28</v>
      </c>
      <c r="E15078" t="s">
        <v>15</v>
      </c>
      <c r="F15078" t="s">
        <v>17</v>
      </c>
      <c r="G15078" s="1" t="str">
        <f t="shared" ref="G15078:M15080" si="3463">"X"</f>
        <v>X</v>
      </c>
      <c r="H15078" s="1" t="str">
        <f t="shared" si="3463"/>
        <v>X</v>
      </c>
      <c r="I15078" s="1" t="str">
        <f t="shared" si="3463"/>
        <v>X</v>
      </c>
      <c r="J15078" s="1" t="str">
        <f t="shared" si="3463"/>
        <v>X</v>
      </c>
      <c r="K15078" s="1" t="str">
        <f t="shared" si="3463"/>
        <v>X</v>
      </c>
      <c r="L15078" s="1" t="str">
        <f t="shared" si="3463"/>
        <v>X</v>
      </c>
      <c r="M15078" s="1" t="str">
        <f t="shared" si="3463"/>
        <v>X</v>
      </c>
      <c r="N15078" t="s">
        <v>27</v>
      </c>
    </row>
    <row r="15079" spans="1:14" x14ac:dyDescent="0.25">
      <c r="A15079" t="s">
        <v>45</v>
      </c>
      <c r="B15079" t="s">
        <v>40</v>
      </c>
      <c r="C15079" t="s">
        <v>35</v>
      </c>
      <c r="D15079" t="s">
        <v>28</v>
      </c>
      <c r="E15079" t="s">
        <v>15</v>
      </c>
      <c r="F15079" t="s">
        <v>18</v>
      </c>
      <c r="G15079" s="1" t="str">
        <f t="shared" si="3463"/>
        <v>X</v>
      </c>
      <c r="H15079" s="1" t="str">
        <f t="shared" si="3463"/>
        <v>X</v>
      </c>
      <c r="I15079" s="1" t="str">
        <f t="shared" si="3463"/>
        <v>X</v>
      </c>
      <c r="J15079" s="1" t="str">
        <f t="shared" si="3463"/>
        <v>X</v>
      </c>
      <c r="K15079" s="1" t="str">
        <f t="shared" si="3463"/>
        <v>X</v>
      </c>
      <c r="L15079" s="1" t="str">
        <f t="shared" si="3463"/>
        <v>X</v>
      </c>
      <c r="M15079" s="1" t="str">
        <f t="shared" si="3463"/>
        <v>X</v>
      </c>
      <c r="N15079" t="s">
        <v>27</v>
      </c>
    </row>
    <row r="15080" spans="1:14" x14ac:dyDescent="0.25">
      <c r="A15080" t="s">
        <v>45</v>
      </c>
      <c r="B15080" t="s">
        <v>40</v>
      </c>
      <c r="C15080" t="s">
        <v>35</v>
      </c>
      <c r="D15080" t="s">
        <v>28</v>
      </c>
      <c r="E15080" t="s">
        <v>15</v>
      </c>
      <c r="F15080" t="s">
        <v>19</v>
      </c>
      <c r="G15080" s="1" t="str">
        <f t="shared" si="3463"/>
        <v>X</v>
      </c>
      <c r="H15080" s="1" t="str">
        <f t="shared" si="3463"/>
        <v>X</v>
      </c>
      <c r="I15080" s="1" t="str">
        <f t="shared" si="3463"/>
        <v>X</v>
      </c>
      <c r="J15080" s="1" t="str">
        <f t="shared" si="3463"/>
        <v>X</v>
      </c>
      <c r="K15080" s="1" t="str">
        <f t="shared" si="3463"/>
        <v>X</v>
      </c>
      <c r="L15080" s="1" t="str">
        <f t="shared" si="3463"/>
        <v>X</v>
      </c>
      <c r="M15080" s="1" t="str">
        <f t="shared" si="3463"/>
        <v>X</v>
      </c>
      <c r="N15080" t="s">
        <v>27</v>
      </c>
    </row>
    <row r="15081" spans="1:14" x14ac:dyDescent="0.25">
      <c r="A15081" t="s">
        <v>45</v>
      </c>
      <c r="B15081" t="s">
        <v>40</v>
      </c>
      <c r="C15081" t="s">
        <v>35</v>
      </c>
      <c r="D15081" t="s">
        <v>28</v>
      </c>
      <c r="E15081" t="s">
        <v>15</v>
      </c>
      <c r="F15081" t="s">
        <v>20</v>
      </c>
      <c r="G15081" s="2">
        <f>VALUE(1206.94)</f>
        <v>1206.94</v>
      </c>
      <c r="H15081" s="3">
        <f>VALUE(980.2)</f>
        <v>980.2</v>
      </c>
      <c r="I15081" s="1">
        <f>VALUE(3249)</f>
        <v>3249</v>
      </c>
      <c r="J15081" s="1">
        <f>VALUE(3683)</f>
        <v>3683</v>
      </c>
      <c r="K15081" s="1">
        <f>VALUE(3964)</f>
        <v>3964</v>
      </c>
      <c r="L15081" s="1">
        <f>VALUE(4422)</f>
        <v>4422</v>
      </c>
      <c r="M15081" s="1">
        <f>VALUE(5036)</f>
        <v>5036</v>
      </c>
      <c r="N15081" t="s">
        <v>25</v>
      </c>
    </row>
    <row r="15082" spans="1:14" x14ac:dyDescent="0.25">
      <c r="A15082" t="s">
        <v>45</v>
      </c>
      <c r="B15082" t="s">
        <v>40</v>
      </c>
      <c r="C15082" t="s">
        <v>35</v>
      </c>
      <c r="D15082" t="s">
        <v>28</v>
      </c>
      <c r="E15082" t="s">
        <v>21</v>
      </c>
      <c r="F15082" t="s">
        <v>15</v>
      </c>
      <c r="G15082" s="2">
        <f>VALUE(223.98)</f>
        <v>223.98</v>
      </c>
      <c r="H15082" s="3">
        <f>VALUE(200.02)</f>
        <v>200.02</v>
      </c>
      <c r="I15082" s="1">
        <f>VALUE(3000)</f>
        <v>3000</v>
      </c>
      <c r="J15082" s="5">
        <f>VALUE(3716)</f>
        <v>3716</v>
      </c>
      <c r="K15082" s="6">
        <f>VALUE(4096)</f>
        <v>4096</v>
      </c>
      <c r="L15082" s="7">
        <f>VALUE(4818)</f>
        <v>4818</v>
      </c>
      <c r="M15082" s="1">
        <f>VALUE(5730)</f>
        <v>5730</v>
      </c>
      <c r="N15082" t="s">
        <v>25</v>
      </c>
    </row>
    <row r="15083" spans="1:14" x14ac:dyDescent="0.25">
      <c r="A15083" t="s">
        <v>45</v>
      </c>
      <c r="B15083" t="s">
        <v>40</v>
      </c>
      <c r="C15083" t="s">
        <v>35</v>
      </c>
      <c r="D15083" t="s">
        <v>28</v>
      </c>
      <c r="E15083" t="s">
        <v>21</v>
      </c>
      <c r="F15083" t="s">
        <v>17</v>
      </c>
      <c r="G15083" s="1" t="str">
        <f t="shared" ref="G15083:M15086" si="3464">"X"</f>
        <v>X</v>
      </c>
      <c r="H15083" s="1" t="str">
        <f t="shared" si="3464"/>
        <v>X</v>
      </c>
      <c r="I15083" s="1" t="str">
        <f t="shared" si="3464"/>
        <v>X</v>
      </c>
      <c r="J15083" s="1" t="str">
        <f t="shared" si="3464"/>
        <v>X</v>
      </c>
      <c r="K15083" s="1" t="str">
        <f t="shared" si="3464"/>
        <v>X</v>
      </c>
      <c r="L15083" s="1" t="str">
        <f t="shared" si="3464"/>
        <v>X</v>
      </c>
      <c r="M15083" s="1" t="str">
        <f t="shared" si="3464"/>
        <v>X</v>
      </c>
      <c r="N15083" t="s">
        <v>27</v>
      </c>
    </row>
    <row r="15084" spans="1:14" x14ac:dyDescent="0.25">
      <c r="A15084" t="s">
        <v>45</v>
      </c>
      <c r="B15084" t="s">
        <v>40</v>
      </c>
      <c r="C15084" t="s">
        <v>35</v>
      </c>
      <c r="D15084" t="s">
        <v>28</v>
      </c>
      <c r="E15084" t="s">
        <v>21</v>
      </c>
      <c r="F15084" t="s">
        <v>18</v>
      </c>
      <c r="G15084" s="1" t="str">
        <f t="shared" si="3464"/>
        <v>X</v>
      </c>
      <c r="H15084" s="1" t="str">
        <f t="shared" si="3464"/>
        <v>X</v>
      </c>
      <c r="I15084" s="1" t="str">
        <f t="shared" si="3464"/>
        <v>X</v>
      </c>
      <c r="J15084" s="1" t="str">
        <f t="shared" si="3464"/>
        <v>X</v>
      </c>
      <c r="K15084" s="1" t="str">
        <f t="shared" si="3464"/>
        <v>X</v>
      </c>
      <c r="L15084" s="1" t="str">
        <f t="shared" si="3464"/>
        <v>X</v>
      </c>
      <c r="M15084" s="1" t="str">
        <f t="shared" si="3464"/>
        <v>X</v>
      </c>
      <c r="N15084" t="s">
        <v>27</v>
      </c>
    </row>
    <row r="15085" spans="1:14" x14ac:dyDescent="0.25">
      <c r="A15085" t="s">
        <v>45</v>
      </c>
      <c r="B15085" t="s">
        <v>40</v>
      </c>
      <c r="C15085" t="s">
        <v>35</v>
      </c>
      <c r="D15085" t="s">
        <v>28</v>
      </c>
      <c r="E15085" t="s">
        <v>21</v>
      </c>
      <c r="F15085" t="s">
        <v>19</v>
      </c>
      <c r="G15085" s="1" t="str">
        <f t="shared" si="3464"/>
        <v>X</v>
      </c>
      <c r="H15085" s="1" t="str">
        <f t="shared" si="3464"/>
        <v>X</v>
      </c>
      <c r="I15085" s="1" t="str">
        <f t="shared" si="3464"/>
        <v>X</v>
      </c>
      <c r="J15085" s="1" t="str">
        <f t="shared" si="3464"/>
        <v>X</v>
      </c>
      <c r="K15085" s="1" t="str">
        <f t="shared" si="3464"/>
        <v>X</v>
      </c>
      <c r="L15085" s="1" t="str">
        <f t="shared" si="3464"/>
        <v>X</v>
      </c>
      <c r="M15085" s="1" t="str">
        <f t="shared" si="3464"/>
        <v>X</v>
      </c>
      <c r="N15085" t="s">
        <v>27</v>
      </c>
    </row>
    <row r="15086" spans="1:14" x14ac:dyDescent="0.25">
      <c r="A15086" t="s">
        <v>45</v>
      </c>
      <c r="B15086" t="s">
        <v>40</v>
      </c>
      <c r="C15086" t="s">
        <v>35</v>
      </c>
      <c r="D15086" t="s">
        <v>28</v>
      </c>
      <c r="E15086" t="s">
        <v>21</v>
      </c>
      <c r="F15086" t="s">
        <v>20</v>
      </c>
      <c r="G15086" s="1" t="str">
        <f t="shared" si="3464"/>
        <v>X</v>
      </c>
      <c r="H15086" s="1" t="str">
        <f t="shared" si="3464"/>
        <v>X</v>
      </c>
      <c r="I15086" s="1" t="str">
        <f t="shared" si="3464"/>
        <v>X</v>
      </c>
      <c r="J15086" s="1" t="str">
        <f t="shared" si="3464"/>
        <v>X</v>
      </c>
      <c r="K15086" s="1" t="str">
        <f t="shared" si="3464"/>
        <v>X</v>
      </c>
      <c r="L15086" s="1" t="str">
        <f t="shared" si="3464"/>
        <v>X</v>
      </c>
      <c r="M15086" s="1" t="str">
        <f t="shared" si="3464"/>
        <v>X</v>
      </c>
      <c r="N15086" t="s">
        <v>27</v>
      </c>
    </row>
    <row r="15087" spans="1:14" x14ac:dyDescent="0.25">
      <c r="A15087" t="s">
        <v>45</v>
      </c>
      <c r="B15087" t="s">
        <v>40</v>
      </c>
      <c r="C15087" t="s">
        <v>35</v>
      </c>
      <c r="D15087" t="s">
        <v>28</v>
      </c>
      <c r="E15087" t="s">
        <v>22</v>
      </c>
      <c r="F15087" t="s">
        <v>15</v>
      </c>
      <c r="G15087" s="2">
        <f>VALUE(979.51)</f>
        <v>979.51</v>
      </c>
      <c r="H15087" s="3">
        <f>VALUE(853.82)</f>
        <v>853.82</v>
      </c>
      <c r="I15087" s="1">
        <f>VALUE(3249)</f>
        <v>3249</v>
      </c>
      <c r="J15087" s="1">
        <f>VALUE(3714)</f>
        <v>3714</v>
      </c>
      <c r="K15087" s="1">
        <f>VALUE(3954)</f>
        <v>3954</v>
      </c>
      <c r="L15087" s="1">
        <f>VALUE(4528)</f>
        <v>4528</v>
      </c>
      <c r="M15087" s="1">
        <f>VALUE(4993)</f>
        <v>4993</v>
      </c>
      <c r="N15087" t="s">
        <v>25</v>
      </c>
    </row>
    <row r="15088" spans="1:14" x14ac:dyDescent="0.25">
      <c r="A15088" t="s">
        <v>45</v>
      </c>
      <c r="B15088" t="s">
        <v>40</v>
      </c>
      <c r="C15088" t="s">
        <v>35</v>
      </c>
      <c r="D15088" t="s">
        <v>28</v>
      </c>
      <c r="E15088" t="s">
        <v>22</v>
      </c>
      <c r="F15088" t="s">
        <v>17</v>
      </c>
      <c r="G15088" s="1" t="str">
        <f t="shared" ref="G15088:M15090" si="3465">"X"</f>
        <v>X</v>
      </c>
      <c r="H15088" s="1" t="str">
        <f t="shared" si="3465"/>
        <v>X</v>
      </c>
      <c r="I15088" s="1" t="str">
        <f t="shared" si="3465"/>
        <v>X</v>
      </c>
      <c r="J15088" s="1" t="str">
        <f t="shared" si="3465"/>
        <v>X</v>
      </c>
      <c r="K15088" s="1" t="str">
        <f t="shared" si="3465"/>
        <v>X</v>
      </c>
      <c r="L15088" s="1" t="str">
        <f t="shared" si="3465"/>
        <v>X</v>
      </c>
      <c r="M15088" s="1" t="str">
        <f t="shared" si="3465"/>
        <v>X</v>
      </c>
      <c r="N15088" t="s">
        <v>27</v>
      </c>
    </row>
    <row r="15089" spans="1:14" x14ac:dyDescent="0.25">
      <c r="A15089" t="s">
        <v>45</v>
      </c>
      <c r="B15089" t="s">
        <v>40</v>
      </c>
      <c r="C15089" t="s">
        <v>35</v>
      </c>
      <c r="D15089" t="s">
        <v>28</v>
      </c>
      <c r="E15089" t="s">
        <v>22</v>
      </c>
      <c r="F15089" t="s">
        <v>18</v>
      </c>
      <c r="G15089" s="1" t="str">
        <f t="shared" si="3465"/>
        <v>X</v>
      </c>
      <c r="H15089" s="1" t="str">
        <f t="shared" si="3465"/>
        <v>X</v>
      </c>
      <c r="I15089" s="1" t="str">
        <f t="shared" si="3465"/>
        <v>X</v>
      </c>
      <c r="J15089" s="1" t="str">
        <f t="shared" si="3465"/>
        <v>X</v>
      </c>
      <c r="K15089" s="1" t="str">
        <f t="shared" si="3465"/>
        <v>X</v>
      </c>
      <c r="L15089" s="1" t="str">
        <f t="shared" si="3465"/>
        <v>X</v>
      </c>
      <c r="M15089" s="1" t="str">
        <f t="shared" si="3465"/>
        <v>X</v>
      </c>
      <c r="N15089" t="s">
        <v>27</v>
      </c>
    </row>
    <row r="15090" spans="1:14" x14ac:dyDescent="0.25">
      <c r="A15090" t="s">
        <v>45</v>
      </c>
      <c r="B15090" t="s">
        <v>40</v>
      </c>
      <c r="C15090" t="s">
        <v>35</v>
      </c>
      <c r="D15090" t="s">
        <v>28</v>
      </c>
      <c r="E15090" t="s">
        <v>22</v>
      </c>
      <c r="F15090" t="s">
        <v>19</v>
      </c>
      <c r="G15090" s="1" t="str">
        <f t="shared" si="3465"/>
        <v>X</v>
      </c>
      <c r="H15090" s="1" t="str">
        <f t="shared" si="3465"/>
        <v>X</v>
      </c>
      <c r="I15090" s="1" t="str">
        <f t="shared" si="3465"/>
        <v>X</v>
      </c>
      <c r="J15090" s="1" t="str">
        <f t="shared" si="3465"/>
        <v>X</v>
      </c>
      <c r="K15090" s="1" t="str">
        <f t="shared" si="3465"/>
        <v>X</v>
      </c>
      <c r="L15090" s="1" t="str">
        <f t="shared" si="3465"/>
        <v>X</v>
      </c>
      <c r="M15090" s="1" t="str">
        <f t="shared" si="3465"/>
        <v>X</v>
      </c>
      <c r="N15090" t="s">
        <v>27</v>
      </c>
    </row>
    <row r="15091" spans="1:14" x14ac:dyDescent="0.25">
      <c r="A15091" t="s">
        <v>45</v>
      </c>
      <c r="B15091" t="s">
        <v>40</v>
      </c>
      <c r="C15091" t="s">
        <v>35</v>
      </c>
      <c r="D15091" t="s">
        <v>28</v>
      </c>
      <c r="E15091" t="s">
        <v>22</v>
      </c>
      <c r="F15091" t="s">
        <v>20</v>
      </c>
      <c r="G15091" s="2">
        <f>VALUE(822.35)</f>
        <v>822.35</v>
      </c>
      <c r="H15091" s="3">
        <f>VALUE(708.11)</f>
        <v>708.11</v>
      </c>
      <c r="I15091" s="1">
        <f>VALUE(3365)</f>
        <v>3365</v>
      </c>
      <c r="J15091" s="1">
        <f>VALUE(3721)</f>
        <v>3721</v>
      </c>
      <c r="K15091" s="1">
        <f>VALUE(3924)</f>
        <v>3924</v>
      </c>
      <c r="L15091" s="1">
        <f>VALUE(4528)</f>
        <v>4528</v>
      </c>
      <c r="M15091" s="1">
        <f>VALUE(4993)</f>
        <v>4993</v>
      </c>
      <c r="N15091" t="s">
        <v>25</v>
      </c>
    </row>
    <row r="15092" spans="1:14" x14ac:dyDescent="0.25">
      <c r="A15092" t="s">
        <v>45</v>
      </c>
      <c r="B15092" t="s">
        <v>40</v>
      </c>
      <c r="C15092" t="s">
        <v>35</v>
      </c>
      <c r="D15092" t="s">
        <v>28</v>
      </c>
      <c r="E15092" t="s">
        <v>23</v>
      </c>
      <c r="F15092" t="s">
        <v>15</v>
      </c>
      <c r="G15092" s="2">
        <f>VALUE(210.68)</f>
        <v>210.68</v>
      </c>
      <c r="H15092" s="3">
        <f>VALUE(116.93)</f>
        <v>116.93</v>
      </c>
      <c r="I15092" s="4">
        <f>VALUE(3159)</f>
        <v>3159</v>
      </c>
      <c r="J15092" s="1">
        <f>VALUE(3663)</f>
        <v>3663</v>
      </c>
      <c r="K15092" s="1">
        <f>VALUE(4062)</f>
        <v>4062</v>
      </c>
      <c r="L15092" s="1">
        <f>VALUE(4334)</f>
        <v>4334</v>
      </c>
      <c r="M15092" s="1">
        <f>VALUE(4904)</f>
        <v>4904</v>
      </c>
      <c r="N15092" t="s">
        <v>25</v>
      </c>
    </row>
    <row r="15093" spans="1:14" x14ac:dyDescent="0.25">
      <c r="A15093" t="s">
        <v>45</v>
      </c>
      <c r="B15093" t="s">
        <v>40</v>
      </c>
      <c r="C15093" t="s">
        <v>35</v>
      </c>
      <c r="D15093" t="s">
        <v>28</v>
      </c>
      <c r="E15093" t="s">
        <v>23</v>
      </c>
      <c r="F15093" t="s">
        <v>17</v>
      </c>
      <c r="G15093" s="1" t="str">
        <f t="shared" ref="G15093:M15093" si="3466">"..."</f>
        <v>...</v>
      </c>
      <c r="H15093" s="1" t="str">
        <f t="shared" si="3466"/>
        <v>...</v>
      </c>
      <c r="I15093" s="1" t="str">
        <f t="shared" si="3466"/>
        <v>...</v>
      </c>
      <c r="J15093" s="1" t="str">
        <f t="shared" si="3466"/>
        <v>...</v>
      </c>
      <c r="K15093" s="1" t="str">
        <f t="shared" si="3466"/>
        <v>...</v>
      </c>
      <c r="L15093" s="1" t="str">
        <f t="shared" si="3466"/>
        <v>...</v>
      </c>
      <c r="M15093" s="1" t="str">
        <f t="shared" si="3466"/>
        <v>...</v>
      </c>
      <c r="N15093" t="s">
        <v>30</v>
      </c>
    </row>
    <row r="15094" spans="1:14" x14ac:dyDescent="0.25">
      <c r="A15094" t="s">
        <v>45</v>
      </c>
      <c r="B15094" t="s">
        <v>40</v>
      </c>
      <c r="C15094" t="s">
        <v>35</v>
      </c>
      <c r="D15094" t="s">
        <v>28</v>
      </c>
      <c r="E15094" t="s">
        <v>23</v>
      </c>
      <c r="F15094" t="s">
        <v>18</v>
      </c>
      <c r="G15094" s="1" t="str">
        <f t="shared" ref="G15094:M15095" si="3467">"X"</f>
        <v>X</v>
      </c>
      <c r="H15094" s="1" t="str">
        <f t="shared" si="3467"/>
        <v>X</v>
      </c>
      <c r="I15094" s="1" t="str">
        <f t="shared" si="3467"/>
        <v>X</v>
      </c>
      <c r="J15094" s="1" t="str">
        <f t="shared" si="3467"/>
        <v>X</v>
      </c>
      <c r="K15094" s="1" t="str">
        <f t="shared" si="3467"/>
        <v>X</v>
      </c>
      <c r="L15094" s="1" t="str">
        <f t="shared" si="3467"/>
        <v>X</v>
      </c>
      <c r="M15094" s="1" t="str">
        <f t="shared" si="3467"/>
        <v>X</v>
      </c>
      <c r="N15094" t="s">
        <v>27</v>
      </c>
    </row>
    <row r="15095" spans="1:14" x14ac:dyDescent="0.25">
      <c r="A15095" t="s">
        <v>45</v>
      </c>
      <c r="B15095" t="s">
        <v>40</v>
      </c>
      <c r="C15095" t="s">
        <v>35</v>
      </c>
      <c r="D15095" t="s">
        <v>28</v>
      </c>
      <c r="E15095" t="s">
        <v>23</v>
      </c>
      <c r="F15095" t="s">
        <v>19</v>
      </c>
      <c r="G15095" s="1" t="str">
        <f t="shared" si="3467"/>
        <v>X</v>
      </c>
      <c r="H15095" s="1" t="str">
        <f t="shared" si="3467"/>
        <v>X</v>
      </c>
      <c r="I15095" s="1" t="str">
        <f t="shared" si="3467"/>
        <v>X</v>
      </c>
      <c r="J15095" s="1" t="str">
        <f t="shared" si="3467"/>
        <v>X</v>
      </c>
      <c r="K15095" s="1" t="str">
        <f t="shared" si="3467"/>
        <v>X</v>
      </c>
      <c r="L15095" s="1" t="str">
        <f t="shared" si="3467"/>
        <v>X</v>
      </c>
      <c r="M15095" s="1" t="str">
        <f t="shared" si="3467"/>
        <v>X</v>
      </c>
      <c r="N15095" t="s">
        <v>27</v>
      </c>
    </row>
    <row r="15096" spans="1:14" x14ac:dyDescent="0.25">
      <c r="A15096" t="s">
        <v>45</v>
      </c>
      <c r="B15096" t="s">
        <v>40</v>
      </c>
      <c r="C15096" t="s">
        <v>35</v>
      </c>
      <c r="D15096" t="s">
        <v>28</v>
      </c>
      <c r="E15096" t="s">
        <v>23</v>
      </c>
      <c r="F15096" t="s">
        <v>20</v>
      </c>
      <c r="G15096" s="2">
        <f>VALUE(205.37)</f>
        <v>205.37</v>
      </c>
      <c r="H15096" s="3">
        <f>VALUE(111.66)</f>
        <v>111.66</v>
      </c>
      <c r="I15096" s="4">
        <f>VALUE(3159)</f>
        <v>3159</v>
      </c>
      <c r="J15096" s="1">
        <f>VALUE(3663)</f>
        <v>3663</v>
      </c>
      <c r="K15096" s="1">
        <f>VALUE(4062)</f>
        <v>4062</v>
      </c>
      <c r="L15096" s="1">
        <f>VALUE(4334)</f>
        <v>4334</v>
      </c>
      <c r="M15096" s="1">
        <f>VALUE(4904)</f>
        <v>4904</v>
      </c>
      <c r="N15096" t="s">
        <v>25</v>
      </c>
    </row>
    <row r="15097" spans="1:14" x14ac:dyDescent="0.25">
      <c r="A15097" t="s">
        <v>45</v>
      </c>
      <c r="B15097" t="s">
        <v>40</v>
      </c>
      <c r="C15097" t="s">
        <v>35</v>
      </c>
      <c r="D15097" t="s">
        <v>28</v>
      </c>
      <c r="E15097" t="s">
        <v>26</v>
      </c>
      <c r="F15097" t="s">
        <v>15</v>
      </c>
      <c r="G15097" s="1" t="str">
        <f t="shared" ref="G15097:M15097" si="3468">"X"</f>
        <v>X</v>
      </c>
      <c r="H15097" s="1" t="str">
        <f t="shared" si="3468"/>
        <v>X</v>
      </c>
      <c r="I15097" s="1" t="str">
        <f t="shared" si="3468"/>
        <v>X</v>
      </c>
      <c r="J15097" s="1" t="str">
        <f t="shared" si="3468"/>
        <v>X</v>
      </c>
      <c r="K15097" s="1" t="str">
        <f t="shared" si="3468"/>
        <v>X</v>
      </c>
      <c r="L15097" s="1" t="str">
        <f t="shared" si="3468"/>
        <v>X</v>
      </c>
      <c r="M15097" s="1" t="str">
        <f t="shared" si="3468"/>
        <v>X</v>
      </c>
      <c r="N15097" t="s">
        <v>27</v>
      </c>
    </row>
    <row r="15098" spans="1:14" x14ac:dyDescent="0.25">
      <c r="A15098" t="s">
        <v>45</v>
      </c>
      <c r="B15098" t="s">
        <v>40</v>
      </c>
      <c r="C15098" t="s">
        <v>35</v>
      </c>
      <c r="D15098" t="s">
        <v>28</v>
      </c>
      <c r="E15098" t="s">
        <v>26</v>
      </c>
      <c r="F15098" t="s">
        <v>17</v>
      </c>
      <c r="G15098" s="1" t="str">
        <f t="shared" ref="G15098:M15099" si="3469">"..."</f>
        <v>...</v>
      </c>
      <c r="H15098" s="1" t="str">
        <f t="shared" si="3469"/>
        <v>...</v>
      </c>
      <c r="I15098" s="1" t="str">
        <f t="shared" si="3469"/>
        <v>...</v>
      </c>
      <c r="J15098" s="1" t="str">
        <f t="shared" si="3469"/>
        <v>...</v>
      </c>
      <c r="K15098" s="1" t="str">
        <f t="shared" si="3469"/>
        <v>...</v>
      </c>
      <c r="L15098" s="1" t="str">
        <f t="shared" si="3469"/>
        <v>...</v>
      </c>
      <c r="M15098" s="1" t="str">
        <f t="shared" si="3469"/>
        <v>...</v>
      </c>
      <c r="N15098" t="s">
        <v>30</v>
      </c>
    </row>
    <row r="15099" spans="1:14" x14ac:dyDescent="0.25">
      <c r="A15099" t="s">
        <v>45</v>
      </c>
      <c r="B15099" t="s">
        <v>40</v>
      </c>
      <c r="C15099" t="s">
        <v>35</v>
      </c>
      <c r="D15099" t="s">
        <v>28</v>
      </c>
      <c r="E15099" t="s">
        <v>26</v>
      </c>
      <c r="F15099" t="s">
        <v>18</v>
      </c>
      <c r="G15099" s="1" t="str">
        <f t="shared" si="3469"/>
        <v>...</v>
      </c>
      <c r="H15099" s="1" t="str">
        <f t="shared" si="3469"/>
        <v>...</v>
      </c>
      <c r="I15099" s="1" t="str">
        <f t="shared" si="3469"/>
        <v>...</v>
      </c>
      <c r="J15099" s="1" t="str">
        <f t="shared" si="3469"/>
        <v>...</v>
      </c>
      <c r="K15099" s="1" t="str">
        <f t="shared" si="3469"/>
        <v>...</v>
      </c>
      <c r="L15099" s="1" t="str">
        <f t="shared" si="3469"/>
        <v>...</v>
      </c>
      <c r="M15099" s="1" t="str">
        <f t="shared" si="3469"/>
        <v>...</v>
      </c>
      <c r="N15099" t="s">
        <v>30</v>
      </c>
    </row>
    <row r="15100" spans="1:14" x14ac:dyDescent="0.25">
      <c r="A15100" t="s">
        <v>45</v>
      </c>
      <c r="B15100" t="s">
        <v>40</v>
      </c>
      <c r="C15100" t="s">
        <v>35</v>
      </c>
      <c r="D15100" t="s">
        <v>28</v>
      </c>
      <c r="E15100" t="s">
        <v>26</v>
      </c>
      <c r="F15100" t="s">
        <v>19</v>
      </c>
      <c r="G15100" s="1" t="str">
        <f t="shared" ref="G15100:M15101" si="3470">"X"</f>
        <v>X</v>
      </c>
      <c r="H15100" s="1" t="str">
        <f t="shared" si="3470"/>
        <v>X</v>
      </c>
      <c r="I15100" s="1" t="str">
        <f t="shared" si="3470"/>
        <v>X</v>
      </c>
      <c r="J15100" s="1" t="str">
        <f t="shared" si="3470"/>
        <v>X</v>
      </c>
      <c r="K15100" s="1" t="str">
        <f t="shared" si="3470"/>
        <v>X</v>
      </c>
      <c r="L15100" s="1" t="str">
        <f t="shared" si="3470"/>
        <v>X</v>
      </c>
      <c r="M15100" s="1" t="str">
        <f t="shared" si="3470"/>
        <v>X</v>
      </c>
      <c r="N15100" t="s">
        <v>27</v>
      </c>
    </row>
    <row r="15101" spans="1:14" x14ac:dyDescent="0.25">
      <c r="A15101" t="s">
        <v>45</v>
      </c>
      <c r="B15101" t="s">
        <v>40</v>
      </c>
      <c r="C15101" t="s">
        <v>35</v>
      </c>
      <c r="D15101" t="s">
        <v>28</v>
      </c>
      <c r="E15101" t="s">
        <v>26</v>
      </c>
      <c r="F15101" t="s">
        <v>20</v>
      </c>
      <c r="G15101" s="1" t="str">
        <f t="shared" si="3470"/>
        <v>X</v>
      </c>
      <c r="H15101" s="1" t="str">
        <f t="shared" si="3470"/>
        <v>X</v>
      </c>
      <c r="I15101" s="1" t="str">
        <f t="shared" si="3470"/>
        <v>X</v>
      </c>
      <c r="J15101" s="1" t="str">
        <f t="shared" si="3470"/>
        <v>X</v>
      </c>
      <c r="K15101" s="1" t="str">
        <f t="shared" si="3470"/>
        <v>X</v>
      </c>
      <c r="L15101" s="1" t="str">
        <f t="shared" si="3470"/>
        <v>X</v>
      </c>
      <c r="M15101" s="1" t="str">
        <f t="shared" si="3470"/>
        <v>X</v>
      </c>
      <c r="N15101" t="s">
        <v>27</v>
      </c>
    </row>
    <row r="15102" spans="1:14" x14ac:dyDescent="0.25">
      <c r="A15102" t="s">
        <v>45</v>
      </c>
      <c r="B15102" t="s">
        <v>40</v>
      </c>
      <c r="C15102" t="s">
        <v>35</v>
      </c>
      <c r="D15102" t="s">
        <v>29</v>
      </c>
      <c r="E15102" t="s">
        <v>15</v>
      </c>
      <c r="F15102" t="s">
        <v>15</v>
      </c>
      <c r="G15102" s="2">
        <f>VALUE(277.59)</f>
        <v>277.58999999999997</v>
      </c>
      <c r="H15102" s="3">
        <f>VALUE(254.4)</f>
        <v>254.4</v>
      </c>
      <c r="I15102" s="4">
        <f>VALUE(3207)</f>
        <v>3207</v>
      </c>
      <c r="J15102" s="5">
        <f>VALUE(3440)</f>
        <v>3440</v>
      </c>
      <c r="K15102" s="6">
        <f>VALUE(4039)</f>
        <v>4039</v>
      </c>
      <c r="L15102" s="7">
        <f>VALUE(4117)</f>
        <v>4117</v>
      </c>
      <c r="M15102" s="8">
        <f>VALUE(4667)</f>
        <v>4667</v>
      </c>
      <c r="N15102" t="s">
        <v>24</v>
      </c>
    </row>
    <row r="15103" spans="1:14" x14ac:dyDescent="0.25">
      <c r="A15103" t="s">
        <v>45</v>
      </c>
      <c r="B15103" t="s">
        <v>40</v>
      </c>
      <c r="C15103" t="s">
        <v>35</v>
      </c>
      <c r="D15103" t="s">
        <v>29</v>
      </c>
      <c r="E15103" t="s">
        <v>15</v>
      </c>
      <c r="F15103" t="s">
        <v>17</v>
      </c>
      <c r="G15103" s="1" t="str">
        <f t="shared" ref="G15103:M15103" si="3471">"..."</f>
        <v>...</v>
      </c>
      <c r="H15103" s="1" t="str">
        <f t="shared" si="3471"/>
        <v>...</v>
      </c>
      <c r="I15103" s="1" t="str">
        <f t="shared" si="3471"/>
        <v>...</v>
      </c>
      <c r="J15103" s="1" t="str">
        <f t="shared" si="3471"/>
        <v>...</v>
      </c>
      <c r="K15103" s="1" t="str">
        <f t="shared" si="3471"/>
        <v>...</v>
      </c>
      <c r="L15103" s="1" t="str">
        <f t="shared" si="3471"/>
        <v>...</v>
      </c>
      <c r="M15103" s="1" t="str">
        <f t="shared" si="3471"/>
        <v>...</v>
      </c>
      <c r="N15103" t="s">
        <v>30</v>
      </c>
    </row>
    <row r="15104" spans="1:14" x14ac:dyDescent="0.25">
      <c r="A15104" t="s">
        <v>45</v>
      </c>
      <c r="B15104" t="s">
        <v>40</v>
      </c>
      <c r="C15104" t="s">
        <v>35</v>
      </c>
      <c r="D15104" t="s">
        <v>29</v>
      </c>
      <c r="E15104" t="s">
        <v>15</v>
      </c>
      <c r="F15104" t="s">
        <v>18</v>
      </c>
      <c r="G15104" s="1" t="str">
        <f t="shared" ref="G15104:M15107" si="3472">"X"</f>
        <v>X</v>
      </c>
      <c r="H15104" s="1" t="str">
        <f t="shared" si="3472"/>
        <v>X</v>
      </c>
      <c r="I15104" s="1" t="str">
        <f t="shared" si="3472"/>
        <v>X</v>
      </c>
      <c r="J15104" s="1" t="str">
        <f t="shared" si="3472"/>
        <v>X</v>
      </c>
      <c r="K15104" s="1" t="str">
        <f t="shared" si="3472"/>
        <v>X</v>
      </c>
      <c r="L15104" s="1" t="str">
        <f t="shared" si="3472"/>
        <v>X</v>
      </c>
      <c r="M15104" s="1" t="str">
        <f t="shared" si="3472"/>
        <v>X</v>
      </c>
      <c r="N15104" t="s">
        <v>27</v>
      </c>
    </row>
    <row r="15105" spans="1:14" x14ac:dyDescent="0.25">
      <c r="A15105" t="s">
        <v>45</v>
      </c>
      <c r="B15105" t="s">
        <v>40</v>
      </c>
      <c r="C15105" t="s">
        <v>35</v>
      </c>
      <c r="D15105" t="s">
        <v>29</v>
      </c>
      <c r="E15105" t="s">
        <v>15</v>
      </c>
      <c r="F15105" t="s">
        <v>19</v>
      </c>
      <c r="G15105" s="1" t="str">
        <f t="shared" si="3472"/>
        <v>X</v>
      </c>
      <c r="H15105" s="1" t="str">
        <f t="shared" si="3472"/>
        <v>X</v>
      </c>
      <c r="I15105" s="1" t="str">
        <f t="shared" si="3472"/>
        <v>X</v>
      </c>
      <c r="J15105" s="1" t="str">
        <f t="shared" si="3472"/>
        <v>X</v>
      </c>
      <c r="K15105" s="1" t="str">
        <f t="shared" si="3472"/>
        <v>X</v>
      </c>
      <c r="L15105" s="1" t="str">
        <f t="shared" si="3472"/>
        <v>X</v>
      </c>
      <c r="M15105" s="1" t="str">
        <f t="shared" si="3472"/>
        <v>X</v>
      </c>
      <c r="N15105" t="s">
        <v>27</v>
      </c>
    </row>
    <row r="15106" spans="1:14" x14ac:dyDescent="0.25">
      <c r="A15106" t="s">
        <v>45</v>
      </c>
      <c r="B15106" t="s">
        <v>40</v>
      </c>
      <c r="C15106" t="s">
        <v>35</v>
      </c>
      <c r="D15106" t="s">
        <v>29</v>
      </c>
      <c r="E15106" t="s">
        <v>15</v>
      </c>
      <c r="F15106" t="s">
        <v>20</v>
      </c>
      <c r="G15106" s="1" t="str">
        <f t="shared" si="3472"/>
        <v>X</v>
      </c>
      <c r="H15106" s="1" t="str">
        <f t="shared" si="3472"/>
        <v>X</v>
      </c>
      <c r="I15106" s="1" t="str">
        <f t="shared" si="3472"/>
        <v>X</v>
      </c>
      <c r="J15106" s="1" t="str">
        <f t="shared" si="3472"/>
        <v>X</v>
      </c>
      <c r="K15106" s="1" t="str">
        <f t="shared" si="3472"/>
        <v>X</v>
      </c>
      <c r="L15106" s="1" t="str">
        <f t="shared" si="3472"/>
        <v>X</v>
      </c>
      <c r="M15106" s="1" t="str">
        <f t="shared" si="3472"/>
        <v>X</v>
      </c>
      <c r="N15106" t="s">
        <v>27</v>
      </c>
    </row>
    <row r="15107" spans="1:14" x14ac:dyDescent="0.25">
      <c r="A15107" t="s">
        <v>45</v>
      </c>
      <c r="B15107" t="s">
        <v>40</v>
      </c>
      <c r="C15107" t="s">
        <v>35</v>
      </c>
      <c r="D15107" t="s">
        <v>29</v>
      </c>
      <c r="E15107" t="s">
        <v>21</v>
      </c>
      <c r="F15107" t="s">
        <v>15</v>
      </c>
      <c r="G15107" s="1" t="str">
        <f t="shared" si="3472"/>
        <v>X</v>
      </c>
      <c r="H15107" s="1" t="str">
        <f t="shared" si="3472"/>
        <v>X</v>
      </c>
      <c r="I15107" s="1" t="str">
        <f t="shared" si="3472"/>
        <v>X</v>
      </c>
      <c r="J15107" s="1" t="str">
        <f t="shared" si="3472"/>
        <v>X</v>
      </c>
      <c r="K15107" s="1" t="str">
        <f t="shared" si="3472"/>
        <v>X</v>
      </c>
      <c r="L15107" s="1" t="str">
        <f t="shared" si="3472"/>
        <v>X</v>
      </c>
      <c r="M15107" s="1" t="str">
        <f t="shared" si="3472"/>
        <v>X</v>
      </c>
      <c r="N15107" t="s">
        <v>27</v>
      </c>
    </row>
    <row r="15108" spans="1:14" x14ac:dyDescent="0.25">
      <c r="A15108" t="s">
        <v>45</v>
      </c>
      <c r="B15108" t="s">
        <v>40</v>
      </c>
      <c r="C15108" t="s">
        <v>35</v>
      </c>
      <c r="D15108" t="s">
        <v>29</v>
      </c>
      <c r="E15108" t="s">
        <v>21</v>
      </c>
      <c r="F15108" t="s">
        <v>17</v>
      </c>
      <c r="G15108" s="1" t="str">
        <f t="shared" ref="G15108:M15109" si="3473">"..."</f>
        <v>...</v>
      </c>
      <c r="H15108" s="1" t="str">
        <f t="shared" si="3473"/>
        <v>...</v>
      </c>
      <c r="I15108" s="1" t="str">
        <f t="shared" si="3473"/>
        <v>...</v>
      </c>
      <c r="J15108" s="1" t="str">
        <f t="shared" si="3473"/>
        <v>...</v>
      </c>
      <c r="K15108" s="1" t="str">
        <f t="shared" si="3473"/>
        <v>...</v>
      </c>
      <c r="L15108" s="1" t="str">
        <f t="shared" si="3473"/>
        <v>...</v>
      </c>
      <c r="M15108" s="1" t="str">
        <f t="shared" si="3473"/>
        <v>...</v>
      </c>
      <c r="N15108" t="s">
        <v>30</v>
      </c>
    </row>
    <row r="15109" spans="1:14" x14ac:dyDescent="0.25">
      <c r="A15109" t="s">
        <v>45</v>
      </c>
      <c r="B15109" t="s">
        <v>40</v>
      </c>
      <c r="C15109" t="s">
        <v>35</v>
      </c>
      <c r="D15109" t="s">
        <v>29</v>
      </c>
      <c r="E15109" t="s">
        <v>21</v>
      </c>
      <c r="F15109" t="s">
        <v>18</v>
      </c>
      <c r="G15109" s="1" t="str">
        <f t="shared" si="3473"/>
        <v>...</v>
      </c>
      <c r="H15109" s="1" t="str">
        <f t="shared" si="3473"/>
        <v>...</v>
      </c>
      <c r="I15109" s="1" t="str">
        <f t="shared" si="3473"/>
        <v>...</v>
      </c>
      <c r="J15109" s="1" t="str">
        <f t="shared" si="3473"/>
        <v>...</v>
      </c>
      <c r="K15109" s="1" t="str">
        <f t="shared" si="3473"/>
        <v>...</v>
      </c>
      <c r="L15109" s="1" t="str">
        <f t="shared" si="3473"/>
        <v>...</v>
      </c>
      <c r="M15109" s="1" t="str">
        <f t="shared" si="3473"/>
        <v>...</v>
      </c>
      <c r="N15109" t="s">
        <v>30</v>
      </c>
    </row>
    <row r="15110" spans="1:14" x14ac:dyDescent="0.25">
      <c r="A15110" t="s">
        <v>45</v>
      </c>
      <c r="B15110" t="s">
        <v>40</v>
      </c>
      <c r="C15110" t="s">
        <v>35</v>
      </c>
      <c r="D15110" t="s">
        <v>29</v>
      </c>
      <c r="E15110" t="s">
        <v>21</v>
      </c>
      <c r="F15110" t="s">
        <v>19</v>
      </c>
      <c r="G15110" s="1" t="str">
        <f t="shared" ref="G15110:M15112" si="3474">"X"</f>
        <v>X</v>
      </c>
      <c r="H15110" s="1" t="str">
        <f t="shared" si="3474"/>
        <v>X</v>
      </c>
      <c r="I15110" s="1" t="str">
        <f t="shared" si="3474"/>
        <v>X</v>
      </c>
      <c r="J15110" s="1" t="str">
        <f t="shared" si="3474"/>
        <v>X</v>
      </c>
      <c r="K15110" s="1" t="str">
        <f t="shared" si="3474"/>
        <v>X</v>
      </c>
      <c r="L15110" s="1" t="str">
        <f t="shared" si="3474"/>
        <v>X</v>
      </c>
      <c r="M15110" s="1" t="str">
        <f t="shared" si="3474"/>
        <v>X</v>
      </c>
      <c r="N15110" t="s">
        <v>27</v>
      </c>
    </row>
    <row r="15111" spans="1:14" x14ac:dyDescent="0.25">
      <c r="A15111" t="s">
        <v>45</v>
      </c>
      <c r="B15111" t="s">
        <v>40</v>
      </c>
      <c r="C15111" t="s">
        <v>35</v>
      </c>
      <c r="D15111" t="s">
        <v>29</v>
      </c>
      <c r="E15111" t="s">
        <v>21</v>
      </c>
      <c r="F15111" t="s">
        <v>20</v>
      </c>
      <c r="G15111" s="1" t="str">
        <f t="shared" si="3474"/>
        <v>X</v>
      </c>
      <c r="H15111" s="1" t="str">
        <f t="shared" si="3474"/>
        <v>X</v>
      </c>
      <c r="I15111" s="1" t="str">
        <f t="shared" si="3474"/>
        <v>X</v>
      </c>
      <c r="J15111" s="1" t="str">
        <f t="shared" si="3474"/>
        <v>X</v>
      </c>
      <c r="K15111" s="1" t="str">
        <f t="shared" si="3474"/>
        <v>X</v>
      </c>
      <c r="L15111" s="1" t="str">
        <f t="shared" si="3474"/>
        <v>X</v>
      </c>
      <c r="M15111" s="1" t="str">
        <f t="shared" si="3474"/>
        <v>X</v>
      </c>
      <c r="N15111" t="s">
        <v>27</v>
      </c>
    </row>
    <row r="15112" spans="1:14" x14ac:dyDescent="0.25">
      <c r="A15112" t="s">
        <v>45</v>
      </c>
      <c r="B15112" t="s">
        <v>40</v>
      </c>
      <c r="C15112" t="s">
        <v>35</v>
      </c>
      <c r="D15112" t="s">
        <v>29</v>
      </c>
      <c r="E15112" t="s">
        <v>22</v>
      </c>
      <c r="F15112" t="s">
        <v>15</v>
      </c>
      <c r="G15112" s="1" t="str">
        <f t="shared" si="3474"/>
        <v>X</v>
      </c>
      <c r="H15112" s="1" t="str">
        <f t="shared" si="3474"/>
        <v>X</v>
      </c>
      <c r="I15112" s="1" t="str">
        <f t="shared" si="3474"/>
        <v>X</v>
      </c>
      <c r="J15112" s="1" t="str">
        <f t="shared" si="3474"/>
        <v>X</v>
      </c>
      <c r="K15112" s="1" t="str">
        <f t="shared" si="3474"/>
        <v>X</v>
      </c>
      <c r="L15112" s="1" t="str">
        <f t="shared" si="3474"/>
        <v>X</v>
      </c>
      <c r="M15112" s="1" t="str">
        <f t="shared" si="3474"/>
        <v>X</v>
      </c>
      <c r="N15112" t="s">
        <v>27</v>
      </c>
    </row>
    <row r="15113" spans="1:14" x14ac:dyDescent="0.25">
      <c r="A15113" t="s">
        <v>45</v>
      </c>
      <c r="B15113" t="s">
        <v>40</v>
      </c>
      <c r="C15113" t="s">
        <v>35</v>
      </c>
      <c r="D15113" t="s">
        <v>29</v>
      </c>
      <c r="E15113" t="s">
        <v>22</v>
      </c>
      <c r="F15113" t="s">
        <v>17</v>
      </c>
      <c r="G15113" s="1" t="str">
        <f t="shared" ref="G15113:M15113" si="3475">"..."</f>
        <v>...</v>
      </c>
      <c r="H15113" s="1" t="str">
        <f t="shared" si="3475"/>
        <v>...</v>
      </c>
      <c r="I15113" s="1" t="str">
        <f t="shared" si="3475"/>
        <v>...</v>
      </c>
      <c r="J15113" s="1" t="str">
        <f t="shared" si="3475"/>
        <v>...</v>
      </c>
      <c r="K15113" s="1" t="str">
        <f t="shared" si="3475"/>
        <v>...</v>
      </c>
      <c r="L15113" s="1" t="str">
        <f t="shared" si="3475"/>
        <v>...</v>
      </c>
      <c r="M15113" s="1" t="str">
        <f t="shared" si="3475"/>
        <v>...</v>
      </c>
      <c r="N15113" t="s">
        <v>30</v>
      </c>
    </row>
    <row r="15114" spans="1:14" x14ac:dyDescent="0.25">
      <c r="A15114" t="s">
        <v>45</v>
      </c>
      <c r="B15114" t="s">
        <v>40</v>
      </c>
      <c r="C15114" t="s">
        <v>35</v>
      </c>
      <c r="D15114" t="s">
        <v>29</v>
      </c>
      <c r="E15114" t="s">
        <v>22</v>
      </c>
      <c r="F15114" t="s">
        <v>18</v>
      </c>
      <c r="G15114" s="1" t="str">
        <f t="shared" ref="G15114:M15117" si="3476">"X"</f>
        <v>X</v>
      </c>
      <c r="H15114" s="1" t="str">
        <f t="shared" si="3476"/>
        <v>X</v>
      </c>
      <c r="I15114" s="1" t="str">
        <f t="shared" si="3476"/>
        <v>X</v>
      </c>
      <c r="J15114" s="1" t="str">
        <f t="shared" si="3476"/>
        <v>X</v>
      </c>
      <c r="K15114" s="1" t="str">
        <f t="shared" si="3476"/>
        <v>X</v>
      </c>
      <c r="L15114" s="1" t="str">
        <f t="shared" si="3476"/>
        <v>X</v>
      </c>
      <c r="M15114" s="1" t="str">
        <f t="shared" si="3476"/>
        <v>X</v>
      </c>
      <c r="N15114" t="s">
        <v>27</v>
      </c>
    </row>
    <row r="15115" spans="1:14" x14ac:dyDescent="0.25">
      <c r="A15115" t="s">
        <v>45</v>
      </c>
      <c r="B15115" t="s">
        <v>40</v>
      </c>
      <c r="C15115" t="s">
        <v>35</v>
      </c>
      <c r="D15115" t="s">
        <v>29</v>
      </c>
      <c r="E15115" t="s">
        <v>22</v>
      </c>
      <c r="F15115" t="s">
        <v>19</v>
      </c>
      <c r="G15115" s="1" t="str">
        <f t="shared" si="3476"/>
        <v>X</v>
      </c>
      <c r="H15115" s="1" t="str">
        <f t="shared" si="3476"/>
        <v>X</v>
      </c>
      <c r="I15115" s="1" t="str">
        <f t="shared" si="3476"/>
        <v>X</v>
      </c>
      <c r="J15115" s="1" t="str">
        <f t="shared" si="3476"/>
        <v>X</v>
      </c>
      <c r="K15115" s="1" t="str">
        <f t="shared" si="3476"/>
        <v>X</v>
      </c>
      <c r="L15115" s="1" t="str">
        <f t="shared" si="3476"/>
        <v>X</v>
      </c>
      <c r="M15115" s="1" t="str">
        <f t="shared" si="3476"/>
        <v>X</v>
      </c>
      <c r="N15115" t="s">
        <v>27</v>
      </c>
    </row>
    <row r="15116" spans="1:14" x14ac:dyDescent="0.25">
      <c r="A15116" t="s">
        <v>45</v>
      </c>
      <c r="B15116" t="s">
        <v>40</v>
      </c>
      <c r="C15116" t="s">
        <v>35</v>
      </c>
      <c r="D15116" t="s">
        <v>29</v>
      </c>
      <c r="E15116" t="s">
        <v>22</v>
      </c>
      <c r="F15116" t="s">
        <v>20</v>
      </c>
      <c r="G15116" s="1" t="str">
        <f t="shared" si="3476"/>
        <v>X</v>
      </c>
      <c r="H15116" s="1" t="str">
        <f t="shared" si="3476"/>
        <v>X</v>
      </c>
      <c r="I15116" s="1" t="str">
        <f t="shared" si="3476"/>
        <v>X</v>
      </c>
      <c r="J15116" s="1" t="str">
        <f t="shared" si="3476"/>
        <v>X</v>
      </c>
      <c r="K15116" s="1" t="str">
        <f t="shared" si="3476"/>
        <v>X</v>
      </c>
      <c r="L15116" s="1" t="str">
        <f t="shared" si="3476"/>
        <v>X</v>
      </c>
      <c r="M15116" s="1" t="str">
        <f t="shared" si="3476"/>
        <v>X</v>
      </c>
      <c r="N15116" t="s">
        <v>27</v>
      </c>
    </row>
    <row r="15117" spans="1:14" x14ac:dyDescent="0.25">
      <c r="A15117" t="s">
        <v>45</v>
      </c>
      <c r="B15117" t="s">
        <v>40</v>
      </c>
      <c r="C15117" t="s">
        <v>35</v>
      </c>
      <c r="D15117" t="s">
        <v>29</v>
      </c>
      <c r="E15117" t="s">
        <v>23</v>
      </c>
      <c r="F15117" t="s">
        <v>15</v>
      </c>
      <c r="G15117" s="1" t="str">
        <f t="shared" si="3476"/>
        <v>X</v>
      </c>
      <c r="H15117" s="1" t="str">
        <f t="shared" si="3476"/>
        <v>X</v>
      </c>
      <c r="I15117" s="1" t="str">
        <f t="shared" si="3476"/>
        <v>X</v>
      </c>
      <c r="J15117" s="1" t="str">
        <f t="shared" si="3476"/>
        <v>X</v>
      </c>
      <c r="K15117" s="1" t="str">
        <f t="shared" si="3476"/>
        <v>X</v>
      </c>
      <c r="L15117" s="1" t="str">
        <f t="shared" si="3476"/>
        <v>X</v>
      </c>
      <c r="M15117" s="1" t="str">
        <f t="shared" si="3476"/>
        <v>X</v>
      </c>
      <c r="N15117" t="s">
        <v>27</v>
      </c>
    </row>
    <row r="15118" spans="1:14" x14ac:dyDescent="0.25">
      <c r="A15118" t="s">
        <v>45</v>
      </c>
      <c r="B15118" t="s">
        <v>40</v>
      </c>
      <c r="C15118" t="s">
        <v>35</v>
      </c>
      <c r="D15118" t="s">
        <v>29</v>
      </c>
      <c r="E15118" t="s">
        <v>23</v>
      </c>
      <c r="F15118" t="s">
        <v>17</v>
      </c>
      <c r="G15118" s="1" t="str">
        <f t="shared" ref="G15118:M15120" si="3477">"..."</f>
        <v>...</v>
      </c>
      <c r="H15118" s="1" t="str">
        <f t="shared" si="3477"/>
        <v>...</v>
      </c>
      <c r="I15118" s="1" t="str">
        <f t="shared" si="3477"/>
        <v>...</v>
      </c>
      <c r="J15118" s="1" t="str">
        <f t="shared" si="3477"/>
        <v>...</v>
      </c>
      <c r="K15118" s="1" t="str">
        <f t="shared" si="3477"/>
        <v>...</v>
      </c>
      <c r="L15118" s="1" t="str">
        <f t="shared" si="3477"/>
        <v>...</v>
      </c>
      <c r="M15118" s="1" t="str">
        <f t="shared" si="3477"/>
        <v>...</v>
      </c>
      <c r="N15118" t="s">
        <v>30</v>
      </c>
    </row>
    <row r="15119" spans="1:14" x14ac:dyDescent="0.25">
      <c r="A15119" t="s">
        <v>45</v>
      </c>
      <c r="B15119" t="s">
        <v>40</v>
      </c>
      <c r="C15119" t="s">
        <v>35</v>
      </c>
      <c r="D15119" t="s">
        <v>29</v>
      </c>
      <c r="E15119" t="s">
        <v>23</v>
      </c>
      <c r="F15119" t="s">
        <v>18</v>
      </c>
      <c r="G15119" s="1" t="str">
        <f t="shared" si="3477"/>
        <v>...</v>
      </c>
      <c r="H15119" s="1" t="str">
        <f t="shared" si="3477"/>
        <v>...</v>
      </c>
      <c r="I15119" s="1" t="str">
        <f t="shared" si="3477"/>
        <v>...</v>
      </c>
      <c r="J15119" s="1" t="str">
        <f t="shared" si="3477"/>
        <v>...</v>
      </c>
      <c r="K15119" s="1" t="str">
        <f t="shared" si="3477"/>
        <v>...</v>
      </c>
      <c r="L15119" s="1" t="str">
        <f t="shared" si="3477"/>
        <v>...</v>
      </c>
      <c r="M15119" s="1" t="str">
        <f t="shared" si="3477"/>
        <v>...</v>
      </c>
      <c r="N15119" t="s">
        <v>30</v>
      </c>
    </row>
    <row r="15120" spans="1:14" x14ac:dyDescent="0.25">
      <c r="A15120" t="s">
        <v>45</v>
      </c>
      <c r="B15120" t="s">
        <v>40</v>
      </c>
      <c r="C15120" t="s">
        <v>35</v>
      </c>
      <c r="D15120" t="s">
        <v>29</v>
      </c>
      <c r="E15120" t="s">
        <v>23</v>
      </c>
      <c r="F15120" t="s">
        <v>19</v>
      </c>
      <c r="G15120" s="1" t="str">
        <f t="shared" si="3477"/>
        <v>...</v>
      </c>
      <c r="H15120" s="1" t="str">
        <f t="shared" si="3477"/>
        <v>...</v>
      </c>
      <c r="I15120" s="1" t="str">
        <f t="shared" si="3477"/>
        <v>...</v>
      </c>
      <c r="J15120" s="1" t="str">
        <f t="shared" si="3477"/>
        <v>...</v>
      </c>
      <c r="K15120" s="1" t="str">
        <f t="shared" si="3477"/>
        <v>...</v>
      </c>
      <c r="L15120" s="1" t="str">
        <f t="shared" si="3477"/>
        <v>...</v>
      </c>
      <c r="M15120" s="1" t="str">
        <f t="shared" si="3477"/>
        <v>...</v>
      </c>
      <c r="N15120" t="s">
        <v>30</v>
      </c>
    </row>
    <row r="15121" spans="1:14" x14ac:dyDescent="0.25">
      <c r="A15121" t="s">
        <v>45</v>
      </c>
      <c r="B15121" t="s">
        <v>40</v>
      </c>
      <c r="C15121" t="s">
        <v>35</v>
      </c>
      <c r="D15121" t="s">
        <v>29</v>
      </c>
      <c r="E15121" t="s">
        <v>23</v>
      </c>
      <c r="F15121" t="s">
        <v>20</v>
      </c>
      <c r="G15121" s="1" t="str">
        <f t="shared" ref="G15121:M15122" si="3478">"X"</f>
        <v>X</v>
      </c>
      <c r="H15121" s="1" t="str">
        <f t="shared" si="3478"/>
        <v>X</v>
      </c>
      <c r="I15121" s="1" t="str">
        <f t="shared" si="3478"/>
        <v>X</v>
      </c>
      <c r="J15121" s="1" t="str">
        <f t="shared" si="3478"/>
        <v>X</v>
      </c>
      <c r="K15121" s="1" t="str">
        <f t="shared" si="3478"/>
        <v>X</v>
      </c>
      <c r="L15121" s="1" t="str">
        <f t="shared" si="3478"/>
        <v>X</v>
      </c>
      <c r="M15121" s="1" t="str">
        <f t="shared" si="3478"/>
        <v>X</v>
      </c>
      <c r="N15121" t="s">
        <v>27</v>
      </c>
    </row>
    <row r="15122" spans="1:14" x14ac:dyDescent="0.25">
      <c r="A15122" t="s">
        <v>45</v>
      </c>
      <c r="B15122" t="s">
        <v>40</v>
      </c>
      <c r="C15122" t="s">
        <v>35</v>
      </c>
      <c r="D15122" t="s">
        <v>29</v>
      </c>
      <c r="E15122" t="s">
        <v>26</v>
      </c>
      <c r="F15122" t="s">
        <v>15</v>
      </c>
      <c r="G15122" s="1" t="str">
        <f t="shared" si="3478"/>
        <v>X</v>
      </c>
      <c r="H15122" s="1" t="str">
        <f t="shared" si="3478"/>
        <v>X</v>
      </c>
      <c r="I15122" s="1" t="str">
        <f t="shared" si="3478"/>
        <v>X</v>
      </c>
      <c r="J15122" s="1" t="str">
        <f t="shared" si="3478"/>
        <v>X</v>
      </c>
      <c r="K15122" s="1" t="str">
        <f t="shared" si="3478"/>
        <v>X</v>
      </c>
      <c r="L15122" s="1" t="str">
        <f t="shared" si="3478"/>
        <v>X</v>
      </c>
      <c r="M15122" s="1" t="str">
        <f t="shared" si="3478"/>
        <v>X</v>
      </c>
      <c r="N15122" t="s">
        <v>27</v>
      </c>
    </row>
    <row r="15123" spans="1:14" x14ac:dyDescent="0.25">
      <c r="A15123" t="s">
        <v>45</v>
      </c>
      <c r="B15123" t="s">
        <v>40</v>
      </c>
      <c r="C15123" t="s">
        <v>35</v>
      </c>
      <c r="D15123" t="s">
        <v>29</v>
      </c>
      <c r="E15123" t="s">
        <v>26</v>
      </c>
      <c r="F15123" t="s">
        <v>17</v>
      </c>
      <c r="G15123" s="1" t="str">
        <f t="shared" ref="G15123:M15125" si="3479">"..."</f>
        <v>...</v>
      </c>
      <c r="H15123" s="1" t="str">
        <f t="shared" si="3479"/>
        <v>...</v>
      </c>
      <c r="I15123" s="1" t="str">
        <f t="shared" si="3479"/>
        <v>...</v>
      </c>
      <c r="J15123" s="1" t="str">
        <f t="shared" si="3479"/>
        <v>...</v>
      </c>
      <c r="K15123" s="1" t="str">
        <f t="shared" si="3479"/>
        <v>...</v>
      </c>
      <c r="L15123" s="1" t="str">
        <f t="shared" si="3479"/>
        <v>...</v>
      </c>
      <c r="M15123" s="1" t="str">
        <f t="shared" si="3479"/>
        <v>...</v>
      </c>
      <c r="N15123" t="s">
        <v>30</v>
      </c>
    </row>
    <row r="15124" spans="1:14" x14ac:dyDescent="0.25">
      <c r="A15124" t="s">
        <v>45</v>
      </c>
      <c r="B15124" t="s">
        <v>40</v>
      </c>
      <c r="C15124" t="s">
        <v>35</v>
      </c>
      <c r="D15124" t="s">
        <v>29</v>
      </c>
      <c r="E15124" t="s">
        <v>26</v>
      </c>
      <c r="F15124" t="s">
        <v>18</v>
      </c>
      <c r="G15124" s="1" t="str">
        <f t="shared" si="3479"/>
        <v>...</v>
      </c>
      <c r="H15124" s="1" t="str">
        <f t="shared" si="3479"/>
        <v>...</v>
      </c>
      <c r="I15124" s="1" t="str">
        <f t="shared" si="3479"/>
        <v>...</v>
      </c>
      <c r="J15124" s="1" t="str">
        <f t="shared" si="3479"/>
        <v>...</v>
      </c>
      <c r="K15124" s="1" t="str">
        <f t="shared" si="3479"/>
        <v>...</v>
      </c>
      <c r="L15124" s="1" t="str">
        <f t="shared" si="3479"/>
        <v>...</v>
      </c>
      <c r="M15124" s="1" t="str">
        <f t="shared" si="3479"/>
        <v>...</v>
      </c>
      <c r="N15124" t="s">
        <v>30</v>
      </c>
    </row>
    <row r="15125" spans="1:14" x14ac:dyDescent="0.25">
      <c r="A15125" t="s">
        <v>45</v>
      </c>
      <c r="B15125" t="s">
        <v>40</v>
      </c>
      <c r="C15125" t="s">
        <v>35</v>
      </c>
      <c r="D15125" t="s">
        <v>29</v>
      </c>
      <c r="E15125" t="s">
        <v>26</v>
      </c>
      <c r="F15125" t="s">
        <v>19</v>
      </c>
      <c r="G15125" s="1" t="str">
        <f t="shared" si="3479"/>
        <v>...</v>
      </c>
      <c r="H15125" s="1" t="str">
        <f t="shared" si="3479"/>
        <v>...</v>
      </c>
      <c r="I15125" s="1" t="str">
        <f t="shared" si="3479"/>
        <v>...</v>
      </c>
      <c r="J15125" s="1" t="str">
        <f t="shared" si="3479"/>
        <v>...</v>
      </c>
      <c r="K15125" s="1" t="str">
        <f t="shared" si="3479"/>
        <v>...</v>
      </c>
      <c r="L15125" s="1" t="str">
        <f t="shared" si="3479"/>
        <v>...</v>
      </c>
      <c r="M15125" s="1" t="str">
        <f t="shared" si="3479"/>
        <v>...</v>
      </c>
      <c r="N15125" t="s">
        <v>30</v>
      </c>
    </row>
    <row r="15126" spans="1:14" x14ac:dyDescent="0.25">
      <c r="A15126" t="s">
        <v>45</v>
      </c>
      <c r="B15126" t="s">
        <v>40</v>
      </c>
      <c r="C15126" t="s">
        <v>35</v>
      </c>
      <c r="D15126" t="s">
        <v>29</v>
      </c>
      <c r="E15126" t="s">
        <v>26</v>
      </c>
      <c r="F15126" t="s">
        <v>20</v>
      </c>
      <c r="G15126" s="1" t="str">
        <f t="shared" ref="G15126:M15126" si="3480">"X"</f>
        <v>X</v>
      </c>
      <c r="H15126" s="1" t="str">
        <f t="shared" si="3480"/>
        <v>X</v>
      </c>
      <c r="I15126" s="1" t="str">
        <f t="shared" si="3480"/>
        <v>X</v>
      </c>
      <c r="J15126" s="1" t="str">
        <f t="shared" si="3480"/>
        <v>X</v>
      </c>
      <c r="K15126" s="1" t="str">
        <f t="shared" si="3480"/>
        <v>X</v>
      </c>
      <c r="L15126" s="1" t="str">
        <f t="shared" si="3480"/>
        <v>X</v>
      </c>
      <c r="M15126" s="1" t="str">
        <f t="shared" si="3480"/>
        <v>X</v>
      </c>
      <c r="N15126" t="s">
        <v>27</v>
      </c>
    </row>
    <row r="15127" spans="1:14" x14ac:dyDescent="0.25">
      <c r="A15127" t="s">
        <v>45</v>
      </c>
      <c r="B15127" t="s">
        <v>40</v>
      </c>
      <c r="C15127" t="s">
        <v>35</v>
      </c>
      <c r="D15127" t="s">
        <v>31</v>
      </c>
      <c r="E15127" t="s">
        <v>15</v>
      </c>
      <c r="F15127" t="s">
        <v>15</v>
      </c>
      <c r="G15127" s="2">
        <f>VALUE(210.05)</f>
        <v>210.05</v>
      </c>
      <c r="H15127" s="3">
        <f>VALUE(174.83)</f>
        <v>174.83</v>
      </c>
      <c r="I15127" s="4">
        <f>VALUE(2353)</f>
        <v>2353</v>
      </c>
      <c r="J15127" s="5">
        <f>VALUE(3288)</f>
        <v>3288</v>
      </c>
      <c r="K15127" s="1">
        <f>VALUE(3615)</f>
        <v>3615</v>
      </c>
      <c r="L15127" s="1">
        <f>VALUE(4190)</f>
        <v>4190</v>
      </c>
      <c r="M15127" s="1">
        <f>VALUE(4820)</f>
        <v>4820</v>
      </c>
      <c r="N15127" t="s">
        <v>25</v>
      </c>
    </row>
    <row r="15128" spans="1:14" x14ac:dyDescent="0.25">
      <c r="A15128" t="s">
        <v>45</v>
      </c>
      <c r="B15128" t="s">
        <v>40</v>
      </c>
      <c r="C15128" t="s">
        <v>35</v>
      </c>
      <c r="D15128" t="s">
        <v>31</v>
      </c>
      <c r="E15128" t="s">
        <v>15</v>
      </c>
      <c r="F15128" t="s">
        <v>17</v>
      </c>
      <c r="G15128" s="1" t="str">
        <f t="shared" ref="G15128:M15129" si="3481">"X"</f>
        <v>X</v>
      </c>
      <c r="H15128" s="1" t="str">
        <f t="shared" si="3481"/>
        <v>X</v>
      </c>
      <c r="I15128" s="1" t="str">
        <f t="shared" si="3481"/>
        <v>X</v>
      </c>
      <c r="J15128" s="1" t="str">
        <f t="shared" si="3481"/>
        <v>X</v>
      </c>
      <c r="K15128" s="1" t="str">
        <f t="shared" si="3481"/>
        <v>X</v>
      </c>
      <c r="L15128" s="1" t="str">
        <f t="shared" si="3481"/>
        <v>X</v>
      </c>
      <c r="M15128" s="1" t="str">
        <f t="shared" si="3481"/>
        <v>X</v>
      </c>
      <c r="N15128" t="s">
        <v>27</v>
      </c>
    </row>
    <row r="15129" spans="1:14" x14ac:dyDescent="0.25">
      <c r="A15129" t="s">
        <v>45</v>
      </c>
      <c r="B15129" t="s">
        <v>40</v>
      </c>
      <c r="C15129" t="s">
        <v>35</v>
      </c>
      <c r="D15129" t="s">
        <v>31</v>
      </c>
      <c r="E15129" t="s">
        <v>15</v>
      </c>
      <c r="F15129" t="s">
        <v>18</v>
      </c>
      <c r="G15129" s="1" t="str">
        <f t="shared" si="3481"/>
        <v>X</v>
      </c>
      <c r="H15129" s="1" t="str">
        <f t="shared" si="3481"/>
        <v>X</v>
      </c>
      <c r="I15129" s="1" t="str">
        <f t="shared" si="3481"/>
        <v>X</v>
      </c>
      <c r="J15129" s="1" t="str">
        <f t="shared" si="3481"/>
        <v>X</v>
      </c>
      <c r="K15129" s="1" t="str">
        <f t="shared" si="3481"/>
        <v>X</v>
      </c>
      <c r="L15129" s="1" t="str">
        <f t="shared" si="3481"/>
        <v>X</v>
      </c>
      <c r="M15129" s="1" t="str">
        <f t="shared" si="3481"/>
        <v>X</v>
      </c>
      <c r="N15129" t="s">
        <v>27</v>
      </c>
    </row>
    <row r="15130" spans="1:14" x14ac:dyDescent="0.25">
      <c r="A15130" t="s">
        <v>45</v>
      </c>
      <c r="B15130" t="s">
        <v>40</v>
      </c>
      <c r="C15130" t="s">
        <v>35</v>
      </c>
      <c r="D15130" t="s">
        <v>31</v>
      </c>
      <c r="E15130" t="s">
        <v>15</v>
      </c>
      <c r="F15130" t="s">
        <v>19</v>
      </c>
      <c r="G15130" s="1" t="str">
        <f t="shared" ref="G15130:M15130" si="3482">"..."</f>
        <v>...</v>
      </c>
      <c r="H15130" s="1" t="str">
        <f t="shared" si="3482"/>
        <v>...</v>
      </c>
      <c r="I15130" s="1" t="str">
        <f t="shared" si="3482"/>
        <v>...</v>
      </c>
      <c r="J15130" s="1" t="str">
        <f t="shared" si="3482"/>
        <v>...</v>
      </c>
      <c r="K15130" s="1" t="str">
        <f t="shared" si="3482"/>
        <v>...</v>
      </c>
      <c r="L15130" s="1" t="str">
        <f t="shared" si="3482"/>
        <v>...</v>
      </c>
      <c r="M15130" s="1" t="str">
        <f t="shared" si="3482"/>
        <v>...</v>
      </c>
      <c r="N15130" t="s">
        <v>30</v>
      </c>
    </row>
    <row r="15131" spans="1:14" x14ac:dyDescent="0.25">
      <c r="A15131" t="s">
        <v>45</v>
      </c>
      <c r="B15131" t="s">
        <v>40</v>
      </c>
      <c r="C15131" t="s">
        <v>35</v>
      </c>
      <c r="D15131" t="s">
        <v>31</v>
      </c>
      <c r="E15131" t="s">
        <v>15</v>
      </c>
      <c r="F15131" t="s">
        <v>20</v>
      </c>
      <c r="G15131" s="1" t="str">
        <f t="shared" ref="G15131:M15133" si="3483">"X"</f>
        <v>X</v>
      </c>
      <c r="H15131" s="1" t="str">
        <f t="shared" si="3483"/>
        <v>X</v>
      </c>
      <c r="I15131" s="1" t="str">
        <f t="shared" si="3483"/>
        <v>X</v>
      </c>
      <c r="J15131" s="1" t="str">
        <f t="shared" si="3483"/>
        <v>X</v>
      </c>
      <c r="K15131" s="1" t="str">
        <f t="shared" si="3483"/>
        <v>X</v>
      </c>
      <c r="L15131" s="1" t="str">
        <f t="shared" si="3483"/>
        <v>X</v>
      </c>
      <c r="M15131" s="1" t="str">
        <f t="shared" si="3483"/>
        <v>X</v>
      </c>
      <c r="N15131" t="s">
        <v>27</v>
      </c>
    </row>
    <row r="15132" spans="1:14" x14ac:dyDescent="0.25">
      <c r="A15132" t="s">
        <v>45</v>
      </c>
      <c r="B15132" t="s">
        <v>40</v>
      </c>
      <c r="C15132" t="s">
        <v>35</v>
      </c>
      <c r="D15132" t="s">
        <v>31</v>
      </c>
      <c r="E15132" t="s">
        <v>21</v>
      </c>
      <c r="F15132" t="s">
        <v>15</v>
      </c>
      <c r="G15132" s="1" t="str">
        <f t="shared" si="3483"/>
        <v>X</v>
      </c>
      <c r="H15132" s="1" t="str">
        <f t="shared" si="3483"/>
        <v>X</v>
      </c>
      <c r="I15132" s="1" t="str">
        <f t="shared" si="3483"/>
        <v>X</v>
      </c>
      <c r="J15132" s="1" t="str">
        <f t="shared" si="3483"/>
        <v>X</v>
      </c>
      <c r="K15132" s="1" t="str">
        <f t="shared" si="3483"/>
        <v>X</v>
      </c>
      <c r="L15132" s="1" t="str">
        <f t="shared" si="3483"/>
        <v>X</v>
      </c>
      <c r="M15132" s="1" t="str">
        <f t="shared" si="3483"/>
        <v>X</v>
      </c>
      <c r="N15132" t="s">
        <v>27</v>
      </c>
    </row>
    <row r="15133" spans="1:14" x14ac:dyDescent="0.25">
      <c r="A15133" t="s">
        <v>45</v>
      </c>
      <c r="B15133" t="s">
        <v>40</v>
      </c>
      <c r="C15133" t="s">
        <v>35</v>
      </c>
      <c r="D15133" t="s">
        <v>31</v>
      </c>
      <c r="E15133" t="s">
        <v>21</v>
      </c>
      <c r="F15133" t="s">
        <v>17</v>
      </c>
      <c r="G15133" s="1" t="str">
        <f t="shared" si="3483"/>
        <v>X</v>
      </c>
      <c r="H15133" s="1" t="str">
        <f t="shared" si="3483"/>
        <v>X</v>
      </c>
      <c r="I15133" s="1" t="str">
        <f t="shared" si="3483"/>
        <v>X</v>
      </c>
      <c r="J15133" s="1" t="str">
        <f t="shared" si="3483"/>
        <v>X</v>
      </c>
      <c r="K15133" s="1" t="str">
        <f t="shared" si="3483"/>
        <v>X</v>
      </c>
      <c r="L15133" s="1" t="str">
        <f t="shared" si="3483"/>
        <v>X</v>
      </c>
      <c r="M15133" s="1" t="str">
        <f t="shared" si="3483"/>
        <v>X</v>
      </c>
      <c r="N15133" t="s">
        <v>27</v>
      </c>
    </row>
    <row r="15134" spans="1:14" x14ac:dyDescent="0.25">
      <c r="A15134" t="s">
        <v>45</v>
      </c>
      <c r="B15134" t="s">
        <v>40</v>
      </c>
      <c r="C15134" t="s">
        <v>35</v>
      </c>
      <c r="D15134" t="s">
        <v>31</v>
      </c>
      <c r="E15134" t="s">
        <v>21</v>
      </c>
      <c r="F15134" t="s">
        <v>18</v>
      </c>
      <c r="G15134" s="1" t="str">
        <f t="shared" ref="G15134:M15135" si="3484">"..."</f>
        <v>...</v>
      </c>
      <c r="H15134" s="1" t="str">
        <f t="shared" si="3484"/>
        <v>...</v>
      </c>
      <c r="I15134" s="1" t="str">
        <f t="shared" si="3484"/>
        <v>...</v>
      </c>
      <c r="J15134" s="1" t="str">
        <f t="shared" si="3484"/>
        <v>...</v>
      </c>
      <c r="K15134" s="1" t="str">
        <f t="shared" si="3484"/>
        <v>...</v>
      </c>
      <c r="L15134" s="1" t="str">
        <f t="shared" si="3484"/>
        <v>...</v>
      </c>
      <c r="M15134" s="1" t="str">
        <f t="shared" si="3484"/>
        <v>...</v>
      </c>
      <c r="N15134" t="s">
        <v>30</v>
      </c>
    </row>
    <row r="15135" spans="1:14" x14ac:dyDescent="0.25">
      <c r="A15135" t="s">
        <v>45</v>
      </c>
      <c r="B15135" t="s">
        <v>40</v>
      </c>
      <c r="C15135" t="s">
        <v>35</v>
      </c>
      <c r="D15135" t="s">
        <v>31</v>
      </c>
      <c r="E15135" t="s">
        <v>21</v>
      </c>
      <c r="F15135" t="s">
        <v>19</v>
      </c>
      <c r="G15135" s="1" t="str">
        <f t="shared" si="3484"/>
        <v>...</v>
      </c>
      <c r="H15135" s="1" t="str">
        <f t="shared" si="3484"/>
        <v>...</v>
      </c>
      <c r="I15135" s="1" t="str">
        <f t="shared" si="3484"/>
        <v>...</v>
      </c>
      <c r="J15135" s="1" t="str">
        <f t="shared" si="3484"/>
        <v>...</v>
      </c>
      <c r="K15135" s="1" t="str">
        <f t="shared" si="3484"/>
        <v>...</v>
      </c>
      <c r="L15135" s="1" t="str">
        <f t="shared" si="3484"/>
        <v>...</v>
      </c>
      <c r="M15135" s="1" t="str">
        <f t="shared" si="3484"/>
        <v>...</v>
      </c>
      <c r="N15135" t="s">
        <v>30</v>
      </c>
    </row>
    <row r="15136" spans="1:14" x14ac:dyDescent="0.25">
      <c r="A15136" t="s">
        <v>45</v>
      </c>
      <c r="B15136" t="s">
        <v>40</v>
      </c>
      <c r="C15136" t="s">
        <v>35</v>
      </c>
      <c r="D15136" t="s">
        <v>31</v>
      </c>
      <c r="E15136" t="s">
        <v>21</v>
      </c>
      <c r="F15136" t="s">
        <v>20</v>
      </c>
      <c r="G15136" s="1" t="str">
        <f t="shared" ref="G15136:M15137" si="3485">"X"</f>
        <v>X</v>
      </c>
      <c r="H15136" s="1" t="str">
        <f t="shared" si="3485"/>
        <v>X</v>
      </c>
      <c r="I15136" s="1" t="str">
        <f t="shared" si="3485"/>
        <v>X</v>
      </c>
      <c r="J15136" s="1" t="str">
        <f t="shared" si="3485"/>
        <v>X</v>
      </c>
      <c r="K15136" s="1" t="str">
        <f t="shared" si="3485"/>
        <v>X</v>
      </c>
      <c r="L15136" s="1" t="str">
        <f t="shared" si="3485"/>
        <v>X</v>
      </c>
      <c r="M15136" s="1" t="str">
        <f t="shared" si="3485"/>
        <v>X</v>
      </c>
      <c r="N15136" t="s">
        <v>27</v>
      </c>
    </row>
    <row r="15137" spans="1:14" x14ac:dyDescent="0.25">
      <c r="A15137" t="s">
        <v>45</v>
      </c>
      <c r="B15137" t="s">
        <v>40</v>
      </c>
      <c r="C15137" t="s">
        <v>35</v>
      </c>
      <c r="D15137" t="s">
        <v>31</v>
      </c>
      <c r="E15137" t="s">
        <v>22</v>
      </c>
      <c r="F15137" t="s">
        <v>15</v>
      </c>
      <c r="G15137" s="1" t="str">
        <f t="shared" si="3485"/>
        <v>X</v>
      </c>
      <c r="H15137" s="1" t="str">
        <f t="shared" si="3485"/>
        <v>X</v>
      </c>
      <c r="I15137" s="1" t="str">
        <f t="shared" si="3485"/>
        <v>X</v>
      </c>
      <c r="J15137" s="1" t="str">
        <f t="shared" si="3485"/>
        <v>X</v>
      </c>
      <c r="K15137" s="1" t="str">
        <f t="shared" si="3485"/>
        <v>X</v>
      </c>
      <c r="L15137" s="1" t="str">
        <f t="shared" si="3485"/>
        <v>X</v>
      </c>
      <c r="M15137" s="1" t="str">
        <f t="shared" si="3485"/>
        <v>X</v>
      </c>
      <c r="N15137" t="s">
        <v>27</v>
      </c>
    </row>
    <row r="15138" spans="1:14" x14ac:dyDescent="0.25">
      <c r="A15138" t="s">
        <v>45</v>
      </c>
      <c r="B15138" t="s">
        <v>40</v>
      </c>
      <c r="C15138" t="s">
        <v>35</v>
      </c>
      <c r="D15138" t="s">
        <v>31</v>
      </c>
      <c r="E15138" t="s">
        <v>22</v>
      </c>
      <c r="F15138" t="s">
        <v>17</v>
      </c>
      <c r="G15138" s="1" t="str">
        <f t="shared" ref="G15138:M15138" si="3486">"..."</f>
        <v>...</v>
      </c>
      <c r="H15138" s="1" t="str">
        <f t="shared" si="3486"/>
        <v>...</v>
      </c>
      <c r="I15138" s="1" t="str">
        <f t="shared" si="3486"/>
        <v>...</v>
      </c>
      <c r="J15138" s="1" t="str">
        <f t="shared" si="3486"/>
        <v>...</v>
      </c>
      <c r="K15138" s="1" t="str">
        <f t="shared" si="3486"/>
        <v>...</v>
      </c>
      <c r="L15138" s="1" t="str">
        <f t="shared" si="3486"/>
        <v>...</v>
      </c>
      <c r="M15138" s="1" t="str">
        <f t="shared" si="3486"/>
        <v>...</v>
      </c>
      <c r="N15138" t="s">
        <v>30</v>
      </c>
    </row>
    <row r="15139" spans="1:14" x14ac:dyDescent="0.25">
      <c r="A15139" t="s">
        <v>45</v>
      </c>
      <c r="B15139" t="s">
        <v>40</v>
      </c>
      <c r="C15139" t="s">
        <v>35</v>
      </c>
      <c r="D15139" t="s">
        <v>31</v>
      </c>
      <c r="E15139" t="s">
        <v>22</v>
      </c>
      <c r="F15139" t="s">
        <v>18</v>
      </c>
      <c r="G15139" s="1" t="str">
        <f t="shared" ref="G15139:M15139" si="3487">"X"</f>
        <v>X</v>
      </c>
      <c r="H15139" s="1" t="str">
        <f t="shared" si="3487"/>
        <v>X</v>
      </c>
      <c r="I15139" s="1" t="str">
        <f t="shared" si="3487"/>
        <v>X</v>
      </c>
      <c r="J15139" s="1" t="str">
        <f t="shared" si="3487"/>
        <v>X</v>
      </c>
      <c r="K15139" s="1" t="str">
        <f t="shared" si="3487"/>
        <v>X</v>
      </c>
      <c r="L15139" s="1" t="str">
        <f t="shared" si="3487"/>
        <v>X</v>
      </c>
      <c r="M15139" s="1" t="str">
        <f t="shared" si="3487"/>
        <v>X</v>
      </c>
      <c r="N15139" t="s">
        <v>27</v>
      </c>
    </row>
    <row r="15140" spans="1:14" x14ac:dyDescent="0.25">
      <c r="A15140" t="s">
        <v>45</v>
      </c>
      <c r="B15140" t="s">
        <v>40</v>
      </c>
      <c r="C15140" t="s">
        <v>35</v>
      </c>
      <c r="D15140" t="s">
        <v>31</v>
      </c>
      <c r="E15140" t="s">
        <v>22</v>
      </c>
      <c r="F15140" t="s">
        <v>19</v>
      </c>
      <c r="G15140" s="1" t="str">
        <f t="shared" ref="G15140:M15140" si="3488">"..."</f>
        <v>...</v>
      </c>
      <c r="H15140" s="1" t="str">
        <f t="shared" si="3488"/>
        <v>...</v>
      </c>
      <c r="I15140" s="1" t="str">
        <f t="shared" si="3488"/>
        <v>...</v>
      </c>
      <c r="J15140" s="1" t="str">
        <f t="shared" si="3488"/>
        <v>...</v>
      </c>
      <c r="K15140" s="1" t="str">
        <f t="shared" si="3488"/>
        <v>...</v>
      </c>
      <c r="L15140" s="1" t="str">
        <f t="shared" si="3488"/>
        <v>...</v>
      </c>
      <c r="M15140" s="1" t="str">
        <f t="shared" si="3488"/>
        <v>...</v>
      </c>
      <c r="N15140" t="s">
        <v>30</v>
      </c>
    </row>
    <row r="15141" spans="1:14" x14ac:dyDescent="0.25">
      <c r="A15141" t="s">
        <v>45</v>
      </c>
      <c r="B15141" t="s">
        <v>40</v>
      </c>
      <c r="C15141" t="s">
        <v>35</v>
      </c>
      <c r="D15141" t="s">
        <v>31</v>
      </c>
      <c r="E15141" t="s">
        <v>22</v>
      </c>
      <c r="F15141" t="s">
        <v>20</v>
      </c>
      <c r="G15141" s="1" t="str">
        <f t="shared" ref="G15141:M15142" si="3489">"X"</f>
        <v>X</v>
      </c>
      <c r="H15141" s="1" t="str">
        <f t="shared" si="3489"/>
        <v>X</v>
      </c>
      <c r="I15141" s="1" t="str">
        <f t="shared" si="3489"/>
        <v>X</v>
      </c>
      <c r="J15141" s="1" t="str">
        <f t="shared" si="3489"/>
        <v>X</v>
      </c>
      <c r="K15141" s="1" t="str">
        <f t="shared" si="3489"/>
        <v>X</v>
      </c>
      <c r="L15141" s="1" t="str">
        <f t="shared" si="3489"/>
        <v>X</v>
      </c>
      <c r="M15141" s="1" t="str">
        <f t="shared" si="3489"/>
        <v>X</v>
      </c>
      <c r="N15141" t="s">
        <v>27</v>
      </c>
    </row>
    <row r="15142" spans="1:14" x14ac:dyDescent="0.25">
      <c r="A15142" t="s">
        <v>45</v>
      </c>
      <c r="B15142" t="s">
        <v>40</v>
      </c>
      <c r="C15142" t="s">
        <v>35</v>
      </c>
      <c r="D15142" t="s">
        <v>31</v>
      </c>
      <c r="E15142" t="s">
        <v>23</v>
      </c>
      <c r="F15142" t="s">
        <v>15</v>
      </c>
      <c r="G15142" s="1" t="str">
        <f t="shared" si="3489"/>
        <v>X</v>
      </c>
      <c r="H15142" s="1" t="str">
        <f t="shared" si="3489"/>
        <v>X</v>
      </c>
      <c r="I15142" s="1" t="str">
        <f t="shared" si="3489"/>
        <v>X</v>
      </c>
      <c r="J15142" s="1" t="str">
        <f t="shared" si="3489"/>
        <v>X</v>
      </c>
      <c r="K15142" s="1" t="str">
        <f t="shared" si="3489"/>
        <v>X</v>
      </c>
      <c r="L15142" s="1" t="str">
        <f t="shared" si="3489"/>
        <v>X</v>
      </c>
      <c r="M15142" s="1" t="str">
        <f t="shared" si="3489"/>
        <v>X</v>
      </c>
      <c r="N15142" t="s">
        <v>27</v>
      </c>
    </row>
    <row r="15143" spans="1:14" x14ac:dyDescent="0.25">
      <c r="A15143" t="s">
        <v>45</v>
      </c>
      <c r="B15143" t="s">
        <v>40</v>
      </c>
      <c r="C15143" t="s">
        <v>35</v>
      </c>
      <c r="D15143" t="s">
        <v>31</v>
      </c>
      <c r="E15143" t="s">
        <v>23</v>
      </c>
      <c r="F15143" t="s">
        <v>17</v>
      </c>
      <c r="G15143" s="1" t="str">
        <f t="shared" ref="G15143:M15143" si="3490">"..."</f>
        <v>...</v>
      </c>
      <c r="H15143" s="1" t="str">
        <f t="shared" si="3490"/>
        <v>...</v>
      </c>
      <c r="I15143" s="1" t="str">
        <f t="shared" si="3490"/>
        <v>...</v>
      </c>
      <c r="J15143" s="1" t="str">
        <f t="shared" si="3490"/>
        <v>...</v>
      </c>
      <c r="K15143" s="1" t="str">
        <f t="shared" si="3490"/>
        <v>...</v>
      </c>
      <c r="L15143" s="1" t="str">
        <f t="shared" si="3490"/>
        <v>...</v>
      </c>
      <c r="M15143" s="1" t="str">
        <f t="shared" si="3490"/>
        <v>...</v>
      </c>
      <c r="N15143" t="s">
        <v>30</v>
      </c>
    </row>
    <row r="15144" spans="1:14" x14ac:dyDescent="0.25">
      <c r="A15144" t="s">
        <v>45</v>
      </c>
      <c r="B15144" t="s">
        <v>40</v>
      </c>
      <c r="C15144" t="s">
        <v>35</v>
      </c>
      <c r="D15144" t="s">
        <v>31</v>
      </c>
      <c r="E15144" t="s">
        <v>23</v>
      </c>
      <c r="F15144" t="s">
        <v>18</v>
      </c>
      <c r="G15144" s="1" t="str">
        <f t="shared" ref="G15144:M15144" si="3491">"X"</f>
        <v>X</v>
      </c>
      <c r="H15144" s="1" t="str">
        <f t="shared" si="3491"/>
        <v>X</v>
      </c>
      <c r="I15144" s="1" t="str">
        <f t="shared" si="3491"/>
        <v>X</v>
      </c>
      <c r="J15144" s="1" t="str">
        <f t="shared" si="3491"/>
        <v>X</v>
      </c>
      <c r="K15144" s="1" t="str">
        <f t="shared" si="3491"/>
        <v>X</v>
      </c>
      <c r="L15144" s="1" t="str">
        <f t="shared" si="3491"/>
        <v>X</v>
      </c>
      <c r="M15144" s="1" t="str">
        <f t="shared" si="3491"/>
        <v>X</v>
      </c>
      <c r="N15144" t="s">
        <v>27</v>
      </c>
    </row>
    <row r="15145" spans="1:14" x14ac:dyDescent="0.25">
      <c r="A15145" t="s">
        <v>45</v>
      </c>
      <c r="B15145" t="s">
        <v>40</v>
      </c>
      <c r="C15145" t="s">
        <v>35</v>
      </c>
      <c r="D15145" t="s">
        <v>31</v>
      </c>
      <c r="E15145" t="s">
        <v>23</v>
      </c>
      <c r="F15145" t="s">
        <v>19</v>
      </c>
      <c r="G15145" s="1" t="str">
        <f t="shared" ref="G15145:M15145" si="3492">"..."</f>
        <v>...</v>
      </c>
      <c r="H15145" s="1" t="str">
        <f t="shared" si="3492"/>
        <v>...</v>
      </c>
      <c r="I15145" s="1" t="str">
        <f t="shared" si="3492"/>
        <v>...</v>
      </c>
      <c r="J15145" s="1" t="str">
        <f t="shared" si="3492"/>
        <v>...</v>
      </c>
      <c r="K15145" s="1" t="str">
        <f t="shared" si="3492"/>
        <v>...</v>
      </c>
      <c r="L15145" s="1" t="str">
        <f t="shared" si="3492"/>
        <v>...</v>
      </c>
      <c r="M15145" s="1" t="str">
        <f t="shared" si="3492"/>
        <v>...</v>
      </c>
      <c r="N15145" t="s">
        <v>30</v>
      </c>
    </row>
    <row r="15146" spans="1:14" x14ac:dyDescent="0.25">
      <c r="A15146" t="s">
        <v>45</v>
      </c>
      <c r="B15146" t="s">
        <v>40</v>
      </c>
      <c r="C15146" t="s">
        <v>35</v>
      </c>
      <c r="D15146" t="s">
        <v>31</v>
      </c>
      <c r="E15146" t="s">
        <v>23</v>
      </c>
      <c r="F15146" t="s">
        <v>20</v>
      </c>
      <c r="G15146" s="1" t="str">
        <f t="shared" ref="G15146:M15147" si="3493">"X"</f>
        <v>X</v>
      </c>
      <c r="H15146" s="1" t="str">
        <f t="shared" si="3493"/>
        <v>X</v>
      </c>
      <c r="I15146" s="1" t="str">
        <f t="shared" si="3493"/>
        <v>X</v>
      </c>
      <c r="J15146" s="1" t="str">
        <f t="shared" si="3493"/>
        <v>X</v>
      </c>
      <c r="K15146" s="1" t="str">
        <f t="shared" si="3493"/>
        <v>X</v>
      </c>
      <c r="L15146" s="1" t="str">
        <f t="shared" si="3493"/>
        <v>X</v>
      </c>
      <c r="M15146" s="1" t="str">
        <f t="shared" si="3493"/>
        <v>X</v>
      </c>
      <c r="N15146" t="s">
        <v>27</v>
      </c>
    </row>
    <row r="15147" spans="1:14" x14ac:dyDescent="0.25">
      <c r="A15147" t="s">
        <v>45</v>
      </c>
      <c r="B15147" t="s">
        <v>40</v>
      </c>
      <c r="C15147" t="s">
        <v>35</v>
      </c>
      <c r="D15147" t="s">
        <v>31</v>
      </c>
      <c r="E15147" t="s">
        <v>26</v>
      </c>
      <c r="F15147" t="s">
        <v>15</v>
      </c>
      <c r="G15147" s="1" t="str">
        <f t="shared" si="3493"/>
        <v>X</v>
      </c>
      <c r="H15147" s="1" t="str">
        <f t="shared" si="3493"/>
        <v>X</v>
      </c>
      <c r="I15147" s="1" t="str">
        <f t="shared" si="3493"/>
        <v>X</v>
      </c>
      <c r="J15147" s="1" t="str">
        <f t="shared" si="3493"/>
        <v>X</v>
      </c>
      <c r="K15147" s="1" t="str">
        <f t="shared" si="3493"/>
        <v>X</v>
      </c>
      <c r="L15147" s="1" t="str">
        <f t="shared" si="3493"/>
        <v>X</v>
      </c>
      <c r="M15147" s="1" t="str">
        <f t="shared" si="3493"/>
        <v>X</v>
      </c>
      <c r="N15147" t="s">
        <v>27</v>
      </c>
    </row>
    <row r="15148" spans="1:14" x14ac:dyDescent="0.25">
      <c r="A15148" t="s">
        <v>45</v>
      </c>
      <c r="B15148" t="s">
        <v>40</v>
      </c>
      <c r="C15148" t="s">
        <v>35</v>
      </c>
      <c r="D15148" t="s">
        <v>31</v>
      </c>
      <c r="E15148" t="s">
        <v>26</v>
      </c>
      <c r="F15148" t="s">
        <v>17</v>
      </c>
      <c r="G15148" s="1" t="str">
        <f t="shared" ref="G15148:M15150" si="3494">"..."</f>
        <v>...</v>
      </c>
      <c r="H15148" s="1" t="str">
        <f t="shared" si="3494"/>
        <v>...</v>
      </c>
      <c r="I15148" s="1" t="str">
        <f t="shared" si="3494"/>
        <v>...</v>
      </c>
      <c r="J15148" s="1" t="str">
        <f t="shared" si="3494"/>
        <v>...</v>
      </c>
      <c r="K15148" s="1" t="str">
        <f t="shared" si="3494"/>
        <v>...</v>
      </c>
      <c r="L15148" s="1" t="str">
        <f t="shared" si="3494"/>
        <v>...</v>
      </c>
      <c r="M15148" s="1" t="str">
        <f t="shared" si="3494"/>
        <v>...</v>
      </c>
      <c r="N15148" t="s">
        <v>30</v>
      </c>
    </row>
    <row r="15149" spans="1:14" x14ac:dyDescent="0.25">
      <c r="A15149" t="s">
        <v>45</v>
      </c>
      <c r="B15149" t="s">
        <v>40</v>
      </c>
      <c r="C15149" t="s">
        <v>35</v>
      </c>
      <c r="D15149" t="s">
        <v>31</v>
      </c>
      <c r="E15149" t="s">
        <v>26</v>
      </c>
      <c r="F15149" t="s">
        <v>18</v>
      </c>
      <c r="G15149" s="1" t="str">
        <f t="shared" si="3494"/>
        <v>...</v>
      </c>
      <c r="H15149" s="1" t="str">
        <f t="shared" si="3494"/>
        <v>...</v>
      </c>
      <c r="I15149" s="1" t="str">
        <f t="shared" si="3494"/>
        <v>...</v>
      </c>
      <c r="J15149" s="1" t="str">
        <f t="shared" si="3494"/>
        <v>...</v>
      </c>
      <c r="K15149" s="1" t="str">
        <f t="shared" si="3494"/>
        <v>...</v>
      </c>
      <c r="L15149" s="1" t="str">
        <f t="shared" si="3494"/>
        <v>...</v>
      </c>
      <c r="M15149" s="1" t="str">
        <f t="shared" si="3494"/>
        <v>...</v>
      </c>
      <c r="N15149" t="s">
        <v>30</v>
      </c>
    </row>
    <row r="15150" spans="1:14" x14ac:dyDescent="0.25">
      <c r="A15150" t="s">
        <v>45</v>
      </c>
      <c r="B15150" t="s">
        <v>40</v>
      </c>
      <c r="C15150" t="s">
        <v>35</v>
      </c>
      <c r="D15150" t="s">
        <v>31</v>
      </c>
      <c r="E15150" t="s">
        <v>26</v>
      </c>
      <c r="F15150" t="s">
        <v>19</v>
      </c>
      <c r="G15150" s="1" t="str">
        <f t="shared" si="3494"/>
        <v>...</v>
      </c>
      <c r="H15150" s="1" t="str">
        <f t="shared" si="3494"/>
        <v>...</v>
      </c>
      <c r="I15150" s="1" t="str">
        <f t="shared" si="3494"/>
        <v>...</v>
      </c>
      <c r="J15150" s="1" t="str">
        <f t="shared" si="3494"/>
        <v>...</v>
      </c>
      <c r="K15150" s="1" t="str">
        <f t="shared" si="3494"/>
        <v>...</v>
      </c>
      <c r="L15150" s="1" t="str">
        <f t="shared" si="3494"/>
        <v>...</v>
      </c>
      <c r="M15150" s="1" t="str">
        <f t="shared" si="3494"/>
        <v>...</v>
      </c>
      <c r="N15150" t="s">
        <v>30</v>
      </c>
    </row>
    <row r="15151" spans="1:14" x14ac:dyDescent="0.25">
      <c r="A15151" t="s">
        <v>45</v>
      </c>
      <c r="B15151" t="s">
        <v>40</v>
      </c>
      <c r="C15151" t="s">
        <v>35</v>
      </c>
      <c r="D15151" t="s">
        <v>31</v>
      </c>
      <c r="E15151" t="s">
        <v>26</v>
      </c>
      <c r="F15151" t="s">
        <v>20</v>
      </c>
      <c r="G15151" s="1" t="str">
        <f t="shared" ref="G15151:M15151" si="3495">"X"</f>
        <v>X</v>
      </c>
      <c r="H15151" s="1" t="str">
        <f t="shared" si="3495"/>
        <v>X</v>
      </c>
      <c r="I15151" s="1" t="str">
        <f t="shared" si="3495"/>
        <v>X</v>
      </c>
      <c r="J15151" s="1" t="str">
        <f t="shared" si="3495"/>
        <v>X</v>
      </c>
      <c r="K15151" s="1" t="str">
        <f t="shared" si="3495"/>
        <v>X</v>
      </c>
      <c r="L15151" s="1" t="str">
        <f t="shared" si="3495"/>
        <v>X</v>
      </c>
      <c r="M15151" s="1" t="str">
        <f t="shared" si="3495"/>
        <v>X</v>
      </c>
      <c r="N15151" t="s">
        <v>27</v>
      </c>
    </row>
    <row r="15152" spans="1:14" x14ac:dyDescent="0.25">
      <c r="A15152" t="s">
        <v>45</v>
      </c>
      <c r="B15152" t="s">
        <v>40</v>
      </c>
      <c r="C15152" t="s">
        <v>35</v>
      </c>
      <c r="D15152" t="s">
        <v>32</v>
      </c>
      <c r="E15152" t="s">
        <v>15</v>
      </c>
      <c r="F15152" t="s">
        <v>15</v>
      </c>
      <c r="G15152" s="2">
        <f>VALUE(590.44)</f>
        <v>590.44000000000005</v>
      </c>
      <c r="H15152" s="3">
        <f>VALUE(500.18)</f>
        <v>500.18</v>
      </c>
      <c r="I15152" s="1">
        <f>VALUE(2936)</f>
        <v>2936</v>
      </c>
      <c r="J15152" s="1">
        <f>VALUE(3233)</f>
        <v>3233</v>
      </c>
      <c r="K15152" s="1">
        <f>VALUE(3611)</f>
        <v>3611</v>
      </c>
      <c r="L15152" s="1">
        <f>VALUE(3867)</f>
        <v>3867</v>
      </c>
      <c r="M15152" s="1">
        <f>VALUE(4244)</f>
        <v>4244</v>
      </c>
      <c r="N15152" t="s">
        <v>25</v>
      </c>
    </row>
    <row r="15153" spans="1:14" x14ac:dyDescent="0.25">
      <c r="A15153" t="s">
        <v>45</v>
      </c>
      <c r="B15153" t="s">
        <v>40</v>
      </c>
      <c r="C15153" t="s">
        <v>35</v>
      </c>
      <c r="D15153" t="s">
        <v>32</v>
      </c>
      <c r="E15153" t="s">
        <v>15</v>
      </c>
      <c r="F15153" t="s">
        <v>17</v>
      </c>
      <c r="G15153" s="1" t="str">
        <f t="shared" ref="G15153:M15155" si="3496">"X"</f>
        <v>X</v>
      </c>
      <c r="H15153" s="1" t="str">
        <f t="shared" si="3496"/>
        <v>X</v>
      </c>
      <c r="I15153" s="1" t="str">
        <f t="shared" si="3496"/>
        <v>X</v>
      </c>
      <c r="J15153" s="1" t="str">
        <f t="shared" si="3496"/>
        <v>X</v>
      </c>
      <c r="K15153" s="1" t="str">
        <f t="shared" si="3496"/>
        <v>X</v>
      </c>
      <c r="L15153" s="1" t="str">
        <f t="shared" si="3496"/>
        <v>X</v>
      </c>
      <c r="M15153" s="1" t="str">
        <f t="shared" si="3496"/>
        <v>X</v>
      </c>
      <c r="N15153" t="s">
        <v>27</v>
      </c>
    </row>
    <row r="15154" spans="1:14" x14ac:dyDescent="0.25">
      <c r="A15154" t="s">
        <v>45</v>
      </c>
      <c r="B15154" t="s">
        <v>40</v>
      </c>
      <c r="C15154" t="s">
        <v>35</v>
      </c>
      <c r="D15154" t="s">
        <v>32</v>
      </c>
      <c r="E15154" t="s">
        <v>15</v>
      </c>
      <c r="F15154" t="s">
        <v>18</v>
      </c>
      <c r="G15154" s="1" t="str">
        <f t="shared" si="3496"/>
        <v>X</v>
      </c>
      <c r="H15154" s="1" t="str">
        <f t="shared" si="3496"/>
        <v>X</v>
      </c>
      <c r="I15154" s="1" t="str">
        <f t="shared" si="3496"/>
        <v>X</v>
      </c>
      <c r="J15154" s="1" t="str">
        <f t="shared" si="3496"/>
        <v>X</v>
      </c>
      <c r="K15154" s="1" t="str">
        <f t="shared" si="3496"/>
        <v>X</v>
      </c>
      <c r="L15154" s="1" t="str">
        <f t="shared" si="3496"/>
        <v>X</v>
      </c>
      <c r="M15154" s="1" t="str">
        <f t="shared" si="3496"/>
        <v>X</v>
      </c>
      <c r="N15154" t="s">
        <v>27</v>
      </c>
    </row>
    <row r="15155" spans="1:14" x14ac:dyDescent="0.25">
      <c r="A15155" t="s">
        <v>45</v>
      </c>
      <c r="B15155" t="s">
        <v>40</v>
      </c>
      <c r="C15155" t="s">
        <v>35</v>
      </c>
      <c r="D15155" t="s">
        <v>32</v>
      </c>
      <c r="E15155" t="s">
        <v>15</v>
      </c>
      <c r="F15155" t="s">
        <v>19</v>
      </c>
      <c r="G15155" s="1" t="str">
        <f t="shared" si="3496"/>
        <v>X</v>
      </c>
      <c r="H15155" s="1" t="str">
        <f t="shared" si="3496"/>
        <v>X</v>
      </c>
      <c r="I15155" s="1" t="str">
        <f t="shared" si="3496"/>
        <v>X</v>
      </c>
      <c r="J15155" s="1" t="str">
        <f t="shared" si="3496"/>
        <v>X</v>
      </c>
      <c r="K15155" s="1" t="str">
        <f t="shared" si="3496"/>
        <v>X</v>
      </c>
      <c r="L15155" s="1" t="str">
        <f t="shared" si="3496"/>
        <v>X</v>
      </c>
      <c r="M15155" s="1" t="str">
        <f t="shared" si="3496"/>
        <v>X</v>
      </c>
      <c r="N15155" t="s">
        <v>27</v>
      </c>
    </row>
    <row r="15156" spans="1:14" x14ac:dyDescent="0.25">
      <c r="A15156" t="s">
        <v>45</v>
      </c>
      <c r="B15156" t="s">
        <v>40</v>
      </c>
      <c r="C15156" t="s">
        <v>35</v>
      </c>
      <c r="D15156" t="s">
        <v>32</v>
      </c>
      <c r="E15156" t="s">
        <v>15</v>
      </c>
      <c r="F15156" t="s">
        <v>20</v>
      </c>
      <c r="G15156" s="2">
        <f>VALUE(571.01)</f>
        <v>571.01</v>
      </c>
      <c r="H15156" s="3">
        <f>VALUE(483.66)</f>
        <v>483.66</v>
      </c>
      <c r="I15156" s="1">
        <f>VALUE(2905)</f>
        <v>2905</v>
      </c>
      <c r="J15156" s="1">
        <f>VALUE(3233)</f>
        <v>3233</v>
      </c>
      <c r="K15156" s="1">
        <f>VALUE(3611)</f>
        <v>3611</v>
      </c>
      <c r="L15156" s="1">
        <f>VALUE(3867)</f>
        <v>3867</v>
      </c>
      <c r="M15156" s="1">
        <f>VALUE(4244)</f>
        <v>4244</v>
      </c>
      <c r="N15156" t="s">
        <v>25</v>
      </c>
    </row>
    <row r="15157" spans="1:14" x14ac:dyDescent="0.25">
      <c r="A15157" t="s">
        <v>45</v>
      </c>
      <c r="B15157" t="s">
        <v>40</v>
      </c>
      <c r="C15157" t="s">
        <v>35</v>
      </c>
      <c r="D15157" t="s">
        <v>32</v>
      </c>
      <c r="E15157" t="s">
        <v>21</v>
      </c>
      <c r="F15157" t="s">
        <v>15</v>
      </c>
      <c r="G15157" s="1" t="str">
        <f t="shared" ref="G15157:M15157" si="3497">"X"</f>
        <v>X</v>
      </c>
      <c r="H15157" s="1" t="str">
        <f t="shared" si="3497"/>
        <v>X</v>
      </c>
      <c r="I15157" s="1" t="str">
        <f t="shared" si="3497"/>
        <v>X</v>
      </c>
      <c r="J15157" s="1" t="str">
        <f t="shared" si="3497"/>
        <v>X</v>
      </c>
      <c r="K15157" s="1" t="str">
        <f t="shared" si="3497"/>
        <v>X</v>
      </c>
      <c r="L15157" s="1" t="str">
        <f t="shared" si="3497"/>
        <v>X</v>
      </c>
      <c r="M15157" s="1" t="str">
        <f t="shared" si="3497"/>
        <v>X</v>
      </c>
      <c r="N15157" t="s">
        <v>27</v>
      </c>
    </row>
    <row r="15158" spans="1:14" x14ac:dyDescent="0.25">
      <c r="A15158" t="s">
        <v>45</v>
      </c>
      <c r="B15158" t="s">
        <v>40</v>
      </c>
      <c r="C15158" t="s">
        <v>35</v>
      </c>
      <c r="D15158" t="s">
        <v>32</v>
      </c>
      <c r="E15158" t="s">
        <v>21</v>
      </c>
      <c r="F15158" t="s">
        <v>17</v>
      </c>
      <c r="G15158" s="1" t="str">
        <f t="shared" ref="G15158:M15158" si="3498">"..."</f>
        <v>...</v>
      </c>
      <c r="H15158" s="1" t="str">
        <f t="shared" si="3498"/>
        <v>...</v>
      </c>
      <c r="I15158" s="1" t="str">
        <f t="shared" si="3498"/>
        <v>...</v>
      </c>
      <c r="J15158" s="1" t="str">
        <f t="shared" si="3498"/>
        <v>...</v>
      </c>
      <c r="K15158" s="1" t="str">
        <f t="shared" si="3498"/>
        <v>...</v>
      </c>
      <c r="L15158" s="1" t="str">
        <f t="shared" si="3498"/>
        <v>...</v>
      </c>
      <c r="M15158" s="1" t="str">
        <f t="shared" si="3498"/>
        <v>...</v>
      </c>
      <c r="N15158" t="s">
        <v>30</v>
      </c>
    </row>
    <row r="15159" spans="1:14" x14ac:dyDescent="0.25">
      <c r="A15159" t="s">
        <v>45</v>
      </c>
      <c r="B15159" t="s">
        <v>40</v>
      </c>
      <c r="C15159" t="s">
        <v>35</v>
      </c>
      <c r="D15159" t="s">
        <v>32</v>
      </c>
      <c r="E15159" t="s">
        <v>21</v>
      </c>
      <c r="F15159" t="s">
        <v>18</v>
      </c>
      <c r="G15159" s="1" t="str">
        <f t="shared" ref="G15159:M15166" si="3499">"X"</f>
        <v>X</v>
      </c>
      <c r="H15159" s="1" t="str">
        <f t="shared" si="3499"/>
        <v>X</v>
      </c>
      <c r="I15159" s="1" t="str">
        <f t="shared" si="3499"/>
        <v>X</v>
      </c>
      <c r="J15159" s="1" t="str">
        <f t="shared" si="3499"/>
        <v>X</v>
      </c>
      <c r="K15159" s="1" t="str">
        <f t="shared" si="3499"/>
        <v>X</v>
      </c>
      <c r="L15159" s="1" t="str">
        <f t="shared" si="3499"/>
        <v>X</v>
      </c>
      <c r="M15159" s="1" t="str">
        <f t="shared" si="3499"/>
        <v>X</v>
      </c>
      <c r="N15159" t="s">
        <v>27</v>
      </c>
    </row>
    <row r="15160" spans="1:14" x14ac:dyDescent="0.25">
      <c r="A15160" t="s">
        <v>45</v>
      </c>
      <c r="B15160" t="s">
        <v>40</v>
      </c>
      <c r="C15160" t="s">
        <v>35</v>
      </c>
      <c r="D15160" t="s">
        <v>32</v>
      </c>
      <c r="E15160" t="s">
        <v>21</v>
      </c>
      <c r="F15160" t="s">
        <v>19</v>
      </c>
      <c r="G15160" s="1" t="str">
        <f t="shared" si="3499"/>
        <v>X</v>
      </c>
      <c r="H15160" s="1" t="str">
        <f t="shared" si="3499"/>
        <v>X</v>
      </c>
      <c r="I15160" s="1" t="str">
        <f t="shared" si="3499"/>
        <v>X</v>
      </c>
      <c r="J15160" s="1" t="str">
        <f t="shared" si="3499"/>
        <v>X</v>
      </c>
      <c r="K15160" s="1" t="str">
        <f t="shared" si="3499"/>
        <v>X</v>
      </c>
      <c r="L15160" s="1" t="str">
        <f t="shared" si="3499"/>
        <v>X</v>
      </c>
      <c r="M15160" s="1" t="str">
        <f t="shared" si="3499"/>
        <v>X</v>
      </c>
      <c r="N15160" t="s">
        <v>27</v>
      </c>
    </row>
    <row r="15161" spans="1:14" x14ac:dyDescent="0.25">
      <c r="A15161" t="s">
        <v>45</v>
      </c>
      <c r="B15161" t="s">
        <v>40</v>
      </c>
      <c r="C15161" t="s">
        <v>35</v>
      </c>
      <c r="D15161" t="s">
        <v>32</v>
      </c>
      <c r="E15161" t="s">
        <v>21</v>
      </c>
      <c r="F15161" t="s">
        <v>20</v>
      </c>
      <c r="G15161" s="1" t="str">
        <f t="shared" si="3499"/>
        <v>X</v>
      </c>
      <c r="H15161" s="1" t="str">
        <f t="shared" si="3499"/>
        <v>X</v>
      </c>
      <c r="I15161" s="1" t="str">
        <f t="shared" si="3499"/>
        <v>X</v>
      </c>
      <c r="J15161" s="1" t="str">
        <f t="shared" si="3499"/>
        <v>X</v>
      </c>
      <c r="K15161" s="1" t="str">
        <f t="shared" si="3499"/>
        <v>X</v>
      </c>
      <c r="L15161" s="1" t="str">
        <f t="shared" si="3499"/>
        <v>X</v>
      </c>
      <c r="M15161" s="1" t="str">
        <f t="shared" si="3499"/>
        <v>X</v>
      </c>
      <c r="N15161" t="s">
        <v>27</v>
      </c>
    </row>
    <row r="15162" spans="1:14" x14ac:dyDescent="0.25">
      <c r="A15162" t="s">
        <v>45</v>
      </c>
      <c r="B15162" t="s">
        <v>40</v>
      </c>
      <c r="C15162" t="s">
        <v>35</v>
      </c>
      <c r="D15162" t="s">
        <v>32</v>
      </c>
      <c r="E15162" t="s">
        <v>22</v>
      </c>
      <c r="F15162" t="s">
        <v>15</v>
      </c>
      <c r="G15162" s="1" t="str">
        <f t="shared" si="3499"/>
        <v>X</v>
      </c>
      <c r="H15162" s="1" t="str">
        <f t="shared" si="3499"/>
        <v>X</v>
      </c>
      <c r="I15162" s="1" t="str">
        <f t="shared" si="3499"/>
        <v>X</v>
      </c>
      <c r="J15162" s="1" t="str">
        <f t="shared" si="3499"/>
        <v>X</v>
      </c>
      <c r="K15162" s="1" t="str">
        <f t="shared" si="3499"/>
        <v>X</v>
      </c>
      <c r="L15162" s="1" t="str">
        <f t="shared" si="3499"/>
        <v>X</v>
      </c>
      <c r="M15162" s="1" t="str">
        <f t="shared" si="3499"/>
        <v>X</v>
      </c>
      <c r="N15162" t="s">
        <v>27</v>
      </c>
    </row>
    <row r="15163" spans="1:14" x14ac:dyDescent="0.25">
      <c r="A15163" t="s">
        <v>45</v>
      </c>
      <c r="B15163" t="s">
        <v>40</v>
      </c>
      <c r="C15163" t="s">
        <v>35</v>
      </c>
      <c r="D15163" t="s">
        <v>32</v>
      </c>
      <c r="E15163" t="s">
        <v>22</v>
      </c>
      <c r="F15163" t="s">
        <v>17</v>
      </c>
      <c r="G15163" s="1" t="str">
        <f t="shared" si="3499"/>
        <v>X</v>
      </c>
      <c r="H15163" s="1" t="str">
        <f t="shared" si="3499"/>
        <v>X</v>
      </c>
      <c r="I15163" s="1" t="str">
        <f t="shared" si="3499"/>
        <v>X</v>
      </c>
      <c r="J15163" s="1" t="str">
        <f t="shared" si="3499"/>
        <v>X</v>
      </c>
      <c r="K15163" s="1" t="str">
        <f t="shared" si="3499"/>
        <v>X</v>
      </c>
      <c r="L15163" s="1" t="str">
        <f t="shared" si="3499"/>
        <v>X</v>
      </c>
      <c r="M15163" s="1" t="str">
        <f t="shared" si="3499"/>
        <v>X</v>
      </c>
      <c r="N15163" t="s">
        <v>27</v>
      </c>
    </row>
    <row r="15164" spans="1:14" x14ac:dyDescent="0.25">
      <c r="A15164" t="s">
        <v>45</v>
      </c>
      <c r="B15164" t="s">
        <v>40</v>
      </c>
      <c r="C15164" t="s">
        <v>35</v>
      </c>
      <c r="D15164" t="s">
        <v>32</v>
      </c>
      <c r="E15164" t="s">
        <v>22</v>
      </c>
      <c r="F15164" t="s">
        <v>18</v>
      </c>
      <c r="G15164" s="1" t="str">
        <f t="shared" si="3499"/>
        <v>X</v>
      </c>
      <c r="H15164" s="1" t="str">
        <f t="shared" si="3499"/>
        <v>X</v>
      </c>
      <c r="I15164" s="1" t="str">
        <f t="shared" si="3499"/>
        <v>X</v>
      </c>
      <c r="J15164" s="1" t="str">
        <f t="shared" si="3499"/>
        <v>X</v>
      </c>
      <c r="K15164" s="1" t="str">
        <f t="shared" si="3499"/>
        <v>X</v>
      </c>
      <c r="L15164" s="1" t="str">
        <f t="shared" si="3499"/>
        <v>X</v>
      </c>
      <c r="M15164" s="1" t="str">
        <f t="shared" si="3499"/>
        <v>X</v>
      </c>
      <c r="N15164" t="s">
        <v>27</v>
      </c>
    </row>
    <row r="15165" spans="1:14" x14ac:dyDescent="0.25">
      <c r="A15165" t="s">
        <v>45</v>
      </c>
      <c r="B15165" t="s">
        <v>40</v>
      </c>
      <c r="C15165" t="s">
        <v>35</v>
      </c>
      <c r="D15165" t="s">
        <v>32</v>
      </c>
      <c r="E15165" t="s">
        <v>22</v>
      </c>
      <c r="F15165" t="s">
        <v>19</v>
      </c>
      <c r="G15165" s="1" t="str">
        <f t="shared" si="3499"/>
        <v>X</v>
      </c>
      <c r="H15165" s="1" t="str">
        <f t="shared" si="3499"/>
        <v>X</v>
      </c>
      <c r="I15165" s="1" t="str">
        <f t="shared" si="3499"/>
        <v>X</v>
      </c>
      <c r="J15165" s="1" t="str">
        <f t="shared" si="3499"/>
        <v>X</v>
      </c>
      <c r="K15165" s="1" t="str">
        <f t="shared" si="3499"/>
        <v>X</v>
      </c>
      <c r="L15165" s="1" t="str">
        <f t="shared" si="3499"/>
        <v>X</v>
      </c>
      <c r="M15165" s="1" t="str">
        <f t="shared" si="3499"/>
        <v>X</v>
      </c>
      <c r="N15165" t="s">
        <v>27</v>
      </c>
    </row>
    <row r="15166" spans="1:14" x14ac:dyDescent="0.25">
      <c r="A15166" t="s">
        <v>45</v>
      </c>
      <c r="B15166" t="s">
        <v>40</v>
      </c>
      <c r="C15166" t="s">
        <v>35</v>
      </c>
      <c r="D15166" t="s">
        <v>32</v>
      </c>
      <c r="E15166" t="s">
        <v>22</v>
      </c>
      <c r="F15166" t="s">
        <v>20</v>
      </c>
      <c r="G15166" s="1" t="str">
        <f t="shared" si="3499"/>
        <v>X</v>
      </c>
      <c r="H15166" s="1" t="str">
        <f t="shared" si="3499"/>
        <v>X</v>
      </c>
      <c r="I15166" s="1" t="str">
        <f t="shared" si="3499"/>
        <v>X</v>
      </c>
      <c r="J15166" s="1" t="str">
        <f t="shared" si="3499"/>
        <v>X</v>
      </c>
      <c r="K15166" s="1" t="str">
        <f t="shared" si="3499"/>
        <v>X</v>
      </c>
      <c r="L15166" s="1" t="str">
        <f t="shared" si="3499"/>
        <v>X</v>
      </c>
      <c r="M15166" s="1" t="str">
        <f t="shared" si="3499"/>
        <v>X</v>
      </c>
      <c r="N15166" t="s">
        <v>27</v>
      </c>
    </row>
    <row r="15167" spans="1:14" x14ac:dyDescent="0.25">
      <c r="A15167" t="s">
        <v>45</v>
      </c>
      <c r="B15167" t="s">
        <v>40</v>
      </c>
      <c r="C15167" t="s">
        <v>35</v>
      </c>
      <c r="D15167" t="s">
        <v>32</v>
      </c>
      <c r="E15167" t="s">
        <v>23</v>
      </c>
      <c r="F15167" t="s">
        <v>15</v>
      </c>
      <c r="G15167" s="2">
        <f>VALUE(254.7)</f>
        <v>254.7</v>
      </c>
      <c r="H15167" s="3">
        <f>VALUE(230.53)</f>
        <v>230.53</v>
      </c>
      <c r="I15167" s="1">
        <f>VALUE(2988)</f>
        <v>2988</v>
      </c>
      <c r="J15167" s="1">
        <f>VALUE(3204)</f>
        <v>3204</v>
      </c>
      <c r="K15167" s="1">
        <f>VALUE(3502)</f>
        <v>3502</v>
      </c>
      <c r="L15167" s="1">
        <f>VALUE(3800)</f>
        <v>3800</v>
      </c>
      <c r="M15167" s="1">
        <f>VALUE(4190)</f>
        <v>4190</v>
      </c>
      <c r="N15167" t="s">
        <v>25</v>
      </c>
    </row>
    <row r="15168" spans="1:14" x14ac:dyDescent="0.25">
      <c r="A15168" t="s">
        <v>45</v>
      </c>
      <c r="B15168" t="s">
        <v>40</v>
      </c>
      <c r="C15168" t="s">
        <v>35</v>
      </c>
      <c r="D15168" t="s">
        <v>32</v>
      </c>
      <c r="E15168" t="s">
        <v>23</v>
      </c>
      <c r="F15168" t="s">
        <v>17</v>
      </c>
      <c r="G15168" s="1" t="str">
        <f t="shared" ref="G15168:M15169" si="3500">"..."</f>
        <v>...</v>
      </c>
      <c r="H15168" s="1" t="str">
        <f t="shared" si="3500"/>
        <v>...</v>
      </c>
      <c r="I15168" s="1" t="str">
        <f t="shared" si="3500"/>
        <v>...</v>
      </c>
      <c r="J15168" s="1" t="str">
        <f t="shared" si="3500"/>
        <v>...</v>
      </c>
      <c r="K15168" s="1" t="str">
        <f t="shared" si="3500"/>
        <v>...</v>
      </c>
      <c r="L15168" s="1" t="str">
        <f t="shared" si="3500"/>
        <v>...</v>
      </c>
      <c r="M15168" s="1" t="str">
        <f t="shared" si="3500"/>
        <v>...</v>
      </c>
      <c r="N15168" t="s">
        <v>30</v>
      </c>
    </row>
    <row r="15169" spans="1:14" x14ac:dyDescent="0.25">
      <c r="A15169" t="s">
        <v>45</v>
      </c>
      <c r="B15169" t="s">
        <v>40</v>
      </c>
      <c r="C15169" t="s">
        <v>35</v>
      </c>
      <c r="D15169" t="s">
        <v>32</v>
      </c>
      <c r="E15169" t="s">
        <v>23</v>
      </c>
      <c r="F15169" t="s">
        <v>18</v>
      </c>
      <c r="G15169" s="1" t="str">
        <f t="shared" si="3500"/>
        <v>...</v>
      </c>
      <c r="H15169" s="1" t="str">
        <f t="shared" si="3500"/>
        <v>...</v>
      </c>
      <c r="I15169" s="1" t="str">
        <f t="shared" si="3500"/>
        <v>...</v>
      </c>
      <c r="J15169" s="1" t="str">
        <f t="shared" si="3500"/>
        <v>...</v>
      </c>
      <c r="K15169" s="1" t="str">
        <f t="shared" si="3500"/>
        <v>...</v>
      </c>
      <c r="L15169" s="1" t="str">
        <f t="shared" si="3500"/>
        <v>...</v>
      </c>
      <c r="M15169" s="1" t="str">
        <f t="shared" si="3500"/>
        <v>...</v>
      </c>
      <c r="N15169" t="s">
        <v>30</v>
      </c>
    </row>
    <row r="15170" spans="1:14" x14ac:dyDescent="0.25">
      <c r="A15170" t="s">
        <v>45</v>
      </c>
      <c r="B15170" t="s">
        <v>40</v>
      </c>
      <c r="C15170" t="s">
        <v>35</v>
      </c>
      <c r="D15170" t="s">
        <v>32</v>
      </c>
      <c r="E15170" t="s">
        <v>23</v>
      </c>
      <c r="F15170" t="s">
        <v>19</v>
      </c>
      <c r="G15170" s="1" t="str">
        <f t="shared" ref="G15170:M15170" si="3501">"X"</f>
        <v>X</v>
      </c>
      <c r="H15170" s="1" t="str">
        <f t="shared" si="3501"/>
        <v>X</v>
      </c>
      <c r="I15170" s="1" t="str">
        <f t="shared" si="3501"/>
        <v>X</v>
      </c>
      <c r="J15170" s="1" t="str">
        <f t="shared" si="3501"/>
        <v>X</v>
      </c>
      <c r="K15170" s="1" t="str">
        <f t="shared" si="3501"/>
        <v>X</v>
      </c>
      <c r="L15170" s="1" t="str">
        <f t="shared" si="3501"/>
        <v>X</v>
      </c>
      <c r="M15170" s="1" t="str">
        <f t="shared" si="3501"/>
        <v>X</v>
      </c>
      <c r="N15170" t="s">
        <v>27</v>
      </c>
    </row>
    <row r="15171" spans="1:14" x14ac:dyDescent="0.25">
      <c r="A15171" t="s">
        <v>45</v>
      </c>
      <c r="B15171" t="s">
        <v>40</v>
      </c>
      <c r="C15171" t="s">
        <v>35</v>
      </c>
      <c r="D15171" t="s">
        <v>32</v>
      </c>
      <c r="E15171" t="s">
        <v>23</v>
      </c>
      <c r="F15171" t="s">
        <v>20</v>
      </c>
      <c r="G15171" s="2">
        <f>VALUE(253.51)</f>
        <v>253.51</v>
      </c>
      <c r="H15171" s="3">
        <f>VALUE(229.49)</f>
        <v>229.49</v>
      </c>
      <c r="I15171" s="1">
        <f>VALUE(2988)</f>
        <v>2988</v>
      </c>
      <c r="J15171" s="1">
        <f>VALUE(3204)</f>
        <v>3204</v>
      </c>
      <c r="K15171" s="1">
        <f>VALUE(3495)</f>
        <v>3495</v>
      </c>
      <c r="L15171" s="1">
        <f>VALUE(3800)</f>
        <v>3800</v>
      </c>
      <c r="M15171" s="1">
        <f>VALUE(4190)</f>
        <v>4190</v>
      </c>
      <c r="N15171" t="s">
        <v>25</v>
      </c>
    </row>
    <row r="15172" spans="1:14" x14ac:dyDescent="0.25">
      <c r="A15172" t="s">
        <v>45</v>
      </c>
      <c r="B15172" t="s">
        <v>40</v>
      </c>
      <c r="C15172" t="s">
        <v>35</v>
      </c>
      <c r="D15172" t="s">
        <v>32</v>
      </c>
      <c r="E15172" t="s">
        <v>26</v>
      </c>
      <c r="F15172" t="s">
        <v>15</v>
      </c>
      <c r="G15172" s="1" t="str">
        <f t="shared" ref="G15172:M15172" si="3502">"X"</f>
        <v>X</v>
      </c>
      <c r="H15172" s="1" t="str">
        <f t="shared" si="3502"/>
        <v>X</v>
      </c>
      <c r="I15172" s="1" t="str">
        <f t="shared" si="3502"/>
        <v>X</v>
      </c>
      <c r="J15172" s="1" t="str">
        <f t="shared" si="3502"/>
        <v>X</v>
      </c>
      <c r="K15172" s="1" t="str">
        <f t="shared" si="3502"/>
        <v>X</v>
      </c>
      <c r="L15172" s="1" t="str">
        <f t="shared" si="3502"/>
        <v>X</v>
      </c>
      <c r="M15172" s="1" t="str">
        <f t="shared" si="3502"/>
        <v>X</v>
      </c>
      <c r="N15172" t="s">
        <v>27</v>
      </c>
    </row>
    <row r="15173" spans="1:14" x14ac:dyDescent="0.25">
      <c r="A15173" t="s">
        <v>45</v>
      </c>
      <c r="B15173" t="s">
        <v>40</v>
      </c>
      <c r="C15173" t="s">
        <v>35</v>
      </c>
      <c r="D15173" t="s">
        <v>32</v>
      </c>
      <c r="E15173" t="s">
        <v>26</v>
      </c>
      <c r="F15173" t="s">
        <v>17</v>
      </c>
      <c r="G15173" s="1" t="str">
        <f t="shared" ref="G15173:M15175" si="3503">"..."</f>
        <v>...</v>
      </c>
      <c r="H15173" s="1" t="str">
        <f t="shared" si="3503"/>
        <v>...</v>
      </c>
      <c r="I15173" s="1" t="str">
        <f t="shared" si="3503"/>
        <v>...</v>
      </c>
      <c r="J15173" s="1" t="str">
        <f t="shared" si="3503"/>
        <v>...</v>
      </c>
      <c r="K15173" s="1" t="str">
        <f t="shared" si="3503"/>
        <v>...</v>
      </c>
      <c r="L15173" s="1" t="str">
        <f t="shared" si="3503"/>
        <v>...</v>
      </c>
      <c r="M15173" s="1" t="str">
        <f t="shared" si="3503"/>
        <v>...</v>
      </c>
      <c r="N15173" t="s">
        <v>30</v>
      </c>
    </row>
    <row r="15174" spans="1:14" x14ac:dyDescent="0.25">
      <c r="A15174" t="s">
        <v>45</v>
      </c>
      <c r="B15174" t="s">
        <v>40</v>
      </c>
      <c r="C15174" t="s">
        <v>35</v>
      </c>
      <c r="D15174" t="s">
        <v>32</v>
      </c>
      <c r="E15174" t="s">
        <v>26</v>
      </c>
      <c r="F15174" t="s">
        <v>18</v>
      </c>
      <c r="G15174" s="1" t="str">
        <f t="shared" si="3503"/>
        <v>...</v>
      </c>
      <c r="H15174" s="1" t="str">
        <f t="shared" si="3503"/>
        <v>...</v>
      </c>
      <c r="I15174" s="1" t="str">
        <f t="shared" si="3503"/>
        <v>...</v>
      </c>
      <c r="J15174" s="1" t="str">
        <f t="shared" si="3503"/>
        <v>...</v>
      </c>
      <c r="K15174" s="1" t="str">
        <f t="shared" si="3503"/>
        <v>...</v>
      </c>
      <c r="L15174" s="1" t="str">
        <f t="shared" si="3503"/>
        <v>...</v>
      </c>
      <c r="M15174" s="1" t="str">
        <f t="shared" si="3503"/>
        <v>...</v>
      </c>
      <c r="N15174" t="s">
        <v>30</v>
      </c>
    </row>
    <row r="15175" spans="1:14" x14ac:dyDescent="0.25">
      <c r="A15175" t="s">
        <v>45</v>
      </c>
      <c r="B15175" t="s">
        <v>40</v>
      </c>
      <c r="C15175" t="s">
        <v>35</v>
      </c>
      <c r="D15175" t="s">
        <v>32</v>
      </c>
      <c r="E15175" t="s">
        <v>26</v>
      </c>
      <c r="F15175" t="s">
        <v>19</v>
      </c>
      <c r="G15175" s="1" t="str">
        <f t="shared" si="3503"/>
        <v>...</v>
      </c>
      <c r="H15175" s="1" t="str">
        <f t="shared" si="3503"/>
        <v>...</v>
      </c>
      <c r="I15175" s="1" t="str">
        <f t="shared" si="3503"/>
        <v>...</v>
      </c>
      <c r="J15175" s="1" t="str">
        <f t="shared" si="3503"/>
        <v>...</v>
      </c>
      <c r="K15175" s="1" t="str">
        <f t="shared" si="3503"/>
        <v>...</v>
      </c>
      <c r="L15175" s="1" t="str">
        <f t="shared" si="3503"/>
        <v>...</v>
      </c>
      <c r="M15175" s="1" t="str">
        <f t="shared" si="3503"/>
        <v>...</v>
      </c>
      <c r="N15175" t="s">
        <v>30</v>
      </c>
    </row>
    <row r="15176" spans="1:14" x14ac:dyDescent="0.25">
      <c r="A15176" t="s">
        <v>45</v>
      </c>
      <c r="B15176" t="s">
        <v>40</v>
      </c>
      <c r="C15176" t="s">
        <v>35</v>
      </c>
      <c r="D15176" t="s">
        <v>32</v>
      </c>
      <c r="E15176" t="s">
        <v>26</v>
      </c>
      <c r="F15176" t="s">
        <v>20</v>
      </c>
      <c r="G15176" s="1" t="str">
        <f t="shared" ref="G15176:M15177" si="3504">"X"</f>
        <v>X</v>
      </c>
      <c r="H15176" s="1" t="str">
        <f t="shared" si="3504"/>
        <v>X</v>
      </c>
      <c r="I15176" s="1" t="str">
        <f t="shared" si="3504"/>
        <v>X</v>
      </c>
      <c r="J15176" s="1" t="str">
        <f t="shared" si="3504"/>
        <v>X</v>
      </c>
      <c r="K15176" s="1" t="str">
        <f t="shared" si="3504"/>
        <v>X</v>
      </c>
      <c r="L15176" s="1" t="str">
        <f t="shared" si="3504"/>
        <v>X</v>
      </c>
      <c r="M15176" s="1" t="str">
        <f t="shared" si="3504"/>
        <v>X</v>
      </c>
      <c r="N15176" t="s">
        <v>27</v>
      </c>
    </row>
    <row r="15177" spans="1:14" x14ac:dyDescent="0.25">
      <c r="A15177" t="s">
        <v>45</v>
      </c>
      <c r="B15177" t="s">
        <v>40</v>
      </c>
      <c r="C15177" t="s">
        <v>35</v>
      </c>
      <c r="D15177" t="s">
        <v>33</v>
      </c>
      <c r="E15177" t="s">
        <v>15</v>
      </c>
      <c r="F15177" t="s">
        <v>15</v>
      </c>
      <c r="G15177" s="1" t="str">
        <f t="shared" si="3504"/>
        <v>X</v>
      </c>
      <c r="H15177" s="1" t="str">
        <f t="shared" si="3504"/>
        <v>X</v>
      </c>
      <c r="I15177" s="1" t="str">
        <f t="shared" si="3504"/>
        <v>X</v>
      </c>
      <c r="J15177" s="1" t="str">
        <f t="shared" si="3504"/>
        <v>X</v>
      </c>
      <c r="K15177" s="1" t="str">
        <f t="shared" si="3504"/>
        <v>X</v>
      </c>
      <c r="L15177" s="1" t="str">
        <f t="shared" si="3504"/>
        <v>X</v>
      </c>
      <c r="M15177" s="1" t="str">
        <f t="shared" si="3504"/>
        <v>X</v>
      </c>
      <c r="N15177" t="s">
        <v>27</v>
      </c>
    </row>
    <row r="15178" spans="1:14" x14ac:dyDescent="0.25">
      <c r="A15178" t="s">
        <v>45</v>
      </c>
      <c r="B15178" t="s">
        <v>40</v>
      </c>
      <c r="C15178" t="s">
        <v>35</v>
      </c>
      <c r="D15178" t="s">
        <v>33</v>
      </c>
      <c r="E15178" t="s">
        <v>15</v>
      </c>
      <c r="F15178" t="s">
        <v>17</v>
      </c>
      <c r="G15178" s="1" t="str">
        <f t="shared" ref="G15178:M15179" si="3505">"..."</f>
        <v>...</v>
      </c>
      <c r="H15178" s="1" t="str">
        <f t="shared" si="3505"/>
        <v>...</v>
      </c>
      <c r="I15178" s="1" t="str">
        <f t="shared" si="3505"/>
        <v>...</v>
      </c>
      <c r="J15178" s="1" t="str">
        <f t="shared" si="3505"/>
        <v>...</v>
      </c>
      <c r="K15178" s="1" t="str">
        <f t="shared" si="3505"/>
        <v>...</v>
      </c>
      <c r="L15178" s="1" t="str">
        <f t="shared" si="3505"/>
        <v>...</v>
      </c>
      <c r="M15178" s="1" t="str">
        <f t="shared" si="3505"/>
        <v>...</v>
      </c>
      <c r="N15178" t="s">
        <v>30</v>
      </c>
    </row>
    <row r="15179" spans="1:14" x14ac:dyDescent="0.25">
      <c r="A15179" t="s">
        <v>45</v>
      </c>
      <c r="B15179" t="s">
        <v>40</v>
      </c>
      <c r="C15179" t="s">
        <v>35</v>
      </c>
      <c r="D15179" t="s">
        <v>33</v>
      </c>
      <c r="E15179" t="s">
        <v>15</v>
      </c>
      <c r="F15179" t="s">
        <v>18</v>
      </c>
      <c r="G15179" s="1" t="str">
        <f t="shared" si="3505"/>
        <v>...</v>
      </c>
      <c r="H15179" s="1" t="str">
        <f t="shared" si="3505"/>
        <v>...</v>
      </c>
      <c r="I15179" s="1" t="str">
        <f t="shared" si="3505"/>
        <v>...</v>
      </c>
      <c r="J15179" s="1" t="str">
        <f t="shared" si="3505"/>
        <v>...</v>
      </c>
      <c r="K15179" s="1" t="str">
        <f t="shared" si="3505"/>
        <v>...</v>
      </c>
      <c r="L15179" s="1" t="str">
        <f t="shared" si="3505"/>
        <v>...</v>
      </c>
      <c r="M15179" s="1" t="str">
        <f t="shared" si="3505"/>
        <v>...</v>
      </c>
      <c r="N15179" t="s">
        <v>30</v>
      </c>
    </row>
    <row r="15180" spans="1:14" x14ac:dyDescent="0.25">
      <c r="A15180" t="s">
        <v>45</v>
      </c>
      <c r="B15180" t="s">
        <v>40</v>
      </c>
      <c r="C15180" t="s">
        <v>35</v>
      </c>
      <c r="D15180" t="s">
        <v>33</v>
      </c>
      <c r="E15180" t="s">
        <v>15</v>
      </c>
      <c r="F15180" t="s">
        <v>19</v>
      </c>
      <c r="G15180" s="1" t="str">
        <f t="shared" ref="G15180:M15182" si="3506">"X"</f>
        <v>X</v>
      </c>
      <c r="H15180" s="1" t="str">
        <f t="shared" si="3506"/>
        <v>X</v>
      </c>
      <c r="I15180" s="1" t="str">
        <f t="shared" si="3506"/>
        <v>X</v>
      </c>
      <c r="J15180" s="1" t="str">
        <f t="shared" si="3506"/>
        <v>X</v>
      </c>
      <c r="K15180" s="1" t="str">
        <f t="shared" si="3506"/>
        <v>X</v>
      </c>
      <c r="L15180" s="1" t="str">
        <f t="shared" si="3506"/>
        <v>X</v>
      </c>
      <c r="M15180" s="1" t="str">
        <f t="shared" si="3506"/>
        <v>X</v>
      </c>
      <c r="N15180" t="s">
        <v>27</v>
      </c>
    </row>
    <row r="15181" spans="1:14" x14ac:dyDescent="0.25">
      <c r="A15181" t="s">
        <v>45</v>
      </c>
      <c r="B15181" t="s">
        <v>40</v>
      </c>
      <c r="C15181" t="s">
        <v>35</v>
      </c>
      <c r="D15181" t="s">
        <v>33</v>
      </c>
      <c r="E15181" t="s">
        <v>15</v>
      </c>
      <c r="F15181" t="s">
        <v>20</v>
      </c>
      <c r="G15181" s="1" t="str">
        <f t="shared" si="3506"/>
        <v>X</v>
      </c>
      <c r="H15181" s="1" t="str">
        <f t="shared" si="3506"/>
        <v>X</v>
      </c>
      <c r="I15181" s="1" t="str">
        <f t="shared" si="3506"/>
        <v>X</v>
      </c>
      <c r="J15181" s="1" t="str">
        <f t="shared" si="3506"/>
        <v>X</v>
      </c>
      <c r="K15181" s="1" t="str">
        <f t="shared" si="3506"/>
        <v>X</v>
      </c>
      <c r="L15181" s="1" t="str">
        <f t="shared" si="3506"/>
        <v>X</v>
      </c>
      <c r="M15181" s="1" t="str">
        <f t="shared" si="3506"/>
        <v>X</v>
      </c>
      <c r="N15181" t="s">
        <v>27</v>
      </c>
    </row>
    <row r="15182" spans="1:14" x14ac:dyDescent="0.25">
      <c r="A15182" t="s">
        <v>45</v>
      </c>
      <c r="B15182" t="s">
        <v>40</v>
      </c>
      <c r="C15182" t="s">
        <v>35</v>
      </c>
      <c r="D15182" t="s">
        <v>33</v>
      </c>
      <c r="E15182" t="s">
        <v>21</v>
      </c>
      <c r="F15182" t="s">
        <v>15</v>
      </c>
      <c r="G15182" s="1" t="str">
        <f t="shared" si="3506"/>
        <v>X</v>
      </c>
      <c r="H15182" s="1" t="str">
        <f t="shared" si="3506"/>
        <v>X</v>
      </c>
      <c r="I15182" s="1" t="str">
        <f t="shared" si="3506"/>
        <v>X</v>
      </c>
      <c r="J15182" s="1" t="str">
        <f t="shared" si="3506"/>
        <v>X</v>
      </c>
      <c r="K15182" s="1" t="str">
        <f t="shared" si="3506"/>
        <v>X</v>
      </c>
      <c r="L15182" s="1" t="str">
        <f t="shared" si="3506"/>
        <v>X</v>
      </c>
      <c r="M15182" s="1" t="str">
        <f t="shared" si="3506"/>
        <v>X</v>
      </c>
      <c r="N15182" t="s">
        <v>27</v>
      </c>
    </row>
    <row r="15183" spans="1:14" x14ac:dyDescent="0.25">
      <c r="A15183" t="s">
        <v>45</v>
      </c>
      <c r="B15183" t="s">
        <v>40</v>
      </c>
      <c r="C15183" t="s">
        <v>35</v>
      </c>
      <c r="D15183" t="s">
        <v>33</v>
      </c>
      <c r="E15183" t="s">
        <v>21</v>
      </c>
      <c r="F15183" t="s">
        <v>17</v>
      </c>
      <c r="G15183" s="1" t="str">
        <f t="shared" ref="G15183:M15184" si="3507">"..."</f>
        <v>...</v>
      </c>
      <c r="H15183" s="1" t="str">
        <f t="shared" si="3507"/>
        <v>...</v>
      </c>
      <c r="I15183" s="1" t="str">
        <f t="shared" si="3507"/>
        <v>...</v>
      </c>
      <c r="J15183" s="1" t="str">
        <f t="shared" si="3507"/>
        <v>...</v>
      </c>
      <c r="K15183" s="1" t="str">
        <f t="shared" si="3507"/>
        <v>...</v>
      </c>
      <c r="L15183" s="1" t="str">
        <f t="shared" si="3507"/>
        <v>...</v>
      </c>
      <c r="M15183" s="1" t="str">
        <f t="shared" si="3507"/>
        <v>...</v>
      </c>
      <c r="N15183" t="s">
        <v>30</v>
      </c>
    </row>
    <row r="15184" spans="1:14" x14ac:dyDescent="0.25">
      <c r="A15184" t="s">
        <v>45</v>
      </c>
      <c r="B15184" t="s">
        <v>40</v>
      </c>
      <c r="C15184" t="s">
        <v>35</v>
      </c>
      <c r="D15184" t="s">
        <v>33</v>
      </c>
      <c r="E15184" t="s">
        <v>21</v>
      </c>
      <c r="F15184" t="s">
        <v>18</v>
      </c>
      <c r="G15184" s="1" t="str">
        <f t="shared" si="3507"/>
        <v>...</v>
      </c>
      <c r="H15184" s="1" t="str">
        <f t="shared" si="3507"/>
        <v>...</v>
      </c>
      <c r="I15184" s="1" t="str">
        <f t="shared" si="3507"/>
        <v>...</v>
      </c>
      <c r="J15184" s="1" t="str">
        <f t="shared" si="3507"/>
        <v>...</v>
      </c>
      <c r="K15184" s="1" t="str">
        <f t="shared" si="3507"/>
        <v>...</v>
      </c>
      <c r="L15184" s="1" t="str">
        <f t="shared" si="3507"/>
        <v>...</v>
      </c>
      <c r="M15184" s="1" t="str">
        <f t="shared" si="3507"/>
        <v>...</v>
      </c>
      <c r="N15184" t="s">
        <v>30</v>
      </c>
    </row>
    <row r="15185" spans="1:14" x14ac:dyDescent="0.25">
      <c r="A15185" t="s">
        <v>45</v>
      </c>
      <c r="B15185" t="s">
        <v>40</v>
      </c>
      <c r="C15185" t="s">
        <v>35</v>
      </c>
      <c r="D15185" t="s">
        <v>33</v>
      </c>
      <c r="E15185" t="s">
        <v>21</v>
      </c>
      <c r="F15185" t="s">
        <v>19</v>
      </c>
      <c r="G15185" s="1" t="str">
        <f t="shared" ref="G15185:M15187" si="3508">"X"</f>
        <v>X</v>
      </c>
      <c r="H15185" s="1" t="str">
        <f t="shared" si="3508"/>
        <v>X</v>
      </c>
      <c r="I15185" s="1" t="str">
        <f t="shared" si="3508"/>
        <v>X</v>
      </c>
      <c r="J15185" s="1" t="str">
        <f t="shared" si="3508"/>
        <v>X</v>
      </c>
      <c r="K15185" s="1" t="str">
        <f t="shared" si="3508"/>
        <v>X</v>
      </c>
      <c r="L15185" s="1" t="str">
        <f t="shared" si="3508"/>
        <v>X</v>
      </c>
      <c r="M15185" s="1" t="str">
        <f t="shared" si="3508"/>
        <v>X</v>
      </c>
      <c r="N15185" t="s">
        <v>27</v>
      </c>
    </row>
    <row r="15186" spans="1:14" x14ac:dyDescent="0.25">
      <c r="A15186" t="s">
        <v>45</v>
      </c>
      <c r="B15186" t="s">
        <v>40</v>
      </c>
      <c r="C15186" t="s">
        <v>35</v>
      </c>
      <c r="D15186" t="s">
        <v>33</v>
      </c>
      <c r="E15186" t="s">
        <v>21</v>
      </c>
      <c r="F15186" t="s">
        <v>20</v>
      </c>
      <c r="G15186" s="1" t="str">
        <f t="shared" si="3508"/>
        <v>X</v>
      </c>
      <c r="H15186" s="1" t="str">
        <f t="shared" si="3508"/>
        <v>X</v>
      </c>
      <c r="I15186" s="1" t="str">
        <f t="shared" si="3508"/>
        <v>X</v>
      </c>
      <c r="J15186" s="1" t="str">
        <f t="shared" si="3508"/>
        <v>X</v>
      </c>
      <c r="K15186" s="1" t="str">
        <f t="shared" si="3508"/>
        <v>X</v>
      </c>
      <c r="L15186" s="1" t="str">
        <f t="shared" si="3508"/>
        <v>X</v>
      </c>
      <c r="M15186" s="1" t="str">
        <f t="shared" si="3508"/>
        <v>X</v>
      </c>
      <c r="N15186" t="s">
        <v>27</v>
      </c>
    </row>
    <row r="15187" spans="1:14" x14ac:dyDescent="0.25">
      <c r="A15187" t="s">
        <v>45</v>
      </c>
      <c r="B15187" t="s">
        <v>40</v>
      </c>
      <c r="C15187" t="s">
        <v>35</v>
      </c>
      <c r="D15187" t="s">
        <v>33</v>
      </c>
      <c r="E15187" t="s">
        <v>22</v>
      </c>
      <c r="F15187" t="s">
        <v>15</v>
      </c>
      <c r="G15187" s="1" t="str">
        <f t="shared" si="3508"/>
        <v>X</v>
      </c>
      <c r="H15187" s="1" t="str">
        <f t="shared" si="3508"/>
        <v>X</v>
      </c>
      <c r="I15187" s="1" t="str">
        <f t="shared" si="3508"/>
        <v>X</v>
      </c>
      <c r="J15187" s="1" t="str">
        <f t="shared" si="3508"/>
        <v>X</v>
      </c>
      <c r="K15187" s="1" t="str">
        <f t="shared" si="3508"/>
        <v>X</v>
      </c>
      <c r="L15187" s="1" t="str">
        <f t="shared" si="3508"/>
        <v>X</v>
      </c>
      <c r="M15187" s="1" t="str">
        <f t="shared" si="3508"/>
        <v>X</v>
      </c>
      <c r="N15187" t="s">
        <v>27</v>
      </c>
    </row>
    <row r="15188" spans="1:14" x14ac:dyDescent="0.25">
      <c r="A15188" t="s">
        <v>45</v>
      </c>
      <c r="B15188" t="s">
        <v>40</v>
      </c>
      <c r="C15188" t="s">
        <v>35</v>
      </c>
      <c r="D15188" t="s">
        <v>33</v>
      </c>
      <c r="E15188" t="s">
        <v>22</v>
      </c>
      <c r="F15188" t="s">
        <v>17</v>
      </c>
      <c r="G15188" s="1" t="str">
        <f t="shared" ref="G15188:M15190" si="3509">"..."</f>
        <v>...</v>
      </c>
      <c r="H15188" s="1" t="str">
        <f t="shared" si="3509"/>
        <v>...</v>
      </c>
      <c r="I15188" s="1" t="str">
        <f t="shared" si="3509"/>
        <v>...</v>
      </c>
      <c r="J15188" s="1" t="str">
        <f t="shared" si="3509"/>
        <v>...</v>
      </c>
      <c r="K15188" s="1" t="str">
        <f t="shared" si="3509"/>
        <v>...</v>
      </c>
      <c r="L15188" s="1" t="str">
        <f t="shared" si="3509"/>
        <v>...</v>
      </c>
      <c r="M15188" s="1" t="str">
        <f t="shared" si="3509"/>
        <v>...</v>
      </c>
      <c r="N15188" t="s">
        <v>30</v>
      </c>
    </row>
    <row r="15189" spans="1:14" x14ac:dyDescent="0.25">
      <c r="A15189" t="s">
        <v>45</v>
      </c>
      <c r="B15189" t="s">
        <v>40</v>
      </c>
      <c r="C15189" t="s">
        <v>35</v>
      </c>
      <c r="D15189" t="s">
        <v>33</v>
      </c>
      <c r="E15189" t="s">
        <v>22</v>
      </c>
      <c r="F15189" t="s">
        <v>18</v>
      </c>
      <c r="G15189" s="1" t="str">
        <f t="shared" si="3509"/>
        <v>...</v>
      </c>
      <c r="H15189" s="1" t="str">
        <f t="shared" si="3509"/>
        <v>...</v>
      </c>
      <c r="I15189" s="1" t="str">
        <f t="shared" si="3509"/>
        <v>...</v>
      </c>
      <c r="J15189" s="1" t="str">
        <f t="shared" si="3509"/>
        <v>...</v>
      </c>
      <c r="K15189" s="1" t="str">
        <f t="shared" si="3509"/>
        <v>...</v>
      </c>
      <c r="L15189" s="1" t="str">
        <f t="shared" si="3509"/>
        <v>...</v>
      </c>
      <c r="M15189" s="1" t="str">
        <f t="shared" si="3509"/>
        <v>...</v>
      </c>
      <c r="N15189" t="s">
        <v>30</v>
      </c>
    </row>
    <row r="15190" spans="1:14" x14ac:dyDescent="0.25">
      <c r="A15190" t="s">
        <v>45</v>
      </c>
      <c r="B15190" t="s">
        <v>40</v>
      </c>
      <c r="C15190" t="s">
        <v>35</v>
      </c>
      <c r="D15190" t="s">
        <v>33</v>
      </c>
      <c r="E15190" t="s">
        <v>22</v>
      </c>
      <c r="F15190" t="s">
        <v>19</v>
      </c>
      <c r="G15190" s="1" t="str">
        <f t="shared" si="3509"/>
        <v>...</v>
      </c>
      <c r="H15190" s="1" t="str">
        <f t="shared" si="3509"/>
        <v>...</v>
      </c>
      <c r="I15190" s="1" t="str">
        <f t="shared" si="3509"/>
        <v>...</v>
      </c>
      <c r="J15190" s="1" t="str">
        <f t="shared" si="3509"/>
        <v>...</v>
      </c>
      <c r="K15190" s="1" t="str">
        <f t="shared" si="3509"/>
        <v>...</v>
      </c>
      <c r="L15190" s="1" t="str">
        <f t="shared" si="3509"/>
        <v>...</v>
      </c>
      <c r="M15190" s="1" t="str">
        <f t="shared" si="3509"/>
        <v>...</v>
      </c>
      <c r="N15190" t="s">
        <v>30</v>
      </c>
    </row>
    <row r="15191" spans="1:14" x14ac:dyDescent="0.25">
      <c r="A15191" t="s">
        <v>45</v>
      </c>
      <c r="B15191" t="s">
        <v>40</v>
      </c>
      <c r="C15191" t="s">
        <v>35</v>
      </c>
      <c r="D15191" t="s">
        <v>33</v>
      </c>
      <c r="E15191" t="s">
        <v>22</v>
      </c>
      <c r="F15191" t="s">
        <v>20</v>
      </c>
      <c r="G15191" s="1" t="str">
        <f t="shared" ref="G15191:M15192" si="3510">"X"</f>
        <v>X</v>
      </c>
      <c r="H15191" s="1" t="str">
        <f t="shared" si="3510"/>
        <v>X</v>
      </c>
      <c r="I15191" s="1" t="str">
        <f t="shared" si="3510"/>
        <v>X</v>
      </c>
      <c r="J15191" s="1" t="str">
        <f t="shared" si="3510"/>
        <v>X</v>
      </c>
      <c r="K15191" s="1" t="str">
        <f t="shared" si="3510"/>
        <v>X</v>
      </c>
      <c r="L15191" s="1" t="str">
        <f t="shared" si="3510"/>
        <v>X</v>
      </c>
      <c r="M15191" s="1" t="str">
        <f t="shared" si="3510"/>
        <v>X</v>
      </c>
      <c r="N15191" t="s">
        <v>27</v>
      </c>
    </row>
    <row r="15192" spans="1:14" x14ac:dyDescent="0.25">
      <c r="A15192" t="s">
        <v>45</v>
      </c>
      <c r="B15192" t="s">
        <v>40</v>
      </c>
      <c r="C15192" t="s">
        <v>35</v>
      </c>
      <c r="D15192" t="s">
        <v>33</v>
      </c>
      <c r="E15192" t="s">
        <v>23</v>
      </c>
      <c r="F15192" t="s">
        <v>15</v>
      </c>
      <c r="G15192" s="1" t="str">
        <f t="shared" si="3510"/>
        <v>X</v>
      </c>
      <c r="H15192" s="1" t="str">
        <f t="shared" si="3510"/>
        <v>X</v>
      </c>
      <c r="I15192" s="1" t="str">
        <f t="shared" si="3510"/>
        <v>X</v>
      </c>
      <c r="J15192" s="1" t="str">
        <f t="shared" si="3510"/>
        <v>X</v>
      </c>
      <c r="K15192" s="1" t="str">
        <f t="shared" si="3510"/>
        <v>X</v>
      </c>
      <c r="L15192" s="1" t="str">
        <f t="shared" si="3510"/>
        <v>X</v>
      </c>
      <c r="M15192" s="1" t="str">
        <f t="shared" si="3510"/>
        <v>X</v>
      </c>
      <c r="N15192" t="s">
        <v>27</v>
      </c>
    </row>
    <row r="15193" spans="1:14" x14ac:dyDescent="0.25">
      <c r="A15193" t="s">
        <v>45</v>
      </c>
      <c r="B15193" t="s">
        <v>40</v>
      </c>
      <c r="C15193" t="s">
        <v>35</v>
      </c>
      <c r="D15193" t="s">
        <v>33</v>
      </c>
      <c r="E15193" t="s">
        <v>23</v>
      </c>
      <c r="F15193" t="s">
        <v>17</v>
      </c>
      <c r="G15193" s="1" t="str">
        <f t="shared" ref="G15193:M15195" si="3511">"..."</f>
        <v>...</v>
      </c>
      <c r="H15193" s="1" t="str">
        <f t="shared" si="3511"/>
        <v>...</v>
      </c>
      <c r="I15193" s="1" t="str">
        <f t="shared" si="3511"/>
        <v>...</v>
      </c>
      <c r="J15193" s="1" t="str">
        <f t="shared" si="3511"/>
        <v>...</v>
      </c>
      <c r="K15193" s="1" t="str">
        <f t="shared" si="3511"/>
        <v>...</v>
      </c>
      <c r="L15193" s="1" t="str">
        <f t="shared" si="3511"/>
        <v>...</v>
      </c>
      <c r="M15193" s="1" t="str">
        <f t="shared" si="3511"/>
        <v>...</v>
      </c>
      <c r="N15193" t="s">
        <v>30</v>
      </c>
    </row>
    <row r="15194" spans="1:14" x14ac:dyDescent="0.25">
      <c r="A15194" t="s">
        <v>45</v>
      </c>
      <c r="B15194" t="s">
        <v>40</v>
      </c>
      <c r="C15194" t="s">
        <v>35</v>
      </c>
      <c r="D15194" t="s">
        <v>33</v>
      </c>
      <c r="E15194" t="s">
        <v>23</v>
      </c>
      <c r="F15194" t="s">
        <v>18</v>
      </c>
      <c r="G15194" s="1" t="str">
        <f t="shared" si="3511"/>
        <v>...</v>
      </c>
      <c r="H15194" s="1" t="str">
        <f t="shared" si="3511"/>
        <v>...</v>
      </c>
      <c r="I15194" s="1" t="str">
        <f t="shared" si="3511"/>
        <v>...</v>
      </c>
      <c r="J15194" s="1" t="str">
        <f t="shared" si="3511"/>
        <v>...</v>
      </c>
      <c r="K15194" s="1" t="str">
        <f t="shared" si="3511"/>
        <v>...</v>
      </c>
      <c r="L15194" s="1" t="str">
        <f t="shared" si="3511"/>
        <v>...</v>
      </c>
      <c r="M15194" s="1" t="str">
        <f t="shared" si="3511"/>
        <v>...</v>
      </c>
      <c r="N15194" t="s">
        <v>30</v>
      </c>
    </row>
    <row r="15195" spans="1:14" x14ac:dyDescent="0.25">
      <c r="A15195" t="s">
        <v>45</v>
      </c>
      <c r="B15195" t="s">
        <v>40</v>
      </c>
      <c r="C15195" t="s">
        <v>35</v>
      </c>
      <c r="D15195" t="s">
        <v>33</v>
      </c>
      <c r="E15195" t="s">
        <v>23</v>
      </c>
      <c r="F15195" t="s">
        <v>19</v>
      </c>
      <c r="G15195" s="1" t="str">
        <f t="shared" si="3511"/>
        <v>...</v>
      </c>
      <c r="H15195" s="1" t="str">
        <f t="shared" si="3511"/>
        <v>...</v>
      </c>
      <c r="I15195" s="1" t="str">
        <f t="shared" si="3511"/>
        <v>...</v>
      </c>
      <c r="J15195" s="1" t="str">
        <f t="shared" si="3511"/>
        <v>...</v>
      </c>
      <c r="K15195" s="1" t="str">
        <f t="shared" si="3511"/>
        <v>...</v>
      </c>
      <c r="L15195" s="1" t="str">
        <f t="shared" si="3511"/>
        <v>...</v>
      </c>
      <c r="M15195" s="1" t="str">
        <f t="shared" si="3511"/>
        <v>...</v>
      </c>
      <c r="N15195" t="s">
        <v>30</v>
      </c>
    </row>
    <row r="15196" spans="1:14" x14ac:dyDescent="0.25">
      <c r="A15196" t="s">
        <v>45</v>
      </c>
      <c r="B15196" t="s">
        <v>40</v>
      </c>
      <c r="C15196" t="s">
        <v>35</v>
      </c>
      <c r="D15196" t="s">
        <v>33</v>
      </c>
      <c r="E15196" t="s">
        <v>23</v>
      </c>
      <c r="F15196" t="s">
        <v>20</v>
      </c>
      <c r="G15196" s="1" t="str">
        <f t="shared" ref="G15196:M15196" si="3512">"X"</f>
        <v>X</v>
      </c>
      <c r="H15196" s="1" t="str">
        <f t="shared" si="3512"/>
        <v>X</v>
      </c>
      <c r="I15196" s="1" t="str">
        <f t="shared" si="3512"/>
        <v>X</v>
      </c>
      <c r="J15196" s="1" t="str">
        <f t="shared" si="3512"/>
        <v>X</v>
      </c>
      <c r="K15196" s="1" t="str">
        <f t="shared" si="3512"/>
        <v>X</v>
      </c>
      <c r="L15196" s="1" t="str">
        <f t="shared" si="3512"/>
        <v>X</v>
      </c>
      <c r="M15196" s="1" t="str">
        <f t="shared" si="3512"/>
        <v>X</v>
      </c>
      <c r="N15196" t="s">
        <v>27</v>
      </c>
    </row>
    <row r="15197" spans="1:14" x14ac:dyDescent="0.25">
      <c r="A15197" t="s">
        <v>45</v>
      </c>
      <c r="B15197" t="s">
        <v>40</v>
      </c>
      <c r="C15197" t="s">
        <v>35</v>
      </c>
      <c r="D15197" t="s">
        <v>33</v>
      </c>
      <c r="E15197" t="s">
        <v>26</v>
      </c>
      <c r="F15197" t="s">
        <v>15</v>
      </c>
      <c r="G15197" s="1" t="str">
        <f t="shared" ref="G15197:M15201" si="3513">"..."</f>
        <v>...</v>
      </c>
      <c r="H15197" s="1" t="str">
        <f t="shared" si="3513"/>
        <v>...</v>
      </c>
      <c r="I15197" s="1" t="str">
        <f t="shared" si="3513"/>
        <v>...</v>
      </c>
      <c r="J15197" s="1" t="str">
        <f t="shared" si="3513"/>
        <v>...</v>
      </c>
      <c r="K15197" s="1" t="str">
        <f t="shared" si="3513"/>
        <v>...</v>
      </c>
      <c r="L15197" s="1" t="str">
        <f t="shared" si="3513"/>
        <v>...</v>
      </c>
      <c r="M15197" s="1" t="str">
        <f t="shared" si="3513"/>
        <v>...</v>
      </c>
      <c r="N15197" t="s">
        <v>30</v>
      </c>
    </row>
    <row r="15198" spans="1:14" x14ac:dyDescent="0.25">
      <c r="A15198" t="s">
        <v>45</v>
      </c>
      <c r="B15198" t="s">
        <v>40</v>
      </c>
      <c r="C15198" t="s">
        <v>35</v>
      </c>
      <c r="D15198" t="s">
        <v>33</v>
      </c>
      <c r="E15198" t="s">
        <v>26</v>
      </c>
      <c r="F15198" t="s">
        <v>17</v>
      </c>
      <c r="G15198" s="1" t="str">
        <f t="shared" si="3513"/>
        <v>...</v>
      </c>
      <c r="H15198" s="1" t="str">
        <f t="shared" si="3513"/>
        <v>...</v>
      </c>
      <c r="I15198" s="1" t="str">
        <f t="shared" si="3513"/>
        <v>...</v>
      </c>
      <c r="J15198" s="1" t="str">
        <f t="shared" si="3513"/>
        <v>...</v>
      </c>
      <c r="K15198" s="1" t="str">
        <f t="shared" si="3513"/>
        <v>...</v>
      </c>
      <c r="L15198" s="1" t="str">
        <f t="shared" si="3513"/>
        <v>...</v>
      </c>
      <c r="M15198" s="1" t="str">
        <f t="shared" si="3513"/>
        <v>...</v>
      </c>
      <c r="N15198" t="s">
        <v>30</v>
      </c>
    </row>
    <row r="15199" spans="1:14" x14ac:dyDescent="0.25">
      <c r="A15199" t="s">
        <v>45</v>
      </c>
      <c r="B15199" t="s">
        <v>40</v>
      </c>
      <c r="C15199" t="s">
        <v>35</v>
      </c>
      <c r="D15199" t="s">
        <v>33</v>
      </c>
      <c r="E15199" t="s">
        <v>26</v>
      </c>
      <c r="F15199" t="s">
        <v>18</v>
      </c>
      <c r="G15199" s="1" t="str">
        <f t="shared" si="3513"/>
        <v>...</v>
      </c>
      <c r="H15199" s="1" t="str">
        <f t="shared" si="3513"/>
        <v>...</v>
      </c>
      <c r="I15199" s="1" t="str">
        <f t="shared" si="3513"/>
        <v>...</v>
      </c>
      <c r="J15199" s="1" t="str">
        <f t="shared" si="3513"/>
        <v>...</v>
      </c>
      <c r="K15199" s="1" t="str">
        <f t="shared" si="3513"/>
        <v>...</v>
      </c>
      <c r="L15199" s="1" t="str">
        <f t="shared" si="3513"/>
        <v>...</v>
      </c>
      <c r="M15199" s="1" t="str">
        <f t="shared" si="3513"/>
        <v>...</v>
      </c>
      <c r="N15199" t="s">
        <v>30</v>
      </c>
    </row>
    <row r="15200" spans="1:14" x14ac:dyDescent="0.25">
      <c r="A15200" t="s">
        <v>45</v>
      </c>
      <c r="B15200" t="s">
        <v>40</v>
      </c>
      <c r="C15200" t="s">
        <v>35</v>
      </c>
      <c r="D15200" t="s">
        <v>33</v>
      </c>
      <c r="E15200" t="s">
        <v>26</v>
      </c>
      <c r="F15200" t="s">
        <v>19</v>
      </c>
      <c r="G15200" s="1" t="str">
        <f t="shared" si="3513"/>
        <v>...</v>
      </c>
      <c r="H15200" s="1" t="str">
        <f t="shared" si="3513"/>
        <v>...</v>
      </c>
      <c r="I15200" s="1" t="str">
        <f t="shared" si="3513"/>
        <v>...</v>
      </c>
      <c r="J15200" s="1" t="str">
        <f t="shared" si="3513"/>
        <v>...</v>
      </c>
      <c r="K15200" s="1" t="str">
        <f t="shared" si="3513"/>
        <v>...</v>
      </c>
      <c r="L15200" s="1" t="str">
        <f t="shared" si="3513"/>
        <v>...</v>
      </c>
      <c r="M15200" s="1" t="str">
        <f t="shared" si="3513"/>
        <v>...</v>
      </c>
      <c r="N15200" t="s">
        <v>30</v>
      </c>
    </row>
    <row r="15201" spans="1:14" x14ac:dyDescent="0.25">
      <c r="A15201" t="s">
        <v>45</v>
      </c>
      <c r="B15201" t="s">
        <v>40</v>
      </c>
      <c r="C15201" t="s">
        <v>35</v>
      </c>
      <c r="D15201" t="s">
        <v>33</v>
      </c>
      <c r="E15201" t="s">
        <v>26</v>
      </c>
      <c r="F15201" t="s">
        <v>20</v>
      </c>
      <c r="G15201" s="1" t="str">
        <f t="shared" si="3513"/>
        <v>...</v>
      </c>
      <c r="H15201" s="1" t="str">
        <f t="shared" si="3513"/>
        <v>...</v>
      </c>
      <c r="I15201" s="1" t="str">
        <f t="shared" si="3513"/>
        <v>...</v>
      </c>
      <c r="J15201" s="1" t="str">
        <f t="shared" si="3513"/>
        <v>...</v>
      </c>
      <c r="K15201" s="1" t="str">
        <f t="shared" si="3513"/>
        <v>...</v>
      </c>
      <c r="L15201" s="1" t="str">
        <f t="shared" si="3513"/>
        <v>...</v>
      </c>
      <c r="M15201" s="1" t="str">
        <f t="shared" si="3513"/>
        <v>...</v>
      </c>
      <c r="N15201" t="s">
        <v>30</v>
      </c>
    </row>
    <row r="15202" spans="1:14" x14ac:dyDescent="0.25">
      <c r="A15202" t="s">
        <v>45</v>
      </c>
      <c r="B15202" t="s">
        <v>40</v>
      </c>
      <c r="C15202" t="s">
        <v>35</v>
      </c>
      <c r="D15202" t="s">
        <v>34</v>
      </c>
      <c r="E15202" t="s">
        <v>15</v>
      </c>
      <c r="F15202" t="s">
        <v>15</v>
      </c>
      <c r="G15202" s="1" t="str">
        <f t="shared" ref="G15202:M15202" si="3514">"X"</f>
        <v>X</v>
      </c>
      <c r="H15202" s="1" t="str">
        <f t="shared" si="3514"/>
        <v>X</v>
      </c>
      <c r="I15202" s="1" t="str">
        <f t="shared" si="3514"/>
        <v>X</v>
      </c>
      <c r="J15202" s="1" t="str">
        <f t="shared" si="3514"/>
        <v>X</v>
      </c>
      <c r="K15202" s="1" t="str">
        <f t="shared" si="3514"/>
        <v>X</v>
      </c>
      <c r="L15202" s="1" t="str">
        <f t="shared" si="3514"/>
        <v>X</v>
      </c>
      <c r="M15202" s="1" t="str">
        <f t="shared" si="3514"/>
        <v>X</v>
      </c>
      <c r="N15202" t="s">
        <v>27</v>
      </c>
    </row>
    <row r="15203" spans="1:14" x14ac:dyDescent="0.25">
      <c r="A15203" t="s">
        <v>45</v>
      </c>
      <c r="B15203" t="s">
        <v>40</v>
      </c>
      <c r="C15203" t="s">
        <v>35</v>
      </c>
      <c r="D15203" t="s">
        <v>34</v>
      </c>
      <c r="E15203" t="s">
        <v>15</v>
      </c>
      <c r="F15203" t="s">
        <v>17</v>
      </c>
      <c r="G15203" s="1" t="str">
        <f t="shared" ref="G15203:M15203" si="3515">"..."</f>
        <v>...</v>
      </c>
      <c r="H15203" s="1" t="str">
        <f t="shared" si="3515"/>
        <v>...</v>
      </c>
      <c r="I15203" s="1" t="str">
        <f t="shared" si="3515"/>
        <v>...</v>
      </c>
      <c r="J15203" s="1" t="str">
        <f t="shared" si="3515"/>
        <v>...</v>
      </c>
      <c r="K15203" s="1" t="str">
        <f t="shared" si="3515"/>
        <v>...</v>
      </c>
      <c r="L15203" s="1" t="str">
        <f t="shared" si="3515"/>
        <v>...</v>
      </c>
      <c r="M15203" s="1" t="str">
        <f t="shared" si="3515"/>
        <v>...</v>
      </c>
      <c r="N15203" t="s">
        <v>30</v>
      </c>
    </row>
    <row r="15204" spans="1:14" x14ac:dyDescent="0.25">
      <c r="A15204" t="s">
        <v>45</v>
      </c>
      <c r="B15204" t="s">
        <v>40</v>
      </c>
      <c r="C15204" t="s">
        <v>35</v>
      </c>
      <c r="D15204" t="s">
        <v>34</v>
      </c>
      <c r="E15204" t="s">
        <v>15</v>
      </c>
      <c r="F15204" t="s">
        <v>18</v>
      </c>
      <c r="G15204" s="1" t="str">
        <f t="shared" ref="G15204:M15207" si="3516">"X"</f>
        <v>X</v>
      </c>
      <c r="H15204" s="1" t="str">
        <f t="shared" si="3516"/>
        <v>X</v>
      </c>
      <c r="I15204" s="1" t="str">
        <f t="shared" si="3516"/>
        <v>X</v>
      </c>
      <c r="J15204" s="1" t="str">
        <f t="shared" si="3516"/>
        <v>X</v>
      </c>
      <c r="K15204" s="1" t="str">
        <f t="shared" si="3516"/>
        <v>X</v>
      </c>
      <c r="L15204" s="1" t="str">
        <f t="shared" si="3516"/>
        <v>X</v>
      </c>
      <c r="M15204" s="1" t="str">
        <f t="shared" si="3516"/>
        <v>X</v>
      </c>
      <c r="N15204" t="s">
        <v>27</v>
      </c>
    </row>
    <row r="15205" spans="1:14" x14ac:dyDescent="0.25">
      <c r="A15205" t="s">
        <v>45</v>
      </c>
      <c r="B15205" t="s">
        <v>40</v>
      </c>
      <c r="C15205" t="s">
        <v>35</v>
      </c>
      <c r="D15205" t="s">
        <v>34</v>
      </c>
      <c r="E15205" t="s">
        <v>15</v>
      </c>
      <c r="F15205" t="s">
        <v>19</v>
      </c>
      <c r="G15205" s="1" t="str">
        <f t="shared" si="3516"/>
        <v>X</v>
      </c>
      <c r="H15205" s="1" t="str">
        <f t="shared" si="3516"/>
        <v>X</v>
      </c>
      <c r="I15205" s="1" t="str">
        <f t="shared" si="3516"/>
        <v>X</v>
      </c>
      <c r="J15205" s="1" t="str">
        <f t="shared" si="3516"/>
        <v>X</v>
      </c>
      <c r="K15205" s="1" t="str">
        <f t="shared" si="3516"/>
        <v>X</v>
      </c>
      <c r="L15205" s="1" t="str">
        <f t="shared" si="3516"/>
        <v>X</v>
      </c>
      <c r="M15205" s="1" t="str">
        <f t="shared" si="3516"/>
        <v>X</v>
      </c>
      <c r="N15205" t="s">
        <v>27</v>
      </c>
    </row>
    <row r="15206" spans="1:14" x14ac:dyDescent="0.25">
      <c r="A15206" t="s">
        <v>45</v>
      </c>
      <c r="B15206" t="s">
        <v>40</v>
      </c>
      <c r="C15206" t="s">
        <v>35</v>
      </c>
      <c r="D15206" t="s">
        <v>34</v>
      </c>
      <c r="E15206" t="s">
        <v>15</v>
      </c>
      <c r="F15206" t="s">
        <v>20</v>
      </c>
      <c r="G15206" s="1" t="str">
        <f t="shared" si="3516"/>
        <v>X</v>
      </c>
      <c r="H15206" s="1" t="str">
        <f t="shared" si="3516"/>
        <v>X</v>
      </c>
      <c r="I15206" s="1" t="str">
        <f t="shared" si="3516"/>
        <v>X</v>
      </c>
      <c r="J15206" s="1" t="str">
        <f t="shared" si="3516"/>
        <v>X</v>
      </c>
      <c r="K15206" s="1" t="str">
        <f t="shared" si="3516"/>
        <v>X</v>
      </c>
      <c r="L15206" s="1" t="str">
        <f t="shared" si="3516"/>
        <v>X</v>
      </c>
      <c r="M15206" s="1" t="str">
        <f t="shared" si="3516"/>
        <v>X</v>
      </c>
      <c r="N15206" t="s">
        <v>27</v>
      </c>
    </row>
    <row r="15207" spans="1:14" x14ac:dyDescent="0.25">
      <c r="A15207" t="s">
        <v>45</v>
      </c>
      <c r="B15207" t="s">
        <v>40</v>
      </c>
      <c r="C15207" t="s">
        <v>35</v>
      </c>
      <c r="D15207" t="s">
        <v>34</v>
      </c>
      <c r="E15207" t="s">
        <v>21</v>
      </c>
      <c r="F15207" t="s">
        <v>15</v>
      </c>
      <c r="G15207" s="1" t="str">
        <f t="shared" si="3516"/>
        <v>X</v>
      </c>
      <c r="H15207" s="1" t="str">
        <f t="shared" si="3516"/>
        <v>X</v>
      </c>
      <c r="I15207" s="1" t="str">
        <f t="shared" si="3516"/>
        <v>X</v>
      </c>
      <c r="J15207" s="1" t="str">
        <f t="shared" si="3516"/>
        <v>X</v>
      </c>
      <c r="K15207" s="1" t="str">
        <f t="shared" si="3516"/>
        <v>X</v>
      </c>
      <c r="L15207" s="1" t="str">
        <f t="shared" si="3516"/>
        <v>X</v>
      </c>
      <c r="M15207" s="1" t="str">
        <f t="shared" si="3516"/>
        <v>X</v>
      </c>
      <c r="N15207" t="s">
        <v>27</v>
      </c>
    </row>
    <row r="15208" spans="1:14" x14ac:dyDescent="0.25">
      <c r="A15208" t="s">
        <v>45</v>
      </c>
      <c r="B15208" t="s">
        <v>40</v>
      </c>
      <c r="C15208" t="s">
        <v>35</v>
      </c>
      <c r="D15208" t="s">
        <v>34</v>
      </c>
      <c r="E15208" t="s">
        <v>21</v>
      </c>
      <c r="F15208" t="s">
        <v>17</v>
      </c>
      <c r="G15208" s="1" t="str">
        <f t="shared" ref="G15208:M15209" si="3517">"..."</f>
        <v>...</v>
      </c>
      <c r="H15208" s="1" t="str">
        <f t="shared" si="3517"/>
        <v>...</v>
      </c>
      <c r="I15208" s="1" t="str">
        <f t="shared" si="3517"/>
        <v>...</v>
      </c>
      <c r="J15208" s="1" t="str">
        <f t="shared" si="3517"/>
        <v>...</v>
      </c>
      <c r="K15208" s="1" t="str">
        <f t="shared" si="3517"/>
        <v>...</v>
      </c>
      <c r="L15208" s="1" t="str">
        <f t="shared" si="3517"/>
        <v>...</v>
      </c>
      <c r="M15208" s="1" t="str">
        <f t="shared" si="3517"/>
        <v>...</v>
      </c>
      <c r="N15208" t="s">
        <v>30</v>
      </c>
    </row>
    <row r="15209" spans="1:14" x14ac:dyDescent="0.25">
      <c r="A15209" t="s">
        <v>45</v>
      </c>
      <c r="B15209" t="s">
        <v>40</v>
      </c>
      <c r="C15209" t="s">
        <v>35</v>
      </c>
      <c r="D15209" t="s">
        <v>34</v>
      </c>
      <c r="E15209" t="s">
        <v>21</v>
      </c>
      <c r="F15209" t="s">
        <v>18</v>
      </c>
      <c r="G15209" s="1" t="str">
        <f t="shared" si="3517"/>
        <v>...</v>
      </c>
      <c r="H15209" s="1" t="str">
        <f t="shared" si="3517"/>
        <v>...</v>
      </c>
      <c r="I15209" s="1" t="str">
        <f t="shared" si="3517"/>
        <v>...</v>
      </c>
      <c r="J15209" s="1" t="str">
        <f t="shared" si="3517"/>
        <v>...</v>
      </c>
      <c r="K15209" s="1" t="str">
        <f t="shared" si="3517"/>
        <v>...</v>
      </c>
      <c r="L15209" s="1" t="str">
        <f t="shared" si="3517"/>
        <v>...</v>
      </c>
      <c r="M15209" s="1" t="str">
        <f t="shared" si="3517"/>
        <v>...</v>
      </c>
      <c r="N15209" t="s">
        <v>30</v>
      </c>
    </row>
    <row r="15210" spans="1:14" x14ac:dyDescent="0.25">
      <c r="A15210" t="s">
        <v>45</v>
      </c>
      <c r="B15210" t="s">
        <v>40</v>
      </c>
      <c r="C15210" t="s">
        <v>35</v>
      </c>
      <c r="D15210" t="s">
        <v>34</v>
      </c>
      <c r="E15210" t="s">
        <v>21</v>
      </c>
      <c r="F15210" t="s">
        <v>19</v>
      </c>
      <c r="G15210" s="1" t="str">
        <f t="shared" ref="G15210:M15212" si="3518">"X"</f>
        <v>X</v>
      </c>
      <c r="H15210" s="1" t="str">
        <f t="shared" si="3518"/>
        <v>X</v>
      </c>
      <c r="I15210" s="1" t="str">
        <f t="shared" si="3518"/>
        <v>X</v>
      </c>
      <c r="J15210" s="1" t="str">
        <f t="shared" si="3518"/>
        <v>X</v>
      </c>
      <c r="K15210" s="1" t="str">
        <f t="shared" si="3518"/>
        <v>X</v>
      </c>
      <c r="L15210" s="1" t="str">
        <f t="shared" si="3518"/>
        <v>X</v>
      </c>
      <c r="M15210" s="1" t="str">
        <f t="shared" si="3518"/>
        <v>X</v>
      </c>
      <c r="N15210" t="s">
        <v>27</v>
      </c>
    </row>
    <row r="15211" spans="1:14" x14ac:dyDescent="0.25">
      <c r="A15211" t="s">
        <v>45</v>
      </c>
      <c r="B15211" t="s">
        <v>40</v>
      </c>
      <c r="C15211" t="s">
        <v>35</v>
      </c>
      <c r="D15211" t="s">
        <v>34</v>
      </c>
      <c r="E15211" t="s">
        <v>21</v>
      </c>
      <c r="F15211" t="s">
        <v>20</v>
      </c>
      <c r="G15211" s="1" t="str">
        <f t="shared" si="3518"/>
        <v>X</v>
      </c>
      <c r="H15211" s="1" t="str">
        <f t="shared" si="3518"/>
        <v>X</v>
      </c>
      <c r="I15211" s="1" t="str">
        <f t="shared" si="3518"/>
        <v>X</v>
      </c>
      <c r="J15211" s="1" t="str">
        <f t="shared" si="3518"/>
        <v>X</v>
      </c>
      <c r="K15211" s="1" t="str">
        <f t="shared" si="3518"/>
        <v>X</v>
      </c>
      <c r="L15211" s="1" t="str">
        <f t="shared" si="3518"/>
        <v>X</v>
      </c>
      <c r="M15211" s="1" t="str">
        <f t="shared" si="3518"/>
        <v>X</v>
      </c>
      <c r="N15211" t="s">
        <v>27</v>
      </c>
    </row>
    <row r="15212" spans="1:14" x14ac:dyDescent="0.25">
      <c r="A15212" t="s">
        <v>45</v>
      </c>
      <c r="B15212" t="s">
        <v>40</v>
      </c>
      <c r="C15212" t="s">
        <v>35</v>
      </c>
      <c r="D15212" t="s">
        <v>34</v>
      </c>
      <c r="E15212" t="s">
        <v>22</v>
      </c>
      <c r="F15212" t="s">
        <v>15</v>
      </c>
      <c r="G15212" s="1" t="str">
        <f t="shared" si="3518"/>
        <v>X</v>
      </c>
      <c r="H15212" s="1" t="str">
        <f t="shared" si="3518"/>
        <v>X</v>
      </c>
      <c r="I15212" s="1" t="str">
        <f t="shared" si="3518"/>
        <v>X</v>
      </c>
      <c r="J15212" s="1" t="str">
        <f t="shared" si="3518"/>
        <v>X</v>
      </c>
      <c r="K15212" s="1" t="str">
        <f t="shared" si="3518"/>
        <v>X</v>
      </c>
      <c r="L15212" s="1" t="str">
        <f t="shared" si="3518"/>
        <v>X</v>
      </c>
      <c r="M15212" s="1" t="str">
        <f t="shared" si="3518"/>
        <v>X</v>
      </c>
      <c r="N15212" t="s">
        <v>27</v>
      </c>
    </row>
    <row r="15213" spans="1:14" x14ac:dyDescent="0.25">
      <c r="A15213" t="s">
        <v>45</v>
      </c>
      <c r="B15213" t="s">
        <v>40</v>
      </c>
      <c r="C15213" t="s">
        <v>35</v>
      </c>
      <c r="D15213" t="s">
        <v>34</v>
      </c>
      <c r="E15213" t="s">
        <v>22</v>
      </c>
      <c r="F15213" t="s">
        <v>17</v>
      </c>
      <c r="G15213" s="1" t="str">
        <f t="shared" ref="G15213:M15215" si="3519">"..."</f>
        <v>...</v>
      </c>
      <c r="H15213" s="1" t="str">
        <f t="shared" si="3519"/>
        <v>...</v>
      </c>
      <c r="I15213" s="1" t="str">
        <f t="shared" si="3519"/>
        <v>...</v>
      </c>
      <c r="J15213" s="1" t="str">
        <f t="shared" si="3519"/>
        <v>...</v>
      </c>
      <c r="K15213" s="1" t="str">
        <f t="shared" si="3519"/>
        <v>...</v>
      </c>
      <c r="L15213" s="1" t="str">
        <f t="shared" si="3519"/>
        <v>...</v>
      </c>
      <c r="M15213" s="1" t="str">
        <f t="shared" si="3519"/>
        <v>...</v>
      </c>
      <c r="N15213" t="s">
        <v>30</v>
      </c>
    </row>
    <row r="15214" spans="1:14" x14ac:dyDescent="0.25">
      <c r="A15214" t="s">
        <v>45</v>
      </c>
      <c r="B15214" t="s">
        <v>40</v>
      </c>
      <c r="C15214" t="s">
        <v>35</v>
      </c>
      <c r="D15214" t="s">
        <v>34</v>
      </c>
      <c r="E15214" t="s">
        <v>22</v>
      </c>
      <c r="F15214" t="s">
        <v>18</v>
      </c>
      <c r="G15214" s="1" t="str">
        <f t="shared" si="3519"/>
        <v>...</v>
      </c>
      <c r="H15214" s="1" t="str">
        <f t="shared" si="3519"/>
        <v>...</v>
      </c>
      <c r="I15214" s="1" t="str">
        <f t="shared" si="3519"/>
        <v>...</v>
      </c>
      <c r="J15214" s="1" t="str">
        <f t="shared" si="3519"/>
        <v>...</v>
      </c>
      <c r="K15214" s="1" t="str">
        <f t="shared" si="3519"/>
        <v>...</v>
      </c>
      <c r="L15214" s="1" t="str">
        <f t="shared" si="3519"/>
        <v>...</v>
      </c>
      <c r="M15214" s="1" t="str">
        <f t="shared" si="3519"/>
        <v>...</v>
      </c>
      <c r="N15214" t="s">
        <v>30</v>
      </c>
    </row>
    <row r="15215" spans="1:14" x14ac:dyDescent="0.25">
      <c r="A15215" t="s">
        <v>45</v>
      </c>
      <c r="B15215" t="s">
        <v>40</v>
      </c>
      <c r="C15215" t="s">
        <v>35</v>
      </c>
      <c r="D15215" t="s">
        <v>34</v>
      </c>
      <c r="E15215" t="s">
        <v>22</v>
      </c>
      <c r="F15215" t="s">
        <v>19</v>
      </c>
      <c r="G15215" s="1" t="str">
        <f t="shared" si="3519"/>
        <v>...</v>
      </c>
      <c r="H15215" s="1" t="str">
        <f t="shared" si="3519"/>
        <v>...</v>
      </c>
      <c r="I15215" s="1" t="str">
        <f t="shared" si="3519"/>
        <v>...</v>
      </c>
      <c r="J15215" s="1" t="str">
        <f t="shared" si="3519"/>
        <v>...</v>
      </c>
      <c r="K15215" s="1" t="str">
        <f t="shared" si="3519"/>
        <v>...</v>
      </c>
      <c r="L15215" s="1" t="str">
        <f t="shared" si="3519"/>
        <v>...</v>
      </c>
      <c r="M15215" s="1" t="str">
        <f t="shared" si="3519"/>
        <v>...</v>
      </c>
      <c r="N15215" t="s">
        <v>30</v>
      </c>
    </row>
    <row r="15216" spans="1:14" x14ac:dyDescent="0.25">
      <c r="A15216" t="s">
        <v>45</v>
      </c>
      <c r="B15216" t="s">
        <v>40</v>
      </c>
      <c r="C15216" t="s">
        <v>35</v>
      </c>
      <c r="D15216" t="s">
        <v>34</v>
      </c>
      <c r="E15216" t="s">
        <v>22</v>
      </c>
      <c r="F15216" t="s">
        <v>20</v>
      </c>
      <c r="G15216" s="1" t="str">
        <f t="shared" ref="G15216:M15217" si="3520">"X"</f>
        <v>X</v>
      </c>
      <c r="H15216" s="1" t="str">
        <f t="shared" si="3520"/>
        <v>X</v>
      </c>
      <c r="I15216" s="1" t="str">
        <f t="shared" si="3520"/>
        <v>X</v>
      </c>
      <c r="J15216" s="1" t="str">
        <f t="shared" si="3520"/>
        <v>X</v>
      </c>
      <c r="K15216" s="1" t="str">
        <f t="shared" si="3520"/>
        <v>X</v>
      </c>
      <c r="L15216" s="1" t="str">
        <f t="shared" si="3520"/>
        <v>X</v>
      </c>
      <c r="M15216" s="1" t="str">
        <f t="shared" si="3520"/>
        <v>X</v>
      </c>
      <c r="N15216" t="s">
        <v>27</v>
      </c>
    </row>
    <row r="15217" spans="1:14" x14ac:dyDescent="0.25">
      <c r="A15217" t="s">
        <v>45</v>
      </c>
      <c r="B15217" t="s">
        <v>40</v>
      </c>
      <c r="C15217" t="s">
        <v>35</v>
      </c>
      <c r="D15217" t="s">
        <v>34</v>
      </c>
      <c r="E15217" t="s">
        <v>23</v>
      </c>
      <c r="F15217" t="s">
        <v>15</v>
      </c>
      <c r="G15217" s="1" t="str">
        <f t="shared" si="3520"/>
        <v>X</v>
      </c>
      <c r="H15217" s="1" t="str">
        <f t="shared" si="3520"/>
        <v>X</v>
      </c>
      <c r="I15217" s="1" t="str">
        <f t="shared" si="3520"/>
        <v>X</v>
      </c>
      <c r="J15217" s="1" t="str">
        <f t="shared" si="3520"/>
        <v>X</v>
      </c>
      <c r="K15217" s="1" t="str">
        <f t="shared" si="3520"/>
        <v>X</v>
      </c>
      <c r="L15217" s="1" t="str">
        <f t="shared" si="3520"/>
        <v>X</v>
      </c>
      <c r="M15217" s="1" t="str">
        <f t="shared" si="3520"/>
        <v>X</v>
      </c>
      <c r="N15217" t="s">
        <v>27</v>
      </c>
    </row>
    <row r="15218" spans="1:14" x14ac:dyDescent="0.25">
      <c r="A15218" t="s">
        <v>45</v>
      </c>
      <c r="B15218" t="s">
        <v>40</v>
      </c>
      <c r="C15218" t="s">
        <v>35</v>
      </c>
      <c r="D15218" t="s">
        <v>34</v>
      </c>
      <c r="E15218" t="s">
        <v>23</v>
      </c>
      <c r="F15218" t="s">
        <v>17</v>
      </c>
      <c r="G15218" s="1" t="str">
        <f t="shared" ref="G15218:M15218" si="3521">"..."</f>
        <v>...</v>
      </c>
      <c r="H15218" s="1" t="str">
        <f t="shared" si="3521"/>
        <v>...</v>
      </c>
      <c r="I15218" s="1" t="str">
        <f t="shared" si="3521"/>
        <v>...</v>
      </c>
      <c r="J15218" s="1" t="str">
        <f t="shared" si="3521"/>
        <v>...</v>
      </c>
      <c r="K15218" s="1" t="str">
        <f t="shared" si="3521"/>
        <v>...</v>
      </c>
      <c r="L15218" s="1" t="str">
        <f t="shared" si="3521"/>
        <v>...</v>
      </c>
      <c r="M15218" s="1" t="str">
        <f t="shared" si="3521"/>
        <v>...</v>
      </c>
      <c r="N15218" t="s">
        <v>30</v>
      </c>
    </row>
    <row r="15219" spans="1:14" x14ac:dyDescent="0.25">
      <c r="A15219" t="s">
        <v>45</v>
      </c>
      <c r="B15219" t="s">
        <v>40</v>
      </c>
      <c r="C15219" t="s">
        <v>35</v>
      </c>
      <c r="D15219" t="s">
        <v>34</v>
      </c>
      <c r="E15219" t="s">
        <v>23</v>
      </c>
      <c r="F15219" t="s">
        <v>18</v>
      </c>
      <c r="G15219" s="1" t="str">
        <f t="shared" ref="G15219:M15219" si="3522">"X"</f>
        <v>X</v>
      </c>
      <c r="H15219" s="1" t="str">
        <f t="shared" si="3522"/>
        <v>X</v>
      </c>
      <c r="I15219" s="1" t="str">
        <f t="shared" si="3522"/>
        <v>X</v>
      </c>
      <c r="J15219" s="1" t="str">
        <f t="shared" si="3522"/>
        <v>X</v>
      </c>
      <c r="K15219" s="1" t="str">
        <f t="shared" si="3522"/>
        <v>X</v>
      </c>
      <c r="L15219" s="1" t="str">
        <f t="shared" si="3522"/>
        <v>X</v>
      </c>
      <c r="M15219" s="1" t="str">
        <f t="shared" si="3522"/>
        <v>X</v>
      </c>
      <c r="N15219" t="s">
        <v>27</v>
      </c>
    </row>
    <row r="15220" spans="1:14" x14ac:dyDescent="0.25">
      <c r="A15220" t="s">
        <v>45</v>
      </c>
      <c r="B15220" t="s">
        <v>40</v>
      </c>
      <c r="C15220" t="s">
        <v>35</v>
      </c>
      <c r="D15220" t="s">
        <v>34</v>
      </c>
      <c r="E15220" t="s">
        <v>23</v>
      </c>
      <c r="F15220" t="s">
        <v>19</v>
      </c>
      <c r="G15220" s="1" t="str">
        <f t="shared" ref="G15220:M15220" si="3523">"..."</f>
        <v>...</v>
      </c>
      <c r="H15220" s="1" t="str">
        <f t="shared" si="3523"/>
        <v>...</v>
      </c>
      <c r="I15220" s="1" t="str">
        <f t="shared" si="3523"/>
        <v>...</v>
      </c>
      <c r="J15220" s="1" t="str">
        <f t="shared" si="3523"/>
        <v>...</v>
      </c>
      <c r="K15220" s="1" t="str">
        <f t="shared" si="3523"/>
        <v>...</v>
      </c>
      <c r="L15220" s="1" t="str">
        <f t="shared" si="3523"/>
        <v>...</v>
      </c>
      <c r="M15220" s="1" t="str">
        <f t="shared" si="3523"/>
        <v>...</v>
      </c>
      <c r="N15220" t="s">
        <v>30</v>
      </c>
    </row>
    <row r="15221" spans="1:14" x14ac:dyDescent="0.25">
      <c r="A15221" t="s">
        <v>45</v>
      </c>
      <c r="B15221" t="s">
        <v>40</v>
      </c>
      <c r="C15221" t="s">
        <v>35</v>
      </c>
      <c r="D15221" t="s">
        <v>34</v>
      </c>
      <c r="E15221" t="s">
        <v>23</v>
      </c>
      <c r="F15221" t="s">
        <v>20</v>
      </c>
      <c r="G15221" s="1" t="str">
        <f t="shared" ref="G15221:M15221" si="3524">"X"</f>
        <v>X</v>
      </c>
      <c r="H15221" s="1" t="str">
        <f t="shared" si="3524"/>
        <v>X</v>
      </c>
      <c r="I15221" s="1" t="str">
        <f t="shared" si="3524"/>
        <v>X</v>
      </c>
      <c r="J15221" s="1" t="str">
        <f t="shared" si="3524"/>
        <v>X</v>
      </c>
      <c r="K15221" s="1" t="str">
        <f t="shared" si="3524"/>
        <v>X</v>
      </c>
      <c r="L15221" s="1" t="str">
        <f t="shared" si="3524"/>
        <v>X</v>
      </c>
      <c r="M15221" s="1" t="str">
        <f t="shared" si="3524"/>
        <v>X</v>
      </c>
      <c r="N15221" t="s">
        <v>27</v>
      </c>
    </row>
    <row r="15222" spans="1:14" x14ac:dyDescent="0.25">
      <c r="A15222" t="s">
        <v>45</v>
      </c>
      <c r="B15222" t="s">
        <v>40</v>
      </c>
      <c r="C15222" t="s">
        <v>35</v>
      </c>
      <c r="D15222" t="s">
        <v>34</v>
      </c>
      <c r="E15222" t="s">
        <v>26</v>
      </c>
      <c r="F15222" t="s">
        <v>15</v>
      </c>
      <c r="G15222" s="1" t="str">
        <f t="shared" ref="G15222:M15226" si="3525">"..."</f>
        <v>...</v>
      </c>
      <c r="H15222" s="1" t="str">
        <f t="shared" si="3525"/>
        <v>...</v>
      </c>
      <c r="I15222" s="1" t="str">
        <f t="shared" si="3525"/>
        <v>...</v>
      </c>
      <c r="J15222" s="1" t="str">
        <f t="shared" si="3525"/>
        <v>...</v>
      </c>
      <c r="K15222" s="1" t="str">
        <f t="shared" si="3525"/>
        <v>...</v>
      </c>
      <c r="L15222" s="1" t="str">
        <f t="shared" si="3525"/>
        <v>...</v>
      </c>
      <c r="M15222" s="1" t="str">
        <f t="shared" si="3525"/>
        <v>...</v>
      </c>
      <c r="N15222" t="s">
        <v>30</v>
      </c>
    </row>
    <row r="15223" spans="1:14" x14ac:dyDescent="0.25">
      <c r="A15223" t="s">
        <v>45</v>
      </c>
      <c r="B15223" t="s">
        <v>40</v>
      </c>
      <c r="C15223" t="s">
        <v>35</v>
      </c>
      <c r="D15223" t="s">
        <v>34</v>
      </c>
      <c r="E15223" t="s">
        <v>26</v>
      </c>
      <c r="F15223" t="s">
        <v>17</v>
      </c>
      <c r="G15223" s="1" t="str">
        <f t="shared" si="3525"/>
        <v>...</v>
      </c>
      <c r="H15223" s="1" t="str">
        <f t="shared" si="3525"/>
        <v>...</v>
      </c>
      <c r="I15223" s="1" t="str">
        <f t="shared" si="3525"/>
        <v>...</v>
      </c>
      <c r="J15223" s="1" t="str">
        <f t="shared" si="3525"/>
        <v>...</v>
      </c>
      <c r="K15223" s="1" t="str">
        <f t="shared" si="3525"/>
        <v>...</v>
      </c>
      <c r="L15223" s="1" t="str">
        <f t="shared" si="3525"/>
        <v>...</v>
      </c>
      <c r="M15223" s="1" t="str">
        <f t="shared" si="3525"/>
        <v>...</v>
      </c>
      <c r="N15223" t="s">
        <v>30</v>
      </c>
    </row>
    <row r="15224" spans="1:14" x14ac:dyDescent="0.25">
      <c r="A15224" t="s">
        <v>45</v>
      </c>
      <c r="B15224" t="s">
        <v>40</v>
      </c>
      <c r="C15224" t="s">
        <v>35</v>
      </c>
      <c r="D15224" t="s">
        <v>34</v>
      </c>
      <c r="E15224" t="s">
        <v>26</v>
      </c>
      <c r="F15224" t="s">
        <v>18</v>
      </c>
      <c r="G15224" s="1" t="str">
        <f t="shared" si="3525"/>
        <v>...</v>
      </c>
      <c r="H15224" s="1" t="str">
        <f t="shared" si="3525"/>
        <v>...</v>
      </c>
      <c r="I15224" s="1" t="str">
        <f t="shared" si="3525"/>
        <v>...</v>
      </c>
      <c r="J15224" s="1" t="str">
        <f t="shared" si="3525"/>
        <v>...</v>
      </c>
      <c r="K15224" s="1" t="str">
        <f t="shared" si="3525"/>
        <v>...</v>
      </c>
      <c r="L15224" s="1" t="str">
        <f t="shared" si="3525"/>
        <v>...</v>
      </c>
      <c r="M15224" s="1" t="str">
        <f t="shared" si="3525"/>
        <v>...</v>
      </c>
      <c r="N15224" t="s">
        <v>30</v>
      </c>
    </row>
    <row r="15225" spans="1:14" x14ac:dyDescent="0.25">
      <c r="A15225" t="s">
        <v>45</v>
      </c>
      <c r="B15225" t="s">
        <v>40</v>
      </c>
      <c r="C15225" t="s">
        <v>35</v>
      </c>
      <c r="D15225" t="s">
        <v>34</v>
      </c>
      <c r="E15225" t="s">
        <v>26</v>
      </c>
      <c r="F15225" t="s">
        <v>19</v>
      </c>
      <c r="G15225" s="1" t="str">
        <f t="shared" si="3525"/>
        <v>...</v>
      </c>
      <c r="H15225" s="1" t="str">
        <f t="shared" si="3525"/>
        <v>...</v>
      </c>
      <c r="I15225" s="1" t="str">
        <f t="shared" si="3525"/>
        <v>...</v>
      </c>
      <c r="J15225" s="1" t="str">
        <f t="shared" si="3525"/>
        <v>...</v>
      </c>
      <c r="K15225" s="1" t="str">
        <f t="shared" si="3525"/>
        <v>...</v>
      </c>
      <c r="L15225" s="1" t="str">
        <f t="shared" si="3525"/>
        <v>...</v>
      </c>
      <c r="M15225" s="1" t="str">
        <f t="shared" si="3525"/>
        <v>...</v>
      </c>
      <c r="N15225" t="s">
        <v>30</v>
      </c>
    </row>
    <row r="15226" spans="1:14" x14ac:dyDescent="0.25">
      <c r="A15226" t="s">
        <v>45</v>
      </c>
      <c r="B15226" t="s">
        <v>40</v>
      </c>
      <c r="C15226" t="s">
        <v>35</v>
      </c>
      <c r="D15226" t="s">
        <v>34</v>
      </c>
      <c r="E15226" t="s">
        <v>26</v>
      </c>
      <c r="F15226" t="s">
        <v>20</v>
      </c>
      <c r="G15226" s="1" t="str">
        <f t="shared" si="3525"/>
        <v>...</v>
      </c>
      <c r="H15226" s="1" t="str">
        <f t="shared" si="3525"/>
        <v>...</v>
      </c>
      <c r="I15226" s="1" t="str">
        <f t="shared" si="3525"/>
        <v>...</v>
      </c>
      <c r="J15226" s="1" t="str">
        <f t="shared" si="3525"/>
        <v>...</v>
      </c>
      <c r="K15226" s="1" t="str">
        <f t="shared" si="3525"/>
        <v>...</v>
      </c>
      <c r="L15226" s="1" t="str">
        <f t="shared" si="3525"/>
        <v>...</v>
      </c>
      <c r="M15226" s="1" t="str">
        <f t="shared" si="3525"/>
        <v>...</v>
      </c>
      <c r="N15226" t="s">
        <v>30</v>
      </c>
    </row>
    <row r="15227" spans="1:14" x14ac:dyDescent="0.25">
      <c r="A15227" t="s">
        <v>45</v>
      </c>
      <c r="B15227" t="s">
        <v>40</v>
      </c>
      <c r="C15227" t="s">
        <v>36</v>
      </c>
      <c r="D15227" t="s">
        <v>15</v>
      </c>
      <c r="E15227" t="s">
        <v>15</v>
      </c>
      <c r="F15227" t="s">
        <v>15</v>
      </c>
      <c r="G15227" s="1">
        <f>VALUE(13021.12)</f>
        <v>13021.12</v>
      </c>
      <c r="H15227" s="1">
        <f>VALUE(11184.53)</f>
        <v>11184.53</v>
      </c>
      <c r="I15227" s="1">
        <f>VALUE(3176)</f>
        <v>3176</v>
      </c>
      <c r="J15227" s="1">
        <f>VALUE(3577)</f>
        <v>3577</v>
      </c>
      <c r="K15227" s="1">
        <f>VALUE(4286)</f>
        <v>4286</v>
      </c>
      <c r="L15227" s="1">
        <f>VALUE(5260)</f>
        <v>5260</v>
      </c>
      <c r="M15227" s="1">
        <f>VALUE(6293)</f>
        <v>6293</v>
      </c>
      <c r="N15227" t="s">
        <v>16</v>
      </c>
    </row>
    <row r="15228" spans="1:14" x14ac:dyDescent="0.25">
      <c r="A15228" t="s">
        <v>45</v>
      </c>
      <c r="B15228" t="s">
        <v>40</v>
      </c>
      <c r="C15228" t="s">
        <v>36</v>
      </c>
      <c r="D15228" t="s">
        <v>15</v>
      </c>
      <c r="E15228" t="s">
        <v>15</v>
      </c>
      <c r="F15228" t="s">
        <v>17</v>
      </c>
      <c r="G15228" s="2">
        <f>VALUE(809.8)</f>
        <v>809.8</v>
      </c>
      <c r="H15228" s="3">
        <f>VALUE(681.85)</f>
        <v>681.85</v>
      </c>
      <c r="I15228" s="4">
        <f>VALUE(3598)</f>
        <v>3598</v>
      </c>
      <c r="J15228" s="1">
        <f>VALUE(4683)</f>
        <v>4683</v>
      </c>
      <c r="K15228" s="6">
        <f>VALUE(5459)</f>
        <v>5459</v>
      </c>
      <c r="L15228" s="7">
        <f>VALUE(6921)</f>
        <v>6921</v>
      </c>
      <c r="M15228" s="8">
        <f>VALUE(7894)</f>
        <v>7894</v>
      </c>
      <c r="N15228" t="s">
        <v>25</v>
      </c>
    </row>
    <row r="15229" spans="1:14" x14ac:dyDescent="0.25">
      <c r="A15229" t="s">
        <v>45</v>
      </c>
      <c r="B15229" t="s">
        <v>40</v>
      </c>
      <c r="C15229" t="s">
        <v>36</v>
      </c>
      <c r="D15229" t="s">
        <v>15</v>
      </c>
      <c r="E15229" t="s">
        <v>15</v>
      </c>
      <c r="F15229" t="s">
        <v>18</v>
      </c>
      <c r="G15229" s="2">
        <f>VALUE(795.21)</f>
        <v>795.21</v>
      </c>
      <c r="H15229" s="3">
        <f>VALUE(706.45)</f>
        <v>706.45</v>
      </c>
      <c r="I15229" s="4">
        <f>VALUE(3875)</f>
        <v>3875</v>
      </c>
      <c r="J15229" s="1">
        <f>VALUE(4332)</f>
        <v>4332</v>
      </c>
      <c r="K15229" s="1">
        <f>VALUE(5098)</f>
        <v>5098</v>
      </c>
      <c r="L15229" s="1">
        <f>VALUE(5831)</f>
        <v>5831</v>
      </c>
      <c r="M15229" s="8">
        <f>VALUE(7252)</f>
        <v>7252</v>
      </c>
      <c r="N15229" t="s">
        <v>25</v>
      </c>
    </row>
    <row r="15230" spans="1:14" x14ac:dyDescent="0.25">
      <c r="A15230" t="s">
        <v>45</v>
      </c>
      <c r="B15230" t="s">
        <v>40</v>
      </c>
      <c r="C15230" t="s">
        <v>36</v>
      </c>
      <c r="D15230" t="s">
        <v>15</v>
      </c>
      <c r="E15230" t="s">
        <v>15</v>
      </c>
      <c r="F15230" t="s">
        <v>19</v>
      </c>
      <c r="G15230" s="2">
        <f>VALUE(1211.12)</f>
        <v>1211.1199999999999</v>
      </c>
      <c r="H15230" s="3">
        <f>VALUE(1080.43)</f>
        <v>1080.43</v>
      </c>
      <c r="I15230" s="1">
        <f>VALUE(3379)</f>
        <v>3379</v>
      </c>
      <c r="J15230" s="1">
        <f>VALUE(3908)</f>
        <v>3908</v>
      </c>
      <c r="K15230" s="1">
        <f>VALUE(4827)</f>
        <v>4827</v>
      </c>
      <c r="L15230" s="1">
        <f>VALUE(5958)</f>
        <v>5958</v>
      </c>
      <c r="M15230" s="1">
        <f>VALUE(6946)</f>
        <v>6946</v>
      </c>
      <c r="N15230" t="s">
        <v>25</v>
      </c>
    </row>
    <row r="15231" spans="1:14" x14ac:dyDescent="0.25">
      <c r="A15231" t="s">
        <v>45</v>
      </c>
      <c r="B15231" t="s">
        <v>40</v>
      </c>
      <c r="C15231" t="s">
        <v>36</v>
      </c>
      <c r="D15231" t="s">
        <v>15</v>
      </c>
      <c r="E15231" t="s">
        <v>15</v>
      </c>
      <c r="F15231" t="s">
        <v>20</v>
      </c>
      <c r="G15231" s="1">
        <f>VALUE(10204.99)</f>
        <v>10204.99</v>
      </c>
      <c r="H15231" s="1">
        <f>VALUE(8715.8)</f>
        <v>8715.7999999999993</v>
      </c>
      <c r="I15231" s="1">
        <f>VALUE(3143)</f>
        <v>3143</v>
      </c>
      <c r="J15231" s="1">
        <f>VALUE(3510)</f>
        <v>3510</v>
      </c>
      <c r="K15231" s="1">
        <f>VALUE(4122)</f>
        <v>4122</v>
      </c>
      <c r="L15231" s="1">
        <f>VALUE(5033)</f>
        <v>5033</v>
      </c>
      <c r="M15231" s="1">
        <f>VALUE(5813)</f>
        <v>5813</v>
      </c>
      <c r="N15231" t="s">
        <v>16</v>
      </c>
    </row>
    <row r="15232" spans="1:14" x14ac:dyDescent="0.25">
      <c r="A15232" t="s">
        <v>45</v>
      </c>
      <c r="B15232" t="s">
        <v>40</v>
      </c>
      <c r="C15232" t="s">
        <v>36</v>
      </c>
      <c r="D15232" t="s">
        <v>15</v>
      </c>
      <c r="E15232" t="s">
        <v>21</v>
      </c>
      <c r="F15232" t="s">
        <v>15</v>
      </c>
      <c r="G15232" s="1">
        <f>VALUE(4856.79)</f>
        <v>4856.79</v>
      </c>
      <c r="H15232" s="1">
        <f>VALUE(4259.69)</f>
        <v>4259.6899999999996</v>
      </c>
      <c r="I15232" s="1">
        <f>VALUE(3400)</f>
        <v>3400</v>
      </c>
      <c r="J15232" s="1">
        <f>VALUE(4060)</f>
        <v>4060</v>
      </c>
      <c r="K15232" s="1">
        <f>VALUE(5037)</f>
        <v>5037</v>
      </c>
      <c r="L15232" s="1">
        <f>VALUE(5831)</f>
        <v>5831</v>
      </c>
      <c r="M15232" s="1">
        <f>VALUE(6934)</f>
        <v>6934</v>
      </c>
      <c r="N15232" t="s">
        <v>16</v>
      </c>
    </row>
    <row r="15233" spans="1:14" x14ac:dyDescent="0.25">
      <c r="A15233" t="s">
        <v>45</v>
      </c>
      <c r="B15233" t="s">
        <v>40</v>
      </c>
      <c r="C15233" t="s">
        <v>36</v>
      </c>
      <c r="D15233" t="s">
        <v>15</v>
      </c>
      <c r="E15233" t="s">
        <v>21</v>
      </c>
      <c r="F15233" t="s">
        <v>17</v>
      </c>
      <c r="G15233" s="2">
        <f>VALUE(571.11)</f>
        <v>571.11</v>
      </c>
      <c r="H15233" s="3">
        <f>VALUE(480.76)</f>
        <v>480.76</v>
      </c>
      <c r="I15233" s="4">
        <f>VALUE(4000)</f>
        <v>4000</v>
      </c>
      <c r="J15233" s="1">
        <f>VALUE(4701)</f>
        <v>4701</v>
      </c>
      <c r="K15233" s="6">
        <f>VALUE(5608)</f>
        <v>5608</v>
      </c>
      <c r="L15233" s="7">
        <f>VALUE(6934)</f>
        <v>6934</v>
      </c>
      <c r="M15233" s="8">
        <f>VALUE(8353)</f>
        <v>8353</v>
      </c>
      <c r="N15233" t="s">
        <v>25</v>
      </c>
    </row>
    <row r="15234" spans="1:14" x14ac:dyDescent="0.25">
      <c r="A15234" t="s">
        <v>45</v>
      </c>
      <c r="B15234" t="s">
        <v>40</v>
      </c>
      <c r="C15234" t="s">
        <v>36</v>
      </c>
      <c r="D15234" t="s">
        <v>15</v>
      </c>
      <c r="E15234" t="s">
        <v>21</v>
      </c>
      <c r="F15234" t="s">
        <v>18</v>
      </c>
      <c r="G15234" s="2">
        <f>VALUE(444.84)</f>
        <v>444.84</v>
      </c>
      <c r="H15234" s="3">
        <f>VALUE(379.06)</f>
        <v>379.06</v>
      </c>
      <c r="I15234" s="4">
        <f>VALUE(3972)</f>
        <v>3972</v>
      </c>
      <c r="J15234" s="1">
        <f>VALUE(4628)</f>
        <v>4628</v>
      </c>
      <c r="K15234" s="1">
        <f>VALUE(5417)</f>
        <v>5417</v>
      </c>
      <c r="L15234" s="7">
        <f>VALUE(6539)</f>
        <v>6539</v>
      </c>
      <c r="M15234" s="8">
        <f>VALUE(8285)</f>
        <v>8285</v>
      </c>
      <c r="N15234" t="s">
        <v>25</v>
      </c>
    </row>
    <row r="15235" spans="1:14" x14ac:dyDescent="0.25">
      <c r="A15235" t="s">
        <v>45</v>
      </c>
      <c r="B15235" t="s">
        <v>40</v>
      </c>
      <c r="C15235" t="s">
        <v>36</v>
      </c>
      <c r="D15235" t="s">
        <v>15</v>
      </c>
      <c r="E15235" t="s">
        <v>21</v>
      </c>
      <c r="F15235" t="s">
        <v>19</v>
      </c>
      <c r="G15235" s="2">
        <f>VALUE(657.8)</f>
        <v>657.8</v>
      </c>
      <c r="H15235" s="3">
        <f>VALUE(589.26)</f>
        <v>589.26</v>
      </c>
      <c r="I15235" s="1">
        <f>VALUE(3250)</f>
        <v>3250</v>
      </c>
      <c r="J15235" s="1">
        <f>VALUE(4002)</f>
        <v>4002</v>
      </c>
      <c r="K15235" s="1">
        <f>VALUE(5038)</f>
        <v>5038</v>
      </c>
      <c r="L15235" s="1">
        <f>VALUE(6295)</f>
        <v>6295</v>
      </c>
      <c r="M15235" s="1">
        <f>VALUE(7168)</f>
        <v>7168</v>
      </c>
      <c r="N15235" t="s">
        <v>25</v>
      </c>
    </row>
    <row r="15236" spans="1:14" x14ac:dyDescent="0.25">
      <c r="A15236" t="s">
        <v>45</v>
      </c>
      <c r="B15236" t="s">
        <v>40</v>
      </c>
      <c r="C15236" t="s">
        <v>36</v>
      </c>
      <c r="D15236" t="s">
        <v>15</v>
      </c>
      <c r="E15236" t="s">
        <v>21</v>
      </c>
      <c r="F15236" t="s">
        <v>20</v>
      </c>
      <c r="G15236" s="2">
        <f>VALUE(3183.04)</f>
        <v>3183.04</v>
      </c>
      <c r="H15236" s="3">
        <f>VALUE(2810.61)</f>
        <v>2810.61</v>
      </c>
      <c r="I15236" s="1">
        <f>VALUE(3308)</f>
        <v>3308</v>
      </c>
      <c r="J15236" s="1">
        <f>VALUE(3898)</f>
        <v>3898</v>
      </c>
      <c r="K15236" s="1">
        <f>VALUE(4836)</f>
        <v>4836</v>
      </c>
      <c r="L15236" s="1">
        <f>VALUE(5483)</f>
        <v>5483</v>
      </c>
      <c r="M15236" s="1">
        <f>VALUE(6375)</f>
        <v>6375</v>
      </c>
      <c r="N15236" t="s">
        <v>25</v>
      </c>
    </row>
    <row r="15237" spans="1:14" x14ac:dyDescent="0.25">
      <c r="A15237" t="s">
        <v>45</v>
      </c>
      <c r="B15237" t="s">
        <v>40</v>
      </c>
      <c r="C15237" t="s">
        <v>36</v>
      </c>
      <c r="D15237" t="s">
        <v>15</v>
      </c>
      <c r="E15237" t="s">
        <v>22</v>
      </c>
      <c r="F15237" t="s">
        <v>15</v>
      </c>
      <c r="G15237" s="1">
        <f>VALUE(4857.31)</f>
        <v>4857.3100000000004</v>
      </c>
      <c r="H15237" s="1">
        <f>VALUE(4218.17)</f>
        <v>4218.17</v>
      </c>
      <c r="I15237" s="1">
        <f>VALUE(3291)</f>
        <v>3291</v>
      </c>
      <c r="J15237" s="1">
        <f>VALUE(3737)</f>
        <v>3737</v>
      </c>
      <c r="K15237" s="1">
        <f>VALUE(4333)</f>
        <v>4333</v>
      </c>
      <c r="L15237" s="1">
        <f>VALUE(5130)</f>
        <v>5130</v>
      </c>
      <c r="M15237" s="1">
        <f>VALUE(6012)</f>
        <v>6012</v>
      </c>
      <c r="N15237" t="s">
        <v>16</v>
      </c>
    </row>
    <row r="15238" spans="1:14" x14ac:dyDescent="0.25">
      <c r="A15238" t="s">
        <v>45</v>
      </c>
      <c r="B15238" t="s">
        <v>40</v>
      </c>
      <c r="C15238" t="s">
        <v>36</v>
      </c>
      <c r="D15238" t="s">
        <v>15</v>
      </c>
      <c r="E15238" t="s">
        <v>22</v>
      </c>
      <c r="F15238" t="s">
        <v>17</v>
      </c>
      <c r="G15238" s="1" t="str">
        <f t="shared" ref="G15238:M15238" si="3526">"X"</f>
        <v>X</v>
      </c>
      <c r="H15238" s="1" t="str">
        <f t="shared" si="3526"/>
        <v>X</v>
      </c>
      <c r="I15238" s="1" t="str">
        <f t="shared" si="3526"/>
        <v>X</v>
      </c>
      <c r="J15238" s="1" t="str">
        <f t="shared" si="3526"/>
        <v>X</v>
      </c>
      <c r="K15238" s="1" t="str">
        <f t="shared" si="3526"/>
        <v>X</v>
      </c>
      <c r="L15238" s="1" t="str">
        <f t="shared" si="3526"/>
        <v>X</v>
      </c>
      <c r="M15238" s="1" t="str">
        <f t="shared" si="3526"/>
        <v>X</v>
      </c>
      <c r="N15238" t="s">
        <v>27</v>
      </c>
    </row>
    <row r="15239" spans="1:14" x14ac:dyDescent="0.25">
      <c r="A15239" t="s">
        <v>45</v>
      </c>
      <c r="B15239" t="s">
        <v>40</v>
      </c>
      <c r="C15239" t="s">
        <v>36</v>
      </c>
      <c r="D15239" t="s">
        <v>15</v>
      </c>
      <c r="E15239" t="s">
        <v>22</v>
      </c>
      <c r="F15239" t="s">
        <v>18</v>
      </c>
      <c r="G15239" s="2">
        <f>VALUE(297.58)</f>
        <v>297.58</v>
      </c>
      <c r="H15239" s="3">
        <f>VALUE(283.47)</f>
        <v>283.47000000000003</v>
      </c>
      <c r="I15239" s="4">
        <f>VALUE(3875)</f>
        <v>3875</v>
      </c>
      <c r="J15239" s="1">
        <f>VALUE(4155)</f>
        <v>4155</v>
      </c>
      <c r="K15239" s="1">
        <f>VALUE(4678)</f>
        <v>4678</v>
      </c>
      <c r="L15239" s="1">
        <f>VALUE(5655)</f>
        <v>5655</v>
      </c>
      <c r="M15239" s="8">
        <f>VALUE(6283)</f>
        <v>6283</v>
      </c>
      <c r="N15239" t="s">
        <v>25</v>
      </c>
    </row>
    <row r="15240" spans="1:14" x14ac:dyDescent="0.25">
      <c r="A15240" t="s">
        <v>45</v>
      </c>
      <c r="B15240" t="s">
        <v>40</v>
      </c>
      <c r="C15240" t="s">
        <v>36</v>
      </c>
      <c r="D15240" t="s">
        <v>15</v>
      </c>
      <c r="E15240" t="s">
        <v>22</v>
      </c>
      <c r="F15240" t="s">
        <v>19</v>
      </c>
      <c r="G15240" s="2">
        <f>VALUE(457.8)</f>
        <v>457.8</v>
      </c>
      <c r="H15240" s="3">
        <f>VALUE(417.35)</f>
        <v>417.35</v>
      </c>
      <c r="I15240" s="1">
        <f>VALUE(3383)</f>
        <v>3383</v>
      </c>
      <c r="J15240" s="1">
        <f>VALUE(4041)</f>
        <v>4041</v>
      </c>
      <c r="K15240" s="1">
        <f>VALUE(4667)</f>
        <v>4667</v>
      </c>
      <c r="L15240" s="1">
        <f>VALUE(5568)</f>
        <v>5568</v>
      </c>
      <c r="M15240" s="1">
        <f>VALUE(6577)</f>
        <v>6577</v>
      </c>
      <c r="N15240" t="s">
        <v>25</v>
      </c>
    </row>
    <row r="15241" spans="1:14" x14ac:dyDescent="0.25">
      <c r="A15241" t="s">
        <v>45</v>
      </c>
      <c r="B15241" t="s">
        <v>40</v>
      </c>
      <c r="C15241" t="s">
        <v>36</v>
      </c>
      <c r="D15241" t="s">
        <v>15</v>
      </c>
      <c r="E15241" t="s">
        <v>22</v>
      </c>
      <c r="F15241" t="s">
        <v>20</v>
      </c>
      <c r="G15241" s="1">
        <f>VALUE(3882.43)</f>
        <v>3882.43</v>
      </c>
      <c r="H15241" s="1">
        <f>VALUE(3336.02)</f>
        <v>3336.02</v>
      </c>
      <c r="I15241" s="1">
        <f>VALUE(3270)</f>
        <v>3270</v>
      </c>
      <c r="J15241" s="1">
        <f>VALUE(3673)</f>
        <v>3673</v>
      </c>
      <c r="K15241" s="1">
        <f>VALUE(4281)</f>
        <v>4281</v>
      </c>
      <c r="L15241" s="1">
        <f>VALUE(4984)</f>
        <v>4984</v>
      </c>
      <c r="M15241" s="1">
        <f>VALUE(5762)</f>
        <v>5762</v>
      </c>
      <c r="N15241" t="s">
        <v>16</v>
      </c>
    </row>
    <row r="15242" spans="1:14" x14ac:dyDescent="0.25">
      <c r="A15242" t="s">
        <v>45</v>
      </c>
      <c r="B15242" t="s">
        <v>40</v>
      </c>
      <c r="C15242" t="s">
        <v>36</v>
      </c>
      <c r="D15242" t="s">
        <v>15</v>
      </c>
      <c r="E15242" t="s">
        <v>23</v>
      </c>
      <c r="F15242" t="s">
        <v>15</v>
      </c>
      <c r="G15242" s="1">
        <f>VALUE(3209.7)</f>
        <v>3209.7</v>
      </c>
      <c r="H15242" s="1">
        <f>VALUE(2630.14)</f>
        <v>2630.14</v>
      </c>
      <c r="I15242" s="1">
        <f>VALUE(3000)</f>
        <v>3000</v>
      </c>
      <c r="J15242" s="1">
        <f>VALUE(3250)</f>
        <v>3250</v>
      </c>
      <c r="K15242" s="1">
        <f>VALUE(3544)</f>
        <v>3544</v>
      </c>
      <c r="L15242" s="1">
        <f>VALUE(4000)</f>
        <v>4000</v>
      </c>
      <c r="M15242" s="1">
        <f>VALUE(4565)</f>
        <v>4565</v>
      </c>
      <c r="N15242" t="s">
        <v>16</v>
      </c>
    </row>
    <row r="15243" spans="1:14" x14ac:dyDescent="0.25">
      <c r="A15243" t="s">
        <v>45</v>
      </c>
      <c r="B15243" t="s">
        <v>40</v>
      </c>
      <c r="C15243" t="s">
        <v>36</v>
      </c>
      <c r="D15243" t="s">
        <v>15</v>
      </c>
      <c r="E15243" t="s">
        <v>23</v>
      </c>
      <c r="F15243" t="s">
        <v>17</v>
      </c>
      <c r="G15243" s="1" t="str">
        <f t="shared" ref="G15243:M15245" si="3527">"X"</f>
        <v>X</v>
      </c>
      <c r="H15243" s="1" t="str">
        <f t="shared" si="3527"/>
        <v>X</v>
      </c>
      <c r="I15243" s="1" t="str">
        <f t="shared" si="3527"/>
        <v>X</v>
      </c>
      <c r="J15243" s="1" t="str">
        <f t="shared" si="3527"/>
        <v>X</v>
      </c>
      <c r="K15243" s="1" t="str">
        <f t="shared" si="3527"/>
        <v>X</v>
      </c>
      <c r="L15243" s="1" t="str">
        <f t="shared" si="3527"/>
        <v>X</v>
      </c>
      <c r="M15243" s="1" t="str">
        <f t="shared" si="3527"/>
        <v>X</v>
      </c>
      <c r="N15243" t="s">
        <v>27</v>
      </c>
    </row>
    <row r="15244" spans="1:14" x14ac:dyDescent="0.25">
      <c r="A15244" t="s">
        <v>45</v>
      </c>
      <c r="B15244" t="s">
        <v>40</v>
      </c>
      <c r="C15244" t="s">
        <v>36</v>
      </c>
      <c r="D15244" t="s">
        <v>15</v>
      </c>
      <c r="E15244" t="s">
        <v>23</v>
      </c>
      <c r="F15244" t="s">
        <v>18</v>
      </c>
      <c r="G15244" s="1" t="str">
        <f t="shared" si="3527"/>
        <v>X</v>
      </c>
      <c r="H15244" s="1" t="str">
        <f t="shared" si="3527"/>
        <v>X</v>
      </c>
      <c r="I15244" s="1" t="str">
        <f t="shared" si="3527"/>
        <v>X</v>
      </c>
      <c r="J15244" s="1" t="str">
        <f t="shared" si="3527"/>
        <v>X</v>
      </c>
      <c r="K15244" s="1" t="str">
        <f t="shared" si="3527"/>
        <v>X</v>
      </c>
      <c r="L15244" s="1" t="str">
        <f t="shared" si="3527"/>
        <v>X</v>
      </c>
      <c r="M15244" s="1" t="str">
        <f t="shared" si="3527"/>
        <v>X</v>
      </c>
      <c r="N15244" t="s">
        <v>27</v>
      </c>
    </row>
    <row r="15245" spans="1:14" x14ac:dyDescent="0.25">
      <c r="A15245" t="s">
        <v>45</v>
      </c>
      <c r="B15245" t="s">
        <v>40</v>
      </c>
      <c r="C15245" t="s">
        <v>36</v>
      </c>
      <c r="D15245" t="s">
        <v>15</v>
      </c>
      <c r="E15245" t="s">
        <v>23</v>
      </c>
      <c r="F15245" t="s">
        <v>19</v>
      </c>
      <c r="G15245" s="1" t="str">
        <f t="shared" si="3527"/>
        <v>X</v>
      </c>
      <c r="H15245" s="1" t="str">
        <f t="shared" si="3527"/>
        <v>X</v>
      </c>
      <c r="I15245" s="1" t="str">
        <f t="shared" si="3527"/>
        <v>X</v>
      </c>
      <c r="J15245" s="1" t="str">
        <f t="shared" si="3527"/>
        <v>X</v>
      </c>
      <c r="K15245" s="1" t="str">
        <f t="shared" si="3527"/>
        <v>X</v>
      </c>
      <c r="L15245" s="1" t="str">
        <f t="shared" si="3527"/>
        <v>X</v>
      </c>
      <c r="M15245" s="1" t="str">
        <f t="shared" si="3527"/>
        <v>X</v>
      </c>
      <c r="N15245" t="s">
        <v>27</v>
      </c>
    </row>
    <row r="15246" spans="1:14" x14ac:dyDescent="0.25">
      <c r="A15246" t="s">
        <v>45</v>
      </c>
      <c r="B15246" t="s">
        <v>40</v>
      </c>
      <c r="C15246" t="s">
        <v>36</v>
      </c>
      <c r="D15246" t="s">
        <v>15</v>
      </c>
      <c r="E15246" t="s">
        <v>23</v>
      </c>
      <c r="F15246" t="s">
        <v>20</v>
      </c>
      <c r="G15246" s="1">
        <f>VALUE(3050.11)</f>
        <v>3050.11</v>
      </c>
      <c r="H15246" s="1">
        <f>VALUE(2501.54)</f>
        <v>2501.54</v>
      </c>
      <c r="I15246" s="1">
        <f>VALUE(2994)</f>
        <v>2994</v>
      </c>
      <c r="J15246" s="1">
        <f>VALUE(3227)</f>
        <v>3227</v>
      </c>
      <c r="K15246" s="1">
        <f>VALUE(3535)</f>
        <v>3535</v>
      </c>
      <c r="L15246" s="1">
        <f>VALUE(3980)</f>
        <v>3980</v>
      </c>
      <c r="M15246" s="1">
        <f>VALUE(4456)</f>
        <v>4456</v>
      </c>
      <c r="N15246" t="s">
        <v>16</v>
      </c>
    </row>
    <row r="15247" spans="1:14" x14ac:dyDescent="0.25">
      <c r="A15247" t="s">
        <v>45</v>
      </c>
      <c r="B15247" t="s">
        <v>40</v>
      </c>
      <c r="C15247" t="s">
        <v>36</v>
      </c>
      <c r="D15247" t="s">
        <v>15</v>
      </c>
      <c r="E15247" t="s">
        <v>26</v>
      </c>
      <c r="F15247" t="s">
        <v>15</v>
      </c>
      <c r="G15247" s="1" t="str">
        <f t="shared" ref="G15247:M15248" si="3528">"X"</f>
        <v>X</v>
      </c>
      <c r="H15247" s="1" t="str">
        <f t="shared" si="3528"/>
        <v>X</v>
      </c>
      <c r="I15247" s="1" t="str">
        <f t="shared" si="3528"/>
        <v>X</v>
      </c>
      <c r="J15247" s="1" t="str">
        <f t="shared" si="3528"/>
        <v>X</v>
      </c>
      <c r="K15247" s="1" t="str">
        <f t="shared" si="3528"/>
        <v>X</v>
      </c>
      <c r="L15247" s="1" t="str">
        <f t="shared" si="3528"/>
        <v>X</v>
      </c>
      <c r="M15247" s="1" t="str">
        <f t="shared" si="3528"/>
        <v>X</v>
      </c>
      <c r="N15247" t="s">
        <v>27</v>
      </c>
    </row>
    <row r="15248" spans="1:14" x14ac:dyDescent="0.25">
      <c r="A15248" t="s">
        <v>45</v>
      </c>
      <c r="B15248" t="s">
        <v>40</v>
      </c>
      <c r="C15248" t="s">
        <v>36</v>
      </c>
      <c r="D15248" t="s">
        <v>15</v>
      </c>
      <c r="E15248" t="s">
        <v>26</v>
      </c>
      <c r="F15248" t="s">
        <v>17</v>
      </c>
      <c r="G15248" s="1" t="str">
        <f t="shared" si="3528"/>
        <v>X</v>
      </c>
      <c r="H15248" s="1" t="str">
        <f t="shared" si="3528"/>
        <v>X</v>
      </c>
      <c r="I15248" s="1" t="str">
        <f t="shared" si="3528"/>
        <v>X</v>
      </c>
      <c r="J15248" s="1" t="str">
        <f t="shared" si="3528"/>
        <v>X</v>
      </c>
      <c r="K15248" s="1" t="str">
        <f t="shared" si="3528"/>
        <v>X</v>
      </c>
      <c r="L15248" s="1" t="str">
        <f t="shared" si="3528"/>
        <v>X</v>
      </c>
      <c r="M15248" s="1" t="str">
        <f t="shared" si="3528"/>
        <v>X</v>
      </c>
      <c r="N15248" t="s">
        <v>27</v>
      </c>
    </row>
    <row r="15249" spans="1:14" x14ac:dyDescent="0.25">
      <c r="A15249" t="s">
        <v>45</v>
      </c>
      <c r="B15249" t="s">
        <v>40</v>
      </c>
      <c r="C15249" t="s">
        <v>36</v>
      </c>
      <c r="D15249" t="s">
        <v>15</v>
      </c>
      <c r="E15249" t="s">
        <v>26</v>
      </c>
      <c r="F15249" t="s">
        <v>18</v>
      </c>
      <c r="G15249" s="1" t="str">
        <f t="shared" ref="G15249:M15250" si="3529">"..."</f>
        <v>...</v>
      </c>
      <c r="H15249" s="1" t="str">
        <f t="shared" si="3529"/>
        <v>...</v>
      </c>
      <c r="I15249" s="1" t="str">
        <f t="shared" si="3529"/>
        <v>...</v>
      </c>
      <c r="J15249" s="1" t="str">
        <f t="shared" si="3529"/>
        <v>...</v>
      </c>
      <c r="K15249" s="1" t="str">
        <f t="shared" si="3529"/>
        <v>...</v>
      </c>
      <c r="L15249" s="1" t="str">
        <f t="shared" si="3529"/>
        <v>...</v>
      </c>
      <c r="M15249" s="1" t="str">
        <f t="shared" si="3529"/>
        <v>...</v>
      </c>
      <c r="N15249" t="s">
        <v>30</v>
      </c>
    </row>
    <row r="15250" spans="1:14" x14ac:dyDescent="0.25">
      <c r="A15250" t="s">
        <v>45</v>
      </c>
      <c r="B15250" t="s">
        <v>40</v>
      </c>
      <c r="C15250" t="s">
        <v>36</v>
      </c>
      <c r="D15250" t="s">
        <v>15</v>
      </c>
      <c r="E15250" t="s">
        <v>26</v>
      </c>
      <c r="F15250" t="s">
        <v>19</v>
      </c>
      <c r="G15250" s="1" t="str">
        <f t="shared" si="3529"/>
        <v>...</v>
      </c>
      <c r="H15250" s="1" t="str">
        <f t="shared" si="3529"/>
        <v>...</v>
      </c>
      <c r="I15250" s="1" t="str">
        <f t="shared" si="3529"/>
        <v>...</v>
      </c>
      <c r="J15250" s="1" t="str">
        <f t="shared" si="3529"/>
        <v>...</v>
      </c>
      <c r="K15250" s="1" t="str">
        <f t="shared" si="3529"/>
        <v>...</v>
      </c>
      <c r="L15250" s="1" t="str">
        <f t="shared" si="3529"/>
        <v>...</v>
      </c>
      <c r="M15250" s="1" t="str">
        <f t="shared" si="3529"/>
        <v>...</v>
      </c>
      <c r="N15250" t="s">
        <v>30</v>
      </c>
    </row>
    <row r="15251" spans="1:14" x14ac:dyDescent="0.25">
      <c r="A15251" t="s">
        <v>45</v>
      </c>
      <c r="B15251" t="s">
        <v>40</v>
      </c>
      <c r="C15251" t="s">
        <v>36</v>
      </c>
      <c r="D15251" t="s">
        <v>15</v>
      </c>
      <c r="E15251" t="s">
        <v>26</v>
      </c>
      <c r="F15251" t="s">
        <v>20</v>
      </c>
      <c r="G15251" s="1" t="str">
        <f t="shared" ref="G15251:M15251" si="3530">"X"</f>
        <v>X</v>
      </c>
      <c r="H15251" s="1" t="str">
        <f t="shared" si="3530"/>
        <v>X</v>
      </c>
      <c r="I15251" s="1" t="str">
        <f t="shared" si="3530"/>
        <v>X</v>
      </c>
      <c r="J15251" s="1" t="str">
        <f t="shared" si="3530"/>
        <v>X</v>
      </c>
      <c r="K15251" s="1" t="str">
        <f t="shared" si="3530"/>
        <v>X</v>
      </c>
      <c r="L15251" s="1" t="str">
        <f t="shared" si="3530"/>
        <v>X</v>
      </c>
      <c r="M15251" s="1" t="str">
        <f t="shared" si="3530"/>
        <v>X</v>
      </c>
      <c r="N15251" t="s">
        <v>27</v>
      </c>
    </row>
    <row r="15252" spans="1:14" x14ac:dyDescent="0.25">
      <c r="A15252" t="s">
        <v>45</v>
      </c>
      <c r="B15252" t="s">
        <v>40</v>
      </c>
      <c r="C15252" t="s">
        <v>36</v>
      </c>
      <c r="D15252" t="s">
        <v>28</v>
      </c>
      <c r="E15252" t="s">
        <v>15</v>
      </c>
      <c r="F15252" t="s">
        <v>15</v>
      </c>
      <c r="G15252" s="1">
        <f>VALUE(4544.37)</f>
        <v>4544.37</v>
      </c>
      <c r="H15252" s="3">
        <f>VALUE(3849.92)</f>
        <v>3849.92</v>
      </c>
      <c r="I15252" s="1">
        <f>VALUE(3714)</f>
        <v>3714</v>
      </c>
      <c r="J15252" s="1">
        <f>VALUE(4214)</f>
        <v>4214</v>
      </c>
      <c r="K15252" s="1">
        <f>VALUE(4894)</f>
        <v>4894</v>
      </c>
      <c r="L15252" s="1">
        <f>VALUE(5626)</f>
        <v>5626</v>
      </c>
      <c r="M15252" s="1">
        <f>VALUE(6599)</f>
        <v>6599</v>
      </c>
      <c r="N15252" t="s">
        <v>25</v>
      </c>
    </row>
    <row r="15253" spans="1:14" x14ac:dyDescent="0.25">
      <c r="A15253" t="s">
        <v>45</v>
      </c>
      <c r="B15253" t="s">
        <v>40</v>
      </c>
      <c r="C15253" t="s">
        <v>36</v>
      </c>
      <c r="D15253" t="s">
        <v>28</v>
      </c>
      <c r="E15253" t="s">
        <v>15</v>
      </c>
      <c r="F15253" t="s">
        <v>17</v>
      </c>
      <c r="G15253" s="2">
        <f>VALUE(433.67)</f>
        <v>433.67</v>
      </c>
      <c r="H15253" s="3">
        <f>VALUE(366.82)</f>
        <v>366.82</v>
      </c>
      <c r="I15253" s="4">
        <f>VALUE(4254)</f>
        <v>4254</v>
      </c>
      <c r="J15253" s="1">
        <f>VALUE(4701)</f>
        <v>4701</v>
      </c>
      <c r="K15253" s="6">
        <f>VALUE(5458)</f>
        <v>5458</v>
      </c>
      <c r="L15253" s="7">
        <f>VALUE(6080)</f>
        <v>6080</v>
      </c>
      <c r="M15253" s="8">
        <f>VALUE(7619)</f>
        <v>7619</v>
      </c>
      <c r="N15253" t="s">
        <v>25</v>
      </c>
    </row>
    <row r="15254" spans="1:14" x14ac:dyDescent="0.25">
      <c r="A15254" t="s">
        <v>45</v>
      </c>
      <c r="B15254" t="s">
        <v>40</v>
      </c>
      <c r="C15254" t="s">
        <v>36</v>
      </c>
      <c r="D15254" t="s">
        <v>28</v>
      </c>
      <c r="E15254" t="s">
        <v>15</v>
      </c>
      <c r="F15254" t="s">
        <v>18</v>
      </c>
      <c r="G15254" s="2">
        <f>VALUE(360.98)</f>
        <v>360.98</v>
      </c>
      <c r="H15254" s="3">
        <f>VALUE(332.08)</f>
        <v>332.08</v>
      </c>
      <c r="I15254" s="4">
        <f>VALUE(3611)</f>
        <v>3611</v>
      </c>
      <c r="J15254" s="1">
        <f>VALUE(4155)</f>
        <v>4155</v>
      </c>
      <c r="K15254" s="1">
        <f>VALUE(4958)</f>
        <v>4958</v>
      </c>
      <c r="L15254" s="1">
        <f>VALUE(5783)</f>
        <v>5783</v>
      </c>
      <c r="M15254" s="1">
        <f>VALUE(7445)</f>
        <v>7445</v>
      </c>
      <c r="N15254" t="s">
        <v>25</v>
      </c>
    </row>
    <row r="15255" spans="1:14" x14ac:dyDescent="0.25">
      <c r="A15255" t="s">
        <v>45</v>
      </c>
      <c r="B15255" t="s">
        <v>40</v>
      </c>
      <c r="C15255" t="s">
        <v>36</v>
      </c>
      <c r="D15255" t="s">
        <v>28</v>
      </c>
      <c r="E15255" t="s">
        <v>15</v>
      </c>
      <c r="F15255" t="s">
        <v>19</v>
      </c>
      <c r="G15255" s="2">
        <f>VALUE(560.58)</f>
        <v>560.58000000000004</v>
      </c>
      <c r="H15255" s="3">
        <f>VALUE(494.71)</f>
        <v>494.71</v>
      </c>
      <c r="I15255" s="4">
        <f>VALUE(3777)</f>
        <v>3777</v>
      </c>
      <c r="J15255" s="1">
        <f>VALUE(4333)</f>
        <v>4333</v>
      </c>
      <c r="K15255" s="1">
        <f>VALUE(5200)</f>
        <v>5200</v>
      </c>
      <c r="L15255" s="1">
        <f>VALUE(6348)</f>
        <v>6348</v>
      </c>
      <c r="M15255" s="1">
        <f>VALUE(7134)</f>
        <v>7134</v>
      </c>
      <c r="N15255" t="s">
        <v>25</v>
      </c>
    </row>
    <row r="15256" spans="1:14" x14ac:dyDescent="0.25">
      <c r="A15256" t="s">
        <v>45</v>
      </c>
      <c r="B15256" t="s">
        <v>40</v>
      </c>
      <c r="C15256" t="s">
        <v>36</v>
      </c>
      <c r="D15256" t="s">
        <v>28</v>
      </c>
      <c r="E15256" t="s">
        <v>15</v>
      </c>
      <c r="F15256" t="s">
        <v>20</v>
      </c>
      <c r="G15256" s="2">
        <f>VALUE(3189.14)</f>
        <v>3189.14</v>
      </c>
      <c r="H15256" s="3">
        <f>VALUE(2656.31)</f>
        <v>2656.31</v>
      </c>
      <c r="I15256" s="1">
        <f>VALUE(3700)</f>
        <v>3700</v>
      </c>
      <c r="J15256" s="1">
        <f>VALUE(4127)</f>
        <v>4127</v>
      </c>
      <c r="K15256" s="1">
        <f>VALUE(4767)</f>
        <v>4767</v>
      </c>
      <c r="L15256" s="1">
        <f>VALUE(5334)</f>
        <v>5334</v>
      </c>
      <c r="M15256" s="1">
        <f>VALUE(6190)</f>
        <v>6190</v>
      </c>
      <c r="N15256" t="s">
        <v>25</v>
      </c>
    </row>
    <row r="15257" spans="1:14" x14ac:dyDescent="0.25">
      <c r="A15257" t="s">
        <v>45</v>
      </c>
      <c r="B15257" t="s">
        <v>40</v>
      </c>
      <c r="C15257" t="s">
        <v>36</v>
      </c>
      <c r="D15257" t="s">
        <v>28</v>
      </c>
      <c r="E15257" t="s">
        <v>21</v>
      </c>
      <c r="F15257" t="s">
        <v>15</v>
      </c>
      <c r="G15257" s="2">
        <f>VALUE(1698.3)</f>
        <v>1698.3</v>
      </c>
      <c r="H15257" s="3">
        <f>VALUE(1456.25)</f>
        <v>1456.25</v>
      </c>
      <c r="I15257" s="1">
        <f>VALUE(4114)</f>
        <v>4114</v>
      </c>
      <c r="J15257" s="1">
        <f>VALUE(4701)</f>
        <v>4701</v>
      </c>
      <c r="K15257" s="1">
        <f>VALUE(5333)</f>
        <v>5333</v>
      </c>
      <c r="L15257" s="1">
        <f>VALUE(6105)</f>
        <v>6105</v>
      </c>
      <c r="M15257" s="1">
        <f>VALUE(7224)</f>
        <v>7224</v>
      </c>
      <c r="N15257" t="s">
        <v>25</v>
      </c>
    </row>
    <row r="15258" spans="1:14" x14ac:dyDescent="0.25">
      <c r="A15258" t="s">
        <v>45</v>
      </c>
      <c r="B15258" t="s">
        <v>40</v>
      </c>
      <c r="C15258" t="s">
        <v>36</v>
      </c>
      <c r="D15258" t="s">
        <v>28</v>
      </c>
      <c r="E15258" t="s">
        <v>21</v>
      </c>
      <c r="F15258" t="s">
        <v>17</v>
      </c>
      <c r="G15258" s="1" t="str">
        <f t="shared" ref="G15258:M15259" si="3531">"X"</f>
        <v>X</v>
      </c>
      <c r="H15258" s="1" t="str">
        <f t="shared" si="3531"/>
        <v>X</v>
      </c>
      <c r="I15258" s="1" t="str">
        <f t="shared" si="3531"/>
        <v>X</v>
      </c>
      <c r="J15258" s="1" t="str">
        <f t="shared" si="3531"/>
        <v>X</v>
      </c>
      <c r="K15258" s="1" t="str">
        <f t="shared" si="3531"/>
        <v>X</v>
      </c>
      <c r="L15258" s="1" t="str">
        <f t="shared" si="3531"/>
        <v>X</v>
      </c>
      <c r="M15258" s="1" t="str">
        <f t="shared" si="3531"/>
        <v>X</v>
      </c>
      <c r="N15258" t="s">
        <v>27</v>
      </c>
    </row>
    <row r="15259" spans="1:14" x14ac:dyDescent="0.25">
      <c r="A15259" t="s">
        <v>45</v>
      </c>
      <c r="B15259" t="s">
        <v>40</v>
      </c>
      <c r="C15259" t="s">
        <v>36</v>
      </c>
      <c r="D15259" t="s">
        <v>28</v>
      </c>
      <c r="E15259" t="s">
        <v>21</v>
      </c>
      <c r="F15259" t="s">
        <v>18</v>
      </c>
      <c r="G15259" s="1" t="str">
        <f t="shared" si="3531"/>
        <v>X</v>
      </c>
      <c r="H15259" s="1" t="str">
        <f t="shared" si="3531"/>
        <v>X</v>
      </c>
      <c r="I15259" s="1" t="str">
        <f t="shared" si="3531"/>
        <v>X</v>
      </c>
      <c r="J15259" s="1" t="str">
        <f t="shared" si="3531"/>
        <v>X</v>
      </c>
      <c r="K15259" s="1" t="str">
        <f t="shared" si="3531"/>
        <v>X</v>
      </c>
      <c r="L15259" s="1" t="str">
        <f t="shared" si="3531"/>
        <v>X</v>
      </c>
      <c r="M15259" s="1" t="str">
        <f t="shared" si="3531"/>
        <v>X</v>
      </c>
      <c r="N15259" t="s">
        <v>27</v>
      </c>
    </row>
    <row r="15260" spans="1:14" x14ac:dyDescent="0.25">
      <c r="A15260" t="s">
        <v>45</v>
      </c>
      <c r="B15260" t="s">
        <v>40</v>
      </c>
      <c r="C15260" t="s">
        <v>36</v>
      </c>
      <c r="D15260" t="s">
        <v>28</v>
      </c>
      <c r="E15260" t="s">
        <v>21</v>
      </c>
      <c r="F15260" t="s">
        <v>19</v>
      </c>
      <c r="G15260" s="2">
        <f>VALUE(260.67)</f>
        <v>260.67</v>
      </c>
      <c r="H15260" s="3">
        <f>VALUE(218.78)</f>
        <v>218.78</v>
      </c>
      <c r="I15260" s="4">
        <f>VALUE(4235)</f>
        <v>4235</v>
      </c>
      <c r="J15260" s="1">
        <f>VALUE(4983)</f>
        <v>4983</v>
      </c>
      <c r="K15260" s="1">
        <f>VALUE(6015)</f>
        <v>6015</v>
      </c>
      <c r="L15260" s="1">
        <f>VALUE(6825)</f>
        <v>6825</v>
      </c>
      <c r="M15260" s="1">
        <f>VALUE(7367)</f>
        <v>7367</v>
      </c>
      <c r="N15260" t="s">
        <v>25</v>
      </c>
    </row>
    <row r="15261" spans="1:14" x14ac:dyDescent="0.25">
      <c r="A15261" t="s">
        <v>45</v>
      </c>
      <c r="B15261" t="s">
        <v>40</v>
      </c>
      <c r="C15261" t="s">
        <v>36</v>
      </c>
      <c r="D15261" t="s">
        <v>28</v>
      </c>
      <c r="E15261" t="s">
        <v>21</v>
      </c>
      <c r="F15261" t="s">
        <v>20</v>
      </c>
      <c r="G15261" s="2">
        <f>VALUE(1027.94)</f>
        <v>1027.94</v>
      </c>
      <c r="H15261" s="3">
        <f>VALUE(885.97)</f>
        <v>885.97</v>
      </c>
      <c r="I15261" s="1">
        <f>VALUE(4105)</f>
        <v>4105</v>
      </c>
      <c r="J15261" s="1">
        <f>VALUE(4641)</f>
        <v>4641</v>
      </c>
      <c r="K15261" s="1">
        <f>VALUE(5178)</f>
        <v>5178</v>
      </c>
      <c r="L15261" s="7">
        <f>VALUE(5626)</f>
        <v>5626</v>
      </c>
      <c r="M15261" s="8">
        <f>VALUE(6576)</f>
        <v>6576</v>
      </c>
      <c r="N15261" t="s">
        <v>25</v>
      </c>
    </row>
    <row r="15262" spans="1:14" x14ac:dyDescent="0.25">
      <c r="A15262" t="s">
        <v>45</v>
      </c>
      <c r="B15262" t="s">
        <v>40</v>
      </c>
      <c r="C15262" t="s">
        <v>36</v>
      </c>
      <c r="D15262" t="s">
        <v>28</v>
      </c>
      <c r="E15262" t="s">
        <v>22</v>
      </c>
      <c r="F15262" t="s">
        <v>15</v>
      </c>
      <c r="G15262" s="2">
        <f>VALUE(2432.31)</f>
        <v>2432.31</v>
      </c>
      <c r="H15262" s="3">
        <f>VALUE(2096.05)</f>
        <v>2096.0500000000002</v>
      </c>
      <c r="I15262" s="1">
        <f>VALUE(3700)</f>
        <v>3700</v>
      </c>
      <c r="J15262" s="1">
        <f>VALUE(4118)</f>
        <v>4118</v>
      </c>
      <c r="K15262" s="1">
        <f>VALUE(4705)</f>
        <v>4705</v>
      </c>
      <c r="L15262" s="1">
        <f>VALUE(5375)</f>
        <v>5375</v>
      </c>
      <c r="M15262" s="1">
        <f>VALUE(6134)</f>
        <v>6134</v>
      </c>
      <c r="N15262" t="s">
        <v>25</v>
      </c>
    </row>
    <row r="15263" spans="1:14" x14ac:dyDescent="0.25">
      <c r="A15263" t="s">
        <v>45</v>
      </c>
      <c r="B15263" t="s">
        <v>40</v>
      </c>
      <c r="C15263" t="s">
        <v>36</v>
      </c>
      <c r="D15263" t="s">
        <v>28</v>
      </c>
      <c r="E15263" t="s">
        <v>22</v>
      </c>
      <c r="F15263" t="s">
        <v>17</v>
      </c>
      <c r="G15263" s="1" t="str">
        <f t="shared" ref="G15263:M15264" si="3532">"X"</f>
        <v>X</v>
      </c>
      <c r="H15263" s="1" t="str">
        <f t="shared" si="3532"/>
        <v>X</v>
      </c>
      <c r="I15263" s="1" t="str">
        <f t="shared" si="3532"/>
        <v>X</v>
      </c>
      <c r="J15263" s="1" t="str">
        <f t="shared" si="3532"/>
        <v>X</v>
      </c>
      <c r="K15263" s="1" t="str">
        <f t="shared" si="3532"/>
        <v>X</v>
      </c>
      <c r="L15263" s="1" t="str">
        <f t="shared" si="3532"/>
        <v>X</v>
      </c>
      <c r="M15263" s="1" t="str">
        <f t="shared" si="3532"/>
        <v>X</v>
      </c>
      <c r="N15263" t="s">
        <v>27</v>
      </c>
    </row>
    <row r="15264" spans="1:14" x14ac:dyDescent="0.25">
      <c r="A15264" t="s">
        <v>45</v>
      </c>
      <c r="B15264" t="s">
        <v>40</v>
      </c>
      <c r="C15264" t="s">
        <v>36</v>
      </c>
      <c r="D15264" t="s">
        <v>28</v>
      </c>
      <c r="E15264" t="s">
        <v>22</v>
      </c>
      <c r="F15264" t="s">
        <v>18</v>
      </c>
      <c r="G15264" s="1" t="str">
        <f t="shared" si="3532"/>
        <v>X</v>
      </c>
      <c r="H15264" s="1" t="str">
        <f t="shared" si="3532"/>
        <v>X</v>
      </c>
      <c r="I15264" s="1" t="str">
        <f t="shared" si="3532"/>
        <v>X</v>
      </c>
      <c r="J15264" s="1" t="str">
        <f t="shared" si="3532"/>
        <v>X</v>
      </c>
      <c r="K15264" s="1" t="str">
        <f t="shared" si="3532"/>
        <v>X</v>
      </c>
      <c r="L15264" s="1" t="str">
        <f t="shared" si="3532"/>
        <v>X</v>
      </c>
      <c r="M15264" s="1" t="str">
        <f t="shared" si="3532"/>
        <v>X</v>
      </c>
      <c r="N15264" t="s">
        <v>27</v>
      </c>
    </row>
    <row r="15265" spans="1:14" x14ac:dyDescent="0.25">
      <c r="A15265" t="s">
        <v>45</v>
      </c>
      <c r="B15265" t="s">
        <v>40</v>
      </c>
      <c r="C15265" t="s">
        <v>36</v>
      </c>
      <c r="D15265" t="s">
        <v>28</v>
      </c>
      <c r="E15265" t="s">
        <v>22</v>
      </c>
      <c r="F15265" t="s">
        <v>19</v>
      </c>
      <c r="G15265" s="2">
        <f>VALUE(253.41)</f>
        <v>253.41</v>
      </c>
      <c r="H15265" s="3">
        <f>VALUE(238.93)</f>
        <v>238.93</v>
      </c>
      <c r="I15265" s="1">
        <f>VALUE(3721)</f>
        <v>3721</v>
      </c>
      <c r="J15265" s="1">
        <f>VALUE(4165)</f>
        <v>4165</v>
      </c>
      <c r="K15265" s="1">
        <f>VALUE(4864)</f>
        <v>4864</v>
      </c>
      <c r="L15265" s="1">
        <f>VALUE(5783)</f>
        <v>5783</v>
      </c>
      <c r="M15265" s="1">
        <f>VALUE(6577)</f>
        <v>6577</v>
      </c>
      <c r="N15265" t="s">
        <v>25</v>
      </c>
    </row>
    <row r="15266" spans="1:14" x14ac:dyDescent="0.25">
      <c r="A15266" t="s">
        <v>45</v>
      </c>
      <c r="B15266" t="s">
        <v>40</v>
      </c>
      <c r="C15266" t="s">
        <v>36</v>
      </c>
      <c r="D15266" t="s">
        <v>28</v>
      </c>
      <c r="E15266" t="s">
        <v>22</v>
      </c>
      <c r="F15266" t="s">
        <v>20</v>
      </c>
      <c r="G15266" s="2">
        <f>VALUE(1810.42)</f>
        <v>1810.42</v>
      </c>
      <c r="H15266" s="3">
        <f>VALUE(1527.45)</f>
        <v>1527.45</v>
      </c>
      <c r="I15266" s="1">
        <f>VALUE(3685)</f>
        <v>3685</v>
      </c>
      <c r="J15266" s="1">
        <f>VALUE(4079)</f>
        <v>4079</v>
      </c>
      <c r="K15266" s="1">
        <f>VALUE(4628)</f>
        <v>4628</v>
      </c>
      <c r="L15266" s="1">
        <f>VALUE(5272)</f>
        <v>5272</v>
      </c>
      <c r="M15266" s="1">
        <f>VALUE(6000)</f>
        <v>6000</v>
      </c>
      <c r="N15266" t="s">
        <v>25</v>
      </c>
    </row>
    <row r="15267" spans="1:14" x14ac:dyDescent="0.25">
      <c r="A15267" t="s">
        <v>45</v>
      </c>
      <c r="B15267" t="s">
        <v>40</v>
      </c>
      <c r="C15267" t="s">
        <v>36</v>
      </c>
      <c r="D15267" t="s">
        <v>28</v>
      </c>
      <c r="E15267" t="s">
        <v>23</v>
      </c>
      <c r="F15267" t="s">
        <v>15</v>
      </c>
      <c r="G15267" s="2">
        <f>VALUE(376.58)</f>
        <v>376.58</v>
      </c>
      <c r="H15267" s="3">
        <f>VALUE(264.1)</f>
        <v>264.10000000000002</v>
      </c>
      <c r="I15267" s="1">
        <f>VALUE(3527)</f>
        <v>3527</v>
      </c>
      <c r="J15267" s="1">
        <f>VALUE(3771)</f>
        <v>3771</v>
      </c>
      <c r="K15267" s="1">
        <f>VALUE(4191)</f>
        <v>4191</v>
      </c>
      <c r="L15267" s="7">
        <f>VALUE(4849)</f>
        <v>4849</v>
      </c>
      <c r="M15267" s="1">
        <f>VALUE(5780)</f>
        <v>5780</v>
      </c>
      <c r="N15267" t="s">
        <v>25</v>
      </c>
    </row>
    <row r="15268" spans="1:14" x14ac:dyDescent="0.25">
      <c r="A15268" t="s">
        <v>45</v>
      </c>
      <c r="B15268" t="s">
        <v>40</v>
      </c>
      <c r="C15268" t="s">
        <v>36</v>
      </c>
      <c r="D15268" t="s">
        <v>28</v>
      </c>
      <c r="E15268" t="s">
        <v>23</v>
      </c>
      <c r="F15268" t="s">
        <v>17</v>
      </c>
      <c r="G15268" s="1" t="str">
        <f t="shared" ref="G15268:M15268" si="3533">"..."</f>
        <v>...</v>
      </c>
      <c r="H15268" s="1" t="str">
        <f t="shared" si="3533"/>
        <v>...</v>
      </c>
      <c r="I15268" s="1" t="str">
        <f t="shared" si="3533"/>
        <v>...</v>
      </c>
      <c r="J15268" s="1" t="str">
        <f t="shared" si="3533"/>
        <v>...</v>
      </c>
      <c r="K15268" s="1" t="str">
        <f t="shared" si="3533"/>
        <v>...</v>
      </c>
      <c r="L15268" s="1" t="str">
        <f t="shared" si="3533"/>
        <v>...</v>
      </c>
      <c r="M15268" s="1" t="str">
        <f t="shared" si="3533"/>
        <v>...</v>
      </c>
      <c r="N15268" t="s">
        <v>30</v>
      </c>
    </row>
    <row r="15269" spans="1:14" x14ac:dyDescent="0.25">
      <c r="A15269" t="s">
        <v>45</v>
      </c>
      <c r="B15269" t="s">
        <v>40</v>
      </c>
      <c r="C15269" t="s">
        <v>36</v>
      </c>
      <c r="D15269" t="s">
        <v>28</v>
      </c>
      <c r="E15269" t="s">
        <v>23</v>
      </c>
      <c r="F15269" t="s">
        <v>18</v>
      </c>
      <c r="G15269" s="1" t="str">
        <f t="shared" ref="G15269:M15270" si="3534">"X"</f>
        <v>X</v>
      </c>
      <c r="H15269" s="1" t="str">
        <f t="shared" si="3534"/>
        <v>X</v>
      </c>
      <c r="I15269" s="1" t="str">
        <f t="shared" si="3534"/>
        <v>X</v>
      </c>
      <c r="J15269" s="1" t="str">
        <f t="shared" si="3534"/>
        <v>X</v>
      </c>
      <c r="K15269" s="1" t="str">
        <f t="shared" si="3534"/>
        <v>X</v>
      </c>
      <c r="L15269" s="1" t="str">
        <f t="shared" si="3534"/>
        <v>X</v>
      </c>
      <c r="M15269" s="1" t="str">
        <f t="shared" si="3534"/>
        <v>X</v>
      </c>
      <c r="N15269" t="s">
        <v>27</v>
      </c>
    </row>
    <row r="15270" spans="1:14" x14ac:dyDescent="0.25">
      <c r="A15270" t="s">
        <v>45</v>
      </c>
      <c r="B15270" t="s">
        <v>40</v>
      </c>
      <c r="C15270" t="s">
        <v>36</v>
      </c>
      <c r="D15270" t="s">
        <v>28</v>
      </c>
      <c r="E15270" t="s">
        <v>23</v>
      </c>
      <c r="F15270" t="s">
        <v>19</v>
      </c>
      <c r="G15270" s="1" t="str">
        <f t="shared" si="3534"/>
        <v>X</v>
      </c>
      <c r="H15270" s="1" t="str">
        <f t="shared" si="3534"/>
        <v>X</v>
      </c>
      <c r="I15270" s="1" t="str">
        <f t="shared" si="3534"/>
        <v>X</v>
      </c>
      <c r="J15270" s="1" t="str">
        <f t="shared" si="3534"/>
        <v>X</v>
      </c>
      <c r="K15270" s="1" t="str">
        <f t="shared" si="3534"/>
        <v>X</v>
      </c>
      <c r="L15270" s="1" t="str">
        <f t="shared" si="3534"/>
        <v>X</v>
      </c>
      <c r="M15270" s="1" t="str">
        <f t="shared" si="3534"/>
        <v>X</v>
      </c>
      <c r="N15270" t="s">
        <v>27</v>
      </c>
    </row>
    <row r="15271" spans="1:14" x14ac:dyDescent="0.25">
      <c r="A15271" t="s">
        <v>45</v>
      </c>
      <c r="B15271" t="s">
        <v>40</v>
      </c>
      <c r="C15271" t="s">
        <v>36</v>
      </c>
      <c r="D15271" t="s">
        <v>28</v>
      </c>
      <c r="E15271" t="s">
        <v>23</v>
      </c>
      <c r="F15271" t="s">
        <v>20</v>
      </c>
      <c r="G15271" s="2">
        <f>VALUE(321.51)</f>
        <v>321.51</v>
      </c>
      <c r="H15271" s="3">
        <f>VALUE(218.27)</f>
        <v>218.27</v>
      </c>
      <c r="I15271" s="1">
        <f>VALUE(3495)</f>
        <v>3495</v>
      </c>
      <c r="J15271" s="1">
        <f>VALUE(3700)</f>
        <v>3700</v>
      </c>
      <c r="K15271" s="1">
        <f>VALUE(4080)</f>
        <v>4080</v>
      </c>
      <c r="L15271" s="1">
        <f>VALUE(4603)</f>
        <v>4603</v>
      </c>
      <c r="M15271" s="1">
        <f>VALUE(5145)</f>
        <v>5145</v>
      </c>
      <c r="N15271" t="s">
        <v>25</v>
      </c>
    </row>
    <row r="15272" spans="1:14" x14ac:dyDescent="0.25">
      <c r="A15272" t="s">
        <v>45</v>
      </c>
      <c r="B15272" t="s">
        <v>40</v>
      </c>
      <c r="C15272" t="s">
        <v>36</v>
      </c>
      <c r="D15272" t="s">
        <v>28</v>
      </c>
      <c r="E15272" t="s">
        <v>26</v>
      </c>
      <c r="F15272" t="s">
        <v>15</v>
      </c>
      <c r="G15272" s="1" t="str">
        <f t="shared" ref="G15272:M15273" si="3535">"X"</f>
        <v>X</v>
      </c>
      <c r="H15272" s="1" t="str">
        <f t="shared" si="3535"/>
        <v>X</v>
      </c>
      <c r="I15272" s="1" t="str">
        <f t="shared" si="3535"/>
        <v>X</v>
      </c>
      <c r="J15272" s="1" t="str">
        <f t="shared" si="3535"/>
        <v>X</v>
      </c>
      <c r="K15272" s="1" t="str">
        <f t="shared" si="3535"/>
        <v>X</v>
      </c>
      <c r="L15272" s="1" t="str">
        <f t="shared" si="3535"/>
        <v>X</v>
      </c>
      <c r="M15272" s="1" t="str">
        <f t="shared" si="3535"/>
        <v>X</v>
      </c>
      <c r="N15272" t="s">
        <v>27</v>
      </c>
    </row>
    <row r="15273" spans="1:14" x14ac:dyDescent="0.25">
      <c r="A15273" t="s">
        <v>45</v>
      </c>
      <c r="B15273" t="s">
        <v>40</v>
      </c>
      <c r="C15273" t="s">
        <v>36</v>
      </c>
      <c r="D15273" t="s">
        <v>28</v>
      </c>
      <c r="E15273" t="s">
        <v>26</v>
      </c>
      <c r="F15273" t="s">
        <v>17</v>
      </c>
      <c r="G15273" s="1" t="str">
        <f t="shared" si="3535"/>
        <v>X</v>
      </c>
      <c r="H15273" s="1" t="str">
        <f t="shared" si="3535"/>
        <v>X</v>
      </c>
      <c r="I15273" s="1" t="str">
        <f t="shared" si="3535"/>
        <v>X</v>
      </c>
      <c r="J15273" s="1" t="str">
        <f t="shared" si="3535"/>
        <v>X</v>
      </c>
      <c r="K15273" s="1" t="str">
        <f t="shared" si="3535"/>
        <v>X</v>
      </c>
      <c r="L15273" s="1" t="str">
        <f t="shared" si="3535"/>
        <v>X</v>
      </c>
      <c r="M15273" s="1" t="str">
        <f t="shared" si="3535"/>
        <v>X</v>
      </c>
      <c r="N15273" t="s">
        <v>27</v>
      </c>
    </row>
    <row r="15274" spans="1:14" x14ac:dyDescent="0.25">
      <c r="A15274" t="s">
        <v>45</v>
      </c>
      <c r="B15274" t="s">
        <v>40</v>
      </c>
      <c r="C15274" t="s">
        <v>36</v>
      </c>
      <c r="D15274" t="s">
        <v>28</v>
      </c>
      <c r="E15274" t="s">
        <v>26</v>
      </c>
      <c r="F15274" t="s">
        <v>18</v>
      </c>
      <c r="G15274" s="1" t="str">
        <f t="shared" ref="G15274:M15275" si="3536">"..."</f>
        <v>...</v>
      </c>
      <c r="H15274" s="1" t="str">
        <f t="shared" si="3536"/>
        <v>...</v>
      </c>
      <c r="I15274" s="1" t="str">
        <f t="shared" si="3536"/>
        <v>...</v>
      </c>
      <c r="J15274" s="1" t="str">
        <f t="shared" si="3536"/>
        <v>...</v>
      </c>
      <c r="K15274" s="1" t="str">
        <f t="shared" si="3536"/>
        <v>...</v>
      </c>
      <c r="L15274" s="1" t="str">
        <f t="shared" si="3536"/>
        <v>...</v>
      </c>
      <c r="M15274" s="1" t="str">
        <f t="shared" si="3536"/>
        <v>...</v>
      </c>
      <c r="N15274" t="s">
        <v>30</v>
      </c>
    </row>
    <row r="15275" spans="1:14" x14ac:dyDescent="0.25">
      <c r="A15275" t="s">
        <v>45</v>
      </c>
      <c r="B15275" t="s">
        <v>40</v>
      </c>
      <c r="C15275" t="s">
        <v>36</v>
      </c>
      <c r="D15275" t="s">
        <v>28</v>
      </c>
      <c r="E15275" t="s">
        <v>26</v>
      </c>
      <c r="F15275" t="s">
        <v>19</v>
      </c>
      <c r="G15275" s="1" t="str">
        <f t="shared" si="3536"/>
        <v>...</v>
      </c>
      <c r="H15275" s="1" t="str">
        <f t="shared" si="3536"/>
        <v>...</v>
      </c>
      <c r="I15275" s="1" t="str">
        <f t="shared" si="3536"/>
        <v>...</v>
      </c>
      <c r="J15275" s="1" t="str">
        <f t="shared" si="3536"/>
        <v>...</v>
      </c>
      <c r="K15275" s="1" t="str">
        <f t="shared" si="3536"/>
        <v>...</v>
      </c>
      <c r="L15275" s="1" t="str">
        <f t="shared" si="3536"/>
        <v>...</v>
      </c>
      <c r="M15275" s="1" t="str">
        <f t="shared" si="3536"/>
        <v>...</v>
      </c>
      <c r="N15275" t="s">
        <v>30</v>
      </c>
    </row>
    <row r="15276" spans="1:14" x14ac:dyDescent="0.25">
      <c r="A15276" t="s">
        <v>45</v>
      </c>
      <c r="B15276" t="s">
        <v>40</v>
      </c>
      <c r="C15276" t="s">
        <v>36</v>
      </c>
      <c r="D15276" t="s">
        <v>28</v>
      </c>
      <c r="E15276" t="s">
        <v>26</v>
      </c>
      <c r="F15276" t="s">
        <v>20</v>
      </c>
      <c r="G15276" s="1" t="str">
        <f t="shared" ref="G15276:M15276" si="3537">"X"</f>
        <v>X</v>
      </c>
      <c r="H15276" s="1" t="str">
        <f t="shared" si="3537"/>
        <v>X</v>
      </c>
      <c r="I15276" s="1" t="str">
        <f t="shared" si="3537"/>
        <v>X</v>
      </c>
      <c r="J15276" s="1" t="str">
        <f t="shared" si="3537"/>
        <v>X</v>
      </c>
      <c r="K15276" s="1" t="str">
        <f t="shared" si="3537"/>
        <v>X</v>
      </c>
      <c r="L15276" s="1" t="str">
        <f t="shared" si="3537"/>
        <v>X</v>
      </c>
      <c r="M15276" s="1" t="str">
        <f t="shared" si="3537"/>
        <v>X</v>
      </c>
      <c r="N15276" t="s">
        <v>27</v>
      </c>
    </row>
    <row r="15277" spans="1:14" x14ac:dyDescent="0.25">
      <c r="A15277" t="s">
        <v>45</v>
      </c>
      <c r="B15277" t="s">
        <v>40</v>
      </c>
      <c r="C15277" t="s">
        <v>36</v>
      </c>
      <c r="D15277" t="s">
        <v>29</v>
      </c>
      <c r="E15277" t="s">
        <v>15</v>
      </c>
      <c r="F15277" t="s">
        <v>15</v>
      </c>
      <c r="G15277" s="2">
        <f>VALUE(1035.84)</f>
        <v>1035.8399999999999</v>
      </c>
      <c r="H15277" s="3">
        <f>VALUE(774.87)</f>
        <v>774.87</v>
      </c>
      <c r="I15277" s="4">
        <f>VALUE(3421)</f>
        <v>3421</v>
      </c>
      <c r="J15277" s="1">
        <f>VALUE(3819)</f>
        <v>3819</v>
      </c>
      <c r="K15277" s="1">
        <f>VALUE(4388)</f>
        <v>4388</v>
      </c>
      <c r="L15277" s="1">
        <f>VALUE(5210)</f>
        <v>5210</v>
      </c>
      <c r="M15277" s="1">
        <f>VALUE(6093)</f>
        <v>6093</v>
      </c>
      <c r="N15277" t="s">
        <v>25</v>
      </c>
    </row>
    <row r="15278" spans="1:14" x14ac:dyDescent="0.25">
      <c r="A15278" t="s">
        <v>45</v>
      </c>
      <c r="B15278" t="s">
        <v>40</v>
      </c>
      <c r="C15278" t="s">
        <v>36</v>
      </c>
      <c r="D15278" t="s">
        <v>29</v>
      </c>
      <c r="E15278" t="s">
        <v>15</v>
      </c>
      <c r="F15278" t="s">
        <v>17</v>
      </c>
      <c r="G15278" s="1" t="str">
        <f t="shared" ref="G15278:M15280" si="3538">"X"</f>
        <v>X</v>
      </c>
      <c r="H15278" s="1" t="str">
        <f t="shared" si="3538"/>
        <v>X</v>
      </c>
      <c r="I15278" s="1" t="str">
        <f t="shared" si="3538"/>
        <v>X</v>
      </c>
      <c r="J15278" s="1" t="str">
        <f t="shared" si="3538"/>
        <v>X</v>
      </c>
      <c r="K15278" s="1" t="str">
        <f t="shared" si="3538"/>
        <v>X</v>
      </c>
      <c r="L15278" s="1" t="str">
        <f t="shared" si="3538"/>
        <v>X</v>
      </c>
      <c r="M15278" s="1" t="str">
        <f t="shared" si="3538"/>
        <v>X</v>
      </c>
      <c r="N15278" t="s">
        <v>27</v>
      </c>
    </row>
    <row r="15279" spans="1:14" x14ac:dyDescent="0.25">
      <c r="A15279" t="s">
        <v>45</v>
      </c>
      <c r="B15279" t="s">
        <v>40</v>
      </c>
      <c r="C15279" t="s">
        <v>36</v>
      </c>
      <c r="D15279" t="s">
        <v>29</v>
      </c>
      <c r="E15279" t="s">
        <v>15</v>
      </c>
      <c r="F15279" t="s">
        <v>18</v>
      </c>
      <c r="G15279" s="1" t="str">
        <f t="shared" si="3538"/>
        <v>X</v>
      </c>
      <c r="H15279" s="1" t="str">
        <f t="shared" si="3538"/>
        <v>X</v>
      </c>
      <c r="I15279" s="1" t="str">
        <f t="shared" si="3538"/>
        <v>X</v>
      </c>
      <c r="J15279" s="1" t="str">
        <f t="shared" si="3538"/>
        <v>X</v>
      </c>
      <c r="K15279" s="1" t="str">
        <f t="shared" si="3538"/>
        <v>X</v>
      </c>
      <c r="L15279" s="1" t="str">
        <f t="shared" si="3538"/>
        <v>X</v>
      </c>
      <c r="M15279" s="1" t="str">
        <f t="shared" si="3538"/>
        <v>X</v>
      </c>
      <c r="N15279" t="s">
        <v>27</v>
      </c>
    </row>
    <row r="15280" spans="1:14" x14ac:dyDescent="0.25">
      <c r="A15280" t="s">
        <v>45</v>
      </c>
      <c r="B15280" t="s">
        <v>40</v>
      </c>
      <c r="C15280" t="s">
        <v>36</v>
      </c>
      <c r="D15280" t="s">
        <v>29</v>
      </c>
      <c r="E15280" t="s">
        <v>15</v>
      </c>
      <c r="F15280" t="s">
        <v>19</v>
      </c>
      <c r="G15280" s="1" t="str">
        <f t="shared" si="3538"/>
        <v>X</v>
      </c>
      <c r="H15280" s="1" t="str">
        <f t="shared" si="3538"/>
        <v>X</v>
      </c>
      <c r="I15280" s="1" t="str">
        <f t="shared" si="3538"/>
        <v>X</v>
      </c>
      <c r="J15280" s="1" t="str">
        <f t="shared" si="3538"/>
        <v>X</v>
      </c>
      <c r="K15280" s="1" t="str">
        <f t="shared" si="3538"/>
        <v>X</v>
      </c>
      <c r="L15280" s="1" t="str">
        <f t="shared" si="3538"/>
        <v>X</v>
      </c>
      <c r="M15280" s="1" t="str">
        <f t="shared" si="3538"/>
        <v>X</v>
      </c>
      <c r="N15280" t="s">
        <v>27</v>
      </c>
    </row>
    <row r="15281" spans="1:14" x14ac:dyDescent="0.25">
      <c r="A15281" t="s">
        <v>45</v>
      </c>
      <c r="B15281" t="s">
        <v>40</v>
      </c>
      <c r="C15281" t="s">
        <v>36</v>
      </c>
      <c r="D15281" t="s">
        <v>29</v>
      </c>
      <c r="E15281" t="s">
        <v>15</v>
      </c>
      <c r="F15281" t="s">
        <v>20</v>
      </c>
      <c r="G15281" s="2">
        <f>VALUE(920.25)</f>
        <v>920.25</v>
      </c>
      <c r="H15281" s="3">
        <f>VALUE(681.83)</f>
        <v>681.83</v>
      </c>
      <c r="I15281" s="4">
        <f>VALUE(3308)</f>
        <v>3308</v>
      </c>
      <c r="J15281" s="1">
        <f>VALUE(3721)</f>
        <v>3721</v>
      </c>
      <c r="K15281" s="1">
        <f>VALUE(4286)</f>
        <v>4286</v>
      </c>
      <c r="L15281" s="1">
        <f>VALUE(5159)</f>
        <v>5159</v>
      </c>
      <c r="M15281" s="1">
        <f>VALUE(5566)</f>
        <v>5566</v>
      </c>
      <c r="N15281" t="s">
        <v>25</v>
      </c>
    </row>
    <row r="15282" spans="1:14" x14ac:dyDescent="0.25">
      <c r="A15282" t="s">
        <v>45</v>
      </c>
      <c r="B15282" t="s">
        <v>40</v>
      </c>
      <c r="C15282" t="s">
        <v>36</v>
      </c>
      <c r="D15282" t="s">
        <v>29</v>
      </c>
      <c r="E15282" t="s">
        <v>21</v>
      </c>
      <c r="F15282" t="s">
        <v>15</v>
      </c>
      <c r="G15282" s="2">
        <f>VALUE(143.86)</f>
        <v>143.86000000000001</v>
      </c>
      <c r="H15282" s="3">
        <f>VALUE(128.51)</f>
        <v>128.51</v>
      </c>
      <c r="I15282" s="1">
        <f>VALUE(3828)</f>
        <v>3828</v>
      </c>
      <c r="J15282" s="1">
        <f>VALUE(4659)</f>
        <v>4659</v>
      </c>
      <c r="K15282" s="1">
        <f>VALUE(5508)</f>
        <v>5508</v>
      </c>
      <c r="L15282" s="1">
        <f>VALUE(6498)</f>
        <v>6498</v>
      </c>
      <c r="M15282" s="8">
        <f>VALUE(8784)</f>
        <v>8784</v>
      </c>
      <c r="N15282" t="s">
        <v>25</v>
      </c>
    </row>
    <row r="15283" spans="1:14" x14ac:dyDescent="0.25">
      <c r="A15283" t="s">
        <v>45</v>
      </c>
      <c r="B15283" t="s">
        <v>40</v>
      </c>
      <c r="C15283" t="s">
        <v>36</v>
      </c>
      <c r="D15283" t="s">
        <v>29</v>
      </c>
      <c r="E15283" t="s">
        <v>21</v>
      </c>
      <c r="F15283" t="s">
        <v>17</v>
      </c>
      <c r="G15283" s="1" t="str">
        <f t="shared" ref="G15283:M15286" si="3539">"X"</f>
        <v>X</v>
      </c>
      <c r="H15283" s="1" t="str">
        <f t="shared" si="3539"/>
        <v>X</v>
      </c>
      <c r="I15283" s="1" t="str">
        <f t="shared" si="3539"/>
        <v>X</v>
      </c>
      <c r="J15283" s="1" t="str">
        <f t="shared" si="3539"/>
        <v>X</v>
      </c>
      <c r="K15283" s="1" t="str">
        <f t="shared" si="3539"/>
        <v>X</v>
      </c>
      <c r="L15283" s="1" t="str">
        <f t="shared" si="3539"/>
        <v>X</v>
      </c>
      <c r="M15283" s="1" t="str">
        <f t="shared" si="3539"/>
        <v>X</v>
      </c>
      <c r="N15283" t="s">
        <v>27</v>
      </c>
    </row>
    <row r="15284" spans="1:14" x14ac:dyDescent="0.25">
      <c r="A15284" t="s">
        <v>45</v>
      </c>
      <c r="B15284" t="s">
        <v>40</v>
      </c>
      <c r="C15284" t="s">
        <v>36</v>
      </c>
      <c r="D15284" t="s">
        <v>29</v>
      </c>
      <c r="E15284" t="s">
        <v>21</v>
      </c>
      <c r="F15284" t="s">
        <v>18</v>
      </c>
      <c r="G15284" s="1" t="str">
        <f t="shared" si="3539"/>
        <v>X</v>
      </c>
      <c r="H15284" s="1" t="str">
        <f t="shared" si="3539"/>
        <v>X</v>
      </c>
      <c r="I15284" s="1" t="str">
        <f t="shared" si="3539"/>
        <v>X</v>
      </c>
      <c r="J15284" s="1" t="str">
        <f t="shared" si="3539"/>
        <v>X</v>
      </c>
      <c r="K15284" s="1" t="str">
        <f t="shared" si="3539"/>
        <v>X</v>
      </c>
      <c r="L15284" s="1" t="str">
        <f t="shared" si="3539"/>
        <v>X</v>
      </c>
      <c r="M15284" s="1" t="str">
        <f t="shared" si="3539"/>
        <v>X</v>
      </c>
      <c r="N15284" t="s">
        <v>27</v>
      </c>
    </row>
    <row r="15285" spans="1:14" x14ac:dyDescent="0.25">
      <c r="A15285" t="s">
        <v>45</v>
      </c>
      <c r="B15285" t="s">
        <v>40</v>
      </c>
      <c r="C15285" t="s">
        <v>36</v>
      </c>
      <c r="D15285" t="s">
        <v>29</v>
      </c>
      <c r="E15285" t="s">
        <v>21</v>
      </c>
      <c r="F15285" t="s">
        <v>19</v>
      </c>
      <c r="G15285" s="1" t="str">
        <f t="shared" si="3539"/>
        <v>X</v>
      </c>
      <c r="H15285" s="1" t="str">
        <f t="shared" si="3539"/>
        <v>X</v>
      </c>
      <c r="I15285" s="1" t="str">
        <f t="shared" si="3539"/>
        <v>X</v>
      </c>
      <c r="J15285" s="1" t="str">
        <f t="shared" si="3539"/>
        <v>X</v>
      </c>
      <c r="K15285" s="1" t="str">
        <f t="shared" si="3539"/>
        <v>X</v>
      </c>
      <c r="L15285" s="1" t="str">
        <f t="shared" si="3539"/>
        <v>X</v>
      </c>
      <c r="M15285" s="1" t="str">
        <f t="shared" si="3539"/>
        <v>X</v>
      </c>
      <c r="N15285" t="s">
        <v>27</v>
      </c>
    </row>
    <row r="15286" spans="1:14" x14ac:dyDescent="0.25">
      <c r="A15286" t="s">
        <v>45</v>
      </c>
      <c r="B15286" t="s">
        <v>40</v>
      </c>
      <c r="C15286" t="s">
        <v>36</v>
      </c>
      <c r="D15286" t="s">
        <v>29</v>
      </c>
      <c r="E15286" t="s">
        <v>21</v>
      </c>
      <c r="F15286" t="s">
        <v>20</v>
      </c>
      <c r="G15286" s="1" t="str">
        <f t="shared" si="3539"/>
        <v>X</v>
      </c>
      <c r="H15286" s="1" t="str">
        <f t="shared" si="3539"/>
        <v>X</v>
      </c>
      <c r="I15286" s="1" t="str">
        <f t="shared" si="3539"/>
        <v>X</v>
      </c>
      <c r="J15286" s="1" t="str">
        <f t="shared" si="3539"/>
        <v>X</v>
      </c>
      <c r="K15286" s="1" t="str">
        <f t="shared" si="3539"/>
        <v>X</v>
      </c>
      <c r="L15286" s="1" t="str">
        <f t="shared" si="3539"/>
        <v>X</v>
      </c>
      <c r="M15286" s="1" t="str">
        <f t="shared" si="3539"/>
        <v>X</v>
      </c>
      <c r="N15286" t="s">
        <v>27</v>
      </c>
    </row>
    <row r="15287" spans="1:14" x14ac:dyDescent="0.25">
      <c r="A15287" t="s">
        <v>45</v>
      </c>
      <c r="B15287" t="s">
        <v>40</v>
      </c>
      <c r="C15287" t="s">
        <v>36</v>
      </c>
      <c r="D15287" t="s">
        <v>29</v>
      </c>
      <c r="E15287" t="s">
        <v>22</v>
      </c>
      <c r="F15287" t="s">
        <v>15</v>
      </c>
      <c r="G15287" s="2">
        <f>VALUE(489.49)</f>
        <v>489.49</v>
      </c>
      <c r="H15287" s="3">
        <f>VALUE(434.63)</f>
        <v>434.63</v>
      </c>
      <c r="I15287" s="4">
        <f>VALUE(3435)</f>
        <v>3435</v>
      </c>
      <c r="J15287" s="1">
        <f>VALUE(4036)</f>
        <v>4036</v>
      </c>
      <c r="K15287" s="1">
        <f>VALUE(4482)</f>
        <v>4482</v>
      </c>
      <c r="L15287" s="1">
        <f>VALUE(5210)</f>
        <v>5210</v>
      </c>
      <c r="M15287" s="1">
        <f>VALUE(5786)</f>
        <v>5786</v>
      </c>
      <c r="N15287" t="s">
        <v>25</v>
      </c>
    </row>
    <row r="15288" spans="1:14" x14ac:dyDescent="0.25">
      <c r="A15288" t="s">
        <v>45</v>
      </c>
      <c r="B15288" t="s">
        <v>40</v>
      </c>
      <c r="C15288" t="s">
        <v>36</v>
      </c>
      <c r="D15288" t="s">
        <v>29</v>
      </c>
      <c r="E15288" t="s">
        <v>22</v>
      </c>
      <c r="F15288" t="s">
        <v>17</v>
      </c>
      <c r="G15288" s="1" t="str">
        <f t="shared" ref="G15288:M15290" si="3540">"X"</f>
        <v>X</v>
      </c>
      <c r="H15288" s="1" t="str">
        <f t="shared" si="3540"/>
        <v>X</v>
      </c>
      <c r="I15288" s="1" t="str">
        <f t="shared" si="3540"/>
        <v>X</v>
      </c>
      <c r="J15288" s="1" t="str">
        <f t="shared" si="3540"/>
        <v>X</v>
      </c>
      <c r="K15288" s="1" t="str">
        <f t="shared" si="3540"/>
        <v>X</v>
      </c>
      <c r="L15288" s="1" t="str">
        <f t="shared" si="3540"/>
        <v>X</v>
      </c>
      <c r="M15288" s="1" t="str">
        <f t="shared" si="3540"/>
        <v>X</v>
      </c>
      <c r="N15288" t="s">
        <v>27</v>
      </c>
    </row>
    <row r="15289" spans="1:14" x14ac:dyDescent="0.25">
      <c r="A15289" t="s">
        <v>45</v>
      </c>
      <c r="B15289" t="s">
        <v>40</v>
      </c>
      <c r="C15289" t="s">
        <v>36</v>
      </c>
      <c r="D15289" t="s">
        <v>29</v>
      </c>
      <c r="E15289" t="s">
        <v>22</v>
      </c>
      <c r="F15289" t="s">
        <v>18</v>
      </c>
      <c r="G15289" s="1" t="str">
        <f t="shared" si="3540"/>
        <v>X</v>
      </c>
      <c r="H15289" s="1" t="str">
        <f t="shared" si="3540"/>
        <v>X</v>
      </c>
      <c r="I15289" s="1" t="str">
        <f t="shared" si="3540"/>
        <v>X</v>
      </c>
      <c r="J15289" s="1" t="str">
        <f t="shared" si="3540"/>
        <v>X</v>
      </c>
      <c r="K15289" s="1" t="str">
        <f t="shared" si="3540"/>
        <v>X</v>
      </c>
      <c r="L15289" s="1" t="str">
        <f t="shared" si="3540"/>
        <v>X</v>
      </c>
      <c r="M15289" s="1" t="str">
        <f t="shared" si="3540"/>
        <v>X</v>
      </c>
      <c r="N15289" t="s">
        <v>27</v>
      </c>
    </row>
    <row r="15290" spans="1:14" x14ac:dyDescent="0.25">
      <c r="A15290" t="s">
        <v>45</v>
      </c>
      <c r="B15290" t="s">
        <v>40</v>
      </c>
      <c r="C15290" t="s">
        <v>36</v>
      </c>
      <c r="D15290" t="s">
        <v>29</v>
      </c>
      <c r="E15290" t="s">
        <v>22</v>
      </c>
      <c r="F15290" t="s">
        <v>19</v>
      </c>
      <c r="G15290" s="1" t="str">
        <f t="shared" si="3540"/>
        <v>X</v>
      </c>
      <c r="H15290" s="1" t="str">
        <f t="shared" si="3540"/>
        <v>X</v>
      </c>
      <c r="I15290" s="1" t="str">
        <f t="shared" si="3540"/>
        <v>X</v>
      </c>
      <c r="J15290" s="1" t="str">
        <f t="shared" si="3540"/>
        <v>X</v>
      </c>
      <c r="K15290" s="1" t="str">
        <f t="shared" si="3540"/>
        <v>X</v>
      </c>
      <c r="L15290" s="1" t="str">
        <f t="shared" si="3540"/>
        <v>X</v>
      </c>
      <c r="M15290" s="1" t="str">
        <f t="shared" si="3540"/>
        <v>X</v>
      </c>
      <c r="N15290" t="s">
        <v>27</v>
      </c>
    </row>
    <row r="15291" spans="1:14" x14ac:dyDescent="0.25">
      <c r="A15291" t="s">
        <v>45</v>
      </c>
      <c r="B15291" t="s">
        <v>40</v>
      </c>
      <c r="C15291" t="s">
        <v>36</v>
      </c>
      <c r="D15291" t="s">
        <v>29</v>
      </c>
      <c r="E15291" t="s">
        <v>22</v>
      </c>
      <c r="F15291" t="s">
        <v>20</v>
      </c>
      <c r="G15291" s="2">
        <f>VALUE(427.83)</f>
        <v>427.83</v>
      </c>
      <c r="H15291" s="3">
        <f>VALUE(386.4)</f>
        <v>386.4</v>
      </c>
      <c r="I15291" s="4">
        <f>VALUE(3307)</f>
        <v>3307</v>
      </c>
      <c r="J15291" s="5">
        <f>VALUE(4031)</f>
        <v>4031</v>
      </c>
      <c r="K15291" s="6">
        <f>VALUE(4388)</f>
        <v>4388</v>
      </c>
      <c r="L15291" s="1">
        <f>VALUE(5210)</f>
        <v>5210</v>
      </c>
      <c r="M15291" s="1">
        <f>VALUE(5466)</f>
        <v>5466</v>
      </c>
      <c r="N15291" t="s">
        <v>25</v>
      </c>
    </row>
    <row r="15292" spans="1:14" x14ac:dyDescent="0.25">
      <c r="A15292" t="s">
        <v>45</v>
      </c>
      <c r="B15292" t="s">
        <v>40</v>
      </c>
      <c r="C15292" t="s">
        <v>36</v>
      </c>
      <c r="D15292" t="s">
        <v>29</v>
      </c>
      <c r="E15292" t="s">
        <v>23</v>
      </c>
      <c r="F15292" t="s">
        <v>15</v>
      </c>
      <c r="G15292" s="2">
        <f>VALUE(385.57)</f>
        <v>385.57</v>
      </c>
      <c r="H15292" s="3">
        <f>VALUE(202.26)</f>
        <v>202.26</v>
      </c>
      <c r="I15292" s="1">
        <f>VALUE(3308)</f>
        <v>3308</v>
      </c>
      <c r="J15292" s="1">
        <f>VALUE(3520)</f>
        <v>3520</v>
      </c>
      <c r="K15292" s="6">
        <f>VALUE(3669)</f>
        <v>3669</v>
      </c>
      <c r="L15292" s="1">
        <f>VALUE(4190)</f>
        <v>4190</v>
      </c>
      <c r="M15292" s="8">
        <f>VALUE(5084)</f>
        <v>5084</v>
      </c>
      <c r="N15292" t="s">
        <v>25</v>
      </c>
    </row>
    <row r="15293" spans="1:14" x14ac:dyDescent="0.25">
      <c r="A15293" t="s">
        <v>45</v>
      </c>
      <c r="B15293" t="s">
        <v>40</v>
      </c>
      <c r="C15293" t="s">
        <v>36</v>
      </c>
      <c r="D15293" t="s">
        <v>29</v>
      </c>
      <c r="E15293" t="s">
        <v>23</v>
      </c>
      <c r="F15293" t="s">
        <v>17</v>
      </c>
      <c r="G15293" s="1" t="str">
        <f t="shared" ref="G15293:M15295" si="3541">"X"</f>
        <v>X</v>
      </c>
      <c r="H15293" s="1" t="str">
        <f t="shared" si="3541"/>
        <v>X</v>
      </c>
      <c r="I15293" s="1" t="str">
        <f t="shared" si="3541"/>
        <v>X</v>
      </c>
      <c r="J15293" s="1" t="str">
        <f t="shared" si="3541"/>
        <v>X</v>
      </c>
      <c r="K15293" s="1" t="str">
        <f t="shared" si="3541"/>
        <v>X</v>
      </c>
      <c r="L15293" s="1" t="str">
        <f t="shared" si="3541"/>
        <v>X</v>
      </c>
      <c r="M15293" s="1" t="str">
        <f t="shared" si="3541"/>
        <v>X</v>
      </c>
      <c r="N15293" t="s">
        <v>27</v>
      </c>
    </row>
    <row r="15294" spans="1:14" x14ac:dyDescent="0.25">
      <c r="A15294" t="s">
        <v>45</v>
      </c>
      <c r="B15294" t="s">
        <v>40</v>
      </c>
      <c r="C15294" t="s">
        <v>36</v>
      </c>
      <c r="D15294" t="s">
        <v>29</v>
      </c>
      <c r="E15294" t="s">
        <v>23</v>
      </c>
      <c r="F15294" t="s">
        <v>18</v>
      </c>
      <c r="G15294" s="1" t="str">
        <f t="shared" si="3541"/>
        <v>X</v>
      </c>
      <c r="H15294" s="1" t="str">
        <f t="shared" si="3541"/>
        <v>X</v>
      </c>
      <c r="I15294" s="1" t="str">
        <f t="shared" si="3541"/>
        <v>X</v>
      </c>
      <c r="J15294" s="1" t="str">
        <f t="shared" si="3541"/>
        <v>X</v>
      </c>
      <c r="K15294" s="1" t="str">
        <f t="shared" si="3541"/>
        <v>X</v>
      </c>
      <c r="L15294" s="1" t="str">
        <f t="shared" si="3541"/>
        <v>X</v>
      </c>
      <c r="M15294" s="1" t="str">
        <f t="shared" si="3541"/>
        <v>X</v>
      </c>
      <c r="N15294" t="s">
        <v>27</v>
      </c>
    </row>
    <row r="15295" spans="1:14" x14ac:dyDescent="0.25">
      <c r="A15295" t="s">
        <v>45</v>
      </c>
      <c r="B15295" t="s">
        <v>40</v>
      </c>
      <c r="C15295" t="s">
        <v>36</v>
      </c>
      <c r="D15295" t="s">
        <v>29</v>
      </c>
      <c r="E15295" t="s">
        <v>23</v>
      </c>
      <c r="F15295" t="s">
        <v>19</v>
      </c>
      <c r="G15295" s="1" t="str">
        <f t="shared" si="3541"/>
        <v>X</v>
      </c>
      <c r="H15295" s="1" t="str">
        <f t="shared" si="3541"/>
        <v>X</v>
      </c>
      <c r="I15295" s="1" t="str">
        <f t="shared" si="3541"/>
        <v>X</v>
      </c>
      <c r="J15295" s="1" t="str">
        <f t="shared" si="3541"/>
        <v>X</v>
      </c>
      <c r="K15295" s="1" t="str">
        <f t="shared" si="3541"/>
        <v>X</v>
      </c>
      <c r="L15295" s="1" t="str">
        <f t="shared" si="3541"/>
        <v>X</v>
      </c>
      <c r="M15295" s="1" t="str">
        <f t="shared" si="3541"/>
        <v>X</v>
      </c>
      <c r="N15295" t="s">
        <v>27</v>
      </c>
    </row>
    <row r="15296" spans="1:14" x14ac:dyDescent="0.25">
      <c r="A15296" t="s">
        <v>45</v>
      </c>
      <c r="B15296" t="s">
        <v>40</v>
      </c>
      <c r="C15296" t="s">
        <v>36</v>
      </c>
      <c r="D15296" t="s">
        <v>29</v>
      </c>
      <c r="E15296" t="s">
        <v>23</v>
      </c>
      <c r="F15296" t="s">
        <v>20</v>
      </c>
      <c r="G15296" s="2">
        <f>VALUE(365.29)</f>
        <v>365.29</v>
      </c>
      <c r="H15296" s="3">
        <f>VALUE(188.85)</f>
        <v>188.85</v>
      </c>
      <c r="I15296" s="1">
        <f>VALUE(3308)</f>
        <v>3308</v>
      </c>
      <c r="J15296" s="1">
        <f>VALUE(3491)</f>
        <v>3491</v>
      </c>
      <c r="K15296" s="6">
        <f>VALUE(3669)</f>
        <v>3669</v>
      </c>
      <c r="L15296" s="1">
        <f>VALUE(4190)</f>
        <v>4190</v>
      </c>
      <c r="M15296" s="1">
        <f>VALUE(4686)</f>
        <v>4686</v>
      </c>
      <c r="N15296" t="s">
        <v>25</v>
      </c>
    </row>
    <row r="15297" spans="1:14" x14ac:dyDescent="0.25">
      <c r="A15297" t="s">
        <v>45</v>
      </c>
      <c r="B15297" t="s">
        <v>40</v>
      </c>
      <c r="C15297" t="s">
        <v>36</v>
      </c>
      <c r="D15297" t="s">
        <v>29</v>
      </c>
      <c r="E15297" t="s">
        <v>26</v>
      </c>
      <c r="F15297" t="s">
        <v>15</v>
      </c>
      <c r="G15297" s="1" t="str">
        <f t="shared" ref="G15297:M15297" si="3542">"X"</f>
        <v>X</v>
      </c>
      <c r="H15297" s="1" t="str">
        <f t="shared" si="3542"/>
        <v>X</v>
      </c>
      <c r="I15297" s="1" t="str">
        <f t="shared" si="3542"/>
        <v>X</v>
      </c>
      <c r="J15297" s="1" t="str">
        <f t="shared" si="3542"/>
        <v>X</v>
      </c>
      <c r="K15297" s="1" t="str">
        <f t="shared" si="3542"/>
        <v>X</v>
      </c>
      <c r="L15297" s="1" t="str">
        <f t="shared" si="3542"/>
        <v>X</v>
      </c>
      <c r="M15297" s="1" t="str">
        <f t="shared" si="3542"/>
        <v>X</v>
      </c>
      <c r="N15297" t="s">
        <v>27</v>
      </c>
    </row>
    <row r="15298" spans="1:14" x14ac:dyDescent="0.25">
      <c r="A15298" t="s">
        <v>45</v>
      </c>
      <c r="B15298" t="s">
        <v>40</v>
      </c>
      <c r="C15298" t="s">
        <v>36</v>
      </c>
      <c r="D15298" t="s">
        <v>29</v>
      </c>
      <c r="E15298" t="s">
        <v>26</v>
      </c>
      <c r="F15298" t="s">
        <v>17</v>
      </c>
      <c r="G15298" s="1" t="str">
        <f t="shared" ref="G15298:M15300" si="3543">"..."</f>
        <v>...</v>
      </c>
      <c r="H15298" s="1" t="str">
        <f t="shared" si="3543"/>
        <v>...</v>
      </c>
      <c r="I15298" s="1" t="str">
        <f t="shared" si="3543"/>
        <v>...</v>
      </c>
      <c r="J15298" s="1" t="str">
        <f t="shared" si="3543"/>
        <v>...</v>
      </c>
      <c r="K15298" s="1" t="str">
        <f t="shared" si="3543"/>
        <v>...</v>
      </c>
      <c r="L15298" s="1" t="str">
        <f t="shared" si="3543"/>
        <v>...</v>
      </c>
      <c r="M15298" s="1" t="str">
        <f t="shared" si="3543"/>
        <v>...</v>
      </c>
      <c r="N15298" t="s">
        <v>30</v>
      </c>
    </row>
    <row r="15299" spans="1:14" x14ac:dyDescent="0.25">
      <c r="A15299" t="s">
        <v>45</v>
      </c>
      <c r="B15299" t="s">
        <v>40</v>
      </c>
      <c r="C15299" t="s">
        <v>36</v>
      </c>
      <c r="D15299" t="s">
        <v>29</v>
      </c>
      <c r="E15299" t="s">
        <v>26</v>
      </c>
      <c r="F15299" t="s">
        <v>18</v>
      </c>
      <c r="G15299" s="1" t="str">
        <f t="shared" si="3543"/>
        <v>...</v>
      </c>
      <c r="H15299" s="1" t="str">
        <f t="shared" si="3543"/>
        <v>...</v>
      </c>
      <c r="I15299" s="1" t="str">
        <f t="shared" si="3543"/>
        <v>...</v>
      </c>
      <c r="J15299" s="1" t="str">
        <f t="shared" si="3543"/>
        <v>...</v>
      </c>
      <c r="K15299" s="1" t="str">
        <f t="shared" si="3543"/>
        <v>...</v>
      </c>
      <c r="L15299" s="1" t="str">
        <f t="shared" si="3543"/>
        <v>...</v>
      </c>
      <c r="M15299" s="1" t="str">
        <f t="shared" si="3543"/>
        <v>...</v>
      </c>
      <c r="N15299" t="s">
        <v>30</v>
      </c>
    </row>
    <row r="15300" spans="1:14" x14ac:dyDescent="0.25">
      <c r="A15300" t="s">
        <v>45</v>
      </c>
      <c r="B15300" t="s">
        <v>40</v>
      </c>
      <c r="C15300" t="s">
        <v>36</v>
      </c>
      <c r="D15300" t="s">
        <v>29</v>
      </c>
      <c r="E15300" t="s">
        <v>26</v>
      </c>
      <c r="F15300" t="s">
        <v>19</v>
      </c>
      <c r="G15300" s="1" t="str">
        <f t="shared" si="3543"/>
        <v>...</v>
      </c>
      <c r="H15300" s="1" t="str">
        <f t="shared" si="3543"/>
        <v>...</v>
      </c>
      <c r="I15300" s="1" t="str">
        <f t="shared" si="3543"/>
        <v>...</v>
      </c>
      <c r="J15300" s="1" t="str">
        <f t="shared" si="3543"/>
        <v>...</v>
      </c>
      <c r="K15300" s="1" t="str">
        <f t="shared" si="3543"/>
        <v>...</v>
      </c>
      <c r="L15300" s="1" t="str">
        <f t="shared" si="3543"/>
        <v>...</v>
      </c>
      <c r="M15300" s="1" t="str">
        <f t="shared" si="3543"/>
        <v>...</v>
      </c>
      <c r="N15300" t="s">
        <v>30</v>
      </c>
    </row>
    <row r="15301" spans="1:14" x14ac:dyDescent="0.25">
      <c r="A15301" t="s">
        <v>45</v>
      </c>
      <c r="B15301" t="s">
        <v>40</v>
      </c>
      <c r="C15301" t="s">
        <v>36</v>
      </c>
      <c r="D15301" t="s">
        <v>29</v>
      </c>
      <c r="E15301" t="s">
        <v>26</v>
      </c>
      <c r="F15301" t="s">
        <v>20</v>
      </c>
      <c r="G15301" s="1" t="str">
        <f t="shared" ref="G15301:M15301" si="3544">"X"</f>
        <v>X</v>
      </c>
      <c r="H15301" s="1" t="str">
        <f t="shared" si="3544"/>
        <v>X</v>
      </c>
      <c r="I15301" s="1" t="str">
        <f t="shared" si="3544"/>
        <v>X</v>
      </c>
      <c r="J15301" s="1" t="str">
        <f t="shared" si="3544"/>
        <v>X</v>
      </c>
      <c r="K15301" s="1" t="str">
        <f t="shared" si="3544"/>
        <v>X</v>
      </c>
      <c r="L15301" s="1" t="str">
        <f t="shared" si="3544"/>
        <v>X</v>
      </c>
      <c r="M15301" s="1" t="str">
        <f t="shared" si="3544"/>
        <v>X</v>
      </c>
      <c r="N15301" t="s">
        <v>27</v>
      </c>
    </row>
    <row r="15302" spans="1:14" x14ac:dyDescent="0.25">
      <c r="A15302" t="s">
        <v>45</v>
      </c>
      <c r="B15302" t="s">
        <v>40</v>
      </c>
      <c r="C15302" t="s">
        <v>36</v>
      </c>
      <c r="D15302" t="s">
        <v>31</v>
      </c>
      <c r="E15302" t="s">
        <v>15</v>
      </c>
      <c r="F15302" t="s">
        <v>15</v>
      </c>
      <c r="G15302" s="2">
        <f>VALUE(1530.07)</f>
        <v>1530.07</v>
      </c>
      <c r="H15302" s="3">
        <f>VALUE(1302.71)</f>
        <v>1302.71</v>
      </c>
      <c r="I15302" s="1">
        <f>VALUE(3348)</f>
        <v>3348</v>
      </c>
      <c r="J15302" s="1">
        <f>VALUE(3824)</f>
        <v>3824</v>
      </c>
      <c r="K15302" s="1">
        <f>VALUE(4489)</f>
        <v>4489</v>
      </c>
      <c r="L15302" s="1">
        <f>VALUE(5473)</f>
        <v>5473</v>
      </c>
      <c r="M15302" s="1">
        <f>VALUE(6827)</f>
        <v>6827</v>
      </c>
      <c r="N15302" t="s">
        <v>25</v>
      </c>
    </row>
    <row r="15303" spans="1:14" x14ac:dyDescent="0.25">
      <c r="A15303" t="s">
        <v>45</v>
      </c>
      <c r="B15303" t="s">
        <v>40</v>
      </c>
      <c r="C15303" t="s">
        <v>36</v>
      </c>
      <c r="D15303" t="s">
        <v>31</v>
      </c>
      <c r="E15303" t="s">
        <v>15</v>
      </c>
      <c r="F15303" t="s">
        <v>17</v>
      </c>
      <c r="G15303" s="1" t="str">
        <f t="shared" ref="G15303:M15305" si="3545">"X"</f>
        <v>X</v>
      </c>
      <c r="H15303" s="1" t="str">
        <f t="shared" si="3545"/>
        <v>X</v>
      </c>
      <c r="I15303" s="1" t="str">
        <f t="shared" si="3545"/>
        <v>X</v>
      </c>
      <c r="J15303" s="1" t="str">
        <f t="shared" si="3545"/>
        <v>X</v>
      </c>
      <c r="K15303" s="1" t="str">
        <f t="shared" si="3545"/>
        <v>X</v>
      </c>
      <c r="L15303" s="1" t="str">
        <f t="shared" si="3545"/>
        <v>X</v>
      </c>
      <c r="M15303" s="1" t="str">
        <f t="shared" si="3545"/>
        <v>X</v>
      </c>
      <c r="N15303" t="s">
        <v>27</v>
      </c>
    </row>
    <row r="15304" spans="1:14" x14ac:dyDescent="0.25">
      <c r="A15304" t="s">
        <v>45</v>
      </c>
      <c r="B15304" t="s">
        <v>40</v>
      </c>
      <c r="C15304" t="s">
        <v>36</v>
      </c>
      <c r="D15304" t="s">
        <v>31</v>
      </c>
      <c r="E15304" t="s">
        <v>15</v>
      </c>
      <c r="F15304" t="s">
        <v>18</v>
      </c>
      <c r="G15304" s="1" t="str">
        <f t="shared" si="3545"/>
        <v>X</v>
      </c>
      <c r="H15304" s="1" t="str">
        <f t="shared" si="3545"/>
        <v>X</v>
      </c>
      <c r="I15304" s="1" t="str">
        <f t="shared" si="3545"/>
        <v>X</v>
      </c>
      <c r="J15304" s="1" t="str">
        <f t="shared" si="3545"/>
        <v>X</v>
      </c>
      <c r="K15304" s="1" t="str">
        <f t="shared" si="3545"/>
        <v>X</v>
      </c>
      <c r="L15304" s="1" t="str">
        <f t="shared" si="3545"/>
        <v>X</v>
      </c>
      <c r="M15304" s="1" t="str">
        <f t="shared" si="3545"/>
        <v>X</v>
      </c>
      <c r="N15304" t="s">
        <v>27</v>
      </c>
    </row>
    <row r="15305" spans="1:14" x14ac:dyDescent="0.25">
      <c r="A15305" t="s">
        <v>45</v>
      </c>
      <c r="B15305" t="s">
        <v>40</v>
      </c>
      <c r="C15305" t="s">
        <v>36</v>
      </c>
      <c r="D15305" t="s">
        <v>31</v>
      </c>
      <c r="E15305" t="s">
        <v>15</v>
      </c>
      <c r="F15305" t="s">
        <v>19</v>
      </c>
      <c r="G15305" s="1" t="str">
        <f t="shared" si="3545"/>
        <v>X</v>
      </c>
      <c r="H15305" s="1" t="str">
        <f t="shared" si="3545"/>
        <v>X</v>
      </c>
      <c r="I15305" s="1" t="str">
        <f t="shared" si="3545"/>
        <v>X</v>
      </c>
      <c r="J15305" s="1" t="str">
        <f t="shared" si="3545"/>
        <v>X</v>
      </c>
      <c r="K15305" s="1" t="str">
        <f t="shared" si="3545"/>
        <v>X</v>
      </c>
      <c r="L15305" s="1" t="str">
        <f t="shared" si="3545"/>
        <v>X</v>
      </c>
      <c r="M15305" s="1" t="str">
        <f t="shared" si="3545"/>
        <v>X</v>
      </c>
      <c r="N15305" t="s">
        <v>27</v>
      </c>
    </row>
    <row r="15306" spans="1:14" x14ac:dyDescent="0.25">
      <c r="A15306" t="s">
        <v>45</v>
      </c>
      <c r="B15306" t="s">
        <v>40</v>
      </c>
      <c r="C15306" t="s">
        <v>36</v>
      </c>
      <c r="D15306" t="s">
        <v>31</v>
      </c>
      <c r="E15306" t="s">
        <v>15</v>
      </c>
      <c r="F15306" t="s">
        <v>20</v>
      </c>
      <c r="G15306" s="2">
        <f>VALUE(1180.28)</f>
        <v>1180.28</v>
      </c>
      <c r="H15306" s="3">
        <f>VALUE(997.52)</f>
        <v>997.52</v>
      </c>
      <c r="I15306" s="4">
        <f>VALUE(3250)</f>
        <v>3250</v>
      </c>
      <c r="J15306" s="1">
        <f>VALUE(3747)</f>
        <v>3747</v>
      </c>
      <c r="K15306" s="1">
        <f>VALUE(4298)</f>
        <v>4298</v>
      </c>
      <c r="L15306" s="1">
        <f>VALUE(5200)</f>
        <v>5200</v>
      </c>
      <c r="M15306" s="1">
        <f>VALUE(6293)</f>
        <v>6293</v>
      </c>
      <c r="N15306" t="s">
        <v>25</v>
      </c>
    </row>
    <row r="15307" spans="1:14" x14ac:dyDescent="0.25">
      <c r="A15307" t="s">
        <v>45</v>
      </c>
      <c r="B15307" t="s">
        <v>40</v>
      </c>
      <c r="C15307" t="s">
        <v>36</v>
      </c>
      <c r="D15307" t="s">
        <v>31</v>
      </c>
      <c r="E15307" t="s">
        <v>21</v>
      </c>
      <c r="F15307" t="s">
        <v>15</v>
      </c>
      <c r="G15307" s="2">
        <f>VALUE(704.28)</f>
        <v>704.28</v>
      </c>
      <c r="H15307" s="3">
        <f>VALUE(620.08)</f>
        <v>620.08000000000004</v>
      </c>
      <c r="I15307" s="1">
        <f>VALUE(3852)</f>
        <v>3852</v>
      </c>
      <c r="J15307" s="1">
        <f>VALUE(4282)</f>
        <v>4282</v>
      </c>
      <c r="K15307" s="1">
        <f>VALUE(5299)</f>
        <v>5299</v>
      </c>
      <c r="L15307" s="1">
        <f>VALUE(6293)</f>
        <v>6293</v>
      </c>
      <c r="M15307" s="1">
        <f>VALUE(7079)</f>
        <v>7079</v>
      </c>
      <c r="N15307" t="s">
        <v>25</v>
      </c>
    </row>
    <row r="15308" spans="1:14" x14ac:dyDescent="0.25">
      <c r="A15308" t="s">
        <v>45</v>
      </c>
      <c r="B15308" t="s">
        <v>40</v>
      </c>
      <c r="C15308" t="s">
        <v>36</v>
      </c>
      <c r="D15308" t="s">
        <v>31</v>
      </c>
      <c r="E15308" t="s">
        <v>21</v>
      </c>
      <c r="F15308" t="s">
        <v>17</v>
      </c>
      <c r="G15308" s="1" t="str">
        <f t="shared" ref="G15308:M15310" si="3546">"X"</f>
        <v>X</v>
      </c>
      <c r="H15308" s="1" t="str">
        <f t="shared" si="3546"/>
        <v>X</v>
      </c>
      <c r="I15308" s="1" t="str">
        <f t="shared" si="3546"/>
        <v>X</v>
      </c>
      <c r="J15308" s="1" t="str">
        <f t="shared" si="3546"/>
        <v>X</v>
      </c>
      <c r="K15308" s="1" t="str">
        <f t="shared" si="3546"/>
        <v>X</v>
      </c>
      <c r="L15308" s="1" t="str">
        <f t="shared" si="3546"/>
        <v>X</v>
      </c>
      <c r="M15308" s="1" t="str">
        <f t="shared" si="3546"/>
        <v>X</v>
      </c>
      <c r="N15308" t="s">
        <v>27</v>
      </c>
    </row>
    <row r="15309" spans="1:14" x14ac:dyDescent="0.25">
      <c r="A15309" t="s">
        <v>45</v>
      </c>
      <c r="B15309" t="s">
        <v>40</v>
      </c>
      <c r="C15309" t="s">
        <v>36</v>
      </c>
      <c r="D15309" t="s">
        <v>31</v>
      </c>
      <c r="E15309" t="s">
        <v>21</v>
      </c>
      <c r="F15309" t="s">
        <v>18</v>
      </c>
      <c r="G15309" s="1" t="str">
        <f t="shared" si="3546"/>
        <v>X</v>
      </c>
      <c r="H15309" s="1" t="str">
        <f t="shared" si="3546"/>
        <v>X</v>
      </c>
      <c r="I15309" s="1" t="str">
        <f t="shared" si="3546"/>
        <v>X</v>
      </c>
      <c r="J15309" s="1" t="str">
        <f t="shared" si="3546"/>
        <v>X</v>
      </c>
      <c r="K15309" s="1" t="str">
        <f t="shared" si="3546"/>
        <v>X</v>
      </c>
      <c r="L15309" s="1" t="str">
        <f t="shared" si="3546"/>
        <v>X</v>
      </c>
      <c r="M15309" s="1" t="str">
        <f t="shared" si="3546"/>
        <v>X</v>
      </c>
      <c r="N15309" t="s">
        <v>27</v>
      </c>
    </row>
    <row r="15310" spans="1:14" x14ac:dyDescent="0.25">
      <c r="A15310" t="s">
        <v>45</v>
      </c>
      <c r="B15310" t="s">
        <v>40</v>
      </c>
      <c r="C15310" t="s">
        <v>36</v>
      </c>
      <c r="D15310" t="s">
        <v>31</v>
      </c>
      <c r="E15310" t="s">
        <v>21</v>
      </c>
      <c r="F15310" t="s">
        <v>19</v>
      </c>
      <c r="G15310" s="1" t="str">
        <f t="shared" si="3546"/>
        <v>X</v>
      </c>
      <c r="H15310" s="1" t="str">
        <f t="shared" si="3546"/>
        <v>X</v>
      </c>
      <c r="I15310" s="1" t="str">
        <f t="shared" si="3546"/>
        <v>X</v>
      </c>
      <c r="J15310" s="1" t="str">
        <f t="shared" si="3546"/>
        <v>X</v>
      </c>
      <c r="K15310" s="1" t="str">
        <f t="shared" si="3546"/>
        <v>X</v>
      </c>
      <c r="L15310" s="1" t="str">
        <f t="shared" si="3546"/>
        <v>X</v>
      </c>
      <c r="M15310" s="1" t="str">
        <f t="shared" si="3546"/>
        <v>X</v>
      </c>
      <c r="N15310" t="s">
        <v>27</v>
      </c>
    </row>
    <row r="15311" spans="1:14" x14ac:dyDescent="0.25">
      <c r="A15311" t="s">
        <v>45</v>
      </c>
      <c r="B15311" t="s">
        <v>40</v>
      </c>
      <c r="C15311" t="s">
        <v>36</v>
      </c>
      <c r="D15311" t="s">
        <v>31</v>
      </c>
      <c r="E15311" t="s">
        <v>21</v>
      </c>
      <c r="F15311" t="s">
        <v>20</v>
      </c>
      <c r="G15311" s="2">
        <f>VALUE(436.38)</f>
        <v>436.38</v>
      </c>
      <c r="H15311" s="3">
        <f>VALUE(386.99)</f>
        <v>386.99</v>
      </c>
      <c r="I15311" s="1">
        <f>VALUE(3865)</f>
        <v>3865</v>
      </c>
      <c r="J15311" s="1">
        <f>VALUE(4583)</f>
        <v>4583</v>
      </c>
      <c r="K15311" s="1">
        <f>VALUE(5216)</f>
        <v>5216</v>
      </c>
      <c r="L15311" s="1">
        <f>VALUE(5987)</f>
        <v>5987</v>
      </c>
      <c r="M15311" s="1">
        <f>VALUE(6598)</f>
        <v>6598</v>
      </c>
      <c r="N15311" t="s">
        <v>25</v>
      </c>
    </row>
    <row r="15312" spans="1:14" x14ac:dyDescent="0.25">
      <c r="A15312" t="s">
        <v>45</v>
      </c>
      <c r="B15312" t="s">
        <v>40</v>
      </c>
      <c r="C15312" t="s">
        <v>36</v>
      </c>
      <c r="D15312" t="s">
        <v>31</v>
      </c>
      <c r="E15312" t="s">
        <v>22</v>
      </c>
      <c r="F15312" t="s">
        <v>15</v>
      </c>
      <c r="G15312" s="2">
        <f>VALUE(369.52)</f>
        <v>369.52</v>
      </c>
      <c r="H15312" s="3">
        <f>VALUE(335.88)</f>
        <v>335.88</v>
      </c>
      <c r="I15312" s="4">
        <f>VALUE(3403)</f>
        <v>3403</v>
      </c>
      <c r="J15312" s="1">
        <f>VALUE(3777)</f>
        <v>3777</v>
      </c>
      <c r="K15312" s="1">
        <f>VALUE(4327)</f>
        <v>4327</v>
      </c>
      <c r="L15312" s="1">
        <f>VALUE(5032)</f>
        <v>5032</v>
      </c>
      <c r="M15312" s="8">
        <f>VALUE(6350)</f>
        <v>6350</v>
      </c>
      <c r="N15312" t="s">
        <v>25</v>
      </c>
    </row>
    <row r="15313" spans="1:14" x14ac:dyDescent="0.25">
      <c r="A15313" t="s">
        <v>45</v>
      </c>
      <c r="B15313" t="s">
        <v>40</v>
      </c>
      <c r="C15313" t="s">
        <v>36</v>
      </c>
      <c r="D15313" t="s">
        <v>31</v>
      </c>
      <c r="E15313" t="s">
        <v>22</v>
      </c>
      <c r="F15313" t="s">
        <v>17</v>
      </c>
      <c r="G15313" s="1" t="str">
        <f t="shared" ref="G15313:M15315" si="3547">"X"</f>
        <v>X</v>
      </c>
      <c r="H15313" s="1" t="str">
        <f t="shared" si="3547"/>
        <v>X</v>
      </c>
      <c r="I15313" s="1" t="str">
        <f t="shared" si="3547"/>
        <v>X</v>
      </c>
      <c r="J15313" s="1" t="str">
        <f t="shared" si="3547"/>
        <v>X</v>
      </c>
      <c r="K15313" s="1" t="str">
        <f t="shared" si="3547"/>
        <v>X</v>
      </c>
      <c r="L15313" s="1" t="str">
        <f t="shared" si="3547"/>
        <v>X</v>
      </c>
      <c r="M15313" s="1" t="str">
        <f t="shared" si="3547"/>
        <v>X</v>
      </c>
      <c r="N15313" t="s">
        <v>27</v>
      </c>
    </row>
    <row r="15314" spans="1:14" x14ac:dyDescent="0.25">
      <c r="A15314" t="s">
        <v>45</v>
      </c>
      <c r="B15314" t="s">
        <v>40</v>
      </c>
      <c r="C15314" t="s">
        <v>36</v>
      </c>
      <c r="D15314" t="s">
        <v>31</v>
      </c>
      <c r="E15314" t="s">
        <v>22</v>
      </c>
      <c r="F15314" t="s">
        <v>18</v>
      </c>
      <c r="G15314" s="1" t="str">
        <f t="shared" si="3547"/>
        <v>X</v>
      </c>
      <c r="H15314" s="1" t="str">
        <f t="shared" si="3547"/>
        <v>X</v>
      </c>
      <c r="I15314" s="1" t="str">
        <f t="shared" si="3547"/>
        <v>X</v>
      </c>
      <c r="J15314" s="1" t="str">
        <f t="shared" si="3547"/>
        <v>X</v>
      </c>
      <c r="K15314" s="1" t="str">
        <f t="shared" si="3547"/>
        <v>X</v>
      </c>
      <c r="L15314" s="1" t="str">
        <f t="shared" si="3547"/>
        <v>X</v>
      </c>
      <c r="M15314" s="1" t="str">
        <f t="shared" si="3547"/>
        <v>X</v>
      </c>
      <c r="N15314" t="s">
        <v>27</v>
      </c>
    </row>
    <row r="15315" spans="1:14" x14ac:dyDescent="0.25">
      <c r="A15315" t="s">
        <v>45</v>
      </c>
      <c r="B15315" t="s">
        <v>40</v>
      </c>
      <c r="C15315" t="s">
        <v>36</v>
      </c>
      <c r="D15315" t="s">
        <v>31</v>
      </c>
      <c r="E15315" t="s">
        <v>22</v>
      </c>
      <c r="F15315" t="s">
        <v>19</v>
      </c>
      <c r="G15315" s="1" t="str">
        <f t="shared" si="3547"/>
        <v>X</v>
      </c>
      <c r="H15315" s="1" t="str">
        <f t="shared" si="3547"/>
        <v>X</v>
      </c>
      <c r="I15315" s="1" t="str">
        <f t="shared" si="3547"/>
        <v>X</v>
      </c>
      <c r="J15315" s="1" t="str">
        <f t="shared" si="3547"/>
        <v>X</v>
      </c>
      <c r="K15315" s="1" t="str">
        <f t="shared" si="3547"/>
        <v>X</v>
      </c>
      <c r="L15315" s="1" t="str">
        <f t="shared" si="3547"/>
        <v>X</v>
      </c>
      <c r="M15315" s="1" t="str">
        <f t="shared" si="3547"/>
        <v>X</v>
      </c>
      <c r="N15315" t="s">
        <v>27</v>
      </c>
    </row>
    <row r="15316" spans="1:14" x14ac:dyDescent="0.25">
      <c r="A15316" t="s">
        <v>45</v>
      </c>
      <c r="B15316" t="s">
        <v>40</v>
      </c>
      <c r="C15316" t="s">
        <v>36</v>
      </c>
      <c r="D15316" t="s">
        <v>31</v>
      </c>
      <c r="E15316" t="s">
        <v>22</v>
      </c>
      <c r="F15316" t="s">
        <v>20</v>
      </c>
      <c r="G15316" s="2">
        <f>VALUE(306.26)</f>
        <v>306.26</v>
      </c>
      <c r="H15316" s="3">
        <f>VALUE(272.42)</f>
        <v>272.42</v>
      </c>
      <c r="I15316" s="4">
        <f>VALUE(3201)</f>
        <v>3201</v>
      </c>
      <c r="J15316" s="1">
        <f>VALUE(3693)</f>
        <v>3693</v>
      </c>
      <c r="K15316" s="1">
        <f>VALUE(4227)</f>
        <v>4227</v>
      </c>
      <c r="L15316" s="1">
        <f>VALUE(4875)</f>
        <v>4875</v>
      </c>
      <c r="M15316" s="8">
        <f>VALUE(5477)</f>
        <v>5477</v>
      </c>
      <c r="N15316" t="s">
        <v>25</v>
      </c>
    </row>
    <row r="15317" spans="1:14" x14ac:dyDescent="0.25">
      <c r="A15317" t="s">
        <v>45</v>
      </c>
      <c r="B15317" t="s">
        <v>40</v>
      </c>
      <c r="C15317" t="s">
        <v>36</v>
      </c>
      <c r="D15317" t="s">
        <v>31</v>
      </c>
      <c r="E15317" t="s">
        <v>23</v>
      </c>
      <c r="F15317" t="s">
        <v>15</v>
      </c>
      <c r="G15317" s="2">
        <f>VALUE(436)</f>
        <v>436</v>
      </c>
      <c r="H15317" s="3">
        <f>VALUE(332.41)</f>
        <v>332.41</v>
      </c>
      <c r="I15317" s="4">
        <f>VALUE(3000)</f>
        <v>3000</v>
      </c>
      <c r="J15317" s="1">
        <f>VALUE(3425)</f>
        <v>3425</v>
      </c>
      <c r="K15317" s="1">
        <f>VALUE(3816)</f>
        <v>3816</v>
      </c>
      <c r="L15317" s="1">
        <f>VALUE(4217)</f>
        <v>4217</v>
      </c>
      <c r="M15317" s="1">
        <f>VALUE(4537)</f>
        <v>4537</v>
      </c>
      <c r="N15317" t="s">
        <v>25</v>
      </c>
    </row>
    <row r="15318" spans="1:14" x14ac:dyDescent="0.25">
      <c r="A15318" t="s">
        <v>45</v>
      </c>
      <c r="B15318" t="s">
        <v>40</v>
      </c>
      <c r="C15318" t="s">
        <v>36</v>
      </c>
      <c r="D15318" t="s">
        <v>31</v>
      </c>
      <c r="E15318" t="s">
        <v>23</v>
      </c>
      <c r="F15318" t="s">
        <v>17</v>
      </c>
      <c r="G15318" s="1" t="str">
        <f t="shared" ref="G15318:M15320" si="3548">"X"</f>
        <v>X</v>
      </c>
      <c r="H15318" s="1" t="str">
        <f t="shared" si="3548"/>
        <v>X</v>
      </c>
      <c r="I15318" s="1" t="str">
        <f t="shared" si="3548"/>
        <v>X</v>
      </c>
      <c r="J15318" s="1" t="str">
        <f t="shared" si="3548"/>
        <v>X</v>
      </c>
      <c r="K15318" s="1" t="str">
        <f t="shared" si="3548"/>
        <v>X</v>
      </c>
      <c r="L15318" s="1" t="str">
        <f t="shared" si="3548"/>
        <v>X</v>
      </c>
      <c r="M15318" s="1" t="str">
        <f t="shared" si="3548"/>
        <v>X</v>
      </c>
      <c r="N15318" t="s">
        <v>27</v>
      </c>
    </row>
    <row r="15319" spans="1:14" x14ac:dyDescent="0.25">
      <c r="A15319" t="s">
        <v>45</v>
      </c>
      <c r="B15319" t="s">
        <v>40</v>
      </c>
      <c r="C15319" t="s">
        <v>36</v>
      </c>
      <c r="D15319" t="s">
        <v>31</v>
      </c>
      <c r="E15319" t="s">
        <v>23</v>
      </c>
      <c r="F15319" t="s">
        <v>18</v>
      </c>
      <c r="G15319" s="1" t="str">
        <f t="shared" si="3548"/>
        <v>X</v>
      </c>
      <c r="H15319" s="1" t="str">
        <f t="shared" si="3548"/>
        <v>X</v>
      </c>
      <c r="I15319" s="1" t="str">
        <f t="shared" si="3548"/>
        <v>X</v>
      </c>
      <c r="J15319" s="1" t="str">
        <f t="shared" si="3548"/>
        <v>X</v>
      </c>
      <c r="K15319" s="1" t="str">
        <f t="shared" si="3548"/>
        <v>X</v>
      </c>
      <c r="L15319" s="1" t="str">
        <f t="shared" si="3548"/>
        <v>X</v>
      </c>
      <c r="M15319" s="1" t="str">
        <f t="shared" si="3548"/>
        <v>X</v>
      </c>
      <c r="N15319" t="s">
        <v>27</v>
      </c>
    </row>
    <row r="15320" spans="1:14" x14ac:dyDescent="0.25">
      <c r="A15320" t="s">
        <v>45</v>
      </c>
      <c r="B15320" t="s">
        <v>40</v>
      </c>
      <c r="C15320" t="s">
        <v>36</v>
      </c>
      <c r="D15320" t="s">
        <v>31</v>
      </c>
      <c r="E15320" t="s">
        <v>23</v>
      </c>
      <c r="F15320" t="s">
        <v>19</v>
      </c>
      <c r="G15320" s="1" t="str">
        <f t="shared" si="3548"/>
        <v>X</v>
      </c>
      <c r="H15320" s="1" t="str">
        <f t="shared" si="3548"/>
        <v>X</v>
      </c>
      <c r="I15320" s="1" t="str">
        <f t="shared" si="3548"/>
        <v>X</v>
      </c>
      <c r="J15320" s="1" t="str">
        <f t="shared" si="3548"/>
        <v>X</v>
      </c>
      <c r="K15320" s="1" t="str">
        <f t="shared" si="3548"/>
        <v>X</v>
      </c>
      <c r="L15320" s="1" t="str">
        <f t="shared" si="3548"/>
        <v>X</v>
      </c>
      <c r="M15320" s="1" t="str">
        <f t="shared" si="3548"/>
        <v>X</v>
      </c>
      <c r="N15320" t="s">
        <v>27</v>
      </c>
    </row>
    <row r="15321" spans="1:14" x14ac:dyDescent="0.25">
      <c r="A15321" t="s">
        <v>45</v>
      </c>
      <c r="B15321" t="s">
        <v>40</v>
      </c>
      <c r="C15321" t="s">
        <v>36</v>
      </c>
      <c r="D15321" t="s">
        <v>31</v>
      </c>
      <c r="E15321" t="s">
        <v>23</v>
      </c>
      <c r="F15321" t="s">
        <v>20</v>
      </c>
      <c r="G15321" s="2">
        <f>VALUE(417.37)</f>
        <v>417.37</v>
      </c>
      <c r="H15321" s="3">
        <f>VALUE(323.77)</f>
        <v>323.77</v>
      </c>
      <c r="I15321" s="4">
        <f>VALUE(3000)</f>
        <v>3000</v>
      </c>
      <c r="J15321" s="1">
        <f>VALUE(3425)</f>
        <v>3425</v>
      </c>
      <c r="K15321" s="1">
        <f>VALUE(3816)</f>
        <v>3816</v>
      </c>
      <c r="L15321" s="1">
        <f>VALUE(4217)</f>
        <v>4217</v>
      </c>
      <c r="M15321" s="1">
        <f>VALUE(4537)</f>
        <v>4537</v>
      </c>
      <c r="N15321" t="s">
        <v>25</v>
      </c>
    </row>
    <row r="15322" spans="1:14" x14ac:dyDescent="0.25">
      <c r="A15322" t="s">
        <v>45</v>
      </c>
      <c r="B15322" t="s">
        <v>40</v>
      </c>
      <c r="C15322" t="s">
        <v>36</v>
      </c>
      <c r="D15322" t="s">
        <v>31</v>
      </c>
      <c r="E15322" t="s">
        <v>26</v>
      </c>
      <c r="F15322" t="s">
        <v>15</v>
      </c>
      <c r="G15322" s="1" t="str">
        <f t="shared" ref="G15322:M15322" si="3549">"X"</f>
        <v>X</v>
      </c>
      <c r="H15322" s="1" t="str">
        <f t="shared" si="3549"/>
        <v>X</v>
      </c>
      <c r="I15322" s="1" t="str">
        <f t="shared" si="3549"/>
        <v>X</v>
      </c>
      <c r="J15322" s="1" t="str">
        <f t="shared" si="3549"/>
        <v>X</v>
      </c>
      <c r="K15322" s="1" t="str">
        <f t="shared" si="3549"/>
        <v>X</v>
      </c>
      <c r="L15322" s="1" t="str">
        <f t="shared" si="3549"/>
        <v>X</v>
      </c>
      <c r="M15322" s="1" t="str">
        <f t="shared" si="3549"/>
        <v>X</v>
      </c>
      <c r="N15322" t="s">
        <v>27</v>
      </c>
    </row>
    <row r="15323" spans="1:14" x14ac:dyDescent="0.25">
      <c r="A15323" t="s">
        <v>45</v>
      </c>
      <c r="B15323" t="s">
        <v>40</v>
      </c>
      <c r="C15323" t="s">
        <v>36</v>
      </c>
      <c r="D15323" t="s">
        <v>31</v>
      </c>
      <c r="E15323" t="s">
        <v>26</v>
      </c>
      <c r="F15323" t="s">
        <v>17</v>
      </c>
      <c r="G15323" s="1" t="str">
        <f t="shared" ref="G15323:M15325" si="3550">"..."</f>
        <v>...</v>
      </c>
      <c r="H15323" s="1" t="str">
        <f t="shared" si="3550"/>
        <v>...</v>
      </c>
      <c r="I15323" s="1" t="str">
        <f t="shared" si="3550"/>
        <v>...</v>
      </c>
      <c r="J15323" s="1" t="str">
        <f t="shared" si="3550"/>
        <v>...</v>
      </c>
      <c r="K15323" s="1" t="str">
        <f t="shared" si="3550"/>
        <v>...</v>
      </c>
      <c r="L15323" s="1" t="str">
        <f t="shared" si="3550"/>
        <v>...</v>
      </c>
      <c r="M15323" s="1" t="str">
        <f t="shared" si="3550"/>
        <v>...</v>
      </c>
      <c r="N15323" t="s">
        <v>30</v>
      </c>
    </row>
    <row r="15324" spans="1:14" x14ac:dyDescent="0.25">
      <c r="A15324" t="s">
        <v>45</v>
      </c>
      <c r="B15324" t="s">
        <v>40</v>
      </c>
      <c r="C15324" t="s">
        <v>36</v>
      </c>
      <c r="D15324" t="s">
        <v>31</v>
      </c>
      <c r="E15324" t="s">
        <v>26</v>
      </c>
      <c r="F15324" t="s">
        <v>18</v>
      </c>
      <c r="G15324" s="1" t="str">
        <f t="shared" si="3550"/>
        <v>...</v>
      </c>
      <c r="H15324" s="1" t="str">
        <f t="shared" si="3550"/>
        <v>...</v>
      </c>
      <c r="I15324" s="1" t="str">
        <f t="shared" si="3550"/>
        <v>...</v>
      </c>
      <c r="J15324" s="1" t="str">
        <f t="shared" si="3550"/>
        <v>...</v>
      </c>
      <c r="K15324" s="1" t="str">
        <f t="shared" si="3550"/>
        <v>...</v>
      </c>
      <c r="L15324" s="1" t="str">
        <f t="shared" si="3550"/>
        <v>...</v>
      </c>
      <c r="M15324" s="1" t="str">
        <f t="shared" si="3550"/>
        <v>...</v>
      </c>
      <c r="N15324" t="s">
        <v>30</v>
      </c>
    </row>
    <row r="15325" spans="1:14" x14ac:dyDescent="0.25">
      <c r="A15325" t="s">
        <v>45</v>
      </c>
      <c r="B15325" t="s">
        <v>40</v>
      </c>
      <c r="C15325" t="s">
        <v>36</v>
      </c>
      <c r="D15325" t="s">
        <v>31</v>
      </c>
      <c r="E15325" t="s">
        <v>26</v>
      </c>
      <c r="F15325" t="s">
        <v>19</v>
      </c>
      <c r="G15325" s="1" t="str">
        <f t="shared" si="3550"/>
        <v>...</v>
      </c>
      <c r="H15325" s="1" t="str">
        <f t="shared" si="3550"/>
        <v>...</v>
      </c>
      <c r="I15325" s="1" t="str">
        <f t="shared" si="3550"/>
        <v>...</v>
      </c>
      <c r="J15325" s="1" t="str">
        <f t="shared" si="3550"/>
        <v>...</v>
      </c>
      <c r="K15325" s="1" t="str">
        <f t="shared" si="3550"/>
        <v>...</v>
      </c>
      <c r="L15325" s="1" t="str">
        <f t="shared" si="3550"/>
        <v>...</v>
      </c>
      <c r="M15325" s="1" t="str">
        <f t="shared" si="3550"/>
        <v>...</v>
      </c>
      <c r="N15325" t="s">
        <v>30</v>
      </c>
    </row>
    <row r="15326" spans="1:14" x14ac:dyDescent="0.25">
      <c r="A15326" t="s">
        <v>45</v>
      </c>
      <c r="B15326" t="s">
        <v>40</v>
      </c>
      <c r="C15326" t="s">
        <v>36</v>
      </c>
      <c r="D15326" t="s">
        <v>31</v>
      </c>
      <c r="E15326" t="s">
        <v>26</v>
      </c>
      <c r="F15326" t="s">
        <v>20</v>
      </c>
      <c r="G15326" s="1" t="str">
        <f t="shared" ref="G15326:M15326" si="3551">"X"</f>
        <v>X</v>
      </c>
      <c r="H15326" s="1" t="str">
        <f t="shared" si="3551"/>
        <v>X</v>
      </c>
      <c r="I15326" s="1" t="str">
        <f t="shared" si="3551"/>
        <v>X</v>
      </c>
      <c r="J15326" s="1" t="str">
        <f t="shared" si="3551"/>
        <v>X</v>
      </c>
      <c r="K15326" s="1" t="str">
        <f t="shared" si="3551"/>
        <v>X</v>
      </c>
      <c r="L15326" s="1" t="str">
        <f t="shared" si="3551"/>
        <v>X</v>
      </c>
      <c r="M15326" s="1" t="str">
        <f t="shared" si="3551"/>
        <v>X</v>
      </c>
      <c r="N15326" t="s">
        <v>27</v>
      </c>
    </row>
    <row r="15327" spans="1:14" x14ac:dyDescent="0.25">
      <c r="A15327" t="s">
        <v>45</v>
      </c>
      <c r="B15327" t="s">
        <v>40</v>
      </c>
      <c r="C15327" t="s">
        <v>36</v>
      </c>
      <c r="D15327" t="s">
        <v>32</v>
      </c>
      <c r="E15327" t="s">
        <v>15</v>
      </c>
      <c r="F15327" t="s">
        <v>15</v>
      </c>
      <c r="G15327" s="1">
        <f>VALUE(5620.89)</f>
        <v>5620.89</v>
      </c>
      <c r="H15327" s="1">
        <f>VALUE(5003.53)</f>
        <v>5003.53</v>
      </c>
      <c r="I15327" s="1">
        <f>VALUE(3001)</f>
        <v>3001</v>
      </c>
      <c r="J15327" s="1">
        <f>VALUE(3335)</f>
        <v>3335</v>
      </c>
      <c r="K15327" s="1">
        <f>VALUE(3785)</f>
        <v>3785</v>
      </c>
      <c r="L15327" s="1">
        <f>VALUE(4597)</f>
        <v>4597</v>
      </c>
      <c r="M15327" s="1">
        <f>VALUE(5653)</f>
        <v>5653</v>
      </c>
      <c r="N15327" t="s">
        <v>16</v>
      </c>
    </row>
    <row r="15328" spans="1:14" x14ac:dyDescent="0.25">
      <c r="A15328" t="s">
        <v>45</v>
      </c>
      <c r="B15328" t="s">
        <v>40</v>
      </c>
      <c r="C15328" t="s">
        <v>36</v>
      </c>
      <c r="D15328" t="s">
        <v>32</v>
      </c>
      <c r="E15328" t="s">
        <v>15</v>
      </c>
      <c r="F15328" t="s">
        <v>17</v>
      </c>
      <c r="G15328" s="1" t="str">
        <f t="shared" ref="G15328:M15328" si="3552">"X"</f>
        <v>X</v>
      </c>
      <c r="H15328" s="1" t="str">
        <f t="shared" si="3552"/>
        <v>X</v>
      </c>
      <c r="I15328" s="1" t="str">
        <f t="shared" si="3552"/>
        <v>X</v>
      </c>
      <c r="J15328" s="1" t="str">
        <f t="shared" si="3552"/>
        <v>X</v>
      </c>
      <c r="K15328" s="1" t="str">
        <f t="shared" si="3552"/>
        <v>X</v>
      </c>
      <c r="L15328" s="1" t="str">
        <f t="shared" si="3552"/>
        <v>X</v>
      </c>
      <c r="M15328" s="1" t="str">
        <f t="shared" si="3552"/>
        <v>X</v>
      </c>
      <c r="N15328" t="s">
        <v>27</v>
      </c>
    </row>
    <row r="15329" spans="1:14" x14ac:dyDescent="0.25">
      <c r="A15329" t="s">
        <v>45</v>
      </c>
      <c r="B15329" t="s">
        <v>40</v>
      </c>
      <c r="C15329" t="s">
        <v>36</v>
      </c>
      <c r="D15329" t="s">
        <v>32</v>
      </c>
      <c r="E15329" t="s">
        <v>15</v>
      </c>
      <c r="F15329" t="s">
        <v>18</v>
      </c>
      <c r="G15329" s="2">
        <f>VALUE(251.2)</f>
        <v>251.2</v>
      </c>
      <c r="H15329" s="3">
        <f>VALUE(239.15)</f>
        <v>239.15</v>
      </c>
      <c r="I15329" s="1">
        <f>VALUE(4115)</f>
        <v>4115</v>
      </c>
      <c r="J15329" s="1">
        <f>VALUE(4351)</f>
        <v>4351</v>
      </c>
      <c r="K15329" s="1">
        <f>VALUE(5098)</f>
        <v>5098</v>
      </c>
      <c r="L15329" s="1">
        <f>VALUE(5684)</f>
        <v>5684</v>
      </c>
      <c r="M15329" s="8">
        <f>VALUE(6925)</f>
        <v>6925</v>
      </c>
      <c r="N15329" t="s">
        <v>25</v>
      </c>
    </row>
    <row r="15330" spans="1:14" x14ac:dyDescent="0.25">
      <c r="A15330" t="s">
        <v>45</v>
      </c>
      <c r="B15330" t="s">
        <v>40</v>
      </c>
      <c r="C15330" t="s">
        <v>36</v>
      </c>
      <c r="D15330" t="s">
        <v>32</v>
      </c>
      <c r="E15330" t="s">
        <v>15</v>
      </c>
      <c r="F15330" t="s">
        <v>19</v>
      </c>
      <c r="G15330" s="2">
        <f>VALUE(453.3)</f>
        <v>453.3</v>
      </c>
      <c r="H15330" s="3">
        <f>VALUE(412.63)</f>
        <v>412.63</v>
      </c>
      <c r="I15330" s="1">
        <f>VALUE(3050)</f>
        <v>3050</v>
      </c>
      <c r="J15330" s="1">
        <f>VALUE(3409)</f>
        <v>3409</v>
      </c>
      <c r="K15330" s="1">
        <f>VALUE(4209)</f>
        <v>4209</v>
      </c>
      <c r="L15330" s="1">
        <f>VALUE(5099)</f>
        <v>5099</v>
      </c>
      <c r="M15330" s="1">
        <f>VALUE(5958)</f>
        <v>5958</v>
      </c>
      <c r="N15330" t="s">
        <v>25</v>
      </c>
    </row>
    <row r="15331" spans="1:14" x14ac:dyDescent="0.25">
      <c r="A15331" t="s">
        <v>45</v>
      </c>
      <c r="B15331" t="s">
        <v>40</v>
      </c>
      <c r="C15331" t="s">
        <v>36</v>
      </c>
      <c r="D15331" t="s">
        <v>32</v>
      </c>
      <c r="E15331" t="s">
        <v>15</v>
      </c>
      <c r="F15331" t="s">
        <v>20</v>
      </c>
      <c r="G15331" s="1">
        <f>VALUE(4692.99)</f>
        <v>4692.99</v>
      </c>
      <c r="H15331" s="1">
        <f>VALUE(4177.31)</f>
        <v>4177.3100000000004</v>
      </c>
      <c r="I15331" s="1">
        <f>VALUE(2996)</f>
        <v>2996</v>
      </c>
      <c r="J15331" s="1">
        <f>VALUE(3289)</f>
        <v>3289</v>
      </c>
      <c r="K15331" s="1">
        <f>VALUE(3670)</f>
        <v>3670</v>
      </c>
      <c r="L15331" s="1">
        <f>VALUE(4360)</f>
        <v>4360</v>
      </c>
      <c r="M15331" s="1">
        <f>VALUE(5404)</f>
        <v>5404</v>
      </c>
      <c r="N15331" t="s">
        <v>16</v>
      </c>
    </row>
    <row r="15332" spans="1:14" x14ac:dyDescent="0.25">
      <c r="A15332" t="s">
        <v>45</v>
      </c>
      <c r="B15332" t="s">
        <v>40</v>
      </c>
      <c r="C15332" t="s">
        <v>36</v>
      </c>
      <c r="D15332" t="s">
        <v>32</v>
      </c>
      <c r="E15332" t="s">
        <v>21</v>
      </c>
      <c r="F15332" t="s">
        <v>15</v>
      </c>
      <c r="G15332" s="2">
        <f>VALUE(2209.33)</f>
        <v>2209.33</v>
      </c>
      <c r="H15332" s="3">
        <f>VALUE(1977.72)</f>
        <v>1977.72</v>
      </c>
      <c r="I15332" s="1">
        <f>VALUE(3190)</f>
        <v>3190</v>
      </c>
      <c r="J15332" s="1">
        <f>VALUE(3569)</f>
        <v>3569</v>
      </c>
      <c r="K15332" s="1">
        <f>VALUE(4351)</f>
        <v>4351</v>
      </c>
      <c r="L15332" s="1">
        <f>VALUE(5404)</f>
        <v>5404</v>
      </c>
      <c r="M15332" s="1">
        <f>VALUE(6512)</f>
        <v>6512</v>
      </c>
      <c r="N15332" t="s">
        <v>25</v>
      </c>
    </row>
    <row r="15333" spans="1:14" x14ac:dyDescent="0.25">
      <c r="A15333" t="s">
        <v>45</v>
      </c>
      <c r="B15333" t="s">
        <v>40</v>
      </c>
      <c r="C15333" t="s">
        <v>36</v>
      </c>
      <c r="D15333" t="s">
        <v>32</v>
      </c>
      <c r="E15333" t="s">
        <v>21</v>
      </c>
      <c r="F15333" t="s">
        <v>17</v>
      </c>
      <c r="G15333" s="1" t="str">
        <f t="shared" ref="G15333:M15334" si="3553">"X"</f>
        <v>X</v>
      </c>
      <c r="H15333" s="1" t="str">
        <f t="shared" si="3553"/>
        <v>X</v>
      </c>
      <c r="I15333" s="1" t="str">
        <f t="shared" si="3553"/>
        <v>X</v>
      </c>
      <c r="J15333" s="1" t="str">
        <f t="shared" si="3553"/>
        <v>X</v>
      </c>
      <c r="K15333" s="1" t="str">
        <f t="shared" si="3553"/>
        <v>X</v>
      </c>
      <c r="L15333" s="1" t="str">
        <f t="shared" si="3553"/>
        <v>X</v>
      </c>
      <c r="M15333" s="1" t="str">
        <f t="shared" si="3553"/>
        <v>X</v>
      </c>
      <c r="N15333" t="s">
        <v>27</v>
      </c>
    </row>
    <row r="15334" spans="1:14" x14ac:dyDescent="0.25">
      <c r="A15334" t="s">
        <v>45</v>
      </c>
      <c r="B15334" t="s">
        <v>40</v>
      </c>
      <c r="C15334" t="s">
        <v>36</v>
      </c>
      <c r="D15334" t="s">
        <v>32</v>
      </c>
      <c r="E15334" t="s">
        <v>21</v>
      </c>
      <c r="F15334" t="s">
        <v>18</v>
      </c>
      <c r="G15334" s="1" t="str">
        <f t="shared" si="3553"/>
        <v>X</v>
      </c>
      <c r="H15334" s="1" t="str">
        <f t="shared" si="3553"/>
        <v>X</v>
      </c>
      <c r="I15334" s="1" t="str">
        <f t="shared" si="3553"/>
        <v>X</v>
      </c>
      <c r="J15334" s="1" t="str">
        <f t="shared" si="3553"/>
        <v>X</v>
      </c>
      <c r="K15334" s="1" t="str">
        <f t="shared" si="3553"/>
        <v>X</v>
      </c>
      <c r="L15334" s="1" t="str">
        <f t="shared" si="3553"/>
        <v>X</v>
      </c>
      <c r="M15334" s="1" t="str">
        <f t="shared" si="3553"/>
        <v>X</v>
      </c>
      <c r="N15334" t="s">
        <v>27</v>
      </c>
    </row>
    <row r="15335" spans="1:14" x14ac:dyDescent="0.25">
      <c r="A15335" t="s">
        <v>45</v>
      </c>
      <c r="B15335" t="s">
        <v>40</v>
      </c>
      <c r="C15335" t="s">
        <v>36</v>
      </c>
      <c r="D15335" t="s">
        <v>32</v>
      </c>
      <c r="E15335" t="s">
        <v>21</v>
      </c>
      <c r="F15335" t="s">
        <v>19</v>
      </c>
      <c r="G15335" s="2">
        <f>VALUE(280.8)</f>
        <v>280.8</v>
      </c>
      <c r="H15335" s="3">
        <f>VALUE(261.75)</f>
        <v>261.75</v>
      </c>
      <c r="I15335" s="1">
        <f>VALUE(3176)</f>
        <v>3176</v>
      </c>
      <c r="J15335" s="1">
        <f>VALUE(3409)</f>
        <v>3409</v>
      </c>
      <c r="K15335" s="1">
        <f>VALUE(4209)</f>
        <v>4209</v>
      </c>
      <c r="L15335" s="7">
        <f>VALUE(5194)</f>
        <v>5194</v>
      </c>
      <c r="M15335" s="1">
        <f>VALUE(6480)</f>
        <v>6480</v>
      </c>
      <c r="N15335" t="s">
        <v>25</v>
      </c>
    </row>
    <row r="15336" spans="1:14" x14ac:dyDescent="0.25">
      <c r="A15336" t="s">
        <v>45</v>
      </c>
      <c r="B15336" t="s">
        <v>40</v>
      </c>
      <c r="C15336" t="s">
        <v>36</v>
      </c>
      <c r="D15336" t="s">
        <v>32</v>
      </c>
      <c r="E15336" t="s">
        <v>21</v>
      </c>
      <c r="F15336" t="s">
        <v>20</v>
      </c>
      <c r="G15336" s="2">
        <f>VALUE(1564.7)</f>
        <v>1564.7</v>
      </c>
      <c r="H15336" s="1">
        <f>VALUE(1403.02)</f>
        <v>1403.02</v>
      </c>
      <c r="I15336" s="1">
        <f>VALUE(3158)</f>
        <v>3158</v>
      </c>
      <c r="J15336" s="1">
        <f>VALUE(3524)</f>
        <v>3524</v>
      </c>
      <c r="K15336" s="1">
        <f>VALUE(4211)</f>
        <v>4211</v>
      </c>
      <c r="L15336" s="1">
        <f>VALUE(5232)</f>
        <v>5232</v>
      </c>
      <c r="M15336" s="1">
        <f>VALUE(5985)</f>
        <v>5985</v>
      </c>
      <c r="N15336" t="s">
        <v>25</v>
      </c>
    </row>
    <row r="15337" spans="1:14" x14ac:dyDescent="0.25">
      <c r="A15337" t="s">
        <v>45</v>
      </c>
      <c r="B15337" t="s">
        <v>40</v>
      </c>
      <c r="C15337" t="s">
        <v>36</v>
      </c>
      <c r="D15337" t="s">
        <v>32</v>
      </c>
      <c r="E15337" t="s">
        <v>22</v>
      </c>
      <c r="F15337" t="s">
        <v>15</v>
      </c>
      <c r="G15337" s="2">
        <f>VALUE(1522.25)</f>
        <v>1522.25</v>
      </c>
      <c r="H15337" s="3">
        <f>VALUE(1315.3)</f>
        <v>1315.3</v>
      </c>
      <c r="I15337" s="1">
        <f>VALUE(3000)</f>
        <v>3000</v>
      </c>
      <c r="J15337" s="1">
        <f>VALUE(3407)</f>
        <v>3407</v>
      </c>
      <c r="K15337" s="1">
        <f>VALUE(3810)</f>
        <v>3810</v>
      </c>
      <c r="L15337" s="1">
        <f>VALUE(4476)</f>
        <v>4476</v>
      </c>
      <c r="M15337" s="1">
        <f>VALUE(5426)</f>
        <v>5426</v>
      </c>
      <c r="N15337" t="s">
        <v>25</v>
      </c>
    </row>
    <row r="15338" spans="1:14" x14ac:dyDescent="0.25">
      <c r="A15338" t="s">
        <v>45</v>
      </c>
      <c r="B15338" t="s">
        <v>40</v>
      </c>
      <c r="C15338" t="s">
        <v>36</v>
      </c>
      <c r="D15338" t="s">
        <v>32</v>
      </c>
      <c r="E15338" t="s">
        <v>22</v>
      </c>
      <c r="F15338" t="s">
        <v>17</v>
      </c>
      <c r="G15338" s="1" t="str">
        <f t="shared" ref="G15338:M15340" si="3554">"X"</f>
        <v>X</v>
      </c>
      <c r="H15338" s="1" t="str">
        <f t="shared" si="3554"/>
        <v>X</v>
      </c>
      <c r="I15338" s="1" t="str">
        <f t="shared" si="3554"/>
        <v>X</v>
      </c>
      <c r="J15338" s="1" t="str">
        <f t="shared" si="3554"/>
        <v>X</v>
      </c>
      <c r="K15338" s="1" t="str">
        <f t="shared" si="3554"/>
        <v>X</v>
      </c>
      <c r="L15338" s="1" t="str">
        <f t="shared" si="3554"/>
        <v>X</v>
      </c>
      <c r="M15338" s="1" t="str">
        <f t="shared" si="3554"/>
        <v>X</v>
      </c>
      <c r="N15338" t="s">
        <v>27</v>
      </c>
    </row>
    <row r="15339" spans="1:14" x14ac:dyDescent="0.25">
      <c r="A15339" t="s">
        <v>45</v>
      </c>
      <c r="B15339" t="s">
        <v>40</v>
      </c>
      <c r="C15339" t="s">
        <v>36</v>
      </c>
      <c r="D15339" t="s">
        <v>32</v>
      </c>
      <c r="E15339" t="s">
        <v>22</v>
      </c>
      <c r="F15339" t="s">
        <v>18</v>
      </c>
      <c r="G15339" s="1" t="str">
        <f t="shared" si="3554"/>
        <v>X</v>
      </c>
      <c r="H15339" s="1" t="str">
        <f t="shared" si="3554"/>
        <v>X</v>
      </c>
      <c r="I15339" s="1" t="str">
        <f t="shared" si="3554"/>
        <v>X</v>
      </c>
      <c r="J15339" s="1" t="str">
        <f t="shared" si="3554"/>
        <v>X</v>
      </c>
      <c r="K15339" s="1" t="str">
        <f t="shared" si="3554"/>
        <v>X</v>
      </c>
      <c r="L15339" s="1" t="str">
        <f t="shared" si="3554"/>
        <v>X</v>
      </c>
      <c r="M15339" s="1" t="str">
        <f t="shared" si="3554"/>
        <v>X</v>
      </c>
      <c r="N15339" t="s">
        <v>27</v>
      </c>
    </row>
    <row r="15340" spans="1:14" x14ac:dyDescent="0.25">
      <c r="A15340" t="s">
        <v>45</v>
      </c>
      <c r="B15340" t="s">
        <v>40</v>
      </c>
      <c r="C15340" t="s">
        <v>36</v>
      </c>
      <c r="D15340" t="s">
        <v>32</v>
      </c>
      <c r="E15340" t="s">
        <v>22</v>
      </c>
      <c r="F15340" t="s">
        <v>19</v>
      </c>
      <c r="G15340" s="1" t="str">
        <f t="shared" si="3554"/>
        <v>X</v>
      </c>
      <c r="H15340" s="1" t="str">
        <f t="shared" si="3554"/>
        <v>X</v>
      </c>
      <c r="I15340" s="1" t="str">
        <f t="shared" si="3554"/>
        <v>X</v>
      </c>
      <c r="J15340" s="1" t="str">
        <f t="shared" si="3554"/>
        <v>X</v>
      </c>
      <c r="K15340" s="1" t="str">
        <f t="shared" si="3554"/>
        <v>X</v>
      </c>
      <c r="L15340" s="1" t="str">
        <f t="shared" si="3554"/>
        <v>X</v>
      </c>
      <c r="M15340" s="1" t="str">
        <f t="shared" si="3554"/>
        <v>X</v>
      </c>
      <c r="N15340" t="s">
        <v>27</v>
      </c>
    </row>
    <row r="15341" spans="1:14" x14ac:dyDescent="0.25">
      <c r="A15341" t="s">
        <v>45</v>
      </c>
      <c r="B15341" t="s">
        <v>40</v>
      </c>
      <c r="C15341" t="s">
        <v>36</v>
      </c>
      <c r="D15341" t="s">
        <v>32</v>
      </c>
      <c r="E15341" t="s">
        <v>22</v>
      </c>
      <c r="F15341" t="s">
        <v>20</v>
      </c>
      <c r="G15341" s="2">
        <f>VALUE(1297.62)</f>
        <v>1297.6199999999999</v>
      </c>
      <c r="H15341" s="3">
        <f>VALUE(1117.09)</f>
        <v>1117.0899999999999</v>
      </c>
      <c r="I15341" s="1">
        <f>VALUE(2981)</f>
        <v>2981</v>
      </c>
      <c r="J15341" s="1">
        <f>VALUE(3404)</f>
        <v>3404</v>
      </c>
      <c r="K15341" s="1">
        <f>VALUE(3683)</f>
        <v>3683</v>
      </c>
      <c r="L15341" s="1">
        <f>VALUE(4383)</f>
        <v>4383</v>
      </c>
      <c r="M15341" s="1">
        <f>VALUE(5302)</f>
        <v>5302</v>
      </c>
      <c r="N15341" t="s">
        <v>25</v>
      </c>
    </row>
    <row r="15342" spans="1:14" x14ac:dyDescent="0.25">
      <c r="A15342" t="s">
        <v>45</v>
      </c>
      <c r="B15342" t="s">
        <v>40</v>
      </c>
      <c r="C15342" t="s">
        <v>36</v>
      </c>
      <c r="D15342" t="s">
        <v>32</v>
      </c>
      <c r="E15342" t="s">
        <v>23</v>
      </c>
      <c r="F15342" t="s">
        <v>15</v>
      </c>
      <c r="G15342" s="1">
        <f>VALUE(1869.58)</f>
        <v>1869.58</v>
      </c>
      <c r="H15342" s="1">
        <f>VALUE(1694.04)</f>
        <v>1694.04</v>
      </c>
      <c r="I15342" s="1">
        <f>VALUE(2932)</f>
        <v>2932</v>
      </c>
      <c r="J15342" s="1">
        <f>VALUE(3164)</f>
        <v>3164</v>
      </c>
      <c r="K15342" s="1">
        <f>VALUE(3465)</f>
        <v>3465</v>
      </c>
      <c r="L15342" s="1">
        <f>VALUE(3800)</f>
        <v>3800</v>
      </c>
      <c r="M15342" s="1">
        <f>VALUE(4283)</f>
        <v>4283</v>
      </c>
      <c r="N15342" t="s">
        <v>16</v>
      </c>
    </row>
    <row r="15343" spans="1:14" x14ac:dyDescent="0.25">
      <c r="A15343" t="s">
        <v>45</v>
      </c>
      <c r="B15343" t="s">
        <v>40</v>
      </c>
      <c r="C15343" t="s">
        <v>36</v>
      </c>
      <c r="D15343" t="s">
        <v>32</v>
      </c>
      <c r="E15343" t="s">
        <v>23</v>
      </c>
      <c r="F15343" t="s">
        <v>17</v>
      </c>
      <c r="G15343" s="1" t="str">
        <f t="shared" ref="G15343:M15345" si="3555">"X"</f>
        <v>X</v>
      </c>
      <c r="H15343" s="1" t="str">
        <f t="shared" si="3555"/>
        <v>X</v>
      </c>
      <c r="I15343" s="1" t="str">
        <f t="shared" si="3555"/>
        <v>X</v>
      </c>
      <c r="J15343" s="1" t="str">
        <f t="shared" si="3555"/>
        <v>X</v>
      </c>
      <c r="K15343" s="1" t="str">
        <f t="shared" si="3555"/>
        <v>X</v>
      </c>
      <c r="L15343" s="1" t="str">
        <f t="shared" si="3555"/>
        <v>X</v>
      </c>
      <c r="M15343" s="1" t="str">
        <f t="shared" si="3555"/>
        <v>X</v>
      </c>
      <c r="N15343" t="s">
        <v>27</v>
      </c>
    </row>
    <row r="15344" spans="1:14" x14ac:dyDescent="0.25">
      <c r="A15344" t="s">
        <v>45</v>
      </c>
      <c r="B15344" t="s">
        <v>40</v>
      </c>
      <c r="C15344" t="s">
        <v>36</v>
      </c>
      <c r="D15344" t="s">
        <v>32</v>
      </c>
      <c r="E15344" t="s">
        <v>23</v>
      </c>
      <c r="F15344" t="s">
        <v>18</v>
      </c>
      <c r="G15344" s="1" t="str">
        <f t="shared" si="3555"/>
        <v>X</v>
      </c>
      <c r="H15344" s="1" t="str">
        <f t="shared" si="3555"/>
        <v>X</v>
      </c>
      <c r="I15344" s="1" t="str">
        <f t="shared" si="3555"/>
        <v>X</v>
      </c>
      <c r="J15344" s="1" t="str">
        <f t="shared" si="3555"/>
        <v>X</v>
      </c>
      <c r="K15344" s="1" t="str">
        <f t="shared" si="3555"/>
        <v>X</v>
      </c>
      <c r="L15344" s="1" t="str">
        <f t="shared" si="3555"/>
        <v>X</v>
      </c>
      <c r="M15344" s="1" t="str">
        <f t="shared" si="3555"/>
        <v>X</v>
      </c>
      <c r="N15344" t="s">
        <v>27</v>
      </c>
    </row>
    <row r="15345" spans="1:14" x14ac:dyDescent="0.25">
      <c r="A15345" t="s">
        <v>45</v>
      </c>
      <c r="B15345" t="s">
        <v>40</v>
      </c>
      <c r="C15345" t="s">
        <v>36</v>
      </c>
      <c r="D15345" t="s">
        <v>32</v>
      </c>
      <c r="E15345" t="s">
        <v>23</v>
      </c>
      <c r="F15345" t="s">
        <v>19</v>
      </c>
      <c r="G15345" s="1" t="str">
        <f t="shared" si="3555"/>
        <v>X</v>
      </c>
      <c r="H15345" s="1" t="str">
        <f t="shared" si="3555"/>
        <v>X</v>
      </c>
      <c r="I15345" s="1" t="str">
        <f t="shared" si="3555"/>
        <v>X</v>
      </c>
      <c r="J15345" s="1" t="str">
        <f t="shared" si="3555"/>
        <v>X</v>
      </c>
      <c r="K15345" s="1" t="str">
        <f t="shared" si="3555"/>
        <v>X</v>
      </c>
      <c r="L15345" s="1" t="str">
        <f t="shared" si="3555"/>
        <v>X</v>
      </c>
      <c r="M15345" s="1" t="str">
        <f t="shared" si="3555"/>
        <v>X</v>
      </c>
      <c r="N15345" t="s">
        <v>27</v>
      </c>
    </row>
    <row r="15346" spans="1:14" x14ac:dyDescent="0.25">
      <c r="A15346" t="s">
        <v>45</v>
      </c>
      <c r="B15346" t="s">
        <v>40</v>
      </c>
      <c r="C15346" t="s">
        <v>36</v>
      </c>
      <c r="D15346" t="s">
        <v>32</v>
      </c>
      <c r="E15346" t="s">
        <v>23</v>
      </c>
      <c r="F15346" t="s">
        <v>20</v>
      </c>
      <c r="G15346" s="1">
        <f>VALUE(1810.94)</f>
        <v>1810.94</v>
      </c>
      <c r="H15346" s="1">
        <f>VALUE(1640.73)</f>
        <v>1640.73</v>
      </c>
      <c r="I15346" s="1">
        <f>VALUE(2930)</f>
        <v>2930</v>
      </c>
      <c r="J15346" s="1">
        <f>VALUE(3164)</f>
        <v>3164</v>
      </c>
      <c r="K15346" s="1">
        <f>VALUE(3450)</f>
        <v>3450</v>
      </c>
      <c r="L15346" s="1">
        <f>VALUE(3800)</f>
        <v>3800</v>
      </c>
      <c r="M15346" s="1">
        <f>VALUE(4240)</f>
        <v>4240</v>
      </c>
      <c r="N15346" t="s">
        <v>16</v>
      </c>
    </row>
    <row r="15347" spans="1:14" x14ac:dyDescent="0.25">
      <c r="A15347" t="s">
        <v>45</v>
      </c>
      <c r="B15347" t="s">
        <v>40</v>
      </c>
      <c r="C15347" t="s">
        <v>36</v>
      </c>
      <c r="D15347" t="s">
        <v>32</v>
      </c>
      <c r="E15347" t="s">
        <v>26</v>
      </c>
      <c r="F15347" t="s">
        <v>15</v>
      </c>
      <c r="G15347" s="1" t="str">
        <f t="shared" ref="G15347:M15347" si="3556">"X"</f>
        <v>X</v>
      </c>
      <c r="H15347" s="1" t="str">
        <f t="shared" si="3556"/>
        <v>X</v>
      </c>
      <c r="I15347" s="1" t="str">
        <f t="shared" si="3556"/>
        <v>X</v>
      </c>
      <c r="J15347" s="1" t="str">
        <f t="shared" si="3556"/>
        <v>X</v>
      </c>
      <c r="K15347" s="1" t="str">
        <f t="shared" si="3556"/>
        <v>X</v>
      </c>
      <c r="L15347" s="1" t="str">
        <f t="shared" si="3556"/>
        <v>X</v>
      </c>
      <c r="M15347" s="1" t="str">
        <f t="shared" si="3556"/>
        <v>X</v>
      </c>
      <c r="N15347" t="s">
        <v>27</v>
      </c>
    </row>
    <row r="15348" spans="1:14" x14ac:dyDescent="0.25">
      <c r="A15348" t="s">
        <v>45</v>
      </c>
      <c r="B15348" t="s">
        <v>40</v>
      </c>
      <c r="C15348" t="s">
        <v>36</v>
      </c>
      <c r="D15348" t="s">
        <v>32</v>
      </c>
      <c r="E15348" t="s">
        <v>26</v>
      </c>
      <c r="F15348" t="s">
        <v>17</v>
      </c>
      <c r="G15348" s="1" t="str">
        <f t="shared" ref="G15348:M15350" si="3557">"..."</f>
        <v>...</v>
      </c>
      <c r="H15348" s="1" t="str">
        <f t="shared" si="3557"/>
        <v>...</v>
      </c>
      <c r="I15348" s="1" t="str">
        <f t="shared" si="3557"/>
        <v>...</v>
      </c>
      <c r="J15348" s="1" t="str">
        <f t="shared" si="3557"/>
        <v>...</v>
      </c>
      <c r="K15348" s="1" t="str">
        <f t="shared" si="3557"/>
        <v>...</v>
      </c>
      <c r="L15348" s="1" t="str">
        <f t="shared" si="3557"/>
        <v>...</v>
      </c>
      <c r="M15348" s="1" t="str">
        <f t="shared" si="3557"/>
        <v>...</v>
      </c>
      <c r="N15348" t="s">
        <v>30</v>
      </c>
    </row>
    <row r="15349" spans="1:14" x14ac:dyDescent="0.25">
      <c r="A15349" t="s">
        <v>45</v>
      </c>
      <c r="B15349" t="s">
        <v>40</v>
      </c>
      <c r="C15349" t="s">
        <v>36</v>
      </c>
      <c r="D15349" t="s">
        <v>32</v>
      </c>
      <c r="E15349" t="s">
        <v>26</v>
      </c>
      <c r="F15349" t="s">
        <v>18</v>
      </c>
      <c r="G15349" s="1" t="str">
        <f t="shared" si="3557"/>
        <v>...</v>
      </c>
      <c r="H15349" s="1" t="str">
        <f t="shared" si="3557"/>
        <v>...</v>
      </c>
      <c r="I15349" s="1" t="str">
        <f t="shared" si="3557"/>
        <v>...</v>
      </c>
      <c r="J15349" s="1" t="str">
        <f t="shared" si="3557"/>
        <v>...</v>
      </c>
      <c r="K15349" s="1" t="str">
        <f t="shared" si="3557"/>
        <v>...</v>
      </c>
      <c r="L15349" s="1" t="str">
        <f t="shared" si="3557"/>
        <v>...</v>
      </c>
      <c r="M15349" s="1" t="str">
        <f t="shared" si="3557"/>
        <v>...</v>
      </c>
      <c r="N15349" t="s">
        <v>30</v>
      </c>
    </row>
    <row r="15350" spans="1:14" x14ac:dyDescent="0.25">
      <c r="A15350" t="s">
        <v>45</v>
      </c>
      <c r="B15350" t="s">
        <v>40</v>
      </c>
      <c r="C15350" t="s">
        <v>36</v>
      </c>
      <c r="D15350" t="s">
        <v>32</v>
      </c>
      <c r="E15350" t="s">
        <v>26</v>
      </c>
      <c r="F15350" t="s">
        <v>19</v>
      </c>
      <c r="G15350" s="1" t="str">
        <f t="shared" si="3557"/>
        <v>...</v>
      </c>
      <c r="H15350" s="1" t="str">
        <f t="shared" si="3557"/>
        <v>...</v>
      </c>
      <c r="I15350" s="1" t="str">
        <f t="shared" si="3557"/>
        <v>...</v>
      </c>
      <c r="J15350" s="1" t="str">
        <f t="shared" si="3557"/>
        <v>...</v>
      </c>
      <c r="K15350" s="1" t="str">
        <f t="shared" si="3557"/>
        <v>...</v>
      </c>
      <c r="L15350" s="1" t="str">
        <f t="shared" si="3557"/>
        <v>...</v>
      </c>
      <c r="M15350" s="1" t="str">
        <f t="shared" si="3557"/>
        <v>...</v>
      </c>
      <c r="N15350" t="s">
        <v>30</v>
      </c>
    </row>
    <row r="15351" spans="1:14" x14ac:dyDescent="0.25">
      <c r="A15351" t="s">
        <v>45</v>
      </c>
      <c r="B15351" t="s">
        <v>40</v>
      </c>
      <c r="C15351" t="s">
        <v>36</v>
      </c>
      <c r="D15351" t="s">
        <v>32</v>
      </c>
      <c r="E15351" t="s">
        <v>26</v>
      </c>
      <c r="F15351" t="s">
        <v>20</v>
      </c>
      <c r="G15351" s="1" t="str">
        <f t="shared" ref="G15351:M15362" si="3558">"X"</f>
        <v>X</v>
      </c>
      <c r="H15351" s="1" t="str">
        <f t="shared" si="3558"/>
        <v>X</v>
      </c>
      <c r="I15351" s="1" t="str">
        <f t="shared" si="3558"/>
        <v>X</v>
      </c>
      <c r="J15351" s="1" t="str">
        <f t="shared" si="3558"/>
        <v>X</v>
      </c>
      <c r="K15351" s="1" t="str">
        <f t="shared" si="3558"/>
        <v>X</v>
      </c>
      <c r="L15351" s="1" t="str">
        <f t="shared" si="3558"/>
        <v>X</v>
      </c>
      <c r="M15351" s="1" t="str">
        <f t="shared" si="3558"/>
        <v>X</v>
      </c>
      <c r="N15351" t="s">
        <v>27</v>
      </c>
    </row>
    <row r="15352" spans="1:14" x14ac:dyDescent="0.25">
      <c r="A15352" t="s">
        <v>45</v>
      </c>
      <c r="B15352" t="s">
        <v>40</v>
      </c>
      <c r="C15352" t="s">
        <v>36</v>
      </c>
      <c r="D15352" t="s">
        <v>33</v>
      </c>
      <c r="E15352" t="s">
        <v>15</v>
      </c>
      <c r="F15352" t="s">
        <v>15</v>
      </c>
      <c r="G15352" s="1" t="str">
        <f t="shared" si="3558"/>
        <v>X</v>
      </c>
      <c r="H15352" s="1" t="str">
        <f t="shared" si="3558"/>
        <v>X</v>
      </c>
      <c r="I15352" s="1" t="str">
        <f t="shared" si="3558"/>
        <v>X</v>
      </c>
      <c r="J15352" s="1" t="str">
        <f t="shared" si="3558"/>
        <v>X</v>
      </c>
      <c r="K15352" s="1" t="str">
        <f t="shared" si="3558"/>
        <v>X</v>
      </c>
      <c r="L15352" s="1" t="str">
        <f t="shared" si="3558"/>
        <v>X</v>
      </c>
      <c r="M15352" s="1" t="str">
        <f t="shared" si="3558"/>
        <v>X</v>
      </c>
      <c r="N15352" t="s">
        <v>27</v>
      </c>
    </row>
    <row r="15353" spans="1:14" x14ac:dyDescent="0.25">
      <c r="A15353" t="s">
        <v>45</v>
      </c>
      <c r="B15353" t="s">
        <v>40</v>
      </c>
      <c r="C15353" t="s">
        <v>36</v>
      </c>
      <c r="D15353" t="s">
        <v>33</v>
      </c>
      <c r="E15353" t="s">
        <v>15</v>
      </c>
      <c r="F15353" t="s">
        <v>17</v>
      </c>
      <c r="G15353" s="1" t="str">
        <f t="shared" si="3558"/>
        <v>X</v>
      </c>
      <c r="H15353" s="1" t="str">
        <f t="shared" si="3558"/>
        <v>X</v>
      </c>
      <c r="I15353" s="1" t="str">
        <f t="shared" si="3558"/>
        <v>X</v>
      </c>
      <c r="J15353" s="1" t="str">
        <f t="shared" si="3558"/>
        <v>X</v>
      </c>
      <c r="K15353" s="1" t="str">
        <f t="shared" si="3558"/>
        <v>X</v>
      </c>
      <c r="L15353" s="1" t="str">
        <f t="shared" si="3558"/>
        <v>X</v>
      </c>
      <c r="M15353" s="1" t="str">
        <f t="shared" si="3558"/>
        <v>X</v>
      </c>
      <c r="N15353" t="s">
        <v>27</v>
      </c>
    </row>
    <row r="15354" spans="1:14" x14ac:dyDescent="0.25">
      <c r="A15354" t="s">
        <v>45</v>
      </c>
      <c r="B15354" t="s">
        <v>40</v>
      </c>
      <c r="C15354" t="s">
        <v>36</v>
      </c>
      <c r="D15354" t="s">
        <v>33</v>
      </c>
      <c r="E15354" t="s">
        <v>15</v>
      </c>
      <c r="F15354" t="s">
        <v>18</v>
      </c>
      <c r="G15354" s="1" t="str">
        <f t="shared" si="3558"/>
        <v>X</v>
      </c>
      <c r="H15354" s="1" t="str">
        <f t="shared" si="3558"/>
        <v>X</v>
      </c>
      <c r="I15354" s="1" t="str">
        <f t="shared" si="3558"/>
        <v>X</v>
      </c>
      <c r="J15354" s="1" t="str">
        <f t="shared" si="3558"/>
        <v>X</v>
      </c>
      <c r="K15354" s="1" t="str">
        <f t="shared" si="3558"/>
        <v>X</v>
      </c>
      <c r="L15354" s="1" t="str">
        <f t="shared" si="3558"/>
        <v>X</v>
      </c>
      <c r="M15354" s="1" t="str">
        <f t="shared" si="3558"/>
        <v>X</v>
      </c>
      <c r="N15354" t="s">
        <v>27</v>
      </c>
    </row>
    <row r="15355" spans="1:14" x14ac:dyDescent="0.25">
      <c r="A15355" t="s">
        <v>45</v>
      </c>
      <c r="B15355" t="s">
        <v>40</v>
      </c>
      <c r="C15355" t="s">
        <v>36</v>
      </c>
      <c r="D15355" t="s">
        <v>33</v>
      </c>
      <c r="E15355" t="s">
        <v>15</v>
      </c>
      <c r="F15355" t="s">
        <v>19</v>
      </c>
      <c r="G15355" s="1" t="str">
        <f t="shared" si="3558"/>
        <v>X</v>
      </c>
      <c r="H15355" s="1" t="str">
        <f t="shared" si="3558"/>
        <v>X</v>
      </c>
      <c r="I15355" s="1" t="str">
        <f t="shared" si="3558"/>
        <v>X</v>
      </c>
      <c r="J15355" s="1" t="str">
        <f t="shared" si="3558"/>
        <v>X</v>
      </c>
      <c r="K15355" s="1" t="str">
        <f t="shared" si="3558"/>
        <v>X</v>
      </c>
      <c r="L15355" s="1" t="str">
        <f t="shared" si="3558"/>
        <v>X</v>
      </c>
      <c r="M15355" s="1" t="str">
        <f t="shared" si="3558"/>
        <v>X</v>
      </c>
      <c r="N15355" t="s">
        <v>27</v>
      </c>
    </row>
    <row r="15356" spans="1:14" x14ac:dyDescent="0.25">
      <c r="A15356" t="s">
        <v>45</v>
      </c>
      <c r="B15356" t="s">
        <v>40</v>
      </c>
      <c r="C15356" t="s">
        <v>36</v>
      </c>
      <c r="D15356" t="s">
        <v>33</v>
      </c>
      <c r="E15356" t="s">
        <v>15</v>
      </c>
      <c r="F15356" t="s">
        <v>20</v>
      </c>
      <c r="G15356" s="1" t="str">
        <f t="shared" si="3558"/>
        <v>X</v>
      </c>
      <c r="H15356" s="1" t="str">
        <f t="shared" si="3558"/>
        <v>X</v>
      </c>
      <c r="I15356" s="1" t="str">
        <f t="shared" si="3558"/>
        <v>X</v>
      </c>
      <c r="J15356" s="1" t="str">
        <f t="shared" si="3558"/>
        <v>X</v>
      </c>
      <c r="K15356" s="1" t="str">
        <f t="shared" si="3558"/>
        <v>X</v>
      </c>
      <c r="L15356" s="1" t="str">
        <f t="shared" si="3558"/>
        <v>X</v>
      </c>
      <c r="M15356" s="1" t="str">
        <f t="shared" si="3558"/>
        <v>X</v>
      </c>
      <c r="N15356" t="s">
        <v>27</v>
      </c>
    </row>
    <row r="15357" spans="1:14" x14ac:dyDescent="0.25">
      <c r="A15357" t="s">
        <v>45</v>
      </c>
      <c r="B15357" t="s">
        <v>40</v>
      </c>
      <c r="C15357" t="s">
        <v>36</v>
      </c>
      <c r="D15357" t="s">
        <v>33</v>
      </c>
      <c r="E15357" t="s">
        <v>21</v>
      </c>
      <c r="F15357" t="s">
        <v>15</v>
      </c>
      <c r="G15357" s="1" t="str">
        <f t="shared" si="3558"/>
        <v>X</v>
      </c>
      <c r="H15357" s="1" t="str">
        <f t="shared" si="3558"/>
        <v>X</v>
      </c>
      <c r="I15357" s="1" t="str">
        <f t="shared" si="3558"/>
        <v>X</v>
      </c>
      <c r="J15357" s="1" t="str">
        <f t="shared" si="3558"/>
        <v>X</v>
      </c>
      <c r="K15357" s="1" t="str">
        <f t="shared" si="3558"/>
        <v>X</v>
      </c>
      <c r="L15357" s="1" t="str">
        <f t="shared" si="3558"/>
        <v>X</v>
      </c>
      <c r="M15357" s="1" t="str">
        <f t="shared" si="3558"/>
        <v>X</v>
      </c>
      <c r="N15357" t="s">
        <v>27</v>
      </c>
    </row>
    <row r="15358" spans="1:14" x14ac:dyDescent="0.25">
      <c r="A15358" t="s">
        <v>45</v>
      </c>
      <c r="B15358" t="s">
        <v>40</v>
      </c>
      <c r="C15358" t="s">
        <v>36</v>
      </c>
      <c r="D15358" t="s">
        <v>33</v>
      </c>
      <c r="E15358" t="s">
        <v>21</v>
      </c>
      <c r="F15358" t="s">
        <v>17</v>
      </c>
      <c r="G15358" s="1" t="str">
        <f t="shared" si="3558"/>
        <v>X</v>
      </c>
      <c r="H15358" s="1" t="str">
        <f t="shared" si="3558"/>
        <v>X</v>
      </c>
      <c r="I15358" s="1" t="str">
        <f t="shared" si="3558"/>
        <v>X</v>
      </c>
      <c r="J15358" s="1" t="str">
        <f t="shared" si="3558"/>
        <v>X</v>
      </c>
      <c r="K15358" s="1" t="str">
        <f t="shared" si="3558"/>
        <v>X</v>
      </c>
      <c r="L15358" s="1" t="str">
        <f t="shared" si="3558"/>
        <v>X</v>
      </c>
      <c r="M15358" s="1" t="str">
        <f t="shared" si="3558"/>
        <v>X</v>
      </c>
      <c r="N15358" t="s">
        <v>27</v>
      </c>
    </row>
    <row r="15359" spans="1:14" x14ac:dyDescent="0.25">
      <c r="A15359" t="s">
        <v>45</v>
      </c>
      <c r="B15359" t="s">
        <v>40</v>
      </c>
      <c r="C15359" t="s">
        <v>36</v>
      </c>
      <c r="D15359" t="s">
        <v>33</v>
      </c>
      <c r="E15359" t="s">
        <v>21</v>
      </c>
      <c r="F15359" t="s">
        <v>18</v>
      </c>
      <c r="G15359" s="1" t="str">
        <f t="shared" si="3558"/>
        <v>X</v>
      </c>
      <c r="H15359" s="1" t="str">
        <f t="shared" si="3558"/>
        <v>X</v>
      </c>
      <c r="I15359" s="1" t="str">
        <f t="shared" si="3558"/>
        <v>X</v>
      </c>
      <c r="J15359" s="1" t="str">
        <f t="shared" si="3558"/>
        <v>X</v>
      </c>
      <c r="K15359" s="1" t="str">
        <f t="shared" si="3558"/>
        <v>X</v>
      </c>
      <c r="L15359" s="1" t="str">
        <f t="shared" si="3558"/>
        <v>X</v>
      </c>
      <c r="M15359" s="1" t="str">
        <f t="shared" si="3558"/>
        <v>X</v>
      </c>
      <c r="N15359" t="s">
        <v>27</v>
      </c>
    </row>
    <row r="15360" spans="1:14" x14ac:dyDescent="0.25">
      <c r="A15360" t="s">
        <v>45</v>
      </c>
      <c r="B15360" t="s">
        <v>40</v>
      </c>
      <c r="C15360" t="s">
        <v>36</v>
      </c>
      <c r="D15360" t="s">
        <v>33</v>
      </c>
      <c r="E15360" t="s">
        <v>21</v>
      </c>
      <c r="F15360" t="s">
        <v>19</v>
      </c>
      <c r="G15360" s="1" t="str">
        <f t="shared" si="3558"/>
        <v>X</v>
      </c>
      <c r="H15360" s="1" t="str">
        <f t="shared" si="3558"/>
        <v>X</v>
      </c>
      <c r="I15360" s="1" t="str">
        <f t="shared" si="3558"/>
        <v>X</v>
      </c>
      <c r="J15360" s="1" t="str">
        <f t="shared" si="3558"/>
        <v>X</v>
      </c>
      <c r="K15360" s="1" t="str">
        <f t="shared" si="3558"/>
        <v>X</v>
      </c>
      <c r="L15360" s="1" t="str">
        <f t="shared" si="3558"/>
        <v>X</v>
      </c>
      <c r="M15360" s="1" t="str">
        <f t="shared" si="3558"/>
        <v>X</v>
      </c>
      <c r="N15360" t="s">
        <v>27</v>
      </c>
    </row>
    <row r="15361" spans="1:14" x14ac:dyDescent="0.25">
      <c r="A15361" t="s">
        <v>45</v>
      </c>
      <c r="B15361" t="s">
        <v>40</v>
      </c>
      <c r="C15361" t="s">
        <v>36</v>
      </c>
      <c r="D15361" t="s">
        <v>33</v>
      </c>
      <c r="E15361" t="s">
        <v>21</v>
      </c>
      <c r="F15361" t="s">
        <v>20</v>
      </c>
      <c r="G15361" s="1" t="str">
        <f t="shared" si="3558"/>
        <v>X</v>
      </c>
      <c r="H15361" s="1" t="str">
        <f t="shared" si="3558"/>
        <v>X</v>
      </c>
      <c r="I15361" s="1" t="str">
        <f t="shared" si="3558"/>
        <v>X</v>
      </c>
      <c r="J15361" s="1" t="str">
        <f t="shared" si="3558"/>
        <v>X</v>
      </c>
      <c r="K15361" s="1" t="str">
        <f t="shared" si="3558"/>
        <v>X</v>
      </c>
      <c r="L15361" s="1" t="str">
        <f t="shared" si="3558"/>
        <v>X</v>
      </c>
      <c r="M15361" s="1" t="str">
        <f t="shared" si="3558"/>
        <v>X</v>
      </c>
      <c r="N15361" t="s">
        <v>27</v>
      </c>
    </row>
    <row r="15362" spans="1:14" x14ac:dyDescent="0.25">
      <c r="A15362" t="s">
        <v>45</v>
      </c>
      <c r="B15362" t="s">
        <v>40</v>
      </c>
      <c r="C15362" t="s">
        <v>36</v>
      </c>
      <c r="D15362" t="s">
        <v>33</v>
      </c>
      <c r="E15362" t="s">
        <v>22</v>
      </c>
      <c r="F15362" t="s">
        <v>15</v>
      </c>
      <c r="G15362" s="1" t="str">
        <f t="shared" si="3558"/>
        <v>X</v>
      </c>
      <c r="H15362" s="1" t="str">
        <f t="shared" si="3558"/>
        <v>X</v>
      </c>
      <c r="I15362" s="1" t="str">
        <f t="shared" si="3558"/>
        <v>X</v>
      </c>
      <c r="J15362" s="1" t="str">
        <f t="shared" si="3558"/>
        <v>X</v>
      </c>
      <c r="K15362" s="1" t="str">
        <f t="shared" si="3558"/>
        <v>X</v>
      </c>
      <c r="L15362" s="1" t="str">
        <f t="shared" si="3558"/>
        <v>X</v>
      </c>
      <c r="M15362" s="1" t="str">
        <f t="shared" si="3558"/>
        <v>X</v>
      </c>
      <c r="N15362" t="s">
        <v>27</v>
      </c>
    </row>
    <row r="15363" spans="1:14" x14ac:dyDescent="0.25">
      <c r="A15363" t="s">
        <v>45</v>
      </c>
      <c r="B15363" t="s">
        <v>40</v>
      </c>
      <c r="C15363" t="s">
        <v>36</v>
      </c>
      <c r="D15363" t="s">
        <v>33</v>
      </c>
      <c r="E15363" t="s">
        <v>22</v>
      </c>
      <c r="F15363" t="s">
        <v>17</v>
      </c>
      <c r="G15363" s="1" t="str">
        <f t="shared" ref="G15363:M15363" si="3559">"..."</f>
        <v>...</v>
      </c>
      <c r="H15363" s="1" t="str">
        <f t="shared" si="3559"/>
        <v>...</v>
      </c>
      <c r="I15363" s="1" t="str">
        <f t="shared" si="3559"/>
        <v>...</v>
      </c>
      <c r="J15363" s="1" t="str">
        <f t="shared" si="3559"/>
        <v>...</v>
      </c>
      <c r="K15363" s="1" t="str">
        <f t="shared" si="3559"/>
        <v>...</v>
      </c>
      <c r="L15363" s="1" t="str">
        <f t="shared" si="3559"/>
        <v>...</v>
      </c>
      <c r="M15363" s="1" t="str">
        <f t="shared" si="3559"/>
        <v>...</v>
      </c>
      <c r="N15363" t="s">
        <v>30</v>
      </c>
    </row>
    <row r="15364" spans="1:14" x14ac:dyDescent="0.25">
      <c r="A15364" t="s">
        <v>45</v>
      </c>
      <c r="B15364" t="s">
        <v>40</v>
      </c>
      <c r="C15364" t="s">
        <v>36</v>
      </c>
      <c r="D15364" t="s">
        <v>33</v>
      </c>
      <c r="E15364" t="s">
        <v>22</v>
      </c>
      <c r="F15364" t="s">
        <v>18</v>
      </c>
      <c r="G15364" s="1" t="str">
        <f t="shared" ref="G15364:M15367" si="3560">"X"</f>
        <v>X</v>
      </c>
      <c r="H15364" s="1" t="str">
        <f t="shared" si="3560"/>
        <v>X</v>
      </c>
      <c r="I15364" s="1" t="str">
        <f t="shared" si="3560"/>
        <v>X</v>
      </c>
      <c r="J15364" s="1" t="str">
        <f t="shared" si="3560"/>
        <v>X</v>
      </c>
      <c r="K15364" s="1" t="str">
        <f t="shared" si="3560"/>
        <v>X</v>
      </c>
      <c r="L15364" s="1" t="str">
        <f t="shared" si="3560"/>
        <v>X</v>
      </c>
      <c r="M15364" s="1" t="str">
        <f t="shared" si="3560"/>
        <v>X</v>
      </c>
      <c r="N15364" t="s">
        <v>27</v>
      </c>
    </row>
    <row r="15365" spans="1:14" x14ac:dyDescent="0.25">
      <c r="A15365" t="s">
        <v>45</v>
      </c>
      <c r="B15365" t="s">
        <v>40</v>
      </c>
      <c r="C15365" t="s">
        <v>36</v>
      </c>
      <c r="D15365" t="s">
        <v>33</v>
      </c>
      <c r="E15365" t="s">
        <v>22</v>
      </c>
      <c r="F15365" t="s">
        <v>19</v>
      </c>
      <c r="G15365" s="1" t="str">
        <f t="shared" si="3560"/>
        <v>X</v>
      </c>
      <c r="H15365" s="1" t="str">
        <f t="shared" si="3560"/>
        <v>X</v>
      </c>
      <c r="I15365" s="1" t="str">
        <f t="shared" si="3560"/>
        <v>X</v>
      </c>
      <c r="J15365" s="1" t="str">
        <f t="shared" si="3560"/>
        <v>X</v>
      </c>
      <c r="K15365" s="1" t="str">
        <f t="shared" si="3560"/>
        <v>X</v>
      </c>
      <c r="L15365" s="1" t="str">
        <f t="shared" si="3560"/>
        <v>X</v>
      </c>
      <c r="M15365" s="1" t="str">
        <f t="shared" si="3560"/>
        <v>X</v>
      </c>
      <c r="N15365" t="s">
        <v>27</v>
      </c>
    </row>
    <row r="15366" spans="1:14" x14ac:dyDescent="0.25">
      <c r="A15366" t="s">
        <v>45</v>
      </c>
      <c r="B15366" t="s">
        <v>40</v>
      </c>
      <c r="C15366" t="s">
        <v>36</v>
      </c>
      <c r="D15366" t="s">
        <v>33</v>
      </c>
      <c r="E15366" t="s">
        <v>22</v>
      </c>
      <c r="F15366" t="s">
        <v>20</v>
      </c>
      <c r="G15366" s="1" t="str">
        <f t="shared" si="3560"/>
        <v>X</v>
      </c>
      <c r="H15366" s="1" t="str">
        <f t="shared" si="3560"/>
        <v>X</v>
      </c>
      <c r="I15366" s="1" t="str">
        <f t="shared" si="3560"/>
        <v>X</v>
      </c>
      <c r="J15366" s="1" t="str">
        <f t="shared" si="3560"/>
        <v>X</v>
      </c>
      <c r="K15366" s="1" t="str">
        <f t="shared" si="3560"/>
        <v>X</v>
      </c>
      <c r="L15366" s="1" t="str">
        <f t="shared" si="3560"/>
        <v>X</v>
      </c>
      <c r="M15366" s="1" t="str">
        <f t="shared" si="3560"/>
        <v>X</v>
      </c>
      <c r="N15366" t="s">
        <v>27</v>
      </c>
    </row>
    <row r="15367" spans="1:14" x14ac:dyDescent="0.25">
      <c r="A15367" t="s">
        <v>45</v>
      </c>
      <c r="B15367" t="s">
        <v>40</v>
      </c>
      <c r="C15367" t="s">
        <v>36</v>
      </c>
      <c r="D15367" t="s">
        <v>33</v>
      </c>
      <c r="E15367" t="s">
        <v>23</v>
      </c>
      <c r="F15367" t="s">
        <v>15</v>
      </c>
      <c r="G15367" s="1" t="str">
        <f t="shared" si="3560"/>
        <v>X</v>
      </c>
      <c r="H15367" s="1" t="str">
        <f t="shared" si="3560"/>
        <v>X</v>
      </c>
      <c r="I15367" s="1" t="str">
        <f t="shared" si="3560"/>
        <v>X</v>
      </c>
      <c r="J15367" s="1" t="str">
        <f t="shared" si="3560"/>
        <v>X</v>
      </c>
      <c r="K15367" s="1" t="str">
        <f t="shared" si="3560"/>
        <v>X</v>
      </c>
      <c r="L15367" s="1" t="str">
        <f t="shared" si="3560"/>
        <v>X</v>
      </c>
      <c r="M15367" s="1" t="str">
        <f t="shared" si="3560"/>
        <v>X</v>
      </c>
      <c r="N15367" t="s">
        <v>27</v>
      </c>
    </row>
    <row r="15368" spans="1:14" x14ac:dyDescent="0.25">
      <c r="A15368" t="s">
        <v>45</v>
      </c>
      <c r="B15368" t="s">
        <v>40</v>
      </c>
      <c r="C15368" t="s">
        <v>36</v>
      </c>
      <c r="D15368" t="s">
        <v>33</v>
      </c>
      <c r="E15368" t="s">
        <v>23</v>
      </c>
      <c r="F15368" t="s">
        <v>17</v>
      </c>
      <c r="G15368" s="1" t="str">
        <f t="shared" ref="G15368:M15370" si="3561">"..."</f>
        <v>...</v>
      </c>
      <c r="H15368" s="1" t="str">
        <f t="shared" si="3561"/>
        <v>...</v>
      </c>
      <c r="I15368" s="1" t="str">
        <f t="shared" si="3561"/>
        <v>...</v>
      </c>
      <c r="J15368" s="1" t="str">
        <f t="shared" si="3561"/>
        <v>...</v>
      </c>
      <c r="K15368" s="1" t="str">
        <f t="shared" si="3561"/>
        <v>...</v>
      </c>
      <c r="L15368" s="1" t="str">
        <f t="shared" si="3561"/>
        <v>...</v>
      </c>
      <c r="M15368" s="1" t="str">
        <f t="shared" si="3561"/>
        <v>...</v>
      </c>
      <c r="N15368" t="s">
        <v>30</v>
      </c>
    </row>
    <row r="15369" spans="1:14" x14ac:dyDescent="0.25">
      <c r="A15369" t="s">
        <v>45</v>
      </c>
      <c r="B15369" t="s">
        <v>40</v>
      </c>
      <c r="C15369" t="s">
        <v>36</v>
      </c>
      <c r="D15369" t="s">
        <v>33</v>
      </c>
      <c r="E15369" t="s">
        <v>23</v>
      </c>
      <c r="F15369" t="s">
        <v>18</v>
      </c>
      <c r="G15369" s="1" t="str">
        <f t="shared" si="3561"/>
        <v>...</v>
      </c>
      <c r="H15369" s="1" t="str">
        <f t="shared" si="3561"/>
        <v>...</v>
      </c>
      <c r="I15369" s="1" t="str">
        <f t="shared" si="3561"/>
        <v>...</v>
      </c>
      <c r="J15369" s="1" t="str">
        <f t="shared" si="3561"/>
        <v>...</v>
      </c>
      <c r="K15369" s="1" t="str">
        <f t="shared" si="3561"/>
        <v>...</v>
      </c>
      <c r="L15369" s="1" t="str">
        <f t="shared" si="3561"/>
        <v>...</v>
      </c>
      <c r="M15369" s="1" t="str">
        <f t="shared" si="3561"/>
        <v>...</v>
      </c>
      <c r="N15369" t="s">
        <v>30</v>
      </c>
    </row>
    <row r="15370" spans="1:14" x14ac:dyDescent="0.25">
      <c r="A15370" t="s">
        <v>45</v>
      </c>
      <c r="B15370" t="s">
        <v>40</v>
      </c>
      <c r="C15370" t="s">
        <v>36</v>
      </c>
      <c r="D15370" t="s">
        <v>33</v>
      </c>
      <c r="E15370" t="s">
        <v>23</v>
      </c>
      <c r="F15370" t="s">
        <v>19</v>
      </c>
      <c r="G15370" s="1" t="str">
        <f t="shared" si="3561"/>
        <v>...</v>
      </c>
      <c r="H15370" s="1" t="str">
        <f t="shared" si="3561"/>
        <v>...</v>
      </c>
      <c r="I15370" s="1" t="str">
        <f t="shared" si="3561"/>
        <v>...</v>
      </c>
      <c r="J15370" s="1" t="str">
        <f t="shared" si="3561"/>
        <v>...</v>
      </c>
      <c r="K15370" s="1" t="str">
        <f t="shared" si="3561"/>
        <v>...</v>
      </c>
      <c r="L15370" s="1" t="str">
        <f t="shared" si="3561"/>
        <v>...</v>
      </c>
      <c r="M15370" s="1" t="str">
        <f t="shared" si="3561"/>
        <v>...</v>
      </c>
      <c r="N15370" t="s">
        <v>30</v>
      </c>
    </row>
    <row r="15371" spans="1:14" x14ac:dyDescent="0.25">
      <c r="A15371" t="s">
        <v>45</v>
      </c>
      <c r="B15371" t="s">
        <v>40</v>
      </c>
      <c r="C15371" t="s">
        <v>36</v>
      </c>
      <c r="D15371" t="s">
        <v>33</v>
      </c>
      <c r="E15371" t="s">
        <v>23</v>
      </c>
      <c r="F15371" t="s">
        <v>20</v>
      </c>
      <c r="G15371" s="1" t="str">
        <f t="shared" ref="G15371:M15372" si="3562">"X"</f>
        <v>X</v>
      </c>
      <c r="H15371" s="1" t="str">
        <f t="shared" si="3562"/>
        <v>X</v>
      </c>
      <c r="I15371" s="1" t="str">
        <f t="shared" si="3562"/>
        <v>X</v>
      </c>
      <c r="J15371" s="1" t="str">
        <f t="shared" si="3562"/>
        <v>X</v>
      </c>
      <c r="K15371" s="1" t="str">
        <f t="shared" si="3562"/>
        <v>X</v>
      </c>
      <c r="L15371" s="1" t="str">
        <f t="shared" si="3562"/>
        <v>X</v>
      </c>
      <c r="M15371" s="1" t="str">
        <f t="shared" si="3562"/>
        <v>X</v>
      </c>
      <c r="N15371" t="s">
        <v>27</v>
      </c>
    </row>
    <row r="15372" spans="1:14" x14ac:dyDescent="0.25">
      <c r="A15372" t="s">
        <v>45</v>
      </c>
      <c r="B15372" t="s">
        <v>40</v>
      </c>
      <c r="C15372" t="s">
        <v>36</v>
      </c>
      <c r="D15372" t="s">
        <v>33</v>
      </c>
      <c r="E15372" t="s">
        <v>26</v>
      </c>
      <c r="F15372" t="s">
        <v>15</v>
      </c>
      <c r="G15372" s="1" t="str">
        <f t="shared" si="3562"/>
        <v>X</v>
      </c>
      <c r="H15372" s="1" t="str">
        <f t="shared" si="3562"/>
        <v>X</v>
      </c>
      <c r="I15372" s="1" t="str">
        <f t="shared" si="3562"/>
        <v>X</v>
      </c>
      <c r="J15372" s="1" t="str">
        <f t="shared" si="3562"/>
        <v>X</v>
      </c>
      <c r="K15372" s="1" t="str">
        <f t="shared" si="3562"/>
        <v>X</v>
      </c>
      <c r="L15372" s="1" t="str">
        <f t="shared" si="3562"/>
        <v>X</v>
      </c>
      <c r="M15372" s="1" t="str">
        <f t="shared" si="3562"/>
        <v>X</v>
      </c>
      <c r="N15372" t="s">
        <v>27</v>
      </c>
    </row>
    <row r="15373" spans="1:14" x14ac:dyDescent="0.25">
      <c r="A15373" t="s">
        <v>45</v>
      </c>
      <c r="B15373" t="s">
        <v>40</v>
      </c>
      <c r="C15373" t="s">
        <v>36</v>
      </c>
      <c r="D15373" t="s">
        <v>33</v>
      </c>
      <c r="E15373" t="s">
        <v>26</v>
      </c>
      <c r="F15373" t="s">
        <v>17</v>
      </c>
      <c r="G15373" s="1" t="str">
        <f t="shared" ref="G15373:M15375" si="3563">"..."</f>
        <v>...</v>
      </c>
      <c r="H15373" s="1" t="str">
        <f t="shared" si="3563"/>
        <v>...</v>
      </c>
      <c r="I15373" s="1" t="str">
        <f t="shared" si="3563"/>
        <v>...</v>
      </c>
      <c r="J15373" s="1" t="str">
        <f t="shared" si="3563"/>
        <v>...</v>
      </c>
      <c r="K15373" s="1" t="str">
        <f t="shared" si="3563"/>
        <v>...</v>
      </c>
      <c r="L15373" s="1" t="str">
        <f t="shared" si="3563"/>
        <v>...</v>
      </c>
      <c r="M15373" s="1" t="str">
        <f t="shared" si="3563"/>
        <v>...</v>
      </c>
      <c r="N15373" t="s">
        <v>30</v>
      </c>
    </row>
    <row r="15374" spans="1:14" x14ac:dyDescent="0.25">
      <c r="A15374" t="s">
        <v>45</v>
      </c>
      <c r="B15374" t="s">
        <v>40</v>
      </c>
      <c r="C15374" t="s">
        <v>36</v>
      </c>
      <c r="D15374" t="s">
        <v>33</v>
      </c>
      <c r="E15374" t="s">
        <v>26</v>
      </c>
      <c r="F15374" t="s">
        <v>18</v>
      </c>
      <c r="G15374" s="1" t="str">
        <f t="shared" si="3563"/>
        <v>...</v>
      </c>
      <c r="H15374" s="1" t="str">
        <f t="shared" si="3563"/>
        <v>...</v>
      </c>
      <c r="I15374" s="1" t="str">
        <f t="shared" si="3563"/>
        <v>...</v>
      </c>
      <c r="J15374" s="1" t="str">
        <f t="shared" si="3563"/>
        <v>...</v>
      </c>
      <c r="K15374" s="1" t="str">
        <f t="shared" si="3563"/>
        <v>...</v>
      </c>
      <c r="L15374" s="1" t="str">
        <f t="shared" si="3563"/>
        <v>...</v>
      </c>
      <c r="M15374" s="1" t="str">
        <f t="shared" si="3563"/>
        <v>...</v>
      </c>
      <c r="N15374" t="s">
        <v>30</v>
      </c>
    </row>
    <row r="15375" spans="1:14" x14ac:dyDescent="0.25">
      <c r="A15375" t="s">
        <v>45</v>
      </c>
      <c r="B15375" t="s">
        <v>40</v>
      </c>
      <c r="C15375" t="s">
        <v>36</v>
      </c>
      <c r="D15375" t="s">
        <v>33</v>
      </c>
      <c r="E15375" t="s">
        <v>26</v>
      </c>
      <c r="F15375" t="s">
        <v>19</v>
      </c>
      <c r="G15375" s="1" t="str">
        <f t="shared" si="3563"/>
        <v>...</v>
      </c>
      <c r="H15375" s="1" t="str">
        <f t="shared" si="3563"/>
        <v>...</v>
      </c>
      <c r="I15375" s="1" t="str">
        <f t="shared" si="3563"/>
        <v>...</v>
      </c>
      <c r="J15375" s="1" t="str">
        <f t="shared" si="3563"/>
        <v>...</v>
      </c>
      <c r="K15375" s="1" t="str">
        <f t="shared" si="3563"/>
        <v>...</v>
      </c>
      <c r="L15375" s="1" t="str">
        <f t="shared" si="3563"/>
        <v>...</v>
      </c>
      <c r="M15375" s="1" t="str">
        <f t="shared" si="3563"/>
        <v>...</v>
      </c>
      <c r="N15375" t="s">
        <v>30</v>
      </c>
    </row>
    <row r="15376" spans="1:14" x14ac:dyDescent="0.25">
      <c r="A15376" t="s">
        <v>45</v>
      </c>
      <c r="B15376" t="s">
        <v>40</v>
      </c>
      <c r="C15376" t="s">
        <v>36</v>
      </c>
      <c r="D15376" t="s">
        <v>33</v>
      </c>
      <c r="E15376" t="s">
        <v>26</v>
      </c>
      <c r="F15376" t="s">
        <v>20</v>
      </c>
      <c r="G15376" s="1" t="str">
        <f t="shared" ref="G15376:M15376" si="3564">"X"</f>
        <v>X</v>
      </c>
      <c r="H15376" s="1" t="str">
        <f t="shared" si="3564"/>
        <v>X</v>
      </c>
      <c r="I15376" s="1" t="str">
        <f t="shared" si="3564"/>
        <v>X</v>
      </c>
      <c r="J15376" s="1" t="str">
        <f t="shared" si="3564"/>
        <v>X</v>
      </c>
      <c r="K15376" s="1" t="str">
        <f t="shared" si="3564"/>
        <v>X</v>
      </c>
      <c r="L15376" s="1" t="str">
        <f t="shared" si="3564"/>
        <v>X</v>
      </c>
      <c r="M15376" s="1" t="str">
        <f t="shared" si="3564"/>
        <v>X</v>
      </c>
      <c r="N15376" t="s">
        <v>27</v>
      </c>
    </row>
    <row r="15377" spans="1:14" x14ac:dyDescent="0.25">
      <c r="A15377" t="s">
        <v>45</v>
      </c>
      <c r="B15377" t="s">
        <v>40</v>
      </c>
      <c r="C15377" t="s">
        <v>36</v>
      </c>
      <c r="D15377" t="s">
        <v>34</v>
      </c>
      <c r="E15377" t="s">
        <v>15</v>
      </c>
      <c r="F15377" t="s">
        <v>15</v>
      </c>
      <c r="G15377" s="2">
        <f>VALUE(204.11)</f>
        <v>204.11</v>
      </c>
      <c r="H15377" s="3">
        <f>VALUE(177.65)</f>
        <v>177.65</v>
      </c>
      <c r="I15377" s="1">
        <f>VALUE(3015)</f>
        <v>3015</v>
      </c>
      <c r="J15377" s="1">
        <f>VALUE(3394)</f>
        <v>3394</v>
      </c>
      <c r="K15377" s="1">
        <f>VALUE(3523)</f>
        <v>3523</v>
      </c>
      <c r="L15377" s="7">
        <f>VALUE(3987)</f>
        <v>3987</v>
      </c>
      <c r="M15377" s="8">
        <f>VALUE(5203)</f>
        <v>5203</v>
      </c>
      <c r="N15377" t="s">
        <v>25</v>
      </c>
    </row>
    <row r="15378" spans="1:14" x14ac:dyDescent="0.25">
      <c r="A15378" t="s">
        <v>45</v>
      </c>
      <c r="B15378" t="s">
        <v>40</v>
      </c>
      <c r="C15378" t="s">
        <v>36</v>
      </c>
      <c r="D15378" t="s">
        <v>34</v>
      </c>
      <c r="E15378" t="s">
        <v>15</v>
      </c>
      <c r="F15378" t="s">
        <v>17</v>
      </c>
      <c r="G15378" s="1" t="str">
        <f t="shared" ref="G15378:M15380" si="3565">"X"</f>
        <v>X</v>
      </c>
      <c r="H15378" s="1" t="str">
        <f t="shared" si="3565"/>
        <v>X</v>
      </c>
      <c r="I15378" s="1" t="str">
        <f t="shared" si="3565"/>
        <v>X</v>
      </c>
      <c r="J15378" s="1" t="str">
        <f t="shared" si="3565"/>
        <v>X</v>
      </c>
      <c r="K15378" s="1" t="str">
        <f t="shared" si="3565"/>
        <v>X</v>
      </c>
      <c r="L15378" s="1" t="str">
        <f t="shared" si="3565"/>
        <v>X</v>
      </c>
      <c r="M15378" s="1" t="str">
        <f t="shared" si="3565"/>
        <v>X</v>
      </c>
      <c r="N15378" t="s">
        <v>27</v>
      </c>
    </row>
    <row r="15379" spans="1:14" x14ac:dyDescent="0.25">
      <c r="A15379" t="s">
        <v>45</v>
      </c>
      <c r="B15379" t="s">
        <v>40</v>
      </c>
      <c r="C15379" t="s">
        <v>36</v>
      </c>
      <c r="D15379" t="s">
        <v>34</v>
      </c>
      <c r="E15379" t="s">
        <v>15</v>
      </c>
      <c r="F15379" t="s">
        <v>18</v>
      </c>
      <c r="G15379" s="1" t="str">
        <f t="shared" si="3565"/>
        <v>X</v>
      </c>
      <c r="H15379" s="1" t="str">
        <f t="shared" si="3565"/>
        <v>X</v>
      </c>
      <c r="I15379" s="1" t="str">
        <f t="shared" si="3565"/>
        <v>X</v>
      </c>
      <c r="J15379" s="1" t="str">
        <f t="shared" si="3565"/>
        <v>X</v>
      </c>
      <c r="K15379" s="1" t="str">
        <f t="shared" si="3565"/>
        <v>X</v>
      </c>
      <c r="L15379" s="1" t="str">
        <f t="shared" si="3565"/>
        <v>X</v>
      </c>
      <c r="M15379" s="1" t="str">
        <f t="shared" si="3565"/>
        <v>X</v>
      </c>
      <c r="N15379" t="s">
        <v>27</v>
      </c>
    </row>
    <row r="15380" spans="1:14" x14ac:dyDescent="0.25">
      <c r="A15380" t="s">
        <v>45</v>
      </c>
      <c r="B15380" t="s">
        <v>40</v>
      </c>
      <c r="C15380" t="s">
        <v>36</v>
      </c>
      <c r="D15380" t="s">
        <v>34</v>
      </c>
      <c r="E15380" t="s">
        <v>15</v>
      </c>
      <c r="F15380" t="s">
        <v>19</v>
      </c>
      <c r="G15380" s="1" t="str">
        <f t="shared" si="3565"/>
        <v>X</v>
      </c>
      <c r="H15380" s="1" t="str">
        <f t="shared" si="3565"/>
        <v>X</v>
      </c>
      <c r="I15380" s="1" t="str">
        <f t="shared" si="3565"/>
        <v>X</v>
      </c>
      <c r="J15380" s="1" t="str">
        <f t="shared" si="3565"/>
        <v>X</v>
      </c>
      <c r="K15380" s="1" t="str">
        <f t="shared" si="3565"/>
        <v>X</v>
      </c>
      <c r="L15380" s="1" t="str">
        <f t="shared" si="3565"/>
        <v>X</v>
      </c>
      <c r="M15380" s="1" t="str">
        <f t="shared" si="3565"/>
        <v>X</v>
      </c>
      <c r="N15380" t="s">
        <v>27</v>
      </c>
    </row>
    <row r="15381" spans="1:14" x14ac:dyDescent="0.25">
      <c r="A15381" t="s">
        <v>45</v>
      </c>
      <c r="B15381" t="s">
        <v>40</v>
      </c>
      <c r="C15381" t="s">
        <v>36</v>
      </c>
      <c r="D15381" t="s">
        <v>34</v>
      </c>
      <c r="E15381" t="s">
        <v>15</v>
      </c>
      <c r="F15381" t="s">
        <v>20</v>
      </c>
      <c r="G15381" s="2">
        <f>VALUE(179.12)</f>
        <v>179.12</v>
      </c>
      <c r="H15381" s="3">
        <f>VALUE(158.4)</f>
        <v>158.4</v>
      </c>
      <c r="I15381" s="1">
        <f>VALUE(3015)</f>
        <v>3015</v>
      </c>
      <c r="J15381" s="1">
        <f>VALUE(3293)</f>
        <v>3293</v>
      </c>
      <c r="K15381" s="1">
        <f>VALUE(3507)</f>
        <v>3507</v>
      </c>
      <c r="L15381" s="1">
        <f>VALUE(3866)</f>
        <v>3866</v>
      </c>
      <c r="M15381" s="8">
        <f>VALUE(5119)</f>
        <v>5119</v>
      </c>
      <c r="N15381" t="s">
        <v>25</v>
      </c>
    </row>
    <row r="15382" spans="1:14" x14ac:dyDescent="0.25">
      <c r="A15382" t="s">
        <v>45</v>
      </c>
      <c r="B15382" t="s">
        <v>40</v>
      </c>
      <c r="C15382" t="s">
        <v>36</v>
      </c>
      <c r="D15382" t="s">
        <v>34</v>
      </c>
      <c r="E15382" t="s">
        <v>21</v>
      </c>
      <c r="F15382" t="s">
        <v>15</v>
      </c>
      <c r="G15382" s="1" t="str">
        <f t="shared" ref="G15382:M15387" si="3566">"X"</f>
        <v>X</v>
      </c>
      <c r="H15382" s="1" t="str">
        <f t="shared" si="3566"/>
        <v>X</v>
      </c>
      <c r="I15382" s="1" t="str">
        <f t="shared" si="3566"/>
        <v>X</v>
      </c>
      <c r="J15382" s="1" t="str">
        <f t="shared" si="3566"/>
        <v>X</v>
      </c>
      <c r="K15382" s="1" t="str">
        <f t="shared" si="3566"/>
        <v>X</v>
      </c>
      <c r="L15382" s="1" t="str">
        <f t="shared" si="3566"/>
        <v>X</v>
      </c>
      <c r="M15382" s="1" t="str">
        <f t="shared" si="3566"/>
        <v>X</v>
      </c>
      <c r="N15382" t="s">
        <v>27</v>
      </c>
    </row>
    <row r="15383" spans="1:14" x14ac:dyDescent="0.25">
      <c r="A15383" t="s">
        <v>45</v>
      </c>
      <c r="B15383" t="s">
        <v>40</v>
      </c>
      <c r="C15383" t="s">
        <v>36</v>
      </c>
      <c r="D15383" t="s">
        <v>34</v>
      </c>
      <c r="E15383" t="s">
        <v>21</v>
      </c>
      <c r="F15383" t="s">
        <v>17</v>
      </c>
      <c r="G15383" s="1" t="str">
        <f t="shared" si="3566"/>
        <v>X</v>
      </c>
      <c r="H15383" s="1" t="str">
        <f t="shared" si="3566"/>
        <v>X</v>
      </c>
      <c r="I15383" s="1" t="str">
        <f t="shared" si="3566"/>
        <v>X</v>
      </c>
      <c r="J15383" s="1" t="str">
        <f t="shared" si="3566"/>
        <v>X</v>
      </c>
      <c r="K15383" s="1" t="str">
        <f t="shared" si="3566"/>
        <v>X</v>
      </c>
      <c r="L15383" s="1" t="str">
        <f t="shared" si="3566"/>
        <v>X</v>
      </c>
      <c r="M15383" s="1" t="str">
        <f t="shared" si="3566"/>
        <v>X</v>
      </c>
      <c r="N15383" t="s">
        <v>27</v>
      </c>
    </row>
    <row r="15384" spans="1:14" x14ac:dyDescent="0.25">
      <c r="A15384" t="s">
        <v>45</v>
      </c>
      <c r="B15384" t="s">
        <v>40</v>
      </c>
      <c r="C15384" t="s">
        <v>36</v>
      </c>
      <c r="D15384" t="s">
        <v>34</v>
      </c>
      <c r="E15384" t="s">
        <v>21</v>
      </c>
      <c r="F15384" t="s">
        <v>18</v>
      </c>
      <c r="G15384" s="1" t="str">
        <f t="shared" si="3566"/>
        <v>X</v>
      </c>
      <c r="H15384" s="1" t="str">
        <f t="shared" si="3566"/>
        <v>X</v>
      </c>
      <c r="I15384" s="1" t="str">
        <f t="shared" si="3566"/>
        <v>X</v>
      </c>
      <c r="J15384" s="1" t="str">
        <f t="shared" si="3566"/>
        <v>X</v>
      </c>
      <c r="K15384" s="1" t="str">
        <f t="shared" si="3566"/>
        <v>X</v>
      </c>
      <c r="L15384" s="1" t="str">
        <f t="shared" si="3566"/>
        <v>X</v>
      </c>
      <c r="M15384" s="1" t="str">
        <f t="shared" si="3566"/>
        <v>X</v>
      </c>
      <c r="N15384" t="s">
        <v>27</v>
      </c>
    </row>
    <row r="15385" spans="1:14" x14ac:dyDescent="0.25">
      <c r="A15385" t="s">
        <v>45</v>
      </c>
      <c r="B15385" t="s">
        <v>40</v>
      </c>
      <c r="C15385" t="s">
        <v>36</v>
      </c>
      <c r="D15385" t="s">
        <v>34</v>
      </c>
      <c r="E15385" t="s">
        <v>21</v>
      </c>
      <c r="F15385" t="s">
        <v>19</v>
      </c>
      <c r="G15385" s="1" t="str">
        <f t="shared" si="3566"/>
        <v>X</v>
      </c>
      <c r="H15385" s="1" t="str">
        <f t="shared" si="3566"/>
        <v>X</v>
      </c>
      <c r="I15385" s="1" t="str">
        <f t="shared" si="3566"/>
        <v>X</v>
      </c>
      <c r="J15385" s="1" t="str">
        <f t="shared" si="3566"/>
        <v>X</v>
      </c>
      <c r="K15385" s="1" t="str">
        <f t="shared" si="3566"/>
        <v>X</v>
      </c>
      <c r="L15385" s="1" t="str">
        <f t="shared" si="3566"/>
        <v>X</v>
      </c>
      <c r="M15385" s="1" t="str">
        <f t="shared" si="3566"/>
        <v>X</v>
      </c>
      <c r="N15385" t="s">
        <v>27</v>
      </c>
    </row>
    <row r="15386" spans="1:14" x14ac:dyDescent="0.25">
      <c r="A15386" t="s">
        <v>45</v>
      </c>
      <c r="B15386" t="s">
        <v>40</v>
      </c>
      <c r="C15386" t="s">
        <v>36</v>
      </c>
      <c r="D15386" t="s">
        <v>34</v>
      </c>
      <c r="E15386" t="s">
        <v>21</v>
      </c>
      <c r="F15386" t="s">
        <v>20</v>
      </c>
      <c r="G15386" s="1" t="str">
        <f t="shared" si="3566"/>
        <v>X</v>
      </c>
      <c r="H15386" s="1" t="str">
        <f t="shared" si="3566"/>
        <v>X</v>
      </c>
      <c r="I15386" s="1" t="str">
        <f t="shared" si="3566"/>
        <v>X</v>
      </c>
      <c r="J15386" s="1" t="str">
        <f t="shared" si="3566"/>
        <v>X</v>
      </c>
      <c r="K15386" s="1" t="str">
        <f t="shared" si="3566"/>
        <v>X</v>
      </c>
      <c r="L15386" s="1" t="str">
        <f t="shared" si="3566"/>
        <v>X</v>
      </c>
      <c r="M15386" s="1" t="str">
        <f t="shared" si="3566"/>
        <v>X</v>
      </c>
      <c r="N15386" t="s">
        <v>27</v>
      </c>
    </row>
    <row r="15387" spans="1:14" x14ac:dyDescent="0.25">
      <c r="A15387" t="s">
        <v>45</v>
      </c>
      <c r="B15387" t="s">
        <v>40</v>
      </c>
      <c r="C15387" t="s">
        <v>36</v>
      </c>
      <c r="D15387" t="s">
        <v>34</v>
      </c>
      <c r="E15387" t="s">
        <v>22</v>
      </c>
      <c r="F15387" t="s">
        <v>15</v>
      </c>
      <c r="G15387" s="1" t="str">
        <f t="shared" si="3566"/>
        <v>X</v>
      </c>
      <c r="H15387" s="1" t="str">
        <f t="shared" si="3566"/>
        <v>X</v>
      </c>
      <c r="I15387" s="1" t="str">
        <f t="shared" si="3566"/>
        <v>X</v>
      </c>
      <c r="J15387" s="1" t="str">
        <f t="shared" si="3566"/>
        <v>X</v>
      </c>
      <c r="K15387" s="1" t="str">
        <f t="shared" si="3566"/>
        <v>X</v>
      </c>
      <c r="L15387" s="1" t="str">
        <f t="shared" si="3566"/>
        <v>X</v>
      </c>
      <c r="M15387" s="1" t="str">
        <f t="shared" si="3566"/>
        <v>X</v>
      </c>
      <c r="N15387" t="s">
        <v>27</v>
      </c>
    </row>
    <row r="15388" spans="1:14" x14ac:dyDescent="0.25">
      <c r="A15388" t="s">
        <v>45</v>
      </c>
      <c r="B15388" t="s">
        <v>40</v>
      </c>
      <c r="C15388" t="s">
        <v>36</v>
      </c>
      <c r="D15388" t="s">
        <v>34</v>
      </c>
      <c r="E15388" t="s">
        <v>22</v>
      </c>
      <c r="F15388" t="s">
        <v>17</v>
      </c>
      <c r="G15388" s="1" t="str">
        <f t="shared" ref="G15388:M15390" si="3567">"..."</f>
        <v>...</v>
      </c>
      <c r="H15388" s="1" t="str">
        <f t="shared" si="3567"/>
        <v>...</v>
      </c>
      <c r="I15388" s="1" t="str">
        <f t="shared" si="3567"/>
        <v>...</v>
      </c>
      <c r="J15388" s="1" t="str">
        <f t="shared" si="3567"/>
        <v>...</v>
      </c>
      <c r="K15388" s="1" t="str">
        <f t="shared" si="3567"/>
        <v>...</v>
      </c>
      <c r="L15388" s="1" t="str">
        <f t="shared" si="3567"/>
        <v>...</v>
      </c>
      <c r="M15388" s="1" t="str">
        <f t="shared" si="3567"/>
        <v>...</v>
      </c>
      <c r="N15388" t="s">
        <v>30</v>
      </c>
    </row>
    <row r="15389" spans="1:14" x14ac:dyDescent="0.25">
      <c r="A15389" t="s">
        <v>45</v>
      </c>
      <c r="B15389" t="s">
        <v>40</v>
      </c>
      <c r="C15389" t="s">
        <v>36</v>
      </c>
      <c r="D15389" t="s">
        <v>34</v>
      </c>
      <c r="E15389" t="s">
        <v>22</v>
      </c>
      <c r="F15389" t="s">
        <v>18</v>
      </c>
      <c r="G15389" s="1" t="str">
        <f t="shared" si="3567"/>
        <v>...</v>
      </c>
      <c r="H15389" s="1" t="str">
        <f t="shared" si="3567"/>
        <v>...</v>
      </c>
      <c r="I15389" s="1" t="str">
        <f t="shared" si="3567"/>
        <v>...</v>
      </c>
      <c r="J15389" s="1" t="str">
        <f t="shared" si="3567"/>
        <v>...</v>
      </c>
      <c r="K15389" s="1" t="str">
        <f t="shared" si="3567"/>
        <v>...</v>
      </c>
      <c r="L15389" s="1" t="str">
        <f t="shared" si="3567"/>
        <v>...</v>
      </c>
      <c r="M15389" s="1" t="str">
        <f t="shared" si="3567"/>
        <v>...</v>
      </c>
      <c r="N15389" t="s">
        <v>30</v>
      </c>
    </row>
    <row r="15390" spans="1:14" x14ac:dyDescent="0.25">
      <c r="A15390" t="s">
        <v>45</v>
      </c>
      <c r="B15390" t="s">
        <v>40</v>
      </c>
      <c r="C15390" t="s">
        <v>36</v>
      </c>
      <c r="D15390" t="s">
        <v>34</v>
      </c>
      <c r="E15390" t="s">
        <v>22</v>
      </c>
      <c r="F15390" t="s">
        <v>19</v>
      </c>
      <c r="G15390" s="1" t="str">
        <f t="shared" si="3567"/>
        <v>...</v>
      </c>
      <c r="H15390" s="1" t="str">
        <f t="shared" si="3567"/>
        <v>...</v>
      </c>
      <c r="I15390" s="1" t="str">
        <f t="shared" si="3567"/>
        <v>...</v>
      </c>
      <c r="J15390" s="1" t="str">
        <f t="shared" si="3567"/>
        <v>...</v>
      </c>
      <c r="K15390" s="1" t="str">
        <f t="shared" si="3567"/>
        <v>...</v>
      </c>
      <c r="L15390" s="1" t="str">
        <f t="shared" si="3567"/>
        <v>...</v>
      </c>
      <c r="M15390" s="1" t="str">
        <f t="shared" si="3567"/>
        <v>...</v>
      </c>
      <c r="N15390" t="s">
        <v>30</v>
      </c>
    </row>
    <row r="15391" spans="1:14" x14ac:dyDescent="0.25">
      <c r="A15391" t="s">
        <v>45</v>
      </c>
      <c r="B15391" t="s">
        <v>40</v>
      </c>
      <c r="C15391" t="s">
        <v>36</v>
      </c>
      <c r="D15391" t="s">
        <v>34</v>
      </c>
      <c r="E15391" t="s">
        <v>22</v>
      </c>
      <c r="F15391" t="s">
        <v>20</v>
      </c>
      <c r="G15391" s="1" t="str">
        <f t="shared" ref="G15391:M15393" si="3568">"X"</f>
        <v>X</v>
      </c>
      <c r="H15391" s="1" t="str">
        <f t="shared" si="3568"/>
        <v>X</v>
      </c>
      <c r="I15391" s="1" t="str">
        <f t="shared" si="3568"/>
        <v>X</v>
      </c>
      <c r="J15391" s="1" t="str">
        <f t="shared" si="3568"/>
        <v>X</v>
      </c>
      <c r="K15391" s="1" t="str">
        <f t="shared" si="3568"/>
        <v>X</v>
      </c>
      <c r="L15391" s="1" t="str">
        <f t="shared" si="3568"/>
        <v>X</v>
      </c>
      <c r="M15391" s="1" t="str">
        <f t="shared" si="3568"/>
        <v>X</v>
      </c>
      <c r="N15391" t="s">
        <v>27</v>
      </c>
    </row>
    <row r="15392" spans="1:14" x14ac:dyDescent="0.25">
      <c r="A15392" t="s">
        <v>45</v>
      </c>
      <c r="B15392" t="s">
        <v>40</v>
      </c>
      <c r="C15392" t="s">
        <v>36</v>
      </c>
      <c r="D15392" t="s">
        <v>34</v>
      </c>
      <c r="E15392" t="s">
        <v>23</v>
      </c>
      <c r="F15392" t="s">
        <v>15</v>
      </c>
      <c r="G15392" s="1" t="str">
        <f t="shared" si="3568"/>
        <v>X</v>
      </c>
      <c r="H15392" s="1" t="str">
        <f t="shared" si="3568"/>
        <v>X</v>
      </c>
      <c r="I15392" s="1" t="str">
        <f t="shared" si="3568"/>
        <v>X</v>
      </c>
      <c r="J15392" s="1" t="str">
        <f t="shared" si="3568"/>
        <v>X</v>
      </c>
      <c r="K15392" s="1" t="str">
        <f t="shared" si="3568"/>
        <v>X</v>
      </c>
      <c r="L15392" s="1" t="str">
        <f t="shared" si="3568"/>
        <v>X</v>
      </c>
      <c r="M15392" s="1" t="str">
        <f t="shared" si="3568"/>
        <v>X</v>
      </c>
      <c r="N15392" t="s">
        <v>27</v>
      </c>
    </row>
    <row r="15393" spans="1:14" x14ac:dyDescent="0.25">
      <c r="A15393" t="s">
        <v>45</v>
      </c>
      <c r="B15393" t="s">
        <v>40</v>
      </c>
      <c r="C15393" t="s">
        <v>36</v>
      </c>
      <c r="D15393" t="s">
        <v>34</v>
      </c>
      <c r="E15393" t="s">
        <v>23</v>
      </c>
      <c r="F15393" t="s">
        <v>17</v>
      </c>
      <c r="G15393" s="1" t="str">
        <f t="shared" si="3568"/>
        <v>X</v>
      </c>
      <c r="H15393" s="1" t="str">
        <f t="shared" si="3568"/>
        <v>X</v>
      </c>
      <c r="I15393" s="1" t="str">
        <f t="shared" si="3568"/>
        <v>X</v>
      </c>
      <c r="J15393" s="1" t="str">
        <f t="shared" si="3568"/>
        <v>X</v>
      </c>
      <c r="K15393" s="1" t="str">
        <f t="shared" si="3568"/>
        <v>X</v>
      </c>
      <c r="L15393" s="1" t="str">
        <f t="shared" si="3568"/>
        <v>X</v>
      </c>
      <c r="M15393" s="1" t="str">
        <f t="shared" si="3568"/>
        <v>X</v>
      </c>
      <c r="N15393" t="s">
        <v>27</v>
      </c>
    </row>
    <row r="15394" spans="1:14" x14ac:dyDescent="0.25">
      <c r="A15394" t="s">
        <v>45</v>
      </c>
      <c r="B15394" t="s">
        <v>40</v>
      </c>
      <c r="C15394" t="s">
        <v>36</v>
      </c>
      <c r="D15394" t="s">
        <v>34</v>
      </c>
      <c r="E15394" t="s">
        <v>23</v>
      </c>
      <c r="F15394" t="s">
        <v>18</v>
      </c>
      <c r="G15394" s="1" t="str">
        <f t="shared" ref="G15394:M15394" si="3569">"..."</f>
        <v>...</v>
      </c>
      <c r="H15394" s="1" t="str">
        <f t="shared" si="3569"/>
        <v>...</v>
      </c>
      <c r="I15394" s="1" t="str">
        <f t="shared" si="3569"/>
        <v>...</v>
      </c>
      <c r="J15394" s="1" t="str">
        <f t="shared" si="3569"/>
        <v>...</v>
      </c>
      <c r="K15394" s="1" t="str">
        <f t="shared" si="3569"/>
        <v>...</v>
      </c>
      <c r="L15394" s="1" t="str">
        <f t="shared" si="3569"/>
        <v>...</v>
      </c>
      <c r="M15394" s="1" t="str">
        <f t="shared" si="3569"/>
        <v>...</v>
      </c>
      <c r="N15394" t="s">
        <v>30</v>
      </c>
    </row>
    <row r="15395" spans="1:14" x14ac:dyDescent="0.25">
      <c r="A15395" t="s">
        <v>45</v>
      </c>
      <c r="B15395" t="s">
        <v>40</v>
      </c>
      <c r="C15395" t="s">
        <v>36</v>
      </c>
      <c r="D15395" t="s">
        <v>34</v>
      </c>
      <c r="E15395" t="s">
        <v>23</v>
      </c>
      <c r="F15395" t="s">
        <v>19</v>
      </c>
      <c r="G15395" s="1" t="str">
        <f t="shared" ref="G15395:M15397" si="3570">"X"</f>
        <v>X</v>
      </c>
      <c r="H15395" s="1" t="str">
        <f t="shared" si="3570"/>
        <v>X</v>
      </c>
      <c r="I15395" s="1" t="str">
        <f t="shared" si="3570"/>
        <v>X</v>
      </c>
      <c r="J15395" s="1" t="str">
        <f t="shared" si="3570"/>
        <v>X</v>
      </c>
      <c r="K15395" s="1" t="str">
        <f t="shared" si="3570"/>
        <v>X</v>
      </c>
      <c r="L15395" s="1" t="str">
        <f t="shared" si="3570"/>
        <v>X</v>
      </c>
      <c r="M15395" s="1" t="str">
        <f t="shared" si="3570"/>
        <v>X</v>
      </c>
      <c r="N15395" t="s">
        <v>27</v>
      </c>
    </row>
    <row r="15396" spans="1:14" x14ac:dyDescent="0.25">
      <c r="A15396" t="s">
        <v>45</v>
      </c>
      <c r="B15396" t="s">
        <v>40</v>
      </c>
      <c r="C15396" t="s">
        <v>36</v>
      </c>
      <c r="D15396" t="s">
        <v>34</v>
      </c>
      <c r="E15396" t="s">
        <v>23</v>
      </c>
      <c r="F15396" t="s">
        <v>20</v>
      </c>
      <c r="G15396" s="1" t="str">
        <f t="shared" si="3570"/>
        <v>X</v>
      </c>
      <c r="H15396" s="1" t="str">
        <f t="shared" si="3570"/>
        <v>X</v>
      </c>
      <c r="I15396" s="1" t="str">
        <f t="shared" si="3570"/>
        <v>X</v>
      </c>
      <c r="J15396" s="1" t="str">
        <f t="shared" si="3570"/>
        <v>X</v>
      </c>
      <c r="K15396" s="1" t="str">
        <f t="shared" si="3570"/>
        <v>X</v>
      </c>
      <c r="L15396" s="1" t="str">
        <f t="shared" si="3570"/>
        <v>X</v>
      </c>
      <c r="M15396" s="1" t="str">
        <f t="shared" si="3570"/>
        <v>X</v>
      </c>
      <c r="N15396" t="s">
        <v>27</v>
      </c>
    </row>
    <row r="15397" spans="1:14" x14ac:dyDescent="0.25">
      <c r="A15397" t="s">
        <v>45</v>
      </c>
      <c r="B15397" t="s">
        <v>40</v>
      </c>
      <c r="C15397" t="s">
        <v>36</v>
      </c>
      <c r="D15397" t="s">
        <v>34</v>
      </c>
      <c r="E15397" t="s">
        <v>26</v>
      </c>
      <c r="F15397" t="s">
        <v>15</v>
      </c>
      <c r="G15397" s="1" t="str">
        <f t="shared" si="3570"/>
        <v>X</v>
      </c>
      <c r="H15397" s="1" t="str">
        <f t="shared" si="3570"/>
        <v>X</v>
      </c>
      <c r="I15397" s="1" t="str">
        <f t="shared" si="3570"/>
        <v>X</v>
      </c>
      <c r="J15397" s="1" t="str">
        <f t="shared" si="3570"/>
        <v>X</v>
      </c>
      <c r="K15397" s="1" t="str">
        <f t="shared" si="3570"/>
        <v>X</v>
      </c>
      <c r="L15397" s="1" t="str">
        <f t="shared" si="3570"/>
        <v>X</v>
      </c>
      <c r="M15397" s="1" t="str">
        <f t="shared" si="3570"/>
        <v>X</v>
      </c>
      <c r="N15397" t="s">
        <v>27</v>
      </c>
    </row>
    <row r="15398" spans="1:14" x14ac:dyDescent="0.25">
      <c r="A15398" t="s">
        <v>45</v>
      </c>
      <c r="B15398" t="s">
        <v>40</v>
      </c>
      <c r="C15398" t="s">
        <v>36</v>
      </c>
      <c r="D15398" t="s">
        <v>34</v>
      </c>
      <c r="E15398" t="s">
        <v>26</v>
      </c>
      <c r="F15398" t="s">
        <v>17</v>
      </c>
      <c r="G15398" s="1" t="str">
        <f t="shared" ref="G15398:M15400" si="3571">"..."</f>
        <v>...</v>
      </c>
      <c r="H15398" s="1" t="str">
        <f t="shared" si="3571"/>
        <v>...</v>
      </c>
      <c r="I15398" s="1" t="str">
        <f t="shared" si="3571"/>
        <v>...</v>
      </c>
      <c r="J15398" s="1" t="str">
        <f t="shared" si="3571"/>
        <v>...</v>
      </c>
      <c r="K15398" s="1" t="str">
        <f t="shared" si="3571"/>
        <v>...</v>
      </c>
      <c r="L15398" s="1" t="str">
        <f t="shared" si="3571"/>
        <v>...</v>
      </c>
      <c r="M15398" s="1" t="str">
        <f t="shared" si="3571"/>
        <v>...</v>
      </c>
      <c r="N15398" t="s">
        <v>30</v>
      </c>
    </row>
    <row r="15399" spans="1:14" x14ac:dyDescent="0.25">
      <c r="A15399" t="s">
        <v>45</v>
      </c>
      <c r="B15399" t="s">
        <v>40</v>
      </c>
      <c r="C15399" t="s">
        <v>36</v>
      </c>
      <c r="D15399" t="s">
        <v>34</v>
      </c>
      <c r="E15399" t="s">
        <v>26</v>
      </c>
      <c r="F15399" t="s">
        <v>18</v>
      </c>
      <c r="G15399" s="1" t="str">
        <f t="shared" si="3571"/>
        <v>...</v>
      </c>
      <c r="H15399" s="1" t="str">
        <f t="shared" si="3571"/>
        <v>...</v>
      </c>
      <c r="I15399" s="1" t="str">
        <f t="shared" si="3571"/>
        <v>...</v>
      </c>
      <c r="J15399" s="1" t="str">
        <f t="shared" si="3571"/>
        <v>...</v>
      </c>
      <c r="K15399" s="1" t="str">
        <f t="shared" si="3571"/>
        <v>...</v>
      </c>
      <c r="L15399" s="1" t="str">
        <f t="shared" si="3571"/>
        <v>...</v>
      </c>
      <c r="M15399" s="1" t="str">
        <f t="shared" si="3571"/>
        <v>...</v>
      </c>
      <c r="N15399" t="s">
        <v>30</v>
      </c>
    </row>
    <row r="15400" spans="1:14" x14ac:dyDescent="0.25">
      <c r="A15400" t="s">
        <v>45</v>
      </c>
      <c r="B15400" t="s">
        <v>40</v>
      </c>
      <c r="C15400" t="s">
        <v>36</v>
      </c>
      <c r="D15400" t="s">
        <v>34</v>
      </c>
      <c r="E15400" t="s">
        <v>26</v>
      </c>
      <c r="F15400" t="s">
        <v>19</v>
      </c>
      <c r="G15400" s="1" t="str">
        <f t="shared" si="3571"/>
        <v>...</v>
      </c>
      <c r="H15400" s="1" t="str">
        <f t="shared" si="3571"/>
        <v>...</v>
      </c>
      <c r="I15400" s="1" t="str">
        <f t="shared" si="3571"/>
        <v>...</v>
      </c>
      <c r="J15400" s="1" t="str">
        <f t="shared" si="3571"/>
        <v>...</v>
      </c>
      <c r="K15400" s="1" t="str">
        <f t="shared" si="3571"/>
        <v>...</v>
      </c>
      <c r="L15400" s="1" t="str">
        <f t="shared" si="3571"/>
        <v>...</v>
      </c>
      <c r="M15400" s="1" t="str">
        <f t="shared" si="3571"/>
        <v>...</v>
      </c>
      <c r="N15400" t="s">
        <v>30</v>
      </c>
    </row>
    <row r="15401" spans="1:14" x14ac:dyDescent="0.25">
      <c r="A15401" t="s">
        <v>45</v>
      </c>
      <c r="B15401" t="s">
        <v>40</v>
      </c>
      <c r="C15401" t="s">
        <v>36</v>
      </c>
      <c r="D15401" t="s">
        <v>34</v>
      </c>
      <c r="E15401" t="s">
        <v>26</v>
      </c>
      <c r="F15401" t="s">
        <v>20</v>
      </c>
      <c r="G15401" s="1" t="str">
        <f t="shared" ref="G15401:M15401" si="3572">"X"</f>
        <v>X</v>
      </c>
      <c r="H15401" s="1" t="str">
        <f t="shared" si="3572"/>
        <v>X</v>
      </c>
      <c r="I15401" s="1" t="str">
        <f t="shared" si="3572"/>
        <v>X</v>
      </c>
      <c r="J15401" s="1" t="str">
        <f t="shared" si="3572"/>
        <v>X</v>
      </c>
      <c r="K15401" s="1" t="str">
        <f t="shared" si="3572"/>
        <v>X</v>
      </c>
      <c r="L15401" s="1" t="str">
        <f t="shared" si="3572"/>
        <v>X</v>
      </c>
      <c r="M15401" s="1" t="str">
        <f t="shared" si="3572"/>
        <v>X</v>
      </c>
      <c r="N15401" t="s">
        <v>27</v>
      </c>
    </row>
    <row r="15402" spans="1:14" x14ac:dyDescent="0.25">
      <c r="A15402" t="s">
        <v>45</v>
      </c>
      <c r="B15402" t="s">
        <v>40</v>
      </c>
      <c r="C15402" t="s">
        <v>37</v>
      </c>
      <c r="D15402" t="s">
        <v>15</v>
      </c>
      <c r="E15402" t="s">
        <v>15</v>
      </c>
      <c r="F15402" t="s">
        <v>15</v>
      </c>
      <c r="G15402" s="1">
        <f>VALUE(22281.3)</f>
        <v>22281.3</v>
      </c>
      <c r="H15402" s="1">
        <f>VALUE(16919.49)</f>
        <v>16919.490000000002</v>
      </c>
      <c r="I15402" s="1">
        <f>VALUE(3209)</f>
        <v>3209</v>
      </c>
      <c r="J15402" s="1">
        <f>VALUE(3696)</f>
        <v>3696</v>
      </c>
      <c r="K15402" s="1">
        <f>VALUE(4683)</f>
        <v>4683</v>
      </c>
      <c r="L15402" s="1">
        <f>VALUE(6280)</f>
        <v>6280</v>
      </c>
      <c r="M15402" s="1">
        <f>VALUE(8205)</f>
        <v>8205</v>
      </c>
      <c r="N15402" t="s">
        <v>16</v>
      </c>
    </row>
    <row r="15403" spans="1:14" x14ac:dyDescent="0.25">
      <c r="A15403" t="s">
        <v>45</v>
      </c>
      <c r="B15403" t="s">
        <v>40</v>
      </c>
      <c r="C15403" t="s">
        <v>37</v>
      </c>
      <c r="D15403" t="s">
        <v>15</v>
      </c>
      <c r="E15403" t="s">
        <v>15</v>
      </c>
      <c r="F15403" t="s">
        <v>17</v>
      </c>
      <c r="G15403" s="2">
        <f>VALUE(2479.82)</f>
        <v>2479.8200000000002</v>
      </c>
      <c r="H15403" s="3">
        <f>VALUE(2065.14)</f>
        <v>2065.14</v>
      </c>
      <c r="I15403" s="1">
        <f>VALUE(3981)</f>
        <v>3981</v>
      </c>
      <c r="J15403" s="5">
        <f>VALUE(5159)</f>
        <v>5159</v>
      </c>
      <c r="K15403" s="1">
        <f>VALUE(7350)</f>
        <v>7350</v>
      </c>
      <c r="L15403" s="7">
        <f>VALUE(9171)</f>
        <v>9171</v>
      </c>
      <c r="M15403" s="8">
        <f>VALUE(14558)</f>
        <v>14558</v>
      </c>
      <c r="N15403" t="s">
        <v>25</v>
      </c>
    </row>
    <row r="15404" spans="1:14" x14ac:dyDescent="0.25">
      <c r="A15404" t="s">
        <v>45</v>
      </c>
      <c r="B15404" t="s">
        <v>40</v>
      </c>
      <c r="C15404" t="s">
        <v>37</v>
      </c>
      <c r="D15404" t="s">
        <v>15</v>
      </c>
      <c r="E15404" t="s">
        <v>15</v>
      </c>
      <c r="F15404" t="s">
        <v>18</v>
      </c>
      <c r="G15404" s="2">
        <f>VALUE(2031.59)</f>
        <v>2031.59</v>
      </c>
      <c r="H15404" s="1">
        <f>VALUE(1602.84)</f>
        <v>1602.84</v>
      </c>
      <c r="I15404" s="4">
        <f>VALUE(3948)</f>
        <v>3948</v>
      </c>
      <c r="J15404" s="1">
        <f>VALUE(4593)</f>
        <v>4593</v>
      </c>
      <c r="K15404" s="1">
        <f>VALUE(5944)</f>
        <v>5944</v>
      </c>
      <c r="L15404" s="1">
        <f>VALUE(7862)</f>
        <v>7862</v>
      </c>
      <c r="M15404" s="1">
        <f>VALUE(9930)</f>
        <v>9930</v>
      </c>
      <c r="N15404" t="s">
        <v>25</v>
      </c>
    </row>
    <row r="15405" spans="1:14" x14ac:dyDescent="0.25">
      <c r="A15405" t="s">
        <v>45</v>
      </c>
      <c r="B15405" t="s">
        <v>40</v>
      </c>
      <c r="C15405" t="s">
        <v>37</v>
      </c>
      <c r="D15405" t="s">
        <v>15</v>
      </c>
      <c r="E15405" t="s">
        <v>15</v>
      </c>
      <c r="F15405" t="s">
        <v>19</v>
      </c>
      <c r="G15405" s="2">
        <f>VALUE(2187.07)</f>
        <v>2187.0700000000002</v>
      </c>
      <c r="H15405" s="3">
        <f>VALUE(1840.29)</f>
        <v>1840.29</v>
      </c>
      <c r="I15405" s="1">
        <f>VALUE(3734)</f>
        <v>3734</v>
      </c>
      <c r="J15405" s="1">
        <f>VALUE(4535)</f>
        <v>4535</v>
      </c>
      <c r="K15405" s="1">
        <f>VALUE(5408)</f>
        <v>5408</v>
      </c>
      <c r="L15405" s="1">
        <f>VALUE(6633)</f>
        <v>6633</v>
      </c>
      <c r="M15405" s="1">
        <f>VALUE(8045)</f>
        <v>8045</v>
      </c>
      <c r="N15405" t="s">
        <v>25</v>
      </c>
    </row>
    <row r="15406" spans="1:14" x14ac:dyDescent="0.25">
      <c r="A15406" t="s">
        <v>45</v>
      </c>
      <c r="B15406" t="s">
        <v>40</v>
      </c>
      <c r="C15406" t="s">
        <v>37</v>
      </c>
      <c r="D15406" t="s">
        <v>15</v>
      </c>
      <c r="E15406" t="s">
        <v>15</v>
      </c>
      <c r="F15406" t="s">
        <v>20</v>
      </c>
      <c r="G15406" s="1">
        <f>VALUE(15582.82)</f>
        <v>15582.82</v>
      </c>
      <c r="H15406" s="1">
        <f>VALUE(11411.22)</f>
        <v>11411.22</v>
      </c>
      <c r="I15406" s="1">
        <f>VALUE(3058)</f>
        <v>3058</v>
      </c>
      <c r="J15406" s="1">
        <f>VALUE(3481)</f>
        <v>3481</v>
      </c>
      <c r="K15406" s="1">
        <f>VALUE(4227)</f>
        <v>4227</v>
      </c>
      <c r="L15406" s="1">
        <f>VALUE(5444)</f>
        <v>5444</v>
      </c>
      <c r="M15406" s="1">
        <f>VALUE(6769)</f>
        <v>6769</v>
      </c>
      <c r="N15406" t="s">
        <v>16</v>
      </c>
    </row>
    <row r="15407" spans="1:14" x14ac:dyDescent="0.25">
      <c r="A15407" t="s">
        <v>45</v>
      </c>
      <c r="B15407" t="s">
        <v>40</v>
      </c>
      <c r="C15407" t="s">
        <v>37</v>
      </c>
      <c r="D15407" t="s">
        <v>15</v>
      </c>
      <c r="E15407" t="s">
        <v>21</v>
      </c>
      <c r="F15407" t="s">
        <v>15</v>
      </c>
      <c r="G15407" s="1">
        <f>VALUE(6452.53)</f>
        <v>6452.53</v>
      </c>
      <c r="H15407" s="1">
        <f>VALUE(4994.03)</f>
        <v>4994.03</v>
      </c>
      <c r="I15407" s="1">
        <f>VALUE(3893)</f>
        <v>3893</v>
      </c>
      <c r="J15407" s="1">
        <f>VALUE(4733)</f>
        <v>4733</v>
      </c>
      <c r="K15407" s="1">
        <f>VALUE(6272)</f>
        <v>6272</v>
      </c>
      <c r="L15407" s="1">
        <f>VALUE(8223)</f>
        <v>8223</v>
      </c>
      <c r="M15407" s="8">
        <f>VALUE(10392)</f>
        <v>10392</v>
      </c>
      <c r="N15407" t="s">
        <v>25</v>
      </c>
    </row>
    <row r="15408" spans="1:14" x14ac:dyDescent="0.25">
      <c r="A15408" t="s">
        <v>45</v>
      </c>
      <c r="B15408" t="s">
        <v>40</v>
      </c>
      <c r="C15408" t="s">
        <v>37</v>
      </c>
      <c r="D15408" t="s">
        <v>15</v>
      </c>
      <c r="E15408" t="s">
        <v>21</v>
      </c>
      <c r="F15408" t="s">
        <v>17</v>
      </c>
      <c r="G15408" s="2">
        <f>VALUE(1712.47)</f>
        <v>1712.47</v>
      </c>
      <c r="H15408" s="3">
        <f>VALUE(1432.86)</f>
        <v>1432.86</v>
      </c>
      <c r="I15408" s="4">
        <f>VALUE(4609)</f>
        <v>4609</v>
      </c>
      <c r="J15408" s="5">
        <f>VALUE(5714)</f>
        <v>5714</v>
      </c>
      <c r="K15408" s="1">
        <f>VALUE(7987)</f>
        <v>7987</v>
      </c>
      <c r="L15408" s="7">
        <f>VALUE(10082)</f>
        <v>10082</v>
      </c>
      <c r="M15408" s="8">
        <f>VALUE(14878)</f>
        <v>14878</v>
      </c>
      <c r="N15408" t="s">
        <v>25</v>
      </c>
    </row>
    <row r="15409" spans="1:14" x14ac:dyDescent="0.25">
      <c r="A15409" t="s">
        <v>45</v>
      </c>
      <c r="B15409" t="s">
        <v>40</v>
      </c>
      <c r="C15409" t="s">
        <v>37</v>
      </c>
      <c r="D15409" t="s">
        <v>15</v>
      </c>
      <c r="E15409" t="s">
        <v>21</v>
      </c>
      <c r="F15409" t="s">
        <v>18</v>
      </c>
      <c r="G15409" s="2">
        <f>VALUE(1016.28)</f>
        <v>1016.28</v>
      </c>
      <c r="H15409" s="3">
        <f>VALUE(811.51)</f>
        <v>811.51</v>
      </c>
      <c r="I15409" s="1">
        <f>VALUE(4131)</f>
        <v>4131</v>
      </c>
      <c r="J15409" s="1">
        <f>VALUE(5153)</f>
        <v>5153</v>
      </c>
      <c r="K15409" s="1">
        <f>VALUE(6580)</f>
        <v>6580</v>
      </c>
      <c r="L15409" s="1">
        <f>VALUE(8566)</f>
        <v>8566</v>
      </c>
      <c r="M15409" s="1">
        <f>VALUE(10821)</f>
        <v>10821</v>
      </c>
      <c r="N15409" t="s">
        <v>25</v>
      </c>
    </row>
    <row r="15410" spans="1:14" x14ac:dyDescent="0.25">
      <c r="A15410" t="s">
        <v>45</v>
      </c>
      <c r="B15410" t="s">
        <v>40</v>
      </c>
      <c r="C15410" t="s">
        <v>37</v>
      </c>
      <c r="D15410" t="s">
        <v>15</v>
      </c>
      <c r="E15410" t="s">
        <v>21</v>
      </c>
      <c r="F15410" t="s">
        <v>19</v>
      </c>
      <c r="G15410" s="2">
        <f>VALUE(699.14)</f>
        <v>699.14</v>
      </c>
      <c r="H15410" s="3">
        <f>VALUE(556.1)</f>
        <v>556.1</v>
      </c>
      <c r="I15410" s="1">
        <f>VALUE(4269)</f>
        <v>4269</v>
      </c>
      <c r="J15410" s="1">
        <f>VALUE(5016)</f>
        <v>5016</v>
      </c>
      <c r="K15410" s="1">
        <f>VALUE(6628)</f>
        <v>6628</v>
      </c>
      <c r="L15410" s="1">
        <f>VALUE(8058)</f>
        <v>8058</v>
      </c>
      <c r="M15410" s="1">
        <f>VALUE(9752)</f>
        <v>9752</v>
      </c>
      <c r="N15410" t="s">
        <v>25</v>
      </c>
    </row>
    <row r="15411" spans="1:14" x14ac:dyDescent="0.25">
      <c r="A15411" t="s">
        <v>45</v>
      </c>
      <c r="B15411" t="s">
        <v>40</v>
      </c>
      <c r="C15411" t="s">
        <v>37</v>
      </c>
      <c r="D15411" t="s">
        <v>15</v>
      </c>
      <c r="E15411" t="s">
        <v>21</v>
      </c>
      <c r="F15411" t="s">
        <v>20</v>
      </c>
      <c r="G15411" s="2">
        <f>VALUE(3024.64)</f>
        <v>3024.64</v>
      </c>
      <c r="H15411" s="1">
        <f>VALUE(2193.56)</f>
        <v>2193.56</v>
      </c>
      <c r="I15411" s="1">
        <f>VALUE(3500)</f>
        <v>3500</v>
      </c>
      <c r="J15411" s="1">
        <f>VALUE(4417)</f>
        <v>4417</v>
      </c>
      <c r="K15411" s="1">
        <f>VALUE(5436)</f>
        <v>5436</v>
      </c>
      <c r="L15411" s="1">
        <f>VALUE(6826)</f>
        <v>6826</v>
      </c>
      <c r="M15411" s="1">
        <f>VALUE(8233)</f>
        <v>8233</v>
      </c>
      <c r="N15411" t="s">
        <v>25</v>
      </c>
    </row>
    <row r="15412" spans="1:14" x14ac:dyDescent="0.25">
      <c r="A15412" t="s">
        <v>45</v>
      </c>
      <c r="B15412" t="s">
        <v>40</v>
      </c>
      <c r="C15412" t="s">
        <v>37</v>
      </c>
      <c r="D15412" t="s">
        <v>15</v>
      </c>
      <c r="E15412" t="s">
        <v>22</v>
      </c>
      <c r="F15412" t="s">
        <v>15</v>
      </c>
      <c r="G15412" s="1">
        <f>VALUE(8781.95)</f>
        <v>8781.9500000000007</v>
      </c>
      <c r="H15412" s="1">
        <f>VALUE(6767.14)</f>
        <v>6767.14</v>
      </c>
      <c r="I15412" s="1">
        <f>VALUE(3452)</f>
        <v>3452</v>
      </c>
      <c r="J15412" s="1">
        <f>VALUE(4127)</f>
        <v>4127</v>
      </c>
      <c r="K15412" s="1">
        <f>VALUE(5058)</f>
        <v>5058</v>
      </c>
      <c r="L15412" s="1">
        <f>VALUE(6179)</f>
        <v>6179</v>
      </c>
      <c r="M15412" s="1">
        <f>VALUE(7506)</f>
        <v>7506</v>
      </c>
      <c r="N15412" t="s">
        <v>16</v>
      </c>
    </row>
    <row r="15413" spans="1:14" x14ac:dyDescent="0.25">
      <c r="A15413" t="s">
        <v>45</v>
      </c>
      <c r="B15413" t="s">
        <v>40</v>
      </c>
      <c r="C15413" t="s">
        <v>37</v>
      </c>
      <c r="D15413" t="s">
        <v>15</v>
      </c>
      <c r="E15413" t="s">
        <v>22</v>
      </c>
      <c r="F15413" t="s">
        <v>17</v>
      </c>
      <c r="G15413" s="2">
        <f>VALUE(668.85)</f>
        <v>668.85</v>
      </c>
      <c r="H15413" s="3">
        <f>VALUE(535.04)</f>
        <v>535.04</v>
      </c>
      <c r="I15413" s="4">
        <f>VALUE(3504)</f>
        <v>3504</v>
      </c>
      <c r="J15413" s="5">
        <f>VALUE(4554)</f>
        <v>4554</v>
      </c>
      <c r="K15413" s="6">
        <f>VALUE(6293)</f>
        <v>6293</v>
      </c>
      <c r="L15413" s="1">
        <f>VALUE(8447)</f>
        <v>8447</v>
      </c>
      <c r="M15413" s="8">
        <f>VALUE(11657)</f>
        <v>11657</v>
      </c>
      <c r="N15413" t="s">
        <v>25</v>
      </c>
    </row>
    <row r="15414" spans="1:14" x14ac:dyDescent="0.25">
      <c r="A15414" t="s">
        <v>45</v>
      </c>
      <c r="B15414" t="s">
        <v>40</v>
      </c>
      <c r="C15414" t="s">
        <v>37</v>
      </c>
      <c r="D15414" t="s">
        <v>15</v>
      </c>
      <c r="E15414" t="s">
        <v>22</v>
      </c>
      <c r="F15414" t="s">
        <v>18</v>
      </c>
      <c r="G15414" s="2">
        <f>VALUE(821.36)</f>
        <v>821.36</v>
      </c>
      <c r="H15414" s="3">
        <f>VALUE(634.85)</f>
        <v>634.85</v>
      </c>
      <c r="I15414" s="4">
        <f>VALUE(3934)</f>
        <v>3934</v>
      </c>
      <c r="J15414" s="1">
        <f>VALUE(4593)</f>
        <v>4593</v>
      </c>
      <c r="K15414" s="1">
        <f>VALUE(5742)</f>
        <v>5742</v>
      </c>
      <c r="L15414" s="1">
        <f>VALUE(7215)</f>
        <v>7215</v>
      </c>
      <c r="M15414" s="1">
        <f>VALUE(9524)</f>
        <v>9524</v>
      </c>
      <c r="N15414" t="s">
        <v>25</v>
      </c>
    </row>
    <row r="15415" spans="1:14" x14ac:dyDescent="0.25">
      <c r="A15415" t="s">
        <v>45</v>
      </c>
      <c r="B15415" t="s">
        <v>40</v>
      </c>
      <c r="C15415" t="s">
        <v>37</v>
      </c>
      <c r="D15415" t="s">
        <v>15</v>
      </c>
      <c r="E15415" t="s">
        <v>22</v>
      </c>
      <c r="F15415" t="s">
        <v>19</v>
      </c>
      <c r="G15415" s="2">
        <f>VALUE(1188.6)</f>
        <v>1188.5999999999999</v>
      </c>
      <c r="H15415" s="3">
        <f>VALUE(1019.3)</f>
        <v>1019.3</v>
      </c>
      <c r="I15415" s="4">
        <f>VALUE(3714)</f>
        <v>3714</v>
      </c>
      <c r="J15415" s="1">
        <f>VALUE(4583)</f>
        <v>4583</v>
      </c>
      <c r="K15415" s="1">
        <f>VALUE(5408)</f>
        <v>5408</v>
      </c>
      <c r="L15415" s="1">
        <f>VALUE(6466)</f>
        <v>6466</v>
      </c>
      <c r="M15415" s="1">
        <f>VALUE(7172)</f>
        <v>7172</v>
      </c>
      <c r="N15415" t="s">
        <v>25</v>
      </c>
    </row>
    <row r="15416" spans="1:14" x14ac:dyDescent="0.25">
      <c r="A15416" t="s">
        <v>45</v>
      </c>
      <c r="B15416" t="s">
        <v>40</v>
      </c>
      <c r="C15416" t="s">
        <v>37</v>
      </c>
      <c r="D15416" t="s">
        <v>15</v>
      </c>
      <c r="E15416" t="s">
        <v>22</v>
      </c>
      <c r="F15416" t="s">
        <v>20</v>
      </c>
      <c r="G15416" s="1">
        <f>VALUE(6103.14)</f>
        <v>6103.14</v>
      </c>
      <c r="H15416" s="1">
        <f>VALUE(4577.95)</f>
        <v>4577.95</v>
      </c>
      <c r="I15416" s="1">
        <f>VALUE(3407)</f>
        <v>3407</v>
      </c>
      <c r="J15416" s="1">
        <f>VALUE(3973)</f>
        <v>3973</v>
      </c>
      <c r="K15416" s="1">
        <f>VALUE(4823)</f>
        <v>4823</v>
      </c>
      <c r="L15416" s="1">
        <f>VALUE(5793)</f>
        <v>5793</v>
      </c>
      <c r="M15416" s="1">
        <f>VALUE(6814)</f>
        <v>6814</v>
      </c>
      <c r="N15416" t="s">
        <v>16</v>
      </c>
    </row>
    <row r="15417" spans="1:14" x14ac:dyDescent="0.25">
      <c r="A15417" t="s">
        <v>45</v>
      </c>
      <c r="B15417" t="s">
        <v>40</v>
      </c>
      <c r="C15417" t="s">
        <v>37</v>
      </c>
      <c r="D15417" t="s">
        <v>15</v>
      </c>
      <c r="E15417" t="s">
        <v>23</v>
      </c>
      <c r="F15417" t="s">
        <v>15</v>
      </c>
      <c r="G15417" s="1">
        <f>VALUE(6928.74)</f>
        <v>6928.74</v>
      </c>
      <c r="H15417" s="1">
        <f>VALUE(5077.6)</f>
        <v>5077.6000000000004</v>
      </c>
      <c r="I15417" s="1">
        <f>VALUE(2903)</f>
        <v>2903</v>
      </c>
      <c r="J15417" s="1">
        <f>VALUE(3248)</f>
        <v>3248</v>
      </c>
      <c r="K15417" s="1">
        <f>VALUE(3597)</f>
        <v>3597</v>
      </c>
      <c r="L15417" s="1">
        <f>VALUE(4123)</f>
        <v>4123</v>
      </c>
      <c r="M15417" s="1">
        <f>VALUE(4835)</f>
        <v>4835</v>
      </c>
      <c r="N15417" t="s">
        <v>16</v>
      </c>
    </row>
    <row r="15418" spans="1:14" x14ac:dyDescent="0.25">
      <c r="A15418" t="s">
        <v>45</v>
      </c>
      <c r="B15418" t="s">
        <v>40</v>
      </c>
      <c r="C15418" t="s">
        <v>37</v>
      </c>
      <c r="D15418" t="s">
        <v>15</v>
      </c>
      <c r="E15418" t="s">
        <v>23</v>
      </c>
      <c r="F15418" t="s">
        <v>17</v>
      </c>
      <c r="G15418" s="1" t="str">
        <f t="shared" ref="G15418:M15419" si="3573">"X"</f>
        <v>X</v>
      </c>
      <c r="H15418" s="1" t="str">
        <f t="shared" si="3573"/>
        <v>X</v>
      </c>
      <c r="I15418" s="1" t="str">
        <f t="shared" si="3573"/>
        <v>X</v>
      </c>
      <c r="J15418" s="1" t="str">
        <f t="shared" si="3573"/>
        <v>X</v>
      </c>
      <c r="K15418" s="1" t="str">
        <f t="shared" si="3573"/>
        <v>X</v>
      </c>
      <c r="L15418" s="1" t="str">
        <f t="shared" si="3573"/>
        <v>X</v>
      </c>
      <c r="M15418" s="1" t="str">
        <f t="shared" si="3573"/>
        <v>X</v>
      </c>
      <c r="N15418" t="s">
        <v>27</v>
      </c>
    </row>
    <row r="15419" spans="1:14" x14ac:dyDescent="0.25">
      <c r="A15419" t="s">
        <v>45</v>
      </c>
      <c r="B15419" t="s">
        <v>40</v>
      </c>
      <c r="C15419" t="s">
        <v>37</v>
      </c>
      <c r="D15419" t="s">
        <v>15</v>
      </c>
      <c r="E15419" t="s">
        <v>23</v>
      </c>
      <c r="F15419" t="s">
        <v>18</v>
      </c>
      <c r="G15419" s="1" t="str">
        <f t="shared" si="3573"/>
        <v>X</v>
      </c>
      <c r="H15419" s="1" t="str">
        <f t="shared" si="3573"/>
        <v>X</v>
      </c>
      <c r="I15419" s="1" t="str">
        <f t="shared" si="3573"/>
        <v>X</v>
      </c>
      <c r="J15419" s="1" t="str">
        <f t="shared" si="3573"/>
        <v>X</v>
      </c>
      <c r="K15419" s="1" t="str">
        <f t="shared" si="3573"/>
        <v>X</v>
      </c>
      <c r="L15419" s="1" t="str">
        <f t="shared" si="3573"/>
        <v>X</v>
      </c>
      <c r="M15419" s="1" t="str">
        <f t="shared" si="3573"/>
        <v>X</v>
      </c>
      <c r="N15419" t="s">
        <v>27</v>
      </c>
    </row>
    <row r="15420" spans="1:14" x14ac:dyDescent="0.25">
      <c r="A15420" t="s">
        <v>45</v>
      </c>
      <c r="B15420" t="s">
        <v>40</v>
      </c>
      <c r="C15420" t="s">
        <v>37</v>
      </c>
      <c r="D15420" t="s">
        <v>15</v>
      </c>
      <c r="E15420" t="s">
        <v>23</v>
      </c>
      <c r="F15420" t="s">
        <v>19</v>
      </c>
      <c r="G15420" s="2">
        <f>VALUE(294.25)</f>
        <v>294.25</v>
      </c>
      <c r="H15420" s="3">
        <f>VALUE(261.81)</f>
        <v>261.81</v>
      </c>
      <c r="I15420" s="4">
        <f>VALUE(3467)</f>
        <v>3467</v>
      </c>
      <c r="J15420" s="1">
        <f>VALUE(3806)</f>
        <v>3806</v>
      </c>
      <c r="K15420" s="1">
        <f>VALUE(4502)</f>
        <v>4502</v>
      </c>
      <c r="L15420" s="7">
        <f>VALUE(5050)</f>
        <v>5050</v>
      </c>
      <c r="M15420" s="8">
        <f>VALUE(6227)</f>
        <v>6227</v>
      </c>
      <c r="N15420" t="s">
        <v>25</v>
      </c>
    </row>
    <row r="15421" spans="1:14" x14ac:dyDescent="0.25">
      <c r="A15421" t="s">
        <v>45</v>
      </c>
      <c r="B15421" t="s">
        <v>40</v>
      </c>
      <c r="C15421" t="s">
        <v>37</v>
      </c>
      <c r="D15421" t="s">
        <v>15</v>
      </c>
      <c r="E15421" t="s">
        <v>23</v>
      </c>
      <c r="F15421" t="s">
        <v>20</v>
      </c>
      <c r="G15421" s="1">
        <f>VALUE(6353.3)</f>
        <v>6353.3</v>
      </c>
      <c r="H15421" s="1">
        <f>VALUE(4567.46)</f>
        <v>4567.46</v>
      </c>
      <c r="I15421" s="1">
        <f>VALUE(2865)</f>
        <v>2865</v>
      </c>
      <c r="J15421" s="1">
        <f>VALUE(3205)</f>
        <v>3205</v>
      </c>
      <c r="K15421" s="1">
        <f>VALUE(3544)</f>
        <v>3544</v>
      </c>
      <c r="L15421" s="1">
        <f>VALUE(4013)</f>
        <v>4013</v>
      </c>
      <c r="M15421" s="1">
        <f>VALUE(4647)</f>
        <v>4647</v>
      </c>
      <c r="N15421" t="s">
        <v>16</v>
      </c>
    </row>
    <row r="15422" spans="1:14" x14ac:dyDescent="0.25">
      <c r="A15422" t="s">
        <v>45</v>
      </c>
      <c r="B15422" t="s">
        <v>40</v>
      </c>
      <c r="C15422" t="s">
        <v>37</v>
      </c>
      <c r="D15422" t="s">
        <v>15</v>
      </c>
      <c r="E15422" t="s">
        <v>26</v>
      </c>
      <c r="F15422" t="s">
        <v>15</v>
      </c>
      <c r="G15422" s="1" t="str">
        <f t="shared" ref="G15422:M15422" si="3574">"X"</f>
        <v>X</v>
      </c>
      <c r="H15422" s="1" t="str">
        <f t="shared" si="3574"/>
        <v>X</v>
      </c>
      <c r="I15422" s="1" t="str">
        <f t="shared" si="3574"/>
        <v>X</v>
      </c>
      <c r="J15422" s="1" t="str">
        <f t="shared" si="3574"/>
        <v>X</v>
      </c>
      <c r="K15422" s="1" t="str">
        <f t="shared" si="3574"/>
        <v>X</v>
      </c>
      <c r="L15422" s="1" t="str">
        <f t="shared" si="3574"/>
        <v>X</v>
      </c>
      <c r="M15422" s="1" t="str">
        <f t="shared" si="3574"/>
        <v>X</v>
      </c>
      <c r="N15422" t="s">
        <v>27</v>
      </c>
    </row>
    <row r="15423" spans="1:14" x14ac:dyDescent="0.25">
      <c r="A15423" t="s">
        <v>45</v>
      </c>
      <c r="B15423" t="s">
        <v>40</v>
      </c>
      <c r="C15423" t="s">
        <v>37</v>
      </c>
      <c r="D15423" t="s">
        <v>15</v>
      </c>
      <c r="E15423" t="s">
        <v>26</v>
      </c>
      <c r="F15423" t="s">
        <v>17</v>
      </c>
      <c r="G15423" s="1" t="str">
        <f t="shared" ref="G15423:M15423" si="3575">"..."</f>
        <v>...</v>
      </c>
      <c r="H15423" s="1" t="str">
        <f t="shared" si="3575"/>
        <v>...</v>
      </c>
      <c r="I15423" s="1" t="str">
        <f t="shared" si="3575"/>
        <v>...</v>
      </c>
      <c r="J15423" s="1" t="str">
        <f t="shared" si="3575"/>
        <v>...</v>
      </c>
      <c r="K15423" s="1" t="str">
        <f t="shared" si="3575"/>
        <v>...</v>
      </c>
      <c r="L15423" s="1" t="str">
        <f t="shared" si="3575"/>
        <v>...</v>
      </c>
      <c r="M15423" s="1" t="str">
        <f t="shared" si="3575"/>
        <v>...</v>
      </c>
      <c r="N15423" t="s">
        <v>30</v>
      </c>
    </row>
    <row r="15424" spans="1:14" x14ac:dyDescent="0.25">
      <c r="A15424" t="s">
        <v>45</v>
      </c>
      <c r="B15424" t="s">
        <v>40</v>
      </c>
      <c r="C15424" t="s">
        <v>37</v>
      </c>
      <c r="D15424" t="s">
        <v>15</v>
      </c>
      <c r="E15424" t="s">
        <v>26</v>
      </c>
      <c r="F15424" t="s">
        <v>18</v>
      </c>
      <c r="G15424" s="1" t="str">
        <f t="shared" ref="G15424:M15426" si="3576">"X"</f>
        <v>X</v>
      </c>
      <c r="H15424" s="1" t="str">
        <f t="shared" si="3576"/>
        <v>X</v>
      </c>
      <c r="I15424" s="1" t="str">
        <f t="shared" si="3576"/>
        <v>X</v>
      </c>
      <c r="J15424" s="1" t="str">
        <f t="shared" si="3576"/>
        <v>X</v>
      </c>
      <c r="K15424" s="1" t="str">
        <f t="shared" si="3576"/>
        <v>X</v>
      </c>
      <c r="L15424" s="1" t="str">
        <f t="shared" si="3576"/>
        <v>X</v>
      </c>
      <c r="M15424" s="1" t="str">
        <f t="shared" si="3576"/>
        <v>X</v>
      </c>
      <c r="N15424" t="s">
        <v>27</v>
      </c>
    </row>
    <row r="15425" spans="1:14" x14ac:dyDescent="0.25">
      <c r="A15425" t="s">
        <v>45</v>
      </c>
      <c r="B15425" t="s">
        <v>40</v>
      </c>
      <c r="C15425" t="s">
        <v>37</v>
      </c>
      <c r="D15425" t="s">
        <v>15</v>
      </c>
      <c r="E15425" t="s">
        <v>26</v>
      </c>
      <c r="F15425" t="s">
        <v>19</v>
      </c>
      <c r="G15425" s="1" t="str">
        <f t="shared" si="3576"/>
        <v>X</v>
      </c>
      <c r="H15425" s="1" t="str">
        <f t="shared" si="3576"/>
        <v>X</v>
      </c>
      <c r="I15425" s="1" t="str">
        <f t="shared" si="3576"/>
        <v>X</v>
      </c>
      <c r="J15425" s="1" t="str">
        <f t="shared" si="3576"/>
        <v>X</v>
      </c>
      <c r="K15425" s="1" t="str">
        <f t="shared" si="3576"/>
        <v>X</v>
      </c>
      <c r="L15425" s="1" t="str">
        <f t="shared" si="3576"/>
        <v>X</v>
      </c>
      <c r="M15425" s="1" t="str">
        <f t="shared" si="3576"/>
        <v>X</v>
      </c>
      <c r="N15425" t="s">
        <v>27</v>
      </c>
    </row>
    <row r="15426" spans="1:14" x14ac:dyDescent="0.25">
      <c r="A15426" t="s">
        <v>45</v>
      </c>
      <c r="B15426" t="s">
        <v>40</v>
      </c>
      <c r="C15426" t="s">
        <v>37</v>
      </c>
      <c r="D15426" t="s">
        <v>15</v>
      </c>
      <c r="E15426" t="s">
        <v>26</v>
      </c>
      <c r="F15426" t="s">
        <v>20</v>
      </c>
      <c r="G15426" s="1" t="str">
        <f t="shared" si="3576"/>
        <v>X</v>
      </c>
      <c r="H15426" s="1" t="str">
        <f t="shared" si="3576"/>
        <v>X</v>
      </c>
      <c r="I15426" s="1" t="str">
        <f t="shared" si="3576"/>
        <v>X</v>
      </c>
      <c r="J15426" s="1" t="str">
        <f t="shared" si="3576"/>
        <v>X</v>
      </c>
      <c r="K15426" s="1" t="str">
        <f t="shared" si="3576"/>
        <v>X</v>
      </c>
      <c r="L15426" s="1" t="str">
        <f t="shared" si="3576"/>
        <v>X</v>
      </c>
      <c r="M15426" s="1" t="str">
        <f t="shared" si="3576"/>
        <v>X</v>
      </c>
      <c r="N15426" t="s">
        <v>27</v>
      </c>
    </row>
    <row r="15427" spans="1:14" x14ac:dyDescent="0.25">
      <c r="A15427" t="s">
        <v>45</v>
      </c>
      <c r="B15427" t="s">
        <v>40</v>
      </c>
      <c r="C15427" t="s">
        <v>37</v>
      </c>
      <c r="D15427" t="s">
        <v>28</v>
      </c>
      <c r="E15427" t="s">
        <v>15</v>
      </c>
      <c r="F15427" t="s">
        <v>15</v>
      </c>
      <c r="G15427" s="1">
        <f>VALUE(8421.65)</f>
        <v>8421.65</v>
      </c>
      <c r="H15427" s="1">
        <f>VALUE(6008.01)</f>
        <v>6008.01</v>
      </c>
      <c r="I15427" s="1">
        <f>VALUE(3906)</f>
        <v>3906</v>
      </c>
      <c r="J15427" s="1">
        <f>VALUE(4648)</f>
        <v>4648</v>
      </c>
      <c r="K15427" s="1">
        <f>VALUE(5703)</f>
        <v>5703</v>
      </c>
      <c r="L15427" s="1">
        <f>VALUE(7071)</f>
        <v>7071</v>
      </c>
      <c r="M15427" s="1">
        <f>VALUE(8469)</f>
        <v>8469</v>
      </c>
      <c r="N15427" t="s">
        <v>16</v>
      </c>
    </row>
    <row r="15428" spans="1:14" x14ac:dyDescent="0.25">
      <c r="A15428" t="s">
        <v>45</v>
      </c>
      <c r="B15428" t="s">
        <v>40</v>
      </c>
      <c r="C15428" t="s">
        <v>37</v>
      </c>
      <c r="D15428" t="s">
        <v>28</v>
      </c>
      <c r="E15428" t="s">
        <v>15</v>
      </c>
      <c r="F15428" t="s">
        <v>17</v>
      </c>
      <c r="G15428" s="2">
        <f>VALUE(1340.97)</f>
        <v>1340.97</v>
      </c>
      <c r="H15428" s="3">
        <f>VALUE(1061.47)</f>
        <v>1061.47</v>
      </c>
      <c r="I15428" s="4">
        <f>VALUE(4150)</f>
        <v>4150</v>
      </c>
      <c r="J15428" s="1">
        <f>VALUE(5390)</f>
        <v>5390</v>
      </c>
      <c r="K15428" s="1">
        <f>VALUE(7362)</f>
        <v>7362</v>
      </c>
      <c r="L15428" s="1">
        <f>VALUE(8335)</f>
        <v>8335</v>
      </c>
      <c r="M15428" s="8">
        <f>VALUE(11657)</f>
        <v>11657</v>
      </c>
      <c r="N15428" t="s">
        <v>25</v>
      </c>
    </row>
    <row r="15429" spans="1:14" x14ac:dyDescent="0.25">
      <c r="A15429" t="s">
        <v>45</v>
      </c>
      <c r="B15429" t="s">
        <v>40</v>
      </c>
      <c r="C15429" t="s">
        <v>37</v>
      </c>
      <c r="D15429" t="s">
        <v>28</v>
      </c>
      <c r="E15429" t="s">
        <v>15</v>
      </c>
      <c r="F15429" t="s">
        <v>18</v>
      </c>
      <c r="G15429" s="2">
        <f>VALUE(915.39)</f>
        <v>915.39</v>
      </c>
      <c r="H15429" s="3">
        <f>VALUE(679.44)</f>
        <v>679.44</v>
      </c>
      <c r="I15429" s="1">
        <f>VALUE(4347)</f>
        <v>4347</v>
      </c>
      <c r="J15429" s="5">
        <f>VALUE(5248)</f>
        <v>5248</v>
      </c>
      <c r="K15429" s="1">
        <f>VALUE(6624)</f>
        <v>6624</v>
      </c>
      <c r="L15429" s="7">
        <f>VALUE(8143)</f>
        <v>8143</v>
      </c>
      <c r="M15429" s="1">
        <f>VALUE(9930)</f>
        <v>9930</v>
      </c>
      <c r="N15429" t="s">
        <v>25</v>
      </c>
    </row>
    <row r="15430" spans="1:14" x14ac:dyDescent="0.25">
      <c r="A15430" t="s">
        <v>45</v>
      </c>
      <c r="B15430" t="s">
        <v>40</v>
      </c>
      <c r="C15430" t="s">
        <v>37</v>
      </c>
      <c r="D15430" t="s">
        <v>28</v>
      </c>
      <c r="E15430" t="s">
        <v>15</v>
      </c>
      <c r="F15430" t="s">
        <v>19</v>
      </c>
      <c r="G15430" s="2">
        <f>VALUE(1094.14)</f>
        <v>1094.1400000000001</v>
      </c>
      <c r="H15430" s="3">
        <f>VALUE(877.03)</f>
        <v>877.03</v>
      </c>
      <c r="I15430" s="4">
        <f>VALUE(4290)</f>
        <v>4290</v>
      </c>
      <c r="J15430" s="1">
        <f>VALUE(4811)</f>
        <v>4811</v>
      </c>
      <c r="K15430" s="1">
        <f>VALUE(5863)</f>
        <v>5863</v>
      </c>
      <c r="L15430" s="1">
        <f>VALUE(6706)</f>
        <v>6706</v>
      </c>
      <c r="M15430" s="1">
        <f>VALUE(8205)</f>
        <v>8205</v>
      </c>
      <c r="N15430" t="s">
        <v>25</v>
      </c>
    </row>
    <row r="15431" spans="1:14" x14ac:dyDescent="0.25">
      <c r="A15431" t="s">
        <v>45</v>
      </c>
      <c r="B15431" t="s">
        <v>40</v>
      </c>
      <c r="C15431" t="s">
        <v>37</v>
      </c>
      <c r="D15431" t="s">
        <v>28</v>
      </c>
      <c r="E15431" t="s">
        <v>15</v>
      </c>
      <c r="F15431" t="s">
        <v>20</v>
      </c>
      <c r="G15431" s="1">
        <f>VALUE(5071.15)</f>
        <v>5071.1499999999996</v>
      </c>
      <c r="H15431" s="1">
        <f>VALUE(3390.07)</f>
        <v>3390.07</v>
      </c>
      <c r="I15431" s="1">
        <f>VALUE(3753)</f>
        <v>3753</v>
      </c>
      <c r="J15431" s="1">
        <f>VALUE(4425)</f>
        <v>4425</v>
      </c>
      <c r="K15431" s="1">
        <f>VALUE(5350)</f>
        <v>5350</v>
      </c>
      <c r="L15431" s="1">
        <f>VALUE(6382)</f>
        <v>6382</v>
      </c>
      <c r="M15431" s="1">
        <f>VALUE(7535)</f>
        <v>7535</v>
      </c>
      <c r="N15431" t="s">
        <v>16</v>
      </c>
    </row>
    <row r="15432" spans="1:14" x14ac:dyDescent="0.25">
      <c r="A15432" t="s">
        <v>45</v>
      </c>
      <c r="B15432" t="s">
        <v>40</v>
      </c>
      <c r="C15432" t="s">
        <v>37</v>
      </c>
      <c r="D15432" t="s">
        <v>28</v>
      </c>
      <c r="E15432" t="s">
        <v>21</v>
      </c>
      <c r="F15432" t="s">
        <v>15</v>
      </c>
      <c r="G15432" s="2">
        <f>VALUE(2531.81)</f>
        <v>2531.81</v>
      </c>
      <c r="H15432" s="3">
        <f>VALUE(1773.92)</f>
        <v>1773.92</v>
      </c>
      <c r="I15432" s="1">
        <f>VALUE(4617)</f>
        <v>4617</v>
      </c>
      <c r="J15432" s="1">
        <f>VALUE(5515)</f>
        <v>5515</v>
      </c>
      <c r="K15432" s="1">
        <f>VALUE(7152)</f>
        <v>7152</v>
      </c>
      <c r="L15432" s="1">
        <f>VALUE(8223)</f>
        <v>8223</v>
      </c>
      <c r="M15432" s="1">
        <f>VALUE(9928)</f>
        <v>9928</v>
      </c>
      <c r="N15432" t="s">
        <v>25</v>
      </c>
    </row>
    <row r="15433" spans="1:14" x14ac:dyDescent="0.25">
      <c r="A15433" t="s">
        <v>45</v>
      </c>
      <c r="B15433" t="s">
        <v>40</v>
      </c>
      <c r="C15433" t="s">
        <v>37</v>
      </c>
      <c r="D15433" t="s">
        <v>28</v>
      </c>
      <c r="E15433" t="s">
        <v>21</v>
      </c>
      <c r="F15433" t="s">
        <v>17</v>
      </c>
      <c r="G15433" s="2">
        <f>VALUE(900.14)</f>
        <v>900.14</v>
      </c>
      <c r="H15433" s="3">
        <f>VALUE(726.9)</f>
        <v>726.9</v>
      </c>
      <c r="I15433" s="1">
        <f>VALUE(4651)</f>
        <v>4651</v>
      </c>
      <c r="J15433" s="1">
        <f>VALUE(5952)</f>
        <v>5952</v>
      </c>
      <c r="K15433" s="1">
        <f>VALUE(7400)</f>
        <v>7400</v>
      </c>
      <c r="L15433" s="1">
        <f>VALUE(8223)</f>
        <v>8223</v>
      </c>
      <c r="M15433" s="8">
        <f>VALUE(11004)</f>
        <v>11004</v>
      </c>
      <c r="N15433" t="s">
        <v>25</v>
      </c>
    </row>
    <row r="15434" spans="1:14" x14ac:dyDescent="0.25">
      <c r="A15434" t="s">
        <v>45</v>
      </c>
      <c r="B15434" t="s">
        <v>40</v>
      </c>
      <c r="C15434" t="s">
        <v>37</v>
      </c>
      <c r="D15434" t="s">
        <v>28</v>
      </c>
      <c r="E15434" t="s">
        <v>21</v>
      </c>
      <c r="F15434" t="s">
        <v>18</v>
      </c>
      <c r="G15434" s="2">
        <f>VALUE(381.58)</f>
        <v>381.58</v>
      </c>
      <c r="H15434" s="3">
        <f>VALUE(279.96)</f>
        <v>279.95999999999998</v>
      </c>
      <c r="I15434" s="4">
        <f>VALUE(4672)</f>
        <v>4672</v>
      </c>
      <c r="J15434" s="1">
        <f>VALUE(5948)</f>
        <v>5948</v>
      </c>
      <c r="K15434" s="1">
        <f>VALUE(7429)</f>
        <v>7429</v>
      </c>
      <c r="L15434" s="1">
        <f>VALUE(8496)</f>
        <v>8496</v>
      </c>
      <c r="M15434" s="8">
        <f>VALUE(10400)</f>
        <v>10400</v>
      </c>
      <c r="N15434" t="s">
        <v>25</v>
      </c>
    </row>
    <row r="15435" spans="1:14" x14ac:dyDescent="0.25">
      <c r="A15435" t="s">
        <v>45</v>
      </c>
      <c r="B15435" t="s">
        <v>40</v>
      </c>
      <c r="C15435" t="s">
        <v>37</v>
      </c>
      <c r="D15435" t="s">
        <v>28</v>
      </c>
      <c r="E15435" t="s">
        <v>21</v>
      </c>
      <c r="F15435" t="s">
        <v>19</v>
      </c>
      <c r="G15435" s="2">
        <f>VALUE(255.78)</f>
        <v>255.78</v>
      </c>
      <c r="H15435" s="3">
        <f>VALUE(176.39)</f>
        <v>176.39</v>
      </c>
      <c r="I15435" s="1">
        <f>VALUE(5281)</f>
        <v>5281</v>
      </c>
      <c r="J15435" s="1">
        <f>VALUE(5886)</f>
        <v>5886</v>
      </c>
      <c r="K15435" s="1">
        <f>VALUE(7367)</f>
        <v>7367</v>
      </c>
      <c r="L15435" s="1">
        <f>VALUE(8535)</f>
        <v>8535</v>
      </c>
      <c r="M15435" s="1">
        <f>VALUE(10278)</f>
        <v>10278</v>
      </c>
      <c r="N15435" t="s">
        <v>25</v>
      </c>
    </row>
    <row r="15436" spans="1:14" x14ac:dyDescent="0.25">
      <c r="A15436" t="s">
        <v>45</v>
      </c>
      <c r="B15436" t="s">
        <v>40</v>
      </c>
      <c r="C15436" t="s">
        <v>37</v>
      </c>
      <c r="D15436" t="s">
        <v>28</v>
      </c>
      <c r="E15436" t="s">
        <v>21</v>
      </c>
      <c r="F15436" t="s">
        <v>20</v>
      </c>
      <c r="G15436" s="2">
        <f>VALUE(994.31)</f>
        <v>994.31</v>
      </c>
      <c r="H15436" s="3">
        <f>VALUE(590.67)</f>
        <v>590.66999999999996</v>
      </c>
      <c r="I15436" s="4">
        <f>VALUE(4451)</f>
        <v>4451</v>
      </c>
      <c r="J15436" s="1">
        <f>VALUE(5325)</f>
        <v>5325</v>
      </c>
      <c r="K15436" s="1">
        <f>VALUE(6270)</f>
        <v>6270</v>
      </c>
      <c r="L15436" s="1">
        <f>VALUE(7656)</f>
        <v>7656</v>
      </c>
      <c r="M15436" s="1">
        <f>VALUE(8775)</f>
        <v>8775</v>
      </c>
      <c r="N15436" t="s">
        <v>25</v>
      </c>
    </row>
    <row r="15437" spans="1:14" x14ac:dyDescent="0.25">
      <c r="A15437" t="s">
        <v>45</v>
      </c>
      <c r="B15437" t="s">
        <v>40</v>
      </c>
      <c r="C15437" t="s">
        <v>37</v>
      </c>
      <c r="D15437" t="s">
        <v>28</v>
      </c>
      <c r="E15437" t="s">
        <v>22</v>
      </c>
      <c r="F15437" t="s">
        <v>15</v>
      </c>
      <c r="G15437" s="1">
        <f>VALUE(4856.46)</f>
        <v>4856.46</v>
      </c>
      <c r="H15437" s="1">
        <f>VALUE(3584.33)</f>
        <v>3584.33</v>
      </c>
      <c r="I15437" s="1">
        <f>VALUE(3953)</f>
        <v>3953</v>
      </c>
      <c r="J15437" s="1">
        <f>VALUE(4648)</f>
        <v>4648</v>
      </c>
      <c r="K15437" s="1">
        <f>VALUE(5526)</f>
        <v>5526</v>
      </c>
      <c r="L15437" s="1">
        <f>VALUE(6628)</f>
        <v>6628</v>
      </c>
      <c r="M15437" s="1">
        <f>VALUE(7856)</f>
        <v>7856</v>
      </c>
      <c r="N15437" t="s">
        <v>16</v>
      </c>
    </row>
    <row r="15438" spans="1:14" x14ac:dyDescent="0.25">
      <c r="A15438" t="s">
        <v>45</v>
      </c>
      <c r="B15438" t="s">
        <v>40</v>
      </c>
      <c r="C15438" t="s">
        <v>37</v>
      </c>
      <c r="D15438" t="s">
        <v>28</v>
      </c>
      <c r="E15438" t="s">
        <v>22</v>
      </c>
      <c r="F15438" t="s">
        <v>17</v>
      </c>
      <c r="G15438" s="2">
        <f>VALUE(417.32)</f>
        <v>417.32</v>
      </c>
      <c r="H15438" s="3">
        <f>VALUE(315.08)</f>
        <v>315.08</v>
      </c>
      <c r="I15438" s="4">
        <f>VALUE(3264)</f>
        <v>3264</v>
      </c>
      <c r="J15438" s="5">
        <f>VALUE(4312)</f>
        <v>4312</v>
      </c>
      <c r="K15438" s="6">
        <f>VALUE(6318.5)</f>
        <v>6318.5</v>
      </c>
      <c r="L15438" s="7">
        <f>VALUE(9027)</f>
        <v>9027</v>
      </c>
      <c r="M15438" s="8">
        <f>VALUE(12308)</f>
        <v>12308</v>
      </c>
      <c r="N15438" t="s">
        <v>24</v>
      </c>
    </row>
    <row r="15439" spans="1:14" x14ac:dyDescent="0.25">
      <c r="A15439" t="s">
        <v>45</v>
      </c>
      <c r="B15439" t="s">
        <v>40</v>
      </c>
      <c r="C15439" t="s">
        <v>37</v>
      </c>
      <c r="D15439" t="s">
        <v>28</v>
      </c>
      <c r="E15439" t="s">
        <v>22</v>
      </c>
      <c r="F15439" t="s">
        <v>18</v>
      </c>
      <c r="G15439" s="2">
        <f>VALUE(510.32)</f>
        <v>510.32</v>
      </c>
      <c r="H15439" s="3">
        <f>VALUE(383.18)</f>
        <v>383.18</v>
      </c>
      <c r="I15439" s="4">
        <f>VALUE(4347)</f>
        <v>4347</v>
      </c>
      <c r="J15439" s="5">
        <f>VALUE(4887)</f>
        <v>4887</v>
      </c>
      <c r="K15439" s="1">
        <f>VALUE(6229)</f>
        <v>6229</v>
      </c>
      <c r="L15439" s="1">
        <f>VALUE(7858)</f>
        <v>7858</v>
      </c>
      <c r="M15439" s="1">
        <f>VALUE(9849)</f>
        <v>9849</v>
      </c>
      <c r="N15439" t="s">
        <v>25</v>
      </c>
    </row>
    <row r="15440" spans="1:14" x14ac:dyDescent="0.25">
      <c r="A15440" t="s">
        <v>45</v>
      </c>
      <c r="B15440" t="s">
        <v>40</v>
      </c>
      <c r="C15440" t="s">
        <v>37</v>
      </c>
      <c r="D15440" t="s">
        <v>28</v>
      </c>
      <c r="E15440" t="s">
        <v>22</v>
      </c>
      <c r="F15440" t="s">
        <v>19</v>
      </c>
      <c r="G15440" s="2">
        <f>VALUE(758.18)</f>
        <v>758.18</v>
      </c>
      <c r="H15440" s="3">
        <f>VALUE(630.31)</f>
        <v>630.30999999999995</v>
      </c>
      <c r="I15440" s="4">
        <f>VALUE(4330)</f>
        <v>4330</v>
      </c>
      <c r="J15440" s="1">
        <f>VALUE(4689)</f>
        <v>4689</v>
      </c>
      <c r="K15440" s="6">
        <f>VALUE(5763)</f>
        <v>5763</v>
      </c>
      <c r="L15440" s="1">
        <f>VALUE(6633)</f>
        <v>6633</v>
      </c>
      <c r="M15440" s="1">
        <f>VALUE(7172)</f>
        <v>7172</v>
      </c>
      <c r="N15440" t="s">
        <v>25</v>
      </c>
    </row>
    <row r="15441" spans="1:14" x14ac:dyDescent="0.25">
      <c r="A15441" t="s">
        <v>45</v>
      </c>
      <c r="B15441" t="s">
        <v>40</v>
      </c>
      <c r="C15441" t="s">
        <v>37</v>
      </c>
      <c r="D15441" t="s">
        <v>28</v>
      </c>
      <c r="E15441" t="s">
        <v>22</v>
      </c>
      <c r="F15441" t="s">
        <v>20</v>
      </c>
      <c r="G15441" s="1">
        <f>VALUE(3170.64)</f>
        <v>3170.64</v>
      </c>
      <c r="H15441" s="1">
        <f>VALUE(2255.76)</f>
        <v>2255.7600000000002</v>
      </c>
      <c r="I15441" s="1">
        <f>VALUE(3911)</f>
        <v>3911</v>
      </c>
      <c r="J15441" s="1">
        <f>VALUE(4588)</f>
        <v>4588</v>
      </c>
      <c r="K15441" s="1">
        <f>VALUE(5417)</f>
        <v>5417</v>
      </c>
      <c r="L15441" s="1">
        <f>VALUE(6266)</f>
        <v>6266</v>
      </c>
      <c r="M15441" s="1">
        <f>VALUE(7145)</f>
        <v>7145</v>
      </c>
      <c r="N15441" t="s">
        <v>16</v>
      </c>
    </row>
    <row r="15442" spans="1:14" x14ac:dyDescent="0.25">
      <c r="A15442" t="s">
        <v>45</v>
      </c>
      <c r="B15442" t="s">
        <v>40</v>
      </c>
      <c r="C15442" t="s">
        <v>37</v>
      </c>
      <c r="D15442" t="s">
        <v>28</v>
      </c>
      <c r="E15442" t="s">
        <v>23</v>
      </c>
      <c r="F15442" t="s">
        <v>15</v>
      </c>
      <c r="G15442" s="2">
        <f>VALUE(991.16)</f>
        <v>991.16</v>
      </c>
      <c r="H15442" s="3">
        <f>VALUE(625.61)</f>
        <v>625.61</v>
      </c>
      <c r="I15442" s="1">
        <f>VALUE(3500)</f>
        <v>3500</v>
      </c>
      <c r="J15442" s="1">
        <f>VALUE(3765)</f>
        <v>3765</v>
      </c>
      <c r="K15442" s="1">
        <f>VALUE(4327)</f>
        <v>4327</v>
      </c>
      <c r="L15442" s="1">
        <f>VALUE(4906)</f>
        <v>4906</v>
      </c>
      <c r="M15442" s="8">
        <f>VALUE(5850)</f>
        <v>5850</v>
      </c>
      <c r="N15442" t="s">
        <v>25</v>
      </c>
    </row>
    <row r="15443" spans="1:14" x14ac:dyDescent="0.25">
      <c r="A15443" t="s">
        <v>45</v>
      </c>
      <c r="B15443" t="s">
        <v>40</v>
      </c>
      <c r="C15443" t="s">
        <v>37</v>
      </c>
      <c r="D15443" t="s">
        <v>28</v>
      </c>
      <c r="E15443" t="s">
        <v>23</v>
      </c>
      <c r="F15443" t="s">
        <v>17</v>
      </c>
      <c r="G15443" s="1" t="str">
        <f t="shared" ref="G15443:M15445" si="3577">"X"</f>
        <v>X</v>
      </c>
      <c r="H15443" s="1" t="str">
        <f t="shared" si="3577"/>
        <v>X</v>
      </c>
      <c r="I15443" s="1" t="str">
        <f t="shared" si="3577"/>
        <v>X</v>
      </c>
      <c r="J15443" s="1" t="str">
        <f t="shared" si="3577"/>
        <v>X</v>
      </c>
      <c r="K15443" s="1" t="str">
        <f t="shared" si="3577"/>
        <v>X</v>
      </c>
      <c r="L15443" s="1" t="str">
        <f t="shared" si="3577"/>
        <v>X</v>
      </c>
      <c r="M15443" s="1" t="str">
        <f t="shared" si="3577"/>
        <v>X</v>
      </c>
      <c r="N15443" t="s">
        <v>27</v>
      </c>
    </row>
    <row r="15444" spans="1:14" x14ac:dyDescent="0.25">
      <c r="A15444" t="s">
        <v>45</v>
      </c>
      <c r="B15444" t="s">
        <v>40</v>
      </c>
      <c r="C15444" t="s">
        <v>37</v>
      </c>
      <c r="D15444" t="s">
        <v>28</v>
      </c>
      <c r="E15444" t="s">
        <v>23</v>
      </c>
      <c r="F15444" t="s">
        <v>18</v>
      </c>
      <c r="G15444" s="1" t="str">
        <f t="shared" si="3577"/>
        <v>X</v>
      </c>
      <c r="H15444" s="1" t="str">
        <f t="shared" si="3577"/>
        <v>X</v>
      </c>
      <c r="I15444" s="1" t="str">
        <f t="shared" si="3577"/>
        <v>X</v>
      </c>
      <c r="J15444" s="1" t="str">
        <f t="shared" si="3577"/>
        <v>X</v>
      </c>
      <c r="K15444" s="1" t="str">
        <f t="shared" si="3577"/>
        <v>X</v>
      </c>
      <c r="L15444" s="1" t="str">
        <f t="shared" si="3577"/>
        <v>X</v>
      </c>
      <c r="M15444" s="1" t="str">
        <f t="shared" si="3577"/>
        <v>X</v>
      </c>
      <c r="N15444" t="s">
        <v>27</v>
      </c>
    </row>
    <row r="15445" spans="1:14" x14ac:dyDescent="0.25">
      <c r="A15445" t="s">
        <v>45</v>
      </c>
      <c r="B15445" t="s">
        <v>40</v>
      </c>
      <c r="C15445" t="s">
        <v>37</v>
      </c>
      <c r="D15445" t="s">
        <v>28</v>
      </c>
      <c r="E15445" t="s">
        <v>23</v>
      </c>
      <c r="F15445" t="s">
        <v>19</v>
      </c>
      <c r="G15445" s="1" t="str">
        <f t="shared" si="3577"/>
        <v>X</v>
      </c>
      <c r="H15445" s="1" t="str">
        <f t="shared" si="3577"/>
        <v>X</v>
      </c>
      <c r="I15445" s="1" t="str">
        <f t="shared" si="3577"/>
        <v>X</v>
      </c>
      <c r="J15445" s="1" t="str">
        <f t="shared" si="3577"/>
        <v>X</v>
      </c>
      <c r="K15445" s="1" t="str">
        <f t="shared" si="3577"/>
        <v>X</v>
      </c>
      <c r="L15445" s="1" t="str">
        <f t="shared" si="3577"/>
        <v>X</v>
      </c>
      <c r="M15445" s="1" t="str">
        <f t="shared" si="3577"/>
        <v>X</v>
      </c>
      <c r="N15445" t="s">
        <v>27</v>
      </c>
    </row>
    <row r="15446" spans="1:14" x14ac:dyDescent="0.25">
      <c r="A15446" t="s">
        <v>45</v>
      </c>
      <c r="B15446" t="s">
        <v>40</v>
      </c>
      <c r="C15446" t="s">
        <v>37</v>
      </c>
      <c r="D15446" t="s">
        <v>28</v>
      </c>
      <c r="E15446" t="s">
        <v>23</v>
      </c>
      <c r="F15446" t="s">
        <v>20</v>
      </c>
      <c r="G15446" s="2">
        <f>VALUE(873.93)</f>
        <v>873.93</v>
      </c>
      <c r="H15446" s="3">
        <f>VALUE(523.93)</f>
        <v>523.92999999999995</v>
      </c>
      <c r="I15446" s="1">
        <f>VALUE(3498)</f>
        <v>3498</v>
      </c>
      <c r="J15446" s="1">
        <f>VALUE(3765)</f>
        <v>3765</v>
      </c>
      <c r="K15446" s="1">
        <f>VALUE(4264)</f>
        <v>4264</v>
      </c>
      <c r="L15446" s="1">
        <f>VALUE(4856)</f>
        <v>4856</v>
      </c>
      <c r="M15446" s="1">
        <f>VALUE(5435)</f>
        <v>5435</v>
      </c>
      <c r="N15446" t="s">
        <v>25</v>
      </c>
    </row>
    <row r="15447" spans="1:14" x14ac:dyDescent="0.25">
      <c r="A15447" t="s">
        <v>45</v>
      </c>
      <c r="B15447" t="s">
        <v>40</v>
      </c>
      <c r="C15447" t="s">
        <v>37</v>
      </c>
      <c r="D15447" t="s">
        <v>28</v>
      </c>
      <c r="E15447" t="s">
        <v>26</v>
      </c>
      <c r="F15447" t="s">
        <v>15</v>
      </c>
      <c r="G15447" s="1" t="str">
        <f t="shared" ref="G15447:M15447" si="3578">"X"</f>
        <v>X</v>
      </c>
      <c r="H15447" s="1" t="str">
        <f t="shared" si="3578"/>
        <v>X</v>
      </c>
      <c r="I15447" s="1" t="str">
        <f t="shared" si="3578"/>
        <v>X</v>
      </c>
      <c r="J15447" s="1" t="str">
        <f t="shared" si="3578"/>
        <v>X</v>
      </c>
      <c r="K15447" s="1" t="str">
        <f t="shared" si="3578"/>
        <v>X</v>
      </c>
      <c r="L15447" s="1" t="str">
        <f t="shared" si="3578"/>
        <v>X</v>
      </c>
      <c r="M15447" s="1" t="str">
        <f t="shared" si="3578"/>
        <v>X</v>
      </c>
      <c r="N15447" t="s">
        <v>27</v>
      </c>
    </row>
    <row r="15448" spans="1:14" x14ac:dyDescent="0.25">
      <c r="A15448" t="s">
        <v>45</v>
      </c>
      <c r="B15448" t="s">
        <v>40</v>
      </c>
      <c r="C15448" t="s">
        <v>37</v>
      </c>
      <c r="D15448" t="s">
        <v>28</v>
      </c>
      <c r="E15448" t="s">
        <v>26</v>
      </c>
      <c r="F15448" t="s">
        <v>17</v>
      </c>
      <c r="G15448" s="1" t="str">
        <f t="shared" ref="G15448:M15448" si="3579">"..."</f>
        <v>...</v>
      </c>
      <c r="H15448" s="1" t="str">
        <f t="shared" si="3579"/>
        <v>...</v>
      </c>
      <c r="I15448" s="1" t="str">
        <f t="shared" si="3579"/>
        <v>...</v>
      </c>
      <c r="J15448" s="1" t="str">
        <f t="shared" si="3579"/>
        <v>...</v>
      </c>
      <c r="K15448" s="1" t="str">
        <f t="shared" si="3579"/>
        <v>...</v>
      </c>
      <c r="L15448" s="1" t="str">
        <f t="shared" si="3579"/>
        <v>...</v>
      </c>
      <c r="M15448" s="1" t="str">
        <f t="shared" si="3579"/>
        <v>...</v>
      </c>
      <c r="N15448" t="s">
        <v>30</v>
      </c>
    </row>
    <row r="15449" spans="1:14" x14ac:dyDescent="0.25">
      <c r="A15449" t="s">
        <v>45</v>
      </c>
      <c r="B15449" t="s">
        <v>40</v>
      </c>
      <c r="C15449" t="s">
        <v>37</v>
      </c>
      <c r="D15449" t="s">
        <v>28</v>
      </c>
      <c r="E15449" t="s">
        <v>26</v>
      </c>
      <c r="F15449" t="s">
        <v>18</v>
      </c>
      <c r="G15449" s="1" t="str">
        <f t="shared" ref="G15449:M15449" si="3580">"X"</f>
        <v>X</v>
      </c>
      <c r="H15449" s="1" t="str">
        <f t="shared" si="3580"/>
        <v>X</v>
      </c>
      <c r="I15449" s="1" t="str">
        <f t="shared" si="3580"/>
        <v>X</v>
      </c>
      <c r="J15449" s="1" t="str">
        <f t="shared" si="3580"/>
        <v>X</v>
      </c>
      <c r="K15449" s="1" t="str">
        <f t="shared" si="3580"/>
        <v>X</v>
      </c>
      <c r="L15449" s="1" t="str">
        <f t="shared" si="3580"/>
        <v>X</v>
      </c>
      <c r="M15449" s="1" t="str">
        <f t="shared" si="3580"/>
        <v>X</v>
      </c>
      <c r="N15449" t="s">
        <v>27</v>
      </c>
    </row>
    <row r="15450" spans="1:14" x14ac:dyDescent="0.25">
      <c r="A15450" t="s">
        <v>45</v>
      </c>
      <c r="B15450" t="s">
        <v>40</v>
      </c>
      <c r="C15450" t="s">
        <v>37</v>
      </c>
      <c r="D15450" t="s">
        <v>28</v>
      </c>
      <c r="E15450" t="s">
        <v>26</v>
      </c>
      <c r="F15450" t="s">
        <v>19</v>
      </c>
      <c r="G15450" s="1" t="str">
        <f t="shared" ref="G15450:M15450" si="3581">"..."</f>
        <v>...</v>
      </c>
      <c r="H15450" s="1" t="str">
        <f t="shared" si="3581"/>
        <v>...</v>
      </c>
      <c r="I15450" s="1" t="str">
        <f t="shared" si="3581"/>
        <v>...</v>
      </c>
      <c r="J15450" s="1" t="str">
        <f t="shared" si="3581"/>
        <v>...</v>
      </c>
      <c r="K15450" s="1" t="str">
        <f t="shared" si="3581"/>
        <v>...</v>
      </c>
      <c r="L15450" s="1" t="str">
        <f t="shared" si="3581"/>
        <v>...</v>
      </c>
      <c r="M15450" s="1" t="str">
        <f t="shared" si="3581"/>
        <v>...</v>
      </c>
      <c r="N15450" t="s">
        <v>30</v>
      </c>
    </row>
    <row r="15451" spans="1:14" x14ac:dyDescent="0.25">
      <c r="A15451" t="s">
        <v>45</v>
      </c>
      <c r="B15451" t="s">
        <v>40</v>
      </c>
      <c r="C15451" t="s">
        <v>37</v>
      </c>
      <c r="D15451" t="s">
        <v>28</v>
      </c>
      <c r="E15451" t="s">
        <v>26</v>
      </c>
      <c r="F15451" t="s">
        <v>20</v>
      </c>
      <c r="G15451" s="1" t="str">
        <f t="shared" ref="G15451:M15451" si="3582">"X"</f>
        <v>X</v>
      </c>
      <c r="H15451" s="1" t="str">
        <f t="shared" si="3582"/>
        <v>X</v>
      </c>
      <c r="I15451" s="1" t="str">
        <f t="shared" si="3582"/>
        <v>X</v>
      </c>
      <c r="J15451" s="1" t="str">
        <f t="shared" si="3582"/>
        <v>X</v>
      </c>
      <c r="K15451" s="1" t="str">
        <f t="shared" si="3582"/>
        <v>X</v>
      </c>
      <c r="L15451" s="1" t="str">
        <f t="shared" si="3582"/>
        <v>X</v>
      </c>
      <c r="M15451" s="1" t="str">
        <f t="shared" si="3582"/>
        <v>X</v>
      </c>
      <c r="N15451" t="s">
        <v>27</v>
      </c>
    </row>
    <row r="15452" spans="1:14" x14ac:dyDescent="0.25">
      <c r="A15452" t="s">
        <v>45</v>
      </c>
      <c r="B15452" t="s">
        <v>40</v>
      </c>
      <c r="C15452" t="s">
        <v>37</v>
      </c>
      <c r="D15452" t="s">
        <v>29</v>
      </c>
      <c r="E15452" t="s">
        <v>15</v>
      </c>
      <c r="F15452" t="s">
        <v>15</v>
      </c>
      <c r="G15452" s="2">
        <f>VALUE(3268.26)</f>
        <v>3268.26</v>
      </c>
      <c r="H15452" s="1">
        <f>VALUE(2176.08)</f>
        <v>2176.08</v>
      </c>
      <c r="I15452" s="1">
        <f>VALUE(3530)</f>
        <v>3530</v>
      </c>
      <c r="J15452" s="1">
        <f>VALUE(3874)</f>
        <v>3874</v>
      </c>
      <c r="K15452" s="1">
        <f>VALUE(4750)</f>
        <v>4750</v>
      </c>
      <c r="L15452" s="1">
        <f>VALUE(6257)</f>
        <v>6257</v>
      </c>
      <c r="M15452" s="1">
        <f>VALUE(8109)</f>
        <v>8109</v>
      </c>
      <c r="N15452" t="s">
        <v>25</v>
      </c>
    </row>
    <row r="15453" spans="1:14" x14ac:dyDescent="0.25">
      <c r="A15453" t="s">
        <v>45</v>
      </c>
      <c r="B15453" t="s">
        <v>40</v>
      </c>
      <c r="C15453" t="s">
        <v>37</v>
      </c>
      <c r="D15453" t="s">
        <v>29</v>
      </c>
      <c r="E15453" t="s">
        <v>15</v>
      </c>
      <c r="F15453" t="s">
        <v>17</v>
      </c>
      <c r="G15453" s="2">
        <f>VALUE(286.91)</f>
        <v>286.91000000000003</v>
      </c>
      <c r="H15453" s="3">
        <f>VALUE(247.45)</f>
        <v>247.45</v>
      </c>
      <c r="I15453" s="1">
        <f>VALUE(3569)</f>
        <v>3569</v>
      </c>
      <c r="J15453" s="5">
        <f>VALUE(3810)</f>
        <v>3810</v>
      </c>
      <c r="K15453" s="6">
        <f>VALUE(6612)</f>
        <v>6612</v>
      </c>
      <c r="L15453" s="7">
        <f>VALUE(10595)</f>
        <v>10595</v>
      </c>
      <c r="M15453" s="8">
        <f>VALUE(16826)</f>
        <v>16826</v>
      </c>
      <c r="N15453" t="s">
        <v>25</v>
      </c>
    </row>
    <row r="15454" spans="1:14" x14ac:dyDescent="0.25">
      <c r="A15454" t="s">
        <v>45</v>
      </c>
      <c r="B15454" t="s">
        <v>40</v>
      </c>
      <c r="C15454" t="s">
        <v>37</v>
      </c>
      <c r="D15454" t="s">
        <v>29</v>
      </c>
      <c r="E15454" t="s">
        <v>15</v>
      </c>
      <c r="F15454" t="s">
        <v>18</v>
      </c>
      <c r="G15454" s="2">
        <f>VALUE(319)</f>
        <v>319</v>
      </c>
      <c r="H15454" s="3">
        <f>VALUE(251.69)</f>
        <v>251.69</v>
      </c>
      <c r="I15454" s="1">
        <f>VALUE(4017)</f>
        <v>4017</v>
      </c>
      <c r="J15454" s="5">
        <f>VALUE(4388)</f>
        <v>4388</v>
      </c>
      <c r="K15454" s="6">
        <f>VALUE(5830)</f>
        <v>5830</v>
      </c>
      <c r="L15454" s="1">
        <f>VALUE(7084)</f>
        <v>7084</v>
      </c>
      <c r="M15454" s="8">
        <f>VALUE(10052)</f>
        <v>10052</v>
      </c>
      <c r="N15454" t="s">
        <v>25</v>
      </c>
    </row>
    <row r="15455" spans="1:14" x14ac:dyDescent="0.25">
      <c r="A15455" t="s">
        <v>45</v>
      </c>
      <c r="B15455" t="s">
        <v>40</v>
      </c>
      <c r="C15455" t="s">
        <v>37</v>
      </c>
      <c r="D15455" t="s">
        <v>29</v>
      </c>
      <c r="E15455" t="s">
        <v>15</v>
      </c>
      <c r="F15455" t="s">
        <v>19</v>
      </c>
      <c r="G15455" s="2">
        <f>VALUE(315.46)</f>
        <v>315.45999999999998</v>
      </c>
      <c r="H15455" s="3">
        <f>VALUE(265.05)</f>
        <v>265.05</v>
      </c>
      <c r="I15455" s="4">
        <f>VALUE(4127)</f>
        <v>4127</v>
      </c>
      <c r="J15455" s="1">
        <f>VALUE(4665)</f>
        <v>4665</v>
      </c>
      <c r="K15455" s="6">
        <f>VALUE(5714)</f>
        <v>5714</v>
      </c>
      <c r="L15455" s="1">
        <f>VALUE(7302)</f>
        <v>7302</v>
      </c>
      <c r="M15455" s="1">
        <f>VALUE(8627)</f>
        <v>8627</v>
      </c>
      <c r="N15455" t="s">
        <v>25</v>
      </c>
    </row>
    <row r="15456" spans="1:14" x14ac:dyDescent="0.25">
      <c r="A15456" t="s">
        <v>45</v>
      </c>
      <c r="B15456" t="s">
        <v>40</v>
      </c>
      <c r="C15456" t="s">
        <v>37</v>
      </c>
      <c r="D15456" t="s">
        <v>29</v>
      </c>
      <c r="E15456" t="s">
        <v>15</v>
      </c>
      <c r="F15456" t="s">
        <v>20</v>
      </c>
      <c r="G15456" s="2">
        <f>VALUE(2346.89)</f>
        <v>2346.89</v>
      </c>
      <c r="H15456" s="1">
        <f>VALUE(1411.89)</f>
        <v>1411.89</v>
      </c>
      <c r="I15456" s="1">
        <f>VALUE(3453)</f>
        <v>3453</v>
      </c>
      <c r="J15456" s="1">
        <f>VALUE(3766)</f>
        <v>3766</v>
      </c>
      <c r="K15456" s="1">
        <f>VALUE(4296)</f>
        <v>4296</v>
      </c>
      <c r="L15456" s="1">
        <f>VALUE(5306)</f>
        <v>5306</v>
      </c>
      <c r="M15456" s="1">
        <f>VALUE(6588)</f>
        <v>6588</v>
      </c>
      <c r="N15456" t="s">
        <v>25</v>
      </c>
    </row>
    <row r="15457" spans="1:14" x14ac:dyDescent="0.25">
      <c r="A15457" t="s">
        <v>45</v>
      </c>
      <c r="B15457" t="s">
        <v>40</v>
      </c>
      <c r="C15457" t="s">
        <v>37</v>
      </c>
      <c r="D15457" t="s">
        <v>29</v>
      </c>
      <c r="E15457" t="s">
        <v>21</v>
      </c>
      <c r="F15457" t="s">
        <v>15</v>
      </c>
      <c r="G15457" s="2">
        <f>VALUE(771.04)</f>
        <v>771.04</v>
      </c>
      <c r="H15457" s="3">
        <f>VALUE(627.28)</f>
        <v>627.28</v>
      </c>
      <c r="I15457" s="4">
        <f>VALUE(4230)</f>
        <v>4230</v>
      </c>
      <c r="J15457" s="1">
        <f>VALUE(5115)</f>
        <v>5115</v>
      </c>
      <c r="K15457" s="1">
        <f>VALUE(6424)</f>
        <v>6424</v>
      </c>
      <c r="L15457" s="1">
        <f>VALUE(8174)</f>
        <v>8174</v>
      </c>
      <c r="M15457" s="8">
        <f>VALUE(13108)</f>
        <v>13108</v>
      </c>
      <c r="N15457" t="s">
        <v>25</v>
      </c>
    </row>
    <row r="15458" spans="1:14" x14ac:dyDescent="0.25">
      <c r="A15458" t="s">
        <v>45</v>
      </c>
      <c r="B15458" t="s">
        <v>40</v>
      </c>
      <c r="C15458" t="s">
        <v>37</v>
      </c>
      <c r="D15458" t="s">
        <v>29</v>
      </c>
      <c r="E15458" t="s">
        <v>21</v>
      </c>
      <c r="F15458" t="s">
        <v>17</v>
      </c>
      <c r="G15458" s="1" t="str">
        <f t="shared" ref="G15458:M15460" si="3583">"X"</f>
        <v>X</v>
      </c>
      <c r="H15458" s="1" t="str">
        <f t="shared" si="3583"/>
        <v>X</v>
      </c>
      <c r="I15458" s="1" t="str">
        <f t="shared" si="3583"/>
        <v>X</v>
      </c>
      <c r="J15458" s="1" t="str">
        <f t="shared" si="3583"/>
        <v>X</v>
      </c>
      <c r="K15458" s="1" t="str">
        <f t="shared" si="3583"/>
        <v>X</v>
      </c>
      <c r="L15458" s="1" t="str">
        <f t="shared" si="3583"/>
        <v>X</v>
      </c>
      <c r="M15458" s="1" t="str">
        <f t="shared" si="3583"/>
        <v>X</v>
      </c>
      <c r="N15458" t="s">
        <v>27</v>
      </c>
    </row>
    <row r="15459" spans="1:14" x14ac:dyDescent="0.25">
      <c r="A15459" t="s">
        <v>45</v>
      </c>
      <c r="B15459" t="s">
        <v>40</v>
      </c>
      <c r="C15459" t="s">
        <v>37</v>
      </c>
      <c r="D15459" t="s">
        <v>29</v>
      </c>
      <c r="E15459" t="s">
        <v>21</v>
      </c>
      <c r="F15459" t="s">
        <v>18</v>
      </c>
      <c r="G15459" s="1" t="str">
        <f t="shared" si="3583"/>
        <v>X</v>
      </c>
      <c r="H15459" s="1" t="str">
        <f t="shared" si="3583"/>
        <v>X</v>
      </c>
      <c r="I15459" s="1" t="str">
        <f t="shared" si="3583"/>
        <v>X</v>
      </c>
      <c r="J15459" s="1" t="str">
        <f t="shared" si="3583"/>
        <v>X</v>
      </c>
      <c r="K15459" s="1" t="str">
        <f t="shared" si="3583"/>
        <v>X</v>
      </c>
      <c r="L15459" s="1" t="str">
        <f t="shared" si="3583"/>
        <v>X</v>
      </c>
      <c r="M15459" s="1" t="str">
        <f t="shared" si="3583"/>
        <v>X</v>
      </c>
      <c r="N15459" t="s">
        <v>27</v>
      </c>
    </row>
    <row r="15460" spans="1:14" x14ac:dyDescent="0.25">
      <c r="A15460" t="s">
        <v>45</v>
      </c>
      <c r="B15460" t="s">
        <v>40</v>
      </c>
      <c r="C15460" t="s">
        <v>37</v>
      </c>
      <c r="D15460" t="s">
        <v>29</v>
      </c>
      <c r="E15460" t="s">
        <v>21</v>
      </c>
      <c r="F15460" t="s">
        <v>19</v>
      </c>
      <c r="G15460" s="1" t="str">
        <f t="shared" si="3583"/>
        <v>X</v>
      </c>
      <c r="H15460" s="1" t="str">
        <f t="shared" si="3583"/>
        <v>X</v>
      </c>
      <c r="I15460" s="1" t="str">
        <f t="shared" si="3583"/>
        <v>X</v>
      </c>
      <c r="J15460" s="1" t="str">
        <f t="shared" si="3583"/>
        <v>X</v>
      </c>
      <c r="K15460" s="1" t="str">
        <f t="shared" si="3583"/>
        <v>X</v>
      </c>
      <c r="L15460" s="1" t="str">
        <f t="shared" si="3583"/>
        <v>X</v>
      </c>
      <c r="M15460" s="1" t="str">
        <f t="shared" si="3583"/>
        <v>X</v>
      </c>
      <c r="N15460" t="s">
        <v>27</v>
      </c>
    </row>
    <row r="15461" spans="1:14" x14ac:dyDescent="0.25">
      <c r="A15461" t="s">
        <v>45</v>
      </c>
      <c r="B15461" t="s">
        <v>40</v>
      </c>
      <c r="C15461" t="s">
        <v>37</v>
      </c>
      <c r="D15461" t="s">
        <v>29</v>
      </c>
      <c r="E15461" t="s">
        <v>21</v>
      </c>
      <c r="F15461" t="s">
        <v>20</v>
      </c>
      <c r="G15461" s="2">
        <f>VALUE(333.63)</f>
        <v>333.63</v>
      </c>
      <c r="H15461" s="3">
        <f>VALUE(270.44)</f>
        <v>270.44</v>
      </c>
      <c r="I15461" s="4">
        <f>VALUE(3920)</f>
        <v>3920</v>
      </c>
      <c r="J15461" s="5">
        <f>VALUE(4712)</f>
        <v>4712</v>
      </c>
      <c r="K15461" s="1">
        <f>VALUE(5558)</f>
        <v>5558</v>
      </c>
      <c r="L15461" s="7">
        <f>VALUE(6630)</f>
        <v>6630</v>
      </c>
      <c r="M15461" s="1">
        <f>VALUE(8219)</f>
        <v>8219</v>
      </c>
      <c r="N15461" t="s">
        <v>25</v>
      </c>
    </row>
    <row r="15462" spans="1:14" x14ac:dyDescent="0.25">
      <c r="A15462" t="s">
        <v>45</v>
      </c>
      <c r="B15462" t="s">
        <v>40</v>
      </c>
      <c r="C15462" t="s">
        <v>37</v>
      </c>
      <c r="D15462" t="s">
        <v>29</v>
      </c>
      <c r="E15462" t="s">
        <v>22</v>
      </c>
      <c r="F15462" t="s">
        <v>15</v>
      </c>
      <c r="G15462" s="2">
        <f>VALUE(1049.98)</f>
        <v>1049.98</v>
      </c>
      <c r="H15462" s="3">
        <f>VALUE(733.15)</f>
        <v>733.15</v>
      </c>
      <c r="I15462" s="1">
        <f>VALUE(3812)</f>
        <v>3812</v>
      </c>
      <c r="J15462" s="1">
        <f>VALUE(4096)</f>
        <v>4096</v>
      </c>
      <c r="K15462" s="1">
        <f>VALUE(5052)</f>
        <v>5052</v>
      </c>
      <c r="L15462" s="1">
        <f>VALUE(6000)</f>
        <v>6000</v>
      </c>
      <c r="M15462" s="1">
        <f>VALUE(7302)</f>
        <v>7302</v>
      </c>
      <c r="N15462" t="s">
        <v>25</v>
      </c>
    </row>
    <row r="15463" spans="1:14" x14ac:dyDescent="0.25">
      <c r="A15463" t="s">
        <v>45</v>
      </c>
      <c r="B15463" t="s">
        <v>40</v>
      </c>
      <c r="C15463" t="s">
        <v>37</v>
      </c>
      <c r="D15463" t="s">
        <v>29</v>
      </c>
      <c r="E15463" t="s">
        <v>22</v>
      </c>
      <c r="F15463" t="s">
        <v>17</v>
      </c>
      <c r="G15463" s="1" t="str">
        <f t="shared" ref="G15463:M15465" si="3584">"X"</f>
        <v>X</v>
      </c>
      <c r="H15463" s="1" t="str">
        <f t="shared" si="3584"/>
        <v>X</v>
      </c>
      <c r="I15463" s="1" t="str">
        <f t="shared" si="3584"/>
        <v>X</v>
      </c>
      <c r="J15463" s="1" t="str">
        <f t="shared" si="3584"/>
        <v>X</v>
      </c>
      <c r="K15463" s="1" t="str">
        <f t="shared" si="3584"/>
        <v>X</v>
      </c>
      <c r="L15463" s="1" t="str">
        <f t="shared" si="3584"/>
        <v>X</v>
      </c>
      <c r="M15463" s="1" t="str">
        <f t="shared" si="3584"/>
        <v>X</v>
      </c>
      <c r="N15463" t="s">
        <v>27</v>
      </c>
    </row>
    <row r="15464" spans="1:14" x14ac:dyDescent="0.25">
      <c r="A15464" t="s">
        <v>45</v>
      </c>
      <c r="B15464" t="s">
        <v>40</v>
      </c>
      <c r="C15464" t="s">
        <v>37</v>
      </c>
      <c r="D15464" t="s">
        <v>29</v>
      </c>
      <c r="E15464" t="s">
        <v>22</v>
      </c>
      <c r="F15464" t="s">
        <v>18</v>
      </c>
      <c r="G15464" s="1" t="str">
        <f t="shared" si="3584"/>
        <v>X</v>
      </c>
      <c r="H15464" s="1" t="str">
        <f t="shared" si="3584"/>
        <v>X</v>
      </c>
      <c r="I15464" s="1" t="str">
        <f t="shared" si="3584"/>
        <v>X</v>
      </c>
      <c r="J15464" s="1" t="str">
        <f t="shared" si="3584"/>
        <v>X</v>
      </c>
      <c r="K15464" s="1" t="str">
        <f t="shared" si="3584"/>
        <v>X</v>
      </c>
      <c r="L15464" s="1" t="str">
        <f t="shared" si="3584"/>
        <v>X</v>
      </c>
      <c r="M15464" s="1" t="str">
        <f t="shared" si="3584"/>
        <v>X</v>
      </c>
      <c r="N15464" t="s">
        <v>27</v>
      </c>
    </row>
    <row r="15465" spans="1:14" x14ac:dyDescent="0.25">
      <c r="A15465" t="s">
        <v>45</v>
      </c>
      <c r="B15465" t="s">
        <v>40</v>
      </c>
      <c r="C15465" t="s">
        <v>37</v>
      </c>
      <c r="D15465" t="s">
        <v>29</v>
      </c>
      <c r="E15465" t="s">
        <v>22</v>
      </c>
      <c r="F15465" t="s">
        <v>19</v>
      </c>
      <c r="G15465" s="1" t="str">
        <f t="shared" si="3584"/>
        <v>X</v>
      </c>
      <c r="H15465" s="1" t="str">
        <f t="shared" si="3584"/>
        <v>X</v>
      </c>
      <c r="I15465" s="1" t="str">
        <f t="shared" si="3584"/>
        <v>X</v>
      </c>
      <c r="J15465" s="1" t="str">
        <f t="shared" si="3584"/>
        <v>X</v>
      </c>
      <c r="K15465" s="1" t="str">
        <f t="shared" si="3584"/>
        <v>X</v>
      </c>
      <c r="L15465" s="1" t="str">
        <f t="shared" si="3584"/>
        <v>X</v>
      </c>
      <c r="M15465" s="1" t="str">
        <f t="shared" si="3584"/>
        <v>X</v>
      </c>
      <c r="N15465" t="s">
        <v>27</v>
      </c>
    </row>
    <row r="15466" spans="1:14" x14ac:dyDescent="0.25">
      <c r="A15466" t="s">
        <v>45</v>
      </c>
      <c r="B15466" t="s">
        <v>40</v>
      </c>
      <c r="C15466" t="s">
        <v>37</v>
      </c>
      <c r="D15466" t="s">
        <v>29</v>
      </c>
      <c r="E15466" t="s">
        <v>22</v>
      </c>
      <c r="F15466" t="s">
        <v>20</v>
      </c>
      <c r="G15466" s="2">
        <f>VALUE(740.03)</f>
        <v>740.03</v>
      </c>
      <c r="H15466" s="3">
        <f>VALUE(476.7)</f>
        <v>476.7</v>
      </c>
      <c r="I15466" s="1">
        <f>VALUE(3766)</f>
        <v>3766</v>
      </c>
      <c r="J15466" s="1">
        <f>VALUE(4060)</f>
        <v>4060</v>
      </c>
      <c r="K15466" s="1">
        <f>VALUE(4658)</f>
        <v>4658</v>
      </c>
      <c r="L15466" s="1">
        <f>VALUE(5636)</f>
        <v>5636</v>
      </c>
      <c r="M15466" s="1">
        <f>VALUE(6606)</f>
        <v>6606</v>
      </c>
      <c r="N15466" t="s">
        <v>25</v>
      </c>
    </row>
    <row r="15467" spans="1:14" x14ac:dyDescent="0.25">
      <c r="A15467" t="s">
        <v>45</v>
      </c>
      <c r="B15467" t="s">
        <v>40</v>
      </c>
      <c r="C15467" t="s">
        <v>37</v>
      </c>
      <c r="D15467" t="s">
        <v>29</v>
      </c>
      <c r="E15467" t="s">
        <v>23</v>
      </c>
      <c r="F15467" t="s">
        <v>15</v>
      </c>
      <c r="G15467" s="2">
        <f>VALUE(1402.07)</f>
        <v>1402.07</v>
      </c>
      <c r="H15467" s="3">
        <f>VALUE(784.29)</f>
        <v>784.29</v>
      </c>
      <c r="I15467" s="1">
        <f>VALUE(3430)</f>
        <v>3430</v>
      </c>
      <c r="J15467" s="1">
        <f>VALUE(3582)</f>
        <v>3582</v>
      </c>
      <c r="K15467" s="1">
        <f>VALUE(3913)</f>
        <v>3913</v>
      </c>
      <c r="L15467" s="1">
        <f>VALUE(4367)</f>
        <v>4367</v>
      </c>
      <c r="M15467" s="1">
        <f>VALUE(5044)</f>
        <v>5044</v>
      </c>
      <c r="N15467" t="s">
        <v>25</v>
      </c>
    </row>
    <row r="15468" spans="1:14" x14ac:dyDescent="0.25">
      <c r="A15468" t="s">
        <v>45</v>
      </c>
      <c r="B15468" t="s">
        <v>40</v>
      </c>
      <c r="C15468" t="s">
        <v>37</v>
      </c>
      <c r="D15468" t="s">
        <v>29</v>
      </c>
      <c r="E15468" t="s">
        <v>23</v>
      </c>
      <c r="F15468" t="s">
        <v>17</v>
      </c>
      <c r="G15468" s="1" t="str">
        <f t="shared" ref="G15468:M15470" si="3585">"X"</f>
        <v>X</v>
      </c>
      <c r="H15468" s="1" t="str">
        <f t="shared" si="3585"/>
        <v>X</v>
      </c>
      <c r="I15468" s="1" t="str">
        <f t="shared" si="3585"/>
        <v>X</v>
      </c>
      <c r="J15468" s="1" t="str">
        <f t="shared" si="3585"/>
        <v>X</v>
      </c>
      <c r="K15468" s="1" t="str">
        <f t="shared" si="3585"/>
        <v>X</v>
      </c>
      <c r="L15468" s="1" t="str">
        <f t="shared" si="3585"/>
        <v>X</v>
      </c>
      <c r="M15468" s="1" t="str">
        <f t="shared" si="3585"/>
        <v>X</v>
      </c>
      <c r="N15468" t="s">
        <v>27</v>
      </c>
    </row>
    <row r="15469" spans="1:14" x14ac:dyDescent="0.25">
      <c r="A15469" t="s">
        <v>45</v>
      </c>
      <c r="B15469" t="s">
        <v>40</v>
      </c>
      <c r="C15469" t="s">
        <v>37</v>
      </c>
      <c r="D15469" t="s">
        <v>29</v>
      </c>
      <c r="E15469" t="s">
        <v>23</v>
      </c>
      <c r="F15469" t="s">
        <v>18</v>
      </c>
      <c r="G15469" s="1" t="str">
        <f t="shared" si="3585"/>
        <v>X</v>
      </c>
      <c r="H15469" s="1" t="str">
        <f t="shared" si="3585"/>
        <v>X</v>
      </c>
      <c r="I15469" s="1" t="str">
        <f t="shared" si="3585"/>
        <v>X</v>
      </c>
      <c r="J15469" s="1" t="str">
        <f t="shared" si="3585"/>
        <v>X</v>
      </c>
      <c r="K15469" s="1" t="str">
        <f t="shared" si="3585"/>
        <v>X</v>
      </c>
      <c r="L15469" s="1" t="str">
        <f t="shared" si="3585"/>
        <v>X</v>
      </c>
      <c r="M15469" s="1" t="str">
        <f t="shared" si="3585"/>
        <v>X</v>
      </c>
      <c r="N15469" t="s">
        <v>27</v>
      </c>
    </row>
    <row r="15470" spans="1:14" x14ac:dyDescent="0.25">
      <c r="A15470" t="s">
        <v>45</v>
      </c>
      <c r="B15470" t="s">
        <v>40</v>
      </c>
      <c r="C15470" t="s">
        <v>37</v>
      </c>
      <c r="D15470" t="s">
        <v>29</v>
      </c>
      <c r="E15470" t="s">
        <v>23</v>
      </c>
      <c r="F15470" t="s">
        <v>19</v>
      </c>
      <c r="G15470" s="1" t="str">
        <f t="shared" si="3585"/>
        <v>X</v>
      </c>
      <c r="H15470" s="1" t="str">
        <f t="shared" si="3585"/>
        <v>X</v>
      </c>
      <c r="I15470" s="1" t="str">
        <f t="shared" si="3585"/>
        <v>X</v>
      </c>
      <c r="J15470" s="1" t="str">
        <f t="shared" si="3585"/>
        <v>X</v>
      </c>
      <c r="K15470" s="1" t="str">
        <f t="shared" si="3585"/>
        <v>X</v>
      </c>
      <c r="L15470" s="1" t="str">
        <f t="shared" si="3585"/>
        <v>X</v>
      </c>
      <c r="M15470" s="1" t="str">
        <f t="shared" si="3585"/>
        <v>X</v>
      </c>
      <c r="N15470" t="s">
        <v>27</v>
      </c>
    </row>
    <row r="15471" spans="1:14" x14ac:dyDescent="0.25">
      <c r="A15471" t="s">
        <v>45</v>
      </c>
      <c r="B15471" t="s">
        <v>40</v>
      </c>
      <c r="C15471" t="s">
        <v>37</v>
      </c>
      <c r="D15471" t="s">
        <v>29</v>
      </c>
      <c r="E15471" t="s">
        <v>23</v>
      </c>
      <c r="F15471" t="s">
        <v>20</v>
      </c>
      <c r="G15471" s="2">
        <f>VALUE(1229.37)</f>
        <v>1229.3699999999999</v>
      </c>
      <c r="H15471" s="3">
        <f>VALUE(634.34)</f>
        <v>634.34</v>
      </c>
      <c r="I15471" s="1">
        <f>VALUE(3358)</f>
        <v>3358</v>
      </c>
      <c r="J15471" s="1">
        <f>VALUE(3530)</f>
        <v>3530</v>
      </c>
      <c r="K15471" s="1">
        <f>VALUE(3835)</f>
        <v>3835</v>
      </c>
      <c r="L15471" s="1">
        <f>VALUE(4329)</f>
        <v>4329</v>
      </c>
      <c r="M15471" s="1">
        <f>VALUE(4894)</f>
        <v>4894</v>
      </c>
      <c r="N15471" t="s">
        <v>25</v>
      </c>
    </row>
    <row r="15472" spans="1:14" x14ac:dyDescent="0.25">
      <c r="A15472" t="s">
        <v>45</v>
      </c>
      <c r="B15472" t="s">
        <v>40</v>
      </c>
      <c r="C15472" t="s">
        <v>37</v>
      </c>
      <c r="D15472" t="s">
        <v>29</v>
      </c>
      <c r="E15472" t="s">
        <v>26</v>
      </c>
      <c r="F15472" t="s">
        <v>15</v>
      </c>
      <c r="G15472" s="1" t="str">
        <f t="shared" ref="G15472:M15472" si="3586">"X"</f>
        <v>X</v>
      </c>
      <c r="H15472" s="1" t="str">
        <f t="shared" si="3586"/>
        <v>X</v>
      </c>
      <c r="I15472" s="1" t="str">
        <f t="shared" si="3586"/>
        <v>X</v>
      </c>
      <c r="J15472" s="1" t="str">
        <f t="shared" si="3586"/>
        <v>X</v>
      </c>
      <c r="K15472" s="1" t="str">
        <f t="shared" si="3586"/>
        <v>X</v>
      </c>
      <c r="L15472" s="1" t="str">
        <f t="shared" si="3586"/>
        <v>X</v>
      </c>
      <c r="M15472" s="1" t="str">
        <f t="shared" si="3586"/>
        <v>X</v>
      </c>
      <c r="N15472" t="s">
        <v>27</v>
      </c>
    </row>
    <row r="15473" spans="1:14" x14ac:dyDescent="0.25">
      <c r="A15473" t="s">
        <v>45</v>
      </c>
      <c r="B15473" t="s">
        <v>40</v>
      </c>
      <c r="C15473" t="s">
        <v>37</v>
      </c>
      <c r="D15473" t="s">
        <v>29</v>
      </c>
      <c r="E15473" t="s">
        <v>26</v>
      </c>
      <c r="F15473" t="s">
        <v>17</v>
      </c>
      <c r="G15473" s="1" t="str">
        <f t="shared" ref="G15473:M15473" si="3587">"..."</f>
        <v>...</v>
      </c>
      <c r="H15473" s="1" t="str">
        <f t="shared" si="3587"/>
        <v>...</v>
      </c>
      <c r="I15473" s="1" t="str">
        <f t="shared" si="3587"/>
        <v>...</v>
      </c>
      <c r="J15473" s="1" t="str">
        <f t="shared" si="3587"/>
        <v>...</v>
      </c>
      <c r="K15473" s="1" t="str">
        <f t="shared" si="3587"/>
        <v>...</v>
      </c>
      <c r="L15473" s="1" t="str">
        <f t="shared" si="3587"/>
        <v>...</v>
      </c>
      <c r="M15473" s="1" t="str">
        <f t="shared" si="3587"/>
        <v>...</v>
      </c>
      <c r="N15473" t="s">
        <v>30</v>
      </c>
    </row>
    <row r="15474" spans="1:14" x14ac:dyDescent="0.25">
      <c r="A15474" t="s">
        <v>45</v>
      </c>
      <c r="B15474" t="s">
        <v>40</v>
      </c>
      <c r="C15474" t="s">
        <v>37</v>
      </c>
      <c r="D15474" t="s">
        <v>29</v>
      </c>
      <c r="E15474" t="s">
        <v>26</v>
      </c>
      <c r="F15474" t="s">
        <v>18</v>
      </c>
      <c r="G15474" s="1" t="str">
        <f t="shared" ref="G15474:M15474" si="3588">"X"</f>
        <v>X</v>
      </c>
      <c r="H15474" s="1" t="str">
        <f t="shared" si="3588"/>
        <v>X</v>
      </c>
      <c r="I15474" s="1" t="str">
        <f t="shared" si="3588"/>
        <v>X</v>
      </c>
      <c r="J15474" s="1" t="str">
        <f t="shared" si="3588"/>
        <v>X</v>
      </c>
      <c r="K15474" s="1" t="str">
        <f t="shared" si="3588"/>
        <v>X</v>
      </c>
      <c r="L15474" s="1" t="str">
        <f t="shared" si="3588"/>
        <v>X</v>
      </c>
      <c r="M15474" s="1" t="str">
        <f t="shared" si="3588"/>
        <v>X</v>
      </c>
      <c r="N15474" t="s">
        <v>27</v>
      </c>
    </row>
    <row r="15475" spans="1:14" x14ac:dyDescent="0.25">
      <c r="A15475" t="s">
        <v>45</v>
      </c>
      <c r="B15475" t="s">
        <v>40</v>
      </c>
      <c r="C15475" t="s">
        <v>37</v>
      </c>
      <c r="D15475" t="s">
        <v>29</v>
      </c>
      <c r="E15475" t="s">
        <v>26</v>
      </c>
      <c r="F15475" t="s">
        <v>19</v>
      </c>
      <c r="G15475" s="1" t="str">
        <f t="shared" ref="G15475:M15475" si="3589">"..."</f>
        <v>...</v>
      </c>
      <c r="H15475" s="1" t="str">
        <f t="shared" si="3589"/>
        <v>...</v>
      </c>
      <c r="I15475" s="1" t="str">
        <f t="shared" si="3589"/>
        <v>...</v>
      </c>
      <c r="J15475" s="1" t="str">
        <f t="shared" si="3589"/>
        <v>...</v>
      </c>
      <c r="K15475" s="1" t="str">
        <f t="shared" si="3589"/>
        <v>...</v>
      </c>
      <c r="L15475" s="1" t="str">
        <f t="shared" si="3589"/>
        <v>...</v>
      </c>
      <c r="M15475" s="1" t="str">
        <f t="shared" si="3589"/>
        <v>...</v>
      </c>
      <c r="N15475" t="s">
        <v>30</v>
      </c>
    </row>
    <row r="15476" spans="1:14" x14ac:dyDescent="0.25">
      <c r="A15476" t="s">
        <v>45</v>
      </c>
      <c r="B15476" t="s">
        <v>40</v>
      </c>
      <c r="C15476" t="s">
        <v>37</v>
      </c>
      <c r="D15476" t="s">
        <v>29</v>
      </c>
      <c r="E15476" t="s">
        <v>26</v>
      </c>
      <c r="F15476" t="s">
        <v>20</v>
      </c>
      <c r="G15476" s="1" t="str">
        <f t="shared" ref="G15476:M15476" si="3590">"X"</f>
        <v>X</v>
      </c>
      <c r="H15476" s="1" t="str">
        <f t="shared" si="3590"/>
        <v>X</v>
      </c>
      <c r="I15476" s="1" t="str">
        <f t="shared" si="3590"/>
        <v>X</v>
      </c>
      <c r="J15476" s="1" t="str">
        <f t="shared" si="3590"/>
        <v>X</v>
      </c>
      <c r="K15476" s="1" t="str">
        <f t="shared" si="3590"/>
        <v>X</v>
      </c>
      <c r="L15476" s="1" t="str">
        <f t="shared" si="3590"/>
        <v>X</v>
      </c>
      <c r="M15476" s="1" t="str">
        <f t="shared" si="3590"/>
        <v>X</v>
      </c>
      <c r="N15476" t="s">
        <v>27</v>
      </c>
    </row>
    <row r="15477" spans="1:14" x14ac:dyDescent="0.25">
      <c r="A15477" t="s">
        <v>45</v>
      </c>
      <c r="B15477" t="s">
        <v>40</v>
      </c>
      <c r="C15477" t="s">
        <v>37</v>
      </c>
      <c r="D15477" t="s">
        <v>31</v>
      </c>
      <c r="E15477" t="s">
        <v>15</v>
      </c>
      <c r="F15477" t="s">
        <v>15</v>
      </c>
      <c r="G15477" s="2">
        <f>VALUE(2130.49)</f>
        <v>2130.4899999999998</v>
      </c>
      <c r="H15477" s="3">
        <f>VALUE(1622.01)</f>
        <v>1622.01</v>
      </c>
      <c r="I15477" s="1">
        <f>VALUE(3433)</f>
        <v>3433</v>
      </c>
      <c r="J15477" s="1">
        <f>VALUE(3781)</f>
        <v>3781</v>
      </c>
      <c r="K15477" s="1">
        <f>VALUE(4475)</f>
        <v>4475</v>
      </c>
      <c r="L15477" s="1">
        <f>VALUE(6190)</f>
        <v>6190</v>
      </c>
      <c r="M15477" s="8">
        <f>VALUE(8736)</f>
        <v>8736</v>
      </c>
      <c r="N15477" t="s">
        <v>25</v>
      </c>
    </row>
    <row r="15478" spans="1:14" x14ac:dyDescent="0.25">
      <c r="A15478" t="s">
        <v>45</v>
      </c>
      <c r="B15478" t="s">
        <v>40</v>
      </c>
      <c r="C15478" t="s">
        <v>37</v>
      </c>
      <c r="D15478" t="s">
        <v>31</v>
      </c>
      <c r="E15478" t="s">
        <v>15</v>
      </c>
      <c r="F15478" t="s">
        <v>17</v>
      </c>
      <c r="G15478" s="1" t="str">
        <f t="shared" ref="G15478:M15480" si="3591">"X"</f>
        <v>X</v>
      </c>
      <c r="H15478" s="1" t="str">
        <f t="shared" si="3591"/>
        <v>X</v>
      </c>
      <c r="I15478" s="1" t="str">
        <f t="shared" si="3591"/>
        <v>X</v>
      </c>
      <c r="J15478" s="1" t="str">
        <f t="shared" si="3591"/>
        <v>X</v>
      </c>
      <c r="K15478" s="1" t="str">
        <f t="shared" si="3591"/>
        <v>X</v>
      </c>
      <c r="L15478" s="1" t="str">
        <f t="shared" si="3591"/>
        <v>X</v>
      </c>
      <c r="M15478" s="1" t="str">
        <f t="shared" si="3591"/>
        <v>X</v>
      </c>
      <c r="N15478" t="s">
        <v>27</v>
      </c>
    </row>
    <row r="15479" spans="1:14" x14ac:dyDescent="0.25">
      <c r="A15479" t="s">
        <v>45</v>
      </c>
      <c r="B15479" t="s">
        <v>40</v>
      </c>
      <c r="C15479" t="s">
        <v>37</v>
      </c>
      <c r="D15479" t="s">
        <v>31</v>
      </c>
      <c r="E15479" t="s">
        <v>15</v>
      </c>
      <c r="F15479" t="s">
        <v>18</v>
      </c>
      <c r="G15479" s="1" t="str">
        <f t="shared" si="3591"/>
        <v>X</v>
      </c>
      <c r="H15479" s="1" t="str">
        <f t="shared" si="3591"/>
        <v>X</v>
      </c>
      <c r="I15479" s="1" t="str">
        <f t="shared" si="3591"/>
        <v>X</v>
      </c>
      <c r="J15479" s="1" t="str">
        <f t="shared" si="3591"/>
        <v>X</v>
      </c>
      <c r="K15479" s="1" t="str">
        <f t="shared" si="3591"/>
        <v>X</v>
      </c>
      <c r="L15479" s="1" t="str">
        <f t="shared" si="3591"/>
        <v>X</v>
      </c>
      <c r="M15479" s="1" t="str">
        <f t="shared" si="3591"/>
        <v>X</v>
      </c>
      <c r="N15479" t="s">
        <v>27</v>
      </c>
    </row>
    <row r="15480" spans="1:14" x14ac:dyDescent="0.25">
      <c r="A15480" t="s">
        <v>45</v>
      </c>
      <c r="B15480" t="s">
        <v>40</v>
      </c>
      <c r="C15480" t="s">
        <v>37</v>
      </c>
      <c r="D15480" t="s">
        <v>31</v>
      </c>
      <c r="E15480" t="s">
        <v>15</v>
      </c>
      <c r="F15480" t="s">
        <v>19</v>
      </c>
      <c r="G15480" s="1" t="str">
        <f t="shared" si="3591"/>
        <v>X</v>
      </c>
      <c r="H15480" s="1" t="str">
        <f t="shared" si="3591"/>
        <v>X</v>
      </c>
      <c r="I15480" s="1" t="str">
        <f t="shared" si="3591"/>
        <v>X</v>
      </c>
      <c r="J15480" s="1" t="str">
        <f t="shared" si="3591"/>
        <v>X</v>
      </c>
      <c r="K15480" s="1" t="str">
        <f t="shared" si="3591"/>
        <v>X</v>
      </c>
      <c r="L15480" s="1" t="str">
        <f t="shared" si="3591"/>
        <v>X</v>
      </c>
      <c r="M15480" s="1" t="str">
        <f t="shared" si="3591"/>
        <v>X</v>
      </c>
      <c r="N15480" t="s">
        <v>27</v>
      </c>
    </row>
    <row r="15481" spans="1:14" x14ac:dyDescent="0.25">
      <c r="A15481" t="s">
        <v>45</v>
      </c>
      <c r="B15481" t="s">
        <v>40</v>
      </c>
      <c r="C15481" t="s">
        <v>37</v>
      </c>
      <c r="D15481" t="s">
        <v>31</v>
      </c>
      <c r="E15481" t="s">
        <v>15</v>
      </c>
      <c r="F15481" t="s">
        <v>20</v>
      </c>
      <c r="G15481" s="2">
        <f>VALUE(1572.18)</f>
        <v>1572.18</v>
      </c>
      <c r="H15481" s="3">
        <f>VALUE(1092.35)</f>
        <v>1092.3499999999999</v>
      </c>
      <c r="I15481" s="1">
        <f>VALUE(3401)</f>
        <v>3401</v>
      </c>
      <c r="J15481" s="1">
        <f>VALUE(3609)</f>
        <v>3609</v>
      </c>
      <c r="K15481" s="1">
        <f>VALUE(4184)</f>
        <v>4184</v>
      </c>
      <c r="L15481" s="1">
        <f>VALUE(5068)</f>
        <v>5068</v>
      </c>
      <c r="M15481" s="1">
        <f>VALUE(6538)</f>
        <v>6538</v>
      </c>
      <c r="N15481" t="s">
        <v>25</v>
      </c>
    </row>
    <row r="15482" spans="1:14" x14ac:dyDescent="0.25">
      <c r="A15482" t="s">
        <v>45</v>
      </c>
      <c r="B15482" t="s">
        <v>40</v>
      </c>
      <c r="C15482" t="s">
        <v>37</v>
      </c>
      <c r="D15482" t="s">
        <v>31</v>
      </c>
      <c r="E15482" t="s">
        <v>21</v>
      </c>
      <c r="F15482" t="s">
        <v>15</v>
      </c>
      <c r="G15482" s="2">
        <f>VALUE(831.44)</f>
        <v>831.44</v>
      </c>
      <c r="H15482" s="3">
        <f>VALUE(698.02)</f>
        <v>698.02</v>
      </c>
      <c r="I15482" s="1">
        <f>VALUE(3893)</f>
        <v>3893</v>
      </c>
      <c r="J15482" s="1">
        <f>VALUE(4475)</f>
        <v>4475</v>
      </c>
      <c r="K15482" s="6">
        <f>VALUE(5598)</f>
        <v>5598</v>
      </c>
      <c r="L15482" s="7">
        <f>VALUE(7764)</f>
        <v>7764</v>
      </c>
      <c r="M15482" s="8">
        <f>VALUE(12080)</f>
        <v>12080</v>
      </c>
      <c r="N15482" t="s">
        <v>25</v>
      </c>
    </row>
    <row r="15483" spans="1:14" x14ac:dyDescent="0.25">
      <c r="A15483" t="s">
        <v>45</v>
      </c>
      <c r="B15483" t="s">
        <v>40</v>
      </c>
      <c r="C15483" t="s">
        <v>37</v>
      </c>
      <c r="D15483" t="s">
        <v>31</v>
      </c>
      <c r="E15483" t="s">
        <v>21</v>
      </c>
      <c r="F15483" t="s">
        <v>17</v>
      </c>
      <c r="G15483" s="1" t="str">
        <f t="shared" ref="G15483:M15485" si="3592">"X"</f>
        <v>X</v>
      </c>
      <c r="H15483" s="1" t="str">
        <f t="shared" si="3592"/>
        <v>X</v>
      </c>
      <c r="I15483" s="1" t="str">
        <f t="shared" si="3592"/>
        <v>X</v>
      </c>
      <c r="J15483" s="1" t="str">
        <f t="shared" si="3592"/>
        <v>X</v>
      </c>
      <c r="K15483" s="1" t="str">
        <f t="shared" si="3592"/>
        <v>X</v>
      </c>
      <c r="L15483" s="1" t="str">
        <f t="shared" si="3592"/>
        <v>X</v>
      </c>
      <c r="M15483" s="1" t="str">
        <f t="shared" si="3592"/>
        <v>X</v>
      </c>
      <c r="N15483" t="s">
        <v>27</v>
      </c>
    </row>
    <row r="15484" spans="1:14" x14ac:dyDescent="0.25">
      <c r="A15484" t="s">
        <v>45</v>
      </c>
      <c r="B15484" t="s">
        <v>40</v>
      </c>
      <c r="C15484" t="s">
        <v>37</v>
      </c>
      <c r="D15484" t="s">
        <v>31</v>
      </c>
      <c r="E15484" t="s">
        <v>21</v>
      </c>
      <c r="F15484" t="s">
        <v>18</v>
      </c>
      <c r="G15484" s="1" t="str">
        <f t="shared" si="3592"/>
        <v>X</v>
      </c>
      <c r="H15484" s="1" t="str">
        <f t="shared" si="3592"/>
        <v>X</v>
      </c>
      <c r="I15484" s="1" t="str">
        <f t="shared" si="3592"/>
        <v>X</v>
      </c>
      <c r="J15484" s="1" t="str">
        <f t="shared" si="3592"/>
        <v>X</v>
      </c>
      <c r="K15484" s="1" t="str">
        <f t="shared" si="3592"/>
        <v>X</v>
      </c>
      <c r="L15484" s="1" t="str">
        <f t="shared" si="3592"/>
        <v>X</v>
      </c>
      <c r="M15484" s="1" t="str">
        <f t="shared" si="3592"/>
        <v>X</v>
      </c>
      <c r="N15484" t="s">
        <v>27</v>
      </c>
    </row>
    <row r="15485" spans="1:14" x14ac:dyDescent="0.25">
      <c r="A15485" t="s">
        <v>45</v>
      </c>
      <c r="B15485" t="s">
        <v>40</v>
      </c>
      <c r="C15485" t="s">
        <v>37</v>
      </c>
      <c r="D15485" t="s">
        <v>31</v>
      </c>
      <c r="E15485" t="s">
        <v>21</v>
      </c>
      <c r="F15485" t="s">
        <v>19</v>
      </c>
      <c r="G15485" s="1" t="str">
        <f t="shared" si="3592"/>
        <v>X</v>
      </c>
      <c r="H15485" s="1" t="str">
        <f t="shared" si="3592"/>
        <v>X</v>
      </c>
      <c r="I15485" s="1" t="str">
        <f t="shared" si="3592"/>
        <v>X</v>
      </c>
      <c r="J15485" s="1" t="str">
        <f t="shared" si="3592"/>
        <v>X</v>
      </c>
      <c r="K15485" s="1" t="str">
        <f t="shared" si="3592"/>
        <v>X</v>
      </c>
      <c r="L15485" s="1" t="str">
        <f t="shared" si="3592"/>
        <v>X</v>
      </c>
      <c r="M15485" s="1" t="str">
        <f t="shared" si="3592"/>
        <v>X</v>
      </c>
      <c r="N15485" t="s">
        <v>27</v>
      </c>
    </row>
    <row r="15486" spans="1:14" x14ac:dyDescent="0.25">
      <c r="A15486" t="s">
        <v>45</v>
      </c>
      <c r="B15486" t="s">
        <v>40</v>
      </c>
      <c r="C15486" t="s">
        <v>37</v>
      </c>
      <c r="D15486" t="s">
        <v>31</v>
      </c>
      <c r="E15486" t="s">
        <v>21</v>
      </c>
      <c r="F15486" t="s">
        <v>20</v>
      </c>
      <c r="G15486" s="2">
        <f>VALUE(494.66)</f>
        <v>494.66</v>
      </c>
      <c r="H15486" s="3">
        <f>VALUE(371.69)</f>
        <v>371.69</v>
      </c>
      <c r="I15486" s="1">
        <f>VALUE(3893)</f>
        <v>3893</v>
      </c>
      <c r="J15486" s="5">
        <f>VALUE(4437)</f>
        <v>4437</v>
      </c>
      <c r="K15486" s="6">
        <f>VALUE(5077)</f>
        <v>5077</v>
      </c>
      <c r="L15486" s="1">
        <f>VALUE(6487)</f>
        <v>6487</v>
      </c>
      <c r="M15486" s="1">
        <f>VALUE(8021)</f>
        <v>8021</v>
      </c>
      <c r="N15486" t="s">
        <v>25</v>
      </c>
    </row>
    <row r="15487" spans="1:14" x14ac:dyDescent="0.25">
      <c r="A15487" t="s">
        <v>45</v>
      </c>
      <c r="B15487" t="s">
        <v>40</v>
      </c>
      <c r="C15487" t="s">
        <v>37</v>
      </c>
      <c r="D15487" t="s">
        <v>31</v>
      </c>
      <c r="E15487" t="s">
        <v>22</v>
      </c>
      <c r="F15487" t="s">
        <v>15</v>
      </c>
      <c r="G15487" s="2">
        <f>VALUE(438.24)</f>
        <v>438.24</v>
      </c>
      <c r="H15487" s="3">
        <f>VALUE(376)</f>
        <v>376</v>
      </c>
      <c r="I15487" s="1">
        <f>VALUE(3422)</f>
        <v>3422</v>
      </c>
      <c r="J15487" s="5">
        <f>VALUE(3756)</f>
        <v>3756</v>
      </c>
      <c r="K15487" s="6">
        <f>VALUE(4914)</f>
        <v>4914</v>
      </c>
      <c r="L15487" s="7">
        <f>VALUE(6190)</f>
        <v>6190</v>
      </c>
      <c r="M15487" s="8">
        <f>VALUE(8406)</f>
        <v>8406</v>
      </c>
      <c r="N15487" t="s">
        <v>25</v>
      </c>
    </row>
    <row r="15488" spans="1:14" x14ac:dyDescent="0.25">
      <c r="A15488" t="s">
        <v>45</v>
      </c>
      <c r="B15488" t="s">
        <v>40</v>
      </c>
      <c r="C15488" t="s">
        <v>37</v>
      </c>
      <c r="D15488" t="s">
        <v>31</v>
      </c>
      <c r="E15488" t="s">
        <v>22</v>
      </c>
      <c r="F15488" t="s">
        <v>17</v>
      </c>
      <c r="G15488" s="1" t="str">
        <f t="shared" ref="G15488:M15490" si="3593">"X"</f>
        <v>X</v>
      </c>
      <c r="H15488" s="1" t="str">
        <f t="shared" si="3593"/>
        <v>X</v>
      </c>
      <c r="I15488" s="1" t="str">
        <f t="shared" si="3593"/>
        <v>X</v>
      </c>
      <c r="J15488" s="1" t="str">
        <f t="shared" si="3593"/>
        <v>X</v>
      </c>
      <c r="K15488" s="1" t="str">
        <f t="shared" si="3593"/>
        <v>X</v>
      </c>
      <c r="L15488" s="1" t="str">
        <f t="shared" si="3593"/>
        <v>X</v>
      </c>
      <c r="M15488" s="1" t="str">
        <f t="shared" si="3593"/>
        <v>X</v>
      </c>
      <c r="N15488" t="s">
        <v>27</v>
      </c>
    </row>
    <row r="15489" spans="1:14" x14ac:dyDescent="0.25">
      <c r="A15489" t="s">
        <v>45</v>
      </c>
      <c r="B15489" t="s">
        <v>40</v>
      </c>
      <c r="C15489" t="s">
        <v>37</v>
      </c>
      <c r="D15489" t="s">
        <v>31</v>
      </c>
      <c r="E15489" t="s">
        <v>22</v>
      </c>
      <c r="F15489" t="s">
        <v>18</v>
      </c>
      <c r="G15489" s="1" t="str">
        <f t="shared" si="3593"/>
        <v>X</v>
      </c>
      <c r="H15489" s="1" t="str">
        <f t="shared" si="3593"/>
        <v>X</v>
      </c>
      <c r="I15489" s="1" t="str">
        <f t="shared" si="3593"/>
        <v>X</v>
      </c>
      <c r="J15489" s="1" t="str">
        <f t="shared" si="3593"/>
        <v>X</v>
      </c>
      <c r="K15489" s="1" t="str">
        <f t="shared" si="3593"/>
        <v>X</v>
      </c>
      <c r="L15489" s="1" t="str">
        <f t="shared" si="3593"/>
        <v>X</v>
      </c>
      <c r="M15489" s="1" t="str">
        <f t="shared" si="3593"/>
        <v>X</v>
      </c>
      <c r="N15489" t="s">
        <v>27</v>
      </c>
    </row>
    <row r="15490" spans="1:14" x14ac:dyDescent="0.25">
      <c r="A15490" t="s">
        <v>45</v>
      </c>
      <c r="B15490" t="s">
        <v>40</v>
      </c>
      <c r="C15490" t="s">
        <v>37</v>
      </c>
      <c r="D15490" t="s">
        <v>31</v>
      </c>
      <c r="E15490" t="s">
        <v>22</v>
      </c>
      <c r="F15490" t="s">
        <v>19</v>
      </c>
      <c r="G15490" s="1" t="str">
        <f t="shared" si="3593"/>
        <v>X</v>
      </c>
      <c r="H15490" s="1" t="str">
        <f t="shared" si="3593"/>
        <v>X</v>
      </c>
      <c r="I15490" s="1" t="str">
        <f t="shared" si="3593"/>
        <v>X</v>
      </c>
      <c r="J15490" s="1" t="str">
        <f t="shared" si="3593"/>
        <v>X</v>
      </c>
      <c r="K15490" s="1" t="str">
        <f t="shared" si="3593"/>
        <v>X</v>
      </c>
      <c r="L15490" s="1" t="str">
        <f t="shared" si="3593"/>
        <v>X</v>
      </c>
      <c r="M15490" s="1" t="str">
        <f t="shared" si="3593"/>
        <v>X</v>
      </c>
      <c r="N15490" t="s">
        <v>27</v>
      </c>
    </row>
    <row r="15491" spans="1:14" x14ac:dyDescent="0.25">
      <c r="A15491" t="s">
        <v>45</v>
      </c>
      <c r="B15491" t="s">
        <v>40</v>
      </c>
      <c r="C15491" t="s">
        <v>37</v>
      </c>
      <c r="D15491" t="s">
        <v>31</v>
      </c>
      <c r="E15491" t="s">
        <v>22</v>
      </c>
      <c r="F15491" t="s">
        <v>20</v>
      </c>
      <c r="G15491" s="2">
        <f>VALUE(253.6)</f>
        <v>253.6</v>
      </c>
      <c r="H15491" s="3">
        <f>VALUE(208.24)</f>
        <v>208.24</v>
      </c>
      <c r="I15491" s="4">
        <f>VALUE(3422)</f>
        <v>3422</v>
      </c>
      <c r="J15491" s="1">
        <f>VALUE(3756)</f>
        <v>3756</v>
      </c>
      <c r="K15491" s="1">
        <f>VALUE(4510)</f>
        <v>4510</v>
      </c>
      <c r="L15491" s="1">
        <f>VALUE(5252)</f>
        <v>5252</v>
      </c>
      <c r="M15491" s="1">
        <f>VALUE(6190)</f>
        <v>6190</v>
      </c>
      <c r="N15491" t="s">
        <v>25</v>
      </c>
    </row>
    <row r="15492" spans="1:14" x14ac:dyDescent="0.25">
      <c r="A15492" t="s">
        <v>45</v>
      </c>
      <c r="B15492" t="s">
        <v>40</v>
      </c>
      <c r="C15492" t="s">
        <v>37</v>
      </c>
      <c r="D15492" t="s">
        <v>31</v>
      </c>
      <c r="E15492" t="s">
        <v>23</v>
      </c>
      <c r="F15492" t="s">
        <v>15</v>
      </c>
      <c r="G15492" s="2">
        <f>VALUE(852.55)</f>
        <v>852.55</v>
      </c>
      <c r="H15492" s="3">
        <f>VALUE(539.3)</f>
        <v>539.29999999999995</v>
      </c>
      <c r="I15492" s="1">
        <f>VALUE(3394)</f>
        <v>3394</v>
      </c>
      <c r="J15492" s="1">
        <f>VALUE(3528)</f>
        <v>3528</v>
      </c>
      <c r="K15492" s="1">
        <f>VALUE(3810)</f>
        <v>3810</v>
      </c>
      <c r="L15492" s="1">
        <f>VALUE(4278)</f>
        <v>4278</v>
      </c>
      <c r="M15492" s="1">
        <f>VALUE(4643)</f>
        <v>4643</v>
      </c>
      <c r="N15492" t="s">
        <v>25</v>
      </c>
    </row>
    <row r="15493" spans="1:14" x14ac:dyDescent="0.25">
      <c r="A15493" t="s">
        <v>45</v>
      </c>
      <c r="B15493" t="s">
        <v>40</v>
      </c>
      <c r="C15493" t="s">
        <v>37</v>
      </c>
      <c r="D15493" t="s">
        <v>31</v>
      </c>
      <c r="E15493" t="s">
        <v>23</v>
      </c>
      <c r="F15493" t="s">
        <v>17</v>
      </c>
      <c r="G15493" s="1" t="str">
        <f t="shared" ref="G15493:M15495" si="3594">"X"</f>
        <v>X</v>
      </c>
      <c r="H15493" s="1" t="str">
        <f t="shared" si="3594"/>
        <v>X</v>
      </c>
      <c r="I15493" s="1" t="str">
        <f t="shared" si="3594"/>
        <v>X</v>
      </c>
      <c r="J15493" s="1" t="str">
        <f t="shared" si="3594"/>
        <v>X</v>
      </c>
      <c r="K15493" s="1" t="str">
        <f t="shared" si="3594"/>
        <v>X</v>
      </c>
      <c r="L15493" s="1" t="str">
        <f t="shared" si="3594"/>
        <v>X</v>
      </c>
      <c r="M15493" s="1" t="str">
        <f t="shared" si="3594"/>
        <v>X</v>
      </c>
      <c r="N15493" t="s">
        <v>27</v>
      </c>
    </row>
    <row r="15494" spans="1:14" x14ac:dyDescent="0.25">
      <c r="A15494" t="s">
        <v>45</v>
      </c>
      <c r="B15494" t="s">
        <v>40</v>
      </c>
      <c r="C15494" t="s">
        <v>37</v>
      </c>
      <c r="D15494" t="s">
        <v>31</v>
      </c>
      <c r="E15494" t="s">
        <v>23</v>
      </c>
      <c r="F15494" t="s">
        <v>18</v>
      </c>
      <c r="G15494" s="1" t="str">
        <f t="shared" si="3594"/>
        <v>X</v>
      </c>
      <c r="H15494" s="1" t="str">
        <f t="shared" si="3594"/>
        <v>X</v>
      </c>
      <c r="I15494" s="1" t="str">
        <f t="shared" si="3594"/>
        <v>X</v>
      </c>
      <c r="J15494" s="1" t="str">
        <f t="shared" si="3594"/>
        <v>X</v>
      </c>
      <c r="K15494" s="1" t="str">
        <f t="shared" si="3594"/>
        <v>X</v>
      </c>
      <c r="L15494" s="1" t="str">
        <f t="shared" si="3594"/>
        <v>X</v>
      </c>
      <c r="M15494" s="1" t="str">
        <f t="shared" si="3594"/>
        <v>X</v>
      </c>
      <c r="N15494" t="s">
        <v>27</v>
      </c>
    </row>
    <row r="15495" spans="1:14" x14ac:dyDescent="0.25">
      <c r="A15495" t="s">
        <v>45</v>
      </c>
      <c r="B15495" t="s">
        <v>40</v>
      </c>
      <c r="C15495" t="s">
        <v>37</v>
      </c>
      <c r="D15495" t="s">
        <v>31</v>
      </c>
      <c r="E15495" t="s">
        <v>23</v>
      </c>
      <c r="F15495" t="s">
        <v>19</v>
      </c>
      <c r="G15495" s="1" t="str">
        <f t="shared" si="3594"/>
        <v>X</v>
      </c>
      <c r="H15495" s="1" t="str">
        <f t="shared" si="3594"/>
        <v>X</v>
      </c>
      <c r="I15495" s="1" t="str">
        <f t="shared" si="3594"/>
        <v>X</v>
      </c>
      <c r="J15495" s="1" t="str">
        <f t="shared" si="3594"/>
        <v>X</v>
      </c>
      <c r="K15495" s="1" t="str">
        <f t="shared" si="3594"/>
        <v>X</v>
      </c>
      <c r="L15495" s="1" t="str">
        <f t="shared" si="3594"/>
        <v>X</v>
      </c>
      <c r="M15495" s="1" t="str">
        <f t="shared" si="3594"/>
        <v>X</v>
      </c>
      <c r="N15495" t="s">
        <v>27</v>
      </c>
    </row>
    <row r="15496" spans="1:14" x14ac:dyDescent="0.25">
      <c r="A15496" t="s">
        <v>45</v>
      </c>
      <c r="B15496" t="s">
        <v>40</v>
      </c>
      <c r="C15496" t="s">
        <v>37</v>
      </c>
      <c r="D15496" t="s">
        <v>31</v>
      </c>
      <c r="E15496" t="s">
        <v>23</v>
      </c>
      <c r="F15496" t="s">
        <v>20</v>
      </c>
      <c r="G15496" s="2">
        <f>VALUE(815.66)</f>
        <v>815.66</v>
      </c>
      <c r="H15496" s="3">
        <f>VALUE(503.73)</f>
        <v>503.73</v>
      </c>
      <c r="I15496" s="1">
        <f>VALUE(3384)</f>
        <v>3384</v>
      </c>
      <c r="J15496" s="1">
        <f>VALUE(3508)</f>
        <v>3508</v>
      </c>
      <c r="K15496" s="1">
        <f>VALUE(3781)</f>
        <v>3781</v>
      </c>
      <c r="L15496" s="1">
        <f>VALUE(4207)</f>
        <v>4207</v>
      </c>
      <c r="M15496" s="1">
        <f>VALUE(4493)</f>
        <v>4493</v>
      </c>
      <c r="N15496" t="s">
        <v>25</v>
      </c>
    </row>
    <row r="15497" spans="1:14" x14ac:dyDescent="0.25">
      <c r="A15497" t="s">
        <v>45</v>
      </c>
      <c r="B15497" t="s">
        <v>40</v>
      </c>
      <c r="C15497" t="s">
        <v>37</v>
      </c>
      <c r="D15497" t="s">
        <v>31</v>
      </c>
      <c r="E15497" t="s">
        <v>26</v>
      </c>
      <c r="F15497" t="s">
        <v>15</v>
      </c>
      <c r="G15497" s="1" t="str">
        <f t="shared" ref="G15497:M15497" si="3595">"X"</f>
        <v>X</v>
      </c>
      <c r="H15497" s="1" t="str">
        <f t="shared" si="3595"/>
        <v>X</v>
      </c>
      <c r="I15497" s="1" t="str">
        <f t="shared" si="3595"/>
        <v>X</v>
      </c>
      <c r="J15497" s="1" t="str">
        <f t="shared" si="3595"/>
        <v>X</v>
      </c>
      <c r="K15497" s="1" t="str">
        <f t="shared" si="3595"/>
        <v>X</v>
      </c>
      <c r="L15497" s="1" t="str">
        <f t="shared" si="3595"/>
        <v>X</v>
      </c>
      <c r="M15497" s="1" t="str">
        <f t="shared" si="3595"/>
        <v>X</v>
      </c>
      <c r="N15497" t="s">
        <v>27</v>
      </c>
    </row>
    <row r="15498" spans="1:14" x14ac:dyDescent="0.25">
      <c r="A15498" t="s">
        <v>45</v>
      </c>
      <c r="B15498" t="s">
        <v>40</v>
      </c>
      <c r="C15498" t="s">
        <v>37</v>
      </c>
      <c r="D15498" t="s">
        <v>31</v>
      </c>
      <c r="E15498" t="s">
        <v>26</v>
      </c>
      <c r="F15498" t="s">
        <v>17</v>
      </c>
      <c r="G15498" s="1" t="str">
        <f t="shared" ref="G15498:M15500" si="3596">"..."</f>
        <v>...</v>
      </c>
      <c r="H15498" s="1" t="str">
        <f t="shared" si="3596"/>
        <v>...</v>
      </c>
      <c r="I15498" s="1" t="str">
        <f t="shared" si="3596"/>
        <v>...</v>
      </c>
      <c r="J15498" s="1" t="str">
        <f t="shared" si="3596"/>
        <v>...</v>
      </c>
      <c r="K15498" s="1" t="str">
        <f t="shared" si="3596"/>
        <v>...</v>
      </c>
      <c r="L15498" s="1" t="str">
        <f t="shared" si="3596"/>
        <v>...</v>
      </c>
      <c r="M15498" s="1" t="str">
        <f t="shared" si="3596"/>
        <v>...</v>
      </c>
      <c r="N15498" t="s">
        <v>30</v>
      </c>
    </row>
    <row r="15499" spans="1:14" x14ac:dyDescent="0.25">
      <c r="A15499" t="s">
        <v>45</v>
      </c>
      <c r="B15499" t="s">
        <v>40</v>
      </c>
      <c r="C15499" t="s">
        <v>37</v>
      </c>
      <c r="D15499" t="s">
        <v>31</v>
      </c>
      <c r="E15499" t="s">
        <v>26</v>
      </c>
      <c r="F15499" t="s">
        <v>18</v>
      </c>
      <c r="G15499" s="1" t="str">
        <f t="shared" si="3596"/>
        <v>...</v>
      </c>
      <c r="H15499" s="1" t="str">
        <f t="shared" si="3596"/>
        <v>...</v>
      </c>
      <c r="I15499" s="1" t="str">
        <f t="shared" si="3596"/>
        <v>...</v>
      </c>
      <c r="J15499" s="1" t="str">
        <f t="shared" si="3596"/>
        <v>...</v>
      </c>
      <c r="K15499" s="1" t="str">
        <f t="shared" si="3596"/>
        <v>...</v>
      </c>
      <c r="L15499" s="1" t="str">
        <f t="shared" si="3596"/>
        <v>...</v>
      </c>
      <c r="M15499" s="1" t="str">
        <f t="shared" si="3596"/>
        <v>...</v>
      </c>
      <c r="N15499" t="s">
        <v>30</v>
      </c>
    </row>
    <row r="15500" spans="1:14" x14ac:dyDescent="0.25">
      <c r="A15500" t="s">
        <v>45</v>
      </c>
      <c r="B15500" t="s">
        <v>40</v>
      </c>
      <c r="C15500" t="s">
        <v>37</v>
      </c>
      <c r="D15500" t="s">
        <v>31</v>
      </c>
      <c r="E15500" t="s">
        <v>26</v>
      </c>
      <c r="F15500" t="s">
        <v>19</v>
      </c>
      <c r="G15500" s="1" t="str">
        <f t="shared" si="3596"/>
        <v>...</v>
      </c>
      <c r="H15500" s="1" t="str">
        <f t="shared" si="3596"/>
        <v>...</v>
      </c>
      <c r="I15500" s="1" t="str">
        <f t="shared" si="3596"/>
        <v>...</v>
      </c>
      <c r="J15500" s="1" t="str">
        <f t="shared" si="3596"/>
        <v>...</v>
      </c>
      <c r="K15500" s="1" t="str">
        <f t="shared" si="3596"/>
        <v>...</v>
      </c>
      <c r="L15500" s="1" t="str">
        <f t="shared" si="3596"/>
        <v>...</v>
      </c>
      <c r="M15500" s="1" t="str">
        <f t="shared" si="3596"/>
        <v>...</v>
      </c>
      <c r="N15500" t="s">
        <v>30</v>
      </c>
    </row>
    <row r="15501" spans="1:14" x14ac:dyDescent="0.25">
      <c r="A15501" t="s">
        <v>45</v>
      </c>
      <c r="B15501" t="s">
        <v>40</v>
      </c>
      <c r="C15501" t="s">
        <v>37</v>
      </c>
      <c r="D15501" t="s">
        <v>31</v>
      </c>
      <c r="E15501" t="s">
        <v>26</v>
      </c>
      <c r="F15501" t="s">
        <v>20</v>
      </c>
      <c r="G15501" s="1" t="str">
        <f t="shared" ref="G15501:M15501" si="3597">"X"</f>
        <v>X</v>
      </c>
      <c r="H15501" s="1" t="str">
        <f t="shared" si="3597"/>
        <v>X</v>
      </c>
      <c r="I15501" s="1" t="str">
        <f t="shared" si="3597"/>
        <v>X</v>
      </c>
      <c r="J15501" s="1" t="str">
        <f t="shared" si="3597"/>
        <v>X</v>
      </c>
      <c r="K15501" s="1" t="str">
        <f t="shared" si="3597"/>
        <v>X</v>
      </c>
      <c r="L15501" s="1" t="str">
        <f t="shared" si="3597"/>
        <v>X</v>
      </c>
      <c r="M15501" s="1" t="str">
        <f t="shared" si="3597"/>
        <v>X</v>
      </c>
      <c r="N15501" t="s">
        <v>27</v>
      </c>
    </row>
    <row r="15502" spans="1:14" x14ac:dyDescent="0.25">
      <c r="A15502" t="s">
        <v>45</v>
      </c>
      <c r="B15502" t="s">
        <v>40</v>
      </c>
      <c r="C15502" t="s">
        <v>37</v>
      </c>
      <c r="D15502" t="s">
        <v>32</v>
      </c>
      <c r="E15502" t="s">
        <v>15</v>
      </c>
      <c r="F15502" t="s">
        <v>15</v>
      </c>
      <c r="G15502" s="1">
        <f>VALUE(8285.68)</f>
        <v>8285.68</v>
      </c>
      <c r="H15502" s="1">
        <f>VALUE(6969.53)</f>
        <v>6969.53</v>
      </c>
      <c r="I15502" s="1">
        <f>VALUE(2947)</f>
        <v>2947</v>
      </c>
      <c r="J15502" s="1">
        <f>VALUE(3305)</f>
        <v>3305</v>
      </c>
      <c r="K15502" s="1">
        <f>VALUE(3856)</f>
        <v>3856</v>
      </c>
      <c r="L15502" s="1">
        <f>VALUE(5128)</f>
        <v>5128</v>
      </c>
      <c r="M15502" s="1">
        <f>VALUE(7072)</f>
        <v>7072</v>
      </c>
      <c r="N15502" t="s">
        <v>16</v>
      </c>
    </row>
    <row r="15503" spans="1:14" x14ac:dyDescent="0.25">
      <c r="A15503" t="s">
        <v>45</v>
      </c>
      <c r="B15503" t="s">
        <v>40</v>
      </c>
      <c r="C15503" t="s">
        <v>37</v>
      </c>
      <c r="D15503" t="s">
        <v>32</v>
      </c>
      <c r="E15503" t="s">
        <v>15</v>
      </c>
      <c r="F15503" t="s">
        <v>17</v>
      </c>
      <c r="G15503" s="2">
        <f>VALUE(552.72)</f>
        <v>552.72</v>
      </c>
      <c r="H15503" s="3">
        <f>VALUE(459.04)</f>
        <v>459.04</v>
      </c>
      <c r="I15503" s="4">
        <f>VALUE(3981)</f>
        <v>3981</v>
      </c>
      <c r="J15503" s="1">
        <f>VALUE(4956)</f>
        <v>4956</v>
      </c>
      <c r="K15503" s="6">
        <f>VALUE(6242)</f>
        <v>6242</v>
      </c>
      <c r="L15503" s="7">
        <f>VALUE(10236)</f>
        <v>10236</v>
      </c>
      <c r="M15503" s="1">
        <f>VALUE(14558)</f>
        <v>14558</v>
      </c>
      <c r="N15503" t="s">
        <v>25</v>
      </c>
    </row>
    <row r="15504" spans="1:14" x14ac:dyDescent="0.25">
      <c r="A15504" t="s">
        <v>45</v>
      </c>
      <c r="B15504" t="s">
        <v>40</v>
      </c>
      <c r="C15504" t="s">
        <v>37</v>
      </c>
      <c r="D15504" t="s">
        <v>32</v>
      </c>
      <c r="E15504" t="s">
        <v>15</v>
      </c>
      <c r="F15504" t="s">
        <v>18</v>
      </c>
      <c r="G15504" s="2">
        <f>VALUE(642.41)</f>
        <v>642.41</v>
      </c>
      <c r="H15504" s="3">
        <f>VALUE(531.93)</f>
        <v>531.92999999999995</v>
      </c>
      <c r="I15504" s="4">
        <f>VALUE(3345)</f>
        <v>3345</v>
      </c>
      <c r="J15504" s="1">
        <f>VALUE(4223)</f>
        <v>4223</v>
      </c>
      <c r="K15504" s="1">
        <f>VALUE(5283)</f>
        <v>5283</v>
      </c>
      <c r="L15504" s="7">
        <f>VALUE(7314)</f>
        <v>7314</v>
      </c>
      <c r="M15504" s="1">
        <f>VALUE(10087)</f>
        <v>10087</v>
      </c>
      <c r="N15504" t="s">
        <v>25</v>
      </c>
    </row>
    <row r="15505" spans="1:14" x14ac:dyDescent="0.25">
      <c r="A15505" t="s">
        <v>45</v>
      </c>
      <c r="B15505" t="s">
        <v>40</v>
      </c>
      <c r="C15505" t="s">
        <v>37</v>
      </c>
      <c r="D15505" t="s">
        <v>32</v>
      </c>
      <c r="E15505" t="s">
        <v>15</v>
      </c>
      <c r="F15505" t="s">
        <v>19</v>
      </c>
      <c r="G15505" s="2">
        <f>VALUE(620.15)</f>
        <v>620.15</v>
      </c>
      <c r="H15505" s="3">
        <f>VALUE(552.76)</f>
        <v>552.76</v>
      </c>
      <c r="I15505" s="1">
        <f>VALUE(3549)</f>
        <v>3549</v>
      </c>
      <c r="J15505" s="1">
        <f>VALUE(4122)</f>
        <v>4122</v>
      </c>
      <c r="K15505" s="1">
        <f>VALUE(4771)</f>
        <v>4771</v>
      </c>
      <c r="L15505" s="1">
        <f>VALUE(6136)</f>
        <v>6136</v>
      </c>
      <c r="M15505" s="1">
        <f>VALUE(7627)</f>
        <v>7627</v>
      </c>
      <c r="N15505" t="s">
        <v>25</v>
      </c>
    </row>
    <row r="15506" spans="1:14" x14ac:dyDescent="0.25">
      <c r="A15506" t="s">
        <v>45</v>
      </c>
      <c r="B15506" t="s">
        <v>40</v>
      </c>
      <c r="C15506" t="s">
        <v>37</v>
      </c>
      <c r="D15506" t="s">
        <v>32</v>
      </c>
      <c r="E15506" t="s">
        <v>15</v>
      </c>
      <c r="F15506" t="s">
        <v>20</v>
      </c>
      <c r="G15506" s="1">
        <f>VALUE(6470.4)</f>
        <v>6470.4</v>
      </c>
      <c r="H15506" s="1">
        <f>VALUE(5425.8)</f>
        <v>5425.8</v>
      </c>
      <c r="I15506" s="1">
        <f>VALUE(2866)</f>
        <v>2866</v>
      </c>
      <c r="J15506" s="1">
        <f>VALUE(3209)</f>
        <v>3209</v>
      </c>
      <c r="K15506" s="1">
        <f>VALUE(3610)</f>
        <v>3610</v>
      </c>
      <c r="L15506" s="1">
        <f>VALUE(4514)</f>
        <v>4514</v>
      </c>
      <c r="M15506" s="1">
        <f>VALUE(5769)</f>
        <v>5769</v>
      </c>
      <c r="N15506" t="s">
        <v>16</v>
      </c>
    </row>
    <row r="15507" spans="1:14" x14ac:dyDescent="0.25">
      <c r="A15507" t="s">
        <v>45</v>
      </c>
      <c r="B15507" t="s">
        <v>40</v>
      </c>
      <c r="C15507" t="s">
        <v>37</v>
      </c>
      <c r="D15507" t="s">
        <v>32</v>
      </c>
      <c r="E15507" t="s">
        <v>21</v>
      </c>
      <c r="F15507" t="s">
        <v>15</v>
      </c>
      <c r="G15507" s="2">
        <f>VALUE(2231.01)</f>
        <v>2231.0100000000002</v>
      </c>
      <c r="H15507" s="3">
        <f>VALUE(1818.26)</f>
        <v>1818.26</v>
      </c>
      <c r="I15507" s="1">
        <f>VALUE(3348)</f>
        <v>3348</v>
      </c>
      <c r="J15507" s="1">
        <f>VALUE(4292)</f>
        <v>4292</v>
      </c>
      <c r="K15507" s="1">
        <f>VALUE(5437)</f>
        <v>5437</v>
      </c>
      <c r="L15507" s="1">
        <f>VALUE(7389)</f>
        <v>7389</v>
      </c>
      <c r="M15507" s="8">
        <f>VALUE(10011)</f>
        <v>10011</v>
      </c>
      <c r="N15507" t="s">
        <v>25</v>
      </c>
    </row>
    <row r="15508" spans="1:14" x14ac:dyDescent="0.25">
      <c r="A15508" t="s">
        <v>45</v>
      </c>
      <c r="B15508" t="s">
        <v>40</v>
      </c>
      <c r="C15508" t="s">
        <v>37</v>
      </c>
      <c r="D15508" t="s">
        <v>32</v>
      </c>
      <c r="E15508" t="s">
        <v>21</v>
      </c>
      <c r="F15508" t="s">
        <v>17</v>
      </c>
      <c r="G15508" s="2">
        <f>VALUE(411.2)</f>
        <v>411.2</v>
      </c>
      <c r="H15508" s="3">
        <f>VALUE(333.07)</f>
        <v>333.07</v>
      </c>
      <c r="I15508" s="4">
        <f>VALUE(3333)</f>
        <v>3333</v>
      </c>
      <c r="J15508" s="5">
        <f>VALUE(5529)</f>
        <v>5529</v>
      </c>
      <c r="K15508" s="6">
        <f>VALUE(7953)</f>
        <v>7953</v>
      </c>
      <c r="L15508" s="7">
        <f>VALUE(11084)</f>
        <v>11084</v>
      </c>
      <c r="M15508" s="1">
        <f>VALUE(14558)</f>
        <v>14558</v>
      </c>
      <c r="N15508" t="s">
        <v>25</v>
      </c>
    </row>
    <row r="15509" spans="1:14" x14ac:dyDescent="0.25">
      <c r="A15509" t="s">
        <v>45</v>
      </c>
      <c r="B15509" t="s">
        <v>40</v>
      </c>
      <c r="C15509" t="s">
        <v>37</v>
      </c>
      <c r="D15509" t="s">
        <v>32</v>
      </c>
      <c r="E15509" t="s">
        <v>21</v>
      </c>
      <c r="F15509" t="s">
        <v>18</v>
      </c>
      <c r="G15509" s="2">
        <f>VALUE(401.88)</f>
        <v>401.88</v>
      </c>
      <c r="H15509" s="3">
        <f>VALUE(331.19)</f>
        <v>331.19</v>
      </c>
      <c r="I15509" s="4">
        <f>VALUE(3608)</f>
        <v>3608</v>
      </c>
      <c r="J15509" s="1">
        <f>VALUE(4431)</f>
        <v>4431</v>
      </c>
      <c r="K15509" s="6">
        <f>VALUE(5658)</f>
        <v>5658</v>
      </c>
      <c r="L15509" s="7">
        <f>VALUE(8522)</f>
        <v>8522</v>
      </c>
      <c r="M15509" s="1">
        <f>VALUE(10821)</f>
        <v>10821</v>
      </c>
      <c r="N15509" t="s">
        <v>25</v>
      </c>
    </row>
    <row r="15510" spans="1:14" x14ac:dyDescent="0.25">
      <c r="A15510" t="s">
        <v>45</v>
      </c>
      <c r="B15510" t="s">
        <v>40</v>
      </c>
      <c r="C15510" t="s">
        <v>37</v>
      </c>
      <c r="D15510" t="s">
        <v>32</v>
      </c>
      <c r="E15510" t="s">
        <v>21</v>
      </c>
      <c r="F15510" t="s">
        <v>19</v>
      </c>
      <c r="G15510" s="2">
        <f>VALUE(256.97)</f>
        <v>256.97000000000003</v>
      </c>
      <c r="H15510" s="3">
        <f>VALUE(223.34)</f>
        <v>223.34</v>
      </c>
      <c r="I15510" s="1">
        <f>VALUE(3981)</f>
        <v>3981</v>
      </c>
      <c r="J15510" s="1">
        <f>VALUE(4522)</f>
        <v>4522</v>
      </c>
      <c r="K15510" s="6">
        <f>VALUE(5233)</f>
        <v>5233</v>
      </c>
      <c r="L15510" s="1">
        <f>VALUE(7429)</f>
        <v>7429</v>
      </c>
      <c r="M15510" s="1">
        <f>VALUE(8069)</f>
        <v>8069</v>
      </c>
      <c r="N15510" t="s">
        <v>25</v>
      </c>
    </row>
    <row r="15511" spans="1:14" x14ac:dyDescent="0.25">
      <c r="A15511" t="s">
        <v>45</v>
      </c>
      <c r="B15511" t="s">
        <v>40</v>
      </c>
      <c r="C15511" t="s">
        <v>37</v>
      </c>
      <c r="D15511" t="s">
        <v>32</v>
      </c>
      <c r="E15511" t="s">
        <v>21</v>
      </c>
      <c r="F15511" t="s">
        <v>20</v>
      </c>
      <c r="G15511" s="2">
        <f>VALUE(1160.96)</f>
        <v>1160.96</v>
      </c>
      <c r="H15511" s="3">
        <f>VALUE(930.66)</f>
        <v>930.66</v>
      </c>
      <c r="I15511" s="4">
        <f>VALUE(3205)</f>
        <v>3205</v>
      </c>
      <c r="J15511" s="5">
        <f>VALUE(3812)</f>
        <v>3812</v>
      </c>
      <c r="K15511" s="1">
        <f>VALUE(5000)</f>
        <v>5000</v>
      </c>
      <c r="L15511" s="1">
        <f>VALUE(6315)</f>
        <v>6315</v>
      </c>
      <c r="M15511" s="1">
        <f>VALUE(7615)</f>
        <v>7615</v>
      </c>
      <c r="N15511" t="s">
        <v>25</v>
      </c>
    </row>
    <row r="15512" spans="1:14" x14ac:dyDescent="0.25">
      <c r="A15512" t="s">
        <v>45</v>
      </c>
      <c r="B15512" t="s">
        <v>40</v>
      </c>
      <c r="C15512" t="s">
        <v>37</v>
      </c>
      <c r="D15512" t="s">
        <v>32</v>
      </c>
      <c r="E15512" t="s">
        <v>22</v>
      </c>
      <c r="F15512" t="s">
        <v>15</v>
      </c>
      <c r="G15512" s="1">
        <f>VALUE(2389.55)</f>
        <v>2389.5500000000002</v>
      </c>
      <c r="H15512" s="1">
        <f>VALUE(2036.32)</f>
        <v>2036.32</v>
      </c>
      <c r="I15512" s="1">
        <f>VALUE(3249)</f>
        <v>3249</v>
      </c>
      <c r="J15512" s="1">
        <f>VALUE(3550)</f>
        <v>3550</v>
      </c>
      <c r="K15512" s="1">
        <f>VALUE(4333)</f>
        <v>4333</v>
      </c>
      <c r="L15512" s="1">
        <f>VALUE(5348)</f>
        <v>5348</v>
      </c>
      <c r="M15512" s="1">
        <f>VALUE(6547)</f>
        <v>6547</v>
      </c>
      <c r="N15512" t="s">
        <v>16</v>
      </c>
    </row>
    <row r="15513" spans="1:14" x14ac:dyDescent="0.25">
      <c r="A15513" t="s">
        <v>45</v>
      </c>
      <c r="B15513" t="s">
        <v>40</v>
      </c>
      <c r="C15513" t="s">
        <v>37</v>
      </c>
      <c r="D15513" t="s">
        <v>32</v>
      </c>
      <c r="E15513" t="s">
        <v>22</v>
      </c>
      <c r="F15513" t="s">
        <v>17</v>
      </c>
      <c r="G15513" s="1" t="str">
        <f t="shared" ref="G15513:M15514" si="3598">"X"</f>
        <v>X</v>
      </c>
      <c r="H15513" s="1" t="str">
        <f t="shared" si="3598"/>
        <v>X</v>
      </c>
      <c r="I15513" s="1" t="str">
        <f t="shared" si="3598"/>
        <v>X</v>
      </c>
      <c r="J15513" s="1" t="str">
        <f t="shared" si="3598"/>
        <v>X</v>
      </c>
      <c r="K15513" s="1" t="str">
        <f t="shared" si="3598"/>
        <v>X</v>
      </c>
      <c r="L15513" s="1" t="str">
        <f t="shared" si="3598"/>
        <v>X</v>
      </c>
      <c r="M15513" s="1" t="str">
        <f t="shared" si="3598"/>
        <v>X</v>
      </c>
      <c r="N15513" t="s">
        <v>27</v>
      </c>
    </row>
    <row r="15514" spans="1:14" x14ac:dyDescent="0.25">
      <c r="A15514" t="s">
        <v>45</v>
      </c>
      <c r="B15514" t="s">
        <v>40</v>
      </c>
      <c r="C15514" t="s">
        <v>37</v>
      </c>
      <c r="D15514" t="s">
        <v>32</v>
      </c>
      <c r="E15514" t="s">
        <v>22</v>
      </c>
      <c r="F15514" t="s">
        <v>18</v>
      </c>
      <c r="G15514" s="1" t="str">
        <f t="shared" si="3598"/>
        <v>X</v>
      </c>
      <c r="H15514" s="1" t="str">
        <f t="shared" si="3598"/>
        <v>X</v>
      </c>
      <c r="I15514" s="1" t="str">
        <f t="shared" si="3598"/>
        <v>X</v>
      </c>
      <c r="J15514" s="1" t="str">
        <f t="shared" si="3598"/>
        <v>X</v>
      </c>
      <c r="K15514" s="1" t="str">
        <f t="shared" si="3598"/>
        <v>X</v>
      </c>
      <c r="L15514" s="1" t="str">
        <f t="shared" si="3598"/>
        <v>X</v>
      </c>
      <c r="M15514" s="1" t="str">
        <f t="shared" si="3598"/>
        <v>X</v>
      </c>
      <c r="N15514" t="s">
        <v>27</v>
      </c>
    </row>
    <row r="15515" spans="1:14" x14ac:dyDescent="0.25">
      <c r="A15515" t="s">
        <v>45</v>
      </c>
      <c r="B15515" t="s">
        <v>40</v>
      </c>
      <c r="C15515" t="s">
        <v>37</v>
      </c>
      <c r="D15515" t="s">
        <v>32</v>
      </c>
      <c r="E15515" t="s">
        <v>22</v>
      </c>
      <c r="F15515" t="s">
        <v>19</v>
      </c>
      <c r="G15515" s="2">
        <f>VALUE(231.95)</f>
        <v>231.95</v>
      </c>
      <c r="H15515" s="3">
        <f>VALUE(209)</f>
        <v>209</v>
      </c>
      <c r="I15515" s="1">
        <f>VALUE(3383)</f>
        <v>3383</v>
      </c>
      <c r="J15515" s="1">
        <f>VALUE(3956)</f>
        <v>3956</v>
      </c>
      <c r="K15515" s="1">
        <f>VALUE(4490)</f>
        <v>4490</v>
      </c>
      <c r="L15515" s="1">
        <f>VALUE(5460)</f>
        <v>5460</v>
      </c>
      <c r="M15515" s="8">
        <f>VALUE(6733)</f>
        <v>6733</v>
      </c>
      <c r="N15515" t="s">
        <v>25</v>
      </c>
    </row>
    <row r="15516" spans="1:14" x14ac:dyDescent="0.25">
      <c r="A15516" t="s">
        <v>45</v>
      </c>
      <c r="B15516" t="s">
        <v>40</v>
      </c>
      <c r="C15516" t="s">
        <v>37</v>
      </c>
      <c r="D15516" t="s">
        <v>32</v>
      </c>
      <c r="E15516" t="s">
        <v>22</v>
      </c>
      <c r="F15516" t="s">
        <v>20</v>
      </c>
      <c r="G15516" s="1">
        <f>VALUE(1898.02)</f>
        <v>1898.02</v>
      </c>
      <c r="H15516" s="1">
        <f>VALUE(1606.21)</f>
        <v>1606.21</v>
      </c>
      <c r="I15516" s="1">
        <f>VALUE(3183)</f>
        <v>3183</v>
      </c>
      <c r="J15516" s="1">
        <f>VALUE(3499)</f>
        <v>3499</v>
      </c>
      <c r="K15516" s="1">
        <f>VALUE(4155)</f>
        <v>4155</v>
      </c>
      <c r="L15516" s="1">
        <f>VALUE(5164)</f>
        <v>5164</v>
      </c>
      <c r="M15516" s="1">
        <f>VALUE(6126)</f>
        <v>6126</v>
      </c>
      <c r="N15516" t="s">
        <v>16</v>
      </c>
    </row>
    <row r="15517" spans="1:14" x14ac:dyDescent="0.25">
      <c r="A15517" t="s">
        <v>45</v>
      </c>
      <c r="B15517" t="s">
        <v>40</v>
      </c>
      <c r="C15517" t="s">
        <v>37</v>
      </c>
      <c r="D15517" t="s">
        <v>32</v>
      </c>
      <c r="E15517" t="s">
        <v>23</v>
      </c>
      <c r="F15517" t="s">
        <v>15</v>
      </c>
      <c r="G15517" s="1">
        <f>VALUE(3642.69)</f>
        <v>3642.69</v>
      </c>
      <c r="H15517" s="1">
        <f>VALUE(3098.43)</f>
        <v>3098.43</v>
      </c>
      <c r="I15517" s="1">
        <f>VALUE(2806)</f>
        <v>2806</v>
      </c>
      <c r="J15517" s="1">
        <f>VALUE(3050)</f>
        <v>3050</v>
      </c>
      <c r="K15517" s="1">
        <f>VALUE(3393)</f>
        <v>3393</v>
      </c>
      <c r="L15517" s="1">
        <f>VALUE(3800)</f>
        <v>3800</v>
      </c>
      <c r="M15517" s="1">
        <f>VALUE(4476)</f>
        <v>4476</v>
      </c>
      <c r="N15517" t="s">
        <v>16</v>
      </c>
    </row>
    <row r="15518" spans="1:14" x14ac:dyDescent="0.25">
      <c r="A15518" t="s">
        <v>45</v>
      </c>
      <c r="B15518" t="s">
        <v>40</v>
      </c>
      <c r="C15518" t="s">
        <v>37</v>
      </c>
      <c r="D15518" t="s">
        <v>32</v>
      </c>
      <c r="E15518" t="s">
        <v>23</v>
      </c>
      <c r="F15518" t="s">
        <v>17</v>
      </c>
      <c r="G15518" s="1" t="str">
        <f t="shared" ref="G15518:M15520" si="3599">"X"</f>
        <v>X</v>
      </c>
      <c r="H15518" s="1" t="str">
        <f t="shared" si="3599"/>
        <v>X</v>
      </c>
      <c r="I15518" s="1" t="str">
        <f t="shared" si="3599"/>
        <v>X</v>
      </c>
      <c r="J15518" s="1" t="str">
        <f t="shared" si="3599"/>
        <v>X</v>
      </c>
      <c r="K15518" s="1" t="str">
        <f t="shared" si="3599"/>
        <v>X</v>
      </c>
      <c r="L15518" s="1" t="str">
        <f t="shared" si="3599"/>
        <v>X</v>
      </c>
      <c r="M15518" s="1" t="str">
        <f t="shared" si="3599"/>
        <v>X</v>
      </c>
      <c r="N15518" t="s">
        <v>27</v>
      </c>
    </row>
    <row r="15519" spans="1:14" x14ac:dyDescent="0.25">
      <c r="A15519" t="s">
        <v>45</v>
      </c>
      <c r="B15519" t="s">
        <v>40</v>
      </c>
      <c r="C15519" t="s">
        <v>37</v>
      </c>
      <c r="D15519" t="s">
        <v>32</v>
      </c>
      <c r="E15519" t="s">
        <v>23</v>
      </c>
      <c r="F15519" t="s">
        <v>18</v>
      </c>
      <c r="G15519" s="1" t="str">
        <f t="shared" si="3599"/>
        <v>X</v>
      </c>
      <c r="H15519" s="1" t="str">
        <f t="shared" si="3599"/>
        <v>X</v>
      </c>
      <c r="I15519" s="1" t="str">
        <f t="shared" si="3599"/>
        <v>X</v>
      </c>
      <c r="J15519" s="1" t="str">
        <f t="shared" si="3599"/>
        <v>X</v>
      </c>
      <c r="K15519" s="1" t="str">
        <f t="shared" si="3599"/>
        <v>X</v>
      </c>
      <c r="L15519" s="1" t="str">
        <f t="shared" si="3599"/>
        <v>X</v>
      </c>
      <c r="M15519" s="1" t="str">
        <f t="shared" si="3599"/>
        <v>X</v>
      </c>
      <c r="N15519" t="s">
        <v>27</v>
      </c>
    </row>
    <row r="15520" spans="1:14" x14ac:dyDescent="0.25">
      <c r="A15520" t="s">
        <v>45</v>
      </c>
      <c r="B15520" t="s">
        <v>40</v>
      </c>
      <c r="C15520" t="s">
        <v>37</v>
      </c>
      <c r="D15520" t="s">
        <v>32</v>
      </c>
      <c r="E15520" t="s">
        <v>23</v>
      </c>
      <c r="F15520" t="s">
        <v>19</v>
      </c>
      <c r="G15520" s="1" t="str">
        <f t="shared" si="3599"/>
        <v>X</v>
      </c>
      <c r="H15520" s="1" t="str">
        <f t="shared" si="3599"/>
        <v>X</v>
      </c>
      <c r="I15520" s="1" t="str">
        <f t="shared" si="3599"/>
        <v>X</v>
      </c>
      <c r="J15520" s="1" t="str">
        <f t="shared" si="3599"/>
        <v>X</v>
      </c>
      <c r="K15520" s="1" t="str">
        <f t="shared" si="3599"/>
        <v>X</v>
      </c>
      <c r="L15520" s="1" t="str">
        <f t="shared" si="3599"/>
        <v>X</v>
      </c>
      <c r="M15520" s="1" t="str">
        <f t="shared" si="3599"/>
        <v>X</v>
      </c>
      <c r="N15520" t="s">
        <v>27</v>
      </c>
    </row>
    <row r="15521" spans="1:14" x14ac:dyDescent="0.25">
      <c r="A15521" t="s">
        <v>45</v>
      </c>
      <c r="B15521" t="s">
        <v>40</v>
      </c>
      <c r="C15521" t="s">
        <v>37</v>
      </c>
      <c r="D15521" t="s">
        <v>32</v>
      </c>
      <c r="E15521" t="s">
        <v>23</v>
      </c>
      <c r="F15521" t="s">
        <v>20</v>
      </c>
      <c r="G15521" s="1">
        <f>VALUE(3394.07)</f>
        <v>3394.07</v>
      </c>
      <c r="H15521" s="1">
        <f>VALUE(2875.49)</f>
        <v>2875.49</v>
      </c>
      <c r="I15521" s="1">
        <f>VALUE(2796)</f>
        <v>2796</v>
      </c>
      <c r="J15521" s="1">
        <f>VALUE(3033)</f>
        <v>3033</v>
      </c>
      <c r="K15521" s="1">
        <f>VALUE(3351)</f>
        <v>3351</v>
      </c>
      <c r="L15521" s="1">
        <f>VALUE(3722)</f>
        <v>3722</v>
      </c>
      <c r="M15521" s="1">
        <f>VALUE(4212)</f>
        <v>4212</v>
      </c>
      <c r="N15521" t="s">
        <v>16</v>
      </c>
    </row>
    <row r="15522" spans="1:14" x14ac:dyDescent="0.25">
      <c r="A15522" t="s">
        <v>45</v>
      </c>
      <c r="B15522" t="s">
        <v>40</v>
      </c>
      <c r="C15522" t="s">
        <v>37</v>
      </c>
      <c r="D15522" t="s">
        <v>32</v>
      </c>
      <c r="E15522" t="s">
        <v>26</v>
      </c>
      <c r="F15522" t="s">
        <v>15</v>
      </c>
      <c r="G15522" s="1" t="str">
        <f t="shared" ref="G15522:M15522" si="3600">"X"</f>
        <v>X</v>
      </c>
      <c r="H15522" s="1" t="str">
        <f t="shared" si="3600"/>
        <v>X</v>
      </c>
      <c r="I15522" s="1" t="str">
        <f t="shared" si="3600"/>
        <v>X</v>
      </c>
      <c r="J15522" s="1" t="str">
        <f t="shared" si="3600"/>
        <v>X</v>
      </c>
      <c r="K15522" s="1" t="str">
        <f t="shared" si="3600"/>
        <v>X</v>
      </c>
      <c r="L15522" s="1" t="str">
        <f t="shared" si="3600"/>
        <v>X</v>
      </c>
      <c r="M15522" s="1" t="str">
        <f t="shared" si="3600"/>
        <v>X</v>
      </c>
      <c r="N15522" t="s">
        <v>27</v>
      </c>
    </row>
    <row r="15523" spans="1:14" x14ac:dyDescent="0.25">
      <c r="A15523" t="s">
        <v>45</v>
      </c>
      <c r="B15523" t="s">
        <v>40</v>
      </c>
      <c r="C15523" t="s">
        <v>37</v>
      </c>
      <c r="D15523" t="s">
        <v>32</v>
      </c>
      <c r="E15523" t="s">
        <v>26</v>
      </c>
      <c r="F15523" t="s">
        <v>17</v>
      </c>
      <c r="G15523" s="1" t="str">
        <f t="shared" ref="G15523:M15524" si="3601">"..."</f>
        <v>...</v>
      </c>
      <c r="H15523" s="1" t="str">
        <f t="shared" si="3601"/>
        <v>...</v>
      </c>
      <c r="I15523" s="1" t="str">
        <f t="shared" si="3601"/>
        <v>...</v>
      </c>
      <c r="J15523" s="1" t="str">
        <f t="shared" si="3601"/>
        <v>...</v>
      </c>
      <c r="K15523" s="1" t="str">
        <f t="shared" si="3601"/>
        <v>...</v>
      </c>
      <c r="L15523" s="1" t="str">
        <f t="shared" si="3601"/>
        <v>...</v>
      </c>
      <c r="M15523" s="1" t="str">
        <f t="shared" si="3601"/>
        <v>...</v>
      </c>
      <c r="N15523" t="s">
        <v>30</v>
      </c>
    </row>
    <row r="15524" spans="1:14" x14ac:dyDescent="0.25">
      <c r="A15524" t="s">
        <v>45</v>
      </c>
      <c r="B15524" t="s">
        <v>40</v>
      </c>
      <c r="C15524" t="s">
        <v>37</v>
      </c>
      <c r="D15524" t="s">
        <v>32</v>
      </c>
      <c r="E15524" t="s">
        <v>26</v>
      </c>
      <c r="F15524" t="s">
        <v>18</v>
      </c>
      <c r="G15524" s="1" t="str">
        <f t="shared" si="3601"/>
        <v>...</v>
      </c>
      <c r="H15524" s="1" t="str">
        <f t="shared" si="3601"/>
        <v>...</v>
      </c>
      <c r="I15524" s="1" t="str">
        <f t="shared" si="3601"/>
        <v>...</v>
      </c>
      <c r="J15524" s="1" t="str">
        <f t="shared" si="3601"/>
        <v>...</v>
      </c>
      <c r="K15524" s="1" t="str">
        <f t="shared" si="3601"/>
        <v>...</v>
      </c>
      <c r="L15524" s="1" t="str">
        <f t="shared" si="3601"/>
        <v>...</v>
      </c>
      <c r="M15524" s="1" t="str">
        <f t="shared" si="3601"/>
        <v>...</v>
      </c>
      <c r="N15524" t="s">
        <v>30</v>
      </c>
    </row>
    <row r="15525" spans="1:14" x14ac:dyDescent="0.25">
      <c r="A15525" t="s">
        <v>45</v>
      </c>
      <c r="B15525" t="s">
        <v>40</v>
      </c>
      <c r="C15525" t="s">
        <v>37</v>
      </c>
      <c r="D15525" t="s">
        <v>32</v>
      </c>
      <c r="E15525" t="s">
        <v>26</v>
      </c>
      <c r="F15525" t="s">
        <v>19</v>
      </c>
      <c r="G15525" s="1" t="str">
        <f t="shared" ref="G15525:M15529" si="3602">"X"</f>
        <v>X</v>
      </c>
      <c r="H15525" s="1" t="str">
        <f t="shared" si="3602"/>
        <v>X</v>
      </c>
      <c r="I15525" s="1" t="str">
        <f t="shared" si="3602"/>
        <v>X</v>
      </c>
      <c r="J15525" s="1" t="str">
        <f t="shared" si="3602"/>
        <v>X</v>
      </c>
      <c r="K15525" s="1" t="str">
        <f t="shared" si="3602"/>
        <v>X</v>
      </c>
      <c r="L15525" s="1" t="str">
        <f t="shared" si="3602"/>
        <v>X</v>
      </c>
      <c r="M15525" s="1" t="str">
        <f t="shared" si="3602"/>
        <v>X</v>
      </c>
      <c r="N15525" t="s">
        <v>27</v>
      </c>
    </row>
    <row r="15526" spans="1:14" x14ac:dyDescent="0.25">
      <c r="A15526" t="s">
        <v>45</v>
      </c>
      <c r="B15526" t="s">
        <v>40</v>
      </c>
      <c r="C15526" t="s">
        <v>37</v>
      </c>
      <c r="D15526" t="s">
        <v>32</v>
      </c>
      <c r="E15526" t="s">
        <v>26</v>
      </c>
      <c r="F15526" t="s">
        <v>20</v>
      </c>
      <c r="G15526" s="1" t="str">
        <f t="shared" si="3602"/>
        <v>X</v>
      </c>
      <c r="H15526" s="1" t="str">
        <f t="shared" si="3602"/>
        <v>X</v>
      </c>
      <c r="I15526" s="1" t="str">
        <f t="shared" si="3602"/>
        <v>X</v>
      </c>
      <c r="J15526" s="1" t="str">
        <f t="shared" si="3602"/>
        <v>X</v>
      </c>
      <c r="K15526" s="1" t="str">
        <f t="shared" si="3602"/>
        <v>X</v>
      </c>
      <c r="L15526" s="1" t="str">
        <f t="shared" si="3602"/>
        <v>X</v>
      </c>
      <c r="M15526" s="1" t="str">
        <f t="shared" si="3602"/>
        <v>X</v>
      </c>
      <c r="N15526" t="s">
        <v>27</v>
      </c>
    </row>
    <row r="15527" spans="1:14" x14ac:dyDescent="0.25">
      <c r="A15527" t="s">
        <v>45</v>
      </c>
      <c r="B15527" t="s">
        <v>40</v>
      </c>
      <c r="C15527" t="s">
        <v>37</v>
      </c>
      <c r="D15527" t="s">
        <v>33</v>
      </c>
      <c r="E15527" t="s">
        <v>15</v>
      </c>
      <c r="F15527" t="s">
        <v>15</v>
      </c>
      <c r="G15527" s="1" t="str">
        <f t="shared" si="3602"/>
        <v>X</v>
      </c>
      <c r="H15527" s="1" t="str">
        <f t="shared" si="3602"/>
        <v>X</v>
      </c>
      <c r="I15527" s="1" t="str">
        <f t="shared" si="3602"/>
        <v>X</v>
      </c>
      <c r="J15527" s="1" t="str">
        <f t="shared" si="3602"/>
        <v>X</v>
      </c>
      <c r="K15527" s="1" t="str">
        <f t="shared" si="3602"/>
        <v>X</v>
      </c>
      <c r="L15527" s="1" t="str">
        <f t="shared" si="3602"/>
        <v>X</v>
      </c>
      <c r="M15527" s="1" t="str">
        <f t="shared" si="3602"/>
        <v>X</v>
      </c>
      <c r="N15527" t="s">
        <v>27</v>
      </c>
    </row>
    <row r="15528" spans="1:14" x14ac:dyDescent="0.25">
      <c r="A15528" t="s">
        <v>45</v>
      </c>
      <c r="B15528" t="s">
        <v>40</v>
      </c>
      <c r="C15528" t="s">
        <v>37</v>
      </c>
      <c r="D15528" t="s">
        <v>33</v>
      </c>
      <c r="E15528" t="s">
        <v>15</v>
      </c>
      <c r="F15528" t="s">
        <v>17</v>
      </c>
      <c r="G15528" s="1" t="str">
        <f t="shared" si="3602"/>
        <v>X</v>
      </c>
      <c r="H15528" s="1" t="str">
        <f t="shared" si="3602"/>
        <v>X</v>
      </c>
      <c r="I15528" s="1" t="str">
        <f t="shared" si="3602"/>
        <v>X</v>
      </c>
      <c r="J15528" s="1" t="str">
        <f t="shared" si="3602"/>
        <v>X</v>
      </c>
      <c r="K15528" s="1" t="str">
        <f t="shared" si="3602"/>
        <v>X</v>
      </c>
      <c r="L15528" s="1" t="str">
        <f t="shared" si="3602"/>
        <v>X</v>
      </c>
      <c r="M15528" s="1" t="str">
        <f t="shared" si="3602"/>
        <v>X</v>
      </c>
      <c r="N15528" t="s">
        <v>27</v>
      </c>
    </row>
    <row r="15529" spans="1:14" x14ac:dyDescent="0.25">
      <c r="A15529" t="s">
        <v>45</v>
      </c>
      <c r="B15529" t="s">
        <v>40</v>
      </c>
      <c r="C15529" t="s">
        <v>37</v>
      </c>
      <c r="D15529" t="s">
        <v>33</v>
      </c>
      <c r="E15529" t="s">
        <v>15</v>
      </c>
      <c r="F15529" t="s">
        <v>18</v>
      </c>
      <c r="G15529" s="1" t="str">
        <f t="shared" si="3602"/>
        <v>X</v>
      </c>
      <c r="H15529" s="1" t="str">
        <f t="shared" si="3602"/>
        <v>X</v>
      </c>
      <c r="I15529" s="1" t="str">
        <f t="shared" si="3602"/>
        <v>X</v>
      </c>
      <c r="J15529" s="1" t="str">
        <f t="shared" si="3602"/>
        <v>X</v>
      </c>
      <c r="K15529" s="1" t="str">
        <f t="shared" si="3602"/>
        <v>X</v>
      </c>
      <c r="L15529" s="1" t="str">
        <f t="shared" si="3602"/>
        <v>X</v>
      </c>
      <c r="M15529" s="1" t="str">
        <f t="shared" si="3602"/>
        <v>X</v>
      </c>
      <c r="N15529" t="s">
        <v>27</v>
      </c>
    </row>
    <row r="15530" spans="1:14" x14ac:dyDescent="0.25">
      <c r="A15530" t="s">
        <v>45</v>
      </c>
      <c r="B15530" t="s">
        <v>40</v>
      </c>
      <c r="C15530" t="s">
        <v>37</v>
      </c>
      <c r="D15530" t="s">
        <v>33</v>
      </c>
      <c r="E15530" t="s">
        <v>15</v>
      </c>
      <c r="F15530" t="s">
        <v>19</v>
      </c>
      <c r="G15530" s="1" t="str">
        <f t="shared" ref="G15530:M15530" si="3603">"..."</f>
        <v>...</v>
      </c>
      <c r="H15530" s="1" t="str">
        <f t="shared" si="3603"/>
        <v>...</v>
      </c>
      <c r="I15530" s="1" t="str">
        <f t="shared" si="3603"/>
        <v>...</v>
      </c>
      <c r="J15530" s="1" t="str">
        <f t="shared" si="3603"/>
        <v>...</v>
      </c>
      <c r="K15530" s="1" t="str">
        <f t="shared" si="3603"/>
        <v>...</v>
      </c>
      <c r="L15530" s="1" t="str">
        <f t="shared" si="3603"/>
        <v>...</v>
      </c>
      <c r="M15530" s="1" t="str">
        <f t="shared" si="3603"/>
        <v>...</v>
      </c>
      <c r="N15530" t="s">
        <v>30</v>
      </c>
    </row>
    <row r="15531" spans="1:14" x14ac:dyDescent="0.25">
      <c r="A15531" t="s">
        <v>45</v>
      </c>
      <c r="B15531" t="s">
        <v>40</v>
      </c>
      <c r="C15531" t="s">
        <v>37</v>
      </c>
      <c r="D15531" t="s">
        <v>33</v>
      </c>
      <c r="E15531" t="s">
        <v>15</v>
      </c>
      <c r="F15531" t="s">
        <v>20</v>
      </c>
      <c r="G15531" s="1" t="str">
        <f t="shared" ref="G15531:M15534" si="3604">"X"</f>
        <v>X</v>
      </c>
      <c r="H15531" s="1" t="str">
        <f t="shared" si="3604"/>
        <v>X</v>
      </c>
      <c r="I15531" s="1" t="str">
        <f t="shared" si="3604"/>
        <v>X</v>
      </c>
      <c r="J15531" s="1" t="str">
        <f t="shared" si="3604"/>
        <v>X</v>
      </c>
      <c r="K15531" s="1" t="str">
        <f t="shared" si="3604"/>
        <v>X</v>
      </c>
      <c r="L15531" s="1" t="str">
        <f t="shared" si="3604"/>
        <v>X</v>
      </c>
      <c r="M15531" s="1" t="str">
        <f t="shared" si="3604"/>
        <v>X</v>
      </c>
      <c r="N15531" t="s">
        <v>27</v>
      </c>
    </row>
    <row r="15532" spans="1:14" x14ac:dyDescent="0.25">
      <c r="A15532" t="s">
        <v>45</v>
      </c>
      <c r="B15532" t="s">
        <v>40</v>
      </c>
      <c r="C15532" t="s">
        <v>37</v>
      </c>
      <c r="D15532" t="s">
        <v>33</v>
      </c>
      <c r="E15532" t="s">
        <v>21</v>
      </c>
      <c r="F15532" t="s">
        <v>15</v>
      </c>
      <c r="G15532" s="1" t="str">
        <f t="shared" si="3604"/>
        <v>X</v>
      </c>
      <c r="H15532" s="1" t="str">
        <f t="shared" si="3604"/>
        <v>X</v>
      </c>
      <c r="I15532" s="1" t="str">
        <f t="shared" si="3604"/>
        <v>X</v>
      </c>
      <c r="J15532" s="1" t="str">
        <f t="shared" si="3604"/>
        <v>X</v>
      </c>
      <c r="K15532" s="1" t="str">
        <f t="shared" si="3604"/>
        <v>X</v>
      </c>
      <c r="L15532" s="1" t="str">
        <f t="shared" si="3604"/>
        <v>X</v>
      </c>
      <c r="M15532" s="1" t="str">
        <f t="shared" si="3604"/>
        <v>X</v>
      </c>
      <c r="N15532" t="s">
        <v>27</v>
      </c>
    </row>
    <row r="15533" spans="1:14" x14ac:dyDescent="0.25">
      <c r="A15533" t="s">
        <v>45</v>
      </c>
      <c r="B15533" t="s">
        <v>40</v>
      </c>
      <c r="C15533" t="s">
        <v>37</v>
      </c>
      <c r="D15533" t="s">
        <v>33</v>
      </c>
      <c r="E15533" t="s">
        <v>21</v>
      </c>
      <c r="F15533" t="s">
        <v>17</v>
      </c>
      <c r="G15533" s="1" t="str">
        <f t="shared" si="3604"/>
        <v>X</v>
      </c>
      <c r="H15533" s="1" t="str">
        <f t="shared" si="3604"/>
        <v>X</v>
      </c>
      <c r="I15533" s="1" t="str">
        <f t="shared" si="3604"/>
        <v>X</v>
      </c>
      <c r="J15533" s="1" t="str">
        <f t="shared" si="3604"/>
        <v>X</v>
      </c>
      <c r="K15533" s="1" t="str">
        <f t="shared" si="3604"/>
        <v>X</v>
      </c>
      <c r="L15533" s="1" t="str">
        <f t="shared" si="3604"/>
        <v>X</v>
      </c>
      <c r="M15533" s="1" t="str">
        <f t="shared" si="3604"/>
        <v>X</v>
      </c>
      <c r="N15533" t="s">
        <v>27</v>
      </c>
    </row>
    <row r="15534" spans="1:14" x14ac:dyDescent="0.25">
      <c r="A15534" t="s">
        <v>45</v>
      </c>
      <c r="B15534" t="s">
        <v>40</v>
      </c>
      <c r="C15534" t="s">
        <v>37</v>
      </c>
      <c r="D15534" t="s">
        <v>33</v>
      </c>
      <c r="E15534" t="s">
        <v>21</v>
      </c>
      <c r="F15534" t="s">
        <v>18</v>
      </c>
      <c r="G15534" s="1" t="str">
        <f t="shared" si="3604"/>
        <v>X</v>
      </c>
      <c r="H15534" s="1" t="str">
        <f t="shared" si="3604"/>
        <v>X</v>
      </c>
      <c r="I15534" s="1" t="str">
        <f t="shared" si="3604"/>
        <v>X</v>
      </c>
      <c r="J15534" s="1" t="str">
        <f t="shared" si="3604"/>
        <v>X</v>
      </c>
      <c r="K15534" s="1" t="str">
        <f t="shared" si="3604"/>
        <v>X</v>
      </c>
      <c r="L15534" s="1" t="str">
        <f t="shared" si="3604"/>
        <v>X</v>
      </c>
      <c r="M15534" s="1" t="str">
        <f t="shared" si="3604"/>
        <v>X</v>
      </c>
      <c r="N15534" t="s">
        <v>27</v>
      </c>
    </row>
    <row r="15535" spans="1:14" x14ac:dyDescent="0.25">
      <c r="A15535" t="s">
        <v>45</v>
      </c>
      <c r="B15535" t="s">
        <v>40</v>
      </c>
      <c r="C15535" t="s">
        <v>37</v>
      </c>
      <c r="D15535" t="s">
        <v>33</v>
      </c>
      <c r="E15535" t="s">
        <v>21</v>
      </c>
      <c r="F15535" t="s">
        <v>19</v>
      </c>
      <c r="G15535" s="1" t="str">
        <f t="shared" ref="G15535:M15535" si="3605">"..."</f>
        <v>...</v>
      </c>
      <c r="H15535" s="1" t="str">
        <f t="shared" si="3605"/>
        <v>...</v>
      </c>
      <c r="I15535" s="1" t="str">
        <f t="shared" si="3605"/>
        <v>...</v>
      </c>
      <c r="J15535" s="1" t="str">
        <f t="shared" si="3605"/>
        <v>...</v>
      </c>
      <c r="K15535" s="1" t="str">
        <f t="shared" si="3605"/>
        <v>...</v>
      </c>
      <c r="L15535" s="1" t="str">
        <f t="shared" si="3605"/>
        <v>...</v>
      </c>
      <c r="M15535" s="1" t="str">
        <f t="shared" si="3605"/>
        <v>...</v>
      </c>
      <c r="N15535" t="s">
        <v>30</v>
      </c>
    </row>
    <row r="15536" spans="1:14" x14ac:dyDescent="0.25">
      <c r="A15536" t="s">
        <v>45</v>
      </c>
      <c r="B15536" t="s">
        <v>40</v>
      </c>
      <c r="C15536" t="s">
        <v>37</v>
      </c>
      <c r="D15536" t="s">
        <v>33</v>
      </c>
      <c r="E15536" t="s">
        <v>21</v>
      </c>
      <c r="F15536" t="s">
        <v>20</v>
      </c>
      <c r="G15536" s="1" t="str">
        <f t="shared" ref="G15536:M15537" si="3606">"X"</f>
        <v>X</v>
      </c>
      <c r="H15536" s="1" t="str">
        <f t="shared" si="3606"/>
        <v>X</v>
      </c>
      <c r="I15536" s="1" t="str">
        <f t="shared" si="3606"/>
        <v>X</v>
      </c>
      <c r="J15536" s="1" t="str">
        <f t="shared" si="3606"/>
        <v>X</v>
      </c>
      <c r="K15536" s="1" t="str">
        <f t="shared" si="3606"/>
        <v>X</v>
      </c>
      <c r="L15536" s="1" t="str">
        <f t="shared" si="3606"/>
        <v>X</v>
      </c>
      <c r="M15536" s="1" t="str">
        <f t="shared" si="3606"/>
        <v>X</v>
      </c>
      <c r="N15536" t="s">
        <v>27</v>
      </c>
    </row>
    <row r="15537" spans="1:14" x14ac:dyDescent="0.25">
      <c r="A15537" t="s">
        <v>45</v>
      </c>
      <c r="B15537" t="s">
        <v>40</v>
      </c>
      <c r="C15537" t="s">
        <v>37</v>
      </c>
      <c r="D15537" t="s">
        <v>33</v>
      </c>
      <c r="E15537" t="s">
        <v>22</v>
      </c>
      <c r="F15537" t="s">
        <v>15</v>
      </c>
      <c r="G15537" s="1" t="str">
        <f t="shared" si="3606"/>
        <v>X</v>
      </c>
      <c r="H15537" s="1" t="str">
        <f t="shared" si="3606"/>
        <v>X</v>
      </c>
      <c r="I15537" s="1" t="str">
        <f t="shared" si="3606"/>
        <v>X</v>
      </c>
      <c r="J15537" s="1" t="str">
        <f t="shared" si="3606"/>
        <v>X</v>
      </c>
      <c r="K15537" s="1" t="str">
        <f t="shared" si="3606"/>
        <v>X</v>
      </c>
      <c r="L15537" s="1" t="str">
        <f t="shared" si="3606"/>
        <v>X</v>
      </c>
      <c r="M15537" s="1" t="str">
        <f t="shared" si="3606"/>
        <v>X</v>
      </c>
      <c r="N15537" t="s">
        <v>27</v>
      </c>
    </row>
    <row r="15538" spans="1:14" x14ac:dyDescent="0.25">
      <c r="A15538" t="s">
        <v>45</v>
      </c>
      <c r="B15538" t="s">
        <v>40</v>
      </c>
      <c r="C15538" t="s">
        <v>37</v>
      </c>
      <c r="D15538" t="s">
        <v>33</v>
      </c>
      <c r="E15538" t="s">
        <v>22</v>
      </c>
      <c r="F15538" t="s">
        <v>17</v>
      </c>
      <c r="G15538" s="1" t="str">
        <f t="shared" ref="G15538:M15538" si="3607">"..."</f>
        <v>...</v>
      </c>
      <c r="H15538" s="1" t="str">
        <f t="shared" si="3607"/>
        <v>...</v>
      </c>
      <c r="I15538" s="1" t="str">
        <f t="shared" si="3607"/>
        <v>...</v>
      </c>
      <c r="J15538" s="1" t="str">
        <f t="shared" si="3607"/>
        <v>...</v>
      </c>
      <c r="K15538" s="1" t="str">
        <f t="shared" si="3607"/>
        <v>...</v>
      </c>
      <c r="L15538" s="1" t="str">
        <f t="shared" si="3607"/>
        <v>...</v>
      </c>
      <c r="M15538" s="1" t="str">
        <f t="shared" si="3607"/>
        <v>...</v>
      </c>
      <c r="N15538" t="s">
        <v>30</v>
      </c>
    </row>
    <row r="15539" spans="1:14" x14ac:dyDescent="0.25">
      <c r="A15539" t="s">
        <v>45</v>
      </c>
      <c r="B15539" t="s">
        <v>40</v>
      </c>
      <c r="C15539" t="s">
        <v>37</v>
      </c>
      <c r="D15539" t="s">
        <v>33</v>
      </c>
      <c r="E15539" t="s">
        <v>22</v>
      </c>
      <c r="F15539" t="s">
        <v>18</v>
      </c>
      <c r="G15539" s="1" t="str">
        <f t="shared" ref="G15539:M15539" si="3608">"X"</f>
        <v>X</v>
      </c>
      <c r="H15539" s="1" t="str">
        <f t="shared" si="3608"/>
        <v>X</v>
      </c>
      <c r="I15539" s="1" t="str">
        <f t="shared" si="3608"/>
        <v>X</v>
      </c>
      <c r="J15539" s="1" t="str">
        <f t="shared" si="3608"/>
        <v>X</v>
      </c>
      <c r="K15539" s="1" t="str">
        <f t="shared" si="3608"/>
        <v>X</v>
      </c>
      <c r="L15539" s="1" t="str">
        <f t="shared" si="3608"/>
        <v>X</v>
      </c>
      <c r="M15539" s="1" t="str">
        <f t="shared" si="3608"/>
        <v>X</v>
      </c>
      <c r="N15539" t="s">
        <v>27</v>
      </c>
    </row>
    <row r="15540" spans="1:14" x14ac:dyDescent="0.25">
      <c r="A15540" t="s">
        <v>45</v>
      </c>
      <c r="B15540" t="s">
        <v>40</v>
      </c>
      <c r="C15540" t="s">
        <v>37</v>
      </c>
      <c r="D15540" t="s">
        <v>33</v>
      </c>
      <c r="E15540" t="s">
        <v>22</v>
      </c>
      <c r="F15540" t="s">
        <v>19</v>
      </c>
      <c r="G15540" s="1" t="str">
        <f t="shared" ref="G15540:M15540" si="3609">"..."</f>
        <v>...</v>
      </c>
      <c r="H15540" s="1" t="str">
        <f t="shared" si="3609"/>
        <v>...</v>
      </c>
      <c r="I15540" s="1" t="str">
        <f t="shared" si="3609"/>
        <v>...</v>
      </c>
      <c r="J15540" s="1" t="str">
        <f t="shared" si="3609"/>
        <v>...</v>
      </c>
      <c r="K15540" s="1" t="str">
        <f t="shared" si="3609"/>
        <v>...</v>
      </c>
      <c r="L15540" s="1" t="str">
        <f t="shared" si="3609"/>
        <v>...</v>
      </c>
      <c r="M15540" s="1" t="str">
        <f t="shared" si="3609"/>
        <v>...</v>
      </c>
      <c r="N15540" t="s">
        <v>30</v>
      </c>
    </row>
    <row r="15541" spans="1:14" x14ac:dyDescent="0.25">
      <c r="A15541" t="s">
        <v>45</v>
      </c>
      <c r="B15541" t="s">
        <v>40</v>
      </c>
      <c r="C15541" t="s">
        <v>37</v>
      </c>
      <c r="D15541" t="s">
        <v>33</v>
      </c>
      <c r="E15541" t="s">
        <v>22</v>
      </c>
      <c r="F15541" t="s">
        <v>20</v>
      </c>
      <c r="G15541" s="1" t="str">
        <f t="shared" ref="G15541:M15542" si="3610">"X"</f>
        <v>X</v>
      </c>
      <c r="H15541" s="1" t="str">
        <f t="shared" si="3610"/>
        <v>X</v>
      </c>
      <c r="I15541" s="1" t="str">
        <f t="shared" si="3610"/>
        <v>X</v>
      </c>
      <c r="J15541" s="1" t="str">
        <f t="shared" si="3610"/>
        <v>X</v>
      </c>
      <c r="K15541" s="1" t="str">
        <f t="shared" si="3610"/>
        <v>X</v>
      </c>
      <c r="L15541" s="1" t="str">
        <f t="shared" si="3610"/>
        <v>X</v>
      </c>
      <c r="M15541" s="1" t="str">
        <f t="shared" si="3610"/>
        <v>X</v>
      </c>
      <c r="N15541" t="s">
        <v>27</v>
      </c>
    </row>
    <row r="15542" spans="1:14" x14ac:dyDescent="0.25">
      <c r="A15542" t="s">
        <v>45</v>
      </c>
      <c r="B15542" t="s">
        <v>40</v>
      </c>
      <c r="C15542" t="s">
        <v>37</v>
      </c>
      <c r="D15542" t="s">
        <v>33</v>
      </c>
      <c r="E15542" t="s">
        <v>23</v>
      </c>
      <c r="F15542" t="s">
        <v>15</v>
      </c>
      <c r="G15542" s="1" t="str">
        <f t="shared" si="3610"/>
        <v>X</v>
      </c>
      <c r="H15542" s="1" t="str">
        <f t="shared" si="3610"/>
        <v>X</v>
      </c>
      <c r="I15542" s="1" t="str">
        <f t="shared" si="3610"/>
        <v>X</v>
      </c>
      <c r="J15542" s="1" t="str">
        <f t="shared" si="3610"/>
        <v>X</v>
      </c>
      <c r="K15542" s="1" t="str">
        <f t="shared" si="3610"/>
        <v>X</v>
      </c>
      <c r="L15542" s="1" t="str">
        <f t="shared" si="3610"/>
        <v>X</v>
      </c>
      <c r="M15542" s="1" t="str">
        <f t="shared" si="3610"/>
        <v>X</v>
      </c>
      <c r="N15542" t="s">
        <v>27</v>
      </c>
    </row>
    <row r="15543" spans="1:14" x14ac:dyDescent="0.25">
      <c r="A15543" t="s">
        <v>45</v>
      </c>
      <c r="B15543" t="s">
        <v>40</v>
      </c>
      <c r="C15543" t="s">
        <v>37</v>
      </c>
      <c r="D15543" t="s">
        <v>33</v>
      </c>
      <c r="E15543" t="s">
        <v>23</v>
      </c>
      <c r="F15543" t="s">
        <v>17</v>
      </c>
      <c r="G15543" s="1" t="str">
        <f t="shared" ref="G15543:M15545" si="3611">"..."</f>
        <v>...</v>
      </c>
      <c r="H15543" s="1" t="str">
        <f t="shared" si="3611"/>
        <v>...</v>
      </c>
      <c r="I15543" s="1" t="str">
        <f t="shared" si="3611"/>
        <v>...</v>
      </c>
      <c r="J15543" s="1" t="str">
        <f t="shared" si="3611"/>
        <v>...</v>
      </c>
      <c r="K15543" s="1" t="str">
        <f t="shared" si="3611"/>
        <v>...</v>
      </c>
      <c r="L15543" s="1" t="str">
        <f t="shared" si="3611"/>
        <v>...</v>
      </c>
      <c r="M15543" s="1" t="str">
        <f t="shared" si="3611"/>
        <v>...</v>
      </c>
      <c r="N15543" t="s">
        <v>30</v>
      </c>
    </row>
    <row r="15544" spans="1:14" x14ac:dyDescent="0.25">
      <c r="A15544" t="s">
        <v>45</v>
      </c>
      <c r="B15544" t="s">
        <v>40</v>
      </c>
      <c r="C15544" t="s">
        <v>37</v>
      </c>
      <c r="D15544" t="s">
        <v>33</v>
      </c>
      <c r="E15544" t="s">
        <v>23</v>
      </c>
      <c r="F15544" t="s">
        <v>18</v>
      </c>
      <c r="G15544" s="1" t="str">
        <f t="shared" si="3611"/>
        <v>...</v>
      </c>
      <c r="H15544" s="1" t="str">
        <f t="shared" si="3611"/>
        <v>...</v>
      </c>
      <c r="I15544" s="1" t="str">
        <f t="shared" si="3611"/>
        <v>...</v>
      </c>
      <c r="J15544" s="1" t="str">
        <f t="shared" si="3611"/>
        <v>...</v>
      </c>
      <c r="K15544" s="1" t="str">
        <f t="shared" si="3611"/>
        <v>...</v>
      </c>
      <c r="L15544" s="1" t="str">
        <f t="shared" si="3611"/>
        <v>...</v>
      </c>
      <c r="M15544" s="1" t="str">
        <f t="shared" si="3611"/>
        <v>...</v>
      </c>
      <c r="N15544" t="s">
        <v>30</v>
      </c>
    </row>
    <row r="15545" spans="1:14" x14ac:dyDescent="0.25">
      <c r="A15545" t="s">
        <v>45</v>
      </c>
      <c r="B15545" t="s">
        <v>40</v>
      </c>
      <c r="C15545" t="s">
        <v>37</v>
      </c>
      <c r="D15545" t="s">
        <v>33</v>
      </c>
      <c r="E15545" t="s">
        <v>23</v>
      </c>
      <c r="F15545" t="s">
        <v>19</v>
      </c>
      <c r="G15545" s="1" t="str">
        <f t="shared" si="3611"/>
        <v>...</v>
      </c>
      <c r="H15545" s="1" t="str">
        <f t="shared" si="3611"/>
        <v>...</v>
      </c>
      <c r="I15545" s="1" t="str">
        <f t="shared" si="3611"/>
        <v>...</v>
      </c>
      <c r="J15545" s="1" t="str">
        <f t="shared" si="3611"/>
        <v>...</v>
      </c>
      <c r="K15545" s="1" t="str">
        <f t="shared" si="3611"/>
        <v>...</v>
      </c>
      <c r="L15545" s="1" t="str">
        <f t="shared" si="3611"/>
        <v>...</v>
      </c>
      <c r="M15545" s="1" t="str">
        <f t="shared" si="3611"/>
        <v>...</v>
      </c>
      <c r="N15545" t="s">
        <v>30</v>
      </c>
    </row>
    <row r="15546" spans="1:14" x14ac:dyDescent="0.25">
      <c r="A15546" t="s">
        <v>45</v>
      </c>
      <c r="B15546" t="s">
        <v>40</v>
      </c>
      <c r="C15546" t="s">
        <v>37</v>
      </c>
      <c r="D15546" t="s">
        <v>33</v>
      </c>
      <c r="E15546" t="s">
        <v>23</v>
      </c>
      <c r="F15546" t="s">
        <v>20</v>
      </c>
      <c r="G15546" s="1" t="str">
        <f t="shared" ref="G15546:M15546" si="3612">"X"</f>
        <v>X</v>
      </c>
      <c r="H15546" s="1" t="str">
        <f t="shared" si="3612"/>
        <v>X</v>
      </c>
      <c r="I15546" s="1" t="str">
        <f t="shared" si="3612"/>
        <v>X</v>
      </c>
      <c r="J15546" s="1" t="str">
        <f t="shared" si="3612"/>
        <v>X</v>
      </c>
      <c r="K15546" s="1" t="str">
        <f t="shared" si="3612"/>
        <v>X</v>
      </c>
      <c r="L15546" s="1" t="str">
        <f t="shared" si="3612"/>
        <v>X</v>
      </c>
      <c r="M15546" s="1" t="str">
        <f t="shared" si="3612"/>
        <v>X</v>
      </c>
      <c r="N15546" t="s">
        <v>27</v>
      </c>
    </row>
    <row r="15547" spans="1:14" x14ac:dyDescent="0.25">
      <c r="A15547" t="s">
        <v>45</v>
      </c>
      <c r="B15547" t="s">
        <v>40</v>
      </c>
      <c r="C15547" t="s">
        <v>37</v>
      </c>
      <c r="D15547" t="s">
        <v>33</v>
      </c>
      <c r="E15547" t="s">
        <v>26</v>
      </c>
      <c r="F15547" t="s">
        <v>15</v>
      </c>
      <c r="G15547" s="1" t="str">
        <f t="shared" ref="G15547:M15551" si="3613">"..."</f>
        <v>...</v>
      </c>
      <c r="H15547" s="1" t="str">
        <f t="shared" si="3613"/>
        <v>...</v>
      </c>
      <c r="I15547" s="1" t="str">
        <f t="shared" si="3613"/>
        <v>...</v>
      </c>
      <c r="J15547" s="1" t="str">
        <f t="shared" si="3613"/>
        <v>...</v>
      </c>
      <c r="K15547" s="1" t="str">
        <f t="shared" si="3613"/>
        <v>...</v>
      </c>
      <c r="L15547" s="1" t="str">
        <f t="shared" si="3613"/>
        <v>...</v>
      </c>
      <c r="M15547" s="1" t="str">
        <f t="shared" si="3613"/>
        <v>...</v>
      </c>
      <c r="N15547" t="s">
        <v>30</v>
      </c>
    </row>
    <row r="15548" spans="1:14" x14ac:dyDescent="0.25">
      <c r="A15548" t="s">
        <v>45</v>
      </c>
      <c r="B15548" t="s">
        <v>40</v>
      </c>
      <c r="C15548" t="s">
        <v>37</v>
      </c>
      <c r="D15548" t="s">
        <v>33</v>
      </c>
      <c r="E15548" t="s">
        <v>26</v>
      </c>
      <c r="F15548" t="s">
        <v>17</v>
      </c>
      <c r="G15548" s="1" t="str">
        <f t="shared" si="3613"/>
        <v>...</v>
      </c>
      <c r="H15548" s="1" t="str">
        <f t="shared" si="3613"/>
        <v>...</v>
      </c>
      <c r="I15548" s="1" t="str">
        <f t="shared" si="3613"/>
        <v>...</v>
      </c>
      <c r="J15548" s="1" t="str">
        <f t="shared" si="3613"/>
        <v>...</v>
      </c>
      <c r="K15548" s="1" t="str">
        <f t="shared" si="3613"/>
        <v>...</v>
      </c>
      <c r="L15548" s="1" t="str">
        <f t="shared" si="3613"/>
        <v>...</v>
      </c>
      <c r="M15548" s="1" t="str">
        <f t="shared" si="3613"/>
        <v>...</v>
      </c>
      <c r="N15548" t="s">
        <v>30</v>
      </c>
    </row>
    <row r="15549" spans="1:14" x14ac:dyDescent="0.25">
      <c r="A15549" t="s">
        <v>45</v>
      </c>
      <c r="B15549" t="s">
        <v>40</v>
      </c>
      <c r="C15549" t="s">
        <v>37</v>
      </c>
      <c r="D15549" t="s">
        <v>33</v>
      </c>
      <c r="E15549" t="s">
        <v>26</v>
      </c>
      <c r="F15549" t="s">
        <v>18</v>
      </c>
      <c r="G15549" s="1" t="str">
        <f t="shared" si="3613"/>
        <v>...</v>
      </c>
      <c r="H15549" s="1" t="str">
        <f t="shared" si="3613"/>
        <v>...</v>
      </c>
      <c r="I15549" s="1" t="str">
        <f t="shared" si="3613"/>
        <v>...</v>
      </c>
      <c r="J15549" s="1" t="str">
        <f t="shared" si="3613"/>
        <v>...</v>
      </c>
      <c r="K15549" s="1" t="str">
        <f t="shared" si="3613"/>
        <v>...</v>
      </c>
      <c r="L15549" s="1" t="str">
        <f t="shared" si="3613"/>
        <v>...</v>
      </c>
      <c r="M15549" s="1" t="str">
        <f t="shared" si="3613"/>
        <v>...</v>
      </c>
      <c r="N15549" t="s">
        <v>30</v>
      </c>
    </row>
    <row r="15550" spans="1:14" x14ac:dyDescent="0.25">
      <c r="A15550" t="s">
        <v>45</v>
      </c>
      <c r="B15550" t="s">
        <v>40</v>
      </c>
      <c r="C15550" t="s">
        <v>37</v>
      </c>
      <c r="D15550" t="s">
        <v>33</v>
      </c>
      <c r="E15550" t="s">
        <v>26</v>
      </c>
      <c r="F15550" t="s">
        <v>19</v>
      </c>
      <c r="G15550" s="1" t="str">
        <f t="shared" si="3613"/>
        <v>...</v>
      </c>
      <c r="H15550" s="1" t="str">
        <f t="shared" si="3613"/>
        <v>...</v>
      </c>
      <c r="I15550" s="1" t="str">
        <f t="shared" si="3613"/>
        <v>...</v>
      </c>
      <c r="J15550" s="1" t="str">
        <f t="shared" si="3613"/>
        <v>...</v>
      </c>
      <c r="K15550" s="1" t="str">
        <f t="shared" si="3613"/>
        <v>...</v>
      </c>
      <c r="L15550" s="1" t="str">
        <f t="shared" si="3613"/>
        <v>...</v>
      </c>
      <c r="M15550" s="1" t="str">
        <f t="shared" si="3613"/>
        <v>...</v>
      </c>
      <c r="N15550" t="s">
        <v>30</v>
      </c>
    </row>
    <row r="15551" spans="1:14" x14ac:dyDescent="0.25">
      <c r="A15551" t="s">
        <v>45</v>
      </c>
      <c r="B15551" t="s">
        <v>40</v>
      </c>
      <c r="C15551" t="s">
        <v>37</v>
      </c>
      <c r="D15551" t="s">
        <v>33</v>
      </c>
      <c r="E15551" t="s">
        <v>26</v>
      </c>
      <c r="F15551" t="s">
        <v>20</v>
      </c>
      <c r="G15551" s="1" t="str">
        <f t="shared" si="3613"/>
        <v>...</v>
      </c>
      <c r="H15551" s="1" t="str">
        <f t="shared" si="3613"/>
        <v>...</v>
      </c>
      <c r="I15551" s="1" t="str">
        <f t="shared" si="3613"/>
        <v>...</v>
      </c>
      <c r="J15551" s="1" t="str">
        <f t="shared" si="3613"/>
        <v>...</v>
      </c>
      <c r="K15551" s="1" t="str">
        <f t="shared" si="3613"/>
        <v>...</v>
      </c>
      <c r="L15551" s="1" t="str">
        <f t="shared" si="3613"/>
        <v>...</v>
      </c>
      <c r="M15551" s="1" t="str">
        <f t="shared" si="3613"/>
        <v>...</v>
      </c>
      <c r="N15551" t="s">
        <v>30</v>
      </c>
    </row>
    <row r="15552" spans="1:14" x14ac:dyDescent="0.25">
      <c r="A15552" t="s">
        <v>45</v>
      </c>
      <c r="B15552" t="s">
        <v>40</v>
      </c>
      <c r="C15552" t="s">
        <v>37</v>
      </c>
      <c r="D15552" t="s">
        <v>34</v>
      </c>
      <c r="E15552" t="s">
        <v>15</v>
      </c>
      <c r="F15552" t="s">
        <v>15</v>
      </c>
      <c r="G15552" s="1" t="str">
        <f t="shared" ref="G15552:M15552" si="3614">"X"</f>
        <v>X</v>
      </c>
      <c r="H15552" s="1" t="str">
        <f t="shared" si="3614"/>
        <v>X</v>
      </c>
      <c r="I15552" s="1" t="str">
        <f t="shared" si="3614"/>
        <v>X</v>
      </c>
      <c r="J15552" s="1" t="str">
        <f t="shared" si="3614"/>
        <v>X</v>
      </c>
      <c r="K15552" s="1" t="str">
        <f t="shared" si="3614"/>
        <v>X</v>
      </c>
      <c r="L15552" s="1" t="str">
        <f t="shared" si="3614"/>
        <v>X</v>
      </c>
      <c r="M15552" s="1" t="str">
        <f t="shared" si="3614"/>
        <v>X</v>
      </c>
      <c r="N15552" t="s">
        <v>27</v>
      </c>
    </row>
    <row r="15553" spans="1:14" x14ac:dyDescent="0.25">
      <c r="A15553" t="s">
        <v>45</v>
      </c>
      <c r="B15553" t="s">
        <v>40</v>
      </c>
      <c r="C15553" t="s">
        <v>37</v>
      </c>
      <c r="D15553" t="s">
        <v>34</v>
      </c>
      <c r="E15553" t="s">
        <v>15</v>
      </c>
      <c r="F15553" t="s">
        <v>17</v>
      </c>
      <c r="G15553" s="1" t="str">
        <f t="shared" ref="G15553:M15553" si="3615">"..."</f>
        <v>...</v>
      </c>
      <c r="H15553" s="1" t="str">
        <f t="shared" si="3615"/>
        <v>...</v>
      </c>
      <c r="I15553" s="1" t="str">
        <f t="shared" si="3615"/>
        <v>...</v>
      </c>
      <c r="J15553" s="1" t="str">
        <f t="shared" si="3615"/>
        <v>...</v>
      </c>
      <c r="K15553" s="1" t="str">
        <f t="shared" si="3615"/>
        <v>...</v>
      </c>
      <c r="L15553" s="1" t="str">
        <f t="shared" si="3615"/>
        <v>...</v>
      </c>
      <c r="M15553" s="1" t="str">
        <f t="shared" si="3615"/>
        <v>...</v>
      </c>
      <c r="N15553" t="s">
        <v>30</v>
      </c>
    </row>
    <row r="15554" spans="1:14" x14ac:dyDescent="0.25">
      <c r="A15554" t="s">
        <v>45</v>
      </c>
      <c r="B15554" t="s">
        <v>40</v>
      </c>
      <c r="C15554" t="s">
        <v>37</v>
      </c>
      <c r="D15554" t="s">
        <v>34</v>
      </c>
      <c r="E15554" t="s">
        <v>15</v>
      </c>
      <c r="F15554" t="s">
        <v>18</v>
      </c>
      <c r="G15554" s="1" t="str">
        <f t="shared" ref="G15554:M15557" si="3616">"X"</f>
        <v>X</v>
      </c>
      <c r="H15554" s="1" t="str">
        <f t="shared" si="3616"/>
        <v>X</v>
      </c>
      <c r="I15554" s="1" t="str">
        <f t="shared" si="3616"/>
        <v>X</v>
      </c>
      <c r="J15554" s="1" t="str">
        <f t="shared" si="3616"/>
        <v>X</v>
      </c>
      <c r="K15554" s="1" t="str">
        <f t="shared" si="3616"/>
        <v>X</v>
      </c>
      <c r="L15554" s="1" t="str">
        <f t="shared" si="3616"/>
        <v>X</v>
      </c>
      <c r="M15554" s="1" t="str">
        <f t="shared" si="3616"/>
        <v>X</v>
      </c>
      <c r="N15554" t="s">
        <v>27</v>
      </c>
    </row>
    <row r="15555" spans="1:14" x14ac:dyDescent="0.25">
      <c r="A15555" t="s">
        <v>45</v>
      </c>
      <c r="B15555" t="s">
        <v>40</v>
      </c>
      <c r="C15555" t="s">
        <v>37</v>
      </c>
      <c r="D15555" t="s">
        <v>34</v>
      </c>
      <c r="E15555" t="s">
        <v>15</v>
      </c>
      <c r="F15555" t="s">
        <v>19</v>
      </c>
      <c r="G15555" s="1" t="str">
        <f t="shared" si="3616"/>
        <v>X</v>
      </c>
      <c r="H15555" s="1" t="str">
        <f t="shared" si="3616"/>
        <v>X</v>
      </c>
      <c r="I15555" s="1" t="str">
        <f t="shared" si="3616"/>
        <v>X</v>
      </c>
      <c r="J15555" s="1" t="str">
        <f t="shared" si="3616"/>
        <v>X</v>
      </c>
      <c r="K15555" s="1" t="str">
        <f t="shared" si="3616"/>
        <v>X</v>
      </c>
      <c r="L15555" s="1" t="str">
        <f t="shared" si="3616"/>
        <v>X</v>
      </c>
      <c r="M15555" s="1" t="str">
        <f t="shared" si="3616"/>
        <v>X</v>
      </c>
      <c r="N15555" t="s">
        <v>27</v>
      </c>
    </row>
    <row r="15556" spans="1:14" x14ac:dyDescent="0.25">
      <c r="A15556" t="s">
        <v>45</v>
      </c>
      <c r="B15556" t="s">
        <v>40</v>
      </c>
      <c r="C15556" t="s">
        <v>37</v>
      </c>
      <c r="D15556" t="s">
        <v>34</v>
      </c>
      <c r="E15556" t="s">
        <v>15</v>
      </c>
      <c r="F15556" t="s">
        <v>20</v>
      </c>
      <c r="G15556" s="1" t="str">
        <f t="shared" si="3616"/>
        <v>X</v>
      </c>
      <c r="H15556" s="1" t="str">
        <f t="shared" si="3616"/>
        <v>X</v>
      </c>
      <c r="I15556" s="1" t="str">
        <f t="shared" si="3616"/>
        <v>X</v>
      </c>
      <c r="J15556" s="1" t="str">
        <f t="shared" si="3616"/>
        <v>X</v>
      </c>
      <c r="K15556" s="1" t="str">
        <f t="shared" si="3616"/>
        <v>X</v>
      </c>
      <c r="L15556" s="1" t="str">
        <f t="shared" si="3616"/>
        <v>X</v>
      </c>
      <c r="M15556" s="1" t="str">
        <f t="shared" si="3616"/>
        <v>X</v>
      </c>
      <c r="N15556" t="s">
        <v>27</v>
      </c>
    </row>
    <row r="15557" spans="1:14" x14ac:dyDescent="0.25">
      <c r="A15557" t="s">
        <v>45</v>
      </c>
      <c r="B15557" t="s">
        <v>40</v>
      </c>
      <c r="C15557" t="s">
        <v>37</v>
      </c>
      <c r="D15557" t="s">
        <v>34</v>
      </c>
      <c r="E15557" t="s">
        <v>21</v>
      </c>
      <c r="F15557" t="s">
        <v>15</v>
      </c>
      <c r="G15557" s="1" t="str">
        <f t="shared" si="3616"/>
        <v>X</v>
      </c>
      <c r="H15557" s="1" t="str">
        <f t="shared" si="3616"/>
        <v>X</v>
      </c>
      <c r="I15557" s="1" t="str">
        <f t="shared" si="3616"/>
        <v>X</v>
      </c>
      <c r="J15557" s="1" t="str">
        <f t="shared" si="3616"/>
        <v>X</v>
      </c>
      <c r="K15557" s="1" t="str">
        <f t="shared" si="3616"/>
        <v>X</v>
      </c>
      <c r="L15557" s="1" t="str">
        <f t="shared" si="3616"/>
        <v>X</v>
      </c>
      <c r="M15557" s="1" t="str">
        <f t="shared" si="3616"/>
        <v>X</v>
      </c>
      <c r="N15557" t="s">
        <v>27</v>
      </c>
    </row>
    <row r="15558" spans="1:14" x14ac:dyDescent="0.25">
      <c r="A15558" t="s">
        <v>45</v>
      </c>
      <c r="B15558" t="s">
        <v>40</v>
      </c>
      <c r="C15558" t="s">
        <v>37</v>
      </c>
      <c r="D15558" t="s">
        <v>34</v>
      </c>
      <c r="E15558" t="s">
        <v>21</v>
      </c>
      <c r="F15558" t="s">
        <v>17</v>
      </c>
      <c r="G15558" s="1" t="str">
        <f t="shared" ref="G15558:M15558" si="3617">"..."</f>
        <v>...</v>
      </c>
      <c r="H15558" s="1" t="str">
        <f t="shared" si="3617"/>
        <v>...</v>
      </c>
      <c r="I15558" s="1" t="str">
        <f t="shared" si="3617"/>
        <v>...</v>
      </c>
      <c r="J15558" s="1" t="str">
        <f t="shared" si="3617"/>
        <v>...</v>
      </c>
      <c r="K15558" s="1" t="str">
        <f t="shared" si="3617"/>
        <v>...</v>
      </c>
      <c r="L15558" s="1" t="str">
        <f t="shared" si="3617"/>
        <v>...</v>
      </c>
      <c r="M15558" s="1" t="str">
        <f t="shared" si="3617"/>
        <v>...</v>
      </c>
      <c r="N15558" t="s">
        <v>30</v>
      </c>
    </row>
    <row r="15559" spans="1:14" x14ac:dyDescent="0.25">
      <c r="A15559" t="s">
        <v>45</v>
      </c>
      <c r="B15559" t="s">
        <v>40</v>
      </c>
      <c r="C15559" t="s">
        <v>37</v>
      </c>
      <c r="D15559" t="s">
        <v>34</v>
      </c>
      <c r="E15559" t="s">
        <v>21</v>
      </c>
      <c r="F15559" t="s">
        <v>18</v>
      </c>
      <c r="G15559" s="1" t="str">
        <f t="shared" ref="G15559:M15562" si="3618">"X"</f>
        <v>X</v>
      </c>
      <c r="H15559" s="1" t="str">
        <f t="shared" si="3618"/>
        <v>X</v>
      </c>
      <c r="I15559" s="1" t="str">
        <f t="shared" si="3618"/>
        <v>X</v>
      </c>
      <c r="J15559" s="1" t="str">
        <f t="shared" si="3618"/>
        <v>X</v>
      </c>
      <c r="K15559" s="1" t="str">
        <f t="shared" si="3618"/>
        <v>X</v>
      </c>
      <c r="L15559" s="1" t="str">
        <f t="shared" si="3618"/>
        <v>X</v>
      </c>
      <c r="M15559" s="1" t="str">
        <f t="shared" si="3618"/>
        <v>X</v>
      </c>
      <c r="N15559" t="s">
        <v>27</v>
      </c>
    </row>
    <row r="15560" spans="1:14" x14ac:dyDescent="0.25">
      <c r="A15560" t="s">
        <v>45</v>
      </c>
      <c r="B15560" t="s">
        <v>40</v>
      </c>
      <c r="C15560" t="s">
        <v>37</v>
      </c>
      <c r="D15560" t="s">
        <v>34</v>
      </c>
      <c r="E15560" t="s">
        <v>21</v>
      </c>
      <c r="F15560" t="s">
        <v>19</v>
      </c>
      <c r="G15560" s="1" t="str">
        <f t="shared" si="3618"/>
        <v>X</v>
      </c>
      <c r="H15560" s="1" t="str">
        <f t="shared" si="3618"/>
        <v>X</v>
      </c>
      <c r="I15560" s="1" t="str">
        <f t="shared" si="3618"/>
        <v>X</v>
      </c>
      <c r="J15560" s="1" t="str">
        <f t="shared" si="3618"/>
        <v>X</v>
      </c>
      <c r="K15560" s="1" t="str">
        <f t="shared" si="3618"/>
        <v>X</v>
      </c>
      <c r="L15560" s="1" t="str">
        <f t="shared" si="3618"/>
        <v>X</v>
      </c>
      <c r="M15560" s="1" t="str">
        <f t="shared" si="3618"/>
        <v>X</v>
      </c>
      <c r="N15560" t="s">
        <v>27</v>
      </c>
    </row>
    <row r="15561" spans="1:14" x14ac:dyDescent="0.25">
      <c r="A15561" t="s">
        <v>45</v>
      </c>
      <c r="B15561" t="s">
        <v>40</v>
      </c>
      <c r="C15561" t="s">
        <v>37</v>
      </c>
      <c r="D15561" t="s">
        <v>34</v>
      </c>
      <c r="E15561" t="s">
        <v>21</v>
      </c>
      <c r="F15561" t="s">
        <v>20</v>
      </c>
      <c r="G15561" s="1" t="str">
        <f t="shared" si="3618"/>
        <v>X</v>
      </c>
      <c r="H15561" s="1" t="str">
        <f t="shared" si="3618"/>
        <v>X</v>
      </c>
      <c r="I15561" s="1" t="str">
        <f t="shared" si="3618"/>
        <v>X</v>
      </c>
      <c r="J15561" s="1" t="str">
        <f t="shared" si="3618"/>
        <v>X</v>
      </c>
      <c r="K15561" s="1" t="str">
        <f t="shared" si="3618"/>
        <v>X</v>
      </c>
      <c r="L15561" s="1" t="str">
        <f t="shared" si="3618"/>
        <v>X</v>
      </c>
      <c r="M15561" s="1" t="str">
        <f t="shared" si="3618"/>
        <v>X</v>
      </c>
      <c r="N15561" t="s">
        <v>27</v>
      </c>
    </row>
    <row r="15562" spans="1:14" x14ac:dyDescent="0.25">
      <c r="A15562" t="s">
        <v>45</v>
      </c>
      <c r="B15562" t="s">
        <v>40</v>
      </c>
      <c r="C15562" t="s">
        <v>37</v>
      </c>
      <c r="D15562" t="s">
        <v>34</v>
      </c>
      <c r="E15562" t="s">
        <v>22</v>
      </c>
      <c r="F15562" t="s">
        <v>15</v>
      </c>
      <c r="G15562" s="1" t="str">
        <f t="shared" si="3618"/>
        <v>X</v>
      </c>
      <c r="H15562" s="1" t="str">
        <f t="shared" si="3618"/>
        <v>X</v>
      </c>
      <c r="I15562" s="1" t="str">
        <f t="shared" si="3618"/>
        <v>X</v>
      </c>
      <c r="J15562" s="1" t="str">
        <f t="shared" si="3618"/>
        <v>X</v>
      </c>
      <c r="K15562" s="1" t="str">
        <f t="shared" si="3618"/>
        <v>X</v>
      </c>
      <c r="L15562" s="1" t="str">
        <f t="shared" si="3618"/>
        <v>X</v>
      </c>
      <c r="M15562" s="1" t="str">
        <f t="shared" si="3618"/>
        <v>X</v>
      </c>
      <c r="N15562" t="s">
        <v>27</v>
      </c>
    </row>
    <row r="15563" spans="1:14" x14ac:dyDescent="0.25">
      <c r="A15563" t="s">
        <v>45</v>
      </c>
      <c r="B15563" t="s">
        <v>40</v>
      </c>
      <c r="C15563" t="s">
        <v>37</v>
      </c>
      <c r="D15563" t="s">
        <v>34</v>
      </c>
      <c r="E15563" t="s">
        <v>22</v>
      </c>
      <c r="F15563" t="s">
        <v>17</v>
      </c>
      <c r="G15563" s="1" t="str">
        <f t="shared" ref="G15563:M15563" si="3619">"..."</f>
        <v>...</v>
      </c>
      <c r="H15563" s="1" t="str">
        <f t="shared" si="3619"/>
        <v>...</v>
      </c>
      <c r="I15563" s="1" t="str">
        <f t="shared" si="3619"/>
        <v>...</v>
      </c>
      <c r="J15563" s="1" t="str">
        <f t="shared" si="3619"/>
        <v>...</v>
      </c>
      <c r="K15563" s="1" t="str">
        <f t="shared" si="3619"/>
        <v>...</v>
      </c>
      <c r="L15563" s="1" t="str">
        <f t="shared" si="3619"/>
        <v>...</v>
      </c>
      <c r="M15563" s="1" t="str">
        <f t="shared" si="3619"/>
        <v>...</v>
      </c>
      <c r="N15563" t="s">
        <v>30</v>
      </c>
    </row>
    <row r="15564" spans="1:14" x14ac:dyDescent="0.25">
      <c r="A15564" t="s">
        <v>45</v>
      </c>
      <c r="B15564" t="s">
        <v>40</v>
      </c>
      <c r="C15564" t="s">
        <v>37</v>
      </c>
      <c r="D15564" t="s">
        <v>34</v>
      </c>
      <c r="E15564" t="s">
        <v>22</v>
      </c>
      <c r="F15564" t="s">
        <v>18</v>
      </c>
      <c r="G15564" s="1" t="str">
        <f t="shared" ref="G15564:M15564" si="3620">"X"</f>
        <v>X</v>
      </c>
      <c r="H15564" s="1" t="str">
        <f t="shared" si="3620"/>
        <v>X</v>
      </c>
      <c r="I15564" s="1" t="str">
        <f t="shared" si="3620"/>
        <v>X</v>
      </c>
      <c r="J15564" s="1" t="str">
        <f t="shared" si="3620"/>
        <v>X</v>
      </c>
      <c r="K15564" s="1" t="str">
        <f t="shared" si="3620"/>
        <v>X</v>
      </c>
      <c r="L15564" s="1" t="str">
        <f t="shared" si="3620"/>
        <v>X</v>
      </c>
      <c r="M15564" s="1" t="str">
        <f t="shared" si="3620"/>
        <v>X</v>
      </c>
      <c r="N15564" t="s">
        <v>27</v>
      </c>
    </row>
    <row r="15565" spans="1:14" x14ac:dyDescent="0.25">
      <c r="A15565" t="s">
        <v>45</v>
      </c>
      <c r="B15565" t="s">
        <v>40</v>
      </c>
      <c r="C15565" t="s">
        <v>37</v>
      </c>
      <c r="D15565" t="s">
        <v>34</v>
      </c>
      <c r="E15565" t="s">
        <v>22</v>
      </c>
      <c r="F15565" t="s">
        <v>19</v>
      </c>
      <c r="G15565" s="1" t="str">
        <f t="shared" ref="G15565:M15565" si="3621">"..."</f>
        <v>...</v>
      </c>
      <c r="H15565" s="1" t="str">
        <f t="shared" si="3621"/>
        <v>...</v>
      </c>
      <c r="I15565" s="1" t="str">
        <f t="shared" si="3621"/>
        <v>...</v>
      </c>
      <c r="J15565" s="1" t="str">
        <f t="shared" si="3621"/>
        <v>...</v>
      </c>
      <c r="K15565" s="1" t="str">
        <f t="shared" si="3621"/>
        <v>...</v>
      </c>
      <c r="L15565" s="1" t="str">
        <f t="shared" si="3621"/>
        <v>...</v>
      </c>
      <c r="M15565" s="1" t="str">
        <f t="shared" si="3621"/>
        <v>...</v>
      </c>
      <c r="N15565" t="s">
        <v>30</v>
      </c>
    </row>
    <row r="15566" spans="1:14" x14ac:dyDescent="0.25">
      <c r="A15566" t="s">
        <v>45</v>
      </c>
      <c r="B15566" t="s">
        <v>40</v>
      </c>
      <c r="C15566" t="s">
        <v>37</v>
      </c>
      <c r="D15566" t="s">
        <v>34</v>
      </c>
      <c r="E15566" t="s">
        <v>22</v>
      </c>
      <c r="F15566" t="s">
        <v>20</v>
      </c>
      <c r="G15566" s="1" t="str">
        <f t="shared" ref="G15566:M15567" si="3622">"X"</f>
        <v>X</v>
      </c>
      <c r="H15566" s="1" t="str">
        <f t="shared" si="3622"/>
        <v>X</v>
      </c>
      <c r="I15566" s="1" t="str">
        <f t="shared" si="3622"/>
        <v>X</v>
      </c>
      <c r="J15566" s="1" t="str">
        <f t="shared" si="3622"/>
        <v>X</v>
      </c>
      <c r="K15566" s="1" t="str">
        <f t="shared" si="3622"/>
        <v>X</v>
      </c>
      <c r="L15566" s="1" t="str">
        <f t="shared" si="3622"/>
        <v>X</v>
      </c>
      <c r="M15566" s="1" t="str">
        <f t="shared" si="3622"/>
        <v>X</v>
      </c>
      <c r="N15566" t="s">
        <v>27</v>
      </c>
    </row>
    <row r="15567" spans="1:14" x14ac:dyDescent="0.25">
      <c r="A15567" t="s">
        <v>45</v>
      </c>
      <c r="B15567" t="s">
        <v>40</v>
      </c>
      <c r="C15567" t="s">
        <v>37</v>
      </c>
      <c r="D15567" t="s">
        <v>34</v>
      </c>
      <c r="E15567" t="s">
        <v>23</v>
      </c>
      <c r="F15567" t="s">
        <v>15</v>
      </c>
      <c r="G15567" s="1" t="str">
        <f t="shared" si="3622"/>
        <v>X</v>
      </c>
      <c r="H15567" s="1" t="str">
        <f t="shared" si="3622"/>
        <v>X</v>
      </c>
      <c r="I15567" s="1" t="str">
        <f t="shared" si="3622"/>
        <v>X</v>
      </c>
      <c r="J15567" s="1" t="str">
        <f t="shared" si="3622"/>
        <v>X</v>
      </c>
      <c r="K15567" s="1" t="str">
        <f t="shared" si="3622"/>
        <v>X</v>
      </c>
      <c r="L15567" s="1" t="str">
        <f t="shared" si="3622"/>
        <v>X</v>
      </c>
      <c r="M15567" s="1" t="str">
        <f t="shared" si="3622"/>
        <v>X</v>
      </c>
      <c r="N15567" t="s">
        <v>27</v>
      </c>
    </row>
    <row r="15568" spans="1:14" x14ac:dyDescent="0.25">
      <c r="A15568" t="s">
        <v>45</v>
      </c>
      <c r="B15568" t="s">
        <v>40</v>
      </c>
      <c r="C15568" t="s">
        <v>37</v>
      </c>
      <c r="D15568" t="s">
        <v>34</v>
      </c>
      <c r="E15568" t="s">
        <v>23</v>
      </c>
      <c r="F15568" t="s">
        <v>17</v>
      </c>
      <c r="G15568" s="1" t="str">
        <f t="shared" ref="G15568:M15570" si="3623">"..."</f>
        <v>...</v>
      </c>
      <c r="H15568" s="1" t="str">
        <f t="shared" si="3623"/>
        <v>...</v>
      </c>
      <c r="I15568" s="1" t="str">
        <f t="shared" si="3623"/>
        <v>...</v>
      </c>
      <c r="J15568" s="1" t="str">
        <f t="shared" si="3623"/>
        <v>...</v>
      </c>
      <c r="K15568" s="1" t="str">
        <f t="shared" si="3623"/>
        <v>...</v>
      </c>
      <c r="L15568" s="1" t="str">
        <f t="shared" si="3623"/>
        <v>...</v>
      </c>
      <c r="M15568" s="1" t="str">
        <f t="shared" si="3623"/>
        <v>...</v>
      </c>
      <c r="N15568" t="s">
        <v>30</v>
      </c>
    </row>
    <row r="15569" spans="1:14" x14ac:dyDescent="0.25">
      <c r="A15569" t="s">
        <v>45</v>
      </c>
      <c r="B15569" t="s">
        <v>40</v>
      </c>
      <c r="C15569" t="s">
        <v>37</v>
      </c>
      <c r="D15569" t="s">
        <v>34</v>
      </c>
      <c r="E15569" t="s">
        <v>23</v>
      </c>
      <c r="F15569" t="s">
        <v>18</v>
      </c>
      <c r="G15569" s="1" t="str">
        <f t="shared" si="3623"/>
        <v>...</v>
      </c>
      <c r="H15569" s="1" t="str">
        <f t="shared" si="3623"/>
        <v>...</v>
      </c>
      <c r="I15569" s="1" t="str">
        <f t="shared" si="3623"/>
        <v>...</v>
      </c>
      <c r="J15569" s="1" t="str">
        <f t="shared" si="3623"/>
        <v>...</v>
      </c>
      <c r="K15569" s="1" t="str">
        <f t="shared" si="3623"/>
        <v>...</v>
      </c>
      <c r="L15569" s="1" t="str">
        <f t="shared" si="3623"/>
        <v>...</v>
      </c>
      <c r="M15569" s="1" t="str">
        <f t="shared" si="3623"/>
        <v>...</v>
      </c>
      <c r="N15569" t="s">
        <v>30</v>
      </c>
    </row>
    <row r="15570" spans="1:14" x14ac:dyDescent="0.25">
      <c r="A15570" t="s">
        <v>45</v>
      </c>
      <c r="B15570" t="s">
        <v>40</v>
      </c>
      <c r="C15570" t="s">
        <v>37</v>
      </c>
      <c r="D15570" t="s">
        <v>34</v>
      </c>
      <c r="E15570" t="s">
        <v>23</v>
      </c>
      <c r="F15570" t="s">
        <v>19</v>
      </c>
      <c r="G15570" s="1" t="str">
        <f t="shared" si="3623"/>
        <v>...</v>
      </c>
      <c r="H15570" s="1" t="str">
        <f t="shared" si="3623"/>
        <v>...</v>
      </c>
      <c r="I15570" s="1" t="str">
        <f t="shared" si="3623"/>
        <v>...</v>
      </c>
      <c r="J15570" s="1" t="str">
        <f t="shared" si="3623"/>
        <v>...</v>
      </c>
      <c r="K15570" s="1" t="str">
        <f t="shared" si="3623"/>
        <v>...</v>
      </c>
      <c r="L15570" s="1" t="str">
        <f t="shared" si="3623"/>
        <v>...</v>
      </c>
      <c r="M15570" s="1" t="str">
        <f t="shared" si="3623"/>
        <v>...</v>
      </c>
      <c r="N15570" t="s">
        <v>30</v>
      </c>
    </row>
    <row r="15571" spans="1:14" x14ac:dyDescent="0.25">
      <c r="A15571" t="s">
        <v>45</v>
      </c>
      <c r="B15571" t="s">
        <v>40</v>
      </c>
      <c r="C15571" t="s">
        <v>37</v>
      </c>
      <c r="D15571" t="s">
        <v>34</v>
      </c>
      <c r="E15571" t="s">
        <v>23</v>
      </c>
      <c r="F15571" t="s">
        <v>20</v>
      </c>
      <c r="G15571" s="1" t="str">
        <f t="shared" ref="G15571:M15571" si="3624">"X"</f>
        <v>X</v>
      </c>
      <c r="H15571" s="1" t="str">
        <f t="shared" si="3624"/>
        <v>X</v>
      </c>
      <c r="I15571" s="1" t="str">
        <f t="shared" si="3624"/>
        <v>X</v>
      </c>
      <c r="J15571" s="1" t="str">
        <f t="shared" si="3624"/>
        <v>X</v>
      </c>
      <c r="K15571" s="1" t="str">
        <f t="shared" si="3624"/>
        <v>X</v>
      </c>
      <c r="L15571" s="1" t="str">
        <f t="shared" si="3624"/>
        <v>X</v>
      </c>
      <c r="M15571" s="1" t="str">
        <f t="shared" si="3624"/>
        <v>X</v>
      </c>
      <c r="N15571" t="s">
        <v>27</v>
      </c>
    </row>
    <row r="15572" spans="1:14" x14ac:dyDescent="0.25">
      <c r="A15572" t="s">
        <v>45</v>
      </c>
      <c r="B15572" t="s">
        <v>40</v>
      </c>
      <c r="C15572" t="s">
        <v>37</v>
      </c>
      <c r="D15572" t="s">
        <v>34</v>
      </c>
      <c r="E15572" t="s">
        <v>26</v>
      </c>
      <c r="F15572" t="s">
        <v>15</v>
      </c>
      <c r="G15572" s="1" t="str">
        <f t="shared" ref="G15572:M15576" si="3625">"..."</f>
        <v>...</v>
      </c>
      <c r="H15572" s="1" t="str">
        <f t="shared" si="3625"/>
        <v>...</v>
      </c>
      <c r="I15572" s="1" t="str">
        <f t="shared" si="3625"/>
        <v>...</v>
      </c>
      <c r="J15572" s="1" t="str">
        <f t="shared" si="3625"/>
        <v>...</v>
      </c>
      <c r="K15572" s="1" t="str">
        <f t="shared" si="3625"/>
        <v>...</v>
      </c>
      <c r="L15572" s="1" t="str">
        <f t="shared" si="3625"/>
        <v>...</v>
      </c>
      <c r="M15572" s="1" t="str">
        <f t="shared" si="3625"/>
        <v>...</v>
      </c>
      <c r="N15572" t="s">
        <v>30</v>
      </c>
    </row>
    <row r="15573" spans="1:14" x14ac:dyDescent="0.25">
      <c r="A15573" t="s">
        <v>45</v>
      </c>
      <c r="B15573" t="s">
        <v>40</v>
      </c>
      <c r="C15573" t="s">
        <v>37</v>
      </c>
      <c r="D15573" t="s">
        <v>34</v>
      </c>
      <c r="E15573" t="s">
        <v>26</v>
      </c>
      <c r="F15573" t="s">
        <v>17</v>
      </c>
      <c r="G15573" s="1" t="str">
        <f t="shared" si="3625"/>
        <v>...</v>
      </c>
      <c r="H15573" s="1" t="str">
        <f t="shared" si="3625"/>
        <v>...</v>
      </c>
      <c r="I15573" s="1" t="str">
        <f t="shared" si="3625"/>
        <v>...</v>
      </c>
      <c r="J15573" s="1" t="str">
        <f t="shared" si="3625"/>
        <v>...</v>
      </c>
      <c r="K15573" s="1" t="str">
        <f t="shared" si="3625"/>
        <v>...</v>
      </c>
      <c r="L15573" s="1" t="str">
        <f t="shared" si="3625"/>
        <v>...</v>
      </c>
      <c r="M15573" s="1" t="str">
        <f t="shared" si="3625"/>
        <v>...</v>
      </c>
      <c r="N15573" t="s">
        <v>30</v>
      </c>
    </row>
    <row r="15574" spans="1:14" x14ac:dyDescent="0.25">
      <c r="A15574" t="s">
        <v>45</v>
      </c>
      <c r="B15574" t="s">
        <v>40</v>
      </c>
      <c r="C15574" t="s">
        <v>37</v>
      </c>
      <c r="D15574" t="s">
        <v>34</v>
      </c>
      <c r="E15574" t="s">
        <v>26</v>
      </c>
      <c r="F15574" t="s">
        <v>18</v>
      </c>
      <c r="G15574" s="1" t="str">
        <f t="shared" si="3625"/>
        <v>...</v>
      </c>
      <c r="H15574" s="1" t="str">
        <f t="shared" si="3625"/>
        <v>...</v>
      </c>
      <c r="I15574" s="1" t="str">
        <f t="shared" si="3625"/>
        <v>...</v>
      </c>
      <c r="J15574" s="1" t="str">
        <f t="shared" si="3625"/>
        <v>...</v>
      </c>
      <c r="K15574" s="1" t="str">
        <f t="shared" si="3625"/>
        <v>...</v>
      </c>
      <c r="L15574" s="1" t="str">
        <f t="shared" si="3625"/>
        <v>...</v>
      </c>
      <c r="M15574" s="1" t="str">
        <f t="shared" si="3625"/>
        <v>...</v>
      </c>
      <c r="N15574" t="s">
        <v>30</v>
      </c>
    </row>
    <row r="15575" spans="1:14" x14ac:dyDescent="0.25">
      <c r="A15575" t="s">
        <v>45</v>
      </c>
      <c r="B15575" t="s">
        <v>40</v>
      </c>
      <c r="C15575" t="s">
        <v>37</v>
      </c>
      <c r="D15575" t="s">
        <v>34</v>
      </c>
      <c r="E15575" t="s">
        <v>26</v>
      </c>
      <c r="F15575" t="s">
        <v>19</v>
      </c>
      <c r="G15575" s="1" t="str">
        <f t="shared" si="3625"/>
        <v>...</v>
      </c>
      <c r="H15575" s="1" t="str">
        <f t="shared" si="3625"/>
        <v>...</v>
      </c>
      <c r="I15575" s="1" t="str">
        <f t="shared" si="3625"/>
        <v>...</v>
      </c>
      <c r="J15575" s="1" t="str">
        <f t="shared" si="3625"/>
        <v>...</v>
      </c>
      <c r="K15575" s="1" t="str">
        <f t="shared" si="3625"/>
        <v>...</v>
      </c>
      <c r="L15575" s="1" t="str">
        <f t="shared" si="3625"/>
        <v>...</v>
      </c>
      <c r="M15575" s="1" t="str">
        <f t="shared" si="3625"/>
        <v>...</v>
      </c>
      <c r="N15575" t="s">
        <v>30</v>
      </c>
    </row>
    <row r="15576" spans="1:14" x14ac:dyDescent="0.25">
      <c r="A15576" t="s">
        <v>45</v>
      </c>
      <c r="B15576" t="s">
        <v>40</v>
      </c>
      <c r="C15576" t="s">
        <v>37</v>
      </c>
      <c r="D15576" t="s">
        <v>34</v>
      </c>
      <c r="E15576" t="s">
        <v>26</v>
      </c>
      <c r="F15576" t="s">
        <v>20</v>
      </c>
      <c r="G15576" s="1" t="str">
        <f t="shared" si="3625"/>
        <v>...</v>
      </c>
      <c r="H15576" s="1" t="str">
        <f t="shared" si="3625"/>
        <v>...</v>
      </c>
      <c r="I15576" s="1" t="str">
        <f t="shared" si="3625"/>
        <v>...</v>
      </c>
      <c r="J15576" s="1" t="str">
        <f t="shared" si="3625"/>
        <v>...</v>
      </c>
      <c r="K15576" s="1" t="str">
        <f t="shared" si="3625"/>
        <v>...</v>
      </c>
      <c r="L15576" s="1" t="str">
        <f t="shared" si="3625"/>
        <v>...</v>
      </c>
      <c r="M15576" s="1" t="str">
        <f t="shared" si="3625"/>
        <v>...</v>
      </c>
      <c r="N15576" t="s">
        <v>30</v>
      </c>
    </row>
    <row r="15577" spans="1:14" x14ac:dyDescent="0.25">
      <c r="A15577" t="s">
        <v>45</v>
      </c>
      <c r="B15577" t="s">
        <v>40</v>
      </c>
      <c r="C15577" t="s">
        <v>38</v>
      </c>
      <c r="D15577" t="s">
        <v>15</v>
      </c>
      <c r="E15577" t="s">
        <v>15</v>
      </c>
      <c r="F15577" t="s">
        <v>15</v>
      </c>
      <c r="G15577" s="1">
        <f>VALUE(16197.5)</f>
        <v>16197.5</v>
      </c>
      <c r="H15577" s="1">
        <f>VALUE(11300.17)</f>
        <v>11300.17</v>
      </c>
      <c r="I15577" s="1">
        <f>VALUE(3132)</f>
        <v>3132</v>
      </c>
      <c r="J15577" s="1">
        <f>VALUE(3738)</f>
        <v>3738</v>
      </c>
      <c r="K15577" s="1">
        <f>VALUE(4890)</f>
        <v>4890</v>
      </c>
      <c r="L15577" s="1">
        <f>VALUE(6561)</f>
        <v>6561</v>
      </c>
      <c r="M15577" s="1">
        <f>VALUE(8758)</f>
        <v>8758</v>
      </c>
      <c r="N15577" t="s">
        <v>16</v>
      </c>
    </row>
    <row r="15578" spans="1:14" x14ac:dyDescent="0.25">
      <c r="A15578" t="s">
        <v>45</v>
      </c>
      <c r="B15578" t="s">
        <v>40</v>
      </c>
      <c r="C15578" t="s">
        <v>38</v>
      </c>
      <c r="D15578" t="s">
        <v>15</v>
      </c>
      <c r="E15578" t="s">
        <v>15</v>
      </c>
      <c r="F15578" t="s">
        <v>17</v>
      </c>
      <c r="G15578" s="2">
        <f>VALUE(2077.27)</f>
        <v>2077.27</v>
      </c>
      <c r="H15578" s="3">
        <f>VALUE(1808)</f>
        <v>1808</v>
      </c>
      <c r="I15578" s="1">
        <f>VALUE(3556)</f>
        <v>3556</v>
      </c>
      <c r="J15578" s="5">
        <f>VALUE(4417)</f>
        <v>4417</v>
      </c>
      <c r="K15578" s="6">
        <f>VALUE(6341)</f>
        <v>6341</v>
      </c>
      <c r="L15578" s="7">
        <f>VALUE(10000)</f>
        <v>10000</v>
      </c>
      <c r="M15578" s="8">
        <f>VALUE(15462)</f>
        <v>15462</v>
      </c>
      <c r="N15578" t="s">
        <v>25</v>
      </c>
    </row>
    <row r="15579" spans="1:14" x14ac:dyDescent="0.25">
      <c r="A15579" t="s">
        <v>45</v>
      </c>
      <c r="B15579" t="s">
        <v>40</v>
      </c>
      <c r="C15579" t="s">
        <v>38</v>
      </c>
      <c r="D15579" t="s">
        <v>15</v>
      </c>
      <c r="E15579" t="s">
        <v>15</v>
      </c>
      <c r="F15579" t="s">
        <v>18</v>
      </c>
      <c r="G15579" s="2">
        <f>VALUE(1704.54)</f>
        <v>1704.54</v>
      </c>
      <c r="H15579" s="3">
        <f>VALUE(1144.65)</f>
        <v>1144.6500000000001</v>
      </c>
      <c r="I15579" s="1">
        <f>VALUE(4128)</f>
        <v>4128</v>
      </c>
      <c r="J15579" s="1">
        <f>VALUE(4875)</f>
        <v>4875</v>
      </c>
      <c r="K15579" s="1">
        <f>VALUE(6519)</f>
        <v>6519</v>
      </c>
      <c r="L15579" s="1">
        <f>VALUE(8100)</f>
        <v>8100</v>
      </c>
      <c r="M15579" s="1">
        <f>VALUE(10133)</f>
        <v>10133</v>
      </c>
      <c r="N15579" t="s">
        <v>25</v>
      </c>
    </row>
    <row r="15580" spans="1:14" x14ac:dyDescent="0.25">
      <c r="A15580" t="s">
        <v>45</v>
      </c>
      <c r="B15580" t="s">
        <v>40</v>
      </c>
      <c r="C15580" t="s">
        <v>38</v>
      </c>
      <c r="D15580" t="s">
        <v>15</v>
      </c>
      <c r="E15580" t="s">
        <v>15</v>
      </c>
      <c r="F15580" t="s">
        <v>19</v>
      </c>
      <c r="G15580" s="2">
        <f>VALUE(1485.46)</f>
        <v>1485.46</v>
      </c>
      <c r="H15580" s="3">
        <f>VALUE(1170.07)</f>
        <v>1170.07</v>
      </c>
      <c r="I15580" s="1">
        <f>VALUE(3754)</f>
        <v>3754</v>
      </c>
      <c r="J15580" s="1">
        <f>VALUE(4410)</f>
        <v>4410</v>
      </c>
      <c r="K15580" s="1">
        <f>VALUE(5313)</f>
        <v>5313</v>
      </c>
      <c r="L15580" s="1">
        <f>VALUE(6667)</f>
        <v>6667</v>
      </c>
      <c r="M15580" s="1">
        <f>VALUE(8425)</f>
        <v>8425</v>
      </c>
      <c r="N15580" t="s">
        <v>25</v>
      </c>
    </row>
    <row r="15581" spans="1:14" x14ac:dyDescent="0.25">
      <c r="A15581" t="s">
        <v>45</v>
      </c>
      <c r="B15581" t="s">
        <v>40</v>
      </c>
      <c r="C15581" t="s">
        <v>38</v>
      </c>
      <c r="D15581" t="s">
        <v>15</v>
      </c>
      <c r="E15581" t="s">
        <v>15</v>
      </c>
      <c r="F15581" t="s">
        <v>20</v>
      </c>
      <c r="G15581" s="1">
        <f>VALUE(10930.23)</f>
        <v>10930.23</v>
      </c>
      <c r="H15581" s="1">
        <f>VALUE(7177.45)</f>
        <v>7177.45</v>
      </c>
      <c r="I15581" s="1">
        <f>VALUE(2980)</f>
        <v>2980</v>
      </c>
      <c r="J15581" s="1">
        <f>VALUE(3515)</f>
        <v>3515</v>
      </c>
      <c r="K15581" s="1">
        <f>VALUE(4380)</f>
        <v>4380</v>
      </c>
      <c r="L15581" s="1">
        <f>VALUE(5702)</f>
        <v>5702</v>
      </c>
      <c r="M15581" s="1">
        <f>VALUE(7200)</f>
        <v>7200</v>
      </c>
      <c r="N15581" t="s">
        <v>16</v>
      </c>
    </row>
    <row r="15582" spans="1:14" x14ac:dyDescent="0.25">
      <c r="A15582" t="s">
        <v>45</v>
      </c>
      <c r="B15582" t="s">
        <v>40</v>
      </c>
      <c r="C15582" t="s">
        <v>38</v>
      </c>
      <c r="D15582" t="s">
        <v>15</v>
      </c>
      <c r="E15582" t="s">
        <v>21</v>
      </c>
      <c r="F15582" t="s">
        <v>15</v>
      </c>
      <c r="G15582" s="2">
        <f>VALUE(3094.04)</f>
        <v>3094.04</v>
      </c>
      <c r="H15582" s="3">
        <f>VALUE(2344.44)</f>
        <v>2344.44</v>
      </c>
      <c r="I15582" s="4">
        <f>VALUE(3644)</f>
        <v>3644</v>
      </c>
      <c r="J15582" s="1">
        <f>VALUE(5195)</f>
        <v>5195</v>
      </c>
      <c r="K15582" s="1">
        <f>VALUE(7159)</f>
        <v>7159</v>
      </c>
      <c r="L15582" s="1">
        <f>VALUE(9482)</f>
        <v>9482</v>
      </c>
      <c r="M15582" s="8">
        <f>VALUE(12267)</f>
        <v>12267</v>
      </c>
      <c r="N15582" t="s">
        <v>25</v>
      </c>
    </row>
    <row r="15583" spans="1:14" x14ac:dyDescent="0.25">
      <c r="A15583" t="s">
        <v>45</v>
      </c>
      <c r="B15583" t="s">
        <v>40</v>
      </c>
      <c r="C15583" t="s">
        <v>38</v>
      </c>
      <c r="D15583" t="s">
        <v>15</v>
      </c>
      <c r="E15583" t="s">
        <v>21</v>
      </c>
      <c r="F15583" t="s">
        <v>17</v>
      </c>
      <c r="G15583" s="2">
        <f>VALUE(943.93)</f>
        <v>943.93</v>
      </c>
      <c r="H15583" s="3">
        <f>VALUE(821.79)</f>
        <v>821.79</v>
      </c>
      <c r="I15583" s="4">
        <f>VALUE(3644)</f>
        <v>3644</v>
      </c>
      <c r="J15583" s="5">
        <f>VALUE(5138)</f>
        <v>5138</v>
      </c>
      <c r="K15583" s="6">
        <f>VALUE(7885)</f>
        <v>7885</v>
      </c>
      <c r="L15583" s="7">
        <f>VALUE(11546)</f>
        <v>11546</v>
      </c>
      <c r="M15583" s="8">
        <f>VALUE(15873)</f>
        <v>15873</v>
      </c>
      <c r="N15583" t="s">
        <v>24</v>
      </c>
    </row>
    <row r="15584" spans="1:14" x14ac:dyDescent="0.25">
      <c r="A15584" t="s">
        <v>45</v>
      </c>
      <c r="B15584" t="s">
        <v>40</v>
      </c>
      <c r="C15584" t="s">
        <v>38</v>
      </c>
      <c r="D15584" t="s">
        <v>15</v>
      </c>
      <c r="E15584" t="s">
        <v>21</v>
      </c>
      <c r="F15584" t="s">
        <v>18</v>
      </c>
      <c r="G15584" s="2">
        <f>VALUE(613.56)</f>
        <v>613.55999999999995</v>
      </c>
      <c r="H15584" s="3">
        <f>VALUE(462.99)</f>
        <v>462.99</v>
      </c>
      <c r="I15584" s="4">
        <f>VALUE(5412)</f>
        <v>5412</v>
      </c>
      <c r="J15584" s="1">
        <f>VALUE(6519)</f>
        <v>6519</v>
      </c>
      <c r="K15584" s="1">
        <f>VALUE(7958)</f>
        <v>7958</v>
      </c>
      <c r="L15584" s="1">
        <f>VALUE(10133)</f>
        <v>10133</v>
      </c>
      <c r="M15584" s="1">
        <f>VALUE(10133)</f>
        <v>10133</v>
      </c>
      <c r="N15584" t="s">
        <v>25</v>
      </c>
    </row>
    <row r="15585" spans="1:14" x14ac:dyDescent="0.25">
      <c r="A15585" t="s">
        <v>45</v>
      </c>
      <c r="B15585" t="s">
        <v>40</v>
      </c>
      <c r="C15585" t="s">
        <v>38</v>
      </c>
      <c r="D15585" t="s">
        <v>15</v>
      </c>
      <c r="E15585" t="s">
        <v>21</v>
      </c>
      <c r="F15585" t="s">
        <v>19</v>
      </c>
      <c r="G15585" s="2">
        <f>VALUE(344.84)</f>
        <v>344.84</v>
      </c>
      <c r="H15585" s="3">
        <f>VALUE(246.6)</f>
        <v>246.6</v>
      </c>
      <c r="I15585" s="1">
        <f>VALUE(4320)</f>
        <v>4320</v>
      </c>
      <c r="J15585" s="1">
        <f>VALUE(4631)</f>
        <v>4631</v>
      </c>
      <c r="K15585" s="6">
        <f>VALUE(6933)</f>
        <v>6933</v>
      </c>
      <c r="L15585" s="7">
        <f>VALUE(8375)</f>
        <v>8375</v>
      </c>
      <c r="M15585" s="8">
        <f>VALUE(11765)</f>
        <v>11765</v>
      </c>
      <c r="N15585" t="s">
        <v>25</v>
      </c>
    </row>
    <row r="15586" spans="1:14" x14ac:dyDescent="0.25">
      <c r="A15586" t="s">
        <v>45</v>
      </c>
      <c r="B15586" t="s">
        <v>40</v>
      </c>
      <c r="C15586" t="s">
        <v>38</v>
      </c>
      <c r="D15586" t="s">
        <v>15</v>
      </c>
      <c r="E15586" t="s">
        <v>21</v>
      </c>
      <c r="F15586" t="s">
        <v>20</v>
      </c>
      <c r="G15586" s="2">
        <f>VALUE(1191.71)</f>
        <v>1191.71</v>
      </c>
      <c r="H15586" s="3">
        <f>VALUE(813.06)</f>
        <v>813.06</v>
      </c>
      <c r="I15586" s="4">
        <f>VALUE(3506)</f>
        <v>3506</v>
      </c>
      <c r="J15586" s="5">
        <f>VALUE(4706)</f>
        <v>4706</v>
      </c>
      <c r="K15586" s="1">
        <f>VALUE(6158)</f>
        <v>6158</v>
      </c>
      <c r="L15586" s="1">
        <f>VALUE(7975)</f>
        <v>7975</v>
      </c>
      <c r="M15586" s="1">
        <f>VALUE(9804)</f>
        <v>9804</v>
      </c>
      <c r="N15586" t="s">
        <v>25</v>
      </c>
    </row>
    <row r="15587" spans="1:14" x14ac:dyDescent="0.25">
      <c r="A15587" t="s">
        <v>45</v>
      </c>
      <c r="B15587" t="s">
        <v>40</v>
      </c>
      <c r="C15587" t="s">
        <v>38</v>
      </c>
      <c r="D15587" t="s">
        <v>15</v>
      </c>
      <c r="E15587" t="s">
        <v>22</v>
      </c>
      <c r="F15587" t="s">
        <v>15</v>
      </c>
      <c r="G15587" s="1">
        <f>VALUE(7377.48)</f>
        <v>7377.48</v>
      </c>
      <c r="H15587" s="1">
        <f>VALUE(5222.42)</f>
        <v>5222.42</v>
      </c>
      <c r="I15587" s="1">
        <f>VALUE(3631)</f>
        <v>3631</v>
      </c>
      <c r="J15587" s="1">
        <f>VALUE(4326)</f>
        <v>4326</v>
      </c>
      <c r="K15587" s="1">
        <f>VALUE(5417)</f>
        <v>5417</v>
      </c>
      <c r="L15587" s="1">
        <f>VALUE(6620)</f>
        <v>6620</v>
      </c>
      <c r="M15587" s="1">
        <f>VALUE(8026)</f>
        <v>8026</v>
      </c>
      <c r="N15587" t="s">
        <v>16</v>
      </c>
    </row>
    <row r="15588" spans="1:14" x14ac:dyDescent="0.25">
      <c r="A15588" t="s">
        <v>45</v>
      </c>
      <c r="B15588" t="s">
        <v>40</v>
      </c>
      <c r="C15588" t="s">
        <v>38</v>
      </c>
      <c r="D15588" t="s">
        <v>15</v>
      </c>
      <c r="E15588" t="s">
        <v>22</v>
      </c>
      <c r="F15588" t="s">
        <v>17</v>
      </c>
      <c r="G15588" s="2">
        <f>VALUE(1042.67)</f>
        <v>1042.67</v>
      </c>
      <c r="H15588" s="3">
        <f>VALUE(900.13)</f>
        <v>900.13</v>
      </c>
      <c r="I15588" s="4">
        <f>VALUE(3500)</f>
        <v>3500</v>
      </c>
      <c r="J15588" s="5">
        <f>VALUE(3862)</f>
        <v>3862</v>
      </c>
      <c r="K15588" s="1">
        <f>VALUE(5416)</f>
        <v>5416</v>
      </c>
      <c r="L15588" s="7">
        <f>VALUE(8426)</f>
        <v>8426</v>
      </c>
      <c r="M15588" s="8">
        <f>VALUE(14445)</f>
        <v>14445</v>
      </c>
      <c r="N15588" t="s">
        <v>25</v>
      </c>
    </row>
    <row r="15589" spans="1:14" x14ac:dyDescent="0.25">
      <c r="A15589" t="s">
        <v>45</v>
      </c>
      <c r="B15589" t="s">
        <v>40</v>
      </c>
      <c r="C15589" t="s">
        <v>38</v>
      </c>
      <c r="D15589" t="s">
        <v>15</v>
      </c>
      <c r="E15589" t="s">
        <v>22</v>
      </c>
      <c r="F15589" t="s">
        <v>18</v>
      </c>
      <c r="G15589" s="2">
        <f>VALUE(891.71)</f>
        <v>891.71</v>
      </c>
      <c r="H15589" s="3">
        <f>VALUE(589.07)</f>
        <v>589.07000000000005</v>
      </c>
      <c r="I15589" s="1">
        <f>VALUE(4128)</f>
        <v>4128</v>
      </c>
      <c r="J15589" s="1">
        <f>VALUE(4570)</f>
        <v>4570</v>
      </c>
      <c r="K15589" s="6">
        <f>VALUE(5796)</f>
        <v>5796</v>
      </c>
      <c r="L15589" s="1">
        <f>VALUE(7463)</f>
        <v>7463</v>
      </c>
      <c r="M15589" s="1">
        <f>VALUE(8238)</f>
        <v>8238</v>
      </c>
      <c r="N15589" t="s">
        <v>25</v>
      </c>
    </row>
    <row r="15590" spans="1:14" x14ac:dyDescent="0.25">
      <c r="A15590" t="s">
        <v>45</v>
      </c>
      <c r="B15590" t="s">
        <v>40</v>
      </c>
      <c r="C15590" t="s">
        <v>38</v>
      </c>
      <c r="D15590" t="s">
        <v>15</v>
      </c>
      <c r="E15590" t="s">
        <v>22</v>
      </c>
      <c r="F15590" t="s">
        <v>19</v>
      </c>
      <c r="G15590" s="2">
        <f>VALUE(855.63)</f>
        <v>855.63</v>
      </c>
      <c r="H15590" s="3">
        <f>VALUE(670.25)</f>
        <v>670.25</v>
      </c>
      <c r="I15590" s="1">
        <f>VALUE(3833)</f>
        <v>3833</v>
      </c>
      <c r="J15590" s="1">
        <f>VALUE(4618)</f>
        <v>4618</v>
      </c>
      <c r="K15590" s="1">
        <f>VALUE(5506)</f>
        <v>5506</v>
      </c>
      <c r="L15590" s="1">
        <f>VALUE(6667)</f>
        <v>6667</v>
      </c>
      <c r="M15590" s="8">
        <f>VALUE(8036)</f>
        <v>8036</v>
      </c>
      <c r="N15590" t="s">
        <v>25</v>
      </c>
    </row>
    <row r="15591" spans="1:14" x14ac:dyDescent="0.25">
      <c r="A15591" t="s">
        <v>45</v>
      </c>
      <c r="B15591" t="s">
        <v>40</v>
      </c>
      <c r="C15591" t="s">
        <v>38</v>
      </c>
      <c r="D15591" t="s">
        <v>15</v>
      </c>
      <c r="E15591" t="s">
        <v>22</v>
      </c>
      <c r="F15591" t="s">
        <v>20</v>
      </c>
      <c r="G15591" s="2">
        <f>VALUE(4587.47)</f>
        <v>4587.47</v>
      </c>
      <c r="H15591" s="1">
        <f>VALUE(3062.97)</f>
        <v>3062.97</v>
      </c>
      <c r="I15591" s="4">
        <f>VALUE(3526)</f>
        <v>3526</v>
      </c>
      <c r="J15591" s="1">
        <f>VALUE(4256)</f>
        <v>4256</v>
      </c>
      <c r="K15591" s="1">
        <f>VALUE(5286)</f>
        <v>5286</v>
      </c>
      <c r="L15591" s="1">
        <f>VALUE(6305)</f>
        <v>6305</v>
      </c>
      <c r="M15591" s="1">
        <f>VALUE(7323)</f>
        <v>7323</v>
      </c>
      <c r="N15591" t="s">
        <v>25</v>
      </c>
    </row>
    <row r="15592" spans="1:14" x14ac:dyDescent="0.25">
      <c r="A15592" t="s">
        <v>45</v>
      </c>
      <c r="B15592" t="s">
        <v>40</v>
      </c>
      <c r="C15592" t="s">
        <v>38</v>
      </c>
      <c r="D15592" t="s">
        <v>15</v>
      </c>
      <c r="E15592" t="s">
        <v>23</v>
      </c>
      <c r="F15592" t="s">
        <v>15</v>
      </c>
      <c r="G15592" s="1">
        <f>VALUE(5544.11)</f>
        <v>5544.11</v>
      </c>
      <c r="H15592" s="1">
        <f>VALUE(3645.6)</f>
        <v>3645.6</v>
      </c>
      <c r="I15592" s="1">
        <f>VALUE(2851)</f>
        <v>2851</v>
      </c>
      <c r="J15592" s="1">
        <f>VALUE(3224)</f>
        <v>3224</v>
      </c>
      <c r="K15592" s="1">
        <f>VALUE(3668)</f>
        <v>3668</v>
      </c>
      <c r="L15592" s="1">
        <f>VALUE(4411)</f>
        <v>4411</v>
      </c>
      <c r="M15592" s="1">
        <f>VALUE(5185)</f>
        <v>5185</v>
      </c>
      <c r="N15592" t="s">
        <v>16</v>
      </c>
    </row>
    <row r="15593" spans="1:14" x14ac:dyDescent="0.25">
      <c r="A15593" t="s">
        <v>45</v>
      </c>
      <c r="B15593" t="s">
        <v>40</v>
      </c>
      <c r="C15593" t="s">
        <v>38</v>
      </c>
      <c r="D15593" t="s">
        <v>15</v>
      </c>
      <c r="E15593" t="s">
        <v>23</v>
      </c>
      <c r="F15593" t="s">
        <v>17</v>
      </c>
      <c r="G15593" s="1" t="str">
        <f t="shared" ref="G15593:M15594" si="3626">"X"</f>
        <v>X</v>
      </c>
      <c r="H15593" s="1" t="str">
        <f t="shared" si="3626"/>
        <v>X</v>
      </c>
      <c r="I15593" s="1" t="str">
        <f t="shared" si="3626"/>
        <v>X</v>
      </c>
      <c r="J15593" s="1" t="str">
        <f t="shared" si="3626"/>
        <v>X</v>
      </c>
      <c r="K15593" s="1" t="str">
        <f t="shared" si="3626"/>
        <v>X</v>
      </c>
      <c r="L15593" s="1" t="str">
        <f t="shared" si="3626"/>
        <v>X</v>
      </c>
      <c r="M15593" s="1" t="str">
        <f t="shared" si="3626"/>
        <v>X</v>
      </c>
      <c r="N15593" t="s">
        <v>27</v>
      </c>
    </row>
    <row r="15594" spans="1:14" x14ac:dyDescent="0.25">
      <c r="A15594" t="s">
        <v>45</v>
      </c>
      <c r="B15594" t="s">
        <v>40</v>
      </c>
      <c r="C15594" t="s">
        <v>38</v>
      </c>
      <c r="D15594" t="s">
        <v>15</v>
      </c>
      <c r="E15594" t="s">
        <v>23</v>
      </c>
      <c r="F15594" t="s">
        <v>18</v>
      </c>
      <c r="G15594" s="1" t="str">
        <f t="shared" si="3626"/>
        <v>X</v>
      </c>
      <c r="H15594" s="1" t="str">
        <f t="shared" si="3626"/>
        <v>X</v>
      </c>
      <c r="I15594" s="1" t="str">
        <f t="shared" si="3626"/>
        <v>X</v>
      </c>
      <c r="J15594" s="1" t="str">
        <f t="shared" si="3626"/>
        <v>X</v>
      </c>
      <c r="K15594" s="1" t="str">
        <f t="shared" si="3626"/>
        <v>X</v>
      </c>
      <c r="L15594" s="1" t="str">
        <f t="shared" si="3626"/>
        <v>X</v>
      </c>
      <c r="M15594" s="1" t="str">
        <f t="shared" si="3626"/>
        <v>X</v>
      </c>
      <c r="N15594" t="s">
        <v>27</v>
      </c>
    </row>
    <row r="15595" spans="1:14" x14ac:dyDescent="0.25">
      <c r="A15595" t="s">
        <v>45</v>
      </c>
      <c r="B15595" t="s">
        <v>40</v>
      </c>
      <c r="C15595" t="s">
        <v>38</v>
      </c>
      <c r="D15595" t="s">
        <v>15</v>
      </c>
      <c r="E15595" t="s">
        <v>23</v>
      </c>
      <c r="F15595" t="s">
        <v>19</v>
      </c>
      <c r="G15595" s="2">
        <f>VALUE(276.2)</f>
        <v>276.2</v>
      </c>
      <c r="H15595" s="3">
        <f>VALUE(244.43)</f>
        <v>244.43</v>
      </c>
      <c r="I15595" s="1">
        <f>VALUE(3498)</f>
        <v>3498</v>
      </c>
      <c r="J15595" s="1">
        <f>VALUE(3743)</f>
        <v>3743</v>
      </c>
      <c r="K15595" s="1">
        <f>VALUE(4241)</f>
        <v>4241</v>
      </c>
      <c r="L15595" s="1">
        <f>VALUE(4901)</f>
        <v>4901</v>
      </c>
      <c r="M15595" s="1">
        <f>VALUE(5436)</f>
        <v>5436</v>
      </c>
      <c r="N15595" t="s">
        <v>25</v>
      </c>
    </row>
    <row r="15596" spans="1:14" x14ac:dyDescent="0.25">
      <c r="A15596" t="s">
        <v>45</v>
      </c>
      <c r="B15596" t="s">
        <v>40</v>
      </c>
      <c r="C15596" t="s">
        <v>38</v>
      </c>
      <c r="D15596" t="s">
        <v>15</v>
      </c>
      <c r="E15596" t="s">
        <v>23</v>
      </c>
      <c r="F15596" t="s">
        <v>20</v>
      </c>
      <c r="G15596" s="1">
        <f>VALUE(5000.82)</f>
        <v>5000.82</v>
      </c>
      <c r="H15596" s="1">
        <f>VALUE(3235.95)</f>
        <v>3235.95</v>
      </c>
      <c r="I15596" s="1">
        <f>VALUE(2810)</f>
        <v>2810</v>
      </c>
      <c r="J15596" s="1">
        <f>VALUE(3161)</f>
        <v>3161</v>
      </c>
      <c r="K15596" s="1">
        <f>VALUE(3603)</f>
        <v>3603</v>
      </c>
      <c r="L15596" s="1">
        <f>VALUE(4317)</f>
        <v>4317</v>
      </c>
      <c r="M15596" s="1">
        <f>VALUE(5031)</f>
        <v>5031</v>
      </c>
      <c r="N15596" t="s">
        <v>16</v>
      </c>
    </row>
    <row r="15597" spans="1:14" x14ac:dyDescent="0.25">
      <c r="A15597" t="s">
        <v>45</v>
      </c>
      <c r="B15597" t="s">
        <v>40</v>
      </c>
      <c r="C15597" t="s">
        <v>38</v>
      </c>
      <c r="D15597" t="s">
        <v>15</v>
      </c>
      <c r="E15597" t="s">
        <v>26</v>
      </c>
      <c r="F15597" t="s">
        <v>15</v>
      </c>
      <c r="G15597" s="1" t="str">
        <f t="shared" ref="G15597:M15601" si="3627">"X"</f>
        <v>X</v>
      </c>
      <c r="H15597" s="1" t="str">
        <f t="shared" si="3627"/>
        <v>X</v>
      </c>
      <c r="I15597" s="1" t="str">
        <f t="shared" si="3627"/>
        <v>X</v>
      </c>
      <c r="J15597" s="1" t="str">
        <f t="shared" si="3627"/>
        <v>X</v>
      </c>
      <c r="K15597" s="1" t="str">
        <f t="shared" si="3627"/>
        <v>X</v>
      </c>
      <c r="L15597" s="1" t="str">
        <f t="shared" si="3627"/>
        <v>X</v>
      </c>
      <c r="M15597" s="1" t="str">
        <f t="shared" si="3627"/>
        <v>X</v>
      </c>
      <c r="N15597" t="s">
        <v>27</v>
      </c>
    </row>
    <row r="15598" spans="1:14" x14ac:dyDescent="0.25">
      <c r="A15598" t="s">
        <v>45</v>
      </c>
      <c r="B15598" t="s">
        <v>40</v>
      </c>
      <c r="C15598" t="s">
        <v>38</v>
      </c>
      <c r="D15598" t="s">
        <v>15</v>
      </c>
      <c r="E15598" t="s">
        <v>26</v>
      </c>
      <c r="F15598" t="s">
        <v>17</v>
      </c>
      <c r="G15598" s="1" t="str">
        <f t="shared" si="3627"/>
        <v>X</v>
      </c>
      <c r="H15598" s="1" t="str">
        <f t="shared" si="3627"/>
        <v>X</v>
      </c>
      <c r="I15598" s="1" t="str">
        <f t="shared" si="3627"/>
        <v>X</v>
      </c>
      <c r="J15598" s="1" t="str">
        <f t="shared" si="3627"/>
        <v>X</v>
      </c>
      <c r="K15598" s="1" t="str">
        <f t="shared" si="3627"/>
        <v>X</v>
      </c>
      <c r="L15598" s="1" t="str">
        <f t="shared" si="3627"/>
        <v>X</v>
      </c>
      <c r="M15598" s="1" t="str">
        <f t="shared" si="3627"/>
        <v>X</v>
      </c>
      <c r="N15598" t="s">
        <v>27</v>
      </c>
    </row>
    <row r="15599" spans="1:14" x14ac:dyDescent="0.25">
      <c r="A15599" t="s">
        <v>45</v>
      </c>
      <c r="B15599" t="s">
        <v>40</v>
      </c>
      <c r="C15599" t="s">
        <v>38</v>
      </c>
      <c r="D15599" t="s">
        <v>15</v>
      </c>
      <c r="E15599" t="s">
        <v>26</v>
      </c>
      <c r="F15599" t="s">
        <v>18</v>
      </c>
      <c r="G15599" s="1" t="str">
        <f t="shared" si="3627"/>
        <v>X</v>
      </c>
      <c r="H15599" s="1" t="str">
        <f t="shared" si="3627"/>
        <v>X</v>
      </c>
      <c r="I15599" s="1" t="str">
        <f t="shared" si="3627"/>
        <v>X</v>
      </c>
      <c r="J15599" s="1" t="str">
        <f t="shared" si="3627"/>
        <v>X</v>
      </c>
      <c r="K15599" s="1" t="str">
        <f t="shared" si="3627"/>
        <v>X</v>
      </c>
      <c r="L15599" s="1" t="str">
        <f t="shared" si="3627"/>
        <v>X</v>
      </c>
      <c r="M15599" s="1" t="str">
        <f t="shared" si="3627"/>
        <v>X</v>
      </c>
      <c r="N15599" t="s">
        <v>27</v>
      </c>
    </row>
    <row r="15600" spans="1:14" x14ac:dyDescent="0.25">
      <c r="A15600" t="s">
        <v>45</v>
      </c>
      <c r="B15600" t="s">
        <v>40</v>
      </c>
      <c r="C15600" t="s">
        <v>38</v>
      </c>
      <c r="D15600" t="s">
        <v>15</v>
      </c>
      <c r="E15600" t="s">
        <v>26</v>
      </c>
      <c r="F15600" t="s">
        <v>19</v>
      </c>
      <c r="G15600" s="1" t="str">
        <f t="shared" si="3627"/>
        <v>X</v>
      </c>
      <c r="H15600" s="1" t="str">
        <f t="shared" si="3627"/>
        <v>X</v>
      </c>
      <c r="I15600" s="1" t="str">
        <f t="shared" si="3627"/>
        <v>X</v>
      </c>
      <c r="J15600" s="1" t="str">
        <f t="shared" si="3627"/>
        <v>X</v>
      </c>
      <c r="K15600" s="1" t="str">
        <f t="shared" si="3627"/>
        <v>X</v>
      </c>
      <c r="L15600" s="1" t="str">
        <f t="shared" si="3627"/>
        <v>X</v>
      </c>
      <c r="M15600" s="1" t="str">
        <f t="shared" si="3627"/>
        <v>X</v>
      </c>
      <c r="N15600" t="s">
        <v>27</v>
      </c>
    </row>
    <row r="15601" spans="1:14" x14ac:dyDescent="0.25">
      <c r="A15601" t="s">
        <v>45</v>
      </c>
      <c r="B15601" t="s">
        <v>40</v>
      </c>
      <c r="C15601" t="s">
        <v>38</v>
      </c>
      <c r="D15601" t="s">
        <v>15</v>
      </c>
      <c r="E15601" t="s">
        <v>26</v>
      </c>
      <c r="F15601" t="s">
        <v>20</v>
      </c>
      <c r="G15601" s="1" t="str">
        <f t="shared" si="3627"/>
        <v>X</v>
      </c>
      <c r="H15601" s="1" t="str">
        <f t="shared" si="3627"/>
        <v>X</v>
      </c>
      <c r="I15601" s="1" t="str">
        <f t="shared" si="3627"/>
        <v>X</v>
      </c>
      <c r="J15601" s="1" t="str">
        <f t="shared" si="3627"/>
        <v>X</v>
      </c>
      <c r="K15601" s="1" t="str">
        <f t="shared" si="3627"/>
        <v>X</v>
      </c>
      <c r="L15601" s="1" t="str">
        <f t="shared" si="3627"/>
        <v>X</v>
      </c>
      <c r="M15601" s="1" t="str">
        <f t="shared" si="3627"/>
        <v>X</v>
      </c>
      <c r="N15601" t="s">
        <v>27</v>
      </c>
    </row>
    <row r="15602" spans="1:14" x14ac:dyDescent="0.25">
      <c r="A15602" t="s">
        <v>45</v>
      </c>
      <c r="B15602" t="s">
        <v>40</v>
      </c>
      <c r="C15602" t="s">
        <v>38</v>
      </c>
      <c r="D15602" t="s">
        <v>28</v>
      </c>
      <c r="E15602" t="s">
        <v>15</v>
      </c>
      <c r="F15602" t="s">
        <v>15</v>
      </c>
      <c r="G15602" s="1">
        <f>VALUE(9301.33)</f>
        <v>9301.33</v>
      </c>
      <c r="H15602" s="1">
        <f>VALUE(6123.99)</f>
        <v>6123.99</v>
      </c>
      <c r="I15602" s="1">
        <f>VALUE(3660)</f>
        <v>3660</v>
      </c>
      <c r="J15602" s="1">
        <f>VALUE(4431)</f>
        <v>4431</v>
      </c>
      <c r="K15602" s="1">
        <f>VALUE(5621)</f>
        <v>5621</v>
      </c>
      <c r="L15602" s="1">
        <f>VALUE(7200)</f>
        <v>7200</v>
      </c>
      <c r="M15602" s="1">
        <f>VALUE(9682)</f>
        <v>9682</v>
      </c>
      <c r="N15602" t="s">
        <v>16</v>
      </c>
    </row>
    <row r="15603" spans="1:14" x14ac:dyDescent="0.25">
      <c r="A15603" t="s">
        <v>45</v>
      </c>
      <c r="B15603" t="s">
        <v>40</v>
      </c>
      <c r="C15603" t="s">
        <v>38</v>
      </c>
      <c r="D15603" t="s">
        <v>28</v>
      </c>
      <c r="E15603" t="s">
        <v>15</v>
      </c>
      <c r="F15603" t="s">
        <v>17</v>
      </c>
      <c r="G15603" s="2">
        <f>VALUE(1601.55)</f>
        <v>1601.55</v>
      </c>
      <c r="H15603" s="3">
        <f>VALUE(1341.99)</f>
        <v>1341.99</v>
      </c>
      <c r="I15603" s="4">
        <f>VALUE(3439)</f>
        <v>3439</v>
      </c>
      <c r="J15603" s="5">
        <f>VALUE(3862)</f>
        <v>3862</v>
      </c>
      <c r="K15603" s="6">
        <f>VALUE(6212)</f>
        <v>6212</v>
      </c>
      <c r="L15603" s="7">
        <f>VALUE(10000)</f>
        <v>10000</v>
      </c>
      <c r="M15603" s="8">
        <f>VALUE(15854)</f>
        <v>15854</v>
      </c>
      <c r="N15603" t="s">
        <v>24</v>
      </c>
    </row>
    <row r="15604" spans="1:14" x14ac:dyDescent="0.25">
      <c r="A15604" t="s">
        <v>45</v>
      </c>
      <c r="B15604" t="s">
        <v>40</v>
      </c>
      <c r="C15604" t="s">
        <v>38</v>
      </c>
      <c r="D15604" t="s">
        <v>28</v>
      </c>
      <c r="E15604" t="s">
        <v>15</v>
      </c>
      <c r="F15604" t="s">
        <v>18</v>
      </c>
      <c r="G15604" s="2">
        <f>VALUE(1291.55)</f>
        <v>1291.55</v>
      </c>
      <c r="H15604" s="3">
        <f>VALUE(809.08)</f>
        <v>809.08</v>
      </c>
      <c r="I15604" s="1">
        <f>VALUE(4128)</f>
        <v>4128</v>
      </c>
      <c r="J15604" s="1">
        <f>VALUE(4969)</f>
        <v>4969</v>
      </c>
      <c r="K15604" s="1">
        <f>VALUE(6519)</f>
        <v>6519</v>
      </c>
      <c r="L15604" s="1">
        <f>VALUE(8204)</f>
        <v>8204</v>
      </c>
      <c r="M15604" s="1">
        <f>VALUE(10133)</f>
        <v>10133</v>
      </c>
      <c r="N15604" t="s">
        <v>25</v>
      </c>
    </row>
    <row r="15605" spans="1:14" x14ac:dyDescent="0.25">
      <c r="A15605" t="s">
        <v>45</v>
      </c>
      <c r="B15605" t="s">
        <v>40</v>
      </c>
      <c r="C15605" t="s">
        <v>38</v>
      </c>
      <c r="D15605" t="s">
        <v>28</v>
      </c>
      <c r="E15605" t="s">
        <v>15</v>
      </c>
      <c r="F15605" t="s">
        <v>19</v>
      </c>
      <c r="G15605" s="2">
        <f>VALUE(869.62)</f>
        <v>869.62</v>
      </c>
      <c r="H15605" s="3">
        <f>VALUE(637.53)</f>
        <v>637.53</v>
      </c>
      <c r="I15605" s="1">
        <f>VALUE(4320)</f>
        <v>4320</v>
      </c>
      <c r="J15605" s="1">
        <f>VALUE(4716)</f>
        <v>4716</v>
      </c>
      <c r="K15605" s="1">
        <f>VALUE(5806)</f>
        <v>5806</v>
      </c>
      <c r="L15605" s="1">
        <f>VALUE(7195)</f>
        <v>7195</v>
      </c>
      <c r="M15605" s="1">
        <f>VALUE(8989)</f>
        <v>8989</v>
      </c>
      <c r="N15605" t="s">
        <v>25</v>
      </c>
    </row>
    <row r="15606" spans="1:14" x14ac:dyDescent="0.25">
      <c r="A15606" t="s">
        <v>45</v>
      </c>
      <c r="B15606" t="s">
        <v>40</v>
      </c>
      <c r="C15606" t="s">
        <v>38</v>
      </c>
      <c r="D15606" t="s">
        <v>28</v>
      </c>
      <c r="E15606" t="s">
        <v>15</v>
      </c>
      <c r="F15606" t="s">
        <v>20</v>
      </c>
      <c r="G15606" s="1">
        <f>VALUE(5538.61)</f>
        <v>5538.61</v>
      </c>
      <c r="H15606" s="1">
        <f>VALUE(3335.39)</f>
        <v>3335.39</v>
      </c>
      <c r="I15606" s="1">
        <f>VALUE(3611)</f>
        <v>3611</v>
      </c>
      <c r="J15606" s="1">
        <f>VALUE(4333)</f>
        <v>4333</v>
      </c>
      <c r="K15606" s="1">
        <f>VALUE(5307)</f>
        <v>5307</v>
      </c>
      <c r="L15606" s="1">
        <f>VALUE(6551)</f>
        <v>6551</v>
      </c>
      <c r="M15606" s="1">
        <f>VALUE(7657)</f>
        <v>7657</v>
      </c>
      <c r="N15606" t="s">
        <v>16</v>
      </c>
    </row>
    <row r="15607" spans="1:14" x14ac:dyDescent="0.25">
      <c r="A15607" t="s">
        <v>45</v>
      </c>
      <c r="B15607" t="s">
        <v>40</v>
      </c>
      <c r="C15607" t="s">
        <v>38</v>
      </c>
      <c r="D15607" t="s">
        <v>28</v>
      </c>
      <c r="E15607" t="s">
        <v>21</v>
      </c>
      <c r="F15607" t="s">
        <v>15</v>
      </c>
      <c r="G15607" s="2">
        <f>VALUE(2176.18)</f>
        <v>2176.1799999999998</v>
      </c>
      <c r="H15607" s="3">
        <f>VALUE(1581.86)</f>
        <v>1581.86</v>
      </c>
      <c r="I15607" s="4">
        <f>VALUE(3792)</f>
        <v>3792</v>
      </c>
      <c r="J15607" s="5">
        <f>VALUE(5593)</f>
        <v>5593</v>
      </c>
      <c r="K15607" s="1">
        <f>VALUE(7208)</f>
        <v>7208</v>
      </c>
      <c r="L15607" s="1">
        <f>VALUE(9750)</f>
        <v>9750</v>
      </c>
      <c r="M15607" s="8">
        <f>VALUE(12885)</f>
        <v>12885</v>
      </c>
      <c r="N15607" t="s">
        <v>25</v>
      </c>
    </row>
    <row r="15608" spans="1:14" x14ac:dyDescent="0.25">
      <c r="A15608" t="s">
        <v>45</v>
      </c>
      <c r="B15608" t="s">
        <v>40</v>
      </c>
      <c r="C15608" t="s">
        <v>38</v>
      </c>
      <c r="D15608" t="s">
        <v>28</v>
      </c>
      <c r="E15608" t="s">
        <v>21</v>
      </c>
      <c r="F15608" t="s">
        <v>17</v>
      </c>
      <c r="G15608" s="2">
        <f>VALUE(742.13)</f>
        <v>742.13</v>
      </c>
      <c r="H15608" s="3">
        <f>VALUE(625.18)</f>
        <v>625.17999999999995</v>
      </c>
      <c r="I15608" s="4">
        <f>VALUE(3576)</f>
        <v>3576</v>
      </c>
      <c r="J15608" s="5">
        <f>VALUE(5138)</f>
        <v>5138</v>
      </c>
      <c r="K15608" s="6">
        <f>VALUE(8125)</f>
        <v>8125</v>
      </c>
      <c r="L15608" s="7">
        <f>VALUE(12263)</f>
        <v>12263</v>
      </c>
      <c r="M15608" s="8">
        <f>VALUE(15854)</f>
        <v>15854</v>
      </c>
      <c r="N15608" t="s">
        <v>24</v>
      </c>
    </row>
    <row r="15609" spans="1:14" x14ac:dyDescent="0.25">
      <c r="A15609" t="s">
        <v>45</v>
      </c>
      <c r="B15609" t="s">
        <v>40</v>
      </c>
      <c r="C15609" t="s">
        <v>38</v>
      </c>
      <c r="D15609" t="s">
        <v>28</v>
      </c>
      <c r="E15609" t="s">
        <v>21</v>
      </c>
      <c r="F15609" t="s">
        <v>18</v>
      </c>
      <c r="G15609" s="2">
        <f>VALUE(463.52)</f>
        <v>463.52</v>
      </c>
      <c r="H15609" s="3">
        <f>VALUE(326.08)</f>
        <v>326.08</v>
      </c>
      <c r="I15609" s="4">
        <f>VALUE(5598)</f>
        <v>5598</v>
      </c>
      <c r="J15609" s="1">
        <f>VALUE(6519)</f>
        <v>6519</v>
      </c>
      <c r="K15609" s="6">
        <f>VALUE(7958)</f>
        <v>7958</v>
      </c>
      <c r="L15609" s="1">
        <f>VALUE(10133)</f>
        <v>10133</v>
      </c>
      <c r="M15609" s="1">
        <f>VALUE(10133)</f>
        <v>10133</v>
      </c>
      <c r="N15609" t="s">
        <v>25</v>
      </c>
    </row>
    <row r="15610" spans="1:14" x14ac:dyDescent="0.25">
      <c r="A15610" t="s">
        <v>45</v>
      </c>
      <c r="B15610" t="s">
        <v>40</v>
      </c>
      <c r="C15610" t="s">
        <v>38</v>
      </c>
      <c r="D15610" t="s">
        <v>28</v>
      </c>
      <c r="E15610" t="s">
        <v>21</v>
      </c>
      <c r="F15610" t="s">
        <v>19</v>
      </c>
      <c r="G15610" s="2">
        <f>VALUE(217.65)</f>
        <v>217.65</v>
      </c>
      <c r="H15610" s="3">
        <f>VALUE(149.35)</f>
        <v>149.35</v>
      </c>
      <c r="I15610" s="1">
        <f>VALUE(4320)</f>
        <v>4320</v>
      </c>
      <c r="J15610" s="5">
        <f>VALUE(5000)</f>
        <v>5000</v>
      </c>
      <c r="K15610" s="6">
        <f>VALUE(7183)</f>
        <v>7183</v>
      </c>
      <c r="L15610" s="7">
        <f>VALUE(8375)</f>
        <v>8375</v>
      </c>
      <c r="M15610" s="8">
        <f>VALUE(10588)</f>
        <v>10588</v>
      </c>
      <c r="N15610" t="s">
        <v>25</v>
      </c>
    </row>
    <row r="15611" spans="1:14" x14ac:dyDescent="0.25">
      <c r="A15611" t="s">
        <v>45</v>
      </c>
      <c r="B15611" t="s">
        <v>40</v>
      </c>
      <c r="C15611" t="s">
        <v>38</v>
      </c>
      <c r="D15611" t="s">
        <v>28</v>
      </c>
      <c r="E15611" t="s">
        <v>21</v>
      </c>
      <c r="F15611" t="s">
        <v>20</v>
      </c>
      <c r="G15611" s="2">
        <f>VALUE(752.88)</f>
        <v>752.88</v>
      </c>
      <c r="H15611" s="3">
        <f>VALUE(481.25)</f>
        <v>481.25</v>
      </c>
      <c r="I15611" s="4">
        <f>VALUE(3532)</f>
        <v>3532</v>
      </c>
      <c r="J15611" s="5">
        <f>VALUE(5200)</f>
        <v>5200</v>
      </c>
      <c r="K15611" s="6">
        <f>VALUE(6321)</f>
        <v>6321</v>
      </c>
      <c r="L15611" s="7">
        <f>VALUE(8190)</f>
        <v>8190</v>
      </c>
      <c r="M15611" s="1">
        <f>VALUE(10275)</f>
        <v>10275</v>
      </c>
      <c r="N15611" t="s">
        <v>25</v>
      </c>
    </row>
    <row r="15612" spans="1:14" x14ac:dyDescent="0.25">
      <c r="A15612" t="s">
        <v>45</v>
      </c>
      <c r="B15612" t="s">
        <v>40</v>
      </c>
      <c r="C15612" t="s">
        <v>38</v>
      </c>
      <c r="D15612" t="s">
        <v>28</v>
      </c>
      <c r="E15612" t="s">
        <v>22</v>
      </c>
      <c r="F15612" t="s">
        <v>15</v>
      </c>
      <c r="G15612" s="2">
        <f>VALUE(5479.22)</f>
        <v>5479.22</v>
      </c>
      <c r="H15612" s="1">
        <f>VALUE(3666.48)</f>
        <v>3666.48</v>
      </c>
      <c r="I15612" s="4">
        <f>VALUE(3790)</f>
        <v>3790</v>
      </c>
      <c r="J15612" s="1">
        <f>VALUE(4541)</f>
        <v>4541</v>
      </c>
      <c r="K15612" s="1">
        <f>VALUE(5543)</f>
        <v>5543</v>
      </c>
      <c r="L15612" s="1">
        <f>VALUE(6740)</f>
        <v>6740</v>
      </c>
      <c r="M15612" s="1">
        <f>VALUE(8054)</f>
        <v>8054</v>
      </c>
      <c r="N15612" t="s">
        <v>25</v>
      </c>
    </row>
    <row r="15613" spans="1:14" x14ac:dyDescent="0.25">
      <c r="A15613" t="s">
        <v>45</v>
      </c>
      <c r="B15613" t="s">
        <v>40</v>
      </c>
      <c r="C15613" t="s">
        <v>38</v>
      </c>
      <c r="D15613" t="s">
        <v>28</v>
      </c>
      <c r="E15613" t="s">
        <v>22</v>
      </c>
      <c r="F15613" t="s">
        <v>17</v>
      </c>
      <c r="G15613" s="2">
        <f>VALUE(821.65)</f>
        <v>821.65</v>
      </c>
      <c r="H15613" s="3">
        <f>VALUE(678.55)</f>
        <v>678.55</v>
      </c>
      <c r="I15613" s="4">
        <f>VALUE(3381)</f>
        <v>3381</v>
      </c>
      <c r="J15613" s="1">
        <f>VALUE(3790)</f>
        <v>3790</v>
      </c>
      <c r="K15613" s="6">
        <f>VALUE(5026)</f>
        <v>5026</v>
      </c>
      <c r="L15613" s="7">
        <f>VALUE(8069)</f>
        <v>8069</v>
      </c>
      <c r="M15613" s="8">
        <f>VALUE(15460)</f>
        <v>15460</v>
      </c>
      <c r="N15613" t="s">
        <v>25</v>
      </c>
    </row>
    <row r="15614" spans="1:14" x14ac:dyDescent="0.25">
      <c r="A15614" t="s">
        <v>45</v>
      </c>
      <c r="B15614" t="s">
        <v>40</v>
      </c>
      <c r="C15614" t="s">
        <v>38</v>
      </c>
      <c r="D15614" t="s">
        <v>28</v>
      </c>
      <c r="E15614" t="s">
        <v>22</v>
      </c>
      <c r="F15614" t="s">
        <v>18</v>
      </c>
      <c r="G15614" s="2">
        <f>VALUE(734.31)</f>
        <v>734.31</v>
      </c>
      <c r="H15614" s="3">
        <f>VALUE(449.78)</f>
        <v>449.78</v>
      </c>
      <c r="I15614" s="1">
        <f>VALUE(4128)</f>
        <v>4128</v>
      </c>
      <c r="J15614" s="1">
        <f>VALUE(4273)</f>
        <v>4273</v>
      </c>
      <c r="K15614" s="1">
        <f>VALUE(5738)</f>
        <v>5738</v>
      </c>
      <c r="L15614" s="1">
        <f>VALUE(7393)</f>
        <v>7393</v>
      </c>
      <c r="M15614" s="1">
        <f>VALUE(8224)</f>
        <v>8224</v>
      </c>
      <c r="N15614" t="s">
        <v>25</v>
      </c>
    </row>
    <row r="15615" spans="1:14" x14ac:dyDescent="0.25">
      <c r="A15615" t="s">
        <v>45</v>
      </c>
      <c r="B15615" t="s">
        <v>40</v>
      </c>
      <c r="C15615" t="s">
        <v>38</v>
      </c>
      <c r="D15615" t="s">
        <v>28</v>
      </c>
      <c r="E15615" t="s">
        <v>22</v>
      </c>
      <c r="F15615" t="s">
        <v>19</v>
      </c>
      <c r="G15615" s="2">
        <f>VALUE(592.45)</f>
        <v>592.45000000000005</v>
      </c>
      <c r="H15615" s="3">
        <f>VALUE(442.46)</f>
        <v>442.46</v>
      </c>
      <c r="I15615" s="4">
        <f>VALUE(4460)</f>
        <v>4460</v>
      </c>
      <c r="J15615" s="1">
        <f>VALUE(4924)</f>
        <v>4924</v>
      </c>
      <c r="K15615" s="1">
        <f>VALUE(5708)</f>
        <v>5708</v>
      </c>
      <c r="L15615" s="1">
        <f>VALUE(6865)</f>
        <v>6865</v>
      </c>
      <c r="M15615" s="1">
        <f>VALUE(8234)</f>
        <v>8234</v>
      </c>
      <c r="N15615" t="s">
        <v>25</v>
      </c>
    </row>
    <row r="15616" spans="1:14" x14ac:dyDescent="0.25">
      <c r="A15616" t="s">
        <v>45</v>
      </c>
      <c r="B15616" t="s">
        <v>40</v>
      </c>
      <c r="C15616" t="s">
        <v>38</v>
      </c>
      <c r="D15616" t="s">
        <v>28</v>
      </c>
      <c r="E15616" t="s">
        <v>22</v>
      </c>
      <c r="F15616" t="s">
        <v>20</v>
      </c>
      <c r="G15616" s="2">
        <f>VALUE(3330.81)</f>
        <v>3330.81</v>
      </c>
      <c r="H15616" s="3">
        <f>VALUE(2095.69)</f>
        <v>2095.69</v>
      </c>
      <c r="I15616" s="1">
        <f>VALUE(3900)</f>
        <v>3900</v>
      </c>
      <c r="J15616" s="1">
        <f>VALUE(4680)</f>
        <v>4680</v>
      </c>
      <c r="K15616" s="1">
        <f>VALUE(5527)</f>
        <v>5527</v>
      </c>
      <c r="L15616" s="1">
        <f>VALUE(6566)</f>
        <v>6566</v>
      </c>
      <c r="M15616" s="1">
        <f>VALUE(7357)</f>
        <v>7357</v>
      </c>
      <c r="N15616" t="s">
        <v>25</v>
      </c>
    </row>
    <row r="15617" spans="1:14" x14ac:dyDescent="0.25">
      <c r="A15617" t="s">
        <v>45</v>
      </c>
      <c r="B15617" t="s">
        <v>40</v>
      </c>
      <c r="C15617" t="s">
        <v>38</v>
      </c>
      <c r="D15617" t="s">
        <v>28</v>
      </c>
      <c r="E15617" t="s">
        <v>23</v>
      </c>
      <c r="F15617" t="s">
        <v>15</v>
      </c>
      <c r="G15617" s="2">
        <f>VALUE(1570.79)</f>
        <v>1570.79</v>
      </c>
      <c r="H15617" s="1">
        <f>VALUE(851.14)</f>
        <v>851.14</v>
      </c>
      <c r="I15617" s="1">
        <f>VALUE(3378)</f>
        <v>3378</v>
      </c>
      <c r="J15617" s="1">
        <f>VALUE(3663)</f>
        <v>3663</v>
      </c>
      <c r="K15617" s="1">
        <f>VALUE(4342)</f>
        <v>4342</v>
      </c>
      <c r="L15617" s="1">
        <f>VALUE(5012)</f>
        <v>5012</v>
      </c>
      <c r="M15617" s="8">
        <f>VALUE(6023)</f>
        <v>6023</v>
      </c>
      <c r="N15617" t="s">
        <v>25</v>
      </c>
    </row>
    <row r="15618" spans="1:14" x14ac:dyDescent="0.25">
      <c r="A15618" t="s">
        <v>45</v>
      </c>
      <c r="B15618" t="s">
        <v>40</v>
      </c>
      <c r="C15618" t="s">
        <v>38</v>
      </c>
      <c r="D15618" t="s">
        <v>28</v>
      </c>
      <c r="E15618" t="s">
        <v>23</v>
      </c>
      <c r="F15618" t="s">
        <v>17</v>
      </c>
      <c r="G15618" s="1" t="str">
        <f t="shared" ref="G15618:M15620" si="3628">"X"</f>
        <v>X</v>
      </c>
      <c r="H15618" s="1" t="str">
        <f t="shared" si="3628"/>
        <v>X</v>
      </c>
      <c r="I15618" s="1" t="str">
        <f t="shared" si="3628"/>
        <v>X</v>
      </c>
      <c r="J15618" s="1" t="str">
        <f t="shared" si="3628"/>
        <v>X</v>
      </c>
      <c r="K15618" s="1" t="str">
        <f t="shared" si="3628"/>
        <v>X</v>
      </c>
      <c r="L15618" s="1" t="str">
        <f t="shared" si="3628"/>
        <v>X</v>
      </c>
      <c r="M15618" s="1" t="str">
        <f t="shared" si="3628"/>
        <v>X</v>
      </c>
      <c r="N15618" t="s">
        <v>27</v>
      </c>
    </row>
    <row r="15619" spans="1:14" x14ac:dyDescent="0.25">
      <c r="A15619" t="s">
        <v>45</v>
      </c>
      <c r="B15619" t="s">
        <v>40</v>
      </c>
      <c r="C15619" t="s">
        <v>38</v>
      </c>
      <c r="D15619" t="s">
        <v>28</v>
      </c>
      <c r="E15619" t="s">
        <v>23</v>
      </c>
      <c r="F15619" t="s">
        <v>18</v>
      </c>
      <c r="G15619" s="1" t="str">
        <f t="shared" si="3628"/>
        <v>X</v>
      </c>
      <c r="H15619" s="1" t="str">
        <f t="shared" si="3628"/>
        <v>X</v>
      </c>
      <c r="I15619" s="1" t="str">
        <f t="shared" si="3628"/>
        <v>X</v>
      </c>
      <c r="J15619" s="1" t="str">
        <f t="shared" si="3628"/>
        <v>X</v>
      </c>
      <c r="K15619" s="1" t="str">
        <f t="shared" si="3628"/>
        <v>X</v>
      </c>
      <c r="L15619" s="1" t="str">
        <f t="shared" si="3628"/>
        <v>X</v>
      </c>
      <c r="M15619" s="1" t="str">
        <f t="shared" si="3628"/>
        <v>X</v>
      </c>
      <c r="N15619" t="s">
        <v>27</v>
      </c>
    </row>
    <row r="15620" spans="1:14" x14ac:dyDescent="0.25">
      <c r="A15620" t="s">
        <v>45</v>
      </c>
      <c r="B15620" t="s">
        <v>40</v>
      </c>
      <c r="C15620" t="s">
        <v>38</v>
      </c>
      <c r="D15620" t="s">
        <v>28</v>
      </c>
      <c r="E15620" t="s">
        <v>23</v>
      </c>
      <c r="F15620" t="s">
        <v>19</v>
      </c>
      <c r="G15620" s="1" t="str">
        <f t="shared" si="3628"/>
        <v>X</v>
      </c>
      <c r="H15620" s="1" t="str">
        <f t="shared" si="3628"/>
        <v>X</v>
      </c>
      <c r="I15620" s="1" t="str">
        <f t="shared" si="3628"/>
        <v>X</v>
      </c>
      <c r="J15620" s="1" t="str">
        <f t="shared" si="3628"/>
        <v>X</v>
      </c>
      <c r="K15620" s="1" t="str">
        <f t="shared" si="3628"/>
        <v>X</v>
      </c>
      <c r="L15620" s="1" t="str">
        <f t="shared" si="3628"/>
        <v>X</v>
      </c>
      <c r="M15620" s="1" t="str">
        <f t="shared" si="3628"/>
        <v>X</v>
      </c>
      <c r="N15620" t="s">
        <v>27</v>
      </c>
    </row>
    <row r="15621" spans="1:14" x14ac:dyDescent="0.25">
      <c r="A15621" t="s">
        <v>45</v>
      </c>
      <c r="B15621" t="s">
        <v>40</v>
      </c>
      <c r="C15621" t="s">
        <v>38</v>
      </c>
      <c r="D15621" t="s">
        <v>28</v>
      </c>
      <c r="E15621" t="s">
        <v>23</v>
      </c>
      <c r="F15621" t="s">
        <v>20</v>
      </c>
      <c r="G15621" s="2">
        <f>VALUE(1400.22)</f>
        <v>1400.22</v>
      </c>
      <c r="H15621" s="3">
        <f>VALUE(744.97)</f>
        <v>744.97</v>
      </c>
      <c r="I15621" s="1">
        <f>VALUE(3371)</f>
        <v>3371</v>
      </c>
      <c r="J15621" s="1">
        <f>VALUE(3652)</f>
        <v>3652</v>
      </c>
      <c r="K15621" s="1">
        <f>VALUE(4333)</f>
        <v>4333</v>
      </c>
      <c r="L15621" s="1">
        <f>VALUE(4930)</f>
        <v>4930</v>
      </c>
      <c r="M15621" s="8">
        <f>VALUE(5709)</f>
        <v>5709</v>
      </c>
      <c r="N15621" t="s">
        <v>25</v>
      </c>
    </row>
    <row r="15622" spans="1:14" x14ac:dyDescent="0.25">
      <c r="A15622" t="s">
        <v>45</v>
      </c>
      <c r="B15622" t="s">
        <v>40</v>
      </c>
      <c r="C15622" t="s">
        <v>38</v>
      </c>
      <c r="D15622" t="s">
        <v>28</v>
      </c>
      <c r="E15622" t="s">
        <v>26</v>
      </c>
      <c r="F15622" t="s">
        <v>15</v>
      </c>
      <c r="G15622" s="1" t="str">
        <f t="shared" ref="G15622:M15624" si="3629">"X"</f>
        <v>X</v>
      </c>
      <c r="H15622" s="1" t="str">
        <f t="shared" si="3629"/>
        <v>X</v>
      </c>
      <c r="I15622" s="1" t="str">
        <f t="shared" si="3629"/>
        <v>X</v>
      </c>
      <c r="J15622" s="1" t="str">
        <f t="shared" si="3629"/>
        <v>X</v>
      </c>
      <c r="K15622" s="1" t="str">
        <f t="shared" si="3629"/>
        <v>X</v>
      </c>
      <c r="L15622" s="1" t="str">
        <f t="shared" si="3629"/>
        <v>X</v>
      </c>
      <c r="M15622" s="1" t="str">
        <f t="shared" si="3629"/>
        <v>X</v>
      </c>
      <c r="N15622" t="s">
        <v>27</v>
      </c>
    </row>
    <row r="15623" spans="1:14" x14ac:dyDescent="0.25">
      <c r="A15623" t="s">
        <v>45</v>
      </c>
      <c r="B15623" t="s">
        <v>40</v>
      </c>
      <c r="C15623" t="s">
        <v>38</v>
      </c>
      <c r="D15623" t="s">
        <v>28</v>
      </c>
      <c r="E15623" t="s">
        <v>26</v>
      </c>
      <c r="F15623" t="s">
        <v>17</v>
      </c>
      <c r="G15623" s="1" t="str">
        <f t="shared" si="3629"/>
        <v>X</v>
      </c>
      <c r="H15623" s="1" t="str">
        <f t="shared" si="3629"/>
        <v>X</v>
      </c>
      <c r="I15623" s="1" t="str">
        <f t="shared" si="3629"/>
        <v>X</v>
      </c>
      <c r="J15623" s="1" t="str">
        <f t="shared" si="3629"/>
        <v>X</v>
      </c>
      <c r="K15623" s="1" t="str">
        <f t="shared" si="3629"/>
        <v>X</v>
      </c>
      <c r="L15623" s="1" t="str">
        <f t="shared" si="3629"/>
        <v>X</v>
      </c>
      <c r="M15623" s="1" t="str">
        <f t="shared" si="3629"/>
        <v>X</v>
      </c>
      <c r="N15623" t="s">
        <v>27</v>
      </c>
    </row>
    <row r="15624" spans="1:14" x14ac:dyDescent="0.25">
      <c r="A15624" t="s">
        <v>45</v>
      </c>
      <c r="B15624" t="s">
        <v>40</v>
      </c>
      <c r="C15624" t="s">
        <v>38</v>
      </c>
      <c r="D15624" t="s">
        <v>28</v>
      </c>
      <c r="E15624" t="s">
        <v>26</v>
      </c>
      <c r="F15624" t="s">
        <v>18</v>
      </c>
      <c r="G15624" s="1" t="str">
        <f t="shared" si="3629"/>
        <v>X</v>
      </c>
      <c r="H15624" s="1" t="str">
        <f t="shared" si="3629"/>
        <v>X</v>
      </c>
      <c r="I15624" s="1" t="str">
        <f t="shared" si="3629"/>
        <v>X</v>
      </c>
      <c r="J15624" s="1" t="str">
        <f t="shared" si="3629"/>
        <v>X</v>
      </c>
      <c r="K15624" s="1" t="str">
        <f t="shared" si="3629"/>
        <v>X</v>
      </c>
      <c r="L15624" s="1" t="str">
        <f t="shared" si="3629"/>
        <v>X</v>
      </c>
      <c r="M15624" s="1" t="str">
        <f t="shared" si="3629"/>
        <v>X</v>
      </c>
      <c r="N15624" t="s">
        <v>27</v>
      </c>
    </row>
    <row r="15625" spans="1:14" x14ac:dyDescent="0.25">
      <c r="A15625" t="s">
        <v>45</v>
      </c>
      <c r="B15625" t="s">
        <v>40</v>
      </c>
      <c r="C15625" t="s">
        <v>38</v>
      </c>
      <c r="D15625" t="s">
        <v>28</v>
      </c>
      <c r="E15625" t="s">
        <v>26</v>
      </c>
      <c r="F15625" t="s">
        <v>19</v>
      </c>
      <c r="G15625" s="1" t="str">
        <f t="shared" ref="G15625:M15625" si="3630">"..."</f>
        <v>...</v>
      </c>
      <c r="H15625" s="1" t="str">
        <f t="shared" si="3630"/>
        <v>...</v>
      </c>
      <c r="I15625" s="1" t="str">
        <f t="shared" si="3630"/>
        <v>...</v>
      </c>
      <c r="J15625" s="1" t="str">
        <f t="shared" si="3630"/>
        <v>...</v>
      </c>
      <c r="K15625" s="1" t="str">
        <f t="shared" si="3630"/>
        <v>...</v>
      </c>
      <c r="L15625" s="1" t="str">
        <f t="shared" si="3630"/>
        <v>...</v>
      </c>
      <c r="M15625" s="1" t="str">
        <f t="shared" si="3630"/>
        <v>...</v>
      </c>
      <c r="N15625" t="s">
        <v>30</v>
      </c>
    </row>
    <row r="15626" spans="1:14" x14ac:dyDescent="0.25">
      <c r="A15626" t="s">
        <v>45</v>
      </c>
      <c r="B15626" t="s">
        <v>40</v>
      </c>
      <c r="C15626" t="s">
        <v>38</v>
      </c>
      <c r="D15626" t="s">
        <v>28</v>
      </c>
      <c r="E15626" t="s">
        <v>26</v>
      </c>
      <c r="F15626" t="s">
        <v>20</v>
      </c>
      <c r="G15626" s="1" t="str">
        <f t="shared" ref="G15626:M15626" si="3631">"X"</f>
        <v>X</v>
      </c>
      <c r="H15626" s="1" t="str">
        <f t="shared" si="3631"/>
        <v>X</v>
      </c>
      <c r="I15626" s="1" t="str">
        <f t="shared" si="3631"/>
        <v>X</v>
      </c>
      <c r="J15626" s="1" t="str">
        <f t="shared" si="3631"/>
        <v>X</v>
      </c>
      <c r="K15626" s="1" t="str">
        <f t="shared" si="3631"/>
        <v>X</v>
      </c>
      <c r="L15626" s="1" t="str">
        <f t="shared" si="3631"/>
        <v>X</v>
      </c>
      <c r="M15626" s="1" t="str">
        <f t="shared" si="3631"/>
        <v>X</v>
      </c>
      <c r="N15626" t="s">
        <v>27</v>
      </c>
    </row>
    <row r="15627" spans="1:14" x14ac:dyDescent="0.25">
      <c r="A15627" t="s">
        <v>45</v>
      </c>
      <c r="B15627" t="s">
        <v>40</v>
      </c>
      <c r="C15627" t="s">
        <v>38</v>
      </c>
      <c r="D15627" t="s">
        <v>29</v>
      </c>
      <c r="E15627" t="s">
        <v>15</v>
      </c>
      <c r="F15627" t="s">
        <v>15</v>
      </c>
      <c r="G15627" s="2">
        <f>VALUE(2177.93)</f>
        <v>2177.9299999999998</v>
      </c>
      <c r="H15627" s="1">
        <f>VALUE(1453.03)</f>
        <v>1453.03</v>
      </c>
      <c r="I15627" s="1">
        <f>VALUE(3422)</f>
        <v>3422</v>
      </c>
      <c r="J15627" s="1">
        <f>VALUE(3756)</f>
        <v>3756</v>
      </c>
      <c r="K15627" s="1">
        <f>VALUE(4599)</f>
        <v>4599</v>
      </c>
      <c r="L15627" s="1">
        <f>VALUE(5629)</f>
        <v>5629</v>
      </c>
      <c r="M15627" s="1">
        <f>VALUE(7998)</f>
        <v>7998</v>
      </c>
      <c r="N15627" t="s">
        <v>25</v>
      </c>
    </row>
    <row r="15628" spans="1:14" x14ac:dyDescent="0.25">
      <c r="A15628" t="s">
        <v>45</v>
      </c>
      <c r="B15628" t="s">
        <v>40</v>
      </c>
      <c r="C15628" t="s">
        <v>38</v>
      </c>
      <c r="D15628" t="s">
        <v>29</v>
      </c>
      <c r="E15628" t="s">
        <v>15</v>
      </c>
      <c r="F15628" t="s">
        <v>17</v>
      </c>
      <c r="G15628" s="1" t="str">
        <f t="shared" ref="G15628:M15629" si="3632">"X"</f>
        <v>X</v>
      </c>
      <c r="H15628" s="1" t="str">
        <f t="shared" si="3632"/>
        <v>X</v>
      </c>
      <c r="I15628" s="1" t="str">
        <f t="shared" si="3632"/>
        <v>X</v>
      </c>
      <c r="J15628" s="1" t="str">
        <f t="shared" si="3632"/>
        <v>X</v>
      </c>
      <c r="K15628" s="1" t="str">
        <f t="shared" si="3632"/>
        <v>X</v>
      </c>
      <c r="L15628" s="1" t="str">
        <f t="shared" si="3632"/>
        <v>X</v>
      </c>
      <c r="M15628" s="1" t="str">
        <f t="shared" si="3632"/>
        <v>X</v>
      </c>
      <c r="N15628" t="s">
        <v>27</v>
      </c>
    </row>
    <row r="15629" spans="1:14" x14ac:dyDescent="0.25">
      <c r="A15629" t="s">
        <v>45</v>
      </c>
      <c r="B15629" t="s">
        <v>40</v>
      </c>
      <c r="C15629" t="s">
        <v>38</v>
      </c>
      <c r="D15629" t="s">
        <v>29</v>
      </c>
      <c r="E15629" t="s">
        <v>15</v>
      </c>
      <c r="F15629" t="s">
        <v>18</v>
      </c>
      <c r="G15629" s="1" t="str">
        <f t="shared" si="3632"/>
        <v>X</v>
      </c>
      <c r="H15629" s="1" t="str">
        <f t="shared" si="3632"/>
        <v>X</v>
      </c>
      <c r="I15629" s="1" t="str">
        <f t="shared" si="3632"/>
        <v>X</v>
      </c>
      <c r="J15629" s="1" t="str">
        <f t="shared" si="3632"/>
        <v>X</v>
      </c>
      <c r="K15629" s="1" t="str">
        <f t="shared" si="3632"/>
        <v>X</v>
      </c>
      <c r="L15629" s="1" t="str">
        <f t="shared" si="3632"/>
        <v>X</v>
      </c>
      <c r="M15629" s="1" t="str">
        <f t="shared" si="3632"/>
        <v>X</v>
      </c>
      <c r="N15629" t="s">
        <v>27</v>
      </c>
    </row>
    <row r="15630" spans="1:14" x14ac:dyDescent="0.25">
      <c r="A15630" t="s">
        <v>45</v>
      </c>
      <c r="B15630" t="s">
        <v>40</v>
      </c>
      <c r="C15630" t="s">
        <v>38</v>
      </c>
      <c r="D15630" t="s">
        <v>29</v>
      </c>
      <c r="E15630" t="s">
        <v>15</v>
      </c>
      <c r="F15630" t="s">
        <v>19</v>
      </c>
      <c r="G15630" s="2">
        <f>VALUE(206.67)</f>
        <v>206.67</v>
      </c>
      <c r="H15630" s="3">
        <f>VALUE(185.58)</f>
        <v>185.58</v>
      </c>
      <c r="I15630" s="4">
        <f>VALUE(3734)</f>
        <v>3734</v>
      </c>
      <c r="J15630" s="1">
        <f>VALUE(3844)</f>
        <v>3844</v>
      </c>
      <c r="K15630" s="1">
        <f>VALUE(4534)</f>
        <v>4534</v>
      </c>
      <c r="L15630" s="7">
        <f>VALUE(5443)</f>
        <v>5443</v>
      </c>
      <c r="M15630" s="8">
        <f>VALUE(9583)</f>
        <v>9583</v>
      </c>
      <c r="N15630" t="s">
        <v>25</v>
      </c>
    </row>
    <row r="15631" spans="1:14" x14ac:dyDescent="0.25">
      <c r="A15631" t="s">
        <v>45</v>
      </c>
      <c r="B15631" t="s">
        <v>40</v>
      </c>
      <c r="C15631" t="s">
        <v>38</v>
      </c>
      <c r="D15631" t="s">
        <v>29</v>
      </c>
      <c r="E15631" t="s">
        <v>15</v>
      </c>
      <c r="F15631" t="s">
        <v>20</v>
      </c>
      <c r="G15631" s="2">
        <f>VALUE(1621)</f>
        <v>1621</v>
      </c>
      <c r="H15631" s="3">
        <f>VALUE(967.41)</f>
        <v>967.41</v>
      </c>
      <c r="I15631" s="1">
        <f>VALUE(3334)</f>
        <v>3334</v>
      </c>
      <c r="J15631" s="1">
        <f>VALUE(3620)</f>
        <v>3620</v>
      </c>
      <c r="K15631" s="1">
        <f>VALUE(4317)</f>
        <v>4317</v>
      </c>
      <c r="L15631" s="1">
        <f>VALUE(5373)</f>
        <v>5373</v>
      </c>
      <c r="M15631" s="1">
        <f>VALUE(6231)</f>
        <v>6231</v>
      </c>
      <c r="N15631" t="s">
        <v>25</v>
      </c>
    </row>
    <row r="15632" spans="1:14" x14ac:dyDescent="0.25">
      <c r="A15632" t="s">
        <v>45</v>
      </c>
      <c r="B15632" t="s">
        <v>40</v>
      </c>
      <c r="C15632" t="s">
        <v>38</v>
      </c>
      <c r="D15632" t="s">
        <v>29</v>
      </c>
      <c r="E15632" t="s">
        <v>21</v>
      </c>
      <c r="F15632" t="s">
        <v>15</v>
      </c>
      <c r="G15632" s="2">
        <f>VALUE(267.61)</f>
        <v>267.61</v>
      </c>
      <c r="H15632" s="3">
        <f>VALUE(229.7)</f>
        <v>229.7</v>
      </c>
      <c r="I15632" s="4">
        <f>VALUE(3864)</f>
        <v>3864</v>
      </c>
      <c r="J15632" s="5">
        <f>VALUE(5442)</f>
        <v>5442</v>
      </c>
      <c r="K15632" s="1">
        <f>VALUE(7564)</f>
        <v>7564</v>
      </c>
      <c r="L15632" s="7">
        <f>VALUE(8968)</f>
        <v>8968</v>
      </c>
      <c r="M15632" s="8">
        <f>VALUE(12547)</f>
        <v>12547</v>
      </c>
      <c r="N15632" t="s">
        <v>25</v>
      </c>
    </row>
    <row r="15633" spans="1:14" x14ac:dyDescent="0.25">
      <c r="A15633" t="s">
        <v>45</v>
      </c>
      <c r="B15633" t="s">
        <v>40</v>
      </c>
      <c r="C15633" t="s">
        <v>38</v>
      </c>
      <c r="D15633" t="s">
        <v>29</v>
      </c>
      <c r="E15633" t="s">
        <v>21</v>
      </c>
      <c r="F15633" t="s">
        <v>17</v>
      </c>
      <c r="G15633" s="1" t="str">
        <f t="shared" ref="G15633:M15636" si="3633">"X"</f>
        <v>X</v>
      </c>
      <c r="H15633" s="1" t="str">
        <f t="shared" si="3633"/>
        <v>X</v>
      </c>
      <c r="I15633" s="1" t="str">
        <f t="shared" si="3633"/>
        <v>X</v>
      </c>
      <c r="J15633" s="1" t="str">
        <f t="shared" si="3633"/>
        <v>X</v>
      </c>
      <c r="K15633" s="1" t="str">
        <f t="shared" si="3633"/>
        <v>X</v>
      </c>
      <c r="L15633" s="1" t="str">
        <f t="shared" si="3633"/>
        <v>X</v>
      </c>
      <c r="M15633" s="1" t="str">
        <f t="shared" si="3633"/>
        <v>X</v>
      </c>
      <c r="N15633" t="s">
        <v>27</v>
      </c>
    </row>
    <row r="15634" spans="1:14" x14ac:dyDescent="0.25">
      <c r="A15634" t="s">
        <v>45</v>
      </c>
      <c r="B15634" t="s">
        <v>40</v>
      </c>
      <c r="C15634" t="s">
        <v>38</v>
      </c>
      <c r="D15634" t="s">
        <v>29</v>
      </c>
      <c r="E15634" t="s">
        <v>21</v>
      </c>
      <c r="F15634" t="s">
        <v>18</v>
      </c>
      <c r="G15634" s="1" t="str">
        <f t="shared" si="3633"/>
        <v>X</v>
      </c>
      <c r="H15634" s="1" t="str">
        <f t="shared" si="3633"/>
        <v>X</v>
      </c>
      <c r="I15634" s="1" t="str">
        <f t="shared" si="3633"/>
        <v>X</v>
      </c>
      <c r="J15634" s="1" t="str">
        <f t="shared" si="3633"/>
        <v>X</v>
      </c>
      <c r="K15634" s="1" t="str">
        <f t="shared" si="3633"/>
        <v>X</v>
      </c>
      <c r="L15634" s="1" t="str">
        <f t="shared" si="3633"/>
        <v>X</v>
      </c>
      <c r="M15634" s="1" t="str">
        <f t="shared" si="3633"/>
        <v>X</v>
      </c>
      <c r="N15634" t="s">
        <v>27</v>
      </c>
    </row>
    <row r="15635" spans="1:14" x14ac:dyDescent="0.25">
      <c r="A15635" t="s">
        <v>45</v>
      </c>
      <c r="B15635" t="s">
        <v>40</v>
      </c>
      <c r="C15635" t="s">
        <v>38</v>
      </c>
      <c r="D15635" t="s">
        <v>29</v>
      </c>
      <c r="E15635" t="s">
        <v>21</v>
      </c>
      <c r="F15635" t="s">
        <v>19</v>
      </c>
      <c r="G15635" s="1" t="str">
        <f t="shared" si="3633"/>
        <v>X</v>
      </c>
      <c r="H15635" s="1" t="str">
        <f t="shared" si="3633"/>
        <v>X</v>
      </c>
      <c r="I15635" s="1" t="str">
        <f t="shared" si="3633"/>
        <v>X</v>
      </c>
      <c r="J15635" s="1" t="str">
        <f t="shared" si="3633"/>
        <v>X</v>
      </c>
      <c r="K15635" s="1" t="str">
        <f t="shared" si="3633"/>
        <v>X</v>
      </c>
      <c r="L15635" s="1" t="str">
        <f t="shared" si="3633"/>
        <v>X</v>
      </c>
      <c r="M15635" s="1" t="str">
        <f t="shared" si="3633"/>
        <v>X</v>
      </c>
      <c r="N15635" t="s">
        <v>27</v>
      </c>
    </row>
    <row r="15636" spans="1:14" x14ac:dyDescent="0.25">
      <c r="A15636" t="s">
        <v>45</v>
      </c>
      <c r="B15636" t="s">
        <v>40</v>
      </c>
      <c r="C15636" t="s">
        <v>38</v>
      </c>
      <c r="D15636" t="s">
        <v>29</v>
      </c>
      <c r="E15636" t="s">
        <v>21</v>
      </c>
      <c r="F15636" t="s">
        <v>20</v>
      </c>
      <c r="G15636" s="1" t="str">
        <f t="shared" si="3633"/>
        <v>X</v>
      </c>
      <c r="H15636" s="1" t="str">
        <f t="shared" si="3633"/>
        <v>X</v>
      </c>
      <c r="I15636" s="1" t="str">
        <f t="shared" si="3633"/>
        <v>X</v>
      </c>
      <c r="J15636" s="1" t="str">
        <f t="shared" si="3633"/>
        <v>X</v>
      </c>
      <c r="K15636" s="1" t="str">
        <f t="shared" si="3633"/>
        <v>X</v>
      </c>
      <c r="L15636" s="1" t="str">
        <f t="shared" si="3633"/>
        <v>X</v>
      </c>
      <c r="M15636" s="1" t="str">
        <f t="shared" si="3633"/>
        <v>X</v>
      </c>
      <c r="N15636" t="s">
        <v>27</v>
      </c>
    </row>
    <row r="15637" spans="1:14" x14ac:dyDescent="0.25">
      <c r="A15637" t="s">
        <v>45</v>
      </c>
      <c r="B15637" t="s">
        <v>40</v>
      </c>
      <c r="C15637" t="s">
        <v>38</v>
      </c>
      <c r="D15637" t="s">
        <v>29</v>
      </c>
      <c r="E15637" t="s">
        <v>22</v>
      </c>
      <c r="F15637" t="s">
        <v>15</v>
      </c>
      <c r="G15637" s="2">
        <f>VALUE(620.76)</f>
        <v>620.76</v>
      </c>
      <c r="H15637" s="3">
        <f>VALUE(477.66)</f>
        <v>477.66</v>
      </c>
      <c r="I15637" s="1">
        <f>VALUE(3756)</f>
        <v>3756</v>
      </c>
      <c r="J15637" s="1">
        <f>VALUE(4391)</f>
        <v>4391</v>
      </c>
      <c r="K15637" s="1">
        <f>VALUE(5404)</f>
        <v>5404</v>
      </c>
      <c r="L15637" s="1">
        <f>VALUE(5956)</f>
        <v>5956</v>
      </c>
      <c r="M15637" s="1">
        <f>VALUE(8028)</f>
        <v>8028</v>
      </c>
      <c r="N15637" t="s">
        <v>25</v>
      </c>
    </row>
    <row r="15638" spans="1:14" x14ac:dyDescent="0.25">
      <c r="A15638" t="s">
        <v>45</v>
      </c>
      <c r="B15638" t="s">
        <v>40</v>
      </c>
      <c r="C15638" t="s">
        <v>38</v>
      </c>
      <c r="D15638" t="s">
        <v>29</v>
      </c>
      <c r="E15638" t="s">
        <v>22</v>
      </c>
      <c r="F15638" t="s">
        <v>17</v>
      </c>
      <c r="G15638" s="1" t="str">
        <f t="shared" ref="G15638:M15640" si="3634">"X"</f>
        <v>X</v>
      </c>
      <c r="H15638" s="1" t="str">
        <f t="shared" si="3634"/>
        <v>X</v>
      </c>
      <c r="I15638" s="1" t="str">
        <f t="shared" si="3634"/>
        <v>X</v>
      </c>
      <c r="J15638" s="1" t="str">
        <f t="shared" si="3634"/>
        <v>X</v>
      </c>
      <c r="K15638" s="1" t="str">
        <f t="shared" si="3634"/>
        <v>X</v>
      </c>
      <c r="L15638" s="1" t="str">
        <f t="shared" si="3634"/>
        <v>X</v>
      </c>
      <c r="M15638" s="1" t="str">
        <f t="shared" si="3634"/>
        <v>X</v>
      </c>
      <c r="N15638" t="s">
        <v>27</v>
      </c>
    </row>
    <row r="15639" spans="1:14" x14ac:dyDescent="0.25">
      <c r="A15639" t="s">
        <v>45</v>
      </c>
      <c r="B15639" t="s">
        <v>40</v>
      </c>
      <c r="C15639" t="s">
        <v>38</v>
      </c>
      <c r="D15639" t="s">
        <v>29</v>
      </c>
      <c r="E15639" t="s">
        <v>22</v>
      </c>
      <c r="F15639" t="s">
        <v>18</v>
      </c>
      <c r="G15639" s="1" t="str">
        <f t="shared" si="3634"/>
        <v>X</v>
      </c>
      <c r="H15639" s="1" t="str">
        <f t="shared" si="3634"/>
        <v>X</v>
      </c>
      <c r="I15639" s="1" t="str">
        <f t="shared" si="3634"/>
        <v>X</v>
      </c>
      <c r="J15639" s="1" t="str">
        <f t="shared" si="3634"/>
        <v>X</v>
      </c>
      <c r="K15639" s="1" t="str">
        <f t="shared" si="3634"/>
        <v>X</v>
      </c>
      <c r="L15639" s="1" t="str">
        <f t="shared" si="3634"/>
        <v>X</v>
      </c>
      <c r="M15639" s="1" t="str">
        <f t="shared" si="3634"/>
        <v>X</v>
      </c>
      <c r="N15639" t="s">
        <v>27</v>
      </c>
    </row>
    <row r="15640" spans="1:14" x14ac:dyDescent="0.25">
      <c r="A15640" t="s">
        <v>45</v>
      </c>
      <c r="B15640" t="s">
        <v>40</v>
      </c>
      <c r="C15640" t="s">
        <v>38</v>
      </c>
      <c r="D15640" t="s">
        <v>29</v>
      </c>
      <c r="E15640" t="s">
        <v>22</v>
      </c>
      <c r="F15640" t="s">
        <v>19</v>
      </c>
      <c r="G15640" s="1" t="str">
        <f t="shared" si="3634"/>
        <v>X</v>
      </c>
      <c r="H15640" s="1" t="str">
        <f t="shared" si="3634"/>
        <v>X</v>
      </c>
      <c r="I15640" s="1" t="str">
        <f t="shared" si="3634"/>
        <v>X</v>
      </c>
      <c r="J15640" s="1" t="str">
        <f t="shared" si="3634"/>
        <v>X</v>
      </c>
      <c r="K15640" s="1" t="str">
        <f t="shared" si="3634"/>
        <v>X</v>
      </c>
      <c r="L15640" s="1" t="str">
        <f t="shared" si="3634"/>
        <v>X</v>
      </c>
      <c r="M15640" s="1" t="str">
        <f t="shared" si="3634"/>
        <v>X</v>
      </c>
      <c r="N15640" t="s">
        <v>27</v>
      </c>
    </row>
    <row r="15641" spans="1:14" x14ac:dyDescent="0.25">
      <c r="A15641" t="s">
        <v>45</v>
      </c>
      <c r="B15641" t="s">
        <v>40</v>
      </c>
      <c r="C15641" t="s">
        <v>38</v>
      </c>
      <c r="D15641" t="s">
        <v>29</v>
      </c>
      <c r="E15641" t="s">
        <v>22</v>
      </c>
      <c r="F15641" t="s">
        <v>20</v>
      </c>
      <c r="G15641" s="2">
        <f>VALUE(422.24)</f>
        <v>422.24</v>
      </c>
      <c r="H15641" s="3">
        <f>VALUE(292.95)</f>
        <v>292.95</v>
      </c>
      <c r="I15641" s="1">
        <f>VALUE(3756)</f>
        <v>3756</v>
      </c>
      <c r="J15641" s="1">
        <f>VALUE(4216)</f>
        <v>4216</v>
      </c>
      <c r="K15641" s="1">
        <f>VALUE(5149)</f>
        <v>5149</v>
      </c>
      <c r="L15641" s="1">
        <f>VALUE(5612)</f>
        <v>5612</v>
      </c>
      <c r="M15641" s="8">
        <f>VALUE(6760)</f>
        <v>6760</v>
      </c>
      <c r="N15641" t="s">
        <v>25</v>
      </c>
    </row>
    <row r="15642" spans="1:14" x14ac:dyDescent="0.25">
      <c r="A15642" t="s">
        <v>45</v>
      </c>
      <c r="B15642" t="s">
        <v>40</v>
      </c>
      <c r="C15642" t="s">
        <v>38</v>
      </c>
      <c r="D15642" t="s">
        <v>29</v>
      </c>
      <c r="E15642" t="s">
        <v>23</v>
      </c>
      <c r="F15642" t="s">
        <v>15</v>
      </c>
      <c r="G15642" s="2">
        <f>VALUE(1240.99)</f>
        <v>1240.99</v>
      </c>
      <c r="H15642" s="3">
        <f>VALUE(729.27)</f>
        <v>729.27</v>
      </c>
      <c r="I15642" s="1">
        <f>VALUE(3260)</f>
        <v>3260</v>
      </c>
      <c r="J15642" s="1">
        <f>VALUE(3543)</f>
        <v>3543</v>
      </c>
      <c r="K15642" s="1">
        <f>VALUE(3934)</f>
        <v>3934</v>
      </c>
      <c r="L15642" s="1">
        <f>VALUE(4608)</f>
        <v>4608</v>
      </c>
      <c r="M15642" s="1">
        <f>VALUE(5178)</f>
        <v>5178</v>
      </c>
      <c r="N15642" t="s">
        <v>25</v>
      </c>
    </row>
    <row r="15643" spans="1:14" x14ac:dyDescent="0.25">
      <c r="A15643" t="s">
        <v>45</v>
      </c>
      <c r="B15643" t="s">
        <v>40</v>
      </c>
      <c r="C15643" t="s">
        <v>38</v>
      </c>
      <c r="D15643" t="s">
        <v>29</v>
      </c>
      <c r="E15643" t="s">
        <v>23</v>
      </c>
      <c r="F15643" t="s">
        <v>17</v>
      </c>
      <c r="G15643" s="1" t="str">
        <f t="shared" ref="G15643:M15645" si="3635">"X"</f>
        <v>X</v>
      </c>
      <c r="H15643" s="1" t="str">
        <f t="shared" si="3635"/>
        <v>X</v>
      </c>
      <c r="I15643" s="1" t="str">
        <f t="shared" si="3635"/>
        <v>X</v>
      </c>
      <c r="J15643" s="1" t="str">
        <f t="shared" si="3635"/>
        <v>X</v>
      </c>
      <c r="K15643" s="1" t="str">
        <f t="shared" si="3635"/>
        <v>X</v>
      </c>
      <c r="L15643" s="1" t="str">
        <f t="shared" si="3635"/>
        <v>X</v>
      </c>
      <c r="M15643" s="1" t="str">
        <f t="shared" si="3635"/>
        <v>X</v>
      </c>
      <c r="N15643" t="s">
        <v>27</v>
      </c>
    </row>
    <row r="15644" spans="1:14" x14ac:dyDescent="0.25">
      <c r="A15644" t="s">
        <v>45</v>
      </c>
      <c r="B15644" t="s">
        <v>40</v>
      </c>
      <c r="C15644" t="s">
        <v>38</v>
      </c>
      <c r="D15644" t="s">
        <v>29</v>
      </c>
      <c r="E15644" t="s">
        <v>23</v>
      </c>
      <c r="F15644" t="s">
        <v>18</v>
      </c>
      <c r="G15644" s="1" t="str">
        <f t="shared" si="3635"/>
        <v>X</v>
      </c>
      <c r="H15644" s="1" t="str">
        <f t="shared" si="3635"/>
        <v>X</v>
      </c>
      <c r="I15644" s="1" t="str">
        <f t="shared" si="3635"/>
        <v>X</v>
      </c>
      <c r="J15644" s="1" t="str">
        <f t="shared" si="3635"/>
        <v>X</v>
      </c>
      <c r="K15644" s="1" t="str">
        <f t="shared" si="3635"/>
        <v>X</v>
      </c>
      <c r="L15644" s="1" t="str">
        <f t="shared" si="3635"/>
        <v>X</v>
      </c>
      <c r="M15644" s="1" t="str">
        <f t="shared" si="3635"/>
        <v>X</v>
      </c>
      <c r="N15644" t="s">
        <v>27</v>
      </c>
    </row>
    <row r="15645" spans="1:14" x14ac:dyDescent="0.25">
      <c r="A15645" t="s">
        <v>45</v>
      </c>
      <c r="B15645" t="s">
        <v>40</v>
      </c>
      <c r="C15645" t="s">
        <v>38</v>
      </c>
      <c r="D15645" t="s">
        <v>29</v>
      </c>
      <c r="E15645" t="s">
        <v>23</v>
      </c>
      <c r="F15645" t="s">
        <v>19</v>
      </c>
      <c r="G15645" s="1" t="str">
        <f t="shared" si="3635"/>
        <v>X</v>
      </c>
      <c r="H15645" s="1" t="str">
        <f t="shared" si="3635"/>
        <v>X</v>
      </c>
      <c r="I15645" s="1" t="str">
        <f t="shared" si="3635"/>
        <v>X</v>
      </c>
      <c r="J15645" s="1" t="str">
        <f t="shared" si="3635"/>
        <v>X</v>
      </c>
      <c r="K15645" s="1" t="str">
        <f t="shared" si="3635"/>
        <v>X</v>
      </c>
      <c r="L15645" s="1" t="str">
        <f t="shared" si="3635"/>
        <v>X</v>
      </c>
      <c r="M15645" s="1" t="str">
        <f t="shared" si="3635"/>
        <v>X</v>
      </c>
      <c r="N15645" t="s">
        <v>27</v>
      </c>
    </row>
    <row r="15646" spans="1:14" x14ac:dyDescent="0.25">
      <c r="A15646" t="s">
        <v>45</v>
      </c>
      <c r="B15646" t="s">
        <v>40</v>
      </c>
      <c r="C15646" t="s">
        <v>38</v>
      </c>
      <c r="D15646" t="s">
        <v>29</v>
      </c>
      <c r="E15646" t="s">
        <v>23</v>
      </c>
      <c r="F15646" t="s">
        <v>20</v>
      </c>
      <c r="G15646" s="2">
        <f>VALUE(1057.54)</f>
        <v>1057.54</v>
      </c>
      <c r="H15646" s="3">
        <f>VALUE(593.85)</f>
        <v>593.85</v>
      </c>
      <c r="I15646" s="1">
        <f>VALUE(3224)</f>
        <v>3224</v>
      </c>
      <c r="J15646" s="1">
        <f>VALUE(3500)</f>
        <v>3500</v>
      </c>
      <c r="K15646" s="1">
        <f>VALUE(3885)</f>
        <v>3885</v>
      </c>
      <c r="L15646" s="1">
        <f>VALUE(4635)</f>
        <v>4635</v>
      </c>
      <c r="M15646" s="1">
        <f>VALUE(5211)</f>
        <v>5211</v>
      </c>
      <c r="N15646" t="s">
        <v>25</v>
      </c>
    </row>
    <row r="15647" spans="1:14" x14ac:dyDescent="0.25">
      <c r="A15647" t="s">
        <v>45</v>
      </c>
      <c r="B15647" t="s">
        <v>40</v>
      </c>
      <c r="C15647" t="s">
        <v>38</v>
      </c>
      <c r="D15647" t="s">
        <v>29</v>
      </c>
      <c r="E15647" t="s">
        <v>26</v>
      </c>
      <c r="F15647" t="s">
        <v>15</v>
      </c>
      <c r="G15647" s="1" t="str">
        <f t="shared" ref="G15647:M15648" si="3636">"X"</f>
        <v>X</v>
      </c>
      <c r="H15647" s="1" t="str">
        <f t="shared" si="3636"/>
        <v>X</v>
      </c>
      <c r="I15647" s="1" t="str">
        <f t="shared" si="3636"/>
        <v>X</v>
      </c>
      <c r="J15647" s="1" t="str">
        <f t="shared" si="3636"/>
        <v>X</v>
      </c>
      <c r="K15647" s="1" t="str">
        <f t="shared" si="3636"/>
        <v>X</v>
      </c>
      <c r="L15647" s="1" t="str">
        <f t="shared" si="3636"/>
        <v>X</v>
      </c>
      <c r="M15647" s="1" t="str">
        <f t="shared" si="3636"/>
        <v>X</v>
      </c>
      <c r="N15647" t="s">
        <v>27</v>
      </c>
    </row>
    <row r="15648" spans="1:14" x14ac:dyDescent="0.25">
      <c r="A15648" t="s">
        <v>45</v>
      </c>
      <c r="B15648" t="s">
        <v>40</v>
      </c>
      <c r="C15648" t="s">
        <v>38</v>
      </c>
      <c r="D15648" t="s">
        <v>29</v>
      </c>
      <c r="E15648" t="s">
        <v>26</v>
      </c>
      <c r="F15648" t="s">
        <v>17</v>
      </c>
      <c r="G15648" s="1" t="str">
        <f t="shared" si="3636"/>
        <v>X</v>
      </c>
      <c r="H15648" s="1" t="str">
        <f t="shared" si="3636"/>
        <v>X</v>
      </c>
      <c r="I15648" s="1" t="str">
        <f t="shared" si="3636"/>
        <v>X</v>
      </c>
      <c r="J15648" s="1" t="str">
        <f t="shared" si="3636"/>
        <v>X</v>
      </c>
      <c r="K15648" s="1" t="str">
        <f t="shared" si="3636"/>
        <v>X</v>
      </c>
      <c r="L15648" s="1" t="str">
        <f t="shared" si="3636"/>
        <v>X</v>
      </c>
      <c r="M15648" s="1" t="str">
        <f t="shared" si="3636"/>
        <v>X</v>
      </c>
      <c r="N15648" t="s">
        <v>27</v>
      </c>
    </row>
    <row r="15649" spans="1:14" x14ac:dyDescent="0.25">
      <c r="A15649" t="s">
        <v>45</v>
      </c>
      <c r="B15649" t="s">
        <v>40</v>
      </c>
      <c r="C15649" t="s">
        <v>38</v>
      </c>
      <c r="D15649" t="s">
        <v>29</v>
      </c>
      <c r="E15649" t="s">
        <v>26</v>
      </c>
      <c r="F15649" t="s">
        <v>18</v>
      </c>
      <c r="G15649" s="1" t="str">
        <f t="shared" ref="G15649:M15650" si="3637">"..."</f>
        <v>...</v>
      </c>
      <c r="H15649" s="1" t="str">
        <f t="shared" si="3637"/>
        <v>...</v>
      </c>
      <c r="I15649" s="1" t="str">
        <f t="shared" si="3637"/>
        <v>...</v>
      </c>
      <c r="J15649" s="1" t="str">
        <f t="shared" si="3637"/>
        <v>...</v>
      </c>
      <c r="K15649" s="1" t="str">
        <f t="shared" si="3637"/>
        <v>...</v>
      </c>
      <c r="L15649" s="1" t="str">
        <f t="shared" si="3637"/>
        <v>...</v>
      </c>
      <c r="M15649" s="1" t="str">
        <f t="shared" si="3637"/>
        <v>...</v>
      </c>
      <c r="N15649" t="s">
        <v>30</v>
      </c>
    </row>
    <row r="15650" spans="1:14" x14ac:dyDescent="0.25">
      <c r="A15650" t="s">
        <v>45</v>
      </c>
      <c r="B15650" t="s">
        <v>40</v>
      </c>
      <c r="C15650" t="s">
        <v>38</v>
      </c>
      <c r="D15650" t="s">
        <v>29</v>
      </c>
      <c r="E15650" t="s">
        <v>26</v>
      </c>
      <c r="F15650" t="s">
        <v>19</v>
      </c>
      <c r="G15650" s="1" t="str">
        <f t="shared" si="3637"/>
        <v>...</v>
      </c>
      <c r="H15650" s="1" t="str">
        <f t="shared" si="3637"/>
        <v>...</v>
      </c>
      <c r="I15650" s="1" t="str">
        <f t="shared" si="3637"/>
        <v>...</v>
      </c>
      <c r="J15650" s="1" t="str">
        <f t="shared" si="3637"/>
        <v>...</v>
      </c>
      <c r="K15650" s="1" t="str">
        <f t="shared" si="3637"/>
        <v>...</v>
      </c>
      <c r="L15650" s="1" t="str">
        <f t="shared" si="3637"/>
        <v>...</v>
      </c>
      <c r="M15650" s="1" t="str">
        <f t="shared" si="3637"/>
        <v>...</v>
      </c>
      <c r="N15650" t="s">
        <v>30</v>
      </c>
    </row>
    <row r="15651" spans="1:14" x14ac:dyDescent="0.25">
      <c r="A15651" t="s">
        <v>45</v>
      </c>
      <c r="B15651" t="s">
        <v>40</v>
      </c>
      <c r="C15651" t="s">
        <v>38</v>
      </c>
      <c r="D15651" t="s">
        <v>29</v>
      </c>
      <c r="E15651" t="s">
        <v>26</v>
      </c>
      <c r="F15651" t="s">
        <v>20</v>
      </c>
      <c r="G15651" s="1" t="str">
        <f t="shared" ref="G15651:M15651" si="3638">"X"</f>
        <v>X</v>
      </c>
      <c r="H15651" s="1" t="str">
        <f t="shared" si="3638"/>
        <v>X</v>
      </c>
      <c r="I15651" s="1" t="str">
        <f t="shared" si="3638"/>
        <v>X</v>
      </c>
      <c r="J15651" s="1" t="str">
        <f t="shared" si="3638"/>
        <v>X</v>
      </c>
      <c r="K15651" s="1" t="str">
        <f t="shared" si="3638"/>
        <v>X</v>
      </c>
      <c r="L15651" s="1" t="str">
        <f t="shared" si="3638"/>
        <v>X</v>
      </c>
      <c r="M15651" s="1" t="str">
        <f t="shared" si="3638"/>
        <v>X</v>
      </c>
      <c r="N15651" t="s">
        <v>27</v>
      </c>
    </row>
    <row r="15652" spans="1:14" x14ac:dyDescent="0.25">
      <c r="A15652" t="s">
        <v>45</v>
      </c>
      <c r="B15652" t="s">
        <v>40</v>
      </c>
      <c r="C15652" t="s">
        <v>38</v>
      </c>
      <c r="D15652" t="s">
        <v>31</v>
      </c>
      <c r="E15652" t="s">
        <v>15</v>
      </c>
      <c r="F15652" t="s">
        <v>15</v>
      </c>
      <c r="G15652" s="2">
        <f>VALUE(460.86)</f>
        <v>460.86</v>
      </c>
      <c r="H15652" s="3">
        <f>VALUE(355.41)</f>
        <v>355.41</v>
      </c>
      <c r="I15652" s="1">
        <f>VALUE(3500)</f>
        <v>3500</v>
      </c>
      <c r="J15652" s="1">
        <f>VALUE(3714)</f>
        <v>3714</v>
      </c>
      <c r="K15652" s="6">
        <f>VALUE(5417)</f>
        <v>5417</v>
      </c>
      <c r="L15652" s="7">
        <f>VALUE(8749)</f>
        <v>8749</v>
      </c>
      <c r="M15652" s="1">
        <f>VALUE(11880)</f>
        <v>11880</v>
      </c>
      <c r="N15652" t="s">
        <v>25</v>
      </c>
    </row>
    <row r="15653" spans="1:14" x14ac:dyDescent="0.25">
      <c r="A15653" t="s">
        <v>45</v>
      </c>
      <c r="B15653" t="s">
        <v>40</v>
      </c>
      <c r="C15653" t="s">
        <v>38</v>
      </c>
      <c r="D15653" t="s">
        <v>31</v>
      </c>
      <c r="E15653" t="s">
        <v>15</v>
      </c>
      <c r="F15653" t="s">
        <v>17</v>
      </c>
      <c r="G15653" s="1" t="str">
        <f t="shared" ref="G15653:M15655" si="3639">"X"</f>
        <v>X</v>
      </c>
      <c r="H15653" s="1" t="str">
        <f t="shared" si="3639"/>
        <v>X</v>
      </c>
      <c r="I15653" s="1" t="str">
        <f t="shared" si="3639"/>
        <v>X</v>
      </c>
      <c r="J15653" s="1" t="str">
        <f t="shared" si="3639"/>
        <v>X</v>
      </c>
      <c r="K15653" s="1" t="str">
        <f t="shared" si="3639"/>
        <v>X</v>
      </c>
      <c r="L15653" s="1" t="str">
        <f t="shared" si="3639"/>
        <v>X</v>
      </c>
      <c r="M15653" s="1" t="str">
        <f t="shared" si="3639"/>
        <v>X</v>
      </c>
      <c r="N15653" t="s">
        <v>27</v>
      </c>
    </row>
    <row r="15654" spans="1:14" x14ac:dyDescent="0.25">
      <c r="A15654" t="s">
        <v>45</v>
      </c>
      <c r="B15654" t="s">
        <v>40</v>
      </c>
      <c r="C15654" t="s">
        <v>38</v>
      </c>
      <c r="D15654" t="s">
        <v>31</v>
      </c>
      <c r="E15654" t="s">
        <v>15</v>
      </c>
      <c r="F15654" t="s">
        <v>18</v>
      </c>
      <c r="G15654" s="1" t="str">
        <f t="shared" si="3639"/>
        <v>X</v>
      </c>
      <c r="H15654" s="1" t="str">
        <f t="shared" si="3639"/>
        <v>X</v>
      </c>
      <c r="I15654" s="1" t="str">
        <f t="shared" si="3639"/>
        <v>X</v>
      </c>
      <c r="J15654" s="1" t="str">
        <f t="shared" si="3639"/>
        <v>X</v>
      </c>
      <c r="K15654" s="1" t="str">
        <f t="shared" si="3639"/>
        <v>X</v>
      </c>
      <c r="L15654" s="1" t="str">
        <f t="shared" si="3639"/>
        <v>X</v>
      </c>
      <c r="M15654" s="1" t="str">
        <f t="shared" si="3639"/>
        <v>X</v>
      </c>
      <c r="N15654" t="s">
        <v>27</v>
      </c>
    </row>
    <row r="15655" spans="1:14" x14ac:dyDescent="0.25">
      <c r="A15655" t="s">
        <v>45</v>
      </c>
      <c r="B15655" t="s">
        <v>40</v>
      </c>
      <c r="C15655" t="s">
        <v>38</v>
      </c>
      <c r="D15655" t="s">
        <v>31</v>
      </c>
      <c r="E15655" t="s">
        <v>15</v>
      </c>
      <c r="F15655" t="s">
        <v>19</v>
      </c>
      <c r="G15655" s="1" t="str">
        <f t="shared" si="3639"/>
        <v>X</v>
      </c>
      <c r="H15655" s="1" t="str">
        <f t="shared" si="3639"/>
        <v>X</v>
      </c>
      <c r="I15655" s="1" t="str">
        <f t="shared" si="3639"/>
        <v>X</v>
      </c>
      <c r="J15655" s="1" t="str">
        <f t="shared" si="3639"/>
        <v>X</v>
      </c>
      <c r="K15655" s="1" t="str">
        <f t="shared" si="3639"/>
        <v>X</v>
      </c>
      <c r="L15655" s="1" t="str">
        <f t="shared" si="3639"/>
        <v>X</v>
      </c>
      <c r="M15655" s="1" t="str">
        <f t="shared" si="3639"/>
        <v>X</v>
      </c>
      <c r="N15655" t="s">
        <v>27</v>
      </c>
    </row>
    <row r="15656" spans="1:14" x14ac:dyDescent="0.25">
      <c r="A15656" t="s">
        <v>45</v>
      </c>
      <c r="B15656" t="s">
        <v>40</v>
      </c>
      <c r="C15656" t="s">
        <v>38</v>
      </c>
      <c r="D15656" t="s">
        <v>31</v>
      </c>
      <c r="E15656" t="s">
        <v>15</v>
      </c>
      <c r="F15656" t="s">
        <v>20</v>
      </c>
      <c r="G15656" s="2">
        <f>VALUE(278.18)</f>
        <v>278.18</v>
      </c>
      <c r="H15656" s="3">
        <f>VALUE(190.96)</f>
        <v>190.96</v>
      </c>
      <c r="I15656" s="1">
        <f>VALUE(3371)</f>
        <v>3371</v>
      </c>
      <c r="J15656" s="1">
        <f>VALUE(3575)</f>
        <v>3575</v>
      </c>
      <c r="K15656" s="1">
        <f>VALUE(3892)</f>
        <v>3892</v>
      </c>
      <c r="L15656" s="7">
        <f>VALUE(5095)</f>
        <v>5095</v>
      </c>
      <c r="M15656" s="8">
        <f>VALUE(7370)</f>
        <v>7370</v>
      </c>
      <c r="N15656" t="s">
        <v>25</v>
      </c>
    </row>
    <row r="15657" spans="1:14" x14ac:dyDescent="0.25">
      <c r="A15657" t="s">
        <v>45</v>
      </c>
      <c r="B15657" t="s">
        <v>40</v>
      </c>
      <c r="C15657" t="s">
        <v>38</v>
      </c>
      <c r="D15657" t="s">
        <v>31</v>
      </c>
      <c r="E15657" t="s">
        <v>21</v>
      </c>
      <c r="F15657" t="s">
        <v>15</v>
      </c>
      <c r="G15657" s="1" t="str">
        <f t="shared" ref="G15657:M15667" si="3640">"X"</f>
        <v>X</v>
      </c>
      <c r="H15657" s="1" t="str">
        <f t="shared" si="3640"/>
        <v>X</v>
      </c>
      <c r="I15657" s="1" t="str">
        <f t="shared" si="3640"/>
        <v>X</v>
      </c>
      <c r="J15657" s="1" t="str">
        <f t="shared" si="3640"/>
        <v>X</v>
      </c>
      <c r="K15657" s="1" t="str">
        <f t="shared" si="3640"/>
        <v>X</v>
      </c>
      <c r="L15657" s="1" t="str">
        <f t="shared" si="3640"/>
        <v>X</v>
      </c>
      <c r="M15657" s="1" t="str">
        <f t="shared" si="3640"/>
        <v>X</v>
      </c>
      <c r="N15657" t="s">
        <v>27</v>
      </c>
    </row>
    <row r="15658" spans="1:14" x14ac:dyDescent="0.25">
      <c r="A15658" t="s">
        <v>45</v>
      </c>
      <c r="B15658" t="s">
        <v>40</v>
      </c>
      <c r="C15658" t="s">
        <v>38</v>
      </c>
      <c r="D15658" t="s">
        <v>31</v>
      </c>
      <c r="E15658" t="s">
        <v>21</v>
      </c>
      <c r="F15658" t="s">
        <v>17</v>
      </c>
      <c r="G15658" s="1" t="str">
        <f t="shared" si="3640"/>
        <v>X</v>
      </c>
      <c r="H15658" s="1" t="str">
        <f t="shared" si="3640"/>
        <v>X</v>
      </c>
      <c r="I15658" s="1" t="str">
        <f t="shared" si="3640"/>
        <v>X</v>
      </c>
      <c r="J15658" s="1" t="str">
        <f t="shared" si="3640"/>
        <v>X</v>
      </c>
      <c r="K15658" s="1" t="str">
        <f t="shared" si="3640"/>
        <v>X</v>
      </c>
      <c r="L15658" s="1" t="str">
        <f t="shared" si="3640"/>
        <v>X</v>
      </c>
      <c r="M15658" s="1" t="str">
        <f t="shared" si="3640"/>
        <v>X</v>
      </c>
      <c r="N15658" t="s">
        <v>27</v>
      </c>
    </row>
    <row r="15659" spans="1:14" x14ac:dyDescent="0.25">
      <c r="A15659" t="s">
        <v>45</v>
      </c>
      <c r="B15659" t="s">
        <v>40</v>
      </c>
      <c r="C15659" t="s">
        <v>38</v>
      </c>
      <c r="D15659" t="s">
        <v>31</v>
      </c>
      <c r="E15659" t="s">
        <v>21</v>
      </c>
      <c r="F15659" t="s">
        <v>18</v>
      </c>
      <c r="G15659" s="1" t="str">
        <f t="shared" si="3640"/>
        <v>X</v>
      </c>
      <c r="H15659" s="1" t="str">
        <f t="shared" si="3640"/>
        <v>X</v>
      </c>
      <c r="I15659" s="1" t="str">
        <f t="shared" si="3640"/>
        <v>X</v>
      </c>
      <c r="J15659" s="1" t="str">
        <f t="shared" si="3640"/>
        <v>X</v>
      </c>
      <c r="K15659" s="1" t="str">
        <f t="shared" si="3640"/>
        <v>X</v>
      </c>
      <c r="L15659" s="1" t="str">
        <f t="shared" si="3640"/>
        <v>X</v>
      </c>
      <c r="M15659" s="1" t="str">
        <f t="shared" si="3640"/>
        <v>X</v>
      </c>
      <c r="N15659" t="s">
        <v>27</v>
      </c>
    </row>
    <row r="15660" spans="1:14" x14ac:dyDescent="0.25">
      <c r="A15660" t="s">
        <v>45</v>
      </c>
      <c r="B15660" t="s">
        <v>40</v>
      </c>
      <c r="C15660" t="s">
        <v>38</v>
      </c>
      <c r="D15660" t="s">
        <v>31</v>
      </c>
      <c r="E15660" t="s">
        <v>21</v>
      </c>
      <c r="F15660" t="s">
        <v>19</v>
      </c>
      <c r="G15660" s="1" t="str">
        <f t="shared" si="3640"/>
        <v>X</v>
      </c>
      <c r="H15660" s="1" t="str">
        <f t="shared" si="3640"/>
        <v>X</v>
      </c>
      <c r="I15660" s="1" t="str">
        <f t="shared" si="3640"/>
        <v>X</v>
      </c>
      <c r="J15660" s="1" t="str">
        <f t="shared" si="3640"/>
        <v>X</v>
      </c>
      <c r="K15660" s="1" t="str">
        <f t="shared" si="3640"/>
        <v>X</v>
      </c>
      <c r="L15660" s="1" t="str">
        <f t="shared" si="3640"/>
        <v>X</v>
      </c>
      <c r="M15660" s="1" t="str">
        <f t="shared" si="3640"/>
        <v>X</v>
      </c>
      <c r="N15660" t="s">
        <v>27</v>
      </c>
    </row>
    <row r="15661" spans="1:14" x14ac:dyDescent="0.25">
      <c r="A15661" t="s">
        <v>45</v>
      </c>
      <c r="B15661" t="s">
        <v>40</v>
      </c>
      <c r="C15661" t="s">
        <v>38</v>
      </c>
      <c r="D15661" t="s">
        <v>31</v>
      </c>
      <c r="E15661" t="s">
        <v>21</v>
      </c>
      <c r="F15661" t="s">
        <v>20</v>
      </c>
      <c r="G15661" s="1" t="str">
        <f t="shared" si="3640"/>
        <v>X</v>
      </c>
      <c r="H15661" s="1" t="str">
        <f t="shared" si="3640"/>
        <v>X</v>
      </c>
      <c r="I15661" s="1" t="str">
        <f t="shared" si="3640"/>
        <v>X</v>
      </c>
      <c r="J15661" s="1" t="str">
        <f t="shared" si="3640"/>
        <v>X</v>
      </c>
      <c r="K15661" s="1" t="str">
        <f t="shared" si="3640"/>
        <v>X</v>
      </c>
      <c r="L15661" s="1" t="str">
        <f t="shared" si="3640"/>
        <v>X</v>
      </c>
      <c r="M15661" s="1" t="str">
        <f t="shared" si="3640"/>
        <v>X</v>
      </c>
      <c r="N15661" t="s">
        <v>27</v>
      </c>
    </row>
    <row r="15662" spans="1:14" x14ac:dyDescent="0.25">
      <c r="A15662" t="s">
        <v>45</v>
      </c>
      <c r="B15662" t="s">
        <v>40</v>
      </c>
      <c r="C15662" t="s">
        <v>38</v>
      </c>
      <c r="D15662" t="s">
        <v>31</v>
      </c>
      <c r="E15662" t="s">
        <v>22</v>
      </c>
      <c r="F15662" t="s">
        <v>15</v>
      </c>
      <c r="G15662" s="1" t="str">
        <f t="shared" si="3640"/>
        <v>X</v>
      </c>
      <c r="H15662" s="1" t="str">
        <f t="shared" si="3640"/>
        <v>X</v>
      </c>
      <c r="I15662" s="1" t="str">
        <f t="shared" si="3640"/>
        <v>X</v>
      </c>
      <c r="J15662" s="1" t="str">
        <f t="shared" si="3640"/>
        <v>X</v>
      </c>
      <c r="K15662" s="1" t="str">
        <f t="shared" si="3640"/>
        <v>X</v>
      </c>
      <c r="L15662" s="1" t="str">
        <f t="shared" si="3640"/>
        <v>X</v>
      </c>
      <c r="M15662" s="1" t="str">
        <f t="shared" si="3640"/>
        <v>X</v>
      </c>
      <c r="N15662" t="s">
        <v>27</v>
      </c>
    </row>
    <row r="15663" spans="1:14" x14ac:dyDescent="0.25">
      <c r="A15663" t="s">
        <v>45</v>
      </c>
      <c r="B15663" t="s">
        <v>40</v>
      </c>
      <c r="C15663" t="s">
        <v>38</v>
      </c>
      <c r="D15663" t="s">
        <v>31</v>
      </c>
      <c r="E15663" t="s">
        <v>22</v>
      </c>
      <c r="F15663" t="s">
        <v>17</v>
      </c>
      <c r="G15663" s="1" t="str">
        <f t="shared" si="3640"/>
        <v>X</v>
      </c>
      <c r="H15663" s="1" t="str">
        <f t="shared" si="3640"/>
        <v>X</v>
      </c>
      <c r="I15663" s="1" t="str">
        <f t="shared" si="3640"/>
        <v>X</v>
      </c>
      <c r="J15663" s="1" t="str">
        <f t="shared" si="3640"/>
        <v>X</v>
      </c>
      <c r="K15663" s="1" t="str">
        <f t="shared" si="3640"/>
        <v>X</v>
      </c>
      <c r="L15663" s="1" t="str">
        <f t="shared" si="3640"/>
        <v>X</v>
      </c>
      <c r="M15663" s="1" t="str">
        <f t="shared" si="3640"/>
        <v>X</v>
      </c>
      <c r="N15663" t="s">
        <v>27</v>
      </c>
    </row>
    <row r="15664" spans="1:14" x14ac:dyDescent="0.25">
      <c r="A15664" t="s">
        <v>45</v>
      </c>
      <c r="B15664" t="s">
        <v>40</v>
      </c>
      <c r="C15664" t="s">
        <v>38</v>
      </c>
      <c r="D15664" t="s">
        <v>31</v>
      </c>
      <c r="E15664" t="s">
        <v>22</v>
      </c>
      <c r="F15664" t="s">
        <v>18</v>
      </c>
      <c r="G15664" s="1" t="str">
        <f t="shared" si="3640"/>
        <v>X</v>
      </c>
      <c r="H15664" s="1" t="str">
        <f t="shared" si="3640"/>
        <v>X</v>
      </c>
      <c r="I15664" s="1" t="str">
        <f t="shared" si="3640"/>
        <v>X</v>
      </c>
      <c r="J15664" s="1" t="str">
        <f t="shared" si="3640"/>
        <v>X</v>
      </c>
      <c r="K15664" s="1" t="str">
        <f t="shared" si="3640"/>
        <v>X</v>
      </c>
      <c r="L15664" s="1" t="str">
        <f t="shared" si="3640"/>
        <v>X</v>
      </c>
      <c r="M15664" s="1" t="str">
        <f t="shared" si="3640"/>
        <v>X</v>
      </c>
      <c r="N15664" t="s">
        <v>27</v>
      </c>
    </row>
    <row r="15665" spans="1:14" x14ac:dyDescent="0.25">
      <c r="A15665" t="s">
        <v>45</v>
      </c>
      <c r="B15665" t="s">
        <v>40</v>
      </c>
      <c r="C15665" t="s">
        <v>38</v>
      </c>
      <c r="D15665" t="s">
        <v>31</v>
      </c>
      <c r="E15665" t="s">
        <v>22</v>
      </c>
      <c r="F15665" t="s">
        <v>19</v>
      </c>
      <c r="G15665" s="1" t="str">
        <f t="shared" si="3640"/>
        <v>X</v>
      </c>
      <c r="H15665" s="1" t="str">
        <f t="shared" si="3640"/>
        <v>X</v>
      </c>
      <c r="I15665" s="1" t="str">
        <f t="shared" si="3640"/>
        <v>X</v>
      </c>
      <c r="J15665" s="1" t="str">
        <f t="shared" si="3640"/>
        <v>X</v>
      </c>
      <c r="K15665" s="1" t="str">
        <f t="shared" si="3640"/>
        <v>X</v>
      </c>
      <c r="L15665" s="1" t="str">
        <f t="shared" si="3640"/>
        <v>X</v>
      </c>
      <c r="M15665" s="1" t="str">
        <f t="shared" si="3640"/>
        <v>X</v>
      </c>
      <c r="N15665" t="s">
        <v>27</v>
      </c>
    </row>
    <row r="15666" spans="1:14" x14ac:dyDescent="0.25">
      <c r="A15666" t="s">
        <v>45</v>
      </c>
      <c r="B15666" t="s">
        <v>40</v>
      </c>
      <c r="C15666" t="s">
        <v>38</v>
      </c>
      <c r="D15666" t="s">
        <v>31</v>
      </c>
      <c r="E15666" t="s">
        <v>22</v>
      </c>
      <c r="F15666" t="s">
        <v>20</v>
      </c>
      <c r="G15666" s="1" t="str">
        <f t="shared" si="3640"/>
        <v>X</v>
      </c>
      <c r="H15666" s="1" t="str">
        <f t="shared" si="3640"/>
        <v>X</v>
      </c>
      <c r="I15666" s="1" t="str">
        <f t="shared" si="3640"/>
        <v>X</v>
      </c>
      <c r="J15666" s="1" t="str">
        <f t="shared" si="3640"/>
        <v>X</v>
      </c>
      <c r="K15666" s="1" t="str">
        <f t="shared" si="3640"/>
        <v>X</v>
      </c>
      <c r="L15666" s="1" t="str">
        <f t="shared" si="3640"/>
        <v>X</v>
      </c>
      <c r="M15666" s="1" t="str">
        <f t="shared" si="3640"/>
        <v>X</v>
      </c>
      <c r="N15666" t="s">
        <v>27</v>
      </c>
    </row>
    <row r="15667" spans="1:14" x14ac:dyDescent="0.25">
      <c r="A15667" t="s">
        <v>45</v>
      </c>
      <c r="B15667" t="s">
        <v>40</v>
      </c>
      <c r="C15667" t="s">
        <v>38</v>
      </c>
      <c r="D15667" t="s">
        <v>31</v>
      </c>
      <c r="E15667" t="s">
        <v>23</v>
      </c>
      <c r="F15667" t="s">
        <v>15</v>
      </c>
      <c r="G15667" s="1" t="str">
        <f t="shared" si="3640"/>
        <v>X</v>
      </c>
      <c r="H15667" s="1" t="str">
        <f t="shared" si="3640"/>
        <v>X</v>
      </c>
      <c r="I15667" s="1" t="str">
        <f t="shared" si="3640"/>
        <v>X</v>
      </c>
      <c r="J15667" s="1" t="str">
        <f t="shared" si="3640"/>
        <v>X</v>
      </c>
      <c r="K15667" s="1" t="str">
        <f t="shared" si="3640"/>
        <v>X</v>
      </c>
      <c r="L15667" s="1" t="str">
        <f t="shared" si="3640"/>
        <v>X</v>
      </c>
      <c r="M15667" s="1" t="str">
        <f t="shared" si="3640"/>
        <v>X</v>
      </c>
      <c r="N15667" t="s">
        <v>27</v>
      </c>
    </row>
    <row r="15668" spans="1:14" x14ac:dyDescent="0.25">
      <c r="A15668" t="s">
        <v>45</v>
      </c>
      <c r="B15668" t="s">
        <v>40</v>
      </c>
      <c r="C15668" t="s">
        <v>38</v>
      </c>
      <c r="D15668" t="s">
        <v>31</v>
      </c>
      <c r="E15668" t="s">
        <v>23</v>
      </c>
      <c r="F15668" t="s">
        <v>17</v>
      </c>
      <c r="G15668" s="1" t="str">
        <f t="shared" ref="G15668:M15668" si="3641">"..."</f>
        <v>...</v>
      </c>
      <c r="H15668" s="1" t="str">
        <f t="shared" si="3641"/>
        <v>...</v>
      </c>
      <c r="I15668" s="1" t="str">
        <f t="shared" si="3641"/>
        <v>...</v>
      </c>
      <c r="J15668" s="1" t="str">
        <f t="shared" si="3641"/>
        <v>...</v>
      </c>
      <c r="K15668" s="1" t="str">
        <f t="shared" si="3641"/>
        <v>...</v>
      </c>
      <c r="L15668" s="1" t="str">
        <f t="shared" si="3641"/>
        <v>...</v>
      </c>
      <c r="M15668" s="1" t="str">
        <f t="shared" si="3641"/>
        <v>...</v>
      </c>
      <c r="N15668" t="s">
        <v>30</v>
      </c>
    </row>
    <row r="15669" spans="1:14" x14ac:dyDescent="0.25">
      <c r="A15669" t="s">
        <v>45</v>
      </c>
      <c r="B15669" t="s">
        <v>40</v>
      </c>
      <c r="C15669" t="s">
        <v>38</v>
      </c>
      <c r="D15669" t="s">
        <v>31</v>
      </c>
      <c r="E15669" t="s">
        <v>23</v>
      </c>
      <c r="F15669" t="s">
        <v>18</v>
      </c>
      <c r="G15669" s="1" t="str">
        <f t="shared" ref="G15669:M15672" si="3642">"X"</f>
        <v>X</v>
      </c>
      <c r="H15669" s="1" t="str">
        <f t="shared" si="3642"/>
        <v>X</v>
      </c>
      <c r="I15669" s="1" t="str">
        <f t="shared" si="3642"/>
        <v>X</v>
      </c>
      <c r="J15669" s="1" t="str">
        <f t="shared" si="3642"/>
        <v>X</v>
      </c>
      <c r="K15669" s="1" t="str">
        <f t="shared" si="3642"/>
        <v>X</v>
      </c>
      <c r="L15669" s="1" t="str">
        <f t="shared" si="3642"/>
        <v>X</v>
      </c>
      <c r="M15669" s="1" t="str">
        <f t="shared" si="3642"/>
        <v>X</v>
      </c>
      <c r="N15669" t="s">
        <v>27</v>
      </c>
    </row>
    <row r="15670" spans="1:14" x14ac:dyDescent="0.25">
      <c r="A15670" t="s">
        <v>45</v>
      </c>
      <c r="B15670" t="s">
        <v>40</v>
      </c>
      <c r="C15670" t="s">
        <v>38</v>
      </c>
      <c r="D15670" t="s">
        <v>31</v>
      </c>
      <c r="E15670" t="s">
        <v>23</v>
      </c>
      <c r="F15670" t="s">
        <v>19</v>
      </c>
      <c r="G15670" s="1" t="str">
        <f t="shared" si="3642"/>
        <v>X</v>
      </c>
      <c r="H15670" s="1" t="str">
        <f t="shared" si="3642"/>
        <v>X</v>
      </c>
      <c r="I15670" s="1" t="str">
        <f t="shared" si="3642"/>
        <v>X</v>
      </c>
      <c r="J15670" s="1" t="str">
        <f t="shared" si="3642"/>
        <v>X</v>
      </c>
      <c r="K15670" s="1" t="str">
        <f t="shared" si="3642"/>
        <v>X</v>
      </c>
      <c r="L15670" s="1" t="str">
        <f t="shared" si="3642"/>
        <v>X</v>
      </c>
      <c r="M15670" s="1" t="str">
        <f t="shared" si="3642"/>
        <v>X</v>
      </c>
      <c r="N15670" t="s">
        <v>27</v>
      </c>
    </row>
    <row r="15671" spans="1:14" x14ac:dyDescent="0.25">
      <c r="A15671" t="s">
        <v>45</v>
      </c>
      <c r="B15671" t="s">
        <v>40</v>
      </c>
      <c r="C15671" t="s">
        <v>38</v>
      </c>
      <c r="D15671" t="s">
        <v>31</v>
      </c>
      <c r="E15671" t="s">
        <v>23</v>
      </c>
      <c r="F15671" t="s">
        <v>20</v>
      </c>
      <c r="G15671" s="1" t="str">
        <f t="shared" si="3642"/>
        <v>X</v>
      </c>
      <c r="H15671" s="1" t="str">
        <f t="shared" si="3642"/>
        <v>X</v>
      </c>
      <c r="I15671" s="1" t="str">
        <f t="shared" si="3642"/>
        <v>X</v>
      </c>
      <c r="J15671" s="1" t="str">
        <f t="shared" si="3642"/>
        <v>X</v>
      </c>
      <c r="K15671" s="1" t="str">
        <f t="shared" si="3642"/>
        <v>X</v>
      </c>
      <c r="L15671" s="1" t="str">
        <f t="shared" si="3642"/>
        <v>X</v>
      </c>
      <c r="M15671" s="1" t="str">
        <f t="shared" si="3642"/>
        <v>X</v>
      </c>
      <c r="N15671" t="s">
        <v>27</v>
      </c>
    </row>
    <row r="15672" spans="1:14" x14ac:dyDescent="0.25">
      <c r="A15672" t="s">
        <v>45</v>
      </c>
      <c r="B15672" t="s">
        <v>40</v>
      </c>
      <c r="C15672" t="s">
        <v>38</v>
      </c>
      <c r="D15672" t="s">
        <v>31</v>
      </c>
      <c r="E15672" t="s">
        <v>26</v>
      </c>
      <c r="F15672" t="s">
        <v>15</v>
      </c>
      <c r="G15672" s="1" t="str">
        <f t="shared" si="3642"/>
        <v>X</v>
      </c>
      <c r="H15672" s="1" t="str">
        <f t="shared" si="3642"/>
        <v>X</v>
      </c>
      <c r="I15672" s="1" t="str">
        <f t="shared" si="3642"/>
        <v>X</v>
      </c>
      <c r="J15672" s="1" t="str">
        <f t="shared" si="3642"/>
        <v>X</v>
      </c>
      <c r="K15672" s="1" t="str">
        <f t="shared" si="3642"/>
        <v>X</v>
      </c>
      <c r="L15672" s="1" t="str">
        <f t="shared" si="3642"/>
        <v>X</v>
      </c>
      <c r="M15672" s="1" t="str">
        <f t="shared" si="3642"/>
        <v>X</v>
      </c>
      <c r="N15672" t="s">
        <v>27</v>
      </c>
    </row>
    <row r="15673" spans="1:14" x14ac:dyDescent="0.25">
      <c r="A15673" t="s">
        <v>45</v>
      </c>
      <c r="B15673" t="s">
        <v>40</v>
      </c>
      <c r="C15673" t="s">
        <v>38</v>
      </c>
      <c r="D15673" t="s">
        <v>31</v>
      </c>
      <c r="E15673" t="s">
        <v>26</v>
      </c>
      <c r="F15673" t="s">
        <v>17</v>
      </c>
      <c r="G15673" s="1" t="str">
        <f t="shared" ref="G15673:M15675" si="3643">"..."</f>
        <v>...</v>
      </c>
      <c r="H15673" s="1" t="str">
        <f t="shared" si="3643"/>
        <v>...</v>
      </c>
      <c r="I15673" s="1" t="str">
        <f t="shared" si="3643"/>
        <v>...</v>
      </c>
      <c r="J15673" s="1" t="str">
        <f t="shared" si="3643"/>
        <v>...</v>
      </c>
      <c r="K15673" s="1" t="str">
        <f t="shared" si="3643"/>
        <v>...</v>
      </c>
      <c r="L15673" s="1" t="str">
        <f t="shared" si="3643"/>
        <v>...</v>
      </c>
      <c r="M15673" s="1" t="str">
        <f t="shared" si="3643"/>
        <v>...</v>
      </c>
      <c r="N15673" t="s">
        <v>30</v>
      </c>
    </row>
    <row r="15674" spans="1:14" x14ac:dyDescent="0.25">
      <c r="A15674" t="s">
        <v>45</v>
      </c>
      <c r="B15674" t="s">
        <v>40</v>
      </c>
      <c r="C15674" t="s">
        <v>38</v>
      </c>
      <c r="D15674" t="s">
        <v>31</v>
      </c>
      <c r="E15674" t="s">
        <v>26</v>
      </c>
      <c r="F15674" t="s">
        <v>18</v>
      </c>
      <c r="G15674" s="1" t="str">
        <f t="shared" si="3643"/>
        <v>...</v>
      </c>
      <c r="H15674" s="1" t="str">
        <f t="shared" si="3643"/>
        <v>...</v>
      </c>
      <c r="I15674" s="1" t="str">
        <f t="shared" si="3643"/>
        <v>...</v>
      </c>
      <c r="J15674" s="1" t="str">
        <f t="shared" si="3643"/>
        <v>...</v>
      </c>
      <c r="K15674" s="1" t="str">
        <f t="shared" si="3643"/>
        <v>...</v>
      </c>
      <c r="L15674" s="1" t="str">
        <f t="shared" si="3643"/>
        <v>...</v>
      </c>
      <c r="M15674" s="1" t="str">
        <f t="shared" si="3643"/>
        <v>...</v>
      </c>
      <c r="N15674" t="s">
        <v>30</v>
      </c>
    </row>
    <row r="15675" spans="1:14" x14ac:dyDescent="0.25">
      <c r="A15675" t="s">
        <v>45</v>
      </c>
      <c r="B15675" t="s">
        <v>40</v>
      </c>
      <c r="C15675" t="s">
        <v>38</v>
      </c>
      <c r="D15675" t="s">
        <v>31</v>
      </c>
      <c r="E15675" t="s">
        <v>26</v>
      </c>
      <c r="F15675" t="s">
        <v>19</v>
      </c>
      <c r="G15675" s="1" t="str">
        <f t="shared" si="3643"/>
        <v>...</v>
      </c>
      <c r="H15675" s="1" t="str">
        <f t="shared" si="3643"/>
        <v>...</v>
      </c>
      <c r="I15675" s="1" t="str">
        <f t="shared" si="3643"/>
        <v>...</v>
      </c>
      <c r="J15675" s="1" t="str">
        <f t="shared" si="3643"/>
        <v>...</v>
      </c>
      <c r="K15675" s="1" t="str">
        <f t="shared" si="3643"/>
        <v>...</v>
      </c>
      <c r="L15675" s="1" t="str">
        <f t="shared" si="3643"/>
        <v>...</v>
      </c>
      <c r="M15675" s="1" t="str">
        <f t="shared" si="3643"/>
        <v>...</v>
      </c>
      <c r="N15675" t="s">
        <v>30</v>
      </c>
    </row>
    <row r="15676" spans="1:14" x14ac:dyDescent="0.25">
      <c r="A15676" t="s">
        <v>45</v>
      </c>
      <c r="B15676" t="s">
        <v>40</v>
      </c>
      <c r="C15676" t="s">
        <v>38</v>
      </c>
      <c r="D15676" t="s">
        <v>31</v>
      </c>
      <c r="E15676" t="s">
        <v>26</v>
      </c>
      <c r="F15676" t="s">
        <v>20</v>
      </c>
      <c r="G15676" s="1" t="str">
        <f t="shared" ref="G15676:M15676" si="3644">"X"</f>
        <v>X</v>
      </c>
      <c r="H15676" s="1" t="str">
        <f t="shared" si="3644"/>
        <v>X</v>
      </c>
      <c r="I15676" s="1" t="str">
        <f t="shared" si="3644"/>
        <v>X</v>
      </c>
      <c r="J15676" s="1" t="str">
        <f t="shared" si="3644"/>
        <v>X</v>
      </c>
      <c r="K15676" s="1" t="str">
        <f t="shared" si="3644"/>
        <v>X</v>
      </c>
      <c r="L15676" s="1" t="str">
        <f t="shared" si="3644"/>
        <v>X</v>
      </c>
      <c r="M15676" s="1" t="str">
        <f t="shared" si="3644"/>
        <v>X</v>
      </c>
      <c r="N15676" t="s">
        <v>27</v>
      </c>
    </row>
    <row r="15677" spans="1:14" x14ac:dyDescent="0.25">
      <c r="A15677" t="s">
        <v>45</v>
      </c>
      <c r="B15677" t="s">
        <v>40</v>
      </c>
      <c r="C15677" t="s">
        <v>38</v>
      </c>
      <c r="D15677" t="s">
        <v>32</v>
      </c>
      <c r="E15677" t="s">
        <v>15</v>
      </c>
      <c r="F15677" t="s">
        <v>15</v>
      </c>
      <c r="G15677" s="1">
        <f>VALUE(4160.61)</f>
        <v>4160.6099999999997</v>
      </c>
      <c r="H15677" s="1">
        <f>VALUE(3292.76)</f>
        <v>3292.76</v>
      </c>
      <c r="I15677" s="1">
        <f>VALUE(2832)</f>
        <v>2832</v>
      </c>
      <c r="J15677" s="1">
        <f>VALUE(3110)</f>
        <v>3110</v>
      </c>
      <c r="K15677" s="1">
        <f>VALUE(3706)</f>
        <v>3706</v>
      </c>
      <c r="L15677" s="1">
        <f>VALUE(4901)</f>
        <v>4901</v>
      </c>
      <c r="M15677" s="1">
        <f>VALUE(6875)</f>
        <v>6875</v>
      </c>
      <c r="N15677" t="s">
        <v>16</v>
      </c>
    </row>
    <row r="15678" spans="1:14" x14ac:dyDescent="0.25">
      <c r="A15678" t="s">
        <v>45</v>
      </c>
      <c r="B15678" t="s">
        <v>40</v>
      </c>
      <c r="C15678" t="s">
        <v>38</v>
      </c>
      <c r="D15678" t="s">
        <v>32</v>
      </c>
      <c r="E15678" t="s">
        <v>15</v>
      </c>
      <c r="F15678" t="s">
        <v>17</v>
      </c>
      <c r="G15678" s="2">
        <f>VALUE(183.79)</f>
        <v>183.79</v>
      </c>
      <c r="H15678" s="3">
        <f>VALUE(182.24)</f>
        <v>182.24</v>
      </c>
      <c r="I15678" s="4">
        <f>VALUE(3810)</f>
        <v>3810</v>
      </c>
      <c r="J15678" s="5">
        <f>VALUE(4966)</f>
        <v>4966</v>
      </c>
      <c r="K15678" s="1">
        <f>VALUE(5642)</f>
        <v>5642</v>
      </c>
      <c r="L15678" s="7">
        <f>VALUE(8882)</f>
        <v>8882</v>
      </c>
      <c r="M15678" s="8">
        <f>VALUE(13596)</f>
        <v>13596</v>
      </c>
      <c r="N15678" t="s">
        <v>25</v>
      </c>
    </row>
    <row r="15679" spans="1:14" x14ac:dyDescent="0.25">
      <c r="A15679" t="s">
        <v>45</v>
      </c>
      <c r="B15679" t="s">
        <v>40</v>
      </c>
      <c r="C15679" t="s">
        <v>38</v>
      </c>
      <c r="D15679" t="s">
        <v>32</v>
      </c>
      <c r="E15679" t="s">
        <v>15</v>
      </c>
      <c r="F15679" t="s">
        <v>18</v>
      </c>
      <c r="G15679" s="2">
        <f>VALUE(194.32)</f>
        <v>194.32</v>
      </c>
      <c r="H15679" s="3">
        <f>VALUE(173.93)</f>
        <v>173.93</v>
      </c>
      <c r="I15679" s="4">
        <f>VALUE(4172)</f>
        <v>4172</v>
      </c>
      <c r="J15679" s="5">
        <f>VALUE(4849)</f>
        <v>4849</v>
      </c>
      <c r="K15679" s="6">
        <f>VALUE(6045)</f>
        <v>6045</v>
      </c>
      <c r="L15679" s="1">
        <f>VALUE(7917)</f>
        <v>7917</v>
      </c>
      <c r="M15679" s="8">
        <f>VALUE(9830)</f>
        <v>9830</v>
      </c>
      <c r="N15679" t="s">
        <v>25</v>
      </c>
    </row>
    <row r="15680" spans="1:14" x14ac:dyDescent="0.25">
      <c r="A15680" t="s">
        <v>45</v>
      </c>
      <c r="B15680" t="s">
        <v>40</v>
      </c>
      <c r="C15680" t="s">
        <v>38</v>
      </c>
      <c r="D15680" t="s">
        <v>32</v>
      </c>
      <c r="E15680" t="s">
        <v>15</v>
      </c>
      <c r="F15680" t="s">
        <v>19</v>
      </c>
      <c r="G15680" s="2">
        <f>VALUE(351.25)</f>
        <v>351.25</v>
      </c>
      <c r="H15680" s="3">
        <f>VALUE(295.38)</f>
        <v>295.38</v>
      </c>
      <c r="I15680" s="1">
        <f>VALUE(3498)</f>
        <v>3498</v>
      </c>
      <c r="J15680" s="1">
        <f>VALUE(4000)</f>
        <v>4000</v>
      </c>
      <c r="K15680" s="1">
        <f>VALUE(4653)</f>
        <v>4653</v>
      </c>
      <c r="L15680" s="1">
        <f>VALUE(5790)</f>
        <v>5790</v>
      </c>
      <c r="M15680" s="1">
        <f>VALUE(7399)</f>
        <v>7399</v>
      </c>
      <c r="N15680" t="s">
        <v>25</v>
      </c>
    </row>
    <row r="15681" spans="1:14" x14ac:dyDescent="0.25">
      <c r="A15681" t="s">
        <v>45</v>
      </c>
      <c r="B15681" t="s">
        <v>40</v>
      </c>
      <c r="C15681" t="s">
        <v>38</v>
      </c>
      <c r="D15681" t="s">
        <v>32</v>
      </c>
      <c r="E15681" t="s">
        <v>15</v>
      </c>
      <c r="F15681" t="s">
        <v>20</v>
      </c>
      <c r="G15681" s="1">
        <f>VALUE(3431.25)</f>
        <v>3431.25</v>
      </c>
      <c r="H15681" s="1">
        <f>VALUE(2641.21)</f>
        <v>2641.21</v>
      </c>
      <c r="I15681" s="1">
        <f>VALUE(2786)</f>
        <v>2786</v>
      </c>
      <c r="J15681" s="1">
        <f>VALUE(3001)</f>
        <v>3001</v>
      </c>
      <c r="K15681" s="1">
        <f>VALUE(3516)</f>
        <v>3516</v>
      </c>
      <c r="L15681" s="1">
        <f>VALUE(4284)</f>
        <v>4284</v>
      </c>
      <c r="M15681" s="1">
        <f>VALUE(5663)</f>
        <v>5663</v>
      </c>
      <c r="N15681" t="s">
        <v>16</v>
      </c>
    </row>
    <row r="15682" spans="1:14" x14ac:dyDescent="0.25">
      <c r="A15682" t="s">
        <v>45</v>
      </c>
      <c r="B15682" t="s">
        <v>40</v>
      </c>
      <c r="C15682" t="s">
        <v>38</v>
      </c>
      <c r="D15682" t="s">
        <v>32</v>
      </c>
      <c r="E15682" t="s">
        <v>21</v>
      </c>
      <c r="F15682" t="s">
        <v>15</v>
      </c>
      <c r="G15682" s="2">
        <f>VALUE(456.93)</f>
        <v>456.93</v>
      </c>
      <c r="H15682" s="3">
        <f>VALUE(360.66)</f>
        <v>360.66</v>
      </c>
      <c r="I15682" s="1">
        <f>VALUE(3614)</f>
        <v>3614</v>
      </c>
      <c r="J15682" s="1">
        <f>VALUE(4678)</f>
        <v>4678</v>
      </c>
      <c r="K15682" s="6">
        <f>VALUE(6207)</f>
        <v>6207</v>
      </c>
      <c r="L15682" s="7">
        <f>VALUE(8156)</f>
        <v>8156</v>
      </c>
      <c r="M15682" s="8">
        <f>VALUE(10509)</f>
        <v>10509</v>
      </c>
      <c r="N15682" t="s">
        <v>25</v>
      </c>
    </row>
    <row r="15683" spans="1:14" x14ac:dyDescent="0.25">
      <c r="A15683" t="s">
        <v>45</v>
      </c>
      <c r="B15683" t="s">
        <v>40</v>
      </c>
      <c r="C15683" t="s">
        <v>38</v>
      </c>
      <c r="D15683" t="s">
        <v>32</v>
      </c>
      <c r="E15683" t="s">
        <v>21</v>
      </c>
      <c r="F15683" t="s">
        <v>17</v>
      </c>
      <c r="G15683" s="1" t="str">
        <f t="shared" ref="G15683:M15685" si="3645">"X"</f>
        <v>X</v>
      </c>
      <c r="H15683" s="1" t="str">
        <f t="shared" si="3645"/>
        <v>X</v>
      </c>
      <c r="I15683" s="1" t="str">
        <f t="shared" si="3645"/>
        <v>X</v>
      </c>
      <c r="J15683" s="1" t="str">
        <f t="shared" si="3645"/>
        <v>X</v>
      </c>
      <c r="K15683" s="1" t="str">
        <f t="shared" si="3645"/>
        <v>X</v>
      </c>
      <c r="L15683" s="1" t="str">
        <f t="shared" si="3645"/>
        <v>X</v>
      </c>
      <c r="M15683" s="1" t="str">
        <f t="shared" si="3645"/>
        <v>X</v>
      </c>
      <c r="N15683" t="s">
        <v>27</v>
      </c>
    </row>
    <row r="15684" spans="1:14" x14ac:dyDescent="0.25">
      <c r="A15684" t="s">
        <v>45</v>
      </c>
      <c r="B15684" t="s">
        <v>40</v>
      </c>
      <c r="C15684" t="s">
        <v>38</v>
      </c>
      <c r="D15684" t="s">
        <v>32</v>
      </c>
      <c r="E15684" t="s">
        <v>21</v>
      </c>
      <c r="F15684" t="s">
        <v>18</v>
      </c>
      <c r="G15684" s="1" t="str">
        <f t="shared" si="3645"/>
        <v>X</v>
      </c>
      <c r="H15684" s="1" t="str">
        <f t="shared" si="3645"/>
        <v>X</v>
      </c>
      <c r="I15684" s="1" t="str">
        <f t="shared" si="3645"/>
        <v>X</v>
      </c>
      <c r="J15684" s="1" t="str">
        <f t="shared" si="3645"/>
        <v>X</v>
      </c>
      <c r="K15684" s="1" t="str">
        <f t="shared" si="3645"/>
        <v>X</v>
      </c>
      <c r="L15684" s="1" t="str">
        <f t="shared" si="3645"/>
        <v>X</v>
      </c>
      <c r="M15684" s="1" t="str">
        <f t="shared" si="3645"/>
        <v>X</v>
      </c>
      <c r="N15684" t="s">
        <v>27</v>
      </c>
    </row>
    <row r="15685" spans="1:14" x14ac:dyDescent="0.25">
      <c r="A15685" t="s">
        <v>45</v>
      </c>
      <c r="B15685" t="s">
        <v>40</v>
      </c>
      <c r="C15685" t="s">
        <v>38</v>
      </c>
      <c r="D15685" t="s">
        <v>32</v>
      </c>
      <c r="E15685" t="s">
        <v>21</v>
      </c>
      <c r="F15685" t="s">
        <v>19</v>
      </c>
      <c r="G15685" s="1" t="str">
        <f t="shared" si="3645"/>
        <v>X</v>
      </c>
      <c r="H15685" s="1" t="str">
        <f t="shared" si="3645"/>
        <v>X</v>
      </c>
      <c r="I15685" s="1" t="str">
        <f t="shared" si="3645"/>
        <v>X</v>
      </c>
      <c r="J15685" s="1" t="str">
        <f t="shared" si="3645"/>
        <v>X</v>
      </c>
      <c r="K15685" s="1" t="str">
        <f t="shared" si="3645"/>
        <v>X</v>
      </c>
      <c r="L15685" s="1" t="str">
        <f t="shared" si="3645"/>
        <v>X</v>
      </c>
      <c r="M15685" s="1" t="str">
        <f t="shared" si="3645"/>
        <v>X</v>
      </c>
      <c r="N15685" t="s">
        <v>27</v>
      </c>
    </row>
    <row r="15686" spans="1:14" x14ac:dyDescent="0.25">
      <c r="A15686" t="s">
        <v>45</v>
      </c>
      <c r="B15686" t="s">
        <v>40</v>
      </c>
      <c r="C15686" t="s">
        <v>38</v>
      </c>
      <c r="D15686" t="s">
        <v>32</v>
      </c>
      <c r="E15686" t="s">
        <v>21</v>
      </c>
      <c r="F15686" t="s">
        <v>20</v>
      </c>
      <c r="G15686" s="2">
        <f>VALUE(251.18)</f>
        <v>251.18</v>
      </c>
      <c r="H15686" s="3">
        <f>VALUE(183.44)</f>
        <v>183.44</v>
      </c>
      <c r="I15686" s="1">
        <f>VALUE(3357)</f>
        <v>3357</v>
      </c>
      <c r="J15686" s="5">
        <f>VALUE(4284)</f>
        <v>4284</v>
      </c>
      <c r="K15686" s="1">
        <f>VALUE(5663)</f>
        <v>5663</v>
      </c>
      <c r="L15686" s="1">
        <f>VALUE(7822)</f>
        <v>7822</v>
      </c>
      <c r="M15686" s="8">
        <f>VALUE(9732)</f>
        <v>9732</v>
      </c>
      <c r="N15686" t="s">
        <v>25</v>
      </c>
    </row>
    <row r="15687" spans="1:14" x14ac:dyDescent="0.25">
      <c r="A15687" t="s">
        <v>45</v>
      </c>
      <c r="B15687" t="s">
        <v>40</v>
      </c>
      <c r="C15687" t="s">
        <v>38</v>
      </c>
      <c r="D15687" t="s">
        <v>32</v>
      </c>
      <c r="E15687" t="s">
        <v>22</v>
      </c>
      <c r="F15687" t="s">
        <v>15</v>
      </c>
      <c r="G15687" s="2">
        <f>VALUE(1132.09)</f>
        <v>1132.0899999999999</v>
      </c>
      <c r="H15687" s="3">
        <f>VALUE(948.97)</f>
        <v>948.97</v>
      </c>
      <c r="I15687" s="1">
        <f>VALUE(2980)</f>
        <v>2980</v>
      </c>
      <c r="J15687" s="1">
        <f>VALUE(3600)</f>
        <v>3600</v>
      </c>
      <c r="K15687" s="1">
        <f>VALUE(4711)</f>
        <v>4711</v>
      </c>
      <c r="L15687" s="1">
        <f>VALUE(5796)</f>
        <v>5796</v>
      </c>
      <c r="M15687" s="1">
        <f>VALUE(7667)</f>
        <v>7667</v>
      </c>
      <c r="N15687" t="s">
        <v>25</v>
      </c>
    </row>
    <row r="15688" spans="1:14" x14ac:dyDescent="0.25">
      <c r="A15688" t="s">
        <v>45</v>
      </c>
      <c r="B15688" t="s">
        <v>40</v>
      </c>
      <c r="C15688" t="s">
        <v>38</v>
      </c>
      <c r="D15688" t="s">
        <v>32</v>
      </c>
      <c r="E15688" t="s">
        <v>22</v>
      </c>
      <c r="F15688" t="s">
        <v>17</v>
      </c>
      <c r="G15688" s="1" t="str">
        <f t="shared" ref="G15688:M15690" si="3646">"X"</f>
        <v>X</v>
      </c>
      <c r="H15688" s="1" t="str">
        <f t="shared" si="3646"/>
        <v>X</v>
      </c>
      <c r="I15688" s="1" t="str">
        <f t="shared" si="3646"/>
        <v>X</v>
      </c>
      <c r="J15688" s="1" t="str">
        <f t="shared" si="3646"/>
        <v>X</v>
      </c>
      <c r="K15688" s="1" t="str">
        <f t="shared" si="3646"/>
        <v>X</v>
      </c>
      <c r="L15688" s="1" t="str">
        <f t="shared" si="3646"/>
        <v>X</v>
      </c>
      <c r="M15688" s="1" t="str">
        <f t="shared" si="3646"/>
        <v>X</v>
      </c>
      <c r="N15688" t="s">
        <v>27</v>
      </c>
    </row>
    <row r="15689" spans="1:14" x14ac:dyDescent="0.25">
      <c r="A15689" t="s">
        <v>45</v>
      </c>
      <c r="B15689" t="s">
        <v>40</v>
      </c>
      <c r="C15689" t="s">
        <v>38</v>
      </c>
      <c r="D15689" t="s">
        <v>32</v>
      </c>
      <c r="E15689" t="s">
        <v>22</v>
      </c>
      <c r="F15689" t="s">
        <v>18</v>
      </c>
      <c r="G15689" s="1" t="str">
        <f t="shared" si="3646"/>
        <v>X</v>
      </c>
      <c r="H15689" s="1" t="str">
        <f t="shared" si="3646"/>
        <v>X</v>
      </c>
      <c r="I15689" s="1" t="str">
        <f t="shared" si="3646"/>
        <v>X</v>
      </c>
      <c r="J15689" s="1" t="str">
        <f t="shared" si="3646"/>
        <v>X</v>
      </c>
      <c r="K15689" s="1" t="str">
        <f t="shared" si="3646"/>
        <v>X</v>
      </c>
      <c r="L15689" s="1" t="str">
        <f t="shared" si="3646"/>
        <v>X</v>
      </c>
      <c r="M15689" s="1" t="str">
        <f t="shared" si="3646"/>
        <v>X</v>
      </c>
      <c r="N15689" t="s">
        <v>27</v>
      </c>
    </row>
    <row r="15690" spans="1:14" x14ac:dyDescent="0.25">
      <c r="A15690" t="s">
        <v>45</v>
      </c>
      <c r="B15690" t="s">
        <v>40</v>
      </c>
      <c r="C15690" t="s">
        <v>38</v>
      </c>
      <c r="D15690" t="s">
        <v>32</v>
      </c>
      <c r="E15690" t="s">
        <v>22</v>
      </c>
      <c r="F15690" t="s">
        <v>19</v>
      </c>
      <c r="G15690" s="1" t="str">
        <f t="shared" si="3646"/>
        <v>X</v>
      </c>
      <c r="H15690" s="1" t="str">
        <f t="shared" si="3646"/>
        <v>X</v>
      </c>
      <c r="I15690" s="1" t="str">
        <f t="shared" si="3646"/>
        <v>X</v>
      </c>
      <c r="J15690" s="1" t="str">
        <f t="shared" si="3646"/>
        <v>X</v>
      </c>
      <c r="K15690" s="1" t="str">
        <f t="shared" si="3646"/>
        <v>X</v>
      </c>
      <c r="L15690" s="1" t="str">
        <f t="shared" si="3646"/>
        <v>X</v>
      </c>
      <c r="M15690" s="1" t="str">
        <f t="shared" si="3646"/>
        <v>X</v>
      </c>
      <c r="N15690" t="s">
        <v>27</v>
      </c>
    </row>
    <row r="15691" spans="1:14" x14ac:dyDescent="0.25">
      <c r="A15691" t="s">
        <v>45</v>
      </c>
      <c r="B15691" t="s">
        <v>40</v>
      </c>
      <c r="C15691" t="s">
        <v>38</v>
      </c>
      <c r="D15691" t="s">
        <v>32</v>
      </c>
      <c r="E15691" t="s">
        <v>22</v>
      </c>
      <c r="F15691" t="s">
        <v>20</v>
      </c>
      <c r="G15691" s="2">
        <f>VALUE(784.27)</f>
        <v>784.27</v>
      </c>
      <c r="H15691" s="3">
        <f>VALUE(635.1)</f>
        <v>635.1</v>
      </c>
      <c r="I15691" s="1">
        <f>VALUE(2980)</f>
        <v>2980</v>
      </c>
      <c r="J15691" s="1">
        <f>VALUE(3302)</f>
        <v>3302</v>
      </c>
      <c r="K15691" s="1">
        <f>VALUE(4223)</f>
        <v>4223</v>
      </c>
      <c r="L15691" s="1">
        <f>VALUE(5564)</f>
        <v>5564</v>
      </c>
      <c r="M15691" s="1">
        <f>VALUE(6748)</f>
        <v>6748</v>
      </c>
      <c r="N15691" t="s">
        <v>25</v>
      </c>
    </row>
    <row r="15692" spans="1:14" x14ac:dyDescent="0.25">
      <c r="A15692" t="s">
        <v>45</v>
      </c>
      <c r="B15692" t="s">
        <v>40</v>
      </c>
      <c r="C15692" t="s">
        <v>38</v>
      </c>
      <c r="D15692" t="s">
        <v>32</v>
      </c>
      <c r="E15692" t="s">
        <v>23</v>
      </c>
      <c r="F15692" t="s">
        <v>15</v>
      </c>
      <c r="G15692" s="2">
        <f>VALUE(2524.36)</f>
        <v>2524.36</v>
      </c>
      <c r="H15692" s="1">
        <f>VALUE(1944.45)</f>
        <v>1944.45</v>
      </c>
      <c r="I15692" s="1">
        <f>VALUE(2751)</f>
        <v>2751</v>
      </c>
      <c r="J15692" s="1">
        <f>VALUE(2998)</f>
        <v>2998</v>
      </c>
      <c r="K15692" s="1">
        <f>VALUE(3367)</f>
        <v>3367</v>
      </c>
      <c r="L15692" s="1">
        <f>VALUE(3888)</f>
        <v>3888</v>
      </c>
      <c r="M15692" s="1">
        <f>VALUE(4653)</f>
        <v>4653</v>
      </c>
      <c r="N15692" t="s">
        <v>25</v>
      </c>
    </row>
    <row r="15693" spans="1:14" x14ac:dyDescent="0.25">
      <c r="A15693" t="s">
        <v>45</v>
      </c>
      <c r="B15693" t="s">
        <v>40</v>
      </c>
      <c r="C15693" t="s">
        <v>38</v>
      </c>
      <c r="D15693" t="s">
        <v>32</v>
      </c>
      <c r="E15693" t="s">
        <v>23</v>
      </c>
      <c r="F15693" t="s">
        <v>17</v>
      </c>
      <c r="G15693" s="1" t="str">
        <f t="shared" ref="G15693:M15695" si="3647">"X"</f>
        <v>X</v>
      </c>
      <c r="H15693" s="1" t="str">
        <f t="shared" si="3647"/>
        <v>X</v>
      </c>
      <c r="I15693" s="1" t="str">
        <f t="shared" si="3647"/>
        <v>X</v>
      </c>
      <c r="J15693" s="1" t="str">
        <f t="shared" si="3647"/>
        <v>X</v>
      </c>
      <c r="K15693" s="1" t="str">
        <f t="shared" si="3647"/>
        <v>X</v>
      </c>
      <c r="L15693" s="1" t="str">
        <f t="shared" si="3647"/>
        <v>X</v>
      </c>
      <c r="M15693" s="1" t="str">
        <f t="shared" si="3647"/>
        <v>X</v>
      </c>
      <c r="N15693" t="s">
        <v>27</v>
      </c>
    </row>
    <row r="15694" spans="1:14" x14ac:dyDescent="0.25">
      <c r="A15694" t="s">
        <v>45</v>
      </c>
      <c r="B15694" t="s">
        <v>40</v>
      </c>
      <c r="C15694" t="s">
        <v>38</v>
      </c>
      <c r="D15694" t="s">
        <v>32</v>
      </c>
      <c r="E15694" t="s">
        <v>23</v>
      </c>
      <c r="F15694" t="s">
        <v>18</v>
      </c>
      <c r="G15694" s="1" t="str">
        <f t="shared" si="3647"/>
        <v>X</v>
      </c>
      <c r="H15694" s="1" t="str">
        <f t="shared" si="3647"/>
        <v>X</v>
      </c>
      <c r="I15694" s="1" t="str">
        <f t="shared" si="3647"/>
        <v>X</v>
      </c>
      <c r="J15694" s="1" t="str">
        <f t="shared" si="3647"/>
        <v>X</v>
      </c>
      <c r="K15694" s="1" t="str">
        <f t="shared" si="3647"/>
        <v>X</v>
      </c>
      <c r="L15694" s="1" t="str">
        <f t="shared" si="3647"/>
        <v>X</v>
      </c>
      <c r="M15694" s="1" t="str">
        <f t="shared" si="3647"/>
        <v>X</v>
      </c>
      <c r="N15694" t="s">
        <v>27</v>
      </c>
    </row>
    <row r="15695" spans="1:14" x14ac:dyDescent="0.25">
      <c r="A15695" t="s">
        <v>45</v>
      </c>
      <c r="B15695" t="s">
        <v>40</v>
      </c>
      <c r="C15695" t="s">
        <v>38</v>
      </c>
      <c r="D15695" t="s">
        <v>32</v>
      </c>
      <c r="E15695" t="s">
        <v>23</v>
      </c>
      <c r="F15695" t="s">
        <v>19</v>
      </c>
      <c r="G15695" s="1" t="str">
        <f t="shared" si="3647"/>
        <v>X</v>
      </c>
      <c r="H15695" s="1" t="str">
        <f t="shared" si="3647"/>
        <v>X</v>
      </c>
      <c r="I15695" s="1" t="str">
        <f t="shared" si="3647"/>
        <v>X</v>
      </c>
      <c r="J15695" s="1" t="str">
        <f t="shared" si="3647"/>
        <v>X</v>
      </c>
      <c r="K15695" s="1" t="str">
        <f t="shared" si="3647"/>
        <v>X</v>
      </c>
      <c r="L15695" s="1" t="str">
        <f t="shared" si="3647"/>
        <v>X</v>
      </c>
      <c r="M15695" s="1" t="str">
        <f t="shared" si="3647"/>
        <v>X</v>
      </c>
      <c r="N15695" t="s">
        <v>27</v>
      </c>
    </row>
    <row r="15696" spans="1:14" x14ac:dyDescent="0.25">
      <c r="A15696" t="s">
        <v>45</v>
      </c>
      <c r="B15696" t="s">
        <v>40</v>
      </c>
      <c r="C15696" t="s">
        <v>38</v>
      </c>
      <c r="D15696" t="s">
        <v>32</v>
      </c>
      <c r="E15696" t="s">
        <v>23</v>
      </c>
      <c r="F15696" t="s">
        <v>20</v>
      </c>
      <c r="G15696" s="2">
        <f>VALUE(2358.56)</f>
        <v>2358.56</v>
      </c>
      <c r="H15696" s="1">
        <f>VALUE(1793.98)</f>
        <v>1793.98</v>
      </c>
      <c r="I15696" s="1">
        <f>VALUE(2734)</f>
        <v>2734</v>
      </c>
      <c r="J15696" s="1">
        <f>VALUE(2957)</f>
        <v>2957</v>
      </c>
      <c r="K15696" s="1">
        <f>VALUE(3307)</f>
        <v>3307</v>
      </c>
      <c r="L15696" s="1">
        <f>VALUE(3782)</f>
        <v>3782</v>
      </c>
      <c r="M15696" s="1">
        <f>VALUE(4342)</f>
        <v>4342</v>
      </c>
      <c r="N15696" t="s">
        <v>25</v>
      </c>
    </row>
    <row r="15697" spans="1:14" x14ac:dyDescent="0.25">
      <c r="A15697" t="s">
        <v>45</v>
      </c>
      <c r="B15697" t="s">
        <v>40</v>
      </c>
      <c r="C15697" t="s">
        <v>38</v>
      </c>
      <c r="D15697" t="s">
        <v>32</v>
      </c>
      <c r="E15697" t="s">
        <v>26</v>
      </c>
      <c r="F15697" t="s">
        <v>15</v>
      </c>
      <c r="G15697" s="1" t="str">
        <f t="shared" ref="G15697:M15697" si="3648">"X"</f>
        <v>X</v>
      </c>
      <c r="H15697" s="1" t="str">
        <f t="shared" si="3648"/>
        <v>X</v>
      </c>
      <c r="I15697" s="1" t="str">
        <f t="shared" si="3648"/>
        <v>X</v>
      </c>
      <c r="J15697" s="1" t="str">
        <f t="shared" si="3648"/>
        <v>X</v>
      </c>
      <c r="K15697" s="1" t="str">
        <f t="shared" si="3648"/>
        <v>X</v>
      </c>
      <c r="L15697" s="1" t="str">
        <f t="shared" si="3648"/>
        <v>X</v>
      </c>
      <c r="M15697" s="1" t="str">
        <f t="shared" si="3648"/>
        <v>X</v>
      </c>
      <c r="N15697" t="s">
        <v>27</v>
      </c>
    </row>
    <row r="15698" spans="1:14" x14ac:dyDescent="0.25">
      <c r="A15698" t="s">
        <v>45</v>
      </c>
      <c r="B15698" t="s">
        <v>40</v>
      </c>
      <c r="C15698" t="s">
        <v>38</v>
      </c>
      <c r="D15698" t="s">
        <v>32</v>
      </c>
      <c r="E15698" t="s">
        <v>26</v>
      </c>
      <c r="F15698" t="s">
        <v>17</v>
      </c>
      <c r="G15698" s="1" t="str">
        <f t="shared" ref="G15698:M15698" si="3649">"..."</f>
        <v>...</v>
      </c>
      <c r="H15698" s="1" t="str">
        <f t="shared" si="3649"/>
        <v>...</v>
      </c>
      <c r="I15698" s="1" t="str">
        <f t="shared" si="3649"/>
        <v>...</v>
      </c>
      <c r="J15698" s="1" t="str">
        <f t="shared" si="3649"/>
        <v>...</v>
      </c>
      <c r="K15698" s="1" t="str">
        <f t="shared" si="3649"/>
        <v>...</v>
      </c>
      <c r="L15698" s="1" t="str">
        <f t="shared" si="3649"/>
        <v>...</v>
      </c>
      <c r="M15698" s="1" t="str">
        <f t="shared" si="3649"/>
        <v>...</v>
      </c>
      <c r="N15698" t="s">
        <v>30</v>
      </c>
    </row>
    <row r="15699" spans="1:14" x14ac:dyDescent="0.25">
      <c r="A15699" t="s">
        <v>45</v>
      </c>
      <c r="B15699" t="s">
        <v>40</v>
      </c>
      <c r="C15699" t="s">
        <v>38</v>
      </c>
      <c r="D15699" t="s">
        <v>32</v>
      </c>
      <c r="E15699" t="s">
        <v>26</v>
      </c>
      <c r="F15699" t="s">
        <v>18</v>
      </c>
      <c r="G15699" s="1" t="str">
        <f t="shared" ref="G15699:M15702" si="3650">"X"</f>
        <v>X</v>
      </c>
      <c r="H15699" s="1" t="str">
        <f t="shared" si="3650"/>
        <v>X</v>
      </c>
      <c r="I15699" s="1" t="str">
        <f t="shared" si="3650"/>
        <v>X</v>
      </c>
      <c r="J15699" s="1" t="str">
        <f t="shared" si="3650"/>
        <v>X</v>
      </c>
      <c r="K15699" s="1" t="str">
        <f t="shared" si="3650"/>
        <v>X</v>
      </c>
      <c r="L15699" s="1" t="str">
        <f t="shared" si="3650"/>
        <v>X</v>
      </c>
      <c r="M15699" s="1" t="str">
        <f t="shared" si="3650"/>
        <v>X</v>
      </c>
      <c r="N15699" t="s">
        <v>27</v>
      </c>
    </row>
    <row r="15700" spans="1:14" x14ac:dyDescent="0.25">
      <c r="A15700" t="s">
        <v>45</v>
      </c>
      <c r="B15700" t="s">
        <v>40</v>
      </c>
      <c r="C15700" t="s">
        <v>38</v>
      </c>
      <c r="D15700" t="s">
        <v>32</v>
      </c>
      <c r="E15700" t="s">
        <v>26</v>
      </c>
      <c r="F15700" t="s">
        <v>19</v>
      </c>
      <c r="G15700" s="1" t="str">
        <f t="shared" si="3650"/>
        <v>X</v>
      </c>
      <c r="H15700" s="1" t="str">
        <f t="shared" si="3650"/>
        <v>X</v>
      </c>
      <c r="I15700" s="1" t="str">
        <f t="shared" si="3650"/>
        <v>X</v>
      </c>
      <c r="J15700" s="1" t="str">
        <f t="shared" si="3650"/>
        <v>X</v>
      </c>
      <c r="K15700" s="1" t="str">
        <f t="shared" si="3650"/>
        <v>X</v>
      </c>
      <c r="L15700" s="1" t="str">
        <f t="shared" si="3650"/>
        <v>X</v>
      </c>
      <c r="M15700" s="1" t="str">
        <f t="shared" si="3650"/>
        <v>X</v>
      </c>
      <c r="N15700" t="s">
        <v>27</v>
      </c>
    </row>
    <row r="15701" spans="1:14" x14ac:dyDescent="0.25">
      <c r="A15701" t="s">
        <v>45</v>
      </c>
      <c r="B15701" t="s">
        <v>40</v>
      </c>
      <c r="C15701" t="s">
        <v>38</v>
      </c>
      <c r="D15701" t="s">
        <v>32</v>
      </c>
      <c r="E15701" t="s">
        <v>26</v>
      </c>
      <c r="F15701" t="s">
        <v>20</v>
      </c>
      <c r="G15701" s="1" t="str">
        <f t="shared" si="3650"/>
        <v>X</v>
      </c>
      <c r="H15701" s="1" t="str">
        <f t="shared" si="3650"/>
        <v>X</v>
      </c>
      <c r="I15701" s="1" t="str">
        <f t="shared" si="3650"/>
        <v>X</v>
      </c>
      <c r="J15701" s="1" t="str">
        <f t="shared" si="3650"/>
        <v>X</v>
      </c>
      <c r="K15701" s="1" t="str">
        <f t="shared" si="3650"/>
        <v>X</v>
      </c>
      <c r="L15701" s="1" t="str">
        <f t="shared" si="3650"/>
        <v>X</v>
      </c>
      <c r="M15701" s="1" t="str">
        <f t="shared" si="3650"/>
        <v>X</v>
      </c>
      <c r="N15701" t="s">
        <v>27</v>
      </c>
    </row>
    <row r="15702" spans="1:14" x14ac:dyDescent="0.25">
      <c r="A15702" t="s">
        <v>45</v>
      </c>
      <c r="B15702" t="s">
        <v>40</v>
      </c>
      <c r="C15702" t="s">
        <v>38</v>
      </c>
      <c r="D15702" t="s">
        <v>33</v>
      </c>
      <c r="E15702" t="s">
        <v>15</v>
      </c>
      <c r="F15702" t="s">
        <v>15</v>
      </c>
      <c r="G15702" s="1" t="str">
        <f t="shared" si="3650"/>
        <v>X</v>
      </c>
      <c r="H15702" s="1" t="str">
        <f t="shared" si="3650"/>
        <v>X</v>
      </c>
      <c r="I15702" s="1" t="str">
        <f t="shared" si="3650"/>
        <v>X</v>
      </c>
      <c r="J15702" s="1" t="str">
        <f t="shared" si="3650"/>
        <v>X</v>
      </c>
      <c r="K15702" s="1" t="str">
        <f t="shared" si="3650"/>
        <v>X</v>
      </c>
      <c r="L15702" s="1" t="str">
        <f t="shared" si="3650"/>
        <v>X</v>
      </c>
      <c r="M15702" s="1" t="str">
        <f t="shared" si="3650"/>
        <v>X</v>
      </c>
      <c r="N15702" t="s">
        <v>27</v>
      </c>
    </row>
    <row r="15703" spans="1:14" x14ac:dyDescent="0.25">
      <c r="A15703" t="s">
        <v>45</v>
      </c>
      <c r="B15703" t="s">
        <v>40</v>
      </c>
      <c r="C15703" t="s">
        <v>38</v>
      </c>
      <c r="D15703" t="s">
        <v>33</v>
      </c>
      <c r="E15703" t="s">
        <v>15</v>
      </c>
      <c r="F15703" t="s">
        <v>17</v>
      </c>
      <c r="G15703" s="1" t="str">
        <f t="shared" ref="G15703:M15703" si="3651">"..."</f>
        <v>...</v>
      </c>
      <c r="H15703" s="1" t="str">
        <f t="shared" si="3651"/>
        <v>...</v>
      </c>
      <c r="I15703" s="1" t="str">
        <f t="shared" si="3651"/>
        <v>...</v>
      </c>
      <c r="J15703" s="1" t="str">
        <f t="shared" si="3651"/>
        <v>...</v>
      </c>
      <c r="K15703" s="1" t="str">
        <f t="shared" si="3651"/>
        <v>...</v>
      </c>
      <c r="L15703" s="1" t="str">
        <f t="shared" si="3651"/>
        <v>...</v>
      </c>
      <c r="M15703" s="1" t="str">
        <f t="shared" si="3651"/>
        <v>...</v>
      </c>
      <c r="N15703" t="s">
        <v>30</v>
      </c>
    </row>
    <row r="15704" spans="1:14" x14ac:dyDescent="0.25">
      <c r="A15704" t="s">
        <v>45</v>
      </c>
      <c r="B15704" t="s">
        <v>40</v>
      </c>
      <c r="C15704" t="s">
        <v>38</v>
      </c>
      <c r="D15704" t="s">
        <v>33</v>
      </c>
      <c r="E15704" t="s">
        <v>15</v>
      </c>
      <c r="F15704" t="s">
        <v>18</v>
      </c>
      <c r="G15704" s="1" t="str">
        <f t="shared" ref="G15704:M15704" si="3652">"X"</f>
        <v>X</v>
      </c>
      <c r="H15704" s="1" t="str">
        <f t="shared" si="3652"/>
        <v>X</v>
      </c>
      <c r="I15704" s="1" t="str">
        <f t="shared" si="3652"/>
        <v>X</v>
      </c>
      <c r="J15704" s="1" t="str">
        <f t="shared" si="3652"/>
        <v>X</v>
      </c>
      <c r="K15704" s="1" t="str">
        <f t="shared" si="3652"/>
        <v>X</v>
      </c>
      <c r="L15704" s="1" t="str">
        <f t="shared" si="3652"/>
        <v>X</v>
      </c>
      <c r="M15704" s="1" t="str">
        <f t="shared" si="3652"/>
        <v>X</v>
      </c>
      <c r="N15704" t="s">
        <v>27</v>
      </c>
    </row>
    <row r="15705" spans="1:14" x14ac:dyDescent="0.25">
      <c r="A15705" t="s">
        <v>45</v>
      </c>
      <c r="B15705" t="s">
        <v>40</v>
      </c>
      <c r="C15705" t="s">
        <v>38</v>
      </c>
      <c r="D15705" t="s">
        <v>33</v>
      </c>
      <c r="E15705" t="s">
        <v>15</v>
      </c>
      <c r="F15705" t="s">
        <v>19</v>
      </c>
      <c r="G15705" s="1" t="str">
        <f t="shared" ref="G15705:M15705" si="3653">"..."</f>
        <v>...</v>
      </c>
      <c r="H15705" s="1" t="str">
        <f t="shared" si="3653"/>
        <v>...</v>
      </c>
      <c r="I15705" s="1" t="str">
        <f t="shared" si="3653"/>
        <v>...</v>
      </c>
      <c r="J15705" s="1" t="str">
        <f t="shared" si="3653"/>
        <v>...</v>
      </c>
      <c r="K15705" s="1" t="str">
        <f t="shared" si="3653"/>
        <v>...</v>
      </c>
      <c r="L15705" s="1" t="str">
        <f t="shared" si="3653"/>
        <v>...</v>
      </c>
      <c r="M15705" s="1" t="str">
        <f t="shared" si="3653"/>
        <v>...</v>
      </c>
      <c r="N15705" t="s">
        <v>30</v>
      </c>
    </row>
    <row r="15706" spans="1:14" x14ac:dyDescent="0.25">
      <c r="A15706" t="s">
        <v>45</v>
      </c>
      <c r="B15706" t="s">
        <v>40</v>
      </c>
      <c r="C15706" t="s">
        <v>38</v>
      </c>
      <c r="D15706" t="s">
        <v>33</v>
      </c>
      <c r="E15706" t="s">
        <v>15</v>
      </c>
      <c r="F15706" t="s">
        <v>20</v>
      </c>
      <c r="G15706" s="1" t="str">
        <f t="shared" ref="G15706:M15707" si="3654">"X"</f>
        <v>X</v>
      </c>
      <c r="H15706" s="1" t="str">
        <f t="shared" si="3654"/>
        <v>X</v>
      </c>
      <c r="I15706" s="1" t="str">
        <f t="shared" si="3654"/>
        <v>X</v>
      </c>
      <c r="J15706" s="1" t="str">
        <f t="shared" si="3654"/>
        <v>X</v>
      </c>
      <c r="K15706" s="1" t="str">
        <f t="shared" si="3654"/>
        <v>X</v>
      </c>
      <c r="L15706" s="1" t="str">
        <f t="shared" si="3654"/>
        <v>X</v>
      </c>
      <c r="M15706" s="1" t="str">
        <f t="shared" si="3654"/>
        <v>X</v>
      </c>
      <c r="N15706" t="s">
        <v>27</v>
      </c>
    </row>
    <row r="15707" spans="1:14" x14ac:dyDescent="0.25">
      <c r="A15707" t="s">
        <v>45</v>
      </c>
      <c r="B15707" t="s">
        <v>40</v>
      </c>
      <c r="C15707" t="s">
        <v>38</v>
      </c>
      <c r="D15707" t="s">
        <v>33</v>
      </c>
      <c r="E15707" t="s">
        <v>21</v>
      </c>
      <c r="F15707" t="s">
        <v>15</v>
      </c>
      <c r="G15707" s="1" t="str">
        <f t="shared" si="3654"/>
        <v>X</v>
      </c>
      <c r="H15707" s="1" t="str">
        <f t="shared" si="3654"/>
        <v>X</v>
      </c>
      <c r="I15707" s="1" t="str">
        <f t="shared" si="3654"/>
        <v>X</v>
      </c>
      <c r="J15707" s="1" t="str">
        <f t="shared" si="3654"/>
        <v>X</v>
      </c>
      <c r="K15707" s="1" t="str">
        <f t="shared" si="3654"/>
        <v>X</v>
      </c>
      <c r="L15707" s="1" t="str">
        <f t="shared" si="3654"/>
        <v>X</v>
      </c>
      <c r="M15707" s="1" t="str">
        <f t="shared" si="3654"/>
        <v>X</v>
      </c>
      <c r="N15707" t="s">
        <v>27</v>
      </c>
    </row>
    <row r="15708" spans="1:14" x14ac:dyDescent="0.25">
      <c r="A15708" t="s">
        <v>45</v>
      </c>
      <c r="B15708" t="s">
        <v>40</v>
      </c>
      <c r="C15708" t="s">
        <v>38</v>
      </c>
      <c r="D15708" t="s">
        <v>33</v>
      </c>
      <c r="E15708" t="s">
        <v>21</v>
      </c>
      <c r="F15708" t="s">
        <v>17</v>
      </c>
      <c r="G15708" s="1" t="str">
        <f t="shared" ref="G15708:M15708" si="3655">"..."</f>
        <v>...</v>
      </c>
      <c r="H15708" s="1" t="str">
        <f t="shared" si="3655"/>
        <v>...</v>
      </c>
      <c r="I15708" s="1" t="str">
        <f t="shared" si="3655"/>
        <v>...</v>
      </c>
      <c r="J15708" s="1" t="str">
        <f t="shared" si="3655"/>
        <v>...</v>
      </c>
      <c r="K15708" s="1" t="str">
        <f t="shared" si="3655"/>
        <v>...</v>
      </c>
      <c r="L15708" s="1" t="str">
        <f t="shared" si="3655"/>
        <v>...</v>
      </c>
      <c r="M15708" s="1" t="str">
        <f t="shared" si="3655"/>
        <v>...</v>
      </c>
      <c r="N15708" t="s">
        <v>30</v>
      </c>
    </row>
    <row r="15709" spans="1:14" x14ac:dyDescent="0.25">
      <c r="A15709" t="s">
        <v>45</v>
      </c>
      <c r="B15709" t="s">
        <v>40</v>
      </c>
      <c r="C15709" t="s">
        <v>38</v>
      </c>
      <c r="D15709" t="s">
        <v>33</v>
      </c>
      <c r="E15709" t="s">
        <v>21</v>
      </c>
      <c r="F15709" t="s">
        <v>18</v>
      </c>
      <c r="G15709" s="1" t="str">
        <f t="shared" ref="G15709:M15709" si="3656">"X"</f>
        <v>X</v>
      </c>
      <c r="H15709" s="1" t="str">
        <f t="shared" si="3656"/>
        <v>X</v>
      </c>
      <c r="I15709" s="1" t="str">
        <f t="shared" si="3656"/>
        <v>X</v>
      </c>
      <c r="J15709" s="1" t="str">
        <f t="shared" si="3656"/>
        <v>X</v>
      </c>
      <c r="K15709" s="1" t="str">
        <f t="shared" si="3656"/>
        <v>X</v>
      </c>
      <c r="L15709" s="1" t="str">
        <f t="shared" si="3656"/>
        <v>X</v>
      </c>
      <c r="M15709" s="1" t="str">
        <f t="shared" si="3656"/>
        <v>X</v>
      </c>
      <c r="N15709" t="s">
        <v>27</v>
      </c>
    </row>
    <row r="15710" spans="1:14" x14ac:dyDescent="0.25">
      <c r="A15710" t="s">
        <v>45</v>
      </c>
      <c r="B15710" t="s">
        <v>40</v>
      </c>
      <c r="C15710" t="s">
        <v>38</v>
      </c>
      <c r="D15710" t="s">
        <v>33</v>
      </c>
      <c r="E15710" t="s">
        <v>21</v>
      </c>
      <c r="F15710" t="s">
        <v>19</v>
      </c>
      <c r="G15710" s="1" t="str">
        <f t="shared" ref="G15710:M15710" si="3657">"..."</f>
        <v>...</v>
      </c>
      <c r="H15710" s="1" t="str">
        <f t="shared" si="3657"/>
        <v>...</v>
      </c>
      <c r="I15710" s="1" t="str">
        <f t="shared" si="3657"/>
        <v>...</v>
      </c>
      <c r="J15710" s="1" t="str">
        <f t="shared" si="3657"/>
        <v>...</v>
      </c>
      <c r="K15710" s="1" t="str">
        <f t="shared" si="3657"/>
        <v>...</v>
      </c>
      <c r="L15710" s="1" t="str">
        <f t="shared" si="3657"/>
        <v>...</v>
      </c>
      <c r="M15710" s="1" t="str">
        <f t="shared" si="3657"/>
        <v>...</v>
      </c>
      <c r="N15710" t="s">
        <v>30</v>
      </c>
    </row>
    <row r="15711" spans="1:14" x14ac:dyDescent="0.25">
      <c r="A15711" t="s">
        <v>45</v>
      </c>
      <c r="B15711" t="s">
        <v>40</v>
      </c>
      <c r="C15711" t="s">
        <v>38</v>
      </c>
      <c r="D15711" t="s">
        <v>33</v>
      </c>
      <c r="E15711" t="s">
        <v>21</v>
      </c>
      <c r="F15711" t="s">
        <v>20</v>
      </c>
      <c r="G15711" s="1" t="str">
        <f t="shared" ref="G15711:M15712" si="3658">"X"</f>
        <v>X</v>
      </c>
      <c r="H15711" s="1" t="str">
        <f t="shared" si="3658"/>
        <v>X</v>
      </c>
      <c r="I15711" s="1" t="str">
        <f t="shared" si="3658"/>
        <v>X</v>
      </c>
      <c r="J15711" s="1" t="str">
        <f t="shared" si="3658"/>
        <v>X</v>
      </c>
      <c r="K15711" s="1" t="str">
        <f t="shared" si="3658"/>
        <v>X</v>
      </c>
      <c r="L15711" s="1" t="str">
        <f t="shared" si="3658"/>
        <v>X</v>
      </c>
      <c r="M15711" s="1" t="str">
        <f t="shared" si="3658"/>
        <v>X</v>
      </c>
      <c r="N15711" t="s">
        <v>27</v>
      </c>
    </row>
    <row r="15712" spans="1:14" x14ac:dyDescent="0.25">
      <c r="A15712" t="s">
        <v>45</v>
      </c>
      <c r="B15712" t="s">
        <v>40</v>
      </c>
      <c r="C15712" t="s">
        <v>38</v>
      </c>
      <c r="D15712" t="s">
        <v>33</v>
      </c>
      <c r="E15712" t="s">
        <v>22</v>
      </c>
      <c r="F15712" t="s">
        <v>15</v>
      </c>
      <c r="G15712" s="1" t="str">
        <f t="shared" si="3658"/>
        <v>X</v>
      </c>
      <c r="H15712" s="1" t="str">
        <f t="shared" si="3658"/>
        <v>X</v>
      </c>
      <c r="I15712" s="1" t="str">
        <f t="shared" si="3658"/>
        <v>X</v>
      </c>
      <c r="J15712" s="1" t="str">
        <f t="shared" si="3658"/>
        <v>X</v>
      </c>
      <c r="K15712" s="1" t="str">
        <f t="shared" si="3658"/>
        <v>X</v>
      </c>
      <c r="L15712" s="1" t="str">
        <f t="shared" si="3658"/>
        <v>X</v>
      </c>
      <c r="M15712" s="1" t="str">
        <f t="shared" si="3658"/>
        <v>X</v>
      </c>
      <c r="N15712" t="s">
        <v>27</v>
      </c>
    </row>
    <row r="15713" spans="1:14" x14ac:dyDescent="0.25">
      <c r="A15713" t="s">
        <v>45</v>
      </c>
      <c r="B15713" t="s">
        <v>40</v>
      </c>
      <c r="C15713" t="s">
        <v>38</v>
      </c>
      <c r="D15713" t="s">
        <v>33</v>
      </c>
      <c r="E15713" t="s">
        <v>22</v>
      </c>
      <c r="F15713" t="s">
        <v>17</v>
      </c>
      <c r="G15713" s="1" t="str">
        <f t="shared" ref="G15713:M15715" si="3659">"..."</f>
        <v>...</v>
      </c>
      <c r="H15713" s="1" t="str">
        <f t="shared" si="3659"/>
        <v>...</v>
      </c>
      <c r="I15713" s="1" t="str">
        <f t="shared" si="3659"/>
        <v>...</v>
      </c>
      <c r="J15713" s="1" t="str">
        <f t="shared" si="3659"/>
        <v>...</v>
      </c>
      <c r="K15713" s="1" t="str">
        <f t="shared" si="3659"/>
        <v>...</v>
      </c>
      <c r="L15713" s="1" t="str">
        <f t="shared" si="3659"/>
        <v>...</v>
      </c>
      <c r="M15713" s="1" t="str">
        <f t="shared" si="3659"/>
        <v>...</v>
      </c>
      <c r="N15713" t="s">
        <v>30</v>
      </c>
    </row>
    <row r="15714" spans="1:14" x14ac:dyDescent="0.25">
      <c r="A15714" t="s">
        <v>45</v>
      </c>
      <c r="B15714" t="s">
        <v>40</v>
      </c>
      <c r="C15714" t="s">
        <v>38</v>
      </c>
      <c r="D15714" t="s">
        <v>33</v>
      </c>
      <c r="E15714" t="s">
        <v>22</v>
      </c>
      <c r="F15714" t="s">
        <v>18</v>
      </c>
      <c r="G15714" s="1" t="str">
        <f t="shared" si="3659"/>
        <v>...</v>
      </c>
      <c r="H15714" s="1" t="str">
        <f t="shared" si="3659"/>
        <v>...</v>
      </c>
      <c r="I15714" s="1" t="str">
        <f t="shared" si="3659"/>
        <v>...</v>
      </c>
      <c r="J15714" s="1" t="str">
        <f t="shared" si="3659"/>
        <v>...</v>
      </c>
      <c r="K15714" s="1" t="str">
        <f t="shared" si="3659"/>
        <v>...</v>
      </c>
      <c r="L15714" s="1" t="str">
        <f t="shared" si="3659"/>
        <v>...</v>
      </c>
      <c r="M15714" s="1" t="str">
        <f t="shared" si="3659"/>
        <v>...</v>
      </c>
      <c r="N15714" t="s">
        <v>30</v>
      </c>
    </row>
    <row r="15715" spans="1:14" x14ac:dyDescent="0.25">
      <c r="A15715" t="s">
        <v>45</v>
      </c>
      <c r="B15715" t="s">
        <v>40</v>
      </c>
      <c r="C15715" t="s">
        <v>38</v>
      </c>
      <c r="D15715" t="s">
        <v>33</v>
      </c>
      <c r="E15715" t="s">
        <v>22</v>
      </c>
      <c r="F15715" t="s">
        <v>19</v>
      </c>
      <c r="G15715" s="1" t="str">
        <f t="shared" si="3659"/>
        <v>...</v>
      </c>
      <c r="H15715" s="1" t="str">
        <f t="shared" si="3659"/>
        <v>...</v>
      </c>
      <c r="I15715" s="1" t="str">
        <f t="shared" si="3659"/>
        <v>...</v>
      </c>
      <c r="J15715" s="1" t="str">
        <f t="shared" si="3659"/>
        <v>...</v>
      </c>
      <c r="K15715" s="1" t="str">
        <f t="shared" si="3659"/>
        <v>...</v>
      </c>
      <c r="L15715" s="1" t="str">
        <f t="shared" si="3659"/>
        <v>...</v>
      </c>
      <c r="M15715" s="1" t="str">
        <f t="shared" si="3659"/>
        <v>...</v>
      </c>
      <c r="N15715" t="s">
        <v>30</v>
      </c>
    </row>
    <row r="15716" spans="1:14" x14ac:dyDescent="0.25">
      <c r="A15716" t="s">
        <v>45</v>
      </c>
      <c r="B15716" t="s">
        <v>40</v>
      </c>
      <c r="C15716" t="s">
        <v>38</v>
      </c>
      <c r="D15716" t="s">
        <v>33</v>
      </c>
      <c r="E15716" t="s">
        <v>22</v>
      </c>
      <c r="F15716" t="s">
        <v>20</v>
      </c>
      <c r="G15716" s="1" t="str">
        <f t="shared" ref="G15716:M15717" si="3660">"X"</f>
        <v>X</v>
      </c>
      <c r="H15716" s="1" t="str">
        <f t="shared" si="3660"/>
        <v>X</v>
      </c>
      <c r="I15716" s="1" t="str">
        <f t="shared" si="3660"/>
        <v>X</v>
      </c>
      <c r="J15716" s="1" t="str">
        <f t="shared" si="3660"/>
        <v>X</v>
      </c>
      <c r="K15716" s="1" t="str">
        <f t="shared" si="3660"/>
        <v>X</v>
      </c>
      <c r="L15716" s="1" t="str">
        <f t="shared" si="3660"/>
        <v>X</v>
      </c>
      <c r="M15716" s="1" t="str">
        <f t="shared" si="3660"/>
        <v>X</v>
      </c>
      <c r="N15716" t="s">
        <v>27</v>
      </c>
    </row>
    <row r="15717" spans="1:14" x14ac:dyDescent="0.25">
      <c r="A15717" t="s">
        <v>45</v>
      </c>
      <c r="B15717" t="s">
        <v>40</v>
      </c>
      <c r="C15717" t="s">
        <v>38</v>
      </c>
      <c r="D15717" t="s">
        <v>33</v>
      </c>
      <c r="E15717" t="s">
        <v>23</v>
      </c>
      <c r="F15717" t="s">
        <v>15</v>
      </c>
      <c r="G15717" s="1" t="str">
        <f t="shared" si="3660"/>
        <v>X</v>
      </c>
      <c r="H15717" s="1" t="str">
        <f t="shared" si="3660"/>
        <v>X</v>
      </c>
      <c r="I15717" s="1" t="str">
        <f t="shared" si="3660"/>
        <v>X</v>
      </c>
      <c r="J15717" s="1" t="str">
        <f t="shared" si="3660"/>
        <v>X</v>
      </c>
      <c r="K15717" s="1" t="str">
        <f t="shared" si="3660"/>
        <v>X</v>
      </c>
      <c r="L15717" s="1" t="str">
        <f t="shared" si="3660"/>
        <v>X</v>
      </c>
      <c r="M15717" s="1" t="str">
        <f t="shared" si="3660"/>
        <v>X</v>
      </c>
      <c r="N15717" t="s">
        <v>27</v>
      </c>
    </row>
    <row r="15718" spans="1:14" x14ac:dyDescent="0.25">
      <c r="A15718" t="s">
        <v>45</v>
      </c>
      <c r="B15718" t="s">
        <v>40</v>
      </c>
      <c r="C15718" t="s">
        <v>38</v>
      </c>
      <c r="D15718" t="s">
        <v>33</v>
      </c>
      <c r="E15718" t="s">
        <v>23</v>
      </c>
      <c r="F15718" t="s">
        <v>17</v>
      </c>
      <c r="G15718" s="1" t="str">
        <f t="shared" ref="G15718:M15718" si="3661">"..."</f>
        <v>...</v>
      </c>
      <c r="H15718" s="1" t="str">
        <f t="shared" si="3661"/>
        <v>...</v>
      </c>
      <c r="I15718" s="1" t="str">
        <f t="shared" si="3661"/>
        <v>...</v>
      </c>
      <c r="J15718" s="1" t="str">
        <f t="shared" si="3661"/>
        <v>...</v>
      </c>
      <c r="K15718" s="1" t="str">
        <f t="shared" si="3661"/>
        <v>...</v>
      </c>
      <c r="L15718" s="1" t="str">
        <f t="shared" si="3661"/>
        <v>...</v>
      </c>
      <c r="M15718" s="1" t="str">
        <f t="shared" si="3661"/>
        <v>...</v>
      </c>
      <c r="N15718" t="s">
        <v>30</v>
      </c>
    </row>
    <row r="15719" spans="1:14" x14ac:dyDescent="0.25">
      <c r="A15719" t="s">
        <v>45</v>
      </c>
      <c r="B15719" t="s">
        <v>40</v>
      </c>
      <c r="C15719" t="s">
        <v>38</v>
      </c>
      <c r="D15719" t="s">
        <v>33</v>
      </c>
      <c r="E15719" t="s">
        <v>23</v>
      </c>
      <c r="F15719" t="s">
        <v>18</v>
      </c>
      <c r="G15719" s="1" t="str">
        <f t="shared" ref="G15719:M15719" si="3662">"X"</f>
        <v>X</v>
      </c>
      <c r="H15719" s="1" t="str">
        <f t="shared" si="3662"/>
        <v>X</v>
      </c>
      <c r="I15719" s="1" t="str">
        <f t="shared" si="3662"/>
        <v>X</v>
      </c>
      <c r="J15719" s="1" t="str">
        <f t="shared" si="3662"/>
        <v>X</v>
      </c>
      <c r="K15719" s="1" t="str">
        <f t="shared" si="3662"/>
        <v>X</v>
      </c>
      <c r="L15719" s="1" t="str">
        <f t="shared" si="3662"/>
        <v>X</v>
      </c>
      <c r="M15719" s="1" t="str">
        <f t="shared" si="3662"/>
        <v>X</v>
      </c>
      <c r="N15719" t="s">
        <v>27</v>
      </c>
    </row>
    <row r="15720" spans="1:14" x14ac:dyDescent="0.25">
      <c r="A15720" t="s">
        <v>45</v>
      </c>
      <c r="B15720" t="s">
        <v>40</v>
      </c>
      <c r="C15720" t="s">
        <v>38</v>
      </c>
      <c r="D15720" t="s">
        <v>33</v>
      </c>
      <c r="E15720" t="s">
        <v>23</v>
      </c>
      <c r="F15720" t="s">
        <v>19</v>
      </c>
      <c r="G15720" s="1" t="str">
        <f t="shared" ref="G15720:M15720" si="3663">"..."</f>
        <v>...</v>
      </c>
      <c r="H15720" s="1" t="str">
        <f t="shared" si="3663"/>
        <v>...</v>
      </c>
      <c r="I15720" s="1" t="str">
        <f t="shared" si="3663"/>
        <v>...</v>
      </c>
      <c r="J15720" s="1" t="str">
        <f t="shared" si="3663"/>
        <v>...</v>
      </c>
      <c r="K15720" s="1" t="str">
        <f t="shared" si="3663"/>
        <v>...</v>
      </c>
      <c r="L15720" s="1" t="str">
        <f t="shared" si="3663"/>
        <v>...</v>
      </c>
      <c r="M15720" s="1" t="str">
        <f t="shared" si="3663"/>
        <v>...</v>
      </c>
      <c r="N15720" t="s">
        <v>30</v>
      </c>
    </row>
    <row r="15721" spans="1:14" x14ac:dyDescent="0.25">
      <c r="A15721" t="s">
        <v>45</v>
      </c>
      <c r="B15721" t="s">
        <v>40</v>
      </c>
      <c r="C15721" t="s">
        <v>38</v>
      </c>
      <c r="D15721" t="s">
        <v>33</v>
      </c>
      <c r="E15721" t="s">
        <v>23</v>
      </c>
      <c r="F15721" t="s">
        <v>20</v>
      </c>
      <c r="G15721" s="1" t="str">
        <f t="shared" ref="G15721:M15721" si="3664">"X"</f>
        <v>X</v>
      </c>
      <c r="H15721" s="1" t="str">
        <f t="shared" si="3664"/>
        <v>X</v>
      </c>
      <c r="I15721" s="1" t="str">
        <f t="shared" si="3664"/>
        <v>X</v>
      </c>
      <c r="J15721" s="1" t="str">
        <f t="shared" si="3664"/>
        <v>X</v>
      </c>
      <c r="K15721" s="1" t="str">
        <f t="shared" si="3664"/>
        <v>X</v>
      </c>
      <c r="L15721" s="1" t="str">
        <f t="shared" si="3664"/>
        <v>X</v>
      </c>
      <c r="M15721" s="1" t="str">
        <f t="shared" si="3664"/>
        <v>X</v>
      </c>
      <c r="N15721" t="s">
        <v>27</v>
      </c>
    </row>
    <row r="15722" spans="1:14" x14ac:dyDescent="0.25">
      <c r="A15722" t="s">
        <v>45</v>
      </c>
      <c r="B15722" t="s">
        <v>40</v>
      </c>
      <c r="C15722" t="s">
        <v>38</v>
      </c>
      <c r="D15722" t="s">
        <v>33</v>
      </c>
      <c r="E15722" t="s">
        <v>26</v>
      </c>
      <c r="F15722" t="s">
        <v>15</v>
      </c>
      <c r="G15722" s="1" t="str">
        <f t="shared" ref="G15722:M15726" si="3665">"..."</f>
        <v>...</v>
      </c>
      <c r="H15722" s="1" t="str">
        <f t="shared" si="3665"/>
        <v>...</v>
      </c>
      <c r="I15722" s="1" t="str">
        <f t="shared" si="3665"/>
        <v>...</v>
      </c>
      <c r="J15722" s="1" t="str">
        <f t="shared" si="3665"/>
        <v>...</v>
      </c>
      <c r="K15722" s="1" t="str">
        <f t="shared" si="3665"/>
        <v>...</v>
      </c>
      <c r="L15722" s="1" t="str">
        <f t="shared" si="3665"/>
        <v>...</v>
      </c>
      <c r="M15722" s="1" t="str">
        <f t="shared" si="3665"/>
        <v>...</v>
      </c>
      <c r="N15722" t="s">
        <v>30</v>
      </c>
    </row>
    <row r="15723" spans="1:14" x14ac:dyDescent="0.25">
      <c r="A15723" t="s">
        <v>45</v>
      </c>
      <c r="B15723" t="s">
        <v>40</v>
      </c>
      <c r="C15723" t="s">
        <v>38</v>
      </c>
      <c r="D15723" t="s">
        <v>33</v>
      </c>
      <c r="E15723" t="s">
        <v>26</v>
      </c>
      <c r="F15723" t="s">
        <v>17</v>
      </c>
      <c r="G15723" s="1" t="str">
        <f t="shared" si="3665"/>
        <v>...</v>
      </c>
      <c r="H15723" s="1" t="str">
        <f t="shared" si="3665"/>
        <v>...</v>
      </c>
      <c r="I15723" s="1" t="str">
        <f t="shared" si="3665"/>
        <v>...</v>
      </c>
      <c r="J15723" s="1" t="str">
        <f t="shared" si="3665"/>
        <v>...</v>
      </c>
      <c r="K15723" s="1" t="str">
        <f t="shared" si="3665"/>
        <v>...</v>
      </c>
      <c r="L15723" s="1" t="str">
        <f t="shared" si="3665"/>
        <v>...</v>
      </c>
      <c r="M15723" s="1" t="str">
        <f t="shared" si="3665"/>
        <v>...</v>
      </c>
      <c r="N15723" t="s">
        <v>30</v>
      </c>
    </row>
    <row r="15724" spans="1:14" x14ac:dyDescent="0.25">
      <c r="A15724" t="s">
        <v>45</v>
      </c>
      <c r="B15724" t="s">
        <v>40</v>
      </c>
      <c r="C15724" t="s">
        <v>38</v>
      </c>
      <c r="D15724" t="s">
        <v>33</v>
      </c>
      <c r="E15724" t="s">
        <v>26</v>
      </c>
      <c r="F15724" t="s">
        <v>18</v>
      </c>
      <c r="G15724" s="1" t="str">
        <f t="shared" si="3665"/>
        <v>...</v>
      </c>
      <c r="H15724" s="1" t="str">
        <f t="shared" si="3665"/>
        <v>...</v>
      </c>
      <c r="I15724" s="1" t="str">
        <f t="shared" si="3665"/>
        <v>...</v>
      </c>
      <c r="J15724" s="1" t="str">
        <f t="shared" si="3665"/>
        <v>...</v>
      </c>
      <c r="K15724" s="1" t="str">
        <f t="shared" si="3665"/>
        <v>...</v>
      </c>
      <c r="L15724" s="1" t="str">
        <f t="shared" si="3665"/>
        <v>...</v>
      </c>
      <c r="M15724" s="1" t="str">
        <f t="shared" si="3665"/>
        <v>...</v>
      </c>
      <c r="N15724" t="s">
        <v>30</v>
      </c>
    </row>
    <row r="15725" spans="1:14" x14ac:dyDescent="0.25">
      <c r="A15725" t="s">
        <v>45</v>
      </c>
      <c r="B15725" t="s">
        <v>40</v>
      </c>
      <c r="C15725" t="s">
        <v>38</v>
      </c>
      <c r="D15725" t="s">
        <v>33</v>
      </c>
      <c r="E15725" t="s">
        <v>26</v>
      </c>
      <c r="F15725" t="s">
        <v>19</v>
      </c>
      <c r="G15725" s="1" t="str">
        <f t="shared" si="3665"/>
        <v>...</v>
      </c>
      <c r="H15725" s="1" t="str">
        <f t="shared" si="3665"/>
        <v>...</v>
      </c>
      <c r="I15725" s="1" t="str">
        <f t="shared" si="3665"/>
        <v>...</v>
      </c>
      <c r="J15725" s="1" t="str">
        <f t="shared" si="3665"/>
        <v>...</v>
      </c>
      <c r="K15725" s="1" t="str">
        <f t="shared" si="3665"/>
        <v>...</v>
      </c>
      <c r="L15725" s="1" t="str">
        <f t="shared" si="3665"/>
        <v>...</v>
      </c>
      <c r="M15725" s="1" t="str">
        <f t="shared" si="3665"/>
        <v>...</v>
      </c>
      <c r="N15725" t="s">
        <v>30</v>
      </c>
    </row>
    <row r="15726" spans="1:14" x14ac:dyDescent="0.25">
      <c r="A15726" t="s">
        <v>45</v>
      </c>
      <c r="B15726" t="s">
        <v>40</v>
      </c>
      <c r="C15726" t="s">
        <v>38</v>
      </c>
      <c r="D15726" t="s">
        <v>33</v>
      </c>
      <c r="E15726" t="s">
        <v>26</v>
      </c>
      <c r="F15726" t="s">
        <v>20</v>
      </c>
      <c r="G15726" s="1" t="str">
        <f t="shared" si="3665"/>
        <v>...</v>
      </c>
      <c r="H15726" s="1" t="str">
        <f t="shared" si="3665"/>
        <v>...</v>
      </c>
      <c r="I15726" s="1" t="str">
        <f t="shared" si="3665"/>
        <v>...</v>
      </c>
      <c r="J15726" s="1" t="str">
        <f t="shared" si="3665"/>
        <v>...</v>
      </c>
      <c r="K15726" s="1" t="str">
        <f t="shared" si="3665"/>
        <v>...</v>
      </c>
      <c r="L15726" s="1" t="str">
        <f t="shared" si="3665"/>
        <v>...</v>
      </c>
      <c r="M15726" s="1" t="str">
        <f t="shared" si="3665"/>
        <v>...</v>
      </c>
      <c r="N15726" t="s">
        <v>30</v>
      </c>
    </row>
    <row r="15727" spans="1:14" x14ac:dyDescent="0.25">
      <c r="A15727" t="s">
        <v>45</v>
      </c>
      <c r="B15727" t="s">
        <v>40</v>
      </c>
      <c r="C15727" t="s">
        <v>38</v>
      </c>
      <c r="D15727" t="s">
        <v>34</v>
      </c>
      <c r="E15727" t="s">
        <v>15</v>
      </c>
      <c r="F15727" t="s">
        <v>15</v>
      </c>
      <c r="G15727" s="1" t="str">
        <f t="shared" ref="G15727:M15738" si="3666">"X"</f>
        <v>X</v>
      </c>
      <c r="H15727" s="1" t="str">
        <f t="shared" si="3666"/>
        <v>X</v>
      </c>
      <c r="I15727" s="1" t="str">
        <f t="shared" si="3666"/>
        <v>X</v>
      </c>
      <c r="J15727" s="1" t="str">
        <f t="shared" si="3666"/>
        <v>X</v>
      </c>
      <c r="K15727" s="1" t="str">
        <f t="shared" si="3666"/>
        <v>X</v>
      </c>
      <c r="L15727" s="1" t="str">
        <f t="shared" si="3666"/>
        <v>X</v>
      </c>
      <c r="M15727" s="1" t="str">
        <f t="shared" si="3666"/>
        <v>X</v>
      </c>
      <c r="N15727" t="s">
        <v>27</v>
      </c>
    </row>
    <row r="15728" spans="1:14" x14ac:dyDescent="0.25">
      <c r="A15728" t="s">
        <v>45</v>
      </c>
      <c r="B15728" t="s">
        <v>40</v>
      </c>
      <c r="C15728" t="s">
        <v>38</v>
      </c>
      <c r="D15728" t="s">
        <v>34</v>
      </c>
      <c r="E15728" t="s">
        <v>15</v>
      </c>
      <c r="F15728" t="s">
        <v>17</v>
      </c>
      <c r="G15728" s="1" t="str">
        <f t="shared" si="3666"/>
        <v>X</v>
      </c>
      <c r="H15728" s="1" t="str">
        <f t="shared" si="3666"/>
        <v>X</v>
      </c>
      <c r="I15728" s="1" t="str">
        <f t="shared" si="3666"/>
        <v>X</v>
      </c>
      <c r="J15728" s="1" t="str">
        <f t="shared" si="3666"/>
        <v>X</v>
      </c>
      <c r="K15728" s="1" t="str">
        <f t="shared" si="3666"/>
        <v>X</v>
      </c>
      <c r="L15728" s="1" t="str">
        <f t="shared" si="3666"/>
        <v>X</v>
      </c>
      <c r="M15728" s="1" t="str">
        <f t="shared" si="3666"/>
        <v>X</v>
      </c>
      <c r="N15728" t="s">
        <v>27</v>
      </c>
    </row>
    <row r="15729" spans="1:14" x14ac:dyDescent="0.25">
      <c r="A15729" t="s">
        <v>45</v>
      </c>
      <c r="B15729" t="s">
        <v>40</v>
      </c>
      <c r="C15729" t="s">
        <v>38</v>
      </c>
      <c r="D15729" t="s">
        <v>34</v>
      </c>
      <c r="E15729" t="s">
        <v>15</v>
      </c>
      <c r="F15729" t="s">
        <v>18</v>
      </c>
      <c r="G15729" s="1" t="str">
        <f t="shared" si="3666"/>
        <v>X</v>
      </c>
      <c r="H15729" s="1" t="str">
        <f t="shared" si="3666"/>
        <v>X</v>
      </c>
      <c r="I15729" s="1" t="str">
        <f t="shared" si="3666"/>
        <v>X</v>
      </c>
      <c r="J15729" s="1" t="str">
        <f t="shared" si="3666"/>
        <v>X</v>
      </c>
      <c r="K15729" s="1" t="str">
        <f t="shared" si="3666"/>
        <v>X</v>
      </c>
      <c r="L15729" s="1" t="str">
        <f t="shared" si="3666"/>
        <v>X</v>
      </c>
      <c r="M15729" s="1" t="str">
        <f t="shared" si="3666"/>
        <v>X</v>
      </c>
      <c r="N15729" t="s">
        <v>27</v>
      </c>
    </row>
    <row r="15730" spans="1:14" x14ac:dyDescent="0.25">
      <c r="A15730" t="s">
        <v>45</v>
      </c>
      <c r="B15730" t="s">
        <v>40</v>
      </c>
      <c r="C15730" t="s">
        <v>38</v>
      </c>
      <c r="D15730" t="s">
        <v>34</v>
      </c>
      <c r="E15730" t="s">
        <v>15</v>
      </c>
      <c r="F15730" t="s">
        <v>19</v>
      </c>
      <c r="G15730" s="1" t="str">
        <f t="shared" si="3666"/>
        <v>X</v>
      </c>
      <c r="H15730" s="1" t="str">
        <f t="shared" si="3666"/>
        <v>X</v>
      </c>
      <c r="I15730" s="1" t="str">
        <f t="shared" si="3666"/>
        <v>X</v>
      </c>
      <c r="J15730" s="1" t="str">
        <f t="shared" si="3666"/>
        <v>X</v>
      </c>
      <c r="K15730" s="1" t="str">
        <f t="shared" si="3666"/>
        <v>X</v>
      </c>
      <c r="L15730" s="1" t="str">
        <f t="shared" si="3666"/>
        <v>X</v>
      </c>
      <c r="M15730" s="1" t="str">
        <f t="shared" si="3666"/>
        <v>X</v>
      </c>
      <c r="N15730" t="s">
        <v>27</v>
      </c>
    </row>
    <row r="15731" spans="1:14" x14ac:dyDescent="0.25">
      <c r="A15731" t="s">
        <v>45</v>
      </c>
      <c r="B15731" t="s">
        <v>40</v>
      </c>
      <c r="C15731" t="s">
        <v>38</v>
      </c>
      <c r="D15731" t="s">
        <v>34</v>
      </c>
      <c r="E15731" t="s">
        <v>15</v>
      </c>
      <c r="F15731" t="s">
        <v>20</v>
      </c>
      <c r="G15731" s="1" t="str">
        <f t="shared" si="3666"/>
        <v>X</v>
      </c>
      <c r="H15731" s="1" t="str">
        <f t="shared" si="3666"/>
        <v>X</v>
      </c>
      <c r="I15731" s="1" t="str">
        <f t="shared" si="3666"/>
        <v>X</v>
      </c>
      <c r="J15731" s="1" t="str">
        <f t="shared" si="3666"/>
        <v>X</v>
      </c>
      <c r="K15731" s="1" t="str">
        <f t="shared" si="3666"/>
        <v>X</v>
      </c>
      <c r="L15731" s="1" t="str">
        <f t="shared" si="3666"/>
        <v>X</v>
      </c>
      <c r="M15731" s="1" t="str">
        <f t="shared" si="3666"/>
        <v>X</v>
      </c>
      <c r="N15731" t="s">
        <v>27</v>
      </c>
    </row>
    <row r="15732" spans="1:14" x14ac:dyDescent="0.25">
      <c r="A15732" t="s">
        <v>45</v>
      </c>
      <c r="B15732" t="s">
        <v>40</v>
      </c>
      <c r="C15732" t="s">
        <v>38</v>
      </c>
      <c r="D15732" t="s">
        <v>34</v>
      </c>
      <c r="E15732" t="s">
        <v>21</v>
      </c>
      <c r="F15732" t="s">
        <v>15</v>
      </c>
      <c r="G15732" s="1" t="str">
        <f t="shared" si="3666"/>
        <v>X</v>
      </c>
      <c r="H15732" s="1" t="str">
        <f t="shared" si="3666"/>
        <v>X</v>
      </c>
      <c r="I15732" s="1" t="str">
        <f t="shared" si="3666"/>
        <v>X</v>
      </c>
      <c r="J15732" s="1" t="str">
        <f t="shared" si="3666"/>
        <v>X</v>
      </c>
      <c r="K15732" s="1" t="str">
        <f t="shared" si="3666"/>
        <v>X</v>
      </c>
      <c r="L15732" s="1" t="str">
        <f t="shared" si="3666"/>
        <v>X</v>
      </c>
      <c r="M15732" s="1" t="str">
        <f t="shared" si="3666"/>
        <v>X</v>
      </c>
      <c r="N15732" t="s">
        <v>27</v>
      </c>
    </row>
    <row r="15733" spans="1:14" x14ac:dyDescent="0.25">
      <c r="A15733" t="s">
        <v>45</v>
      </c>
      <c r="B15733" t="s">
        <v>40</v>
      </c>
      <c r="C15733" t="s">
        <v>38</v>
      </c>
      <c r="D15733" t="s">
        <v>34</v>
      </c>
      <c r="E15733" t="s">
        <v>21</v>
      </c>
      <c r="F15733" t="s">
        <v>17</v>
      </c>
      <c r="G15733" s="1" t="str">
        <f t="shared" si="3666"/>
        <v>X</v>
      </c>
      <c r="H15733" s="1" t="str">
        <f t="shared" si="3666"/>
        <v>X</v>
      </c>
      <c r="I15733" s="1" t="str">
        <f t="shared" si="3666"/>
        <v>X</v>
      </c>
      <c r="J15733" s="1" t="str">
        <f t="shared" si="3666"/>
        <v>X</v>
      </c>
      <c r="K15733" s="1" t="str">
        <f t="shared" si="3666"/>
        <v>X</v>
      </c>
      <c r="L15733" s="1" t="str">
        <f t="shared" si="3666"/>
        <v>X</v>
      </c>
      <c r="M15733" s="1" t="str">
        <f t="shared" si="3666"/>
        <v>X</v>
      </c>
      <c r="N15733" t="s">
        <v>27</v>
      </c>
    </row>
    <row r="15734" spans="1:14" x14ac:dyDescent="0.25">
      <c r="A15734" t="s">
        <v>45</v>
      </c>
      <c r="B15734" t="s">
        <v>40</v>
      </c>
      <c r="C15734" t="s">
        <v>38</v>
      </c>
      <c r="D15734" t="s">
        <v>34</v>
      </c>
      <c r="E15734" t="s">
        <v>21</v>
      </c>
      <c r="F15734" t="s">
        <v>18</v>
      </c>
      <c r="G15734" s="1" t="str">
        <f t="shared" si="3666"/>
        <v>X</v>
      </c>
      <c r="H15734" s="1" t="str">
        <f t="shared" si="3666"/>
        <v>X</v>
      </c>
      <c r="I15734" s="1" t="str">
        <f t="shared" si="3666"/>
        <v>X</v>
      </c>
      <c r="J15734" s="1" t="str">
        <f t="shared" si="3666"/>
        <v>X</v>
      </c>
      <c r="K15734" s="1" t="str">
        <f t="shared" si="3666"/>
        <v>X</v>
      </c>
      <c r="L15734" s="1" t="str">
        <f t="shared" si="3666"/>
        <v>X</v>
      </c>
      <c r="M15734" s="1" t="str">
        <f t="shared" si="3666"/>
        <v>X</v>
      </c>
      <c r="N15734" t="s">
        <v>27</v>
      </c>
    </row>
    <row r="15735" spans="1:14" x14ac:dyDescent="0.25">
      <c r="A15735" t="s">
        <v>45</v>
      </c>
      <c r="B15735" t="s">
        <v>40</v>
      </c>
      <c r="C15735" t="s">
        <v>38</v>
      </c>
      <c r="D15735" t="s">
        <v>34</v>
      </c>
      <c r="E15735" t="s">
        <v>21</v>
      </c>
      <c r="F15735" t="s">
        <v>19</v>
      </c>
      <c r="G15735" s="1" t="str">
        <f t="shared" si="3666"/>
        <v>X</v>
      </c>
      <c r="H15735" s="1" t="str">
        <f t="shared" si="3666"/>
        <v>X</v>
      </c>
      <c r="I15735" s="1" t="str">
        <f t="shared" si="3666"/>
        <v>X</v>
      </c>
      <c r="J15735" s="1" t="str">
        <f t="shared" si="3666"/>
        <v>X</v>
      </c>
      <c r="K15735" s="1" t="str">
        <f t="shared" si="3666"/>
        <v>X</v>
      </c>
      <c r="L15735" s="1" t="str">
        <f t="shared" si="3666"/>
        <v>X</v>
      </c>
      <c r="M15735" s="1" t="str">
        <f t="shared" si="3666"/>
        <v>X</v>
      </c>
      <c r="N15735" t="s">
        <v>27</v>
      </c>
    </row>
    <row r="15736" spans="1:14" x14ac:dyDescent="0.25">
      <c r="A15736" t="s">
        <v>45</v>
      </c>
      <c r="B15736" t="s">
        <v>40</v>
      </c>
      <c r="C15736" t="s">
        <v>38</v>
      </c>
      <c r="D15736" t="s">
        <v>34</v>
      </c>
      <c r="E15736" t="s">
        <v>21</v>
      </c>
      <c r="F15736" t="s">
        <v>20</v>
      </c>
      <c r="G15736" s="1" t="str">
        <f t="shared" si="3666"/>
        <v>X</v>
      </c>
      <c r="H15736" s="1" t="str">
        <f t="shared" si="3666"/>
        <v>X</v>
      </c>
      <c r="I15736" s="1" t="str">
        <f t="shared" si="3666"/>
        <v>X</v>
      </c>
      <c r="J15736" s="1" t="str">
        <f t="shared" si="3666"/>
        <v>X</v>
      </c>
      <c r="K15736" s="1" t="str">
        <f t="shared" si="3666"/>
        <v>X</v>
      </c>
      <c r="L15736" s="1" t="str">
        <f t="shared" si="3666"/>
        <v>X</v>
      </c>
      <c r="M15736" s="1" t="str">
        <f t="shared" si="3666"/>
        <v>X</v>
      </c>
      <c r="N15736" t="s">
        <v>27</v>
      </c>
    </row>
    <row r="15737" spans="1:14" x14ac:dyDescent="0.25">
      <c r="A15737" t="s">
        <v>45</v>
      </c>
      <c r="B15737" t="s">
        <v>40</v>
      </c>
      <c r="C15737" t="s">
        <v>38</v>
      </c>
      <c r="D15737" t="s">
        <v>34</v>
      </c>
      <c r="E15737" t="s">
        <v>22</v>
      </c>
      <c r="F15737" t="s">
        <v>15</v>
      </c>
      <c r="G15737" s="1" t="str">
        <f t="shared" si="3666"/>
        <v>X</v>
      </c>
      <c r="H15737" s="1" t="str">
        <f t="shared" si="3666"/>
        <v>X</v>
      </c>
      <c r="I15737" s="1" t="str">
        <f t="shared" si="3666"/>
        <v>X</v>
      </c>
      <c r="J15737" s="1" t="str">
        <f t="shared" si="3666"/>
        <v>X</v>
      </c>
      <c r="K15737" s="1" t="str">
        <f t="shared" si="3666"/>
        <v>X</v>
      </c>
      <c r="L15737" s="1" t="str">
        <f t="shared" si="3666"/>
        <v>X</v>
      </c>
      <c r="M15737" s="1" t="str">
        <f t="shared" si="3666"/>
        <v>X</v>
      </c>
      <c r="N15737" t="s">
        <v>27</v>
      </c>
    </row>
    <row r="15738" spans="1:14" x14ac:dyDescent="0.25">
      <c r="A15738" t="s">
        <v>45</v>
      </c>
      <c r="B15738" t="s">
        <v>40</v>
      </c>
      <c r="C15738" t="s">
        <v>38</v>
      </c>
      <c r="D15738" t="s">
        <v>34</v>
      </c>
      <c r="E15738" t="s">
        <v>22</v>
      </c>
      <c r="F15738" t="s">
        <v>17</v>
      </c>
      <c r="G15738" s="1" t="str">
        <f t="shared" si="3666"/>
        <v>X</v>
      </c>
      <c r="H15738" s="1" t="str">
        <f t="shared" si="3666"/>
        <v>X</v>
      </c>
      <c r="I15738" s="1" t="str">
        <f t="shared" si="3666"/>
        <v>X</v>
      </c>
      <c r="J15738" s="1" t="str">
        <f t="shared" si="3666"/>
        <v>X</v>
      </c>
      <c r="K15738" s="1" t="str">
        <f t="shared" si="3666"/>
        <v>X</v>
      </c>
      <c r="L15738" s="1" t="str">
        <f t="shared" si="3666"/>
        <v>X</v>
      </c>
      <c r="M15738" s="1" t="str">
        <f t="shared" si="3666"/>
        <v>X</v>
      </c>
      <c r="N15738" t="s">
        <v>27</v>
      </c>
    </row>
    <row r="15739" spans="1:14" x14ac:dyDescent="0.25">
      <c r="A15739" t="s">
        <v>45</v>
      </c>
      <c r="B15739" t="s">
        <v>40</v>
      </c>
      <c r="C15739" t="s">
        <v>38</v>
      </c>
      <c r="D15739" t="s">
        <v>34</v>
      </c>
      <c r="E15739" t="s">
        <v>22</v>
      </c>
      <c r="F15739" t="s">
        <v>18</v>
      </c>
      <c r="G15739" s="1" t="str">
        <f t="shared" ref="G15739:M15740" si="3667">"..."</f>
        <v>...</v>
      </c>
      <c r="H15739" s="1" t="str">
        <f t="shared" si="3667"/>
        <v>...</v>
      </c>
      <c r="I15739" s="1" t="str">
        <f t="shared" si="3667"/>
        <v>...</v>
      </c>
      <c r="J15739" s="1" t="str">
        <f t="shared" si="3667"/>
        <v>...</v>
      </c>
      <c r="K15739" s="1" t="str">
        <f t="shared" si="3667"/>
        <v>...</v>
      </c>
      <c r="L15739" s="1" t="str">
        <f t="shared" si="3667"/>
        <v>...</v>
      </c>
      <c r="M15739" s="1" t="str">
        <f t="shared" si="3667"/>
        <v>...</v>
      </c>
      <c r="N15739" t="s">
        <v>30</v>
      </c>
    </row>
    <row r="15740" spans="1:14" x14ac:dyDescent="0.25">
      <c r="A15740" t="s">
        <v>45</v>
      </c>
      <c r="B15740" t="s">
        <v>40</v>
      </c>
      <c r="C15740" t="s">
        <v>38</v>
      </c>
      <c r="D15740" t="s">
        <v>34</v>
      </c>
      <c r="E15740" t="s">
        <v>22</v>
      </c>
      <c r="F15740" t="s">
        <v>19</v>
      </c>
      <c r="G15740" s="1" t="str">
        <f t="shared" si="3667"/>
        <v>...</v>
      </c>
      <c r="H15740" s="1" t="str">
        <f t="shared" si="3667"/>
        <v>...</v>
      </c>
      <c r="I15740" s="1" t="str">
        <f t="shared" si="3667"/>
        <v>...</v>
      </c>
      <c r="J15740" s="1" t="str">
        <f t="shared" si="3667"/>
        <v>...</v>
      </c>
      <c r="K15740" s="1" t="str">
        <f t="shared" si="3667"/>
        <v>...</v>
      </c>
      <c r="L15740" s="1" t="str">
        <f t="shared" si="3667"/>
        <v>...</v>
      </c>
      <c r="M15740" s="1" t="str">
        <f t="shared" si="3667"/>
        <v>...</v>
      </c>
      <c r="N15740" t="s">
        <v>30</v>
      </c>
    </row>
    <row r="15741" spans="1:14" x14ac:dyDescent="0.25">
      <c r="A15741" t="s">
        <v>45</v>
      </c>
      <c r="B15741" t="s">
        <v>40</v>
      </c>
      <c r="C15741" t="s">
        <v>38</v>
      </c>
      <c r="D15741" t="s">
        <v>34</v>
      </c>
      <c r="E15741" t="s">
        <v>22</v>
      </c>
      <c r="F15741" t="s">
        <v>20</v>
      </c>
      <c r="G15741" s="1" t="str">
        <f t="shared" ref="G15741:M15743" si="3668">"X"</f>
        <v>X</v>
      </c>
      <c r="H15741" s="1" t="str">
        <f t="shared" si="3668"/>
        <v>X</v>
      </c>
      <c r="I15741" s="1" t="str">
        <f t="shared" si="3668"/>
        <v>X</v>
      </c>
      <c r="J15741" s="1" t="str">
        <f t="shared" si="3668"/>
        <v>X</v>
      </c>
      <c r="K15741" s="1" t="str">
        <f t="shared" si="3668"/>
        <v>X</v>
      </c>
      <c r="L15741" s="1" t="str">
        <f t="shared" si="3668"/>
        <v>X</v>
      </c>
      <c r="M15741" s="1" t="str">
        <f t="shared" si="3668"/>
        <v>X</v>
      </c>
      <c r="N15741" t="s">
        <v>27</v>
      </c>
    </row>
    <row r="15742" spans="1:14" x14ac:dyDescent="0.25">
      <c r="A15742" t="s">
        <v>45</v>
      </c>
      <c r="B15742" t="s">
        <v>40</v>
      </c>
      <c r="C15742" t="s">
        <v>38</v>
      </c>
      <c r="D15742" t="s">
        <v>34</v>
      </c>
      <c r="E15742" t="s">
        <v>23</v>
      </c>
      <c r="F15742" t="s">
        <v>15</v>
      </c>
      <c r="G15742" s="1" t="str">
        <f t="shared" si="3668"/>
        <v>X</v>
      </c>
      <c r="H15742" s="1" t="str">
        <f t="shared" si="3668"/>
        <v>X</v>
      </c>
      <c r="I15742" s="1" t="str">
        <f t="shared" si="3668"/>
        <v>X</v>
      </c>
      <c r="J15742" s="1" t="str">
        <f t="shared" si="3668"/>
        <v>X</v>
      </c>
      <c r="K15742" s="1" t="str">
        <f t="shared" si="3668"/>
        <v>X</v>
      </c>
      <c r="L15742" s="1" t="str">
        <f t="shared" si="3668"/>
        <v>X</v>
      </c>
      <c r="M15742" s="1" t="str">
        <f t="shared" si="3668"/>
        <v>X</v>
      </c>
      <c r="N15742" t="s">
        <v>27</v>
      </c>
    </row>
    <row r="15743" spans="1:14" x14ac:dyDescent="0.25">
      <c r="A15743" t="s">
        <v>45</v>
      </c>
      <c r="B15743" t="s">
        <v>40</v>
      </c>
      <c r="C15743" t="s">
        <v>38</v>
      </c>
      <c r="D15743" t="s">
        <v>34</v>
      </c>
      <c r="E15743" t="s">
        <v>23</v>
      </c>
      <c r="F15743" t="s">
        <v>17</v>
      </c>
      <c r="G15743" s="1" t="str">
        <f t="shared" si="3668"/>
        <v>X</v>
      </c>
      <c r="H15743" s="1" t="str">
        <f t="shared" si="3668"/>
        <v>X</v>
      </c>
      <c r="I15743" s="1" t="str">
        <f t="shared" si="3668"/>
        <v>X</v>
      </c>
      <c r="J15743" s="1" t="str">
        <f t="shared" si="3668"/>
        <v>X</v>
      </c>
      <c r="K15743" s="1" t="str">
        <f t="shared" si="3668"/>
        <v>X</v>
      </c>
      <c r="L15743" s="1" t="str">
        <f t="shared" si="3668"/>
        <v>X</v>
      </c>
      <c r="M15743" s="1" t="str">
        <f t="shared" si="3668"/>
        <v>X</v>
      </c>
      <c r="N15743" t="s">
        <v>27</v>
      </c>
    </row>
    <row r="15744" spans="1:14" x14ac:dyDescent="0.25">
      <c r="A15744" t="s">
        <v>45</v>
      </c>
      <c r="B15744" t="s">
        <v>40</v>
      </c>
      <c r="C15744" t="s">
        <v>38</v>
      </c>
      <c r="D15744" t="s">
        <v>34</v>
      </c>
      <c r="E15744" t="s">
        <v>23</v>
      </c>
      <c r="F15744" t="s">
        <v>18</v>
      </c>
      <c r="G15744" s="1" t="str">
        <f t="shared" ref="G15744:M15745" si="3669">"..."</f>
        <v>...</v>
      </c>
      <c r="H15744" s="1" t="str">
        <f t="shared" si="3669"/>
        <v>...</v>
      </c>
      <c r="I15744" s="1" t="str">
        <f t="shared" si="3669"/>
        <v>...</v>
      </c>
      <c r="J15744" s="1" t="str">
        <f t="shared" si="3669"/>
        <v>...</v>
      </c>
      <c r="K15744" s="1" t="str">
        <f t="shared" si="3669"/>
        <v>...</v>
      </c>
      <c r="L15744" s="1" t="str">
        <f t="shared" si="3669"/>
        <v>...</v>
      </c>
      <c r="M15744" s="1" t="str">
        <f t="shared" si="3669"/>
        <v>...</v>
      </c>
      <c r="N15744" t="s">
        <v>30</v>
      </c>
    </row>
    <row r="15745" spans="1:14" x14ac:dyDescent="0.25">
      <c r="A15745" t="s">
        <v>45</v>
      </c>
      <c r="B15745" t="s">
        <v>40</v>
      </c>
      <c r="C15745" t="s">
        <v>38</v>
      </c>
      <c r="D15745" t="s">
        <v>34</v>
      </c>
      <c r="E15745" t="s">
        <v>23</v>
      </c>
      <c r="F15745" t="s">
        <v>19</v>
      </c>
      <c r="G15745" s="1" t="str">
        <f t="shared" si="3669"/>
        <v>...</v>
      </c>
      <c r="H15745" s="1" t="str">
        <f t="shared" si="3669"/>
        <v>...</v>
      </c>
      <c r="I15745" s="1" t="str">
        <f t="shared" si="3669"/>
        <v>...</v>
      </c>
      <c r="J15745" s="1" t="str">
        <f t="shared" si="3669"/>
        <v>...</v>
      </c>
      <c r="K15745" s="1" t="str">
        <f t="shared" si="3669"/>
        <v>...</v>
      </c>
      <c r="L15745" s="1" t="str">
        <f t="shared" si="3669"/>
        <v>...</v>
      </c>
      <c r="M15745" s="1" t="str">
        <f t="shared" si="3669"/>
        <v>...</v>
      </c>
      <c r="N15745" t="s">
        <v>30</v>
      </c>
    </row>
    <row r="15746" spans="1:14" x14ac:dyDescent="0.25">
      <c r="A15746" t="s">
        <v>45</v>
      </c>
      <c r="B15746" t="s">
        <v>40</v>
      </c>
      <c r="C15746" t="s">
        <v>38</v>
      </c>
      <c r="D15746" t="s">
        <v>34</v>
      </c>
      <c r="E15746" t="s">
        <v>23</v>
      </c>
      <c r="F15746" t="s">
        <v>20</v>
      </c>
      <c r="G15746" s="1" t="str">
        <f t="shared" ref="G15746:M15746" si="3670">"X"</f>
        <v>X</v>
      </c>
      <c r="H15746" s="1" t="str">
        <f t="shared" si="3670"/>
        <v>X</v>
      </c>
      <c r="I15746" s="1" t="str">
        <f t="shared" si="3670"/>
        <v>X</v>
      </c>
      <c r="J15746" s="1" t="str">
        <f t="shared" si="3670"/>
        <v>X</v>
      </c>
      <c r="K15746" s="1" t="str">
        <f t="shared" si="3670"/>
        <v>X</v>
      </c>
      <c r="L15746" s="1" t="str">
        <f t="shared" si="3670"/>
        <v>X</v>
      </c>
      <c r="M15746" s="1" t="str">
        <f t="shared" si="3670"/>
        <v>X</v>
      </c>
      <c r="N15746" t="s">
        <v>27</v>
      </c>
    </row>
    <row r="15747" spans="1:14" x14ac:dyDescent="0.25">
      <c r="A15747" t="s">
        <v>45</v>
      </c>
      <c r="B15747" t="s">
        <v>40</v>
      </c>
      <c r="C15747" t="s">
        <v>38</v>
      </c>
      <c r="D15747" t="s">
        <v>34</v>
      </c>
      <c r="E15747" t="s">
        <v>26</v>
      </c>
      <c r="F15747" t="s">
        <v>15</v>
      </c>
      <c r="G15747" s="1" t="str">
        <f t="shared" ref="G15747:M15751" si="3671">"..."</f>
        <v>...</v>
      </c>
      <c r="H15747" s="1" t="str">
        <f t="shared" si="3671"/>
        <v>...</v>
      </c>
      <c r="I15747" s="1" t="str">
        <f t="shared" si="3671"/>
        <v>...</v>
      </c>
      <c r="J15747" s="1" t="str">
        <f t="shared" si="3671"/>
        <v>...</v>
      </c>
      <c r="K15747" s="1" t="str">
        <f t="shared" si="3671"/>
        <v>...</v>
      </c>
      <c r="L15747" s="1" t="str">
        <f t="shared" si="3671"/>
        <v>...</v>
      </c>
      <c r="M15747" s="1" t="str">
        <f t="shared" si="3671"/>
        <v>...</v>
      </c>
      <c r="N15747" t="s">
        <v>30</v>
      </c>
    </row>
    <row r="15748" spans="1:14" x14ac:dyDescent="0.25">
      <c r="A15748" t="s">
        <v>45</v>
      </c>
      <c r="B15748" t="s">
        <v>40</v>
      </c>
      <c r="C15748" t="s">
        <v>38</v>
      </c>
      <c r="D15748" t="s">
        <v>34</v>
      </c>
      <c r="E15748" t="s">
        <v>26</v>
      </c>
      <c r="F15748" t="s">
        <v>17</v>
      </c>
      <c r="G15748" s="1" t="str">
        <f t="shared" si="3671"/>
        <v>...</v>
      </c>
      <c r="H15748" s="1" t="str">
        <f t="shared" si="3671"/>
        <v>...</v>
      </c>
      <c r="I15748" s="1" t="str">
        <f t="shared" si="3671"/>
        <v>...</v>
      </c>
      <c r="J15748" s="1" t="str">
        <f t="shared" si="3671"/>
        <v>...</v>
      </c>
      <c r="K15748" s="1" t="str">
        <f t="shared" si="3671"/>
        <v>...</v>
      </c>
      <c r="L15748" s="1" t="str">
        <f t="shared" si="3671"/>
        <v>...</v>
      </c>
      <c r="M15748" s="1" t="str">
        <f t="shared" si="3671"/>
        <v>...</v>
      </c>
      <c r="N15748" t="s">
        <v>30</v>
      </c>
    </row>
    <row r="15749" spans="1:14" x14ac:dyDescent="0.25">
      <c r="A15749" t="s">
        <v>45</v>
      </c>
      <c r="B15749" t="s">
        <v>40</v>
      </c>
      <c r="C15749" t="s">
        <v>38</v>
      </c>
      <c r="D15749" t="s">
        <v>34</v>
      </c>
      <c r="E15749" t="s">
        <v>26</v>
      </c>
      <c r="F15749" t="s">
        <v>18</v>
      </c>
      <c r="G15749" s="1" t="str">
        <f t="shared" si="3671"/>
        <v>...</v>
      </c>
      <c r="H15749" s="1" t="str">
        <f t="shared" si="3671"/>
        <v>...</v>
      </c>
      <c r="I15749" s="1" t="str">
        <f t="shared" si="3671"/>
        <v>...</v>
      </c>
      <c r="J15749" s="1" t="str">
        <f t="shared" si="3671"/>
        <v>...</v>
      </c>
      <c r="K15749" s="1" t="str">
        <f t="shared" si="3671"/>
        <v>...</v>
      </c>
      <c r="L15749" s="1" t="str">
        <f t="shared" si="3671"/>
        <v>...</v>
      </c>
      <c r="M15749" s="1" t="str">
        <f t="shared" si="3671"/>
        <v>...</v>
      </c>
      <c r="N15749" t="s">
        <v>30</v>
      </c>
    </row>
    <row r="15750" spans="1:14" x14ac:dyDescent="0.25">
      <c r="A15750" t="s">
        <v>45</v>
      </c>
      <c r="B15750" t="s">
        <v>40</v>
      </c>
      <c r="C15750" t="s">
        <v>38</v>
      </c>
      <c r="D15750" t="s">
        <v>34</v>
      </c>
      <c r="E15750" t="s">
        <v>26</v>
      </c>
      <c r="F15750" t="s">
        <v>19</v>
      </c>
      <c r="G15750" s="1" t="str">
        <f t="shared" si="3671"/>
        <v>...</v>
      </c>
      <c r="H15750" s="1" t="str">
        <f t="shared" si="3671"/>
        <v>...</v>
      </c>
      <c r="I15750" s="1" t="str">
        <f t="shared" si="3671"/>
        <v>...</v>
      </c>
      <c r="J15750" s="1" t="str">
        <f t="shared" si="3671"/>
        <v>...</v>
      </c>
      <c r="K15750" s="1" t="str">
        <f t="shared" si="3671"/>
        <v>...</v>
      </c>
      <c r="L15750" s="1" t="str">
        <f t="shared" si="3671"/>
        <v>...</v>
      </c>
      <c r="M15750" s="1" t="str">
        <f t="shared" si="3671"/>
        <v>...</v>
      </c>
      <c r="N15750" t="s">
        <v>30</v>
      </c>
    </row>
    <row r="15751" spans="1:14" x14ac:dyDescent="0.25">
      <c r="A15751" t="s">
        <v>45</v>
      </c>
      <c r="B15751" t="s">
        <v>40</v>
      </c>
      <c r="C15751" t="s">
        <v>38</v>
      </c>
      <c r="D15751" t="s">
        <v>34</v>
      </c>
      <c r="E15751" t="s">
        <v>26</v>
      </c>
      <c r="F15751" t="s">
        <v>20</v>
      </c>
      <c r="G15751" s="1" t="str">
        <f t="shared" si="3671"/>
        <v>...</v>
      </c>
      <c r="H15751" s="1" t="str">
        <f t="shared" si="3671"/>
        <v>...</v>
      </c>
      <c r="I15751" s="1" t="str">
        <f t="shared" si="3671"/>
        <v>...</v>
      </c>
      <c r="J15751" s="1" t="str">
        <f t="shared" si="3671"/>
        <v>...</v>
      </c>
      <c r="K15751" s="1" t="str">
        <f t="shared" si="3671"/>
        <v>...</v>
      </c>
      <c r="L15751" s="1" t="str">
        <f t="shared" si="3671"/>
        <v>...</v>
      </c>
      <c r="M15751" s="1" t="str">
        <f t="shared" si="3671"/>
        <v>...</v>
      </c>
      <c r="N15751" t="s">
        <v>30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/>
  </sheetViews>
  <sheetFormatPr defaultRowHeight="15" x14ac:dyDescent="0.25"/>
  <cols>
    <col min="1" max="1" width="18" customWidth="1"/>
    <col min="2" max="2" width="100.7109375" customWidth="1"/>
  </cols>
  <sheetData>
    <row r="1" spans="1:2" x14ac:dyDescent="0.25">
      <c r="A1" t="s">
        <v>46</v>
      </c>
      <c r="B1" t="s">
        <v>47</v>
      </c>
    </row>
    <row r="2" spans="1:2" x14ac:dyDescent="0.25">
      <c r="A2" t="s">
        <v>0</v>
      </c>
      <c r="B2" t="s">
        <v>48</v>
      </c>
    </row>
    <row r="3" spans="1:2" x14ac:dyDescent="0.25">
      <c r="A3" t="s">
        <v>1</v>
      </c>
      <c r="B3" t="s">
        <v>49</v>
      </c>
    </row>
    <row r="4" spans="1:2" x14ac:dyDescent="0.25">
      <c r="A4" t="s">
        <v>2</v>
      </c>
      <c r="B4" t="s">
        <v>50</v>
      </c>
    </row>
    <row r="5" spans="1:2" x14ac:dyDescent="0.25">
      <c r="A5" t="s">
        <v>3</v>
      </c>
      <c r="B5" t="s">
        <v>51</v>
      </c>
    </row>
    <row r="6" spans="1:2" x14ac:dyDescent="0.25">
      <c r="A6" t="s">
        <v>4</v>
      </c>
      <c r="B6" t="s">
        <v>52</v>
      </c>
    </row>
    <row r="7" spans="1:2" x14ac:dyDescent="0.25">
      <c r="A7" t="s">
        <v>5</v>
      </c>
      <c r="B7" t="s">
        <v>53</v>
      </c>
    </row>
    <row r="10" spans="1:2" x14ac:dyDescent="0.25">
      <c r="A10" t="s">
        <v>54</v>
      </c>
    </row>
    <row r="11" spans="1:2" x14ac:dyDescent="0.25">
      <c r="A11" t="s">
        <v>55</v>
      </c>
      <c r="B11" t="s">
        <v>56</v>
      </c>
    </row>
    <row r="12" spans="1:2" x14ac:dyDescent="0.25">
      <c r="A12" t="s">
        <v>6</v>
      </c>
      <c r="B12" t="s">
        <v>57</v>
      </c>
    </row>
    <row r="13" spans="1:2" x14ac:dyDescent="0.25">
      <c r="A13" t="s">
        <v>7</v>
      </c>
      <c r="B13" t="s">
        <v>58</v>
      </c>
    </row>
    <row r="14" spans="1:2" x14ac:dyDescent="0.25">
      <c r="A14" t="s">
        <v>8</v>
      </c>
      <c r="B14" t="s">
        <v>59</v>
      </c>
    </row>
    <row r="15" spans="1:2" x14ac:dyDescent="0.25">
      <c r="A15" t="s">
        <v>9</v>
      </c>
      <c r="B15" t="s">
        <v>60</v>
      </c>
    </row>
    <row r="16" spans="1:2" x14ac:dyDescent="0.25">
      <c r="A16" t="s">
        <v>10</v>
      </c>
      <c r="B16" t="s">
        <v>61</v>
      </c>
    </row>
    <row r="17" spans="1:2" x14ac:dyDescent="0.25">
      <c r="A17" t="s">
        <v>11</v>
      </c>
      <c r="B17" t="s">
        <v>62</v>
      </c>
    </row>
    <row r="18" spans="1:2" x14ac:dyDescent="0.25">
      <c r="A18" t="s">
        <v>12</v>
      </c>
      <c r="B18" t="s">
        <v>63</v>
      </c>
    </row>
    <row r="21" spans="1:2" x14ac:dyDescent="0.25">
      <c r="A21" t="s">
        <v>64</v>
      </c>
    </row>
    <row r="22" spans="1:2" x14ac:dyDescent="0.25">
      <c r="A22" t="s">
        <v>65</v>
      </c>
      <c r="B22" t="s">
        <v>66</v>
      </c>
    </row>
    <row r="23" spans="1:2" x14ac:dyDescent="0.25">
      <c r="A23" t="s">
        <v>16</v>
      </c>
      <c r="B23" t="s">
        <v>67</v>
      </c>
    </row>
    <row r="24" spans="1:2" x14ac:dyDescent="0.25">
      <c r="A24" t="s">
        <v>68</v>
      </c>
      <c r="B24" t="s">
        <v>69</v>
      </c>
    </row>
    <row r="25" spans="1:2" x14ac:dyDescent="0.25">
      <c r="A25" t="s">
        <v>27</v>
      </c>
      <c r="B25" t="s">
        <v>70</v>
      </c>
    </row>
    <row r="26" spans="1:2" x14ac:dyDescent="0.25">
      <c r="A26" t="s">
        <v>24</v>
      </c>
      <c r="B26" t="s">
        <v>71</v>
      </c>
    </row>
    <row r="27" spans="1:2" x14ac:dyDescent="0.25">
      <c r="A27" t="s">
        <v>25</v>
      </c>
      <c r="B27" t="s">
        <v>72</v>
      </c>
    </row>
    <row r="30" spans="1:2" x14ac:dyDescent="0.25">
      <c r="A30" s="9" t="str">
        <f>HYPERLINK("http://www4.ti.ch/fileadmin/DFE/DR-USTAT/Prodotti/Definizioni/segni_sigle_simboli.pdf","Segni, simboli, abbreviazioni, sigle e concetti statistici usati nei prodotti dell'Ustat")</f>
        <v>Segni, simboli, abbreviazioni, sigle e concetti statistici usati nei prodotti dell'Ustat</v>
      </c>
    </row>
    <row r="33" spans="1:1" x14ac:dyDescent="0.25">
      <c r="A33" t="s">
        <v>73</v>
      </c>
    </row>
    <row r="34" spans="1:1" x14ac:dyDescent="0.25">
      <c r="A34" s="9" t="str">
        <f>HYPERLINK("https://www3.ti.ch/DFE/DR/USTAT/index.php?fuseaction=definizioni.glossario&amp;tema=35&amp;id=191","Salario mensile lordo standardizzato")</f>
        <v>Salario mensile lordo standardizzato</v>
      </c>
    </row>
    <row r="35" spans="1:1" x14ac:dyDescent="0.25">
      <c r="A35" s="9" t="str">
        <f>HYPERLINK("https://www3.ti.ch/DFE/DR/USTAT/index.php?fuseaction=definizioni.glossario&amp;tema=35&amp;id=1881","Addetti ai sensi della RSS")</f>
        <v>Addetti ai sensi della RSS</v>
      </c>
    </row>
    <row r="36" spans="1:1" x14ac:dyDescent="0.25">
      <c r="A36" s="9" t="str">
        <f>HYPERLINK("https://www3.ti.ch/DFE/DR/USTAT/index.php?fuseaction=definizioni.glossario&amp;tema=35&amp;id=1882","Addetti ETP ai sensi della RSS")</f>
        <v>Addetti ETP ai sensi della RSS</v>
      </c>
    </row>
  </sheetData>
  <pageMargins left="0.7" right="0.7" top="0.75" bottom="0.75" header="0.3" footer="0.3"/>
  <pageSetup paperSize="9" orientation="portrait" horizontalDpi="300" verticalDpi="300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defaultRowHeight="15" x14ac:dyDescent="0.25"/>
  <sheetData>
    <row r="1" spans="1:1" x14ac:dyDescent="0.25">
      <c r="A1" t="s">
        <v>74</v>
      </c>
    </row>
    <row r="3" spans="1:1" x14ac:dyDescent="0.25">
      <c r="A3" s="9" t="str">
        <f>HYPERLINK("https://www3.ti.ch/DFE/DR/USTAT/index.php?fuseaction=definizioni.fonti&amp;tema=35&amp;id=64&amp;proID=178","Fonte: Rilevazione della struttura dei salari (RSS), Ufficio federale di statistica, Neuchâtel")</f>
        <v>Fonte: Rilevazione della struttura dei salari (RSS), Ufficio federale di statistica, Neuchâtel</v>
      </c>
    </row>
    <row r="4" spans="1:1" x14ac:dyDescent="0.25">
      <c r="A4" t="s">
        <v>75</v>
      </c>
    </row>
    <row r="6" spans="1:1" x14ac:dyDescent="0.25">
      <c r="A6" t="s">
        <v>76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/>
  </sheetViews>
  <sheetFormatPr defaultRowHeight="15" x14ac:dyDescent="0.25"/>
  <cols>
    <col min="1" max="1" width="60.7109375" customWidth="1"/>
    <col min="2" max="2" width="11.7109375" customWidth="1"/>
    <col min="3" max="6" width="9.140625" customWidth="1"/>
  </cols>
  <sheetData>
    <row r="1" spans="1:2" x14ac:dyDescent="0.25">
      <c r="A1" t="s">
        <v>77</v>
      </c>
      <c r="B1" t="s">
        <v>4</v>
      </c>
    </row>
    <row r="2" spans="1:2" x14ac:dyDescent="0.25">
      <c r="A2" t="s">
        <v>78</v>
      </c>
      <c r="B2" t="s">
        <v>21</v>
      </c>
    </row>
    <row r="3" spans="1:2" x14ac:dyDescent="0.25">
      <c r="A3" t="s">
        <v>79</v>
      </c>
      <c r="B3" t="s">
        <v>21</v>
      </c>
    </row>
    <row r="4" spans="1:2" x14ac:dyDescent="0.25">
      <c r="A4" t="s">
        <v>80</v>
      </c>
      <c r="B4" t="s">
        <v>21</v>
      </c>
    </row>
    <row r="5" spans="1:2" x14ac:dyDescent="0.25">
      <c r="A5" t="s">
        <v>81</v>
      </c>
      <c r="B5" t="s">
        <v>22</v>
      </c>
    </row>
    <row r="6" spans="1:2" x14ac:dyDescent="0.25">
      <c r="A6" t="s">
        <v>82</v>
      </c>
      <c r="B6" t="s">
        <v>22</v>
      </c>
    </row>
    <row r="7" spans="1:2" x14ac:dyDescent="0.25">
      <c r="A7" t="s">
        <v>83</v>
      </c>
      <c r="B7" t="s">
        <v>22</v>
      </c>
    </row>
    <row r="8" spans="1:2" x14ac:dyDescent="0.25">
      <c r="A8" t="s">
        <v>84</v>
      </c>
      <c r="B8" t="s">
        <v>23</v>
      </c>
    </row>
    <row r="9" spans="1:2" x14ac:dyDescent="0.25">
      <c r="A9" t="s">
        <v>85</v>
      </c>
      <c r="B9" t="s">
        <v>23</v>
      </c>
    </row>
    <row r="10" spans="1:2" x14ac:dyDescent="0.25">
      <c r="A10" t="s">
        <v>86</v>
      </c>
      <c r="B10" t="s">
        <v>23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Tabella</vt:lpstr>
      <vt:lpstr>Definizioni</vt:lpstr>
      <vt:lpstr>Informazioni</vt:lpstr>
      <vt:lpstr>formazione2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Ustat</dc:creator>
  <dcterms:created xsi:type="dcterms:W3CDTF">2020-09-08T15:04:53Z</dcterms:created>
  <dcterms:modified xsi:type="dcterms:W3CDTF">2020-09-08T13:06:04Z</dcterms:modified>
</cp:coreProperties>
</file>